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https://d.docs.live.net/f633a79546be29c1/Área de Trabalho/VELT ENGENHARIA/2025/CAMARA CARIACICA/"/>
    </mc:Choice>
  </mc:AlternateContent>
  <xr:revisionPtr revIDLastSave="526" documentId="8_{13B0718C-36D3-4FFE-9D5D-7E2969A134F5}" xr6:coauthVersionLast="47" xr6:coauthVersionMax="47" xr10:uidLastSave="{1288142A-A428-47C4-9ACF-ECC5DD76BCA7}"/>
  <bookViews>
    <workbookView xWindow="-108" yWindow="-108" windowWidth="23256" windowHeight="12456" tabRatio="700" xr2:uid="{00000000-000D-0000-FFFF-FFFF00000000}"/>
  </bookViews>
  <sheets>
    <sheet name="RESUMO" sheetId="2" r:id="rId1"/>
    <sheet name="GLOBAL" sheetId="3" r:id="rId2"/>
    <sheet name="MEM-LEVANT" sheetId="5" r:id="rId3"/>
    <sheet name="CRONOGRAMA" sheetId="1" r:id="rId4"/>
    <sheet name="CURVA ABC_" sheetId="45" r:id="rId5"/>
    <sheet name="SINAPI-SERVIÇOS" sheetId="32" state="hidden" r:id="rId6"/>
    <sheet name="LABOR-INSUMOS" sheetId="29" state="hidden" r:id="rId7"/>
    <sheet name="SAPATAS-ANEXOI" sheetId="42" state="hidden" r:id="rId8"/>
    <sheet name="CINTAS E VIGAS-ANEXOII" sheetId="43" state="hidden" r:id="rId9"/>
    <sheet name="PILARES E PILARETES-ANEXOIII" sheetId="44" state="hidden" r:id="rId10"/>
    <sheet name="SINAPI-INSUMOS" sheetId="31" state="hidden" r:id="rId11"/>
    <sheet name="LABOR-SERVIÇOS" sheetId="30" state="hidden" r:id="rId12"/>
    <sheet name="ARQ-COMP" sheetId="8" r:id="rId13"/>
    <sheet name="ADM-COMP" sheetId="19" state="hidden" r:id="rId14"/>
    <sheet name="CURVA ABC" sheetId="37" state="hidden" r:id="rId15"/>
    <sheet name="LS-COMP" sheetId="28" state="hidden" r:id="rId16"/>
    <sheet name="DER-ES JAN-18" sheetId="38" state="hidden" r:id="rId17"/>
    <sheet name="CLI-COMP" sheetId="23" state="hidden" r:id="rId18"/>
    <sheet name="EST-COMP" sheetId="17" state="hidden" r:id="rId19"/>
    <sheet name="GAS-COMP" sheetId="16" state="hidden" r:id="rId20"/>
    <sheet name="IMPER-COMP" sheetId="18" state="hidden" r:id="rId21"/>
    <sheet name="HID-COMP" sheetId="11" state="hidden" r:id="rId22"/>
    <sheet name="IMPL-COMP" sheetId="13" state="hidden" r:id="rId23"/>
    <sheet name="INC-COMP" sheetId="10" state="hidden" r:id="rId24"/>
    <sheet name="SCE-COMP" sheetId="9" state="hidden" r:id="rId25"/>
    <sheet name="SEG-COMP" sheetId="21" state="hidden" r:id="rId26"/>
    <sheet name="SPDA-COMP" sheetId="22" state="hidden" r:id="rId27"/>
    <sheet name="ORSE" sheetId="39" state="hidden" r:id="rId28"/>
    <sheet name="QUADRO RESUMO" sheetId="40" state="hidden" r:id="rId29"/>
  </sheets>
  <externalReferences>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s>
  <definedNames>
    <definedName name="\s" localSheetId="13">'ADM-COMP'!#REF!</definedName>
    <definedName name="\s" localSheetId="17">'CLI-COMP'!#REF!</definedName>
    <definedName name="\s" localSheetId="18">'EST-COMP'!#REF!</definedName>
    <definedName name="\s" localSheetId="19">'GAS-COMP'!#REF!</definedName>
    <definedName name="\s" localSheetId="21">'HID-COMP'!#REF!</definedName>
    <definedName name="\s" localSheetId="20">'IMPER-COMP'!#REF!</definedName>
    <definedName name="\s" localSheetId="22">'IMPL-COMP'!#REF!</definedName>
    <definedName name="\s" localSheetId="23">'INC-COMP'!#REF!</definedName>
    <definedName name="\s" localSheetId="24">'SCE-COMP'!#REF!</definedName>
    <definedName name="\s" localSheetId="25">'SEG-COMP'!#REF!</definedName>
    <definedName name="\s" localSheetId="26">'SPDA-COMP'!#REF!</definedName>
    <definedName name="\s">#REF!</definedName>
    <definedName name="\t" localSheetId="13">'ADM-COMP'!#REF!</definedName>
    <definedName name="\t" localSheetId="17">'CLI-COMP'!#REF!</definedName>
    <definedName name="\t" localSheetId="18">'EST-COMP'!#REF!</definedName>
    <definedName name="\t" localSheetId="19">'GAS-COMP'!#REF!</definedName>
    <definedName name="\t" localSheetId="21">'HID-COMP'!#REF!</definedName>
    <definedName name="\t" localSheetId="20">'IMPER-COMP'!#REF!</definedName>
    <definedName name="\t" localSheetId="22">'IMPL-COMP'!#REF!</definedName>
    <definedName name="\t" localSheetId="23">'INC-COMP'!#REF!</definedName>
    <definedName name="\t" localSheetId="24">'SCE-COMP'!#REF!</definedName>
    <definedName name="\t" localSheetId="25">'SEG-COMP'!#REF!</definedName>
    <definedName name="\t" localSheetId="26">'SPDA-COMP'!#REF!</definedName>
    <definedName name="\t">#REF!</definedName>
    <definedName name="__6Excel_BuiltIn_Print_Area_3_1_1_1_1_1" localSheetId="13">'ADM-COMP'!#REF!</definedName>
    <definedName name="__6Excel_BuiltIn_Print_Area_3_1_1_1_1_1" localSheetId="17">'CLI-COMP'!#REF!</definedName>
    <definedName name="__6Excel_BuiltIn_Print_Area_3_1_1_1_1_1" localSheetId="18">'EST-COMP'!#REF!</definedName>
    <definedName name="__6Excel_BuiltIn_Print_Area_3_1_1_1_1_1" localSheetId="19">'GAS-COMP'!#REF!</definedName>
    <definedName name="__6Excel_BuiltIn_Print_Area_3_1_1_1_1_1" localSheetId="21">'HID-COMP'!#REF!</definedName>
    <definedName name="__6Excel_BuiltIn_Print_Area_3_1_1_1_1_1" localSheetId="20">'IMPER-COMP'!#REF!</definedName>
    <definedName name="__6Excel_BuiltIn_Print_Area_3_1_1_1_1_1" localSheetId="22">'IMPL-COMP'!#REF!</definedName>
    <definedName name="__6Excel_BuiltIn_Print_Area_3_1_1_1_1_1" localSheetId="23">'INC-COMP'!#REF!</definedName>
    <definedName name="__6Excel_BuiltIn_Print_Area_3_1_1_1_1_1" localSheetId="24">'SCE-COMP'!#REF!</definedName>
    <definedName name="__6Excel_BuiltIn_Print_Area_3_1_1_1_1_1" localSheetId="25">'SEG-COMP'!#REF!</definedName>
    <definedName name="__6Excel_BuiltIn_Print_Area_3_1_1_1_1_1" localSheetId="26">'SPDA-COMP'!#REF!</definedName>
    <definedName name="__6Excel_BuiltIn_Print_Area_3_1_1_1_1_1">#REF!</definedName>
    <definedName name="_10Excel_BuiltIn_Print_Area_5_1" localSheetId="13">'ADM-COMP'!#REF!</definedName>
    <definedName name="_10Excel_BuiltIn_Print_Area_5_1" localSheetId="17">'CLI-COMP'!#REF!</definedName>
    <definedName name="_10Excel_BuiltIn_Print_Area_5_1" localSheetId="18">'EST-COMP'!#REF!</definedName>
    <definedName name="_10Excel_BuiltIn_Print_Area_5_1" localSheetId="19">'GAS-COMP'!#REF!</definedName>
    <definedName name="_10Excel_BuiltIn_Print_Area_5_1" localSheetId="21">'HID-COMP'!#REF!</definedName>
    <definedName name="_10Excel_BuiltIn_Print_Area_5_1" localSheetId="20">'IMPER-COMP'!#REF!</definedName>
    <definedName name="_10Excel_BuiltIn_Print_Area_5_1" localSheetId="22">'IMPL-COMP'!#REF!</definedName>
    <definedName name="_10Excel_BuiltIn_Print_Area_5_1" localSheetId="23">'INC-COMP'!#REF!</definedName>
    <definedName name="_10Excel_BuiltIn_Print_Area_5_1" localSheetId="24">'SCE-COMP'!#REF!</definedName>
    <definedName name="_10Excel_BuiltIn_Print_Area_5_1" localSheetId="25">'SEG-COMP'!#REF!</definedName>
    <definedName name="_10Excel_BuiltIn_Print_Area_5_1" localSheetId="26">'SPDA-COMP'!#REF!</definedName>
    <definedName name="_10Excel_BuiltIn_Print_Area_5_1">#REF!</definedName>
    <definedName name="_10Excel_BuiltIn_Print_Area_7_1" localSheetId="13">'ADM-COMP'!#REF!</definedName>
    <definedName name="_10Excel_BuiltIn_Print_Area_7_1" localSheetId="17">'CLI-COMP'!#REF!</definedName>
    <definedName name="_10Excel_BuiltIn_Print_Area_7_1" localSheetId="18">'EST-COMP'!#REF!</definedName>
    <definedName name="_10Excel_BuiltIn_Print_Area_7_1" localSheetId="19">'GAS-COMP'!#REF!</definedName>
    <definedName name="_10Excel_BuiltIn_Print_Area_7_1" localSheetId="21">'HID-COMP'!#REF!</definedName>
    <definedName name="_10Excel_BuiltIn_Print_Area_7_1" localSheetId="20">'IMPER-COMP'!#REF!</definedName>
    <definedName name="_10Excel_BuiltIn_Print_Area_7_1" localSheetId="22">'IMPL-COMP'!#REF!</definedName>
    <definedName name="_10Excel_BuiltIn_Print_Area_7_1" localSheetId="23">'INC-COMP'!#REF!</definedName>
    <definedName name="_10Excel_BuiltIn_Print_Area_7_1" localSheetId="24">'SCE-COMP'!#REF!</definedName>
    <definedName name="_10Excel_BuiltIn_Print_Area_7_1" localSheetId="25">'SEG-COMP'!#REF!</definedName>
    <definedName name="_10Excel_BuiltIn_Print_Area_7_1" localSheetId="26">'SPDA-COMP'!#REF!</definedName>
    <definedName name="_10Excel_BuiltIn_Print_Area_7_1">#REF!</definedName>
    <definedName name="_11Excel_BuiltIn_Print_Area_8_1" localSheetId="15">([1]EMERGÊNCIA!$A$1:$N$213,[1]EMERGÊNCIA!$A$214:$N$290)</definedName>
    <definedName name="_11Excel_BuiltIn_Print_Area_8_1" localSheetId="2">([2]EMERGÊNCIA!$A$1:$N$213,[2]EMERGÊNCIA!$A$214:$N$290)</definedName>
    <definedName name="_11Excel_BuiltIn_Print_Area_8_1">([1]EMERGÊNCIA!$A$1:$N$213,[1]EMERGÊNCIA!$A$214:$N$290)</definedName>
    <definedName name="_12Excel_BuiltIn_Print_Area_6_1" localSheetId="13">'ADM-COMP'!#REF!</definedName>
    <definedName name="_12Excel_BuiltIn_Print_Area_6_1" localSheetId="17">'CLI-COMP'!#REF!</definedName>
    <definedName name="_12Excel_BuiltIn_Print_Area_6_1" localSheetId="18">'EST-COMP'!#REF!</definedName>
    <definedName name="_12Excel_BuiltIn_Print_Area_6_1" localSheetId="19">'GAS-COMP'!#REF!</definedName>
    <definedName name="_12Excel_BuiltIn_Print_Area_6_1" localSheetId="21">'HID-COMP'!#REF!</definedName>
    <definedName name="_12Excel_BuiltIn_Print_Area_6_1" localSheetId="20">'IMPER-COMP'!#REF!</definedName>
    <definedName name="_12Excel_BuiltIn_Print_Area_6_1" localSheetId="22">'IMPL-COMP'!#REF!</definedName>
    <definedName name="_12Excel_BuiltIn_Print_Area_6_1" localSheetId="23">'INC-COMP'!#REF!</definedName>
    <definedName name="_12Excel_BuiltIn_Print_Area_6_1" localSheetId="24">'SCE-COMP'!#REF!</definedName>
    <definedName name="_12Excel_BuiltIn_Print_Area_6_1" localSheetId="25">'SEG-COMP'!#REF!</definedName>
    <definedName name="_12Excel_BuiltIn_Print_Area_6_1" localSheetId="26">'SPDA-COMP'!#REF!</definedName>
    <definedName name="_12Excel_BuiltIn_Print_Area_6_1">#REF!</definedName>
    <definedName name="_12Excel_BuiltIn_Print_Area_9_1" localSheetId="13">'ADM-COMP'!#REF!</definedName>
    <definedName name="_12Excel_BuiltIn_Print_Area_9_1" localSheetId="17">'CLI-COMP'!#REF!</definedName>
    <definedName name="_12Excel_BuiltIn_Print_Area_9_1" localSheetId="18">'EST-COMP'!#REF!</definedName>
    <definedName name="_12Excel_BuiltIn_Print_Area_9_1" localSheetId="19">'GAS-COMP'!#REF!</definedName>
    <definedName name="_12Excel_BuiltIn_Print_Area_9_1" localSheetId="21">'HID-COMP'!#REF!</definedName>
    <definedName name="_12Excel_BuiltIn_Print_Area_9_1" localSheetId="20">'IMPER-COMP'!#REF!</definedName>
    <definedName name="_12Excel_BuiltIn_Print_Area_9_1" localSheetId="22">'IMPL-COMP'!#REF!</definedName>
    <definedName name="_12Excel_BuiltIn_Print_Area_9_1" localSheetId="23">'INC-COMP'!#REF!</definedName>
    <definedName name="_12Excel_BuiltIn_Print_Area_9_1" localSheetId="24">'SCE-COMP'!#REF!</definedName>
    <definedName name="_12Excel_BuiltIn_Print_Area_9_1" localSheetId="25">'SEG-COMP'!#REF!</definedName>
    <definedName name="_12Excel_BuiltIn_Print_Area_9_1" localSheetId="26">'SPDA-COMP'!#REF!</definedName>
    <definedName name="_12Excel_BuiltIn_Print_Area_9_1">#REF!</definedName>
    <definedName name="_13Excel_BuiltIn_Print_Titles_3_1" localSheetId="13">'ADM-COMP'!#REF!</definedName>
    <definedName name="_13Excel_BuiltIn_Print_Titles_3_1" localSheetId="17">'CLI-COMP'!#REF!</definedName>
    <definedName name="_13Excel_BuiltIn_Print_Titles_3_1" localSheetId="18">'EST-COMP'!#REF!</definedName>
    <definedName name="_13Excel_BuiltIn_Print_Titles_3_1" localSheetId="19">'GAS-COMP'!#REF!</definedName>
    <definedName name="_13Excel_BuiltIn_Print_Titles_3_1" localSheetId="21">'HID-COMP'!#REF!</definedName>
    <definedName name="_13Excel_BuiltIn_Print_Titles_3_1" localSheetId="20">'IMPER-COMP'!#REF!</definedName>
    <definedName name="_13Excel_BuiltIn_Print_Titles_3_1" localSheetId="22">'IMPL-COMP'!#REF!</definedName>
    <definedName name="_13Excel_BuiltIn_Print_Titles_3_1" localSheetId="23">'INC-COMP'!#REF!</definedName>
    <definedName name="_13Excel_BuiltIn_Print_Titles_3_1" localSheetId="24">'SCE-COMP'!#REF!</definedName>
    <definedName name="_13Excel_BuiltIn_Print_Titles_3_1" localSheetId="25">'SEG-COMP'!#REF!</definedName>
    <definedName name="_13Excel_BuiltIn_Print_Titles_3_1" localSheetId="26">'SPDA-COMP'!#REF!</definedName>
    <definedName name="_13Excel_BuiltIn_Print_Titles_3_1">#REF!</definedName>
    <definedName name="_14Excel_BuiltIn_Print_Area_7_1" localSheetId="13">'ADM-COMP'!#REF!</definedName>
    <definedName name="_14Excel_BuiltIn_Print_Area_7_1" localSheetId="17">'CLI-COMP'!#REF!</definedName>
    <definedName name="_14Excel_BuiltIn_Print_Area_7_1" localSheetId="18">'EST-COMP'!#REF!</definedName>
    <definedName name="_14Excel_BuiltIn_Print_Area_7_1" localSheetId="19">'GAS-COMP'!#REF!</definedName>
    <definedName name="_14Excel_BuiltIn_Print_Area_7_1" localSheetId="21">'HID-COMP'!#REF!</definedName>
    <definedName name="_14Excel_BuiltIn_Print_Area_7_1" localSheetId="20">'IMPER-COMP'!#REF!</definedName>
    <definedName name="_14Excel_BuiltIn_Print_Area_7_1" localSheetId="22">'IMPL-COMP'!#REF!</definedName>
    <definedName name="_14Excel_BuiltIn_Print_Area_7_1" localSheetId="23">'INC-COMP'!#REF!</definedName>
    <definedName name="_14Excel_BuiltIn_Print_Area_7_1" localSheetId="24">'SCE-COMP'!#REF!</definedName>
    <definedName name="_14Excel_BuiltIn_Print_Area_7_1" localSheetId="25">'SEG-COMP'!#REF!</definedName>
    <definedName name="_14Excel_BuiltIn_Print_Area_7_1" localSheetId="26">'SPDA-COMP'!#REF!</definedName>
    <definedName name="_14Excel_BuiltIn_Print_Area_7_1">#REF!</definedName>
    <definedName name="_14Excel_BuiltIn_Print_Titles_4_1" localSheetId="13">'ADM-COMP'!#REF!</definedName>
    <definedName name="_14Excel_BuiltIn_Print_Titles_4_1" localSheetId="17">'CLI-COMP'!#REF!</definedName>
    <definedName name="_14Excel_BuiltIn_Print_Titles_4_1" localSheetId="18">'EST-COMP'!#REF!</definedName>
    <definedName name="_14Excel_BuiltIn_Print_Titles_4_1" localSheetId="19">'GAS-COMP'!#REF!</definedName>
    <definedName name="_14Excel_BuiltIn_Print_Titles_4_1" localSheetId="21">'HID-COMP'!#REF!</definedName>
    <definedName name="_14Excel_BuiltIn_Print_Titles_4_1" localSheetId="20">'IMPER-COMP'!#REF!</definedName>
    <definedName name="_14Excel_BuiltIn_Print_Titles_4_1" localSheetId="22">'IMPL-COMP'!#REF!</definedName>
    <definedName name="_14Excel_BuiltIn_Print_Titles_4_1" localSheetId="23">'INC-COMP'!#REF!</definedName>
    <definedName name="_14Excel_BuiltIn_Print_Titles_4_1" localSheetId="24">'SCE-COMP'!#REF!</definedName>
    <definedName name="_14Excel_BuiltIn_Print_Titles_4_1" localSheetId="25">'SEG-COMP'!#REF!</definedName>
    <definedName name="_14Excel_BuiltIn_Print_Titles_4_1" localSheetId="26">'SPDA-COMP'!#REF!</definedName>
    <definedName name="_14Excel_BuiltIn_Print_Titles_4_1">#REF!</definedName>
    <definedName name="_15Excel_BuiltIn_Print_Area_8_1" localSheetId="15">([1]EMERGÊNCIA!$A$1:$N$213,[1]EMERGÊNCIA!$A$214:$N$290)</definedName>
    <definedName name="_15Excel_BuiltIn_Print_Area_8_1" localSheetId="2">([2]EMERGÊNCIA!$A$1:$N$213,[2]EMERGÊNCIA!$A$214:$N$290)</definedName>
    <definedName name="_15Excel_BuiltIn_Print_Area_8_1">([1]EMERGÊNCIA!$A$1:$N$213,[1]EMERGÊNCIA!$A$214:$N$290)</definedName>
    <definedName name="_15Excel_BuiltIn_Print_Titles_5_1" localSheetId="13">'ADM-COMP'!#REF!</definedName>
    <definedName name="_15Excel_BuiltIn_Print_Titles_5_1" localSheetId="17">'CLI-COMP'!#REF!</definedName>
    <definedName name="_15Excel_BuiltIn_Print_Titles_5_1" localSheetId="18">'EST-COMP'!#REF!</definedName>
    <definedName name="_15Excel_BuiltIn_Print_Titles_5_1" localSheetId="19">'GAS-COMP'!#REF!</definedName>
    <definedName name="_15Excel_BuiltIn_Print_Titles_5_1" localSheetId="21">'HID-COMP'!#REF!</definedName>
    <definedName name="_15Excel_BuiltIn_Print_Titles_5_1" localSheetId="20">'IMPER-COMP'!#REF!</definedName>
    <definedName name="_15Excel_BuiltIn_Print_Titles_5_1" localSheetId="22">'IMPL-COMP'!#REF!</definedName>
    <definedName name="_15Excel_BuiltIn_Print_Titles_5_1" localSheetId="23">'INC-COMP'!#REF!</definedName>
    <definedName name="_15Excel_BuiltIn_Print_Titles_5_1" localSheetId="24">'SCE-COMP'!#REF!</definedName>
    <definedName name="_15Excel_BuiltIn_Print_Titles_5_1" localSheetId="25">'SEG-COMP'!#REF!</definedName>
    <definedName name="_15Excel_BuiltIn_Print_Titles_5_1" localSheetId="26">'SPDA-COMP'!#REF!</definedName>
    <definedName name="_15Excel_BuiltIn_Print_Titles_5_1">#REF!</definedName>
    <definedName name="_16Excel_BuiltIn_Print_Titles_6_1" localSheetId="13">'ADM-COMP'!#REF!</definedName>
    <definedName name="_16Excel_BuiltIn_Print_Titles_6_1" localSheetId="17">'CLI-COMP'!#REF!</definedName>
    <definedName name="_16Excel_BuiltIn_Print_Titles_6_1" localSheetId="18">'EST-COMP'!#REF!</definedName>
    <definedName name="_16Excel_BuiltIn_Print_Titles_6_1" localSheetId="19">'GAS-COMP'!#REF!</definedName>
    <definedName name="_16Excel_BuiltIn_Print_Titles_6_1" localSheetId="21">'HID-COMP'!#REF!</definedName>
    <definedName name="_16Excel_BuiltIn_Print_Titles_6_1" localSheetId="20">'IMPER-COMP'!#REF!</definedName>
    <definedName name="_16Excel_BuiltIn_Print_Titles_6_1" localSheetId="22">'IMPL-COMP'!#REF!</definedName>
    <definedName name="_16Excel_BuiltIn_Print_Titles_6_1" localSheetId="23">'INC-COMP'!#REF!</definedName>
    <definedName name="_16Excel_BuiltIn_Print_Titles_6_1" localSheetId="24">'SCE-COMP'!#REF!</definedName>
    <definedName name="_16Excel_BuiltIn_Print_Titles_6_1" localSheetId="25">'SEG-COMP'!#REF!</definedName>
    <definedName name="_16Excel_BuiltIn_Print_Titles_6_1" localSheetId="26">'SPDA-COMP'!#REF!</definedName>
    <definedName name="_16Excel_BuiltIn_Print_Titles_6_1">#REF!</definedName>
    <definedName name="_17Excel_BuiltIn_Print_Area_9_1" localSheetId="13">'ADM-COMP'!#REF!</definedName>
    <definedName name="_17Excel_BuiltIn_Print_Area_9_1" localSheetId="17">'CLI-COMP'!#REF!</definedName>
    <definedName name="_17Excel_BuiltIn_Print_Area_9_1" localSheetId="18">'EST-COMP'!#REF!</definedName>
    <definedName name="_17Excel_BuiltIn_Print_Area_9_1" localSheetId="19">'GAS-COMP'!#REF!</definedName>
    <definedName name="_17Excel_BuiltIn_Print_Area_9_1" localSheetId="21">'HID-COMP'!#REF!</definedName>
    <definedName name="_17Excel_BuiltIn_Print_Area_9_1" localSheetId="20">'IMPER-COMP'!#REF!</definedName>
    <definedName name="_17Excel_BuiltIn_Print_Area_9_1" localSheetId="22">'IMPL-COMP'!#REF!</definedName>
    <definedName name="_17Excel_BuiltIn_Print_Area_9_1" localSheetId="23">'INC-COMP'!#REF!</definedName>
    <definedName name="_17Excel_BuiltIn_Print_Area_9_1" localSheetId="24">'SCE-COMP'!#REF!</definedName>
    <definedName name="_17Excel_BuiltIn_Print_Area_9_1" localSheetId="25">'SEG-COMP'!#REF!</definedName>
    <definedName name="_17Excel_BuiltIn_Print_Area_9_1" localSheetId="26">'SPDA-COMP'!#REF!</definedName>
    <definedName name="_17Excel_BuiltIn_Print_Area_9_1">#REF!</definedName>
    <definedName name="_17Excel_BuiltIn_Print_Titles_7_1" localSheetId="13">'ADM-COMP'!#REF!</definedName>
    <definedName name="_17Excel_BuiltIn_Print_Titles_7_1" localSheetId="17">'CLI-COMP'!#REF!</definedName>
    <definedName name="_17Excel_BuiltIn_Print_Titles_7_1" localSheetId="18">'EST-COMP'!#REF!</definedName>
    <definedName name="_17Excel_BuiltIn_Print_Titles_7_1" localSheetId="19">'GAS-COMP'!#REF!</definedName>
    <definedName name="_17Excel_BuiltIn_Print_Titles_7_1" localSheetId="21">'HID-COMP'!#REF!</definedName>
    <definedName name="_17Excel_BuiltIn_Print_Titles_7_1" localSheetId="20">'IMPER-COMP'!#REF!</definedName>
    <definedName name="_17Excel_BuiltIn_Print_Titles_7_1" localSheetId="22">'IMPL-COMP'!#REF!</definedName>
    <definedName name="_17Excel_BuiltIn_Print_Titles_7_1" localSheetId="23">'INC-COMP'!#REF!</definedName>
    <definedName name="_17Excel_BuiltIn_Print_Titles_7_1" localSheetId="24">'SCE-COMP'!#REF!</definedName>
    <definedName name="_17Excel_BuiltIn_Print_Titles_7_1" localSheetId="25">'SEG-COMP'!#REF!</definedName>
    <definedName name="_17Excel_BuiltIn_Print_Titles_7_1" localSheetId="26">'SPDA-COMP'!#REF!</definedName>
    <definedName name="_17Excel_BuiltIn_Print_Titles_7_1">#REF!</definedName>
    <definedName name="_18Excel_BuiltIn_Print_Titles_9_1" localSheetId="13">'ADM-COMP'!#REF!</definedName>
    <definedName name="_18Excel_BuiltIn_Print_Titles_9_1" localSheetId="17">'CLI-COMP'!#REF!</definedName>
    <definedName name="_18Excel_BuiltIn_Print_Titles_9_1" localSheetId="18">'EST-COMP'!#REF!</definedName>
    <definedName name="_18Excel_BuiltIn_Print_Titles_9_1" localSheetId="19">'GAS-COMP'!#REF!</definedName>
    <definedName name="_18Excel_BuiltIn_Print_Titles_9_1" localSheetId="21">'HID-COMP'!#REF!</definedName>
    <definedName name="_18Excel_BuiltIn_Print_Titles_9_1" localSheetId="20">'IMPER-COMP'!#REF!</definedName>
    <definedName name="_18Excel_BuiltIn_Print_Titles_9_1" localSheetId="22">'IMPL-COMP'!#REF!</definedName>
    <definedName name="_18Excel_BuiltIn_Print_Titles_9_1" localSheetId="23">'INC-COMP'!#REF!</definedName>
    <definedName name="_18Excel_BuiltIn_Print_Titles_9_1" localSheetId="24">'SCE-COMP'!#REF!</definedName>
    <definedName name="_18Excel_BuiltIn_Print_Titles_9_1" localSheetId="25">'SEG-COMP'!#REF!</definedName>
    <definedName name="_18Excel_BuiltIn_Print_Titles_9_1" localSheetId="26">'SPDA-COMP'!#REF!</definedName>
    <definedName name="_18Excel_BuiltIn_Print_Titles_9_1">#REF!</definedName>
    <definedName name="_1Excel_BuiltIn__FilterDatabase_12_1" localSheetId="13">'ADM-COMP'!#REF!</definedName>
    <definedName name="_1Excel_BuiltIn__FilterDatabase_12_1" localSheetId="17">'CLI-COMP'!#REF!</definedName>
    <definedName name="_1Excel_BuiltIn__FilterDatabase_12_1" localSheetId="18">'EST-COMP'!#REF!</definedName>
    <definedName name="_1Excel_BuiltIn__FilterDatabase_12_1" localSheetId="19">'GAS-COMP'!#REF!</definedName>
    <definedName name="_1Excel_BuiltIn__FilterDatabase_12_1" localSheetId="21">'HID-COMP'!#REF!</definedName>
    <definedName name="_1Excel_BuiltIn__FilterDatabase_12_1" localSheetId="20">'IMPER-COMP'!#REF!</definedName>
    <definedName name="_1Excel_BuiltIn__FilterDatabase_12_1" localSheetId="22">'IMPL-COMP'!#REF!</definedName>
    <definedName name="_1Excel_BuiltIn__FilterDatabase_12_1" localSheetId="23">'INC-COMP'!#REF!</definedName>
    <definedName name="_1Excel_BuiltIn__FilterDatabase_12_1" localSheetId="24">'SCE-COMP'!#REF!</definedName>
    <definedName name="_1Excel_BuiltIn__FilterDatabase_12_1" localSheetId="25">'SEG-COMP'!#REF!</definedName>
    <definedName name="_1Excel_BuiltIn__FilterDatabase_12_1" localSheetId="26">'SPDA-COMP'!#REF!</definedName>
    <definedName name="_1Excel_BuiltIn__FilterDatabase_12_1">#REF!</definedName>
    <definedName name="_1Excel_BuiltIn_Print_Area_2_1" localSheetId="13">'ADM-COMP'!#REF!</definedName>
    <definedName name="_1Excel_BuiltIn_Print_Area_2_1" localSheetId="17">'CLI-COMP'!#REF!</definedName>
    <definedName name="_1Excel_BuiltIn_Print_Area_2_1" localSheetId="18">'EST-COMP'!#REF!</definedName>
    <definedName name="_1Excel_BuiltIn_Print_Area_2_1" localSheetId="19">'GAS-COMP'!#REF!</definedName>
    <definedName name="_1Excel_BuiltIn_Print_Area_2_1" localSheetId="21">'HID-COMP'!#REF!</definedName>
    <definedName name="_1Excel_BuiltIn_Print_Area_2_1" localSheetId="20">'IMPER-COMP'!#REF!</definedName>
    <definedName name="_1Excel_BuiltIn_Print_Area_2_1" localSheetId="22">'IMPL-COMP'!#REF!</definedName>
    <definedName name="_1Excel_BuiltIn_Print_Area_2_1" localSheetId="23">'INC-COMP'!#REF!</definedName>
    <definedName name="_1Excel_BuiltIn_Print_Area_2_1" localSheetId="24">'SCE-COMP'!#REF!</definedName>
    <definedName name="_1Excel_BuiltIn_Print_Area_2_1" localSheetId="25">'SEG-COMP'!#REF!</definedName>
    <definedName name="_1Excel_BuiltIn_Print_Area_2_1" localSheetId="26">'SPDA-COMP'!#REF!</definedName>
    <definedName name="_1Excel_BuiltIn_Print_Area_2_1">#REF!</definedName>
    <definedName name="_28Excel_BuiltIn_Print_Titles_3_1" localSheetId="13">'ADM-COMP'!#REF!</definedName>
    <definedName name="_28Excel_BuiltIn_Print_Titles_3_1" localSheetId="17">'CLI-COMP'!#REF!</definedName>
    <definedName name="_28Excel_BuiltIn_Print_Titles_3_1" localSheetId="18">'EST-COMP'!#REF!</definedName>
    <definedName name="_28Excel_BuiltIn_Print_Titles_3_1" localSheetId="19">'GAS-COMP'!#REF!</definedName>
    <definedName name="_28Excel_BuiltIn_Print_Titles_3_1" localSheetId="21">'HID-COMP'!#REF!</definedName>
    <definedName name="_28Excel_BuiltIn_Print_Titles_3_1" localSheetId="20">'IMPER-COMP'!#REF!</definedName>
    <definedName name="_28Excel_BuiltIn_Print_Titles_3_1" localSheetId="22">'IMPL-COMP'!#REF!</definedName>
    <definedName name="_28Excel_BuiltIn_Print_Titles_3_1" localSheetId="23">'INC-COMP'!#REF!</definedName>
    <definedName name="_28Excel_BuiltIn_Print_Titles_3_1" localSheetId="24">'SCE-COMP'!#REF!</definedName>
    <definedName name="_28Excel_BuiltIn_Print_Titles_3_1" localSheetId="25">'SEG-COMP'!#REF!</definedName>
    <definedName name="_28Excel_BuiltIn_Print_Titles_3_1" localSheetId="26">'SPDA-COMP'!#REF!</definedName>
    <definedName name="_28Excel_BuiltIn_Print_Titles_3_1">#REF!</definedName>
    <definedName name="_2Excel_BuiltIn__FilterDatabase_12_1" localSheetId="13">'ADM-COMP'!#REF!</definedName>
    <definedName name="_2Excel_BuiltIn__FilterDatabase_12_1" localSheetId="17">'CLI-COMP'!#REF!</definedName>
    <definedName name="_2Excel_BuiltIn__FilterDatabase_12_1" localSheetId="18">'EST-COMP'!#REF!</definedName>
    <definedName name="_2Excel_BuiltIn__FilterDatabase_12_1" localSheetId="19">'GAS-COMP'!#REF!</definedName>
    <definedName name="_2Excel_BuiltIn__FilterDatabase_12_1" localSheetId="21">'HID-COMP'!#REF!</definedName>
    <definedName name="_2Excel_BuiltIn__FilterDatabase_12_1" localSheetId="20">'IMPER-COMP'!#REF!</definedName>
    <definedName name="_2Excel_BuiltIn__FilterDatabase_12_1" localSheetId="22">'IMPL-COMP'!#REF!</definedName>
    <definedName name="_2Excel_BuiltIn__FilterDatabase_12_1" localSheetId="23">'INC-COMP'!#REF!</definedName>
    <definedName name="_2Excel_BuiltIn__FilterDatabase_12_1" localSheetId="24">'SCE-COMP'!#REF!</definedName>
    <definedName name="_2Excel_BuiltIn__FilterDatabase_12_1" localSheetId="25">'SEG-COMP'!#REF!</definedName>
    <definedName name="_2Excel_BuiltIn__FilterDatabase_12_1" localSheetId="26">'SPDA-COMP'!#REF!</definedName>
    <definedName name="_2Excel_BuiltIn__FilterDatabase_12_1">#REF!</definedName>
    <definedName name="_2Excel_BuiltIn_Print_Area_1_1_1_1_1_1_1" localSheetId="13">'ADM-COMP'!#REF!</definedName>
    <definedName name="_2Excel_BuiltIn_Print_Area_1_1_1_1_1_1_1" localSheetId="17">'CLI-COMP'!#REF!</definedName>
    <definedName name="_2Excel_BuiltIn_Print_Area_1_1_1_1_1_1_1" localSheetId="18">'EST-COMP'!#REF!</definedName>
    <definedName name="_2Excel_BuiltIn_Print_Area_1_1_1_1_1_1_1" localSheetId="19">'GAS-COMP'!#REF!</definedName>
    <definedName name="_2Excel_BuiltIn_Print_Area_1_1_1_1_1_1_1" localSheetId="21">'HID-COMP'!#REF!</definedName>
    <definedName name="_2Excel_BuiltIn_Print_Area_1_1_1_1_1_1_1" localSheetId="20">'IMPER-COMP'!#REF!</definedName>
    <definedName name="_2Excel_BuiltIn_Print_Area_1_1_1_1_1_1_1" localSheetId="22">'IMPL-COMP'!#REF!</definedName>
    <definedName name="_2Excel_BuiltIn_Print_Area_1_1_1_1_1_1_1" localSheetId="23">'INC-COMP'!#REF!</definedName>
    <definedName name="_2Excel_BuiltIn_Print_Area_1_1_1_1_1_1_1" localSheetId="24">'SCE-COMP'!#REF!</definedName>
    <definedName name="_2Excel_BuiltIn_Print_Area_1_1_1_1_1_1_1" localSheetId="25">'SEG-COMP'!#REF!</definedName>
    <definedName name="_2Excel_BuiltIn_Print_Area_1_1_1_1_1_1_1" localSheetId="26">'SPDA-COMP'!#REF!</definedName>
    <definedName name="_2Excel_BuiltIn_Print_Area_1_1_1_1_1_1_1">#REF!</definedName>
    <definedName name="_2Excel_BuiltIn_Print_Area_3_1_1" localSheetId="13">'ADM-COMP'!#REF!</definedName>
    <definedName name="_2Excel_BuiltIn_Print_Area_3_1_1" localSheetId="17">'CLI-COMP'!#REF!</definedName>
    <definedName name="_2Excel_BuiltIn_Print_Area_3_1_1" localSheetId="18">'EST-COMP'!#REF!</definedName>
    <definedName name="_2Excel_BuiltIn_Print_Area_3_1_1" localSheetId="19">'GAS-COMP'!#REF!</definedName>
    <definedName name="_2Excel_BuiltIn_Print_Area_3_1_1" localSheetId="21">'HID-COMP'!#REF!</definedName>
    <definedName name="_2Excel_BuiltIn_Print_Area_3_1_1" localSheetId="20">'IMPER-COMP'!#REF!</definedName>
    <definedName name="_2Excel_BuiltIn_Print_Area_3_1_1" localSheetId="22">'IMPL-COMP'!#REF!</definedName>
    <definedName name="_2Excel_BuiltIn_Print_Area_3_1_1" localSheetId="23">'INC-COMP'!#REF!</definedName>
    <definedName name="_2Excel_BuiltIn_Print_Area_3_1_1" localSheetId="24">'SCE-COMP'!#REF!</definedName>
    <definedName name="_2Excel_BuiltIn_Print_Area_3_1_1" localSheetId="25">'SEG-COMP'!#REF!</definedName>
    <definedName name="_2Excel_BuiltIn_Print_Area_3_1_1" localSheetId="26">'SPDA-COMP'!#REF!</definedName>
    <definedName name="_2Excel_BuiltIn_Print_Area_3_1_1">#REF!</definedName>
    <definedName name="_39Excel_BuiltIn_Print_Titles_4_1" localSheetId="13">'ADM-COMP'!#REF!</definedName>
    <definedName name="_39Excel_BuiltIn_Print_Titles_4_1" localSheetId="17">'CLI-COMP'!#REF!</definedName>
    <definedName name="_39Excel_BuiltIn_Print_Titles_4_1" localSheetId="18">'EST-COMP'!#REF!</definedName>
    <definedName name="_39Excel_BuiltIn_Print_Titles_4_1" localSheetId="19">'GAS-COMP'!#REF!</definedName>
    <definedName name="_39Excel_BuiltIn_Print_Titles_4_1" localSheetId="21">'HID-COMP'!#REF!</definedName>
    <definedName name="_39Excel_BuiltIn_Print_Titles_4_1" localSheetId="20">'IMPER-COMP'!#REF!</definedName>
    <definedName name="_39Excel_BuiltIn_Print_Titles_4_1" localSheetId="22">'IMPL-COMP'!#REF!</definedName>
    <definedName name="_39Excel_BuiltIn_Print_Titles_4_1" localSheetId="23">'INC-COMP'!#REF!</definedName>
    <definedName name="_39Excel_BuiltIn_Print_Titles_4_1" localSheetId="24">'SCE-COMP'!#REF!</definedName>
    <definedName name="_39Excel_BuiltIn_Print_Titles_4_1" localSheetId="25">'SEG-COMP'!#REF!</definedName>
    <definedName name="_39Excel_BuiltIn_Print_Titles_4_1" localSheetId="26">'SPDA-COMP'!#REF!</definedName>
    <definedName name="_39Excel_BuiltIn_Print_Titles_4_1">#REF!</definedName>
    <definedName name="_3Excel_BuiltIn_Print_Area_2_1" localSheetId="13">'ADM-COMP'!#REF!</definedName>
    <definedName name="_3Excel_BuiltIn_Print_Area_2_1" localSheetId="17">'CLI-COMP'!#REF!</definedName>
    <definedName name="_3Excel_BuiltIn_Print_Area_2_1" localSheetId="18">'EST-COMP'!#REF!</definedName>
    <definedName name="_3Excel_BuiltIn_Print_Area_2_1" localSheetId="19">'GAS-COMP'!#REF!</definedName>
    <definedName name="_3Excel_BuiltIn_Print_Area_2_1" localSheetId="21">'HID-COMP'!#REF!</definedName>
    <definedName name="_3Excel_BuiltIn_Print_Area_2_1" localSheetId="20">'IMPER-COMP'!#REF!</definedName>
    <definedName name="_3Excel_BuiltIn_Print_Area_2_1" localSheetId="22">'IMPL-COMP'!#REF!</definedName>
    <definedName name="_3Excel_BuiltIn_Print_Area_2_1" localSheetId="23">'INC-COMP'!#REF!</definedName>
    <definedName name="_3Excel_BuiltIn_Print_Area_2_1" localSheetId="24">'SCE-COMP'!#REF!</definedName>
    <definedName name="_3Excel_BuiltIn_Print_Area_2_1" localSheetId="25">'SEG-COMP'!#REF!</definedName>
    <definedName name="_3Excel_BuiltIn_Print_Area_2_1" localSheetId="26">'SPDA-COMP'!#REF!</definedName>
    <definedName name="_3Excel_BuiltIn_Print_Area_2_1">#REF!</definedName>
    <definedName name="_3Excel_BuiltIn_Print_Area_3_1_1_1_1_1" localSheetId="13">'ADM-COMP'!#REF!</definedName>
    <definedName name="_3Excel_BuiltIn_Print_Area_3_1_1_1_1_1" localSheetId="17">'CLI-COMP'!#REF!</definedName>
    <definedName name="_3Excel_BuiltIn_Print_Area_3_1_1_1_1_1" localSheetId="18">'EST-COMP'!#REF!</definedName>
    <definedName name="_3Excel_BuiltIn_Print_Area_3_1_1_1_1_1" localSheetId="19">'GAS-COMP'!#REF!</definedName>
    <definedName name="_3Excel_BuiltIn_Print_Area_3_1_1_1_1_1" localSheetId="21">'HID-COMP'!#REF!</definedName>
    <definedName name="_3Excel_BuiltIn_Print_Area_3_1_1_1_1_1" localSheetId="20">'IMPER-COMP'!#REF!</definedName>
    <definedName name="_3Excel_BuiltIn_Print_Area_3_1_1_1_1_1" localSheetId="22">'IMPL-COMP'!#REF!</definedName>
    <definedName name="_3Excel_BuiltIn_Print_Area_3_1_1_1_1_1" localSheetId="23">'INC-COMP'!#REF!</definedName>
    <definedName name="_3Excel_BuiltIn_Print_Area_3_1_1_1_1_1" localSheetId="24">'SCE-COMP'!#REF!</definedName>
    <definedName name="_3Excel_BuiltIn_Print_Area_3_1_1_1_1_1" localSheetId="25">'SEG-COMP'!#REF!</definedName>
    <definedName name="_3Excel_BuiltIn_Print_Area_3_1_1_1_1_1" localSheetId="26">'SPDA-COMP'!#REF!</definedName>
    <definedName name="_3Excel_BuiltIn_Print_Area_3_1_1_1_1_1">#REF!</definedName>
    <definedName name="_4Excel_BuiltIn_Print_Area_3_1" localSheetId="13">'ADM-COMP'!#REF!</definedName>
    <definedName name="_4Excel_BuiltIn_Print_Area_3_1" localSheetId="17">'CLI-COMP'!#REF!</definedName>
    <definedName name="_4Excel_BuiltIn_Print_Area_3_1" localSheetId="18">'EST-COMP'!#REF!</definedName>
    <definedName name="_4Excel_BuiltIn_Print_Area_3_1" localSheetId="19">'GAS-COMP'!#REF!</definedName>
    <definedName name="_4Excel_BuiltIn_Print_Area_3_1" localSheetId="21">'HID-COMP'!#REF!</definedName>
    <definedName name="_4Excel_BuiltIn_Print_Area_3_1" localSheetId="20">'IMPER-COMP'!#REF!</definedName>
    <definedName name="_4Excel_BuiltIn_Print_Area_3_1" localSheetId="22">'IMPL-COMP'!#REF!</definedName>
    <definedName name="_4Excel_BuiltIn_Print_Area_3_1" localSheetId="23">'INC-COMP'!#REF!</definedName>
    <definedName name="_4Excel_BuiltIn_Print_Area_3_1" localSheetId="24">'SCE-COMP'!#REF!</definedName>
    <definedName name="_4Excel_BuiltIn_Print_Area_3_1" localSheetId="25">'SEG-COMP'!#REF!</definedName>
    <definedName name="_4Excel_BuiltIn_Print_Area_3_1" localSheetId="26">'SPDA-COMP'!#REF!</definedName>
    <definedName name="_4Excel_BuiltIn_Print_Area_3_1">#REF!</definedName>
    <definedName name="_4Excel_BuiltIn_Print_Area_3_1_1_1_1_1" localSheetId="13">'ADM-COMP'!#REF!</definedName>
    <definedName name="_4Excel_BuiltIn_Print_Area_3_1_1_1_1_1" localSheetId="17">'CLI-COMP'!#REF!</definedName>
    <definedName name="_4Excel_BuiltIn_Print_Area_3_1_1_1_1_1" localSheetId="18">'EST-COMP'!#REF!</definedName>
    <definedName name="_4Excel_BuiltIn_Print_Area_3_1_1_1_1_1" localSheetId="19">'GAS-COMP'!#REF!</definedName>
    <definedName name="_4Excel_BuiltIn_Print_Area_3_1_1_1_1_1" localSheetId="21">'HID-COMP'!#REF!</definedName>
    <definedName name="_4Excel_BuiltIn_Print_Area_3_1_1_1_1_1" localSheetId="20">'IMPER-COMP'!#REF!</definedName>
    <definedName name="_4Excel_BuiltIn_Print_Area_3_1_1_1_1_1" localSheetId="22">'IMPL-COMP'!#REF!</definedName>
    <definedName name="_4Excel_BuiltIn_Print_Area_3_1_1_1_1_1" localSheetId="23">'INC-COMP'!#REF!</definedName>
    <definedName name="_4Excel_BuiltIn_Print_Area_3_1_1_1_1_1" localSheetId="24">'SCE-COMP'!#REF!</definedName>
    <definedName name="_4Excel_BuiltIn_Print_Area_3_1_1_1_1_1" localSheetId="25">'SEG-COMP'!#REF!</definedName>
    <definedName name="_4Excel_BuiltIn_Print_Area_3_1_1_1_1_1" localSheetId="26">'SPDA-COMP'!#REF!</definedName>
    <definedName name="_4Excel_BuiltIn_Print_Area_3_1_1_1_1_1">#REF!</definedName>
    <definedName name="_50Excel_BuiltIn_Print_Titles_5_1" localSheetId="13">'ADM-COMP'!#REF!</definedName>
    <definedName name="_50Excel_BuiltIn_Print_Titles_5_1" localSheetId="17">'CLI-COMP'!#REF!</definedName>
    <definedName name="_50Excel_BuiltIn_Print_Titles_5_1" localSheetId="18">'EST-COMP'!#REF!</definedName>
    <definedName name="_50Excel_BuiltIn_Print_Titles_5_1" localSheetId="19">'GAS-COMP'!#REF!</definedName>
    <definedName name="_50Excel_BuiltIn_Print_Titles_5_1" localSheetId="21">'HID-COMP'!#REF!</definedName>
    <definedName name="_50Excel_BuiltIn_Print_Titles_5_1" localSheetId="20">'IMPER-COMP'!#REF!</definedName>
    <definedName name="_50Excel_BuiltIn_Print_Titles_5_1" localSheetId="22">'IMPL-COMP'!#REF!</definedName>
    <definedName name="_50Excel_BuiltIn_Print_Titles_5_1" localSheetId="23">'INC-COMP'!#REF!</definedName>
    <definedName name="_50Excel_BuiltIn_Print_Titles_5_1" localSheetId="24">'SCE-COMP'!#REF!</definedName>
    <definedName name="_50Excel_BuiltIn_Print_Titles_5_1" localSheetId="25">'SEG-COMP'!#REF!</definedName>
    <definedName name="_50Excel_BuiltIn_Print_Titles_5_1" localSheetId="26">'SPDA-COMP'!#REF!</definedName>
    <definedName name="_50Excel_BuiltIn_Print_Titles_5_1">#REF!</definedName>
    <definedName name="_5Excel_BuiltIn_Print_Area_3_1" localSheetId="13">'ADM-COMP'!#REF!</definedName>
    <definedName name="_5Excel_BuiltIn_Print_Area_3_1" localSheetId="17">'CLI-COMP'!#REF!</definedName>
    <definedName name="_5Excel_BuiltIn_Print_Area_3_1" localSheetId="18">'EST-COMP'!#REF!</definedName>
    <definedName name="_5Excel_BuiltIn_Print_Area_3_1" localSheetId="19">'GAS-COMP'!#REF!</definedName>
    <definedName name="_5Excel_BuiltIn_Print_Area_3_1" localSheetId="21">'HID-COMP'!#REF!</definedName>
    <definedName name="_5Excel_BuiltIn_Print_Area_3_1" localSheetId="20">'IMPER-COMP'!#REF!</definedName>
    <definedName name="_5Excel_BuiltIn_Print_Area_3_1" localSheetId="22">'IMPL-COMP'!#REF!</definedName>
    <definedName name="_5Excel_BuiltIn_Print_Area_3_1" localSheetId="23">'INC-COMP'!#REF!</definedName>
    <definedName name="_5Excel_BuiltIn_Print_Area_3_1" localSheetId="24">'SCE-COMP'!#REF!</definedName>
    <definedName name="_5Excel_BuiltIn_Print_Area_3_1" localSheetId="25">'SEG-COMP'!#REF!</definedName>
    <definedName name="_5Excel_BuiltIn_Print_Area_3_1" localSheetId="26">'SPDA-COMP'!#REF!</definedName>
    <definedName name="_5Excel_BuiltIn_Print_Area_3_1">#REF!</definedName>
    <definedName name="_61Excel_BuiltIn_Print_Titles_6_1" localSheetId="13">'ADM-COMP'!#REF!</definedName>
    <definedName name="_61Excel_BuiltIn_Print_Titles_6_1" localSheetId="17">'CLI-COMP'!#REF!</definedName>
    <definedName name="_61Excel_BuiltIn_Print_Titles_6_1" localSheetId="18">'EST-COMP'!#REF!</definedName>
    <definedName name="_61Excel_BuiltIn_Print_Titles_6_1" localSheetId="19">'GAS-COMP'!#REF!</definedName>
    <definedName name="_61Excel_BuiltIn_Print_Titles_6_1" localSheetId="21">'HID-COMP'!#REF!</definedName>
    <definedName name="_61Excel_BuiltIn_Print_Titles_6_1" localSheetId="20">'IMPER-COMP'!#REF!</definedName>
    <definedName name="_61Excel_BuiltIn_Print_Titles_6_1" localSheetId="22">'IMPL-COMP'!#REF!</definedName>
    <definedName name="_61Excel_BuiltIn_Print_Titles_6_1" localSheetId="23">'INC-COMP'!#REF!</definedName>
    <definedName name="_61Excel_BuiltIn_Print_Titles_6_1" localSheetId="24">'SCE-COMP'!#REF!</definedName>
    <definedName name="_61Excel_BuiltIn_Print_Titles_6_1" localSheetId="25">'SEG-COMP'!#REF!</definedName>
    <definedName name="_61Excel_BuiltIn_Print_Titles_6_1" localSheetId="26">'SPDA-COMP'!#REF!</definedName>
    <definedName name="_61Excel_BuiltIn_Print_Titles_6_1">#REF!</definedName>
    <definedName name="_6Excel_BuiltIn_Print_Area_3_1_1_1_1_1" localSheetId="13">'ADM-COMP'!#REF!</definedName>
    <definedName name="_6Excel_BuiltIn_Print_Area_3_1_1_1_1_1" localSheetId="17">'CLI-COMP'!#REF!</definedName>
    <definedName name="_6Excel_BuiltIn_Print_Area_3_1_1_1_1_1" localSheetId="18">'EST-COMP'!#REF!</definedName>
    <definedName name="_6Excel_BuiltIn_Print_Area_3_1_1_1_1_1" localSheetId="19">'GAS-COMP'!#REF!</definedName>
    <definedName name="_6Excel_BuiltIn_Print_Area_3_1_1_1_1_1" localSheetId="21">'HID-COMP'!#REF!</definedName>
    <definedName name="_6Excel_BuiltIn_Print_Area_3_1_1_1_1_1" localSheetId="20">'IMPER-COMP'!#REF!</definedName>
    <definedName name="_6Excel_BuiltIn_Print_Area_3_1_1_1_1_1" localSheetId="22">'IMPL-COMP'!#REF!</definedName>
    <definedName name="_6Excel_BuiltIn_Print_Area_3_1_1_1_1_1" localSheetId="23">'INC-COMP'!#REF!</definedName>
    <definedName name="_6Excel_BuiltIn_Print_Area_3_1_1_1_1_1" localSheetId="24">'SCE-COMP'!#REF!</definedName>
    <definedName name="_6Excel_BuiltIn_Print_Area_3_1_1_1_1_1" localSheetId="25">'SEG-COMP'!#REF!</definedName>
    <definedName name="_6Excel_BuiltIn_Print_Area_3_1_1_1_1_1" localSheetId="26">'SPDA-COMP'!#REF!</definedName>
    <definedName name="_6Excel_BuiltIn_Print_Area_3_1_1_1_1_1">#REF!</definedName>
    <definedName name="_72Excel_BuiltIn_Print_Titles_7_1" localSheetId="13">'ADM-COMP'!#REF!</definedName>
    <definedName name="_72Excel_BuiltIn_Print_Titles_7_1" localSheetId="17">'CLI-COMP'!#REF!</definedName>
    <definedName name="_72Excel_BuiltIn_Print_Titles_7_1" localSheetId="18">'EST-COMP'!#REF!</definedName>
    <definedName name="_72Excel_BuiltIn_Print_Titles_7_1" localSheetId="19">'GAS-COMP'!#REF!</definedName>
    <definedName name="_72Excel_BuiltIn_Print_Titles_7_1" localSheetId="21">'HID-COMP'!#REF!</definedName>
    <definedName name="_72Excel_BuiltIn_Print_Titles_7_1" localSheetId="20">'IMPER-COMP'!#REF!</definedName>
    <definedName name="_72Excel_BuiltIn_Print_Titles_7_1" localSheetId="22">'IMPL-COMP'!#REF!</definedName>
    <definedName name="_72Excel_BuiltIn_Print_Titles_7_1" localSheetId="23">'INC-COMP'!#REF!</definedName>
    <definedName name="_72Excel_BuiltIn_Print_Titles_7_1" localSheetId="24">'SCE-COMP'!#REF!</definedName>
    <definedName name="_72Excel_BuiltIn_Print_Titles_7_1" localSheetId="25">'SEG-COMP'!#REF!</definedName>
    <definedName name="_72Excel_BuiltIn_Print_Titles_7_1" localSheetId="26">'SPDA-COMP'!#REF!</definedName>
    <definedName name="_72Excel_BuiltIn_Print_Titles_7_1">#REF!</definedName>
    <definedName name="_7Excel_BuiltIn_Print_Area_4_1" localSheetId="13">'ADM-COMP'!#REF!</definedName>
    <definedName name="_7Excel_BuiltIn_Print_Area_4_1" localSheetId="17">'CLI-COMP'!#REF!</definedName>
    <definedName name="_7Excel_BuiltIn_Print_Area_4_1" localSheetId="18">'EST-COMP'!#REF!</definedName>
    <definedName name="_7Excel_BuiltIn_Print_Area_4_1" localSheetId="19">'GAS-COMP'!#REF!</definedName>
    <definedName name="_7Excel_BuiltIn_Print_Area_4_1" localSheetId="21">'HID-COMP'!#REF!</definedName>
    <definedName name="_7Excel_BuiltIn_Print_Area_4_1" localSheetId="20">'IMPER-COMP'!#REF!</definedName>
    <definedName name="_7Excel_BuiltIn_Print_Area_4_1" localSheetId="22">'IMPL-COMP'!#REF!</definedName>
    <definedName name="_7Excel_BuiltIn_Print_Area_4_1" localSheetId="23">'INC-COMP'!#REF!</definedName>
    <definedName name="_7Excel_BuiltIn_Print_Area_4_1" localSheetId="24">'SCE-COMP'!#REF!</definedName>
    <definedName name="_7Excel_BuiltIn_Print_Area_4_1" localSheetId="25">'SEG-COMP'!#REF!</definedName>
    <definedName name="_7Excel_BuiltIn_Print_Area_4_1" localSheetId="26">'SPDA-COMP'!#REF!</definedName>
    <definedName name="_7Excel_BuiltIn_Print_Area_4_1">#REF!</definedName>
    <definedName name="_83Excel_BuiltIn_Print_Titles_9_1" localSheetId="13">'ADM-COMP'!#REF!</definedName>
    <definedName name="_83Excel_BuiltIn_Print_Titles_9_1" localSheetId="17">'CLI-COMP'!#REF!</definedName>
    <definedName name="_83Excel_BuiltIn_Print_Titles_9_1" localSheetId="18">'EST-COMP'!#REF!</definedName>
    <definedName name="_83Excel_BuiltIn_Print_Titles_9_1" localSheetId="19">'GAS-COMP'!#REF!</definedName>
    <definedName name="_83Excel_BuiltIn_Print_Titles_9_1" localSheetId="21">'HID-COMP'!#REF!</definedName>
    <definedName name="_83Excel_BuiltIn_Print_Titles_9_1" localSheetId="20">'IMPER-COMP'!#REF!</definedName>
    <definedName name="_83Excel_BuiltIn_Print_Titles_9_1" localSheetId="22">'IMPL-COMP'!#REF!</definedName>
    <definedName name="_83Excel_BuiltIn_Print_Titles_9_1" localSheetId="23">'INC-COMP'!#REF!</definedName>
    <definedName name="_83Excel_BuiltIn_Print_Titles_9_1" localSheetId="24">'SCE-COMP'!#REF!</definedName>
    <definedName name="_83Excel_BuiltIn_Print_Titles_9_1" localSheetId="25">'SEG-COMP'!#REF!</definedName>
    <definedName name="_83Excel_BuiltIn_Print_Titles_9_1" localSheetId="26">'SPDA-COMP'!#REF!</definedName>
    <definedName name="_83Excel_BuiltIn_Print_Titles_9_1">#REF!</definedName>
    <definedName name="_8Excel_BuiltIn_Print_Area_4_1" localSheetId="13">'ADM-COMP'!#REF!</definedName>
    <definedName name="_8Excel_BuiltIn_Print_Area_4_1" localSheetId="17">'CLI-COMP'!#REF!</definedName>
    <definedName name="_8Excel_BuiltIn_Print_Area_4_1" localSheetId="18">'EST-COMP'!#REF!</definedName>
    <definedName name="_8Excel_BuiltIn_Print_Area_4_1" localSheetId="19">'GAS-COMP'!#REF!</definedName>
    <definedName name="_8Excel_BuiltIn_Print_Area_4_1" localSheetId="21">'HID-COMP'!#REF!</definedName>
    <definedName name="_8Excel_BuiltIn_Print_Area_4_1" localSheetId="20">'IMPER-COMP'!#REF!</definedName>
    <definedName name="_8Excel_BuiltIn_Print_Area_4_1" localSheetId="22">'IMPL-COMP'!#REF!</definedName>
    <definedName name="_8Excel_BuiltIn_Print_Area_4_1" localSheetId="23">'INC-COMP'!#REF!</definedName>
    <definedName name="_8Excel_BuiltIn_Print_Area_4_1" localSheetId="24">'SCE-COMP'!#REF!</definedName>
    <definedName name="_8Excel_BuiltIn_Print_Area_4_1" localSheetId="25">'SEG-COMP'!#REF!</definedName>
    <definedName name="_8Excel_BuiltIn_Print_Area_4_1" localSheetId="26">'SPDA-COMP'!#REF!</definedName>
    <definedName name="_8Excel_BuiltIn_Print_Area_4_1">#REF!</definedName>
    <definedName name="_8Excel_BuiltIn_Print_Area_5_1" localSheetId="13">'ADM-COMP'!#REF!</definedName>
    <definedName name="_8Excel_BuiltIn_Print_Area_5_1" localSheetId="17">'CLI-COMP'!#REF!</definedName>
    <definedName name="_8Excel_BuiltIn_Print_Area_5_1" localSheetId="18">'EST-COMP'!#REF!</definedName>
    <definedName name="_8Excel_BuiltIn_Print_Area_5_1" localSheetId="19">'GAS-COMP'!#REF!</definedName>
    <definedName name="_8Excel_BuiltIn_Print_Area_5_1" localSheetId="21">'HID-COMP'!#REF!</definedName>
    <definedName name="_8Excel_BuiltIn_Print_Area_5_1" localSheetId="20">'IMPER-COMP'!#REF!</definedName>
    <definedName name="_8Excel_BuiltIn_Print_Area_5_1" localSheetId="22">'IMPL-COMP'!#REF!</definedName>
    <definedName name="_8Excel_BuiltIn_Print_Area_5_1" localSheetId="23">'INC-COMP'!#REF!</definedName>
    <definedName name="_8Excel_BuiltIn_Print_Area_5_1" localSheetId="24">'SCE-COMP'!#REF!</definedName>
    <definedName name="_8Excel_BuiltIn_Print_Area_5_1" localSheetId="25">'SEG-COMP'!#REF!</definedName>
    <definedName name="_8Excel_BuiltIn_Print_Area_5_1" localSheetId="26">'SPDA-COMP'!#REF!</definedName>
    <definedName name="_8Excel_BuiltIn_Print_Area_5_1">#REF!</definedName>
    <definedName name="_9Excel_BuiltIn_Print_Area_6_1" localSheetId="13">'ADM-COMP'!#REF!</definedName>
    <definedName name="_9Excel_BuiltIn_Print_Area_6_1" localSheetId="17">'CLI-COMP'!#REF!</definedName>
    <definedName name="_9Excel_BuiltIn_Print_Area_6_1" localSheetId="18">'EST-COMP'!#REF!</definedName>
    <definedName name="_9Excel_BuiltIn_Print_Area_6_1" localSheetId="19">'GAS-COMP'!#REF!</definedName>
    <definedName name="_9Excel_BuiltIn_Print_Area_6_1" localSheetId="21">'HID-COMP'!#REF!</definedName>
    <definedName name="_9Excel_BuiltIn_Print_Area_6_1" localSheetId="20">'IMPER-COMP'!#REF!</definedName>
    <definedName name="_9Excel_BuiltIn_Print_Area_6_1" localSheetId="22">'IMPL-COMP'!#REF!</definedName>
    <definedName name="_9Excel_BuiltIn_Print_Area_6_1" localSheetId="23">'INC-COMP'!#REF!</definedName>
    <definedName name="_9Excel_BuiltIn_Print_Area_6_1" localSheetId="24">'SCE-COMP'!#REF!</definedName>
    <definedName name="_9Excel_BuiltIn_Print_Area_6_1" localSheetId="25">'SEG-COMP'!#REF!</definedName>
    <definedName name="_9Excel_BuiltIn_Print_Area_6_1" localSheetId="26">'SPDA-COMP'!#REF!</definedName>
    <definedName name="_9Excel_BuiltIn_Print_Area_6_1">#REF!</definedName>
    <definedName name="_aaa1" localSheetId="13">'ADM-COMP'!#REF!</definedName>
    <definedName name="_aaa1" localSheetId="17">'CLI-COMP'!#REF!</definedName>
    <definedName name="_aaa1" localSheetId="18">'EST-COMP'!#REF!</definedName>
    <definedName name="_aaa1" localSheetId="19">'GAS-COMP'!#REF!</definedName>
    <definedName name="_aaa1" localSheetId="21">'HID-COMP'!#REF!</definedName>
    <definedName name="_aaa1" localSheetId="20">'IMPER-COMP'!#REF!</definedName>
    <definedName name="_aaa1" localSheetId="22">'IMPL-COMP'!#REF!</definedName>
    <definedName name="_aaa1" localSheetId="23">'INC-COMP'!#REF!</definedName>
    <definedName name="_aaa1" localSheetId="24">'SCE-COMP'!#REF!</definedName>
    <definedName name="_aaa1" localSheetId="25">'SEG-COMP'!#REF!</definedName>
    <definedName name="_aaa1" localSheetId="26">'SPDA-COMP'!#REF!</definedName>
    <definedName name="_aaa1">#REF!</definedName>
    <definedName name="_aaa2" localSheetId="13">'ADM-COMP'!#REF!</definedName>
    <definedName name="_aaa2" localSheetId="17">'CLI-COMP'!#REF!</definedName>
    <definedName name="_aaa2" localSheetId="18">'EST-COMP'!#REF!</definedName>
    <definedName name="_aaa2" localSheetId="19">'GAS-COMP'!#REF!</definedName>
    <definedName name="_aaa2" localSheetId="21">'HID-COMP'!#REF!</definedName>
    <definedName name="_aaa2" localSheetId="20">'IMPER-COMP'!#REF!</definedName>
    <definedName name="_aaa2" localSheetId="22">'IMPL-COMP'!#REF!</definedName>
    <definedName name="_aaa2" localSheetId="23">'INC-COMP'!#REF!</definedName>
    <definedName name="_aaa2" localSheetId="24">'SCE-COMP'!#REF!</definedName>
    <definedName name="_aaa2" localSheetId="25">'SEG-COMP'!#REF!</definedName>
    <definedName name="_aaa2" localSheetId="26">'SPDA-COMP'!#REF!</definedName>
    <definedName name="_aaa2">#REF!</definedName>
    <definedName name="_Fill" hidden="1">#REF!</definedName>
    <definedName name="_xlnm._FilterDatabase" localSheetId="1" hidden="1">GLOBAL!$A$5:$I$447</definedName>
    <definedName name="_For01" localSheetId="13">'ADM-COMP'!#REF!</definedName>
    <definedName name="_For01" localSheetId="17">'CLI-COMP'!#REF!</definedName>
    <definedName name="_For01" localSheetId="18">'EST-COMP'!#REF!</definedName>
    <definedName name="_For01" localSheetId="19">'GAS-COMP'!#REF!</definedName>
    <definedName name="_For01" localSheetId="21">'HID-COMP'!#REF!</definedName>
    <definedName name="_For01" localSheetId="20">'IMPER-COMP'!#REF!</definedName>
    <definedName name="_For01" localSheetId="22">'IMPL-COMP'!#REF!</definedName>
    <definedName name="_For01" localSheetId="23">'INC-COMP'!#REF!</definedName>
    <definedName name="_For01" localSheetId="24">'SCE-COMP'!#REF!</definedName>
    <definedName name="_For01" localSheetId="25">'SEG-COMP'!#REF!</definedName>
    <definedName name="_For01" localSheetId="26">'SPDA-COMP'!#REF!</definedName>
    <definedName name="_For01">#REF!</definedName>
    <definedName name="_int01" localSheetId="13">'ADM-COMP'!#REF!</definedName>
    <definedName name="_int01" localSheetId="17">'CLI-COMP'!#REF!</definedName>
    <definedName name="_int01" localSheetId="18">'EST-COMP'!#REF!</definedName>
    <definedName name="_int01" localSheetId="19">'GAS-COMP'!#REF!</definedName>
    <definedName name="_int01" localSheetId="21">'HID-COMP'!#REF!</definedName>
    <definedName name="_int01" localSheetId="20">'IMPER-COMP'!#REF!</definedName>
    <definedName name="_int01" localSheetId="22">'IMPL-COMP'!#REF!</definedName>
    <definedName name="_int01" localSheetId="23">'INC-COMP'!#REF!</definedName>
    <definedName name="_int01" localSheetId="24">'SCE-COMP'!#REF!</definedName>
    <definedName name="_int01" localSheetId="25">'SEG-COMP'!#REF!</definedName>
    <definedName name="_int01" localSheetId="26">'SPDA-COMP'!#REF!</definedName>
    <definedName name="_int01">#REF!</definedName>
    <definedName name="_int02" localSheetId="13">'ADM-COMP'!#REF!</definedName>
    <definedName name="_int02" localSheetId="17">'CLI-COMP'!#REF!</definedName>
    <definedName name="_int02" localSheetId="18">'EST-COMP'!#REF!</definedName>
    <definedName name="_int02" localSheetId="19">'GAS-COMP'!#REF!</definedName>
    <definedName name="_int02" localSheetId="21">'HID-COMP'!#REF!</definedName>
    <definedName name="_int02" localSheetId="20">'IMPER-COMP'!#REF!</definedName>
    <definedName name="_int02" localSheetId="22">'IMPL-COMP'!#REF!</definedName>
    <definedName name="_int02" localSheetId="23">'INC-COMP'!#REF!</definedName>
    <definedName name="_int02" localSheetId="24">'SCE-COMP'!#REF!</definedName>
    <definedName name="_int02" localSheetId="25">'SEG-COMP'!#REF!</definedName>
    <definedName name="_int02" localSheetId="26">'SPDA-COMP'!#REF!</definedName>
    <definedName name="_int02">#REF!</definedName>
    <definedName name="_int03" localSheetId="13">'ADM-COMP'!#REF!</definedName>
    <definedName name="_int03" localSheetId="17">'CLI-COMP'!#REF!</definedName>
    <definedName name="_int03" localSheetId="18">'EST-COMP'!#REF!</definedName>
    <definedName name="_int03" localSheetId="19">'GAS-COMP'!#REF!</definedName>
    <definedName name="_int03" localSheetId="21">'HID-COMP'!#REF!</definedName>
    <definedName name="_int03" localSheetId="20">'IMPER-COMP'!#REF!</definedName>
    <definedName name="_int03" localSheetId="22">'IMPL-COMP'!#REF!</definedName>
    <definedName name="_int03" localSheetId="23">'INC-COMP'!#REF!</definedName>
    <definedName name="_int03" localSheetId="24">'SCE-COMP'!#REF!</definedName>
    <definedName name="_int03" localSheetId="25">'SEG-COMP'!#REF!</definedName>
    <definedName name="_int03" localSheetId="26">'SPDA-COMP'!#REF!</definedName>
    <definedName name="_int03">#REF!</definedName>
    <definedName name="_int04" localSheetId="13">'ADM-COMP'!#REF!</definedName>
    <definedName name="_int04" localSheetId="17">'CLI-COMP'!#REF!</definedName>
    <definedName name="_int04" localSheetId="18">'EST-COMP'!#REF!</definedName>
    <definedName name="_int04" localSheetId="19">'GAS-COMP'!#REF!</definedName>
    <definedName name="_int04" localSheetId="21">'HID-COMP'!#REF!</definedName>
    <definedName name="_int04" localSheetId="20">'IMPER-COMP'!#REF!</definedName>
    <definedName name="_int04" localSheetId="22">'IMPL-COMP'!#REF!</definedName>
    <definedName name="_int04" localSheetId="23">'INC-COMP'!#REF!</definedName>
    <definedName name="_int04" localSheetId="24">'SCE-COMP'!#REF!</definedName>
    <definedName name="_int04" localSheetId="25">'SEG-COMP'!#REF!</definedName>
    <definedName name="_int04" localSheetId="26">'SPDA-COMP'!#REF!</definedName>
    <definedName name="_int04">#REF!</definedName>
    <definedName name="_int05" localSheetId="13">'ADM-COMP'!#REF!</definedName>
    <definedName name="_int05" localSheetId="17">'CLI-COMP'!#REF!</definedName>
    <definedName name="_int05" localSheetId="18">'EST-COMP'!#REF!</definedName>
    <definedName name="_int05" localSheetId="19">'GAS-COMP'!#REF!</definedName>
    <definedName name="_int05" localSheetId="21">'HID-COMP'!#REF!</definedName>
    <definedName name="_int05" localSheetId="20">'IMPER-COMP'!#REF!</definedName>
    <definedName name="_int05" localSheetId="22">'IMPL-COMP'!#REF!</definedName>
    <definedName name="_int05" localSheetId="23">'INC-COMP'!#REF!</definedName>
    <definedName name="_int05" localSheetId="24">'SCE-COMP'!#REF!</definedName>
    <definedName name="_int05" localSheetId="25">'SEG-COMP'!#REF!</definedName>
    <definedName name="_int05" localSheetId="26">'SPDA-COMP'!#REF!</definedName>
    <definedName name="_int05">#REF!</definedName>
    <definedName name="_Key1" hidden="1">#REF!</definedName>
    <definedName name="_Key2" hidden="1">#REF!</definedName>
    <definedName name="_lim01" localSheetId="13">'ADM-COMP'!#REF!</definedName>
    <definedName name="_lim01" localSheetId="17">'CLI-COMP'!#REF!</definedName>
    <definedName name="_lim01" localSheetId="18">'EST-COMP'!#REF!</definedName>
    <definedName name="_lim01" localSheetId="19">'GAS-COMP'!#REF!</definedName>
    <definedName name="_lim01" localSheetId="21">'HID-COMP'!#REF!</definedName>
    <definedName name="_lim01" localSheetId="20">'IMPER-COMP'!#REF!</definedName>
    <definedName name="_lim01" localSheetId="22">'IMPL-COMP'!#REF!</definedName>
    <definedName name="_lim01" localSheetId="23">'INC-COMP'!#REF!</definedName>
    <definedName name="_lim01" localSheetId="24">'SCE-COMP'!#REF!</definedName>
    <definedName name="_lim01" localSheetId="25">'SEG-COMP'!#REF!</definedName>
    <definedName name="_lim01" localSheetId="26">'SPDA-COMP'!#REF!</definedName>
    <definedName name="_lim01">#REF!</definedName>
    <definedName name="_Order1" hidden="1">255</definedName>
    <definedName name="_Order2" hidden="1">255</definedName>
    <definedName name="_POS21" localSheetId="13">'ADM-COMP'!#REF!</definedName>
    <definedName name="_POS21" localSheetId="17">'CLI-COMP'!#REF!</definedName>
    <definedName name="_POS21" localSheetId="18">'EST-COMP'!#REF!</definedName>
    <definedName name="_POS21" localSheetId="19">'GAS-COMP'!#REF!</definedName>
    <definedName name="_POS21" localSheetId="21">'HID-COMP'!#REF!</definedName>
    <definedName name="_POS21" localSheetId="20">'IMPER-COMP'!#REF!</definedName>
    <definedName name="_POS21" localSheetId="22">'IMPL-COMP'!#REF!</definedName>
    <definedName name="_POS21" localSheetId="23">'INC-COMP'!#REF!</definedName>
    <definedName name="_POS21" localSheetId="24">'SCE-COMP'!#REF!</definedName>
    <definedName name="_POS21" localSheetId="25">'SEG-COMP'!#REF!</definedName>
    <definedName name="_POS21" localSheetId="26">'SPDA-COMP'!#REF!</definedName>
    <definedName name="_POS21">#REF!</definedName>
    <definedName name="_s" localSheetId="13">'ADM-COMP'!#REF!</definedName>
    <definedName name="_s" localSheetId="17">'CLI-COMP'!#REF!</definedName>
    <definedName name="_s" localSheetId="18">'EST-COMP'!#REF!</definedName>
    <definedName name="_s" localSheetId="19">'GAS-COMP'!#REF!</definedName>
    <definedName name="_s" localSheetId="21">'HID-COMP'!#REF!</definedName>
    <definedName name="_s" localSheetId="20">'IMPER-COMP'!#REF!</definedName>
    <definedName name="_s" localSheetId="22">'IMPL-COMP'!#REF!</definedName>
    <definedName name="_s" localSheetId="23">'INC-COMP'!#REF!</definedName>
    <definedName name="_s" localSheetId="24">'SCE-COMP'!#REF!</definedName>
    <definedName name="_s" localSheetId="25">'SEG-COMP'!#REF!</definedName>
    <definedName name="_s" localSheetId="26">'SPDA-COMP'!#REF!</definedName>
    <definedName name="_s">#REF!</definedName>
    <definedName name="_Sort" hidden="1">#REF!</definedName>
    <definedName name="_z" localSheetId="13">'ADM-COMP'!#REF!</definedName>
    <definedName name="_z" localSheetId="17">'CLI-COMP'!#REF!</definedName>
    <definedName name="_z" localSheetId="18">'EST-COMP'!#REF!</definedName>
    <definedName name="_z" localSheetId="19">'GAS-COMP'!#REF!</definedName>
    <definedName name="_z" localSheetId="21">'HID-COMP'!#REF!</definedName>
    <definedName name="_z" localSheetId="20">'IMPER-COMP'!#REF!</definedName>
    <definedName name="_z" localSheetId="22">'IMPL-COMP'!#REF!</definedName>
    <definedName name="_z" localSheetId="23">'INC-COMP'!#REF!</definedName>
    <definedName name="_z" localSheetId="24">'SCE-COMP'!#REF!</definedName>
    <definedName name="_z" localSheetId="25">'SEG-COMP'!#REF!</definedName>
    <definedName name="_z" localSheetId="26">'SPDA-COMP'!#REF!</definedName>
    <definedName name="_z">#REF!</definedName>
    <definedName name="AA" localSheetId="13">'ADM-COMP'!#REF!</definedName>
    <definedName name="AA" localSheetId="17">'CLI-COMP'!#REF!</definedName>
    <definedName name="AA" localSheetId="18">'EST-COMP'!#REF!</definedName>
    <definedName name="AA" localSheetId="19">'GAS-COMP'!#REF!</definedName>
    <definedName name="AA" localSheetId="21">'HID-COMP'!#REF!</definedName>
    <definedName name="AA" localSheetId="20">'IMPER-COMP'!#REF!</definedName>
    <definedName name="AA" localSheetId="22">'IMPL-COMP'!#REF!</definedName>
    <definedName name="AA" localSheetId="23">'INC-COMP'!#REF!</definedName>
    <definedName name="AA" localSheetId="24">'SCE-COMP'!#REF!</definedName>
    <definedName name="AA" localSheetId="25">'SEG-COMP'!#REF!</definedName>
    <definedName name="AA" localSheetId="26">'SPDA-COMP'!#REF!</definedName>
    <definedName name="AA">#REF!</definedName>
    <definedName name="AAA" localSheetId="13">'ADM-COMP'!#REF!</definedName>
    <definedName name="AAA" localSheetId="17">'CLI-COMP'!#REF!</definedName>
    <definedName name="AAA" localSheetId="18">'EST-COMP'!#REF!</definedName>
    <definedName name="AAA" localSheetId="19">'GAS-COMP'!#REF!</definedName>
    <definedName name="AAA" localSheetId="21">'HID-COMP'!#REF!</definedName>
    <definedName name="AAA" localSheetId="20">'IMPER-COMP'!#REF!</definedName>
    <definedName name="AAA" localSheetId="22">'IMPL-COMP'!#REF!</definedName>
    <definedName name="AAA" localSheetId="23">'INC-COMP'!#REF!</definedName>
    <definedName name="AAA" localSheetId="24">'SCE-COMP'!#REF!</definedName>
    <definedName name="AAA" localSheetId="25">'SEG-COMP'!#REF!</definedName>
    <definedName name="AAA" localSheetId="26">'SPDA-COMP'!#REF!</definedName>
    <definedName name="AAA">#REF!</definedName>
    <definedName name="aaaa" localSheetId="13">'ADM-COMP'!#REF!</definedName>
    <definedName name="aaaa" localSheetId="17">'CLI-COMP'!#REF!</definedName>
    <definedName name="aaaa" localSheetId="18">'EST-COMP'!#REF!</definedName>
    <definedName name="aaaa" localSheetId="19">'GAS-COMP'!#REF!</definedName>
    <definedName name="aaaa" localSheetId="21">'HID-COMP'!#REF!</definedName>
    <definedName name="aaaa" localSheetId="20">'IMPER-COMP'!#REF!</definedName>
    <definedName name="aaaa" localSheetId="22">'IMPL-COMP'!#REF!</definedName>
    <definedName name="aaaa" localSheetId="23">'INC-COMP'!#REF!</definedName>
    <definedName name="aaaa" localSheetId="24">'SCE-COMP'!#REF!</definedName>
    <definedName name="aaaa" localSheetId="25">'SEG-COMP'!#REF!</definedName>
    <definedName name="aaaa" localSheetId="26">'SPDA-COMP'!#REF!</definedName>
    <definedName name="aaaa">#REF!</definedName>
    <definedName name="ACRE" hidden="1">#REF!</definedName>
    <definedName name="ademir" hidden="1">{#N/A,#N/A,FALSE,"Cronograma";#N/A,#N/A,FALSE,"Cronogr. 2"}</definedName>
    <definedName name="ancora2" localSheetId="13">'ADM-COMP'!#REF!</definedName>
    <definedName name="ancora2" localSheetId="17">'CLI-COMP'!#REF!</definedName>
    <definedName name="ancora2" localSheetId="18">'EST-COMP'!#REF!</definedName>
    <definedName name="ancora2" localSheetId="19">'GAS-COMP'!#REF!</definedName>
    <definedName name="ancora2" localSheetId="21">'HID-COMP'!#REF!</definedName>
    <definedName name="ancora2" localSheetId="20">'IMPER-COMP'!#REF!</definedName>
    <definedName name="ancora2" localSheetId="22">'IMPL-COMP'!#REF!</definedName>
    <definedName name="ancora2" localSheetId="23">'INC-COMP'!#REF!</definedName>
    <definedName name="ancora2" localSheetId="24">'SCE-COMP'!#REF!</definedName>
    <definedName name="ancora2" localSheetId="25">'SEG-COMP'!#REF!</definedName>
    <definedName name="ancora2" localSheetId="26">'SPDA-COMP'!#REF!</definedName>
    <definedName name="ancora2">#REF!</definedName>
    <definedName name="_xlnm.Extract" localSheetId="13">[3]Anexos!#REF!</definedName>
    <definedName name="_xlnm.Extract" localSheetId="17">[3]Anexos!#REF!</definedName>
    <definedName name="_xlnm.Extract" localSheetId="18">[3]Anexos!#REF!</definedName>
    <definedName name="_xlnm.Extract" localSheetId="19">[3]Anexos!#REF!</definedName>
    <definedName name="_xlnm.Extract" localSheetId="21">[3]Anexos!#REF!</definedName>
    <definedName name="_xlnm.Extract" localSheetId="20">[3]Anexos!#REF!</definedName>
    <definedName name="_xlnm.Extract" localSheetId="22">[3]Anexos!#REF!</definedName>
    <definedName name="_xlnm.Extract" localSheetId="23">[3]Anexos!#REF!</definedName>
    <definedName name="_xlnm.Extract" localSheetId="24">[3]Anexos!#REF!</definedName>
    <definedName name="_xlnm.Extract" localSheetId="25">[3]Anexos!#REF!</definedName>
    <definedName name="_xlnm.Extract" localSheetId="26">[3]Anexos!#REF!</definedName>
    <definedName name="_xlnm.Extract">[3]Anexos!#REF!</definedName>
    <definedName name="_xlnm.Print_Area" localSheetId="13">'ADM-COMP'!$A$1:$J$29</definedName>
    <definedName name="_xlnm.Print_Area" localSheetId="12">'ARQ-COMP'!$A$1:$J$72</definedName>
    <definedName name="_xlnm.Print_Area" localSheetId="8">'CINTAS E VIGAS-ANEXOII'!$B$1:$V$62</definedName>
    <definedName name="_xlnm.Print_Area" localSheetId="17">'CLI-COMP'!$A:$J</definedName>
    <definedName name="_xlnm.Print_Area" localSheetId="3">CRONOGRAMA!$A$1:$V$49</definedName>
    <definedName name="_xlnm.Print_Area" localSheetId="14">'CURVA ABC'!$A$1:$H$107</definedName>
    <definedName name="_xlnm.Print_Area" localSheetId="18">'EST-COMP'!$A:$J</definedName>
    <definedName name="_xlnm.Print_Area" localSheetId="1">GLOBAL!$A$1:$I$447</definedName>
    <definedName name="_xlnm.Print_Area" localSheetId="22">'IMPL-COMP'!$A:$J</definedName>
    <definedName name="_xlnm.Print_Area" localSheetId="15">'LS-COMP'!$A$1:$C$54</definedName>
    <definedName name="_xlnm.Print_Area" localSheetId="2">'MEM-LEVANT'!$A$1:$I$2613</definedName>
    <definedName name="_xlnm.Print_Area" localSheetId="9">'PILARES E PILARETES-ANEXOIII'!$C$1:$R$84</definedName>
    <definedName name="_xlnm.Print_Area" localSheetId="28">'QUADRO RESUMO'!$A$1:$C$10</definedName>
    <definedName name="_xlnm.Print_Area" localSheetId="0">RESUMO!$B$1:$E$25</definedName>
    <definedName name="_xlnm.Print_Area" localSheetId="7">'SAPATAS-ANEXOI'!$B$1:$T$75</definedName>
    <definedName name="_xlnm.Print_Area" localSheetId="25">'SEG-COMP'!$A:$J</definedName>
    <definedName name="_xlnm.Print_Area" localSheetId="26">'SPDA-COMP'!$A:$J</definedName>
    <definedName name="Área_de_impressão1" localSheetId="13">'ADM-COMP'!#REF!</definedName>
    <definedName name="Área_de_impressão1" localSheetId="17">'CLI-COMP'!#REF!</definedName>
    <definedName name="Área_de_impressão1" localSheetId="18">'EST-COMP'!#REF!</definedName>
    <definedName name="Área_de_impressão1" localSheetId="19">'GAS-COMP'!#REF!</definedName>
    <definedName name="Área_de_impressão1" localSheetId="21">'HID-COMP'!#REF!</definedName>
    <definedName name="Área_de_impressão1" localSheetId="20">'IMPER-COMP'!#REF!</definedName>
    <definedName name="Área_de_impressão1" localSheetId="22">'IMPL-COMP'!#REF!</definedName>
    <definedName name="Área_de_impressão1" localSheetId="23">'INC-COMP'!#REF!</definedName>
    <definedName name="Área_de_impressão1" localSheetId="24">'SCE-COMP'!#REF!</definedName>
    <definedName name="Área_de_impressão1" localSheetId="25">'SEG-COMP'!#REF!</definedName>
    <definedName name="Área_de_impressão1" localSheetId="26">'SPDA-COMP'!#REF!</definedName>
    <definedName name="Área_de_impressão1">#REF!</definedName>
    <definedName name="Área_de_impressão2" localSheetId="13">'ADM-COMP'!#REF!</definedName>
    <definedName name="Área_de_impressão2" localSheetId="17">'CLI-COMP'!#REF!</definedName>
    <definedName name="Área_de_impressão2" localSheetId="18">'EST-COMP'!#REF!</definedName>
    <definedName name="Área_de_impressão2" localSheetId="19">'GAS-COMP'!#REF!</definedName>
    <definedName name="Área_de_impressão2" localSheetId="21">'HID-COMP'!#REF!</definedName>
    <definedName name="Área_de_impressão2" localSheetId="20">'IMPER-COMP'!#REF!</definedName>
    <definedName name="Área_de_impressão2" localSheetId="22">'IMPL-COMP'!#REF!</definedName>
    <definedName name="Área_de_impressão2" localSheetId="23">'INC-COMP'!#REF!</definedName>
    <definedName name="Área_de_impressão2" localSheetId="24">'SCE-COMP'!#REF!</definedName>
    <definedName name="Área_de_impressão2" localSheetId="25">'SEG-COMP'!#REF!</definedName>
    <definedName name="Área_de_impressão2" localSheetId="26">'SPDA-COMP'!#REF!</definedName>
    <definedName name="Área_de_impressão2">#REF!</definedName>
    <definedName name="ASD" localSheetId="13">'ADM-COMP'!#REF!</definedName>
    <definedName name="ASD" localSheetId="17">'CLI-COMP'!#REF!</definedName>
    <definedName name="ASD" localSheetId="18">'EST-COMP'!#REF!</definedName>
    <definedName name="ASD" localSheetId="19">'GAS-COMP'!#REF!</definedName>
    <definedName name="ASD" localSheetId="21">'HID-COMP'!#REF!</definedName>
    <definedName name="ASD" localSheetId="20">'IMPER-COMP'!#REF!</definedName>
    <definedName name="ASD" localSheetId="22">'IMPL-COMP'!#REF!</definedName>
    <definedName name="ASD" localSheetId="23">'INC-COMP'!#REF!</definedName>
    <definedName name="ASD" localSheetId="24">'SCE-COMP'!#REF!</definedName>
    <definedName name="ASD" localSheetId="25">'SEG-COMP'!#REF!</definedName>
    <definedName name="ASD" localSheetId="26">'SPDA-COMP'!#REF!</definedName>
    <definedName name="ASD">#REF!</definedName>
    <definedName name="asSDas" localSheetId="13">'ADM-COMP'!#REF!</definedName>
    <definedName name="asSDas" localSheetId="17">'CLI-COMP'!#REF!</definedName>
    <definedName name="asSDas" localSheetId="18">'EST-COMP'!#REF!</definedName>
    <definedName name="asSDas" localSheetId="19">'GAS-COMP'!#REF!</definedName>
    <definedName name="asSDas" localSheetId="21">'HID-COMP'!#REF!</definedName>
    <definedName name="asSDas" localSheetId="20">'IMPER-COMP'!#REF!</definedName>
    <definedName name="asSDas" localSheetId="22">'IMPL-COMP'!#REF!</definedName>
    <definedName name="asSDas" localSheetId="23">'INC-COMP'!#REF!</definedName>
    <definedName name="asSDas" localSheetId="24">'SCE-COMP'!#REF!</definedName>
    <definedName name="asSDas" localSheetId="25">'SEG-COMP'!#REF!</definedName>
    <definedName name="asSDas" localSheetId="26">'SPDA-COMP'!#REF!</definedName>
    <definedName name="asSDas">#REF!</definedName>
    <definedName name="ATUAL" localSheetId="13">'ADM-COMP'!#REF!</definedName>
    <definedName name="ATUAL" localSheetId="17">'CLI-COMP'!#REF!</definedName>
    <definedName name="ATUAL" localSheetId="18">'EST-COMP'!#REF!</definedName>
    <definedName name="ATUAL" localSheetId="19">'GAS-COMP'!#REF!</definedName>
    <definedName name="ATUAL" localSheetId="21">'HID-COMP'!#REF!</definedName>
    <definedName name="ATUAL" localSheetId="20">'IMPER-COMP'!#REF!</definedName>
    <definedName name="ATUAL" localSheetId="22">'IMPL-COMP'!#REF!</definedName>
    <definedName name="ATUAL" localSheetId="23">'INC-COMP'!#REF!</definedName>
    <definedName name="ATUAL" localSheetId="24">'SCE-COMP'!#REF!</definedName>
    <definedName name="ATUAL" localSheetId="25">'SEG-COMP'!#REF!</definedName>
    <definedName name="ATUAL" localSheetId="26">'SPDA-COMP'!#REF!</definedName>
    <definedName name="ATUAL">#REF!</definedName>
    <definedName name="_xlnm.Database" localSheetId="13">'ADM-COMP'!#REF!</definedName>
    <definedName name="_xlnm.Database" localSheetId="17">'CLI-COMP'!#REF!</definedName>
    <definedName name="_xlnm.Database" localSheetId="18">'EST-COMP'!#REF!</definedName>
    <definedName name="_xlnm.Database" localSheetId="19">'GAS-COMP'!#REF!</definedName>
    <definedName name="_xlnm.Database" localSheetId="21">'HID-COMP'!#REF!</definedName>
    <definedName name="_xlnm.Database" localSheetId="20">'IMPER-COMP'!#REF!</definedName>
    <definedName name="_xlnm.Database" localSheetId="22">'IMPL-COMP'!#REF!</definedName>
    <definedName name="_xlnm.Database" localSheetId="23">'INC-COMP'!#REF!</definedName>
    <definedName name="_xlnm.Database" localSheetId="24">'SCE-COMP'!#REF!</definedName>
    <definedName name="_xlnm.Database" localSheetId="25">'SEG-COMP'!#REF!</definedName>
    <definedName name="_xlnm.Database" localSheetId="26">'SPDA-COMP'!#REF!</definedName>
    <definedName name="_xlnm.Database">#REF!</definedName>
    <definedName name="BDI" localSheetId="13">'ADM-COMP'!#REF!</definedName>
    <definedName name="BDI" localSheetId="17">'CLI-COMP'!#REF!</definedName>
    <definedName name="BDI" localSheetId="18">'EST-COMP'!#REF!</definedName>
    <definedName name="BDI" localSheetId="19">'GAS-COMP'!#REF!</definedName>
    <definedName name="BDI" localSheetId="21">'HID-COMP'!#REF!</definedName>
    <definedName name="BDI" localSheetId="20">'IMPER-COMP'!#REF!</definedName>
    <definedName name="BDI" localSheetId="22">'IMPL-COMP'!#REF!</definedName>
    <definedName name="BDI" localSheetId="23">'INC-COMP'!#REF!</definedName>
    <definedName name="BDI" localSheetId="24">'SCE-COMP'!#REF!</definedName>
    <definedName name="BDI" localSheetId="25">'SEG-COMP'!#REF!</definedName>
    <definedName name="BDI" localSheetId="26">'SPDA-COMP'!#REF!</definedName>
    <definedName name="BDI">#REF!</definedName>
    <definedName name="bitmin" localSheetId="13">'ADM-COMP'!#REF!</definedName>
    <definedName name="bitmin" localSheetId="17">'CLI-COMP'!#REF!</definedName>
    <definedName name="bitmin" localSheetId="18">'EST-COMP'!#REF!</definedName>
    <definedName name="bitmin" localSheetId="19">'GAS-COMP'!#REF!</definedName>
    <definedName name="bitmin" localSheetId="21">'HID-COMP'!#REF!</definedName>
    <definedName name="bitmin" localSheetId="20">'IMPER-COMP'!#REF!</definedName>
    <definedName name="bitmin" localSheetId="22">'IMPL-COMP'!#REF!</definedName>
    <definedName name="bitmin" localSheetId="23">'INC-COMP'!#REF!</definedName>
    <definedName name="bitmin" localSheetId="24">'SCE-COMP'!#REF!</definedName>
    <definedName name="bitmin" localSheetId="25">'SEG-COMP'!#REF!</definedName>
    <definedName name="bitmin" localSheetId="26">'SPDA-COMP'!#REF!</definedName>
    <definedName name="bitmin">#REF!</definedName>
    <definedName name="BLO" localSheetId="13">'ADM-COMP'!#REF!</definedName>
    <definedName name="BLO" localSheetId="17">'CLI-COMP'!#REF!</definedName>
    <definedName name="BLO" localSheetId="18">'EST-COMP'!#REF!</definedName>
    <definedName name="BLO" localSheetId="19">'GAS-COMP'!#REF!</definedName>
    <definedName name="BLO" localSheetId="21">'HID-COMP'!#REF!</definedName>
    <definedName name="BLO" localSheetId="20">'IMPER-COMP'!#REF!</definedName>
    <definedName name="BLO" localSheetId="22">'IMPL-COMP'!#REF!</definedName>
    <definedName name="BLO" localSheetId="23">'INC-COMP'!#REF!</definedName>
    <definedName name="BLO" localSheetId="24">'SCE-COMP'!#REF!</definedName>
    <definedName name="BLO" localSheetId="25">'SEG-COMP'!#REF!</definedName>
    <definedName name="BLO" localSheetId="26">'SPDA-COMP'!#REF!</definedName>
    <definedName name="BLO">#REF!</definedName>
    <definedName name="BLOCO_B" localSheetId="13">'[4]CAPA -1'!#REF!</definedName>
    <definedName name="BLOCO_B" localSheetId="17">'[4]CAPA -1'!#REF!</definedName>
    <definedName name="BLOCO_B" localSheetId="18">'[4]CAPA -1'!#REF!</definedName>
    <definedName name="BLOCO_B" localSheetId="19">'[4]CAPA -1'!#REF!</definedName>
    <definedName name="BLOCO_B" localSheetId="21">'[4]CAPA -1'!#REF!</definedName>
    <definedName name="BLOCO_B" localSheetId="20">'[4]CAPA -1'!#REF!</definedName>
    <definedName name="BLOCO_B" localSheetId="22">'[4]CAPA -1'!#REF!</definedName>
    <definedName name="BLOCO_B" localSheetId="23">'[4]CAPA -1'!#REF!</definedName>
    <definedName name="BLOCO_B" localSheetId="15">'[4]CAPA -1'!#REF!</definedName>
    <definedName name="BLOCO_B" localSheetId="24">'[4]CAPA -1'!#REF!</definedName>
    <definedName name="BLOCO_B" localSheetId="25">'[4]CAPA -1'!#REF!</definedName>
    <definedName name="BLOCO_B" localSheetId="26">'[4]CAPA -1'!#REF!</definedName>
    <definedName name="BLOCO_B">'[4]CAPA -1'!#REF!</definedName>
    <definedName name="BLOCO_BB" localSheetId="13">'ADM-COMP'!#REF!</definedName>
    <definedName name="BLOCO_BB" localSheetId="17">'CLI-COMP'!#REF!</definedName>
    <definedName name="BLOCO_BB" localSheetId="18">'EST-COMP'!#REF!</definedName>
    <definedName name="BLOCO_BB" localSheetId="19">'GAS-COMP'!#REF!</definedName>
    <definedName name="BLOCO_BB" localSheetId="21">'HID-COMP'!#REF!</definedName>
    <definedName name="BLOCO_BB" localSheetId="20">'IMPER-COMP'!#REF!</definedName>
    <definedName name="BLOCO_BB" localSheetId="22">'IMPL-COMP'!#REF!</definedName>
    <definedName name="BLOCO_BB" localSheetId="23">'INC-COMP'!#REF!</definedName>
    <definedName name="BLOCO_BB" localSheetId="24">'SCE-COMP'!#REF!</definedName>
    <definedName name="BLOCO_BB" localSheetId="25">'SEG-COMP'!#REF!</definedName>
    <definedName name="BLOCO_BB" localSheetId="26">'SPDA-COMP'!#REF!</definedName>
    <definedName name="BLOCO_BB">#REF!</definedName>
    <definedName name="BLOCO_BBB" localSheetId="13">'ADM-COMP'!#REF!</definedName>
    <definedName name="BLOCO_BBB" localSheetId="17">'CLI-COMP'!#REF!</definedName>
    <definedName name="BLOCO_BBB" localSheetId="18">'EST-COMP'!#REF!</definedName>
    <definedName name="BLOCO_BBB" localSheetId="19">'GAS-COMP'!#REF!</definedName>
    <definedName name="BLOCO_BBB" localSheetId="21">'HID-COMP'!#REF!</definedName>
    <definedName name="BLOCO_BBB" localSheetId="20">'IMPER-COMP'!#REF!</definedName>
    <definedName name="BLOCO_BBB" localSheetId="22">'IMPL-COMP'!#REF!</definedName>
    <definedName name="BLOCO_BBB" localSheetId="23">'INC-COMP'!#REF!</definedName>
    <definedName name="BLOCO_BBB" localSheetId="24">'SCE-COMP'!#REF!</definedName>
    <definedName name="BLOCO_BBB" localSheetId="25">'SEG-COMP'!#REF!</definedName>
    <definedName name="BLOCO_BBB" localSheetId="26">'SPDA-COMP'!#REF!</definedName>
    <definedName name="BLOCO_BBB">#REF!</definedName>
    <definedName name="BLOCO_C" localSheetId="13">'ADM-COMP'!#REF!</definedName>
    <definedName name="BLOCO_C" localSheetId="17">'CLI-COMP'!#REF!</definedName>
    <definedName name="BLOCO_C" localSheetId="18">'EST-COMP'!#REF!</definedName>
    <definedName name="BLOCO_C" localSheetId="19">'GAS-COMP'!#REF!</definedName>
    <definedName name="BLOCO_C" localSheetId="21">'HID-COMP'!#REF!</definedName>
    <definedName name="BLOCO_C" localSheetId="20">'IMPER-COMP'!#REF!</definedName>
    <definedName name="BLOCO_C" localSheetId="22">'IMPL-COMP'!#REF!</definedName>
    <definedName name="BLOCO_C" localSheetId="23">'INC-COMP'!#REF!</definedName>
    <definedName name="BLOCO_C" localSheetId="24">'SCE-COMP'!#REF!</definedName>
    <definedName name="BLOCO_C" localSheetId="25">'SEG-COMP'!#REF!</definedName>
    <definedName name="BLOCO_C" localSheetId="26">'SPDA-COMP'!#REF!</definedName>
    <definedName name="BLOCO_C">#REF!</definedName>
    <definedName name="BLOCO_CC" localSheetId="13">'ADM-COMP'!#REF!</definedName>
    <definedName name="BLOCO_CC" localSheetId="17">'CLI-COMP'!#REF!</definedName>
    <definedName name="BLOCO_CC" localSheetId="18">'EST-COMP'!#REF!</definedName>
    <definedName name="BLOCO_CC" localSheetId="19">'GAS-COMP'!#REF!</definedName>
    <definedName name="BLOCO_CC" localSheetId="21">'HID-COMP'!#REF!</definedName>
    <definedName name="BLOCO_CC" localSheetId="20">'IMPER-COMP'!#REF!</definedName>
    <definedName name="BLOCO_CC" localSheetId="22">'IMPL-COMP'!#REF!</definedName>
    <definedName name="BLOCO_CC" localSheetId="23">'INC-COMP'!#REF!</definedName>
    <definedName name="BLOCO_CC" localSheetId="24">'SCE-COMP'!#REF!</definedName>
    <definedName name="BLOCO_CC" localSheetId="25">'SEG-COMP'!#REF!</definedName>
    <definedName name="BLOCO_CC" localSheetId="26">'SPDA-COMP'!#REF!</definedName>
    <definedName name="BLOCO_CC">#REF!</definedName>
    <definedName name="BLOCO_CCC" localSheetId="13">'ADM-COMP'!#REF!</definedName>
    <definedName name="BLOCO_CCC" localSheetId="17">'CLI-COMP'!#REF!</definedName>
    <definedName name="BLOCO_CCC" localSheetId="18">'EST-COMP'!#REF!</definedName>
    <definedName name="BLOCO_CCC" localSheetId="19">'GAS-COMP'!#REF!</definedName>
    <definedName name="BLOCO_CCC" localSheetId="21">'HID-COMP'!#REF!</definedName>
    <definedName name="BLOCO_CCC" localSheetId="20">'IMPER-COMP'!#REF!</definedName>
    <definedName name="BLOCO_CCC" localSheetId="22">'IMPL-COMP'!#REF!</definedName>
    <definedName name="BLOCO_CCC" localSheetId="23">'INC-COMP'!#REF!</definedName>
    <definedName name="BLOCO_CCC" localSheetId="24">'SCE-COMP'!#REF!</definedName>
    <definedName name="BLOCO_CCC" localSheetId="25">'SEG-COMP'!#REF!</definedName>
    <definedName name="BLOCO_CCC" localSheetId="26">'SPDA-COMP'!#REF!</definedName>
    <definedName name="BLOCO_CCC">#REF!</definedName>
    <definedName name="BLOCO_CCCC" localSheetId="13">'ADM-COMP'!#REF!</definedName>
    <definedName name="BLOCO_CCCC" localSheetId="17">'CLI-COMP'!#REF!</definedName>
    <definedName name="BLOCO_CCCC" localSheetId="18">'EST-COMP'!#REF!</definedName>
    <definedName name="BLOCO_CCCC" localSheetId="19">'GAS-COMP'!#REF!</definedName>
    <definedName name="BLOCO_CCCC" localSheetId="21">'HID-COMP'!#REF!</definedName>
    <definedName name="BLOCO_CCCC" localSheetId="20">'IMPER-COMP'!#REF!</definedName>
    <definedName name="BLOCO_CCCC" localSheetId="22">'IMPL-COMP'!#REF!</definedName>
    <definedName name="BLOCO_CCCC" localSheetId="23">'INC-COMP'!#REF!</definedName>
    <definedName name="BLOCO_CCCC" localSheetId="24">'SCE-COMP'!#REF!</definedName>
    <definedName name="BLOCO_CCCC" localSheetId="25">'SEG-COMP'!#REF!</definedName>
    <definedName name="BLOCO_CCCC" localSheetId="26">'SPDA-COMP'!#REF!</definedName>
    <definedName name="BLOCO_CCCC">#REF!</definedName>
    <definedName name="bosta" hidden="1">{#N/A,#N/A,FALSE,"Cronograma";#N/A,#N/A,FALSE,"Cronogr. 2"}</definedName>
    <definedName name="BuiltIn_AutoFilter___7" localSheetId="13">'ADM-COMP'!#REF!</definedName>
    <definedName name="BuiltIn_AutoFilter___7" localSheetId="17">'CLI-COMP'!#REF!</definedName>
    <definedName name="BuiltIn_AutoFilter___7" localSheetId="18">'EST-COMP'!#REF!</definedName>
    <definedName name="BuiltIn_AutoFilter___7" localSheetId="19">'GAS-COMP'!#REF!</definedName>
    <definedName name="BuiltIn_AutoFilter___7" localSheetId="21">'HID-COMP'!#REF!</definedName>
    <definedName name="BuiltIn_AutoFilter___7" localSheetId="20">'IMPER-COMP'!#REF!</definedName>
    <definedName name="BuiltIn_AutoFilter___7" localSheetId="22">'IMPL-COMP'!#REF!</definedName>
    <definedName name="BuiltIn_AutoFilter___7" localSheetId="23">'INC-COMP'!#REF!</definedName>
    <definedName name="BuiltIn_AutoFilter___7" localSheetId="24">'SCE-COMP'!#REF!</definedName>
    <definedName name="BuiltIn_AutoFilter___7" localSheetId="25">'SEG-COMP'!#REF!</definedName>
    <definedName name="BuiltIn_AutoFilter___7" localSheetId="26">'SPDA-COMP'!#REF!</definedName>
    <definedName name="BuiltIn_AutoFilter___7">#REF!</definedName>
    <definedName name="BuiltIn_AutoFilter___7_1" localSheetId="13">'ADM-COMP'!#REF!</definedName>
    <definedName name="BuiltIn_AutoFilter___7_1" localSheetId="17">'CLI-COMP'!#REF!</definedName>
    <definedName name="BuiltIn_AutoFilter___7_1" localSheetId="18">'EST-COMP'!#REF!</definedName>
    <definedName name="BuiltIn_AutoFilter___7_1" localSheetId="19">'GAS-COMP'!#REF!</definedName>
    <definedName name="BuiltIn_AutoFilter___7_1" localSheetId="21">'HID-COMP'!#REF!</definedName>
    <definedName name="BuiltIn_AutoFilter___7_1" localSheetId="20">'IMPER-COMP'!#REF!</definedName>
    <definedName name="BuiltIn_AutoFilter___7_1" localSheetId="22">'IMPL-COMP'!#REF!</definedName>
    <definedName name="BuiltIn_AutoFilter___7_1" localSheetId="23">'INC-COMP'!#REF!</definedName>
    <definedName name="BuiltIn_AutoFilter___7_1" localSheetId="24">'SCE-COMP'!#REF!</definedName>
    <definedName name="BuiltIn_AutoFilter___7_1" localSheetId="25">'SEG-COMP'!#REF!</definedName>
    <definedName name="BuiltIn_AutoFilter___7_1" localSheetId="26">'SPDA-COMP'!#REF!</definedName>
    <definedName name="BuiltIn_AutoFilter___7_1">#REF!</definedName>
    <definedName name="BuiltIn_AutoFilter___7_10" localSheetId="13">'ADM-COMP'!#REF!</definedName>
    <definedName name="BuiltIn_AutoFilter___7_10" localSheetId="17">'CLI-COMP'!#REF!</definedName>
    <definedName name="BuiltIn_AutoFilter___7_10" localSheetId="18">'EST-COMP'!#REF!</definedName>
    <definedName name="BuiltIn_AutoFilter___7_10" localSheetId="19">'GAS-COMP'!#REF!</definedName>
    <definedName name="BuiltIn_AutoFilter___7_10" localSheetId="21">'HID-COMP'!#REF!</definedName>
    <definedName name="BuiltIn_AutoFilter___7_10" localSheetId="20">'IMPER-COMP'!#REF!</definedName>
    <definedName name="BuiltIn_AutoFilter___7_10" localSheetId="22">'IMPL-COMP'!#REF!</definedName>
    <definedName name="BuiltIn_AutoFilter___7_10" localSheetId="23">'INC-COMP'!#REF!</definedName>
    <definedName name="BuiltIn_AutoFilter___7_10" localSheetId="24">'SCE-COMP'!#REF!</definedName>
    <definedName name="BuiltIn_AutoFilter___7_10" localSheetId="25">'SEG-COMP'!#REF!</definedName>
    <definedName name="BuiltIn_AutoFilter___7_10" localSheetId="26">'SPDA-COMP'!#REF!</definedName>
    <definedName name="BuiltIn_AutoFilter___7_10">#REF!</definedName>
    <definedName name="BuiltIn_AutoFilter___7_11" localSheetId="13">'ADM-COMP'!#REF!</definedName>
    <definedName name="BuiltIn_AutoFilter___7_11" localSheetId="17">'CLI-COMP'!#REF!</definedName>
    <definedName name="BuiltIn_AutoFilter___7_11" localSheetId="18">'EST-COMP'!#REF!</definedName>
    <definedName name="BuiltIn_AutoFilter___7_11" localSheetId="19">'GAS-COMP'!#REF!</definedName>
    <definedName name="BuiltIn_AutoFilter___7_11" localSheetId="21">'HID-COMP'!#REF!</definedName>
    <definedName name="BuiltIn_AutoFilter___7_11" localSheetId="20">'IMPER-COMP'!#REF!</definedName>
    <definedName name="BuiltIn_AutoFilter___7_11" localSheetId="22">'IMPL-COMP'!#REF!</definedName>
    <definedName name="BuiltIn_AutoFilter___7_11" localSheetId="23">'INC-COMP'!#REF!</definedName>
    <definedName name="BuiltIn_AutoFilter___7_11" localSheetId="24">'SCE-COMP'!#REF!</definedName>
    <definedName name="BuiltIn_AutoFilter___7_11" localSheetId="25">'SEG-COMP'!#REF!</definedName>
    <definedName name="BuiltIn_AutoFilter___7_11" localSheetId="26">'SPDA-COMP'!#REF!</definedName>
    <definedName name="BuiltIn_AutoFilter___7_11">#REF!</definedName>
    <definedName name="BuiltIn_AutoFilter___7_12" localSheetId="13">'ADM-COMP'!#REF!</definedName>
    <definedName name="BuiltIn_AutoFilter___7_12" localSheetId="17">'CLI-COMP'!#REF!</definedName>
    <definedName name="BuiltIn_AutoFilter___7_12" localSheetId="18">'EST-COMP'!#REF!</definedName>
    <definedName name="BuiltIn_AutoFilter___7_12" localSheetId="19">'GAS-COMP'!#REF!</definedName>
    <definedName name="BuiltIn_AutoFilter___7_12" localSheetId="21">'HID-COMP'!#REF!</definedName>
    <definedName name="BuiltIn_AutoFilter___7_12" localSheetId="20">'IMPER-COMP'!#REF!</definedName>
    <definedName name="BuiltIn_AutoFilter___7_12" localSheetId="22">'IMPL-COMP'!#REF!</definedName>
    <definedName name="BuiltIn_AutoFilter___7_12" localSheetId="23">'INC-COMP'!#REF!</definedName>
    <definedName name="BuiltIn_AutoFilter___7_12" localSheetId="24">'SCE-COMP'!#REF!</definedName>
    <definedName name="BuiltIn_AutoFilter___7_12" localSheetId="25">'SEG-COMP'!#REF!</definedName>
    <definedName name="BuiltIn_AutoFilter___7_12" localSheetId="26">'SPDA-COMP'!#REF!</definedName>
    <definedName name="BuiltIn_AutoFilter___7_12">#REF!</definedName>
    <definedName name="BuiltIn_AutoFilter___7_2" localSheetId="13">'ADM-COMP'!#REF!</definedName>
    <definedName name="BuiltIn_AutoFilter___7_2" localSheetId="17">'CLI-COMP'!#REF!</definedName>
    <definedName name="BuiltIn_AutoFilter___7_2" localSheetId="18">'EST-COMP'!#REF!</definedName>
    <definedName name="BuiltIn_AutoFilter___7_2" localSheetId="19">'GAS-COMP'!#REF!</definedName>
    <definedName name="BuiltIn_AutoFilter___7_2" localSheetId="21">'HID-COMP'!#REF!</definedName>
    <definedName name="BuiltIn_AutoFilter___7_2" localSheetId="20">'IMPER-COMP'!#REF!</definedName>
    <definedName name="BuiltIn_AutoFilter___7_2" localSheetId="22">'IMPL-COMP'!#REF!</definedName>
    <definedName name="BuiltIn_AutoFilter___7_2" localSheetId="23">'INC-COMP'!#REF!</definedName>
    <definedName name="BuiltIn_AutoFilter___7_2" localSheetId="24">'SCE-COMP'!#REF!</definedName>
    <definedName name="BuiltIn_AutoFilter___7_2" localSheetId="25">'SEG-COMP'!#REF!</definedName>
    <definedName name="BuiltIn_AutoFilter___7_2" localSheetId="26">'SPDA-COMP'!#REF!</definedName>
    <definedName name="BuiltIn_AutoFilter___7_2">#REF!</definedName>
    <definedName name="BuiltIn_AutoFilter___7_3" localSheetId="13">'ADM-COMP'!#REF!</definedName>
    <definedName name="BuiltIn_AutoFilter___7_3" localSheetId="17">'CLI-COMP'!#REF!</definedName>
    <definedName name="BuiltIn_AutoFilter___7_3" localSheetId="18">'EST-COMP'!#REF!</definedName>
    <definedName name="BuiltIn_AutoFilter___7_3" localSheetId="19">'GAS-COMP'!#REF!</definedName>
    <definedName name="BuiltIn_AutoFilter___7_3" localSheetId="21">'HID-COMP'!#REF!</definedName>
    <definedName name="BuiltIn_AutoFilter___7_3" localSheetId="20">'IMPER-COMP'!#REF!</definedName>
    <definedName name="BuiltIn_AutoFilter___7_3" localSheetId="22">'IMPL-COMP'!#REF!</definedName>
    <definedName name="BuiltIn_AutoFilter___7_3" localSheetId="23">'INC-COMP'!#REF!</definedName>
    <definedName name="BuiltIn_AutoFilter___7_3" localSheetId="24">'SCE-COMP'!#REF!</definedName>
    <definedName name="BuiltIn_AutoFilter___7_3" localSheetId="25">'SEG-COMP'!#REF!</definedName>
    <definedName name="BuiltIn_AutoFilter___7_3" localSheetId="26">'SPDA-COMP'!#REF!</definedName>
    <definedName name="BuiltIn_AutoFilter___7_3">#REF!</definedName>
    <definedName name="BuiltIn_AutoFilter___7_4" localSheetId="13">'ADM-COMP'!#REF!</definedName>
    <definedName name="BuiltIn_AutoFilter___7_4" localSheetId="17">'CLI-COMP'!#REF!</definedName>
    <definedName name="BuiltIn_AutoFilter___7_4" localSheetId="18">'EST-COMP'!#REF!</definedName>
    <definedName name="BuiltIn_AutoFilter___7_4" localSheetId="19">'GAS-COMP'!#REF!</definedName>
    <definedName name="BuiltIn_AutoFilter___7_4" localSheetId="21">'HID-COMP'!#REF!</definedName>
    <definedName name="BuiltIn_AutoFilter___7_4" localSheetId="20">'IMPER-COMP'!#REF!</definedName>
    <definedName name="BuiltIn_AutoFilter___7_4" localSheetId="22">'IMPL-COMP'!#REF!</definedName>
    <definedName name="BuiltIn_AutoFilter___7_4" localSheetId="23">'INC-COMP'!#REF!</definedName>
    <definedName name="BuiltIn_AutoFilter___7_4" localSheetId="24">'SCE-COMP'!#REF!</definedName>
    <definedName name="BuiltIn_AutoFilter___7_4" localSheetId="25">'SEG-COMP'!#REF!</definedName>
    <definedName name="BuiltIn_AutoFilter___7_4" localSheetId="26">'SPDA-COMP'!#REF!</definedName>
    <definedName name="BuiltIn_AutoFilter___7_4">#REF!</definedName>
    <definedName name="BuiltIn_AutoFilter___7_5" localSheetId="13">'ADM-COMP'!#REF!</definedName>
    <definedName name="BuiltIn_AutoFilter___7_5" localSheetId="17">'CLI-COMP'!#REF!</definedName>
    <definedName name="BuiltIn_AutoFilter___7_5" localSheetId="18">'EST-COMP'!#REF!</definedName>
    <definedName name="BuiltIn_AutoFilter___7_5" localSheetId="19">'GAS-COMP'!#REF!</definedName>
    <definedName name="BuiltIn_AutoFilter___7_5" localSheetId="21">'HID-COMP'!#REF!</definedName>
    <definedName name="BuiltIn_AutoFilter___7_5" localSheetId="20">'IMPER-COMP'!#REF!</definedName>
    <definedName name="BuiltIn_AutoFilter___7_5" localSheetId="22">'IMPL-COMP'!#REF!</definedName>
    <definedName name="BuiltIn_AutoFilter___7_5" localSheetId="23">'INC-COMP'!#REF!</definedName>
    <definedName name="BuiltIn_AutoFilter___7_5" localSheetId="24">'SCE-COMP'!#REF!</definedName>
    <definedName name="BuiltIn_AutoFilter___7_5" localSheetId="25">'SEG-COMP'!#REF!</definedName>
    <definedName name="BuiltIn_AutoFilter___7_5" localSheetId="26">'SPDA-COMP'!#REF!</definedName>
    <definedName name="BuiltIn_AutoFilter___7_5">#REF!</definedName>
    <definedName name="BuiltIn_AutoFilter___7_6" localSheetId="13">'ADM-COMP'!#REF!</definedName>
    <definedName name="BuiltIn_AutoFilter___7_6" localSheetId="17">'CLI-COMP'!#REF!</definedName>
    <definedName name="BuiltIn_AutoFilter___7_6" localSheetId="18">'EST-COMP'!#REF!</definedName>
    <definedName name="BuiltIn_AutoFilter___7_6" localSheetId="19">'GAS-COMP'!#REF!</definedName>
    <definedName name="BuiltIn_AutoFilter___7_6" localSheetId="21">'HID-COMP'!#REF!</definedName>
    <definedName name="BuiltIn_AutoFilter___7_6" localSheetId="20">'IMPER-COMP'!#REF!</definedName>
    <definedName name="BuiltIn_AutoFilter___7_6" localSheetId="22">'IMPL-COMP'!#REF!</definedName>
    <definedName name="BuiltIn_AutoFilter___7_6" localSheetId="23">'INC-COMP'!#REF!</definedName>
    <definedName name="BuiltIn_AutoFilter___7_6" localSheetId="24">'SCE-COMP'!#REF!</definedName>
    <definedName name="BuiltIn_AutoFilter___7_6" localSheetId="25">'SEG-COMP'!#REF!</definedName>
    <definedName name="BuiltIn_AutoFilter___7_6" localSheetId="26">'SPDA-COMP'!#REF!</definedName>
    <definedName name="BuiltIn_AutoFilter___7_6">#REF!</definedName>
    <definedName name="BuiltIn_AutoFilter___7_7" localSheetId="13">'ADM-COMP'!#REF!</definedName>
    <definedName name="BuiltIn_AutoFilter___7_7" localSheetId="17">'CLI-COMP'!#REF!</definedName>
    <definedName name="BuiltIn_AutoFilter___7_7" localSheetId="18">'EST-COMP'!#REF!</definedName>
    <definedName name="BuiltIn_AutoFilter___7_7" localSheetId="19">'GAS-COMP'!#REF!</definedName>
    <definedName name="BuiltIn_AutoFilter___7_7" localSheetId="21">'HID-COMP'!#REF!</definedName>
    <definedName name="BuiltIn_AutoFilter___7_7" localSheetId="20">'IMPER-COMP'!#REF!</definedName>
    <definedName name="BuiltIn_AutoFilter___7_7" localSheetId="22">'IMPL-COMP'!#REF!</definedName>
    <definedName name="BuiltIn_AutoFilter___7_7" localSheetId="23">'INC-COMP'!#REF!</definedName>
    <definedName name="BuiltIn_AutoFilter___7_7" localSheetId="24">'SCE-COMP'!#REF!</definedName>
    <definedName name="BuiltIn_AutoFilter___7_7" localSheetId="25">'SEG-COMP'!#REF!</definedName>
    <definedName name="BuiltIn_AutoFilter___7_7" localSheetId="26">'SPDA-COMP'!#REF!</definedName>
    <definedName name="BuiltIn_AutoFilter___7_7">#REF!</definedName>
    <definedName name="BuiltIn_AutoFilter___7_8" localSheetId="13">'ADM-COMP'!#REF!</definedName>
    <definedName name="BuiltIn_AutoFilter___7_8" localSheetId="17">'CLI-COMP'!#REF!</definedName>
    <definedName name="BuiltIn_AutoFilter___7_8" localSheetId="18">'EST-COMP'!#REF!</definedName>
    <definedName name="BuiltIn_AutoFilter___7_8" localSheetId="19">'GAS-COMP'!#REF!</definedName>
    <definedName name="BuiltIn_AutoFilter___7_8" localSheetId="21">'HID-COMP'!#REF!</definedName>
    <definedName name="BuiltIn_AutoFilter___7_8" localSheetId="20">'IMPER-COMP'!#REF!</definedName>
    <definedName name="BuiltIn_AutoFilter___7_8" localSheetId="22">'IMPL-COMP'!#REF!</definedName>
    <definedName name="BuiltIn_AutoFilter___7_8" localSheetId="23">'INC-COMP'!#REF!</definedName>
    <definedName name="BuiltIn_AutoFilter___7_8" localSheetId="24">'SCE-COMP'!#REF!</definedName>
    <definedName name="BuiltIn_AutoFilter___7_8" localSheetId="25">'SEG-COMP'!#REF!</definedName>
    <definedName name="BuiltIn_AutoFilter___7_8" localSheetId="26">'SPDA-COMP'!#REF!</definedName>
    <definedName name="BuiltIn_AutoFilter___7_8">#REF!</definedName>
    <definedName name="BuiltIn_AutoFilter___7_9" localSheetId="13">'ADM-COMP'!#REF!</definedName>
    <definedName name="BuiltIn_AutoFilter___7_9" localSheetId="17">'CLI-COMP'!#REF!</definedName>
    <definedName name="BuiltIn_AutoFilter___7_9" localSheetId="18">'EST-COMP'!#REF!</definedName>
    <definedName name="BuiltIn_AutoFilter___7_9" localSheetId="19">'GAS-COMP'!#REF!</definedName>
    <definedName name="BuiltIn_AutoFilter___7_9" localSheetId="21">'HID-COMP'!#REF!</definedName>
    <definedName name="BuiltIn_AutoFilter___7_9" localSheetId="20">'IMPER-COMP'!#REF!</definedName>
    <definedName name="BuiltIn_AutoFilter___7_9" localSheetId="22">'IMPL-COMP'!#REF!</definedName>
    <definedName name="BuiltIn_AutoFilter___7_9" localSheetId="23">'INC-COMP'!#REF!</definedName>
    <definedName name="BuiltIn_AutoFilter___7_9" localSheetId="24">'SCE-COMP'!#REF!</definedName>
    <definedName name="BuiltIn_AutoFilter___7_9" localSheetId="25">'SEG-COMP'!#REF!</definedName>
    <definedName name="BuiltIn_AutoFilter___7_9" localSheetId="26">'SPDA-COMP'!#REF!</definedName>
    <definedName name="BuiltIn_AutoFilter___7_9">#REF!</definedName>
    <definedName name="BuiltIn_AutoFilter___8" localSheetId="13">'ADM-COMP'!#REF!</definedName>
    <definedName name="BuiltIn_AutoFilter___8" localSheetId="17">'CLI-COMP'!#REF!</definedName>
    <definedName name="BuiltIn_AutoFilter___8" localSheetId="18">'EST-COMP'!#REF!</definedName>
    <definedName name="BuiltIn_AutoFilter___8" localSheetId="19">'GAS-COMP'!#REF!</definedName>
    <definedName name="BuiltIn_AutoFilter___8" localSheetId="21">'HID-COMP'!#REF!</definedName>
    <definedName name="BuiltIn_AutoFilter___8" localSheetId="20">'IMPER-COMP'!#REF!</definedName>
    <definedName name="BuiltIn_AutoFilter___8" localSheetId="22">'IMPL-COMP'!#REF!</definedName>
    <definedName name="BuiltIn_AutoFilter___8" localSheetId="23">'INC-COMP'!#REF!</definedName>
    <definedName name="BuiltIn_AutoFilter___8" localSheetId="24">'SCE-COMP'!#REF!</definedName>
    <definedName name="BuiltIn_AutoFilter___8" localSheetId="25">'SEG-COMP'!#REF!</definedName>
    <definedName name="BuiltIn_AutoFilter___8" localSheetId="26">'SPDA-COMP'!#REF!</definedName>
    <definedName name="BuiltIn_AutoFilter___8">#REF!</definedName>
    <definedName name="BuiltIn_AutoFilter___8_1" localSheetId="13">'ADM-COMP'!#REF!</definedName>
    <definedName name="BuiltIn_AutoFilter___8_1" localSheetId="17">'CLI-COMP'!#REF!</definedName>
    <definedName name="BuiltIn_AutoFilter___8_1" localSheetId="18">'EST-COMP'!#REF!</definedName>
    <definedName name="BuiltIn_AutoFilter___8_1" localSheetId="19">'GAS-COMP'!#REF!</definedName>
    <definedName name="BuiltIn_AutoFilter___8_1" localSheetId="21">'HID-COMP'!#REF!</definedName>
    <definedName name="BuiltIn_AutoFilter___8_1" localSheetId="20">'IMPER-COMP'!#REF!</definedName>
    <definedName name="BuiltIn_AutoFilter___8_1" localSheetId="22">'IMPL-COMP'!#REF!</definedName>
    <definedName name="BuiltIn_AutoFilter___8_1" localSheetId="23">'INC-COMP'!#REF!</definedName>
    <definedName name="BuiltIn_AutoFilter___8_1" localSheetId="24">'SCE-COMP'!#REF!</definedName>
    <definedName name="BuiltIn_AutoFilter___8_1" localSheetId="25">'SEG-COMP'!#REF!</definedName>
    <definedName name="BuiltIn_AutoFilter___8_1" localSheetId="26">'SPDA-COMP'!#REF!</definedName>
    <definedName name="BuiltIn_AutoFilter___8_1">#REF!</definedName>
    <definedName name="BuiltIn_AutoFilter___8_10" localSheetId="13">'ADM-COMP'!#REF!</definedName>
    <definedName name="BuiltIn_AutoFilter___8_10" localSheetId="17">'CLI-COMP'!#REF!</definedName>
    <definedName name="BuiltIn_AutoFilter___8_10" localSheetId="18">'EST-COMP'!#REF!</definedName>
    <definedName name="BuiltIn_AutoFilter___8_10" localSheetId="19">'GAS-COMP'!#REF!</definedName>
    <definedName name="BuiltIn_AutoFilter___8_10" localSheetId="21">'HID-COMP'!#REF!</definedName>
    <definedName name="BuiltIn_AutoFilter___8_10" localSheetId="20">'IMPER-COMP'!#REF!</definedName>
    <definedName name="BuiltIn_AutoFilter___8_10" localSheetId="22">'IMPL-COMP'!#REF!</definedName>
    <definedName name="BuiltIn_AutoFilter___8_10" localSheetId="23">'INC-COMP'!#REF!</definedName>
    <definedName name="BuiltIn_AutoFilter___8_10" localSheetId="24">'SCE-COMP'!#REF!</definedName>
    <definedName name="BuiltIn_AutoFilter___8_10" localSheetId="25">'SEG-COMP'!#REF!</definedName>
    <definedName name="BuiltIn_AutoFilter___8_10" localSheetId="26">'SPDA-COMP'!#REF!</definedName>
    <definedName name="BuiltIn_AutoFilter___8_10">#REF!</definedName>
    <definedName name="BuiltIn_AutoFilter___8_11" localSheetId="13">'ADM-COMP'!#REF!</definedName>
    <definedName name="BuiltIn_AutoFilter___8_11" localSheetId="17">'CLI-COMP'!#REF!</definedName>
    <definedName name="BuiltIn_AutoFilter___8_11" localSheetId="18">'EST-COMP'!#REF!</definedName>
    <definedName name="BuiltIn_AutoFilter___8_11" localSheetId="19">'GAS-COMP'!#REF!</definedName>
    <definedName name="BuiltIn_AutoFilter___8_11" localSheetId="21">'HID-COMP'!#REF!</definedName>
    <definedName name="BuiltIn_AutoFilter___8_11" localSheetId="20">'IMPER-COMP'!#REF!</definedName>
    <definedName name="BuiltIn_AutoFilter___8_11" localSheetId="22">'IMPL-COMP'!#REF!</definedName>
    <definedName name="BuiltIn_AutoFilter___8_11" localSheetId="23">'INC-COMP'!#REF!</definedName>
    <definedName name="BuiltIn_AutoFilter___8_11" localSheetId="24">'SCE-COMP'!#REF!</definedName>
    <definedName name="BuiltIn_AutoFilter___8_11" localSheetId="25">'SEG-COMP'!#REF!</definedName>
    <definedName name="BuiltIn_AutoFilter___8_11" localSheetId="26">'SPDA-COMP'!#REF!</definedName>
    <definedName name="BuiltIn_AutoFilter___8_11">#REF!</definedName>
    <definedName name="BuiltIn_AutoFilter___8_12" localSheetId="13">'ADM-COMP'!#REF!</definedName>
    <definedName name="BuiltIn_AutoFilter___8_12" localSheetId="17">'CLI-COMP'!#REF!</definedName>
    <definedName name="BuiltIn_AutoFilter___8_12" localSheetId="18">'EST-COMP'!#REF!</definedName>
    <definedName name="BuiltIn_AutoFilter___8_12" localSheetId="19">'GAS-COMP'!#REF!</definedName>
    <definedName name="BuiltIn_AutoFilter___8_12" localSheetId="21">'HID-COMP'!#REF!</definedName>
    <definedName name="BuiltIn_AutoFilter___8_12" localSheetId="20">'IMPER-COMP'!#REF!</definedName>
    <definedName name="BuiltIn_AutoFilter___8_12" localSheetId="22">'IMPL-COMP'!#REF!</definedName>
    <definedName name="BuiltIn_AutoFilter___8_12" localSheetId="23">'INC-COMP'!#REF!</definedName>
    <definedName name="BuiltIn_AutoFilter___8_12" localSheetId="24">'SCE-COMP'!#REF!</definedName>
    <definedName name="BuiltIn_AutoFilter___8_12" localSheetId="25">'SEG-COMP'!#REF!</definedName>
    <definedName name="BuiltIn_AutoFilter___8_12" localSheetId="26">'SPDA-COMP'!#REF!</definedName>
    <definedName name="BuiltIn_AutoFilter___8_12">#REF!</definedName>
    <definedName name="BuiltIn_AutoFilter___8_13" localSheetId="13">'ADM-COMP'!#REF!</definedName>
    <definedName name="BuiltIn_AutoFilter___8_13" localSheetId="17">'CLI-COMP'!#REF!</definedName>
    <definedName name="BuiltIn_AutoFilter___8_13" localSheetId="18">'EST-COMP'!#REF!</definedName>
    <definedName name="BuiltIn_AutoFilter___8_13" localSheetId="19">'GAS-COMP'!#REF!</definedName>
    <definedName name="BuiltIn_AutoFilter___8_13" localSheetId="21">'HID-COMP'!#REF!</definedName>
    <definedName name="BuiltIn_AutoFilter___8_13" localSheetId="20">'IMPER-COMP'!#REF!</definedName>
    <definedName name="BuiltIn_AutoFilter___8_13" localSheetId="22">'IMPL-COMP'!#REF!</definedName>
    <definedName name="BuiltIn_AutoFilter___8_13" localSheetId="23">'INC-COMP'!#REF!</definedName>
    <definedName name="BuiltIn_AutoFilter___8_13" localSheetId="24">'SCE-COMP'!#REF!</definedName>
    <definedName name="BuiltIn_AutoFilter___8_13" localSheetId="25">'SEG-COMP'!#REF!</definedName>
    <definedName name="BuiltIn_AutoFilter___8_13" localSheetId="26">'SPDA-COMP'!#REF!</definedName>
    <definedName name="BuiltIn_AutoFilter___8_13">#REF!</definedName>
    <definedName name="BuiltIn_AutoFilter___8_14" localSheetId="13">'ADM-COMP'!#REF!</definedName>
    <definedName name="BuiltIn_AutoFilter___8_14" localSheetId="17">'CLI-COMP'!#REF!</definedName>
    <definedName name="BuiltIn_AutoFilter___8_14" localSheetId="18">'EST-COMP'!#REF!</definedName>
    <definedName name="BuiltIn_AutoFilter___8_14" localSheetId="19">'GAS-COMP'!#REF!</definedName>
    <definedName name="BuiltIn_AutoFilter___8_14" localSheetId="21">'HID-COMP'!#REF!</definedName>
    <definedName name="BuiltIn_AutoFilter___8_14" localSheetId="20">'IMPER-COMP'!#REF!</definedName>
    <definedName name="BuiltIn_AutoFilter___8_14" localSheetId="22">'IMPL-COMP'!#REF!</definedName>
    <definedName name="BuiltIn_AutoFilter___8_14" localSheetId="23">'INC-COMP'!#REF!</definedName>
    <definedName name="BuiltIn_AutoFilter___8_14" localSheetId="24">'SCE-COMP'!#REF!</definedName>
    <definedName name="BuiltIn_AutoFilter___8_14" localSheetId="25">'SEG-COMP'!#REF!</definedName>
    <definedName name="BuiltIn_AutoFilter___8_14" localSheetId="26">'SPDA-COMP'!#REF!</definedName>
    <definedName name="BuiltIn_AutoFilter___8_14">#REF!</definedName>
    <definedName name="BuiltIn_AutoFilter___8_15" localSheetId="13">'ADM-COMP'!#REF!</definedName>
    <definedName name="BuiltIn_AutoFilter___8_15" localSheetId="17">'CLI-COMP'!#REF!</definedName>
    <definedName name="BuiltIn_AutoFilter___8_15" localSheetId="18">'EST-COMP'!#REF!</definedName>
    <definedName name="BuiltIn_AutoFilter___8_15" localSheetId="19">'GAS-COMP'!#REF!</definedName>
    <definedName name="BuiltIn_AutoFilter___8_15" localSheetId="21">'HID-COMP'!#REF!</definedName>
    <definedName name="BuiltIn_AutoFilter___8_15" localSheetId="20">'IMPER-COMP'!#REF!</definedName>
    <definedName name="BuiltIn_AutoFilter___8_15" localSheetId="22">'IMPL-COMP'!#REF!</definedName>
    <definedName name="BuiltIn_AutoFilter___8_15" localSheetId="23">'INC-COMP'!#REF!</definedName>
    <definedName name="BuiltIn_AutoFilter___8_15" localSheetId="24">'SCE-COMP'!#REF!</definedName>
    <definedName name="BuiltIn_AutoFilter___8_15" localSheetId="25">'SEG-COMP'!#REF!</definedName>
    <definedName name="BuiltIn_AutoFilter___8_15" localSheetId="26">'SPDA-COMP'!#REF!</definedName>
    <definedName name="BuiltIn_AutoFilter___8_15">#REF!</definedName>
    <definedName name="BuiltIn_AutoFilter___8_16" localSheetId="13">'ADM-COMP'!#REF!</definedName>
    <definedName name="BuiltIn_AutoFilter___8_16" localSheetId="17">'CLI-COMP'!#REF!</definedName>
    <definedName name="BuiltIn_AutoFilter___8_16" localSheetId="18">'EST-COMP'!#REF!</definedName>
    <definedName name="BuiltIn_AutoFilter___8_16" localSheetId="19">'GAS-COMP'!#REF!</definedName>
    <definedName name="BuiltIn_AutoFilter___8_16" localSheetId="21">'HID-COMP'!#REF!</definedName>
    <definedName name="BuiltIn_AutoFilter___8_16" localSheetId="20">'IMPER-COMP'!#REF!</definedName>
    <definedName name="BuiltIn_AutoFilter___8_16" localSheetId="22">'IMPL-COMP'!#REF!</definedName>
    <definedName name="BuiltIn_AutoFilter___8_16" localSheetId="23">'INC-COMP'!#REF!</definedName>
    <definedName name="BuiltIn_AutoFilter___8_16" localSheetId="24">'SCE-COMP'!#REF!</definedName>
    <definedName name="BuiltIn_AutoFilter___8_16" localSheetId="25">'SEG-COMP'!#REF!</definedName>
    <definedName name="BuiltIn_AutoFilter___8_16" localSheetId="26">'SPDA-COMP'!#REF!</definedName>
    <definedName name="BuiltIn_AutoFilter___8_16">#REF!</definedName>
    <definedName name="BuiltIn_AutoFilter___8_17" localSheetId="13">'ADM-COMP'!#REF!</definedName>
    <definedName name="BuiltIn_AutoFilter___8_17" localSheetId="17">'CLI-COMP'!#REF!</definedName>
    <definedName name="BuiltIn_AutoFilter___8_17" localSheetId="18">'EST-COMP'!#REF!</definedName>
    <definedName name="BuiltIn_AutoFilter___8_17" localSheetId="19">'GAS-COMP'!#REF!</definedName>
    <definedName name="BuiltIn_AutoFilter___8_17" localSheetId="21">'HID-COMP'!#REF!</definedName>
    <definedName name="BuiltIn_AutoFilter___8_17" localSheetId="20">'IMPER-COMP'!#REF!</definedName>
    <definedName name="BuiltIn_AutoFilter___8_17" localSheetId="22">'IMPL-COMP'!#REF!</definedName>
    <definedName name="BuiltIn_AutoFilter___8_17" localSheetId="23">'INC-COMP'!#REF!</definedName>
    <definedName name="BuiltIn_AutoFilter___8_17" localSheetId="24">'SCE-COMP'!#REF!</definedName>
    <definedName name="BuiltIn_AutoFilter___8_17" localSheetId="25">'SEG-COMP'!#REF!</definedName>
    <definedName name="BuiltIn_AutoFilter___8_17" localSheetId="26">'SPDA-COMP'!#REF!</definedName>
    <definedName name="BuiltIn_AutoFilter___8_17">#REF!</definedName>
    <definedName name="BuiltIn_AutoFilter___8_18" localSheetId="13">'ADM-COMP'!#REF!</definedName>
    <definedName name="BuiltIn_AutoFilter___8_18" localSheetId="17">'CLI-COMP'!#REF!</definedName>
    <definedName name="BuiltIn_AutoFilter___8_18" localSheetId="18">'EST-COMP'!#REF!</definedName>
    <definedName name="BuiltIn_AutoFilter___8_18" localSheetId="19">'GAS-COMP'!#REF!</definedName>
    <definedName name="BuiltIn_AutoFilter___8_18" localSheetId="21">'HID-COMP'!#REF!</definedName>
    <definedName name="BuiltIn_AutoFilter___8_18" localSheetId="20">'IMPER-COMP'!#REF!</definedName>
    <definedName name="BuiltIn_AutoFilter___8_18" localSheetId="22">'IMPL-COMP'!#REF!</definedName>
    <definedName name="BuiltIn_AutoFilter___8_18" localSheetId="23">'INC-COMP'!#REF!</definedName>
    <definedName name="BuiltIn_AutoFilter___8_18" localSheetId="24">'SCE-COMP'!#REF!</definedName>
    <definedName name="BuiltIn_AutoFilter___8_18" localSheetId="25">'SEG-COMP'!#REF!</definedName>
    <definedName name="BuiltIn_AutoFilter___8_18" localSheetId="26">'SPDA-COMP'!#REF!</definedName>
    <definedName name="BuiltIn_AutoFilter___8_18">#REF!</definedName>
    <definedName name="BuiltIn_AutoFilter___8_19" localSheetId="13">'ADM-COMP'!#REF!</definedName>
    <definedName name="BuiltIn_AutoFilter___8_19" localSheetId="17">'CLI-COMP'!#REF!</definedName>
    <definedName name="BuiltIn_AutoFilter___8_19" localSheetId="18">'EST-COMP'!#REF!</definedName>
    <definedName name="BuiltIn_AutoFilter___8_19" localSheetId="19">'GAS-COMP'!#REF!</definedName>
    <definedName name="BuiltIn_AutoFilter___8_19" localSheetId="21">'HID-COMP'!#REF!</definedName>
    <definedName name="BuiltIn_AutoFilter___8_19" localSheetId="20">'IMPER-COMP'!#REF!</definedName>
    <definedName name="BuiltIn_AutoFilter___8_19" localSheetId="22">'IMPL-COMP'!#REF!</definedName>
    <definedName name="BuiltIn_AutoFilter___8_19" localSheetId="23">'INC-COMP'!#REF!</definedName>
    <definedName name="BuiltIn_AutoFilter___8_19" localSheetId="24">'SCE-COMP'!#REF!</definedName>
    <definedName name="BuiltIn_AutoFilter___8_19" localSheetId="25">'SEG-COMP'!#REF!</definedName>
    <definedName name="BuiltIn_AutoFilter___8_19" localSheetId="26">'SPDA-COMP'!#REF!</definedName>
    <definedName name="BuiltIn_AutoFilter___8_19">#REF!</definedName>
    <definedName name="BuiltIn_AutoFilter___8_2" localSheetId="13">'ADM-COMP'!#REF!</definedName>
    <definedName name="BuiltIn_AutoFilter___8_2" localSheetId="17">'CLI-COMP'!#REF!</definedName>
    <definedName name="BuiltIn_AutoFilter___8_2" localSheetId="18">'EST-COMP'!#REF!</definedName>
    <definedName name="BuiltIn_AutoFilter___8_2" localSheetId="19">'GAS-COMP'!#REF!</definedName>
    <definedName name="BuiltIn_AutoFilter___8_2" localSheetId="21">'HID-COMP'!#REF!</definedName>
    <definedName name="BuiltIn_AutoFilter___8_2" localSheetId="20">'IMPER-COMP'!#REF!</definedName>
    <definedName name="BuiltIn_AutoFilter___8_2" localSheetId="22">'IMPL-COMP'!#REF!</definedName>
    <definedName name="BuiltIn_AutoFilter___8_2" localSheetId="23">'INC-COMP'!#REF!</definedName>
    <definedName name="BuiltIn_AutoFilter___8_2" localSheetId="24">'SCE-COMP'!#REF!</definedName>
    <definedName name="BuiltIn_AutoFilter___8_2" localSheetId="25">'SEG-COMP'!#REF!</definedName>
    <definedName name="BuiltIn_AutoFilter___8_2" localSheetId="26">'SPDA-COMP'!#REF!</definedName>
    <definedName name="BuiltIn_AutoFilter___8_2">#REF!</definedName>
    <definedName name="BuiltIn_AutoFilter___8_20" localSheetId="13">'ADM-COMP'!#REF!</definedName>
    <definedName name="BuiltIn_AutoFilter___8_20" localSheetId="17">'CLI-COMP'!#REF!</definedName>
    <definedName name="BuiltIn_AutoFilter___8_20" localSheetId="18">'EST-COMP'!#REF!</definedName>
    <definedName name="BuiltIn_AutoFilter___8_20" localSheetId="19">'GAS-COMP'!#REF!</definedName>
    <definedName name="BuiltIn_AutoFilter___8_20" localSheetId="21">'HID-COMP'!#REF!</definedName>
    <definedName name="BuiltIn_AutoFilter___8_20" localSheetId="20">'IMPER-COMP'!#REF!</definedName>
    <definedName name="BuiltIn_AutoFilter___8_20" localSheetId="22">'IMPL-COMP'!#REF!</definedName>
    <definedName name="BuiltIn_AutoFilter___8_20" localSheetId="23">'INC-COMP'!#REF!</definedName>
    <definedName name="BuiltIn_AutoFilter___8_20" localSheetId="24">'SCE-COMP'!#REF!</definedName>
    <definedName name="BuiltIn_AutoFilter___8_20" localSheetId="25">'SEG-COMP'!#REF!</definedName>
    <definedName name="BuiltIn_AutoFilter___8_20" localSheetId="26">'SPDA-COMP'!#REF!</definedName>
    <definedName name="BuiltIn_AutoFilter___8_20">#REF!</definedName>
    <definedName name="BuiltIn_AutoFilter___8_21" localSheetId="13">'ADM-COMP'!#REF!</definedName>
    <definedName name="BuiltIn_AutoFilter___8_21" localSheetId="17">'CLI-COMP'!#REF!</definedName>
    <definedName name="BuiltIn_AutoFilter___8_21" localSheetId="18">'EST-COMP'!#REF!</definedName>
    <definedName name="BuiltIn_AutoFilter___8_21" localSheetId="19">'GAS-COMP'!#REF!</definedName>
    <definedName name="BuiltIn_AutoFilter___8_21" localSheetId="21">'HID-COMP'!#REF!</definedName>
    <definedName name="BuiltIn_AutoFilter___8_21" localSheetId="20">'IMPER-COMP'!#REF!</definedName>
    <definedName name="BuiltIn_AutoFilter___8_21" localSheetId="22">'IMPL-COMP'!#REF!</definedName>
    <definedName name="BuiltIn_AutoFilter___8_21" localSheetId="23">'INC-COMP'!#REF!</definedName>
    <definedName name="BuiltIn_AutoFilter___8_21" localSheetId="24">'SCE-COMP'!#REF!</definedName>
    <definedName name="BuiltIn_AutoFilter___8_21" localSheetId="25">'SEG-COMP'!#REF!</definedName>
    <definedName name="BuiltIn_AutoFilter___8_21" localSheetId="26">'SPDA-COMP'!#REF!</definedName>
    <definedName name="BuiltIn_AutoFilter___8_21">#REF!</definedName>
    <definedName name="BuiltIn_AutoFilter___8_22" localSheetId="13">'ADM-COMP'!#REF!</definedName>
    <definedName name="BuiltIn_AutoFilter___8_22" localSheetId="17">'CLI-COMP'!#REF!</definedName>
    <definedName name="BuiltIn_AutoFilter___8_22" localSheetId="18">'EST-COMP'!#REF!</definedName>
    <definedName name="BuiltIn_AutoFilter___8_22" localSheetId="19">'GAS-COMP'!#REF!</definedName>
    <definedName name="BuiltIn_AutoFilter___8_22" localSheetId="21">'HID-COMP'!#REF!</definedName>
    <definedName name="BuiltIn_AutoFilter___8_22" localSheetId="20">'IMPER-COMP'!#REF!</definedName>
    <definedName name="BuiltIn_AutoFilter___8_22" localSheetId="22">'IMPL-COMP'!#REF!</definedName>
    <definedName name="BuiltIn_AutoFilter___8_22" localSheetId="23">'INC-COMP'!#REF!</definedName>
    <definedName name="BuiltIn_AutoFilter___8_22" localSheetId="24">'SCE-COMP'!#REF!</definedName>
    <definedName name="BuiltIn_AutoFilter___8_22" localSheetId="25">'SEG-COMP'!#REF!</definedName>
    <definedName name="BuiltIn_AutoFilter___8_22" localSheetId="26">'SPDA-COMP'!#REF!</definedName>
    <definedName name="BuiltIn_AutoFilter___8_22">#REF!</definedName>
    <definedName name="BuiltIn_AutoFilter___8_23" localSheetId="13">'ADM-COMP'!#REF!</definedName>
    <definedName name="BuiltIn_AutoFilter___8_23" localSheetId="17">'CLI-COMP'!#REF!</definedName>
    <definedName name="BuiltIn_AutoFilter___8_23" localSheetId="18">'EST-COMP'!#REF!</definedName>
    <definedName name="BuiltIn_AutoFilter___8_23" localSheetId="19">'GAS-COMP'!#REF!</definedName>
    <definedName name="BuiltIn_AutoFilter___8_23" localSheetId="21">'HID-COMP'!#REF!</definedName>
    <definedName name="BuiltIn_AutoFilter___8_23" localSheetId="20">'IMPER-COMP'!#REF!</definedName>
    <definedName name="BuiltIn_AutoFilter___8_23" localSheetId="22">'IMPL-COMP'!#REF!</definedName>
    <definedName name="BuiltIn_AutoFilter___8_23" localSheetId="23">'INC-COMP'!#REF!</definedName>
    <definedName name="BuiltIn_AutoFilter___8_23" localSheetId="24">'SCE-COMP'!#REF!</definedName>
    <definedName name="BuiltIn_AutoFilter___8_23" localSheetId="25">'SEG-COMP'!#REF!</definedName>
    <definedName name="BuiltIn_AutoFilter___8_23" localSheetId="26">'SPDA-COMP'!#REF!</definedName>
    <definedName name="BuiltIn_AutoFilter___8_23">#REF!</definedName>
    <definedName name="BuiltIn_AutoFilter___8_24" localSheetId="13">'ADM-COMP'!#REF!</definedName>
    <definedName name="BuiltIn_AutoFilter___8_24" localSheetId="17">'CLI-COMP'!#REF!</definedName>
    <definedName name="BuiltIn_AutoFilter___8_24" localSheetId="18">'EST-COMP'!#REF!</definedName>
    <definedName name="BuiltIn_AutoFilter___8_24" localSheetId="19">'GAS-COMP'!#REF!</definedName>
    <definedName name="BuiltIn_AutoFilter___8_24" localSheetId="21">'HID-COMP'!#REF!</definedName>
    <definedName name="BuiltIn_AutoFilter___8_24" localSheetId="20">'IMPER-COMP'!#REF!</definedName>
    <definedName name="BuiltIn_AutoFilter___8_24" localSheetId="22">'IMPL-COMP'!#REF!</definedName>
    <definedName name="BuiltIn_AutoFilter___8_24" localSheetId="23">'INC-COMP'!#REF!</definedName>
    <definedName name="BuiltIn_AutoFilter___8_24" localSheetId="24">'SCE-COMP'!#REF!</definedName>
    <definedName name="BuiltIn_AutoFilter___8_24" localSheetId="25">'SEG-COMP'!#REF!</definedName>
    <definedName name="BuiltIn_AutoFilter___8_24" localSheetId="26">'SPDA-COMP'!#REF!</definedName>
    <definedName name="BuiltIn_AutoFilter___8_24">#REF!</definedName>
    <definedName name="BuiltIn_AutoFilter___8_25" localSheetId="13">'ADM-COMP'!#REF!</definedName>
    <definedName name="BuiltIn_AutoFilter___8_25" localSheetId="17">'CLI-COMP'!#REF!</definedName>
    <definedName name="BuiltIn_AutoFilter___8_25" localSheetId="18">'EST-COMP'!#REF!</definedName>
    <definedName name="BuiltIn_AutoFilter___8_25" localSheetId="19">'GAS-COMP'!#REF!</definedName>
    <definedName name="BuiltIn_AutoFilter___8_25" localSheetId="21">'HID-COMP'!#REF!</definedName>
    <definedName name="BuiltIn_AutoFilter___8_25" localSheetId="20">'IMPER-COMP'!#REF!</definedName>
    <definedName name="BuiltIn_AutoFilter___8_25" localSheetId="22">'IMPL-COMP'!#REF!</definedName>
    <definedName name="BuiltIn_AutoFilter___8_25" localSheetId="23">'INC-COMP'!#REF!</definedName>
    <definedName name="BuiltIn_AutoFilter___8_25" localSheetId="24">'SCE-COMP'!#REF!</definedName>
    <definedName name="BuiltIn_AutoFilter___8_25" localSheetId="25">'SEG-COMP'!#REF!</definedName>
    <definedName name="BuiltIn_AutoFilter___8_25" localSheetId="26">'SPDA-COMP'!#REF!</definedName>
    <definedName name="BuiltIn_AutoFilter___8_25">#REF!</definedName>
    <definedName name="BuiltIn_AutoFilter___8_26" localSheetId="13">'ADM-COMP'!#REF!</definedName>
    <definedName name="BuiltIn_AutoFilter___8_26" localSheetId="17">'CLI-COMP'!#REF!</definedName>
    <definedName name="BuiltIn_AutoFilter___8_26" localSheetId="18">'EST-COMP'!#REF!</definedName>
    <definedName name="BuiltIn_AutoFilter___8_26" localSheetId="19">'GAS-COMP'!#REF!</definedName>
    <definedName name="BuiltIn_AutoFilter___8_26" localSheetId="21">'HID-COMP'!#REF!</definedName>
    <definedName name="BuiltIn_AutoFilter___8_26" localSheetId="20">'IMPER-COMP'!#REF!</definedName>
    <definedName name="BuiltIn_AutoFilter___8_26" localSheetId="22">'IMPL-COMP'!#REF!</definedName>
    <definedName name="BuiltIn_AutoFilter___8_26" localSheetId="23">'INC-COMP'!#REF!</definedName>
    <definedName name="BuiltIn_AutoFilter___8_26" localSheetId="24">'SCE-COMP'!#REF!</definedName>
    <definedName name="BuiltIn_AutoFilter___8_26" localSheetId="25">'SEG-COMP'!#REF!</definedName>
    <definedName name="BuiltIn_AutoFilter___8_26" localSheetId="26">'SPDA-COMP'!#REF!</definedName>
    <definedName name="BuiltIn_AutoFilter___8_26">#REF!</definedName>
    <definedName name="BuiltIn_AutoFilter___8_27" localSheetId="13">'ADM-COMP'!#REF!</definedName>
    <definedName name="BuiltIn_AutoFilter___8_27" localSheetId="17">'CLI-COMP'!#REF!</definedName>
    <definedName name="BuiltIn_AutoFilter___8_27" localSheetId="18">'EST-COMP'!#REF!</definedName>
    <definedName name="BuiltIn_AutoFilter___8_27" localSheetId="19">'GAS-COMP'!#REF!</definedName>
    <definedName name="BuiltIn_AutoFilter___8_27" localSheetId="21">'HID-COMP'!#REF!</definedName>
    <definedName name="BuiltIn_AutoFilter___8_27" localSheetId="20">'IMPER-COMP'!#REF!</definedName>
    <definedName name="BuiltIn_AutoFilter___8_27" localSheetId="22">'IMPL-COMP'!#REF!</definedName>
    <definedName name="BuiltIn_AutoFilter___8_27" localSheetId="23">'INC-COMP'!#REF!</definedName>
    <definedName name="BuiltIn_AutoFilter___8_27" localSheetId="24">'SCE-COMP'!#REF!</definedName>
    <definedName name="BuiltIn_AutoFilter___8_27" localSheetId="25">'SEG-COMP'!#REF!</definedName>
    <definedName name="BuiltIn_AutoFilter___8_27" localSheetId="26">'SPDA-COMP'!#REF!</definedName>
    <definedName name="BuiltIn_AutoFilter___8_27">#REF!</definedName>
    <definedName name="BuiltIn_AutoFilter___8_28" localSheetId="13">'ADM-COMP'!#REF!</definedName>
    <definedName name="BuiltIn_AutoFilter___8_28" localSheetId="17">'CLI-COMP'!#REF!</definedName>
    <definedName name="BuiltIn_AutoFilter___8_28" localSheetId="18">'EST-COMP'!#REF!</definedName>
    <definedName name="BuiltIn_AutoFilter___8_28" localSheetId="19">'GAS-COMP'!#REF!</definedName>
    <definedName name="BuiltIn_AutoFilter___8_28" localSheetId="21">'HID-COMP'!#REF!</definedName>
    <definedName name="BuiltIn_AutoFilter___8_28" localSheetId="20">'IMPER-COMP'!#REF!</definedName>
    <definedName name="BuiltIn_AutoFilter___8_28" localSheetId="22">'IMPL-COMP'!#REF!</definedName>
    <definedName name="BuiltIn_AutoFilter___8_28" localSheetId="23">'INC-COMP'!#REF!</definedName>
    <definedName name="BuiltIn_AutoFilter___8_28" localSheetId="24">'SCE-COMP'!#REF!</definedName>
    <definedName name="BuiltIn_AutoFilter___8_28" localSheetId="25">'SEG-COMP'!#REF!</definedName>
    <definedName name="BuiltIn_AutoFilter___8_28" localSheetId="26">'SPDA-COMP'!#REF!</definedName>
    <definedName name="BuiltIn_AutoFilter___8_28">#REF!</definedName>
    <definedName name="BuiltIn_AutoFilter___8_29" localSheetId="13">'ADM-COMP'!#REF!</definedName>
    <definedName name="BuiltIn_AutoFilter___8_29" localSheetId="17">'CLI-COMP'!#REF!</definedName>
    <definedName name="BuiltIn_AutoFilter___8_29" localSheetId="18">'EST-COMP'!#REF!</definedName>
    <definedName name="BuiltIn_AutoFilter___8_29" localSheetId="19">'GAS-COMP'!#REF!</definedName>
    <definedName name="BuiltIn_AutoFilter___8_29" localSheetId="21">'HID-COMP'!#REF!</definedName>
    <definedName name="BuiltIn_AutoFilter___8_29" localSheetId="20">'IMPER-COMP'!#REF!</definedName>
    <definedName name="BuiltIn_AutoFilter___8_29" localSheetId="22">'IMPL-COMP'!#REF!</definedName>
    <definedName name="BuiltIn_AutoFilter___8_29" localSheetId="23">'INC-COMP'!#REF!</definedName>
    <definedName name="BuiltIn_AutoFilter___8_29" localSheetId="24">'SCE-COMP'!#REF!</definedName>
    <definedName name="BuiltIn_AutoFilter___8_29" localSheetId="25">'SEG-COMP'!#REF!</definedName>
    <definedName name="BuiltIn_AutoFilter___8_29" localSheetId="26">'SPDA-COMP'!#REF!</definedName>
    <definedName name="BuiltIn_AutoFilter___8_29">#REF!</definedName>
    <definedName name="BuiltIn_AutoFilter___8_3" localSheetId="13">'ADM-COMP'!#REF!</definedName>
    <definedName name="BuiltIn_AutoFilter___8_3" localSheetId="17">'CLI-COMP'!#REF!</definedName>
    <definedName name="BuiltIn_AutoFilter___8_3" localSheetId="18">'EST-COMP'!#REF!</definedName>
    <definedName name="BuiltIn_AutoFilter___8_3" localSheetId="19">'GAS-COMP'!#REF!</definedName>
    <definedName name="BuiltIn_AutoFilter___8_3" localSheetId="21">'HID-COMP'!#REF!</definedName>
    <definedName name="BuiltIn_AutoFilter___8_3" localSheetId="20">'IMPER-COMP'!#REF!</definedName>
    <definedName name="BuiltIn_AutoFilter___8_3" localSheetId="22">'IMPL-COMP'!#REF!</definedName>
    <definedName name="BuiltIn_AutoFilter___8_3" localSheetId="23">'INC-COMP'!#REF!</definedName>
    <definedName name="BuiltIn_AutoFilter___8_3" localSheetId="24">'SCE-COMP'!#REF!</definedName>
    <definedName name="BuiltIn_AutoFilter___8_3" localSheetId="25">'SEG-COMP'!#REF!</definedName>
    <definedName name="BuiltIn_AutoFilter___8_3" localSheetId="26">'SPDA-COMP'!#REF!</definedName>
    <definedName name="BuiltIn_AutoFilter___8_3">#REF!</definedName>
    <definedName name="BuiltIn_AutoFilter___8_30" localSheetId="13">'ADM-COMP'!#REF!</definedName>
    <definedName name="BuiltIn_AutoFilter___8_30" localSheetId="17">'CLI-COMP'!#REF!</definedName>
    <definedName name="BuiltIn_AutoFilter___8_30" localSheetId="18">'EST-COMP'!#REF!</definedName>
    <definedName name="BuiltIn_AutoFilter___8_30" localSheetId="19">'GAS-COMP'!#REF!</definedName>
    <definedName name="BuiltIn_AutoFilter___8_30" localSheetId="21">'HID-COMP'!#REF!</definedName>
    <definedName name="BuiltIn_AutoFilter___8_30" localSheetId="20">'IMPER-COMP'!#REF!</definedName>
    <definedName name="BuiltIn_AutoFilter___8_30" localSheetId="22">'IMPL-COMP'!#REF!</definedName>
    <definedName name="BuiltIn_AutoFilter___8_30" localSheetId="23">'INC-COMP'!#REF!</definedName>
    <definedName name="BuiltIn_AutoFilter___8_30" localSheetId="24">'SCE-COMP'!#REF!</definedName>
    <definedName name="BuiltIn_AutoFilter___8_30" localSheetId="25">'SEG-COMP'!#REF!</definedName>
    <definedName name="BuiltIn_AutoFilter___8_30" localSheetId="26">'SPDA-COMP'!#REF!</definedName>
    <definedName name="BuiltIn_AutoFilter___8_30">#REF!</definedName>
    <definedName name="BuiltIn_AutoFilter___8_31" localSheetId="13">'ADM-COMP'!#REF!</definedName>
    <definedName name="BuiltIn_AutoFilter___8_31" localSheetId="17">'CLI-COMP'!#REF!</definedName>
    <definedName name="BuiltIn_AutoFilter___8_31" localSheetId="18">'EST-COMP'!#REF!</definedName>
    <definedName name="BuiltIn_AutoFilter___8_31" localSheetId="19">'GAS-COMP'!#REF!</definedName>
    <definedName name="BuiltIn_AutoFilter___8_31" localSheetId="21">'HID-COMP'!#REF!</definedName>
    <definedName name="BuiltIn_AutoFilter___8_31" localSheetId="20">'IMPER-COMP'!#REF!</definedName>
    <definedName name="BuiltIn_AutoFilter___8_31" localSheetId="22">'IMPL-COMP'!#REF!</definedName>
    <definedName name="BuiltIn_AutoFilter___8_31" localSheetId="23">'INC-COMP'!#REF!</definedName>
    <definedName name="BuiltIn_AutoFilter___8_31" localSheetId="24">'SCE-COMP'!#REF!</definedName>
    <definedName name="BuiltIn_AutoFilter___8_31" localSheetId="25">'SEG-COMP'!#REF!</definedName>
    <definedName name="BuiltIn_AutoFilter___8_31" localSheetId="26">'SPDA-COMP'!#REF!</definedName>
    <definedName name="BuiltIn_AutoFilter___8_31">#REF!</definedName>
    <definedName name="BuiltIn_AutoFilter___8_32" localSheetId="13">'ADM-COMP'!#REF!</definedName>
    <definedName name="BuiltIn_AutoFilter___8_32" localSheetId="17">'CLI-COMP'!#REF!</definedName>
    <definedName name="BuiltIn_AutoFilter___8_32" localSheetId="18">'EST-COMP'!#REF!</definedName>
    <definedName name="BuiltIn_AutoFilter___8_32" localSheetId="19">'GAS-COMP'!#REF!</definedName>
    <definedName name="BuiltIn_AutoFilter___8_32" localSheetId="21">'HID-COMP'!#REF!</definedName>
    <definedName name="BuiltIn_AutoFilter___8_32" localSheetId="20">'IMPER-COMP'!#REF!</definedName>
    <definedName name="BuiltIn_AutoFilter___8_32" localSheetId="22">'IMPL-COMP'!#REF!</definedName>
    <definedName name="BuiltIn_AutoFilter___8_32" localSheetId="23">'INC-COMP'!#REF!</definedName>
    <definedName name="BuiltIn_AutoFilter___8_32" localSheetId="24">'SCE-COMP'!#REF!</definedName>
    <definedName name="BuiltIn_AutoFilter___8_32" localSheetId="25">'SEG-COMP'!#REF!</definedName>
    <definedName name="BuiltIn_AutoFilter___8_32" localSheetId="26">'SPDA-COMP'!#REF!</definedName>
    <definedName name="BuiltIn_AutoFilter___8_32">#REF!</definedName>
    <definedName name="BuiltIn_AutoFilter___8_4" localSheetId="13">'ADM-COMP'!#REF!</definedName>
    <definedName name="BuiltIn_AutoFilter___8_4" localSheetId="17">'CLI-COMP'!#REF!</definedName>
    <definedName name="BuiltIn_AutoFilter___8_4" localSheetId="18">'EST-COMP'!#REF!</definedName>
    <definedName name="BuiltIn_AutoFilter___8_4" localSheetId="19">'GAS-COMP'!#REF!</definedName>
    <definedName name="BuiltIn_AutoFilter___8_4" localSheetId="21">'HID-COMP'!#REF!</definedName>
    <definedName name="BuiltIn_AutoFilter___8_4" localSheetId="20">'IMPER-COMP'!#REF!</definedName>
    <definedName name="BuiltIn_AutoFilter___8_4" localSheetId="22">'IMPL-COMP'!#REF!</definedName>
    <definedName name="BuiltIn_AutoFilter___8_4" localSheetId="23">'INC-COMP'!#REF!</definedName>
    <definedName name="BuiltIn_AutoFilter___8_4" localSheetId="24">'SCE-COMP'!#REF!</definedName>
    <definedName name="BuiltIn_AutoFilter___8_4" localSheetId="25">'SEG-COMP'!#REF!</definedName>
    <definedName name="BuiltIn_AutoFilter___8_4" localSheetId="26">'SPDA-COMP'!#REF!</definedName>
    <definedName name="BuiltIn_AutoFilter___8_4">#REF!</definedName>
    <definedName name="BuiltIn_AutoFilter___8_5" localSheetId="13">'ADM-COMP'!#REF!</definedName>
    <definedName name="BuiltIn_AutoFilter___8_5" localSheetId="17">'CLI-COMP'!#REF!</definedName>
    <definedName name="BuiltIn_AutoFilter___8_5" localSheetId="18">'EST-COMP'!#REF!</definedName>
    <definedName name="BuiltIn_AutoFilter___8_5" localSheetId="19">'GAS-COMP'!#REF!</definedName>
    <definedName name="BuiltIn_AutoFilter___8_5" localSheetId="21">'HID-COMP'!#REF!</definedName>
    <definedName name="BuiltIn_AutoFilter___8_5" localSheetId="20">'IMPER-COMP'!#REF!</definedName>
    <definedName name="BuiltIn_AutoFilter___8_5" localSheetId="22">'IMPL-COMP'!#REF!</definedName>
    <definedName name="BuiltIn_AutoFilter___8_5" localSheetId="23">'INC-COMP'!#REF!</definedName>
    <definedName name="BuiltIn_AutoFilter___8_5" localSheetId="24">'SCE-COMP'!#REF!</definedName>
    <definedName name="BuiltIn_AutoFilter___8_5" localSheetId="25">'SEG-COMP'!#REF!</definedName>
    <definedName name="BuiltIn_AutoFilter___8_5" localSheetId="26">'SPDA-COMP'!#REF!</definedName>
    <definedName name="BuiltIn_AutoFilter___8_5">#REF!</definedName>
    <definedName name="BuiltIn_AutoFilter___8_6" localSheetId="13">'ADM-COMP'!#REF!</definedName>
    <definedName name="BuiltIn_AutoFilter___8_6" localSheetId="17">'CLI-COMP'!#REF!</definedName>
    <definedName name="BuiltIn_AutoFilter___8_6" localSheetId="18">'EST-COMP'!#REF!</definedName>
    <definedName name="BuiltIn_AutoFilter___8_6" localSheetId="19">'GAS-COMP'!#REF!</definedName>
    <definedName name="BuiltIn_AutoFilter___8_6" localSheetId="21">'HID-COMP'!#REF!</definedName>
    <definedName name="BuiltIn_AutoFilter___8_6" localSheetId="20">'IMPER-COMP'!#REF!</definedName>
    <definedName name="BuiltIn_AutoFilter___8_6" localSheetId="22">'IMPL-COMP'!#REF!</definedName>
    <definedName name="BuiltIn_AutoFilter___8_6" localSheetId="23">'INC-COMP'!#REF!</definedName>
    <definedName name="BuiltIn_AutoFilter___8_6" localSheetId="24">'SCE-COMP'!#REF!</definedName>
    <definedName name="BuiltIn_AutoFilter___8_6" localSheetId="25">'SEG-COMP'!#REF!</definedName>
    <definedName name="BuiltIn_AutoFilter___8_6" localSheetId="26">'SPDA-COMP'!#REF!</definedName>
    <definedName name="BuiltIn_AutoFilter___8_6">#REF!</definedName>
    <definedName name="BuiltIn_AutoFilter___8_7" localSheetId="13">'ADM-COMP'!#REF!</definedName>
    <definedName name="BuiltIn_AutoFilter___8_7" localSheetId="17">'CLI-COMP'!#REF!</definedName>
    <definedName name="BuiltIn_AutoFilter___8_7" localSheetId="18">'EST-COMP'!#REF!</definedName>
    <definedName name="BuiltIn_AutoFilter___8_7" localSheetId="19">'GAS-COMP'!#REF!</definedName>
    <definedName name="BuiltIn_AutoFilter___8_7" localSheetId="21">'HID-COMP'!#REF!</definedName>
    <definedName name="BuiltIn_AutoFilter___8_7" localSheetId="20">'IMPER-COMP'!#REF!</definedName>
    <definedName name="BuiltIn_AutoFilter___8_7" localSheetId="22">'IMPL-COMP'!#REF!</definedName>
    <definedName name="BuiltIn_AutoFilter___8_7" localSheetId="23">'INC-COMP'!#REF!</definedName>
    <definedName name="BuiltIn_AutoFilter___8_7" localSheetId="24">'SCE-COMP'!#REF!</definedName>
    <definedName name="BuiltIn_AutoFilter___8_7" localSheetId="25">'SEG-COMP'!#REF!</definedName>
    <definedName name="BuiltIn_AutoFilter___8_7" localSheetId="26">'SPDA-COMP'!#REF!</definedName>
    <definedName name="BuiltIn_AutoFilter___8_7">#REF!</definedName>
    <definedName name="BuiltIn_AutoFilter___8_8" localSheetId="13">'ADM-COMP'!#REF!</definedName>
    <definedName name="BuiltIn_AutoFilter___8_8" localSheetId="17">'CLI-COMP'!#REF!</definedName>
    <definedName name="BuiltIn_AutoFilter___8_8" localSheetId="18">'EST-COMP'!#REF!</definedName>
    <definedName name="BuiltIn_AutoFilter___8_8" localSheetId="19">'GAS-COMP'!#REF!</definedName>
    <definedName name="BuiltIn_AutoFilter___8_8" localSheetId="21">'HID-COMP'!#REF!</definedName>
    <definedName name="BuiltIn_AutoFilter___8_8" localSheetId="20">'IMPER-COMP'!#REF!</definedName>
    <definedName name="BuiltIn_AutoFilter___8_8" localSheetId="22">'IMPL-COMP'!#REF!</definedName>
    <definedName name="BuiltIn_AutoFilter___8_8" localSheetId="23">'INC-COMP'!#REF!</definedName>
    <definedName name="BuiltIn_AutoFilter___8_8" localSheetId="24">'SCE-COMP'!#REF!</definedName>
    <definedName name="BuiltIn_AutoFilter___8_8" localSheetId="25">'SEG-COMP'!#REF!</definedName>
    <definedName name="BuiltIn_AutoFilter___8_8" localSheetId="26">'SPDA-COMP'!#REF!</definedName>
    <definedName name="BuiltIn_AutoFilter___8_8">#REF!</definedName>
    <definedName name="BuiltIn_AutoFilter___8_9" localSheetId="13">'ADM-COMP'!#REF!</definedName>
    <definedName name="BuiltIn_AutoFilter___8_9" localSheetId="17">'CLI-COMP'!#REF!</definedName>
    <definedName name="BuiltIn_AutoFilter___8_9" localSheetId="18">'EST-COMP'!#REF!</definedName>
    <definedName name="BuiltIn_AutoFilter___8_9" localSheetId="19">'GAS-COMP'!#REF!</definedName>
    <definedName name="BuiltIn_AutoFilter___8_9" localSheetId="21">'HID-COMP'!#REF!</definedName>
    <definedName name="BuiltIn_AutoFilter___8_9" localSheetId="20">'IMPER-COMP'!#REF!</definedName>
    <definedName name="BuiltIn_AutoFilter___8_9" localSheetId="22">'IMPL-COMP'!#REF!</definedName>
    <definedName name="BuiltIn_AutoFilter___8_9" localSheetId="23">'INC-COMP'!#REF!</definedName>
    <definedName name="BuiltIn_AutoFilter___8_9" localSheetId="24">'SCE-COMP'!#REF!</definedName>
    <definedName name="BuiltIn_AutoFilter___8_9" localSheetId="25">'SEG-COMP'!#REF!</definedName>
    <definedName name="BuiltIn_AutoFilter___8_9" localSheetId="26">'SPDA-COMP'!#REF!</definedName>
    <definedName name="BuiltIn_AutoFilter___8_9">#REF!</definedName>
    <definedName name="BuiltIn_Print_Area" localSheetId="13">'ADM-COMP'!#REF!</definedName>
    <definedName name="BuiltIn_Print_Area" localSheetId="17">'CLI-COMP'!#REF!</definedName>
    <definedName name="BuiltIn_Print_Area" localSheetId="18">'EST-COMP'!#REF!</definedName>
    <definedName name="BuiltIn_Print_Area" localSheetId="19">'GAS-COMP'!#REF!</definedName>
    <definedName name="BuiltIn_Print_Area" localSheetId="21">'HID-COMP'!#REF!</definedName>
    <definedName name="BuiltIn_Print_Area" localSheetId="20">'IMPER-COMP'!#REF!</definedName>
    <definedName name="BuiltIn_Print_Area" localSheetId="22">'IMPL-COMP'!#REF!</definedName>
    <definedName name="BuiltIn_Print_Area" localSheetId="23">'INC-COMP'!#REF!</definedName>
    <definedName name="BuiltIn_Print_Area" localSheetId="24">'SCE-COMP'!#REF!</definedName>
    <definedName name="BuiltIn_Print_Area" localSheetId="25">'SEG-COMP'!#REF!</definedName>
    <definedName name="BuiltIn_Print_Area" localSheetId="26">'SPDA-COMP'!#REF!</definedName>
    <definedName name="BuiltIn_Print_Area">#REF!</definedName>
    <definedName name="BuiltIn_Print_Area___0" localSheetId="13">'ADM-COMP'!#REF!</definedName>
    <definedName name="BuiltIn_Print_Area___0" localSheetId="17">'CLI-COMP'!#REF!</definedName>
    <definedName name="BuiltIn_Print_Area___0" localSheetId="18">'EST-COMP'!#REF!</definedName>
    <definedName name="BuiltIn_Print_Area___0" localSheetId="19">'GAS-COMP'!#REF!</definedName>
    <definedName name="BuiltIn_Print_Area___0" localSheetId="21">'HID-COMP'!#REF!</definedName>
    <definedName name="BuiltIn_Print_Area___0" localSheetId="20">'IMPER-COMP'!#REF!</definedName>
    <definedName name="BuiltIn_Print_Area___0" localSheetId="22">'IMPL-COMP'!#REF!</definedName>
    <definedName name="BuiltIn_Print_Area___0" localSheetId="23">'INC-COMP'!#REF!</definedName>
    <definedName name="BuiltIn_Print_Area___0" localSheetId="24">'SCE-COMP'!#REF!</definedName>
    <definedName name="BuiltIn_Print_Area___0" localSheetId="25">'SEG-COMP'!#REF!</definedName>
    <definedName name="BuiltIn_Print_Area___0" localSheetId="26">'SPDA-COMP'!#REF!</definedName>
    <definedName name="BuiltIn_Print_Area___0">#REF!</definedName>
    <definedName name="BuiltIn_Print_Area___0___0" localSheetId="13">'ADM-COMP'!#REF!</definedName>
    <definedName name="BuiltIn_Print_Area___0___0" localSheetId="17">'CLI-COMP'!#REF!</definedName>
    <definedName name="BuiltIn_Print_Area___0___0" localSheetId="18">'EST-COMP'!#REF!</definedName>
    <definedName name="BuiltIn_Print_Area___0___0" localSheetId="19">'GAS-COMP'!#REF!</definedName>
    <definedName name="BuiltIn_Print_Area___0___0" localSheetId="21">'HID-COMP'!#REF!</definedName>
    <definedName name="BuiltIn_Print_Area___0___0" localSheetId="20">'IMPER-COMP'!#REF!</definedName>
    <definedName name="BuiltIn_Print_Area___0___0" localSheetId="22">'IMPL-COMP'!#REF!</definedName>
    <definedName name="BuiltIn_Print_Area___0___0" localSheetId="23">'INC-COMP'!#REF!</definedName>
    <definedName name="BuiltIn_Print_Area___0___0" localSheetId="24">'SCE-COMP'!#REF!</definedName>
    <definedName name="BuiltIn_Print_Area___0___0" localSheetId="25">'SEG-COMP'!#REF!</definedName>
    <definedName name="BuiltIn_Print_Area___0___0" localSheetId="26">'SPDA-COMP'!#REF!</definedName>
    <definedName name="BuiltIn_Print_Area___0___0">#REF!</definedName>
    <definedName name="BuiltIn_Print_Area___0___0___0" localSheetId="13">'ADM-COMP'!#REF!</definedName>
    <definedName name="BuiltIn_Print_Area___0___0___0" localSheetId="17">'CLI-COMP'!#REF!</definedName>
    <definedName name="BuiltIn_Print_Area___0___0___0" localSheetId="18">'EST-COMP'!#REF!</definedName>
    <definedName name="BuiltIn_Print_Area___0___0___0" localSheetId="19">'GAS-COMP'!#REF!</definedName>
    <definedName name="BuiltIn_Print_Area___0___0___0" localSheetId="21">'HID-COMP'!#REF!</definedName>
    <definedName name="BuiltIn_Print_Area___0___0___0" localSheetId="20">'IMPER-COMP'!#REF!</definedName>
    <definedName name="BuiltIn_Print_Area___0___0___0" localSheetId="22">'IMPL-COMP'!#REF!</definedName>
    <definedName name="BuiltIn_Print_Area___0___0___0" localSheetId="23">'INC-COMP'!#REF!</definedName>
    <definedName name="BuiltIn_Print_Area___0___0___0" localSheetId="24">'SCE-COMP'!#REF!</definedName>
    <definedName name="BuiltIn_Print_Area___0___0___0" localSheetId="25">'SEG-COMP'!#REF!</definedName>
    <definedName name="BuiltIn_Print_Area___0___0___0" localSheetId="26">'SPDA-COMP'!#REF!</definedName>
    <definedName name="BuiltIn_Print_Area___0___0___0">#REF!</definedName>
    <definedName name="BuiltIn_Print_Area___0___0___0___0" localSheetId="13">'ADM-COMP'!#REF!</definedName>
    <definedName name="BuiltIn_Print_Area___0___0___0___0" localSheetId="17">'CLI-COMP'!#REF!</definedName>
    <definedName name="BuiltIn_Print_Area___0___0___0___0" localSheetId="18">'EST-COMP'!#REF!</definedName>
    <definedName name="BuiltIn_Print_Area___0___0___0___0" localSheetId="19">'GAS-COMP'!#REF!</definedName>
    <definedName name="BuiltIn_Print_Area___0___0___0___0" localSheetId="21">'HID-COMP'!#REF!</definedName>
    <definedName name="BuiltIn_Print_Area___0___0___0___0" localSheetId="20">'IMPER-COMP'!#REF!</definedName>
    <definedName name="BuiltIn_Print_Area___0___0___0___0" localSheetId="22">'IMPL-COMP'!#REF!</definedName>
    <definedName name="BuiltIn_Print_Area___0___0___0___0" localSheetId="23">'INC-COMP'!#REF!</definedName>
    <definedName name="BuiltIn_Print_Area___0___0___0___0" localSheetId="24">'SCE-COMP'!#REF!</definedName>
    <definedName name="BuiltIn_Print_Area___0___0___0___0" localSheetId="25">'SEG-COMP'!#REF!</definedName>
    <definedName name="BuiltIn_Print_Area___0___0___0___0" localSheetId="26">'SPDA-COMP'!#REF!</definedName>
    <definedName name="BuiltIn_Print_Area___0___0___0___0">#REF!</definedName>
    <definedName name="BuiltIn_Print_Area___0___0___0___0___0" localSheetId="13">'ADM-COMP'!#REF!</definedName>
    <definedName name="BuiltIn_Print_Area___0___0___0___0___0" localSheetId="17">'CLI-COMP'!#REF!</definedName>
    <definedName name="BuiltIn_Print_Area___0___0___0___0___0" localSheetId="18">'EST-COMP'!#REF!</definedName>
    <definedName name="BuiltIn_Print_Area___0___0___0___0___0" localSheetId="19">'GAS-COMP'!#REF!</definedName>
    <definedName name="BuiltIn_Print_Area___0___0___0___0___0" localSheetId="21">'HID-COMP'!#REF!</definedName>
    <definedName name="BuiltIn_Print_Area___0___0___0___0___0" localSheetId="20">'IMPER-COMP'!#REF!</definedName>
    <definedName name="BuiltIn_Print_Area___0___0___0___0___0" localSheetId="22">'IMPL-COMP'!#REF!</definedName>
    <definedName name="BuiltIn_Print_Area___0___0___0___0___0" localSheetId="23">'INC-COMP'!#REF!</definedName>
    <definedName name="BuiltIn_Print_Area___0___0___0___0___0" localSheetId="24">'SCE-COMP'!#REF!</definedName>
    <definedName name="BuiltIn_Print_Area___0___0___0___0___0" localSheetId="25">'SEG-COMP'!#REF!</definedName>
    <definedName name="BuiltIn_Print_Area___0___0___0___0___0" localSheetId="26">'SPDA-COMP'!#REF!</definedName>
    <definedName name="BuiltIn_Print_Area___0___0___0___0___0">#REF!</definedName>
    <definedName name="BuiltIn_Print_Area___0___0___0___0___0___0" localSheetId="13">'ADM-COMP'!#REF!</definedName>
    <definedName name="BuiltIn_Print_Area___0___0___0___0___0___0" localSheetId="17">'CLI-COMP'!#REF!</definedName>
    <definedName name="BuiltIn_Print_Area___0___0___0___0___0___0" localSheetId="18">'EST-COMP'!#REF!</definedName>
    <definedName name="BuiltIn_Print_Area___0___0___0___0___0___0" localSheetId="19">'GAS-COMP'!#REF!</definedName>
    <definedName name="BuiltIn_Print_Area___0___0___0___0___0___0" localSheetId="21">'HID-COMP'!#REF!</definedName>
    <definedName name="BuiltIn_Print_Area___0___0___0___0___0___0" localSheetId="20">'IMPER-COMP'!#REF!</definedName>
    <definedName name="BuiltIn_Print_Area___0___0___0___0___0___0" localSheetId="22">'IMPL-COMP'!#REF!</definedName>
    <definedName name="BuiltIn_Print_Area___0___0___0___0___0___0" localSheetId="23">'INC-COMP'!#REF!</definedName>
    <definedName name="BuiltIn_Print_Area___0___0___0___0___0___0" localSheetId="24">'SCE-COMP'!#REF!</definedName>
    <definedName name="BuiltIn_Print_Area___0___0___0___0___0___0" localSheetId="25">'SEG-COMP'!#REF!</definedName>
    <definedName name="BuiltIn_Print_Area___0___0___0___0___0___0" localSheetId="26">'SPDA-COMP'!#REF!</definedName>
    <definedName name="BuiltIn_Print_Area___0___0___0___0___0___0">#REF!</definedName>
    <definedName name="BuiltIn_Print_Area___0___0___0___0___0___0___0" localSheetId="13">'ADM-COMP'!#REF!</definedName>
    <definedName name="BuiltIn_Print_Area___0___0___0___0___0___0___0" localSheetId="17">'CLI-COMP'!#REF!</definedName>
    <definedName name="BuiltIn_Print_Area___0___0___0___0___0___0___0" localSheetId="18">'EST-COMP'!#REF!</definedName>
    <definedName name="BuiltIn_Print_Area___0___0___0___0___0___0___0" localSheetId="19">'GAS-COMP'!#REF!</definedName>
    <definedName name="BuiltIn_Print_Area___0___0___0___0___0___0___0" localSheetId="21">'HID-COMP'!#REF!</definedName>
    <definedName name="BuiltIn_Print_Area___0___0___0___0___0___0___0" localSheetId="20">'IMPER-COMP'!#REF!</definedName>
    <definedName name="BuiltIn_Print_Area___0___0___0___0___0___0___0" localSheetId="22">'IMPL-COMP'!#REF!</definedName>
    <definedName name="BuiltIn_Print_Area___0___0___0___0___0___0___0" localSheetId="23">'INC-COMP'!#REF!</definedName>
    <definedName name="BuiltIn_Print_Area___0___0___0___0___0___0___0" localSheetId="24">'SCE-COMP'!#REF!</definedName>
    <definedName name="BuiltIn_Print_Area___0___0___0___0___0___0___0" localSheetId="25">'SEG-COMP'!#REF!</definedName>
    <definedName name="BuiltIn_Print_Area___0___0___0___0___0___0___0" localSheetId="26">'SPDA-COMP'!#REF!</definedName>
    <definedName name="BuiltIn_Print_Area___0___0___0___0___0___0___0">#REF!</definedName>
    <definedName name="BuiltIn_Print_Area___0___0___0___0___0___0___0___0___0" localSheetId="13">'ADM-COMP'!#REF!</definedName>
    <definedName name="BuiltIn_Print_Area___0___0___0___0___0___0___0___0___0" localSheetId="17">'CLI-COMP'!#REF!</definedName>
    <definedName name="BuiltIn_Print_Area___0___0___0___0___0___0___0___0___0" localSheetId="18">'EST-COMP'!#REF!</definedName>
    <definedName name="BuiltIn_Print_Area___0___0___0___0___0___0___0___0___0" localSheetId="19">'GAS-COMP'!#REF!</definedName>
    <definedName name="BuiltIn_Print_Area___0___0___0___0___0___0___0___0___0" localSheetId="21">'HID-COMP'!#REF!</definedName>
    <definedName name="BuiltIn_Print_Area___0___0___0___0___0___0___0___0___0" localSheetId="20">'IMPER-COMP'!#REF!</definedName>
    <definedName name="BuiltIn_Print_Area___0___0___0___0___0___0___0___0___0" localSheetId="22">'IMPL-COMP'!#REF!</definedName>
    <definedName name="BuiltIn_Print_Area___0___0___0___0___0___0___0___0___0" localSheetId="23">'INC-COMP'!#REF!</definedName>
    <definedName name="BuiltIn_Print_Area___0___0___0___0___0___0___0___0___0" localSheetId="24">'SCE-COMP'!#REF!</definedName>
    <definedName name="BuiltIn_Print_Area___0___0___0___0___0___0___0___0___0" localSheetId="25">'SEG-COMP'!#REF!</definedName>
    <definedName name="BuiltIn_Print_Area___0___0___0___0___0___0___0___0___0" localSheetId="26">'SPDA-COMP'!#REF!</definedName>
    <definedName name="BuiltIn_Print_Area___0___0___0___0___0___0___0___0___0">#REF!</definedName>
    <definedName name="BuiltIn_Print_Area___0___0___10" localSheetId="13">'ADM-COMP'!#REF!</definedName>
    <definedName name="BuiltIn_Print_Area___0___0___10" localSheetId="17">'CLI-COMP'!#REF!</definedName>
    <definedName name="BuiltIn_Print_Area___0___0___10" localSheetId="18">'EST-COMP'!#REF!</definedName>
    <definedName name="BuiltIn_Print_Area___0___0___10" localSheetId="19">'GAS-COMP'!#REF!</definedName>
    <definedName name="BuiltIn_Print_Area___0___0___10" localSheetId="21">'HID-COMP'!#REF!</definedName>
    <definedName name="BuiltIn_Print_Area___0___0___10" localSheetId="20">'IMPER-COMP'!#REF!</definedName>
    <definedName name="BuiltIn_Print_Area___0___0___10" localSheetId="22">'IMPL-COMP'!#REF!</definedName>
    <definedName name="BuiltIn_Print_Area___0___0___10" localSheetId="23">'INC-COMP'!#REF!</definedName>
    <definedName name="BuiltIn_Print_Area___0___0___10" localSheetId="24">'SCE-COMP'!#REF!</definedName>
    <definedName name="BuiltIn_Print_Area___0___0___10" localSheetId="25">'SEG-COMP'!#REF!</definedName>
    <definedName name="BuiltIn_Print_Area___0___0___10" localSheetId="26">'SPDA-COMP'!#REF!</definedName>
    <definedName name="BuiltIn_Print_Area___0___0___10">#REF!</definedName>
    <definedName name="BuiltIn_Print_Area___0___1" localSheetId="13">'ADM-COMP'!#REF!</definedName>
    <definedName name="BuiltIn_Print_Area___0___1" localSheetId="17">'CLI-COMP'!#REF!</definedName>
    <definedName name="BuiltIn_Print_Area___0___1" localSheetId="18">'EST-COMP'!#REF!</definedName>
    <definedName name="BuiltIn_Print_Area___0___1" localSheetId="19">'GAS-COMP'!#REF!</definedName>
    <definedName name="BuiltIn_Print_Area___0___1" localSheetId="21">'HID-COMP'!#REF!</definedName>
    <definedName name="BuiltIn_Print_Area___0___1" localSheetId="20">'IMPER-COMP'!#REF!</definedName>
    <definedName name="BuiltIn_Print_Area___0___1" localSheetId="22">'IMPL-COMP'!#REF!</definedName>
    <definedName name="BuiltIn_Print_Area___0___1" localSheetId="23">'INC-COMP'!#REF!</definedName>
    <definedName name="BuiltIn_Print_Area___0___1" localSheetId="24">'SCE-COMP'!#REF!</definedName>
    <definedName name="BuiltIn_Print_Area___0___1" localSheetId="25">'SEG-COMP'!#REF!</definedName>
    <definedName name="BuiltIn_Print_Area___0___1" localSheetId="26">'SPDA-COMP'!#REF!</definedName>
    <definedName name="BuiltIn_Print_Area___0___1">#REF!</definedName>
    <definedName name="BuiltIn_Print_Area___0___1___0" localSheetId="13">'ADM-COMP'!#REF!</definedName>
    <definedName name="BuiltIn_Print_Area___0___1___0" localSheetId="17">'CLI-COMP'!#REF!</definedName>
    <definedName name="BuiltIn_Print_Area___0___1___0" localSheetId="18">'EST-COMP'!#REF!</definedName>
    <definedName name="BuiltIn_Print_Area___0___1___0" localSheetId="19">'GAS-COMP'!#REF!</definedName>
    <definedName name="BuiltIn_Print_Area___0___1___0" localSheetId="21">'HID-COMP'!#REF!</definedName>
    <definedName name="BuiltIn_Print_Area___0___1___0" localSheetId="20">'IMPER-COMP'!#REF!</definedName>
    <definedName name="BuiltIn_Print_Area___0___1___0" localSheetId="22">'IMPL-COMP'!#REF!</definedName>
    <definedName name="BuiltIn_Print_Area___0___1___0" localSheetId="23">'INC-COMP'!#REF!</definedName>
    <definedName name="BuiltIn_Print_Area___0___1___0" localSheetId="24">'SCE-COMP'!#REF!</definedName>
    <definedName name="BuiltIn_Print_Area___0___1___0" localSheetId="25">'SEG-COMP'!#REF!</definedName>
    <definedName name="BuiltIn_Print_Area___0___1___0" localSheetId="26">'SPDA-COMP'!#REF!</definedName>
    <definedName name="BuiltIn_Print_Area___0___1___0">#REF!</definedName>
    <definedName name="BuiltIn_Print_Area___0___1___0___0" localSheetId="13">'ADM-COMP'!#REF!</definedName>
    <definedName name="BuiltIn_Print_Area___0___1___0___0" localSheetId="17">'CLI-COMP'!#REF!</definedName>
    <definedName name="BuiltIn_Print_Area___0___1___0___0" localSheetId="18">'EST-COMP'!#REF!</definedName>
    <definedName name="BuiltIn_Print_Area___0___1___0___0" localSheetId="19">'GAS-COMP'!#REF!</definedName>
    <definedName name="BuiltIn_Print_Area___0___1___0___0" localSheetId="21">'HID-COMP'!#REF!</definedName>
    <definedName name="BuiltIn_Print_Area___0___1___0___0" localSheetId="20">'IMPER-COMP'!#REF!</definedName>
    <definedName name="BuiltIn_Print_Area___0___1___0___0" localSheetId="22">'IMPL-COMP'!#REF!</definedName>
    <definedName name="BuiltIn_Print_Area___0___1___0___0" localSheetId="23">'INC-COMP'!#REF!</definedName>
    <definedName name="BuiltIn_Print_Area___0___1___0___0" localSheetId="24">'SCE-COMP'!#REF!</definedName>
    <definedName name="BuiltIn_Print_Area___0___1___0___0" localSheetId="25">'SEG-COMP'!#REF!</definedName>
    <definedName name="BuiltIn_Print_Area___0___1___0___0" localSheetId="26">'SPDA-COMP'!#REF!</definedName>
    <definedName name="BuiltIn_Print_Area___0___1___0___0">#REF!</definedName>
    <definedName name="BuiltIn_Print_Area___0___1___0___0___0" localSheetId="13">'ADM-COMP'!#REF!</definedName>
    <definedName name="BuiltIn_Print_Area___0___1___0___0___0" localSheetId="17">'CLI-COMP'!#REF!</definedName>
    <definedName name="BuiltIn_Print_Area___0___1___0___0___0" localSheetId="18">'EST-COMP'!#REF!</definedName>
    <definedName name="BuiltIn_Print_Area___0___1___0___0___0" localSheetId="19">'GAS-COMP'!#REF!</definedName>
    <definedName name="BuiltIn_Print_Area___0___1___0___0___0" localSheetId="21">'HID-COMP'!#REF!</definedName>
    <definedName name="BuiltIn_Print_Area___0___1___0___0___0" localSheetId="20">'IMPER-COMP'!#REF!</definedName>
    <definedName name="BuiltIn_Print_Area___0___1___0___0___0" localSheetId="22">'IMPL-COMP'!#REF!</definedName>
    <definedName name="BuiltIn_Print_Area___0___1___0___0___0" localSheetId="23">'INC-COMP'!#REF!</definedName>
    <definedName name="BuiltIn_Print_Area___0___1___0___0___0" localSheetId="24">'SCE-COMP'!#REF!</definedName>
    <definedName name="BuiltIn_Print_Area___0___1___0___0___0" localSheetId="25">'SEG-COMP'!#REF!</definedName>
    <definedName name="BuiltIn_Print_Area___0___1___0___0___0" localSheetId="26">'SPDA-COMP'!#REF!</definedName>
    <definedName name="BuiltIn_Print_Area___0___1___0___0___0">#REF!</definedName>
    <definedName name="BuiltIn_Print_Area___0___1___0___0___0___0" localSheetId="13">'ADM-COMP'!#REF!</definedName>
    <definedName name="BuiltIn_Print_Area___0___1___0___0___0___0" localSheetId="17">'CLI-COMP'!#REF!</definedName>
    <definedName name="BuiltIn_Print_Area___0___1___0___0___0___0" localSheetId="18">'EST-COMP'!#REF!</definedName>
    <definedName name="BuiltIn_Print_Area___0___1___0___0___0___0" localSheetId="19">'GAS-COMP'!#REF!</definedName>
    <definedName name="BuiltIn_Print_Area___0___1___0___0___0___0" localSheetId="21">'HID-COMP'!#REF!</definedName>
    <definedName name="BuiltIn_Print_Area___0___1___0___0___0___0" localSheetId="20">'IMPER-COMP'!#REF!</definedName>
    <definedName name="BuiltIn_Print_Area___0___1___0___0___0___0" localSheetId="22">'IMPL-COMP'!#REF!</definedName>
    <definedName name="BuiltIn_Print_Area___0___1___0___0___0___0" localSheetId="23">'INC-COMP'!#REF!</definedName>
    <definedName name="BuiltIn_Print_Area___0___1___0___0___0___0" localSheetId="24">'SCE-COMP'!#REF!</definedName>
    <definedName name="BuiltIn_Print_Area___0___1___0___0___0___0" localSheetId="25">'SEG-COMP'!#REF!</definedName>
    <definedName name="BuiltIn_Print_Area___0___1___0___0___0___0" localSheetId="26">'SPDA-COMP'!#REF!</definedName>
    <definedName name="BuiltIn_Print_Area___0___1___0___0___0___0">#REF!</definedName>
    <definedName name="BuiltIn_Print_Area___0___1___0___0___0___0___0" localSheetId="13">'ADM-COMP'!#REF!</definedName>
    <definedName name="BuiltIn_Print_Area___0___1___0___0___0___0___0" localSheetId="17">'CLI-COMP'!#REF!</definedName>
    <definedName name="BuiltIn_Print_Area___0___1___0___0___0___0___0" localSheetId="18">'EST-COMP'!#REF!</definedName>
    <definedName name="BuiltIn_Print_Area___0___1___0___0___0___0___0" localSheetId="19">'GAS-COMP'!#REF!</definedName>
    <definedName name="BuiltIn_Print_Area___0___1___0___0___0___0___0" localSheetId="21">'HID-COMP'!#REF!</definedName>
    <definedName name="BuiltIn_Print_Area___0___1___0___0___0___0___0" localSheetId="20">'IMPER-COMP'!#REF!</definedName>
    <definedName name="BuiltIn_Print_Area___0___1___0___0___0___0___0" localSheetId="22">'IMPL-COMP'!#REF!</definedName>
    <definedName name="BuiltIn_Print_Area___0___1___0___0___0___0___0" localSheetId="23">'INC-COMP'!#REF!</definedName>
    <definedName name="BuiltIn_Print_Area___0___1___0___0___0___0___0" localSheetId="24">'SCE-COMP'!#REF!</definedName>
    <definedName name="BuiltIn_Print_Area___0___1___0___0___0___0___0" localSheetId="25">'SEG-COMP'!#REF!</definedName>
    <definedName name="BuiltIn_Print_Area___0___1___0___0___0___0___0" localSheetId="26">'SPDA-COMP'!#REF!</definedName>
    <definedName name="BuiltIn_Print_Area___0___1___0___0___0___0___0">#REF!</definedName>
    <definedName name="BuiltIn_Print_Area___0___1___0___0___0___0___0___0" localSheetId="13">'ADM-COMP'!#REF!</definedName>
    <definedName name="BuiltIn_Print_Area___0___1___0___0___0___0___0___0" localSheetId="17">'CLI-COMP'!#REF!</definedName>
    <definedName name="BuiltIn_Print_Area___0___1___0___0___0___0___0___0" localSheetId="18">'EST-COMP'!#REF!</definedName>
    <definedName name="BuiltIn_Print_Area___0___1___0___0___0___0___0___0" localSheetId="19">'GAS-COMP'!#REF!</definedName>
    <definedName name="BuiltIn_Print_Area___0___1___0___0___0___0___0___0" localSheetId="21">'HID-COMP'!#REF!</definedName>
    <definedName name="BuiltIn_Print_Area___0___1___0___0___0___0___0___0" localSheetId="20">'IMPER-COMP'!#REF!</definedName>
    <definedName name="BuiltIn_Print_Area___0___1___0___0___0___0___0___0" localSheetId="22">'IMPL-COMP'!#REF!</definedName>
    <definedName name="BuiltIn_Print_Area___0___1___0___0___0___0___0___0" localSheetId="23">'INC-COMP'!#REF!</definedName>
    <definedName name="BuiltIn_Print_Area___0___1___0___0___0___0___0___0" localSheetId="24">'SCE-COMP'!#REF!</definedName>
    <definedName name="BuiltIn_Print_Area___0___1___0___0___0___0___0___0" localSheetId="25">'SEG-COMP'!#REF!</definedName>
    <definedName name="BuiltIn_Print_Area___0___1___0___0___0___0___0___0" localSheetId="26">'SPDA-COMP'!#REF!</definedName>
    <definedName name="BuiltIn_Print_Area___0___1___0___0___0___0___0___0">#REF!</definedName>
    <definedName name="BuiltIn_Print_Area___0___1___0___0___0___0___0___0___0" localSheetId="13">'ADM-COMP'!#REF!</definedName>
    <definedName name="BuiltIn_Print_Area___0___1___0___0___0___0___0___0___0" localSheetId="17">'CLI-COMP'!#REF!</definedName>
    <definedName name="BuiltIn_Print_Area___0___1___0___0___0___0___0___0___0" localSheetId="18">'EST-COMP'!#REF!</definedName>
    <definedName name="BuiltIn_Print_Area___0___1___0___0___0___0___0___0___0" localSheetId="19">'GAS-COMP'!#REF!</definedName>
    <definedName name="BuiltIn_Print_Area___0___1___0___0___0___0___0___0___0" localSheetId="21">'HID-COMP'!#REF!</definedName>
    <definedName name="BuiltIn_Print_Area___0___1___0___0___0___0___0___0___0" localSheetId="20">'IMPER-COMP'!#REF!</definedName>
    <definedName name="BuiltIn_Print_Area___0___1___0___0___0___0___0___0___0" localSheetId="22">'IMPL-COMP'!#REF!</definedName>
    <definedName name="BuiltIn_Print_Area___0___1___0___0___0___0___0___0___0" localSheetId="23">'INC-COMP'!#REF!</definedName>
    <definedName name="BuiltIn_Print_Area___0___1___0___0___0___0___0___0___0" localSheetId="24">'SCE-COMP'!#REF!</definedName>
    <definedName name="BuiltIn_Print_Area___0___1___0___0___0___0___0___0___0" localSheetId="25">'SEG-COMP'!#REF!</definedName>
    <definedName name="BuiltIn_Print_Area___0___1___0___0___0___0___0___0___0" localSheetId="26">'SPDA-COMP'!#REF!</definedName>
    <definedName name="BuiltIn_Print_Area___0___1___0___0___0___0___0___0___0">#REF!</definedName>
    <definedName name="BuiltIn_Print_Area___0___1___0___0___0___0___0___0___0___0" localSheetId="13">'ADM-COMP'!#REF!</definedName>
    <definedName name="BuiltIn_Print_Area___0___1___0___0___0___0___0___0___0___0" localSheetId="17">'CLI-COMP'!#REF!</definedName>
    <definedName name="BuiltIn_Print_Area___0___1___0___0___0___0___0___0___0___0" localSheetId="18">'EST-COMP'!#REF!</definedName>
    <definedName name="BuiltIn_Print_Area___0___1___0___0___0___0___0___0___0___0" localSheetId="19">'GAS-COMP'!#REF!</definedName>
    <definedName name="BuiltIn_Print_Area___0___1___0___0___0___0___0___0___0___0" localSheetId="21">'HID-COMP'!#REF!</definedName>
    <definedName name="BuiltIn_Print_Area___0___1___0___0___0___0___0___0___0___0" localSheetId="20">'IMPER-COMP'!#REF!</definedName>
    <definedName name="BuiltIn_Print_Area___0___1___0___0___0___0___0___0___0___0" localSheetId="22">'IMPL-COMP'!#REF!</definedName>
    <definedName name="BuiltIn_Print_Area___0___1___0___0___0___0___0___0___0___0" localSheetId="23">'INC-COMP'!#REF!</definedName>
    <definedName name="BuiltIn_Print_Area___0___1___0___0___0___0___0___0___0___0" localSheetId="24">'SCE-COMP'!#REF!</definedName>
    <definedName name="BuiltIn_Print_Area___0___1___0___0___0___0___0___0___0___0" localSheetId="25">'SEG-COMP'!#REF!</definedName>
    <definedName name="BuiltIn_Print_Area___0___1___0___0___0___0___0___0___0___0" localSheetId="26">'SPDA-COMP'!#REF!</definedName>
    <definedName name="BuiltIn_Print_Area___0___1___0___0___0___0___0___0___0___0">#REF!</definedName>
    <definedName name="BuiltIn_Print_Area___0___1___0___0___0___0___0___0___0___0_1" localSheetId="13">'ADM-COMP'!#REF!</definedName>
    <definedName name="BuiltIn_Print_Area___0___1___0___0___0___0___0___0___0___0_1" localSheetId="17">'CLI-COMP'!#REF!</definedName>
    <definedName name="BuiltIn_Print_Area___0___1___0___0___0___0___0___0___0___0_1" localSheetId="18">'EST-COMP'!#REF!</definedName>
    <definedName name="BuiltIn_Print_Area___0___1___0___0___0___0___0___0___0___0_1" localSheetId="19">'GAS-COMP'!#REF!</definedName>
    <definedName name="BuiltIn_Print_Area___0___1___0___0___0___0___0___0___0___0_1" localSheetId="21">'HID-COMP'!#REF!</definedName>
    <definedName name="BuiltIn_Print_Area___0___1___0___0___0___0___0___0___0___0_1" localSheetId="20">'IMPER-COMP'!#REF!</definedName>
    <definedName name="BuiltIn_Print_Area___0___1___0___0___0___0___0___0___0___0_1" localSheetId="22">'IMPL-COMP'!#REF!</definedName>
    <definedName name="BuiltIn_Print_Area___0___1___0___0___0___0___0___0___0___0_1" localSheetId="23">'INC-COMP'!#REF!</definedName>
    <definedName name="BuiltIn_Print_Area___0___1___0___0___0___0___0___0___0___0_1" localSheetId="24">'SCE-COMP'!#REF!</definedName>
    <definedName name="BuiltIn_Print_Area___0___1___0___0___0___0___0___0___0___0_1" localSheetId="25">'SEG-COMP'!#REF!</definedName>
    <definedName name="BuiltIn_Print_Area___0___1___0___0___0___0___0___0___0___0_1" localSheetId="26">'SPDA-COMP'!#REF!</definedName>
    <definedName name="BuiltIn_Print_Area___0___1___0___0___0___0___0___0___0___0_1">#REF!</definedName>
    <definedName name="BuiltIn_Print_Area___0___1___0___0___0___0___0___0___0___0_1_1" localSheetId="13">'ADM-COMP'!#REF!</definedName>
    <definedName name="BuiltIn_Print_Area___0___1___0___0___0___0___0___0___0___0_1_1" localSheetId="17">'CLI-COMP'!#REF!</definedName>
    <definedName name="BuiltIn_Print_Area___0___1___0___0___0___0___0___0___0___0_1_1" localSheetId="18">'EST-COMP'!#REF!</definedName>
    <definedName name="BuiltIn_Print_Area___0___1___0___0___0___0___0___0___0___0_1_1" localSheetId="19">'GAS-COMP'!#REF!</definedName>
    <definedName name="BuiltIn_Print_Area___0___1___0___0___0___0___0___0___0___0_1_1" localSheetId="21">'HID-COMP'!#REF!</definedName>
    <definedName name="BuiltIn_Print_Area___0___1___0___0___0___0___0___0___0___0_1_1" localSheetId="20">'IMPER-COMP'!#REF!</definedName>
    <definedName name="BuiltIn_Print_Area___0___1___0___0___0___0___0___0___0___0_1_1" localSheetId="22">'IMPL-COMP'!#REF!</definedName>
    <definedName name="BuiltIn_Print_Area___0___1___0___0___0___0___0___0___0___0_1_1" localSheetId="23">'INC-COMP'!#REF!</definedName>
    <definedName name="BuiltIn_Print_Area___0___1___0___0___0___0___0___0___0___0_1_1" localSheetId="24">'SCE-COMP'!#REF!</definedName>
    <definedName name="BuiltIn_Print_Area___0___1___0___0___0___0___0___0___0___0_1_1" localSheetId="25">'SEG-COMP'!#REF!</definedName>
    <definedName name="BuiltIn_Print_Area___0___1___0___0___0___0___0___0___0___0_1_1" localSheetId="26">'SPDA-COMP'!#REF!</definedName>
    <definedName name="BuiltIn_Print_Area___0___1___0___0___0___0___0___0___0___0_1_1">#REF!</definedName>
    <definedName name="BuiltIn_Print_Area___0___1___0___0___0___0___0___0___0_1" localSheetId="13">'ADM-COMP'!#REF!</definedName>
    <definedName name="BuiltIn_Print_Area___0___1___0___0___0___0___0___0___0_1" localSheetId="17">'CLI-COMP'!#REF!</definedName>
    <definedName name="BuiltIn_Print_Area___0___1___0___0___0___0___0___0___0_1" localSheetId="18">'EST-COMP'!#REF!</definedName>
    <definedName name="BuiltIn_Print_Area___0___1___0___0___0___0___0___0___0_1" localSheetId="19">'GAS-COMP'!#REF!</definedName>
    <definedName name="BuiltIn_Print_Area___0___1___0___0___0___0___0___0___0_1" localSheetId="21">'HID-COMP'!#REF!</definedName>
    <definedName name="BuiltIn_Print_Area___0___1___0___0___0___0___0___0___0_1" localSheetId="20">'IMPER-COMP'!#REF!</definedName>
    <definedName name="BuiltIn_Print_Area___0___1___0___0___0___0___0___0___0_1" localSheetId="22">'IMPL-COMP'!#REF!</definedName>
    <definedName name="BuiltIn_Print_Area___0___1___0___0___0___0___0___0___0_1" localSheetId="23">'INC-COMP'!#REF!</definedName>
    <definedName name="BuiltIn_Print_Area___0___1___0___0___0___0___0___0___0_1" localSheetId="24">'SCE-COMP'!#REF!</definedName>
    <definedName name="BuiltIn_Print_Area___0___1___0___0___0___0___0___0___0_1" localSheetId="25">'SEG-COMP'!#REF!</definedName>
    <definedName name="BuiltIn_Print_Area___0___1___0___0___0___0___0___0___0_1" localSheetId="26">'SPDA-COMP'!#REF!</definedName>
    <definedName name="BuiltIn_Print_Area___0___1___0___0___0___0___0___0___0_1">#REF!</definedName>
    <definedName name="BuiltIn_Print_Area___0___1___0___0___0___0___0___0___0_1_1" localSheetId="13">'ADM-COMP'!#REF!</definedName>
    <definedName name="BuiltIn_Print_Area___0___1___0___0___0___0___0___0___0_1_1" localSheetId="17">'CLI-COMP'!#REF!</definedName>
    <definedName name="BuiltIn_Print_Area___0___1___0___0___0___0___0___0___0_1_1" localSheetId="18">'EST-COMP'!#REF!</definedName>
    <definedName name="BuiltIn_Print_Area___0___1___0___0___0___0___0___0___0_1_1" localSheetId="19">'GAS-COMP'!#REF!</definedName>
    <definedName name="BuiltIn_Print_Area___0___1___0___0___0___0___0___0___0_1_1" localSheetId="21">'HID-COMP'!#REF!</definedName>
    <definedName name="BuiltIn_Print_Area___0___1___0___0___0___0___0___0___0_1_1" localSheetId="20">'IMPER-COMP'!#REF!</definedName>
    <definedName name="BuiltIn_Print_Area___0___1___0___0___0___0___0___0___0_1_1" localSheetId="22">'IMPL-COMP'!#REF!</definedName>
    <definedName name="BuiltIn_Print_Area___0___1___0___0___0___0___0___0___0_1_1" localSheetId="23">'INC-COMP'!#REF!</definedName>
    <definedName name="BuiltIn_Print_Area___0___1___0___0___0___0___0___0___0_1_1" localSheetId="24">'SCE-COMP'!#REF!</definedName>
    <definedName name="BuiltIn_Print_Area___0___1___0___0___0___0___0___0___0_1_1" localSheetId="25">'SEG-COMP'!#REF!</definedName>
    <definedName name="BuiltIn_Print_Area___0___1___0___0___0___0___0___0___0_1_1" localSheetId="26">'SPDA-COMP'!#REF!</definedName>
    <definedName name="BuiltIn_Print_Area___0___1___0___0___0___0___0___0___0_1_1">#REF!</definedName>
    <definedName name="BuiltIn_Print_Area___0___1___0___0___0___0___0___0_1" localSheetId="13">'ADM-COMP'!#REF!</definedName>
    <definedName name="BuiltIn_Print_Area___0___1___0___0___0___0___0___0_1" localSheetId="17">'CLI-COMP'!#REF!</definedName>
    <definedName name="BuiltIn_Print_Area___0___1___0___0___0___0___0___0_1" localSheetId="18">'EST-COMP'!#REF!</definedName>
    <definedName name="BuiltIn_Print_Area___0___1___0___0___0___0___0___0_1" localSheetId="19">'GAS-COMP'!#REF!</definedName>
    <definedName name="BuiltIn_Print_Area___0___1___0___0___0___0___0___0_1" localSheetId="21">'HID-COMP'!#REF!</definedName>
    <definedName name="BuiltIn_Print_Area___0___1___0___0___0___0___0___0_1" localSheetId="20">'IMPER-COMP'!#REF!</definedName>
    <definedName name="BuiltIn_Print_Area___0___1___0___0___0___0___0___0_1" localSheetId="22">'IMPL-COMP'!#REF!</definedName>
    <definedName name="BuiltIn_Print_Area___0___1___0___0___0___0___0___0_1" localSheetId="23">'INC-COMP'!#REF!</definedName>
    <definedName name="BuiltIn_Print_Area___0___1___0___0___0___0___0___0_1" localSheetId="24">'SCE-COMP'!#REF!</definedName>
    <definedName name="BuiltIn_Print_Area___0___1___0___0___0___0___0___0_1" localSheetId="25">'SEG-COMP'!#REF!</definedName>
    <definedName name="BuiltIn_Print_Area___0___1___0___0___0___0___0___0_1" localSheetId="26">'SPDA-COMP'!#REF!</definedName>
    <definedName name="BuiltIn_Print_Area___0___1___0___0___0___0___0___0_1">#REF!</definedName>
    <definedName name="BuiltIn_Print_Area___0___1___0___0___0___0___0___0_1_1" localSheetId="13">'ADM-COMP'!#REF!</definedName>
    <definedName name="BuiltIn_Print_Area___0___1___0___0___0___0___0___0_1_1" localSheetId="17">'CLI-COMP'!#REF!</definedName>
    <definedName name="BuiltIn_Print_Area___0___1___0___0___0___0___0___0_1_1" localSheetId="18">'EST-COMP'!#REF!</definedName>
    <definedName name="BuiltIn_Print_Area___0___1___0___0___0___0___0___0_1_1" localSheetId="19">'GAS-COMP'!#REF!</definedName>
    <definedName name="BuiltIn_Print_Area___0___1___0___0___0___0___0___0_1_1" localSheetId="21">'HID-COMP'!#REF!</definedName>
    <definedName name="BuiltIn_Print_Area___0___1___0___0___0___0___0___0_1_1" localSheetId="20">'IMPER-COMP'!#REF!</definedName>
    <definedName name="BuiltIn_Print_Area___0___1___0___0___0___0___0___0_1_1" localSheetId="22">'IMPL-COMP'!#REF!</definedName>
    <definedName name="BuiltIn_Print_Area___0___1___0___0___0___0___0___0_1_1" localSheetId="23">'INC-COMP'!#REF!</definedName>
    <definedName name="BuiltIn_Print_Area___0___1___0___0___0___0___0___0_1_1" localSheetId="24">'SCE-COMP'!#REF!</definedName>
    <definedName name="BuiltIn_Print_Area___0___1___0___0___0___0___0___0_1_1" localSheetId="25">'SEG-COMP'!#REF!</definedName>
    <definedName name="BuiltIn_Print_Area___0___1___0___0___0___0___0___0_1_1" localSheetId="26">'SPDA-COMP'!#REF!</definedName>
    <definedName name="BuiltIn_Print_Area___0___1___0___0___0___0___0___0_1_1">#REF!</definedName>
    <definedName name="BuiltIn_Print_Area___0___1___0___0___0___0___0_1" localSheetId="13">'ADM-COMP'!#REF!</definedName>
    <definedName name="BuiltIn_Print_Area___0___1___0___0___0___0___0_1" localSheetId="17">'CLI-COMP'!#REF!</definedName>
    <definedName name="BuiltIn_Print_Area___0___1___0___0___0___0___0_1" localSheetId="18">'EST-COMP'!#REF!</definedName>
    <definedName name="BuiltIn_Print_Area___0___1___0___0___0___0___0_1" localSheetId="19">'GAS-COMP'!#REF!</definedName>
    <definedName name="BuiltIn_Print_Area___0___1___0___0___0___0___0_1" localSheetId="21">'HID-COMP'!#REF!</definedName>
    <definedName name="BuiltIn_Print_Area___0___1___0___0___0___0___0_1" localSheetId="20">'IMPER-COMP'!#REF!</definedName>
    <definedName name="BuiltIn_Print_Area___0___1___0___0___0___0___0_1" localSheetId="22">'IMPL-COMP'!#REF!</definedName>
    <definedName name="BuiltIn_Print_Area___0___1___0___0___0___0___0_1" localSheetId="23">'INC-COMP'!#REF!</definedName>
    <definedName name="BuiltIn_Print_Area___0___1___0___0___0___0___0_1" localSheetId="24">'SCE-COMP'!#REF!</definedName>
    <definedName name="BuiltIn_Print_Area___0___1___0___0___0___0___0_1" localSheetId="25">'SEG-COMP'!#REF!</definedName>
    <definedName name="BuiltIn_Print_Area___0___1___0___0___0___0___0_1" localSheetId="26">'SPDA-COMP'!#REF!</definedName>
    <definedName name="BuiltIn_Print_Area___0___1___0___0___0___0___0_1">#REF!</definedName>
    <definedName name="BuiltIn_Print_Area___0___1___0___0___0___0___0_1_1" localSheetId="13">'ADM-COMP'!#REF!</definedName>
    <definedName name="BuiltIn_Print_Area___0___1___0___0___0___0___0_1_1" localSheetId="17">'CLI-COMP'!#REF!</definedName>
    <definedName name="BuiltIn_Print_Area___0___1___0___0___0___0___0_1_1" localSheetId="18">'EST-COMP'!#REF!</definedName>
    <definedName name="BuiltIn_Print_Area___0___1___0___0___0___0___0_1_1" localSheetId="19">'GAS-COMP'!#REF!</definedName>
    <definedName name="BuiltIn_Print_Area___0___1___0___0___0___0___0_1_1" localSheetId="21">'HID-COMP'!#REF!</definedName>
    <definedName name="BuiltIn_Print_Area___0___1___0___0___0___0___0_1_1" localSheetId="20">'IMPER-COMP'!#REF!</definedName>
    <definedName name="BuiltIn_Print_Area___0___1___0___0___0___0___0_1_1" localSheetId="22">'IMPL-COMP'!#REF!</definedName>
    <definedName name="BuiltIn_Print_Area___0___1___0___0___0___0___0_1_1" localSheetId="23">'INC-COMP'!#REF!</definedName>
    <definedName name="BuiltIn_Print_Area___0___1___0___0___0___0___0_1_1" localSheetId="24">'SCE-COMP'!#REF!</definedName>
    <definedName name="BuiltIn_Print_Area___0___1___0___0___0___0___0_1_1" localSheetId="25">'SEG-COMP'!#REF!</definedName>
    <definedName name="BuiltIn_Print_Area___0___1___0___0___0___0___0_1_1" localSheetId="26">'SPDA-COMP'!#REF!</definedName>
    <definedName name="BuiltIn_Print_Area___0___1___0___0___0___0___0_1_1">#REF!</definedName>
    <definedName name="BuiltIn_Print_Area___0___1___0___0___0___0_1" localSheetId="13">'ADM-COMP'!#REF!</definedName>
    <definedName name="BuiltIn_Print_Area___0___1___0___0___0___0_1" localSheetId="17">'CLI-COMP'!#REF!</definedName>
    <definedName name="BuiltIn_Print_Area___0___1___0___0___0___0_1" localSheetId="18">'EST-COMP'!#REF!</definedName>
    <definedName name="BuiltIn_Print_Area___0___1___0___0___0___0_1" localSheetId="19">'GAS-COMP'!#REF!</definedName>
    <definedName name="BuiltIn_Print_Area___0___1___0___0___0___0_1" localSheetId="21">'HID-COMP'!#REF!</definedName>
    <definedName name="BuiltIn_Print_Area___0___1___0___0___0___0_1" localSheetId="20">'IMPER-COMP'!#REF!</definedName>
    <definedName name="BuiltIn_Print_Area___0___1___0___0___0___0_1" localSheetId="22">'IMPL-COMP'!#REF!</definedName>
    <definedName name="BuiltIn_Print_Area___0___1___0___0___0___0_1" localSheetId="23">'INC-COMP'!#REF!</definedName>
    <definedName name="BuiltIn_Print_Area___0___1___0___0___0___0_1" localSheetId="24">'SCE-COMP'!#REF!</definedName>
    <definedName name="BuiltIn_Print_Area___0___1___0___0___0___0_1" localSheetId="25">'SEG-COMP'!#REF!</definedName>
    <definedName name="BuiltIn_Print_Area___0___1___0___0___0___0_1" localSheetId="26">'SPDA-COMP'!#REF!</definedName>
    <definedName name="BuiltIn_Print_Area___0___1___0___0___0___0_1">#REF!</definedName>
    <definedName name="BuiltIn_Print_Area___0___1___0___0___0___0_1_1" localSheetId="13">'ADM-COMP'!#REF!</definedName>
    <definedName name="BuiltIn_Print_Area___0___1___0___0___0___0_1_1" localSheetId="17">'CLI-COMP'!#REF!</definedName>
    <definedName name="BuiltIn_Print_Area___0___1___0___0___0___0_1_1" localSheetId="18">'EST-COMP'!#REF!</definedName>
    <definedName name="BuiltIn_Print_Area___0___1___0___0___0___0_1_1" localSheetId="19">'GAS-COMP'!#REF!</definedName>
    <definedName name="BuiltIn_Print_Area___0___1___0___0___0___0_1_1" localSheetId="21">'HID-COMP'!#REF!</definedName>
    <definedName name="BuiltIn_Print_Area___0___1___0___0___0___0_1_1" localSheetId="20">'IMPER-COMP'!#REF!</definedName>
    <definedName name="BuiltIn_Print_Area___0___1___0___0___0___0_1_1" localSheetId="22">'IMPL-COMP'!#REF!</definedName>
    <definedName name="BuiltIn_Print_Area___0___1___0___0___0___0_1_1" localSheetId="23">'INC-COMP'!#REF!</definedName>
    <definedName name="BuiltIn_Print_Area___0___1___0___0___0___0_1_1" localSheetId="24">'SCE-COMP'!#REF!</definedName>
    <definedName name="BuiltIn_Print_Area___0___1___0___0___0___0_1_1" localSheetId="25">'SEG-COMP'!#REF!</definedName>
    <definedName name="BuiltIn_Print_Area___0___1___0___0___0___0_1_1" localSheetId="26">'SPDA-COMP'!#REF!</definedName>
    <definedName name="BuiltIn_Print_Area___0___1___0___0___0___0_1_1">#REF!</definedName>
    <definedName name="BuiltIn_Print_Area___0___1___0___0___0_1" localSheetId="13">'ADM-COMP'!#REF!</definedName>
    <definedName name="BuiltIn_Print_Area___0___1___0___0___0_1" localSheetId="17">'CLI-COMP'!#REF!</definedName>
    <definedName name="BuiltIn_Print_Area___0___1___0___0___0_1" localSheetId="18">'EST-COMP'!#REF!</definedName>
    <definedName name="BuiltIn_Print_Area___0___1___0___0___0_1" localSheetId="19">'GAS-COMP'!#REF!</definedName>
    <definedName name="BuiltIn_Print_Area___0___1___0___0___0_1" localSheetId="21">'HID-COMP'!#REF!</definedName>
    <definedName name="BuiltIn_Print_Area___0___1___0___0___0_1" localSheetId="20">'IMPER-COMP'!#REF!</definedName>
    <definedName name="BuiltIn_Print_Area___0___1___0___0___0_1" localSheetId="22">'IMPL-COMP'!#REF!</definedName>
    <definedName name="BuiltIn_Print_Area___0___1___0___0___0_1" localSheetId="23">'INC-COMP'!#REF!</definedName>
    <definedName name="BuiltIn_Print_Area___0___1___0___0___0_1" localSheetId="24">'SCE-COMP'!#REF!</definedName>
    <definedName name="BuiltIn_Print_Area___0___1___0___0___0_1" localSheetId="25">'SEG-COMP'!#REF!</definedName>
    <definedName name="BuiltIn_Print_Area___0___1___0___0___0_1" localSheetId="26">'SPDA-COMP'!#REF!</definedName>
    <definedName name="BuiltIn_Print_Area___0___1___0___0___0_1">#REF!</definedName>
    <definedName name="BuiltIn_Print_Area___0___1___0___0___0_1_1" localSheetId="13">'ADM-COMP'!#REF!</definedName>
    <definedName name="BuiltIn_Print_Area___0___1___0___0___0_1_1" localSheetId="17">'CLI-COMP'!#REF!</definedName>
    <definedName name="BuiltIn_Print_Area___0___1___0___0___0_1_1" localSheetId="18">'EST-COMP'!#REF!</definedName>
    <definedName name="BuiltIn_Print_Area___0___1___0___0___0_1_1" localSheetId="19">'GAS-COMP'!#REF!</definedName>
    <definedName name="BuiltIn_Print_Area___0___1___0___0___0_1_1" localSheetId="21">'HID-COMP'!#REF!</definedName>
    <definedName name="BuiltIn_Print_Area___0___1___0___0___0_1_1" localSheetId="20">'IMPER-COMP'!#REF!</definedName>
    <definedName name="BuiltIn_Print_Area___0___1___0___0___0_1_1" localSheetId="22">'IMPL-COMP'!#REF!</definedName>
    <definedName name="BuiltIn_Print_Area___0___1___0___0___0_1_1" localSheetId="23">'INC-COMP'!#REF!</definedName>
    <definedName name="BuiltIn_Print_Area___0___1___0___0___0_1_1" localSheetId="24">'SCE-COMP'!#REF!</definedName>
    <definedName name="BuiltIn_Print_Area___0___1___0___0___0_1_1" localSheetId="25">'SEG-COMP'!#REF!</definedName>
    <definedName name="BuiltIn_Print_Area___0___1___0___0___0_1_1" localSheetId="26">'SPDA-COMP'!#REF!</definedName>
    <definedName name="BuiltIn_Print_Area___0___1___0___0___0_1_1">#REF!</definedName>
    <definedName name="BuiltIn_Print_Area___0___1___0___0_1" localSheetId="13">'ADM-COMP'!#REF!</definedName>
    <definedName name="BuiltIn_Print_Area___0___1___0___0_1" localSheetId="17">'CLI-COMP'!#REF!</definedName>
    <definedName name="BuiltIn_Print_Area___0___1___0___0_1" localSheetId="18">'EST-COMP'!#REF!</definedName>
    <definedName name="BuiltIn_Print_Area___0___1___0___0_1" localSheetId="19">'GAS-COMP'!#REF!</definedName>
    <definedName name="BuiltIn_Print_Area___0___1___0___0_1" localSheetId="21">'HID-COMP'!#REF!</definedName>
    <definedName name="BuiltIn_Print_Area___0___1___0___0_1" localSheetId="20">'IMPER-COMP'!#REF!</definedName>
    <definedName name="BuiltIn_Print_Area___0___1___0___0_1" localSheetId="22">'IMPL-COMP'!#REF!</definedName>
    <definedName name="BuiltIn_Print_Area___0___1___0___0_1" localSheetId="23">'INC-COMP'!#REF!</definedName>
    <definedName name="BuiltIn_Print_Area___0___1___0___0_1" localSheetId="24">'SCE-COMP'!#REF!</definedName>
    <definedName name="BuiltIn_Print_Area___0___1___0___0_1" localSheetId="25">'SEG-COMP'!#REF!</definedName>
    <definedName name="BuiltIn_Print_Area___0___1___0___0_1" localSheetId="26">'SPDA-COMP'!#REF!</definedName>
    <definedName name="BuiltIn_Print_Area___0___1___0___0_1">#REF!</definedName>
    <definedName name="BuiltIn_Print_Area___0___1___0___0_1_1" localSheetId="13">'ADM-COMP'!#REF!</definedName>
    <definedName name="BuiltIn_Print_Area___0___1___0___0_1_1" localSheetId="17">'CLI-COMP'!#REF!</definedName>
    <definedName name="BuiltIn_Print_Area___0___1___0___0_1_1" localSheetId="18">'EST-COMP'!#REF!</definedName>
    <definedName name="BuiltIn_Print_Area___0___1___0___0_1_1" localSheetId="19">'GAS-COMP'!#REF!</definedName>
    <definedName name="BuiltIn_Print_Area___0___1___0___0_1_1" localSheetId="21">'HID-COMP'!#REF!</definedName>
    <definedName name="BuiltIn_Print_Area___0___1___0___0_1_1" localSheetId="20">'IMPER-COMP'!#REF!</definedName>
    <definedName name="BuiltIn_Print_Area___0___1___0___0_1_1" localSheetId="22">'IMPL-COMP'!#REF!</definedName>
    <definedName name="BuiltIn_Print_Area___0___1___0___0_1_1" localSheetId="23">'INC-COMP'!#REF!</definedName>
    <definedName name="BuiltIn_Print_Area___0___1___0___0_1_1" localSheetId="24">'SCE-COMP'!#REF!</definedName>
    <definedName name="BuiltIn_Print_Area___0___1___0___0_1_1" localSheetId="25">'SEG-COMP'!#REF!</definedName>
    <definedName name="BuiltIn_Print_Area___0___1___0___0_1_1" localSheetId="26">'SPDA-COMP'!#REF!</definedName>
    <definedName name="BuiltIn_Print_Area___0___1___0___0_1_1">#REF!</definedName>
    <definedName name="BuiltIn_Print_Area___0___1___0_1" localSheetId="13">'ADM-COMP'!#REF!</definedName>
    <definedName name="BuiltIn_Print_Area___0___1___0_1" localSheetId="17">'CLI-COMP'!#REF!</definedName>
    <definedName name="BuiltIn_Print_Area___0___1___0_1" localSheetId="18">'EST-COMP'!#REF!</definedName>
    <definedName name="BuiltIn_Print_Area___0___1___0_1" localSheetId="19">'GAS-COMP'!#REF!</definedName>
    <definedName name="BuiltIn_Print_Area___0___1___0_1" localSheetId="21">'HID-COMP'!#REF!</definedName>
    <definedName name="BuiltIn_Print_Area___0___1___0_1" localSheetId="20">'IMPER-COMP'!#REF!</definedName>
    <definedName name="BuiltIn_Print_Area___0___1___0_1" localSheetId="22">'IMPL-COMP'!#REF!</definedName>
    <definedName name="BuiltIn_Print_Area___0___1___0_1" localSheetId="23">'INC-COMP'!#REF!</definedName>
    <definedName name="BuiltIn_Print_Area___0___1___0_1" localSheetId="24">'SCE-COMP'!#REF!</definedName>
    <definedName name="BuiltIn_Print_Area___0___1___0_1" localSheetId="25">'SEG-COMP'!#REF!</definedName>
    <definedName name="BuiltIn_Print_Area___0___1___0_1" localSheetId="26">'SPDA-COMP'!#REF!</definedName>
    <definedName name="BuiltIn_Print_Area___0___1___0_1">#REF!</definedName>
    <definedName name="BuiltIn_Print_Area___0___1___0_1_1" localSheetId="13">'ADM-COMP'!#REF!</definedName>
    <definedName name="BuiltIn_Print_Area___0___1___0_1_1" localSheetId="17">'CLI-COMP'!#REF!</definedName>
    <definedName name="BuiltIn_Print_Area___0___1___0_1_1" localSheetId="18">'EST-COMP'!#REF!</definedName>
    <definedName name="BuiltIn_Print_Area___0___1___0_1_1" localSheetId="19">'GAS-COMP'!#REF!</definedName>
    <definedName name="BuiltIn_Print_Area___0___1___0_1_1" localSheetId="21">'HID-COMP'!#REF!</definedName>
    <definedName name="BuiltIn_Print_Area___0___1___0_1_1" localSheetId="20">'IMPER-COMP'!#REF!</definedName>
    <definedName name="BuiltIn_Print_Area___0___1___0_1_1" localSheetId="22">'IMPL-COMP'!#REF!</definedName>
    <definedName name="BuiltIn_Print_Area___0___1___0_1_1" localSheetId="23">'INC-COMP'!#REF!</definedName>
    <definedName name="BuiltIn_Print_Area___0___1___0_1_1" localSheetId="24">'SCE-COMP'!#REF!</definedName>
    <definedName name="BuiltIn_Print_Area___0___1___0_1_1" localSheetId="25">'SEG-COMP'!#REF!</definedName>
    <definedName name="BuiltIn_Print_Area___0___1___0_1_1" localSheetId="26">'SPDA-COMP'!#REF!</definedName>
    <definedName name="BuiltIn_Print_Area___0___1___0_1_1">#REF!</definedName>
    <definedName name="BuiltIn_Print_Area___0___1_1" localSheetId="13">'ADM-COMP'!#REF!</definedName>
    <definedName name="BuiltIn_Print_Area___0___1_1" localSheetId="17">'CLI-COMP'!#REF!</definedName>
    <definedName name="BuiltIn_Print_Area___0___1_1" localSheetId="18">'EST-COMP'!#REF!</definedName>
    <definedName name="BuiltIn_Print_Area___0___1_1" localSheetId="19">'GAS-COMP'!#REF!</definedName>
    <definedName name="BuiltIn_Print_Area___0___1_1" localSheetId="21">'HID-COMP'!#REF!</definedName>
    <definedName name="BuiltIn_Print_Area___0___1_1" localSheetId="20">'IMPER-COMP'!#REF!</definedName>
    <definedName name="BuiltIn_Print_Area___0___1_1" localSheetId="22">'IMPL-COMP'!#REF!</definedName>
    <definedName name="BuiltIn_Print_Area___0___1_1" localSheetId="23">'INC-COMP'!#REF!</definedName>
    <definedName name="BuiltIn_Print_Area___0___1_1" localSheetId="24">'SCE-COMP'!#REF!</definedName>
    <definedName name="BuiltIn_Print_Area___0___1_1" localSheetId="25">'SEG-COMP'!#REF!</definedName>
    <definedName name="BuiltIn_Print_Area___0___1_1" localSheetId="26">'SPDA-COMP'!#REF!</definedName>
    <definedName name="BuiltIn_Print_Area___0___1_1">#REF!</definedName>
    <definedName name="BuiltIn_Print_Area___0___1_1_1" localSheetId="13">'ADM-COMP'!#REF!</definedName>
    <definedName name="BuiltIn_Print_Area___0___1_1_1" localSheetId="17">'CLI-COMP'!#REF!</definedName>
    <definedName name="BuiltIn_Print_Area___0___1_1_1" localSheetId="18">'EST-COMP'!#REF!</definedName>
    <definedName name="BuiltIn_Print_Area___0___1_1_1" localSheetId="19">'GAS-COMP'!#REF!</definedName>
    <definedName name="BuiltIn_Print_Area___0___1_1_1" localSheetId="21">'HID-COMP'!#REF!</definedName>
    <definedName name="BuiltIn_Print_Area___0___1_1_1" localSheetId="20">'IMPER-COMP'!#REF!</definedName>
    <definedName name="BuiltIn_Print_Area___0___1_1_1" localSheetId="22">'IMPL-COMP'!#REF!</definedName>
    <definedName name="BuiltIn_Print_Area___0___1_1_1" localSheetId="23">'INC-COMP'!#REF!</definedName>
    <definedName name="BuiltIn_Print_Area___0___1_1_1" localSheetId="24">'SCE-COMP'!#REF!</definedName>
    <definedName name="BuiltIn_Print_Area___0___1_1_1" localSheetId="25">'SEG-COMP'!#REF!</definedName>
    <definedName name="BuiltIn_Print_Area___0___1_1_1" localSheetId="26">'SPDA-COMP'!#REF!</definedName>
    <definedName name="BuiltIn_Print_Area___0___1_1_1">#REF!</definedName>
    <definedName name="BuiltIn_Print_Area___0___16" localSheetId="13">'ADM-COMP'!#REF!</definedName>
    <definedName name="BuiltIn_Print_Area___0___16" localSheetId="17">'CLI-COMP'!#REF!</definedName>
    <definedName name="BuiltIn_Print_Area___0___16" localSheetId="18">'EST-COMP'!#REF!</definedName>
    <definedName name="BuiltIn_Print_Area___0___16" localSheetId="19">'GAS-COMP'!#REF!</definedName>
    <definedName name="BuiltIn_Print_Area___0___16" localSheetId="21">'HID-COMP'!#REF!</definedName>
    <definedName name="BuiltIn_Print_Area___0___16" localSheetId="20">'IMPER-COMP'!#REF!</definedName>
    <definedName name="BuiltIn_Print_Area___0___16" localSheetId="22">'IMPL-COMP'!#REF!</definedName>
    <definedName name="BuiltIn_Print_Area___0___16" localSheetId="23">'INC-COMP'!#REF!</definedName>
    <definedName name="BuiltIn_Print_Area___0___16" localSheetId="24">'SCE-COMP'!#REF!</definedName>
    <definedName name="BuiltIn_Print_Area___0___16" localSheetId="25">'SEG-COMP'!#REF!</definedName>
    <definedName name="BuiltIn_Print_Area___0___16" localSheetId="26">'SPDA-COMP'!#REF!</definedName>
    <definedName name="BuiltIn_Print_Area___0___16">#REF!</definedName>
    <definedName name="BuiltIn_Print_Area___0___16___0" localSheetId="13">'ADM-COMP'!#REF!</definedName>
    <definedName name="BuiltIn_Print_Area___0___16___0" localSheetId="17">'CLI-COMP'!#REF!</definedName>
    <definedName name="BuiltIn_Print_Area___0___16___0" localSheetId="18">'EST-COMP'!#REF!</definedName>
    <definedName name="BuiltIn_Print_Area___0___16___0" localSheetId="19">'GAS-COMP'!#REF!</definedName>
    <definedName name="BuiltIn_Print_Area___0___16___0" localSheetId="21">'HID-COMP'!#REF!</definedName>
    <definedName name="BuiltIn_Print_Area___0___16___0" localSheetId="20">'IMPER-COMP'!#REF!</definedName>
    <definedName name="BuiltIn_Print_Area___0___16___0" localSheetId="22">'IMPL-COMP'!#REF!</definedName>
    <definedName name="BuiltIn_Print_Area___0___16___0" localSheetId="23">'INC-COMP'!#REF!</definedName>
    <definedName name="BuiltIn_Print_Area___0___16___0" localSheetId="24">'SCE-COMP'!#REF!</definedName>
    <definedName name="BuiltIn_Print_Area___0___16___0" localSheetId="25">'SEG-COMP'!#REF!</definedName>
    <definedName name="BuiltIn_Print_Area___0___16___0" localSheetId="26">'SPDA-COMP'!#REF!</definedName>
    <definedName name="BuiltIn_Print_Area___0___16___0">#REF!</definedName>
    <definedName name="BuiltIn_Print_Area___0___16___0___0" localSheetId="13">'ADM-COMP'!#REF!</definedName>
    <definedName name="BuiltIn_Print_Area___0___16___0___0" localSheetId="17">'CLI-COMP'!#REF!</definedName>
    <definedName name="BuiltIn_Print_Area___0___16___0___0" localSheetId="18">'EST-COMP'!#REF!</definedName>
    <definedName name="BuiltIn_Print_Area___0___16___0___0" localSheetId="19">'GAS-COMP'!#REF!</definedName>
    <definedName name="BuiltIn_Print_Area___0___16___0___0" localSheetId="21">'HID-COMP'!#REF!</definedName>
    <definedName name="BuiltIn_Print_Area___0___16___0___0" localSheetId="20">'IMPER-COMP'!#REF!</definedName>
    <definedName name="BuiltIn_Print_Area___0___16___0___0" localSheetId="22">'IMPL-COMP'!#REF!</definedName>
    <definedName name="BuiltIn_Print_Area___0___16___0___0" localSheetId="23">'INC-COMP'!#REF!</definedName>
    <definedName name="BuiltIn_Print_Area___0___16___0___0" localSheetId="24">'SCE-COMP'!#REF!</definedName>
    <definedName name="BuiltIn_Print_Area___0___16___0___0" localSheetId="25">'SEG-COMP'!#REF!</definedName>
    <definedName name="BuiltIn_Print_Area___0___16___0___0" localSheetId="26">'SPDA-COMP'!#REF!</definedName>
    <definedName name="BuiltIn_Print_Area___0___16___0___0">#REF!</definedName>
    <definedName name="BuiltIn_Print_Area___0___16___0___0___0" localSheetId="13">'ADM-COMP'!#REF!</definedName>
    <definedName name="BuiltIn_Print_Area___0___16___0___0___0" localSheetId="17">'CLI-COMP'!#REF!</definedName>
    <definedName name="BuiltIn_Print_Area___0___16___0___0___0" localSheetId="18">'EST-COMP'!#REF!</definedName>
    <definedName name="BuiltIn_Print_Area___0___16___0___0___0" localSheetId="19">'GAS-COMP'!#REF!</definedName>
    <definedName name="BuiltIn_Print_Area___0___16___0___0___0" localSheetId="21">'HID-COMP'!#REF!</definedName>
    <definedName name="BuiltIn_Print_Area___0___16___0___0___0" localSheetId="20">'IMPER-COMP'!#REF!</definedName>
    <definedName name="BuiltIn_Print_Area___0___16___0___0___0" localSheetId="22">'IMPL-COMP'!#REF!</definedName>
    <definedName name="BuiltIn_Print_Area___0___16___0___0___0" localSheetId="23">'INC-COMP'!#REF!</definedName>
    <definedName name="BuiltIn_Print_Area___0___16___0___0___0" localSheetId="24">'SCE-COMP'!#REF!</definedName>
    <definedName name="BuiltIn_Print_Area___0___16___0___0___0" localSheetId="25">'SEG-COMP'!#REF!</definedName>
    <definedName name="BuiltIn_Print_Area___0___16___0___0___0" localSheetId="26">'SPDA-COMP'!#REF!</definedName>
    <definedName name="BuiltIn_Print_Area___0___16___0___0___0">#REF!</definedName>
    <definedName name="BuiltIn_Print_Area___0___16___0___0___0___0" localSheetId="13">'ADM-COMP'!#REF!</definedName>
    <definedName name="BuiltIn_Print_Area___0___16___0___0___0___0" localSheetId="17">'CLI-COMP'!#REF!</definedName>
    <definedName name="BuiltIn_Print_Area___0___16___0___0___0___0" localSheetId="18">'EST-COMP'!#REF!</definedName>
    <definedName name="BuiltIn_Print_Area___0___16___0___0___0___0" localSheetId="19">'GAS-COMP'!#REF!</definedName>
    <definedName name="BuiltIn_Print_Area___0___16___0___0___0___0" localSheetId="21">'HID-COMP'!#REF!</definedName>
    <definedName name="BuiltIn_Print_Area___0___16___0___0___0___0" localSheetId="20">'IMPER-COMP'!#REF!</definedName>
    <definedName name="BuiltIn_Print_Area___0___16___0___0___0___0" localSheetId="22">'IMPL-COMP'!#REF!</definedName>
    <definedName name="BuiltIn_Print_Area___0___16___0___0___0___0" localSheetId="23">'INC-COMP'!#REF!</definedName>
    <definedName name="BuiltIn_Print_Area___0___16___0___0___0___0" localSheetId="24">'SCE-COMP'!#REF!</definedName>
    <definedName name="BuiltIn_Print_Area___0___16___0___0___0___0" localSheetId="25">'SEG-COMP'!#REF!</definedName>
    <definedName name="BuiltIn_Print_Area___0___16___0___0___0___0" localSheetId="26">'SPDA-COMP'!#REF!</definedName>
    <definedName name="BuiltIn_Print_Area___0___16___0___0___0___0">#REF!</definedName>
    <definedName name="BuiltIn_Print_Area___0___16___0___0___0___0___0" localSheetId="13">'ADM-COMP'!#REF!</definedName>
    <definedName name="BuiltIn_Print_Area___0___16___0___0___0___0___0" localSheetId="17">'CLI-COMP'!#REF!</definedName>
    <definedName name="BuiltIn_Print_Area___0___16___0___0___0___0___0" localSheetId="18">'EST-COMP'!#REF!</definedName>
    <definedName name="BuiltIn_Print_Area___0___16___0___0___0___0___0" localSheetId="19">'GAS-COMP'!#REF!</definedName>
    <definedName name="BuiltIn_Print_Area___0___16___0___0___0___0___0" localSheetId="21">'HID-COMP'!#REF!</definedName>
    <definedName name="BuiltIn_Print_Area___0___16___0___0___0___0___0" localSheetId="20">'IMPER-COMP'!#REF!</definedName>
    <definedName name="BuiltIn_Print_Area___0___16___0___0___0___0___0" localSheetId="22">'IMPL-COMP'!#REF!</definedName>
    <definedName name="BuiltIn_Print_Area___0___16___0___0___0___0___0" localSheetId="23">'INC-COMP'!#REF!</definedName>
    <definedName name="BuiltIn_Print_Area___0___16___0___0___0___0___0" localSheetId="24">'SCE-COMP'!#REF!</definedName>
    <definedName name="BuiltIn_Print_Area___0___16___0___0___0___0___0" localSheetId="25">'SEG-COMP'!#REF!</definedName>
    <definedName name="BuiltIn_Print_Area___0___16___0___0___0___0___0" localSheetId="26">'SPDA-COMP'!#REF!</definedName>
    <definedName name="BuiltIn_Print_Area___0___16___0___0___0___0___0">#REF!</definedName>
    <definedName name="BuiltIn_Print_Area___0___16___0___0___0___0___0___0" localSheetId="13">'ADM-COMP'!#REF!</definedName>
    <definedName name="BuiltIn_Print_Area___0___16___0___0___0___0___0___0" localSheetId="17">'CLI-COMP'!#REF!</definedName>
    <definedName name="BuiltIn_Print_Area___0___16___0___0___0___0___0___0" localSheetId="18">'EST-COMP'!#REF!</definedName>
    <definedName name="BuiltIn_Print_Area___0___16___0___0___0___0___0___0" localSheetId="19">'GAS-COMP'!#REF!</definedName>
    <definedName name="BuiltIn_Print_Area___0___16___0___0___0___0___0___0" localSheetId="21">'HID-COMP'!#REF!</definedName>
    <definedName name="BuiltIn_Print_Area___0___16___0___0___0___0___0___0" localSheetId="20">'IMPER-COMP'!#REF!</definedName>
    <definedName name="BuiltIn_Print_Area___0___16___0___0___0___0___0___0" localSheetId="22">'IMPL-COMP'!#REF!</definedName>
    <definedName name="BuiltIn_Print_Area___0___16___0___0___0___0___0___0" localSheetId="23">'INC-COMP'!#REF!</definedName>
    <definedName name="BuiltIn_Print_Area___0___16___0___0___0___0___0___0" localSheetId="24">'SCE-COMP'!#REF!</definedName>
    <definedName name="BuiltIn_Print_Area___0___16___0___0___0___0___0___0" localSheetId="25">'SEG-COMP'!#REF!</definedName>
    <definedName name="BuiltIn_Print_Area___0___16___0___0___0___0___0___0" localSheetId="26">'SPDA-COMP'!#REF!</definedName>
    <definedName name="BuiltIn_Print_Area___0___16___0___0___0___0___0___0">#REF!</definedName>
    <definedName name="BuiltIn_Print_Area___0___16___0___0___0___0___0___0___0" localSheetId="13">'ADM-COMP'!#REF!</definedName>
    <definedName name="BuiltIn_Print_Area___0___16___0___0___0___0___0___0___0" localSheetId="17">'CLI-COMP'!#REF!</definedName>
    <definedName name="BuiltIn_Print_Area___0___16___0___0___0___0___0___0___0" localSheetId="18">'EST-COMP'!#REF!</definedName>
    <definedName name="BuiltIn_Print_Area___0___16___0___0___0___0___0___0___0" localSheetId="19">'GAS-COMP'!#REF!</definedName>
    <definedName name="BuiltIn_Print_Area___0___16___0___0___0___0___0___0___0" localSheetId="21">'HID-COMP'!#REF!</definedName>
    <definedName name="BuiltIn_Print_Area___0___16___0___0___0___0___0___0___0" localSheetId="20">'IMPER-COMP'!#REF!</definedName>
    <definedName name="BuiltIn_Print_Area___0___16___0___0___0___0___0___0___0" localSheetId="22">'IMPL-COMP'!#REF!</definedName>
    <definedName name="BuiltIn_Print_Area___0___16___0___0___0___0___0___0___0" localSheetId="23">'INC-COMP'!#REF!</definedName>
    <definedName name="BuiltIn_Print_Area___0___16___0___0___0___0___0___0___0" localSheetId="24">'SCE-COMP'!#REF!</definedName>
    <definedName name="BuiltIn_Print_Area___0___16___0___0___0___0___0___0___0" localSheetId="25">'SEG-COMP'!#REF!</definedName>
    <definedName name="BuiltIn_Print_Area___0___16___0___0___0___0___0___0___0" localSheetId="26">'SPDA-COMP'!#REF!</definedName>
    <definedName name="BuiltIn_Print_Area___0___16___0___0___0___0___0___0___0">#REF!</definedName>
    <definedName name="BuiltIn_Print_Area___0___4" localSheetId="13">'ADM-COMP'!#REF!</definedName>
    <definedName name="BuiltIn_Print_Area___0___4" localSheetId="17">'CLI-COMP'!#REF!</definedName>
    <definedName name="BuiltIn_Print_Area___0___4" localSheetId="18">'EST-COMP'!#REF!</definedName>
    <definedName name="BuiltIn_Print_Area___0___4" localSheetId="19">'GAS-COMP'!#REF!</definedName>
    <definedName name="BuiltIn_Print_Area___0___4" localSheetId="21">'HID-COMP'!#REF!</definedName>
    <definedName name="BuiltIn_Print_Area___0___4" localSheetId="20">'IMPER-COMP'!#REF!</definedName>
    <definedName name="BuiltIn_Print_Area___0___4" localSheetId="22">'IMPL-COMP'!#REF!</definedName>
    <definedName name="BuiltIn_Print_Area___0___4" localSheetId="23">'INC-COMP'!#REF!</definedName>
    <definedName name="BuiltIn_Print_Area___0___4" localSheetId="24">'SCE-COMP'!#REF!</definedName>
    <definedName name="BuiltIn_Print_Area___0___4" localSheetId="25">'SEG-COMP'!#REF!</definedName>
    <definedName name="BuiltIn_Print_Area___0___4" localSheetId="26">'SPDA-COMP'!#REF!</definedName>
    <definedName name="BuiltIn_Print_Area___0___4">#REF!</definedName>
    <definedName name="BuiltIn_Print_Area___0___5" localSheetId="13">'ADM-COMP'!#REF!</definedName>
    <definedName name="BuiltIn_Print_Area___0___5" localSheetId="17">'CLI-COMP'!#REF!</definedName>
    <definedName name="BuiltIn_Print_Area___0___5" localSheetId="18">'EST-COMP'!#REF!</definedName>
    <definedName name="BuiltIn_Print_Area___0___5" localSheetId="19">'GAS-COMP'!#REF!</definedName>
    <definedName name="BuiltIn_Print_Area___0___5" localSheetId="21">'HID-COMP'!#REF!</definedName>
    <definedName name="BuiltIn_Print_Area___0___5" localSheetId="20">'IMPER-COMP'!#REF!</definedName>
    <definedName name="BuiltIn_Print_Area___0___5" localSheetId="22">'IMPL-COMP'!#REF!</definedName>
    <definedName name="BuiltIn_Print_Area___0___5" localSheetId="23">'INC-COMP'!#REF!</definedName>
    <definedName name="BuiltIn_Print_Area___0___5" localSheetId="24">'SCE-COMP'!#REF!</definedName>
    <definedName name="BuiltIn_Print_Area___0___5" localSheetId="25">'SEG-COMP'!#REF!</definedName>
    <definedName name="BuiltIn_Print_Area___0___5" localSheetId="26">'SPDA-COMP'!#REF!</definedName>
    <definedName name="BuiltIn_Print_Area___0___5">#REF!</definedName>
    <definedName name="BuiltIn_Print_Area___0___5___0" localSheetId="13">'ADM-COMP'!#REF!</definedName>
    <definedName name="BuiltIn_Print_Area___0___5___0" localSheetId="17">'CLI-COMP'!#REF!</definedName>
    <definedName name="BuiltIn_Print_Area___0___5___0" localSheetId="18">'EST-COMP'!#REF!</definedName>
    <definedName name="BuiltIn_Print_Area___0___5___0" localSheetId="19">'GAS-COMP'!#REF!</definedName>
    <definedName name="BuiltIn_Print_Area___0___5___0" localSheetId="21">'HID-COMP'!#REF!</definedName>
    <definedName name="BuiltIn_Print_Area___0___5___0" localSheetId="20">'IMPER-COMP'!#REF!</definedName>
    <definedName name="BuiltIn_Print_Area___0___5___0" localSheetId="22">'IMPL-COMP'!#REF!</definedName>
    <definedName name="BuiltIn_Print_Area___0___5___0" localSheetId="23">'INC-COMP'!#REF!</definedName>
    <definedName name="BuiltIn_Print_Area___0___5___0" localSheetId="24">'SCE-COMP'!#REF!</definedName>
    <definedName name="BuiltIn_Print_Area___0___5___0" localSheetId="25">'SEG-COMP'!#REF!</definedName>
    <definedName name="BuiltIn_Print_Area___0___5___0" localSheetId="26">'SPDA-COMP'!#REF!</definedName>
    <definedName name="BuiltIn_Print_Area___0___5___0">#REF!</definedName>
    <definedName name="BuiltIn_Print_Area___0___6" localSheetId="13">'ADM-COMP'!#REF!</definedName>
    <definedName name="BuiltIn_Print_Area___0___6" localSheetId="17">'CLI-COMP'!#REF!</definedName>
    <definedName name="BuiltIn_Print_Area___0___6" localSheetId="18">'EST-COMP'!#REF!</definedName>
    <definedName name="BuiltIn_Print_Area___0___6" localSheetId="19">'GAS-COMP'!#REF!</definedName>
    <definedName name="BuiltIn_Print_Area___0___6" localSheetId="21">'HID-COMP'!#REF!</definedName>
    <definedName name="BuiltIn_Print_Area___0___6" localSheetId="20">'IMPER-COMP'!#REF!</definedName>
    <definedName name="BuiltIn_Print_Area___0___6" localSheetId="22">'IMPL-COMP'!#REF!</definedName>
    <definedName name="BuiltIn_Print_Area___0___6" localSheetId="23">'INC-COMP'!#REF!</definedName>
    <definedName name="BuiltIn_Print_Area___0___6" localSheetId="24">'SCE-COMP'!#REF!</definedName>
    <definedName name="BuiltIn_Print_Area___0___6" localSheetId="25">'SEG-COMP'!#REF!</definedName>
    <definedName name="BuiltIn_Print_Area___0___6" localSheetId="26">'SPDA-COMP'!#REF!</definedName>
    <definedName name="BuiltIn_Print_Area___0___6">#REF!</definedName>
    <definedName name="BuiltIn_Print_Area___0___6___0" localSheetId="13">'ADM-COMP'!#REF!</definedName>
    <definedName name="BuiltIn_Print_Area___0___6___0" localSheetId="17">'CLI-COMP'!#REF!</definedName>
    <definedName name="BuiltIn_Print_Area___0___6___0" localSheetId="18">'EST-COMP'!#REF!</definedName>
    <definedName name="BuiltIn_Print_Area___0___6___0" localSheetId="19">'GAS-COMP'!#REF!</definedName>
    <definedName name="BuiltIn_Print_Area___0___6___0" localSheetId="21">'HID-COMP'!#REF!</definedName>
    <definedName name="BuiltIn_Print_Area___0___6___0" localSheetId="20">'IMPER-COMP'!#REF!</definedName>
    <definedName name="BuiltIn_Print_Area___0___6___0" localSheetId="22">'IMPL-COMP'!#REF!</definedName>
    <definedName name="BuiltIn_Print_Area___0___6___0" localSheetId="23">'INC-COMP'!#REF!</definedName>
    <definedName name="BuiltIn_Print_Area___0___6___0" localSheetId="24">'SCE-COMP'!#REF!</definedName>
    <definedName name="BuiltIn_Print_Area___0___6___0" localSheetId="25">'SEG-COMP'!#REF!</definedName>
    <definedName name="BuiltIn_Print_Area___0___6___0" localSheetId="26">'SPDA-COMP'!#REF!</definedName>
    <definedName name="BuiltIn_Print_Area___0___6___0">#REF!</definedName>
    <definedName name="BuiltIn_Print_Area___0___7" localSheetId="13">'ADM-COMP'!#REF!</definedName>
    <definedName name="BuiltIn_Print_Area___0___7" localSheetId="17">'CLI-COMP'!#REF!</definedName>
    <definedName name="BuiltIn_Print_Area___0___7" localSheetId="18">'EST-COMP'!#REF!</definedName>
    <definedName name="BuiltIn_Print_Area___0___7" localSheetId="19">'GAS-COMP'!#REF!</definedName>
    <definedName name="BuiltIn_Print_Area___0___7" localSheetId="21">'HID-COMP'!#REF!</definedName>
    <definedName name="BuiltIn_Print_Area___0___7" localSheetId="20">'IMPER-COMP'!#REF!</definedName>
    <definedName name="BuiltIn_Print_Area___0___7" localSheetId="22">'IMPL-COMP'!#REF!</definedName>
    <definedName name="BuiltIn_Print_Area___0___7" localSheetId="23">'INC-COMP'!#REF!</definedName>
    <definedName name="BuiltIn_Print_Area___0___7" localSheetId="24">'SCE-COMP'!#REF!</definedName>
    <definedName name="BuiltIn_Print_Area___0___7" localSheetId="25">'SEG-COMP'!#REF!</definedName>
    <definedName name="BuiltIn_Print_Area___0___7" localSheetId="26">'SPDA-COMP'!#REF!</definedName>
    <definedName name="BuiltIn_Print_Area___0___7">#REF!</definedName>
    <definedName name="BuiltIn_Print_Area___0___7___0" localSheetId="13">'ADM-COMP'!#REF!</definedName>
    <definedName name="BuiltIn_Print_Area___0___7___0" localSheetId="17">'CLI-COMP'!#REF!</definedName>
    <definedName name="BuiltIn_Print_Area___0___7___0" localSheetId="18">'EST-COMP'!#REF!</definedName>
    <definedName name="BuiltIn_Print_Area___0___7___0" localSheetId="19">'GAS-COMP'!#REF!</definedName>
    <definedName name="BuiltIn_Print_Area___0___7___0" localSheetId="21">'HID-COMP'!#REF!</definedName>
    <definedName name="BuiltIn_Print_Area___0___7___0" localSheetId="20">'IMPER-COMP'!#REF!</definedName>
    <definedName name="BuiltIn_Print_Area___0___7___0" localSheetId="22">'IMPL-COMP'!#REF!</definedName>
    <definedName name="BuiltIn_Print_Area___0___7___0" localSheetId="23">'INC-COMP'!#REF!</definedName>
    <definedName name="BuiltIn_Print_Area___0___7___0" localSheetId="24">'SCE-COMP'!#REF!</definedName>
    <definedName name="BuiltIn_Print_Area___0___7___0" localSheetId="25">'SEG-COMP'!#REF!</definedName>
    <definedName name="BuiltIn_Print_Area___0___7___0" localSheetId="26">'SPDA-COMP'!#REF!</definedName>
    <definedName name="BuiltIn_Print_Area___0___7___0">#REF!</definedName>
    <definedName name="BuiltIn_Print_Area___0___8" localSheetId="13">'ADM-COMP'!#REF!</definedName>
    <definedName name="BuiltIn_Print_Area___0___8" localSheetId="17">'CLI-COMP'!#REF!</definedName>
    <definedName name="BuiltIn_Print_Area___0___8" localSheetId="18">'EST-COMP'!#REF!</definedName>
    <definedName name="BuiltIn_Print_Area___0___8" localSheetId="19">'GAS-COMP'!#REF!</definedName>
    <definedName name="BuiltIn_Print_Area___0___8" localSheetId="21">'HID-COMP'!#REF!</definedName>
    <definedName name="BuiltIn_Print_Area___0___8" localSheetId="20">'IMPER-COMP'!#REF!</definedName>
    <definedName name="BuiltIn_Print_Area___0___8" localSheetId="22">'IMPL-COMP'!#REF!</definedName>
    <definedName name="BuiltIn_Print_Area___0___8" localSheetId="23">'INC-COMP'!#REF!</definedName>
    <definedName name="BuiltIn_Print_Area___0___8" localSheetId="24">'SCE-COMP'!#REF!</definedName>
    <definedName name="BuiltIn_Print_Area___0___8" localSheetId="25">'SEG-COMP'!#REF!</definedName>
    <definedName name="BuiltIn_Print_Area___0___8" localSheetId="26">'SPDA-COMP'!#REF!</definedName>
    <definedName name="BuiltIn_Print_Area___0___8">#REF!</definedName>
    <definedName name="BuiltIn_Print_Area___0_1" localSheetId="13">'ADM-COMP'!#REF!</definedName>
    <definedName name="BuiltIn_Print_Area___0_1" localSheetId="17">'CLI-COMP'!#REF!</definedName>
    <definedName name="BuiltIn_Print_Area___0_1" localSheetId="18">'EST-COMP'!#REF!</definedName>
    <definedName name="BuiltIn_Print_Area___0_1" localSheetId="19">'GAS-COMP'!#REF!</definedName>
    <definedName name="BuiltIn_Print_Area___0_1" localSheetId="21">'HID-COMP'!#REF!</definedName>
    <definedName name="BuiltIn_Print_Area___0_1" localSheetId="20">'IMPER-COMP'!#REF!</definedName>
    <definedName name="BuiltIn_Print_Area___0_1" localSheetId="22">'IMPL-COMP'!#REF!</definedName>
    <definedName name="BuiltIn_Print_Area___0_1" localSheetId="23">'INC-COMP'!#REF!</definedName>
    <definedName name="BuiltIn_Print_Area___0_1" localSheetId="24">'SCE-COMP'!#REF!</definedName>
    <definedName name="BuiltIn_Print_Area___0_1" localSheetId="25">'SEG-COMP'!#REF!</definedName>
    <definedName name="BuiltIn_Print_Area___0_1" localSheetId="26">'SPDA-COMP'!#REF!</definedName>
    <definedName name="BuiltIn_Print_Area___0_1">#REF!</definedName>
    <definedName name="BuiltIn_Print_Area___0_1_1" localSheetId="13">'ADM-COMP'!#REF!</definedName>
    <definedName name="BuiltIn_Print_Area___0_1_1" localSheetId="17">'CLI-COMP'!#REF!</definedName>
    <definedName name="BuiltIn_Print_Area___0_1_1" localSheetId="18">'EST-COMP'!#REF!</definedName>
    <definedName name="BuiltIn_Print_Area___0_1_1" localSheetId="19">'GAS-COMP'!#REF!</definedName>
    <definedName name="BuiltIn_Print_Area___0_1_1" localSheetId="21">'HID-COMP'!#REF!</definedName>
    <definedName name="BuiltIn_Print_Area___0_1_1" localSheetId="20">'IMPER-COMP'!#REF!</definedName>
    <definedName name="BuiltIn_Print_Area___0_1_1" localSheetId="22">'IMPL-COMP'!#REF!</definedName>
    <definedName name="BuiltIn_Print_Area___0_1_1" localSheetId="23">'INC-COMP'!#REF!</definedName>
    <definedName name="BuiltIn_Print_Area___0_1_1" localSheetId="24">'SCE-COMP'!#REF!</definedName>
    <definedName name="BuiltIn_Print_Area___0_1_1" localSheetId="25">'SEG-COMP'!#REF!</definedName>
    <definedName name="BuiltIn_Print_Area___0_1_1" localSheetId="26">'SPDA-COMP'!#REF!</definedName>
    <definedName name="BuiltIn_Print_Area___0_1_1">#REF!</definedName>
    <definedName name="BuiltIn_Print_Area_1" localSheetId="13">'ADM-COMP'!#REF!</definedName>
    <definedName name="BuiltIn_Print_Area_1" localSheetId="17">'CLI-COMP'!#REF!</definedName>
    <definedName name="BuiltIn_Print_Area_1" localSheetId="18">'EST-COMP'!#REF!</definedName>
    <definedName name="BuiltIn_Print_Area_1" localSheetId="19">'GAS-COMP'!#REF!</definedName>
    <definedName name="BuiltIn_Print_Area_1" localSheetId="21">'HID-COMP'!#REF!</definedName>
    <definedName name="BuiltIn_Print_Area_1" localSheetId="20">'IMPER-COMP'!#REF!</definedName>
    <definedName name="BuiltIn_Print_Area_1" localSheetId="22">'IMPL-COMP'!#REF!</definedName>
    <definedName name="BuiltIn_Print_Area_1" localSheetId="23">'INC-COMP'!#REF!</definedName>
    <definedName name="BuiltIn_Print_Area_1" localSheetId="24">'SCE-COMP'!#REF!</definedName>
    <definedName name="BuiltIn_Print_Area_1" localSheetId="25">'SEG-COMP'!#REF!</definedName>
    <definedName name="BuiltIn_Print_Area_1" localSheetId="26">'SPDA-COMP'!#REF!</definedName>
    <definedName name="BuiltIn_Print_Area_1">#REF!</definedName>
    <definedName name="BuiltIn_Print_Area_1_1" localSheetId="13">'ADM-COMP'!#REF!</definedName>
    <definedName name="BuiltIn_Print_Area_1_1" localSheetId="17">'CLI-COMP'!#REF!</definedName>
    <definedName name="BuiltIn_Print_Area_1_1" localSheetId="18">'EST-COMP'!#REF!</definedName>
    <definedName name="BuiltIn_Print_Area_1_1" localSheetId="19">'GAS-COMP'!#REF!</definedName>
    <definedName name="BuiltIn_Print_Area_1_1" localSheetId="21">'HID-COMP'!#REF!</definedName>
    <definedName name="BuiltIn_Print_Area_1_1" localSheetId="20">'IMPER-COMP'!#REF!</definedName>
    <definedName name="BuiltIn_Print_Area_1_1" localSheetId="22">'IMPL-COMP'!#REF!</definedName>
    <definedName name="BuiltIn_Print_Area_1_1" localSheetId="23">'INC-COMP'!#REF!</definedName>
    <definedName name="BuiltIn_Print_Area_1_1" localSheetId="24">'SCE-COMP'!#REF!</definedName>
    <definedName name="BuiltIn_Print_Area_1_1" localSheetId="25">'SEG-COMP'!#REF!</definedName>
    <definedName name="BuiltIn_Print_Area_1_1" localSheetId="26">'SPDA-COMP'!#REF!</definedName>
    <definedName name="BuiltIn_Print_Area_1_1">#REF!</definedName>
    <definedName name="BuiltIn_Print_Titles" localSheetId="13">'ADM-COMP'!#REF!</definedName>
    <definedName name="BuiltIn_Print_Titles" localSheetId="17">'CLI-COMP'!#REF!</definedName>
    <definedName name="BuiltIn_Print_Titles" localSheetId="18">'EST-COMP'!#REF!</definedName>
    <definedName name="BuiltIn_Print_Titles" localSheetId="19">'GAS-COMP'!#REF!</definedName>
    <definedName name="BuiltIn_Print_Titles" localSheetId="21">'HID-COMP'!#REF!</definedName>
    <definedName name="BuiltIn_Print_Titles" localSheetId="20">'IMPER-COMP'!#REF!</definedName>
    <definedName name="BuiltIn_Print_Titles" localSheetId="22">'IMPL-COMP'!#REF!</definedName>
    <definedName name="BuiltIn_Print_Titles" localSheetId="23">'INC-COMP'!#REF!</definedName>
    <definedName name="BuiltIn_Print_Titles" localSheetId="24">'SCE-COMP'!#REF!</definedName>
    <definedName name="BuiltIn_Print_Titles" localSheetId="25">'SEG-COMP'!#REF!</definedName>
    <definedName name="BuiltIn_Print_Titles" localSheetId="26">'SPDA-COMP'!#REF!</definedName>
    <definedName name="BuiltIn_Print_Titles">#REF!</definedName>
    <definedName name="BuiltIn_Print_Titles___0" localSheetId="13">'ADM-COMP'!#REF!</definedName>
    <definedName name="BuiltIn_Print_Titles___0" localSheetId="17">'CLI-COMP'!#REF!</definedName>
    <definedName name="BuiltIn_Print_Titles___0" localSheetId="18">'EST-COMP'!#REF!</definedName>
    <definedName name="BuiltIn_Print_Titles___0" localSheetId="19">'GAS-COMP'!#REF!</definedName>
    <definedName name="BuiltIn_Print_Titles___0" localSheetId="21">'HID-COMP'!#REF!</definedName>
    <definedName name="BuiltIn_Print_Titles___0" localSheetId="20">'IMPER-COMP'!#REF!</definedName>
    <definedName name="BuiltIn_Print_Titles___0" localSheetId="22">'IMPL-COMP'!#REF!</definedName>
    <definedName name="BuiltIn_Print_Titles___0" localSheetId="23">'INC-COMP'!#REF!</definedName>
    <definedName name="BuiltIn_Print_Titles___0" localSheetId="24">'SCE-COMP'!#REF!</definedName>
    <definedName name="BuiltIn_Print_Titles___0" localSheetId="25">'SEG-COMP'!#REF!</definedName>
    <definedName name="BuiltIn_Print_Titles___0" localSheetId="26">'SPDA-COMP'!#REF!</definedName>
    <definedName name="BuiltIn_Print_Titles___0">#REF!</definedName>
    <definedName name="BuiltIn_Print_Titles___0___0" localSheetId="13">'ADM-COMP'!#REF!</definedName>
    <definedName name="BuiltIn_Print_Titles___0___0" localSheetId="17">'CLI-COMP'!#REF!</definedName>
    <definedName name="BuiltIn_Print_Titles___0___0" localSheetId="18">'EST-COMP'!#REF!</definedName>
    <definedName name="BuiltIn_Print_Titles___0___0" localSheetId="19">'GAS-COMP'!#REF!</definedName>
    <definedName name="BuiltIn_Print_Titles___0___0" localSheetId="21">'HID-COMP'!#REF!</definedName>
    <definedName name="BuiltIn_Print_Titles___0___0" localSheetId="20">'IMPER-COMP'!#REF!</definedName>
    <definedName name="BuiltIn_Print_Titles___0___0" localSheetId="22">'IMPL-COMP'!#REF!</definedName>
    <definedName name="BuiltIn_Print_Titles___0___0" localSheetId="23">'INC-COMP'!#REF!</definedName>
    <definedName name="BuiltIn_Print_Titles___0___0" localSheetId="24">'SCE-COMP'!#REF!</definedName>
    <definedName name="BuiltIn_Print_Titles___0___0" localSheetId="25">'SEG-COMP'!#REF!</definedName>
    <definedName name="BuiltIn_Print_Titles___0___0" localSheetId="26">'SPDA-COMP'!#REF!</definedName>
    <definedName name="BuiltIn_Print_Titles___0___0">#REF!</definedName>
    <definedName name="BuiltIn_Print_Titles___0___0___0" localSheetId="13">'ADM-COMP'!#REF!</definedName>
    <definedName name="BuiltIn_Print_Titles___0___0___0" localSheetId="17">'CLI-COMP'!#REF!</definedName>
    <definedName name="BuiltIn_Print_Titles___0___0___0" localSheetId="18">'EST-COMP'!#REF!</definedName>
    <definedName name="BuiltIn_Print_Titles___0___0___0" localSheetId="19">'GAS-COMP'!#REF!</definedName>
    <definedName name="BuiltIn_Print_Titles___0___0___0" localSheetId="21">'HID-COMP'!#REF!</definedName>
    <definedName name="BuiltIn_Print_Titles___0___0___0" localSheetId="20">'IMPER-COMP'!#REF!</definedName>
    <definedName name="BuiltIn_Print_Titles___0___0___0" localSheetId="22">'IMPL-COMP'!#REF!</definedName>
    <definedName name="BuiltIn_Print_Titles___0___0___0" localSheetId="23">'INC-COMP'!#REF!</definedName>
    <definedName name="BuiltIn_Print_Titles___0___0___0" localSheetId="24">'SCE-COMP'!#REF!</definedName>
    <definedName name="BuiltIn_Print_Titles___0___0___0" localSheetId="25">'SEG-COMP'!#REF!</definedName>
    <definedName name="BuiltIn_Print_Titles___0___0___0" localSheetId="26">'SPDA-COMP'!#REF!</definedName>
    <definedName name="BuiltIn_Print_Titles___0___0___0">#REF!</definedName>
    <definedName name="BuiltIn_Print_Titles___0___0___0___0" localSheetId="13">'ADM-COMP'!#REF!</definedName>
    <definedName name="BuiltIn_Print_Titles___0___0___0___0" localSheetId="17">'CLI-COMP'!#REF!</definedName>
    <definedName name="BuiltIn_Print_Titles___0___0___0___0" localSheetId="18">'EST-COMP'!#REF!</definedName>
    <definedName name="BuiltIn_Print_Titles___0___0___0___0" localSheetId="19">'GAS-COMP'!#REF!</definedName>
    <definedName name="BuiltIn_Print_Titles___0___0___0___0" localSheetId="21">'HID-COMP'!#REF!</definedName>
    <definedName name="BuiltIn_Print_Titles___0___0___0___0" localSheetId="20">'IMPER-COMP'!#REF!</definedName>
    <definedName name="BuiltIn_Print_Titles___0___0___0___0" localSheetId="22">'IMPL-COMP'!#REF!</definedName>
    <definedName name="BuiltIn_Print_Titles___0___0___0___0" localSheetId="23">'INC-COMP'!#REF!</definedName>
    <definedName name="BuiltIn_Print_Titles___0___0___0___0" localSheetId="24">'SCE-COMP'!#REF!</definedName>
    <definedName name="BuiltIn_Print_Titles___0___0___0___0" localSheetId="25">'SEG-COMP'!#REF!</definedName>
    <definedName name="BuiltIn_Print_Titles___0___0___0___0" localSheetId="26">'SPDA-COMP'!#REF!</definedName>
    <definedName name="BuiltIn_Print_Titles___0___0___0___0">#REF!</definedName>
    <definedName name="BuiltIn_Print_Titles___0___0___0___0___0" localSheetId="13">'ADM-COMP'!#REF!</definedName>
    <definedName name="BuiltIn_Print_Titles___0___0___0___0___0" localSheetId="17">'CLI-COMP'!#REF!</definedName>
    <definedName name="BuiltIn_Print_Titles___0___0___0___0___0" localSheetId="18">'EST-COMP'!#REF!</definedName>
    <definedName name="BuiltIn_Print_Titles___0___0___0___0___0" localSheetId="19">'GAS-COMP'!#REF!</definedName>
    <definedName name="BuiltIn_Print_Titles___0___0___0___0___0" localSheetId="21">'HID-COMP'!#REF!</definedName>
    <definedName name="BuiltIn_Print_Titles___0___0___0___0___0" localSheetId="20">'IMPER-COMP'!#REF!</definedName>
    <definedName name="BuiltIn_Print_Titles___0___0___0___0___0" localSheetId="22">'IMPL-COMP'!#REF!</definedName>
    <definedName name="BuiltIn_Print_Titles___0___0___0___0___0" localSheetId="23">'INC-COMP'!#REF!</definedName>
    <definedName name="BuiltIn_Print_Titles___0___0___0___0___0" localSheetId="24">'SCE-COMP'!#REF!</definedName>
    <definedName name="BuiltIn_Print_Titles___0___0___0___0___0" localSheetId="25">'SEG-COMP'!#REF!</definedName>
    <definedName name="BuiltIn_Print_Titles___0___0___0___0___0" localSheetId="26">'SPDA-COMP'!#REF!</definedName>
    <definedName name="BuiltIn_Print_Titles___0___0___0___0___0">#REF!</definedName>
    <definedName name="BuiltIn_Print_Titles___0___0___0___0___0___0" localSheetId="13">'ADM-COMP'!#REF!</definedName>
    <definedName name="BuiltIn_Print_Titles___0___0___0___0___0___0" localSheetId="17">'CLI-COMP'!#REF!</definedName>
    <definedName name="BuiltIn_Print_Titles___0___0___0___0___0___0" localSheetId="18">'EST-COMP'!#REF!</definedName>
    <definedName name="BuiltIn_Print_Titles___0___0___0___0___0___0" localSheetId="19">'GAS-COMP'!#REF!</definedName>
    <definedName name="BuiltIn_Print_Titles___0___0___0___0___0___0" localSheetId="21">'HID-COMP'!#REF!</definedName>
    <definedName name="BuiltIn_Print_Titles___0___0___0___0___0___0" localSheetId="20">'IMPER-COMP'!#REF!</definedName>
    <definedName name="BuiltIn_Print_Titles___0___0___0___0___0___0" localSheetId="22">'IMPL-COMP'!#REF!</definedName>
    <definedName name="BuiltIn_Print_Titles___0___0___0___0___0___0" localSheetId="23">'INC-COMP'!#REF!</definedName>
    <definedName name="BuiltIn_Print_Titles___0___0___0___0___0___0" localSheetId="24">'SCE-COMP'!#REF!</definedName>
    <definedName name="BuiltIn_Print_Titles___0___0___0___0___0___0" localSheetId="25">'SEG-COMP'!#REF!</definedName>
    <definedName name="BuiltIn_Print_Titles___0___0___0___0___0___0" localSheetId="26">'SPDA-COMP'!#REF!</definedName>
    <definedName name="BuiltIn_Print_Titles___0___0___0___0___0___0">#REF!</definedName>
    <definedName name="BuiltIn_Print_Titles___0___0___0___0___0___0___0" localSheetId="13">'ADM-COMP'!#REF!</definedName>
    <definedName name="BuiltIn_Print_Titles___0___0___0___0___0___0___0" localSheetId="17">'CLI-COMP'!#REF!</definedName>
    <definedName name="BuiltIn_Print_Titles___0___0___0___0___0___0___0" localSheetId="18">'EST-COMP'!#REF!</definedName>
    <definedName name="BuiltIn_Print_Titles___0___0___0___0___0___0___0" localSheetId="19">'GAS-COMP'!#REF!</definedName>
    <definedName name="BuiltIn_Print_Titles___0___0___0___0___0___0___0" localSheetId="21">'HID-COMP'!#REF!</definedName>
    <definedName name="BuiltIn_Print_Titles___0___0___0___0___0___0___0" localSheetId="20">'IMPER-COMP'!#REF!</definedName>
    <definedName name="BuiltIn_Print_Titles___0___0___0___0___0___0___0" localSheetId="22">'IMPL-COMP'!#REF!</definedName>
    <definedName name="BuiltIn_Print_Titles___0___0___0___0___0___0___0" localSheetId="23">'INC-COMP'!#REF!</definedName>
    <definedName name="BuiltIn_Print_Titles___0___0___0___0___0___0___0" localSheetId="24">'SCE-COMP'!#REF!</definedName>
    <definedName name="BuiltIn_Print_Titles___0___0___0___0___0___0___0" localSheetId="25">'SEG-COMP'!#REF!</definedName>
    <definedName name="BuiltIn_Print_Titles___0___0___0___0___0___0___0" localSheetId="26">'SPDA-COMP'!#REF!</definedName>
    <definedName name="BuiltIn_Print_Titles___0___0___0___0___0___0___0">#REF!</definedName>
    <definedName name="BuiltIn_Print_Titles___0___0___0___0___0___0___0___0___0" localSheetId="13">'ADM-COMP'!#REF!</definedName>
    <definedName name="BuiltIn_Print_Titles___0___0___0___0___0___0___0___0___0" localSheetId="17">'CLI-COMP'!#REF!</definedName>
    <definedName name="BuiltIn_Print_Titles___0___0___0___0___0___0___0___0___0" localSheetId="18">'EST-COMP'!#REF!</definedName>
    <definedName name="BuiltIn_Print_Titles___0___0___0___0___0___0___0___0___0" localSheetId="19">'GAS-COMP'!#REF!</definedName>
    <definedName name="BuiltIn_Print_Titles___0___0___0___0___0___0___0___0___0" localSheetId="21">'HID-COMP'!#REF!</definedName>
    <definedName name="BuiltIn_Print_Titles___0___0___0___0___0___0___0___0___0" localSheetId="20">'IMPER-COMP'!#REF!</definedName>
    <definedName name="BuiltIn_Print_Titles___0___0___0___0___0___0___0___0___0" localSheetId="22">'IMPL-COMP'!#REF!</definedName>
    <definedName name="BuiltIn_Print_Titles___0___0___0___0___0___0___0___0___0" localSheetId="23">'INC-COMP'!#REF!</definedName>
    <definedName name="BuiltIn_Print_Titles___0___0___0___0___0___0___0___0___0" localSheetId="24">'SCE-COMP'!#REF!</definedName>
    <definedName name="BuiltIn_Print_Titles___0___0___0___0___0___0___0___0___0" localSheetId="25">'SEG-COMP'!#REF!</definedName>
    <definedName name="BuiltIn_Print_Titles___0___0___0___0___0___0___0___0___0" localSheetId="26">'SPDA-COMP'!#REF!</definedName>
    <definedName name="BuiltIn_Print_Titles___0___0___0___0___0___0___0___0___0">#REF!</definedName>
    <definedName name="BuiltIn_Print_Titles___0___0___10" localSheetId="13">'ADM-COMP'!#REF!</definedName>
    <definedName name="BuiltIn_Print_Titles___0___0___10" localSheetId="17">'CLI-COMP'!#REF!</definedName>
    <definedName name="BuiltIn_Print_Titles___0___0___10" localSheetId="18">'EST-COMP'!#REF!</definedName>
    <definedName name="BuiltIn_Print_Titles___0___0___10" localSheetId="19">'GAS-COMP'!#REF!</definedName>
    <definedName name="BuiltIn_Print_Titles___0___0___10" localSheetId="21">'HID-COMP'!#REF!</definedName>
    <definedName name="BuiltIn_Print_Titles___0___0___10" localSheetId="20">'IMPER-COMP'!#REF!</definedName>
    <definedName name="BuiltIn_Print_Titles___0___0___10" localSheetId="22">'IMPL-COMP'!#REF!</definedName>
    <definedName name="BuiltIn_Print_Titles___0___0___10" localSheetId="23">'INC-COMP'!#REF!</definedName>
    <definedName name="BuiltIn_Print_Titles___0___0___10" localSheetId="24">'SCE-COMP'!#REF!</definedName>
    <definedName name="BuiltIn_Print_Titles___0___0___10" localSheetId="25">'SEG-COMP'!#REF!</definedName>
    <definedName name="BuiltIn_Print_Titles___0___0___10" localSheetId="26">'SPDA-COMP'!#REF!</definedName>
    <definedName name="BuiltIn_Print_Titles___0___0___10">#REF!</definedName>
    <definedName name="BuiltIn_Print_Titles___0___1" localSheetId="13">'ADM-COMP'!#REF!</definedName>
    <definedName name="BuiltIn_Print_Titles___0___1" localSheetId="17">'CLI-COMP'!#REF!</definedName>
    <definedName name="BuiltIn_Print_Titles___0___1" localSheetId="18">'EST-COMP'!#REF!</definedName>
    <definedName name="BuiltIn_Print_Titles___0___1" localSheetId="19">'GAS-COMP'!#REF!</definedName>
    <definedName name="BuiltIn_Print_Titles___0___1" localSheetId="21">'HID-COMP'!#REF!</definedName>
    <definedName name="BuiltIn_Print_Titles___0___1" localSheetId="20">'IMPER-COMP'!#REF!</definedName>
    <definedName name="BuiltIn_Print_Titles___0___1" localSheetId="22">'IMPL-COMP'!#REF!</definedName>
    <definedName name="BuiltIn_Print_Titles___0___1" localSheetId="23">'INC-COMP'!#REF!</definedName>
    <definedName name="BuiltIn_Print_Titles___0___1" localSheetId="24">'SCE-COMP'!#REF!</definedName>
    <definedName name="BuiltIn_Print_Titles___0___1" localSheetId="25">'SEG-COMP'!#REF!</definedName>
    <definedName name="BuiltIn_Print_Titles___0___1" localSheetId="26">'SPDA-COMP'!#REF!</definedName>
    <definedName name="BuiltIn_Print_Titles___0___1">#REF!</definedName>
    <definedName name="BuiltIn_Print_Titles___0___16" localSheetId="13">'ADM-COMP'!#REF!</definedName>
    <definedName name="BuiltIn_Print_Titles___0___16" localSheetId="17">'CLI-COMP'!#REF!</definedName>
    <definedName name="BuiltIn_Print_Titles___0___16" localSheetId="18">'EST-COMP'!#REF!</definedName>
    <definedName name="BuiltIn_Print_Titles___0___16" localSheetId="19">'GAS-COMP'!#REF!</definedName>
    <definedName name="BuiltIn_Print_Titles___0___16" localSheetId="21">'HID-COMP'!#REF!</definedName>
    <definedName name="BuiltIn_Print_Titles___0___16" localSheetId="20">'IMPER-COMP'!#REF!</definedName>
    <definedName name="BuiltIn_Print_Titles___0___16" localSheetId="22">'IMPL-COMP'!#REF!</definedName>
    <definedName name="BuiltIn_Print_Titles___0___16" localSheetId="23">'INC-COMP'!#REF!</definedName>
    <definedName name="BuiltIn_Print_Titles___0___16" localSheetId="24">'SCE-COMP'!#REF!</definedName>
    <definedName name="BuiltIn_Print_Titles___0___16" localSheetId="25">'SEG-COMP'!#REF!</definedName>
    <definedName name="BuiltIn_Print_Titles___0___16" localSheetId="26">'SPDA-COMP'!#REF!</definedName>
    <definedName name="BuiltIn_Print_Titles___0___16">#REF!</definedName>
    <definedName name="BuiltIn_Print_Titles___0___16___0" localSheetId="13">'ADM-COMP'!#REF!</definedName>
    <definedName name="BuiltIn_Print_Titles___0___16___0" localSheetId="17">'CLI-COMP'!#REF!</definedName>
    <definedName name="BuiltIn_Print_Titles___0___16___0" localSheetId="18">'EST-COMP'!#REF!</definedName>
    <definedName name="BuiltIn_Print_Titles___0___16___0" localSheetId="19">'GAS-COMP'!#REF!</definedName>
    <definedName name="BuiltIn_Print_Titles___0___16___0" localSheetId="21">'HID-COMP'!#REF!</definedName>
    <definedName name="BuiltIn_Print_Titles___0___16___0" localSheetId="20">'IMPER-COMP'!#REF!</definedName>
    <definedName name="BuiltIn_Print_Titles___0___16___0" localSheetId="22">'IMPL-COMP'!#REF!</definedName>
    <definedName name="BuiltIn_Print_Titles___0___16___0" localSheetId="23">'INC-COMP'!#REF!</definedName>
    <definedName name="BuiltIn_Print_Titles___0___16___0" localSheetId="24">'SCE-COMP'!#REF!</definedName>
    <definedName name="BuiltIn_Print_Titles___0___16___0" localSheetId="25">'SEG-COMP'!#REF!</definedName>
    <definedName name="BuiltIn_Print_Titles___0___16___0" localSheetId="26">'SPDA-COMP'!#REF!</definedName>
    <definedName name="BuiltIn_Print_Titles___0___16___0">#REF!</definedName>
    <definedName name="BuiltIn_Print_Titles___0___16___0___0" localSheetId="13">'ADM-COMP'!#REF!</definedName>
    <definedName name="BuiltIn_Print_Titles___0___16___0___0" localSheetId="17">'CLI-COMP'!#REF!</definedName>
    <definedName name="BuiltIn_Print_Titles___0___16___0___0" localSheetId="18">'EST-COMP'!#REF!</definedName>
    <definedName name="BuiltIn_Print_Titles___0___16___0___0" localSheetId="19">'GAS-COMP'!#REF!</definedName>
    <definedName name="BuiltIn_Print_Titles___0___16___0___0" localSheetId="21">'HID-COMP'!#REF!</definedName>
    <definedName name="BuiltIn_Print_Titles___0___16___0___0" localSheetId="20">'IMPER-COMP'!#REF!</definedName>
    <definedName name="BuiltIn_Print_Titles___0___16___0___0" localSheetId="22">'IMPL-COMP'!#REF!</definedName>
    <definedName name="BuiltIn_Print_Titles___0___16___0___0" localSheetId="23">'INC-COMP'!#REF!</definedName>
    <definedName name="BuiltIn_Print_Titles___0___16___0___0" localSheetId="24">'SCE-COMP'!#REF!</definedName>
    <definedName name="BuiltIn_Print_Titles___0___16___0___0" localSheetId="25">'SEG-COMP'!#REF!</definedName>
    <definedName name="BuiltIn_Print_Titles___0___16___0___0" localSheetId="26">'SPDA-COMP'!#REF!</definedName>
    <definedName name="BuiltIn_Print_Titles___0___16___0___0">#REF!</definedName>
    <definedName name="BuiltIn_Print_Titles___0___16___0___0___0" localSheetId="13">'ADM-COMP'!#REF!</definedName>
    <definedName name="BuiltIn_Print_Titles___0___16___0___0___0" localSheetId="17">'CLI-COMP'!#REF!</definedName>
    <definedName name="BuiltIn_Print_Titles___0___16___0___0___0" localSheetId="18">'EST-COMP'!#REF!</definedName>
    <definedName name="BuiltIn_Print_Titles___0___16___0___0___0" localSheetId="19">'GAS-COMP'!#REF!</definedName>
    <definedName name="BuiltIn_Print_Titles___0___16___0___0___0" localSheetId="21">'HID-COMP'!#REF!</definedName>
    <definedName name="BuiltIn_Print_Titles___0___16___0___0___0" localSheetId="20">'IMPER-COMP'!#REF!</definedName>
    <definedName name="BuiltIn_Print_Titles___0___16___0___0___0" localSheetId="22">'IMPL-COMP'!#REF!</definedName>
    <definedName name="BuiltIn_Print_Titles___0___16___0___0___0" localSheetId="23">'INC-COMP'!#REF!</definedName>
    <definedName name="BuiltIn_Print_Titles___0___16___0___0___0" localSheetId="24">'SCE-COMP'!#REF!</definedName>
    <definedName name="BuiltIn_Print_Titles___0___16___0___0___0" localSheetId="25">'SEG-COMP'!#REF!</definedName>
    <definedName name="BuiltIn_Print_Titles___0___16___0___0___0" localSheetId="26">'SPDA-COMP'!#REF!</definedName>
    <definedName name="BuiltIn_Print_Titles___0___16___0___0___0">#REF!</definedName>
    <definedName name="BuiltIn_Print_Titles___0___16___0___0___0___0" localSheetId="13">'ADM-COMP'!#REF!</definedName>
    <definedName name="BuiltIn_Print_Titles___0___16___0___0___0___0" localSheetId="17">'CLI-COMP'!#REF!</definedName>
    <definedName name="BuiltIn_Print_Titles___0___16___0___0___0___0" localSheetId="18">'EST-COMP'!#REF!</definedName>
    <definedName name="BuiltIn_Print_Titles___0___16___0___0___0___0" localSheetId="19">'GAS-COMP'!#REF!</definedName>
    <definedName name="BuiltIn_Print_Titles___0___16___0___0___0___0" localSheetId="21">'HID-COMP'!#REF!</definedName>
    <definedName name="BuiltIn_Print_Titles___0___16___0___0___0___0" localSheetId="20">'IMPER-COMP'!#REF!</definedName>
    <definedName name="BuiltIn_Print_Titles___0___16___0___0___0___0" localSheetId="22">'IMPL-COMP'!#REF!</definedName>
    <definedName name="BuiltIn_Print_Titles___0___16___0___0___0___0" localSheetId="23">'INC-COMP'!#REF!</definedName>
    <definedName name="BuiltIn_Print_Titles___0___16___0___0___0___0" localSheetId="24">'SCE-COMP'!#REF!</definedName>
    <definedName name="BuiltIn_Print_Titles___0___16___0___0___0___0" localSheetId="25">'SEG-COMP'!#REF!</definedName>
    <definedName name="BuiltIn_Print_Titles___0___16___0___0___0___0" localSheetId="26">'SPDA-COMP'!#REF!</definedName>
    <definedName name="BuiltIn_Print_Titles___0___16___0___0___0___0">#REF!</definedName>
    <definedName name="BuiltIn_Print_Titles___0___16___0___0___0___0___0" localSheetId="13">'ADM-COMP'!#REF!</definedName>
    <definedName name="BuiltIn_Print_Titles___0___16___0___0___0___0___0" localSheetId="17">'CLI-COMP'!#REF!</definedName>
    <definedName name="BuiltIn_Print_Titles___0___16___0___0___0___0___0" localSheetId="18">'EST-COMP'!#REF!</definedName>
    <definedName name="BuiltIn_Print_Titles___0___16___0___0___0___0___0" localSheetId="19">'GAS-COMP'!#REF!</definedName>
    <definedName name="BuiltIn_Print_Titles___0___16___0___0___0___0___0" localSheetId="21">'HID-COMP'!#REF!</definedName>
    <definedName name="BuiltIn_Print_Titles___0___16___0___0___0___0___0" localSheetId="20">'IMPER-COMP'!#REF!</definedName>
    <definedName name="BuiltIn_Print_Titles___0___16___0___0___0___0___0" localSheetId="22">'IMPL-COMP'!#REF!</definedName>
    <definedName name="BuiltIn_Print_Titles___0___16___0___0___0___0___0" localSheetId="23">'INC-COMP'!#REF!</definedName>
    <definedName name="BuiltIn_Print_Titles___0___16___0___0___0___0___0" localSheetId="24">'SCE-COMP'!#REF!</definedName>
    <definedName name="BuiltIn_Print_Titles___0___16___0___0___0___0___0" localSheetId="25">'SEG-COMP'!#REF!</definedName>
    <definedName name="BuiltIn_Print_Titles___0___16___0___0___0___0___0" localSheetId="26">'SPDA-COMP'!#REF!</definedName>
    <definedName name="BuiltIn_Print_Titles___0___16___0___0___0___0___0">#REF!</definedName>
    <definedName name="BuiltIn_Print_Titles___0___5" localSheetId="13">'ADM-COMP'!#REF!</definedName>
    <definedName name="BuiltIn_Print_Titles___0___5" localSheetId="17">'CLI-COMP'!#REF!</definedName>
    <definedName name="BuiltIn_Print_Titles___0___5" localSheetId="18">'EST-COMP'!#REF!</definedName>
    <definedName name="BuiltIn_Print_Titles___0___5" localSheetId="19">'GAS-COMP'!#REF!</definedName>
    <definedName name="BuiltIn_Print_Titles___0___5" localSheetId="21">'HID-COMP'!#REF!</definedName>
    <definedName name="BuiltIn_Print_Titles___0___5" localSheetId="20">'IMPER-COMP'!#REF!</definedName>
    <definedName name="BuiltIn_Print_Titles___0___5" localSheetId="22">'IMPL-COMP'!#REF!</definedName>
    <definedName name="BuiltIn_Print_Titles___0___5" localSheetId="23">'INC-COMP'!#REF!</definedName>
    <definedName name="BuiltIn_Print_Titles___0___5" localSheetId="24">'SCE-COMP'!#REF!</definedName>
    <definedName name="BuiltIn_Print_Titles___0___5" localSheetId="25">'SEG-COMP'!#REF!</definedName>
    <definedName name="BuiltIn_Print_Titles___0___5" localSheetId="26">'SPDA-COMP'!#REF!</definedName>
    <definedName name="BuiltIn_Print_Titles___0___5">#REF!</definedName>
    <definedName name="BuiltIn_Print_Titles___0___6" localSheetId="13">'ADM-COMP'!#REF!</definedName>
    <definedName name="BuiltIn_Print_Titles___0___6" localSheetId="17">'CLI-COMP'!#REF!</definedName>
    <definedName name="BuiltIn_Print_Titles___0___6" localSheetId="18">'EST-COMP'!#REF!</definedName>
    <definedName name="BuiltIn_Print_Titles___0___6" localSheetId="19">'GAS-COMP'!#REF!</definedName>
    <definedName name="BuiltIn_Print_Titles___0___6" localSheetId="21">'HID-COMP'!#REF!</definedName>
    <definedName name="BuiltIn_Print_Titles___0___6" localSheetId="20">'IMPER-COMP'!#REF!</definedName>
    <definedName name="BuiltIn_Print_Titles___0___6" localSheetId="22">'IMPL-COMP'!#REF!</definedName>
    <definedName name="BuiltIn_Print_Titles___0___6" localSheetId="23">'INC-COMP'!#REF!</definedName>
    <definedName name="BuiltIn_Print_Titles___0___6" localSheetId="24">'SCE-COMP'!#REF!</definedName>
    <definedName name="BuiltIn_Print_Titles___0___6" localSheetId="25">'SEG-COMP'!#REF!</definedName>
    <definedName name="BuiltIn_Print_Titles___0___6" localSheetId="26">'SPDA-COMP'!#REF!</definedName>
    <definedName name="BuiltIn_Print_Titles___0___6">#REF!</definedName>
    <definedName name="BuiltIn_Print_Titles___0___7" localSheetId="13">'ADM-COMP'!#REF!</definedName>
    <definedName name="BuiltIn_Print_Titles___0___7" localSheetId="17">'CLI-COMP'!#REF!</definedName>
    <definedName name="BuiltIn_Print_Titles___0___7" localSheetId="18">'EST-COMP'!#REF!</definedName>
    <definedName name="BuiltIn_Print_Titles___0___7" localSheetId="19">'GAS-COMP'!#REF!</definedName>
    <definedName name="BuiltIn_Print_Titles___0___7" localSheetId="21">'HID-COMP'!#REF!</definedName>
    <definedName name="BuiltIn_Print_Titles___0___7" localSheetId="20">'IMPER-COMP'!#REF!</definedName>
    <definedName name="BuiltIn_Print_Titles___0___7" localSheetId="22">'IMPL-COMP'!#REF!</definedName>
    <definedName name="BuiltIn_Print_Titles___0___7" localSheetId="23">'INC-COMP'!#REF!</definedName>
    <definedName name="BuiltIn_Print_Titles___0___7" localSheetId="24">'SCE-COMP'!#REF!</definedName>
    <definedName name="BuiltIn_Print_Titles___0___7" localSheetId="25">'SEG-COMP'!#REF!</definedName>
    <definedName name="BuiltIn_Print_Titles___0___7" localSheetId="26">'SPDA-COMP'!#REF!</definedName>
    <definedName name="BuiltIn_Print_Titles___0___7">#REF!</definedName>
    <definedName name="BuiltIn_Print_Titles___0___8" localSheetId="13">'ADM-COMP'!#REF!</definedName>
    <definedName name="BuiltIn_Print_Titles___0___8" localSheetId="17">'CLI-COMP'!#REF!</definedName>
    <definedName name="BuiltIn_Print_Titles___0___8" localSheetId="18">'EST-COMP'!#REF!</definedName>
    <definedName name="BuiltIn_Print_Titles___0___8" localSheetId="19">'GAS-COMP'!#REF!</definedName>
    <definedName name="BuiltIn_Print_Titles___0___8" localSheetId="21">'HID-COMP'!#REF!</definedName>
    <definedName name="BuiltIn_Print_Titles___0___8" localSheetId="20">'IMPER-COMP'!#REF!</definedName>
    <definedName name="BuiltIn_Print_Titles___0___8" localSheetId="22">'IMPL-COMP'!#REF!</definedName>
    <definedName name="BuiltIn_Print_Titles___0___8" localSheetId="23">'INC-COMP'!#REF!</definedName>
    <definedName name="BuiltIn_Print_Titles___0___8" localSheetId="24">'SCE-COMP'!#REF!</definedName>
    <definedName name="BuiltIn_Print_Titles___0___8" localSheetId="25">'SEG-COMP'!#REF!</definedName>
    <definedName name="BuiltIn_Print_Titles___0___8" localSheetId="26">'SPDA-COMP'!#REF!</definedName>
    <definedName name="BuiltIn_Print_Titles___0___8">#REF!</definedName>
    <definedName name="BuiltIn_Print_Titles___0_1" localSheetId="13">'ADM-COMP'!#REF!</definedName>
    <definedName name="BuiltIn_Print_Titles___0_1" localSheetId="17">'CLI-COMP'!#REF!</definedName>
    <definedName name="BuiltIn_Print_Titles___0_1" localSheetId="18">'EST-COMP'!#REF!</definedName>
    <definedName name="BuiltIn_Print_Titles___0_1" localSheetId="19">'GAS-COMP'!#REF!</definedName>
    <definedName name="BuiltIn_Print_Titles___0_1" localSheetId="21">'HID-COMP'!#REF!</definedName>
    <definedName name="BuiltIn_Print_Titles___0_1" localSheetId="20">'IMPER-COMP'!#REF!</definedName>
    <definedName name="BuiltIn_Print_Titles___0_1" localSheetId="22">'IMPL-COMP'!#REF!</definedName>
    <definedName name="BuiltIn_Print_Titles___0_1" localSheetId="23">'INC-COMP'!#REF!</definedName>
    <definedName name="BuiltIn_Print_Titles___0_1" localSheetId="24">'SCE-COMP'!#REF!</definedName>
    <definedName name="BuiltIn_Print_Titles___0_1" localSheetId="25">'SEG-COMP'!#REF!</definedName>
    <definedName name="BuiltIn_Print_Titles___0_1" localSheetId="26">'SPDA-COMP'!#REF!</definedName>
    <definedName name="BuiltIn_Print_Titles___0_1">#REF!</definedName>
    <definedName name="BuiltIn_Print_Titles___0_1_1" localSheetId="13">'ADM-COMP'!#REF!</definedName>
    <definedName name="BuiltIn_Print_Titles___0_1_1" localSheetId="17">'CLI-COMP'!#REF!</definedName>
    <definedName name="BuiltIn_Print_Titles___0_1_1" localSheetId="18">'EST-COMP'!#REF!</definedName>
    <definedName name="BuiltIn_Print_Titles___0_1_1" localSheetId="19">'GAS-COMP'!#REF!</definedName>
    <definedName name="BuiltIn_Print_Titles___0_1_1" localSheetId="21">'HID-COMP'!#REF!</definedName>
    <definedName name="BuiltIn_Print_Titles___0_1_1" localSheetId="20">'IMPER-COMP'!#REF!</definedName>
    <definedName name="BuiltIn_Print_Titles___0_1_1" localSheetId="22">'IMPL-COMP'!#REF!</definedName>
    <definedName name="BuiltIn_Print_Titles___0_1_1" localSheetId="23">'INC-COMP'!#REF!</definedName>
    <definedName name="BuiltIn_Print_Titles___0_1_1" localSheetId="24">'SCE-COMP'!#REF!</definedName>
    <definedName name="BuiltIn_Print_Titles___0_1_1" localSheetId="25">'SEG-COMP'!#REF!</definedName>
    <definedName name="BuiltIn_Print_Titles___0_1_1" localSheetId="26">'SPDA-COMP'!#REF!</definedName>
    <definedName name="BuiltIn_Print_Titles___0_1_1">#REF!</definedName>
    <definedName name="BuiltIn_Print_Titles___4___4" localSheetId="13">'ADM-COMP'!#REF!</definedName>
    <definedName name="BuiltIn_Print_Titles___4___4" localSheetId="17">'CLI-COMP'!#REF!</definedName>
    <definedName name="BuiltIn_Print_Titles___4___4" localSheetId="18">'EST-COMP'!#REF!</definedName>
    <definedName name="BuiltIn_Print_Titles___4___4" localSheetId="19">'GAS-COMP'!#REF!</definedName>
    <definedName name="BuiltIn_Print_Titles___4___4" localSheetId="21">'HID-COMP'!#REF!</definedName>
    <definedName name="BuiltIn_Print_Titles___4___4" localSheetId="20">'IMPER-COMP'!#REF!</definedName>
    <definedName name="BuiltIn_Print_Titles___4___4" localSheetId="22">'IMPL-COMP'!#REF!</definedName>
    <definedName name="BuiltIn_Print_Titles___4___4" localSheetId="23">'INC-COMP'!#REF!</definedName>
    <definedName name="BuiltIn_Print_Titles___4___4" localSheetId="24">'SCE-COMP'!#REF!</definedName>
    <definedName name="BuiltIn_Print_Titles___4___4" localSheetId="25">'SEG-COMP'!#REF!</definedName>
    <definedName name="BuiltIn_Print_Titles___4___4" localSheetId="26">'SPDA-COMP'!#REF!</definedName>
    <definedName name="BuiltIn_Print_Titles___4___4">#REF!</definedName>
    <definedName name="BuiltIn_Print_Titles___5___5" localSheetId="13">'ADM-COMP'!#REF!</definedName>
    <definedName name="BuiltIn_Print_Titles___5___5" localSheetId="17">'CLI-COMP'!#REF!</definedName>
    <definedName name="BuiltIn_Print_Titles___5___5" localSheetId="18">'EST-COMP'!#REF!</definedName>
    <definedName name="BuiltIn_Print_Titles___5___5" localSheetId="19">'GAS-COMP'!#REF!</definedName>
    <definedName name="BuiltIn_Print_Titles___5___5" localSheetId="21">'HID-COMP'!#REF!</definedName>
    <definedName name="BuiltIn_Print_Titles___5___5" localSheetId="20">'IMPER-COMP'!#REF!</definedName>
    <definedName name="BuiltIn_Print_Titles___5___5" localSheetId="22">'IMPL-COMP'!#REF!</definedName>
    <definedName name="BuiltIn_Print_Titles___5___5" localSheetId="23">'INC-COMP'!#REF!</definedName>
    <definedName name="BuiltIn_Print_Titles___5___5" localSheetId="24">'SCE-COMP'!#REF!</definedName>
    <definedName name="BuiltIn_Print_Titles___5___5" localSheetId="25">'SEG-COMP'!#REF!</definedName>
    <definedName name="BuiltIn_Print_Titles___5___5" localSheetId="26">'SPDA-COMP'!#REF!</definedName>
    <definedName name="BuiltIn_Print_Titles___5___5">#REF!</definedName>
    <definedName name="BuiltIn_Print_Titles___5___5___0" localSheetId="13">'ADM-COMP'!#REF!</definedName>
    <definedName name="BuiltIn_Print_Titles___5___5___0" localSheetId="17">'CLI-COMP'!#REF!</definedName>
    <definedName name="BuiltIn_Print_Titles___5___5___0" localSheetId="18">'EST-COMP'!#REF!</definedName>
    <definedName name="BuiltIn_Print_Titles___5___5___0" localSheetId="19">'GAS-COMP'!#REF!</definedName>
    <definedName name="BuiltIn_Print_Titles___5___5___0" localSheetId="21">'HID-COMP'!#REF!</definedName>
    <definedName name="BuiltIn_Print_Titles___5___5___0" localSheetId="20">'IMPER-COMP'!#REF!</definedName>
    <definedName name="BuiltIn_Print_Titles___5___5___0" localSheetId="22">'IMPL-COMP'!#REF!</definedName>
    <definedName name="BuiltIn_Print_Titles___5___5___0" localSheetId="23">'INC-COMP'!#REF!</definedName>
    <definedName name="BuiltIn_Print_Titles___5___5___0" localSheetId="24">'SCE-COMP'!#REF!</definedName>
    <definedName name="BuiltIn_Print_Titles___5___5___0" localSheetId="25">'SEG-COMP'!#REF!</definedName>
    <definedName name="BuiltIn_Print_Titles___5___5___0" localSheetId="26">'SPDA-COMP'!#REF!</definedName>
    <definedName name="BuiltIn_Print_Titles___5___5___0">#REF!</definedName>
    <definedName name="BuiltIn_Print_Titles___6___6" localSheetId="13">'ADM-COMP'!#REF!</definedName>
    <definedName name="BuiltIn_Print_Titles___6___6" localSheetId="17">'CLI-COMP'!#REF!</definedName>
    <definedName name="BuiltIn_Print_Titles___6___6" localSheetId="18">'EST-COMP'!#REF!</definedName>
    <definedName name="BuiltIn_Print_Titles___6___6" localSheetId="19">'GAS-COMP'!#REF!</definedName>
    <definedName name="BuiltIn_Print_Titles___6___6" localSheetId="21">'HID-COMP'!#REF!</definedName>
    <definedName name="BuiltIn_Print_Titles___6___6" localSheetId="20">'IMPER-COMP'!#REF!</definedName>
    <definedName name="BuiltIn_Print_Titles___6___6" localSheetId="22">'IMPL-COMP'!#REF!</definedName>
    <definedName name="BuiltIn_Print_Titles___6___6" localSheetId="23">'INC-COMP'!#REF!</definedName>
    <definedName name="BuiltIn_Print_Titles___6___6" localSheetId="24">'SCE-COMP'!#REF!</definedName>
    <definedName name="BuiltIn_Print_Titles___6___6" localSheetId="25">'SEG-COMP'!#REF!</definedName>
    <definedName name="BuiltIn_Print_Titles___6___6" localSheetId="26">'SPDA-COMP'!#REF!</definedName>
    <definedName name="BuiltIn_Print_Titles___6___6">#REF!</definedName>
    <definedName name="BuiltIn_Print_Titles___6___6___0" localSheetId="13">'ADM-COMP'!#REF!</definedName>
    <definedName name="BuiltIn_Print_Titles___6___6___0" localSheetId="17">'CLI-COMP'!#REF!</definedName>
    <definedName name="BuiltIn_Print_Titles___6___6___0" localSheetId="18">'EST-COMP'!#REF!</definedName>
    <definedName name="BuiltIn_Print_Titles___6___6___0" localSheetId="19">'GAS-COMP'!#REF!</definedName>
    <definedName name="BuiltIn_Print_Titles___6___6___0" localSheetId="21">'HID-COMP'!#REF!</definedName>
    <definedName name="BuiltIn_Print_Titles___6___6___0" localSheetId="20">'IMPER-COMP'!#REF!</definedName>
    <definedName name="BuiltIn_Print_Titles___6___6___0" localSheetId="22">'IMPL-COMP'!#REF!</definedName>
    <definedName name="BuiltIn_Print_Titles___6___6___0" localSheetId="23">'INC-COMP'!#REF!</definedName>
    <definedName name="BuiltIn_Print_Titles___6___6___0" localSheetId="24">'SCE-COMP'!#REF!</definedName>
    <definedName name="BuiltIn_Print_Titles___6___6___0" localSheetId="25">'SEG-COMP'!#REF!</definedName>
    <definedName name="BuiltIn_Print_Titles___6___6___0" localSheetId="26">'SPDA-COMP'!#REF!</definedName>
    <definedName name="BuiltIn_Print_Titles___6___6___0">#REF!</definedName>
    <definedName name="BuiltIn_Print_Titles___7___7" localSheetId="13">'ADM-COMP'!#REF!</definedName>
    <definedName name="BuiltIn_Print_Titles___7___7" localSheetId="17">'CLI-COMP'!#REF!</definedName>
    <definedName name="BuiltIn_Print_Titles___7___7" localSheetId="18">'EST-COMP'!#REF!</definedName>
    <definedName name="BuiltIn_Print_Titles___7___7" localSheetId="19">'GAS-COMP'!#REF!</definedName>
    <definedName name="BuiltIn_Print_Titles___7___7" localSheetId="21">'HID-COMP'!#REF!</definedName>
    <definedName name="BuiltIn_Print_Titles___7___7" localSheetId="20">'IMPER-COMP'!#REF!</definedName>
    <definedName name="BuiltIn_Print_Titles___7___7" localSheetId="22">'IMPL-COMP'!#REF!</definedName>
    <definedName name="BuiltIn_Print_Titles___7___7" localSheetId="23">'INC-COMP'!#REF!</definedName>
    <definedName name="BuiltIn_Print_Titles___7___7" localSheetId="24">'SCE-COMP'!#REF!</definedName>
    <definedName name="BuiltIn_Print_Titles___7___7" localSheetId="25">'SEG-COMP'!#REF!</definedName>
    <definedName name="BuiltIn_Print_Titles___7___7" localSheetId="26">'SPDA-COMP'!#REF!</definedName>
    <definedName name="BuiltIn_Print_Titles___7___7">#REF!</definedName>
    <definedName name="BuiltIn_Print_Titles_1" localSheetId="13">'ADM-COMP'!#REF!</definedName>
    <definedName name="BuiltIn_Print_Titles_1" localSheetId="17">'CLI-COMP'!#REF!</definedName>
    <definedName name="BuiltIn_Print_Titles_1" localSheetId="18">'EST-COMP'!#REF!</definedName>
    <definedName name="BuiltIn_Print_Titles_1" localSheetId="19">'GAS-COMP'!#REF!</definedName>
    <definedName name="BuiltIn_Print_Titles_1" localSheetId="21">'HID-COMP'!#REF!</definedName>
    <definedName name="BuiltIn_Print_Titles_1" localSheetId="20">'IMPER-COMP'!#REF!</definedName>
    <definedName name="BuiltIn_Print_Titles_1" localSheetId="22">'IMPL-COMP'!#REF!</definedName>
    <definedName name="BuiltIn_Print_Titles_1" localSheetId="23">'INC-COMP'!#REF!</definedName>
    <definedName name="BuiltIn_Print_Titles_1" localSheetId="24">'SCE-COMP'!#REF!</definedName>
    <definedName name="BuiltIn_Print_Titles_1" localSheetId="25">'SEG-COMP'!#REF!</definedName>
    <definedName name="BuiltIn_Print_Titles_1" localSheetId="26">'SPDA-COMP'!#REF!</definedName>
    <definedName name="BuiltIn_Print_Titles_1">#REF!</definedName>
    <definedName name="BuiltIn_Print_Titles_1_1" localSheetId="13">'ADM-COMP'!#REF!</definedName>
    <definedName name="BuiltIn_Print_Titles_1_1" localSheetId="17">'CLI-COMP'!#REF!</definedName>
    <definedName name="BuiltIn_Print_Titles_1_1" localSheetId="18">'EST-COMP'!#REF!</definedName>
    <definedName name="BuiltIn_Print_Titles_1_1" localSheetId="19">'GAS-COMP'!#REF!</definedName>
    <definedName name="BuiltIn_Print_Titles_1_1" localSheetId="21">'HID-COMP'!#REF!</definedName>
    <definedName name="BuiltIn_Print_Titles_1_1" localSheetId="20">'IMPER-COMP'!#REF!</definedName>
    <definedName name="BuiltIn_Print_Titles_1_1" localSheetId="22">'IMPL-COMP'!#REF!</definedName>
    <definedName name="BuiltIn_Print_Titles_1_1" localSheetId="23">'INC-COMP'!#REF!</definedName>
    <definedName name="BuiltIn_Print_Titles_1_1" localSheetId="24">'SCE-COMP'!#REF!</definedName>
    <definedName name="BuiltIn_Print_Titles_1_1" localSheetId="25">'SEG-COMP'!#REF!</definedName>
    <definedName name="BuiltIn_Print_Titles_1_1" localSheetId="26">'SPDA-COMP'!#REF!</definedName>
    <definedName name="BuiltIn_Print_Titles_1_1">#REF!</definedName>
    <definedName name="CA´L" hidden="1">{#N/A,#N/A,FALSE,"Cronograma";#N/A,#N/A,FALSE,"Cronogr. 2"}</definedName>
    <definedName name="capa1" localSheetId="13">'ADM-COMP'!#REF!</definedName>
    <definedName name="capa1" localSheetId="17">'CLI-COMP'!#REF!</definedName>
    <definedName name="capa1" localSheetId="18">'EST-COMP'!#REF!</definedName>
    <definedName name="capa1" localSheetId="19">'GAS-COMP'!#REF!</definedName>
    <definedName name="capa1" localSheetId="21">'HID-COMP'!#REF!</definedName>
    <definedName name="capa1" localSheetId="20">'IMPER-COMP'!#REF!</definedName>
    <definedName name="capa1" localSheetId="22">'IMPL-COMP'!#REF!</definedName>
    <definedName name="capa1" localSheetId="23">'INC-COMP'!#REF!</definedName>
    <definedName name="capa1" localSheetId="24">'SCE-COMP'!#REF!</definedName>
    <definedName name="capa1" localSheetId="25">'SEG-COMP'!#REF!</definedName>
    <definedName name="capa1" localSheetId="26">'SPDA-COMP'!#REF!</definedName>
    <definedName name="capa1">#REF!</definedName>
    <definedName name="Carimbo" localSheetId="13">'ADM-COMP'!#REF!</definedName>
    <definedName name="Carimbo" localSheetId="17">'CLI-COMP'!#REF!</definedName>
    <definedName name="Carimbo" localSheetId="18">'EST-COMP'!#REF!</definedName>
    <definedName name="Carimbo" localSheetId="19">'GAS-COMP'!#REF!</definedName>
    <definedName name="Carimbo" localSheetId="21">'HID-COMP'!#REF!</definedName>
    <definedName name="Carimbo" localSheetId="20">'IMPER-COMP'!#REF!</definedName>
    <definedName name="Carimbo" localSheetId="22">'IMPL-COMP'!#REF!</definedName>
    <definedName name="Carimbo" localSheetId="23">'INC-COMP'!#REF!</definedName>
    <definedName name="Carimbo" localSheetId="24">'SCE-COMP'!#REF!</definedName>
    <definedName name="Carimbo" localSheetId="25">'SEG-COMP'!#REF!</definedName>
    <definedName name="Carimbo" localSheetId="26">'SPDA-COMP'!#REF!</definedName>
    <definedName name="Carimbo">#REF!</definedName>
    <definedName name="CODIGO" localSheetId="13">'ADM-COMP'!#REF!</definedName>
    <definedName name="CODIGO" localSheetId="17">'CLI-COMP'!#REF!</definedName>
    <definedName name="CODIGO" localSheetId="18">'EST-COMP'!#REF!</definedName>
    <definedName name="CODIGO" localSheetId="19">'GAS-COMP'!#REF!</definedName>
    <definedName name="CODIGO" localSheetId="21">'HID-COMP'!#REF!</definedName>
    <definedName name="CODIGO" localSheetId="20">'IMPER-COMP'!#REF!</definedName>
    <definedName name="CODIGO" localSheetId="22">'IMPL-COMP'!#REF!</definedName>
    <definedName name="CODIGO" localSheetId="23">'INC-COMP'!#REF!</definedName>
    <definedName name="CODIGO" localSheetId="24">'SCE-COMP'!#REF!</definedName>
    <definedName name="CODIGO" localSheetId="25">'SEG-COMP'!#REF!</definedName>
    <definedName name="CODIGO" localSheetId="26">'SPDA-COMP'!#REF!</definedName>
    <definedName name="CODIGO">#REF!</definedName>
    <definedName name="COMEÇO" localSheetId="13">'[4]CAPA -1'!#REF!</definedName>
    <definedName name="COMEÇO" localSheetId="17">'[4]CAPA -1'!#REF!</definedName>
    <definedName name="COMEÇO" localSheetId="18">'[4]CAPA -1'!#REF!</definedName>
    <definedName name="COMEÇO" localSheetId="19">'[4]CAPA -1'!#REF!</definedName>
    <definedName name="COMEÇO" localSheetId="21">'[4]CAPA -1'!#REF!</definedName>
    <definedName name="COMEÇO" localSheetId="20">'[4]CAPA -1'!#REF!</definedName>
    <definedName name="COMEÇO" localSheetId="22">'[4]CAPA -1'!#REF!</definedName>
    <definedName name="COMEÇO" localSheetId="23">'[4]CAPA -1'!#REF!</definedName>
    <definedName name="COMEÇO" localSheetId="24">'[4]CAPA -1'!#REF!</definedName>
    <definedName name="COMEÇO" localSheetId="25">'[4]CAPA -1'!#REF!</definedName>
    <definedName name="COMEÇO" localSheetId="26">'[4]CAPA -1'!#REF!</definedName>
    <definedName name="COMEÇO">'[4]CAPA -1'!#REF!</definedName>
    <definedName name="concorrentes" hidden="1">{#N/A,#N/A,FALSE,"Cronograma";#N/A,#N/A,FALSE,"Cronogr. 2"}</definedName>
    <definedName name="DAF" localSheetId="13">'ADM-COMP'!#REF!</definedName>
    <definedName name="DAF" localSheetId="17">'CLI-COMP'!#REF!</definedName>
    <definedName name="DAF" localSheetId="18">'EST-COMP'!#REF!</definedName>
    <definedName name="DAF" localSheetId="19">'GAS-COMP'!#REF!</definedName>
    <definedName name="DAF" localSheetId="21">'HID-COMP'!#REF!</definedName>
    <definedName name="DAF" localSheetId="20">'IMPER-COMP'!#REF!</definedName>
    <definedName name="DAF" localSheetId="22">'IMPL-COMP'!#REF!</definedName>
    <definedName name="DAF" localSheetId="23">'INC-COMP'!#REF!</definedName>
    <definedName name="DAF" localSheetId="24">'SCE-COMP'!#REF!</definedName>
    <definedName name="DAF" localSheetId="25">'SEG-COMP'!#REF!</definedName>
    <definedName name="DAF" localSheetId="26">'SPDA-COMP'!#REF!</definedName>
    <definedName name="DAF">#REF!</definedName>
    <definedName name="daniel" localSheetId="13">'ADM-COMP'!#REF!</definedName>
    <definedName name="daniel" localSheetId="17">'CLI-COMP'!#REF!</definedName>
    <definedName name="daniel" localSheetId="18">'EST-COMP'!#REF!</definedName>
    <definedName name="daniel" localSheetId="19">'GAS-COMP'!#REF!</definedName>
    <definedName name="daniel" localSheetId="21">'HID-COMP'!#REF!</definedName>
    <definedName name="daniel" localSheetId="20">'IMPER-COMP'!#REF!</definedName>
    <definedName name="daniel" localSheetId="22">'IMPL-COMP'!#REF!</definedName>
    <definedName name="daniel" localSheetId="23">'INC-COMP'!#REF!</definedName>
    <definedName name="daniel" localSheetId="24">'SCE-COMP'!#REF!</definedName>
    <definedName name="daniel" localSheetId="25">'SEG-COMP'!#REF!</definedName>
    <definedName name="daniel" localSheetId="26">'SPDA-COMP'!#REF!</definedName>
    <definedName name="daniel">#REF!</definedName>
    <definedName name="DD" localSheetId="13">'ADM-COMP'!#REF!</definedName>
    <definedName name="DD" localSheetId="17">'CLI-COMP'!#REF!</definedName>
    <definedName name="DD" localSheetId="18">'EST-COMP'!#REF!</definedName>
    <definedName name="DD" localSheetId="19">'GAS-COMP'!#REF!</definedName>
    <definedName name="DD" localSheetId="21">'HID-COMP'!#REF!</definedName>
    <definedName name="DD" localSheetId="20">'IMPER-COMP'!#REF!</definedName>
    <definedName name="DD" localSheetId="22">'IMPL-COMP'!#REF!</definedName>
    <definedName name="DD" localSheetId="23">'INC-COMP'!#REF!</definedName>
    <definedName name="DD" localSheetId="24">'SCE-COMP'!#REF!</definedName>
    <definedName name="DD" localSheetId="25">'SEG-COMP'!#REF!</definedName>
    <definedName name="DD" localSheetId="26">'SPDA-COMP'!#REF!</definedName>
    <definedName name="DD">#REF!</definedName>
    <definedName name="DDD" localSheetId="13">'ADM-COMP'!#REF!</definedName>
    <definedName name="DDD" localSheetId="17">'CLI-COMP'!#REF!</definedName>
    <definedName name="DDD" localSheetId="18">'EST-COMP'!#REF!</definedName>
    <definedName name="DDD" localSheetId="19">'GAS-COMP'!#REF!</definedName>
    <definedName name="DDD" localSheetId="21">'HID-COMP'!#REF!</definedName>
    <definedName name="DDD" localSheetId="20">'IMPER-COMP'!#REF!</definedName>
    <definedName name="DDD" localSheetId="22">'IMPL-COMP'!#REF!</definedName>
    <definedName name="DDD" localSheetId="23">'INC-COMP'!#REF!</definedName>
    <definedName name="DDD" localSheetId="24">'SCE-COMP'!#REF!</definedName>
    <definedName name="DDD" localSheetId="25">'SEG-COMP'!#REF!</definedName>
    <definedName name="DDD" localSheetId="26">'SPDA-COMP'!#REF!</definedName>
    <definedName name="DDD">#REF!</definedName>
    <definedName name="DF" localSheetId="13">'ADM-COMP'!#REF!</definedName>
    <definedName name="DF" localSheetId="17">'CLI-COMP'!#REF!</definedName>
    <definedName name="DF" localSheetId="18">'EST-COMP'!#REF!</definedName>
    <definedName name="DF" localSheetId="19">'GAS-COMP'!#REF!</definedName>
    <definedName name="DF" localSheetId="21">'HID-COMP'!#REF!</definedName>
    <definedName name="DF" localSheetId="20">'IMPER-COMP'!#REF!</definedName>
    <definedName name="DF" localSheetId="22">'IMPL-COMP'!#REF!</definedName>
    <definedName name="DF" localSheetId="23">'INC-COMP'!#REF!</definedName>
    <definedName name="DF" localSheetId="24">'SCE-COMP'!#REF!</definedName>
    <definedName name="DF" localSheetId="25">'SEG-COMP'!#REF!</definedName>
    <definedName name="DF" localSheetId="26">'SPDA-COMP'!#REF!</definedName>
    <definedName name="DF">#REF!</definedName>
    <definedName name="DFADFA" localSheetId="13">'ADM-COMP'!#REF!</definedName>
    <definedName name="DFADFA" localSheetId="17">'CLI-COMP'!#REF!</definedName>
    <definedName name="DFADFA" localSheetId="18">'EST-COMP'!#REF!</definedName>
    <definedName name="DFADFA" localSheetId="19">'GAS-COMP'!#REF!</definedName>
    <definedName name="DFADFA" localSheetId="21">'HID-COMP'!#REF!</definedName>
    <definedName name="DFADFA" localSheetId="20">'IMPER-COMP'!#REF!</definedName>
    <definedName name="DFADFA" localSheetId="22">'IMPL-COMP'!#REF!</definedName>
    <definedName name="DFADFA" localSheetId="23">'INC-COMP'!#REF!</definedName>
    <definedName name="DFADFA" localSheetId="24">'SCE-COMP'!#REF!</definedName>
    <definedName name="DFADFA" localSheetId="25">'SEG-COMP'!#REF!</definedName>
    <definedName name="DFADFA" localSheetId="26">'SPDA-COMP'!#REF!</definedName>
    <definedName name="DFADFA">#REF!</definedName>
    <definedName name="DFAFAF" localSheetId="13">'ADM-COMP'!#REF!</definedName>
    <definedName name="DFAFAF" localSheetId="17">'CLI-COMP'!#REF!</definedName>
    <definedName name="DFAFAF" localSheetId="18">'EST-COMP'!#REF!</definedName>
    <definedName name="DFAFAF" localSheetId="19">'GAS-COMP'!#REF!</definedName>
    <definedName name="DFAFAF" localSheetId="21">'HID-COMP'!#REF!</definedName>
    <definedName name="DFAFAF" localSheetId="20">'IMPER-COMP'!#REF!</definedName>
    <definedName name="DFAFAF" localSheetId="22">'IMPL-COMP'!#REF!</definedName>
    <definedName name="DFAFAF" localSheetId="23">'INC-COMP'!#REF!</definedName>
    <definedName name="DFAFAF" localSheetId="24">'SCE-COMP'!#REF!</definedName>
    <definedName name="DFAFAF" localSheetId="25">'SEG-COMP'!#REF!</definedName>
    <definedName name="DFAFAF" localSheetId="26">'SPDA-COMP'!#REF!</definedName>
    <definedName name="DFAFAF">#REF!</definedName>
    <definedName name="Excel_BuiltIn__FilterDatabase_1" localSheetId="13">'ADM-COMP'!#REF!</definedName>
    <definedName name="Excel_BuiltIn__FilterDatabase_1" localSheetId="17">'CLI-COMP'!#REF!</definedName>
    <definedName name="Excel_BuiltIn__FilterDatabase_1" localSheetId="18">'EST-COMP'!#REF!</definedName>
    <definedName name="Excel_BuiltIn__FilterDatabase_1" localSheetId="19">'GAS-COMP'!#REF!</definedName>
    <definedName name="Excel_BuiltIn__FilterDatabase_1" localSheetId="21">'HID-COMP'!#REF!</definedName>
    <definedName name="Excel_BuiltIn__FilterDatabase_1" localSheetId="20">'IMPER-COMP'!#REF!</definedName>
    <definedName name="Excel_BuiltIn__FilterDatabase_1" localSheetId="22">'IMPL-COMP'!#REF!</definedName>
    <definedName name="Excel_BuiltIn__FilterDatabase_1" localSheetId="23">'INC-COMP'!#REF!</definedName>
    <definedName name="Excel_BuiltIn__FilterDatabase_1" localSheetId="24">'SCE-COMP'!#REF!</definedName>
    <definedName name="Excel_BuiltIn__FilterDatabase_1" localSheetId="25">'SEG-COMP'!#REF!</definedName>
    <definedName name="Excel_BuiltIn__FilterDatabase_1" localSheetId="26">'SPDA-COMP'!#REF!</definedName>
    <definedName name="Excel_BuiltIn__FilterDatabase_1">#REF!</definedName>
    <definedName name="Excel_BuiltIn__FilterDatabase_10" localSheetId="13">'ADM-COMP'!#REF!</definedName>
    <definedName name="Excel_BuiltIn__FilterDatabase_10" localSheetId="17">'CLI-COMP'!#REF!</definedName>
    <definedName name="Excel_BuiltIn__FilterDatabase_10" localSheetId="18">'EST-COMP'!#REF!</definedName>
    <definedName name="Excel_BuiltIn__FilterDatabase_10" localSheetId="19">'GAS-COMP'!#REF!</definedName>
    <definedName name="Excel_BuiltIn__FilterDatabase_10" localSheetId="21">'HID-COMP'!#REF!</definedName>
    <definedName name="Excel_BuiltIn__FilterDatabase_10" localSheetId="20">'IMPER-COMP'!#REF!</definedName>
    <definedName name="Excel_BuiltIn__FilterDatabase_10" localSheetId="22">'IMPL-COMP'!#REF!</definedName>
    <definedName name="Excel_BuiltIn__FilterDatabase_10" localSheetId="23">'INC-COMP'!#REF!</definedName>
    <definedName name="Excel_BuiltIn__FilterDatabase_10" localSheetId="24">'SCE-COMP'!#REF!</definedName>
    <definedName name="Excel_BuiltIn__FilterDatabase_10" localSheetId="25">'SEG-COMP'!#REF!</definedName>
    <definedName name="Excel_BuiltIn__FilterDatabase_10" localSheetId="26">'SPDA-COMP'!#REF!</definedName>
    <definedName name="Excel_BuiltIn__FilterDatabase_10">#REF!</definedName>
    <definedName name="Excel_BuiltIn__FilterDatabase_10_1" localSheetId="13">'ADM-COMP'!#REF!</definedName>
    <definedName name="Excel_BuiltIn__FilterDatabase_10_1" localSheetId="17">'CLI-COMP'!#REF!</definedName>
    <definedName name="Excel_BuiltIn__FilterDatabase_10_1" localSheetId="18">'EST-COMP'!#REF!</definedName>
    <definedName name="Excel_BuiltIn__FilterDatabase_10_1" localSheetId="19">'GAS-COMP'!#REF!</definedName>
    <definedName name="Excel_BuiltIn__FilterDatabase_10_1" localSheetId="21">'HID-COMP'!#REF!</definedName>
    <definedName name="Excel_BuiltIn__FilterDatabase_10_1" localSheetId="20">'IMPER-COMP'!#REF!</definedName>
    <definedName name="Excel_BuiltIn__FilterDatabase_10_1" localSheetId="22">'IMPL-COMP'!#REF!</definedName>
    <definedName name="Excel_BuiltIn__FilterDatabase_10_1" localSheetId="23">'INC-COMP'!#REF!</definedName>
    <definedName name="Excel_BuiltIn__FilterDatabase_10_1" localSheetId="24">'SCE-COMP'!#REF!</definedName>
    <definedName name="Excel_BuiltIn__FilterDatabase_10_1" localSheetId="25">'SEG-COMP'!#REF!</definedName>
    <definedName name="Excel_BuiltIn__FilterDatabase_10_1" localSheetId="26">'SPDA-COMP'!#REF!</definedName>
    <definedName name="Excel_BuiltIn__FilterDatabase_10_1">#REF!</definedName>
    <definedName name="Excel_BuiltIn__FilterDatabase_11" localSheetId="13">'ADM-COMP'!#REF!</definedName>
    <definedName name="Excel_BuiltIn__FilterDatabase_11" localSheetId="17">'CLI-COMP'!#REF!</definedName>
    <definedName name="Excel_BuiltIn__FilterDatabase_11" localSheetId="18">'EST-COMP'!#REF!</definedName>
    <definedName name="Excel_BuiltIn__FilterDatabase_11" localSheetId="19">'GAS-COMP'!#REF!</definedName>
    <definedName name="Excel_BuiltIn__FilterDatabase_11" localSheetId="21">'HID-COMP'!#REF!</definedName>
    <definedName name="Excel_BuiltIn__FilterDatabase_11" localSheetId="20">'IMPER-COMP'!#REF!</definedName>
    <definedName name="Excel_BuiltIn__FilterDatabase_11" localSheetId="22">'IMPL-COMP'!#REF!</definedName>
    <definedName name="Excel_BuiltIn__FilterDatabase_11" localSheetId="23">'INC-COMP'!#REF!</definedName>
    <definedName name="Excel_BuiltIn__FilterDatabase_11" localSheetId="24">'SCE-COMP'!#REF!</definedName>
    <definedName name="Excel_BuiltIn__FilterDatabase_11" localSheetId="25">'SEG-COMP'!#REF!</definedName>
    <definedName name="Excel_BuiltIn__FilterDatabase_11" localSheetId="26">'SPDA-COMP'!#REF!</definedName>
    <definedName name="Excel_BuiltIn__FilterDatabase_11">#REF!</definedName>
    <definedName name="Excel_BuiltIn__FilterDatabase_12" localSheetId="13">'ADM-COMP'!#REF!</definedName>
    <definedName name="Excel_BuiltIn__FilterDatabase_12" localSheetId="17">'CLI-COMP'!#REF!</definedName>
    <definedName name="Excel_BuiltIn__FilterDatabase_12" localSheetId="18">'EST-COMP'!#REF!</definedName>
    <definedName name="Excel_BuiltIn__FilterDatabase_12" localSheetId="19">'GAS-COMP'!#REF!</definedName>
    <definedName name="Excel_BuiltIn__FilterDatabase_12" localSheetId="21">'HID-COMP'!#REF!</definedName>
    <definedName name="Excel_BuiltIn__FilterDatabase_12" localSheetId="20">'IMPER-COMP'!#REF!</definedName>
    <definedName name="Excel_BuiltIn__FilterDatabase_12" localSheetId="22">'IMPL-COMP'!#REF!</definedName>
    <definedName name="Excel_BuiltIn__FilterDatabase_12" localSheetId="23">'INC-COMP'!#REF!</definedName>
    <definedName name="Excel_BuiltIn__FilterDatabase_12" localSheetId="24">'SCE-COMP'!#REF!</definedName>
    <definedName name="Excel_BuiltIn__FilterDatabase_12" localSheetId="25">'SEG-COMP'!#REF!</definedName>
    <definedName name="Excel_BuiltIn__FilterDatabase_12" localSheetId="26">'SPDA-COMP'!#REF!</definedName>
    <definedName name="Excel_BuiltIn__FilterDatabase_12">#REF!</definedName>
    <definedName name="Excel_BuiltIn__FilterDatabase_13" localSheetId="13">'ADM-COMP'!#REF!</definedName>
    <definedName name="Excel_BuiltIn__FilterDatabase_13" localSheetId="17">'CLI-COMP'!#REF!</definedName>
    <definedName name="Excel_BuiltIn__FilterDatabase_13" localSheetId="18">'EST-COMP'!#REF!</definedName>
    <definedName name="Excel_BuiltIn__FilterDatabase_13" localSheetId="19">'GAS-COMP'!#REF!</definedName>
    <definedName name="Excel_BuiltIn__FilterDatabase_13" localSheetId="21">'HID-COMP'!#REF!</definedName>
    <definedName name="Excel_BuiltIn__FilterDatabase_13" localSheetId="20">'IMPER-COMP'!#REF!</definedName>
    <definedName name="Excel_BuiltIn__FilterDatabase_13" localSheetId="22">'IMPL-COMP'!#REF!</definedName>
    <definedName name="Excel_BuiltIn__FilterDatabase_13" localSheetId="23">'INC-COMP'!#REF!</definedName>
    <definedName name="Excel_BuiltIn__FilterDatabase_13" localSheetId="24">'SCE-COMP'!#REF!</definedName>
    <definedName name="Excel_BuiltIn__FilterDatabase_13" localSheetId="25">'SEG-COMP'!#REF!</definedName>
    <definedName name="Excel_BuiltIn__FilterDatabase_13" localSheetId="26">'SPDA-COMP'!#REF!</definedName>
    <definedName name="Excel_BuiltIn__FilterDatabase_13">#REF!</definedName>
    <definedName name="Excel_BuiltIn__FilterDatabase_14" localSheetId="13">'ADM-COMP'!#REF!</definedName>
    <definedName name="Excel_BuiltIn__FilterDatabase_14" localSheetId="17">'CLI-COMP'!#REF!</definedName>
    <definedName name="Excel_BuiltIn__FilterDatabase_14" localSheetId="18">'EST-COMP'!#REF!</definedName>
    <definedName name="Excel_BuiltIn__FilterDatabase_14" localSheetId="19">'GAS-COMP'!#REF!</definedName>
    <definedName name="Excel_BuiltIn__FilterDatabase_14" localSheetId="21">'HID-COMP'!#REF!</definedName>
    <definedName name="Excel_BuiltIn__FilterDatabase_14" localSheetId="20">'IMPER-COMP'!#REF!</definedName>
    <definedName name="Excel_BuiltIn__FilterDatabase_14" localSheetId="22">'IMPL-COMP'!#REF!</definedName>
    <definedName name="Excel_BuiltIn__FilterDatabase_14" localSheetId="23">'INC-COMP'!#REF!</definedName>
    <definedName name="Excel_BuiltIn__FilterDatabase_14" localSheetId="24">'SCE-COMP'!#REF!</definedName>
    <definedName name="Excel_BuiltIn__FilterDatabase_14" localSheetId="25">'SEG-COMP'!#REF!</definedName>
    <definedName name="Excel_BuiltIn__FilterDatabase_14" localSheetId="26">'SPDA-COMP'!#REF!</definedName>
    <definedName name="Excel_BuiltIn__FilterDatabase_14">#REF!</definedName>
    <definedName name="Excel_BuiltIn__FilterDatabase_15" localSheetId="13">'ADM-COMP'!#REF!</definedName>
    <definedName name="Excel_BuiltIn__FilterDatabase_15" localSheetId="17">'CLI-COMP'!#REF!</definedName>
    <definedName name="Excel_BuiltIn__FilterDatabase_15" localSheetId="18">'EST-COMP'!#REF!</definedName>
    <definedName name="Excel_BuiltIn__FilterDatabase_15" localSheetId="19">'GAS-COMP'!#REF!</definedName>
    <definedName name="Excel_BuiltIn__FilterDatabase_15" localSheetId="21">'HID-COMP'!#REF!</definedName>
    <definedName name="Excel_BuiltIn__FilterDatabase_15" localSheetId="20">'IMPER-COMP'!#REF!</definedName>
    <definedName name="Excel_BuiltIn__FilterDatabase_15" localSheetId="22">'IMPL-COMP'!#REF!</definedName>
    <definedName name="Excel_BuiltIn__FilterDatabase_15" localSheetId="23">'INC-COMP'!#REF!</definedName>
    <definedName name="Excel_BuiltIn__FilterDatabase_15" localSheetId="24">'SCE-COMP'!#REF!</definedName>
    <definedName name="Excel_BuiltIn__FilterDatabase_15" localSheetId="25">'SEG-COMP'!#REF!</definedName>
    <definedName name="Excel_BuiltIn__FilterDatabase_15" localSheetId="26">'SPDA-COMP'!#REF!</definedName>
    <definedName name="Excel_BuiltIn__FilterDatabase_15">#REF!</definedName>
    <definedName name="Excel_BuiltIn__FilterDatabase_16" localSheetId="13">'ADM-COMP'!#REF!</definedName>
    <definedName name="Excel_BuiltIn__FilterDatabase_16" localSheetId="17">'CLI-COMP'!#REF!</definedName>
    <definedName name="Excel_BuiltIn__FilterDatabase_16" localSheetId="18">'EST-COMP'!#REF!</definedName>
    <definedName name="Excel_BuiltIn__FilterDatabase_16" localSheetId="19">'GAS-COMP'!#REF!</definedName>
    <definedName name="Excel_BuiltIn__FilterDatabase_16" localSheetId="21">'HID-COMP'!#REF!</definedName>
    <definedName name="Excel_BuiltIn__FilterDatabase_16" localSheetId="20">'IMPER-COMP'!#REF!</definedName>
    <definedName name="Excel_BuiltIn__FilterDatabase_16" localSheetId="22">'IMPL-COMP'!#REF!</definedName>
    <definedName name="Excel_BuiltIn__FilterDatabase_16" localSheetId="23">'INC-COMP'!#REF!</definedName>
    <definedName name="Excel_BuiltIn__FilterDatabase_16" localSheetId="24">'SCE-COMP'!#REF!</definedName>
    <definedName name="Excel_BuiltIn__FilterDatabase_16" localSheetId="25">'SEG-COMP'!#REF!</definedName>
    <definedName name="Excel_BuiltIn__FilterDatabase_16" localSheetId="26">'SPDA-COMP'!#REF!</definedName>
    <definedName name="Excel_BuiltIn__FilterDatabase_16">#REF!</definedName>
    <definedName name="Excel_BuiltIn__FilterDatabase_17" localSheetId="13">'ADM-COMP'!#REF!</definedName>
    <definedName name="Excel_BuiltIn__FilterDatabase_17" localSheetId="17">'CLI-COMP'!#REF!</definedName>
    <definedName name="Excel_BuiltIn__FilterDatabase_17" localSheetId="18">'EST-COMP'!#REF!</definedName>
    <definedName name="Excel_BuiltIn__FilterDatabase_17" localSheetId="19">'GAS-COMP'!#REF!</definedName>
    <definedName name="Excel_BuiltIn__FilterDatabase_17" localSheetId="21">'HID-COMP'!#REF!</definedName>
    <definedName name="Excel_BuiltIn__FilterDatabase_17" localSheetId="20">'IMPER-COMP'!#REF!</definedName>
    <definedName name="Excel_BuiltIn__FilterDatabase_17" localSheetId="22">'IMPL-COMP'!#REF!</definedName>
    <definedName name="Excel_BuiltIn__FilterDatabase_17" localSheetId="23">'INC-COMP'!#REF!</definedName>
    <definedName name="Excel_BuiltIn__FilterDatabase_17" localSheetId="24">'SCE-COMP'!#REF!</definedName>
    <definedName name="Excel_BuiltIn__FilterDatabase_17" localSheetId="25">'SEG-COMP'!#REF!</definedName>
    <definedName name="Excel_BuiltIn__FilterDatabase_17" localSheetId="26">'SPDA-COMP'!#REF!</definedName>
    <definedName name="Excel_BuiltIn__FilterDatabase_17">#REF!</definedName>
    <definedName name="Excel_BuiltIn__FilterDatabase_18" localSheetId="13">'ADM-COMP'!#REF!</definedName>
    <definedName name="Excel_BuiltIn__FilterDatabase_18" localSheetId="17">'CLI-COMP'!#REF!</definedName>
    <definedName name="Excel_BuiltIn__FilterDatabase_18" localSheetId="18">'EST-COMP'!#REF!</definedName>
    <definedName name="Excel_BuiltIn__FilterDatabase_18" localSheetId="19">'GAS-COMP'!#REF!</definedName>
    <definedName name="Excel_BuiltIn__FilterDatabase_18" localSheetId="21">'HID-COMP'!#REF!</definedName>
    <definedName name="Excel_BuiltIn__FilterDatabase_18" localSheetId="20">'IMPER-COMP'!#REF!</definedName>
    <definedName name="Excel_BuiltIn__FilterDatabase_18" localSheetId="22">'IMPL-COMP'!#REF!</definedName>
    <definedName name="Excel_BuiltIn__FilterDatabase_18" localSheetId="23">'INC-COMP'!#REF!</definedName>
    <definedName name="Excel_BuiltIn__FilterDatabase_18" localSheetId="24">'SCE-COMP'!#REF!</definedName>
    <definedName name="Excel_BuiltIn__FilterDatabase_18" localSheetId="25">'SEG-COMP'!#REF!</definedName>
    <definedName name="Excel_BuiltIn__FilterDatabase_18" localSheetId="26">'SPDA-COMP'!#REF!</definedName>
    <definedName name="Excel_BuiltIn__FilterDatabase_18">#REF!</definedName>
    <definedName name="Excel_BuiltIn__FilterDatabase_2" localSheetId="13">'ADM-COMP'!#REF!</definedName>
    <definedName name="Excel_BuiltIn__FilterDatabase_2" localSheetId="17">'CLI-COMP'!#REF!</definedName>
    <definedName name="Excel_BuiltIn__FilterDatabase_2" localSheetId="18">'EST-COMP'!#REF!</definedName>
    <definedName name="Excel_BuiltIn__FilterDatabase_2" localSheetId="19">'GAS-COMP'!#REF!</definedName>
    <definedName name="Excel_BuiltIn__FilterDatabase_2" localSheetId="21">'HID-COMP'!#REF!</definedName>
    <definedName name="Excel_BuiltIn__FilterDatabase_2" localSheetId="20">'IMPER-COMP'!#REF!</definedName>
    <definedName name="Excel_BuiltIn__FilterDatabase_2" localSheetId="22">'IMPL-COMP'!#REF!</definedName>
    <definedName name="Excel_BuiltIn__FilterDatabase_2" localSheetId="23">'INC-COMP'!#REF!</definedName>
    <definedName name="Excel_BuiltIn__FilterDatabase_2" localSheetId="24">'SCE-COMP'!#REF!</definedName>
    <definedName name="Excel_BuiltIn__FilterDatabase_2" localSheetId="25">'SEG-COMP'!#REF!</definedName>
    <definedName name="Excel_BuiltIn__FilterDatabase_2" localSheetId="26">'SPDA-COMP'!#REF!</definedName>
    <definedName name="Excel_BuiltIn__FilterDatabase_2">#REF!</definedName>
    <definedName name="Excel_BuiltIn__FilterDatabase_3" localSheetId="13">'ADM-COMP'!#REF!</definedName>
    <definedName name="Excel_BuiltIn__FilterDatabase_3" localSheetId="17">'CLI-COMP'!#REF!</definedName>
    <definedName name="Excel_BuiltIn__FilterDatabase_3" localSheetId="18">'EST-COMP'!#REF!</definedName>
    <definedName name="Excel_BuiltIn__FilterDatabase_3" localSheetId="19">'GAS-COMP'!#REF!</definedName>
    <definedName name="Excel_BuiltIn__FilterDatabase_3" localSheetId="21">'HID-COMP'!#REF!</definedName>
    <definedName name="Excel_BuiltIn__FilterDatabase_3" localSheetId="20">'IMPER-COMP'!#REF!</definedName>
    <definedName name="Excel_BuiltIn__FilterDatabase_3" localSheetId="22">'IMPL-COMP'!#REF!</definedName>
    <definedName name="Excel_BuiltIn__FilterDatabase_3" localSheetId="23">'INC-COMP'!#REF!</definedName>
    <definedName name="Excel_BuiltIn__FilterDatabase_3" localSheetId="24">'SCE-COMP'!#REF!</definedName>
    <definedName name="Excel_BuiltIn__FilterDatabase_3" localSheetId="25">'SEG-COMP'!#REF!</definedName>
    <definedName name="Excel_BuiltIn__FilterDatabase_3" localSheetId="26">'SPDA-COMP'!#REF!</definedName>
    <definedName name="Excel_BuiltIn__FilterDatabase_3">#REF!</definedName>
    <definedName name="Excel_BuiltIn__FilterDatabase_3_1" localSheetId="13">'ADM-COMP'!#REF!</definedName>
    <definedName name="Excel_BuiltIn__FilterDatabase_3_1" localSheetId="17">'CLI-COMP'!#REF!</definedName>
    <definedName name="Excel_BuiltIn__FilterDatabase_3_1" localSheetId="18">'EST-COMP'!#REF!</definedName>
    <definedName name="Excel_BuiltIn__FilterDatabase_3_1" localSheetId="19">'GAS-COMP'!#REF!</definedName>
    <definedName name="Excel_BuiltIn__FilterDatabase_3_1" localSheetId="21">'HID-COMP'!#REF!</definedName>
    <definedName name="Excel_BuiltIn__FilterDatabase_3_1" localSheetId="20">'IMPER-COMP'!#REF!</definedName>
    <definedName name="Excel_BuiltIn__FilterDatabase_3_1" localSheetId="22">'IMPL-COMP'!#REF!</definedName>
    <definedName name="Excel_BuiltIn__FilterDatabase_3_1" localSheetId="23">'INC-COMP'!#REF!</definedName>
    <definedName name="Excel_BuiltIn__FilterDatabase_3_1" localSheetId="24">'SCE-COMP'!#REF!</definedName>
    <definedName name="Excel_BuiltIn__FilterDatabase_3_1" localSheetId="25">'SEG-COMP'!#REF!</definedName>
    <definedName name="Excel_BuiltIn__FilterDatabase_3_1" localSheetId="26">'SPDA-COMP'!#REF!</definedName>
    <definedName name="Excel_BuiltIn__FilterDatabase_3_1">#REF!</definedName>
    <definedName name="Excel_BuiltIn__FilterDatabase_3_1_1" localSheetId="13">'ADM-COMP'!#REF!</definedName>
    <definedName name="Excel_BuiltIn__FilterDatabase_3_1_1" localSheetId="17">'CLI-COMP'!#REF!</definedName>
    <definedName name="Excel_BuiltIn__FilterDatabase_3_1_1" localSheetId="18">'EST-COMP'!#REF!</definedName>
    <definedName name="Excel_BuiltIn__FilterDatabase_3_1_1" localSheetId="19">'GAS-COMP'!#REF!</definedName>
    <definedName name="Excel_BuiltIn__FilterDatabase_3_1_1" localSheetId="21">'HID-COMP'!#REF!</definedName>
    <definedName name="Excel_BuiltIn__FilterDatabase_3_1_1" localSheetId="20">'IMPER-COMP'!#REF!</definedName>
    <definedName name="Excel_BuiltIn__FilterDatabase_3_1_1" localSheetId="22">'IMPL-COMP'!#REF!</definedName>
    <definedName name="Excel_BuiltIn__FilterDatabase_3_1_1" localSheetId="23">'INC-COMP'!#REF!</definedName>
    <definedName name="Excel_BuiltIn__FilterDatabase_3_1_1" localSheetId="24">'SCE-COMP'!#REF!</definedName>
    <definedName name="Excel_BuiltIn__FilterDatabase_3_1_1" localSheetId="25">'SEG-COMP'!#REF!</definedName>
    <definedName name="Excel_BuiltIn__FilterDatabase_3_1_1" localSheetId="26">'SPDA-COMP'!#REF!</definedName>
    <definedName name="Excel_BuiltIn__FilterDatabase_3_1_1">#REF!</definedName>
    <definedName name="Excel_BuiltIn__FilterDatabase_3_4" localSheetId="13">'ADM-COMP'!#REF!</definedName>
    <definedName name="Excel_BuiltIn__FilterDatabase_3_4" localSheetId="17">'CLI-COMP'!#REF!</definedName>
    <definedName name="Excel_BuiltIn__FilterDatabase_3_4" localSheetId="18">'EST-COMP'!#REF!</definedName>
    <definedName name="Excel_BuiltIn__FilterDatabase_3_4" localSheetId="19">'GAS-COMP'!#REF!</definedName>
    <definedName name="Excel_BuiltIn__FilterDatabase_3_4" localSheetId="21">'HID-COMP'!#REF!</definedName>
    <definedName name="Excel_BuiltIn__FilterDatabase_3_4" localSheetId="20">'IMPER-COMP'!#REF!</definedName>
    <definedName name="Excel_BuiltIn__FilterDatabase_3_4" localSheetId="22">'IMPL-COMP'!#REF!</definedName>
    <definedName name="Excel_BuiltIn__FilterDatabase_3_4" localSheetId="23">'INC-COMP'!#REF!</definedName>
    <definedName name="Excel_BuiltIn__FilterDatabase_3_4" localSheetId="24">'SCE-COMP'!#REF!</definedName>
    <definedName name="Excel_BuiltIn__FilterDatabase_3_4" localSheetId="25">'SEG-COMP'!#REF!</definedName>
    <definedName name="Excel_BuiltIn__FilterDatabase_3_4" localSheetId="26">'SPDA-COMP'!#REF!</definedName>
    <definedName name="Excel_BuiltIn__FilterDatabase_3_4">#REF!</definedName>
    <definedName name="Excel_BuiltIn__FilterDatabase_3_5" localSheetId="13">'ADM-COMP'!#REF!</definedName>
    <definedName name="Excel_BuiltIn__FilterDatabase_3_5" localSheetId="17">'CLI-COMP'!#REF!</definedName>
    <definedName name="Excel_BuiltIn__FilterDatabase_3_5" localSheetId="18">'EST-COMP'!#REF!</definedName>
    <definedName name="Excel_BuiltIn__FilterDatabase_3_5" localSheetId="19">'GAS-COMP'!#REF!</definedName>
    <definedName name="Excel_BuiltIn__FilterDatabase_3_5" localSheetId="21">'HID-COMP'!#REF!</definedName>
    <definedName name="Excel_BuiltIn__FilterDatabase_3_5" localSheetId="20">'IMPER-COMP'!#REF!</definedName>
    <definedName name="Excel_BuiltIn__FilterDatabase_3_5" localSheetId="22">'IMPL-COMP'!#REF!</definedName>
    <definedName name="Excel_BuiltIn__FilterDatabase_3_5" localSheetId="23">'INC-COMP'!#REF!</definedName>
    <definedName name="Excel_BuiltIn__FilterDatabase_3_5" localSheetId="24">'SCE-COMP'!#REF!</definedName>
    <definedName name="Excel_BuiltIn__FilterDatabase_3_5" localSheetId="25">'SEG-COMP'!#REF!</definedName>
    <definedName name="Excel_BuiltIn__FilterDatabase_3_5" localSheetId="26">'SPDA-COMP'!#REF!</definedName>
    <definedName name="Excel_BuiltIn__FilterDatabase_3_5">#REF!</definedName>
    <definedName name="Excel_BuiltIn__FilterDatabase_3_6" localSheetId="13">'ADM-COMP'!#REF!</definedName>
    <definedName name="Excel_BuiltIn__FilterDatabase_3_6" localSheetId="17">'CLI-COMP'!#REF!</definedName>
    <definedName name="Excel_BuiltIn__FilterDatabase_3_6" localSheetId="18">'EST-COMP'!#REF!</definedName>
    <definedName name="Excel_BuiltIn__FilterDatabase_3_6" localSheetId="19">'GAS-COMP'!#REF!</definedName>
    <definedName name="Excel_BuiltIn__FilterDatabase_3_6" localSheetId="21">'HID-COMP'!#REF!</definedName>
    <definedName name="Excel_BuiltIn__FilterDatabase_3_6" localSheetId="20">'IMPER-COMP'!#REF!</definedName>
    <definedName name="Excel_BuiltIn__FilterDatabase_3_6" localSheetId="22">'IMPL-COMP'!#REF!</definedName>
    <definedName name="Excel_BuiltIn__FilterDatabase_3_6" localSheetId="23">'INC-COMP'!#REF!</definedName>
    <definedName name="Excel_BuiltIn__FilterDatabase_3_6" localSheetId="24">'SCE-COMP'!#REF!</definedName>
    <definedName name="Excel_BuiltIn__FilterDatabase_3_6" localSheetId="25">'SEG-COMP'!#REF!</definedName>
    <definedName name="Excel_BuiltIn__FilterDatabase_3_6" localSheetId="26">'SPDA-COMP'!#REF!</definedName>
    <definedName name="Excel_BuiltIn__FilterDatabase_3_6">#REF!</definedName>
    <definedName name="Excel_BuiltIn__FilterDatabase_3_7" localSheetId="13">'ADM-COMP'!#REF!</definedName>
    <definedName name="Excel_BuiltIn__FilterDatabase_3_7" localSheetId="17">'CLI-COMP'!#REF!</definedName>
    <definedName name="Excel_BuiltIn__FilterDatabase_3_7" localSheetId="18">'EST-COMP'!#REF!</definedName>
    <definedName name="Excel_BuiltIn__FilterDatabase_3_7" localSheetId="19">'GAS-COMP'!#REF!</definedName>
    <definedName name="Excel_BuiltIn__FilterDatabase_3_7" localSheetId="21">'HID-COMP'!#REF!</definedName>
    <definedName name="Excel_BuiltIn__FilterDatabase_3_7" localSheetId="20">'IMPER-COMP'!#REF!</definedName>
    <definedName name="Excel_BuiltIn__FilterDatabase_3_7" localSheetId="22">'IMPL-COMP'!#REF!</definedName>
    <definedName name="Excel_BuiltIn__FilterDatabase_3_7" localSheetId="23">'INC-COMP'!#REF!</definedName>
    <definedName name="Excel_BuiltIn__FilterDatabase_3_7" localSheetId="24">'SCE-COMP'!#REF!</definedName>
    <definedName name="Excel_BuiltIn__FilterDatabase_3_7" localSheetId="25">'SEG-COMP'!#REF!</definedName>
    <definedName name="Excel_BuiltIn__FilterDatabase_3_7" localSheetId="26">'SPDA-COMP'!#REF!</definedName>
    <definedName name="Excel_BuiltIn__FilterDatabase_3_7">#REF!</definedName>
    <definedName name="Excel_BuiltIn__FilterDatabase_3_8" localSheetId="13">'ADM-COMP'!#REF!</definedName>
    <definedName name="Excel_BuiltIn__FilterDatabase_3_8" localSheetId="17">'CLI-COMP'!#REF!</definedName>
    <definedName name="Excel_BuiltIn__FilterDatabase_3_8" localSheetId="18">'EST-COMP'!#REF!</definedName>
    <definedName name="Excel_BuiltIn__FilterDatabase_3_8" localSheetId="19">'GAS-COMP'!#REF!</definedName>
    <definedName name="Excel_BuiltIn__FilterDatabase_3_8" localSheetId="21">'HID-COMP'!#REF!</definedName>
    <definedName name="Excel_BuiltIn__FilterDatabase_3_8" localSheetId="20">'IMPER-COMP'!#REF!</definedName>
    <definedName name="Excel_BuiltIn__FilterDatabase_3_8" localSheetId="22">'IMPL-COMP'!#REF!</definedName>
    <definedName name="Excel_BuiltIn__FilterDatabase_3_8" localSheetId="23">'INC-COMP'!#REF!</definedName>
    <definedName name="Excel_BuiltIn__FilterDatabase_3_8" localSheetId="24">'SCE-COMP'!#REF!</definedName>
    <definedName name="Excel_BuiltIn__FilterDatabase_3_8" localSheetId="25">'SEG-COMP'!#REF!</definedName>
    <definedName name="Excel_BuiltIn__FilterDatabase_3_8" localSheetId="26">'SPDA-COMP'!#REF!</definedName>
    <definedName name="Excel_BuiltIn__FilterDatabase_3_8">#REF!</definedName>
    <definedName name="Excel_BuiltIn__FilterDatabase_3_9" localSheetId="13">'ADM-COMP'!#REF!</definedName>
    <definedName name="Excel_BuiltIn__FilterDatabase_3_9" localSheetId="17">'CLI-COMP'!#REF!</definedName>
    <definedName name="Excel_BuiltIn__FilterDatabase_3_9" localSheetId="18">'EST-COMP'!#REF!</definedName>
    <definedName name="Excel_BuiltIn__FilterDatabase_3_9" localSheetId="19">'GAS-COMP'!#REF!</definedName>
    <definedName name="Excel_BuiltIn__FilterDatabase_3_9" localSheetId="21">'HID-COMP'!#REF!</definedName>
    <definedName name="Excel_BuiltIn__FilterDatabase_3_9" localSheetId="20">'IMPER-COMP'!#REF!</definedName>
    <definedName name="Excel_BuiltIn__FilterDatabase_3_9" localSheetId="22">'IMPL-COMP'!#REF!</definedName>
    <definedName name="Excel_BuiltIn__FilterDatabase_3_9" localSheetId="23">'INC-COMP'!#REF!</definedName>
    <definedName name="Excel_BuiltIn__FilterDatabase_3_9" localSheetId="24">'SCE-COMP'!#REF!</definedName>
    <definedName name="Excel_BuiltIn__FilterDatabase_3_9" localSheetId="25">'SEG-COMP'!#REF!</definedName>
    <definedName name="Excel_BuiltIn__FilterDatabase_3_9" localSheetId="26">'SPDA-COMP'!#REF!</definedName>
    <definedName name="Excel_BuiltIn__FilterDatabase_3_9">#REF!</definedName>
    <definedName name="Excel_BuiltIn__FilterDatabase_4" localSheetId="13">'ADM-COMP'!#REF!</definedName>
    <definedName name="Excel_BuiltIn__FilterDatabase_4" localSheetId="17">'CLI-COMP'!#REF!</definedName>
    <definedName name="Excel_BuiltIn__FilterDatabase_4" localSheetId="18">'EST-COMP'!#REF!</definedName>
    <definedName name="Excel_BuiltIn__FilterDatabase_4" localSheetId="19">'GAS-COMP'!#REF!</definedName>
    <definedName name="Excel_BuiltIn__FilterDatabase_4" localSheetId="21">'HID-COMP'!#REF!</definedName>
    <definedName name="Excel_BuiltIn__FilterDatabase_4" localSheetId="20">'IMPER-COMP'!#REF!</definedName>
    <definedName name="Excel_BuiltIn__FilterDatabase_4" localSheetId="22">'IMPL-COMP'!#REF!</definedName>
    <definedName name="Excel_BuiltIn__FilterDatabase_4" localSheetId="23">'INC-COMP'!#REF!</definedName>
    <definedName name="Excel_BuiltIn__FilterDatabase_4" localSheetId="24">'SCE-COMP'!#REF!</definedName>
    <definedName name="Excel_BuiltIn__FilterDatabase_4" localSheetId="25">'SEG-COMP'!#REF!</definedName>
    <definedName name="Excel_BuiltIn__FilterDatabase_4" localSheetId="26">'SPDA-COMP'!#REF!</definedName>
    <definedName name="Excel_BuiltIn__FilterDatabase_4">#REF!</definedName>
    <definedName name="Excel_BuiltIn__FilterDatabase_4_1" localSheetId="13">'ADM-COMP'!#REF!</definedName>
    <definedName name="Excel_BuiltIn__FilterDatabase_4_1" localSheetId="17">'CLI-COMP'!#REF!</definedName>
    <definedName name="Excel_BuiltIn__FilterDatabase_4_1" localSheetId="18">'EST-COMP'!#REF!</definedName>
    <definedName name="Excel_BuiltIn__FilterDatabase_4_1" localSheetId="19">'GAS-COMP'!#REF!</definedName>
    <definedName name="Excel_BuiltIn__FilterDatabase_4_1" localSheetId="21">'HID-COMP'!#REF!</definedName>
    <definedName name="Excel_BuiltIn__FilterDatabase_4_1" localSheetId="20">'IMPER-COMP'!#REF!</definedName>
    <definedName name="Excel_BuiltIn__FilterDatabase_4_1" localSheetId="22">'IMPL-COMP'!#REF!</definedName>
    <definedName name="Excel_BuiltIn__FilterDatabase_4_1" localSheetId="23">'INC-COMP'!#REF!</definedName>
    <definedName name="Excel_BuiltIn__FilterDatabase_4_1" localSheetId="24">'SCE-COMP'!#REF!</definedName>
    <definedName name="Excel_BuiltIn__FilterDatabase_4_1" localSheetId="25">'SEG-COMP'!#REF!</definedName>
    <definedName name="Excel_BuiltIn__FilterDatabase_4_1" localSheetId="26">'SPDA-COMP'!#REF!</definedName>
    <definedName name="Excel_BuiltIn__FilterDatabase_4_1">#REF!</definedName>
    <definedName name="Excel_BuiltIn__FilterDatabase_5" localSheetId="13">'ADM-COMP'!#REF!</definedName>
    <definedName name="Excel_BuiltIn__FilterDatabase_5" localSheetId="17">'CLI-COMP'!#REF!</definedName>
    <definedName name="Excel_BuiltIn__FilterDatabase_5" localSheetId="18">'EST-COMP'!#REF!</definedName>
    <definedName name="Excel_BuiltIn__FilterDatabase_5" localSheetId="19">'GAS-COMP'!#REF!</definedName>
    <definedName name="Excel_BuiltIn__FilterDatabase_5" localSheetId="21">'HID-COMP'!#REF!</definedName>
    <definedName name="Excel_BuiltIn__FilterDatabase_5" localSheetId="20">'IMPER-COMP'!#REF!</definedName>
    <definedName name="Excel_BuiltIn__FilterDatabase_5" localSheetId="22">'IMPL-COMP'!#REF!</definedName>
    <definedName name="Excel_BuiltIn__FilterDatabase_5" localSheetId="23">'INC-COMP'!#REF!</definedName>
    <definedName name="Excel_BuiltIn__FilterDatabase_5" localSheetId="24">'SCE-COMP'!#REF!</definedName>
    <definedName name="Excel_BuiltIn__FilterDatabase_5" localSheetId="25">'SEG-COMP'!#REF!</definedName>
    <definedName name="Excel_BuiltIn__FilterDatabase_5" localSheetId="26">'SPDA-COMP'!#REF!</definedName>
    <definedName name="Excel_BuiltIn__FilterDatabase_5">#REF!</definedName>
    <definedName name="Excel_BuiltIn__FilterDatabase_5_1" localSheetId="13">'ADM-COMP'!#REF!</definedName>
    <definedName name="Excel_BuiltIn__FilterDatabase_5_1" localSheetId="17">'CLI-COMP'!#REF!</definedName>
    <definedName name="Excel_BuiltIn__FilterDatabase_5_1" localSheetId="18">'EST-COMP'!#REF!</definedName>
    <definedName name="Excel_BuiltIn__FilterDatabase_5_1" localSheetId="19">'GAS-COMP'!#REF!</definedName>
    <definedName name="Excel_BuiltIn__FilterDatabase_5_1" localSheetId="21">'HID-COMP'!#REF!</definedName>
    <definedName name="Excel_BuiltIn__FilterDatabase_5_1" localSheetId="20">'IMPER-COMP'!#REF!</definedName>
    <definedName name="Excel_BuiltIn__FilterDatabase_5_1" localSheetId="22">'IMPL-COMP'!#REF!</definedName>
    <definedName name="Excel_BuiltIn__FilterDatabase_5_1" localSheetId="23">'INC-COMP'!#REF!</definedName>
    <definedName name="Excel_BuiltIn__FilterDatabase_5_1" localSheetId="24">'SCE-COMP'!#REF!</definedName>
    <definedName name="Excel_BuiltIn__FilterDatabase_5_1" localSheetId="25">'SEG-COMP'!#REF!</definedName>
    <definedName name="Excel_BuiltIn__FilterDatabase_5_1" localSheetId="26">'SPDA-COMP'!#REF!</definedName>
    <definedName name="Excel_BuiltIn__FilterDatabase_5_1">#REF!</definedName>
    <definedName name="Excel_BuiltIn__FilterDatabase_5_1_1" localSheetId="13">'ADM-COMP'!#REF!</definedName>
    <definedName name="Excel_BuiltIn__FilterDatabase_5_1_1" localSheetId="17">'CLI-COMP'!#REF!</definedName>
    <definedName name="Excel_BuiltIn__FilterDatabase_5_1_1" localSheetId="18">'EST-COMP'!#REF!</definedName>
    <definedName name="Excel_BuiltIn__FilterDatabase_5_1_1" localSheetId="19">'GAS-COMP'!#REF!</definedName>
    <definedName name="Excel_BuiltIn__FilterDatabase_5_1_1" localSheetId="21">'HID-COMP'!#REF!</definedName>
    <definedName name="Excel_BuiltIn__FilterDatabase_5_1_1" localSheetId="20">'IMPER-COMP'!#REF!</definedName>
    <definedName name="Excel_BuiltIn__FilterDatabase_5_1_1" localSheetId="22">'IMPL-COMP'!#REF!</definedName>
    <definedName name="Excel_BuiltIn__FilterDatabase_5_1_1" localSheetId="23">'INC-COMP'!#REF!</definedName>
    <definedName name="Excel_BuiltIn__FilterDatabase_5_1_1" localSheetId="24">'SCE-COMP'!#REF!</definedName>
    <definedName name="Excel_BuiltIn__FilterDatabase_5_1_1" localSheetId="25">'SEG-COMP'!#REF!</definedName>
    <definedName name="Excel_BuiltIn__FilterDatabase_5_1_1" localSheetId="26">'SPDA-COMP'!#REF!</definedName>
    <definedName name="Excel_BuiltIn__FilterDatabase_5_1_1">#REF!</definedName>
    <definedName name="Excel_BuiltIn__FilterDatabase_6" localSheetId="13">'ADM-COMP'!#REF!</definedName>
    <definedName name="Excel_BuiltIn__FilterDatabase_6" localSheetId="17">'CLI-COMP'!#REF!</definedName>
    <definedName name="Excel_BuiltIn__FilterDatabase_6" localSheetId="18">'EST-COMP'!#REF!</definedName>
    <definedName name="Excel_BuiltIn__FilterDatabase_6" localSheetId="19">'GAS-COMP'!#REF!</definedName>
    <definedName name="Excel_BuiltIn__FilterDatabase_6" localSheetId="21">'HID-COMP'!#REF!</definedName>
    <definedName name="Excel_BuiltIn__FilterDatabase_6" localSheetId="20">'IMPER-COMP'!#REF!</definedName>
    <definedName name="Excel_BuiltIn__FilterDatabase_6" localSheetId="22">'IMPL-COMP'!#REF!</definedName>
    <definedName name="Excel_BuiltIn__FilterDatabase_6" localSheetId="23">'INC-COMP'!#REF!</definedName>
    <definedName name="Excel_BuiltIn__FilterDatabase_6" localSheetId="24">'SCE-COMP'!#REF!</definedName>
    <definedName name="Excel_BuiltIn__FilterDatabase_6" localSheetId="25">'SEG-COMP'!#REF!</definedName>
    <definedName name="Excel_BuiltIn__FilterDatabase_6" localSheetId="26">'SPDA-COMP'!#REF!</definedName>
    <definedName name="Excel_BuiltIn__FilterDatabase_6">#REF!</definedName>
    <definedName name="Excel_BuiltIn__FilterDatabase_6_1" localSheetId="13">'ADM-COMP'!#REF!</definedName>
    <definedName name="Excel_BuiltIn__FilterDatabase_6_1" localSheetId="17">'CLI-COMP'!#REF!</definedName>
    <definedName name="Excel_BuiltIn__FilterDatabase_6_1" localSheetId="18">'EST-COMP'!#REF!</definedName>
    <definedName name="Excel_BuiltIn__FilterDatabase_6_1" localSheetId="19">'GAS-COMP'!#REF!</definedName>
    <definedName name="Excel_BuiltIn__FilterDatabase_6_1" localSheetId="21">'HID-COMP'!#REF!</definedName>
    <definedName name="Excel_BuiltIn__FilterDatabase_6_1" localSheetId="20">'IMPER-COMP'!#REF!</definedName>
    <definedName name="Excel_BuiltIn__FilterDatabase_6_1" localSheetId="22">'IMPL-COMP'!#REF!</definedName>
    <definedName name="Excel_BuiltIn__FilterDatabase_6_1" localSheetId="23">'INC-COMP'!#REF!</definedName>
    <definedName name="Excel_BuiltIn__FilterDatabase_6_1" localSheetId="24">'SCE-COMP'!#REF!</definedName>
    <definedName name="Excel_BuiltIn__FilterDatabase_6_1" localSheetId="25">'SEG-COMP'!#REF!</definedName>
    <definedName name="Excel_BuiltIn__FilterDatabase_6_1" localSheetId="26">'SPDA-COMP'!#REF!</definedName>
    <definedName name="Excel_BuiltIn__FilterDatabase_6_1">#REF!</definedName>
    <definedName name="Excel_BuiltIn__FilterDatabase_7" localSheetId="13">'ADM-COMP'!#REF!</definedName>
    <definedName name="Excel_BuiltIn__FilterDatabase_7" localSheetId="17">'CLI-COMP'!#REF!</definedName>
    <definedName name="Excel_BuiltIn__FilterDatabase_7" localSheetId="18">'EST-COMP'!#REF!</definedName>
    <definedName name="Excel_BuiltIn__FilterDatabase_7" localSheetId="19">'GAS-COMP'!#REF!</definedName>
    <definedName name="Excel_BuiltIn__FilterDatabase_7" localSheetId="21">'HID-COMP'!#REF!</definedName>
    <definedName name="Excel_BuiltIn__FilterDatabase_7" localSheetId="20">'IMPER-COMP'!#REF!</definedName>
    <definedName name="Excel_BuiltIn__FilterDatabase_7" localSheetId="22">'IMPL-COMP'!#REF!</definedName>
    <definedName name="Excel_BuiltIn__FilterDatabase_7" localSheetId="23">'INC-COMP'!#REF!</definedName>
    <definedName name="Excel_BuiltIn__FilterDatabase_7" localSheetId="24">'SCE-COMP'!#REF!</definedName>
    <definedName name="Excel_BuiltIn__FilterDatabase_7" localSheetId="25">'SEG-COMP'!#REF!</definedName>
    <definedName name="Excel_BuiltIn__FilterDatabase_7" localSheetId="26">'SPDA-COMP'!#REF!</definedName>
    <definedName name="Excel_BuiltIn__FilterDatabase_7">#REF!</definedName>
    <definedName name="Excel_BuiltIn__FilterDatabase_7_1" localSheetId="13">'ADM-COMP'!#REF!</definedName>
    <definedName name="Excel_BuiltIn__FilterDatabase_7_1" localSheetId="17">'CLI-COMP'!#REF!</definedName>
    <definedName name="Excel_BuiltIn__FilterDatabase_7_1" localSheetId="18">'EST-COMP'!#REF!</definedName>
    <definedName name="Excel_BuiltIn__FilterDatabase_7_1" localSheetId="19">'GAS-COMP'!#REF!</definedName>
    <definedName name="Excel_BuiltIn__FilterDatabase_7_1" localSheetId="21">'HID-COMP'!#REF!</definedName>
    <definedName name="Excel_BuiltIn__FilterDatabase_7_1" localSheetId="20">'IMPER-COMP'!#REF!</definedName>
    <definedName name="Excel_BuiltIn__FilterDatabase_7_1" localSheetId="22">'IMPL-COMP'!#REF!</definedName>
    <definedName name="Excel_BuiltIn__FilterDatabase_7_1" localSheetId="23">'INC-COMP'!#REF!</definedName>
    <definedName name="Excel_BuiltIn__FilterDatabase_7_1" localSheetId="24">'SCE-COMP'!#REF!</definedName>
    <definedName name="Excel_BuiltIn__FilterDatabase_7_1" localSheetId="25">'SEG-COMP'!#REF!</definedName>
    <definedName name="Excel_BuiltIn__FilterDatabase_7_1" localSheetId="26">'SPDA-COMP'!#REF!</definedName>
    <definedName name="Excel_BuiltIn__FilterDatabase_7_1">#REF!</definedName>
    <definedName name="Excel_BuiltIn__FilterDatabase_8" localSheetId="13">'ADM-COMP'!#REF!</definedName>
    <definedName name="Excel_BuiltIn__FilterDatabase_8" localSheetId="17">'CLI-COMP'!#REF!</definedName>
    <definedName name="Excel_BuiltIn__FilterDatabase_8" localSheetId="18">'EST-COMP'!#REF!</definedName>
    <definedName name="Excel_BuiltIn__FilterDatabase_8" localSheetId="19">'GAS-COMP'!#REF!</definedName>
    <definedName name="Excel_BuiltIn__FilterDatabase_8" localSheetId="21">'HID-COMP'!#REF!</definedName>
    <definedName name="Excel_BuiltIn__FilterDatabase_8" localSheetId="20">'IMPER-COMP'!#REF!</definedName>
    <definedName name="Excel_BuiltIn__FilterDatabase_8" localSheetId="22">'IMPL-COMP'!#REF!</definedName>
    <definedName name="Excel_BuiltIn__FilterDatabase_8" localSheetId="23">'INC-COMP'!#REF!</definedName>
    <definedName name="Excel_BuiltIn__FilterDatabase_8" localSheetId="24">'SCE-COMP'!#REF!</definedName>
    <definedName name="Excel_BuiltIn__FilterDatabase_8" localSheetId="25">'SEG-COMP'!#REF!</definedName>
    <definedName name="Excel_BuiltIn__FilterDatabase_8" localSheetId="26">'SPDA-COMP'!#REF!</definedName>
    <definedName name="Excel_BuiltIn__FilterDatabase_8">#REF!</definedName>
    <definedName name="Excel_BuiltIn__FilterDatabase_8_1" localSheetId="13">'ADM-COMP'!#REF!</definedName>
    <definedName name="Excel_BuiltIn__FilterDatabase_8_1" localSheetId="17">'CLI-COMP'!#REF!</definedName>
    <definedName name="Excel_BuiltIn__FilterDatabase_8_1" localSheetId="18">'EST-COMP'!#REF!</definedName>
    <definedName name="Excel_BuiltIn__FilterDatabase_8_1" localSheetId="19">'GAS-COMP'!#REF!</definedName>
    <definedName name="Excel_BuiltIn__FilterDatabase_8_1" localSheetId="21">'HID-COMP'!#REF!</definedName>
    <definedName name="Excel_BuiltIn__FilterDatabase_8_1" localSheetId="20">'IMPER-COMP'!#REF!</definedName>
    <definedName name="Excel_BuiltIn__FilterDatabase_8_1" localSheetId="22">'IMPL-COMP'!#REF!</definedName>
    <definedName name="Excel_BuiltIn__FilterDatabase_8_1" localSheetId="23">'INC-COMP'!#REF!</definedName>
    <definedName name="Excel_BuiltIn__FilterDatabase_8_1" localSheetId="24">'SCE-COMP'!#REF!</definedName>
    <definedName name="Excel_BuiltIn__FilterDatabase_8_1" localSheetId="25">'SEG-COMP'!#REF!</definedName>
    <definedName name="Excel_BuiltIn__FilterDatabase_8_1" localSheetId="26">'SPDA-COMP'!#REF!</definedName>
    <definedName name="Excel_BuiltIn__FilterDatabase_8_1">#REF!</definedName>
    <definedName name="Excel_BuiltIn__FilterDatabase_9" localSheetId="13">'ADM-COMP'!#REF!</definedName>
    <definedName name="Excel_BuiltIn__FilterDatabase_9" localSheetId="17">'CLI-COMP'!#REF!</definedName>
    <definedName name="Excel_BuiltIn__FilterDatabase_9" localSheetId="18">'EST-COMP'!#REF!</definedName>
    <definedName name="Excel_BuiltIn__FilterDatabase_9" localSheetId="19">'GAS-COMP'!#REF!</definedName>
    <definedName name="Excel_BuiltIn__FilterDatabase_9" localSheetId="21">'HID-COMP'!#REF!</definedName>
    <definedName name="Excel_BuiltIn__FilterDatabase_9" localSheetId="20">'IMPER-COMP'!#REF!</definedName>
    <definedName name="Excel_BuiltIn__FilterDatabase_9" localSheetId="22">'IMPL-COMP'!#REF!</definedName>
    <definedName name="Excel_BuiltIn__FilterDatabase_9" localSheetId="23">'INC-COMP'!#REF!</definedName>
    <definedName name="Excel_BuiltIn__FilterDatabase_9" localSheetId="24">'SCE-COMP'!#REF!</definedName>
    <definedName name="Excel_BuiltIn__FilterDatabase_9" localSheetId="25">'SEG-COMP'!#REF!</definedName>
    <definedName name="Excel_BuiltIn__FilterDatabase_9" localSheetId="26">'SPDA-COMP'!#REF!</definedName>
    <definedName name="Excel_BuiltIn__FilterDatabase_9">#REF!</definedName>
    <definedName name="Excel_BuiltIn__FilterDatabase_9_1" localSheetId="13">'ADM-COMP'!#REF!</definedName>
    <definedName name="Excel_BuiltIn__FilterDatabase_9_1" localSheetId="17">'CLI-COMP'!#REF!</definedName>
    <definedName name="Excel_BuiltIn__FilterDatabase_9_1" localSheetId="18">'EST-COMP'!#REF!</definedName>
    <definedName name="Excel_BuiltIn__FilterDatabase_9_1" localSheetId="19">'GAS-COMP'!#REF!</definedName>
    <definedName name="Excel_BuiltIn__FilterDatabase_9_1" localSheetId="21">'HID-COMP'!#REF!</definedName>
    <definedName name="Excel_BuiltIn__FilterDatabase_9_1" localSheetId="20">'IMPER-COMP'!#REF!</definedName>
    <definedName name="Excel_BuiltIn__FilterDatabase_9_1" localSheetId="22">'IMPL-COMP'!#REF!</definedName>
    <definedName name="Excel_BuiltIn__FilterDatabase_9_1" localSheetId="23">'INC-COMP'!#REF!</definedName>
    <definedName name="Excel_BuiltIn__FilterDatabase_9_1" localSheetId="24">'SCE-COMP'!#REF!</definedName>
    <definedName name="Excel_BuiltIn__FilterDatabase_9_1" localSheetId="25">'SEG-COMP'!#REF!</definedName>
    <definedName name="Excel_BuiltIn__FilterDatabase_9_1" localSheetId="26">'SPDA-COMP'!#REF!</definedName>
    <definedName name="Excel_BuiltIn__FilterDatabase_9_1">#REF!</definedName>
    <definedName name="Excel_BuiltIn_Print_Area_1" localSheetId="13">'ADM-COMP'!#REF!</definedName>
    <definedName name="Excel_BuiltIn_Print_Area_1" localSheetId="17">'CLI-COMP'!#REF!</definedName>
    <definedName name="Excel_BuiltIn_Print_Area_1" localSheetId="18">'EST-COMP'!#REF!</definedName>
    <definedName name="Excel_BuiltIn_Print_Area_1" localSheetId="19">'GAS-COMP'!#REF!</definedName>
    <definedName name="Excel_BuiltIn_Print_Area_1" localSheetId="21">'HID-COMP'!#REF!</definedName>
    <definedName name="Excel_BuiltIn_Print_Area_1" localSheetId="20">'IMPER-COMP'!#REF!</definedName>
    <definedName name="Excel_BuiltIn_Print_Area_1" localSheetId="22">'IMPL-COMP'!#REF!</definedName>
    <definedName name="Excel_BuiltIn_Print_Area_1" localSheetId="23">'INC-COMP'!#REF!</definedName>
    <definedName name="Excel_BuiltIn_Print_Area_1" localSheetId="24">'SCE-COMP'!#REF!</definedName>
    <definedName name="Excel_BuiltIn_Print_Area_1" localSheetId="25">'SEG-COMP'!#REF!</definedName>
    <definedName name="Excel_BuiltIn_Print_Area_1" localSheetId="26">'SPDA-COMP'!#REF!</definedName>
    <definedName name="Excel_BuiltIn_Print_Area_1">#REF!</definedName>
    <definedName name="Excel_BuiltIn_Print_Area_1_1" localSheetId="13">'ADM-COMP'!#REF!</definedName>
    <definedName name="Excel_BuiltIn_Print_Area_1_1" localSheetId="17">'CLI-COMP'!#REF!</definedName>
    <definedName name="Excel_BuiltIn_Print_Area_1_1" localSheetId="18">'EST-COMP'!#REF!</definedName>
    <definedName name="Excel_BuiltIn_Print_Area_1_1" localSheetId="19">'GAS-COMP'!#REF!</definedName>
    <definedName name="Excel_BuiltIn_Print_Area_1_1" localSheetId="21">'HID-COMP'!#REF!</definedName>
    <definedName name="Excel_BuiltIn_Print_Area_1_1" localSheetId="20">'IMPER-COMP'!#REF!</definedName>
    <definedName name="Excel_BuiltIn_Print_Area_1_1" localSheetId="22">'IMPL-COMP'!#REF!</definedName>
    <definedName name="Excel_BuiltIn_Print_Area_1_1" localSheetId="23">'INC-COMP'!#REF!</definedName>
    <definedName name="Excel_BuiltIn_Print_Area_1_1" localSheetId="24">'SCE-COMP'!#REF!</definedName>
    <definedName name="Excel_BuiltIn_Print_Area_1_1" localSheetId="25">'SEG-COMP'!#REF!</definedName>
    <definedName name="Excel_BuiltIn_Print_Area_1_1" localSheetId="26">'SPDA-COMP'!#REF!</definedName>
    <definedName name="Excel_BuiltIn_Print_Area_1_1">#REF!</definedName>
    <definedName name="Excel_BuiltIn_Print_Area_1_1_1" localSheetId="13">'ADM-COMP'!#REF!</definedName>
    <definedName name="Excel_BuiltIn_Print_Area_1_1_1" localSheetId="17">'CLI-COMP'!#REF!</definedName>
    <definedName name="Excel_BuiltIn_Print_Area_1_1_1" localSheetId="18">'EST-COMP'!#REF!</definedName>
    <definedName name="Excel_BuiltIn_Print_Area_1_1_1" localSheetId="19">'GAS-COMP'!#REF!</definedName>
    <definedName name="Excel_BuiltIn_Print_Area_1_1_1" localSheetId="21">'HID-COMP'!#REF!</definedName>
    <definedName name="Excel_BuiltIn_Print_Area_1_1_1" localSheetId="20">'IMPER-COMP'!#REF!</definedName>
    <definedName name="Excel_BuiltIn_Print_Area_1_1_1" localSheetId="22">'IMPL-COMP'!#REF!</definedName>
    <definedName name="Excel_BuiltIn_Print_Area_1_1_1" localSheetId="23">'INC-COMP'!#REF!</definedName>
    <definedName name="Excel_BuiltIn_Print_Area_1_1_1" localSheetId="24">'SCE-COMP'!#REF!</definedName>
    <definedName name="Excel_BuiltIn_Print_Area_1_1_1" localSheetId="25">'SEG-COMP'!#REF!</definedName>
    <definedName name="Excel_BuiltIn_Print_Area_1_1_1" localSheetId="26">'SPDA-COMP'!#REF!</definedName>
    <definedName name="Excel_BuiltIn_Print_Area_1_1_1">#REF!</definedName>
    <definedName name="Excel_BuiltIn_Print_Area_1_1_1_1" localSheetId="13">'ADM-COMP'!#REF!</definedName>
    <definedName name="Excel_BuiltIn_Print_Area_1_1_1_1" localSheetId="17">'CLI-COMP'!#REF!</definedName>
    <definedName name="Excel_BuiltIn_Print_Area_1_1_1_1" localSheetId="18">'EST-COMP'!#REF!</definedName>
    <definedName name="Excel_BuiltIn_Print_Area_1_1_1_1" localSheetId="19">'GAS-COMP'!#REF!</definedName>
    <definedName name="Excel_BuiltIn_Print_Area_1_1_1_1" localSheetId="21">'HID-COMP'!#REF!</definedName>
    <definedName name="Excel_BuiltIn_Print_Area_1_1_1_1" localSheetId="20">'IMPER-COMP'!#REF!</definedName>
    <definedName name="Excel_BuiltIn_Print_Area_1_1_1_1" localSheetId="22">'IMPL-COMP'!#REF!</definedName>
    <definedName name="Excel_BuiltIn_Print_Area_1_1_1_1" localSheetId="23">'INC-COMP'!#REF!</definedName>
    <definedName name="Excel_BuiltIn_Print_Area_1_1_1_1" localSheetId="24">'SCE-COMP'!#REF!</definedName>
    <definedName name="Excel_BuiltIn_Print_Area_1_1_1_1" localSheetId="25">'SEG-COMP'!#REF!</definedName>
    <definedName name="Excel_BuiltIn_Print_Area_1_1_1_1" localSheetId="26">'SPDA-COMP'!#REF!</definedName>
    <definedName name="Excel_BuiltIn_Print_Area_1_1_1_1">#REF!</definedName>
    <definedName name="Excel_BuiltIn_Print_Area_1_1_1_1_1" localSheetId="13">'ADM-COMP'!#REF!</definedName>
    <definedName name="Excel_BuiltIn_Print_Area_1_1_1_1_1" localSheetId="17">'CLI-COMP'!#REF!</definedName>
    <definedName name="Excel_BuiltIn_Print_Area_1_1_1_1_1" localSheetId="18">'EST-COMP'!#REF!</definedName>
    <definedName name="Excel_BuiltIn_Print_Area_1_1_1_1_1" localSheetId="19">'GAS-COMP'!#REF!</definedName>
    <definedName name="Excel_BuiltIn_Print_Area_1_1_1_1_1" localSheetId="21">'HID-COMP'!#REF!</definedName>
    <definedName name="Excel_BuiltIn_Print_Area_1_1_1_1_1" localSheetId="20">'IMPER-COMP'!#REF!</definedName>
    <definedName name="Excel_BuiltIn_Print_Area_1_1_1_1_1" localSheetId="22">'IMPL-COMP'!#REF!</definedName>
    <definedName name="Excel_BuiltIn_Print_Area_1_1_1_1_1" localSheetId="23">'INC-COMP'!#REF!</definedName>
    <definedName name="Excel_BuiltIn_Print_Area_1_1_1_1_1" localSheetId="24">'SCE-COMP'!#REF!</definedName>
    <definedName name="Excel_BuiltIn_Print_Area_1_1_1_1_1" localSheetId="25">'SEG-COMP'!#REF!</definedName>
    <definedName name="Excel_BuiltIn_Print_Area_1_1_1_1_1" localSheetId="26">'SPDA-COMP'!#REF!</definedName>
    <definedName name="Excel_BuiltIn_Print_Area_1_1_1_1_1">#REF!</definedName>
    <definedName name="Excel_BuiltIn_Print_Area_1_1_1_1_1_1" localSheetId="13">'ADM-COMP'!#REF!</definedName>
    <definedName name="Excel_BuiltIn_Print_Area_1_1_1_1_1_1" localSheetId="17">'CLI-COMP'!#REF!</definedName>
    <definedName name="Excel_BuiltIn_Print_Area_1_1_1_1_1_1" localSheetId="18">'EST-COMP'!#REF!</definedName>
    <definedName name="Excel_BuiltIn_Print_Area_1_1_1_1_1_1" localSheetId="19">'GAS-COMP'!#REF!</definedName>
    <definedName name="Excel_BuiltIn_Print_Area_1_1_1_1_1_1" localSheetId="21">'HID-COMP'!#REF!</definedName>
    <definedName name="Excel_BuiltIn_Print_Area_1_1_1_1_1_1" localSheetId="20">'IMPER-COMP'!#REF!</definedName>
    <definedName name="Excel_BuiltIn_Print_Area_1_1_1_1_1_1" localSheetId="22">'IMPL-COMP'!#REF!</definedName>
    <definedName name="Excel_BuiltIn_Print_Area_1_1_1_1_1_1" localSheetId="23">'INC-COMP'!#REF!</definedName>
    <definedName name="Excel_BuiltIn_Print_Area_1_1_1_1_1_1" localSheetId="24">'SCE-COMP'!#REF!</definedName>
    <definedName name="Excel_BuiltIn_Print_Area_1_1_1_1_1_1" localSheetId="25">'SEG-COMP'!#REF!</definedName>
    <definedName name="Excel_BuiltIn_Print_Area_1_1_1_1_1_1" localSheetId="26">'SPDA-COMP'!#REF!</definedName>
    <definedName name="Excel_BuiltIn_Print_Area_1_1_1_1_1_1">#REF!</definedName>
    <definedName name="Excel_BuiltIn_Print_Area_1_1_1_1_1_1_1" localSheetId="13">'ADM-COMP'!#REF!</definedName>
    <definedName name="Excel_BuiltIn_Print_Area_1_1_1_1_1_1_1" localSheetId="17">'CLI-COMP'!#REF!</definedName>
    <definedName name="Excel_BuiltIn_Print_Area_1_1_1_1_1_1_1" localSheetId="18">'EST-COMP'!#REF!</definedName>
    <definedName name="Excel_BuiltIn_Print_Area_1_1_1_1_1_1_1" localSheetId="19">'GAS-COMP'!#REF!</definedName>
    <definedName name="Excel_BuiltIn_Print_Area_1_1_1_1_1_1_1" localSheetId="21">'HID-COMP'!#REF!</definedName>
    <definedName name="Excel_BuiltIn_Print_Area_1_1_1_1_1_1_1" localSheetId="20">'IMPER-COMP'!#REF!</definedName>
    <definedName name="Excel_BuiltIn_Print_Area_1_1_1_1_1_1_1" localSheetId="22">'IMPL-COMP'!#REF!</definedName>
    <definedName name="Excel_BuiltIn_Print_Area_1_1_1_1_1_1_1" localSheetId="23">'INC-COMP'!#REF!</definedName>
    <definedName name="Excel_BuiltIn_Print_Area_1_1_1_1_1_1_1" localSheetId="24">'SCE-COMP'!#REF!</definedName>
    <definedName name="Excel_BuiltIn_Print_Area_1_1_1_1_1_1_1" localSheetId="25">'SEG-COMP'!#REF!</definedName>
    <definedName name="Excel_BuiltIn_Print_Area_1_1_1_1_1_1_1" localSheetId="26">'SPDA-COMP'!#REF!</definedName>
    <definedName name="Excel_BuiltIn_Print_Area_1_1_1_1_1_1_1">#REF!</definedName>
    <definedName name="Excel_BuiltIn_Print_Area_1_1_1_1_1_1_1_1" localSheetId="13">'ADM-COMP'!#REF!</definedName>
    <definedName name="Excel_BuiltIn_Print_Area_1_1_1_1_1_1_1_1" localSheetId="17">'CLI-COMP'!#REF!</definedName>
    <definedName name="Excel_BuiltIn_Print_Area_1_1_1_1_1_1_1_1" localSheetId="18">'EST-COMP'!#REF!</definedName>
    <definedName name="Excel_BuiltIn_Print_Area_1_1_1_1_1_1_1_1" localSheetId="19">'GAS-COMP'!#REF!</definedName>
    <definedName name="Excel_BuiltIn_Print_Area_1_1_1_1_1_1_1_1" localSheetId="21">'HID-COMP'!#REF!</definedName>
    <definedName name="Excel_BuiltIn_Print_Area_1_1_1_1_1_1_1_1" localSheetId="20">'IMPER-COMP'!#REF!</definedName>
    <definedName name="Excel_BuiltIn_Print_Area_1_1_1_1_1_1_1_1" localSheetId="22">'IMPL-COMP'!#REF!</definedName>
    <definedName name="Excel_BuiltIn_Print_Area_1_1_1_1_1_1_1_1" localSheetId="23">'INC-COMP'!#REF!</definedName>
    <definedName name="Excel_BuiltIn_Print_Area_1_1_1_1_1_1_1_1" localSheetId="24">'SCE-COMP'!#REF!</definedName>
    <definedName name="Excel_BuiltIn_Print_Area_1_1_1_1_1_1_1_1" localSheetId="25">'SEG-COMP'!#REF!</definedName>
    <definedName name="Excel_BuiltIn_Print_Area_1_1_1_1_1_1_1_1" localSheetId="26">'SPDA-COMP'!#REF!</definedName>
    <definedName name="Excel_BuiltIn_Print_Area_1_1_1_1_1_1_1_1">#REF!</definedName>
    <definedName name="Excel_BuiltIn_Print_Area_1_1_1_1_1_1_1_1_1" localSheetId="13">'ADM-COMP'!#REF!</definedName>
    <definedName name="Excel_BuiltIn_Print_Area_1_1_1_1_1_1_1_1_1" localSheetId="17">'CLI-COMP'!#REF!</definedName>
    <definedName name="Excel_BuiltIn_Print_Area_1_1_1_1_1_1_1_1_1" localSheetId="18">'EST-COMP'!#REF!</definedName>
    <definedName name="Excel_BuiltIn_Print_Area_1_1_1_1_1_1_1_1_1" localSheetId="19">'GAS-COMP'!#REF!</definedName>
    <definedName name="Excel_BuiltIn_Print_Area_1_1_1_1_1_1_1_1_1" localSheetId="21">'HID-COMP'!#REF!</definedName>
    <definedName name="Excel_BuiltIn_Print_Area_1_1_1_1_1_1_1_1_1" localSheetId="20">'IMPER-COMP'!#REF!</definedName>
    <definedName name="Excel_BuiltIn_Print_Area_1_1_1_1_1_1_1_1_1" localSheetId="22">'IMPL-COMP'!#REF!</definedName>
    <definedName name="Excel_BuiltIn_Print_Area_1_1_1_1_1_1_1_1_1" localSheetId="23">'INC-COMP'!#REF!</definedName>
    <definedName name="Excel_BuiltIn_Print_Area_1_1_1_1_1_1_1_1_1" localSheetId="24">'SCE-COMP'!#REF!</definedName>
    <definedName name="Excel_BuiltIn_Print_Area_1_1_1_1_1_1_1_1_1" localSheetId="25">'SEG-COMP'!#REF!</definedName>
    <definedName name="Excel_BuiltIn_Print_Area_1_1_1_1_1_1_1_1_1" localSheetId="26">'SPDA-COMP'!#REF!</definedName>
    <definedName name="Excel_BuiltIn_Print_Area_1_1_1_1_1_1_1_1_1">#REF!</definedName>
    <definedName name="Excel_BuiltIn_Print_Area_10" localSheetId="13">'ADM-COMP'!#REF!</definedName>
    <definedName name="Excel_BuiltIn_Print_Area_10" localSheetId="17">'CLI-COMP'!#REF!</definedName>
    <definedName name="Excel_BuiltIn_Print_Area_10" localSheetId="18">'EST-COMP'!#REF!</definedName>
    <definedName name="Excel_BuiltIn_Print_Area_10" localSheetId="19">'GAS-COMP'!#REF!</definedName>
    <definedName name="Excel_BuiltIn_Print_Area_10" localSheetId="21">'HID-COMP'!#REF!</definedName>
    <definedName name="Excel_BuiltIn_Print_Area_10" localSheetId="20">'IMPER-COMP'!#REF!</definedName>
    <definedName name="Excel_BuiltIn_Print_Area_10" localSheetId="22">'IMPL-COMP'!#REF!</definedName>
    <definedName name="Excel_BuiltIn_Print_Area_10" localSheetId="23">'INC-COMP'!#REF!</definedName>
    <definedName name="Excel_BuiltIn_Print_Area_10" localSheetId="24">'SCE-COMP'!#REF!</definedName>
    <definedName name="Excel_BuiltIn_Print_Area_10" localSheetId="25">'SEG-COMP'!#REF!</definedName>
    <definedName name="Excel_BuiltIn_Print_Area_10" localSheetId="26">'SPDA-COMP'!#REF!</definedName>
    <definedName name="Excel_BuiltIn_Print_Area_10">#REF!</definedName>
    <definedName name="Excel_BuiltIn_Print_Area_10_1" localSheetId="13">'ADM-COMP'!#REF!</definedName>
    <definedName name="Excel_BuiltIn_Print_Area_10_1" localSheetId="17">'CLI-COMP'!#REF!</definedName>
    <definedName name="Excel_BuiltIn_Print_Area_10_1" localSheetId="18">'EST-COMP'!#REF!</definedName>
    <definedName name="Excel_BuiltIn_Print_Area_10_1" localSheetId="19">'GAS-COMP'!#REF!</definedName>
    <definedName name="Excel_BuiltIn_Print_Area_10_1" localSheetId="21">'HID-COMP'!#REF!</definedName>
    <definedName name="Excel_BuiltIn_Print_Area_10_1" localSheetId="20">'IMPER-COMP'!#REF!</definedName>
    <definedName name="Excel_BuiltIn_Print_Area_10_1" localSheetId="22">'IMPL-COMP'!#REF!</definedName>
    <definedName name="Excel_BuiltIn_Print_Area_10_1" localSheetId="23">'INC-COMP'!#REF!</definedName>
    <definedName name="Excel_BuiltIn_Print_Area_10_1" localSheetId="24">'SCE-COMP'!#REF!</definedName>
    <definedName name="Excel_BuiltIn_Print_Area_10_1" localSheetId="25">'SEG-COMP'!#REF!</definedName>
    <definedName name="Excel_BuiltIn_Print_Area_10_1" localSheetId="26">'SPDA-COMP'!#REF!</definedName>
    <definedName name="Excel_BuiltIn_Print_Area_10_1">#REF!</definedName>
    <definedName name="Excel_BuiltIn_Print_Area_11" localSheetId="13">'ADM-COMP'!#REF!</definedName>
    <definedName name="Excel_BuiltIn_Print_Area_11" localSheetId="17">'CLI-COMP'!#REF!</definedName>
    <definedName name="Excel_BuiltIn_Print_Area_11" localSheetId="18">'EST-COMP'!#REF!</definedName>
    <definedName name="Excel_BuiltIn_Print_Area_11" localSheetId="19">'GAS-COMP'!#REF!</definedName>
    <definedName name="Excel_BuiltIn_Print_Area_11" localSheetId="21">'HID-COMP'!#REF!</definedName>
    <definedName name="Excel_BuiltIn_Print_Area_11" localSheetId="20">'IMPER-COMP'!#REF!</definedName>
    <definedName name="Excel_BuiltIn_Print_Area_11" localSheetId="22">'IMPL-COMP'!#REF!</definedName>
    <definedName name="Excel_BuiltIn_Print_Area_11" localSheetId="23">'INC-COMP'!#REF!</definedName>
    <definedName name="Excel_BuiltIn_Print_Area_11" localSheetId="24">'SCE-COMP'!#REF!</definedName>
    <definedName name="Excel_BuiltIn_Print_Area_11" localSheetId="25">'SEG-COMP'!#REF!</definedName>
    <definedName name="Excel_BuiltIn_Print_Area_11" localSheetId="26">'SPDA-COMP'!#REF!</definedName>
    <definedName name="Excel_BuiltIn_Print_Area_11">#REF!</definedName>
    <definedName name="Excel_BuiltIn_Print_Area_11_1" localSheetId="13">'ADM-COMP'!#REF!</definedName>
    <definedName name="Excel_BuiltIn_Print_Area_11_1" localSheetId="17">'CLI-COMP'!#REF!</definedName>
    <definedName name="Excel_BuiltIn_Print_Area_11_1" localSheetId="18">'EST-COMP'!#REF!</definedName>
    <definedName name="Excel_BuiltIn_Print_Area_11_1" localSheetId="19">'GAS-COMP'!#REF!</definedName>
    <definedName name="Excel_BuiltIn_Print_Area_11_1" localSheetId="21">'HID-COMP'!#REF!</definedName>
    <definedName name="Excel_BuiltIn_Print_Area_11_1" localSheetId="20">'IMPER-COMP'!#REF!</definedName>
    <definedName name="Excel_BuiltIn_Print_Area_11_1" localSheetId="22">'IMPL-COMP'!#REF!</definedName>
    <definedName name="Excel_BuiltIn_Print_Area_11_1" localSheetId="23">'INC-COMP'!#REF!</definedName>
    <definedName name="Excel_BuiltIn_Print_Area_11_1" localSheetId="24">'SCE-COMP'!#REF!</definedName>
    <definedName name="Excel_BuiltIn_Print_Area_11_1" localSheetId="25">'SEG-COMP'!#REF!</definedName>
    <definedName name="Excel_BuiltIn_Print_Area_11_1" localSheetId="26">'SPDA-COMP'!#REF!</definedName>
    <definedName name="Excel_BuiltIn_Print_Area_11_1">#REF!</definedName>
    <definedName name="Excel_BuiltIn_Print_Area_12">#REF!</definedName>
    <definedName name="Excel_BuiltIn_Print_Area_13" localSheetId="13">'ADM-COMP'!#REF!</definedName>
    <definedName name="Excel_BuiltIn_Print_Area_13" localSheetId="17">'CLI-COMP'!#REF!</definedName>
    <definedName name="Excel_BuiltIn_Print_Area_13" localSheetId="18">'EST-COMP'!#REF!</definedName>
    <definedName name="Excel_BuiltIn_Print_Area_13" localSheetId="19">'GAS-COMP'!#REF!</definedName>
    <definedName name="Excel_BuiltIn_Print_Area_13" localSheetId="21">'HID-COMP'!#REF!</definedName>
    <definedName name="Excel_BuiltIn_Print_Area_13" localSheetId="20">'IMPER-COMP'!#REF!</definedName>
    <definedName name="Excel_BuiltIn_Print_Area_13" localSheetId="22">'IMPL-COMP'!#REF!</definedName>
    <definedName name="Excel_BuiltIn_Print_Area_13" localSheetId="23">'INC-COMP'!#REF!</definedName>
    <definedName name="Excel_BuiltIn_Print_Area_13" localSheetId="24">'SCE-COMP'!#REF!</definedName>
    <definedName name="Excel_BuiltIn_Print_Area_13" localSheetId="25">'SEG-COMP'!#REF!</definedName>
    <definedName name="Excel_BuiltIn_Print_Area_13" localSheetId="26">'SPDA-COMP'!#REF!</definedName>
    <definedName name="Excel_BuiltIn_Print_Area_13">#REF!</definedName>
    <definedName name="Excel_BuiltIn_Print_Area_14" localSheetId="13">'ADM-COMP'!#REF!</definedName>
    <definedName name="Excel_BuiltIn_Print_Area_14" localSheetId="17">'CLI-COMP'!#REF!</definedName>
    <definedName name="Excel_BuiltIn_Print_Area_14" localSheetId="18">'EST-COMP'!#REF!</definedName>
    <definedName name="Excel_BuiltIn_Print_Area_14" localSheetId="19">'GAS-COMP'!#REF!</definedName>
    <definedName name="Excel_BuiltIn_Print_Area_14" localSheetId="21">'HID-COMP'!#REF!</definedName>
    <definedName name="Excel_BuiltIn_Print_Area_14" localSheetId="20">'IMPER-COMP'!#REF!</definedName>
    <definedName name="Excel_BuiltIn_Print_Area_14" localSheetId="22">'IMPL-COMP'!#REF!</definedName>
    <definedName name="Excel_BuiltIn_Print_Area_14" localSheetId="23">'INC-COMP'!#REF!</definedName>
    <definedName name="Excel_BuiltIn_Print_Area_14" localSheetId="24">'SCE-COMP'!#REF!</definedName>
    <definedName name="Excel_BuiltIn_Print_Area_14" localSheetId="25">'SEG-COMP'!#REF!</definedName>
    <definedName name="Excel_BuiltIn_Print_Area_14" localSheetId="26">'SPDA-COMP'!#REF!</definedName>
    <definedName name="Excel_BuiltIn_Print_Area_14">#REF!</definedName>
    <definedName name="Excel_BuiltIn_Print_Area_15" localSheetId="13">'ADM-COMP'!#REF!</definedName>
    <definedName name="Excel_BuiltIn_Print_Area_15" localSheetId="17">'CLI-COMP'!#REF!</definedName>
    <definedName name="Excel_BuiltIn_Print_Area_15" localSheetId="18">'EST-COMP'!#REF!</definedName>
    <definedName name="Excel_BuiltIn_Print_Area_15" localSheetId="19">'GAS-COMP'!#REF!</definedName>
    <definedName name="Excel_BuiltIn_Print_Area_15" localSheetId="21">'HID-COMP'!#REF!</definedName>
    <definedName name="Excel_BuiltIn_Print_Area_15" localSheetId="20">'IMPER-COMP'!#REF!</definedName>
    <definedName name="Excel_BuiltIn_Print_Area_15" localSheetId="22">'IMPL-COMP'!#REF!</definedName>
    <definedName name="Excel_BuiltIn_Print_Area_15" localSheetId="23">'INC-COMP'!#REF!</definedName>
    <definedName name="Excel_BuiltIn_Print_Area_15" localSheetId="24">'SCE-COMP'!#REF!</definedName>
    <definedName name="Excel_BuiltIn_Print_Area_15" localSheetId="25">'SEG-COMP'!#REF!</definedName>
    <definedName name="Excel_BuiltIn_Print_Area_15" localSheetId="26">'SPDA-COMP'!#REF!</definedName>
    <definedName name="Excel_BuiltIn_Print_Area_15">#REF!</definedName>
    <definedName name="Excel_BuiltIn_Print_Area_16" localSheetId="13">'ADM-COMP'!#REF!</definedName>
    <definedName name="Excel_BuiltIn_Print_Area_16" localSheetId="17">'CLI-COMP'!#REF!</definedName>
    <definedName name="Excel_BuiltIn_Print_Area_16" localSheetId="18">'EST-COMP'!#REF!</definedName>
    <definedName name="Excel_BuiltIn_Print_Area_16" localSheetId="19">'GAS-COMP'!#REF!</definedName>
    <definedName name="Excel_BuiltIn_Print_Area_16" localSheetId="21">'HID-COMP'!#REF!</definedName>
    <definedName name="Excel_BuiltIn_Print_Area_16" localSheetId="20">'IMPER-COMP'!#REF!</definedName>
    <definedName name="Excel_BuiltIn_Print_Area_16" localSheetId="22">'IMPL-COMP'!#REF!</definedName>
    <definedName name="Excel_BuiltIn_Print_Area_16" localSheetId="23">'INC-COMP'!#REF!</definedName>
    <definedName name="Excel_BuiltIn_Print_Area_16" localSheetId="24">'SCE-COMP'!#REF!</definedName>
    <definedName name="Excel_BuiltIn_Print_Area_16" localSheetId="25">'SEG-COMP'!#REF!</definedName>
    <definedName name="Excel_BuiltIn_Print_Area_16" localSheetId="26">'SPDA-COMP'!#REF!</definedName>
    <definedName name="Excel_BuiltIn_Print_Area_16">#REF!</definedName>
    <definedName name="Excel_BuiltIn_Print_Area_17" localSheetId="13">'ADM-COMP'!#REF!</definedName>
    <definedName name="Excel_BuiltIn_Print_Area_17" localSheetId="17">'CLI-COMP'!#REF!</definedName>
    <definedName name="Excel_BuiltIn_Print_Area_17" localSheetId="18">'EST-COMP'!#REF!</definedName>
    <definedName name="Excel_BuiltIn_Print_Area_17" localSheetId="19">'GAS-COMP'!#REF!</definedName>
    <definedName name="Excel_BuiltIn_Print_Area_17" localSheetId="21">'HID-COMP'!#REF!</definedName>
    <definedName name="Excel_BuiltIn_Print_Area_17" localSheetId="20">'IMPER-COMP'!#REF!</definedName>
    <definedName name="Excel_BuiltIn_Print_Area_17" localSheetId="22">'IMPL-COMP'!#REF!</definedName>
    <definedName name="Excel_BuiltIn_Print_Area_17" localSheetId="23">'INC-COMP'!#REF!</definedName>
    <definedName name="Excel_BuiltIn_Print_Area_17" localSheetId="24">'SCE-COMP'!#REF!</definedName>
    <definedName name="Excel_BuiltIn_Print_Area_17" localSheetId="25">'SEG-COMP'!#REF!</definedName>
    <definedName name="Excel_BuiltIn_Print_Area_17" localSheetId="26">'SPDA-COMP'!#REF!</definedName>
    <definedName name="Excel_BuiltIn_Print_Area_17">#REF!</definedName>
    <definedName name="Excel_BuiltIn_Print_Area_18" localSheetId="13">'ADM-COMP'!#REF!</definedName>
    <definedName name="Excel_BuiltIn_Print_Area_18" localSheetId="17">'CLI-COMP'!#REF!</definedName>
    <definedName name="Excel_BuiltIn_Print_Area_18" localSheetId="18">'EST-COMP'!#REF!</definedName>
    <definedName name="Excel_BuiltIn_Print_Area_18" localSheetId="19">'GAS-COMP'!#REF!</definedName>
    <definedName name="Excel_BuiltIn_Print_Area_18" localSheetId="21">'HID-COMP'!#REF!</definedName>
    <definedName name="Excel_BuiltIn_Print_Area_18" localSheetId="20">'IMPER-COMP'!#REF!</definedName>
    <definedName name="Excel_BuiltIn_Print_Area_18" localSheetId="22">'IMPL-COMP'!#REF!</definedName>
    <definedName name="Excel_BuiltIn_Print_Area_18" localSheetId="23">'INC-COMP'!#REF!</definedName>
    <definedName name="Excel_BuiltIn_Print_Area_18" localSheetId="24">'SCE-COMP'!#REF!</definedName>
    <definedName name="Excel_BuiltIn_Print_Area_18" localSheetId="25">'SEG-COMP'!#REF!</definedName>
    <definedName name="Excel_BuiltIn_Print_Area_18" localSheetId="26">'SPDA-COMP'!#REF!</definedName>
    <definedName name="Excel_BuiltIn_Print_Area_18">#REF!</definedName>
    <definedName name="Excel_BuiltIn_Print_Area_2" localSheetId="13">'ADM-COMP'!#REF!</definedName>
    <definedName name="Excel_BuiltIn_Print_Area_2" localSheetId="17">'CLI-COMP'!#REF!</definedName>
    <definedName name="Excel_BuiltIn_Print_Area_2" localSheetId="18">'EST-COMP'!#REF!</definedName>
    <definedName name="Excel_BuiltIn_Print_Area_2" localSheetId="19">'GAS-COMP'!#REF!</definedName>
    <definedName name="Excel_BuiltIn_Print_Area_2" localSheetId="21">'HID-COMP'!#REF!</definedName>
    <definedName name="Excel_BuiltIn_Print_Area_2" localSheetId="20">'IMPER-COMP'!#REF!</definedName>
    <definedName name="Excel_BuiltIn_Print_Area_2" localSheetId="22">'IMPL-COMP'!#REF!</definedName>
    <definedName name="Excel_BuiltIn_Print_Area_2" localSheetId="23">'INC-COMP'!#REF!</definedName>
    <definedName name="Excel_BuiltIn_Print_Area_2" localSheetId="24">'SCE-COMP'!#REF!</definedName>
    <definedName name="Excel_BuiltIn_Print_Area_2" localSheetId="25">'SEG-COMP'!#REF!</definedName>
    <definedName name="Excel_BuiltIn_Print_Area_2" localSheetId="26">'SPDA-COMP'!#REF!</definedName>
    <definedName name="Excel_BuiltIn_Print_Area_2">#REF!</definedName>
    <definedName name="Excel_BuiltIn_Print_Area_2_1" localSheetId="13">'ADM-COMP'!#REF!</definedName>
    <definedName name="Excel_BuiltIn_Print_Area_2_1" localSheetId="8">"$#REF!.$A$1:$J$410"</definedName>
    <definedName name="Excel_BuiltIn_Print_Area_2_1" localSheetId="17">'CLI-COMP'!#REF!</definedName>
    <definedName name="Excel_BuiltIn_Print_Area_2_1" localSheetId="18">'EST-COMP'!#REF!</definedName>
    <definedName name="Excel_BuiltIn_Print_Area_2_1" localSheetId="19">'GAS-COMP'!#REF!</definedName>
    <definedName name="Excel_BuiltIn_Print_Area_2_1" localSheetId="21">'HID-COMP'!#REF!</definedName>
    <definedName name="Excel_BuiltIn_Print_Area_2_1" localSheetId="20">'IMPER-COMP'!#REF!</definedName>
    <definedName name="Excel_BuiltIn_Print_Area_2_1" localSheetId="22">'IMPL-COMP'!#REF!</definedName>
    <definedName name="Excel_BuiltIn_Print_Area_2_1" localSheetId="23">'INC-COMP'!#REF!</definedName>
    <definedName name="Excel_BuiltIn_Print_Area_2_1" localSheetId="9">"$#REF!.$A$1:$J$410"</definedName>
    <definedName name="Excel_BuiltIn_Print_Area_2_1" localSheetId="7">"$#REF!.$A$1:$J$410"</definedName>
    <definedName name="Excel_BuiltIn_Print_Area_2_1" localSheetId="24">'SCE-COMP'!#REF!</definedName>
    <definedName name="Excel_BuiltIn_Print_Area_2_1" localSheetId="25">'SEG-COMP'!#REF!</definedName>
    <definedName name="Excel_BuiltIn_Print_Area_2_1" localSheetId="26">'SPDA-COMP'!#REF!</definedName>
    <definedName name="Excel_BuiltIn_Print_Area_2_1">#REF!</definedName>
    <definedName name="Excel_BuiltIn_Print_Area_3" localSheetId="13">'ADM-COMP'!#REF!</definedName>
    <definedName name="Excel_BuiltIn_Print_Area_3" localSheetId="17">'CLI-COMP'!#REF!</definedName>
    <definedName name="Excel_BuiltIn_Print_Area_3" localSheetId="18">'EST-COMP'!#REF!</definedName>
    <definedName name="Excel_BuiltIn_Print_Area_3" localSheetId="19">'GAS-COMP'!#REF!</definedName>
    <definedName name="Excel_BuiltIn_Print_Area_3" localSheetId="21">'HID-COMP'!#REF!</definedName>
    <definedName name="Excel_BuiltIn_Print_Area_3" localSheetId="20">'IMPER-COMP'!#REF!</definedName>
    <definedName name="Excel_BuiltIn_Print_Area_3" localSheetId="22">'IMPL-COMP'!#REF!</definedName>
    <definedName name="Excel_BuiltIn_Print_Area_3" localSheetId="23">'INC-COMP'!#REF!</definedName>
    <definedName name="Excel_BuiltIn_Print_Area_3" localSheetId="24">'SCE-COMP'!#REF!</definedName>
    <definedName name="Excel_BuiltIn_Print_Area_3" localSheetId="25">'SEG-COMP'!#REF!</definedName>
    <definedName name="Excel_BuiltIn_Print_Area_3" localSheetId="26">'SPDA-COMP'!#REF!</definedName>
    <definedName name="Excel_BuiltIn_Print_Area_3">#REF!</definedName>
    <definedName name="Excel_BuiltIn_Print_Area_3_1" localSheetId="13">'ADM-COMP'!#REF!</definedName>
    <definedName name="Excel_BuiltIn_Print_Area_3_1" localSheetId="8">#REF!</definedName>
    <definedName name="Excel_BuiltIn_Print_Area_3_1" localSheetId="17">'CLI-COMP'!#REF!</definedName>
    <definedName name="Excel_BuiltIn_Print_Area_3_1" localSheetId="18">'EST-COMP'!#REF!</definedName>
    <definedName name="Excel_BuiltIn_Print_Area_3_1" localSheetId="19">'GAS-COMP'!#REF!</definedName>
    <definedName name="Excel_BuiltIn_Print_Area_3_1" localSheetId="21">'HID-COMP'!#REF!</definedName>
    <definedName name="Excel_BuiltIn_Print_Area_3_1" localSheetId="20">'IMPER-COMP'!#REF!</definedName>
    <definedName name="Excel_BuiltIn_Print_Area_3_1" localSheetId="22">'IMPL-COMP'!#REF!</definedName>
    <definedName name="Excel_BuiltIn_Print_Area_3_1" localSheetId="23">'INC-COMP'!#REF!</definedName>
    <definedName name="Excel_BuiltIn_Print_Area_3_1" localSheetId="9">#REF!</definedName>
    <definedName name="Excel_BuiltIn_Print_Area_3_1" localSheetId="7">#REF!</definedName>
    <definedName name="Excel_BuiltIn_Print_Area_3_1" localSheetId="24">'SCE-COMP'!#REF!</definedName>
    <definedName name="Excel_BuiltIn_Print_Area_3_1" localSheetId="25">'SEG-COMP'!#REF!</definedName>
    <definedName name="Excel_BuiltIn_Print_Area_3_1" localSheetId="26">'SPDA-COMP'!#REF!</definedName>
    <definedName name="Excel_BuiltIn_Print_Area_3_1">#REF!</definedName>
    <definedName name="Excel_BuiltIn_Print_Area_3_1_1" localSheetId="13">'ADM-COMP'!#REF!</definedName>
    <definedName name="Excel_BuiltIn_Print_Area_3_1_1" localSheetId="8">#REF!</definedName>
    <definedName name="Excel_BuiltIn_Print_Area_3_1_1" localSheetId="17">'CLI-COMP'!#REF!</definedName>
    <definedName name="Excel_BuiltIn_Print_Area_3_1_1" localSheetId="18">'EST-COMP'!#REF!</definedName>
    <definedName name="Excel_BuiltIn_Print_Area_3_1_1" localSheetId="19">'GAS-COMP'!#REF!</definedName>
    <definedName name="Excel_BuiltIn_Print_Area_3_1_1" localSheetId="21">'HID-COMP'!#REF!</definedName>
    <definedName name="Excel_BuiltIn_Print_Area_3_1_1" localSheetId="20">'IMPER-COMP'!#REF!</definedName>
    <definedName name="Excel_BuiltIn_Print_Area_3_1_1" localSheetId="22">'IMPL-COMP'!#REF!</definedName>
    <definedName name="Excel_BuiltIn_Print_Area_3_1_1" localSheetId="23">'INC-COMP'!#REF!</definedName>
    <definedName name="Excel_BuiltIn_Print_Area_3_1_1" localSheetId="9">#REF!</definedName>
    <definedName name="Excel_BuiltIn_Print_Area_3_1_1" localSheetId="7">#REF!</definedName>
    <definedName name="Excel_BuiltIn_Print_Area_3_1_1" localSheetId="24">'SCE-COMP'!#REF!</definedName>
    <definedName name="Excel_BuiltIn_Print_Area_3_1_1" localSheetId="25">'SEG-COMP'!#REF!</definedName>
    <definedName name="Excel_BuiltIn_Print_Area_3_1_1" localSheetId="26">'SPDA-COMP'!#REF!</definedName>
    <definedName name="Excel_BuiltIn_Print_Area_3_1_1">#REF!</definedName>
    <definedName name="Excel_BuiltIn_Print_Area_3_1_1_1" localSheetId="13">'ADM-COMP'!#REF!</definedName>
    <definedName name="Excel_BuiltIn_Print_Area_3_1_1_1" localSheetId="17">'CLI-COMP'!#REF!</definedName>
    <definedName name="Excel_BuiltIn_Print_Area_3_1_1_1" localSheetId="18">'EST-COMP'!#REF!</definedName>
    <definedName name="Excel_BuiltIn_Print_Area_3_1_1_1" localSheetId="19">'GAS-COMP'!#REF!</definedName>
    <definedName name="Excel_BuiltIn_Print_Area_3_1_1_1" localSheetId="21">'HID-COMP'!#REF!</definedName>
    <definedName name="Excel_BuiltIn_Print_Area_3_1_1_1" localSheetId="20">'IMPER-COMP'!#REF!</definedName>
    <definedName name="Excel_BuiltIn_Print_Area_3_1_1_1" localSheetId="22">'IMPL-COMP'!#REF!</definedName>
    <definedName name="Excel_BuiltIn_Print_Area_3_1_1_1" localSheetId="23">'INC-COMP'!#REF!</definedName>
    <definedName name="Excel_BuiltIn_Print_Area_3_1_1_1" localSheetId="24">'SCE-COMP'!#REF!</definedName>
    <definedName name="Excel_BuiltIn_Print_Area_3_1_1_1" localSheetId="25">'SEG-COMP'!#REF!</definedName>
    <definedName name="Excel_BuiltIn_Print_Area_3_1_1_1" localSheetId="26">'SPDA-COMP'!#REF!</definedName>
    <definedName name="Excel_BuiltIn_Print_Area_3_1_1_1">#REF!</definedName>
    <definedName name="Excel_BuiltIn_Print_Area_3_1_1_1_1" localSheetId="13">'ADM-COMP'!#REF!</definedName>
    <definedName name="Excel_BuiltIn_Print_Area_3_1_1_1_1" localSheetId="17">'CLI-COMP'!#REF!</definedName>
    <definedName name="Excel_BuiltIn_Print_Area_3_1_1_1_1" localSheetId="18">'EST-COMP'!#REF!</definedName>
    <definedName name="Excel_BuiltIn_Print_Area_3_1_1_1_1" localSheetId="19">'GAS-COMP'!#REF!</definedName>
    <definedName name="Excel_BuiltIn_Print_Area_3_1_1_1_1" localSheetId="21">'HID-COMP'!#REF!</definedName>
    <definedName name="Excel_BuiltIn_Print_Area_3_1_1_1_1" localSheetId="20">'IMPER-COMP'!#REF!</definedName>
    <definedName name="Excel_BuiltIn_Print_Area_3_1_1_1_1" localSheetId="22">'IMPL-COMP'!#REF!</definedName>
    <definedName name="Excel_BuiltIn_Print_Area_3_1_1_1_1" localSheetId="23">'INC-COMP'!#REF!</definedName>
    <definedName name="Excel_BuiltIn_Print_Area_3_1_1_1_1" localSheetId="24">'SCE-COMP'!#REF!</definedName>
    <definedName name="Excel_BuiltIn_Print_Area_3_1_1_1_1" localSheetId="25">'SEG-COMP'!#REF!</definedName>
    <definedName name="Excel_BuiltIn_Print_Area_3_1_1_1_1" localSheetId="26">'SPDA-COMP'!#REF!</definedName>
    <definedName name="Excel_BuiltIn_Print_Area_3_1_1_1_1">#REF!</definedName>
    <definedName name="Excel_BuiltIn_Print_Area_4" localSheetId="13">'ADM-COMP'!#REF!</definedName>
    <definedName name="Excel_BuiltIn_Print_Area_4" localSheetId="8">#REF!</definedName>
    <definedName name="Excel_BuiltIn_Print_Area_4" localSheetId="17">'CLI-COMP'!#REF!</definedName>
    <definedName name="Excel_BuiltIn_Print_Area_4" localSheetId="18">'EST-COMP'!#REF!</definedName>
    <definedName name="Excel_BuiltIn_Print_Area_4" localSheetId="19">'GAS-COMP'!#REF!</definedName>
    <definedName name="Excel_BuiltIn_Print_Area_4" localSheetId="21">'HID-COMP'!#REF!</definedName>
    <definedName name="Excel_BuiltIn_Print_Area_4" localSheetId="20">'IMPER-COMP'!#REF!</definedName>
    <definedName name="Excel_BuiltIn_Print_Area_4" localSheetId="22">'IMPL-COMP'!#REF!</definedName>
    <definedName name="Excel_BuiltIn_Print_Area_4" localSheetId="23">'INC-COMP'!#REF!</definedName>
    <definedName name="Excel_BuiltIn_Print_Area_4" localSheetId="9">#REF!</definedName>
    <definedName name="Excel_BuiltIn_Print_Area_4" localSheetId="7">#REF!</definedName>
    <definedName name="Excel_BuiltIn_Print_Area_4" localSheetId="24">'SCE-COMP'!#REF!</definedName>
    <definedName name="Excel_BuiltIn_Print_Area_4" localSheetId="25">'SEG-COMP'!#REF!</definedName>
    <definedName name="Excel_BuiltIn_Print_Area_4" localSheetId="26">'SPDA-COMP'!#REF!</definedName>
    <definedName name="Excel_BuiltIn_Print_Area_4">#REF!</definedName>
    <definedName name="Excel_BuiltIn_Print_Area_4_1" localSheetId="13">'ADM-COMP'!#REF!</definedName>
    <definedName name="Excel_BuiltIn_Print_Area_4_1" localSheetId="17">'CLI-COMP'!#REF!</definedName>
    <definedName name="Excel_BuiltIn_Print_Area_4_1" localSheetId="18">'EST-COMP'!#REF!</definedName>
    <definedName name="Excel_BuiltIn_Print_Area_4_1" localSheetId="19">'GAS-COMP'!#REF!</definedName>
    <definedName name="Excel_BuiltIn_Print_Area_4_1" localSheetId="21">'HID-COMP'!#REF!</definedName>
    <definedName name="Excel_BuiltIn_Print_Area_4_1" localSheetId="20">'IMPER-COMP'!#REF!</definedName>
    <definedName name="Excel_BuiltIn_Print_Area_4_1" localSheetId="22">'IMPL-COMP'!#REF!</definedName>
    <definedName name="Excel_BuiltIn_Print_Area_4_1" localSheetId="23">'INC-COMP'!#REF!</definedName>
    <definedName name="Excel_BuiltIn_Print_Area_4_1" localSheetId="24">'SCE-COMP'!#REF!</definedName>
    <definedName name="Excel_BuiltIn_Print_Area_4_1" localSheetId="25">'SEG-COMP'!#REF!</definedName>
    <definedName name="Excel_BuiltIn_Print_Area_4_1" localSheetId="26">'SPDA-COMP'!#REF!</definedName>
    <definedName name="Excel_BuiltIn_Print_Area_4_1">#REF!</definedName>
    <definedName name="Excel_BuiltIn_Print_Area_4_1_1" localSheetId="13">'ADM-COMP'!#REF!</definedName>
    <definedName name="Excel_BuiltIn_Print_Area_4_1_1" localSheetId="17">'CLI-COMP'!#REF!</definedName>
    <definedName name="Excel_BuiltIn_Print_Area_4_1_1" localSheetId="18">'EST-COMP'!#REF!</definedName>
    <definedName name="Excel_BuiltIn_Print_Area_4_1_1" localSheetId="19">'GAS-COMP'!#REF!</definedName>
    <definedName name="Excel_BuiltIn_Print_Area_4_1_1" localSheetId="21">'HID-COMP'!#REF!</definedName>
    <definedName name="Excel_BuiltIn_Print_Area_4_1_1" localSheetId="20">'IMPER-COMP'!#REF!</definedName>
    <definedName name="Excel_BuiltIn_Print_Area_4_1_1" localSheetId="22">'IMPL-COMP'!#REF!</definedName>
    <definedName name="Excel_BuiltIn_Print_Area_4_1_1" localSheetId="23">'INC-COMP'!#REF!</definedName>
    <definedName name="Excel_BuiltIn_Print_Area_4_1_1" localSheetId="24">'SCE-COMP'!#REF!</definedName>
    <definedName name="Excel_BuiltIn_Print_Area_4_1_1" localSheetId="25">'SEG-COMP'!#REF!</definedName>
    <definedName name="Excel_BuiltIn_Print_Area_4_1_1" localSheetId="26">'SPDA-COMP'!#REF!</definedName>
    <definedName name="Excel_BuiltIn_Print_Area_4_1_1">#REF!</definedName>
    <definedName name="Excel_BuiltIn_Print_Area_5" localSheetId="13">'ADM-COMP'!#REF!</definedName>
    <definedName name="Excel_BuiltIn_Print_Area_5" localSheetId="17">'CLI-COMP'!#REF!</definedName>
    <definedName name="Excel_BuiltIn_Print_Area_5" localSheetId="18">'EST-COMP'!#REF!</definedName>
    <definedName name="Excel_BuiltIn_Print_Area_5" localSheetId="19">'GAS-COMP'!#REF!</definedName>
    <definedName name="Excel_BuiltIn_Print_Area_5" localSheetId="21">'HID-COMP'!#REF!</definedName>
    <definedName name="Excel_BuiltIn_Print_Area_5" localSheetId="20">'IMPER-COMP'!#REF!</definedName>
    <definedName name="Excel_BuiltIn_Print_Area_5" localSheetId="22">'IMPL-COMP'!#REF!</definedName>
    <definedName name="Excel_BuiltIn_Print_Area_5" localSheetId="23">'INC-COMP'!#REF!</definedName>
    <definedName name="Excel_BuiltIn_Print_Area_5" localSheetId="24">'SCE-COMP'!#REF!</definedName>
    <definedName name="Excel_BuiltIn_Print_Area_5" localSheetId="25">'SEG-COMP'!#REF!</definedName>
    <definedName name="Excel_BuiltIn_Print_Area_5" localSheetId="26">'SPDA-COMP'!#REF!</definedName>
    <definedName name="Excel_BuiltIn_Print_Area_5">#REF!</definedName>
    <definedName name="Excel_BuiltIn_Print_Area_5_1" localSheetId="13">'ADM-COMP'!#REF!</definedName>
    <definedName name="Excel_BuiltIn_Print_Area_5_1" localSheetId="17">'CLI-COMP'!#REF!</definedName>
    <definedName name="Excel_BuiltIn_Print_Area_5_1" localSheetId="18">'EST-COMP'!#REF!</definedName>
    <definedName name="Excel_BuiltIn_Print_Area_5_1" localSheetId="19">'GAS-COMP'!#REF!</definedName>
    <definedName name="Excel_BuiltIn_Print_Area_5_1" localSheetId="21">'HID-COMP'!#REF!</definedName>
    <definedName name="Excel_BuiltIn_Print_Area_5_1" localSheetId="20">'IMPER-COMP'!#REF!</definedName>
    <definedName name="Excel_BuiltIn_Print_Area_5_1" localSheetId="22">'IMPL-COMP'!#REF!</definedName>
    <definedName name="Excel_BuiltIn_Print_Area_5_1" localSheetId="23">'INC-COMP'!#REF!</definedName>
    <definedName name="Excel_BuiltIn_Print_Area_5_1" localSheetId="24">'SCE-COMP'!#REF!</definedName>
    <definedName name="Excel_BuiltIn_Print_Area_5_1" localSheetId="25">'SEG-COMP'!#REF!</definedName>
    <definedName name="Excel_BuiltIn_Print_Area_5_1" localSheetId="26">'SPDA-COMP'!#REF!</definedName>
    <definedName name="Excel_BuiltIn_Print_Area_5_1">#REF!</definedName>
    <definedName name="Excel_BuiltIn_Print_Area_5_1_1" localSheetId="13">'ADM-COMP'!#REF!</definedName>
    <definedName name="Excel_BuiltIn_Print_Area_5_1_1" localSheetId="17">'CLI-COMP'!#REF!</definedName>
    <definedName name="Excel_BuiltIn_Print_Area_5_1_1" localSheetId="18">'EST-COMP'!#REF!</definedName>
    <definedName name="Excel_BuiltIn_Print_Area_5_1_1" localSheetId="19">'GAS-COMP'!#REF!</definedName>
    <definedName name="Excel_BuiltIn_Print_Area_5_1_1" localSheetId="21">'HID-COMP'!#REF!</definedName>
    <definedName name="Excel_BuiltIn_Print_Area_5_1_1" localSheetId="20">'IMPER-COMP'!#REF!</definedName>
    <definedName name="Excel_BuiltIn_Print_Area_5_1_1" localSheetId="22">'IMPL-COMP'!#REF!</definedName>
    <definedName name="Excel_BuiltIn_Print_Area_5_1_1" localSheetId="23">'INC-COMP'!#REF!</definedName>
    <definedName name="Excel_BuiltIn_Print_Area_5_1_1" localSheetId="24">'SCE-COMP'!#REF!</definedName>
    <definedName name="Excel_BuiltIn_Print_Area_5_1_1" localSheetId="25">'SEG-COMP'!#REF!</definedName>
    <definedName name="Excel_BuiltIn_Print_Area_5_1_1" localSheetId="26">'SPDA-COMP'!#REF!</definedName>
    <definedName name="Excel_BuiltIn_Print_Area_5_1_1">#REF!</definedName>
    <definedName name="Excel_BuiltIn_Print_Area_5_1_1_1" localSheetId="13">'ADM-COMP'!#REF!</definedName>
    <definedName name="Excel_BuiltIn_Print_Area_5_1_1_1" localSheetId="17">'CLI-COMP'!#REF!</definedName>
    <definedName name="Excel_BuiltIn_Print_Area_5_1_1_1" localSheetId="18">'EST-COMP'!#REF!</definedName>
    <definedName name="Excel_BuiltIn_Print_Area_5_1_1_1" localSheetId="19">'GAS-COMP'!#REF!</definedName>
    <definedName name="Excel_BuiltIn_Print_Area_5_1_1_1" localSheetId="21">'HID-COMP'!#REF!</definedName>
    <definedName name="Excel_BuiltIn_Print_Area_5_1_1_1" localSheetId="20">'IMPER-COMP'!#REF!</definedName>
    <definedName name="Excel_BuiltIn_Print_Area_5_1_1_1" localSheetId="22">'IMPL-COMP'!#REF!</definedName>
    <definedName name="Excel_BuiltIn_Print_Area_5_1_1_1" localSheetId="23">'INC-COMP'!#REF!</definedName>
    <definedName name="Excel_BuiltIn_Print_Area_5_1_1_1" localSheetId="24">'SCE-COMP'!#REF!</definedName>
    <definedName name="Excel_BuiltIn_Print_Area_5_1_1_1" localSheetId="25">'SEG-COMP'!#REF!</definedName>
    <definedName name="Excel_BuiltIn_Print_Area_5_1_1_1" localSheetId="26">'SPDA-COMP'!#REF!</definedName>
    <definedName name="Excel_BuiltIn_Print_Area_5_1_1_1">#REF!</definedName>
    <definedName name="Excel_BuiltIn_Print_Area_5_6" localSheetId="13">'ADM-COMP'!#REF!</definedName>
    <definedName name="Excel_BuiltIn_Print_Area_5_6" localSheetId="17">'CLI-COMP'!#REF!</definedName>
    <definedName name="Excel_BuiltIn_Print_Area_5_6" localSheetId="18">'EST-COMP'!#REF!</definedName>
    <definedName name="Excel_BuiltIn_Print_Area_5_6" localSheetId="19">'GAS-COMP'!#REF!</definedName>
    <definedName name="Excel_BuiltIn_Print_Area_5_6" localSheetId="21">'HID-COMP'!#REF!</definedName>
    <definedName name="Excel_BuiltIn_Print_Area_5_6" localSheetId="20">'IMPER-COMP'!#REF!</definedName>
    <definedName name="Excel_BuiltIn_Print_Area_5_6" localSheetId="22">'IMPL-COMP'!#REF!</definedName>
    <definedName name="Excel_BuiltIn_Print_Area_5_6" localSheetId="23">'INC-COMP'!#REF!</definedName>
    <definedName name="Excel_BuiltIn_Print_Area_5_6" localSheetId="24">'SCE-COMP'!#REF!</definedName>
    <definedName name="Excel_BuiltIn_Print_Area_5_6" localSheetId="25">'SEG-COMP'!#REF!</definedName>
    <definedName name="Excel_BuiltIn_Print_Area_5_6" localSheetId="26">'SPDA-COMP'!#REF!</definedName>
    <definedName name="Excel_BuiltIn_Print_Area_5_6">#REF!</definedName>
    <definedName name="Excel_BuiltIn_Print_Area_5_7" localSheetId="13">'ADM-COMP'!#REF!</definedName>
    <definedName name="Excel_BuiltIn_Print_Area_5_7" localSheetId="17">'CLI-COMP'!#REF!</definedName>
    <definedName name="Excel_BuiltIn_Print_Area_5_7" localSheetId="18">'EST-COMP'!#REF!</definedName>
    <definedName name="Excel_BuiltIn_Print_Area_5_7" localSheetId="19">'GAS-COMP'!#REF!</definedName>
    <definedName name="Excel_BuiltIn_Print_Area_5_7" localSheetId="21">'HID-COMP'!#REF!</definedName>
    <definedName name="Excel_BuiltIn_Print_Area_5_7" localSheetId="20">'IMPER-COMP'!#REF!</definedName>
    <definedName name="Excel_BuiltIn_Print_Area_5_7" localSheetId="22">'IMPL-COMP'!#REF!</definedName>
    <definedName name="Excel_BuiltIn_Print_Area_5_7" localSheetId="23">'INC-COMP'!#REF!</definedName>
    <definedName name="Excel_BuiltIn_Print_Area_5_7" localSheetId="24">'SCE-COMP'!#REF!</definedName>
    <definedName name="Excel_BuiltIn_Print_Area_5_7" localSheetId="25">'SEG-COMP'!#REF!</definedName>
    <definedName name="Excel_BuiltIn_Print_Area_5_7" localSheetId="26">'SPDA-COMP'!#REF!</definedName>
    <definedName name="Excel_BuiltIn_Print_Area_5_7">#REF!</definedName>
    <definedName name="Excel_BuiltIn_Print_Area_6" localSheetId="13">'ADM-COMP'!#REF!</definedName>
    <definedName name="Excel_BuiltIn_Print_Area_6" localSheetId="17">'CLI-COMP'!#REF!</definedName>
    <definedName name="Excel_BuiltIn_Print_Area_6" localSheetId="18">'EST-COMP'!#REF!</definedName>
    <definedName name="Excel_BuiltIn_Print_Area_6" localSheetId="19">'GAS-COMP'!#REF!</definedName>
    <definedName name="Excel_BuiltIn_Print_Area_6" localSheetId="21">'HID-COMP'!#REF!</definedName>
    <definedName name="Excel_BuiltIn_Print_Area_6" localSheetId="20">'IMPER-COMP'!#REF!</definedName>
    <definedName name="Excel_BuiltIn_Print_Area_6" localSheetId="22">'IMPL-COMP'!#REF!</definedName>
    <definedName name="Excel_BuiltIn_Print_Area_6" localSheetId="23">'INC-COMP'!#REF!</definedName>
    <definedName name="Excel_BuiltIn_Print_Area_6" localSheetId="24">'SCE-COMP'!#REF!</definedName>
    <definedName name="Excel_BuiltIn_Print_Area_6" localSheetId="25">'SEG-COMP'!#REF!</definedName>
    <definedName name="Excel_BuiltIn_Print_Area_6" localSheetId="26">'SPDA-COMP'!#REF!</definedName>
    <definedName name="Excel_BuiltIn_Print_Area_6">#REF!</definedName>
    <definedName name="Excel_BuiltIn_Print_Area_6_1" localSheetId="13">'ADM-COMP'!#REF!</definedName>
    <definedName name="Excel_BuiltIn_Print_Area_6_1" localSheetId="17">'CLI-COMP'!#REF!</definedName>
    <definedName name="Excel_BuiltIn_Print_Area_6_1" localSheetId="18">'EST-COMP'!#REF!</definedName>
    <definedName name="Excel_BuiltIn_Print_Area_6_1" localSheetId="19">'GAS-COMP'!#REF!</definedName>
    <definedName name="Excel_BuiltIn_Print_Area_6_1" localSheetId="21">'HID-COMP'!#REF!</definedName>
    <definedName name="Excel_BuiltIn_Print_Area_6_1" localSheetId="20">'IMPER-COMP'!#REF!</definedName>
    <definedName name="Excel_BuiltIn_Print_Area_6_1" localSheetId="22">'IMPL-COMP'!#REF!</definedName>
    <definedName name="Excel_BuiltIn_Print_Area_6_1" localSheetId="23">'INC-COMP'!#REF!</definedName>
    <definedName name="Excel_BuiltIn_Print_Area_6_1" localSheetId="24">'SCE-COMP'!#REF!</definedName>
    <definedName name="Excel_BuiltIn_Print_Area_6_1" localSheetId="25">'SEG-COMP'!#REF!</definedName>
    <definedName name="Excel_BuiltIn_Print_Area_6_1" localSheetId="26">'SPDA-COMP'!#REF!</definedName>
    <definedName name="Excel_BuiltIn_Print_Area_6_1">#REF!</definedName>
    <definedName name="Excel_BuiltIn_Print_Area_6_1_1" localSheetId="13">'ADM-COMP'!#REF!</definedName>
    <definedName name="Excel_BuiltIn_Print_Area_6_1_1" localSheetId="17">'CLI-COMP'!#REF!</definedName>
    <definedName name="Excel_BuiltIn_Print_Area_6_1_1" localSheetId="18">'EST-COMP'!#REF!</definedName>
    <definedName name="Excel_BuiltIn_Print_Area_6_1_1" localSheetId="19">'GAS-COMP'!#REF!</definedName>
    <definedName name="Excel_BuiltIn_Print_Area_6_1_1" localSheetId="21">'HID-COMP'!#REF!</definedName>
    <definedName name="Excel_BuiltIn_Print_Area_6_1_1" localSheetId="20">'IMPER-COMP'!#REF!</definedName>
    <definedName name="Excel_BuiltIn_Print_Area_6_1_1" localSheetId="22">'IMPL-COMP'!#REF!</definedName>
    <definedName name="Excel_BuiltIn_Print_Area_6_1_1" localSheetId="23">'INC-COMP'!#REF!</definedName>
    <definedName name="Excel_BuiltIn_Print_Area_6_1_1" localSheetId="24">'SCE-COMP'!#REF!</definedName>
    <definedName name="Excel_BuiltIn_Print_Area_6_1_1" localSheetId="25">'SEG-COMP'!#REF!</definedName>
    <definedName name="Excel_BuiltIn_Print_Area_6_1_1" localSheetId="26">'SPDA-COMP'!#REF!</definedName>
    <definedName name="Excel_BuiltIn_Print_Area_6_1_1">#REF!</definedName>
    <definedName name="Excel_BuiltIn_Print_Area_6_1_1_1" localSheetId="13">'ADM-COMP'!#REF!</definedName>
    <definedName name="Excel_BuiltIn_Print_Area_6_1_1_1" localSheetId="17">'CLI-COMP'!#REF!</definedName>
    <definedName name="Excel_BuiltIn_Print_Area_6_1_1_1" localSheetId="18">'EST-COMP'!#REF!</definedName>
    <definedName name="Excel_BuiltIn_Print_Area_6_1_1_1" localSheetId="19">'GAS-COMP'!#REF!</definedName>
    <definedName name="Excel_BuiltIn_Print_Area_6_1_1_1" localSheetId="21">'HID-COMP'!#REF!</definedName>
    <definedName name="Excel_BuiltIn_Print_Area_6_1_1_1" localSheetId="20">'IMPER-COMP'!#REF!</definedName>
    <definedName name="Excel_BuiltIn_Print_Area_6_1_1_1" localSheetId="22">'IMPL-COMP'!#REF!</definedName>
    <definedName name="Excel_BuiltIn_Print_Area_6_1_1_1" localSheetId="23">'INC-COMP'!#REF!</definedName>
    <definedName name="Excel_BuiltIn_Print_Area_6_1_1_1" localSheetId="24">'SCE-COMP'!#REF!</definedName>
    <definedName name="Excel_BuiltIn_Print_Area_6_1_1_1" localSheetId="25">'SEG-COMP'!#REF!</definedName>
    <definedName name="Excel_BuiltIn_Print_Area_6_1_1_1" localSheetId="26">'SPDA-COMP'!#REF!</definedName>
    <definedName name="Excel_BuiltIn_Print_Area_6_1_1_1">#REF!</definedName>
    <definedName name="Excel_BuiltIn_Print_Area_7" localSheetId="13">'ADM-COMP'!#REF!</definedName>
    <definedName name="Excel_BuiltIn_Print_Area_7" localSheetId="17">'CLI-COMP'!#REF!</definedName>
    <definedName name="Excel_BuiltIn_Print_Area_7" localSheetId="18">'EST-COMP'!#REF!</definedName>
    <definedName name="Excel_BuiltIn_Print_Area_7" localSheetId="19">'GAS-COMP'!#REF!</definedName>
    <definedName name="Excel_BuiltIn_Print_Area_7" localSheetId="21">'HID-COMP'!#REF!</definedName>
    <definedName name="Excel_BuiltIn_Print_Area_7" localSheetId="20">'IMPER-COMP'!#REF!</definedName>
    <definedName name="Excel_BuiltIn_Print_Area_7" localSheetId="22">'IMPL-COMP'!#REF!</definedName>
    <definedName name="Excel_BuiltIn_Print_Area_7" localSheetId="23">'INC-COMP'!#REF!</definedName>
    <definedName name="Excel_BuiltIn_Print_Area_7" localSheetId="24">'SCE-COMP'!#REF!</definedName>
    <definedName name="Excel_BuiltIn_Print_Area_7" localSheetId="25">'SEG-COMP'!#REF!</definedName>
    <definedName name="Excel_BuiltIn_Print_Area_7" localSheetId="26">'SPDA-COMP'!#REF!</definedName>
    <definedName name="Excel_BuiltIn_Print_Area_7">#REF!</definedName>
    <definedName name="Excel_BuiltIn_Print_Area_7_1" localSheetId="13">'ADM-COMP'!#REF!</definedName>
    <definedName name="Excel_BuiltIn_Print_Area_7_1" localSheetId="17">'CLI-COMP'!#REF!</definedName>
    <definedName name="Excel_BuiltIn_Print_Area_7_1" localSheetId="18">'EST-COMP'!#REF!</definedName>
    <definedName name="Excel_BuiltIn_Print_Area_7_1" localSheetId="19">'GAS-COMP'!#REF!</definedName>
    <definedName name="Excel_BuiltIn_Print_Area_7_1" localSheetId="21">'HID-COMP'!#REF!</definedName>
    <definedName name="Excel_BuiltIn_Print_Area_7_1" localSheetId="20">'IMPER-COMP'!#REF!</definedName>
    <definedName name="Excel_BuiltIn_Print_Area_7_1" localSheetId="22">'IMPL-COMP'!#REF!</definedName>
    <definedName name="Excel_BuiltIn_Print_Area_7_1" localSheetId="23">'INC-COMP'!#REF!</definedName>
    <definedName name="Excel_BuiltIn_Print_Area_7_1" localSheetId="24">'SCE-COMP'!#REF!</definedName>
    <definedName name="Excel_BuiltIn_Print_Area_7_1" localSheetId="25">'SEG-COMP'!#REF!</definedName>
    <definedName name="Excel_BuiltIn_Print_Area_7_1" localSheetId="26">'SPDA-COMP'!#REF!</definedName>
    <definedName name="Excel_BuiltIn_Print_Area_7_1">#REF!</definedName>
    <definedName name="Excel_BuiltIn_Print_Area_7_1_1" localSheetId="13">'ADM-COMP'!#REF!</definedName>
    <definedName name="Excel_BuiltIn_Print_Area_7_1_1" localSheetId="17">'CLI-COMP'!#REF!</definedName>
    <definedName name="Excel_BuiltIn_Print_Area_7_1_1" localSheetId="18">'EST-COMP'!#REF!</definedName>
    <definedName name="Excel_BuiltIn_Print_Area_7_1_1" localSheetId="19">'GAS-COMP'!#REF!</definedName>
    <definedName name="Excel_BuiltIn_Print_Area_7_1_1" localSheetId="21">'HID-COMP'!#REF!</definedName>
    <definedName name="Excel_BuiltIn_Print_Area_7_1_1" localSheetId="20">'IMPER-COMP'!#REF!</definedName>
    <definedName name="Excel_BuiltIn_Print_Area_7_1_1" localSheetId="22">'IMPL-COMP'!#REF!</definedName>
    <definedName name="Excel_BuiltIn_Print_Area_7_1_1" localSheetId="23">'INC-COMP'!#REF!</definedName>
    <definedName name="Excel_BuiltIn_Print_Area_7_1_1" localSheetId="24">'SCE-COMP'!#REF!</definedName>
    <definedName name="Excel_BuiltIn_Print_Area_7_1_1" localSheetId="25">'SEG-COMP'!#REF!</definedName>
    <definedName name="Excel_BuiltIn_Print_Area_7_1_1" localSheetId="26">'SPDA-COMP'!#REF!</definedName>
    <definedName name="Excel_BuiltIn_Print_Area_7_1_1">#REF!</definedName>
    <definedName name="Excel_BuiltIn_Print_Area_8" localSheetId="13">'ADM-COMP'!#REF!</definedName>
    <definedName name="Excel_BuiltIn_Print_Area_8" localSheetId="17">'CLI-COMP'!#REF!</definedName>
    <definedName name="Excel_BuiltIn_Print_Area_8" localSheetId="18">'EST-COMP'!#REF!</definedName>
    <definedName name="Excel_BuiltIn_Print_Area_8" localSheetId="19">'GAS-COMP'!#REF!</definedName>
    <definedName name="Excel_BuiltIn_Print_Area_8" localSheetId="21">'HID-COMP'!#REF!</definedName>
    <definedName name="Excel_BuiltIn_Print_Area_8" localSheetId="20">'IMPER-COMP'!#REF!</definedName>
    <definedName name="Excel_BuiltIn_Print_Area_8" localSheetId="22">'IMPL-COMP'!#REF!</definedName>
    <definedName name="Excel_BuiltIn_Print_Area_8" localSheetId="23">'INC-COMP'!#REF!</definedName>
    <definedName name="Excel_BuiltIn_Print_Area_8" localSheetId="24">'SCE-COMP'!#REF!</definedName>
    <definedName name="Excel_BuiltIn_Print_Area_8" localSheetId="25">'SEG-COMP'!#REF!</definedName>
    <definedName name="Excel_BuiltIn_Print_Area_8" localSheetId="26">'SPDA-COMP'!#REF!</definedName>
    <definedName name="Excel_BuiltIn_Print_Area_8">#REF!</definedName>
    <definedName name="Excel_BuiltIn_Print_Area_8_1" localSheetId="13">'ADM-COMP'!#REF!</definedName>
    <definedName name="Excel_BuiltIn_Print_Area_8_1" localSheetId="17">'CLI-COMP'!#REF!</definedName>
    <definedName name="Excel_BuiltIn_Print_Area_8_1" localSheetId="18">'EST-COMP'!#REF!</definedName>
    <definedName name="Excel_BuiltIn_Print_Area_8_1" localSheetId="19">'GAS-COMP'!#REF!</definedName>
    <definedName name="Excel_BuiltIn_Print_Area_8_1" localSheetId="21">'HID-COMP'!#REF!</definedName>
    <definedName name="Excel_BuiltIn_Print_Area_8_1" localSheetId="20">'IMPER-COMP'!#REF!</definedName>
    <definedName name="Excel_BuiltIn_Print_Area_8_1" localSheetId="22">'IMPL-COMP'!#REF!</definedName>
    <definedName name="Excel_BuiltIn_Print_Area_8_1" localSheetId="23">'INC-COMP'!#REF!</definedName>
    <definedName name="Excel_BuiltIn_Print_Area_8_1" localSheetId="24">'SCE-COMP'!#REF!</definedName>
    <definedName name="Excel_BuiltIn_Print_Area_8_1" localSheetId="25">'SEG-COMP'!#REF!</definedName>
    <definedName name="Excel_BuiltIn_Print_Area_8_1" localSheetId="26">'SPDA-COMP'!#REF!</definedName>
    <definedName name="Excel_BuiltIn_Print_Area_8_1">#REF!</definedName>
    <definedName name="Excel_BuiltIn_Print_Area_8_1_1" localSheetId="15">([1]EMERGÊNCIA!$A$1:$N$213,[1]EMERGÊNCIA!$A$214:$N$290)</definedName>
    <definedName name="Excel_BuiltIn_Print_Area_8_1_1" localSheetId="2">([2]EMERGÊNCIA!$A$1:$N$213,[2]EMERGÊNCIA!$A$214:$N$290)</definedName>
    <definedName name="Excel_BuiltIn_Print_Area_8_1_1">([1]EMERGÊNCIA!$A$1:$N$213,[1]EMERGÊNCIA!$A$214:$N$290)</definedName>
    <definedName name="Excel_BuiltIn_Print_Area_8_1_1_1" localSheetId="15">([1]EMERGÊNCIA!$A$1:$N$213,[1]EMERGÊNCIA!$A$214:$N$290)</definedName>
    <definedName name="Excel_BuiltIn_Print_Area_8_1_1_1" localSheetId="2">([2]EMERGÊNCIA!$A$1:$N$213,[2]EMERGÊNCIA!$A$214:$N$290)</definedName>
    <definedName name="Excel_BuiltIn_Print_Area_8_1_1_1">([1]EMERGÊNCIA!$A$1:$N$213,[1]EMERGÊNCIA!$A$214:$N$290)</definedName>
    <definedName name="Excel_BuiltIn_Print_Area_9" localSheetId="13">'ADM-COMP'!#REF!</definedName>
    <definedName name="Excel_BuiltIn_Print_Area_9" localSheetId="17">'CLI-COMP'!#REF!</definedName>
    <definedName name="Excel_BuiltIn_Print_Area_9" localSheetId="18">'EST-COMP'!#REF!</definedName>
    <definedName name="Excel_BuiltIn_Print_Area_9" localSheetId="19">'GAS-COMP'!#REF!</definedName>
    <definedName name="Excel_BuiltIn_Print_Area_9" localSheetId="21">'HID-COMP'!#REF!</definedName>
    <definedName name="Excel_BuiltIn_Print_Area_9" localSheetId="20">'IMPER-COMP'!#REF!</definedName>
    <definedName name="Excel_BuiltIn_Print_Area_9" localSheetId="22">'IMPL-COMP'!#REF!</definedName>
    <definedName name="Excel_BuiltIn_Print_Area_9" localSheetId="23">'INC-COMP'!#REF!</definedName>
    <definedName name="Excel_BuiltIn_Print_Area_9" localSheetId="24">'SCE-COMP'!#REF!</definedName>
    <definedName name="Excel_BuiltIn_Print_Area_9" localSheetId="25">'SEG-COMP'!#REF!</definedName>
    <definedName name="Excel_BuiltIn_Print_Area_9" localSheetId="26">'SPDA-COMP'!#REF!</definedName>
    <definedName name="Excel_BuiltIn_Print_Area_9">#REF!</definedName>
    <definedName name="Excel_BuiltIn_Print_Area_9_1" localSheetId="13">'ADM-COMP'!#REF!</definedName>
    <definedName name="Excel_BuiltIn_Print_Area_9_1" localSheetId="17">'CLI-COMP'!#REF!</definedName>
    <definedName name="Excel_BuiltIn_Print_Area_9_1" localSheetId="18">'EST-COMP'!#REF!</definedName>
    <definedName name="Excel_BuiltIn_Print_Area_9_1" localSheetId="19">'GAS-COMP'!#REF!</definedName>
    <definedName name="Excel_BuiltIn_Print_Area_9_1" localSheetId="21">'HID-COMP'!#REF!</definedName>
    <definedName name="Excel_BuiltIn_Print_Area_9_1" localSheetId="20">'IMPER-COMP'!#REF!</definedName>
    <definedName name="Excel_BuiltIn_Print_Area_9_1" localSheetId="22">'IMPL-COMP'!#REF!</definedName>
    <definedName name="Excel_BuiltIn_Print_Area_9_1" localSheetId="23">'INC-COMP'!#REF!</definedName>
    <definedName name="Excel_BuiltIn_Print_Area_9_1" localSheetId="24">'SCE-COMP'!#REF!</definedName>
    <definedName name="Excel_BuiltIn_Print_Area_9_1" localSheetId="25">'SEG-COMP'!#REF!</definedName>
    <definedName name="Excel_BuiltIn_Print_Area_9_1" localSheetId="26">'SPDA-COMP'!#REF!</definedName>
    <definedName name="Excel_BuiltIn_Print_Area_9_1">#REF!</definedName>
    <definedName name="Excel_BuiltIn_Print_Area_9_1_1" localSheetId="13">'ADM-COMP'!#REF!</definedName>
    <definedName name="Excel_BuiltIn_Print_Area_9_1_1" localSheetId="17">'CLI-COMP'!#REF!</definedName>
    <definedName name="Excel_BuiltIn_Print_Area_9_1_1" localSheetId="18">'EST-COMP'!#REF!</definedName>
    <definedName name="Excel_BuiltIn_Print_Area_9_1_1" localSheetId="19">'GAS-COMP'!#REF!</definedName>
    <definedName name="Excel_BuiltIn_Print_Area_9_1_1" localSheetId="21">'HID-COMP'!#REF!</definedName>
    <definedName name="Excel_BuiltIn_Print_Area_9_1_1" localSheetId="20">'IMPER-COMP'!#REF!</definedName>
    <definedName name="Excel_BuiltIn_Print_Area_9_1_1" localSheetId="22">'IMPL-COMP'!#REF!</definedName>
    <definedName name="Excel_BuiltIn_Print_Area_9_1_1" localSheetId="23">'INC-COMP'!#REF!</definedName>
    <definedName name="Excel_BuiltIn_Print_Area_9_1_1" localSheetId="24">'SCE-COMP'!#REF!</definedName>
    <definedName name="Excel_BuiltIn_Print_Area_9_1_1" localSheetId="25">'SEG-COMP'!#REF!</definedName>
    <definedName name="Excel_BuiltIn_Print_Area_9_1_1" localSheetId="26">'SPDA-COMP'!#REF!</definedName>
    <definedName name="Excel_BuiltIn_Print_Area_9_1_1">#REF!</definedName>
    <definedName name="Excel_BuiltIn_Print_Area_9_1_1_1" localSheetId="13">'ADM-COMP'!#REF!</definedName>
    <definedName name="Excel_BuiltIn_Print_Area_9_1_1_1" localSheetId="17">'CLI-COMP'!#REF!</definedName>
    <definedName name="Excel_BuiltIn_Print_Area_9_1_1_1" localSheetId="18">'EST-COMP'!#REF!</definedName>
    <definedName name="Excel_BuiltIn_Print_Area_9_1_1_1" localSheetId="19">'GAS-COMP'!#REF!</definedName>
    <definedName name="Excel_BuiltIn_Print_Area_9_1_1_1" localSheetId="21">'HID-COMP'!#REF!</definedName>
    <definedName name="Excel_BuiltIn_Print_Area_9_1_1_1" localSheetId="20">'IMPER-COMP'!#REF!</definedName>
    <definedName name="Excel_BuiltIn_Print_Area_9_1_1_1" localSheetId="22">'IMPL-COMP'!#REF!</definedName>
    <definedName name="Excel_BuiltIn_Print_Area_9_1_1_1" localSheetId="23">'INC-COMP'!#REF!</definedName>
    <definedName name="Excel_BuiltIn_Print_Area_9_1_1_1" localSheetId="24">'SCE-COMP'!#REF!</definedName>
    <definedName name="Excel_BuiltIn_Print_Area_9_1_1_1" localSheetId="25">'SEG-COMP'!#REF!</definedName>
    <definedName name="Excel_BuiltIn_Print_Area_9_1_1_1" localSheetId="26">'SPDA-COMP'!#REF!</definedName>
    <definedName name="Excel_BuiltIn_Print_Area_9_1_1_1">#REF!</definedName>
    <definedName name="Excel_BuiltIn_Print_Titles_1">#REF!</definedName>
    <definedName name="Excel_BuiltIn_Print_Titles_1_1" localSheetId="13">'ADM-COMP'!#REF!</definedName>
    <definedName name="Excel_BuiltIn_Print_Titles_1_1" localSheetId="8">"$#REF!.$A$1:$AMJ$3"</definedName>
    <definedName name="Excel_BuiltIn_Print_Titles_1_1" localSheetId="17">'CLI-COMP'!#REF!</definedName>
    <definedName name="Excel_BuiltIn_Print_Titles_1_1" localSheetId="18">'EST-COMP'!#REF!</definedName>
    <definedName name="Excel_BuiltIn_Print_Titles_1_1" localSheetId="19">'GAS-COMP'!#REF!</definedName>
    <definedName name="Excel_BuiltIn_Print_Titles_1_1" localSheetId="21">'HID-COMP'!#REF!</definedName>
    <definedName name="Excel_BuiltIn_Print_Titles_1_1" localSheetId="20">'IMPER-COMP'!#REF!</definedName>
    <definedName name="Excel_BuiltIn_Print_Titles_1_1" localSheetId="22">'IMPL-COMP'!#REF!</definedName>
    <definedName name="Excel_BuiltIn_Print_Titles_1_1" localSheetId="23">'INC-COMP'!#REF!</definedName>
    <definedName name="Excel_BuiltIn_Print_Titles_1_1" localSheetId="9">"$#REF!.$A$1:$AMJ$3"</definedName>
    <definedName name="Excel_BuiltIn_Print_Titles_1_1" localSheetId="7">"$#REF!.$A$1:$AMJ$3"</definedName>
    <definedName name="Excel_BuiltIn_Print_Titles_1_1" localSheetId="24">'SCE-COMP'!#REF!</definedName>
    <definedName name="Excel_BuiltIn_Print_Titles_1_1" localSheetId="25">'SEG-COMP'!#REF!</definedName>
    <definedName name="Excel_BuiltIn_Print_Titles_1_1" localSheetId="26">'SPDA-COMP'!#REF!</definedName>
    <definedName name="Excel_BuiltIn_Print_Titles_1_1">#REF!</definedName>
    <definedName name="Excel_BuiltIn_Print_Titles_1_1_1" localSheetId="13">'ADM-COMP'!#REF!</definedName>
    <definedName name="Excel_BuiltIn_Print_Titles_1_1_1" localSheetId="17">'CLI-COMP'!#REF!</definedName>
    <definedName name="Excel_BuiltIn_Print_Titles_1_1_1" localSheetId="18">'EST-COMP'!#REF!</definedName>
    <definedName name="Excel_BuiltIn_Print_Titles_1_1_1" localSheetId="19">'GAS-COMP'!#REF!</definedName>
    <definedName name="Excel_BuiltIn_Print_Titles_1_1_1" localSheetId="21">'HID-COMP'!#REF!</definedName>
    <definedName name="Excel_BuiltIn_Print_Titles_1_1_1" localSheetId="20">'IMPER-COMP'!#REF!</definedName>
    <definedName name="Excel_BuiltIn_Print_Titles_1_1_1" localSheetId="22">'IMPL-COMP'!#REF!</definedName>
    <definedName name="Excel_BuiltIn_Print_Titles_1_1_1" localSheetId="23">'INC-COMP'!#REF!</definedName>
    <definedName name="Excel_BuiltIn_Print_Titles_1_1_1" localSheetId="24">'SCE-COMP'!#REF!</definedName>
    <definedName name="Excel_BuiltIn_Print_Titles_1_1_1" localSheetId="25">'SEG-COMP'!#REF!</definedName>
    <definedName name="Excel_BuiltIn_Print_Titles_1_1_1" localSheetId="26">'SPDA-COMP'!#REF!</definedName>
    <definedName name="Excel_BuiltIn_Print_Titles_1_1_1">#REF!</definedName>
    <definedName name="Excel_BuiltIn_Print_Titles_10">#REF!</definedName>
    <definedName name="Excel_BuiltIn_Print_Titles_11" localSheetId="13">'ADM-COMP'!#REF!</definedName>
    <definedName name="Excel_BuiltIn_Print_Titles_11" localSheetId="17">'CLI-COMP'!#REF!</definedName>
    <definedName name="Excel_BuiltIn_Print_Titles_11" localSheetId="18">'EST-COMP'!#REF!</definedName>
    <definedName name="Excel_BuiltIn_Print_Titles_11" localSheetId="19">'GAS-COMP'!#REF!</definedName>
    <definedName name="Excel_BuiltIn_Print_Titles_11" localSheetId="21">'HID-COMP'!#REF!</definedName>
    <definedName name="Excel_BuiltIn_Print_Titles_11" localSheetId="20">'IMPER-COMP'!#REF!</definedName>
    <definedName name="Excel_BuiltIn_Print_Titles_11" localSheetId="22">'IMPL-COMP'!#REF!</definedName>
    <definedName name="Excel_BuiltIn_Print_Titles_11" localSheetId="23">'INC-COMP'!#REF!</definedName>
    <definedName name="Excel_BuiltIn_Print_Titles_11" localSheetId="24">'SCE-COMP'!#REF!</definedName>
    <definedName name="Excel_BuiltIn_Print_Titles_11" localSheetId="25">'SEG-COMP'!#REF!</definedName>
    <definedName name="Excel_BuiltIn_Print_Titles_11" localSheetId="26">'SPDA-COMP'!#REF!</definedName>
    <definedName name="Excel_BuiltIn_Print_Titles_11">#REF!</definedName>
    <definedName name="Excel_BuiltIn_Print_Titles_12">#REF!</definedName>
    <definedName name="Excel_BuiltIn_Print_Titles_13" localSheetId="13">'ADM-COMP'!#REF!</definedName>
    <definedName name="Excel_BuiltIn_Print_Titles_13" localSheetId="17">'CLI-COMP'!#REF!</definedName>
    <definedName name="Excel_BuiltIn_Print_Titles_13" localSheetId="18">'EST-COMP'!#REF!</definedName>
    <definedName name="Excel_BuiltIn_Print_Titles_13" localSheetId="19">'GAS-COMP'!#REF!</definedName>
    <definedName name="Excel_BuiltIn_Print_Titles_13" localSheetId="21">'HID-COMP'!#REF!</definedName>
    <definedName name="Excel_BuiltIn_Print_Titles_13" localSheetId="20">'IMPER-COMP'!#REF!</definedName>
    <definedName name="Excel_BuiltIn_Print_Titles_13" localSheetId="22">'IMPL-COMP'!#REF!</definedName>
    <definedName name="Excel_BuiltIn_Print_Titles_13" localSheetId="23">'INC-COMP'!#REF!</definedName>
    <definedName name="Excel_BuiltIn_Print_Titles_13" localSheetId="24">'SCE-COMP'!#REF!</definedName>
    <definedName name="Excel_BuiltIn_Print_Titles_13" localSheetId="25">'SEG-COMP'!#REF!</definedName>
    <definedName name="Excel_BuiltIn_Print_Titles_13" localSheetId="26">'SPDA-COMP'!#REF!</definedName>
    <definedName name="Excel_BuiltIn_Print_Titles_13">#REF!</definedName>
    <definedName name="Excel_BuiltIn_Print_Titles_14" localSheetId="13">'ADM-COMP'!#REF!</definedName>
    <definedName name="Excel_BuiltIn_Print_Titles_14" localSheetId="17">'CLI-COMP'!#REF!</definedName>
    <definedName name="Excel_BuiltIn_Print_Titles_14" localSheetId="18">'EST-COMP'!#REF!</definedName>
    <definedName name="Excel_BuiltIn_Print_Titles_14" localSheetId="19">'GAS-COMP'!#REF!</definedName>
    <definedName name="Excel_BuiltIn_Print_Titles_14" localSheetId="21">'HID-COMP'!#REF!</definedName>
    <definedName name="Excel_BuiltIn_Print_Titles_14" localSheetId="20">'IMPER-COMP'!#REF!</definedName>
    <definedName name="Excel_BuiltIn_Print_Titles_14" localSheetId="22">'IMPL-COMP'!#REF!</definedName>
    <definedName name="Excel_BuiltIn_Print_Titles_14" localSheetId="23">'INC-COMP'!#REF!</definedName>
    <definedName name="Excel_BuiltIn_Print_Titles_14" localSheetId="24">'SCE-COMP'!#REF!</definedName>
    <definedName name="Excel_BuiltIn_Print_Titles_14" localSheetId="25">'SEG-COMP'!#REF!</definedName>
    <definedName name="Excel_BuiltIn_Print_Titles_14" localSheetId="26">'SPDA-COMP'!#REF!</definedName>
    <definedName name="Excel_BuiltIn_Print_Titles_14">#REF!</definedName>
    <definedName name="Excel_BuiltIn_Print_Titles_15" localSheetId="13">'ADM-COMP'!#REF!</definedName>
    <definedName name="Excel_BuiltIn_Print_Titles_15" localSheetId="17">'CLI-COMP'!#REF!</definedName>
    <definedName name="Excel_BuiltIn_Print_Titles_15" localSheetId="18">'EST-COMP'!#REF!</definedName>
    <definedName name="Excel_BuiltIn_Print_Titles_15" localSheetId="19">'GAS-COMP'!#REF!</definedName>
    <definedName name="Excel_BuiltIn_Print_Titles_15" localSheetId="21">'HID-COMP'!#REF!</definedName>
    <definedName name="Excel_BuiltIn_Print_Titles_15" localSheetId="20">'IMPER-COMP'!#REF!</definedName>
    <definedName name="Excel_BuiltIn_Print_Titles_15" localSheetId="22">'IMPL-COMP'!#REF!</definedName>
    <definedName name="Excel_BuiltIn_Print_Titles_15" localSheetId="23">'INC-COMP'!#REF!</definedName>
    <definedName name="Excel_BuiltIn_Print_Titles_15" localSheetId="24">'SCE-COMP'!#REF!</definedName>
    <definedName name="Excel_BuiltIn_Print_Titles_15" localSheetId="25">'SEG-COMP'!#REF!</definedName>
    <definedName name="Excel_BuiltIn_Print_Titles_15" localSheetId="26">'SPDA-COMP'!#REF!</definedName>
    <definedName name="Excel_BuiltIn_Print_Titles_15">#REF!</definedName>
    <definedName name="Excel_BuiltIn_Print_Titles_16" localSheetId="13">'ADM-COMP'!#REF!</definedName>
    <definedName name="Excel_BuiltIn_Print_Titles_16" localSheetId="17">'CLI-COMP'!#REF!</definedName>
    <definedName name="Excel_BuiltIn_Print_Titles_16" localSheetId="18">'EST-COMP'!#REF!</definedName>
    <definedName name="Excel_BuiltIn_Print_Titles_16" localSheetId="19">'GAS-COMP'!#REF!</definedName>
    <definedName name="Excel_BuiltIn_Print_Titles_16" localSheetId="21">'HID-COMP'!#REF!</definedName>
    <definedName name="Excel_BuiltIn_Print_Titles_16" localSheetId="20">'IMPER-COMP'!#REF!</definedName>
    <definedName name="Excel_BuiltIn_Print_Titles_16" localSheetId="22">'IMPL-COMP'!#REF!</definedName>
    <definedName name="Excel_BuiltIn_Print_Titles_16" localSheetId="23">'INC-COMP'!#REF!</definedName>
    <definedName name="Excel_BuiltIn_Print_Titles_16" localSheetId="24">'SCE-COMP'!#REF!</definedName>
    <definedName name="Excel_BuiltIn_Print_Titles_16" localSheetId="25">'SEG-COMP'!#REF!</definedName>
    <definedName name="Excel_BuiltIn_Print_Titles_16" localSheetId="26">'SPDA-COMP'!#REF!</definedName>
    <definedName name="Excel_BuiltIn_Print_Titles_16">#REF!</definedName>
    <definedName name="Excel_BuiltIn_Print_Titles_17" localSheetId="13">'ADM-COMP'!#REF!</definedName>
    <definedName name="Excel_BuiltIn_Print_Titles_17" localSheetId="17">'CLI-COMP'!#REF!</definedName>
    <definedName name="Excel_BuiltIn_Print_Titles_17" localSheetId="18">'EST-COMP'!#REF!</definedName>
    <definedName name="Excel_BuiltIn_Print_Titles_17" localSheetId="19">'GAS-COMP'!#REF!</definedName>
    <definedName name="Excel_BuiltIn_Print_Titles_17" localSheetId="21">'HID-COMP'!#REF!</definedName>
    <definedName name="Excel_BuiltIn_Print_Titles_17" localSheetId="20">'IMPER-COMP'!#REF!</definedName>
    <definedName name="Excel_BuiltIn_Print_Titles_17" localSheetId="22">'IMPL-COMP'!#REF!</definedName>
    <definedName name="Excel_BuiltIn_Print_Titles_17" localSheetId="23">'INC-COMP'!#REF!</definedName>
    <definedName name="Excel_BuiltIn_Print_Titles_17" localSheetId="24">'SCE-COMP'!#REF!</definedName>
    <definedName name="Excel_BuiltIn_Print_Titles_17" localSheetId="25">'SEG-COMP'!#REF!</definedName>
    <definedName name="Excel_BuiltIn_Print_Titles_17" localSheetId="26">'SPDA-COMP'!#REF!</definedName>
    <definedName name="Excel_BuiltIn_Print_Titles_17">#REF!</definedName>
    <definedName name="Excel_BuiltIn_Print_Titles_18" localSheetId="13">'ADM-COMP'!#REF!</definedName>
    <definedName name="Excel_BuiltIn_Print_Titles_18" localSheetId="17">'CLI-COMP'!#REF!</definedName>
    <definedName name="Excel_BuiltIn_Print_Titles_18" localSheetId="18">'EST-COMP'!#REF!</definedName>
    <definedName name="Excel_BuiltIn_Print_Titles_18" localSheetId="19">'GAS-COMP'!#REF!</definedName>
    <definedName name="Excel_BuiltIn_Print_Titles_18" localSheetId="21">'HID-COMP'!#REF!</definedName>
    <definedName name="Excel_BuiltIn_Print_Titles_18" localSheetId="20">'IMPER-COMP'!#REF!</definedName>
    <definedName name="Excel_BuiltIn_Print_Titles_18" localSheetId="22">'IMPL-COMP'!#REF!</definedName>
    <definedName name="Excel_BuiltIn_Print_Titles_18" localSheetId="23">'INC-COMP'!#REF!</definedName>
    <definedName name="Excel_BuiltIn_Print_Titles_18" localSheetId="24">'SCE-COMP'!#REF!</definedName>
    <definedName name="Excel_BuiltIn_Print_Titles_18" localSheetId="25">'SEG-COMP'!#REF!</definedName>
    <definedName name="Excel_BuiltIn_Print_Titles_18" localSheetId="26">'SPDA-COMP'!#REF!</definedName>
    <definedName name="Excel_BuiltIn_Print_Titles_18">#REF!</definedName>
    <definedName name="Excel_BuiltIn_Print_Titles_2" localSheetId="13">'ADM-COMP'!#REF!</definedName>
    <definedName name="Excel_BuiltIn_Print_Titles_2" localSheetId="8">"$#REF!.$A$1:$AMJ$2"</definedName>
    <definedName name="Excel_BuiltIn_Print_Titles_2" localSheetId="17">'CLI-COMP'!#REF!</definedName>
    <definedName name="Excel_BuiltIn_Print_Titles_2" localSheetId="18">'EST-COMP'!#REF!</definedName>
    <definedName name="Excel_BuiltIn_Print_Titles_2" localSheetId="19">'GAS-COMP'!#REF!</definedName>
    <definedName name="Excel_BuiltIn_Print_Titles_2" localSheetId="21">'HID-COMP'!#REF!</definedName>
    <definedName name="Excel_BuiltIn_Print_Titles_2" localSheetId="20">'IMPER-COMP'!#REF!</definedName>
    <definedName name="Excel_BuiltIn_Print_Titles_2" localSheetId="22">'IMPL-COMP'!#REF!</definedName>
    <definedName name="Excel_BuiltIn_Print_Titles_2" localSheetId="23">'INC-COMP'!#REF!</definedName>
    <definedName name="Excel_BuiltIn_Print_Titles_2" localSheetId="9">"$#REF!.$A$1:$AMJ$2"</definedName>
    <definedName name="Excel_BuiltIn_Print_Titles_2" localSheetId="7">"$#REF!.$A$1:$AMJ$2"</definedName>
    <definedName name="Excel_BuiltIn_Print_Titles_2" localSheetId="24">'SCE-COMP'!#REF!</definedName>
    <definedName name="Excel_BuiltIn_Print_Titles_2" localSheetId="25">'SEG-COMP'!#REF!</definedName>
    <definedName name="Excel_BuiltIn_Print_Titles_2" localSheetId="26">'SPDA-COMP'!#REF!</definedName>
    <definedName name="Excel_BuiltIn_Print_Titles_2">#REF!</definedName>
    <definedName name="Excel_BuiltIn_Print_Titles_3" localSheetId="13">'ADM-COMP'!#REF!</definedName>
    <definedName name="Excel_BuiltIn_Print_Titles_3" localSheetId="17">'CLI-COMP'!#REF!</definedName>
    <definedName name="Excel_BuiltIn_Print_Titles_3" localSheetId="18">'EST-COMP'!#REF!</definedName>
    <definedName name="Excel_BuiltIn_Print_Titles_3" localSheetId="19">'GAS-COMP'!#REF!</definedName>
    <definedName name="Excel_BuiltIn_Print_Titles_3" localSheetId="21">'HID-COMP'!#REF!</definedName>
    <definedName name="Excel_BuiltIn_Print_Titles_3" localSheetId="20">'IMPER-COMP'!#REF!</definedName>
    <definedName name="Excel_BuiltIn_Print_Titles_3" localSheetId="22">'IMPL-COMP'!#REF!</definedName>
    <definedName name="Excel_BuiltIn_Print_Titles_3" localSheetId="23">'INC-COMP'!#REF!</definedName>
    <definedName name="Excel_BuiltIn_Print_Titles_3" localSheetId="24">'SCE-COMP'!#REF!</definedName>
    <definedName name="Excel_BuiltIn_Print_Titles_3" localSheetId="25">'SEG-COMP'!#REF!</definedName>
    <definedName name="Excel_BuiltIn_Print_Titles_3" localSheetId="26">'SPDA-COMP'!#REF!</definedName>
    <definedName name="Excel_BuiltIn_Print_Titles_3">#REF!</definedName>
    <definedName name="Excel_BuiltIn_Print_Titles_3_1" localSheetId="13">'ADM-COMP'!#REF!</definedName>
    <definedName name="Excel_BuiltIn_Print_Titles_3_1" localSheetId="17">'CLI-COMP'!#REF!</definedName>
    <definedName name="Excel_BuiltIn_Print_Titles_3_1" localSheetId="18">'EST-COMP'!#REF!</definedName>
    <definedName name="Excel_BuiltIn_Print_Titles_3_1" localSheetId="19">'GAS-COMP'!#REF!</definedName>
    <definedName name="Excel_BuiltIn_Print_Titles_3_1" localSheetId="21">'HID-COMP'!#REF!</definedName>
    <definedName name="Excel_BuiltIn_Print_Titles_3_1" localSheetId="20">'IMPER-COMP'!#REF!</definedName>
    <definedName name="Excel_BuiltIn_Print_Titles_3_1" localSheetId="22">'IMPL-COMP'!#REF!</definedName>
    <definedName name="Excel_BuiltIn_Print_Titles_3_1" localSheetId="23">'INC-COMP'!#REF!</definedName>
    <definedName name="Excel_BuiltIn_Print_Titles_3_1" localSheetId="24">'SCE-COMP'!#REF!</definedName>
    <definedName name="Excel_BuiltIn_Print_Titles_3_1" localSheetId="25">'SEG-COMP'!#REF!</definedName>
    <definedName name="Excel_BuiltIn_Print_Titles_3_1" localSheetId="26">'SPDA-COMP'!#REF!</definedName>
    <definedName name="Excel_BuiltIn_Print_Titles_3_1">#REF!</definedName>
    <definedName name="Excel_BuiltIn_Print_Titles_3_1_1" localSheetId="13">'ADM-COMP'!#REF!</definedName>
    <definedName name="Excel_BuiltIn_Print_Titles_3_1_1" localSheetId="17">'CLI-COMP'!#REF!</definedName>
    <definedName name="Excel_BuiltIn_Print_Titles_3_1_1" localSheetId="18">'EST-COMP'!#REF!</definedName>
    <definedName name="Excel_BuiltIn_Print_Titles_3_1_1" localSheetId="19">'GAS-COMP'!#REF!</definedName>
    <definedName name="Excel_BuiltIn_Print_Titles_3_1_1" localSheetId="21">'HID-COMP'!#REF!</definedName>
    <definedName name="Excel_BuiltIn_Print_Titles_3_1_1" localSheetId="20">'IMPER-COMP'!#REF!</definedName>
    <definedName name="Excel_BuiltIn_Print_Titles_3_1_1" localSheetId="22">'IMPL-COMP'!#REF!</definedName>
    <definedName name="Excel_BuiltIn_Print_Titles_3_1_1" localSheetId="23">'INC-COMP'!#REF!</definedName>
    <definedName name="Excel_BuiltIn_Print_Titles_3_1_1" localSheetId="24">'SCE-COMP'!#REF!</definedName>
    <definedName name="Excel_BuiltIn_Print_Titles_3_1_1" localSheetId="25">'SEG-COMP'!#REF!</definedName>
    <definedName name="Excel_BuiltIn_Print_Titles_3_1_1" localSheetId="26">'SPDA-COMP'!#REF!</definedName>
    <definedName name="Excel_BuiltIn_Print_Titles_3_1_1">#REF!</definedName>
    <definedName name="Excel_BuiltIn_Print_Titles_3_1_1_1" localSheetId="13">'ADM-COMP'!#REF!</definedName>
    <definedName name="Excel_BuiltIn_Print_Titles_3_1_1_1" localSheetId="17">'CLI-COMP'!#REF!</definedName>
    <definedName name="Excel_BuiltIn_Print_Titles_3_1_1_1" localSheetId="18">'EST-COMP'!#REF!</definedName>
    <definedName name="Excel_BuiltIn_Print_Titles_3_1_1_1" localSheetId="19">'GAS-COMP'!#REF!</definedName>
    <definedName name="Excel_BuiltIn_Print_Titles_3_1_1_1" localSheetId="21">'HID-COMP'!#REF!</definedName>
    <definedName name="Excel_BuiltIn_Print_Titles_3_1_1_1" localSheetId="20">'IMPER-COMP'!#REF!</definedName>
    <definedName name="Excel_BuiltIn_Print_Titles_3_1_1_1" localSheetId="22">'IMPL-COMP'!#REF!</definedName>
    <definedName name="Excel_BuiltIn_Print_Titles_3_1_1_1" localSheetId="23">'INC-COMP'!#REF!</definedName>
    <definedName name="Excel_BuiltIn_Print_Titles_3_1_1_1" localSheetId="24">'SCE-COMP'!#REF!</definedName>
    <definedName name="Excel_BuiltIn_Print_Titles_3_1_1_1" localSheetId="25">'SEG-COMP'!#REF!</definedName>
    <definedName name="Excel_BuiltIn_Print_Titles_3_1_1_1" localSheetId="26">'SPDA-COMP'!#REF!</definedName>
    <definedName name="Excel_BuiltIn_Print_Titles_3_1_1_1">#REF!</definedName>
    <definedName name="Excel_BuiltIn_Print_Titles_3_4" localSheetId="13">'ADM-COMP'!#REF!</definedName>
    <definedName name="Excel_BuiltIn_Print_Titles_3_4" localSheetId="17">'CLI-COMP'!#REF!</definedName>
    <definedName name="Excel_BuiltIn_Print_Titles_3_4" localSheetId="18">'EST-COMP'!#REF!</definedName>
    <definedName name="Excel_BuiltIn_Print_Titles_3_4" localSheetId="19">'GAS-COMP'!#REF!</definedName>
    <definedName name="Excel_BuiltIn_Print_Titles_3_4" localSheetId="21">'HID-COMP'!#REF!</definedName>
    <definedName name="Excel_BuiltIn_Print_Titles_3_4" localSheetId="20">'IMPER-COMP'!#REF!</definedName>
    <definedName name="Excel_BuiltIn_Print_Titles_3_4" localSheetId="22">'IMPL-COMP'!#REF!</definedName>
    <definedName name="Excel_BuiltIn_Print_Titles_3_4" localSheetId="23">'INC-COMP'!#REF!</definedName>
    <definedName name="Excel_BuiltIn_Print_Titles_3_4" localSheetId="24">'SCE-COMP'!#REF!</definedName>
    <definedName name="Excel_BuiltIn_Print_Titles_3_4" localSheetId="25">'SEG-COMP'!#REF!</definedName>
    <definedName name="Excel_BuiltIn_Print_Titles_3_4" localSheetId="26">'SPDA-COMP'!#REF!</definedName>
    <definedName name="Excel_BuiltIn_Print_Titles_3_4">#REF!</definedName>
    <definedName name="Excel_BuiltIn_Print_Titles_3_5" localSheetId="13">'ADM-COMP'!#REF!</definedName>
    <definedName name="Excel_BuiltIn_Print_Titles_3_5" localSheetId="17">'CLI-COMP'!#REF!</definedName>
    <definedName name="Excel_BuiltIn_Print_Titles_3_5" localSheetId="18">'EST-COMP'!#REF!</definedName>
    <definedName name="Excel_BuiltIn_Print_Titles_3_5" localSheetId="19">'GAS-COMP'!#REF!</definedName>
    <definedName name="Excel_BuiltIn_Print_Titles_3_5" localSheetId="21">'HID-COMP'!#REF!</definedName>
    <definedName name="Excel_BuiltIn_Print_Titles_3_5" localSheetId="20">'IMPER-COMP'!#REF!</definedName>
    <definedName name="Excel_BuiltIn_Print_Titles_3_5" localSheetId="22">'IMPL-COMP'!#REF!</definedName>
    <definedName name="Excel_BuiltIn_Print_Titles_3_5" localSheetId="23">'INC-COMP'!#REF!</definedName>
    <definedName name="Excel_BuiltIn_Print_Titles_3_5" localSheetId="24">'SCE-COMP'!#REF!</definedName>
    <definedName name="Excel_BuiltIn_Print_Titles_3_5" localSheetId="25">'SEG-COMP'!#REF!</definedName>
    <definedName name="Excel_BuiltIn_Print_Titles_3_5" localSheetId="26">'SPDA-COMP'!#REF!</definedName>
    <definedName name="Excel_BuiltIn_Print_Titles_3_5">#REF!</definedName>
    <definedName name="Excel_BuiltIn_Print_Titles_3_6" localSheetId="13">'ADM-COMP'!#REF!</definedName>
    <definedName name="Excel_BuiltIn_Print_Titles_3_6" localSheetId="17">'CLI-COMP'!#REF!</definedName>
    <definedName name="Excel_BuiltIn_Print_Titles_3_6" localSheetId="18">'EST-COMP'!#REF!</definedName>
    <definedName name="Excel_BuiltIn_Print_Titles_3_6" localSheetId="19">'GAS-COMP'!#REF!</definedName>
    <definedName name="Excel_BuiltIn_Print_Titles_3_6" localSheetId="21">'HID-COMP'!#REF!</definedName>
    <definedName name="Excel_BuiltIn_Print_Titles_3_6" localSheetId="20">'IMPER-COMP'!#REF!</definedName>
    <definedName name="Excel_BuiltIn_Print_Titles_3_6" localSheetId="22">'IMPL-COMP'!#REF!</definedName>
    <definedName name="Excel_BuiltIn_Print_Titles_3_6" localSheetId="23">'INC-COMP'!#REF!</definedName>
    <definedName name="Excel_BuiltIn_Print_Titles_3_6" localSheetId="24">'SCE-COMP'!#REF!</definedName>
    <definedName name="Excel_BuiltIn_Print_Titles_3_6" localSheetId="25">'SEG-COMP'!#REF!</definedName>
    <definedName name="Excel_BuiltIn_Print_Titles_3_6" localSheetId="26">'SPDA-COMP'!#REF!</definedName>
    <definedName name="Excel_BuiltIn_Print_Titles_3_6">#REF!</definedName>
    <definedName name="Excel_BuiltIn_Print_Titles_3_7" localSheetId="13">'ADM-COMP'!#REF!</definedName>
    <definedName name="Excel_BuiltIn_Print_Titles_3_7" localSheetId="17">'CLI-COMP'!#REF!</definedName>
    <definedName name="Excel_BuiltIn_Print_Titles_3_7" localSheetId="18">'EST-COMP'!#REF!</definedName>
    <definedName name="Excel_BuiltIn_Print_Titles_3_7" localSheetId="19">'GAS-COMP'!#REF!</definedName>
    <definedName name="Excel_BuiltIn_Print_Titles_3_7" localSheetId="21">'HID-COMP'!#REF!</definedName>
    <definedName name="Excel_BuiltIn_Print_Titles_3_7" localSheetId="20">'IMPER-COMP'!#REF!</definedName>
    <definedName name="Excel_BuiltIn_Print_Titles_3_7" localSheetId="22">'IMPL-COMP'!#REF!</definedName>
    <definedName name="Excel_BuiltIn_Print_Titles_3_7" localSheetId="23">'INC-COMP'!#REF!</definedName>
    <definedName name="Excel_BuiltIn_Print_Titles_3_7" localSheetId="24">'SCE-COMP'!#REF!</definedName>
    <definedName name="Excel_BuiltIn_Print_Titles_3_7" localSheetId="25">'SEG-COMP'!#REF!</definedName>
    <definedName name="Excel_BuiltIn_Print_Titles_3_7" localSheetId="26">'SPDA-COMP'!#REF!</definedName>
    <definedName name="Excel_BuiltIn_Print_Titles_3_7">#REF!</definedName>
    <definedName name="Excel_BuiltIn_Print_Titles_3_8" localSheetId="13">'ADM-COMP'!#REF!</definedName>
    <definedName name="Excel_BuiltIn_Print_Titles_3_8" localSheetId="17">'CLI-COMP'!#REF!</definedName>
    <definedName name="Excel_BuiltIn_Print_Titles_3_8" localSheetId="18">'EST-COMP'!#REF!</definedName>
    <definedName name="Excel_BuiltIn_Print_Titles_3_8" localSheetId="19">'GAS-COMP'!#REF!</definedName>
    <definedName name="Excel_BuiltIn_Print_Titles_3_8" localSheetId="21">'HID-COMP'!#REF!</definedName>
    <definedName name="Excel_BuiltIn_Print_Titles_3_8" localSheetId="20">'IMPER-COMP'!#REF!</definedName>
    <definedName name="Excel_BuiltIn_Print_Titles_3_8" localSheetId="22">'IMPL-COMP'!#REF!</definedName>
    <definedName name="Excel_BuiltIn_Print_Titles_3_8" localSheetId="23">'INC-COMP'!#REF!</definedName>
    <definedName name="Excel_BuiltIn_Print_Titles_3_8" localSheetId="24">'SCE-COMP'!#REF!</definedName>
    <definedName name="Excel_BuiltIn_Print_Titles_3_8" localSheetId="25">'SEG-COMP'!#REF!</definedName>
    <definedName name="Excel_BuiltIn_Print_Titles_3_8" localSheetId="26">'SPDA-COMP'!#REF!</definedName>
    <definedName name="Excel_BuiltIn_Print_Titles_3_8">#REF!</definedName>
    <definedName name="Excel_BuiltIn_Print_Titles_3_9" localSheetId="13">'ADM-COMP'!#REF!</definedName>
    <definedName name="Excel_BuiltIn_Print_Titles_3_9" localSheetId="17">'CLI-COMP'!#REF!</definedName>
    <definedName name="Excel_BuiltIn_Print_Titles_3_9" localSheetId="18">'EST-COMP'!#REF!</definedName>
    <definedName name="Excel_BuiltIn_Print_Titles_3_9" localSheetId="19">'GAS-COMP'!#REF!</definedName>
    <definedName name="Excel_BuiltIn_Print_Titles_3_9" localSheetId="21">'HID-COMP'!#REF!</definedName>
    <definedName name="Excel_BuiltIn_Print_Titles_3_9" localSheetId="20">'IMPER-COMP'!#REF!</definedName>
    <definedName name="Excel_BuiltIn_Print_Titles_3_9" localSheetId="22">'IMPL-COMP'!#REF!</definedName>
    <definedName name="Excel_BuiltIn_Print_Titles_3_9" localSheetId="23">'INC-COMP'!#REF!</definedName>
    <definedName name="Excel_BuiltIn_Print_Titles_3_9" localSheetId="24">'SCE-COMP'!#REF!</definedName>
    <definedName name="Excel_BuiltIn_Print_Titles_3_9" localSheetId="25">'SEG-COMP'!#REF!</definedName>
    <definedName name="Excel_BuiltIn_Print_Titles_3_9" localSheetId="26">'SPDA-COMP'!#REF!</definedName>
    <definedName name="Excel_BuiltIn_Print_Titles_3_9">#REF!</definedName>
    <definedName name="Excel_BuiltIn_Print_Titles_4" localSheetId="13">'ADM-COMP'!#REF!</definedName>
    <definedName name="Excel_BuiltIn_Print_Titles_4" localSheetId="17">'CLI-COMP'!#REF!</definedName>
    <definedName name="Excel_BuiltIn_Print_Titles_4" localSheetId="18">'EST-COMP'!#REF!</definedName>
    <definedName name="Excel_BuiltIn_Print_Titles_4" localSheetId="19">'GAS-COMP'!#REF!</definedName>
    <definedName name="Excel_BuiltIn_Print_Titles_4" localSheetId="21">'HID-COMP'!#REF!</definedName>
    <definedName name="Excel_BuiltIn_Print_Titles_4" localSheetId="20">'IMPER-COMP'!#REF!</definedName>
    <definedName name="Excel_BuiltIn_Print_Titles_4" localSheetId="22">'IMPL-COMP'!#REF!</definedName>
    <definedName name="Excel_BuiltIn_Print_Titles_4" localSheetId="23">'INC-COMP'!#REF!</definedName>
    <definedName name="Excel_BuiltIn_Print_Titles_4" localSheetId="24">'SCE-COMP'!#REF!</definedName>
    <definedName name="Excel_BuiltIn_Print_Titles_4" localSheetId="25">'SEG-COMP'!#REF!</definedName>
    <definedName name="Excel_BuiltIn_Print_Titles_4" localSheetId="26">'SPDA-COMP'!#REF!</definedName>
    <definedName name="Excel_BuiltIn_Print_Titles_4">#REF!</definedName>
    <definedName name="Excel_BuiltIn_Print_Titles_4_1" localSheetId="13">'ADM-COMP'!#REF!</definedName>
    <definedName name="Excel_BuiltIn_Print_Titles_4_1" localSheetId="17">'CLI-COMP'!#REF!</definedName>
    <definedName name="Excel_BuiltIn_Print_Titles_4_1" localSheetId="18">'EST-COMP'!#REF!</definedName>
    <definedName name="Excel_BuiltIn_Print_Titles_4_1" localSheetId="19">'GAS-COMP'!#REF!</definedName>
    <definedName name="Excel_BuiltIn_Print_Titles_4_1" localSheetId="21">'HID-COMP'!#REF!</definedName>
    <definedName name="Excel_BuiltIn_Print_Titles_4_1" localSheetId="20">'IMPER-COMP'!#REF!</definedName>
    <definedName name="Excel_BuiltIn_Print_Titles_4_1" localSheetId="22">'IMPL-COMP'!#REF!</definedName>
    <definedName name="Excel_BuiltIn_Print_Titles_4_1" localSheetId="23">'INC-COMP'!#REF!</definedName>
    <definedName name="Excel_BuiltIn_Print_Titles_4_1" localSheetId="24">'SCE-COMP'!#REF!</definedName>
    <definedName name="Excel_BuiltIn_Print_Titles_4_1" localSheetId="25">'SEG-COMP'!#REF!</definedName>
    <definedName name="Excel_BuiltIn_Print_Titles_4_1" localSheetId="26">'SPDA-COMP'!#REF!</definedName>
    <definedName name="Excel_BuiltIn_Print_Titles_4_1">#REF!</definedName>
    <definedName name="Excel_BuiltIn_Print_Titles_4_1_1" localSheetId="13">'ADM-COMP'!#REF!</definedName>
    <definedName name="Excel_BuiltIn_Print_Titles_4_1_1" localSheetId="17">'CLI-COMP'!#REF!</definedName>
    <definedName name="Excel_BuiltIn_Print_Titles_4_1_1" localSheetId="18">'EST-COMP'!#REF!</definedName>
    <definedName name="Excel_BuiltIn_Print_Titles_4_1_1" localSheetId="19">'GAS-COMP'!#REF!</definedName>
    <definedName name="Excel_BuiltIn_Print_Titles_4_1_1" localSheetId="21">'HID-COMP'!#REF!</definedName>
    <definedName name="Excel_BuiltIn_Print_Titles_4_1_1" localSheetId="20">'IMPER-COMP'!#REF!</definedName>
    <definedName name="Excel_BuiltIn_Print_Titles_4_1_1" localSheetId="22">'IMPL-COMP'!#REF!</definedName>
    <definedName name="Excel_BuiltIn_Print_Titles_4_1_1" localSheetId="23">'INC-COMP'!#REF!</definedName>
    <definedName name="Excel_BuiltIn_Print_Titles_4_1_1" localSheetId="24">'SCE-COMP'!#REF!</definedName>
    <definedName name="Excel_BuiltIn_Print_Titles_4_1_1" localSheetId="25">'SEG-COMP'!#REF!</definedName>
    <definedName name="Excel_BuiltIn_Print_Titles_4_1_1" localSheetId="26">'SPDA-COMP'!#REF!</definedName>
    <definedName name="Excel_BuiltIn_Print_Titles_4_1_1">#REF!</definedName>
    <definedName name="Excel_BuiltIn_Print_Titles_5" localSheetId="13">'ADM-COMP'!#REF!</definedName>
    <definedName name="Excel_BuiltIn_Print_Titles_5" localSheetId="17">'CLI-COMP'!#REF!</definedName>
    <definedName name="Excel_BuiltIn_Print_Titles_5" localSheetId="18">'EST-COMP'!#REF!</definedName>
    <definedName name="Excel_BuiltIn_Print_Titles_5" localSheetId="19">'GAS-COMP'!#REF!</definedName>
    <definedName name="Excel_BuiltIn_Print_Titles_5" localSheetId="21">'HID-COMP'!#REF!</definedName>
    <definedName name="Excel_BuiltIn_Print_Titles_5" localSheetId="20">'IMPER-COMP'!#REF!</definedName>
    <definedName name="Excel_BuiltIn_Print_Titles_5" localSheetId="22">'IMPL-COMP'!#REF!</definedName>
    <definedName name="Excel_BuiltIn_Print_Titles_5" localSheetId="23">'INC-COMP'!#REF!</definedName>
    <definedName name="Excel_BuiltIn_Print_Titles_5" localSheetId="24">'SCE-COMP'!#REF!</definedName>
    <definedName name="Excel_BuiltIn_Print_Titles_5" localSheetId="25">'SEG-COMP'!#REF!</definedName>
    <definedName name="Excel_BuiltIn_Print_Titles_5" localSheetId="26">'SPDA-COMP'!#REF!</definedName>
    <definedName name="Excel_BuiltIn_Print_Titles_5">#REF!</definedName>
    <definedName name="Excel_BuiltIn_Print_Titles_5_1" localSheetId="13">'ADM-COMP'!#REF!</definedName>
    <definedName name="Excel_BuiltIn_Print_Titles_5_1" localSheetId="17">'CLI-COMP'!#REF!</definedName>
    <definedName name="Excel_BuiltIn_Print_Titles_5_1" localSheetId="18">'EST-COMP'!#REF!</definedName>
    <definedName name="Excel_BuiltIn_Print_Titles_5_1" localSheetId="19">'GAS-COMP'!#REF!</definedName>
    <definedName name="Excel_BuiltIn_Print_Titles_5_1" localSheetId="21">'HID-COMP'!#REF!</definedName>
    <definedName name="Excel_BuiltIn_Print_Titles_5_1" localSheetId="20">'IMPER-COMP'!#REF!</definedName>
    <definedName name="Excel_BuiltIn_Print_Titles_5_1" localSheetId="22">'IMPL-COMP'!#REF!</definedName>
    <definedName name="Excel_BuiltIn_Print_Titles_5_1" localSheetId="23">'INC-COMP'!#REF!</definedName>
    <definedName name="Excel_BuiltIn_Print_Titles_5_1" localSheetId="24">'SCE-COMP'!#REF!</definedName>
    <definedName name="Excel_BuiltIn_Print_Titles_5_1" localSheetId="25">'SEG-COMP'!#REF!</definedName>
    <definedName name="Excel_BuiltIn_Print_Titles_5_1" localSheetId="26">'SPDA-COMP'!#REF!</definedName>
    <definedName name="Excel_BuiltIn_Print_Titles_5_1">#REF!</definedName>
    <definedName name="Excel_BuiltIn_Print_Titles_5_1_1" localSheetId="13">'ADM-COMP'!#REF!</definedName>
    <definedName name="Excel_BuiltIn_Print_Titles_5_1_1" localSheetId="17">'CLI-COMP'!#REF!</definedName>
    <definedName name="Excel_BuiltIn_Print_Titles_5_1_1" localSheetId="18">'EST-COMP'!#REF!</definedName>
    <definedName name="Excel_BuiltIn_Print_Titles_5_1_1" localSheetId="19">'GAS-COMP'!#REF!</definedName>
    <definedName name="Excel_BuiltIn_Print_Titles_5_1_1" localSheetId="21">'HID-COMP'!#REF!</definedName>
    <definedName name="Excel_BuiltIn_Print_Titles_5_1_1" localSheetId="20">'IMPER-COMP'!#REF!</definedName>
    <definedName name="Excel_BuiltIn_Print_Titles_5_1_1" localSheetId="22">'IMPL-COMP'!#REF!</definedName>
    <definedName name="Excel_BuiltIn_Print_Titles_5_1_1" localSheetId="23">'INC-COMP'!#REF!</definedName>
    <definedName name="Excel_BuiltIn_Print_Titles_5_1_1" localSheetId="24">'SCE-COMP'!#REF!</definedName>
    <definedName name="Excel_BuiltIn_Print_Titles_5_1_1" localSheetId="25">'SEG-COMP'!#REF!</definedName>
    <definedName name="Excel_BuiltIn_Print_Titles_5_1_1" localSheetId="26">'SPDA-COMP'!#REF!</definedName>
    <definedName name="Excel_BuiltIn_Print_Titles_5_1_1">#REF!</definedName>
    <definedName name="Excel_BuiltIn_Print_Titles_5_1_1_1" localSheetId="13">'ADM-COMP'!#REF!</definedName>
    <definedName name="Excel_BuiltIn_Print_Titles_5_1_1_1" localSheetId="17">'CLI-COMP'!#REF!</definedName>
    <definedName name="Excel_BuiltIn_Print_Titles_5_1_1_1" localSheetId="18">'EST-COMP'!#REF!</definedName>
    <definedName name="Excel_BuiltIn_Print_Titles_5_1_1_1" localSheetId="19">'GAS-COMP'!#REF!</definedName>
    <definedName name="Excel_BuiltIn_Print_Titles_5_1_1_1" localSheetId="21">'HID-COMP'!#REF!</definedName>
    <definedName name="Excel_BuiltIn_Print_Titles_5_1_1_1" localSheetId="20">'IMPER-COMP'!#REF!</definedName>
    <definedName name="Excel_BuiltIn_Print_Titles_5_1_1_1" localSheetId="22">'IMPL-COMP'!#REF!</definedName>
    <definedName name="Excel_BuiltIn_Print_Titles_5_1_1_1" localSheetId="23">'INC-COMP'!#REF!</definedName>
    <definedName name="Excel_BuiltIn_Print_Titles_5_1_1_1" localSheetId="24">'SCE-COMP'!#REF!</definedName>
    <definedName name="Excel_BuiltIn_Print_Titles_5_1_1_1" localSheetId="25">'SEG-COMP'!#REF!</definedName>
    <definedName name="Excel_BuiltIn_Print_Titles_5_1_1_1" localSheetId="26">'SPDA-COMP'!#REF!</definedName>
    <definedName name="Excel_BuiltIn_Print_Titles_5_1_1_1">#REF!</definedName>
    <definedName name="Excel_BuiltIn_Print_Titles_6" localSheetId="13">'ADM-COMP'!#REF!</definedName>
    <definedName name="Excel_BuiltIn_Print_Titles_6" localSheetId="17">'CLI-COMP'!#REF!</definedName>
    <definedName name="Excel_BuiltIn_Print_Titles_6" localSheetId="18">'EST-COMP'!#REF!</definedName>
    <definedName name="Excel_BuiltIn_Print_Titles_6" localSheetId="19">'GAS-COMP'!#REF!</definedName>
    <definedName name="Excel_BuiltIn_Print_Titles_6" localSheetId="21">'HID-COMP'!#REF!</definedName>
    <definedName name="Excel_BuiltIn_Print_Titles_6" localSheetId="20">'IMPER-COMP'!#REF!</definedName>
    <definedName name="Excel_BuiltIn_Print_Titles_6" localSheetId="22">'IMPL-COMP'!#REF!</definedName>
    <definedName name="Excel_BuiltIn_Print_Titles_6" localSheetId="23">'INC-COMP'!#REF!</definedName>
    <definedName name="Excel_BuiltIn_Print_Titles_6" localSheetId="24">'SCE-COMP'!#REF!</definedName>
    <definedName name="Excel_BuiltIn_Print_Titles_6" localSheetId="25">'SEG-COMP'!#REF!</definedName>
    <definedName name="Excel_BuiltIn_Print_Titles_6" localSheetId="26">'SPDA-COMP'!#REF!</definedName>
    <definedName name="Excel_BuiltIn_Print_Titles_6">#REF!</definedName>
    <definedName name="Excel_BuiltIn_Print_Titles_6_1" localSheetId="13">'ADM-COMP'!#REF!</definedName>
    <definedName name="Excel_BuiltIn_Print_Titles_6_1" localSheetId="17">'CLI-COMP'!#REF!</definedName>
    <definedName name="Excel_BuiltIn_Print_Titles_6_1" localSheetId="18">'EST-COMP'!#REF!</definedName>
    <definedName name="Excel_BuiltIn_Print_Titles_6_1" localSheetId="19">'GAS-COMP'!#REF!</definedName>
    <definedName name="Excel_BuiltIn_Print_Titles_6_1" localSheetId="21">'HID-COMP'!#REF!</definedName>
    <definedName name="Excel_BuiltIn_Print_Titles_6_1" localSheetId="20">'IMPER-COMP'!#REF!</definedName>
    <definedName name="Excel_BuiltIn_Print_Titles_6_1" localSheetId="22">'IMPL-COMP'!#REF!</definedName>
    <definedName name="Excel_BuiltIn_Print_Titles_6_1" localSheetId="23">'INC-COMP'!#REF!</definedName>
    <definedName name="Excel_BuiltIn_Print_Titles_6_1" localSheetId="24">'SCE-COMP'!#REF!</definedName>
    <definedName name="Excel_BuiltIn_Print_Titles_6_1" localSheetId="25">'SEG-COMP'!#REF!</definedName>
    <definedName name="Excel_BuiltIn_Print_Titles_6_1" localSheetId="26">'SPDA-COMP'!#REF!</definedName>
    <definedName name="Excel_BuiltIn_Print_Titles_6_1">#REF!</definedName>
    <definedName name="Excel_BuiltIn_Print_Titles_6_1_1" localSheetId="13">'ADM-COMP'!#REF!</definedName>
    <definedName name="Excel_BuiltIn_Print_Titles_6_1_1" localSheetId="17">'CLI-COMP'!#REF!</definedName>
    <definedName name="Excel_BuiltIn_Print_Titles_6_1_1" localSheetId="18">'EST-COMP'!#REF!</definedName>
    <definedName name="Excel_BuiltIn_Print_Titles_6_1_1" localSheetId="19">'GAS-COMP'!#REF!</definedName>
    <definedName name="Excel_BuiltIn_Print_Titles_6_1_1" localSheetId="21">'HID-COMP'!#REF!</definedName>
    <definedName name="Excel_BuiltIn_Print_Titles_6_1_1" localSheetId="20">'IMPER-COMP'!#REF!</definedName>
    <definedName name="Excel_BuiltIn_Print_Titles_6_1_1" localSheetId="22">'IMPL-COMP'!#REF!</definedName>
    <definedName name="Excel_BuiltIn_Print_Titles_6_1_1" localSheetId="23">'INC-COMP'!#REF!</definedName>
    <definedName name="Excel_BuiltIn_Print_Titles_6_1_1" localSheetId="24">'SCE-COMP'!#REF!</definedName>
    <definedName name="Excel_BuiltIn_Print_Titles_6_1_1" localSheetId="25">'SEG-COMP'!#REF!</definedName>
    <definedName name="Excel_BuiltIn_Print_Titles_6_1_1" localSheetId="26">'SPDA-COMP'!#REF!</definedName>
    <definedName name="Excel_BuiltIn_Print_Titles_6_1_1">#REF!</definedName>
    <definedName name="Excel_BuiltIn_Print_Titles_7" localSheetId="13">'ADM-COMP'!#REF!</definedName>
    <definedName name="Excel_BuiltIn_Print_Titles_7" localSheetId="17">'CLI-COMP'!#REF!</definedName>
    <definedName name="Excel_BuiltIn_Print_Titles_7" localSheetId="18">'EST-COMP'!#REF!</definedName>
    <definedName name="Excel_BuiltIn_Print_Titles_7" localSheetId="19">'GAS-COMP'!#REF!</definedName>
    <definedName name="Excel_BuiltIn_Print_Titles_7" localSheetId="21">'HID-COMP'!#REF!</definedName>
    <definedName name="Excel_BuiltIn_Print_Titles_7" localSheetId="20">'IMPER-COMP'!#REF!</definedName>
    <definedName name="Excel_BuiltIn_Print_Titles_7" localSheetId="22">'IMPL-COMP'!#REF!</definedName>
    <definedName name="Excel_BuiltIn_Print_Titles_7" localSheetId="23">'INC-COMP'!#REF!</definedName>
    <definedName name="Excel_BuiltIn_Print_Titles_7" localSheetId="24">'SCE-COMP'!#REF!</definedName>
    <definedName name="Excel_BuiltIn_Print_Titles_7" localSheetId="25">'SEG-COMP'!#REF!</definedName>
    <definedName name="Excel_BuiltIn_Print_Titles_7" localSheetId="26">'SPDA-COMP'!#REF!</definedName>
    <definedName name="Excel_BuiltIn_Print_Titles_7">#REF!</definedName>
    <definedName name="Excel_BuiltIn_Print_Titles_7_1" localSheetId="13">'ADM-COMP'!#REF!</definedName>
    <definedName name="Excel_BuiltIn_Print_Titles_7_1" localSheetId="17">'CLI-COMP'!#REF!</definedName>
    <definedName name="Excel_BuiltIn_Print_Titles_7_1" localSheetId="18">'EST-COMP'!#REF!</definedName>
    <definedName name="Excel_BuiltIn_Print_Titles_7_1" localSheetId="19">'GAS-COMP'!#REF!</definedName>
    <definedName name="Excel_BuiltIn_Print_Titles_7_1" localSheetId="21">'HID-COMP'!#REF!</definedName>
    <definedName name="Excel_BuiltIn_Print_Titles_7_1" localSheetId="20">'IMPER-COMP'!#REF!</definedName>
    <definedName name="Excel_BuiltIn_Print_Titles_7_1" localSheetId="22">'IMPL-COMP'!#REF!</definedName>
    <definedName name="Excel_BuiltIn_Print_Titles_7_1" localSheetId="23">'INC-COMP'!#REF!</definedName>
    <definedName name="Excel_BuiltIn_Print_Titles_7_1" localSheetId="24">'SCE-COMP'!#REF!</definedName>
    <definedName name="Excel_BuiltIn_Print_Titles_7_1" localSheetId="25">'SEG-COMP'!#REF!</definedName>
    <definedName name="Excel_BuiltIn_Print_Titles_7_1" localSheetId="26">'SPDA-COMP'!#REF!</definedName>
    <definedName name="Excel_BuiltIn_Print_Titles_7_1">#REF!</definedName>
    <definedName name="Excel_BuiltIn_Print_Titles_8" localSheetId="13">'ADM-COMP'!#REF!</definedName>
    <definedName name="Excel_BuiltIn_Print_Titles_8" localSheetId="17">'CLI-COMP'!#REF!</definedName>
    <definedName name="Excel_BuiltIn_Print_Titles_8" localSheetId="18">'EST-COMP'!#REF!</definedName>
    <definedName name="Excel_BuiltIn_Print_Titles_8" localSheetId="19">'GAS-COMP'!#REF!</definedName>
    <definedName name="Excel_BuiltIn_Print_Titles_8" localSheetId="21">'HID-COMP'!#REF!</definedName>
    <definedName name="Excel_BuiltIn_Print_Titles_8" localSheetId="20">'IMPER-COMP'!#REF!</definedName>
    <definedName name="Excel_BuiltIn_Print_Titles_8" localSheetId="22">'IMPL-COMP'!#REF!</definedName>
    <definedName name="Excel_BuiltIn_Print_Titles_8" localSheetId="23">'INC-COMP'!#REF!</definedName>
    <definedName name="Excel_BuiltIn_Print_Titles_8" localSheetId="24">'SCE-COMP'!#REF!</definedName>
    <definedName name="Excel_BuiltIn_Print_Titles_8" localSheetId="25">'SEG-COMP'!#REF!</definedName>
    <definedName name="Excel_BuiltIn_Print_Titles_8" localSheetId="26">'SPDA-COMP'!#REF!</definedName>
    <definedName name="Excel_BuiltIn_Print_Titles_8">#REF!</definedName>
    <definedName name="Excel_BuiltIn_Print_Titles_9" localSheetId="13">'ADM-COMP'!#REF!</definedName>
    <definedName name="Excel_BuiltIn_Print_Titles_9" localSheetId="17">'CLI-COMP'!#REF!</definedName>
    <definedName name="Excel_BuiltIn_Print_Titles_9" localSheetId="18">'EST-COMP'!#REF!</definedName>
    <definedName name="Excel_BuiltIn_Print_Titles_9" localSheetId="19">'GAS-COMP'!#REF!</definedName>
    <definedName name="Excel_BuiltIn_Print_Titles_9" localSheetId="21">'HID-COMP'!#REF!</definedName>
    <definedName name="Excel_BuiltIn_Print_Titles_9" localSheetId="20">'IMPER-COMP'!#REF!</definedName>
    <definedName name="Excel_BuiltIn_Print_Titles_9" localSheetId="22">'IMPL-COMP'!#REF!</definedName>
    <definedName name="Excel_BuiltIn_Print_Titles_9" localSheetId="23">'INC-COMP'!#REF!</definedName>
    <definedName name="Excel_BuiltIn_Print_Titles_9" localSheetId="24">'SCE-COMP'!#REF!</definedName>
    <definedName name="Excel_BuiltIn_Print_Titles_9" localSheetId="25">'SEG-COMP'!#REF!</definedName>
    <definedName name="Excel_BuiltIn_Print_Titles_9" localSheetId="26">'SPDA-COMP'!#REF!</definedName>
    <definedName name="Excel_BuiltIn_Print_Titles_9">#REF!</definedName>
    <definedName name="Excel_BuiltIn_Print_Titles_9_1" localSheetId="13">'ADM-COMP'!#REF!</definedName>
    <definedName name="Excel_BuiltIn_Print_Titles_9_1" localSheetId="17">'CLI-COMP'!#REF!</definedName>
    <definedName name="Excel_BuiltIn_Print_Titles_9_1" localSheetId="18">'EST-COMP'!#REF!</definedName>
    <definedName name="Excel_BuiltIn_Print_Titles_9_1" localSheetId="19">'GAS-COMP'!#REF!</definedName>
    <definedName name="Excel_BuiltIn_Print_Titles_9_1" localSheetId="21">'HID-COMP'!#REF!</definedName>
    <definedName name="Excel_BuiltIn_Print_Titles_9_1" localSheetId="20">'IMPER-COMP'!#REF!</definedName>
    <definedName name="Excel_BuiltIn_Print_Titles_9_1" localSheetId="22">'IMPL-COMP'!#REF!</definedName>
    <definedName name="Excel_BuiltIn_Print_Titles_9_1" localSheetId="23">'INC-COMP'!#REF!</definedName>
    <definedName name="Excel_BuiltIn_Print_Titles_9_1" localSheetId="24">'SCE-COMP'!#REF!</definedName>
    <definedName name="Excel_BuiltIn_Print_Titles_9_1" localSheetId="25">'SEG-COMP'!#REF!</definedName>
    <definedName name="Excel_BuiltIn_Print_Titles_9_1" localSheetId="26">'SPDA-COMP'!#REF!</definedName>
    <definedName name="Excel_BuiltIn_Print_Titles_9_1">#REF!</definedName>
    <definedName name="FAF" localSheetId="13">'ADM-COMP'!#REF!</definedName>
    <definedName name="FAF" localSheetId="17">'CLI-COMP'!#REF!</definedName>
    <definedName name="FAF" localSheetId="18">'EST-COMP'!#REF!</definedName>
    <definedName name="FAF" localSheetId="19">'GAS-COMP'!#REF!</definedName>
    <definedName name="FAF" localSheetId="21">'HID-COMP'!#REF!</definedName>
    <definedName name="FAF" localSheetId="20">'IMPER-COMP'!#REF!</definedName>
    <definedName name="FAF" localSheetId="22">'IMPL-COMP'!#REF!</definedName>
    <definedName name="FAF" localSheetId="23">'INC-COMP'!#REF!</definedName>
    <definedName name="FAF" localSheetId="24">'SCE-COMP'!#REF!</definedName>
    <definedName name="FAF" localSheetId="25">'SEG-COMP'!#REF!</definedName>
    <definedName name="FAF" localSheetId="26">'SPDA-COMP'!#REF!</definedName>
    <definedName name="FAF">#REF!</definedName>
    <definedName name="FAMILIAS" localSheetId="13">'ADM-COMP'!#REF!</definedName>
    <definedName name="FAMILIAS" localSheetId="17">'CLI-COMP'!#REF!</definedName>
    <definedName name="FAMILIAS" localSheetId="18">'EST-COMP'!#REF!</definedName>
    <definedName name="FAMILIAS" localSheetId="19">'GAS-COMP'!#REF!</definedName>
    <definedName name="FAMILIAS" localSheetId="21">'HID-COMP'!#REF!</definedName>
    <definedName name="FAMILIAS" localSheetId="20">'IMPER-COMP'!#REF!</definedName>
    <definedName name="FAMILIAS" localSheetId="22">'IMPL-COMP'!#REF!</definedName>
    <definedName name="FAMILIAS" localSheetId="23">'INC-COMP'!#REF!</definedName>
    <definedName name="FAMILIAS" localSheetId="24">'SCE-COMP'!#REF!</definedName>
    <definedName name="FAMILIAS" localSheetId="25">'SEG-COMP'!#REF!</definedName>
    <definedName name="FAMILIAS" localSheetId="26">'SPDA-COMP'!#REF!</definedName>
    <definedName name="FAMILIAS">#REF!</definedName>
    <definedName name="FDDFASD" localSheetId="13">'ADM-COMP'!#REF!</definedName>
    <definedName name="FDDFASD" localSheetId="17">'CLI-COMP'!#REF!</definedName>
    <definedName name="FDDFASD" localSheetId="18">'EST-COMP'!#REF!</definedName>
    <definedName name="FDDFASD" localSheetId="19">'GAS-COMP'!#REF!</definedName>
    <definedName name="FDDFASD" localSheetId="21">'HID-COMP'!#REF!</definedName>
    <definedName name="FDDFASD" localSheetId="20">'IMPER-COMP'!#REF!</definedName>
    <definedName name="FDDFASD" localSheetId="22">'IMPL-COMP'!#REF!</definedName>
    <definedName name="FDDFASD" localSheetId="23">'INC-COMP'!#REF!</definedName>
    <definedName name="FDDFASD" localSheetId="24">'SCE-COMP'!#REF!</definedName>
    <definedName name="FDDFASD" localSheetId="25">'SEG-COMP'!#REF!</definedName>
    <definedName name="FDDFASD" localSheetId="26">'SPDA-COMP'!#REF!</definedName>
    <definedName name="FDDFASD">#REF!</definedName>
    <definedName name="folha" localSheetId="13">'ADM-COMP'!#REF!</definedName>
    <definedName name="folha" localSheetId="17">'CLI-COMP'!#REF!</definedName>
    <definedName name="folha" localSheetId="18">'EST-COMP'!#REF!</definedName>
    <definedName name="folha" localSheetId="19">'GAS-COMP'!#REF!</definedName>
    <definedName name="folha" localSheetId="21">'HID-COMP'!#REF!</definedName>
    <definedName name="folha" localSheetId="20">'IMPER-COMP'!#REF!</definedName>
    <definedName name="folha" localSheetId="22">'IMPL-COMP'!#REF!</definedName>
    <definedName name="folha" localSheetId="23">'INC-COMP'!#REF!</definedName>
    <definedName name="folha" localSheetId="24">'SCE-COMP'!#REF!</definedName>
    <definedName name="folha" localSheetId="25">'SEG-COMP'!#REF!</definedName>
    <definedName name="folha" localSheetId="26">'SPDA-COMP'!#REF!</definedName>
    <definedName name="folha">#REF!</definedName>
    <definedName name="folhas" localSheetId="13">'ADM-COMP'!#REF!</definedName>
    <definedName name="folhas" localSheetId="17">'CLI-COMP'!#REF!</definedName>
    <definedName name="folhas" localSheetId="18">'EST-COMP'!#REF!</definedName>
    <definedName name="folhas" localSheetId="19">'GAS-COMP'!#REF!</definedName>
    <definedName name="folhas" localSheetId="21">'HID-COMP'!#REF!</definedName>
    <definedName name="folhas" localSheetId="20">'IMPER-COMP'!#REF!</definedName>
    <definedName name="folhas" localSheetId="22">'IMPL-COMP'!#REF!</definedName>
    <definedName name="folhas" localSheetId="23">'INC-COMP'!#REF!</definedName>
    <definedName name="folhas" localSheetId="24">'SCE-COMP'!#REF!</definedName>
    <definedName name="folhas" localSheetId="25">'SEG-COMP'!#REF!</definedName>
    <definedName name="folhas" localSheetId="26">'SPDA-COMP'!#REF!</definedName>
    <definedName name="folhas">#REF!</definedName>
    <definedName name="form01a" localSheetId="13">'ADM-COMP'!#REF!</definedName>
    <definedName name="form01a" localSheetId="17">'CLI-COMP'!#REF!</definedName>
    <definedName name="form01a" localSheetId="18">'EST-COMP'!#REF!</definedName>
    <definedName name="form01a" localSheetId="19">'GAS-COMP'!#REF!</definedName>
    <definedName name="form01a" localSheetId="21">'HID-COMP'!#REF!</definedName>
    <definedName name="form01a" localSheetId="20">'IMPER-COMP'!#REF!</definedName>
    <definedName name="form01a" localSheetId="22">'IMPL-COMP'!#REF!</definedName>
    <definedName name="form01a" localSheetId="23">'INC-COMP'!#REF!</definedName>
    <definedName name="form01a" localSheetId="24">'SCE-COMP'!#REF!</definedName>
    <definedName name="form01a" localSheetId="25">'SEG-COMP'!#REF!</definedName>
    <definedName name="form01a" localSheetId="26">'SPDA-COMP'!#REF!</definedName>
    <definedName name="form01a">#REF!</definedName>
    <definedName name="form01b" localSheetId="13">'ADM-COMP'!#REF!</definedName>
    <definedName name="form01b" localSheetId="17">'CLI-COMP'!#REF!</definedName>
    <definedName name="form01b" localSheetId="18">'EST-COMP'!#REF!</definedName>
    <definedName name="form01b" localSheetId="19">'GAS-COMP'!#REF!</definedName>
    <definedName name="form01b" localSheetId="21">'HID-COMP'!#REF!</definedName>
    <definedName name="form01b" localSheetId="20">'IMPER-COMP'!#REF!</definedName>
    <definedName name="form01b" localSheetId="22">'IMPL-COMP'!#REF!</definedName>
    <definedName name="form01b" localSheetId="23">'INC-COMP'!#REF!</definedName>
    <definedName name="form01b" localSheetId="24">'SCE-COMP'!#REF!</definedName>
    <definedName name="form01b" localSheetId="25">'SEG-COMP'!#REF!</definedName>
    <definedName name="form01b" localSheetId="26">'SPDA-COMP'!#REF!</definedName>
    <definedName name="form01b">#REF!</definedName>
    <definedName name="gasdfsdfase" localSheetId="13">'ADM-COMP'!#REF!</definedName>
    <definedName name="gasdfsdfase" localSheetId="17">'CLI-COMP'!#REF!</definedName>
    <definedName name="gasdfsdfase" localSheetId="18">'EST-COMP'!#REF!</definedName>
    <definedName name="gasdfsdfase" localSheetId="19">'GAS-COMP'!#REF!</definedName>
    <definedName name="gasdfsdfase" localSheetId="21">'HID-COMP'!#REF!</definedName>
    <definedName name="gasdfsdfase" localSheetId="20">'IMPER-COMP'!#REF!</definedName>
    <definedName name="gasdfsdfase" localSheetId="22">'IMPL-COMP'!#REF!</definedName>
    <definedName name="gasdfsdfase" localSheetId="23">'INC-COMP'!#REF!</definedName>
    <definedName name="gasdfsdfase" localSheetId="24">'SCE-COMP'!#REF!</definedName>
    <definedName name="gasdfsdfase" localSheetId="25">'SEG-COMP'!#REF!</definedName>
    <definedName name="gasdfsdfase" localSheetId="26">'SPDA-COMP'!#REF!</definedName>
    <definedName name="gasdfsdfase">#REF!</definedName>
    <definedName name="gfhfgh" localSheetId="13">'ADM-COMP'!#REF!</definedName>
    <definedName name="gfhfgh" localSheetId="17">'CLI-COMP'!#REF!</definedName>
    <definedName name="gfhfgh" localSheetId="18">'EST-COMP'!#REF!</definedName>
    <definedName name="gfhfgh" localSheetId="19">'GAS-COMP'!#REF!</definedName>
    <definedName name="gfhfgh" localSheetId="21">'HID-COMP'!#REF!</definedName>
    <definedName name="gfhfgh" localSheetId="20">'IMPER-COMP'!#REF!</definedName>
    <definedName name="gfhfgh" localSheetId="22">'IMPL-COMP'!#REF!</definedName>
    <definedName name="gfhfgh" localSheetId="23">'INC-COMP'!#REF!</definedName>
    <definedName name="gfhfgh" localSheetId="24">'SCE-COMP'!#REF!</definedName>
    <definedName name="gfhfgh" localSheetId="25">'SEG-COMP'!#REF!</definedName>
    <definedName name="gfhfgh" localSheetId="26">'SPDA-COMP'!#REF!</definedName>
    <definedName name="gfhfgh">#REF!</definedName>
    <definedName name="gfhfgh___6" localSheetId="13">'ADM-COMP'!#REF!</definedName>
    <definedName name="gfhfgh___6" localSheetId="17">'CLI-COMP'!#REF!</definedName>
    <definedName name="gfhfgh___6" localSheetId="18">'EST-COMP'!#REF!</definedName>
    <definedName name="gfhfgh___6" localSheetId="19">'GAS-COMP'!#REF!</definedName>
    <definedName name="gfhfgh___6" localSheetId="21">'HID-COMP'!#REF!</definedName>
    <definedName name="gfhfgh___6" localSheetId="20">'IMPER-COMP'!#REF!</definedName>
    <definedName name="gfhfgh___6" localSheetId="22">'IMPL-COMP'!#REF!</definedName>
    <definedName name="gfhfgh___6" localSheetId="23">'INC-COMP'!#REF!</definedName>
    <definedName name="gfhfgh___6" localSheetId="24">'SCE-COMP'!#REF!</definedName>
    <definedName name="gfhfgh___6" localSheetId="25">'SEG-COMP'!#REF!</definedName>
    <definedName name="gfhfgh___6" localSheetId="26">'SPDA-COMP'!#REF!</definedName>
    <definedName name="gfhfgh___6">#REF!</definedName>
    <definedName name="gfhfgh___6_1" localSheetId="13">'ADM-COMP'!#REF!</definedName>
    <definedName name="gfhfgh___6_1" localSheetId="17">'CLI-COMP'!#REF!</definedName>
    <definedName name="gfhfgh___6_1" localSheetId="18">'EST-COMP'!#REF!</definedName>
    <definedName name="gfhfgh___6_1" localSheetId="19">'GAS-COMP'!#REF!</definedName>
    <definedName name="gfhfgh___6_1" localSheetId="21">'HID-COMP'!#REF!</definedName>
    <definedName name="gfhfgh___6_1" localSheetId="20">'IMPER-COMP'!#REF!</definedName>
    <definedName name="gfhfgh___6_1" localSheetId="22">'IMPL-COMP'!#REF!</definedName>
    <definedName name="gfhfgh___6_1" localSheetId="23">'INC-COMP'!#REF!</definedName>
    <definedName name="gfhfgh___6_1" localSheetId="24">'SCE-COMP'!#REF!</definedName>
    <definedName name="gfhfgh___6_1" localSheetId="25">'SEG-COMP'!#REF!</definedName>
    <definedName name="gfhfgh___6_1" localSheetId="26">'SPDA-COMP'!#REF!</definedName>
    <definedName name="gfhfgh___6_1">#REF!</definedName>
    <definedName name="gfhfgh___6_1_1" localSheetId="13">'ADM-COMP'!#REF!</definedName>
    <definedName name="gfhfgh___6_1_1" localSheetId="17">'CLI-COMP'!#REF!</definedName>
    <definedName name="gfhfgh___6_1_1" localSheetId="18">'EST-COMP'!#REF!</definedName>
    <definedName name="gfhfgh___6_1_1" localSheetId="19">'GAS-COMP'!#REF!</definedName>
    <definedName name="gfhfgh___6_1_1" localSheetId="21">'HID-COMP'!#REF!</definedName>
    <definedName name="gfhfgh___6_1_1" localSheetId="20">'IMPER-COMP'!#REF!</definedName>
    <definedName name="gfhfgh___6_1_1" localSheetId="22">'IMPL-COMP'!#REF!</definedName>
    <definedName name="gfhfgh___6_1_1" localSheetId="23">'INC-COMP'!#REF!</definedName>
    <definedName name="gfhfgh___6_1_1" localSheetId="24">'SCE-COMP'!#REF!</definedName>
    <definedName name="gfhfgh___6_1_1" localSheetId="25">'SEG-COMP'!#REF!</definedName>
    <definedName name="gfhfgh___6_1_1" localSheetId="26">'SPDA-COMP'!#REF!</definedName>
    <definedName name="gfhfgh___6_1_1">#REF!</definedName>
    <definedName name="gfhfgh_1" localSheetId="13">'ADM-COMP'!#REF!</definedName>
    <definedName name="gfhfgh_1" localSheetId="17">'CLI-COMP'!#REF!</definedName>
    <definedName name="gfhfgh_1" localSheetId="18">'EST-COMP'!#REF!</definedName>
    <definedName name="gfhfgh_1" localSheetId="19">'GAS-COMP'!#REF!</definedName>
    <definedName name="gfhfgh_1" localSheetId="21">'HID-COMP'!#REF!</definedName>
    <definedName name="gfhfgh_1" localSheetId="20">'IMPER-COMP'!#REF!</definedName>
    <definedName name="gfhfgh_1" localSheetId="22">'IMPL-COMP'!#REF!</definedName>
    <definedName name="gfhfgh_1" localSheetId="23">'INC-COMP'!#REF!</definedName>
    <definedName name="gfhfgh_1" localSheetId="24">'SCE-COMP'!#REF!</definedName>
    <definedName name="gfhfgh_1" localSheetId="25">'SEG-COMP'!#REF!</definedName>
    <definedName name="gfhfgh_1" localSheetId="26">'SPDA-COMP'!#REF!</definedName>
    <definedName name="gfhfgh_1">#REF!</definedName>
    <definedName name="gfhfgh_1_1" localSheetId="13">'ADM-COMP'!#REF!</definedName>
    <definedName name="gfhfgh_1_1" localSheetId="17">'CLI-COMP'!#REF!</definedName>
    <definedName name="gfhfgh_1_1" localSheetId="18">'EST-COMP'!#REF!</definedName>
    <definedName name="gfhfgh_1_1" localSheetId="19">'GAS-COMP'!#REF!</definedName>
    <definedName name="gfhfgh_1_1" localSheetId="21">'HID-COMP'!#REF!</definedName>
    <definedName name="gfhfgh_1_1" localSheetId="20">'IMPER-COMP'!#REF!</definedName>
    <definedName name="gfhfgh_1_1" localSheetId="22">'IMPL-COMP'!#REF!</definedName>
    <definedName name="gfhfgh_1_1" localSheetId="23">'INC-COMP'!#REF!</definedName>
    <definedName name="gfhfgh_1_1" localSheetId="24">'SCE-COMP'!#REF!</definedName>
    <definedName name="gfhfgh_1_1" localSheetId="25">'SEG-COMP'!#REF!</definedName>
    <definedName name="gfhfgh_1_1" localSheetId="26">'SPDA-COMP'!#REF!</definedName>
    <definedName name="gfhfgh_1_1">#REF!</definedName>
    <definedName name="GGGG" localSheetId="13">'ADM-COMP'!#REF!</definedName>
    <definedName name="GGGG" localSheetId="17">'CLI-COMP'!#REF!</definedName>
    <definedName name="GGGG" localSheetId="18">'EST-COMP'!#REF!</definedName>
    <definedName name="GGGG" localSheetId="19">'GAS-COMP'!#REF!</definedName>
    <definedName name="GGGG" localSheetId="21">'HID-COMP'!#REF!</definedName>
    <definedName name="GGGG" localSheetId="20">'IMPER-COMP'!#REF!</definedName>
    <definedName name="GGGG" localSheetId="22">'IMPL-COMP'!#REF!</definedName>
    <definedName name="GGGG" localSheetId="23">'INC-COMP'!#REF!</definedName>
    <definedName name="GGGG" localSheetId="24">'SCE-COMP'!#REF!</definedName>
    <definedName name="GGGG" localSheetId="25">'SEG-COMP'!#REF!</definedName>
    <definedName name="GGGG" localSheetId="26">'SPDA-COMP'!#REF!</definedName>
    <definedName name="GGGG">#REF!</definedName>
    <definedName name="hjjhj" localSheetId="13">'ADM-COMP'!#REF!</definedName>
    <definedName name="hjjhj" localSheetId="17">'CLI-COMP'!#REF!</definedName>
    <definedName name="hjjhj" localSheetId="18">'EST-COMP'!#REF!</definedName>
    <definedName name="hjjhj" localSheetId="19">'GAS-COMP'!#REF!</definedName>
    <definedName name="hjjhj" localSheetId="21">'HID-COMP'!#REF!</definedName>
    <definedName name="hjjhj" localSheetId="20">'IMPER-COMP'!#REF!</definedName>
    <definedName name="hjjhj" localSheetId="22">'IMPL-COMP'!#REF!</definedName>
    <definedName name="hjjhj" localSheetId="23">'INC-COMP'!#REF!</definedName>
    <definedName name="hjjhj" localSheetId="24">'SCE-COMP'!#REF!</definedName>
    <definedName name="hjjhj" localSheetId="25">'SEG-COMP'!#REF!</definedName>
    <definedName name="hjjhj" localSheetId="26">'SPDA-COMP'!#REF!</definedName>
    <definedName name="hjjhj">#REF!</definedName>
    <definedName name="hjjhj_1" localSheetId="13">'ADM-COMP'!#REF!</definedName>
    <definedName name="hjjhj_1" localSheetId="17">'CLI-COMP'!#REF!</definedName>
    <definedName name="hjjhj_1" localSheetId="18">'EST-COMP'!#REF!</definedName>
    <definedName name="hjjhj_1" localSheetId="19">'GAS-COMP'!#REF!</definedName>
    <definedName name="hjjhj_1" localSheetId="21">'HID-COMP'!#REF!</definedName>
    <definedName name="hjjhj_1" localSheetId="20">'IMPER-COMP'!#REF!</definedName>
    <definedName name="hjjhj_1" localSheetId="22">'IMPL-COMP'!#REF!</definedName>
    <definedName name="hjjhj_1" localSheetId="23">'INC-COMP'!#REF!</definedName>
    <definedName name="hjjhj_1" localSheetId="24">'SCE-COMP'!#REF!</definedName>
    <definedName name="hjjhj_1" localSheetId="25">'SEG-COMP'!#REF!</definedName>
    <definedName name="hjjhj_1" localSheetId="26">'SPDA-COMP'!#REF!</definedName>
    <definedName name="hjjhj_1">#REF!</definedName>
    <definedName name="hjjhj_1_1" localSheetId="13">'ADM-COMP'!#REF!</definedName>
    <definedName name="hjjhj_1_1" localSheetId="17">'CLI-COMP'!#REF!</definedName>
    <definedName name="hjjhj_1_1" localSheetId="18">'EST-COMP'!#REF!</definedName>
    <definedName name="hjjhj_1_1" localSheetId="19">'GAS-COMP'!#REF!</definedName>
    <definedName name="hjjhj_1_1" localSheetId="21">'HID-COMP'!#REF!</definedName>
    <definedName name="hjjhj_1_1" localSheetId="20">'IMPER-COMP'!#REF!</definedName>
    <definedName name="hjjhj_1_1" localSheetId="22">'IMPL-COMP'!#REF!</definedName>
    <definedName name="hjjhj_1_1" localSheetId="23">'INC-COMP'!#REF!</definedName>
    <definedName name="hjjhj_1_1" localSheetId="24">'SCE-COMP'!#REF!</definedName>
    <definedName name="hjjhj_1_1" localSheetId="25">'SEG-COMP'!#REF!</definedName>
    <definedName name="hjjhj_1_1" localSheetId="26">'SPDA-COMP'!#REF!</definedName>
    <definedName name="hjjhj_1_1">#REF!</definedName>
    <definedName name="Import.CR">[5]Dados!$G$8</definedName>
    <definedName name="Import.Município">[5]Dados!$G$7</definedName>
    <definedName name="Import.Proponente">[5]Dados!$G$6</definedName>
    <definedName name="IOPESJUN09">[6]Plan1!$A$2:$D$1193</definedName>
    <definedName name="ITEM" localSheetId="15">[7]Plan1!$E$3:$E$5</definedName>
    <definedName name="ITEM" localSheetId="2">[8]Plan1!$E$3:$E$5</definedName>
    <definedName name="ITEM">[7]Plan1!$E$3:$E$5</definedName>
    <definedName name="JOBINFO" localSheetId="13">'ADM-COMP'!#REF!</definedName>
    <definedName name="JOBINFO" localSheetId="17">'CLI-COMP'!#REF!</definedName>
    <definedName name="JOBINFO" localSheetId="18">'EST-COMP'!#REF!</definedName>
    <definedName name="JOBINFO" localSheetId="19">'GAS-COMP'!#REF!</definedName>
    <definedName name="JOBINFO" localSheetId="21">'HID-COMP'!#REF!</definedName>
    <definedName name="JOBINFO" localSheetId="20">'IMPER-COMP'!#REF!</definedName>
    <definedName name="JOBINFO" localSheetId="22">'IMPL-COMP'!#REF!</definedName>
    <definedName name="JOBINFO" localSheetId="23">'INC-COMP'!#REF!</definedName>
    <definedName name="JOBINFO" localSheetId="24">'SCE-COMP'!#REF!</definedName>
    <definedName name="JOBINFO" localSheetId="25">'SEG-COMP'!#REF!</definedName>
    <definedName name="JOBINFO" localSheetId="26">'SPDA-COMP'!#REF!</definedName>
    <definedName name="JOBINFO">#REF!</definedName>
    <definedName name="JUR" localSheetId="13">'ADM-COMP'!#REF!</definedName>
    <definedName name="JUR" localSheetId="17">'CLI-COMP'!#REF!</definedName>
    <definedName name="JUR" localSheetId="18">'EST-COMP'!#REF!</definedName>
    <definedName name="JUR" localSheetId="19">'GAS-COMP'!#REF!</definedName>
    <definedName name="JUR" localSheetId="21">'HID-COMP'!#REF!</definedName>
    <definedName name="JUR" localSheetId="20">'IMPER-COMP'!#REF!</definedName>
    <definedName name="JUR" localSheetId="22">'IMPL-COMP'!#REF!</definedName>
    <definedName name="JUR" localSheetId="23">'INC-COMP'!#REF!</definedName>
    <definedName name="JUR" localSheetId="24">'SCE-COMP'!#REF!</definedName>
    <definedName name="JUR" localSheetId="25">'SEG-COMP'!#REF!</definedName>
    <definedName name="JUR" localSheetId="26">'SPDA-COMP'!#REF!</definedName>
    <definedName name="JUR">#REF!</definedName>
    <definedName name="LL" localSheetId="13">'ADM-COMP'!#REF!</definedName>
    <definedName name="LL" localSheetId="17">'CLI-COMP'!#REF!</definedName>
    <definedName name="LL" localSheetId="18">'EST-COMP'!#REF!</definedName>
    <definedName name="LL" localSheetId="19">'GAS-COMP'!#REF!</definedName>
    <definedName name="LL" localSheetId="21">'HID-COMP'!#REF!</definedName>
    <definedName name="LL" localSheetId="20">'IMPER-COMP'!#REF!</definedName>
    <definedName name="LL" localSheetId="22">'IMPL-COMP'!#REF!</definedName>
    <definedName name="LL" localSheetId="23">'INC-COMP'!#REF!</definedName>
    <definedName name="LL" localSheetId="24">'SCE-COMP'!#REF!</definedName>
    <definedName name="LL" localSheetId="25">'SEG-COMP'!#REF!</definedName>
    <definedName name="LL" localSheetId="26">'SPDA-COMP'!#REF!</definedName>
    <definedName name="LL">#REF!</definedName>
    <definedName name="LL_1" localSheetId="13">'ADM-COMP'!#REF!</definedName>
    <definedName name="LL_1" localSheetId="17">'CLI-COMP'!#REF!</definedName>
    <definedName name="LL_1" localSheetId="18">'EST-COMP'!#REF!</definedName>
    <definedName name="LL_1" localSheetId="19">'GAS-COMP'!#REF!</definedName>
    <definedName name="LL_1" localSheetId="21">'HID-COMP'!#REF!</definedName>
    <definedName name="LL_1" localSheetId="20">'IMPER-COMP'!#REF!</definedName>
    <definedName name="LL_1" localSheetId="22">'IMPL-COMP'!#REF!</definedName>
    <definedName name="LL_1" localSheetId="23">'INC-COMP'!#REF!</definedName>
    <definedName name="LL_1" localSheetId="24">'SCE-COMP'!#REF!</definedName>
    <definedName name="LL_1" localSheetId="25">'SEG-COMP'!#REF!</definedName>
    <definedName name="LL_1" localSheetId="26">'SPDA-COMP'!#REF!</definedName>
    <definedName name="LL_1">#REF!</definedName>
    <definedName name="LL_1_1" localSheetId="13">'ADM-COMP'!#REF!</definedName>
    <definedName name="LL_1_1" localSheetId="17">'CLI-COMP'!#REF!</definedName>
    <definedName name="LL_1_1" localSheetId="18">'EST-COMP'!#REF!</definedName>
    <definedName name="LL_1_1" localSheetId="19">'GAS-COMP'!#REF!</definedName>
    <definedName name="LL_1_1" localSheetId="21">'HID-COMP'!#REF!</definedName>
    <definedName name="LL_1_1" localSheetId="20">'IMPER-COMP'!#REF!</definedName>
    <definedName name="LL_1_1" localSheetId="22">'IMPL-COMP'!#REF!</definedName>
    <definedName name="LL_1_1" localSheetId="23">'INC-COMP'!#REF!</definedName>
    <definedName name="LL_1_1" localSheetId="24">'SCE-COMP'!#REF!</definedName>
    <definedName name="LL_1_1" localSheetId="25">'SEG-COMP'!#REF!</definedName>
    <definedName name="LL_1_1" localSheetId="26">'SPDA-COMP'!#REF!</definedName>
    <definedName name="LL_1_1">#REF!</definedName>
    <definedName name="MmExcelLinker_CBF3F7D5_5F0E_4EA5_B59F_34028F0F12D2" localSheetId="15">[9]ADMI_25.01!$G$48:$G$48</definedName>
    <definedName name="MmExcelLinker_CBF3F7D5_5F0E_4EA5_B59F_34028F0F12D2" localSheetId="2">[10]ADMI_25.01!$G$48:$G$48</definedName>
    <definedName name="MmExcelLinker_CBF3F7D5_5F0E_4EA5_B59F_34028F0F12D2">[9]ADMI_25.01!$G$48:$G$48</definedName>
    <definedName name="mmmmmm" localSheetId="13">'ADM-COMP'!#REF!</definedName>
    <definedName name="mmmmmm" localSheetId="17">'CLI-COMP'!#REF!</definedName>
    <definedName name="mmmmmm" localSheetId="18">'EST-COMP'!#REF!</definedName>
    <definedName name="mmmmmm" localSheetId="19">'GAS-COMP'!#REF!</definedName>
    <definedName name="mmmmmm" localSheetId="21">'HID-COMP'!#REF!</definedName>
    <definedName name="mmmmmm" localSheetId="20">'IMPER-COMP'!#REF!</definedName>
    <definedName name="mmmmmm" localSheetId="22">'IMPL-COMP'!#REF!</definedName>
    <definedName name="mmmmmm" localSheetId="23">'INC-COMP'!#REF!</definedName>
    <definedName name="mmmmmm" localSheetId="24">'SCE-COMP'!#REF!</definedName>
    <definedName name="mmmmmm" localSheetId="25">'SEG-COMP'!#REF!</definedName>
    <definedName name="mmmmmm" localSheetId="26">'SPDA-COMP'!#REF!</definedName>
    <definedName name="mmmmmm">#REF!</definedName>
    <definedName name="numcond1" localSheetId="13">'ADM-COMP'!#REF!</definedName>
    <definedName name="numcond1" localSheetId="17">'CLI-COMP'!#REF!</definedName>
    <definedName name="numcond1" localSheetId="18">'EST-COMP'!#REF!</definedName>
    <definedName name="numcond1" localSheetId="19">'GAS-COMP'!#REF!</definedName>
    <definedName name="numcond1" localSheetId="21">'HID-COMP'!#REF!</definedName>
    <definedName name="numcond1" localSheetId="20">'IMPER-COMP'!#REF!</definedName>
    <definedName name="numcond1" localSheetId="22">'IMPL-COMP'!#REF!</definedName>
    <definedName name="numcond1" localSheetId="23">'INC-COMP'!#REF!</definedName>
    <definedName name="numcond1" localSheetId="24">'SCE-COMP'!#REF!</definedName>
    <definedName name="numcond1" localSheetId="25">'SEG-COMP'!#REF!</definedName>
    <definedName name="numcond1" localSheetId="26">'SPDA-COMP'!#REF!</definedName>
    <definedName name="numcond1">#REF!</definedName>
    <definedName name="numcond3" localSheetId="13">'ADM-COMP'!#REF!</definedName>
    <definedName name="numcond3" localSheetId="17">'CLI-COMP'!#REF!</definedName>
    <definedName name="numcond3" localSheetId="18">'EST-COMP'!#REF!</definedName>
    <definedName name="numcond3" localSheetId="19">'GAS-COMP'!#REF!</definedName>
    <definedName name="numcond3" localSheetId="21">'HID-COMP'!#REF!</definedName>
    <definedName name="numcond3" localSheetId="20">'IMPER-COMP'!#REF!</definedName>
    <definedName name="numcond3" localSheetId="22">'IMPL-COMP'!#REF!</definedName>
    <definedName name="numcond3" localSheetId="23">'INC-COMP'!#REF!</definedName>
    <definedName name="numcond3" localSheetId="24">'SCE-COMP'!#REF!</definedName>
    <definedName name="numcond3" localSheetId="25">'SEG-COMP'!#REF!</definedName>
    <definedName name="numcond3" localSheetId="26">'SPDA-COMP'!#REF!</definedName>
    <definedName name="numcond3">#REF!</definedName>
    <definedName name="Pfim0" localSheetId="13">'ADM-COMP'!#REF!</definedName>
    <definedName name="Pfim0" localSheetId="17">'CLI-COMP'!#REF!</definedName>
    <definedName name="Pfim0" localSheetId="18">'EST-COMP'!#REF!</definedName>
    <definedName name="Pfim0" localSheetId="19">'GAS-COMP'!#REF!</definedName>
    <definedName name="Pfim0" localSheetId="21">'HID-COMP'!#REF!</definedName>
    <definedName name="Pfim0" localSheetId="20">'IMPER-COMP'!#REF!</definedName>
    <definedName name="Pfim0" localSheetId="22">'IMPL-COMP'!#REF!</definedName>
    <definedName name="Pfim0" localSheetId="23">'INC-COMP'!#REF!</definedName>
    <definedName name="Pfim0" localSheetId="24">'SCE-COMP'!#REF!</definedName>
    <definedName name="Pfim0" localSheetId="25">'SEG-COMP'!#REF!</definedName>
    <definedName name="Pfim0" localSheetId="26">'SPDA-COMP'!#REF!</definedName>
    <definedName name="Pfim0">#REF!</definedName>
    <definedName name="Pfim0a" localSheetId="13">'ADM-COMP'!#REF!</definedName>
    <definedName name="Pfim0a" localSheetId="17">'CLI-COMP'!#REF!</definedName>
    <definedName name="Pfim0a" localSheetId="18">'EST-COMP'!#REF!</definedName>
    <definedName name="Pfim0a" localSheetId="19">'GAS-COMP'!#REF!</definedName>
    <definedName name="Pfim0a" localSheetId="21">'HID-COMP'!#REF!</definedName>
    <definedName name="Pfim0a" localSheetId="20">'IMPER-COMP'!#REF!</definedName>
    <definedName name="Pfim0a" localSheetId="22">'IMPL-COMP'!#REF!</definedName>
    <definedName name="Pfim0a" localSheetId="23">'INC-COMP'!#REF!</definedName>
    <definedName name="Pfim0a" localSheetId="24">'SCE-COMP'!#REF!</definedName>
    <definedName name="Pfim0a" localSheetId="25">'SEG-COMP'!#REF!</definedName>
    <definedName name="Pfim0a" localSheetId="26">'SPDA-COMP'!#REF!</definedName>
    <definedName name="Pfim0a">#REF!</definedName>
    <definedName name="Pfim1" localSheetId="13">'ADM-COMP'!#REF!</definedName>
    <definedName name="Pfim1" localSheetId="17">'CLI-COMP'!#REF!</definedName>
    <definedName name="Pfim1" localSheetId="18">'EST-COMP'!#REF!</definedName>
    <definedName name="Pfim1" localSheetId="19">'GAS-COMP'!#REF!</definedName>
    <definedName name="Pfim1" localSheetId="21">'HID-COMP'!#REF!</definedName>
    <definedName name="Pfim1" localSheetId="20">'IMPER-COMP'!#REF!</definedName>
    <definedName name="Pfim1" localSheetId="22">'IMPL-COMP'!#REF!</definedName>
    <definedName name="Pfim1" localSheetId="23">'INC-COMP'!#REF!</definedName>
    <definedName name="Pfim1" localSheetId="24">'SCE-COMP'!#REF!</definedName>
    <definedName name="Pfim1" localSheetId="25">'SEG-COMP'!#REF!</definedName>
    <definedName name="Pfim1" localSheetId="26">'SPDA-COMP'!#REF!</definedName>
    <definedName name="Pfim1">#REF!</definedName>
    <definedName name="Popular" hidden="1">{#N/A,#N/A,FALSE,"Cronograma";#N/A,#N/A,FALSE,"Cronogr. 2"}</definedName>
    <definedName name="Print_Area_MI" localSheetId="13">'ADM-COMP'!#REF!</definedName>
    <definedName name="Print_Area_MI" localSheetId="17">'CLI-COMP'!#REF!</definedName>
    <definedName name="Print_Area_MI" localSheetId="18">'EST-COMP'!#REF!</definedName>
    <definedName name="Print_Area_MI" localSheetId="19">'GAS-COMP'!#REF!</definedName>
    <definedName name="Print_Area_MI" localSheetId="21">'HID-COMP'!#REF!</definedName>
    <definedName name="Print_Area_MI" localSheetId="20">'IMPER-COMP'!#REF!</definedName>
    <definedName name="Print_Area_MI" localSheetId="22">'IMPL-COMP'!#REF!</definedName>
    <definedName name="Print_Area_MI" localSheetId="23">'INC-COMP'!#REF!</definedName>
    <definedName name="Print_Area_MI" localSheetId="24">'SCE-COMP'!#REF!</definedName>
    <definedName name="Print_Area_MI" localSheetId="25">'SEG-COMP'!#REF!</definedName>
    <definedName name="Print_Area_MI" localSheetId="26">'SPDA-COMP'!#REF!</definedName>
    <definedName name="Print_Area_MI">#REF!</definedName>
    <definedName name="Print_Titles_MI" localSheetId="13">'ADM-COMP'!#REF!</definedName>
    <definedName name="Print_Titles_MI" localSheetId="17">'CLI-COMP'!#REF!</definedName>
    <definedName name="Print_Titles_MI" localSheetId="18">'EST-COMP'!#REF!</definedName>
    <definedName name="Print_Titles_MI" localSheetId="19">'GAS-COMP'!#REF!</definedName>
    <definedName name="Print_Titles_MI" localSheetId="21">'HID-COMP'!#REF!</definedName>
    <definedName name="Print_Titles_MI" localSheetId="20">'IMPER-COMP'!#REF!</definedName>
    <definedName name="Print_Titles_MI" localSheetId="22">'IMPL-COMP'!#REF!</definedName>
    <definedName name="Print_Titles_MI" localSheetId="23">'INC-COMP'!#REF!</definedName>
    <definedName name="Print_Titles_MI" localSheetId="24">'SCE-COMP'!#REF!</definedName>
    <definedName name="Print_Titles_MI" localSheetId="25">'SEG-COMP'!#REF!</definedName>
    <definedName name="Print_Titles_MI" localSheetId="26">'SPDA-COMP'!#REF!</definedName>
    <definedName name="Print_Titles_MI">#REF!</definedName>
    <definedName name="Rev" localSheetId="13">'ADM-COMP'!#REF!</definedName>
    <definedName name="Rev" localSheetId="17">'CLI-COMP'!#REF!</definedName>
    <definedName name="Rev" localSheetId="18">'EST-COMP'!#REF!</definedName>
    <definedName name="Rev" localSheetId="19">'GAS-COMP'!#REF!</definedName>
    <definedName name="Rev" localSheetId="21">'HID-COMP'!#REF!</definedName>
    <definedName name="Rev" localSheetId="20">'IMPER-COMP'!#REF!</definedName>
    <definedName name="Rev" localSheetId="22">'IMPL-COMP'!#REF!</definedName>
    <definedName name="Rev" localSheetId="23">'INC-COMP'!#REF!</definedName>
    <definedName name="Rev" localSheetId="24">'SCE-COMP'!#REF!</definedName>
    <definedName name="Rev" localSheetId="25">'SEG-COMP'!#REF!</definedName>
    <definedName name="Rev" localSheetId="26">'SPDA-COMP'!#REF!</definedName>
    <definedName name="Rev">#REF!</definedName>
    <definedName name="rio" hidden="1">{#N/A,#N/A,FALSE,"Cronograma";#N/A,#N/A,FALSE,"Cronogr. 2"}</definedName>
    <definedName name="RRRR" localSheetId="13">'ADM-COMP'!#REF!</definedName>
    <definedName name="RRRR" localSheetId="17">'CLI-COMP'!#REF!</definedName>
    <definedName name="RRRR" localSheetId="18">'EST-COMP'!#REF!</definedName>
    <definedName name="RRRR" localSheetId="19">'GAS-COMP'!#REF!</definedName>
    <definedName name="RRRR" localSheetId="21">'HID-COMP'!#REF!</definedName>
    <definedName name="RRRR" localSheetId="20">'IMPER-COMP'!#REF!</definedName>
    <definedName name="RRRR" localSheetId="22">'IMPL-COMP'!#REF!</definedName>
    <definedName name="RRRR" localSheetId="23">'INC-COMP'!#REF!</definedName>
    <definedName name="RRRR" localSheetId="24">'SCE-COMP'!#REF!</definedName>
    <definedName name="RRRR" localSheetId="25">'SEG-COMP'!#REF!</definedName>
    <definedName name="RRRR" localSheetId="26">'SPDA-COMP'!#REF!</definedName>
    <definedName name="RRRR">#REF!</definedName>
    <definedName name="S" localSheetId="13">'ADM-COMP'!#REF!</definedName>
    <definedName name="S" localSheetId="17">'CLI-COMP'!#REF!</definedName>
    <definedName name="S" localSheetId="18">'EST-COMP'!#REF!</definedName>
    <definedName name="S" localSheetId="19">'GAS-COMP'!#REF!</definedName>
    <definedName name="S" localSheetId="21">'HID-COMP'!#REF!</definedName>
    <definedName name="S" localSheetId="20">'IMPER-COMP'!#REF!</definedName>
    <definedName name="S" localSheetId="22">'IMPL-COMP'!#REF!</definedName>
    <definedName name="S" localSheetId="23">'INC-COMP'!#REF!</definedName>
    <definedName name="S" localSheetId="24">'SCE-COMP'!#REF!</definedName>
    <definedName name="S" localSheetId="25">'SEG-COMP'!#REF!</definedName>
    <definedName name="S" localSheetId="26">'SPDA-COMP'!#REF!</definedName>
    <definedName name="S">#REF!</definedName>
    <definedName name="sd" localSheetId="13">'ADM-COMP'!#REF!</definedName>
    <definedName name="sd" localSheetId="17">'CLI-COMP'!#REF!</definedName>
    <definedName name="sd" localSheetId="18">'EST-COMP'!#REF!</definedName>
    <definedName name="sd" localSheetId="19">'GAS-COMP'!#REF!</definedName>
    <definedName name="sd" localSheetId="21">'HID-COMP'!#REF!</definedName>
    <definedName name="sd" localSheetId="20">'IMPER-COMP'!#REF!</definedName>
    <definedName name="sd" localSheetId="22">'IMPL-COMP'!#REF!</definedName>
    <definedName name="sd" localSheetId="23">'INC-COMP'!#REF!</definedName>
    <definedName name="sd" localSheetId="24">'SCE-COMP'!#REF!</definedName>
    <definedName name="sd" localSheetId="25">'SEG-COMP'!#REF!</definedName>
    <definedName name="sd" localSheetId="26">'SPDA-COMP'!#REF!</definedName>
    <definedName name="sd">#REF!</definedName>
    <definedName name="SDF" localSheetId="13">'ADM-COMP'!#REF!</definedName>
    <definedName name="SDF" localSheetId="17">'CLI-COMP'!#REF!</definedName>
    <definedName name="SDF" localSheetId="18">'EST-COMP'!#REF!</definedName>
    <definedName name="SDF" localSheetId="19">'GAS-COMP'!#REF!</definedName>
    <definedName name="SDF" localSheetId="21">'HID-COMP'!#REF!</definedName>
    <definedName name="SDF" localSheetId="20">'IMPER-COMP'!#REF!</definedName>
    <definedName name="SDF" localSheetId="22">'IMPL-COMP'!#REF!</definedName>
    <definedName name="SDF" localSheetId="23">'INC-COMP'!#REF!</definedName>
    <definedName name="SDF" localSheetId="24">'SCE-COMP'!#REF!</definedName>
    <definedName name="SDF" localSheetId="25">'SEG-COMP'!#REF!</definedName>
    <definedName name="SDF" localSheetId="26">'SPDA-COMP'!#REF!</definedName>
    <definedName name="SDF">#REF!</definedName>
    <definedName name="SDFDSF" localSheetId="13">'ADM-COMP'!#REF!</definedName>
    <definedName name="SDFDSF" localSheetId="17">'CLI-COMP'!#REF!</definedName>
    <definedName name="SDFDSF" localSheetId="18">'EST-COMP'!#REF!</definedName>
    <definedName name="SDFDSF" localSheetId="19">'GAS-COMP'!#REF!</definedName>
    <definedName name="SDFDSF" localSheetId="21">'HID-COMP'!#REF!</definedName>
    <definedName name="SDFDSF" localSheetId="20">'IMPER-COMP'!#REF!</definedName>
    <definedName name="SDFDSF" localSheetId="22">'IMPL-COMP'!#REF!</definedName>
    <definedName name="SDFDSF" localSheetId="23">'INC-COMP'!#REF!</definedName>
    <definedName name="SDFDSF" localSheetId="24">'SCE-COMP'!#REF!</definedName>
    <definedName name="SDFDSF" localSheetId="25">'SEG-COMP'!#REF!</definedName>
    <definedName name="SDFDSF" localSheetId="26">'SPDA-COMP'!#REF!</definedName>
    <definedName name="SDFDSF">#REF!</definedName>
    <definedName name="Semnome" localSheetId="13">'ADM-COMP'!#REF!</definedName>
    <definedName name="Semnome" localSheetId="17">'CLI-COMP'!#REF!</definedName>
    <definedName name="Semnome" localSheetId="18">'EST-COMP'!#REF!</definedName>
    <definedName name="Semnome" localSheetId="19">'GAS-COMP'!#REF!</definedName>
    <definedName name="Semnome" localSheetId="21">'HID-COMP'!#REF!</definedName>
    <definedName name="Semnome" localSheetId="20">'IMPER-COMP'!#REF!</definedName>
    <definedName name="Semnome" localSheetId="22">'IMPL-COMP'!#REF!</definedName>
    <definedName name="Semnome" localSheetId="23">'INC-COMP'!#REF!</definedName>
    <definedName name="Semnome" localSheetId="24">'SCE-COMP'!#REF!</definedName>
    <definedName name="Semnome" localSheetId="25">'SEG-COMP'!#REF!</definedName>
    <definedName name="Semnome" localSheetId="26">'SPDA-COMP'!#REF!</definedName>
    <definedName name="Semnome">#REF!</definedName>
    <definedName name="Semnome___0" localSheetId="13">'ADM-COMP'!#REF!</definedName>
    <definedName name="Semnome___0" localSheetId="17">'CLI-COMP'!#REF!</definedName>
    <definedName name="Semnome___0" localSheetId="18">'EST-COMP'!#REF!</definedName>
    <definedName name="Semnome___0" localSheetId="19">'GAS-COMP'!#REF!</definedName>
    <definedName name="Semnome___0" localSheetId="21">'HID-COMP'!#REF!</definedName>
    <definedName name="Semnome___0" localSheetId="20">'IMPER-COMP'!#REF!</definedName>
    <definedName name="Semnome___0" localSheetId="22">'IMPL-COMP'!#REF!</definedName>
    <definedName name="Semnome___0" localSheetId="23">'INC-COMP'!#REF!</definedName>
    <definedName name="Semnome___0" localSheetId="24">'SCE-COMP'!#REF!</definedName>
    <definedName name="Semnome___0" localSheetId="25">'SEG-COMP'!#REF!</definedName>
    <definedName name="Semnome___0" localSheetId="26">'SPDA-COMP'!#REF!</definedName>
    <definedName name="Semnome___0">#REF!</definedName>
    <definedName name="Semnome___0___0" localSheetId="13">'ADM-COMP'!#REF!</definedName>
    <definedName name="Semnome___0___0" localSheetId="17">'CLI-COMP'!#REF!</definedName>
    <definedName name="Semnome___0___0" localSheetId="18">'EST-COMP'!#REF!</definedName>
    <definedName name="Semnome___0___0" localSheetId="19">'GAS-COMP'!#REF!</definedName>
    <definedName name="Semnome___0___0" localSheetId="21">'HID-COMP'!#REF!</definedName>
    <definedName name="Semnome___0___0" localSheetId="20">'IMPER-COMP'!#REF!</definedName>
    <definedName name="Semnome___0___0" localSheetId="22">'IMPL-COMP'!#REF!</definedName>
    <definedName name="Semnome___0___0" localSheetId="23">'INC-COMP'!#REF!</definedName>
    <definedName name="Semnome___0___0" localSheetId="24">'SCE-COMP'!#REF!</definedName>
    <definedName name="Semnome___0___0" localSheetId="25">'SEG-COMP'!#REF!</definedName>
    <definedName name="Semnome___0___0" localSheetId="26">'SPDA-COMP'!#REF!</definedName>
    <definedName name="Semnome___0___0">#REF!</definedName>
    <definedName name="Semnome___0___0___0" localSheetId="13">'ADM-COMP'!#REF!</definedName>
    <definedName name="Semnome___0___0___0" localSheetId="17">'CLI-COMP'!#REF!</definedName>
    <definedName name="Semnome___0___0___0" localSheetId="18">'EST-COMP'!#REF!</definedName>
    <definedName name="Semnome___0___0___0" localSheetId="19">'GAS-COMP'!#REF!</definedName>
    <definedName name="Semnome___0___0___0" localSheetId="21">'HID-COMP'!#REF!</definedName>
    <definedName name="Semnome___0___0___0" localSheetId="20">'IMPER-COMP'!#REF!</definedName>
    <definedName name="Semnome___0___0___0" localSheetId="22">'IMPL-COMP'!#REF!</definedName>
    <definedName name="Semnome___0___0___0" localSheetId="23">'INC-COMP'!#REF!</definedName>
    <definedName name="Semnome___0___0___0" localSheetId="24">'SCE-COMP'!#REF!</definedName>
    <definedName name="Semnome___0___0___0" localSheetId="25">'SEG-COMP'!#REF!</definedName>
    <definedName name="Semnome___0___0___0" localSheetId="26">'SPDA-COMP'!#REF!</definedName>
    <definedName name="Semnome___0___0___0">#REF!</definedName>
    <definedName name="Semnome___0___0___0___0" localSheetId="13">'ADM-COMP'!#REF!</definedName>
    <definedName name="Semnome___0___0___0___0" localSheetId="17">'CLI-COMP'!#REF!</definedName>
    <definedName name="Semnome___0___0___0___0" localSheetId="18">'EST-COMP'!#REF!</definedName>
    <definedName name="Semnome___0___0___0___0" localSheetId="19">'GAS-COMP'!#REF!</definedName>
    <definedName name="Semnome___0___0___0___0" localSheetId="21">'HID-COMP'!#REF!</definedName>
    <definedName name="Semnome___0___0___0___0" localSheetId="20">'IMPER-COMP'!#REF!</definedName>
    <definedName name="Semnome___0___0___0___0" localSheetId="22">'IMPL-COMP'!#REF!</definedName>
    <definedName name="Semnome___0___0___0___0" localSheetId="23">'INC-COMP'!#REF!</definedName>
    <definedName name="Semnome___0___0___0___0" localSheetId="24">'SCE-COMP'!#REF!</definedName>
    <definedName name="Semnome___0___0___0___0" localSheetId="25">'SEG-COMP'!#REF!</definedName>
    <definedName name="Semnome___0___0___0___0" localSheetId="26">'SPDA-COMP'!#REF!</definedName>
    <definedName name="Semnome___0___0___0___0">#REF!</definedName>
    <definedName name="Semnome___0___0___0___0___0" localSheetId="13">'ADM-COMP'!#REF!</definedName>
    <definedName name="Semnome___0___0___0___0___0" localSheetId="17">'CLI-COMP'!#REF!</definedName>
    <definedName name="Semnome___0___0___0___0___0" localSheetId="18">'EST-COMP'!#REF!</definedName>
    <definedName name="Semnome___0___0___0___0___0" localSheetId="19">'GAS-COMP'!#REF!</definedName>
    <definedName name="Semnome___0___0___0___0___0" localSheetId="21">'HID-COMP'!#REF!</definedName>
    <definedName name="Semnome___0___0___0___0___0" localSheetId="20">'IMPER-COMP'!#REF!</definedName>
    <definedName name="Semnome___0___0___0___0___0" localSheetId="22">'IMPL-COMP'!#REF!</definedName>
    <definedName name="Semnome___0___0___0___0___0" localSheetId="23">'INC-COMP'!#REF!</definedName>
    <definedName name="Semnome___0___0___0___0___0" localSheetId="24">'SCE-COMP'!#REF!</definedName>
    <definedName name="Semnome___0___0___0___0___0" localSheetId="25">'SEG-COMP'!#REF!</definedName>
    <definedName name="Semnome___0___0___0___0___0" localSheetId="26">'SPDA-COMP'!#REF!</definedName>
    <definedName name="Semnome___0___0___0___0___0">#REF!</definedName>
    <definedName name="Semnome___0___0___0___0___0___0" localSheetId="13">'ADM-COMP'!#REF!</definedName>
    <definedName name="Semnome___0___0___0___0___0___0" localSheetId="17">'CLI-COMP'!#REF!</definedName>
    <definedName name="Semnome___0___0___0___0___0___0" localSheetId="18">'EST-COMP'!#REF!</definedName>
    <definedName name="Semnome___0___0___0___0___0___0" localSheetId="19">'GAS-COMP'!#REF!</definedName>
    <definedName name="Semnome___0___0___0___0___0___0" localSheetId="21">'HID-COMP'!#REF!</definedName>
    <definedName name="Semnome___0___0___0___0___0___0" localSheetId="20">'IMPER-COMP'!#REF!</definedName>
    <definedName name="Semnome___0___0___0___0___0___0" localSheetId="22">'IMPL-COMP'!#REF!</definedName>
    <definedName name="Semnome___0___0___0___0___0___0" localSheetId="23">'INC-COMP'!#REF!</definedName>
    <definedName name="Semnome___0___0___0___0___0___0" localSheetId="24">'SCE-COMP'!#REF!</definedName>
    <definedName name="Semnome___0___0___0___0___0___0" localSheetId="25">'SEG-COMP'!#REF!</definedName>
    <definedName name="Semnome___0___0___0___0___0___0" localSheetId="26">'SPDA-COMP'!#REF!</definedName>
    <definedName name="Semnome___0___0___0___0___0___0">#REF!</definedName>
    <definedName name="Semnome___0___0___0___0___0___0___0" localSheetId="13">'ADM-COMP'!#REF!</definedName>
    <definedName name="Semnome___0___0___0___0___0___0___0" localSheetId="17">'CLI-COMP'!#REF!</definedName>
    <definedName name="Semnome___0___0___0___0___0___0___0" localSheetId="18">'EST-COMP'!#REF!</definedName>
    <definedName name="Semnome___0___0___0___0___0___0___0" localSheetId="19">'GAS-COMP'!#REF!</definedName>
    <definedName name="Semnome___0___0___0___0___0___0___0" localSheetId="21">'HID-COMP'!#REF!</definedName>
    <definedName name="Semnome___0___0___0___0___0___0___0" localSheetId="20">'IMPER-COMP'!#REF!</definedName>
    <definedName name="Semnome___0___0___0___0___0___0___0" localSheetId="22">'IMPL-COMP'!#REF!</definedName>
    <definedName name="Semnome___0___0___0___0___0___0___0" localSheetId="23">'INC-COMP'!#REF!</definedName>
    <definedName name="Semnome___0___0___0___0___0___0___0" localSheetId="24">'SCE-COMP'!#REF!</definedName>
    <definedName name="Semnome___0___0___0___0___0___0___0" localSheetId="25">'SEG-COMP'!#REF!</definedName>
    <definedName name="Semnome___0___0___0___0___0___0___0" localSheetId="26">'SPDA-COMP'!#REF!</definedName>
    <definedName name="Semnome___0___0___0___0___0___0___0">#REF!</definedName>
    <definedName name="Semnome_1" localSheetId="13">'ADM-COMP'!#REF!</definedName>
    <definedName name="Semnome_1" localSheetId="17">'CLI-COMP'!#REF!</definedName>
    <definedName name="Semnome_1" localSheetId="18">'EST-COMP'!#REF!</definedName>
    <definedName name="Semnome_1" localSheetId="19">'GAS-COMP'!#REF!</definedName>
    <definedName name="Semnome_1" localSheetId="21">'HID-COMP'!#REF!</definedName>
    <definedName name="Semnome_1" localSheetId="20">'IMPER-COMP'!#REF!</definedName>
    <definedName name="Semnome_1" localSheetId="22">'IMPL-COMP'!#REF!</definedName>
    <definedName name="Semnome_1" localSheetId="23">'INC-COMP'!#REF!</definedName>
    <definedName name="Semnome_1" localSheetId="24">'SCE-COMP'!#REF!</definedName>
    <definedName name="Semnome_1" localSheetId="25">'SEG-COMP'!#REF!</definedName>
    <definedName name="Semnome_1" localSheetId="26">'SPDA-COMP'!#REF!</definedName>
    <definedName name="Semnome_1">#REF!</definedName>
    <definedName name="Semnome_1_1" localSheetId="13">'ADM-COMP'!#REF!</definedName>
    <definedName name="Semnome_1_1" localSheetId="17">'CLI-COMP'!#REF!</definedName>
    <definedName name="Semnome_1_1" localSheetId="18">'EST-COMP'!#REF!</definedName>
    <definedName name="Semnome_1_1" localSheetId="19">'GAS-COMP'!#REF!</definedName>
    <definedName name="Semnome_1_1" localSheetId="21">'HID-COMP'!#REF!</definedName>
    <definedName name="Semnome_1_1" localSheetId="20">'IMPER-COMP'!#REF!</definedName>
    <definedName name="Semnome_1_1" localSheetId="22">'IMPL-COMP'!#REF!</definedName>
    <definedName name="Semnome_1_1" localSheetId="23">'INC-COMP'!#REF!</definedName>
    <definedName name="Semnome_1_1" localSheetId="24">'SCE-COMP'!#REF!</definedName>
    <definedName name="Semnome_1_1" localSheetId="25">'SEG-COMP'!#REF!</definedName>
    <definedName name="Semnome_1_1" localSheetId="26">'SPDA-COMP'!#REF!</definedName>
    <definedName name="Semnome_1_1">#REF!</definedName>
    <definedName name="SHARED_FORMULA_0">#N/A</definedName>
    <definedName name="SHARED_FORMULA_1">#N/A</definedName>
    <definedName name="SHARED_FORMULA_10">#N/A</definedName>
    <definedName name="SHARED_FORMULA_100">#N/A</definedName>
    <definedName name="SHARED_FORMULA_101">#N/A</definedName>
    <definedName name="SHARED_FORMULA_102">#N/A</definedName>
    <definedName name="SHARED_FORMULA_103">#N/A</definedName>
    <definedName name="SHARED_FORMULA_104">#N/A</definedName>
    <definedName name="SHARED_FORMULA_105">#N/A</definedName>
    <definedName name="SHARED_FORMULA_106">#N/A</definedName>
    <definedName name="SHARED_FORMULA_107">#N/A</definedName>
    <definedName name="SHARED_FORMULA_108">#N/A</definedName>
    <definedName name="SHARED_FORMULA_109">#N/A</definedName>
    <definedName name="SHARED_FORMULA_11">#N/A</definedName>
    <definedName name="SHARED_FORMULA_110">#N/A</definedName>
    <definedName name="SHARED_FORMULA_111">#N/A</definedName>
    <definedName name="SHARED_FORMULA_112">#N/A</definedName>
    <definedName name="SHARED_FORMULA_113">#N/A</definedName>
    <definedName name="SHARED_FORMULA_114">#N/A</definedName>
    <definedName name="SHARED_FORMULA_115">#N/A</definedName>
    <definedName name="SHARED_FORMULA_116">#N/A</definedName>
    <definedName name="SHARED_FORMULA_117">#N/A</definedName>
    <definedName name="SHARED_FORMULA_118">#N/A</definedName>
    <definedName name="SHARED_FORMULA_119">#N/A</definedName>
    <definedName name="SHARED_FORMULA_12">#N/A</definedName>
    <definedName name="SHARED_FORMULA_120">#N/A</definedName>
    <definedName name="SHARED_FORMULA_121">#N/A</definedName>
    <definedName name="SHARED_FORMULA_122">#N/A</definedName>
    <definedName name="SHARED_FORMULA_123">#N/A</definedName>
    <definedName name="SHARED_FORMULA_124">#N/A</definedName>
    <definedName name="SHARED_FORMULA_125">#N/A</definedName>
    <definedName name="SHARED_FORMULA_126">#N/A</definedName>
    <definedName name="SHARED_FORMULA_127">#N/A</definedName>
    <definedName name="SHARED_FORMULA_128">#N/A</definedName>
    <definedName name="SHARED_FORMULA_129">#N/A</definedName>
    <definedName name="SHARED_FORMULA_13">#N/A</definedName>
    <definedName name="SHARED_FORMULA_130">#N/A</definedName>
    <definedName name="SHARED_FORMULA_131">#N/A</definedName>
    <definedName name="SHARED_FORMULA_132">#N/A</definedName>
    <definedName name="SHARED_FORMULA_133">#N/A</definedName>
    <definedName name="SHARED_FORMULA_134">#N/A</definedName>
    <definedName name="SHARED_FORMULA_135">#N/A</definedName>
    <definedName name="SHARED_FORMULA_136">#N/A</definedName>
    <definedName name="SHARED_FORMULA_137">#N/A</definedName>
    <definedName name="SHARED_FORMULA_138">#N/A</definedName>
    <definedName name="SHARED_FORMULA_139">#N/A</definedName>
    <definedName name="SHARED_FORMULA_14">#N/A</definedName>
    <definedName name="SHARED_FORMULA_140">#N/A</definedName>
    <definedName name="SHARED_FORMULA_141">#N/A</definedName>
    <definedName name="SHARED_FORMULA_142">#N/A</definedName>
    <definedName name="SHARED_FORMULA_143">#N/A</definedName>
    <definedName name="SHARED_FORMULA_144">#N/A</definedName>
    <definedName name="SHARED_FORMULA_145">#N/A</definedName>
    <definedName name="SHARED_FORMULA_146">#N/A</definedName>
    <definedName name="SHARED_FORMULA_147">#N/A</definedName>
    <definedName name="SHARED_FORMULA_148">#N/A</definedName>
    <definedName name="SHARED_FORMULA_149">#N/A</definedName>
    <definedName name="SHARED_FORMULA_15">#N/A</definedName>
    <definedName name="SHARED_FORMULA_150">#N/A</definedName>
    <definedName name="SHARED_FORMULA_151">#N/A</definedName>
    <definedName name="SHARED_FORMULA_152">#N/A</definedName>
    <definedName name="SHARED_FORMULA_153">#N/A</definedName>
    <definedName name="SHARED_FORMULA_154">#N/A</definedName>
    <definedName name="SHARED_FORMULA_155">#N/A</definedName>
    <definedName name="SHARED_FORMULA_156">#N/A</definedName>
    <definedName name="SHARED_FORMULA_157">#N/A</definedName>
    <definedName name="SHARED_FORMULA_158">#N/A</definedName>
    <definedName name="SHARED_FORMULA_159">#N/A</definedName>
    <definedName name="SHARED_FORMULA_16">#N/A</definedName>
    <definedName name="SHARED_FORMULA_160">#N/A</definedName>
    <definedName name="SHARED_FORMULA_161">#N/A</definedName>
    <definedName name="SHARED_FORMULA_162">#N/A</definedName>
    <definedName name="SHARED_FORMULA_163">#N/A</definedName>
    <definedName name="SHARED_FORMULA_164">#N/A</definedName>
    <definedName name="SHARED_FORMULA_165">#N/A</definedName>
    <definedName name="SHARED_FORMULA_166">#N/A</definedName>
    <definedName name="SHARED_FORMULA_167">#N/A</definedName>
    <definedName name="SHARED_FORMULA_168">#N/A</definedName>
    <definedName name="SHARED_FORMULA_169">#N/A</definedName>
    <definedName name="SHARED_FORMULA_17">#N/A</definedName>
    <definedName name="SHARED_FORMULA_170">#N/A</definedName>
    <definedName name="SHARED_FORMULA_171">#N/A</definedName>
    <definedName name="SHARED_FORMULA_172">#N/A</definedName>
    <definedName name="SHARED_FORMULA_173">#N/A</definedName>
    <definedName name="SHARED_FORMULA_174">#N/A</definedName>
    <definedName name="SHARED_FORMULA_175">#N/A</definedName>
    <definedName name="SHARED_FORMULA_176">#N/A</definedName>
    <definedName name="SHARED_FORMULA_177">#N/A</definedName>
    <definedName name="SHARED_FORMULA_178">#N/A</definedName>
    <definedName name="SHARED_FORMULA_179">#N/A</definedName>
    <definedName name="SHARED_FORMULA_18">#N/A</definedName>
    <definedName name="SHARED_FORMULA_180">#N/A</definedName>
    <definedName name="SHARED_FORMULA_181">#N/A</definedName>
    <definedName name="SHARED_FORMULA_182">#N/A</definedName>
    <definedName name="SHARED_FORMULA_183">#N/A</definedName>
    <definedName name="SHARED_FORMULA_184">#N/A</definedName>
    <definedName name="SHARED_FORMULA_185">#N/A</definedName>
    <definedName name="SHARED_FORMULA_186">#N/A</definedName>
    <definedName name="SHARED_FORMULA_187">#N/A</definedName>
    <definedName name="SHARED_FORMULA_188">#N/A</definedName>
    <definedName name="SHARED_FORMULA_189">#N/A</definedName>
    <definedName name="SHARED_FORMULA_19">#N/A</definedName>
    <definedName name="SHARED_FORMULA_190">#N/A</definedName>
    <definedName name="SHARED_FORMULA_191">#N/A</definedName>
    <definedName name="SHARED_FORMULA_192">#N/A</definedName>
    <definedName name="SHARED_FORMULA_193">#N/A</definedName>
    <definedName name="SHARED_FORMULA_194">#N/A</definedName>
    <definedName name="SHARED_FORMULA_195">#N/A</definedName>
    <definedName name="SHARED_FORMULA_196">#N/A</definedName>
    <definedName name="SHARED_FORMULA_197">#N/A</definedName>
    <definedName name="SHARED_FORMULA_198">#N/A</definedName>
    <definedName name="SHARED_FORMULA_199">#N/A</definedName>
    <definedName name="SHARED_FORMULA_2">#N/A</definedName>
    <definedName name="SHARED_FORMULA_20">#N/A</definedName>
    <definedName name="SHARED_FORMULA_200">#N/A</definedName>
    <definedName name="SHARED_FORMULA_201">#N/A</definedName>
    <definedName name="SHARED_FORMULA_202">#N/A</definedName>
    <definedName name="SHARED_FORMULA_203">#N/A</definedName>
    <definedName name="SHARED_FORMULA_204">#N/A</definedName>
    <definedName name="SHARED_FORMULA_205">#N/A</definedName>
    <definedName name="SHARED_FORMULA_206">#N/A</definedName>
    <definedName name="SHARED_FORMULA_207">#N/A</definedName>
    <definedName name="SHARED_FORMULA_208">#N/A</definedName>
    <definedName name="SHARED_FORMULA_209">#N/A</definedName>
    <definedName name="SHARED_FORMULA_21">#N/A</definedName>
    <definedName name="SHARED_FORMULA_210">#N/A</definedName>
    <definedName name="SHARED_FORMULA_211">#N/A</definedName>
    <definedName name="SHARED_FORMULA_212">#N/A</definedName>
    <definedName name="SHARED_FORMULA_213">#N/A</definedName>
    <definedName name="SHARED_FORMULA_214">#N/A</definedName>
    <definedName name="SHARED_FORMULA_215">#N/A</definedName>
    <definedName name="SHARED_FORMULA_216">#N/A</definedName>
    <definedName name="SHARED_FORMULA_217">#N/A</definedName>
    <definedName name="SHARED_FORMULA_218">#N/A</definedName>
    <definedName name="SHARED_FORMULA_219">#N/A</definedName>
    <definedName name="SHARED_FORMULA_22">#N/A</definedName>
    <definedName name="SHARED_FORMULA_220">#N/A</definedName>
    <definedName name="SHARED_FORMULA_221">#N/A</definedName>
    <definedName name="SHARED_FORMULA_222">#N/A</definedName>
    <definedName name="SHARED_FORMULA_223">#N/A</definedName>
    <definedName name="SHARED_FORMULA_224">#N/A</definedName>
    <definedName name="SHARED_FORMULA_225">#N/A</definedName>
    <definedName name="SHARED_FORMULA_226">#N/A</definedName>
    <definedName name="SHARED_FORMULA_227">#N/A</definedName>
    <definedName name="SHARED_FORMULA_228">#N/A</definedName>
    <definedName name="SHARED_FORMULA_229">#N/A</definedName>
    <definedName name="SHARED_FORMULA_23">#N/A</definedName>
    <definedName name="SHARED_FORMULA_230">#N/A</definedName>
    <definedName name="SHARED_FORMULA_231">#N/A</definedName>
    <definedName name="SHARED_FORMULA_232">#N/A</definedName>
    <definedName name="SHARED_FORMULA_233">#N/A</definedName>
    <definedName name="SHARED_FORMULA_234">#N/A</definedName>
    <definedName name="SHARED_FORMULA_235">#N/A</definedName>
    <definedName name="SHARED_FORMULA_236">#N/A</definedName>
    <definedName name="SHARED_FORMULA_237">#N/A</definedName>
    <definedName name="SHARED_FORMULA_238">#N/A</definedName>
    <definedName name="SHARED_FORMULA_239">#N/A</definedName>
    <definedName name="SHARED_FORMULA_24">#N/A</definedName>
    <definedName name="SHARED_FORMULA_240">#N/A</definedName>
    <definedName name="SHARED_FORMULA_241">#N/A</definedName>
    <definedName name="SHARED_FORMULA_242">#N/A</definedName>
    <definedName name="SHARED_FORMULA_243">#N/A</definedName>
    <definedName name="SHARED_FORMULA_244">#N/A</definedName>
    <definedName name="SHARED_FORMULA_245">#N/A</definedName>
    <definedName name="SHARED_FORMULA_246">#N/A</definedName>
    <definedName name="SHARED_FORMULA_247">#N/A</definedName>
    <definedName name="SHARED_FORMULA_248">#N/A</definedName>
    <definedName name="SHARED_FORMULA_249">#N/A</definedName>
    <definedName name="SHARED_FORMULA_25">#N/A</definedName>
    <definedName name="SHARED_FORMULA_250">#N/A</definedName>
    <definedName name="SHARED_FORMULA_251">#N/A</definedName>
    <definedName name="SHARED_FORMULA_252">#N/A</definedName>
    <definedName name="SHARED_FORMULA_253">#N/A</definedName>
    <definedName name="SHARED_FORMULA_254">#N/A</definedName>
    <definedName name="SHARED_FORMULA_255">#N/A</definedName>
    <definedName name="SHARED_FORMULA_256">#N/A</definedName>
    <definedName name="SHARED_FORMULA_257">#N/A</definedName>
    <definedName name="SHARED_FORMULA_258">#N/A</definedName>
    <definedName name="SHARED_FORMULA_259">#N/A</definedName>
    <definedName name="SHARED_FORMULA_26">#N/A</definedName>
    <definedName name="SHARED_FORMULA_260">#N/A</definedName>
    <definedName name="SHARED_FORMULA_261">#N/A</definedName>
    <definedName name="SHARED_FORMULA_262">#N/A</definedName>
    <definedName name="SHARED_FORMULA_263">#N/A</definedName>
    <definedName name="SHARED_FORMULA_264">#N/A</definedName>
    <definedName name="SHARED_FORMULA_265">#N/A</definedName>
    <definedName name="SHARED_FORMULA_266">#N/A</definedName>
    <definedName name="SHARED_FORMULA_267">#N/A</definedName>
    <definedName name="SHARED_FORMULA_268">#N/A</definedName>
    <definedName name="SHARED_FORMULA_269">#N/A</definedName>
    <definedName name="SHARED_FORMULA_27">#N/A</definedName>
    <definedName name="SHARED_FORMULA_270">#N/A</definedName>
    <definedName name="SHARED_FORMULA_271">#N/A</definedName>
    <definedName name="SHARED_FORMULA_272">#N/A</definedName>
    <definedName name="SHARED_FORMULA_273">#N/A</definedName>
    <definedName name="SHARED_FORMULA_274">#N/A</definedName>
    <definedName name="SHARED_FORMULA_275">#N/A</definedName>
    <definedName name="SHARED_FORMULA_276">#N/A</definedName>
    <definedName name="SHARED_FORMULA_277">#N/A</definedName>
    <definedName name="SHARED_FORMULA_278">#N/A</definedName>
    <definedName name="SHARED_FORMULA_279">#N/A</definedName>
    <definedName name="SHARED_FORMULA_28">#N/A</definedName>
    <definedName name="SHARED_FORMULA_280">#N/A</definedName>
    <definedName name="SHARED_FORMULA_281">#N/A</definedName>
    <definedName name="SHARED_FORMULA_282">#N/A</definedName>
    <definedName name="SHARED_FORMULA_283">#N/A</definedName>
    <definedName name="SHARED_FORMULA_284">#N/A</definedName>
    <definedName name="SHARED_FORMULA_285">#N/A</definedName>
    <definedName name="SHARED_FORMULA_286">#N/A</definedName>
    <definedName name="SHARED_FORMULA_287">#N/A</definedName>
    <definedName name="SHARED_FORMULA_288">#N/A</definedName>
    <definedName name="SHARED_FORMULA_289">#N/A</definedName>
    <definedName name="SHARED_FORMULA_29">#N/A</definedName>
    <definedName name="SHARED_FORMULA_290">#N/A</definedName>
    <definedName name="SHARED_FORMULA_291">#N/A</definedName>
    <definedName name="SHARED_FORMULA_292">#N/A</definedName>
    <definedName name="SHARED_FORMULA_293">#N/A</definedName>
    <definedName name="SHARED_FORMULA_294">#N/A</definedName>
    <definedName name="SHARED_FORMULA_295">#N/A</definedName>
    <definedName name="SHARED_FORMULA_296">#N/A</definedName>
    <definedName name="SHARED_FORMULA_297">#N/A</definedName>
    <definedName name="SHARED_FORMULA_298">#N/A</definedName>
    <definedName name="SHARED_FORMULA_299">#N/A</definedName>
    <definedName name="SHARED_FORMULA_3">#N/A</definedName>
    <definedName name="SHARED_FORMULA_30">#N/A</definedName>
    <definedName name="SHARED_FORMULA_300">#N/A</definedName>
    <definedName name="SHARED_FORMULA_301">#N/A</definedName>
    <definedName name="SHARED_FORMULA_302">#N/A</definedName>
    <definedName name="SHARED_FORMULA_303">#N/A</definedName>
    <definedName name="SHARED_FORMULA_304">#N/A</definedName>
    <definedName name="SHARED_FORMULA_305">#N/A</definedName>
    <definedName name="SHARED_FORMULA_306">#N/A</definedName>
    <definedName name="SHARED_FORMULA_307">#N/A</definedName>
    <definedName name="SHARED_FORMULA_308">#N/A</definedName>
    <definedName name="SHARED_FORMULA_309">#N/A</definedName>
    <definedName name="SHARED_FORMULA_31">#N/A</definedName>
    <definedName name="SHARED_FORMULA_310">#N/A</definedName>
    <definedName name="SHARED_FORMULA_311">#N/A</definedName>
    <definedName name="SHARED_FORMULA_312">#N/A</definedName>
    <definedName name="SHARED_FORMULA_313">#N/A</definedName>
    <definedName name="SHARED_FORMULA_314">#N/A</definedName>
    <definedName name="SHARED_FORMULA_315">#N/A</definedName>
    <definedName name="SHARED_FORMULA_316">#N/A</definedName>
    <definedName name="SHARED_FORMULA_317">#N/A</definedName>
    <definedName name="SHARED_FORMULA_318">#N/A</definedName>
    <definedName name="SHARED_FORMULA_319">#N/A</definedName>
    <definedName name="SHARED_FORMULA_32">#N/A</definedName>
    <definedName name="SHARED_FORMULA_320">#N/A</definedName>
    <definedName name="SHARED_FORMULA_321">#N/A</definedName>
    <definedName name="SHARED_FORMULA_322">#N/A</definedName>
    <definedName name="SHARED_FORMULA_323">#N/A</definedName>
    <definedName name="SHARED_FORMULA_324">#N/A</definedName>
    <definedName name="SHARED_FORMULA_325">#N/A</definedName>
    <definedName name="SHARED_FORMULA_326">#N/A</definedName>
    <definedName name="SHARED_FORMULA_327">#N/A</definedName>
    <definedName name="SHARED_FORMULA_328">#N/A</definedName>
    <definedName name="SHARED_FORMULA_329">#N/A</definedName>
    <definedName name="SHARED_FORMULA_33">#N/A</definedName>
    <definedName name="SHARED_FORMULA_330">#N/A</definedName>
    <definedName name="SHARED_FORMULA_331">#N/A</definedName>
    <definedName name="SHARED_FORMULA_332">#N/A</definedName>
    <definedName name="SHARED_FORMULA_333">#N/A</definedName>
    <definedName name="SHARED_FORMULA_334">#N/A</definedName>
    <definedName name="SHARED_FORMULA_335">#N/A</definedName>
    <definedName name="SHARED_FORMULA_336">#N/A</definedName>
    <definedName name="SHARED_FORMULA_337">#N/A</definedName>
    <definedName name="SHARED_FORMULA_338">#N/A</definedName>
    <definedName name="SHARED_FORMULA_339">#N/A</definedName>
    <definedName name="SHARED_FORMULA_34">#N/A</definedName>
    <definedName name="SHARED_FORMULA_340">#N/A</definedName>
    <definedName name="SHARED_FORMULA_341">#N/A</definedName>
    <definedName name="SHARED_FORMULA_342">#N/A</definedName>
    <definedName name="SHARED_FORMULA_343">#N/A</definedName>
    <definedName name="SHARED_FORMULA_344">#N/A</definedName>
    <definedName name="SHARED_FORMULA_345">#N/A</definedName>
    <definedName name="SHARED_FORMULA_346">#N/A</definedName>
    <definedName name="SHARED_FORMULA_347">#N/A</definedName>
    <definedName name="SHARED_FORMULA_348">#N/A</definedName>
    <definedName name="SHARED_FORMULA_349">#N/A</definedName>
    <definedName name="SHARED_FORMULA_35">#N/A</definedName>
    <definedName name="SHARED_FORMULA_350">#N/A</definedName>
    <definedName name="SHARED_FORMULA_351">#N/A</definedName>
    <definedName name="SHARED_FORMULA_352">#N/A</definedName>
    <definedName name="SHARED_FORMULA_353">#N/A</definedName>
    <definedName name="SHARED_FORMULA_354">#N/A</definedName>
    <definedName name="SHARED_FORMULA_355">#N/A</definedName>
    <definedName name="SHARED_FORMULA_356">#N/A</definedName>
    <definedName name="SHARED_FORMULA_357">#N/A</definedName>
    <definedName name="SHARED_FORMULA_358">#N/A</definedName>
    <definedName name="SHARED_FORMULA_359">#N/A</definedName>
    <definedName name="SHARED_FORMULA_36">#N/A</definedName>
    <definedName name="SHARED_FORMULA_360">#N/A</definedName>
    <definedName name="SHARED_FORMULA_361">#N/A</definedName>
    <definedName name="SHARED_FORMULA_362">#N/A</definedName>
    <definedName name="SHARED_FORMULA_363">#N/A</definedName>
    <definedName name="SHARED_FORMULA_364">#N/A</definedName>
    <definedName name="SHARED_FORMULA_365">#N/A</definedName>
    <definedName name="SHARED_FORMULA_366">#N/A</definedName>
    <definedName name="SHARED_FORMULA_367">#N/A</definedName>
    <definedName name="SHARED_FORMULA_368">#N/A</definedName>
    <definedName name="SHARED_FORMULA_369">#N/A</definedName>
    <definedName name="SHARED_FORMULA_37">#N/A</definedName>
    <definedName name="SHARED_FORMULA_370">#N/A</definedName>
    <definedName name="SHARED_FORMULA_371">#N/A</definedName>
    <definedName name="SHARED_FORMULA_372">#N/A</definedName>
    <definedName name="SHARED_FORMULA_373">#N/A</definedName>
    <definedName name="SHARED_FORMULA_374">#N/A</definedName>
    <definedName name="SHARED_FORMULA_375">#N/A</definedName>
    <definedName name="SHARED_FORMULA_376">#N/A</definedName>
    <definedName name="SHARED_FORMULA_377">#N/A</definedName>
    <definedName name="SHARED_FORMULA_378">#N/A</definedName>
    <definedName name="SHARED_FORMULA_379">#N/A</definedName>
    <definedName name="SHARED_FORMULA_38">#N/A</definedName>
    <definedName name="SHARED_FORMULA_380">#N/A</definedName>
    <definedName name="SHARED_FORMULA_381">#N/A</definedName>
    <definedName name="SHARED_FORMULA_382">#N/A</definedName>
    <definedName name="SHARED_FORMULA_383">#N/A</definedName>
    <definedName name="SHARED_FORMULA_384">#N/A</definedName>
    <definedName name="SHARED_FORMULA_385">#N/A</definedName>
    <definedName name="SHARED_FORMULA_386">#N/A</definedName>
    <definedName name="SHARED_FORMULA_387">#N/A</definedName>
    <definedName name="SHARED_FORMULA_388">#N/A</definedName>
    <definedName name="SHARED_FORMULA_389">#N/A</definedName>
    <definedName name="SHARED_FORMULA_39">#N/A</definedName>
    <definedName name="SHARED_FORMULA_390">#N/A</definedName>
    <definedName name="SHARED_FORMULA_391">#N/A</definedName>
    <definedName name="SHARED_FORMULA_392">#N/A</definedName>
    <definedName name="SHARED_FORMULA_393">#N/A</definedName>
    <definedName name="SHARED_FORMULA_394">#N/A</definedName>
    <definedName name="SHARED_FORMULA_395">#N/A</definedName>
    <definedName name="SHARED_FORMULA_396">#N/A</definedName>
    <definedName name="SHARED_FORMULA_397">#N/A</definedName>
    <definedName name="SHARED_FORMULA_398">#N/A</definedName>
    <definedName name="SHARED_FORMULA_399">#N/A</definedName>
    <definedName name="SHARED_FORMULA_4">#N/A</definedName>
    <definedName name="SHARED_FORMULA_40">#N/A</definedName>
    <definedName name="SHARED_FORMULA_400">#N/A</definedName>
    <definedName name="SHARED_FORMULA_401">#N/A</definedName>
    <definedName name="SHARED_FORMULA_402">#N/A</definedName>
    <definedName name="SHARED_FORMULA_403">#N/A</definedName>
    <definedName name="SHARED_FORMULA_404">#N/A</definedName>
    <definedName name="SHARED_FORMULA_405">#N/A</definedName>
    <definedName name="SHARED_FORMULA_406">#N/A</definedName>
    <definedName name="SHARED_FORMULA_407">#N/A</definedName>
    <definedName name="SHARED_FORMULA_408">#N/A</definedName>
    <definedName name="SHARED_FORMULA_409">#N/A</definedName>
    <definedName name="SHARED_FORMULA_41">#N/A</definedName>
    <definedName name="SHARED_FORMULA_410">#N/A</definedName>
    <definedName name="SHARED_FORMULA_411">#N/A</definedName>
    <definedName name="SHARED_FORMULA_412">#N/A</definedName>
    <definedName name="SHARED_FORMULA_413">#N/A</definedName>
    <definedName name="SHARED_FORMULA_414">#N/A</definedName>
    <definedName name="SHARED_FORMULA_415">#N/A</definedName>
    <definedName name="SHARED_FORMULA_416">#N/A</definedName>
    <definedName name="SHARED_FORMULA_417">#N/A</definedName>
    <definedName name="SHARED_FORMULA_418">#N/A</definedName>
    <definedName name="SHARED_FORMULA_419">#N/A</definedName>
    <definedName name="SHARED_FORMULA_42">#N/A</definedName>
    <definedName name="SHARED_FORMULA_420">#N/A</definedName>
    <definedName name="SHARED_FORMULA_421">#N/A</definedName>
    <definedName name="SHARED_FORMULA_422">#N/A</definedName>
    <definedName name="SHARED_FORMULA_423">#N/A</definedName>
    <definedName name="SHARED_FORMULA_424">#N/A</definedName>
    <definedName name="SHARED_FORMULA_425">#N/A</definedName>
    <definedName name="SHARED_FORMULA_426">#N/A</definedName>
    <definedName name="SHARED_FORMULA_427">#N/A</definedName>
    <definedName name="SHARED_FORMULA_428">#N/A</definedName>
    <definedName name="SHARED_FORMULA_429">#N/A</definedName>
    <definedName name="SHARED_FORMULA_43">#N/A</definedName>
    <definedName name="SHARED_FORMULA_430">#N/A</definedName>
    <definedName name="SHARED_FORMULA_431">#N/A</definedName>
    <definedName name="SHARED_FORMULA_432">#N/A</definedName>
    <definedName name="SHARED_FORMULA_433">#N/A</definedName>
    <definedName name="SHARED_FORMULA_434">#N/A</definedName>
    <definedName name="SHARED_FORMULA_435">#N/A</definedName>
    <definedName name="SHARED_FORMULA_436">#N/A</definedName>
    <definedName name="SHARED_FORMULA_437">#N/A</definedName>
    <definedName name="SHARED_FORMULA_438">#N/A</definedName>
    <definedName name="SHARED_FORMULA_439">#N/A</definedName>
    <definedName name="SHARED_FORMULA_44">#N/A</definedName>
    <definedName name="SHARED_FORMULA_440">#N/A</definedName>
    <definedName name="SHARED_FORMULA_441">#N/A</definedName>
    <definedName name="SHARED_FORMULA_442">#N/A</definedName>
    <definedName name="SHARED_FORMULA_443">#N/A</definedName>
    <definedName name="SHARED_FORMULA_444">#N/A</definedName>
    <definedName name="SHARED_FORMULA_445">#N/A</definedName>
    <definedName name="SHARED_FORMULA_446">#N/A</definedName>
    <definedName name="SHARED_FORMULA_447">#N/A</definedName>
    <definedName name="SHARED_FORMULA_448">#N/A</definedName>
    <definedName name="SHARED_FORMULA_449">#N/A</definedName>
    <definedName name="SHARED_FORMULA_45">#N/A</definedName>
    <definedName name="SHARED_FORMULA_450">#N/A</definedName>
    <definedName name="SHARED_FORMULA_451">#N/A</definedName>
    <definedName name="SHARED_FORMULA_452">#N/A</definedName>
    <definedName name="SHARED_FORMULA_453">#N/A</definedName>
    <definedName name="SHARED_FORMULA_454">#N/A</definedName>
    <definedName name="SHARED_FORMULA_455">#N/A</definedName>
    <definedName name="SHARED_FORMULA_456">#N/A</definedName>
    <definedName name="SHARED_FORMULA_457">#N/A</definedName>
    <definedName name="SHARED_FORMULA_458">#N/A</definedName>
    <definedName name="SHARED_FORMULA_459">#N/A</definedName>
    <definedName name="SHARED_FORMULA_46">#N/A</definedName>
    <definedName name="SHARED_FORMULA_460">#N/A</definedName>
    <definedName name="SHARED_FORMULA_461">#N/A</definedName>
    <definedName name="SHARED_FORMULA_462">#N/A</definedName>
    <definedName name="SHARED_FORMULA_463">#N/A</definedName>
    <definedName name="SHARED_FORMULA_464">#N/A</definedName>
    <definedName name="SHARED_FORMULA_465">#N/A</definedName>
    <definedName name="SHARED_FORMULA_466">#N/A</definedName>
    <definedName name="SHARED_FORMULA_467">#N/A</definedName>
    <definedName name="SHARED_FORMULA_468">#N/A</definedName>
    <definedName name="SHARED_FORMULA_469">#N/A</definedName>
    <definedName name="SHARED_FORMULA_47">#N/A</definedName>
    <definedName name="SHARED_FORMULA_470">#N/A</definedName>
    <definedName name="SHARED_FORMULA_471">#N/A</definedName>
    <definedName name="SHARED_FORMULA_472">#N/A</definedName>
    <definedName name="SHARED_FORMULA_473">#N/A</definedName>
    <definedName name="SHARED_FORMULA_474">#N/A</definedName>
    <definedName name="SHARED_FORMULA_475">#N/A</definedName>
    <definedName name="SHARED_FORMULA_476">#N/A</definedName>
    <definedName name="SHARED_FORMULA_477">#N/A</definedName>
    <definedName name="SHARED_FORMULA_478">#N/A</definedName>
    <definedName name="SHARED_FORMULA_479">#N/A</definedName>
    <definedName name="SHARED_FORMULA_48">#N/A</definedName>
    <definedName name="SHARED_FORMULA_480">#N/A</definedName>
    <definedName name="SHARED_FORMULA_481">#N/A</definedName>
    <definedName name="SHARED_FORMULA_482">#N/A</definedName>
    <definedName name="SHARED_FORMULA_483">#N/A</definedName>
    <definedName name="SHARED_FORMULA_484">#N/A</definedName>
    <definedName name="SHARED_FORMULA_485">#N/A</definedName>
    <definedName name="SHARED_FORMULA_486">#N/A</definedName>
    <definedName name="SHARED_FORMULA_487">#N/A</definedName>
    <definedName name="SHARED_FORMULA_488">#N/A</definedName>
    <definedName name="SHARED_FORMULA_489">#N/A</definedName>
    <definedName name="SHARED_FORMULA_49">#N/A</definedName>
    <definedName name="SHARED_FORMULA_490">#N/A</definedName>
    <definedName name="SHARED_FORMULA_491">#N/A</definedName>
    <definedName name="SHARED_FORMULA_492">#N/A</definedName>
    <definedName name="SHARED_FORMULA_493">#N/A</definedName>
    <definedName name="SHARED_FORMULA_494">#N/A</definedName>
    <definedName name="SHARED_FORMULA_495">#N/A</definedName>
    <definedName name="SHARED_FORMULA_496">#N/A</definedName>
    <definedName name="SHARED_FORMULA_497">#N/A</definedName>
    <definedName name="SHARED_FORMULA_498">#N/A</definedName>
    <definedName name="SHARED_FORMULA_499">#N/A</definedName>
    <definedName name="SHARED_FORMULA_5">#N/A</definedName>
    <definedName name="SHARED_FORMULA_50">#N/A</definedName>
    <definedName name="SHARED_FORMULA_500">#N/A</definedName>
    <definedName name="SHARED_FORMULA_501">#N/A</definedName>
    <definedName name="SHARED_FORMULA_502">#N/A</definedName>
    <definedName name="SHARED_FORMULA_503">#N/A</definedName>
    <definedName name="SHARED_FORMULA_504">#N/A</definedName>
    <definedName name="SHARED_FORMULA_505">#N/A</definedName>
    <definedName name="SHARED_FORMULA_506">#N/A</definedName>
    <definedName name="SHARED_FORMULA_507">#N/A</definedName>
    <definedName name="SHARED_FORMULA_508">#N/A</definedName>
    <definedName name="SHARED_FORMULA_509">#N/A</definedName>
    <definedName name="SHARED_FORMULA_51">#N/A</definedName>
    <definedName name="SHARED_FORMULA_510">#N/A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59">#N/A</definedName>
    <definedName name="SHARED_FORMULA_6">#N/A</definedName>
    <definedName name="SHARED_FORMULA_60">#N/A</definedName>
    <definedName name="SHARED_FORMULA_61">#N/A</definedName>
    <definedName name="SHARED_FORMULA_62">#N/A</definedName>
    <definedName name="SHARED_FORMULA_63">#N/A</definedName>
    <definedName name="SHARED_FORMULA_64">#N/A</definedName>
    <definedName name="SHARED_FORMULA_65">#N/A</definedName>
    <definedName name="SHARED_FORMULA_66">#N/A</definedName>
    <definedName name="SHARED_FORMULA_67">#N/A</definedName>
    <definedName name="SHARED_FORMULA_68">#N/A</definedName>
    <definedName name="SHARED_FORMULA_69">#N/A</definedName>
    <definedName name="SHARED_FORMULA_7">#N/A</definedName>
    <definedName name="SHARED_FORMULA_70">#N/A</definedName>
    <definedName name="SHARED_FORMULA_71">#N/A</definedName>
    <definedName name="SHARED_FORMULA_72">#N/A</definedName>
    <definedName name="SHARED_FORMULA_73">#N/A</definedName>
    <definedName name="SHARED_FORMULA_74">#N/A</definedName>
    <definedName name="SHARED_FORMULA_75">#N/A</definedName>
    <definedName name="SHARED_FORMULA_76">#N/A</definedName>
    <definedName name="SHARED_FORMULA_77">#N/A</definedName>
    <definedName name="SHARED_FORMULA_78">#N/A</definedName>
    <definedName name="SHARED_FORMULA_79">#N/A</definedName>
    <definedName name="SHARED_FORMULA_8">#N/A</definedName>
    <definedName name="SHARED_FORMULA_80">#N/A</definedName>
    <definedName name="SHARED_FORMULA_81">#N/A</definedName>
    <definedName name="SHARED_FORMULA_82">#N/A</definedName>
    <definedName name="SHARED_FORMULA_83">#N/A</definedName>
    <definedName name="SHARED_FORMULA_84">#N/A</definedName>
    <definedName name="SHARED_FORMULA_85">#N/A</definedName>
    <definedName name="SHARED_FORMULA_86">#N/A</definedName>
    <definedName name="SHARED_FORMULA_87">#N/A</definedName>
    <definedName name="SHARED_FORMULA_88">#N/A</definedName>
    <definedName name="SHARED_FORMULA_89">#N/A</definedName>
    <definedName name="SHARED_FORMULA_9">#N/A</definedName>
    <definedName name="SHARED_FORMULA_90">#N/A</definedName>
    <definedName name="SHARED_FORMULA_91">#N/A</definedName>
    <definedName name="SHARED_FORMULA_92">#N/A</definedName>
    <definedName name="SHARED_FORMULA_93">#N/A</definedName>
    <definedName name="SHARED_FORMULA_94">#N/A</definedName>
    <definedName name="SHARED_FORMULA_95">#N/A</definedName>
    <definedName name="SHARED_FORMULA_96">#N/A</definedName>
    <definedName name="SHARED_FORMULA_97">#N/A</definedName>
    <definedName name="SHARED_FORMULA_98">#N/A</definedName>
    <definedName name="SHARED_FORMULA_99">#N/A</definedName>
    <definedName name="SINAPI_AC" hidden="1">#REF!</definedName>
    <definedName name="SS" localSheetId="13">'ADM-COMP'!#REF!</definedName>
    <definedName name="SS" localSheetId="17">'CLI-COMP'!#REF!</definedName>
    <definedName name="SS" localSheetId="18">'EST-COMP'!#REF!</definedName>
    <definedName name="SS" localSheetId="19">'GAS-COMP'!#REF!</definedName>
    <definedName name="SS" localSheetId="21">'HID-COMP'!#REF!</definedName>
    <definedName name="SS" localSheetId="20">'IMPER-COMP'!#REF!</definedName>
    <definedName name="SS" localSheetId="22">'IMPL-COMP'!#REF!</definedName>
    <definedName name="SS" localSheetId="23">'INC-COMP'!#REF!</definedName>
    <definedName name="SS" localSheetId="24">'SCE-COMP'!#REF!</definedName>
    <definedName name="SS" localSheetId="25">'SEG-COMP'!#REF!</definedName>
    <definedName name="SS" localSheetId="26">'SPDA-COMP'!#REF!</definedName>
    <definedName name="SS">#REF!</definedName>
    <definedName name="SSS" localSheetId="13">'ADM-COMP'!#REF!</definedName>
    <definedName name="SSS" localSheetId="17">'CLI-COMP'!#REF!</definedName>
    <definedName name="SSS" localSheetId="18">'EST-COMP'!#REF!</definedName>
    <definedName name="SSS" localSheetId="19">'GAS-COMP'!#REF!</definedName>
    <definedName name="SSS" localSheetId="21">'HID-COMP'!#REF!</definedName>
    <definedName name="SSS" localSheetId="20">'IMPER-COMP'!#REF!</definedName>
    <definedName name="SSS" localSheetId="22">'IMPL-COMP'!#REF!</definedName>
    <definedName name="SSS" localSheetId="23">'INC-COMP'!#REF!</definedName>
    <definedName name="SSS" localSheetId="24">'SCE-COMP'!#REF!</definedName>
    <definedName name="SSS" localSheetId="25">'SEG-COMP'!#REF!</definedName>
    <definedName name="SSS" localSheetId="26">'SPDA-COMP'!#REF!</definedName>
    <definedName name="SSS">#REF!</definedName>
    <definedName name="SSSSS" localSheetId="13">'ADM-COMP'!#REF!</definedName>
    <definedName name="SSSSS" localSheetId="17">'CLI-COMP'!#REF!</definedName>
    <definedName name="SSSSS" localSheetId="18">'EST-COMP'!#REF!</definedName>
    <definedName name="SSSSS" localSheetId="19">'GAS-COMP'!#REF!</definedName>
    <definedName name="SSSSS" localSheetId="21">'HID-COMP'!#REF!</definedName>
    <definedName name="SSSSS" localSheetId="20">'IMPER-COMP'!#REF!</definedName>
    <definedName name="SSSSS" localSheetId="22">'IMPL-COMP'!#REF!</definedName>
    <definedName name="SSSSS" localSheetId="23">'INC-COMP'!#REF!</definedName>
    <definedName name="SSSSS" localSheetId="24">'SCE-COMP'!#REF!</definedName>
    <definedName name="SSSSS" localSheetId="25">'SEG-COMP'!#REF!</definedName>
    <definedName name="SSSSS" localSheetId="26">'SPDA-COMP'!#REF!</definedName>
    <definedName name="SSSSS">#REF!</definedName>
    <definedName name="SSSSSSS" localSheetId="13">'ADM-COMP'!#REF!</definedName>
    <definedName name="SSSSSSS" localSheetId="17">'CLI-COMP'!#REF!</definedName>
    <definedName name="SSSSSSS" localSheetId="18">'EST-COMP'!#REF!</definedName>
    <definedName name="SSSSSSS" localSheetId="19">'GAS-COMP'!#REF!</definedName>
    <definedName name="SSSSSSS" localSheetId="21">'HID-COMP'!#REF!</definedName>
    <definedName name="SSSSSSS" localSheetId="20">'IMPER-COMP'!#REF!</definedName>
    <definedName name="SSSSSSS" localSheetId="22">'IMPL-COMP'!#REF!</definedName>
    <definedName name="SSSSSSS" localSheetId="23">'INC-COMP'!#REF!</definedName>
    <definedName name="SSSSSSS" localSheetId="24">'SCE-COMP'!#REF!</definedName>
    <definedName name="SSSSSSS" localSheetId="25">'SEG-COMP'!#REF!</definedName>
    <definedName name="SSSSSSS" localSheetId="26">'SPDA-COMP'!#REF!</definedName>
    <definedName name="SSSSSSS">#REF!</definedName>
    <definedName name="START" localSheetId="13">'ADM-COMP'!#REF!</definedName>
    <definedName name="START" localSheetId="17">'CLI-COMP'!#REF!</definedName>
    <definedName name="START" localSheetId="18">'EST-COMP'!#REF!</definedName>
    <definedName name="START" localSheetId="19">'GAS-COMP'!#REF!</definedName>
    <definedName name="START" localSheetId="21">'HID-COMP'!#REF!</definedName>
    <definedName name="START" localSheetId="20">'IMPER-COMP'!#REF!</definedName>
    <definedName name="START" localSheetId="22">'IMPL-COMP'!#REF!</definedName>
    <definedName name="START" localSheetId="23">'INC-COMP'!#REF!</definedName>
    <definedName name="START" localSheetId="24">'SCE-COMP'!#REF!</definedName>
    <definedName name="START" localSheetId="25">'SEG-COMP'!#REF!</definedName>
    <definedName name="START" localSheetId="26">'SPDA-COMP'!#REF!</definedName>
    <definedName name="START">#REF!</definedName>
    <definedName name="STATUS" localSheetId="13">'ADM-COMP'!#REF!</definedName>
    <definedName name="STATUS" localSheetId="17">'CLI-COMP'!#REF!</definedName>
    <definedName name="STATUS" localSheetId="18">'EST-COMP'!#REF!</definedName>
    <definedName name="STATUS" localSheetId="19">'GAS-COMP'!#REF!</definedName>
    <definedName name="STATUS" localSheetId="21">'HID-COMP'!#REF!</definedName>
    <definedName name="STATUS" localSheetId="20">'IMPER-COMP'!#REF!</definedName>
    <definedName name="STATUS" localSheetId="22">'IMPL-COMP'!#REF!</definedName>
    <definedName name="STATUS" localSheetId="23">'INC-COMP'!#REF!</definedName>
    <definedName name="STATUS" localSheetId="24">'SCE-COMP'!#REF!</definedName>
    <definedName name="STATUS" localSheetId="25">'SEG-COMP'!#REF!</definedName>
    <definedName name="STATUS" localSheetId="26">'SPDA-COMP'!#REF!</definedName>
    <definedName name="STATUS">#REF!</definedName>
    <definedName name="TABLE_1">[11]Planilha!#REF!</definedName>
    <definedName name="TABLE_1_1">NA()</definedName>
    <definedName name="TABLE_1_7">NA()</definedName>
    <definedName name="TABLE_2_1">[11]Planilha!#REF!</definedName>
    <definedName name="TABLE_2_1_1">NA()</definedName>
    <definedName name="TABLE_2_1_7">NA()</definedName>
    <definedName name="TECH" localSheetId="13">'ADM-COMP'!#REF!</definedName>
    <definedName name="TECH" localSheetId="17">'CLI-COMP'!#REF!</definedName>
    <definedName name="TECH" localSheetId="18">'EST-COMP'!#REF!</definedName>
    <definedName name="TECH" localSheetId="19">'GAS-COMP'!#REF!</definedName>
    <definedName name="TECH" localSheetId="21">'HID-COMP'!#REF!</definedName>
    <definedName name="TECH" localSheetId="20">'IMPER-COMP'!#REF!</definedName>
    <definedName name="TECH" localSheetId="22">'IMPL-COMP'!#REF!</definedName>
    <definedName name="TECH" localSheetId="23">'INC-COMP'!#REF!</definedName>
    <definedName name="TECH" localSheetId="24">'SCE-COMP'!#REF!</definedName>
    <definedName name="TECH" localSheetId="25">'SEG-COMP'!#REF!</definedName>
    <definedName name="TECH" localSheetId="26">'SPDA-COMP'!#REF!</definedName>
    <definedName name="TECH">#REF!</definedName>
    <definedName name="teste" localSheetId="13">'ADM-COMP'!#REF!</definedName>
    <definedName name="teste" localSheetId="17">'CLI-COMP'!#REF!</definedName>
    <definedName name="teste" localSheetId="18">'EST-COMP'!#REF!</definedName>
    <definedName name="teste" localSheetId="19">'GAS-COMP'!#REF!</definedName>
    <definedName name="teste" localSheetId="21">'HID-COMP'!#REF!</definedName>
    <definedName name="teste" localSheetId="20">'IMPER-COMP'!#REF!</definedName>
    <definedName name="teste" localSheetId="22">'IMPL-COMP'!#REF!</definedName>
    <definedName name="teste" localSheetId="23">'INC-COMP'!#REF!</definedName>
    <definedName name="teste" localSheetId="24">'SCE-COMP'!#REF!</definedName>
    <definedName name="teste" localSheetId="25">'SEG-COMP'!#REF!</definedName>
    <definedName name="teste" localSheetId="26">'SPDA-COMP'!#REF!</definedName>
    <definedName name="teste">#REF!</definedName>
    <definedName name="teste1" localSheetId="13">'ADM-COMP'!#REF!</definedName>
    <definedName name="teste1" localSheetId="17">'CLI-COMP'!#REF!</definedName>
    <definedName name="teste1" localSheetId="18">'EST-COMP'!#REF!</definedName>
    <definedName name="teste1" localSheetId="19">'GAS-COMP'!#REF!</definedName>
    <definedName name="teste1" localSheetId="21">'HID-COMP'!#REF!</definedName>
    <definedName name="teste1" localSheetId="20">'IMPER-COMP'!#REF!</definedName>
    <definedName name="teste1" localSheetId="22">'IMPL-COMP'!#REF!</definedName>
    <definedName name="teste1" localSheetId="23">'INC-COMP'!#REF!</definedName>
    <definedName name="teste1" localSheetId="24">'SCE-COMP'!#REF!</definedName>
    <definedName name="teste1" localSheetId="25">'SEG-COMP'!#REF!</definedName>
    <definedName name="teste1" localSheetId="26">'SPDA-COMP'!#REF!</definedName>
    <definedName name="teste1">#REF!</definedName>
    <definedName name="teste2" localSheetId="13">'[4]CAPA -1'!#REF!</definedName>
    <definedName name="teste2" localSheetId="17">'[4]CAPA -1'!#REF!</definedName>
    <definedName name="teste2" localSheetId="18">'[4]CAPA -1'!#REF!</definedName>
    <definedName name="teste2" localSheetId="19">'[4]CAPA -1'!#REF!</definedName>
    <definedName name="teste2" localSheetId="21">'[4]CAPA -1'!#REF!</definedName>
    <definedName name="teste2" localSheetId="20">'[4]CAPA -1'!#REF!</definedName>
    <definedName name="teste2" localSheetId="22">'[4]CAPA -1'!#REF!</definedName>
    <definedName name="teste2" localSheetId="23">'[4]CAPA -1'!#REF!</definedName>
    <definedName name="teste2" localSheetId="24">'[4]CAPA -1'!#REF!</definedName>
    <definedName name="teste2" localSheetId="25">'[4]CAPA -1'!#REF!</definedName>
    <definedName name="teste2" localSheetId="26">'[4]CAPA -1'!#REF!</definedName>
    <definedName name="teste2">'[4]CAPA -1'!#REF!</definedName>
    <definedName name="teste3" localSheetId="13">'ADM-COMP'!#REF!</definedName>
    <definedName name="teste3" localSheetId="17">'CLI-COMP'!#REF!</definedName>
    <definedName name="teste3" localSheetId="18">'EST-COMP'!#REF!</definedName>
    <definedName name="teste3" localSheetId="19">'GAS-COMP'!#REF!</definedName>
    <definedName name="teste3" localSheetId="21">'HID-COMP'!#REF!</definedName>
    <definedName name="teste3" localSheetId="20">'IMPER-COMP'!#REF!</definedName>
    <definedName name="teste3" localSheetId="22">'IMPL-COMP'!#REF!</definedName>
    <definedName name="teste3" localSheetId="23">'INC-COMP'!#REF!</definedName>
    <definedName name="teste3" localSheetId="24">'SCE-COMP'!#REF!</definedName>
    <definedName name="teste3" localSheetId="25">'SEG-COMP'!#REF!</definedName>
    <definedName name="teste3" localSheetId="26">'SPDA-COMP'!#REF!</definedName>
    <definedName name="teste3">#REF!</definedName>
    <definedName name="TESTE4" localSheetId="13">'ADM-COMP'!#REF!</definedName>
    <definedName name="TESTE4" localSheetId="17">'CLI-COMP'!#REF!</definedName>
    <definedName name="TESTE4" localSheetId="18">'EST-COMP'!#REF!</definedName>
    <definedName name="TESTE4" localSheetId="19">'GAS-COMP'!#REF!</definedName>
    <definedName name="TESTE4" localSheetId="21">'HID-COMP'!#REF!</definedName>
    <definedName name="TESTE4" localSheetId="20">'IMPER-COMP'!#REF!</definedName>
    <definedName name="TESTE4" localSheetId="22">'IMPL-COMP'!#REF!</definedName>
    <definedName name="TESTE4" localSheetId="23">'INC-COMP'!#REF!</definedName>
    <definedName name="TESTE4" localSheetId="24">'SCE-COMP'!#REF!</definedName>
    <definedName name="TESTE4" localSheetId="25">'SEG-COMP'!#REF!</definedName>
    <definedName name="TESTE4" localSheetId="26">'SPDA-COMP'!#REF!</definedName>
    <definedName name="TESTE4">#REF!</definedName>
    <definedName name="TESTE5" localSheetId="13">'ADM-COMP'!#REF!</definedName>
    <definedName name="TESTE5" localSheetId="17">'CLI-COMP'!#REF!</definedName>
    <definedName name="TESTE5" localSheetId="18">'EST-COMP'!#REF!</definedName>
    <definedName name="TESTE5" localSheetId="19">'GAS-COMP'!#REF!</definedName>
    <definedName name="TESTE5" localSheetId="21">'HID-COMP'!#REF!</definedName>
    <definedName name="TESTE5" localSheetId="20">'IMPER-COMP'!#REF!</definedName>
    <definedName name="TESTE5" localSheetId="22">'IMPL-COMP'!#REF!</definedName>
    <definedName name="TESTE5" localSheetId="23">'INC-COMP'!#REF!</definedName>
    <definedName name="TESTE5" localSheetId="24">'SCE-COMP'!#REF!</definedName>
    <definedName name="TESTE5" localSheetId="25">'SEG-COMP'!#REF!</definedName>
    <definedName name="TESTE5" localSheetId="26">'SPDA-COMP'!#REF!</definedName>
    <definedName name="TESTE5">#REF!</definedName>
    <definedName name="_xlnm.Print_Titles" localSheetId="13">'ADM-COMP'!$1:$4</definedName>
    <definedName name="_xlnm.Print_Titles" localSheetId="12">'ARQ-COMP'!$1:$4</definedName>
    <definedName name="_xlnm.Print_Titles" localSheetId="19">'GAS-COMP'!$1:$2</definedName>
    <definedName name="_xlnm.Print_Titles" localSheetId="1">GLOBAL!$1:$5</definedName>
    <definedName name="_xlnm.Print_Titles" localSheetId="15">'LS-COMP'!$1:$7</definedName>
    <definedName name="_xlnm.Print_Titles" localSheetId="2">'MEM-LEVANT'!$1:$6</definedName>
    <definedName name="vfvf">[12]Dados!$G$7</definedName>
    <definedName name="wrn.Cronograma." hidden="1">{#N/A,#N/A,FALSE,"Cronograma";#N/A,#N/A,FALSE,"Cronogr. 2"}</definedName>
    <definedName name="wrn.GERAL." hidden="1">{#N/A,#N/A,FALSE,"ET-CAPA";#N/A,#N/A,FALSE,"ET-PAG1";#N/A,#N/A,FALSE,"ET-PAG2";#N/A,#N/A,FALSE,"ET-PAG3";#N/A,#N/A,FALSE,"ET-PAG4";#N/A,#N/A,FALSE,"ET-PAG5"}</definedName>
    <definedName name="wrn.PENDENCIAS." hidden="1">{#N/A,#N/A,FALSE,"GERAL";#N/A,#N/A,FALSE,"012-96";#N/A,#N/A,FALSE,"018-96";#N/A,#N/A,FALSE,"027-96";#N/A,#N/A,FALSE,"059-96";#N/A,#N/A,FALSE,"076-96";#N/A,#N/A,FALSE,"019-97";#N/A,#N/A,FALSE,"021-97";#N/A,#N/A,FALSE,"022-97";#N/A,#N/A,FALSE,"028-97"}</definedName>
    <definedName name="X" localSheetId="13">'ADM-COMP'!#REF!</definedName>
    <definedName name="X" localSheetId="17">'CLI-COMP'!#REF!</definedName>
    <definedName name="X" localSheetId="18">'EST-COMP'!#REF!</definedName>
    <definedName name="X" localSheetId="19">'GAS-COMP'!#REF!</definedName>
    <definedName name="X" localSheetId="21">'HID-COMP'!#REF!</definedName>
    <definedName name="X" localSheetId="20">'IMPER-COMP'!#REF!</definedName>
    <definedName name="X" localSheetId="22">'IMPL-COMP'!#REF!</definedName>
    <definedName name="X" localSheetId="23">'INC-COMP'!#REF!</definedName>
    <definedName name="X" localSheetId="24">'SCE-COMP'!#REF!</definedName>
    <definedName name="X" localSheetId="25">'SEG-COMP'!#REF!</definedName>
    <definedName name="X" localSheetId="26">'SPDA-COMP'!#REF!</definedName>
    <definedName name="X">#REF!</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41" i="3" l="1"/>
  <c r="K15" i="45"/>
  <c r="K14" i="45"/>
  <c r="K12" i="45"/>
  <c r="K10" i="45"/>
  <c r="K9" i="45"/>
  <c r="K7" i="45"/>
  <c r="K6" i="45"/>
  <c r="K5" i="45"/>
  <c r="K4" i="45"/>
  <c r="K3" i="45"/>
  <c r="K2" i="45"/>
  <c r="G49" i="1"/>
  <c r="H49" i="1"/>
  <c r="I49" i="1" s="1"/>
  <c r="J49" i="1" s="1"/>
  <c r="K49" i="1" s="1"/>
  <c r="L49" i="1" s="1"/>
  <c r="M49" i="1" s="1"/>
  <c r="N49" i="1" s="1"/>
  <c r="O49" i="1" s="1"/>
  <c r="P49" i="1" s="1"/>
  <c r="Q49" i="1" s="1"/>
  <c r="R49" i="1" s="1"/>
  <c r="S49" i="1" s="1"/>
  <c r="T49" i="1" s="1"/>
  <c r="U49" i="1" s="1"/>
  <c r="V49" i="1" s="1"/>
  <c r="G48" i="1"/>
  <c r="H48" i="1"/>
  <c r="I48" i="1" s="1"/>
  <c r="J48" i="1" s="1"/>
  <c r="K48" i="1" s="1"/>
  <c r="L48" i="1" s="1"/>
  <c r="M48" i="1" s="1"/>
  <c r="N48" i="1" s="1"/>
  <c r="O48" i="1" s="1"/>
  <c r="P48" i="1" s="1"/>
  <c r="Q48" i="1" s="1"/>
  <c r="R48" i="1" s="1"/>
  <c r="S48" i="1" s="1"/>
  <c r="T48" i="1" s="1"/>
  <c r="U48" i="1" s="1"/>
  <c r="V48" i="1" s="1"/>
  <c r="R16" i="1"/>
  <c r="Q16" i="1"/>
  <c r="P16" i="1"/>
  <c r="V46" i="1"/>
  <c r="E46" i="1"/>
  <c r="N40" i="1"/>
  <c r="M40" i="1"/>
  <c r="O30" i="1"/>
  <c r="M30" i="1"/>
  <c r="L30" i="1"/>
  <c r="R22" i="1"/>
  <c r="Q22" i="1"/>
  <c r="H22" i="1"/>
  <c r="G22" i="1"/>
  <c r="P20" i="1"/>
  <c r="O20" i="1"/>
  <c r="I20" i="1"/>
  <c r="H20" i="1"/>
  <c r="X20" i="1" s="1"/>
  <c r="X11" i="1"/>
  <c r="X13" i="1"/>
  <c r="X15" i="1"/>
  <c r="X17" i="1"/>
  <c r="X19" i="1"/>
  <c r="X21" i="1"/>
  <c r="X23" i="1"/>
  <c r="X25" i="1"/>
  <c r="X27" i="1"/>
  <c r="X29" i="1"/>
  <c r="X31" i="1"/>
  <c r="X33" i="1"/>
  <c r="X35" i="1"/>
  <c r="X37" i="1"/>
  <c r="X41" i="1"/>
  <c r="X43" i="1"/>
  <c r="X44" i="1"/>
  <c r="X45" i="1"/>
  <c r="X9" i="1"/>
  <c r="F10" i="1"/>
  <c r="N42" i="1"/>
  <c r="S34" i="1"/>
  <c r="N34" i="1"/>
  <c r="M34" i="1"/>
  <c r="T32" i="1"/>
  <c r="R32" i="1"/>
  <c r="J32" i="1"/>
  <c r="H32" i="1"/>
  <c r="C12" i="1"/>
  <c r="G12" i="1" s="1"/>
  <c r="C42" i="1"/>
  <c r="C40" i="1"/>
  <c r="C38" i="1"/>
  <c r="T38" i="1" s="1"/>
  <c r="C36" i="1"/>
  <c r="C34" i="1"/>
  <c r="C32" i="1"/>
  <c r="L32" i="1" s="1"/>
  <c r="C30" i="1"/>
  <c r="R30" i="1" s="1"/>
  <c r="C28" i="1"/>
  <c r="V28" i="1" s="1"/>
  <c r="C26" i="1"/>
  <c r="K26" i="1" s="1"/>
  <c r="C24" i="1"/>
  <c r="T24" i="1" s="1"/>
  <c r="C22" i="1"/>
  <c r="C20" i="1"/>
  <c r="C18" i="1"/>
  <c r="M18" i="1" s="1"/>
  <c r="C16" i="1"/>
  <c r="C14" i="1"/>
  <c r="B42" i="1"/>
  <c r="B40" i="1"/>
  <c r="B38" i="1"/>
  <c r="B36" i="1"/>
  <c r="B34" i="1"/>
  <c r="B32" i="1"/>
  <c r="B30" i="1"/>
  <c r="B28" i="1"/>
  <c r="B26" i="1"/>
  <c r="B24" i="1"/>
  <c r="B22" i="1"/>
  <c r="B20" i="1"/>
  <c r="B18" i="1"/>
  <c r="B16" i="1"/>
  <c r="B14" i="1"/>
  <c r="B12" i="1"/>
  <c r="B10" i="1"/>
  <c r="C10" i="1"/>
  <c r="C8" i="1"/>
  <c r="E25" i="2"/>
  <c r="D25" i="2"/>
  <c r="D8" i="2"/>
  <c r="D9" i="2"/>
  <c r="D10" i="2"/>
  <c r="D11" i="2"/>
  <c r="D12" i="2"/>
  <c r="D13" i="2"/>
  <c r="D14" i="2"/>
  <c r="D15" i="2"/>
  <c r="D16" i="2"/>
  <c r="D17" i="2"/>
  <c r="D18" i="2"/>
  <c r="D19" i="2"/>
  <c r="D20" i="2"/>
  <c r="D21" i="2"/>
  <c r="D22" i="2"/>
  <c r="D23" i="2"/>
  <c r="D24" i="2"/>
  <c r="D7" i="2"/>
  <c r="C8" i="2"/>
  <c r="C9" i="2"/>
  <c r="C10" i="2"/>
  <c r="C11" i="2"/>
  <c r="C12" i="2"/>
  <c r="C13" i="2"/>
  <c r="C14" i="2"/>
  <c r="C15" i="2"/>
  <c r="C16" i="2"/>
  <c r="C17" i="2"/>
  <c r="C18" i="2"/>
  <c r="C19" i="2"/>
  <c r="C20" i="2"/>
  <c r="C21" i="2"/>
  <c r="C22" i="2"/>
  <c r="C23" i="2"/>
  <c r="C24" i="2"/>
  <c r="I333" i="5"/>
  <c r="I331" i="5"/>
  <c r="C331" i="5"/>
  <c r="B331" i="5"/>
  <c r="G79" i="3"/>
  <c r="F79" i="3"/>
  <c r="H79" i="3" s="1"/>
  <c r="E79" i="3"/>
  <c r="D79" i="3"/>
  <c r="J60" i="8"/>
  <c r="J56" i="8"/>
  <c r="J55" i="8"/>
  <c r="J54" i="8"/>
  <c r="J53" i="8"/>
  <c r="J58" i="8"/>
  <c r="J57" i="8"/>
  <c r="J59" i="8"/>
  <c r="F65" i="8"/>
  <c r="H64" i="8"/>
  <c r="J61" i="8"/>
  <c r="A51" i="8"/>
  <c r="I1324" i="5"/>
  <c r="I1322" i="5" s="1"/>
  <c r="I1319" i="5"/>
  <c r="I1317" i="5" s="1"/>
  <c r="F215" i="3" s="1"/>
  <c r="I1314" i="5"/>
  <c r="I1312" i="5"/>
  <c r="F214" i="3" s="1"/>
  <c r="F216" i="3"/>
  <c r="F47" i="8"/>
  <c r="F42" i="8"/>
  <c r="H41" i="8"/>
  <c r="J38" i="8"/>
  <c r="H45" i="8" s="1"/>
  <c r="A36" i="8"/>
  <c r="I1514" i="5"/>
  <c r="I1513" i="5"/>
  <c r="I1511" i="5"/>
  <c r="B1511" i="5"/>
  <c r="F256" i="3"/>
  <c r="E256" i="3"/>
  <c r="C1511" i="5" s="1"/>
  <c r="I74" i="5"/>
  <c r="C22" i="3"/>
  <c r="J24" i="1" l="1"/>
  <c r="S24" i="1"/>
  <c r="M12" i="1"/>
  <c r="M46" i="1" s="1"/>
  <c r="H28" i="1"/>
  <c r="N28" i="1"/>
  <c r="T26" i="1"/>
  <c r="H12" i="1"/>
  <c r="N32" i="1"/>
  <c r="N12" i="1"/>
  <c r="J30" i="1"/>
  <c r="K24" i="1"/>
  <c r="X24" i="1" s="1"/>
  <c r="T42" i="1"/>
  <c r="U26" i="1"/>
  <c r="Q26" i="1"/>
  <c r="I28" i="1"/>
  <c r="R26" i="1"/>
  <c r="M28" i="1"/>
  <c r="S26" i="1"/>
  <c r="F12" i="1"/>
  <c r="P32" i="1"/>
  <c r="K30" i="1"/>
  <c r="P30" i="1"/>
  <c r="Q30" i="1"/>
  <c r="M42" i="1"/>
  <c r="X22" i="1"/>
  <c r="T16" i="1"/>
  <c r="I26" i="1"/>
  <c r="M26" i="1"/>
  <c r="J26" i="1"/>
  <c r="O12" i="1"/>
  <c r="N36" i="1"/>
  <c r="Q46" i="1"/>
  <c r="S16" i="1"/>
  <c r="T34" i="1"/>
  <c r="X34" i="1" s="1"/>
  <c r="O26" i="1"/>
  <c r="O36" i="1"/>
  <c r="P26" i="1"/>
  <c r="J38" i="1"/>
  <c r="X39" i="1" s="1"/>
  <c r="Q14" i="1"/>
  <c r="P38" i="1"/>
  <c r="L38" i="1"/>
  <c r="P14" i="1"/>
  <c r="T36" i="1"/>
  <c r="O14" i="1"/>
  <c r="L26" i="1"/>
  <c r="L16" i="1"/>
  <c r="C45" i="1"/>
  <c r="I14" i="1"/>
  <c r="J14" i="1"/>
  <c r="K14" i="1"/>
  <c r="G10" i="1"/>
  <c r="H68" i="8"/>
  <c r="I68" i="8" s="1"/>
  <c r="J68" i="8" s="1"/>
  <c r="H65" i="8"/>
  <c r="H66" i="8" s="1"/>
  <c r="I45" i="8"/>
  <c r="J45" i="8" s="1"/>
  <c r="H42" i="8"/>
  <c r="H43" i="8" s="1"/>
  <c r="X16" i="1" l="1"/>
  <c r="R46" i="1"/>
  <c r="R47" i="1" s="1"/>
  <c r="P46" i="1"/>
  <c r="P47" i="1" s="1"/>
  <c r="X26" i="1"/>
  <c r="X14" i="1"/>
  <c r="O46" i="1"/>
  <c r="X12" i="1"/>
  <c r="Q47" i="1"/>
  <c r="M47" i="1"/>
  <c r="T46" i="1"/>
  <c r="T47" i="1" s="1"/>
  <c r="N46" i="1"/>
  <c r="N47" i="1" s="1"/>
  <c r="H46" i="1"/>
  <c r="H47" i="1" s="1"/>
  <c r="J46" i="1"/>
  <c r="J47" i="1" s="1"/>
  <c r="S46" i="1"/>
  <c r="I46" i="1"/>
  <c r="K46" i="1"/>
  <c r="G46" i="1"/>
  <c r="L46" i="1"/>
  <c r="L47" i="1" s="1"/>
  <c r="I66" i="8"/>
  <c r="J66" i="8" s="1"/>
  <c r="J71" i="8" s="1"/>
  <c r="J51" i="8" s="1"/>
  <c r="H69" i="8"/>
  <c r="I43" i="8"/>
  <c r="J43" i="8" s="1"/>
  <c r="J48" i="8" s="1"/>
  <c r="J36" i="8" s="1"/>
  <c r="H46" i="8"/>
  <c r="I421" i="5"/>
  <c r="I420" i="5"/>
  <c r="I419" i="5"/>
  <c r="C416" i="5"/>
  <c r="G88" i="3"/>
  <c r="D88" i="3"/>
  <c r="B416" i="5" s="1"/>
  <c r="I414" i="5"/>
  <c r="I413" i="5"/>
  <c r="G411" i="5"/>
  <c r="I411" i="5" s="1"/>
  <c r="I412" i="5"/>
  <c r="I409" i="5"/>
  <c r="I408" i="5"/>
  <c r="D407" i="5"/>
  <c r="I407" i="5" s="1"/>
  <c r="I404" i="5"/>
  <c r="E403" i="5"/>
  <c r="I403" i="5" s="1"/>
  <c r="I401" i="5"/>
  <c r="I402" i="5"/>
  <c r="I400" i="5"/>
  <c r="I396" i="5"/>
  <c r="I397" i="5"/>
  <c r="I398" i="5"/>
  <c r="I399" i="5"/>
  <c r="I405" i="5"/>
  <c r="I406" i="5"/>
  <c r="I395" i="5"/>
  <c r="C392" i="5"/>
  <c r="B392" i="5"/>
  <c r="G87" i="3"/>
  <c r="I342" i="5"/>
  <c r="I328" i="5"/>
  <c r="I327" i="5"/>
  <c r="I325" i="5"/>
  <c r="I326" i="5"/>
  <c r="I324" i="5"/>
  <c r="C78" i="3"/>
  <c r="G78" i="3"/>
  <c r="I2552" i="5"/>
  <c r="I2550" i="5" s="1"/>
  <c r="F426" i="3" s="1"/>
  <c r="C2550" i="5"/>
  <c r="B2550" i="5"/>
  <c r="G426" i="3"/>
  <c r="I2359" i="5"/>
  <c r="I2240" i="5"/>
  <c r="I653" i="5"/>
  <c r="G430" i="3"/>
  <c r="D2003" i="5"/>
  <c r="I2003" i="5" s="1"/>
  <c r="D604" i="5"/>
  <c r="I604" i="5" s="1"/>
  <c r="D605" i="5"/>
  <c r="I605" i="5" s="1"/>
  <c r="C602" i="5"/>
  <c r="G116" i="3"/>
  <c r="D116" i="3"/>
  <c r="B602" i="5" s="1"/>
  <c r="D115" i="3"/>
  <c r="B597" i="5" s="1"/>
  <c r="G115" i="3"/>
  <c r="I599" i="5"/>
  <c r="I597" i="5" s="1"/>
  <c r="F115" i="3" s="1"/>
  <c r="C597" i="5"/>
  <c r="D430" i="3"/>
  <c r="D2565" i="5"/>
  <c r="I2565" i="5" s="1"/>
  <c r="D2564" i="5"/>
  <c r="I2564" i="5" s="1"/>
  <c r="C429" i="3"/>
  <c r="G429" i="3" s="1"/>
  <c r="I2559" i="5"/>
  <c r="I2558" i="5"/>
  <c r="G428" i="3"/>
  <c r="I2570" i="5"/>
  <c r="I2568" i="5" s="1"/>
  <c r="F430" i="3" s="1"/>
  <c r="B2555" i="5"/>
  <c r="C2556" i="5"/>
  <c r="B2556" i="5"/>
  <c r="I2607" i="5"/>
  <c r="I2603" i="5"/>
  <c r="I2604" i="5"/>
  <c r="I2605" i="5"/>
  <c r="D2602" i="5"/>
  <c r="I2602" i="5" s="1"/>
  <c r="C2599" i="5"/>
  <c r="B2599" i="5"/>
  <c r="G438" i="3"/>
  <c r="D2593" i="5"/>
  <c r="D2585" i="5"/>
  <c r="D2577" i="5"/>
  <c r="I2463" i="5"/>
  <c r="I2462" i="5"/>
  <c r="C404" i="3"/>
  <c r="E404" i="3" s="1"/>
  <c r="C2460" i="5" s="1"/>
  <c r="H2417" i="5"/>
  <c r="I2417" i="5" s="1"/>
  <c r="H2416" i="5"/>
  <c r="I2416" i="5" s="1"/>
  <c r="H2415" i="5"/>
  <c r="I2415" i="5" s="1"/>
  <c r="H2414" i="5"/>
  <c r="I2414" i="5" s="1"/>
  <c r="I2413" i="5"/>
  <c r="H2358" i="5"/>
  <c r="I2358" i="5" s="1"/>
  <c r="H2357" i="5"/>
  <c r="I2357" i="5" s="1"/>
  <c r="I2356" i="5"/>
  <c r="H2355" i="5"/>
  <c r="I2355" i="5" s="1"/>
  <c r="H2354" i="5"/>
  <c r="I2354" i="5" s="1"/>
  <c r="I2353" i="5"/>
  <c r="I2352" i="5"/>
  <c r="I2351" i="5"/>
  <c r="I2350" i="5"/>
  <c r="H2295" i="5"/>
  <c r="I2295" i="5" s="1"/>
  <c r="H2297" i="5"/>
  <c r="I2297" i="5" s="1"/>
  <c r="H2296" i="5"/>
  <c r="I2296" i="5" s="1"/>
  <c r="H2294" i="5"/>
  <c r="I2294" i="5" s="1"/>
  <c r="I2293" i="5"/>
  <c r="H2239" i="5"/>
  <c r="I2239" i="5" s="1"/>
  <c r="H2238" i="5"/>
  <c r="I2238" i="5" s="1"/>
  <c r="I2237" i="5"/>
  <c r="H2236" i="5"/>
  <c r="I2236" i="5" s="1"/>
  <c r="H2235" i="5"/>
  <c r="I2235" i="5" s="1"/>
  <c r="I2234" i="5"/>
  <c r="I2233" i="5"/>
  <c r="I2232" i="5"/>
  <c r="I2059" i="5"/>
  <c r="I2058" i="5"/>
  <c r="I2057" i="5"/>
  <c r="I2056" i="5"/>
  <c r="I2055" i="5"/>
  <c r="I2043" i="5"/>
  <c r="I2042" i="5"/>
  <c r="I2041" i="5"/>
  <c r="I2040" i="5"/>
  <c r="I2039" i="5"/>
  <c r="I2014" i="5"/>
  <c r="I2015" i="5"/>
  <c r="I2016" i="5"/>
  <c r="G2013" i="5"/>
  <c r="I2013" i="5" s="1"/>
  <c r="G2009" i="5"/>
  <c r="G2008" i="5"/>
  <c r="I2002" i="5"/>
  <c r="I2001" i="5"/>
  <c r="I2000" i="5"/>
  <c r="G1985" i="5"/>
  <c r="G1984" i="5"/>
  <c r="I1980" i="5"/>
  <c r="G1979" i="5"/>
  <c r="G1977" i="5"/>
  <c r="G1976" i="5"/>
  <c r="I1961" i="5"/>
  <c r="I1664" i="5"/>
  <c r="I1658" i="5"/>
  <c r="I1647" i="5"/>
  <c r="I1641" i="5"/>
  <c r="I1635" i="5"/>
  <c r="I1617" i="5"/>
  <c r="I1629" i="5"/>
  <c r="I1623" i="5"/>
  <c r="O47" i="1" l="1"/>
  <c r="G47" i="1"/>
  <c r="S47" i="1"/>
  <c r="K47" i="1"/>
  <c r="I47" i="1"/>
  <c r="I416" i="5"/>
  <c r="F88" i="3" s="1"/>
  <c r="H88" i="3" s="1"/>
  <c r="I392" i="5"/>
  <c r="F87" i="3"/>
  <c r="H87" i="3" s="1"/>
  <c r="G404" i="3"/>
  <c r="I322" i="5"/>
  <c r="F78" i="3" s="1"/>
  <c r="H78" i="3" s="1"/>
  <c r="D78" i="3"/>
  <c r="B322" i="5" s="1"/>
  <c r="E78" i="3"/>
  <c r="C322" i="5" s="1"/>
  <c r="H426" i="3"/>
  <c r="I602" i="5"/>
  <c r="F116" i="3" s="1"/>
  <c r="H116" i="3" s="1"/>
  <c r="I2556" i="5"/>
  <c r="F428" i="3" s="1"/>
  <c r="H428" i="3" s="1"/>
  <c r="H430" i="3"/>
  <c r="D404" i="3"/>
  <c r="B2460" i="5" s="1"/>
  <c r="H115" i="3"/>
  <c r="I2562" i="5"/>
  <c r="F429" i="3" s="1"/>
  <c r="H429" i="3" s="1"/>
  <c r="D429" i="3"/>
  <c r="B2562" i="5" s="1"/>
  <c r="E429" i="3"/>
  <c r="C2562" i="5" s="1"/>
  <c r="B2568" i="5"/>
  <c r="C2568" i="5"/>
  <c r="I2599" i="5"/>
  <c r="F438" i="3" s="1"/>
  <c r="H438" i="3" s="1"/>
  <c r="I2460" i="5"/>
  <c r="I1343" i="5"/>
  <c r="I1331" i="5"/>
  <c r="I1295" i="5"/>
  <c r="I1225" i="5"/>
  <c r="I1226" i="5"/>
  <c r="I1227" i="5"/>
  <c r="I1228" i="5"/>
  <c r="I1229" i="5"/>
  <c r="I1204" i="5"/>
  <c r="I1203" i="5"/>
  <c r="I1202" i="5"/>
  <c r="I1201" i="5"/>
  <c r="I1174" i="5"/>
  <c r="I1173" i="5"/>
  <c r="I1172" i="5"/>
  <c r="I1171" i="5"/>
  <c r="I1149" i="5"/>
  <c r="I1141" i="5"/>
  <c r="I1133" i="5"/>
  <c r="I1125" i="5"/>
  <c r="I1110" i="5"/>
  <c r="I1102" i="5"/>
  <c r="I1094" i="5"/>
  <c r="I1086" i="5"/>
  <c r="I1078" i="5"/>
  <c r="I1026" i="5"/>
  <c r="I1019" i="5"/>
  <c r="I1013" i="5"/>
  <c r="I1007" i="5"/>
  <c r="I1001" i="5"/>
  <c r="I995" i="5"/>
  <c r="I988" i="5"/>
  <c r="I987" i="5"/>
  <c r="I986" i="5"/>
  <c r="I985" i="5"/>
  <c r="I963" i="5"/>
  <c r="I962" i="5"/>
  <c r="I961" i="5"/>
  <c r="I960" i="5"/>
  <c r="I938" i="5"/>
  <c r="I937" i="5"/>
  <c r="I936" i="5"/>
  <c r="I935" i="5"/>
  <c r="I914" i="5"/>
  <c r="I913" i="5"/>
  <c r="I912" i="5"/>
  <c r="I911" i="5"/>
  <c r="I890" i="5"/>
  <c r="I889" i="5"/>
  <c r="I888" i="5"/>
  <c r="I887" i="5"/>
  <c r="I860" i="5"/>
  <c r="I859" i="5"/>
  <c r="I858" i="5"/>
  <c r="I857" i="5"/>
  <c r="I836" i="5"/>
  <c r="I835" i="5"/>
  <c r="I834" i="5"/>
  <c r="I833" i="5"/>
  <c r="I805" i="5"/>
  <c r="I804" i="5"/>
  <c r="I784" i="5"/>
  <c r="I760" i="5"/>
  <c r="I770" i="5"/>
  <c r="H768" i="5"/>
  <c r="I768" i="5" s="1"/>
  <c r="H767" i="5"/>
  <c r="I767" i="5" s="1"/>
  <c r="H766" i="5"/>
  <c r="I766" i="5" s="1"/>
  <c r="I755" i="5"/>
  <c r="H753" i="5"/>
  <c r="I753" i="5" s="1"/>
  <c r="H752" i="5"/>
  <c r="I752" i="5" s="1"/>
  <c r="H751" i="5"/>
  <c r="I751" i="5" s="1"/>
  <c r="G148" i="3"/>
  <c r="I744" i="5"/>
  <c r="I741" i="5"/>
  <c r="I739" i="5"/>
  <c r="I736" i="5"/>
  <c r="I731" i="5"/>
  <c r="I730" i="5"/>
  <c r="I729" i="5"/>
  <c r="I728" i="5"/>
  <c r="I708" i="5"/>
  <c r="I707" i="5"/>
  <c r="I706" i="5"/>
  <c r="I705" i="5"/>
  <c r="C140" i="3"/>
  <c r="D684" i="5"/>
  <c r="I684" i="5" s="1"/>
  <c r="I685" i="5"/>
  <c r="D682" i="5"/>
  <c r="I682" i="5" s="1"/>
  <c r="I683" i="5"/>
  <c r="I681" i="5"/>
  <c r="D660" i="5"/>
  <c r="I660" i="5" s="1"/>
  <c r="I652" i="5"/>
  <c r="H650" i="5"/>
  <c r="I650" i="5" s="1"/>
  <c r="H649" i="5"/>
  <c r="I649" i="5" s="1"/>
  <c r="H648" i="5"/>
  <c r="I648" i="5" s="1"/>
  <c r="G133" i="3"/>
  <c r="D641" i="5"/>
  <c r="I641" i="5" s="1"/>
  <c r="I618" i="5"/>
  <c r="I617" i="5"/>
  <c r="D612" i="5"/>
  <c r="I612" i="5" s="1"/>
  <c r="D611" i="5"/>
  <c r="I611" i="5" s="1"/>
  <c r="I589" i="5"/>
  <c r="D595" i="5"/>
  <c r="I595" i="5" s="1"/>
  <c r="D594" i="5"/>
  <c r="I594" i="5" s="1"/>
  <c r="C592" i="5"/>
  <c r="B592" i="5"/>
  <c r="G114" i="3"/>
  <c r="G113" i="3"/>
  <c r="I583" i="5"/>
  <c r="I582" i="5"/>
  <c r="I581" i="5"/>
  <c r="I580" i="5"/>
  <c r="I579" i="5"/>
  <c r="I578" i="5"/>
  <c r="I577" i="5"/>
  <c r="I575" i="5"/>
  <c r="I574" i="5"/>
  <c r="I573" i="5"/>
  <c r="I570" i="5"/>
  <c r="I571" i="5"/>
  <c r="I569" i="5"/>
  <c r="I561" i="5"/>
  <c r="I559" i="5" s="1"/>
  <c r="F106" i="3" s="1"/>
  <c r="C559" i="5"/>
  <c r="G106" i="3"/>
  <c r="D106" i="3"/>
  <c r="B559" i="5" s="1"/>
  <c r="I556" i="5"/>
  <c r="I555" i="5"/>
  <c r="I554" i="5"/>
  <c r="I553" i="5"/>
  <c r="I552" i="5"/>
  <c r="I549" i="5"/>
  <c r="I548" i="5"/>
  <c r="I547" i="5"/>
  <c r="I546" i="5"/>
  <c r="I545" i="5"/>
  <c r="I543" i="5"/>
  <c r="I542" i="5"/>
  <c r="I541" i="5"/>
  <c r="I540" i="5"/>
  <c r="I539" i="5"/>
  <c r="I533" i="5"/>
  <c r="I534" i="5"/>
  <c r="I535" i="5"/>
  <c r="I536" i="5"/>
  <c r="I537" i="5"/>
  <c r="I532" i="5"/>
  <c r="I523" i="5"/>
  <c r="I525" i="5"/>
  <c r="I524" i="5"/>
  <c r="I522" i="5"/>
  <c r="I514" i="5"/>
  <c r="I515" i="5"/>
  <c r="I516" i="5"/>
  <c r="I517" i="5"/>
  <c r="I513" i="5"/>
  <c r="I494" i="5"/>
  <c r="I495" i="5"/>
  <c r="I496" i="5"/>
  <c r="I497" i="5"/>
  <c r="I493" i="5"/>
  <c r="I507" i="5"/>
  <c r="I505" i="5"/>
  <c r="I504" i="5"/>
  <c r="I503" i="5"/>
  <c r="I487" i="5"/>
  <c r="I485" i="5"/>
  <c r="I484" i="5"/>
  <c r="I483" i="5"/>
  <c r="G104" i="3"/>
  <c r="G103" i="3"/>
  <c r="G102" i="3"/>
  <c r="G101" i="3"/>
  <c r="G100" i="3"/>
  <c r="I476" i="5"/>
  <c r="I474" i="5"/>
  <c r="I472" i="5"/>
  <c r="C98" i="3"/>
  <c r="G98" i="3" s="1"/>
  <c r="I467" i="5"/>
  <c r="I465" i="5"/>
  <c r="I463" i="5"/>
  <c r="I461" i="5"/>
  <c r="I455" i="5"/>
  <c r="I453" i="5"/>
  <c r="I451" i="5"/>
  <c r="I446" i="5"/>
  <c r="C96" i="3"/>
  <c r="C95" i="3"/>
  <c r="C97" i="3"/>
  <c r="E97" i="3" s="1"/>
  <c r="C458" i="5" s="1"/>
  <c r="I389" i="5"/>
  <c r="D390" i="5"/>
  <c r="I390" i="5" s="1"/>
  <c r="D388" i="5"/>
  <c r="I388" i="5" s="1"/>
  <c r="D384" i="5"/>
  <c r="I384" i="5" s="1"/>
  <c r="D381" i="5"/>
  <c r="I381" i="5" s="1"/>
  <c r="D378" i="5"/>
  <c r="I378" i="5" s="1"/>
  <c r="I373" i="5"/>
  <c r="I372" i="5"/>
  <c r="I368" i="5"/>
  <c r="I367" i="5"/>
  <c r="I366" i="5"/>
  <c r="I365" i="5"/>
  <c r="I364" i="5"/>
  <c r="I363" i="5"/>
  <c r="D351" i="5"/>
  <c r="I351" i="5" s="1"/>
  <c r="D341" i="5"/>
  <c r="D315" i="5"/>
  <c r="I315" i="5" s="1"/>
  <c r="I313" i="5"/>
  <c r="I314" i="5"/>
  <c r="I312" i="5"/>
  <c r="H306" i="5"/>
  <c r="H307" i="5" s="1"/>
  <c r="I307" i="5" s="1"/>
  <c r="E299" i="5"/>
  <c r="D292" i="5"/>
  <c r="I292" i="5" s="1"/>
  <c r="I287" i="5"/>
  <c r="H288" i="5"/>
  <c r="I288" i="5" s="1"/>
  <c r="I282" i="5"/>
  <c r="H283" i="5"/>
  <c r="I283" i="5" s="1"/>
  <c r="I273" i="5"/>
  <c r="I272" i="5"/>
  <c r="D277" i="5"/>
  <c r="I277" i="5" s="1"/>
  <c r="H265" i="5"/>
  <c r="I265" i="5" s="1"/>
  <c r="H260" i="5"/>
  <c r="I260" i="5" s="1"/>
  <c r="H255" i="5"/>
  <c r="I255" i="5" s="1"/>
  <c r="D249" i="5"/>
  <c r="D250" i="5" s="1"/>
  <c r="I250" i="5" s="1"/>
  <c r="D244" i="5"/>
  <c r="I244" i="5" s="1"/>
  <c r="I243" i="5"/>
  <c r="I238" i="5"/>
  <c r="I237" i="5"/>
  <c r="I230" i="5"/>
  <c r="D224" i="5"/>
  <c r="I224" i="5" s="1"/>
  <c r="D223" i="5"/>
  <c r="I223" i="5" s="1"/>
  <c r="I218" i="5"/>
  <c r="I213" i="5"/>
  <c r="I212" i="5"/>
  <c r="I207" i="5"/>
  <c r="I206" i="5"/>
  <c r="I205" i="5"/>
  <c r="D199" i="5"/>
  <c r="I199" i="5" s="1"/>
  <c r="D197" i="5"/>
  <c r="I197" i="5" s="1"/>
  <c r="D198" i="5"/>
  <c r="I198" i="5" s="1"/>
  <c r="I191" i="5"/>
  <c r="I190" i="5"/>
  <c r="D163" i="5"/>
  <c r="I163" i="5" s="1"/>
  <c r="D162" i="5"/>
  <c r="I162" i="5" s="1"/>
  <c r="D157" i="5"/>
  <c r="I157" i="5" s="1"/>
  <c r="D156" i="5"/>
  <c r="I156" i="5" s="1"/>
  <c r="D151" i="5"/>
  <c r="I151" i="5" s="1"/>
  <c r="D150" i="5"/>
  <c r="I150" i="5" s="1"/>
  <c r="D145" i="5"/>
  <c r="I145" i="5" s="1"/>
  <c r="D144" i="5"/>
  <c r="I144" i="5" s="1"/>
  <c r="D139" i="5"/>
  <c r="I139" i="5" s="1"/>
  <c r="D138" i="5"/>
  <c r="I138" i="5" s="1"/>
  <c r="D133" i="5"/>
  <c r="I133" i="5" s="1"/>
  <c r="D132" i="5"/>
  <c r="I132" i="5" s="1"/>
  <c r="D127" i="5"/>
  <c r="I127" i="5" s="1"/>
  <c r="D126" i="5"/>
  <c r="I126" i="5" s="1"/>
  <c r="D120" i="5"/>
  <c r="D121" i="5"/>
  <c r="I121" i="5" s="1"/>
  <c r="D32" i="5"/>
  <c r="I2547" i="5"/>
  <c r="I2498" i="5"/>
  <c r="I2457" i="5"/>
  <c r="I2451" i="5"/>
  <c r="I2433" i="5"/>
  <c r="I2412" i="5"/>
  <c r="I2231" i="5"/>
  <c r="I2176" i="5"/>
  <c r="I2144" i="5"/>
  <c r="I2012" i="5"/>
  <c r="I1999" i="5"/>
  <c r="I1987" i="5"/>
  <c r="I1979" i="5"/>
  <c r="I1972" i="5"/>
  <c r="I1967" i="5"/>
  <c r="I1731" i="5"/>
  <c r="I1725" i="5"/>
  <c r="I1719" i="5"/>
  <c r="I1713" i="5"/>
  <c r="I1700" i="5"/>
  <c r="I1694" i="5"/>
  <c r="I1688" i="5"/>
  <c r="I1682" i="5"/>
  <c r="I1676" i="5"/>
  <c r="I1594" i="5"/>
  <c r="I1568" i="5"/>
  <c r="I1563" i="5"/>
  <c r="I1558" i="5"/>
  <c r="I1553" i="5"/>
  <c r="I1548" i="5"/>
  <c r="I1509" i="5"/>
  <c r="I1504" i="5"/>
  <c r="I1499" i="5"/>
  <c r="I1494" i="5"/>
  <c r="I1489" i="5"/>
  <c r="I1484" i="5"/>
  <c r="I1479" i="5"/>
  <c r="I1474" i="5"/>
  <c r="I1469" i="5"/>
  <c r="I1402" i="5"/>
  <c r="I1397" i="5"/>
  <c r="I1392" i="5"/>
  <c r="I1350" i="5"/>
  <c r="I33" i="5"/>
  <c r="G97" i="3" l="1"/>
  <c r="I645" i="5"/>
  <c r="F404" i="3"/>
  <c r="H404" i="3" s="1"/>
  <c r="D2487" i="5"/>
  <c r="I2487" i="5" s="1"/>
  <c r="I2485" i="5" s="1"/>
  <c r="H106" i="3"/>
  <c r="I763" i="5"/>
  <c r="I748" i="5"/>
  <c r="I592" i="5"/>
  <c r="F114" i="3" s="1"/>
  <c r="H114" i="3" s="1"/>
  <c r="I528" i="5"/>
  <c r="I458" i="5"/>
  <c r="F97" i="3" s="1"/>
  <c r="I480" i="5"/>
  <c r="I469" i="5"/>
  <c r="F98" i="3" s="1"/>
  <c r="H98" i="3" s="1"/>
  <c r="D98" i="3"/>
  <c r="B469" i="5" s="1"/>
  <c r="E98" i="3"/>
  <c r="C469" i="5" s="1"/>
  <c r="D97" i="3"/>
  <c r="B458" i="5" s="1"/>
  <c r="D293" i="5"/>
  <c r="I293" i="5" s="1"/>
  <c r="I306" i="5"/>
  <c r="I249" i="5"/>
  <c r="H266" i="5"/>
  <c r="I266" i="5" s="1"/>
  <c r="D278" i="5"/>
  <c r="I278" i="5" s="1"/>
  <c r="H256" i="5"/>
  <c r="I256" i="5" s="1"/>
  <c r="H261" i="5"/>
  <c r="I261" i="5" s="1"/>
  <c r="I9" i="19"/>
  <c r="I8" i="19"/>
  <c r="G9" i="19"/>
  <c r="G8" i="19"/>
  <c r="E9" i="19"/>
  <c r="E8" i="19"/>
  <c r="D9" i="19"/>
  <c r="D8" i="19"/>
  <c r="I2596" i="5"/>
  <c r="I2595" i="5"/>
  <c r="I2594" i="5"/>
  <c r="I2593" i="5"/>
  <c r="I2588" i="5"/>
  <c r="I2587" i="5"/>
  <c r="I2586" i="5"/>
  <c r="I2585" i="5"/>
  <c r="I2578" i="5"/>
  <c r="I2579" i="5"/>
  <c r="I2580" i="5"/>
  <c r="I2577" i="5"/>
  <c r="B2574" i="5"/>
  <c r="B2573" i="5"/>
  <c r="I2546" i="5"/>
  <c r="I2540" i="5"/>
  <c r="I2534" i="5"/>
  <c r="I2541" i="5"/>
  <c r="I2535" i="5"/>
  <c r="B2531" i="5"/>
  <c r="D2527" i="5"/>
  <c r="I2527" i="5" s="1"/>
  <c r="I2528" i="5"/>
  <c r="I2522" i="5"/>
  <c r="D2521" i="5"/>
  <c r="I2521" i="5" s="1"/>
  <c r="I2516" i="5"/>
  <c r="D2515" i="5"/>
  <c r="I2515" i="5" s="1"/>
  <c r="B2512" i="5"/>
  <c r="B2506" i="5"/>
  <c r="I2507" i="5"/>
  <c r="I2503" i="5"/>
  <c r="I2501" i="5" s="1"/>
  <c r="I2497" i="5"/>
  <c r="I2495" i="5" s="1"/>
  <c r="I2492" i="5"/>
  <c r="I2490" i="5" s="1"/>
  <c r="I2482" i="5"/>
  <c r="I2481" i="5"/>
  <c r="I2480" i="5"/>
  <c r="I2479" i="5"/>
  <c r="B2476" i="5"/>
  <c r="I2471" i="5"/>
  <c r="I2472" i="5"/>
  <c r="I2473" i="5"/>
  <c r="I2470" i="5"/>
  <c r="B2467" i="5"/>
  <c r="I2456" i="5"/>
  <c r="I2454" i="5" s="1"/>
  <c r="I2450" i="5"/>
  <c r="B2447" i="5"/>
  <c r="I2444" i="5"/>
  <c r="I2442" i="5" s="1"/>
  <c r="B2436" i="5"/>
  <c r="I2427" i="5"/>
  <c r="I2425" i="5" s="1"/>
  <c r="I2432" i="5"/>
  <c r="I2430" i="5" s="1"/>
  <c r="I2422" i="5"/>
  <c r="B2419" i="5"/>
  <c r="H2411" i="5"/>
  <c r="I2411" i="5" s="1"/>
  <c r="I2410" i="5"/>
  <c r="I2409" i="5"/>
  <c r="I2408" i="5"/>
  <c r="I2407" i="5"/>
  <c r="H2406" i="5"/>
  <c r="I2406" i="5" s="1"/>
  <c r="H2405" i="5"/>
  <c r="I2405" i="5" s="1"/>
  <c r="H2404" i="5"/>
  <c r="I2404" i="5" s="1"/>
  <c r="H2402" i="5"/>
  <c r="I2402" i="5" s="1"/>
  <c r="I2401" i="5"/>
  <c r="I2400" i="5"/>
  <c r="I2399" i="5"/>
  <c r="I2398" i="5"/>
  <c r="H2397" i="5"/>
  <c r="I2397" i="5" s="1"/>
  <c r="H2396" i="5"/>
  <c r="I2396" i="5" s="1"/>
  <c r="H2395" i="5"/>
  <c r="I2395" i="5" s="1"/>
  <c r="H2393" i="5"/>
  <c r="I2393" i="5" s="1"/>
  <c r="I2392" i="5"/>
  <c r="I2391" i="5"/>
  <c r="I2390" i="5"/>
  <c r="I2389" i="5"/>
  <c r="H2388" i="5"/>
  <c r="I2388" i="5" s="1"/>
  <c r="H2387" i="5"/>
  <c r="I2387" i="5" s="1"/>
  <c r="I2386" i="5"/>
  <c r="I2385" i="5"/>
  <c r="I2384" i="5"/>
  <c r="I2383" i="5"/>
  <c r="H2382" i="5"/>
  <c r="I2382" i="5" s="1"/>
  <c r="H2381" i="5"/>
  <c r="I2381" i="5" s="1"/>
  <c r="H2380" i="5"/>
  <c r="I2380" i="5" s="1"/>
  <c r="I2379" i="5"/>
  <c r="H2378" i="5"/>
  <c r="I2378" i="5" s="1"/>
  <c r="H2377" i="5"/>
  <c r="I2377" i="5" s="1"/>
  <c r="H2376" i="5"/>
  <c r="I2376" i="5" s="1"/>
  <c r="H2375" i="5"/>
  <c r="I2375" i="5" s="1"/>
  <c r="H2374" i="5"/>
  <c r="I2374" i="5" s="1"/>
  <c r="H2373" i="5"/>
  <c r="I2373" i="5" s="1"/>
  <c r="H2372" i="5"/>
  <c r="I2372" i="5" s="1"/>
  <c r="I2371" i="5"/>
  <c r="I2370" i="5"/>
  <c r="H2369" i="5"/>
  <c r="I2369" i="5" s="1"/>
  <c r="H2368" i="5"/>
  <c r="I2368" i="5" s="1"/>
  <c r="I2367" i="5"/>
  <c r="H2366" i="5"/>
  <c r="I2366" i="5" s="1"/>
  <c r="H2365" i="5"/>
  <c r="I2365" i="5" s="1"/>
  <c r="H2364" i="5"/>
  <c r="I2364" i="5" s="1"/>
  <c r="H2292" i="5"/>
  <c r="I2292" i="5" s="1"/>
  <c r="I2291" i="5"/>
  <c r="I2290" i="5"/>
  <c r="I2289" i="5"/>
  <c r="I2288" i="5"/>
  <c r="H2287" i="5"/>
  <c r="I2287" i="5" s="1"/>
  <c r="H2286" i="5"/>
  <c r="I2286" i="5" s="1"/>
  <c r="H2285" i="5"/>
  <c r="I2285" i="5" s="1"/>
  <c r="H2283" i="5"/>
  <c r="I2283" i="5" s="1"/>
  <c r="H2278" i="5"/>
  <c r="I2278" i="5" s="1"/>
  <c r="H2277" i="5"/>
  <c r="I2277" i="5" s="1"/>
  <c r="H2276" i="5"/>
  <c r="I2276" i="5" s="1"/>
  <c r="H2274" i="5"/>
  <c r="I2274" i="5" s="1"/>
  <c r="H2269" i="5"/>
  <c r="I2269" i="5" s="1"/>
  <c r="H2268" i="5"/>
  <c r="I2268" i="5" s="1"/>
  <c r="H2246" i="5"/>
  <c r="I2246" i="5" s="1"/>
  <c r="H2263" i="5"/>
  <c r="I2263" i="5" s="1"/>
  <c r="H2262" i="5"/>
  <c r="I2262" i="5" s="1"/>
  <c r="H2261" i="5"/>
  <c r="I2261" i="5" s="1"/>
  <c r="H2259" i="5"/>
  <c r="I2259" i="5" s="1"/>
  <c r="H2258" i="5"/>
  <c r="I2258" i="5" s="1"/>
  <c r="H2256" i="5"/>
  <c r="I2256" i="5" s="1"/>
  <c r="H2257" i="5"/>
  <c r="I2257" i="5" s="1"/>
  <c r="H2255" i="5"/>
  <c r="I2255" i="5" s="1"/>
  <c r="H2254" i="5"/>
  <c r="I2254" i="5" s="1"/>
  <c r="H2253" i="5"/>
  <c r="I2253" i="5" s="1"/>
  <c r="H2250" i="5"/>
  <c r="I2250" i="5" s="1"/>
  <c r="H2249" i="5"/>
  <c r="I2249" i="5" s="1"/>
  <c r="H2247" i="5"/>
  <c r="I2247" i="5" s="1"/>
  <c r="H2245" i="5"/>
  <c r="I2245" i="5" s="1"/>
  <c r="I2349" i="5"/>
  <c r="H2348" i="5"/>
  <c r="I2348" i="5" s="1"/>
  <c r="H2347" i="5"/>
  <c r="I2347" i="5" s="1"/>
  <c r="H2346" i="5"/>
  <c r="I2346" i="5" s="1"/>
  <c r="H2345" i="5"/>
  <c r="I2345" i="5" s="1"/>
  <c r="H2344" i="5"/>
  <c r="I2344" i="5" s="1"/>
  <c r="H2343" i="5"/>
  <c r="I2343" i="5" s="1"/>
  <c r="H2342" i="5"/>
  <c r="I2342" i="5" s="1"/>
  <c r="H2341" i="5"/>
  <c r="I2341" i="5" s="1"/>
  <c r="I2340" i="5"/>
  <c r="H2339" i="5"/>
  <c r="I2339" i="5" s="1"/>
  <c r="H2338" i="5"/>
  <c r="I2338" i="5" s="1"/>
  <c r="H2337" i="5"/>
  <c r="I2337" i="5" s="1"/>
  <c r="H2336" i="5"/>
  <c r="I2336" i="5" s="1"/>
  <c r="H2335" i="5"/>
  <c r="I2335" i="5" s="1"/>
  <c r="H2334" i="5"/>
  <c r="I2334" i="5" s="1"/>
  <c r="H2333" i="5"/>
  <c r="I2333" i="5" s="1"/>
  <c r="I2331" i="5"/>
  <c r="H2330" i="5"/>
  <c r="I2330" i="5" s="1"/>
  <c r="H2329" i="5"/>
  <c r="I2329" i="5" s="1"/>
  <c r="H2328" i="5"/>
  <c r="I2328" i="5" s="1"/>
  <c r="H2327" i="5"/>
  <c r="I2327" i="5" s="1"/>
  <c r="H2326" i="5"/>
  <c r="I2326" i="5" s="1"/>
  <c r="I2325" i="5"/>
  <c r="H2324" i="5"/>
  <c r="I2324" i="5" s="1"/>
  <c r="H2323" i="5"/>
  <c r="I2323" i="5" s="1"/>
  <c r="H2322" i="5"/>
  <c r="I2322" i="5" s="1"/>
  <c r="H2321" i="5"/>
  <c r="I2321" i="5" s="1"/>
  <c r="H2320" i="5"/>
  <c r="I2320" i="5" s="1"/>
  <c r="H2319" i="5"/>
  <c r="I2319" i="5" s="1"/>
  <c r="I2318" i="5"/>
  <c r="I2317" i="5"/>
  <c r="H2316" i="5"/>
  <c r="I2316" i="5" s="1"/>
  <c r="H2315" i="5"/>
  <c r="I2315" i="5" s="1"/>
  <c r="H2314" i="5"/>
  <c r="I2314" i="5" s="1"/>
  <c r="H2313" i="5"/>
  <c r="I2313" i="5" s="1"/>
  <c r="H2312" i="5"/>
  <c r="I2312" i="5" s="1"/>
  <c r="H2311" i="5"/>
  <c r="I2311" i="5" s="1"/>
  <c r="H2310" i="5"/>
  <c r="I2310" i="5" s="1"/>
  <c r="H2309" i="5"/>
  <c r="I2309" i="5" s="1"/>
  <c r="H2308" i="5"/>
  <c r="I2308" i="5" s="1"/>
  <c r="H2307" i="5"/>
  <c r="I2307" i="5" s="1"/>
  <c r="H2306" i="5"/>
  <c r="I2306" i="5" s="1"/>
  <c r="H2305" i="5"/>
  <c r="I2305" i="5" s="1"/>
  <c r="H2304" i="5"/>
  <c r="I2304" i="5" s="1"/>
  <c r="H2303" i="5"/>
  <c r="I2303" i="5" s="1"/>
  <c r="H2302" i="5"/>
  <c r="I2302" i="5" s="1"/>
  <c r="I2282" i="5"/>
  <c r="I2281" i="5"/>
  <c r="I2280" i="5"/>
  <c r="I2279" i="5"/>
  <c r="I2273" i="5"/>
  <c r="I2272" i="5"/>
  <c r="I2271" i="5"/>
  <c r="I2270" i="5"/>
  <c r="I2267" i="5"/>
  <c r="I2266" i="5"/>
  <c r="I2265" i="5"/>
  <c r="I2264" i="5"/>
  <c r="I2260" i="5"/>
  <c r="I2252" i="5"/>
  <c r="I2251" i="5"/>
  <c r="I2248" i="5"/>
  <c r="I2230" i="5"/>
  <c r="H2229" i="5"/>
  <c r="I2229" i="5" s="1"/>
  <c r="H2228" i="5"/>
  <c r="I2228" i="5" s="1"/>
  <c r="H2227" i="5"/>
  <c r="I2227" i="5" s="1"/>
  <c r="H2226" i="5"/>
  <c r="I2226" i="5" s="1"/>
  <c r="H2225" i="5"/>
  <c r="I2225" i="5" s="1"/>
  <c r="H2224" i="5"/>
  <c r="I2224" i="5" s="1"/>
  <c r="H2223" i="5"/>
  <c r="I2223" i="5" s="1"/>
  <c r="I2221" i="5"/>
  <c r="H2220" i="5"/>
  <c r="I2220" i="5" s="1"/>
  <c r="H2219" i="5"/>
  <c r="I2219" i="5" s="1"/>
  <c r="H2218" i="5"/>
  <c r="I2218" i="5" s="1"/>
  <c r="H2217" i="5"/>
  <c r="I2217" i="5" s="1"/>
  <c r="H2210" i="5"/>
  <c r="I2210" i="5" s="1"/>
  <c r="H2211" i="5"/>
  <c r="I2211" i="5" s="1"/>
  <c r="I2212" i="5"/>
  <c r="H2203" i="5"/>
  <c r="I2203" i="5" s="1"/>
  <c r="H2204" i="5"/>
  <c r="I2204" i="5" s="1"/>
  <c r="H2205" i="5"/>
  <c r="I2205" i="5" s="1"/>
  <c r="I2206" i="5"/>
  <c r="H2207" i="5"/>
  <c r="I2207" i="5" s="1"/>
  <c r="H2208" i="5"/>
  <c r="I2208" i="5" s="1"/>
  <c r="H2209" i="5"/>
  <c r="I2209" i="5" s="1"/>
  <c r="H2192" i="5"/>
  <c r="I2192" i="5" s="1"/>
  <c r="H2184" i="5"/>
  <c r="I2184" i="5" s="1"/>
  <c r="H2185" i="5"/>
  <c r="I2185" i="5" s="1"/>
  <c r="H2186" i="5"/>
  <c r="I2186" i="5" s="1"/>
  <c r="H2187" i="5"/>
  <c r="I2187" i="5" s="1"/>
  <c r="H2188" i="5"/>
  <c r="I2188" i="5" s="1"/>
  <c r="H2189" i="5"/>
  <c r="I2189" i="5" s="1"/>
  <c r="H2190" i="5"/>
  <c r="I2190" i="5" s="1"/>
  <c r="H2191" i="5"/>
  <c r="I2191" i="5" s="1"/>
  <c r="H2193" i="5"/>
  <c r="I2193" i="5" s="1"/>
  <c r="H2194" i="5"/>
  <c r="I2194" i="5" s="1"/>
  <c r="H2195" i="5"/>
  <c r="I2195" i="5" s="1"/>
  <c r="H2196" i="5"/>
  <c r="I2196" i="5" s="1"/>
  <c r="H2197" i="5"/>
  <c r="I2197" i="5" s="1"/>
  <c r="I2198" i="5"/>
  <c r="I2199" i="5"/>
  <c r="H2200" i="5"/>
  <c r="I2200" i="5" s="1"/>
  <c r="H2201" i="5"/>
  <c r="I2201" i="5" s="1"/>
  <c r="H2202" i="5"/>
  <c r="I2202" i="5" s="1"/>
  <c r="H2214" i="5"/>
  <c r="I2214" i="5" s="1"/>
  <c r="H2215" i="5"/>
  <c r="I2215" i="5" s="1"/>
  <c r="H2216" i="5"/>
  <c r="I2216" i="5" s="1"/>
  <c r="H2222" i="5"/>
  <c r="I2222" i="5" s="1"/>
  <c r="H2183" i="5"/>
  <c r="I2183" i="5" s="1"/>
  <c r="B2179" i="5"/>
  <c r="I2175" i="5"/>
  <c r="I2174" i="5"/>
  <c r="I2173" i="5"/>
  <c r="I2171" i="5"/>
  <c r="I2170" i="5"/>
  <c r="I2169" i="5"/>
  <c r="I2167" i="5"/>
  <c r="I2166" i="5"/>
  <c r="I2165" i="5"/>
  <c r="I2164" i="5"/>
  <c r="I2163" i="5"/>
  <c r="I2162" i="5"/>
  <c r="I2161" i="5"/>
  <c r="I2160" i="5"/>
  <c r="I2159" i="5"/>
  <c r="I2158" i="5"/>
  <c r="I2157" i="5"/>
  <c r="I2156" i="5"/>
  <c r="I2155" i="5"/>
  <c r="I2154" i="5"/>
  <c r="I2153" i="5"/>
  <c r="I2152" i="5"/>
  <c r="I2151" i="5"/>
  <c r="I2150" i="5"/>
  <c r="I2149" i="5"/>
  <c r="I2143" i="5"/>
  <c r="I2142" i="5"/>
  <c r="I2141" i="5"/>
  <c r="I2140" i="5"/>
  <c r="I2139" i="5"/>
  <c r="I2138" i="5"/>
  <c r="I2137" i="5"/>
  <c r="I2136" i="5"/>
  <c r="I2135" i="5"/>
  <c r="I2134" i="5"/>
  <c r="I2133" i="5"/>
  <c r="I2132" i="5"/>
  <c r="I2131" i="5"/>
  <c r="I2130" i="5"/>
  <c r="B2126" i="5"/>
  <c r="B2120" i="5"/>
  <c r="I2116" i="5"/>
  <c r="I2114" i="5" s="1"/>
  <c r="I2111" i="5"/>
  <c r="I2109" i="5" s="1"/>
  <c r="I2106" i="5"/>
  <c r="I2104" i="5" s="1"/>
  <c r="B2103" i="5"/>
  <c r="I2100" i="5"/>
  <c r="I2098" i="5" s="1"/>
  <c r="I2095" i="5"/>
  <c r="I2094" i="5"/>
  <c r="I2093" i="5"/>
  <c r="I2092" i="5"/>
  <c r="I2087" i="5"/>
  <c r="I2085" i="5" s="1"/>
  <c r="I2082" i="5"/>
  <c r="I2081" i="5"/>
  <c r="I2080" i="5"/>
  <c r="I2075" i="5"/>
  <c r="I2074" i="5"/>
  <c r="I2073" i="5"/>
  <c r="I2068" i="5"/>
  <c r="I2067" i="5"/>
  <c r="I2066" i="5"/>
  <c r="I2065" i="5"/>
  <c r="B2062" i="5"/>
  <c r="I2054" i="5"/>
  <c r="I2053" i="5"/>
  <c r="I2052" i="5"/>
  <c r="I2051" i="5"/>
  <c r="I2050" i="5"/>
  <c r="I2049" i="5"/>
  <c r="I2048" i="5"/>
  <c r="I2033" i="5"/>
  <c r="I2034" i="5"/>
  <c r="I2035" i="5"/>
  <c r="I2036" i="5"/>
  <c r="I2037" i="5"/>
  <c r="I2038" i="5"/>
  <c r="I2032" i="5"/>
  <c r="I2026" i="5"/>
  <c r="I2027" i="5"/>
  <c r="I2025" i="5"/>
  <c r="I1998" i="5"/>
  <c r="I1996" i="5"/>
  <c r="I1997" i="5"/>
  <c r="I2011" i="5"/>
  <c r="I2010" i="5"/>
  <c r="I2009" i="5"/>
  <c r="B2005" i="5"/>
  <c r="I1995" i="5"/>
  <c r="I1994" i="5"/>
  <c r="I1993" i="5"/>
  <c r="B1989" i="5"/>
  <c r="I1978" i="5"/>
  <c r="I1986" i="5"/>
  <c r="I1985" i="5"/>
  <c r="I1984" i="5"/>
  <c r="I1977" i="5"/>
  <c r="I1976" i="5"/>
  <c r="I1971" i="5"/>
  <c r="I1969" i="5" s="1"/>
  <c r="I1966" i="5"/>
  <c r="I1964" i="5" s="1"/>
  <c r="B1957" i="5"/>
  <c r="I1953" i="5"/>
  <c r="I1951" i="5" s="1"/>
  <c r="I1948" i="5"/>
  <c r="I1946" i="5" s="1"/>
  <c r="I1943" i="5"/>
  <c r="I1941" i="5" s="1"/>
  <c r="I1938" i="5"/>
  <c r="I1936" i="5" s="1"/>
  <c r="I1933" i="5"/>
  <c r="I1931" i="5" s="1"/>
  <c r="I1928" i="5"/>
  <c r="I1926" i="5" s="1"/>
  <c r="I1923" i="5"/>
  <c r="I1921" i="5" s="1"/>
  <c r="B1920" i="5"/>
  <c r="I1917" i="5"/>
  <c r="I1915" i="5" s="1"/>
  <c r="I1912" i="5"/>
  <c r="I1910" i="5" s="1"/>
  <c r="I1907" i="5"/>
  <c r="I1905" i="5" s="1"/>
  <c r="I1902" i="5"/>
  <c r="I1900" i="5" s="1"/>
  <c r="I1897" i="5"/>
  <c r="I1895" i="5" s="1"/>
  <c r="I1892" i="5"/>
  <c r="I1890" i="5" s="1"/>
  <c r="I1887" i="5"/>
  <c r="I1885" i="5" s="1"/>
  <c r="I1882" i="5"/>
  <c r="I1880" i="5" s="1"/>
  <c r="I1877" i="5"/>
  <c r="I1875" i="5" s="1"/>
  <c r="I1872" i="5"/>
  <c r="I1870" i="5" s="1"/>
  <c r="I1867" i="5"/>
  <c r="I1865" i="5" s="1"/>
  <c r="I1862" i="5"/>
  <c r="I1860" i="5" s="1"/>
  <c r="I1857" i="5"/>
  <c r="I1855" i="5" s="1"/>
  <c r="I1847" i="5"/>
  <c r="I1845" i="5" s="1"/>
  <c r="I1852" i="5"/>
  <c r="I1850" i="5" s="1"/>
  <c r="I1842" i="5"/>
  <c r="I1840" i="5" s="1"/>
  <c r="I1837" i="5"/>
  <c r="I1835" i="5" s="1"/>
  <c r="I1832" i="5"/>
  <c r="I1830" i="5" s="1"/>
  <c r="B1829" i="5"/>
  <c r="I1826" i="5"/>
  <c r="I1824" i="5" s="1"/>
  <c r="I1821" i="5"/>
  <c r="I1819" i="5" s="1"/>
  <c r="I1816" i="5"/>
  <c r="I1814" i="5" s="1"/>
  <c r="I1811" i="5"/>
  <c r="I1809" i="5" s="1"/>
  <c r="I1806" i="5"/>
  <c r="I1804" i="5" s="1"/>
  <c r="I1801" i="5"/>
  <c r="I1799" i="5" s="1"/>
  <c r="I1796" i="5"/>
  <c r="I1794" i="5" s="1"/>
  <c r="I1791" i="5"/>
  <c r="I1789" i="5" s="1"/>
  <c r="I1786" i="5"/>
  <c r="I1784" i="5" s="1"/>
  <c r="I1781" i="5"/>
  <c r="I1779" i="5" s="1"/>
  <c r="I1776" i="5"/>
  <c r="I1774" i="5" s="1"/>
  <c r="I1771" i="5"/>
  <c r="I1769" i="5" s="1"/>
  <c r="I1766" i="5"/>
  <c r="I1764" i="5" s="1"/>
  <c r="I1761" i="5"/>
  <c r="I1759" i="5" s="1"/>
  <c r="I1756" i="5"/>
  <c r="I1754" i="5" s="1"/>
  <c r="I1751" i="5"/>
  <c r="I1749" i="5" s="1"/>
  <c r="I1746" i="5"/>
  <c r="I1744" i="5" s="1"/>
  <c r="I1741" i="5"/>
  <c r="I1739" i="5" s="1"/>
  <c r="I1736" i="5"/>
  <c r="I1734" i="5" s="1"/>
  <c r="I1730" i="5"/>
  <c r="I1728" i="5" s="1"/>
  <c r="I1724" i="5"/>
  <c r="I1722" i="5" s="1"/>
  <c r="I1718" i="5"/>
  <c r="I1716" i="5" s="1"/>
  <c r="I1712" i="5"/>
  <c r="I1710" i="5" s="1"/>
  <c r="I1705" i="5"/>
  <c r="I1703" i="5" s="1"/>
  <c r="I1699" i="5"/>
  <c r="I1697" i="5" s="1"/>
  <c r="I1693" i="5"/>
  <c r="I1691" i="5" s="1"/>
  <c r="I1687" i="5"/>
  <c r="I1685" i="5" s="1"/>
  <c r="I1681" i="5"/>
  <c r="I1679" i="5" s="1"/>
  <c r="I1675" i="5"/>
  <c r="I1673" i="5" s="1"/>
  <c r="I1670" i="5"/>
  <c r="B1667" i="5"/>
  <c r="D1663" i="5"/>
  <c r="I1663" i="5" s="1"/>
  <c r="I1657" i="5"/>
  <c r="I1652" i="5"/>
  <c r="I1646" i="5"/>
  <c r="I1640" i="5"/>
  <c r="D1628" i="5"/>
  <c r="I1628" i="5" s="1"/>
  <c r="I1634" i="5"/>
  <c r="I1632" i="5" s="1"/>
  <c r="D1622" i="5"/>
  <c r="I1622" i="5" s="1"/>
  <c r="I1616" i="5"/>
  <c r="I1611" i="5"/>
  <c r="B1608" i="5"/>
  <c r="I1605" i="5"/>
  <c r="I1600" i="5"/>
  <c r="B1597" i="5"/>
  <c r="I1593" i="5"/>
  <c r="I1591" i="5" s="1"/>
  <c r="B1590" i="5"/>
  <c r="I1587" i="5"/>
  <c r="I1585" i="5" s="1"/>
  <c r="I1582" i="5"/>
  <c r="I1580" i="5" s="1"/>
  <c r="I1577" i="5"/>
  <c r="I1575" i="5" s="1"/>
  <c r="I1572" i="5"/>
  <c r="I1570" i="5" s="1"/>
  <c r="I1567" i="5"/>
  <c r="I1565" i="5" s="1"/>
  <c r="I1562" i="5"/>
  <c r="I1560" i="5" s="1"/>
  <c r="G1557" i="5"/>
  <c r="I1557" i="5" s="1"/>
  <c r="I1555" i="5" s="1"/>
  <c r="I1552" i="5"/>
  <c r="I1550" i="5" s="1"/>
  <c r="G1547" i="5"/>
  <c r="I1547" i="5" s="1"/>
  <c r="I1545" i="5" s="1"/>
  <c r="B1544" i="5"/>
  <c r="I1541" i="5"/>
  <c r="I1539" i="5" s="1"/>
  <c r="B1538" i="5"/>
  <c r="I1535" i="5"/>
  <c r="I1533" i="5" s="1"/>
  <c r="I1530" i="5"/>
  <c r="I1528" i="5" s="1"/>
  <c r="B1527" i="5"/>
  <c r="I1524" i="5"/>
  <c r="I1522" i="5" s="1"/>
  <c r="I1519" i="5"/>
  <c r="I1517" i="5" s="1"/>
  <c r="B1516" i="5"/>
  <c r="I1508" i="5"/>
  <c r="I1506" i="5" s="1"/>
  <c r="I1503" i="5"/>
  <c r="I1501" i="5" s="1"/>
  <c r="I1498" i="5"/>
  <c r="I1496" i="5" s="1"/>
  <c r="I1493" i="5"/>
  <c r="I1491" i="5" s="1"/>
  <c r="I1488" i="5"/>
  <c r="I1486" i="5" s="1"/>
  <c r="I1483" i="5"/>
  <c r="I1481" i="5" s="1"/>
  <c r="I1478" i="5"/>
  <c r="I1476" i="5" s="1"/>
  <c r="I1473" i="5"/>
  <c r="I1471" i="5" s="1"/>
  <c r="I1468" i="5"/>
  <c r="I1466" i="5" s="1"/>
  <c r="B1465" i="5"/>
  <c r="I1462" i="5"/>
  <c r="I1460" i="5" s="1"/>
  <c r="I1457" i="5"/>
  <c r="I1455" i="5" s="1"/>
  <c r="I1452" i="5"/>
  <c r="I1450" i="5" s="1"/>
  <c r="I1447" i="5"/>
  <c r="I1445" i="5" s="1"/>
  <c r="I1442" i="5"/>
  <c r="I1440" i="5" s="1"/>
  <c r="I1437" i="5"/>
  <c r="I1435" i="5" s="1"/>
  <c r="B1596" i="5"/>
  <c r="I1432" i="5"/>
  <c r="I1430" i="5" s="1"/>
  <c r="I1427" i="5"/>
  <c r="I1425" i="5" s="1"/>
  <c r="I1422" i="5"/>
  <c r="I1420" i="5" s="1"/>
  <c r="I1417" i="5"/>
  <c r="I1415" i="5" s="1"/>
  <c r="I1412" i="5"/>
  <c r="I1410" i="5" s="1"/>
  <c r="B1409" i="5"/>
  <c r="I1406" i="5"/>
  <c r="I1404" i="5" s="1"/>
  <c r="I1401" i="5"/>
  <c r="I1399" i="5" s="1"/>
  <c r="I1396" i="5"/>
  <c r="I1394" i="5" s="1"/>
  <c r="I1391" i="5"/>
  <c r="I1389" i="5" s="1"/>
  <c r="I1386" i="5"/>
  <c r="I1384" i="5" s="1"/>
  <c r="B1383" i="5"/>
  <c r="I1379" i="5"/>
  <c r="I1377" i="5" s="1"/>
  <c r="I1373" i="5"/>
  <c r="I1371" i="5" s="1"/>
  <c r="I1367" i="5"/>
  <c r="I1365" i="5" s="1"/>
  <c r="I1361" i="5"/>
  <c r="I1359" i="5" s="1"/>
  <c r="I1355" i="5"/>
  <c r="I1353" i="5" s="1"/>
  <c r="I1349" i="5"/>
  <c r="I1347" i="5" s="1"/>
  <c r="B1346" i="5"/>
  <c r="I1342" i="5"/>
  <c r="I1340" i="5" s="1"/>
  <c r="I1336" i="5"/>
  <c r="I1334" i="5" s="1"/>
  <c r="I1330" i="5"/>
  <c r="I1328" i="5" s="1"/>
  <c r="I1308" i="5"/>
  <c r="I1302" i="5"/>
  <c r="I1293" i="5"/>
  <c r="I1290" i="5" s="1"/>
  <c r="B1289" i="5"/>
  <c r="I1286" i="5"/>
  <c r="I1285" i="5"/>
  <c r="I1284" i="5"/>
  <c r="I1283" i="5"/>
  <c r="I1282" i="5"/>
  <c r="I1281" i="5"/>
  <c r="I1280" i="5"/>
  <c r="I1279" i="5"/>
  <c r="I1278" i="5"/>
  <c r="I1277" i="5"/>
  <c r="I1276" i="5"/>
  <c r="I1275" i="5"/>
  <c r="I1274" i="5"/>
  <c r="I1273" i="5"/>
  <c r="I1267" i="5"/>
  <c r="I1266" i="5"/>
  <c r="I1265" i="5"/>
  <c r="I1264" i="5"/>
  <c r="I1263" i="5"/>
  <c r="I1262" i="5"/>
  <c r="I1261" i="5"/>
  <c r="I1260" i="5"/>
  <c r="I1259" i="5"/>
  <c r="I1258" i="5"/>
  <c r="I1257" i="5"/>
  <c r="I1256" i="5"/>
  <c r="I1255" i="5"/>
  <c r="I1254" i="5"/>
  <c r="I1236" i="5"/>
  <c r="I1237" i="5"/>
  <c r="I1238" i="5"/>
  <c r="I1239" i="5"/>
  <c r="I1240" i="5"/>
  <c r="I1241" i="5"/>
  <c r="I1242" i="5"/>
  <c r="I1243" i="5"/>
  <c r="I1244" i="5"/>
  <c r="I1245" i="5"/>
  <c r="I1246" i="5"/>
  <c r="I1247" i="5"/>
  <c r="I1248" i="5"/>
  <c r="I1235" i="5"/>
  <c r="I1212" i="5"/>
  <c r="I1213" i="5"/>
  <c r="I1214" i="5"/>
  <c r="I1215" i="5"/>
  <c r="I1216" i="5"/>
  <c r="I1217" i="5"/>
  <c r="I1218" i="5"/>
  <c r="I1219" i="5"/>
  <c r="I1220" i="5"/>
  <c r="I1221" i="5"/>
  <c r="I1222" i="5"/>
  <c r="I1223" i="5"/>
  <c r="I1224" i="5"/>
  <c r="I1211" i="5"/>
  <c r="B1207" i="5"/>
  <c r="I1199" i="5"/>
  <c r="I1198" i="5"/>
  <c r="I1197" i="5"/>
  <c r="I1196" i="5"/>
  <c r="I1195" i="5"/>
  <c r="I1194" i="5"/>
  <c r="I1193" i="5"/>
  <c r="I1192" i="5"/>
  <c r="I1191" i="5"/>
  <c r="I1190" i="5"/>
  <c r="I1189" i="5"/>
  <c r="I1188" i="5"/>
  <c r="I1187" i="5"/>
  <c r="I1186" i="5"/>
  <c r="I1180" i="5"/>
  <c r="I1177" i="5" s="1"/>
  <c r="I1169" i="5"/>
  <c r="I1168" i="5"/>
  <c r="I1167" i="5"/>
  <c r="I1166" i="5"/>
  <c r="I1165" i="5"/>
  <c r="I1164" i="5"/>
  <c r="I1163" i="5"/>
  <c r="I1162" i="5"/>
  <c r="I1161" i="5"/>
  <c r="I1160" i="5"/>
  <c r="I1159" i="5"/>
  <c r="I1158" i="5"/>
  <c r="I1157" i="5"/>
  <c r="I1156" i="5"/>
  <c r="B1152" i="5"/>
  <c r="I1147" i="5"/>
  <c r="I1144" i="5" s="1"/>
  <c r="I1139" i="5"/>
  <c r="I1136" i="5" s="1"/>
  <c r="I1131" i="5"/>
  <c r="I1128" i="5" s="1"/>
  <c r="I1123" i="5"/>
  <c r="I1120" i="5" s="1"/>
  <c r="I1117" i="5"/>
  <c r="I1114" i="5" s="1"/>
  <c r="B1113" i="5"/>
  <c r="I1108" i="5"/>
  <c r="I1105" i="5" s="1"/>
  <c r="I1100" i="5"/>
  <c r="I1097" i="5" s="1"/>
  <c r="I1092" i="5"/>
  <c r="I1089" i="5" s="1"/>
  <c r="I1084" i="5"/>
  <c r="I1081" i="5" s="1"/>
  <c r="I1076" i="5"/>
  <c r="I1073" i="5" s="1"/>
  <c r="B1072" i="5"/>
  <c r="I1069" i="5"/>
  <c r="I1066" i="5" s="1"/>
  <c r="I1063" i="5"/>
  <c r="I1060" i="5" s="1"/>
  <c r="G1057" i="5"/>
  <c r="I1057" i="5" s="1"/>
  <c r="I1054" i="5" s="1"/>
  <c r="G1051" i="5"/>
  <c r="I1051" i="5" s="1"/>
  <c r="I1048" i="5" s="1"/>
  <c r="G1045" i="5"/>
  <c r="I1045" i="5" s="1"/>
  <c r="B1041" i="5"/>
  <c r="I1038" i="5"/>
  <c r="I1035" i="5" s="1"/>
  <c r="I1032" i="5"/>
  <c r="I1029" i="5" s="1"/>
  <c r="I1023" i="5"/>
  <c r="B1022" i="5"/>
  <c r="I1016" i="5"/>
  <c r="I1010" i="5"/>
  <c r="I1004" i="5"/>
  <c r="I998" i="5"/>
  <c r="I992" i="5"/>
  <c r="B991" i="5"/>
  <c r="I983" i="5"/>
  <c r="I982" i="5"/>
  <c r="I981" i="5"/>
  <c r="I980" i="5"/>
  <c r="I979" i="5"/>
  <c r="I978" i="5"/>
  <c r="I977" i="5"/>
  <c r="I976" i="5"/>
  <c r="I975" i="5"/>
  <c r="I974" i="5"/>
  <c r="I973" i="5"/>
  <c r="I972" i="5"/>
  <c r="I971" i="5"/>
  <c r="I970" i="5"/>
  <c r="I969" i="5"/>
  <c r="I958" i="5"/>
  <c r="I957" i="5"/>
  <c r="I956" i="5"/>
  <c r="I955" i="5"/>
  <c r="I954" i="5"/>
  <c r="I953" i="5"/>
  <c r="I952" i="5"/>
  <c r="I951" i="5"/>
  <c r="I950" i="5"/>
  <c r="I949" i="5"/>
  <c r="I948" i="5"/>
  <c r="I947" i="5"/>
  <c r="I946" i="5"/>
  <c r="I945" i="5"/>
  <c r="I944" i="5"/>
  <c r="I933" i="5"/>
  <c r="I932" i="5"/>
  <c r="I931" i="5"/>
  <c r="I930" i="5"/>
  <c r="I929" i="5"/>
  <c r="I928" i="5"/>
  <c r="I927" i="5"/>
  <c r="I926" i="5"/>
  <c r="I925" i="5"/>
  <c r="I924" i="5"/>
  <c r="I923" i="5"/>
  <c r="I922" i="5"/>
  <c r="I921" i="5"/>
  <c r="I920" i="5"/>
  <c r="I919" i="5"/>
  <c r="I909" i="5"/>
  <c r="I908" i="5"/>
  <c r="I907" i="5"/>
  <c r="I906" i="5"/>
  <c r="I905" i="5"/>
  <c r="I904" i="5"/>
  <c r="I903" i="5"/>
  <c r="I902" i="5"/>
  <c r="I901" i="5"/>
  <c r="I900" i="5"/>
  <c r="I899" i="5"/>
  <c r="I898" i="5"/>
  <c r="I897" i="5"/>
  <c r="I896" i="5"/>
  <c r="I895" i="5"/>
  <c r="I885" i="5"/>
  <c r="I884" i="5"/>
  <c r="I883" i="5"/>
  <c r="I882" i="5"/>
  <c r="I881" i="5"/>
  <c r="I880" i="5"/>
  <c r="I879" i="5"/>
  <c r="I878" i="5"/>
  <c r="I877" i="5"/>
  <c r="I876" i="5"/>
  <c r="I875" i="5"/>
  <c r="I874" i="5"/>
  <c r="I873" i="5"/>
  <c r="I872" i="5"/>
  <c r="I871" i="5"/>
  <c r="I865" i="5"/>
  <c r="I862" i="5" s="1"/>
  <c r="I855" i="5"/>
  <c r="I854" i="5"/>
  <c r="I853" i="5"/>
  <c r="I852" i="5"/>
  <c r="I851" i="5"/>
  <c r="I850" i="5"/>
  <c r="I849" i="5"/>
  <c r="I848" i="5"/>
  <c r="I847" i="5"/>
  <c r="I846" i="5"/>
  <c r="I845" i="5"/>
  <c r="I844" i="5"/>
  <c r="I843" i="5"/>
  <c r="I842" i="5"/>
  <c r="I841" i="5"/>
  <c r="I818" i="5"/>
  <c r="I819" i="5"/>
  <c r="I820" i="5"/>
  <c r="I821" i="5"/>
  <c r="I822" i="5"/>
  <c r="I823" i="5"/>
  <c r="I824" i="5"/>
  <c r="I825" i="5"/>
  <c r="I826" i="5"/>
  <c r="I827" i="5"/>
  <c r="I828" i="5"/>
  <c r="I829" i="5"/>
  <c r="I830" i="5"/>
  <c r="I831" i="5"/>
  <c r="I817" i="5"/>
  <c r="I811" i="5"/>
  <c r="I803" i="5"/>
  <c r="I802" i="5"/>
  <c r="I790" i="5"/>
  <c r="I791" i="5"/>
  <c r="I792" i="5"/>
  <c r="I793" i="5"/>
  <c r="I794" i="5"/>
  <c r="I795" i="5"/>
  <c r="I796" i="5"/>
  <c r="I797" i="5"/>
  <c r="I798" i="5"/>
  <c r="I799" i="5"/>
  <c r="I800" i="5"/>
  <c r="I801" i="5"/>
  <c r="I789" i="5"/>
  <c r="I783" i="5"/>
  <c r="I782" i="5"/>
  <c r="I777" i="5"/>
  <c r="I776" i="5"/>
  <c r="I775" i="5"/>
  <c r="B772" i="5"/>
  <c r="B757" i="5"/>
  <c r="I737" i="5"/>
  <c r="I738" i="5"/>
  <c r="I740" i="5"/>
  <c r="I742" i="5"/>
  <c r="I715" i="5"/>
  <c r="I716" i="5"/>
  <c r="I717" i="5"/>
  <c r="I718" i="5"/>
  <c r="I719" i="5"/>
  <c r="I720" i="5"/>
  <c r="I721" i="5"/>
  <c r="I722" i="5"/>
  <c r="I723" i="5"/>
  <c r="I724" i="5"/>
  <c r="I725" i="5"/>
  <c r="I726" i="5"/>
  <c r="I714" i="5"/>
  <c r="I692" i="5"/>
  <c r="I693" i="5"/>
  <c r="I694" i="5"/>
  <c r="I695" i="5"/>
  <c r="I696" i="5"/>
  <c r="I697" i="5"/>
  <c r="I698" i="5"/>
  <c r="I699" i="5"/>
  <c r="I700" i="5"/>
  <c r="I701" i="5"/>
  <c r="I702" i="5"/>
  <c r="I703" i="5"/>
  <c r="I691" i="5"/>
  <c r="B687" i="5"/>
  <c r="I661" i="5"/>
  <c r="I679" i="5"/>
  <c r="I678" i="5"/>
  <c r="I677" i="5"/>
  <c r="I676" i="5"/>
  <c r="I675" i="5"/>
  <c r="I674" i="5"/>
  <c r="I673" i="5"/>
  <c r="I672" i="5"/>
  <c r="I671" i="5"/>
  <c r="I670" i="5"/>
  <c r="I669" i="5"/>
  <c r="I668" i="5"/>
  <c r="I667" i="5"/>
  <c r="I666" i="5"/>
  <c r="I665" i="5"/>
  <c r="I664" i="5"/>
  <c r="I663" i="5"/>
  <c r="I662" i="5"/>
  <c r="I640" i="5"/>
  <c r="I639" i="5"/>
  <c r="D634" i="5"/>
  <c r="C128" i="3"/>
  <c r="I628" i="5"/>
  <c r="I627" i="5"/>
  <c r="I622" i="5"/>
  <c r="I567" i="5"/>
  <c r="I565" i="5" s="1"/>
  <c r="H97" i="3" l="1"/>
  <c r="I2299" i="5"/>
  <c r="F392" i="3" s="1"/>
  <c r="I2180" i="5"/>
  <c r="I1990" i="5"/>
  <c r="I2361" i="5"/>
  <c r="F393" i="3" s="1"/>
  <c r="I2242" i="5"/>
  <c r="F391" i="3" s="1"/>
  <c r="I2146" i="5"/>
  <c r="F385" i="3" s="1"/>
  <c r="I1974" i="5"/>
  <c r="F357" i="3" s="1"/>
  <c r="I2030" i="5"/>
  <c r="I1153" i="5"/>
  <c r="F198" i="3" s="1"/>
  <c r="I838" i="5"/>
  <c r="F162" i="3" s="1"/>
  <c r="I814" i="5"/>
  <c r="F161" i="3" s="1"/>
  <c r="I892" i="5"/>
  <c r="F165" i="3" s="1"/>
  <c r="I786" i="5"/>
  <c r="F155" i="3" s="1"/>
  <c r="I868" i="5"/>
  <c r="F164" i="3" s="1"/>
  <c r="I733" i="5"/>
  <c r="I711" i="5"/>
  <c r="I688" i="5"/>
  <c r="I657" i="5"/>
  <c r="I637" i="5"/>
  <c r="F128" i="3" s="1"/>
  <c r="I634" i="5"/>
  <c r="D635" i="5"/>
  <c r="I635" i="5" s="1"/>
  <c r="I2591" i="5"/>
  <c r="I2583" i="5"/>
  <c r="I2532" i="5"/>
  <c r="F423" i="3" s="1"/>
  <c r="I2575" i="5"/>
  <c r="I2525" i="5"/>
  <c r="F421" i="3" s="1"/>
  <c r="I2519" i="5"/>
  <c r="F420" i="3" s="1"/>
  <c r="I2538" i="5"/>
  <c r="F424" i="3" s="1"/>
  <c r="I2544" i="5"/>
  <c r="F425" i="3" s="1"/>
  <c r="I2513" i="5"/>
  <c r="F419" i="3" s="1"/>
  <c r="I2477" i="5"/>
  <c r="F411" i="3" s="1"/>
  <c r="I2127" i="5"/>
  <c r="F384" i="3" s="1"/>
  <c r="I2090" i="5"/>
  <c r="F372" i="3" s="1"/>
  <c r="I2071" i="5"/>
  <c r="F369" i="3" s="1"/>
  <c r="I2078" i="5"/>
  <c r="F370" i="3" s="1"/>
  <c r="I2063" i="5"/>
  <c r="F368" i="3" s="1"/>
  <c r="I2046" i="5"/>
  <c r="F366" i="3" s="1"/>
  <c r="I1982" i="5"/>
  <c r="F358" i="3" s="1"/>
  <c r="I1270" i="5"/>
  <c r="F205" i="3" s="1"/>
  <c r="I1251" i="5"/>
  <c r="F204" i="3" s="1"/>
  <c r="I1232" i="5"/>
  <c r="F203" i="3" s="1"/>
  <c r="I1208" i="5"/>
  <c r="F202" i="3" s="1"/>
  <c r="I1183" i="5"/>
  <c r="F200" i="3" s="1"/>
  <c r="I1042" i="5"/>
  <c r="F180" i="3" s="1"/>
  <c r="I966" i="5"/>
  <c r="F168" i="3" s="1"/>
  <c r="I941" i="5"/>
  <c r="F167" i="3" s="1"/>
  <c r="I916" i="5"/>
  <c r="F166" i="3" s="1"/>
  <c r="I773" i="5"/>
  <c r="I520" i="5"/>
  <c r="I625" i="5"/>
  <c r="F122" i="3" s="1"/>
  <c r="I444" i="5"/>
  <c r="I442" i="5"/>
  <c r="I440" i="5"/>
  <c r="I432" i="5"/>
  <c r="I431" i="5"/>
  <c r="I428" i="5"/>
  <c r="I429" i="5"/>
  <c r="I430" i="5"/>
  <c r="I427" i="5"/>
  <c r="D386" i="5"/>
  <c r="I386" i="5" s="1"/>
  <c r="D385" i="5"/>
  <c r="I385" i="5" s="1"/>
  <c r="D383" i="5"/>
  <c r="I383" i="5" s="1"/>
  <c r="D382" i="5"/>
  <c r="I382" i="5" s="1"/>
  <c r="D380" i="5"/>
  <c r="I380" i="5" s="1"/>
  <c r="D379" i="5"/>
  <c r="I379" i="5" s="1"/>
  <c r="I361" i="5"/>
  <c r="I360" i="5"/>
  <c r="I359" i="5"/>
  <c r="I358" i="5"/>
  <c r="I357" i="5"/>
  <c r="I356" i="5"/>
  <c r="I355" i="5"/>
  <c r="I354" i="5"/>
  <c r="I353" i="5"/>
  <c r="I352" i="5"/>
  <c r="I350" i="5"/>
  <c r="I349" i="5"/>
  <c r="I348" i="5"/>
  <c r="I347" i="5"/>
  <c r="I346" i="5"/>
  <c r="I345" i="5"/>
  <c r="I344" i="5"/>
  <c r="I343" i="5"/>
  <c r="I341" i="5"/>
  <c r="I301" i="5"/>
  <c r="I300" i="5"/>
  <c r="I299" i="5"/>
  <c r="I221" i="5"/>
  <c r="F54" i="3" s="1"/>
  <c r="I192" i="5"/>
  <c r="I64" i="5"/>
  <c r="I62" i="5" s="1"/>
  <c r="F20" i="3" s="1"/>
  <c r="I72" i="5"/>
  <c r="F22" i="3" s="1"/>
  <c r="I104" i="5"/>
  <c r="I102" i="5" s="1"/>
  <c r="F28" i="3" s="1"/>
  <c r="I89" i="5"/>
  <c r="I87" i="5" s="1"/>
  <c r="F25" i="3" s="1"/>
  <c r="I84" i="5"/>
  <c r="I82" i="5" s="1"/>
  <c r="I79" i="5"/>
  <c r="I77" i="5" s="1"/>
  <c r="I59" i="5"/>
  <c r="I57" i="5" s="1"/>
  <c r="F19" i="3" s="1"/>
  <c r="I114" i="5"/>
  <c r="I112" i="5" s="1"/>
  <c r="F30" i="3" s="1"/>
  <c r="I109" i="5"/>
  <c r="I107" i="5" s="1"/>
  <c r="F29" i="3" s="1"/>
  <c r="I99" i="5"/>
  <c r="I97" i="5" s="1"/>
  <c r="F27" i="3" s="1"/>
  <c r="I94" i="5"/>
  <c r="I92" i="5" s="1"/>
  <c r="F26" i="3" s="1"/>
  <c r="I38" i="5"/>
  <c r="I36" i="5" s="1"/>
  <c r="I21" i="5"/>
  <c r="I19" i="5" s="1"/>
  <c r="F10" i="3" s="1"/>
  <c r="I26" i="5"/>
  <c r="I24" i="5" s="1"/>
  <c r="F11" i="3" s="1"/>
  <c r="I44" i="5"/>
  <c r="I42" i="5" s="1"/>
  <c r="F16" i="3" s="1"/>
  <c r="I32" i="5"/>
  <c r="B29" i="5"/>
  <c r="I16" i="5"/>
  <c r="I14" i="5" s="1"/>
  <c r="G437" i="3"/>
  <c r="E437" i="3"/>
  <c r="C2591" i="5" s="1"/>
  <c r="D437" i="3"/>
  <c r="B2591" i="5" s="1"/>
  <c r="G436" i="3"/>
  <c r="E436" i="3"/>
  <c r="C2583" i="5" s="1"/>
  <c r="D436" i="3"/>
  <c r="B2583" i="5" s="1"/>
  <c r="G435" i="3"/>
  <c r="E435" i="3"/>
  <c r="C2575" i="5" s="1"/>
  <c r="D435" i="3"/>
  <c r="B2575" i="5" s="1"/>
  <c r="C425" i="3"/>
  <c r="C424" i="3"/>
  <c r="C423" i="3"/>
  <c r="C421" i="3"/>
  <c r="C420" i="3"/>
  <c r="C419" i="3"/>
  <c r="C417" i="3"/>
  <c r="F417" i="3"/>
  <c r="C415" i="3"/>
  <c r="C414" i="3"/>
  <c r="C413" i="3"/>
  <c r="C412" i="3"/>
  <c r="C411" i="3"/>
  <c r="F415" i="3"/>
  <c r="F414" i="3"/>
  <c r="F413" i="3"/>
  <c r="F412" i="3"/>
  <c r="C409" i="3"/>
  <c r="C403" i="3"/>
  <c r="C402" i="3"/>
  <c r="F403" i="3"/>
  <c r="C400" i="3"/>
  <c r="C399" i="3"/>
  <c r="F400" i="3"/>
  <c r="C397" i="3"/>
  <c r="C396" i="3"/>
  <c r="C395" i="3"/>
  <c r="F397" i="3"/>
  <c r="F396" i="3"/>
  <c r="C393" i="3"/>
  <c r="C392" i="3"/>
  <c r="C391" i="3"/>
  <c r="C390" i="3"/>
  <c r="C385" i="3"/>
  <c r="C384" i="3"/>
  <c r="C382" i="3"/>
  <c r="C377" i="3"/>
  <c r="C376" i="3"/>
  <c r="C375" i="3"/>
  <c r="F377" i="3"/>
  <c r="F376" i="3"/>
  <c r="F375" i="3"/>
  <c r="C373" i="3"/>
  <c r="C372" i="3"/>
  <c r="C371" i="3"/>
  <c r="C370" i="3"/>
  <c r="C369" i="3"/>
  <c r="C368" i="3"/>
  <c r="F373" i="3"/>
  <c r="F371" i="3"/>
  <c r="C366" i="3"/>
  <c r="C365" i="3"/>
  <c r="C364" i="3"/>
  <c r="C363" i="3"/>
  <c r="C362" i="3"/>
  <c r="C360" i="3"/>
  <c r="C358" i="3"/>
  <c r="C357" i="3"/>
  <c r="C356" i="3"/>
  <c r="C355" i="3"/>
  <c r="C354" i="3"/>
  <c r="F356" i="3"/>
  <c r="F355" i="3"/>
  <c r="C350" i="3"/>
  <c r="C349" i="3"/>
  <c r="C348" i="3"/>
  <c r="C347" i="3"/>
  <c r="C346" i="3"/>
  <c r="C345" i="3"/>
  <c r="C344" i="3"/>
  <c r="F350" i="3"/>
  <c r="F349" i="3"/>
  <c r="F348" i="3"/>
  <c r="F347" i="3"/>
  <c r="F346" i="3"/>
  <c r="F345" i="3"/>
  <c r="F344" i="3"/>
  <c r="C342" i="3"/>
  <c r="C341" i="3"/>
  <c r="C340" i="3"/>
  <c r="C339" i="3"/>
  <c r="C338" i="3"/>
  <c r="C337" i="3"/>
  <c r="C336" i="3"/>
  <c r="C335" i="3"/>
  <c r="C334" i="3"/>
  <c r="C333" i="3"/>
  <c r="C332" i="3"/>
  <c r="C331" i="3"/>
  <c r="C330" i="3"/>
  <c r="C329" i="3"/>
  <c r="C327" i="3"/>
  <c r="C326" i="3"/>
  <c r="C325" i="3"/>
  <c r="F332" i="3"/>
  <c r="F331" i="3"/>
  <c r="F341" i="3"/>
  <c r="F342" i="3"/>
  <c r="F340" i="3"/>
  <c r="F339" i="3"/>
  <c r="F338" i="3"/>
  <c r="F337" i="3"/>
  <c r="F336" i="3"/>
  <c r="F335" i="3"/>
  <c r="F334" i="3"/>
  <c r="F333" i="3"/>
  <c r="C323" i="3"/>
  <c r="C322" i="3"/>
  <c r="C321" i="3"/>
  <c r="C320" i="3"/>
  <c r="C319" i="3"/>
  <c r="C318" i="3"/>
  <c r="C317" i="3"/>
  <c r="C316" i="3"/>
  <c r="C315" i="3"/>
  <c r="C314" i="3"/>
  <c r="C313" i="3"/>
  <c r="C312" i="3"/>
  <c r="C311" i="3"/>
  <c r="C310" i="3"/>
  <c r="C309" i="3"/>
  <c r="C308" i="3"/>
  <c r="C307" i="3"/>
  <c r="C306" i="3"/>
  <c r="C305" i="3"/>
  <c r="C304" i="3"/>
  <c r="C303" i="3"/>
  <c r="C302" i="3"/>
  <c r="C301" i="3"/>
  <c r="C300" i="3"/>
  <c r="C299" i="3"/>
  <c r="C298" i="3"/>
  <c r="C297" i="3"/>
  <c r="C296" i="3"/>
  <c r="C295" i="3"/>
  <c r="C294" i="3"/>
  <c r="F323" i="3"/>
  <c r="F322" i="3"/>
  <c r="F321" i="3"/>
  <c r="F320" i="3"/>
  <c r="F319" i="3"/>
  <c r="F318" i="3"/>
  <c r="F317" i="3"/>
  <c r="F316" i="3"/>
  <c r="F315" i="3"/>
  <c r="F314" i="3"/>
  <c r="F313" i="3"/>
  <c r="F312" i="3"/>
  <c r="F311" i="3"/>
  <c r="F310" i="3"/>
  <c r="F309" i="3"/>
  <c r="F308" i="3"/>
  <c r="F307" i="3"/>
  <c r="F306" i="3"/>
  <c r="F305" i="3"/>
  <c r="F304" i="3"/>
  <c r="F303" i="3"/>
  <c r="F302" i="3"/>
  <c r="F301" i="3"/>
  <c r="F300" i="3"/>
  <c r="F299" i="3"/>
  <c r="F298" i="3"/>
  <c r="F297" i="3"/>
  <c r="F296" i="3"/>
  <c r="F295" i="3"/>
  <c r="C292" i="3"/>
  <c r="C291" i="3"/>
  <c r="C290" i="3"/>
  <c r="C289" i="3"/>
  <c r="C288" i="3"/>
  <c r="C287" i="3"/>
  <c r="C286" i="3"/>
  <c r="C285" i="3"/>
  <c r="C284" i="3"/>
  <c r="C282" i="3"/>
  <c r="C281" i="3"/>
  <c r="C276" i="3"/>
  <c r="F276" i="3"/>
  <c r="C274" i="3"/>
  <c r="C273" i="3"/>
  <c r="C272" i="3"/>
  <c r="C271" i="3"/>
  <c r="C270" i="3"/>
  <c r="C269" i="3"/>
  <c r="F274" i="3"/>
  <c r="C264" i="3"/>
  <c r="F264" i="3"/>
  <c r="C262" i="3"/>
  <c r="C261" i="3"/>
  <c r="C259" i="3"/>
  <c r="C258" i="3"/>
  <c r="F259" i="3"/>
  <c r="F258" i="3"/>
  <c r="C255" i="3"/>
  <c r="C254" i="3"/>
  <c r="C253" i="3"/>
  <c r="C252" i="3"/>
  <c r="C251" i="3"/>
  <c r="C250" i="3"/>
  <c r="C249" i="3"/>
  <c r="C248" i="3"/>
  <c r="C247" i="3"/>
  <c r="F255" i="3"/>
  <c r="F254" i="3"/>
  <c r="C245" i="3"/>
  <c r="C244" i="3"/>
  <c r="C243" i="3"/>
  <c r="C242" i="3"/>
  <c r="C241" i="3"/>
  <c r="C240" i="3"/>
  <c r="C239" i="3"/>
  <c r="C238" i="3"/>
  <c r="F245" i="3"/>
  <c r="F244" i="3"/>
  <c r="F243" i="3"/>
  <c r="F242" i="3"/>
  <c r="F241" i="3"/>
  <c r="F240" i="3"/>
  <c r="C233" i="3"/>
  <c r="C232" i="3"/>
  <c r="C231" i="3"/>
  <c r="C230" i="3"/>
  <c r="C229" i="3"/>
  <c r="F233" i="3"/>
  <c r="F232" i="3"/>
  <c r="F231" i="3"/>
  <c r="F230" i="3"/>
  <c r="F229" i="3"/>
  <c r="C227" i="3"/>
  <c r="C226" i="3"/>
  <c r="C225" i="3"/>
  <c r="C224" i="3"/>
  <c r="C223" i="3"/>
  <c r="C222" i="3"/>
  <c r="F227" i="3"/>
  <c r="F226" i="3"/>
  <c r="F225" i="3"/>
  <c r="F224" i="3"/>
  <c r="F223" i="3"/>
  <c r="F222" i="3"/>
  <c r="C220" i="3"/>
  <c r="C219" i="3"/>
  <c r="C218" i="3"/>
  <c r="G43" i="3"/>
  <c r="G41" i="3"/>
  <c r="G42" i="3"/>
  <c r="G40" i="3"/>
  <c r="I183" i="5"/>
  <c r="I181" i="5" s="1"/>
  <c r="F43" i="3" s="1"/>
  <c r="C181" i="5"/>
  <c r="B181" i="5"/>
  <c r="I178" i="5"/>
  <c r="I176" i="5" s="1"/>
  <c r="F42" i="3" s="1"/>
  <c r="C176" i="5"/>
  <c r="B176" i="5"/>
  <c r="I173" i="5"/>
  <c r="I171" i="5" s="1"/>
  <c r="F41" i="3" s="1"/>
  <c r="C171" i="5"/>
  <c r="B171" i="5"/>
  <c r="I168" i="5"/>
  <c r="I166" i="5" s="1"/>
  <c r="F40" i="3" s="1"/>
  <c r="C166" i="5"/>
  <c r="B166" i="5"/>
  <c r="C213" i="3"/>
  <c r="C212" i="3"/>
  <c r="C207" i="3"/>
  <c r="C205" i="3"/>
  <c r="C204" i="3"/>
  <c r="C203" i="3"/>
  <c r="C202" i="3"/>
  <c r="C200" i="3"/>
  <c r="C199" i="3"/>
  <c r="C198" i="3"/>
  <c r="F199" i="3"/>
  <c r="C196" i="3"/>
  <c r="F196" i="3"/>
  <c r="C190" i="3"/>
  <c r="C189" i="3"/>
  <c r="C188" i="3"/>
  <c r="C187" i="3"/>
  <c r="F190" i="3"/>
  <c r="F189" i="3"/>
  <c r="F188" i="3"/>
  <c r="C184" i="3"/>
  <c r="C183" i="3"/>
  <c r="C182" i="3"/>
  <c r="C181" i="3"/>
  <c r="C180" i="3"/>
  <c r="F184" i="3"/>
  <c r="F183" i="3"/>
  <c r="C178" i="3"/>
  <c r="F178" i="3"/>
  <c r="C174" i="3"/>
  <c r="C173" i="3"/>
  <c r="C172" i="3"/>
  <c r="C171" i="3"/>
  <c r="C170" i="3"/>
  <c r="F174" i="3"/>
  <c r="F173" i="3"/>
  <c r="F172" i="3"/>
  <c r="C168" i="3"/>
  <c r="C167" i="3"/>
  <c r="C166" i="3"/>
  <c r="C165" i="3"/>
  <c r="C164" i="3"/>
  <c r="C163" i="3"/>
  <c r="C155" i="3"/>
  <c r="C154" i="3"/>
  <c r="C153" i="3"/>
  <c r="C151" i="3"/>
  <c r="C150" i="3"/>
  <c r="C143" i="3"/>
  <c r="C142" i="3"/>
  <c r="C138" i="3"/>
  <c r="C127" i="3"/>
  <c r="C122" i="3"/>
  <c r="C121" i="3"/>
  <c r="C120" i="3"/>
  <c r="C118" i="3"/>
  <c r="C108" i="3"/>
  <c r="C105" i="3"/>
  <c r="C84" i="3"/>
  <c r="C86" i="3"/>
  <c r="C90" i="3"/>
  <c r="C85" i="3"/>
  <c r="C76" i="3"/>
  <c r="C75" i="3"/>
  <c r="C77" i="3"/>
  <c r="C72" i="3"/>
  <c r="C71" i="3"/>
  <c r="C70" i="3"/>
  <c r="C69" i="3"/>
  <c r="C68" i="3"/>
  <c r="C66" i="3"/>
  <c r="C65" i="3"/>
  <c r="C64" i="3"/>
  <c r="C62" i="3"/>
  <c r="C61" i="3"/>
  <c r="C56" i="3"/>
  <c r="C54" i="3"/>
  <c r="C53" i="3"/>
  <c r="C52" i="3"/>
  <c r="C51" i="3"/>
  <c r="C49" i="3"/>
  <c r="G39" i="3"/>
  <c r="G38" i="3"/>
  <c r="G37" i="3"/>
  <c r="G36" i="3"/>
  <c r="G35" i="3"/>
  <c r="G34" i="3"/>
  <c r="G33" i="3"/>
  <c r="G32" i="3"/>
  <c r="C30" i="3"/>
  <c r="C29" i="3"/>
  <c r="C28" i="3"/>
  <c r="C21" i="3"/>
  <c r="C24" i="3"/>
  <c r="C23" i="3"/>
  <c r="C20" i="3"/>
  <c r="C18" i="3"/>
  <c r="C17" i="3"/>
  <c r="C13" i="3"/>
  <c r="C14" i="3"/>
  <c r="C10" i="3"/>
  <c r="C9" i="3"/>
  <c r="C8" i="3"/>
  <c r="H7643" i="32"/>
  <c r="H7644" i="32"/>
  <c r="H7645" i="32"/>
  <c r="H7646" i="32"/>
  <c r="H7647" i="32"/>
  <c r="H7648" i="32"/>
  <c r="H7649" i="32"/>
  <c r="H7650" i="32"/>
  <c r="H7651" i="32"/>
  <c r="H7652" i="32"/>
  <c r="H7653" i="32"/>
  <c r="H7654" i="32"/>
  <c r="H7655" i="32"/>
  <c r="H7656" i="32"/>
  <c r="H7657" i="32"/>
  <c r="H7658" i="32"/>
  <c r="H7659" i="32"/>
  <c r="H7660" i="32"/>
  <c r="H7661" i="32"/>
  <c r="H7662" i="32"/>
  <c r="H7663" i="32"/>
  <c r="H7664" i="32"/>
  <c r="H7665" i="32"/>
  <c r="H7666" i="32"/>
  <c r="H7667" i="32"/>
  <c r="H7668" i="32"/>
  <c r="H7669" i="32"/>
  <c r="H7670" i="32"/>
  <c r="H7671" i="32"/>
  <c r="H7672" i="32"/>
  <c r="H7673" i="32"/>
  <c r="H7674" i="32"/>
  <c r="H7675" i="32"/>
  <c r="H7676" i="32"/>
  <c r="H7677" i="32"/>
  <c r="H7678" i="32"/>
  <c r="H7679" i="32"/>
  <c r="H7680" i="32"/>
  <c r="H7681" i="32"/>
  <c r="H7682" i="32"/>
  <c r="H7683" i="32"/>
  <c r="H7684" i="32"/>
  <c r="H7685" i="32"/>
  <c r="H7686" i="32"/>
  <c r="H7687" i="32"/>
  <c r="H7688" i="32"/>
  <c r="H7689" i="32"/>
  <c r="H7690" i="32"/>
  <c r="H7691" i="32"/>
  <c r="H7692" i="32"/>
  <c r="H7693" i="32"/>
  <c r="H7694" i="32"/>
  <c r="H7695" i="32"/>
  <c r="H7696" i="32"/>
  <c r="H7697" i="32"/>
  <c r="H7698" i="32"/>
  <c r="H7699" i="32"/>
  <c r="H7700" i="32"/>
  <c r="H7701" i="32"/>
  <c r="H7702" i="32"/>
  <c r="H7703" i="32"/>
  <c r="H7704" i="32"/>
  <c r="H7705" i="32"/>
  <c r="H7706" i="32"/>
  <c r="H7707" i="32"/>
  <c r="H7708" i="32"/>
  <c r="H7709" i="32"/>
  <c r="H7710" i="32"/>
  <c r="H7711" i="32"/>
  <c r="H7712" i="32"/>
  <c r="H7713" i="32"/>
  <c r="H7714" i="32"/>
  <c r="H7715" i="32"/>
  <c r="H7716" i="32"/>
  <c r="H7717" i="32"/>
  <c r="H7718" i="32"/>
  <c r="H7719" i="32"/>
  <c r="H7720" i="32"/>
  <c r="H7721" i="32"/>
  <c r="H7722" i="32"/>
  <c r="H7723" i="32"/>
  <c r="H7724" i="32"/>
  <c r="H7725" i="32"/>
  <c r="H7726" i="32"/>
  <c r="H7727" i="32"/>
  <c r="H7728" i="32"/>
  <c r="H7729" i="32"/>
  <c r="H7730" i="32"/>
  <c r="H7731" i="32"/>
  <c r="H7732" i="32"/>
  <c r="H7733" i="32"/>
  <c r="H7734" i="32"/>
  <c r="H7735" i="32"/>
  <c r="H7736" i="32"/>
  <c r="H7737" i="32"/>
  <c r="H7738" i="32"/>
  <c r="H7739" i="32"/>
  <c r="H7740" i="32"/>
  <c r="H7741" i="32"/>
  <c r="H7742" i="32"/>
  <c r="H7743" i="32"/>
  <c r="H7744" i="32"/>
  <c r="H7745" i="32"/>
  <c r="H7746" i="32"/>
  <c r="H7747" i="32"/>
  <c r="H7748" i="32"/>
  <c r="H7749" i="32"/>
  <c r="H7750" i="32"/>
  <c r="H7751" i="32"/>
  <c r="H7752" i="32"/>
  <c r="H7753" i="32"/>
  <c r="H7754" i="32"/>
  <c r="H7755" i="32"/>
  <c r="H7756" i="32"/>
  <c r="H7757" i="32"/>
  <c r="H7758" i="32"/>
  <c r="H7759" i="32"/>
  <c r="H7760" i="32"/>
  <c r="H7761" i="32"/>
  <c r="H7762" i="32"/>
  <c r="H7763" i="32"/>
  <c r="H7764" i="32"/>
  <c r="H7765" i="32"/>
  <c r="H7766" i="32"/>
  <c r="H7767" i="32"/>
  <c r="H7768" i="32"/>
  <c r="H7769" i="32"/>
  <c r="H7770" i="32"/>
  <c r="H7771" i="32"/>
  <c r="H7772" i="32"/>
  <c r="H7773" i="32"/>
  <c r="H7774" i="32"/>
  <c r="H7775" i="32"/>
  <c r="H7776" i="32"/>
  <c r="H7777" i="32"/>
  <c r="H7778" i="32"/>
  <c r="H7779" i="32"/>
  <c r="H7780" i="32"/>
  <c r="H7781" i="32"/>
  <c r="H7782" i="32"/>
  <c r="H7783" i="32"/>
  <c r="H7784" i="32"/>
  <c r="H7785" i="32"/>
  <c r="H7786" i="32"/>
  <c r="H7787" i="32"/>
  <c r="H7788" i="32"/>
  <c r="H7789" i="32"/>
  <c r="H7790" i="32"/>
  <c r="H7791" i="32"/>
  <c r="H7792" i="32"/>
  <c r="H7793" i="32"/>
  <c r="H7794" i="32"/>
  <c r="H7795" i="32"/>
  <c r="H7796" i="32"/>
  <c r="H7797" i="32"/>
  <c r="H7798" i="32"/>
  <c r="H7799" i="32"/>
  <c r="H7800" i="32"/>
  <c r="H7801" i="32"/>
  <c r="H7802" i="32"/>
  <c r="H7803" i="32"/>
  <c r="H7804" i="32"/>
  <c r="H7805" i="32"/>
  <c r="H7806" i="32"/>
  <c r="H7807" i="32"/>
  <c r="H7808" i="32"/>
  <c r="H7809" i="32"/>
  <c r="H7810" i="32"/>
  <c r="H7811" i="32"/>
  <c r="H7812" i="32"/>
  <c r="H7813" i="32"/>
  <c r="H7814" i="32"/>
  <c r="H7815" i="32"/>
  <c r="H7816" i="32"/>
  <c r="H7817" i="32"/>
  <c r="H7818" i="32"/>
  <c r="H7819" i="32"/>
  <c r="H7820" i="32"/>
  <c r="H7821" i="32"/>
  <c r="H7822" i="32"/>
  <c r="H7823" i="32"/>
  <c r="H7824" i="32"/>
  <c r="H7825" i="32"/>
  <c r="H7826" i="32"/>
  <c r="H7827" i="32"/>
  <c r="H7828" i="32"/>
  <c r="H7829" i="32"/>
  <c r="H7830" i="32"/>
  <c r="H7831" i="32"/>
  <c r="H7832" i="32"/>
  <c r="F207" i="3"/>
  <c r="F193" i="3"/>
  <c r="F194" i="3"/>
  <c r="F195" i="3"/>
  <c r="F192" i="3"/>
  <c r="F187" i="3"/>
  <c r="F186" i="3"/>
  <c r="F182" i="3"/>
  <c r="F181" i="3"/>
  <c r="F177" i="3"/>
  <c r="F176" i="3"/>
  <c r="F171" i="3"/>
  <c r="F170" i="3"/>
  <c r="F163" i="3"/>
  <c r="I1650" i="5"/>
  <c r="F290" i="3" s="1"/>
  <c r="F329" i="3"/>
  <c r="F327" i="3"/>
  <c r="B643" i="5"/>
  <c r="B644" i="5"/>
  <c r="I620" i="5"/>
  <c r="F121" i="3" s="1"/>
  <c r="B564" i="5"/>
  <c r="B436" i="5"/>
  <c r="I290" i="5"/>
  <c r="D287" i="5"/>
  <c r="I285" i="5" s="1"/>
  <c r="I317" i="5" s="1"/>
  <c r="F77" i="3" s="1"/>
  <c r="I280" i="5"/>
  <c r="I309" i="5" s="1"/>
  <c r="F76" i="3" s="1"/>
  <c r="I267" i="5"/>
  <c r="I258" i="5"/>
  <c r="F65" i="3" s="1"/>
  <c r="B234" i="5"/>
  <c r="B233" i="5"/>
  <c r="B227" i="5"/>
  <c r="B202" i="5"/>
  <c r="I160" i="5"/>
  <c r="F39" i="3" s="1"/>
  <c r="C160" i="5"/>
  <c r="B160" i="5"/>
  <c r="I154" i="5"/>
  <c r="F38" i="3" s="1"/>
  <c r="C154" i="5"/>
  <c r="B154" i="5"/>
  <c r="I148" i="5"/>
  <c r="F37" i="3" s="1"/>
  <c r="C148" i="5"/>
  <c r="B148" i="5"/>
  <c r="I142" i="5"/>
  <c r="F36" i="3" s="1"/>
  <c r="C142" i="5"/>
  <c r="B142" i="5"/>
  <c r="I136" i="5"/>
  <c r="F35" i="3" s="1"/>
  <c r="C136" i="5"/>
  <c r="B136" i="5"/>
  <c r="I130" i="5"/>
  <c r="F34" i="3" s="1"/>
  <c r="C130" i="5"/>
  <c r="B130" i="5"/>
  <c r="I124" i="5"/>
  <c r="F33" i="3" s="1"/>
  <c r="C124" i="5"/>
  <c r="B124" i="5"/>
  <c r="I120" i="5"/>
  <c r="C118" i="5"/>
  <c r="B118" i="5"/>
  <c r="B117" i="5"/>
  <c r="I69" i="5"/>
  <c r="I67" i="5" s="1"/>
  <c r="I54" i="5"/>
  <c r="I52" i="5" s="1"/>
  <c r="F18" i="3" s="1"/>
  <c r="I49" i="5"/>
  <c r="I47" i="5" s="1"/>
  <c r="F17" i="3" s="1"/>
  <c r="B41" i="5"/>
  <c r="H7498" i="32"/>
  <c r="H7499" i="32"/>
  <c r="H7500" i="32"/>
  <c r="H7501" i="32"/>
  <c r="H7502" i="32"/>
  <c r="H7503" i="32"/>
  <c r="H7504" i="32"/>
  <c r="H7505" i="32"/>
  <c r="H7506" i="32"/>
  <c r="H7507" i="32"/>
  <c r="H7508" i="32"/>
  <c r="H7509" i="32"/>
  <c r="H7510" i="32"/>
  <c r="H7511" i="32"/>
  <c r="H7512" i="32"/>
  <c r="H7513" i="32"/>
  <c r="H7514" i="32"/>
  <c r="H7515" i="32"/>
  <c r="H7516" i="32"/>
  <c r="H7517" i="32"/>
  <c r="H7518" i="32"/>
  <c r="H7519" i="32"/>
  <c r="H7520" i="32"/>
  <c r="H7521" i="32"/>
  <c r="H7522" i="32"/>
  <c r="H7523" i="32"/>
  <c r="H7524" i="32"/>
  <c r="H7525" i="32"/>
  <c r="H7526" i="32"/>
  <c r="H7527" i="32"/>
  <c r="H7528" i="32"/>
  <c r="H7529" i="32"/>
  <c r="H7530" i="32"/>
  <c r="H7531" i="32"/>
  <c r="H7532" i="32"/>
  <c r="H7533" i="32"/>
  <c r="H7534" i="32"/>
  <c r="H7535" i="32"/>
  <c r="H7536" i="32"/>
  <c r="H7537" i="32"/>
  <c r="H7538" i="32"/>
  <c r="H7539" i="32"/>
  <c r="H7540" i="32"/>
  <c r="H7541" i="32"/>
  <c r="H7542" i="32"/>
  <c r="H7543" i="32"/>
  <c r="H7544" i="32"/>
  <c r="H7545" i="32"/>
  <c r="H7546" i="32"/>
  <c r="H7547" i="32"/>
  <c r="H7548" i="32"/>
  <c r="H7549" i="32"/>
  <c r="H7550" i="32"/>
  <c r="H7551" i="32"/>
  <c r="H7552" i="32"/>
  <c r="H7553" i="32"/>
  <c r="H7554" i="32"/>
  <c r="H7555" i="32"/>
  <c r="H7556" i="32"/>
  <c r="H7557" i="32"/>
  <c r="H7558" i="32"/>
  <c r="H7559" i="32"/>
  <c r="H7560" i="32"/>
  <c r="H7561" i="32"/>
  <c r="H7562" i="32"/>
  <c r="H7563" i="32"/>
  <c r="H7564" i="32"/>
  <c r="H7565" i="32"/>
  <c r="H7566" i="32"/>
  <c r="H7567" i="32"/>
  <c r="H7568" i="32"/>
  <c r="H7569" i="32"/>
  <c r="H7570" i="32"/>
  <c r="H7571" i="32"/>
  <c r="H7572" i="32"/>
  <c r="H7573" i="32"/>
  <c r="H7574" i="32"/>
  <c r="H7575" i="32"/>
  <c r="H7576" i="32"/>
  <c r="H7577" i="32"/>
  <c r="H7578" i="32"/>
  <c r="H7579" i="32"/>
  <c r="H7580" i="32"/>
  <c r="H7581" i="32"/>
  <c r="H7582" i="32"/>
  <c r="H7583" i="32"/>
  <c r="H7584" i="32"/>
  <c r="H7585" i="32"/>
  <c r="H7586" i="32"/>
  <c r="H7587" i="32"/>
  <c r="H7588" i="32"/>
  <c r="H7589" i="32"/>
  <c r="H7590" i="32"/>
  <c r="H7591" i="32"/>
  <c r="H7592" i="32"/>
  <c r="H7593" i="32"/>
  <c r="H7594" i="32"/>
  <c r="H7595" i="32"/>
  <c r="H7596" i="32"/>
  <c r="H7597" i="32"/>
  <c r="H7598" i="32"/>
  <c r="H7599" i="32"/>
  <c r="H7600" i="32"/>
  <c r="H7601" i="32"/>
  <c r="H7602" i="32"/>
  <c r="H7603" i="32"/>
  <c r="H7604" i="32"/>
  <c r="H7605" i="32"/>
  <c r="H7606" i="32"/>
  <c r="H7607" i="32"/>
  <c r="H7608" i="32"/>
  <c r="H7609" i="32"/>
  <c r="H7610" i="32"/>
  <c r="H7611" i="32"/>
  <c r="H7612" i="32"/>
  <c r="H7613" i="32"/>
  <c r="H7614" i="32"/>
  <c r="H7615" i="32"/>
  <c r="H7616" i="32"/>
  <c r="H7617" i="32"/>
  <c r="H7618" i="32"/>
  <c r="H7619" i="32"/>
  <c r="H7620" i="32"/>
  <c r="H7621" i="32"/>
  <c r="H7622" i="32"/>
  <c r="H7623" i="32"/>
  <c r="H7624" i="32"/>
  <c r="H7625" i="32"/>
  <c r="H7626" i="32"/>
  <c r="H7627" i="32"/>
  <c r="H7628" i="32"/>
  <c r="H7629" i="32"/>
  <c r="H7630" i="32"/>
  <c r="H7631" i="32"/>
  <c r="H7632" i="32"/>
  <c r="H7633" i="32"/>
  <c r="H7634" i="32"/>
  <c r="H7635" i="32"/>
  <c r="H7636" i="32"/>
  <c r="H7637" i="32"/>
  <c r="H7638" i="32"/>
  <c r="H7639" i="32"/>
  <c r="H7640" i="32"/>
  <c r="H7641" i="32"/>
  <c r="H7642" i="32"/>
  <c r="E328" i="3"/>
  <c r="C1845" i="5" s="1"/>
  <c r="D328" i="3"/>
  <c r="B1845" i="5" s="1"/>
  <c r="C268" i="3"/>
  <c r="C267" i="3"/>
  <c r="C266" i="3"/>
  <c r="C236" i="3"/>
  <c r="C237" i="3"/>
  <c r="C235" i="3"/>
  <c r="C195" i="3"/>
  <c r="C194" i="3"/>
  <c r="C193" i="3"/>
  <c r="C192" i="3"/>
  <c r="C186" i="3"/>
  <c r="C177" i="3"/>
  <c r="C176" i="3"/>
  <c r="C162" i="3"/>
  <c r="C161" i="3"/>
  <c r="C160" i="3"/>
  <c r="E63" i="3"/>
  <c r="D63" i="3"/>
  <c r="C48" i="3"/>
  <c r="C16" i="3"/>
  <c r="J23" i="8"/>
  <c r="H30" i="8"/>
  <c r="H26" i="8"/>
  <c r="F32" i="8"/>
  <c r="F27" i="8"/>
  <c r="A21" i="8"/>
  <c r="I376" i="5" l="1"/>
  <c r="F86" i="3" s="1"/>
  <c r="I338" i="5"/>
  <c r="I632" i="5"/>
  <c r="I296" i="5"/>
  <c r="I118" i="5"/>
  <c r="F32" i="3" s="1"/>
  <c r="H32" i="3" s="1"/>
  <c r="F153" i="3"/>
  <c r="F151" i="3"/>
  <c r="C510" i="5"/>
  <c r="F105" i="3"/>
  <c r="I424" i="5"/>
  <c r="I195" i="5"/>
  <c r="F49" i="3" s="1"/>
  <c r="I210" i="5"/>
  <c r="F52" i="3" s="1"/>
  <c r="F24" i="3"/>
  <c r="F23" i="3"/>
  <c r="F21" i="3"/>
  <c r="H42" i="3"/>
  <c r="H41" i="3"/>
  <c r="H43" i="3"/>
  <c r="I1638" i="5"/>
  <c r="F288" i="3" s="1"/>
  <c r="F70" i="3"/>
  <c r="F9" i="3"/>
  <c r="F71" i="3"/>
  <c r="F72" i="3"/>
  <c r="H40" i="3"/>
  <c r="H36" i="3"/>
  <c r="H34" i="3"/>
  <c r="H33" i="3"/>
  <c r="H35" i="3"/>
  <c r="H39" i="3"/>
  <c r="H38" i="3"/>
  <c r="H37" i="3"/>
  <c r="I1644" i="5"/>
  <c r="F289" i="3" s="1"/>
  <c r="I1655" i="5"/>
  <c r="F291" i="3" s="1"/>
  <c r="I1668" i="5"/>
  <c r="F294" i="3" s="1"/>
  <c r="I1626" i="5"/>
  <c r="F287" i="3" s="1"/>
  <c r="I1661" i="5"/>
  <c r="F292" i="3" s="1"/>
  <c r="F266" i="3"/>
  <c r="F268" i="3"/>
  <c r="F270" i="3"/>
  <c r="F272" i="3"/>
  <c r="F437" i="3"/>
  <c r="H437" i="3" s="1"/>
  <c r="F271" i="3"/>
  <c r="F273" i="3"/>
  <c r="I1306" i="5"/>
  <c r="F436" i="3" s="1"/>
  <c r="H436" i="3" s="1"/>
  <c r="I780" i="5"/>
  <c r="F267" i="3"/>
  <c r="F269" i="3"/>
  <c r="F262" i="3"/>
  <c r="F248" i="3"/>
  <c r="F250" i="3"/>
  <c r="F252" i="3"/>
  <c r="F261" i="3"/>
  <c r="F247" i="3"/>
  <c r="F249" i="3"/>
  <c r="F251" i="3"/>
  <c r="F253" i="3"/>
  <c r="F239" i="3"/>
  <c r="F236" i="3"/>
  <c r="F238" i="3"/>
  <c r="F235" i="3"/>
  <c r="F237" i="3"/>
  <c r="F108" i="3"/>
  <c r="I500" i="5"/>
  <c r="F102" i="3" s="1"/>
  <c r="I510" i="5"/>
  <c r="I448" i="5"/>
  <c r="F96" i="3" s="1"/>
  <c r="I490" i="5"/>
  <c r="F101" i="3" s="1"/>
  <c r="I263" i="5"/>
  <c r="F66" i="3" s="1"/>
  <c r="I235" i="5"/>
  <c r="F61" i="3" s="1"/>
  <c r="I253" i="5"/>
  <c r="F64" i="3" s="1"/>
  <c r="I228" i="5"/>
  <c r="F56" i="3" s="1"/>
  <c r="D11" i="3"/>
  <c r="E11" i="3"/>
  <c r="C24" i="5" s="1"/>
  <c r="H27" i="8"/>
  <c r="H28" i="8" s="1"/>
  <c r="I30" i="8"/>
  <c r="J30" i="8" s="1"/>
  <c r="F104" i="3" l="1"/>
  <c r="H104" i="3" s="1"/>
  <c r="F103" i="3"/>
  <c r="H103" i="3" s="1"/>
  <c r="F330" i="3"/>
  <c r="F154" i="3"/>
  <c r="F328" i="3"/>
  <c r="F140" i="3"/>
  <c r="B510" i="5"/>
  <c r="B24" i="5"/>
  <c r="F213" i="3"/>
  <c r="F220" i="3"/>
  <c r="I28" i="8"/>
  <c r="J28" i="8" s="1"/>
  <c r="J33" i="8" s="1"/>
  <c r="J21" i="8" s="1"/>
  <c r="H31" i="8"/>
  <c r="I2448" i="5" l="1"/>
  <c r="F402" i="3" s="1"/>
  <c r="I2439" i="5"/>
  <c r="I2437" i="5" s="1"/>
  <c r="F399" i="3" s="1"/>
  <c r="F365" i="3"/>
  <c r="I2023" i="5"/>
  <c r="F364" i="3" s="1"/>
  <c r="I2020" i="5"/>
  <c r="I2018" i="5" s="1"/>
  <c r="F363" i="3" s="1"/>
  <c r="I2008" i="5"/>
  <c r="I1960" i="5"/>
  <c r="B1956" i="5"/>
  <c r="I2006" i="5" l="1"/>
  <c r="F362" i="3" s="1"/>
  <c r="F360" i="3"/>
  <c r="I1958" i="5"/>
  <c r="F354" i="3" s="1"/>
  <c r="I758" i="5"/>
  <c r="I251" i="5"/>
  <c r="I11" i="5"/>
  <c r="H7009" i="32"/>
  <c r="H7010" i="32"/>
  <c r="H7011" i="32"/>
  <c r="H7012" i="32"/>
  <c r="H7013" i="32"/>
  <c r="H7014" i="32"/>
  <c r="H7015" i="32"/>
  <c r="H7016" i="32"/>
  <c r="H7017" i="32"/>
  <c r="H7018" i="32"/>
  <c r="H7019" i="32"/>
  <c r="H7020" i="32"/>
  <c r="H7021" i="32"/>
  <c r="H7022" i="32"/>
  <c r="H7023" i="32"/>
  <c r="H7024" i="32"/>
  <c r="H7025" i="32"/>
  <c r="H7026" i="32"/>
  <c r="H7027" i="32"/>
  <c r="H7028" i="32"/>
  <c r="H7029" i="32"/>
  <c r="H7030" i="32"/>
  <c r="H7031" i="32"/>
  <c r="H7032" i="32"/>
  <c r="H7033" i="32"/>
  <c r="H7034" i="32"/>
  <c r="H7035" i="32"/>
  <c r="H7036" i="32"/>
  <c r="H7037" i="32"/>
  <c r="H7038" i="32"/>
  <c r="H7039" i="32"/>
  <c r="H7040" i="32"/>
  <c r="H7041" i="32"/>
  <c r="H7042" i="32"/>
  <c r="H7043" i="32"/>
  <c r="H7044" i="32"/>
  <c r="H7045" i="32"/>
  <c r="H7046" i="32"/>
  <c r="H7047" i="32"/>
  <c r="H7048" i="32"/>
  <c r="H7049" i="32"/>
  <c r="H7050" i="32"/>
  <c r="H7051" i="32"/>
  <c r="H7052" i="32"/>
  <c r="H7053" i="32"/>
  <c r="H7054" i="32"/>
  <c r="H7055" i="32"/>
  <c r="H7056" i="32"/>
  <c r="H7057" i="32"/>
  <c r="H7058" i="32"/>
  <c r="H7059" i="32"/>
  <c r="H7060" i="32"/>
  <c r="H7061" i="32"/>
  <c r="H7062" i="32"/>
  <c r="H7063" i="32"/>
  <c r="H7064" i="32"/>
  <c r="H7065" i="32"/>
  <c r="H7066" i="32"/>
  <c r="H7067" i="32"/>
  <c r="H7068" i="32"/>
  <c r="H7069" i="32"/>
  <c r="H7070" i="32"/>
  <c r="H7071" i="32"/>
  <c r="H7072" i="32"/>
  <c r="H7073" i="32"/>
  <c r="H7074" i="32"/>
  <c r="H7075" i="32"/>
  <c r="H7076" i="32"/>
  <c r="H7077" i="32"/>
  <c r="H7078" i="32"/>
  <c r="H7079" i="32"/>
  <c r="H7080" i="32"/>
  <c r="H7081" i="32"/>
  <c r="H7082" i="32"/>
  <c r="H7083" i="32"/>
  <c r="H7084" i="32"/>
  <c r="H7085" i="32"/>
  <c r="H7086" i="32"/>
  <c r="H7087" i="32"/>
  <c r="H7088" i="32"/>
  <c r="H7089" i="32"/>
  <c r="H7090" i="32"/>
  <c r="H7091" i="32"/>
  <c r="H7092" i="32"/>
  <c r="H7093" i="32"/>
  <c r="H7094" i="32"/>
  <c r="H7095" i="32"/>
  <c r="H7096" i="32"/>
  <c r="H7097" i="32"/>
  <c r="H7098" i="32"/>
  <c r="H7099" i="32"/>
  <c r="H7100" i="32"/>
  <c r="H7101" i="32"/>
  <c r="H7102" i="32"/>
  <c r="H7103" i="32"/>
  <c r="H7104" i="32"/>
  <c r="H7105" i="32"/>
  <c r="H7106" i="32"/>
  <c r="H7107" i="32"/>
  <c r="H7108" i="32"/>
  <c r="H7109" i="32"/>
  <c r="H7110" i="32"/>
  <c r="H7111" i="32"/>
  <c r="H7112" i="32"/>
  <c r="H7113" i="32"/>
  <c r="H7114" i="32"/>
  <c r="H7115" i="32"/>
  <c r="H7116" i="32"/>
  <c r="H7117" i="32"/>
  <c r="H7118" i="32"/>
  <c r="H7119" i="32"/>
  <c r="H7120" i="32"/>
  <c r="H7121" i="32"/>
  <c r="H7122" i="32"/>
  <c r="H7123" i="32"/>
  <c r="H7124" i="32"/>
  <c r="H7125" i="32"/>
  <c r="H7126" i="32"/>
  <c r="H7127" i="32"/>
  <c r="H7128" i="32"/>
  <c r="H7129" i="32"/>
  <c r="H7130" i="32"/>
  <c r="H7131" i="32"/>
  <c r="H7132" i="32"/>
  <c r="H7133" i="32"/>
  <c r="H7134" i="32"/>
  <c r="H7135" i="32"/>
  <c r="H7136" i="32"/>
  <c r="H7137" i="32"/>
  <c r="H7138" i="32"/>
  <c r="H7139" i="32"/>
  <c r="H7140" i="32"/>
  <c r="H7141" i="32"/>
  <c r="H7142" i="32"/>
  <c r="H7143" i="32"/>
  <c r="H7144" i="32"/>
  <c r="H7145" i="32"/>
  <c r="H7146" i="32"/>
  <c r="H7147" i="32"/>
  <c r="H7148" i="32"/>
  <c r="H7149" i="32"/>
  <c r="H7150" i="32"/>
  <c r="H7151" i="32"/>
  <c r="H7152" i="32"/>
  <c r="H7153" i="32"/>
  <c r="H7154" i="32"/>
  <c r="H7155" i="32"/>
  <c r="H7156" i="32"/>
  <c r="H7157" i="32"/>
  <c r="H7158" i="32"/>
  <c r="H7159" i="32"/>
  <c r="H7160" i="32"/>
  <c r="H7161" i="32"/>
  <c r="H7162" i="32"/>
  <c r="H7163" i="32"/>
  <c r="H7164" i="32"/>
  <c r="H7165" i="32"/>
  <c r="H7166" i="32"/>
  <c r="H7167" i="32"/>
  <c r="H7168" i="32"/>
  <c r="H7169" i="32"/>
  <c r="H7170" i="32"/>
  <c r="H7171" i="32"/>
  <c r="H7172" i="32"/>
  <c r="H7173" i="32"/>
  <c r="H7174" i="32"/>
  <c r="H7175" i="32"/>
  <c r="H7176" i="32"/>
  <c r="H7177" i="32"/>
  <c r="H7178" i="32"/>
  <c r="H7179" i="32"/>
  <c r="H7180" i="32"/>
  <c r="H7181" i="32"/>
  <c r="H7182" i="32"/>
  <c r="H7183" i="32"/>
  <c r="H7184" i="32"/>
  <c r="H7185" i="32"/>
  <c r="H7186" i="32"/>
  <c r="H7187" i="32"/>
  <c r="H7188" i="32"/>
  <c r="H7189" i="32"/>
  <c r="H7190" i="32"/>
  <c r="H7191" i="32"/>
  <c r="H7192" i="32"/>
  <c r="H7193" i="32"/>
  <c r="H7194" i="32"/>
  <c r="H7195" i="32"/>
  <c r="H7196" i="32"/>
  <c r="H7197" i="32"/>
  <c r="H7198" i="32"/>
  <c r="H7199" i="32"/>
  <c r="H7200" i="32"/>
  <c r="H7201" i="32"/>
  <c r="H7202" i="32"/>
  <c r="H7203" i="32"/>
  <c r="H7204" i="32"/>
  <c r="H7205" i="32"/>
  <c r="H7206" i="32"/>
  <c r="H7207" i="32"/>
  <c r="H7208" i="32"/>
  <c r="H7209" i="32"/>
  <c r="H7210" i="32"/>
  <c r="H7211" i="32"/>
  <c r="H7212" i="32"/>
  <c r="H7213" i="32"/>
  <c r="H7214" i="32"/>
  <c r="H7215" i="32"/>
  <c r="H7216" i="32"/>
  <c r="H7217" i="32"/>
  <c r="H7218" i="32"/>
  <c r="H7219" i="32"/>
  <c r="H7220" i="32"/>
  <c r="H7221" i="32"/>
  <c r="H7222" i="32"/>
  <c r="H7223" i="32"/>
  <c r="H7224" i="32"/>
  <c r="H7225" i="32"/>
  <c r="H7226" i="32"/>
  <c r="H7227" i="32"/>
  <c r="H7228" i="32"/>
  <c r="H7229" i="32"/>
  <c r="H7230" i="32"/>
  <c r="H7231" i="32"/>
  <c r="H7232" i="32"/>
  <c r="H7233" i="32"/>
  <c r="H7234" i="32"/>
  <c r="H7235" i="32"/>
  <c r="H7236" i="32"/>
  <c r="H7237" i="32"/>
  <c r="H7238" i="32"/>
  <c r="H7239" i="32"/>
  <c r="H7240" i="32"/>
  <c r="H7241" i="32"/>
  <c r="H7242" i="32"/>
  <c r="H7243" i="32"/>
  <c r="H7244" i="32"/>
  <c r="H7245" i="32"/>
  <c r="H7246" i="32"/>
  <c r="H7247" i="32"/>
  <c r="H7248" i="32"/>
  <c r="H7249" i="32"/>
  <c r="H7250" i="32"/>
  <c r="H7251" i="32"/>
  <c r="H7252" i="32"/>
  <c r="H7253" i="32"/>
  <c r="H7254" i="32"/>
  <c r="H7255" i="32"/>
  <c r="H7256" i="32"/>
  <c r="H7257" i="32"/>
  <c r="H7258" i="32"/>
  <c r="H7259" i="32"/>
  <c r="H7260" i="32"/>
  <c r="H7261" i="32"/>
  <c r="H7262" i="32"/>
  <c r="H7263" i="32"/>
  <c r="H7264" i="32"/>
  <c r="H7265" i="32"/>
  <c r="H7266" i="32"/>
  <c r="H7267" i="32"/>
  <c r="H7268" i="32"/>
  <c r="H7269" i="32"/>
  <c r="H7270" i="32"/>
  <c r="H7271" i="32"/>
  <c r="H7272" i="32"/>
  <c r="H7273" i="32"/>
  <c r="H7274" i="32"/>
  <c r="H7275" i="32"/>
  <c r="H7276" i="32"/>
  <c r="H7277" i="32"/>
  <c r="H7278" i="32"/>
  <c r="H7279" i="32"/>
  <c r="H7280" i="32"/>
  <c r="H7281" i="32"/>
  <c r="H7282" i="32"/>
  <c r="H7283" i="32"/>
  <c r="H7284" i="32"/>
  <c r="H7285" i="32"/>
  <c r="H7286" i="32"/>
  <c r="H7287" i="32"/>
  <c r="H7288" i="32"/>
  <c r="H7289" i="32"/>
  <c r="H7290" i="32"/>
  <c r="H7291" i="32"/>
  <c r="H7292" i="32"/>
  <c r="H7293" i="32"/>
  <c r="H7294" i="32"/>
  <c r="H7295" i="32"/>
  <c r="H7296" i="32"/>
  <c r="H7297" i="32"/>
  <c r="H7298" i="32"/>
  <c r="H7299" i="32"/>
  <c r="H7300" i="32"/>
  <c r="H7301" i="32"/>
  <c r="H7302" i="32"/>
  <c r="H7303" i="32"/>
  <c r="H7304" i="32"/>
  <c r="H7305" i="32"/>
  <c r="H7306" i="32"/>
  <c r="H7307" i="32"/>
  <c r="H7308" i="32"/>
  <c r="H7309" i="32"/>
  <c r="H7310" i="32"/>
  <c r="H7311" i="32"/>
  <c r="H7312" i="32"/>
  <c r="H7313" i="32"/>
  <c r="H7314" i="32"/>
  <c r="H7315" i="32"/>
  <c r="H7316" i="32"/>
  <c r="H7317" i="32"/>
  <c r="H7318" i="32"/>
  <c r="H7319" i="32"/>
  <c r="H7320" i="32"/>
  <c r="H7321" i="32"/>
  <c r="H7322" i="32"/>
  <c r="H7323" i="32"/>
  <c r="H7324" i="32"/>
  <c r="H7325" i="32"/>
  <c r="H7326" i="32"/>
  <c r="H7327" i="32"/>
  <c r="H7328" i="32"/>
  <c r="H7329" i="32"/>
  <c r="H7330" i="32"/>
  <c r="H7331" i="32"/>
  <c r="H7332" i="32"/>
  <c r="H7333" i="32"/>
  <c r="H7334" i="32"/>
  <c r="H7335" i="32"/>
  <c r="H7336" i="32"/>
  <c r="H7337" i="32"/>
  <c r="H7338" i="32"/>
  <c r="H7339" i="32"/>
  <c r="H7340" i="32"/>
  <c r="H7341" i="32"/>
  <c r="H7342" i="32"/>
  <c r="H7343" i="32"/>
  <c r="H7344" i="32"/>
  <c r="H7345" i="32"/>
  <c r="H7346" i="32"/>
  <c r="H7347" i="32"/>
  <c r="H7348" i="32"/>
  <c r="H7349" i="32"/>
  <c r="H7350" i="32"/>
  <c r="H7351" i="32"/>
  <c r="H7352" i="32"/>
  <c r="H7353" i="32"/>
  <c r="H7354" i="32"/>
  <c r="H7355" i="32"/>
  <c r="H7356" i="32"/>
  <c r="H7357" i="32"/>
  <c r="H7358" i="32"/>
  <c r="H7359" i="32"/>
  <c r="H7360" i="32"/>
  <c r="H7361" i="32"/>
  <c r="H7362" i="32"/>
  <c r="H7363" i="32"/>
  <c r="H7364" i="32"/>
  <c r="H7365" i="32"/>
  <c r="H7366" i="32"/>
  <c r="H7367" i="32"/>
  <c r="H7368" i="32"/>
  <c r="H7369" i="32"/>
  <c r="H7370" i="32"/>
  <c r="H7371" i="32"/>
  <c r="H7372" i="32"/>
  <c r="H7373" i="32"/>
  <c r="H7374" i="32"/>
  <c r="H7375" i="32"/>
  <c r="H7376" i="32"/>
  <c r="H7377" i="32"/>
  <c r="H7378" i="32"/>
  <c r="H7379" i="32"/>
  <c r="H7380" i="32"/>
  <c r="H7381" i="32"/>
  <c r="H7382" i="32"/>
  <c r="H7383" i="32"/>
  <c r="H7384" i="32"/>
  <c r="H7385" i="32"/>
  <c r="H7386" i="32"/>
  <c r="H7387" i="32"/>
  <c r="H7388" i="32"/>
  <c r="H7389" i="32"/>
  <c r="H7390" i="32"/>
  <c r="H7391" i="32"/>
  <c r="H7392" i="32"/>
  <c r="H7393" i="32"/>
  <c r="H7394" i="32"/>
  <c r="H7395" i="32"/>
  <c r="H7396" i="32"/>
  <c r="H7397" i="32"/>
  <c r="H7398" i="32"/>
  <c r="H7399" i="32"/>
  <c r="H7400" i="32"/>
  <c r="H7401" i="32"/>
  <c r="H7402" i="32"/>
  <c r="H7403" i="32"/>
  <c r="H7404" i="32"/>
  <c r="H7405" i="32"/>
  <c r="H7406" i="32"/>
  <c r="H7407" i="32"/>
  <c r="H7408" i="32"/>
  <c r="H7409" i="32"/>
  <c r="H7410" i="32"/>
  <c r="H7411" i="32"/>
  <c r="H7412" i="32"/>
  <c r="H7413" i="32"/>
  <c r="H7414" i="32"/>
  <c r="H7415" i="32"/>
  <c r="H7416" i="32"/>
  <c r="H7417" i="32"/>
  <c r="H7418" i="32"/>
  <c r="H7419" i="32"/>
  <c r="H7420" i="32"/>
  <c r="H7421" i="32"/>
  <c r="H7422" i="32"/>
  <c r="H7423" i="32"/>
  <c r="H7424" i="32"/>
  <c r="H7425" i="32"/>
  <c r="H7426" i="32"/>
  <c r="H7427" i="32"/>
  <c r="H7428" i="32"/>
  <c r="H7429" i="32"/>
  <c r="H7430" i="32"/>
  <c r="H7431" i="32"/>
  <c r="H7432" i="32"/>
  <c r="H7433" i="32"/>
  <c r="H7434" i="32"/>
  <c r="H7435" i="32"/>
  <c r="H7436" i="32"/>
  <c r="H7437" i="32"/>
  <c r="H7438" i="32"/>
  <c r="H7439" i="32"/>
  <c r="H7440" i="32"/>
  <c r="H7441" i="32"/>
  <c r="H7442" i="32"/>
  <c r="H7443" i="32"/>
  <c r="H7444" i="32"/>
  <c r="H7445" i="32"/>
  <c r="H7446" i="32"/>
  <c r="H7447" i="32"/>
  <c r="H7448" i="32"/>
  <c r="H7449" i="32"/>
  <c r="H7450" i="32"/>
  <c r="H7451" i="32"/>
  <c r="H7452" i="32"/>
  <c r="H7453" i="32"/>
  <c r="H7454" i="32"/>
  <c r="H7455" i="32"/>
  <c r="H7456" i="32"/>
  <c r="H7457" i="32"/>
  <c r="H7458" i="32"/>
  <c r="H7459" i="32"/>
  <c r="H7460" i="32"/>
  <c r="H7461" i="32"/>
  <c r="H7462" i="32"/>
  <c r="H7463" i="32"/>
  <c r="H7464" i="32"/>
  <c r="H7465" i="32"/>
  <c r="H7466" i="32"/>
  <c r="H7467" i="32"/>
  <c r="H7468" i="32"/>
  <c r="H7469" i="32"/>
  <c r="H7470" i="32"/>
  <c r="H7471" i="32"/>
  <c r="H7472" i="32"/>
  <c r="H7473" i="32"/>
  <c r="H7474" i="32"/>
  <c r="H7475" i="32"/>
  <c r="H7476" i="32"/>
  <c r="H7477" i="32"/>
  <c r="H7478" i="32"/>
  <c r="H7479" i="32"/>
  <c r="H7480" i="32"/>
  <c r="H7481" i="32"/>
  <c r="H7482" i="32"/>
  <c r="H7483" i="32"/>
  <c r="H7484" i="32"/>
  <c r="H7485" i="32"/>
  <c r="H7486" i="32"/>
  <c r="H7487" i="32"/>
  <c r="H7488" i="32"/>
  <c r="H7489" i="32"/>
  <c r="H7490" i="32"/>
  <c r="H7491" i="32"/>
  <c r="H7492" i="32"/>
  <c r="H7493" i="32"/>
  <c r="H7494" i="32"/>
  <c r="H7495" i="32"/>
  <c r="H7496" i="32"/>
  <c r="H7497" i="32"/>
  <c r="F326" i="3" l="1"/>
  <c r="F150" i="3"/>
  <c r="I275" i="5"/>
  <c r="B2466" i="5"/>
  <c r="B2178" i="5"/>
  <c r="B2119" i="5"/>
  <c r="B1299" i="5"/>
  <c r="B1298" i="5"/>
  <c r="B808" i="5"/>
  <c r="B807" i="5"/>
  <c r="B747" i="5"/>
  <c r="B746" i="5"/>
  <c r="B630" i="5"/>
  <c r="B614" i="5"/>
  <c r="B423" i="5"/>
  <c r="B337" i="5"/>
  <c r="B336" i="5"/>
  <c r="B295" i="5"/>
  <c r="B269" i="5"/>
  <c r="B186" i="5"/>
  <c r="B187" i="5"/>
  <c r="H23" i="19"/>
  <c r="F219" i="3" l="1"/>
  <c r="F143" i="3"/>
  <c r="I304" i="5"/>
  <c r="F75" i="3" s="1"/>
  <c r="F69" i="3"/>
  <c r="I1620" i="5"/>
  <c r="F286" i="3" s="1"/>
  <c r="I30" i="5"/>
  <c r="H22" i="19"/>
  <c r="I2468" i="5"/>
  <c r="F409" i="3" s="1"/>
  <c r="F14" i="3" l="1"/>
  <c r="F13" i="3"/>
  <c r="I1598" i="5"/>
  <c r="F281" i="3" s="1"/>
  <c r="I247" i="5"/>
  <c r="H6416" i="32"/>
  <c r="H6417" i="32"/>
  <c r="H6418" i="32"/>
  <c r="H6419" i="32"/>
  <c r="H6420" i="32"/>
  <c r="H6421" i="32"/>
  <c r="H6422" i="32"/>
  <c r="H6423" i="32"/>
  <c r="H6424" i="32"/>
  <c r="H6425" i="32"/>
  <c r="H6426" i="32"/>
  <c r="H6427" i="32"/>
  <c r="H6428" i="32"/>
  <c r="H6429" i="32"/>
  <c r="H6430" i="32"/>
  <c r="H6431" i="32"/>
  <c r="H6432" i="32"/>
  <c r="H6433" i="32"/>
  <c r="H6434" i="32"/>
  <c r="H6435" i="32"/>
  <c r="H6436" i="32"/>
  <c r="H6437" i="32"/>
  <c r="H6438" i="32"/>
  <c r="H6439" i="32"/>
  <c r="H6440" i="32"/>
  <c r="H6441" i="32"/>
  <c r="H6442" i="32"/>
  <c r="H6443" i="32"/>
  <c r="H6444" i="32"/>
  <c r="H6445" i="32"/>
  <c r="H6446" i="32"/>
  <c r="H6447" i="32"/>
  <c r="H6448" i="32"/>
  <c r="H6449" i="32"/>
  <c r="H6450" i="32"/>
  <c r="H6451" i="32"/>
  <c r="H6452" i="32"/>
  <c r="H6453" i="32"/>
  <c r="H6454" i="32"/>
  <c r="H6455" i="32"/>
  <c r="H6456" i="32"/>
  <c r="H6457" i="32"/>
  <c r="H6458" i="32"/>
  <c r="H6459" i="32"/>
  <c r="H6460" i="32"/>
  <c r="H6461" i="32"/>
  <c r="H6462" i="32"/>
  <c r="H6463" i="32"/>
  <c r="H6464" i="32"/>
  <c r="H6465" i="32"/>
  <c r="H6466" i="32"/>
  <c r="H6467" i="32"/>
  <c r="H6468" i="32"/>
  <c r="H6469" i="32"/>
  <c r="H6470" i="32"/>
  <c r="H6471" i="32"/>
  <c r="H6472" i="32"/>
  <c r="H6473" i="32"/>
  <c r="H6474" i="32"/>
  <c r="H6475" i="32"/>
  <c r="H6476" i="32"/>
  <c r="H6477" i="32"/>
  <c r="H6478" i="32"/>
  <c r="H6479" i="32"/>
  <c r="H6480" i="32"/>
  <c r="H6481" i="32"/>
  <c r="H6482" i="32"/>
  <c r="H6483" i="32"/>
  <c r="H6484" i="32"/>
  <c r="H6485" i="32"/>
  <c r="H6486" i="32"/>
  <c r="H6487" i="32"/>
  <c r="H6488" i="32"/>
  <c r="H6489" i="32"/>
  <c r="H6490" i="32"/>
  <c r="H6491" i="32"/>
  <c r="H6492" i="32"/>
  <c r="H6493" i="32"/>
  <c r="H6494" i="32"/>
  <c r="H6495" i="32"/>
  <c r="H6496" i="32"/>
  <c r="H6497" i="32"/>
  <c r="H6498" i="32"/>
  <c r="H6499" i="32"/>
  <c r="H6500" i="32"/>
  <c r="H6501" i="32"/>
  <c r="H6502" i="32"/>
  <c r="H6503" i="32"/>
  <c r="H6504" i="32"/>
  <c r="H6505" i="32"/>
  <c r="H6506" i="32"/>
  <c r="H6507" i="32"/>
  <c r="H6508" i="32"/>
  <c r="H6509" i="32"/>
  <c r="H6510" i="32"/>
  <c r="H6511" i="32"/>
  <c r="H6512" i="32"/>
  <c r="H6513" i="32"/>
  <c r="H6514" i="32"/>
  <c r="H6515" i="32"/>
  <c r="H6516" i="32"/>
  <c r="H6517" i="32"/>
  <c r="H6518" i="32"/>
  <c r="H6519" i="32"/>
  <c r="H6520" i="32"/>
  <c r="H6521" i="32"/>
  <c r="H6522" i="32"/>
  <c r="H6523" i="32"/>
  <c r="H6524" i="32"/>
  <c r="H6525" i="32"/>
  <c r="H6526" i="32"/>
  <c r="H6527" i="32"/>
  <c r="H6528" i="32"/>
  <c r="H6529" i="32"/>
  <c r="H6530" i="32"/>
  <c r="H6531" i="32"/>
  <c r="H6532" i="32"/>
  <c r="H6533" i="32"/>
  <c r="H6534" i="32"/>
  <c r="H6535" i="32"/>
  <c r="H6536" i="32"/>
  <c r="H6537" i="32"/>
  <c r="H6538" i="32"/>
  <c r="H6539" i="32"/>
  <c r="H6540" i="32"/>
  <c r="H6541" i="32"/>
  <c r="H6542" i="32"/>
  <c r="H6543" i="32"/>
  <c r="H6544" i="32"/>
  <c r="H6545" i="32"/>
  <c r="H6546" i="32"/>
  <c r="H6547" i="32"/>
  <c r="H6548" i="32"/>
  <c r="H6549" i="32"/>
  <c r="H6550" i="32"/>
  <c r="H6551" i="32"/>
  <c r="H6552" i="32"/>
  <c r="H6553" i="32"/>
  <c r="H6554" i="32"/>
  <c r="H6555" i="32"/>
  <c r="H6556" i="32"/>
  <c r="H6557" i="32"/>
  <c r="H6558" i="32"/>
  <c r="H6559" i="32"/>
  <c r="H6560" i="32"/>
  <c r="H6561" i="32"/>
  <c r="H6562" i="32"/>
  <c r="H6563" i="32"/>
  <c r="H6564" i="32"/>
  <c r="H6565" i="32"/>
  <c r="H6566" i="32"/>
  <c r="H6567" i="32"/>
  <c r="H6568" i="32"/>
  <c r="H6569" i="32"/>
  <c r="H6570" i="32"/>
  <c r="H6571" i="32"/>
  <c r="H6572" i="32"/>
  <c r="H6573" i="32"/>
  <c r="H6574" i="32"/>
  <c r="H6575" i="32"/>
  <c r="H6576" i="32"/>
  <c r="H6577" i="32"/>
  <c r="H6578" i="32"/>
  <c r="H6579" i="32"/>
  <c r="H6580" i="32"/>
  <c r="H6581" i="32"/>
  <c r="H6582" i="32"/>
  <c r="H6583" i="32"/>
  <c r="H6584" i="32"/>
  <c r="H6585" i="32"/>
  <c r="H6586" i="32"/>
  <c r="H6587" i="32"/>
  <c r="H6588" i="32"/>
  <c r="H6589" i="32"/>
  <c r="H6590" i="32"/>
  <c r="H6591" i="32"/>
  <c r="H6592" i="32"/>
  <c r="H6593" i="32"/>
  <c r="H6594" i="32"/>
  <c r="H6595" i="32"/>
  <c r="H6596" i="32"/>
  <c r="H6597" i="32"/>
  <c r="H6598" i="32"/>
  <c r="H6599" i="32"/>
  <c r="H6600" i="32"/>
  <c r="H6601" i="32"/>
  <c r="H6602" i="32"/>
  <c r="H6603" i="32"/>
  <c r="H6604" i="32"/>
  <c r="H6605" i="32"/>
  <c r="H6606" i="32"/>
  <c r="H6607" i="32"/>
  <c r="H6608" i="32"/>
  <c r="H6609" i="32"/>
  <c r="H6610" i="32"/>
  <c r="H6611" i="32"/>
  <c r="H6612" i="32"/>
  <c r="H6613" i="32"/>
  <c r="H6614" i="32"/>
  <c r="H6615" i="32"/>
  <c r="H6616" i="32"/>
  <c r="H6617" i="32"/>
  <c r="H6618" i="32"/>
  <c r="H6619" i="32"/>
  <c r="H6620" i="32"/>
  <c r="H6621" i="32"/>
  <c r="H6622" i="32"/>
  <c r="H6623" i="32"/>
  <c r="H6624" i="32"/>
  <c r="H6625" i="32"/>
  <c r="H6626" i="32"/>
  <c r="H6627" i="32"/>
  <c r="H6628" i="32"/>
  <c r="H6629" i="32"/>
  <c r="H6630" i="32"/>
  <c r="H6631" i="32"/>
  <c r="H6632" i="32"/>
  <c r="H6633" i="32"/>
  <c r="H6634" i="32"/>
  <c r="H6635" i="32"/>
  <c r="H6636" i="32"/>
  <c r="H6637" i="32"/>
  <c r="H6638" i="32"/>
  <c r="H6639" i="32"/>
  <c r="H6640" i="32"/>
  <c r="H6641" i="32"/>
  <c r="H6642" i="32"/>
  <c r="H6643" i="32"/>
  <c r="H6644" i="32"/>
  <c r="H6645" i="32"/>
  <c r="H6646" i="32"/>
  <c r="H6647" i="32"/>
  <c r="H6648" i="32"/>
  <c r="H6649" i="32"/>
  <c r="H6650" i="32"/>
  <c r="H6651" i="32"/>
  <c r="H6652" i="32"/>
  <c r="H6653" i="32"/>
  <c r="H6654" i="32"/>
  <c r="H6655" i="32"/>
  <c r="H6656" i="32"/>
  <c r="H6657" i="32"/>
  <c r="H6658" i="32"/>
  <c r="H6659" i="32"/>
  <c r="H6660" i="32"/>
  <c r="H6661" i="32"/>
  <c r="H6662" i="32"/>
  <c r="H6663" i="32"/>
  <c r="H6664" i="32"/>
  <c r="H6665" i="32"/>
  <c r="H6666" i="32"/>
  <c r="H6667" i="32"/>
  <c r="H6668" i="32"/>
  <c r="H6669" i="32"/>
  <c r="H6670" i="32"/>
  <c r="H6671" i="32"/>
  <c r="H6672" i="32"/>
  <c r="H6673" i="32"/>
  <c r="H6674" i="32"/>
  <c r="H6675" i="32"/>
  <c r="H6676" i="32"/>
  <c r="H6677" i="32"/>
  <c r="H6678" i="32"/>
  <c r="H6679" i="32"/>
  <c r="H6680" i="32"/>
  <c r="H6681" i="32"/>
  <c r="H6682" i="32"/>
  <c r="H6683" i="32"/>
  <c r="H6684" i="32"/>
  <c r="H6685" i="32"/>
  <c r="H6686" i="32"/>
  <c r="H6687" i="32"/>
  <c r="H6688" i="32"/>
  <c r="H6689" i="32"/>
  <c r="H6690" i="32"/>
  <c r="H6691" i="32"/>
  <c r="H6692" i="32"/>
  <c r="H6693" i="32"/>
  <c r="H6694" i="32"/>
  <c r="H6695" i="32"/>
  <c r="H6696" i="32"/>
  <c r="H6697" i="32"/>
  <c r="H6698" i="32"/>
  <c r="H6699" i="32"/>
  <c r="H6700" i="32"/>
  <c r="H6701" i="32"/>
  <c r="H6702" i="32"/>
  <c r="H6703" i="32"/>
  <c r="H6704" i="32"/>
  <c r="H6705" i="32"/>
  <c r="H6706" i="32"/>
  <c r="H6707" i="32"/>
  <c r="H6708" i="32"/>
  <c r="H6709" i="32"/>
  <c r="H6710" i="32"/>
  <c r="H6711" i="32"/>
  <c r="H6712" i="32"/>
  <c r="H6713" i="32"/>
  <c r="H6714" i="32"/>
  <c r="H6715" i="32"/>
  <c r="H6716" i="32"/>
  <c r="H6717" i="32"/>
  <c r="H6718" i="32"/>
  <c r="H6719" i="32"/>
  <c r="H6720" i="32"/>
  <c r="H6721" i="32"/>
  <c r="H6722" i="32"/>
  <c r="H6723" i="32"/>
  <c r="H6724" i="32"/>
  <c r="H6725" i="32"/>
  <c r="H6726" i="32"/>
  <c r="H6727" i="32"/>
  <c r="H6728" i="32"/>
  <c r="H6729" i="32"/>
  <c r="H6730" i="32"/>
  <c r="H6731" i="32"/>
  <c r="H6732" i="32"/>
  <c r="H6733" i="32"/>
  <c r="H6734" i="32"/>
  <c r="H6735" i="32"/>
  <c r="H6736" i="32"/>
  <c r="H6737" i="32"/>
  <c r="H6738" i="32"/>
  <c r="H6739" i="32"/>
  <c r="H6740" i="32"/>
  <c r="H6741" i="32"/>
  <c r="H6742" i="32"/>
  <c r="H6743" i="32"/>
  <c r="H6744" i="32"/>
  <c r="H6745" i="32"/>
  <c r="H6746" i="32"/>
  <c r="H6747" i="32"/>
  <c r="H6748" i="32"/>
  <c r="H6749" i="32"/>
  <c r="H6750" i="32"/>
  <c r="H6751" i="32"/>
  <c r="H6752" i="32"/>
  <c r="H6753" i="32"/>
  <c r="H6754" i="32"/>
  <c r="H6755" i="32"/>
  <c r="H6756" i="32"/>
  <c r="H6757" i="32"/>
  <c r="H6758" i="32"/>
  <c r="H6759" i="32"/>
  <c r="H6760" i="32"/>
  <c r="H6761" i="32"/>
  <c r="H6762" i="32"/>
  <c r="H6763" i="32"/>
  <c r="H6764" i="32"/>
  <c r="H6765" i="32"/>
  <c r="H6766" i="32"/>
  <c r="H6767" i="32"/>
  <c r="H6768" i="32"/>
  <c r="H6769" i="32"/>
  <c r="H6770" i="32"/>
  <c r="H6771" i="32"/>
  <c r="H6772" i="32"/>
  <c r="H6773" i="32"/>
  <c r="H6774" i="32"/>
  <c r="H6775" i="32"/>
  <c r="H6776" i="32"/>
  <c r="H6777" i="32"/>
  <c r="H6778" i="32"/>
  <c r="H6779" i="32"/>
  <c r="H6780" i="32"/>
  <c r="H6781" i="32"/>
  <c r="H6782" i="32"/>
  <c r="H6783" i="32"/>
  <c r="H6784" i="32"/>
  <c r="H6785" i="32"/>
  <c r="H6786" i="32"/>
  <c r="H6787" i="32"/>
  <c r="H6788" i="32"/>
  <c r="H6789" i="32"/>
  <c r="H6790" i="32"/>
  <c r="H6791" i="32"/>
  <c r="H6792" i="32"/>
  <c r="H6793" i="32"/>
  <c r="H6794" i="32"/>
  <c r="H6795" i="32"/>
  <c r="H6796" i="32"/>
  <c r="H6797" i="32"/>
  <c r="H6798" i="32"/>
  <c r="H6799" i="32"/>
  <c r="H6800" i="32"/>
  <c r="H6801" i="32"/>
  <c r="H6802" i="32"/>
  <c r="H6803" i="32"/>
  <c r="H6804" i="32"/>
  <c r="H6805" i="32"/>
  <c r="H6806" i="32"/>
  <c r="H6807" i="32"/>
  <c r="H6808" i="32"/>
  <c r="H6809" i="32"/>
  <c r="H6810" i="32"/>
  <c r="H6811" i="32"/>
  <c r="H6812" i="32"/>
  <c r="H6813" i="32"/>
  <c r="H6814" i="32"/>
  <c r="H6815" i="32"/>
  <c r="H6816" i="32"/>
  <c r="H6817" i="32"/>
  <c r="H6818" i="32"/>
  <c r="H6819" i="32"/>
  <c r="H6820" i="32"/>
  <c r="H6821" i="32"/>
  <c r="H6822" i="32"/>
  <c r="H6823" i="32"/>
  <c r="H6824" i="32"/>
  <c r="H6825" i="32"/>
  <c r="H6826" i="32"/>
  <c r="H6827" i="32"/>
  <c r="H6828" i="32"/>
  <c r="H6829" i="32"/>
  <c r="H6830" i="32"/>
  <c r="H6831" i="32"/>
  <c r="H6832" i="32"/>
  <c r="H6833" i="32"/>
  <c r="H6834" i="32"/>
  <c r="H6835" i="32"/>
  <c r="H6836" i="32"/>
  <c r="H6837" i="32"/>
  <c r="H6838" i="32"/>
  <c r="H6839" i="32"/>
  <c r="H6840" i="32"/>
  <c r="H6841" i="32"/>
  <c r="H6842" i="32"/>
  <c r="H6843" i="32"/>
  <c r="H6844" i="32"/>
  <c r="H6845" i="32"/>
  <c r="H6846" i="32"/>
  <c r="H6847" i="32"/>
  <c r="H6848" i="32"/>
  <c r="H6849" i="32"/>
  <c r="H6850" i="32"/>
  <c r="H6851" i="32"/>
  <c r="H6852" i="32"/>
  <c r="H6853" i="32"/>
  <c r="H6854" i="32"/>
  <c r="H6855" i="32"/>
  <c r="H6856" i="32"/>
  <c r="H6857" i="32"/>
  <c r="H6858" i="32"/>
  <c r="H6859" i="32"/>
  <c r="H6860" i="32"/>
  <c r="H6861" i="32"/>
  <c r="H6862" i="32"/>
  <c r="H6863" i="32"/>
  <c r="H6864" i="32"/>
  <c r="H6865" i="32"/>
  <c r="H6866" i="32"/>
  <c r="H6867" i="32"/>
  <c r="H6868" i="32"/>
  <c r="H6869" i="32"/>
  <c r="H6870" i="32"/>
  <c r="H6871" i="32"/>
  <c r="H6872" i="32"/>
  <c r="H6873" i="32"/>
  <c r="H6874" i="32"/>
  <c r="H6875" i="32"/>
  <c r="H6876" i="32"/>
  <c r="H6877" i="32"/>
  <c r="H6878" i="32"/>
  <c r="H6879" i="32"/>
  <c r="H6880" i="32"/>
  <c r="H6881" i="32"/>
  <c r="H6882" i="32"/>
  <c r="H6883" i="32"/>
  <c r="H6884" i="32"/>
  <c r="H6885" i="32"/>
  <c r="H6886" i="32"/>
  <c r="H6887" i="32"/>
  <c r="H6888" i="32"/>
  <c r="H6889" i="32"/>
  <c r="H6890" i="32"/>
  <c r="H6891" i="32"/>
  <c r="H6892" i="32"/>
  <c r="H6893" i="32"/>
  <c r="H6894" i="32"/>
  <c r="H6895" i="32"/>
  <c r="H6896" i="32"/>
  <c r="H6897" i="32"/>
  <c r="H6898" i="32"/>
  <c r="H6899" i="32"/>
  <c r="H6900" i="32"/>
  <c r="H6901" i="32"/>
  <c r="H6902" i="32"/>
  <c r="H6903" i="32"/>
  <c r="H6904" i="32"/>
  <c r="H6905" i="32"/>
  <c r="H6906" i="32"/>
  <c r="H6907" i="32"/>
  <c r="H6908" i="32"/>
  <c r="H6909" i="32"/>
  <c r="H6910" i="32"/>
  <c r="H6911" i="32"/>
  <c r="H6912" i="32"/>
  <c r="H6913" i="32"/>
  <c r="H6914" i="32"/>
  <c r="H6915" i="32"/>
  <c r="H6916" i="32"/>
  <c r="H6917" i="32"/>
  <c r="H6918" i="32"/>
  <c r="H6919" i="32"/>
  <c r="H6920" i="32"/>
  <c r="H6921" i="32"/>
  <c r="H6922" i="32"/>
  <c r="H6923" i="32"/>
  <c r="H6924" i="32"/>
  <c r="H6925" i="32"/>
  <c r="H6926" i="32"/>
  <c r="H6927" i="32"/>
  <c r="H6928" i="32"/>
  <c r="H6929" i="32"/>
  <c r="H6930" i="32"/>
  <c r="H6931" i="32"/>
  <c r="H6932" i="32"/>
  <c r="H6933" i="32"/>
  <c r="H6934" i="32"/>
  <c r="H6935" i="32"/>
  <c r="H6936" i="32"/>
  <c r="H6937" i="32"/>
  <c r="H6938" i="32"/>
  <c r="H6939" i="32"/>
  <c r="H6940" i="32"/>
  <c r="H6941" i="32"/>
  <c r="H6942" i="32"/>
  <c r="H6943" i="32"/>
  <c r="H6944" i="32"/>
  <c r="H6945" i="32"/>
  <c r="H6946" i="32"/>
  <c r="H6947" i="32"/>
  <c r="H6948" i="32"/>
  <c r="H6949" i="32"/>
  <c r="H6950" i="32"/>
  <c r="H6951" i="32"/>
  <c r="H6952" i="32"/>
  <c r="H6953" i="32"/>
  <c r="H6954" i="32"/>
  <c r="H6955" i="32"/>
  <c r="H6956" i="32"/>
  <c r="H6957" i="32"/>
  <c r="H6958" i="32"/>
  <c r="H6959" i="32"/>
  <c r="H6960" i="32"/>
  <c r="H6961" i="32"/>
  <c r="H6962" i="32"/>
  <c r="H6963" i="32"/>
  <c r="H6964" i="32"/>
  <c r="H6965" i="32"/>
  <c r="H6966" i="32"/>
  <c r="H6967" i="32"/>
  <c r="H6968" i="32"/>
  <c r="H6969" i="32"/>
  <c r="H6970" i="32"/>
  <c r="H6971" i="32"/>
  <c r="H6972" i="32"/>
  <c r="H6973" i="32"/>
  <c r="H6974" i="32"/>
  <c r="H6975" i="32"/>
  <c r="H6976" i="32"/>
  <c r="H6977" i="32"/>
  <c r="H6978" i="32"/>
  <c r="H6979" i="32"/>
  <c r="H6980" i="32"/>
  <c r="H6981" i="32"/>
  <c r="H6982" i="32"/>
  <c r="H6983" i="32"/>
  <c r="H6984" i="32"/>
  <c r="H6985" i="32"/>
  <c r="H6986" i="32"/>
  <c r="H6987" i="32"/>
  <c r="H6988" i="32"/>
  <c r="H6989" i="32"/>
  <c r="H6990" i="32"/>
  <c r="H6991" i="32"/>
  <c r="H6992" i="32"/>
  <c r="H6993" i="32"/>
  <c r="H6994" i="32"/>
  <c r="H6995" i="32"/>
  <c r="H6996" i="32"/>
  <c r="H6997" i="32"/>
  <c r="H6998" i="32"/>
  <c r="H6999" i="32"/>
  <c r="H7000" i="32"/>
  <c r="H7001" i="32"/>
  <c r="H7002" i="32"/>
  <c r="H7003" i="32"/>
  <c r="H7004" i="32"/>
  <c r="H7005" i="32"/>
  <c r="H7006" i="32"/>
  <c r="H7007" i="32"/>
  <c r="H7008" i="32"/>
  <c r="I270" i="5" l="1"/>
  <c r="F68" i="3" s="1"/>
  <c r="F63" i="3"/>
  <c r="F90" i="3"/>
  <c r="H4" i="32"/>
  <c r="F138" i="3" l="1"/>
  <c r="F148" i="3"/>
  <c r="F325" i="3"/>
  <c r="I1609" i="5"/>
  <c r="F284" i="3" s="1"/>
  <c r="I2123" i="5"/>
  <c r="I2420" i="5"/>
  <c r="F395" i="3" s="1"/>
  <c r="I7" i="30"/>
  <c r="H7" i="30" s="1"/>
  <c r="G7" i="30" s="1"/>
  <c r="F142" i="3" l="1"/>
  <c r="F218" i="3"/>
  <c r="I1603" i="5"/>
  <c r="F282" i="3" s="1"/>
  <c r="I370" i="5"/>
  <c r="F85" i="3" s="1"/>
  <c r="I609" i="5" l="1"/>
  <c r="F118" i="3" s="1"/>
  <c r="F127" i="3"/>
  <c r="F390" i="3"/>
  <c r="F84" i="3"/>
  <c r="F133" i="3" l="1"/>
  <c r="U38" i="1"/>
  <c r="I809" i="5"/>
  <c r="V38" i="1" l="1"/>
  <c r="X38" i="1" s="1"/>
  <c r="F160" i="3"/>
  <c r="I1238" i="30" l="1"/>
  <c r="H1238" i="30" s="1"/>
  <c r="G1238" i="30" s="1"/>
  <c r="I1239" i="30"/>
  <c r="H1239" i="30" s="1"/>
  <c r="G1239" i="30" s="1"/>
  <c r="I1240" i="30"/>
  <c r="H1240" i="30" s="1"/>
  <c r="G1240" i="30" s="1"/>
  <c r="I1241" i="30"/>
  <c r="H1241" i="30" s="1"/>
  <c r="G1241" i="30" s="1"/>
  <c r="G395" i="3" s="1"/>
  <c r="H395" i="3" s="1"/>
  <c r="I1242" i="30"/>
  <c r="H1242" i="30" s="1"/>
  <c r="G1242" i="30" s="1"/>
  <c r="I1243" i="30"/>
  <c r="H1243" i="30" s="1"/>
  <c r="G1243" i="30" s="1"/>
  <c r="I1244" i="30"/>
  <c r="H1244" i="30" s="1"/>
  <c r="G1244" i="30" s="1"/>
  <c r="G396" i="3" s="1"/>
  <c r="H396" i="3" s="1"/>
  <c r="I1245" i="30"/>
  <c r="H1245" i="30" s="1"/>
  <c r="G1245" i="30" s="1"/>
  <c r="G397" i="3" s="1"/>
  <c r="H397" i="3" s="1"/>
  <c r="I1246" i="30"/>
  <c r="H1246" i="30" s="1"/>
  <c r="G1246" i="30" s="1"/>
  <c r="H255" i="32"/>
  <c r="P59" i="42"/>
  <c r="Q70" i="42"/>
  <c r="P70" i="42"/>
  <c r="K70" i="42"/>
  <c r="L70" i="42" s="1"/>
  <c r="H70" i="42"/>
  <c r="Q69" i="42"/>
  <c r="P69" i="42"/>
  <c r="O69" i="42"/>
  <c r="K69" i="42"/>
  <c r="L69" i="42" s="1"/>
  <c r="H69" i="42"/>
  <c r="Q68" i="42"/>
  <c r="P68" i="42"/>
  <c r="K68" i="42"/>
  <c r="L68" i="42" s="1"/>
  <c r="H68" i="42"/>
  <c r="Q67" i="42"/>
  <c r="P67" i="42"/>
  <c r="K67" i="42"/>
  <c r="M67" i="42" s="1"/>
  <c r="H67" i="42"/>
  <c r="O67" i="42" s="1"/>
  <c r="Q66" i="42"/>
  <c r="P66" i="42"/>
  <c r="K66" i="42"/>
  <c r="L66" i="42" s="1"/>
  <c r="H66" i="42"/>
  <c r="Q65" i="42"/>
  <c r="P65" i="42"/>
  <c r="O65" i="42"/>
  <c r="K65" i="42"/>
  <c r="L65" i="42" s="1"/>
  <c r="H65" i="42"/>
  <c r="Q64" i="42"/>
  <c r="P64" i="42"/>
  <c r="K64" i="42"/>
  <c r="L64" i="42" s="1"/>
  <c r="H64" i="42"/>
  <c r="Q63" i="42"/>
  <c r="P63" i="42"/>
  <c r="K63" i="42"/>
  <c r="L63" i="42" s="1"/>
  <c r="H63" i="42"/>
  <c r="O63" i="42" s="1"/>
  <c r="Q62" i="42"/>
  <c r="P62" i="42"/>
  <c r="K62" i="42"/>
  <c r="L62" i="42" s="1"/>
  <c r="H62" i="42"/>
  <c r="O62" i="42" s="1"/>
  <c r="Q61" i="42"/>
  <c r="P61" i="42"/>
  <c r="O61" i="42"/>
  <c r="K61" i="42"/>
  <c r="L61" i="42" s="1"/>
  <c r="H61" i="42"/>
  <c r="Q60" i="42"/>
  <c r="P60" i="42"/>
  <c r="O60" i="42"/>
  <c r="K60" i="42"/>
  <c r="L60" i="42" s="1"/>
  <c r="H60" i="42"/>
  <c r="Q59" i="42"/>
  <c r="O59" i="42"/>
  <c r="K59" i="42"/>
  <c r="L59" i="42" s="1"/>
  <c r="H59" i="42"/>
  <c r="H3699" i="31"/>
  <c r="L67" i="42" l="1"/>
  <c r="M66" i="42"/>
  <c r="N67" i="42"/>
  <c r="S67" i="42" s="1"/>
  <c r="M69" i="42"/>
  <c r="N69" i="42" s="1"/>
  <c r="M70" i="42"/>
  <c r="N70" i="42" s="1"/>
  <c r="M68" i="42"/>
  <c r="N68" i="42" s="1"/>
  <c r="M61" i="42"/>
  <c r="N61" i="42" s="1"/>
  <c r="M62" i="42"/>
  <c r="N62" i="42" s="1"/>
  <c r="M63" i="42"/>
  <c r="N63" i="42" s="1"/>
  <c r="M64" i="42"/>
  <c r="N64" i="42" s="1"/>
  <c r="M65" i="42"/>
  <c r="N65" i="42" s="1"/>
  <c r="Q57" i="42"/>
  <c r="M60" i="42"/>
  <c r="N60" i="42" s="1"/>
  <c r="M59" i="42"/>
  <c r="N59" i="42" s="1"/>
  <c r="N66" i="42"/>
  <c r="R67" i="42"/>
  <c r="O64" i="42"/>
  <c r="O66" i="42"/>
  <c r="O68" i="42"/>
  <c r="O70" i="42"/>
  <c r="P57" i="42"/>
  <c r="I1300" i="5"/>
  <c r="F435" i="3" s="1"/>
  <c r="H435" i="3" s="1"/>
  <c r="H439" i="3" s="1"/>
  <c r="P67" i="44"/>
  <c r="Q67" i="44" s="1"/>
  <c r="O67" i="44"/>
  <c r="F67" i="44"/>
  <c r="H67" i="44" s="1"/>
  <c r="I67" i="44" s="1"/>
  <c r="P66" i="44"/>
  <c r="Q66" i="44" s="1"/>
  <c r="O66" i="44"/>
  <c r="F66" i="44"/>
  <c r="H66" i="44" s="1"/>
  <c r="I66" i="44" s="1"/>
  <c r="P65" i="44"/>
  <c r="Q65" i="44" s="1"/>
  <c r="O65" i="44"/>
  <c r="H65" i="44"/>
  <c r="I65" i="44" s="1"/>
  <c r="G65" i="44"/>
  <c r="F65" i="44"/>
  <c r="Q64" i="44"/>
  <c r="P64" i="44"/>
  <c r="O64" i="44"/>
  <c r="F64" i="44"/>
  <c r="G64" i="44" s="1"/>
  <c r="P63" i="44"/>
  <c r="Q63" i="44" s="1"/>
  <c r="O63" i="44"/>
  <c r="F63" i="44"/>
  <c r="H63" i="44" s="1"/>
  <c r="I63" i="44" s="1"/>
  <c r="P62" i="44"/>
  <c r="Q62" i="44" s="1"/>
  <c r="O62" i="44"/>
  <c r="F62" i="44"/>
  <c r="H62" i="44" s="1"/>
  <c r="I62" i="44" s="1"/>
  <c r="P61" i="44"/>
  <c r="Q61" i="44" s="1"/>
  <c r="O61" i="44"/>
  <c r="F61" i="44"/>
  <c r="G61" i="44" s="1"/>
  <c r="P60" i="44"/>
  <c r="Q60" i="44" s="1"/>
  <c r="O60" i="44"/>
  <c r="F60" i="44"/>
  <c r="H60" i="44" s="1"/>
  <c r="I60" i="44" s="1"/>
  <c r="P59" i="44"/>
  <c r="Q59" i="44" s="1"/>
  <c r="O59" i="44"/>
  <c r="F59" i="44"/>
  <c r="H59" i="44" s="1"/>
  <c r="I59" i="44" s="1"/>
  <c r="P58" i="44"/>
  <c r="Q58" i="44" s="1"/>
  <c r="O58" i="44"/>
  <c r="F58" i="44"/>
  <c r="H58" i="44" s="1"/>
  <c r="I58" i="44" s="1"/>
  <c r="N57" i="44"/>
  <c r="P57" i="44" s="1"/>
  <c r="Q57" i="44" s="1"/>
  <c r="F57" i="44"/>
  <c r="H57" i="44" s="1"/>
  <c r="I57" i="44" s="1"/>
  <c r="N56" i="44"/>
  <c r="P56" i="44" s="1"/>
  <c r="Q56" i="44" s="1"/>
  <c r="F56" i="44"/>
  <c r="H56" i="44" s="1"/>
  <c r="I56" i="44" s="1"/>
  <c r="N55" i="44"/>
  <c r="P55" i="44" s="1"/>
  <c r="Q55" i="44" s="1"/>
  <c r="F55" i="44"/>
  <c r="H55" i="44" s="1"/>
  <c r="I55" i="44" s="1"/>
  <c r="N54" i="44"/>
  <c r="P54" i="44" s="1"/>
  <c r="Q54" i="44" s="1"/>
  <c r="F54" i="44"/>
  <c r="H54" i="44" s="1"/>
  <c r="I54" i="44" s="1"/>
  <c r="P53" i="44"/>
  <c r="Q53" i="44" s="1"/>
  <c r="O53" i="44"/>
  <c r="F53" i="44"/>
  <c r="H53" i="44" s="1"/>
  <c r="I53" i="44" s="1"/>
  <c r="P52" i="44"/>
  <c r="Q52" i="44" s="1"/>
  <c r="O52" i="44"/>
  <c r="F52" i="44"/>
  <c r="G52" i="44" s="1"/>
  <c r="P51" i="44"/>
  <c r="Q51" i="44" s="1"/>
  <c r="O51" i="44"/>
  <c r="F51" i="44"/>
  <c r="H51" i="44" s="1"/>
  <c r="I51" i="44" s="1"/>
  <c r="P50" i="44"/>
  <c r="Q50" i="44" s="1"/>
  <c r="O50" i="44"/>
  <c r="F50" i="44"/>
  <c r="H50" i="44" s="1"/>
  <c r="I50" i="44" s="1"/>
  <c r="P49" i="44"/>
  <c r="Q49" i="44" s="1"/>
  <c r="O49" i="44"/>
  <c r="G49" i="44"/>
  <c r="F49" i="44"/>
  <c r="H49" i="44" s="1"/>
  <c r="I49" i="44" s="1"/>
  <c r="P48" i="44"/>
  <c r="Q48" i="44" s="1"/>
  <c r="O48" i="44"/>
  <c r="F48" i="44"/>
  <c r="G48" i="44" s="1"/>
  <c r="P47" i="44"/>
  <c r="Q47" i="44" s="1"/>
  <c r="O47" i="44"/>
  <c r="G47" i="44"/>
  <c r="F47" i="44"/>
  <c r="H47" i="44" s="1"/>
  <c r="I47" i="44" s="1"/>
  <c r="P46" i="44"/>
  <c r="Q46" i="44" s="1"/>
  <c r="O46" i="44"/>
  <c r="F46" i="44"/>
  <c r="H46" i="44" s="1"/>
  <c r="I46" i="44" s="1"/>
  <c r="P45" i="44"/>
  <c r="Q45" i="44" s="1"/>
  <c r="O45" i="44"/>
  <c r="F45" i="44"/>
  <c r="G45" i="44" s="1"/>
  <c r="P44" i="44"/>
  <c r="Q44" i="44" s="1"/>
  <c r="O44" i="44"/>
  <c r="F44" i="44"/>
  <c r="H44" i="44" s="1"/>
  <c r="I44" i="44" s="1"/>
  <c r="P39" i="43"/>
  <c r="P38" i="43"/>
  <c r="P37" i="43"/>
  <c r="P36" i="43"/>
  <c r="P35" i="43"/>
  <c r="P34" i="43"/>
  <c r="P33" i="43"/>
  <c r="X33" i="43" s="1"/>
  <c r="E42" i="43"/>
  <c r="P43" i="43" s="1"/>
  <c r="E41" i="43"/>
  <c r="P42" i="43" s="1"/>
  <c r="E40" i="43"/>
  <c r="P40" i="43" s="1"/>
  <c r="N32" i="43"/>
  <c r="N20" i="43"/>
  <c r="K24" i="2" l="1"/>
  <c r="L24" i="2" s="1"/>
  <c r="F212" i="3"/>
  <c r="S64" i="42"/>
  <c r="R64" i="42"/>
  <c r="H52" i="44"/>
  <c r="I52" i="44" s="1"/>
  <c r="G67" i="44"/>
  <c r="H48" i="44"/>
  <c r="I48" i="44" s="1"/>
  <c r="P41" i="43"/>
  <c r="G51" i="44"/>
  <c r="G53" i="44"/>
  <c r="R70" i="42"/>
  <c r="S70" i="42"/>
  <c r="R68" i="42"/>
  <c r="S68" i="42"/>
  <c r="G44" i="44"/>
  <c r="G59" i="44"/>
  <c r="G60" i="44"/>
  <c r="O57" i="42"/>
  <c r="R62" i="42"/>
  <c r="S62" i="42"/>
  <c r="S69" i="42"/>
  <c r="R69" i="42"/>
  <c r="S63" i="42"/>
  <c r="R63" i="42"/>
  <c r="S65" i="42"/>
  <c r="R65" i="42"/>
  <c r="S61" i="42"/>
  <c r="R61" i="42"/>
  <c r="R60" i="42"/>
  <c r="S60" i="42"/>
  <c r="N57" i="42"/>
  <c r="S59" i="42"/>
  <c r="R59" i="42"/>
  <c r="R66" i="42"/>
  <c r="S66" i="42"/>
  <c r="H45" i="44"/>
  <c r="I45" i="44" s="1"/>
  <c r="H61" i="44"/>
  <c r="I61" i="44" s="1"/>
  <c r="G63" i="44"/>
  <c r="H64" i="44"/>
  <c r="I64" i="44" s="1"/>
  <c r="G46" i="44"/>
  <c r="G50" i="44"/>
  <c r="G54" i="44"/>
  <c r="O54" i="44"/>
  <c r="G55" i="44"/>
  <c r="O55" i="44"/>
  <c r="G56" i="44"/>
  <c r="O56" i="44"/>
  <c r="G57" i="44"/>
  <c r="O57" i="44"/>
  <c r="G58" i="44"/>
  <c r="G62" i="44"/>
  <c r="G66" i="44"/>
  <c r="Q54" i="42"/>
  <c r="P54" i="42"/>
  <c r="K54" i="42"/>
  <c r="L54" i="42" s="1"/>
  <c r="H54" i="42"/>
  <c r="Q53" i="42"/>
  <c r="P53" i="42"/>
  <c r="K53" i="42"/>
  <c r="L53" i="42" s="1"/>
  <c r="H53" i="42"/>
  <c r="Q52" i="42"/>
  <c r="P52" i="42"/>
  <c r="K52" i="42"/>
  <c r="L52" i="42" s="1"/>
  <c r="H52" i="42"/>
  <c r="O52" i="42" s="1"/>
  <c r="Q51" i="42"/>
  <c r="P51" i="42"/>
  <c r="K51" i="42"/>
  <c r="L51" i="42" s="1"/>
  <c r="H51" i="42"/>
  <c r="Q50" i="42"/>
  <c r="P50" i="42"/>
  <c r="K50" i="42"/>
  <c r="L50" i="42" s="1"/>
  <c r="H50" i="42"/>
  <c r="O50" i="42" s="1"/>
  <c r="Q49" i="42"/>
  <c r="P49" i="42"/>
  <c r="K49" i="42"/>
  <c r="L49" i="42" s="1"/>
  <c r="H49" i="42"/>
  <c r="Q48" i="42"/>
  <c r="P48" i="42"/>
  <c r="K48" i="42"/>
  <c r="L48" i="42" s="1"/>
  <c r="H48" i="42"/>
  <c r="O48" i="42" s="1"/>
  <c r="M19" i="43"/>
  <c r="K19" i="44"/>
  <c r="P43" i="44"/>
  <c r="Q43" i="44" s="1"/>
  <c r="O43" i="44"/>
  <c r="F43" i="44"/>
  <c r="G43" i="44" s="1"/>
  <c r="P42" i="44"/>
  <c r="Q42" i="44" s="1"/>
  <c r="O42" i="44"/>
  <c r="F42" i="44"/>
  <c r="H42" i="44" s="1"/>
  <c r="I42" i="44" s="1"/>
  <c r="P41" i="44"/>
  <c r="Q41" i="44" s="1"/>
  <c r="O41" i="44"/>
  <c r="F41" i="44"/>
  <c r="H41" i="44" s="1"/>
  <c r="I41" i="44" s="1"/>
  <c r="P40" i="44"/>
  <c r="Q40" i="44" s="1"/>
  <c r="O40" i="44"/>
  <c r="G40" i="44"/>
  <c r="F40" i="44"/>
  <c r="H40" i="44" s="1"/>
  <c r="I40" i="44" s="1"/>
  <c r="P39" i="44"/>
  <c r="Q39" i="44" s="1"/>
  <c r="O39" i="44"/>
  <c r="F39" i="44"/>
  <c r="G39" i="44" s="1"/>
  <c r="P38" i="44"/>
  <c r="Q38" i="44" s="1"/>
  <c r="O38" i="44"/>
  <c r="F38" i="44"/>
  <c r="H38" i="44" s="1"/>
  <c r="I38" i="44" s="1"/>
  <c r="P37" i="44"/>
  <c r="Q37" i="44" s="1"/>
  <c r="O37" i="44"/>
  <c r="F37" i="44"/>
  <c r="H37" i="44" s="1"/>
  <c r="I37" i="44" s="1"/>
  <c r="P36" i="44"/>
  <c r="Q36" i="44" s="1"/>
  <c r="O36" i="44"/>
  <c r="F36" i="44"/>
  <c r="H36" i="44" s="1"/>
  <c r="I36" i="44" s="1"/>
  <c r="P35" i="44"/>
  <c r="Q35" i="44" s="1"/>
  <c r="O35" i="44"/>
  <c r="F35" i="44"/>
  <c r="G35" i="44" s="1"/>
  <c r="P34" i="44"/>
  <c r="Q34" i="44" s="1"/>
  <c r="O34" i="44"/>
  <c r="F34" i="44"/>
  <c r="H34" i="44" s="1"/>
  <c r="I34" i="44" s="1"/>
  <c r="N33" i="44"/>
  <c r="P33" i="44" s="1"/>
  <c r="Q33" i="44" s="1"/>
  <c r="F33" i="44"/>
  <c r="H33" i="44" s="1"/>
  <c r="I33" i="44" s="1"/>
  <c r="N32" i="44"/>
  <c r="P32" i="44" s="1"/>
  <c r="Q32" i="44" s="1"/>
  <c r="F32" i="44"/>
  <c r="H32" i="44" s="1"/>
  <c r="I32" i="44" s="1"/>
  <c r="N31" i="44"/>
  <c r="P31" i="44" s="1"/>
  <c r="F31" i="44"/>
  <c r="H31" i="44" s="1"/>
  <c r="I31" i="44" s="1"/>
  <c r="N30" i="44"/>
  <c r="O30" i="44" s="1"/>
  <c r="F30" i="44"/>
  <c r="G30" i="44" s="1"/>
  <c r="P29" i="44"/>
  <c r="Q29" i="44" s="1"/>
  <c r="O29" i="44"/>
  <c r="F29" i="44"/>
  <c r="G29" i="44" s="1"/>
  <c r="P28" i="44"/>
  <c r="Q28" i="44" s="1"/>
  <c r="O28" i="44"/>
  <c r="F28" i="44"/>
  <c r="G28" i="44" s="1"/>
  <c r="P27" i="44"/>
  <c r="Q27" i="44" s="1"/>
  <c r="O27" i="44"/>
  <c r="F27" i="44"/>
  <c r="G27" i="44" s="1"/>
  <c r="P26" i="44"/>
  <c r="Q26" i="44" s="1"/>
  <c r="O26" i="44"/>
  <c r="F26" i="44"/>
  <c r="G26" i="44" s="1"/>
  <c r="P25" i="44"/>
  <c r="Q25" i="44" s="1"/>
  <c r="O25" i="44"/>
  <c r="F25" i="44"/>
  <c r="G25" i="44" s="1"/>
  <c r="P24" i="44"/>
  <c r="Q24" i="44" s="1"/>
  <c r="O24" i="44"/>
  <c r="F24" i="44"/>
  <c r="G24" i="44" s="1"/>
  <c r="P23" i="44"/>
  <c r="Q23" i="44" s="1"/>
  <c r="O23" i="44"/>
  <c r="F23" i="44"/>
  <c r="G23" i="44" s="1"/>
  <c r="P22" i="44"/>
  <c r="Q22" i="44" s="1"/>
  <c r="O22" i="44"/>
  <c r="H22" i="44"/>
  <c r="I22" i="44" s="1"/>
  <c r="F22" i="44"/>
  <c r="G22" i="44" s="1"/>
  <c r="P21" i="44"/>
  <c r="Q21" i="44" s="1"/>
  <c r="O21" i="44"/>
  <c r="F21" i="44"/>
  <c r="G21" i="44" s="1"/>
  <c r="P20" i="44"/>
  <c r="Q20" i="44" s="1"/>
  <c r="O20" i="44"/>
  <c r="F20" i="44"/>
  <c r="G20" i="44" s="1"/>
  <c r="E4" i="44"/>
  <c r="R54" i="43"/>
  <c r="U54" i="43" s="1"/>
  <c r="Q54" i="43"/>
  <c r="S54" i="43" s="1"/>
  <c r="R53" i="43"/>
  <c r="U53" i="43" s="1"/>
  <c r="Q53" i="43"/>
  <c r="S53" i="43" s="1"/>
  <c r="R52" i="43"/>
  <c r="U52" i="43" s="1"/>
  <c r="Q52" i="43"/>
  <c r="T52" i="43" s="1"/>
  <c r="R51" i="43"/>
  <c r="U51" i="43" s="1"/>
  <c r="Q51" i="43"/>
  <c r="T51" i="43" s="1"/>
  <c r="R49" i="43"/>
  <c r="U49" i="43" s="1"/>
  <c r="Q49" i="43"/>
  <c r="S49" i="43" s="1"/>
  <c r="J49" i="43"/>
  <c r="I49" i="43"/>
  <c r="H49" i="43"/>
  <c r="G49" i="43"/>
  <c r="F49" i="43"/>
  <c r="K49" i="43" s="1"/>
  <c r="R48" i="43"/>
  <c r="U48" i="43" s="1"/>
  <c r="Q48" i="43"/>
  <c r="T48" i="43" s="1"/>
  <c r="J48" i="43"/>
  <c r="I48" i="43"/>
  <c r="H48" i="43"/>
  <c r="G48" i="43"/>
  <c r="F48" i="43"/>
  <c r="K48" i="43" s="1"/>
  <c r="R47" i="43"/>
  <c r="U47" i="43" s="1"/>
  <c r="Q47" i="43"/>
  <c r="T47" i="43" s="1"/>
  <c r="J47" i="43"/>
  <c r="I47" i="43"/>
  <c r="H47" i="43"/>
  <c r="G47" i="43"/>
  <c r="F47" i="43"/>
  <c r="K47" i="43" s="1"/>
  <c r="R46" i="43"/>
  <c r="U46" i="43" s="1"/>
  <c r="Q46" i="43"/>
  <c r="S46" i="43" s="1"/>
  <c r="J46" i="43"/>
  <c r="I46" i="43"/>
  <c r="H46" i="43"/>
  <c r="G46" i="43"/>
  <c r="F46" i="43"/>
  <c r="K46" i="43" s="1"/>
  <c r="R45" i="43"/>
  <c r="U45" i="43" s="1"/>
  <c r="Q45" i="43"/>
  <c r="S45" i="43" s="1"/>
  <c r="J45" i="43"/>
  <c r="I45" i="43"/>
  <c r="H45" i="43"/>
  <c r="G45" i="43"/>
  <c r="F45" i="43"/>
  <c r="K45" i="43" s="1"/>
  <c r="R44" i="43"/>
  <c r="U44" i="43" s="1"/>
  <c r="Q44" i="43"/>
  <c r="T44" i="43" s="1"/>
  <c r="J44" i="43"/>
  <c r="I44" i="43"/>
  <c r="H44" i="43"/>
  <c r="G44" i="43"/>
  <c r="F44" i="43"/>
  <c r="K44" i="43" s="1"/>
  <c r="R43" i="43"/>
  <c r="U43" i="43" s="1"/>
  <c r="Q43" i="43"/>
  <c r="T43" i="43" s="1"/>
  <c r="J43" i="43"/>
  <c r="I43" i="43"/>
  <c r="H43" i="43"/>
  <c r="G43" i="43"/>
  <c r="F43" i="43"/>
  <c r="K43" i="43" s="1"/>
  <c r="R42" i="43"/>
  <c r="U42" i="43" s="1"/>
  <c r="Q42" i="43"/>
  <c r="S42" i="43" s="1"/>
  <c r="J42" i="43"/>
  <c r="I42" i="43"/>
  <c r="H42" i="43"/>
  <c r="G42" i="43"/>
  <c r="F42" i="43"/>
  <c r="K42" i="43" s="1"/>
  <c r="S41" i="43"/>
  <c r="R41" i="43"/>
  <c r="U41" i="43" s="1"/>
  <c r="Q41" i="43"/>
  <c r="T41" i="43" s="1"/>
  <c r="J41" i="43"/>
  <c r="I41" i="43"/>
  <c r="H41" i="43"/>
  <c r="G41" i="43"/>
  <c r="F41" i="43"/>
  <c r="K41" i="43" s="1"/>
  <c r="S40" i="43"/>
  <c r="R40" i="43"/>
  <c r="U40" i="43" s="1"/>
  <c r="Q40" i="43"/>
  <c r="T40" i="43" s="1"/>
  <c r="J40" i="43"/>
  <c r="I40" i="43"/>
  <c r="H40" i="43"/>
  <c r="G40" i="43"/>
  <c r="F40" i="43"/>
  <c r="K40" i="43" s="1"/>
  <c r="R39" i="43"/>
  <c r="U39" i="43" s="1"/>
  <c r="Q39" i="43"/>
  <c r="T39" i="43" s="1"/>
  <c r="J39" i="43"/>
  <c r="I39" i="43"/>
  <c r="H39" i="43"/>
  <c r="G39" i="43"/>
  <c r="F39" i="43"/>
  <c r="K39" i="43" s="1"/>
  <c r="R38" i="43"/>
  <c r="U38" i="43" s="1"/>
  <c r="Q38" i="43"/>
  <c r="S38" i="43" s="1"/>
  <c r="J38" i="43"/>
  <c r="I38" i="43"/>
  <c r="H38" i="43"/>
  <c r="G38" i="43"/>
  <c r="F38" i="43"/>
  <c r="K38" i="43" s="1"/>
  <c r="R37" i="43"/>
  <c r="U37" i="43" s="1"/>
  <c r="Q37" i="43"/>
  <c r="T37" i="43" s="1"/>
  <c r="J37" i="43"/>
  <c r="I37" i="43"/>
  <c r="H37" i="43"/>
  <c r="G37" i="43"/>
  <c r="F37" i="43"/>
  <c r="K37" i="43" s="1"/>
  <c r="R36" i="43"/>
  <c r="U36" i="43" s="1"/>
  <c r="Q36" i="43"/>
  <c r="T36" i="43" s="1"/>
  <c r="J36" i="43"/>
  <c r="I36" i="43"/>
  <c r="H36" i="43"/>
  <c r="G36" i="43"/>
  <c r="F36" i="43"/>
  <c r="K36" i="43" s="1"/>
  <c r="R35" i="43"/>
  <c r="U35" i="43" s="1"/>
  <c r="Q35" i="43"/>
  <c r="T35" i="43" s="1"/>
  <c r="J35" i="43"/>
  <c r="I35" i="43"/>
  <c r="H35" i="43"/>
  <c r="G35" i="43"/>
  <c r="F35" i="43"/>
  <c r="K35" i="43" s="1"/>
  <c r="R34" i="43"/>
  <c r="U34" i="43" s="1"/>
  <c r="Q34" i="43"/>
  <c r="S34" i="43" s="1"/>
  <c r="J34" i="43"/>
  <c r="I34" i="43"/>
  <c r="H34" i="43"/>
  <c r="G34" i="43"/>
  <c r="F34" i="43"/>
  <c r="K34" i="43" s="1"/>
  <c r="R33" i="43"/>
  <c r="U33" i="43" s="1"/>
  <c r="Q33" i="43"/>
  <c r="S33" i="43" s="1"/>
  <c r="J33" i="43"/>
  <c r="I33" i="43"/>
  <c r="H33" i="43"/>
  <c r="G33" i="43"/>
  <c r="F33" i="43"/>
  <c r="K33" i="43" s="1"/>
  <c r="R31" i="43"/>
  <c r="U31" i="43" s="1"/>
  <c r="Q31" i="43"/>
  <c r="T31" i="43" s="1"/>
  <c r="J31" i="43"/>
  <c r="I31" i="43"/>
  <c r="H31" i="43"/>
  <c r="G31" i="43"/>
  <c r="F31" i="43"/>
  <c r="K31" i="43" s="1"/>
  <c r="R30" i="43"/>
  <c r="U30" i="43" s="1"/>
  <c r="Q30" i="43"/>
  <c r="T30" i="43" s="1"/>
  <c r="J30" i="43"/>
  <c r="I30" i="43"/>
  <c r="H30" i="43"/>
  <c r="G30" i="43"/>
  <c r="F30" i="43"/>
  <c r="K30" i="43" s="1"/>
  <c r="R29" i="43"/>
  <c r="U29" i="43" s="1"/>
  <c r="Q29" i="43"/>
  <c r="S29" i="43" s="1"/>
  <c r="J29" i="43"/>
  <c r="I29" i="43"/>
  <c r="H29" i="43"/>
  <c r="G29" i="43"/>
  <c r="F29" i="43"/>
  <c r="K29" i="43" s="1"/>
  <c r="T28" i="43"/>
  <c r="R28" i="43"/>
  <c r="U28" i="43" s="1"/>
  <c r="Q28" i="43"/>
  <c r="S28" i="43" s="1"/>
  <c r="J28" i="43"/>
  <c r="I28" i="43"/>
  <c r="H28" i="43"/>
  <c r="G28" i="43"/>
  <c r="F28" i="43"/>
  <c r="K28" i="43" s="1"/>
  <c r="R27" i="43"/>
  <c r="U27" i="43" s="1"/>
  <c r="Q27" i="43"/>
  <c r="T27" i="43" s="1"/>
  <c r="J27" i="43"/>
  <c r="I27" i="43"/>
  <c r="H27" i="43"/>
  <c r="G27" i="43"/>
  <c r="F27" i="43"/>
  <c r="K27" i="43" s="1"/>
  <c r="R26" i="43"/>
  <c r="U26" i="43" s="1"/>
  <c r="Q26" i="43"/>
  <c r="T26" i="43" s="1"/>
  <c r="J26" i="43"/>
  <c r="I26" i="43"/>
  <c r="H26" i="43"/>
  <c r="G26" i="43"/>
  <c r="F26" i="43"/>
  <c r="K26" i="43" s="1"/>
  <c r="R25" i="43"/>
  <c r="U25" i="43" s="1"/>
  <c r="Q25" i="43"/>
  <c r="S25" i="43" s="1"/>
  <c r="J25" i="43"/>
  <c r="I25" i="43"/>
  <c r="H25" i="43"/>
  <c r="G25" i="43"/>
  <c r="F25" i="43"/>
  <c r="K25" i="43" s="1"/>
  <c r="S24" i="43"/>
  <c r="R24" i="43"/>
  <c r="U24" i="43" s="1"/>
  <c r="Q24" i="43"/>
  <c r="T24" i="43" s="1"/>
  <c r="J24" i="43"/>
  <c r="I24" i="43"/>
  <c r="H24" i="43"/>
  <c r="G24" i="43"/>
  <c r="F24" i="43"/>
  <c r="K24" i="43" s="1"/>
  <c r="S23" i="43"/>
  <c r="R23" i="43"/>
  <c r="U23" i="43" s="1"/>
  <c r="Q23" i="43"/>
  <c r="T23" i="43" s="1"/>
  <c r="J23" i="43"/>
  <c r="I23" i="43"/>
  <c r="H23" i="43"/>
  <c r="G23" i="43"/>
  <c r="F23" i="43"/>
  <c r="K23" i="43" s="1"/>
  <c r="R22" i="43"/>
  <c r="U22" i="43" s="1"/>
  <c r="Q22" i="43"/>
  <c r="T22" i="43" s="1"/>
  <c r="J22" i="43"/>
  <c r="I22" i="43"/>
  <c r="H22" i="43"/>
  <c r="G22" i="43"/>
  <c r="F22" i="43"/>
  <c r="K22" i="43" s="1"/>
  <c r="R21" i="43"/>
  <c r="U21" i="43" s="1"/>
  <c r="Q21" i="43"/>
  <c r="S21" i="43" s="1"/>
  <c r="J21" i="43"/>
  <c r="I21" i="43"/>
  <c r="H21" i="43"/>
  <c r="G21" i="43"/>
  <c r="F21" i="43"/>
  <c r="K21" i="43" s="1"/>
  <c r="D4" i="43"/>
  <c r="Q47" i="42"/>
  <c r="P47" i="42"/>
  <c r="K47" i="42"/>
  <c r="L47" i="42" s="1"/>
  <c r="H47" i="42"/>
  <c r="Q46" i="42"/>
  <c r="P46" i="42"/>
  <c r="K46" i="42"/>
  <c r="L46" i="42" s="1"/>
  <c r="H46" i="42"/>
  <c r="Q45" i="42"/>
  <c r="P45" i="42"/>
  <c r="K45" i="42"/>
  <c r="L45" i="42" s="1"/>
  <c r="H45" i="42"/>
  <c r="O45" i="42" s="1"/>
  <c r="Q44" i="42"/>
  <c r="P44" i="42"/>
  <c r="K44" i="42"/>
  <c r="L44" i="42" s="1"/>
  <c r="H44" i="42"/>
  <c r="Q43" i="42"/>
  <c r="P43" i="42"/>
  <c r="K43" i="42"/>
  <c r="L43" i="42" s="1"/>
  <c r="H43" i="42"/>
  <c r="O43" i="42" s="1"/>
  <c r="Q42" i="42"/>
  <c r="P42" i="42"/>
  <c r="K42" i="42"/>
  <c r="L42" i="42" s="1"/>
  <c r="H42" i="42"/>
  <c r="Q41" i="42"/>
  <c r="P41" i="42"/>
  <c r="K41" i="42"/>
  <c r="L41" i="42" s="1"/>
  <c r="H41" i="42"/>
  <c r="O41" i="42" s="1"/>
  <c r="Q40" i="42"/>
  <c r="P40" i="42"/>
  <c r="K40" i="42"/>
  <c r="L40" i="42" s="1"/>
  <c r="H40" i="42"/>
  <c r="Q39" i="42"/>
  <c r="P39" i="42"/>
  <c r="K39" i="42"/>
  <c r="L39" i="42" s="1"/>
  <c r="H39" i="42"/>
  <c r="O39" i="42" s="1"/>
  <c r="Q38" i="42"/>
  <c r="P38" i="42"/>
  <c r="K38" i="42"/>
  <c r="L38" i="42" s="1"/>
  <c r="H38" i="42"/>
  <c r="Q37" i="42"/>
  <c r="P37" i="42"/>
  <c r="K37" i="42"/>
  <c r="L37" i="42" s="1"/>
  <c r="H37" i="42"/>
  <c r="O37" i="42" s="1"/>
  <c r="Q36" i="42"/>
  <c r="P36" i="42"/>
  <c r="K36" i="42"/>
  <c r="L36" i="42" s="1"/>
  <c r="H36" i="42"/>
  <c r="Q35" i="42"/>
  <c r="P35" i="42"/>
  <c r="K35" i="42"/>
  <c r="L35" i="42" s="1"/>
  <c r="H35" i="42"/>
  <c r="O35" i="42" s="1"/>
  <c r="Q34" i="42"/>
  <c r="P34" i="42"/>
  <c r="K34" i="42"/>
  <c r="L34" i="42" s="1"/>
  <c r="H34" i="42"/>
  <c r="Q33" i="42"/>
  <c r="P33" i="42"/>
  <c r="K33" i="42"/>
  <c r="L33" i="42" s="1"/>
  <c r="H33" i="42"/>
  <c r="O33" i="42" s="1"/>
  <c r="Q32" i="42"/>
  <c r="P32" i="42"/>
  <c r="K32" i="42"/>
  <c r="L32" i="42" s="1"/>
  <c r="H32" i="42"/>
  <c r="Q31" i="42"/>
  <c r="P31" i="42"/>
  <c r="K31" i="42"/>
  <c r="L31" i="42" s="1"/>
  <c r="H31" i="42"/>
  <c r="O31" i="42" s="1"/>
  <c r="Q30" i="42"/>
  <c r="P30" i="42"/>
  <c r="K30" i="42"/>
  <c r="L30" i="42" s="1"/>
  <c r="H30" i="42"/>
  <c r="Q29" i="42"/>
  <c r="P29" i="42"/>
  <c r="K29" i="42"/>
  <c r="L29" i="42" s="1"/>
  <c r="H29" i="42"/>
  <c r="O29" i="42" s="1"/>
  <c r="Q28" i="42"/>
  <c r="P28" i="42"/>
  <c r="K28" i="42"/>
  <c r="L28" i="42" s="1"/>
  <c r="H28" i="42"/>
  <c r="Q27" i="42"/>
  <c r="P27" i="42"/>
  <c r="K27" i="42"/>
  <c r="L27" i="42" s="1"/>
  <c r="H27" i="42"/>
  <c r="O27" i="42" s="1"/>
  <c r="Q26" i="42"/>
  <c r="P26" i="42"/>
  <c r="K26" i="42"/>
  <c r="L26" i="42" s="1"/>
  <c r="H26" i="42"/>
  <c r="Q25" i="42"/>
  <c r="P25" i="42"/>
  <c r="K25" i="42"/>
  <c r="L25" i="42" s="1"/>
  <c r="H25" i="42"/>
  <c r="O25" i="42" s="1"/>
  <c r="Q24" i="42"/>
  <c r="P24" i="42"/>
  <c r="K24" i="42"/>
  <c r="L24" i="42" s="1"/>
  <c r="H24" i="42"/>
  <c r="C4" i="42"/>
  <c r="G36" i="44" l="1"/>
  <c r="H30" i="44"/>
  <c r="I30" i="44" s="1"/>
  <c r="G41" i="44"/>
  <c r="H26" i="44"/>
  <c r="I26" i="44" s="1"/>
  <c r="G37" i="44"/>
  <c r="Q22" i="42"/>
  <c r="S27" i="43"/>
  <c r="T49" i="43"/>
  <c r="T54" i="43"/>
  <c r="R57" i="42"/>
  <c r="P22" i="42"/>
  <c r="S36" i="43"/>
  <c r="S37" i="43"/>
  <c r="S48" i="43"/>
  <c r="S51" i="43"/>
  <c r="H21" i="44"/>
  <c r="I21" i="44" s="1"/>
  <c r="H25" i="44"/>
  <c r="I25" i="44" s="1"/>
  <c r="H29" i="44"/>
  <c r="I29" i="44" s="1"/>
  <c r="S57" i="42"/>
  <c r="U18" i="43"/>
  <c r="S31" i="43"/>
  <c r="T33" i="43"/>
  <c r="T45" i="43"/>
  <c r="I18" i="43"/>
  <c r="S44" i="43"/>
  <c r="P30" i="44"/>
  <c r="Q30" i="44" s="1"/>
  <c r="G18" i="43"/>
  <c r="H18" i="43"/>
  <c r="K18" i="43"/>
  <c r="J18" i="43"/>
  <c r="R18" i="43"/>
  <c r="F18" i="43"/>
  <c r="M30" i="42"/>
  <c r="M38" i="42"/>
  <c r="N38" i="42" s="1"/>
  <c r="S38" i="42" s="1"/>
  <c r="M46" i="42"/>
  <c r="N46" i="42" s="1"/>
  <c r="S46" i="42" s="1"/>
  <c r="M49" i="42"/>
  <c r="N49" i="42" s="1"/>
  <c r="S49" i="42" s="1"/>
  <c r="M32" i="42"/>
  <c r="N32" i="42" s="1"/>
  <c r="S32" i="42" s="1"/>
  <c r="M40" i="42"/>
  <c r="N40" i="42" s="1"/>
  <c r="S40" i="42" s="1"/>
  <c r="M54" i="42"/>
  <c r="N54" i="42" s="1"/>
  <c r="S54" i="42" s="1"/>
  <c r="M28" i="42"/>
  <c r="N28" i="42" s="1"/>
  <c r="S28" i="42" s="1"/>
  <c r="M36" i="42"/>
  <c r="N36" i="42" s="1"/>
  <c r="S36" i="42" s="1"/>
  <c r="M44" i="42"/>
  <c r="N44" i="42" s="1"/>
  <c r="S44" i="42" s="1"/>
  <c r="M51" i="42"/>
  <c r="N51" i="42" s="1"/>
  <c r="S51" i="42" s="1"/>
  <c r="M52" i="42"/>
  <c r="N52" i="42" s="1"/>
  <c r="S52" i="42" s="1"/>
  <c r="M26" i="42"/>
  <c r="N26" i="42" s="1"/>
  <c r="S26" i="42" s="1"/>
  <c r="M34" i="42"/>
  <c r="N34" i="42" s="1"/>
  <c r="S34" i="42" s="1"/>
  <c r="M42" i="42"/>
  <c r="N42" i="42" s="1"/>
  <c r="S42" i="42" s="1"/>
  <c r="M24" i="42"/>
  <c r="N24" i="42" s="1"/>
  <c r="N30" i="42"/>
  <c r="S30" i="42" s="1"/>
  <c r="M50" i="42"/>
  <c r="O24" i="42"/>
  <c r="O26" i="42"/>
  <c r="O28" i="42"/>
  <c r="O30" i="42"/>
  <c r="O32" i="42"/>
  <c r="O34" i="42"/>
  <c r="O36" i="42"/>
  <c r="O38" i="42"/>
  <c r="O40" i="42"/>
  <c r="O42" i="42"/>
  <c r="O44" i="42"/>
  <c r="O46" i="42"/>
  <c r="N50" i="42"/>
  <c r="S50" i="42" s="1"/>
  <c r="M25" i="42"/>
  <c r="N25" i="42" s="1"/>
  <c r="S25" i="42" s="1"/>
  <c r="M27" i="42"/>
  <c r="N27" i="42" s="1"/>
  <c r="S27" i="42" s="1"/>
  <c r="M29" i="42"/>
  <c r="N29" i="42" s="1"/>
  <c r="S29" i="42" s="1"/>
  <c r="M31" i="42"/>
  <c r="N31" i="42" s="1"/>
  <c r="S31" i="42" s="1"/>
  <c r="M33" i="42"/>
  <c r="N33" i="42" s="1"/>
  <c r="S33" i="42" s="1"/>
  <c r="M35" i="42"/>
  <c r="N35" i="42" s="1"/>
  <c r="S35" i="42" s="1"/>
  <c r="M37" i="42"/>
  <c r="N37" i="42" s="1"/>
  <c r="S37" i="42" s="1"/>
  <c r="M39" i="42"/>
  <c r="N39" i="42" s="1"/>
  <c r="M41" i="42"/>
  <c r="N41" i="42" s="1"/>
  <c r="S41" i="42" s="1"/>
  <c r="M43" i="42"/>
  <c r="N43" i="42" s="1"/>
  <c r="S43" i="42" s="1"/>
  <c r="M45" i="42"/>
  <c r="N45" i="42" s="1"/>
  <c r="S45" i="42" s="1"/>
  <c r="M47" i="42"/>
  <c r="N47" i="42" s="1"/>
  <c r="S47" i="42" s="1"/>
  <c r="M48" i="42"/>
  <c r="N48" i="42" s="1"/>
  <c r="S48" i="42" s="1"/>
  <c r="M53" i="42"/>
  <c r="N53" i="42" s="1"/>
  <c r="O54" i="42"/>
  <c r="O49" i="42"/>
  <c r="O51" i="42"/>
  <c r="O53" i="42"/>
  <c r="Q31" i="44"/>
  <c r="Q18" i="44" s="1"/>
  <c r="P18" i="44"/>
  <c r="H23" i="44"/>
  <c r="I23" i="44" s="1"/>
  <c r="H27" i="44"/>
  <c r="I27" i="44" s="1"/>
  <c r="G31" i="44"/>
  <c r="O31" i="44"/>
  <c r="G32" i="44"/>
  <c r="O32" i="44"/>
  <c r="G33" i="44"/>
  <c r="O33" i="44"/>
  <c r="G34" i="44"/>
  <c r="H35" i="44"/>
  <c r="I35" i="44" s="1"/>
  <c r="G38" i="44"/>
  <c r="H39" i="44"/>
  <c r="I39" i="44" s="1"/>
  <c r="G42" i="44"/>
  <c r="H43" i="44"/>
  <c r="I43" i="44" s="1"/>
  <c r="H20" i="44"/>
  <c r="H24" i="44"/>
  <c r="I24" i="44" s="1"/>
  <c r="H28" i="44"/>
  <c r="I28" i="44" s="1"/>
  <c r="S22" i="43"/>
  <c r="S26" i="43"/>
  <c r="S30" i="43"/>
  <c r="S35" i="43"/>
  <c r="S39" i="43"/>
  <c r="S43" i="43"/>
  <c r="S47" i="43"/>
  <c r="S52" i="43"/>
  <c r="T21" i="43"/>
  <c r="T25" i="43"/>
  <c r="T29" i="43"/>
  <c r="T34" i="43"/>
  <c r="T38" i="43"/>
  <c r="T42" i="43"/>
  <c r="T46" i="43"/>
  <c r="T53" i="43"/>
  <c r="O47" i="42"/>
  <c r="R53" i="42" l="1"/>
  <c r="S53" i="42"/>
  <c r="R39" i="42"/>
  <c r="S39" i="42"/>
  <c r="O22" i="42"/>
  <c r="S24" i="42"/>
  <c r="S22" i="42" s="1"/>
  <c r="N22" i="42"/>
  <c r="S18" i="43"/>
  <c r="R49" i="42"/>
  <c r="T18" i="43"/>
  <c r="R46" i="42"/>
  <c r="R31" i="42"/>
  <c r="R24" i="42"/>
  <c r="R32" i="42"/>
  <c r="O18" i="44"/>
  <c r="G18" i="44"/>
  <c r="R36" i="42"/>
  <c r="R38" i="42"/>
  <c r="R42" i="42"/>
  <c r="R40" i="42"/>
  <c r="R26" i="42"/>
  <c r="R44" i="42"/>
  <c r="R51" i="42"/>
  <c r="R34" i="42"/>
  <c r="R30" i="42"/>
  <c r="R48" i="42"/>
  <c r="R41" i="42"/>
  <c r="R33" i="42"/>
  <c r="R43" i="42"/>
  <c r="R35" i="42"/>
  <c r="R27" i="42"/>
  <c r="R45" i="42"/>
  <c r="R37" i="42"/>
  <c r="R29" i="42"/>
  <c r="R54" i="42"/>
  <c r="R50" i="42"/>
  <c r="R28" i="42"/>
  <c r="R52" i="42"/>
  <c r="I20" i="44"/>
  <c r="I18" i="44" s="1"/>
  <c r="H18" i="44"/>
  <c r="R25" i="42"/>
  <c r="R47" i="42"/>
  <c r="R22" i="42" l="1"/>
  <c r="I587" i="5"/>
  <c r="F113" i="3" s="1"/>
  <c r="B631" i="5" l="1"/>
  <c r="J8" i="8" l="1"/>
  <c r="L6" i="8" l="1"/>
  <c r="M6" i="8"/>
  <c r="B608" i="5" l="1"/>
  <c r="I241" i="5" l="1"/>
  <c r="F62" i="3" s="1"/>
  <c r="F74" i="3"/>
  <c r="H6386" i="32"/>
  <c r="H6387" i="32"/>
  <c r="H6388" i="32"/>
  <c r="H6389" i="32"/>
  <c r="H6390" i="32"/>
  <c r="H6391" i="32"/>
  <c r="H6392" i="32"/>
  <c r="H6393" i="32"/>
  <c r="H6394" i="32"/>
  <c r="H6395" i="32"/>
  <c r="H6396" i="32"/>
  <c r="H6397" i="32"/>
  <c r="H6398" i="32"/>
  <c r="H6399" i="32"/>
  <c r="H6400" i="32"/>
  <c r="H6401" i="32"/>
  <c r="H6402" i="32"/>
  <c r="H6403" i="32"/>
  <c r="H6404" i="32"/>
  <c r="H6405" i="32"/>
  <c r="H6406" i="32"/>
  <c r="H6407" i="32"/>
  <c r="H6408" i="32"/>
  <c r="H6409" i="32"/>
  <c r="H6410" i="32"/>
  <c r="H6411" i="32"/>
  <c r="H6412" i="32"/>
  <c r="H6413" i="32"/>
  <c r="H6414" i="32"/>
  <c r="H6415" i="32"/>
  <c r="I2121" i="5" l="1"/>
  <c r="F382" i="3" s="1"/>
  <c r="B710" i="5"/>
  <c r="B655" i="5" l="1"/>
  <c r="V36" i="1" l="1"/>
  <c r="U36" i="1"/>
  <c r="X36" i="1" s="1"/>
  <c r="H47" i="37"/>
  <c r="H37" i="37"/>
  <c r="H49" i="37"/>
  <c r="H71" i="37"/>
  <c r="H20" i="37"/>
  <c r="H46" i="37"/>
  <c r="H40" i="37"/>
  <c r="H24" i="37"/>
  <c r="H60" i="37"/>
  <c r="H64" i="37"/>
  <c r="H55" i="37"/>
  <c r="H36" i="37"/>
  <c r="H94" i="37"/>
  <c r="H35" i="37"/>
  <c r="H67" i="37"/>
  <c r="H17" i="37"/>
  <c r="H68" i="37"/>
  <c r="H34" i="37"/>
  <c r="H31" i="37"/>
  <c r="H14" i="37"/>
  <c r="H52" i="37"/>
  <c r="H92" i="37"/>
  <c r="H54" i="37"/>
  <c r="H73" i="37"/>
  <c r="H80" i="37"/>
  <c r="H28" i="37"/>
  <c r="H7" i="37"/>
  <c r="H9" i="37"/>
  <c r="H33" i="37"/>
  <c r="H86" i="37"/>
  <c r="H97" i="37"/>
  <c r="H10" i="37"/>
  <c r="H30" i="37"/>
  <c r="H11" i="37"/>
  <c r="H93" i="37"/>
  <c r="H18" i="37"/>
  <c r="H61" i="37"/>
  <c r="H26" i="37"/>
  <c r="H43" i="37"/>
  <c r="H88" i="37"/>
  <c r="H58" i="37"/>
  <c r="H53" i="37"/>
  <c r="H25" i="37"/>
  <c r="H22" i="37"/>
  <c r="H6" i="37"/>
  <c r="H63" i="37"/>
  <c r="H51" i="37"/>
  <c r="H56" i="37"/>
  <c r="H96" i="37"/>
  <c r="H91" i="37"/>
  <c r="H99" i="37"/>
  <c r="H100" i="37"/>
  <c r="H72" i="37"/>
  <c r="H79" i="37"/>
  <c r="H78" i="37"/>
  <c r="H65" i="37"/>
  <c r="H39" i="37"/>
  <c r="H77" i="37"/>
  <c r="H75" i="37"/>
  <c r="H32" i="37"/>
  <c r="H70" i="37"/>
  <c r="H50" i="37"/>
  <c r="H69" i="37"/>
  <c r="H95" i="37"/>
  <c r="H13" i="37"/>
  <c r="H66" i="37"/>
  <c r="H38" i="37"/>
  <c r="H74" i="37"/>
  <c r="H48" i="37"/>
  <c r="H90" i="37"/>
  <c r="H44" i="37"/>
  <c r="H83" i="37"/>
  <c r="H76" i="37"/>
  <c r="H98" i="37"/>
  <c r="H85" i="37"/>
  <c r="H82" i="37"/>
  <c r="H87" i="37"/>
  <c r="H41" i="37"/>
  <c r="H89" i="37"/>
  <c r="H29" i="37"/>
  <c r="H21" i="37"/>
  <c r="H12" i="37"/>
  <c r="H57" i="37"/>
  <c r="H8" i="37"/>
  <c r="H27" i="37"/>
  <c r="H42" i="37"/>
  <c r="H81" i="37"/>
  <c r="H84" i="37"/>
  <c r="H62" i="37"/>
  <c r="H59" i="37"/>
  <c r="H15" i="37"/>
  <c r="H23" i="37"/>
  <c r="H19" i="37"/>
  <c r="H16" i="37"/>
  <c r="H45" i="37"/>
  <c r="A1" i="40"/>
  <c r="C10" i="40"/>
  <c r="H102" i="37" l="1"/>
  <c r="L23" i="19" l="1"/>
  <c r="H468" i="31" l="1"/>
  <c r="I2" i="39"/>
  <c r="H15" i="8" l="1"/>
  <c r="I615" i="5" l="1"/>
  <c r="F120" i="3" s="1"/>
  <c r="I437" i="5"/>
  <c r="F95" i="3" l="1"/>
  <c r="H6055" i="32"/>
  <c r="H6056" i="32"/>
  <c r="H6057" i="32"/>
  <c r="H6058" i="32"/>
  <c r="H6059" i="32"/>
  <c r="H6060" i="32"/>
  <c r="H6061" i="32"/>
  <c r="H6062" i="32"/>
  <c r="H6063" i="32"/>
  <c r="H6064" i="32"/>
  <c r="H6065" i="32"/>
  <c r="H6066" i="32"/>
  <c r="H6067" i="32"/>
  <c r="H6068" i="32"/>
  <c r="H6069" i="32"/>
  <c r="H6070" i="32"/>
  <c r="H6071" i="32"/>
  <c r="H6072" i="32"/>
  <c r="H6073" i="32"/>
  <c r="H6074" i="32"/>
  <c r="H6075" i="32"/>
  <c r="H6076" i="32"/>
  <c r="H6077" i="32"/>
  <c r="H6078" i="32"/>
  <c r="H6079" i="32"/>
  <c r="H6080" i="32"/>
  <c r="H6081" i="32"/>
  <c r="H6082" i="32"/>
  <c r="H6083" i="32"/>
  <c r="H6084" i="32"/>
  <c r="H6085" i="32"/>
  <c r="H6086" i="32"/>
  <c r="H6087" i="32"/>
  <c r="H6088" i="32"/>
  <c r="H6089" i="32"/>
  <c r="H6090" i="32"/>
  <c r="H6091" i="32"/>
  <c r="H6092" i="32"/>
  <c r="H6093" i="32"/>
  <c r="H6094" i="32"/>
  <c r="H6095" i="32"/>
  <c r="H6096" i="32"/>
  <c r="H6097" i="32"/>
  <c r="H6098" i="32"/>
  <c r="H6099" i="32"/>
  <c r="H6100" i="32"/>
  <c r="H6101" i="32"/>
  <c r="H6102" i="32"/>
  <c r="H6103" i="32"/>
  <c r="H6104" i="32"/>
  <c r="H6105" i="32"/>
  <c r="H6106" i="32"/>
  <c r="H6107" i="32"/>
  <c r="H6108" i="32"/>
  <c r="H6109" i="32"/>
  <c r="H6110" i="32"/>
  <c r="H6111" i="32"/>
  <c r="H6112" i="32"/>
  <c r="H6113" i="32"/>
  <c r="H6114" i="32"/>
  <c r="H6115" i="32"/>
  <c r="H6116" i="32"/>
  <c r="H6117" i="32"/>
  <c r="H6118" i="32"/>
  <c r="H6119" i="32"/>
  <c r="H6120" i="32"/>
  <c r="H6121" i="32"/>
  <c r="H6122" i="32"/>
  <c r="H6123" i="32"/>
  <c r="H6124" i="32"/>
  <c r="H6125" i="32"/>
  <c r="H6126" i="32"/>
  <c r="H6127" i="32"/>
  <c r="H6128" i="32"/>
  <c r="H6129" i="32"/>
  <c r="H6130" i="32"/>
  <c r="H6131" i="32"/>
  <c r="H6132" i="32"/>
  <c r="H6133" i="32"/>
  <c r="H6134" i="32"/>
  <c r="H6135" i="32"/>
  <c r="H6136" i="32"/>
  <c r="H6137" i="32"/>
  <c r="H6138" i="32"/>
  <c r="H6139" i="32"/>
  <c r="H6140" i="32"/>
  <c r="H6141" i="32"/>
  <c r="H6142" i="32"/>
  <c r="H6143" i="32"/>
  <c r="H6144" i="32"/>
  <c r="H6145" i="32"/>
  <c r="H6146" i="32"/>
  <c r="H6147" i="32"/>
  <c r="H6148" i="32"/>
  <c r="H6149" i="32"/>
  <c r="H6150" i="32"/>
  <c r="H6151" i="32"/>
  <c r="H6152" i="32"/>
  <c r="H6153" i="32"/>
  <c r="H6154" i="32"/>
  <c r="H6155" i="32"/>
  <c r="H6156" i="32"/>
  <c r="H6157" i="32"/>
  <c r="H6158" i="32"/>
  <c r="H6159" i="32"/>
  <c r="H6160" i="32"/>
  <c r="H6161" i="32"/>
  <c r="H6162" i="32"/>
  <c r="H6163" i="32"/>
  <c r="H6164" i="32"/>
  <c r="H6165" i="32"/>
  <c r="H6166" i="32"/>
  <c r="H6167" i="32"/>
  <c r="H6168" i="32"/>
  <c r="H6169" i="32"/>
  <c r="H6170" i="32"/>
  <c r="H6171" i="32"/>
  <c r="H6172" i="32"/>
  <c r="H6173" i="32"/>
  <c r="H6174" i="32"/>
  <c r="H6175" i="32"/>
  <c r="H6176" i="32"/>
  <c r="H6177" i="32"/>
  <c r="H6178" i="32"/>
  <c r="H6179" i="32"/>
  <c r="H6180" i="32"/>
  <c r="H6181" i="32"/>
  <c r="H6182" i="32"/>
  <c r="H6183" i="32"/>
  <c r="H6184" i="32"/>
  <c r="H6185" i="32"/>
  <c r="H6186" i="32"/>
  <c r="H6187" i="32"/>
  <c r="H6188" i="32"/>
  <c r="H6189" i="32"/>
  <c r="H6190" i="32"/>
  <c r="H6191" i="32"/>
  <c r="H6192" i="32"/>
  <c r="H6193" i="32"/>
  <c r="H6194" i="32"/>
  <c r="H6195" i="32"/>
  <c r="H6196" i="32"/>
  <c r="H6197" i="32"/>
  <c r="H6198" i="32"/>
  <c r="H6199" i="32"/>
  <c r="H6200" i="32"/>
  <c r="H6201" i="32"/>
  <c r="H6202" i="32"/>
  <c r="H6203" i="32"/>
  <c r="H6204" i="32"/>
  <c r="H6205" i="32"/>
  <c r="H6206" i="32"/>
  <c r="H6207" i="32"/>
  <c r="H6208" i="32"/>
  <c r="H6209" i="32"/>
  <c r="H6210" i="32"/>
  <c r="H6211" i="32"/>
  <c r="H6212" i="32"/>
  <c r="H6213" i="32"/>
  <c r="H6214" i="32"/>
  <c r="H6215" i="32"/>
  <c r="H6216" i="32"/>
  <c r="H6217" i="32"/>
  <c r="H6218" i="32"/>
  <c r="H6219" i="32"/>
  <c r="H6220" i="32"/>
  <c r="H6221" i="32"/>
  <c r="H6222" i="32"/>
  <c r="H6223" i="32"/>
  <c r="H6224" i="32"/>
  <c r="H6225" i="32"/>
  <c r="H6226" i="32"/>
  <c r="H6227" i="32"/>
  <c r="H6228" i="32"/>
  <c r="H6229" i="32"/>
  <c r="H6230" i="32"/>
  <c r="H6231" i="32"/>
  <c r="H6232" i="32"/>
  <c r="H6233" i="32"/>
  <c r="H6234" i="32"/>
  <c r="H6235" i="32"/>
  <c r="H6236" i="32"/>
  <c r="H6237" i="32"/>
  <c r="H6238" i="32"/>
  <c r="H6239" i="32"/>
  <c r="H6240" i="32"/>
  <c r="H6241" i="32"/>
  <c r="H6242" i="32"/>
  <c r="H6243" i="32"/>
  <c r="H6244" i="32"/>
  <c r="H6245" i="32"/>
  <c r="H6246" i="32"/>
  <c r="H6247" i="32"/>
  <c r="H6248" i="32"/>
  <c r="H6249" i="32"/>
  <c r="H6250" i="32"/>
  <c r="H6251" i="32"/>
  <c r="H6252" i="32"/>
  <c r="H6253" i="32"/>
  <c r="H6254" i="32"/>
  <c r="H6255" i="32"/>
  <c r="H6256" i="32"/>
  <c r="H6257" i="32"/>
  <c r="H6258" i="32"/>
  <c r="H6259" i="32"/>
  <c r="H6260" i="32"/>
  <c r="H6261" i="32"/>
  <c r="H6262" i="32"/>
  <c r="H6263" i="32"/>
  <c r="H6264" i="32"/>
  <c r="H6265" i="32"/>
  <c r="H6266" i="32"/>
  <c r="H6267" i="32"/>
  <c r="H6268" i="32"/>
  <c r="H6269" i="32"/>
  <c r="H6270" i="32"/>
  <c r="H6271" i="32"/>
  <c r="H6272" i="32"/>
  <c r="H6273" i="32"/>
  <c r="H6274" i="32"/>
  <c r="H6275" i="32"/>
  <c r="H6276" i="32"/>
  <c r="H6277" i="32"/>
  <c r="H6278" i="32"/>
  <c r="H6279" i="32"/>
  <c r="H6280" i="32"/>
  <c r="H6281" i="32"/>
  <c r="H6282" i="32"/>
  <c r="H6283" i="32"/>
  <c r="H6284" i="32"/>
  <c r="H6285" i="32"/>
  <c r="H6286" i="32"/>
  <c r="H6287" i="32"/>
  <c r="H6288" i="32"/>
  <c r="H6289" i="32"/>
  <c r="H6290" i="32"/>
  <c r="H6291" i="32"/>
  <c r="H6292" i="32"/>
  <c r="H6293" i="32"/>
  <c r="H6294" i="32"/>
  <c r="H6295" i="32"/>
  <c r="H6296" i="32"/>
  <c r="H6297" i="32"/>
  <c r="H6298" i="32"/>
  <c r="H6299" i="32"/>
  <c r="H6300" i="32"/>
  <c r="H6301" i="32"/>
  <c r="H6302" i="32"/>
  <c r="H6303" i="32"/>
  <c r="H6304" i="32"/>
  <c r="H6305" i="32"/>
  <c r="H6306" i="32"/>
  <c r="H6307" i="32"/>
  <c r="H6308" i="32"/>
  <c r="H6309" i="32"/>
  <c r="H6310" i="32"/>
  <c r="H6311" i="32"/>
  <c r="H6312" i="32"/>
  <c r="H6313" i="32"/>
  <c r="H6314" i="32"/>
  <c r="H6315" i="32"/>
  <c r="H6316" i="32"/>
  <c r="H6317" i="32"/>
  <c r="H6318" i="32"/>
  <c r="H6319" i="32"/>
  <c r="H6320" i="32"/>
  <c r="H6321" i="32"/>
  <c r="H6322" i="32"/>
  <c r="H6323" i="32"/>
  <c r="H6324" i="32"/>
  <c r="H6325" i="32"/>
  <c r="H6326" i="32"/>
  <c r="H6327" i="32"/>
  <c r="H6328" i="32"/>
  <c r="H6329" i="32"/>
  <c r="H6330" i="32"/>
  <c r="H6331" i="32"/>
  <c r="H6332" i="32"/>
  <c r="H6333" i="32"/>
  <c r="H6334" i="32"/>
  <c r="H6335" i="32"/>
  <c r="H6336" i="32"/>
  <c r="H6337" i="32"/>
  <c r="H6338" i="32"/>
  <c r="H6339" i="32"/>
  <c r="H6340" i="32"/>
  <c r="H6341" i="32"/>
  <c r="H6342" i="32"/>
  <c r="H6343" i="32"/>
  <c r="H6344" i="32"/>
  <c r="H6345" i="32"/>
  <c r="H6346" i="32"/>
  <c r="H6347" i="32"/>
  <c r="H6348" i="32"/>
  <c r="H6349" i="32"/>
  <c r="H6350" i="32"/>
  <c r="H6351" i="32"/>
  <c r="H6352" i="32"/>
  <c r="H6353" i="32"/>
  <c r="H6354" i="32"/>
  <c r="H6355" i="32"/>
  <c r="H6356" i="32"/>
  <c r="H6357" i="32"/>
  <c r="H6358" i="32"/>
  <c r="H6359" i="32"/>
  <c r="H6360" i="32"/>
  <c r="H6361" i="32"/>
  <c r="H6362" i="32"/>
  <c r="H6363" i="32"/>
  <c r="H6364" i="32"/>
  <c r="H6365" i="32"/>
  <c r="H6366" i="32"/>
  <c r="H6367" i="32"/>
  <c r="H6368" i="32"/>
  <c r="H6369" i="32"/>
  <c r="H6370" i="32"/>
  <c r="H6371" i="32"/>
  <c r="H6372" i="32"/>
  <c r="H6373" i="32"/>
  <c r="H6374" i="32"/>
  <c r="H6375" i="32"/>
  <c r="H6376" i="32"/>
  <c r="H6377" i="32"/>
  <c r="H6378" i="32"/>
  <c r="H6379" i="32"/>
  <c r="H6380" i="32"/>
  <c r="H6381" i="32"/>
  <c r="H6382" i="32"/>
  <c r="H6383" i="32"/>
  <c r="H6384" i="32"/>
  <c r="H6385" i="32"/>
  <c r="G11" i="3" l="1"/>
  <c r="H11" i="3" s="1"/>
  <c r="I216" i="5" l="1"/>
  <c r="F53" i="3" s="1"/>
  <c r="I1614" i="5" l="1"/>
  <c r="F285" i="3" s="1"/>
  <c r="I9" i="5" l="1"/>
  <c r="F8" i="3" s="1"/>
  <c r="F4" i="32"/>
  <c r="F100" i="3" l="1"/>
  <c r="J8" i="19" l="1"/>
  <c r="B586" i="5" l="1"/>
  <c r="B585" i="5"/>
  <c r="B435" i="5"/>
  <c r="B7" i="5"/>
  <c r="C7" i="2"/>
  <c r="B8" i="1"/>
  <c r="H32" i="19" l="1"/>
  <c r="I188" i="5" l="1"/>
  <c r="F48" i="3" l="1"/>
  <c r="I203" i="5"/>
  <c r="F51" i="3" s="1"/>
  <c r="F17" i="8"/>
  <c r="F12" i="8"/>
  <c r="H11" i="8"/>
  <c r="A6" i="8"/>
  <c r="H12" i="8" l="1"/>
  <c r="H13" i="8" s="1"/>
  <c r="H16" i="8" s="1"/>
  <c r="I13" i="8" l="1"/>
  <c r="J13" i="8" s="1"/>
  <c r="H5922" i="32" l="1"/>
  <c r="H5923" i="32"/>
  <c r="H5924" i="32"/>
  <c r="H5925" i="32"/>
  <c r="H5926" i="32"/>
  <c r="H5927" i="32"/>
  <c r="H5928" i="32"/>
  <c r="H5929" i="32"/>
  <c r="H5930" i="32"/>
  <c r="H5931" i="32"/>
  <c r="H5932" i="32"/>
  <c r="H5933" i="32"/>
  <c r="H5934" i="32"/>
  <c r="H5935" i="32"/>
  <c r="H5936" i="32"/>
  <c r="H5937" i="32"/>
  <c r="H5938" i="32"/>
  <c r="H5939" i="32"/>
  <c r="H5940" i="32"/>
  <c r="H5941" i="32"/>
  <c r="H5942" i="32"/>
  <c r="H5943" i="32"/>
  <c r="H5944" i="32"/>
  <c r="H5945" i="32"/>
  <c r="H5946" i="32"/>
  <c r="H5947" i="32"/>
  <c r="H5948" i="32"/>
  <c r="H5949" i="32"/>
  <c r="H5950" i="32"/>
  <c r="H5951" i="32"/>
  <c r="H5952" i="32"/>
  <c r="H5953" i="32"/>
  <c r="H5954" i="32"/>
  <c r="H5955" i="32"/>
  <c r="H5956" i="32"/>
  <c r="H5957" i="32"/>
  <c r="H5958" i="32"/>
  <c r="H5959" i="32"/>
  <c r="H5960" i="32"/>
  <c r="H5961" i="32"/>
  <c r="H5962" i="32"/>
  <c r="H5963" i="32"/>
  <c r="H5964" i="32"/>
  <c r="H5965" i="32"/>
  <c r="H5966" i="32"/>
  <c r="H5967" i="32"/>
  <c r="H5968" i="32"/>
  <c r="H5969" i="32"/>
  <c r="H5970" i="32"/>
  <c r="H5971" i="32"/>
  <c r="H5972" i="32"/>
  <c r="H5973" i="32"/>
  <c r="H5974" i="32"/>
  <c r="H5975" i="32"/>
  <c r="H5976" i="32"/>
  <c r="H5977" i="32"/>
  <c r="H5978" i="32"/>
  <c r="H5979" i="32"/>
  <c r="H5980" i="32"/>
  <c r="H5981" i="32"/>
  <c r="H5982" i="32"/>
  <c r="H5983" i="32"/>
  <c r="H5984" i="32"/>
  <c r="H5985" i="32"/>
  <c r="H5986" i="32"/>
  <c r="H5987" i="32"/>
  <c r="H5988" i="32"/>
  <c r="H5989" i="32"/>
  <c r="H5990" i="32"/>
  <c r="H5991" i="32"/>
  <c r="H5992" i="32"/>
  <c r="H5993" i="32"/>
  <c r="H5994" i="32"/>
  <c r="H5995" i="32"/>
  <c r="H5996" i="32"/>
  <c r="H5997" i="32"/>
  <c r="H5998" i="32"/>
  <c r="H5999" i="32"/>
  <c r="H6000" i="32"/>
  <c r="H6001" i="32"/>
  <c r="H6002" i="32"/>
  <c r="H6003" i="32"/>
  <c r="H6004" i="32"/>
  <c r="H6005" i="32"/>
  <c r="H6006" i="32"/>
  <c r="H6007" i="32"/>
  <c r="H6008" i="32"/>
  <c r="H6009" i="32"/>
  <c r="H6010" i="32"/>
  <c r="H6011" i="32"/>
  <c r="H6012" i="32"/>
  <c r="H6013" i="32"/>
  <c r="H6014" i="32"/>
  <c r="H6015" i="32"/>
  <c r="H6016" i="32"/>
  <c r="H6017" i="32"/>
  <c r="H6018" i="32"/>
  <c r="H6019" i="32"/>
  <c r="H6020" i="32"/>
  <c r="H6021" i="32"/>
  <c r="H6022" i="32"/>
  <c r="H6023" i="32"/>
  <c r="H6024" i="32"/>
  <c r="H6025" i="32"/>
  <c r="H6026" i="32"/>
  <c r="H6027" i="32"/>
  <c r="H6028" i="32"/>
  <c r="H6029" i="32"/>
  <c r="H6030" i="32"/>
  <c r="H6031" i="32"/>
  <c r="H6032" i="32"/>
  <c r="H6033" i="32"/>
  <c r="H6034" i="32"/>
  <c r="H6035" i="32"/>
  <c r="H6036" i="32"/>
  <c r="H6037" i="32"/>
  <c r="H6038" i="32"/>
  <c r="H6039" i="32"/>
  <c r="H6040" i="32"/>
  <c r="H6041" i="32"/>
  <c r="H6042" i="32"/>
  <c r="H6043" i="32"/>
  <c r="H6044" i="32"/>
  <c r="H6045" i="32"/>
  <c r="H6046" i="32"/>
  <c r="H6047" i="32"/>
  <c r="H6048" i="32"/>
  <c r="H6049" i="32"/>
  <c r="H6050" i="32"/>
  <c r="H6051" i="32"/>
  <c r="H6052" i="32"/>
  <c r="H6053" i="32"/>
  <c r="H6054" i="32"/>
  <c r="H6" i="32"/>
  <c r="H7" i="32"/>
  <c r="H8" i="32"/>
  <c r="H9" i="32"/>
  <c r="H10" i="32"/>
  <c r="H11" i="32"/>
  <c r="H12" i="32"/>
  <c r="H13" i="32"/>
  <c r="H14" i="32"/>
  <c r="H15" i="32"/>
  <c r="H16" i="32"/>
  <c r="H17" i="32"/>
  <c r="H18" i="32"/>
  <c r="H19" i="32"/>
  <c r="H20" i="32"/>
  <c r="H21" i="32"/>
  <c r="H22" i="32"/>
  <c r="H23" i="32"/>
  <c r="H24" i="32"/>
  <c r="H25" i="32"/>
  <c r="H26" i="32"/>
  <c r="H27" i="32"/>
  <c r="H28" i="32"/>
  <c r="H29" i="32"/>
  <c r="H30" i="32"/>
  <c r="H31" i="32"/>
  <c r="H32" i="32"/>
  <c r="H33" i="32"/>
  <c r="H34" i="32"/>
  <c r="H35" i="32"/>
  <c r="H36" i="32"/>
  <c r="H37" i="32"/>
  <c r="H38" i="32"/>
  <c r="H39" i="32"/>
  <c r="H40" i="32"/>
  <c r="H41" i="32"/>
  <c r="H42" i="32"/>
  <c r="H43" i="32"/>
  <c r="H44" i="32"/>
  <c r="H45" i="32"/>
  <c r="H46" i="32"/>
  <c r="H47" i="32"/>
  <c r="H48" i="32"/>
  <c r="H49" i="32"/>
  <c r="H50" i="32"/>
  <c r="H51" i="32"/>
  <c r="H52" i="32"/>
  <c r="H53" i="32"/>
  <c r="H54" i="32"/>
  <c r="H55" i="32"/>
  <c r="H56" i="32"/>
  <c r="H57" i="32"/>
  <c r="H58" i="32"/>
  <c r="H59" i="32"/>
  <c r="H60" i="32"/>
  <c r="H61" i="32"/>
  <c r="H62" i="32"/>
  <c r="H63" i="32"/>
  <c r="H64" i="32"/>
  <c r="H65" i="32"/>
  <c r="H66" i="32"/>
  <c r="H67" i="32"/>
  <c r="H68" i="32"/>
  <c r="H69" i="32"/>
  <c r="H70" i="32"/>
  <c r="H71" i="32"/>
  <c r="H72" i="32"/>
  <c r="H73" i="32"/>
  <c r="H74" i="32"/>
  <c r="H75" i="32"/>
  <c r="H76" i="32"/>
  <c r="H77" i="32"/>
  <c r="H78" i="32"/>
  <c r="H79" i="32"/>
  <c r="H80" i="32"/>
  <c r="H81" i="32"/>
  <c r="H82" i="32"/>
  <c r="H83" i="32"/>
  <c r="H84" i="32"/>
  <c r="H85" i="32"/>
  <c r="H86" i="32"/>
  <c r="H87" i="32"/>
  <c r="H88" i="32"/>
  <c r="H89" i="32"/>
  <c r="H90" i="32"/>
  <c r="H91" i="32"/>
  <c r="H92" i="32"/>
  <c r="H93" i="32"/>
  <c r="H94" i="32"/>
  <c r="H95" i="32"/>
  <c r="H96" i="32"/>
  <c r="H97" i="32"/>
  <c r="H98" i="32"/>
  <c r="H99" i="32"/>
  <c r="H100" i="32"/>
  <c r="H101" i="32"/>
  <c r="H102" i="32"/>
  <c r="H103" i="32"/>
  <c r="H104" i="32"/>
  <c r="H105" i="32"/>
  <c r="H106" i="32"/>
  <c r="H107" i="32"/>
  <c r="H108" i="32"/>
  <c r="H109" i="32"/>
  <c r="H110" i="32"/>
  <c r="H111" i="32"/>
  <c r="H112" i="32"/>
  <c r="H113" i="32"/>
  <c r="H114" i="32"/>
  <c r="H115" i="32"/>
  <c r="H116" i="32"/>
  <c r="H117" i="32"/>
  <c r="H118" i="32"/>
  <c r="H119" i="32"/>
  <c r="H120" i="32"/>
  <c r="H121" i="32"/>
  <c r="H122" i="32"/>
  <c r="H123" i="32"/>
  <c r="H124" i="32"/>
  <c r="H125" i="32"/>
  <c r="H126" i="32"/>
  <c r="H127" i="32"/>
  <c r="H128" i="32"/>
  <c r="H129" i="32"/>
  <c r="H130" i="32"/>
  <c r="H131" i="32"/>
  <c r="H132" i="32"/>
  <c r="H133" i="32"/>
  <c r="H134" i="32"/>
  <c r="H135" i="32"/>
  <c r="H136" i="32"/>
  <c r="H137" i="32"/>
  <c r="H138" i="32"/>
  <c r="H139" i="32"/>
  <c r="H140" i="32"/>
  <c r="H141" i="32"/>
  <c r="H142" i="32"/>
  <c r="H143" i="32"/>
  <c r="H144" i="32"/>
  <c r="H145" i="32"/>
  <c r="H146" i="32"/>
  <c r="H147" i="32"/>
  <c r="H148" i="32"/>
  <c r="H149" i="32"/>
  <c r="H150" i="32"/>
  <c r="H151" i="32"/>
  <c r="H152" i="32"/>
  <c r="H153" i="32"/>
  <c r="H154" i="32"/>
  <c r="H155" i="32"/>
  <c r="H156" i="32"/>
  <c r="H157" i="32"/>
  <c r="H158" i="32"/>
  <c r="H159" i="32"/>
  <c r="H160" i="32"/>
  <c r="H161" i="32"/>
  <c r="H162" i="32"/>
  <c r="H163" i="32"/>
  <c r="H164" i="32"/>
  <c r="H165" i="32"/>
  <c r="H166" i="32"/>
  <c r="H167" i="32"/>
  <c r="H168" i="32"/>
  <c r="H169" i="32"/>
  <c r="H170" i="32"/>
  <c r="H171" i="32"/>
  <c r="H172" i="32"/>
  <c r="H173" i="32"/>
  <c r="H174" i="32"/>
  <c r="H175" i="32"/>
  <c r="H176" i="32"/>
  <c r="H177" i="32"/>
  <c r="H178" i="32"/>
  <c r="H179" i="32"/>
  <c r="H180" i="32"/>
  <c r="H181" i="32"/>
  <c r="H182" i="32"/>
  <c r="H183" i="32"/>
  <c r="H184" i="32"/>
  <c r="H185" i="32"/>
  <c r="H186" i="32"/>
  <c r="H187" i="32"/>
  <c r="H188" i="32"/>
  <c r="H189" i="32"/>
  <c r="H190" i="32"/>
  <c r="H191" i="32"/>
  <c r="H192" i="32"/>
  <c r="H193" i="32"/>
  <c r="H194" i="32"/>
  <c r="H195" i="32"/>
  <c r="H196" i="32"/>
  <c r="H197" i="32"/>
  <c r="H198" i="32"/>
  <c r="H199" i="32"/>
  <c r="H200" i="32"/>
  <c r="H201" i="32"/>
  <c r="H202" i="32"/>
  <c r="H203" i="32"/>
  <c r="H204" i="32"/>
  <c r="H205" i="32"/>
  <c r="H206" i="32"/>
  <c r="H207" i="32"/>
  <c r="H208" i="32"/>
  <c r="H209" i="32"/>
  <c r="H210" i="32"/>
  <c r="H211" i="32"/>
  <c r="H212" i="32"/>
  <c r="H213" i="32"/>
  <c r="H214" i="32"/>
  <c r="H215" i="32"/>
  <c r="H216" i="32"/>
  <c r="H217" i="32"/>
  <c r="H218" i="32"/>
  <c r="H219" i="32"/>
  <c r="H220" i="32"/>
  <c r="H221" i="32"/>
  <c r="H222" i="32"/>
  <c r="H223" i="32"/>
  <c r="H224" i="32"/>
  <c r="H225" i="32"/>
  <c r="H226" i="32"/>
  <c r="H227" i="32"/>
  <c r="H228" i="32"/>
  <c r="H229" i="32"/>
  <c r="H230" i="32"/>
  <c r="H231" i="32"/>
  <c r="H232" i="32"/>
  <c r="H233" i="32"/>
  <c r="H234" i="32"/>
  <c r="H235" i="32"/>
  <c r="H236" i="32"/>
  <c r="H237" i="32"/>
  <c r="H238" i="32"/>
  <c r="H239" i="32"/>
  <c r="H240" i="32"/>
  <c r="H241" i="32"/>
  <c r="H242" i="32"/>
  <c r="H243" i="32"/>
  <c r="H244" i="32"/>
  <c r="H245" i="32"/>
  <c r="H246" i="32"/>
  <c r="H247" i="32"/>
  <c r="H248" i="32"/>
  <c r="H249" i="32"/>
  <c r="H250" i="32"/>
  <c r="H251" i="32"/>
  <c r="H252" i="32"/>
  <c r="H253" i="32"/>
  <c r="H254" i="32"/>
  <c r="H256" i="32"/>
  <c r="H257" i="32"/>
  <c r="H258" i="32"/>
  <c r="H259" i="32"/>
  <c r="H260" i="32"/>
  <c r="H261" i="32"/>
  <c r="H262" i="32"/>
  <c r="H263" i="32"/>
  <c r="H264" i="32"/>
  <c r="H265" i="32"/>
  <c r="H266" i="32"/>
  <c r="H267" i="32"/>
  <c r="H268" i="32"/>
  <c r="H269" i="32"/>
  <c r="H270" i="32"/>
  <c r="H271" i="32"/>
  <c r="H272" i="32"/>
  <c r="H273" i="32"/>
  <c r="H274" i="32"/>
  <c r="H275" i="32"/>
  <c r="H276" i="32"/>
  <c r="H277" i="32"/>
  <c r="H278" i="32"/>
  <c r="H279" i="32"/>
  <c r="H280" i="32"/>
  <c r="H281" i="32"/>
  <c r="H282" i="32"/>
  <c r="H283" i="32"/>
  <c r="H284" i="32"/>
  <c r="H285" i="32"/>
  <c r="H286" i="32"/>
  <c r="H287" i="32"/>
  <c r="H288" i="32"/>
  <c r="H289" i="32"/>
  <c r="H290" i="32"/>
  <c r="H291" i="32"/>
  <c r="H292" i="32"/>
  <c r="H293" i="32"/>
  <c r="H294" i="32"/>
  <c r="H295" i="32"/>
  <c r="H296" i="32"/>
  <c r="H297" i="32"/>
  <c r="H298" i="32"/>
  <c r="H299" i="32"/>
  <c r="H300" i="32"/>
  <c r="H301" i="32"/>
  <c r="H302" i="32"/>
  <c r="H303" i="32"/>
  <c r="H304" i="32"/>
  <c r="H305" i="32"/>
  <c r="H306" i="32"/>
  <c r="H307" i="32"/>
  <c r="H308" i="32"/>
  <c r="H309" i="32"/>
  <c r="H310" i="32"/>
  <c r="H311" i="32"/>
  <c r="H312" i="32"/>
  <c r="H313" i="32"/>
  <c r="H314" i="32"/>
  <c r="H315" i="32"/>
  <c r="H316" i="32"/>
  <c r="H317" i="32"/>
  <c r="H318" i="32"/>
  <c r="H319" i="32"/>
  <c r="H320" i="32"/>
  <c r="H321" i="32"/>
  <c r="H322" i="32"/>
  <c r="H323" i="32"/>
  <c r="H324" i="32"/>
  <c r="H325" i="32"/>
  <c r="H326" i="32"/>
  <c r="H327" i="32"/>
  <c r="H328" i="32"/>
  <c r="H329" i="32"/>
  <c r="H330" i="32"/>
  <c r="H331" i="32"/>
  <c r="H332" i="32"/>
  <c r="H333" i="32"/>
  <c r="H334" i="32"/>
  <c r="H335" i="32"/>
  <c r="H336" i="32"/>
  <c r="H337" i="32"/>
  <c r="H338" i="32"/>
  <c r="H339" i="32"/>
  <c r="H340" i="32"/>
  <c r="H341" i="32"/>
  <c r="H342" i="32"/>
  <c r="H343" i="32"/>
  <c r="H344" i="32"/>
  <c r="H345" i="32"/>
  <c r="H346" i="32"/>
  <c r="H347" i="32"/>
  <c r="H348" i="32"/>
  <c r="H349" i="32"/>
  <c r="H350" i="32"/>
  <c r="H351" i="32"/>
  <c r="H352" i="32"/>
  <c r="H353" i="32"/>
  <c r="H354" i="32"/>
  <c r="H355" i="32"/>
  <c r="H356" i="32"/>
  <c r="H357" i="32"/>
  <c r="H358" i="32"/>
  <c r="H359" i="32"/>
  <c r="H360" i="32"/>
  <c r="H361" i="32"/>
  <c r="H362" i="32"/>
  <c r="H363" i="32"/>
  <c r="H364" i="32"/>
  <c r="H365" i="32"/>
  <c r="H366" i="32"/>
  <c r="H367" i="32"/>
  <c r="H368" i="32"/>
  <c r="H369" i="32"/>
  <c r="H370" i="32"/>
  <c r="H371" i="32"/>
  <c r="H372" i="32"/>
  <c r="H373" i="32"/>
  <c r="H374" i="32"/>
  <c r="H375" i="32"/>
  <c r="H376" i="32"/>
  <c r="H377" i="32"/>
  <c r="H378" i="32"/>
  <c r="H379" i="32"/>
  <c r="H380" i="32"/>
  <c r="H381" i="32"/>
  <c r="H382" i="32"/>
  <c r="H383" i="32"/>
  <c r="H384" i="32"/>
  <c r="H385" i="32"/>
  <c r="H386" i="32"/>
  <c r="H387" i="32"/>
  <c r="H388" i="32"/>
  <c r="H389" i="32"/>
  <c r="H390" i="32"/>
  <c r="H391" i="32"/>
  <c r="H392" i="32"/>
  <c r="H393" i="32"/>
  <c r="H394" i="32"/>
  <c r="H395" i="32"/>
  <c r="H396" i="32"/>
  <c r="H397" i="32"/>
  <c r="H398" i="32"/>
  <c r="H399" i="32"/>
  <c r="H400" i="32"/>
  <c r="H401" i="32"/>
  <c r="H402" i="32"/>
  <c r="H403" i="32"/>
  <c r="H404" i="32"/>
  <c r="H405" i="32"/>
  <c r="H406" i="32"/>
  <c r="H407" i="32"/>
  <c r="H408" i="32"/>
  <c r="H409" i="32"/>
  <c r="H410" i="32"/>
  <c r="H411" i="32"/>
  <c r="H412" i="32"/>
  <c r="H413" i="32"/>
  <c r="H414" i="32"/>
  <c r="H415" i="32"/>
  <c r="H416" i="32"/>
  <c r="H417" i="32"/>
  <c r="H418" i="32"/>
  <c r="H419" i="32"/>
  <c r="H420" i="32"/>
  <c r="H421" i="32"/>
  <c r="H422" i="32"/>
  <c r="H423" i="32"/>
  <c r="H424" i="32"/>
  <c r="H425" i="32"/>
  <c r="H426" i="32"/>
  <c r="H427" i="32"/>
  <c r="H428" i="32"/>
  <c r="H429" i="32"/>
  <c r="H430" i="32"/>
  <c r="H431" i="32"/>
  <c r="H432" i="32"/>
  <c r="H433" i="32"/>
  <c r="H434" i="32"/>
  <c r="H435" i="32"/>
  <c r="H436" i="32"/>
  <c r="H437" i="32"/>
  <c r="H438" i="32"/>
  <c r="H439" i="32"/>
  <c r="H440" i="32"/>
  <c r="H441" i="32"/>
  <c r="H442" i="32"/>
  <c r="H443" i="32"/>
  <c r="H444" i="32"/>
  <c r="H445" i="32"/>
  <c r="H446" i="32"/>
  <c r="H447" i="32"/>
  <c r="H448" i="32"/>
  <c r="H449" i="32"/>
  <c r="H450" i="32"/>
  <c r="H451" i="32"/>
  <c r="H452" i="32"/>
  <c r="H453" i="32"/>
  <c r="H454" i="32"/>
  <c r="H455" i="32"/>
  <c r="H456" i="32"/>
  <c r="H457" i="32"/>
  <c r="H458" i="32"/>
  <c r="H459" i="32"/>
  <c r="H460" i="32"/>
  <c r="H461" i="32"/>
  <c r="H462" i="32"/>
  <c r="H463" i="32"/>
  <c r="H464" i="32"/>
  <c r="H465" i="32"/>
  <c r="H466" i="32"/>
  <c r="H467" i="32"/>
  <c r="H468" i="32"/>
  <c r="H469" i="32"/>
  <c r="H470" i="32"/>
  <c r="H471" i="32"/>
  <c r="H472" i="32"/>
  <c r="H473" i="32"/>
  <c r="H474" i="32"/>
  <c r="H475" i="32"/>
  <c r="H476" i="32"/>
  <c r="H477" i="32"/>
  <c r="H478" i="32"/>
  <c r="H479" i="32"/>
  <c r="H480" i="32"/>
  <c r="H481" i="32"/>
  <c r="H482" i="32"/>
  <c r="H483" i="32"/>
  <c r="H484" i="32"/>
  <c r="H485" i="32"/>
  <c r="H486" i="32"/>
  <c r="H487" i="32"/>
  <c r="H488" i="32"/>
  <c r="H489" i="32"/>
  <c r="H490" i="32"/>
  <c r="H491" i="32"/>
  <c r="H492" i="32"/>
  <c r="H493" i="32"/>
  <c r="H494" i="32"/>
  <c r="H495" i="32"/>
  <c r="H496" i="32"/>
  <c r="H497" i="32"/>
  <c r="H498" i="32"/>
  <c r="H499" i="32"/>
  <c r="H500" i="32"/>
  <c r="H501" i="32"/>
  <c r="H502" i="32"/>
  <c r="H503" i="32"/>
  <c r="H504" i="32"/>
  <c r="H505" i="32"/>
  <c r="H506" i="32"/>
  <c r="H507" i="32"/>
  <c r="H508" i="32"/>
  <c r="H509" i="32"/>
  <c r="H510" i="32"/>
  <c r="H511" i="32"/>
  <c r="H512" i="32"/>
  <c r="H513" i="32"/>
  <c r="H514" i="32"/>
  <c r="H515" i="32"/>
  <c r="H516" i="32"/>
  <c r="H517" i="32"/>
  <c r="H518" i="32"/>
  <c r="H519" i="32"/>
  <c r="H520" i="32"/>
  <c r="H521" i="32"/>
  <c r="H522" i="32"/>
  <c r="H523" i="32"/>
  <c r="H524" i="32"/>
  <c r="H525" i="32"/>
  <c r="H526" i="32"/>
  <c r="H527" i="32"/>
  <c r="H528" i="32"/>
  <c r="H529" i="32"/>
  <c r="H530" i="32"/>
  <c r="H531" i="32"/>
  <c r="H532" i="32"/>
  <c r="H533" i="32"/>
  <c r="H534" i="32"/>
  <c r="H535" i="32"/>
  <c r="H536" i="32"/>
  <c r="H537" i="32"/>
  <c r="H538" i="32"/>
  <c r="H539" i="32"/>
  <c r="H540" i="32"/>
  <c r="H541" i="32"/>
  <c r="H542" i="32"/>
  <c r="H543" i="32"/>
  <c r="H544" i="32"/>
  <c r="H545" i="32"/>
  <c r="H546" i="32"/>
  <c r="H547" i="32"/>
  <c r="H548" i="32"/>
  <c r="H549" i="32"/>
  <c r="H550" i="32"/>
  <c r="H551" i="32"/>
  <c r="H552" i="32"/>
  <c r="H553" i="32"/>
  <c r="H554" i="32"/>
  <c r="H555" i="32"/>
  <c r="H556" i="32"/>
  <c r="H557" i="32"/>
  <c r="H558" i="32"/>
  <c r="H559" i="32"/>
  <c r="H560" i="32"/>
  <c r="H561" i="32"/>
  <c r="H562" i="32"/>
  <c r="H563" i="32"/>
  <c r="H564" i="32"/>
  <c r="H565" i="32"/>
  <c r="H566" i="32"/>
  <c r="H567" i="32"/>
  <c r="H568" i="32"/>
  <c r="H569" i="32"/>
  <c r="H570" i="32"/>
  <c r="H571" i="32"/>
  <c r="H572" i="32"/>
  <c r="H573" i="32"/>
  <c r="H574" i="32"/>
  <c r="H575" i="32"/>
  <c r="H576" i="32"/>
  <c r="H577" i="32"/>
  <c r="H578" i="32"/>
  <c r="H579" i="32"/>
  <c r="H580" i="32"/>
  <c r="H581" i="32"/>
  <c r="H582" i="32"/>
  <c r="H583" i="32"/>
  <c r="H584" i="32"/>
  <c r="H585" i="32"/>
  <c r="H586" i="32"/>
  <c r="H587" i="32"/>
  <c r="H588" i="32"/>
  <c r="H589" i="32"/>
  <c r="H590" i="32"/>
  <c r="H591" i="32"/>
  <c r="H592" i="32"/>
  <c r="H593" i="32"/>
  <c r="H594" i="32"/>
  <c r="H595" i="32"/>
  <c r="H596" i="32"/>
  <c r="H597" i="32"/>
  <c r="H598" i="32"/>
  <c r="H599" i="32"/>
  <c r="H600" i="32"/>
  <c r="H601" i="32"/>
  <c r="H602" i="32"/>
  <c r="H603" i="32"/>
  <c r="H604" i="32"/>
  <c r="H605" i="32"/>
  <c r="H606" i="32"/>
  <c r="H607" i="32"/>
  <c r="H608" i="32"/>
  <c r="H609" i="32"/>
  <c r="H610" i="32"/>
  <c r="H611" i="32"/>
  <c r="H612" i="32"/>
  <c r="H613" i="32"/>
  <c r="H614" i="32"/>
  <c r="H615" i="32"/>
  <c r="H616" i="32"/>
  <c r="H617" i="32"/>
  <c r="H618" i="32"/>
  <c r="H619" i="32"/>
  <c r="H620" i="32"/>
  <c r="H621" i="32"/>
  <c r="H622" i="32"/>
  <c r="H623" i="32"/>
  <c r="H624" i="32"/>
  <c r="H625" i="32"/>
  <c r="H626" i="32"/>
  <c r="H627" i="32"/>
  <c r="H628" i="32"/>
  <c r="H629" i="32"/>
  <c r="H630" i="32"/>
  <c r="H631" i="32"/>
  <c r="H632" i="32"/>
  <c r="H633" i="32"/>
  <c r="H634" i="32"/>
  <c r="H635" i="32"/>
  <c r="H636" i="32"/>
  <c r="H637" i="32"/>
  <c r="H638" i="32"/>
  <c r="H639" i="32"/>
  <c r="H640" i="32"/>
  <c r="H641" i="32"/>
  <c r="H642" i="32"/>
  <c r="H643" i="32"/>
  <c r="H644" i="32"/>
  <c r="H645" i="32"/>
  <c r="H646" i="32"/>
  <c r="H647" i="32"/>
  <c r="H648" i="32"/>
  <c r="H649" i="32"/>
  <c r="H650" i="32"/>
  <c r="H651" i="32"/>
  <c r="H652" i="32"/>
  <c r="H653" i="32"/>
  <c r="H654" i="32"/>
  <c r="H655" i="32"/>
  <c r="H656" i="32"/>
  <c r="H657" i="32"/>
  <c r="H658" i="32"/>
  <c r="H659" i="32"/>
  <c r="H660" i="32"/>
  <c r="H661" i="32"/>
  <c r="H662" i="32"/>
  <c r="H663" i="32"/>
  <c r="H664" i="32"/>
  <c r="H665" i="32"/>
  <c r="H666" i="32"/>
  <c r="H667" i="32"/>
  <c r="H668" i="32"/>
  <c r="H669" i="32"/>
  <c r="H670" i="32"/>
  <c r="H671" i="32"/>
  <c r="H672" i="32"/>
  <c r="H673" i="32"/>
  <c r="H674" i="32"/>
  <c r="H675" i="32"/>
  <c r="H676" i="32"/>
  <c r="H677" i="32"/>
  <c r="H678" i="32"/>
  <c r="H679" i="32"/>
  <c r="H680" i="32"/>
  <c r="H681" i="32"/>
  <c r="H682" i="32"/>
  <c r="H683" i="32"/>
  <c r="H684" i="32"/>
  <c r="H685" i="32"/>
  <c r="H686" i="32"/>
  <c r="H687" i="32"/>
  <c r="H688" i="32"/>
  <c r="H689" i="32"/>
  <c r="H690" i="32"/>
  <c r="H691" i="32"/>
  <c r="H692" i="32"/>
  <c r="H693" i="32"/>
  <c r="H694" i="32"/>
  <c r="H695" i="32"/>
  <c r="H696" i="32"/>
  <c r="H697" i="32"/>
  <c r="H698" i="32"/>
  <c r="H699" i="32"/>
  <c r="H700" i="32"/>
  <c r="H701" i="32"/>
  <c r="H702" i="32"/>
  <c r="H703" i="32"/>
  <c r="H704" i="32"/>
  <c r="H705" i="32"/>
  <c r="H706" i="32"/>
  <c r="H707" i="32"/>
  <c r="H708" i="32"/>
  <c r="H709" i="32"/>
  <c r="H710" i="32"/>
  <c r="H711" i="32"/>
  <c r="H712" i="32"/>
  <c r="H713" i="32"/>
  <c r="H714" i="32"/>
  <c r="H715" i="32"/>
  <c r="H716" i="32"/>
  <c r="H717" i="32"/>
  <c r="H718" i="32"/>
  <c r="H719" i="32"/>
  <c r="H720" i="32"/>
  <c r="H721" i="32"/>
  <c r="H722" i="32"/>
  <c r="H723" i="32"/>
  <c r="H724" i="32"/>
  <c r="H725" i="32"/>
  <c r="H726" i="32"/>
  <c r="H727" i="32"/>
  <c r="H728" i="32"/>
  <c r="H729" i="32"/>
  <c r="H730" i="32"/>
  <c r="H731" i="32"/>
  <c r="H732" i="32"/>
  <c r="H733" i="32"/>
  <c r="H734" i="32"/>
  <c r="H735" i="32"/>
  <c r="H736" i="32"/>
  <c r="H737" i="32"/>
  <c r="H738" i="32"/>
  <c r="H739" i="32"/>
  <c r="H740" i="32"/>
  <c r="H741" i="32"/>
  <c r="H742" i="32"/>
  <c r="H743" i="32"/>
  <c r="H744" i="32"/>
  <c r="H745" i="32"/>
  <c r="H746" i="32"/>
  <c r="H747" i="32"/>
  <c r="H748" i="32"/>
  <c r="H749" i="32"/>
  <c r="H750" i="32"/>
  <c r="H751" i="32"/>
  <c r="H752" i="32"/>
  <c r="H753" i="32"/>
  <c r="H754" i="32"/>
  <c r="H755" i="32"/>
  <c r="H756" i="32"/>
  <c r="H757" i="32"/>
  <c r="H758" i="32"/>
  <c r="H759" i="32"/>
  <c r="H760" i="32"/>
  <c r="H761" i="32"/>
  <c r="H762" i="32"/>
  <c r="H763" i="32"/>
  <c r="H764" i="32"/>
  <c r="H765" i="32"/>
  <c r="H766" i="32"/>
  <c r="H767" i="32"/>
  <c r="H768" i="32"/>
  <c r="H769" i="32"/>
  <c r="H770" i="32"/>
  <c r="H771" i="32"/>
  <c r="H772" i="32"/>
  <c r="H773" i="32"/>
  <c r="H774" i="32"/>
  <c r="H775" i="32"/>
  <c r="H776" i="32"/>
  <c r="H777" i="32"/>
  <c r="H778" i="32"/>
  <c r="H779" i="32"/>
  <c r="H780" i="32"/>
  <c r="H781" i="32"/>
  <c r="H782" i="32"/>
  <c r="H783" i="32"/>
  <c r="H784" i="32"/>
  <c r="H785" i="32"/>
  <c r="H786" i="32"/>
  <c r="H787" i="32"/>
  <c r="H788" i="32"/>
  <c r="H789" i="32"/>
  <c r="H790" i="32"/>
  <c r="H791" i="32"/>
  <c r="H792" i="32"/>
  <c r="H793" i="32"/>
  <c r="H794" i="32"/>
  <c r="H795" i="32"/>
  <c r="H796" i="32"/>
  <c r="H797" i="32"/>
  <c r="H798" i="32"/>
  <c r="H799" i="32"/>
  <c r="H800" i="32"/>
  <c r="H801" i="32"/>
  <c r="H802" i="32"/>
  <c r="H803" i="32"/>
  <c r="H804" i="32"/>
  <c r="H805" i="32"/>
  <c r="H806" i="32"/>
  <c r="H807" i="32"/>
  <c r="H808" i="32"/>
  <c r="H809" i="32"/>
  <c r="H810" i="32"/>
  <c r="H811" i="32"/>
  <c r="H812" i="32"/>
  <c r="H813" i="32"/>
  <c r="H814" i="32"/>
  <c r="H815" i="32"/>
  <c r="H816" i="32"/>
  <c r="H817" i="32"/>
  <c r="H818" i="32"/>
  <c r="H819" i="32"/>
  <c r="H820" i="32"/>
  <c r="H821" i="32"/>
  <c r="H822" i="32"/>
  <c r="H823" i="32"/>
  <c r="H824" i="32"/>
  <c r="H825" i="32"/>
  <c r="H826" i="32"/>
  <c r="H827" i="32"/>
  <c r="H828" i="32"/>
  <c r="H829" i="32"/>
  <c r="H830" i="32"/>
  <c r="H831" i="32"/>
  <c r="H832" i="32"/>
  <c r="H833" i="32"/>
  <c r="H834" i="32"/>
  <c r="H835" i="32"/>
  <c r="H836" i="32"/>
  <c r="H837" i="32"/>
  <c r="H838" i="32"/>
  <c r="H839" i="32"/>
  <c r="H840" i="32"/>
  <c r="H841" i="32"/>
  <c r="H842" i="32"/>
  <c r="H843" i="32"/>
  <c r="H844" i="32"/>
  <c r="H845" i="32"/>
  <c r="H846" i="32"/>
  <c r="H847" i="32"/>
  <c r="H848" i="32"/>
  <c r="H849" i="32"/>
  <c r="H850" i="32"/>
  <c r="H851" i="32"/>
  <c r="H852" i="32"/>
  <c r="H853" i="32"/>
  <c r="H854" i="32"/>
  <c r="H855" i="32"/>
  <c r="H856" i="32"/>
  <c r="H857" i="32"/>
  <c r="H858" i="32"/>
  <c r="H859" i="32"/>
  <c r="H860" i="32"/>
  <c r="H861" i="32"/>
  <c r="H862" i="32"/>
  <c r="H863" i="32"/>
  <c r="H864" i="32"/>
  <c r="H865" i="32"/>
  <c r="H866" i="32"/>
  <c r="H867" i="32"/>
  <c r="H868" i="32"/>
  <c r="H869" i="32"/>
  <c r="H870" i="32"/>
  <c r="H871" i="32"/>
  <c r="H872" i="32"/>
  <c r="H873" i="32"/>
  <c r="H874" i="32"/>
  <c r="H875" i="32"/>
  <c r="H876" i="32"/>
  <c r="H877" i="32"/>
  <c r="H878" i="32"/>
  <c r="H879" i="32"/>
  <c r="H880" i="32"/>
  <c r="H881" i="32"/>
  <c r="H882" i="32"/>
  <c r="H883" i="32"/>
  <c r="H884" i="32"/>
  <c r="H885" i="32"/>
  <c r="H886" i="32"/>
  <c r="H887" i="32"/>
  <c r="H888" i="32"/>
  <c r="H889" i="32"/>
  <c r="H890" i="32"/>
  <c r="H891" i="32"/>
  <c r="H892" i="32"/>
  <c r="H893" i="32"/>
  <c r="H894" i="32"/>
  <c r="H895" i="32"/>
  <c r="H896" i="32"/>
  <c r="H897" i="32"/>
  <c r="H898" i="32"/>
  <c r="H899" i="32"/>
  <c r="H900" i="32"/>
  <c r="H901" i="32"/>
  <c r="H902" i="32"/>
  <c r="H903" i="32"/>
  <c r="H904" i="32"/>
  <c r="H905" i="32"/>
  <c r="H906" i="32"/>
  <c r="H907" i="32"/>
  <c r="H908" i="32"/>
  <c r="H909" i="32"/>
  <c r="H910" i="32"/>
  <c r="H911" i="32"/>
  <c r="H912" i="32"/>
  <c r="H913" i="32"/>
  <c r="H914" i="32"/>
  <c r="H915" i="32"/>
  <c r="H916" i="32"/>
  <c r="H917" i="32"/>
  <c r="H918" i="32"/>
  <c r="H919" i="32"/>
  <c r="H920" i="32"/>
  <c r="H921" i="32"/>
  <c r="H922" i="32"/>
  <c r="H923" i="32"/>
  <c r="H924" i="32"/>
  <c r="H925" i="32"/>
  <c r="H926" i="32"/>
  <c r="H927" i="32"/>
  <c r="H928" i="32"/>
  <c r="H929" i="32"/>
  <c r="H930" i="32"/>
  <c r="H931" i="32"/>
  <c r="H932" i="32"/>
  <c r="H933" i="32"/>
  <c r="H934" i="32"/>
  <c r="H935" i="32"/>
  <c r="H936" i="32"/>
  <c r="H937" i="32"/>
  <c r="H938" i="32"/>
  <c r="H939" i="32"/>
  <c r="H940" i="32"/>
  <c r="H941" i="32"/>
  <c r="H942" i="32"/>
  <c r="H943" i="32"/>
  <c r="H944" i="32"/>
  <c r="H945" i="32"/>
  <c r="H946" i="32"/>
  <c r="H947" i="32"/>
  <c r="H948" i="32"/>
  <c r="H949" i="32"/>
  <c r="H950" i="32"/>
  <c r="H951" i="32"/>
  <c r="H952" i="32"/>
  <c r="H953" i="32"/>
  <c r="H954" i="32"/>
  <c r="H955" i="32"/>
  <c r="H956" i="32"/>
  <c r="H957" i="32"/>
  <c r="H958" i="32"/>
  <c r="H959" i="32"/>
  <c r="H960" i="32"/>
  <c r="H961" i="32"/>
  <c r="H962" i="32"/>
  <c r="H963" i="32"/>
  <c r="H964" i="32"/>
  <c r="H965" i="32"/>
  <c r="H966" i="32"/>
  <c r="H967" i="32"/>
  <c r="H968" i="32"/>
  <c r="H969" i="32"/>
  <c r="H970" i="32"/>
  <c r="H971" i="32"/>
  <c r="H972" i="32"/>
  <c r="H973" i="32"/>
  <c r="H974" i="32"/>
  <c r="H975" i="32"/>
  <c r="H976" i="32"/>
  <c r="H977" i="32"/>
  <c r="H978" i="32"/>
  <c r="H979" i="32"/>
  <c r="H980" i="32"/>
  <c r="H981" i="32"/>
  <c r="H982" i="32"/>
  <c r="H983" i="32"/>
  <c r="H984" i="32"/>
  <c r="H985" i="32"/>
  <c r="H986" i="32"/>
  <c r="H987" i="32"/>
  <c r="H988" i="32"/>
  <c r="H989" i="32"/>
  <c r="H990" i="32"/>
  <c r="H991" i="32"/>
  <c r="H992" i="32"/>
  <c r="H993" i="32"/>
  <c r="H994" i="32"/>
  <c r="H995" i="32"/>
  <c r="H996" i="32"/>
  <c r="H997" i="32"/>
  <c r="H998" i="32"/>
  <c r="H999" i="32"/>
  <c r="H1000" i="32"/>
  <c r="H1001" i="32"/>
  <c r="H1002" i="32"/>
  <c r="H1003" i="32"/>
  <c r="H1004" i="32"/>
  <c r="H1005" i="32"/>
  <c r="H1006" i="32"/>
  <c r="H1007" i="32"/>
  <c r="H1008" i="32"/>
  <c r="H1009" i="32"/>
  <c r="H1010" i="32"/>
  <c r="H1011" i="32"/>
  <c r="H1012" i="32"/>
  <c r="H1013" i="32"/>
  <c r="H1014" i="32"/>
  <c r="H1015" i="32"/>
  <c r="H1016" i="32"/>
  <c r="H1017" i="32"/>
  <c r="H1018" i="32"/>
  <c r="H1019" i="32"/>
  <c r="H1020" i="32"/>
  <c r="H1021" i="32"/>
  <c r="H1022" i="32"/>
  <c r="H1023" i="32"/>
  <c r="H1024" i="32"/>
  <c r="H1025" i="32"/>
  <c r="H1026" i="32"/>
  <c r="H1027" i="32"/>
  <c r="H1028" i="32"/>
  <c r="H1029" i="32"/>
  <c r="H1030" i="32"/>
  <c r="H1031" i="32"/>
  <c r="H1032" i="32"/>
  <c r="H1033" i="32"/>
  <c r="H1034" i="32"/>
  <c r="H1035" i="32"/>
  <c r="H1036" i="32"/>
  <c r="H1037" i="32"/>
  <c r="H1038" i="32"/>
  <c r="H1039" i="32"/>
  <c r="H1040" i="32"/>
  <c r="H1041" i="32"/>
  <c r="H1042" i="32"/>
  <c r="H1043" i="32"/>
  <c r="H1044" i="32"/>
  <c r="H1045" i="32"/>
  <c r="H1046" i="32"/>
  <c r="H1047" i="32"/>
  <c r="H1048" i="32"/>
  <c r="H1049" i="32"/>
  <c r="H1050" i="32"/>
  <c r="H1051" i="32"/>
  <c r="H1052" i="32"/>
  <c r="H1053" i="32"/>
  <c r="H1054" i="32"/>
  <c r="H1055" i="32"/>
  <c r="H1056" i="32"/>
  <c r="H1057" i="32"/>
  <c r="H1058" i="32"/>
  <c r="H1059" i="32"/>
  <c r="H1060" i="32"/>
  <c r="H1061" i="32"/>
  <c r="H1062" i="32"/>
  <c r="H1063" i="32"/>
  <c r="H1064" i="32"/>
  <c r="H1065" i="32"/>
  <c r="H1066" i="32"/>
  <c r="H1067" i="32"/>
  <c r="H1068" i="32"/>
  <c r="H1069" i="32"/>
  <c r="H1070" i="32"/>
  <c r="H1071" i="32"/>
  <c r="H1072" i="32"/>
  <c r="H1073" i="32"/>
  <c r="H1074" i="32"/>
  <c r="H1075" i="32"/>
  <c r="H1076" i="32"/>
  <c r="H1077" i="32"/>
  <c r="H1078" i="32"/>
  <c r="H1079" i="32"/>
  <c r="H1080" i="32"/>
  <c r="H1081" i="32"/>
  <c r="H1082" i="32"/>
  <c r="H1083" i="32"/>
  <c r="H1084" i="32"/>
  <c r="H1085" i="32"/>
  <c r="H1086" i="32"/>
  <c r="H1087" i="32"/>
  <c r="H1088" i="32"/>
  <c r="H1089" i="32"/>
  <c r="H1090" i="32"/>
  <c r="H1091" i="32"/>
  <c r="H1092" i="32"/>
  <c r="H1093" i="32"/>
  <c r="H1094" i="32"/>
  <c r="H1095" i="32"/>
  <c r="H1096" i="32"/>
  <c r="H1097" i="32"/>
  <c r="H1098" i="32"/>
  <c r="H1099" i="32"/>
  <c r="H1100" i="32"/>
  <c r="H1101" i="32"/>
  <c r="H1102" i="32"/>
  <c r="H1103" i="32"/>
  <c r="H1104" i="32"/>
  <c r="H1105" i="32"/>
  <c r="H1106" i="32"/>
  <c r="H1107" i="32"/>
  <c r="H1108" i="32"/>
  <c r="H1109" i="32"/>
  <c r="H1110" i="32"/>
  <c r="H1111" i="32"/>
  <c r="H1112" i="32"/>
  <c r="H1113" i="32"/>
  <c r="H1114" i="32"/>
  <c r="H1115" i="32"/>
  <c r="H1116" i="32"/>
  <c r="H1117" i="32"/>
  <c r="H1118" i="32"/>
  <c r="H1119" i="32"/>
  <c r="H1120" i="32"/>
  <c r="H1121" i="32"/>
  <c r="H1122" i="32"/>
  <c r="H1123" i="32"/>
  <c r="H1124" i="32"/>
  <c r="H1125" i="32"/>
  <c r="H1126" i="32"/>
  <c r="H1127" i="32"/>
  <c r="H1128" i="32"/>
  <c r="H1129" i="32"/>
  <c r="H1130" i="32"/>
  <c r="H1131" i="32"/>
  <c r="H1132" i="32"/>
  <c r="H1133" i="32"/>
  <c r="H1134" i="32"/>
  <c r="H1135" i="32"/>
  <c r="H1136" i="32"/>
  <c r="H1137" i="32"/>
  <c r="H1138" i="32"/>
  <c r="H1139" i="32"/>
  <c r="H1140" i="32"/>
  <c r="H1141" i="32"/>
  <c r="H1142" i="32"/>
  <c r="H1143" i="32"/>
  <c r="H1144" i="32"/>
  <c r="H1145" i="32"/>
  <c r="H1146" i="32"/>
  <c r="H1147" i="32"/>
  <c r="H1148" i="32"/>
  <c r="H1149" i="32"/>
  <c r="H1150" i="32"/>
  <c r="H1151" i="32"/>
  <c r="H1152" i="32"/>
  <c r="H1153" i="32"/>
  <c r="H1154" i="32"/>
  <c r="H1155" i="32"/>
  <c r="H1156" i="32"/>
  <c r="H1157" i="32"/>
  <c r="H1158" i="32"/>
  <c r="H1159" i="32"/>
  <c r="H1160" i="32"/>
  <c r="H1161" i="32"/>
  <c r="H1162" i="32"/>
  <c r="H1163" i="32"/>
  <c r="H1164" i="32"/>
  <c r="H1165" i="32"/>
  <c r="H1166" i="32"/>
  <c r="H1167" i="32"/>
  <c r="H1168" i="32"/>
  <c r="H1169" i="32"/>
  <c r="H1170" i="32"/>
  <c r="H1171" i="32"/>
  <c r="H1172" i="32"/>
  <c r="H1173" i="32"/>
  <c r="H1174" i="32"/>
  <c r="H1175" i="32"/>
  <c r="H1176" i="32"/>
  <c r="H1177" i="32"/>
  <c r="H1178" i="32"/>
  <c r="H1179" i="32"/>
  <c r="H1180" i="32"/>
  <c r="H1181" i="32"/>
  <c r="H1182" i="32"/>
  <c r="H1183" i="32"/>
  <c r="H1184" i="32"/>
  <c r="H1185" i="32"/>
  <c r="H1186" i="32"/>
  <c r="H1187" i="32"/>
  <c r="H1188" i="32"/>
  <c r="H1189" i="32"/>
  <c r="H1190" i="32"/>
  <c r="H1191" i="32"/>
  <c r="H1192" i="32"/>
  <c r="H1193" i="32"/>
  <c r="H1194" i="32"/>
  <c r="H1195" i="32"/>
  <c r="H1196" i="32"/>
  <c r="H1197" i="32"/>
  <c r="H1198" i="32"/>
  <c r="H1199" i="32"/>
  <c r="H1200" i="32"/>
  <c r="H1201" i="32"/>
  <c r="H1202" i="32"/>
  <c r="H1203" i="32"/>
  <c r="H1204" i="32"/>
  <c r="H1205" i="32"/>
  <c r="H1206" i="32"/>
  <c r="H1207" i="32"/>
  <c r="H1208" i="32"/>
  <c r="H1209" i="32"/>
  <c r="H1210" i="32"/>
  <c r="H1211" i="32"/>
  <c r="H1212" i="32"/>
  <c r="H1213" i="32"/>
  <c r="H1214" i="32"/>
  <c r="H1215" i="32"/>
  <c r="H1216" i="32"/>
  <c r="H1217" i="32"/>
  <c r="H1218" i="32"/>
  <c r="H1219" i="32"/>
  <c r="H1220" i="32"/>
  <c r="H1221" i="32"/>
  <c r="H1222" i="32"/>
  <c r="H1223" i="32"/>
  <c r="H1224" i="32"/>
  <c r="H1225" i="32"/>
  <c r="H1226" i="32"/>
  <c r="H1227" i="32"/>
  <c r="H1228" i="32"/>
  <c r="H1229" i="32"/>
  <c r="H1230" i="32"/>
  <c r="H1231" i="32"/>
  <c r="H1232" i="32"/>
  <c r="H1233" i="32"/>
  <c r="H1234" i="32"/>
  <c r="H1235" i="32"/>
  <c r="H1236" i="32"/>
  <c r="H1237" i="32"/>
  <c r="H1238" i="32"/>
  <c r="H1239" i="32"/>
  <c r="H1240" i="32"/>
  <c r="H1241" i="32"/>
  <c r="H1242" i="32"/>
  <c r="H1243" i="32"/>
  <c r="H1244" i="32"/>
  <c r="H1245" i="32"/>
  <c r="H1246" i="32"/>
  <c r="H1247" i="32"/>
  <c r="H1248" i="32"/>
  <c r="H1249" i="32"/>
  <c r="H1250" i="32"/>
  <c r="H1251" i="32"/>
  <c r="H1252" i="32"/>
  <c r="H1253" i="32"/>
  <c r="H1254" i="32"/>
  <c r="H1255" i="32"/>
  <c r="H1256" i="32"/>
  <c r="H1257" i="32"/>
  <c r="H1258" i="32"/>
  <c r="H1259" i="32"/>
  <c r="H1260" i="32"/>
  <c r="H1261" i="32"/>
  <c r="H1262" i="32"/>
  <c r="H1263" i="32"/>
  <c r="H1264" i="32"/>
  <c r="H1265" i="32"/>
  <c r="H1266" i="32"/>
  <c r="H1267" i="32"/>
  <c r="H1268" i="32"/>
  <c r="H1269" i="32"/>
  <c r="H1270" i="32"/>
  <c r="H1271" i="32"/>
  <c r="H1272" i="32"/>
  <c r="H1273" i="32"/>
  <c r="H1274" i="32"/>
  <c r="H1275" i="32"/>
  <c r="H1276" i="32"/>
  <c r="H1277" i="32"/>
  <c r="H1278" i="32"/>
  <c r="H1279" i="32"/>
  <c r="H1280" i="32"/>
  <c r="H1281" i="32"/>
  <c r="H1282" i="32"/>
  <c r="H1283" i="32"/>
  <c r="H1284" i="32"/>
  <c r="H1285" i="32"/>
  <c r="H1286" i="32"/>
  <c r="H1287" i="32"/>
  <c r="H1288" i="32"/>
  <c r="H1289" i="32"/>
  <c r="H1290" i="32"/>
  <c r="H1291" i="32"/>
  <c r="H1292" i="32"/>
  <c r="H1293" i="32"/>
  <c r="H1294" i="32"/>
  <c r="H1295" i="32"/>
  <c r="H1296" i="32"/>
  <c r="H1297" i="32"/>
  <c r="H1298" i="32"/>
  <c r="H1299" i="32"/>
  <c r="H1300" i="32"/>
  <c r="H1301" i="32"/>
  <c r="H1302" i="32"/>
  <c r="H1303" i="32"/>
  <c r="H1304" i="32"/>
  <c r="H1305" i="32"/>
  <c r="H1306" i="32"/>
  <c r="H1307" i="32"/>
  <c r="H1308" i="32"/>
  <c r="H1309" i="32"/>
  <c r="H1310" i="32"/>
  <c r="H1311" i="32"/>
  <c r="H1312" i="32"/>
  <c r="H1313" i="32"/>
  <c r="H1314" i="32"/>
  <c r="H1315" i="32"/>
  <c r="H1316" i="32"/>
  <c r="H1317" i="32"/>
  <c r="H1318" i="32"/>
  <c r="H1319" i="32"/>
  <c r="H1320" i="32"/>
  <c r="H1321" i="32"/>
  <c r="H1322" i="32"/>
  <c r="H1323" i="32"/>
  <c r="H1324" i="32"/>
  <c r="H1325" i="32"/>
  <c r="H1326" i="32"/>
  <c r="H1327" i="32"/>
  <c r="H1328" i="32"/>
  <c r="H1329" i="32"/>
  <c r="H1330" i="32"/>
  <c r="H1331" i="32"/>
  <c r="H1332" i="32"/>
  <c r="H1333" i="32"/>
  <c r="H1334" i="32"/>
  <c r="H1335" i="32"/>
  <c r="H1336" i="32"/>
  <c r="H1337" i="32"/>
  <c r="H1338" i="32"/>
  <c r="H1339" i="32"/>
  <c r="H1340" i="32"/>
  <c r="H1341" i="32"/>
  <c r="H1342" i="32"/>
  <c r="H1343" i="32"/>
  <c r="H1344" i="32"/>
  <c r="H1345" i="32"/>
  <c r="H1346" i="32"/>
  <c r="H1347" i="32"/>
  <c r="H1348" i="32"/>
  <c r="H1349" i="32"/>
  <c r="H1350" i="32"/>
  <c r="H1351" i="32"/>
  <c r="H1352" i="32"/>
  <c r="H1353" i="32"/>
  <c r="H1354" i="32"/>
  <c r="H1355" i="32"/>
  <c r="H1356" i="32"/>
  <c r="H1357" i="32"/>
  <c r="H1358" i="32"/>
  <c r="H1359" i="32"/>
  <c r="H1360" i="32"/>
  <c r="H1361" i="32"/>
  <c r="H1362" i="32"/>
  <c r="H1363" i="32"/>
  <c r="H1364" i="32"/>
  <c r="H1365" i="32"/>
  <c r="H1366" i="32"/>
  <c r="H1367" i="32"/>
  <c r="H1368" i="32"/>
  <c r="H1369" i="32"/>
  <c r="H1370" i="32"/>
  <c r="H1371" i="32"/>
  <c r="H1372" i="32"/>
  <c r="H1373" i="32"/>
  <c r="H1374" i="32"/>
  <c r="H1375" i="32"/>
  <c r="H1376" i="32"/>
  <c r="H1377" i="32"/>
  <c r="H1378" i="32"/>
  <c r="H1379" i="32"/>
  <c r="H1380" i="32"/>
  <c r="H1381" i="32"/>
  <c r="H1382" i="32"/>
  <c r="H1383" i="32"/>
  <c r="H1384" i="32"/>
  <c r="H1385" i="32"/>
  <c r="H1386" i="32"/>
  <c r="H1387" i="32"/>
  <c r="H1388" i="32"/>
  <c r="H1389" i="32"/>
  <c r="H1390" i="32"/>
  <c r="H1391" i="32"/>
  <c r="H1392" i="32"/>
  <c r="H1393" i="32"/>
  <c r="H1394" i="32"/>
  <c r="H1395" i="32"/>
  <c r="H1396" i="32"/>
  <c r="H1397" i="32"/>
  <c r="H1398" i="32"/>
  <c r="H1399" i="32"/>
  <c r="H1400" i="32"/>
  <c r="H1401" i="32"/>
  <c r="H1402" i="32"/>
  <c r="H1403" i="32"/>
  <c r="H1404" i="32"/>
  <c r="H1405" i="32"/>
  <c r="H1406" i="32"/>
  <c r="H1407" i="32"/>
  <c r="H1408" i="32"/>
  <c r="H1409" i="32"/>
  <c r="H1410" i="32"/>
  <c r="H1411" i="32"/>
  <c r="H1412" i="32"/>
  <c r="H1413" i="32"/>
  <c r="H1414" i="32"/>
  <c r="H1415" i="32"/>
  <c r="H1416" i="32"/>
  <c r="H1417" i="32"/>
  <c r="H1418" i="32"/>
  <c r="H1419" i="32"/>
  <c r="H1420" i="32"/>
  <c r="H1421" i="32"/>
  <c r="H1422" i="32"/>
  <c r="H1423" i="32"/>
  <c r="H1424" i="32"/>
  <c r="H1425" i="32"/>
  <c r="H1426" i="32"/>
  <c r="H1427" i="32"/>
  <c r="H1428" i="32"/>
  <c r="H1429" i="32"/>
  <c r="H1430" i="32"/>
  <c r="H1431" i="32"/>
  <c r="H1432" i="32"/>
  <c r="H1433" i="32"/>
  <c r="H1434" i="32"/>
  <c r="H1435" i="32"/>
  <c r="H1436" i="32"/>
  <c r="H1437" i="32"/>
  <c r="H1438" i="32"/>
  <c r="H1439" i="32"/>
  <c r="H1440" i="32"/>
  <c r="H1441" i="32"/>
  <c r="H1442" i="32"/>
  <c r="H1443" i="32"/>
  <c r="H1444" i="32"/>
  <c r="H1445" i="32"/>
  <c r="H1446" i="32"/>
  <c r="H1447" i="32"/>
  <c r="H1448" i="32"/>
  <c r="H1449" i="32"/>
  <c r="H1450" i="32"/>
  <c r="H1451" i="32"/>
  <c r="H1452" i="32"/>
  <c r="H1453" i="32"/>
  <c r="H1454" i="32"/>
  <c r="H1455" i="32"/>
  <c r="H1456" i="32"/>
  <c r="H1457" i="32"/>
  <c r="H1458" i="32"/>
  <c r="H1459" i="32"/>
  <c r="H1460" i="32"/>
  <c r="H1461" i="32"/>
  <c r="H1462" i="32"/>
  <c r="H1463" i="32"/>
  <c r="H1464" i="32"/>
  <c r="H1465" i="32"/>
  <c r="H1466" i="32"/>
  <c r="H1467" i="32"/>
  <c r="H1468" i="32"/>
  <c r="H1469" i="32"/>
  <c r="H1470" i="32"/>
  <c r="H1471" i="32"/>
  <c r="H1472" i="32"/>
  <c r="H1473" i="32"/>
  <c r="H1474" i="32"/>
  <c r="H1475" i="32"/>
  <c r="H1476" i="32"/>
  <c r="H1477" i="32"/>
  <c r="H1478" i="32"/>
  <c r="H1479" i="32"/>
  <c r="H1480" i="32"/>
  <c r="H1481" i="32"/>
  <c r="H1482" i="32"/>
  <c r="H1483" i="32"/>
  <c r="H1484" i="32"/>
  <c r="H1485" i="32"/>
  <c r="H1486" i="32"/>
  <c r="H1487" i="32"/>
  <c r="H1488" i="32"/>
  <c r="H1489" i="32"/>
  <c r="H1490" i="32"/>
  <c r="H1491" i="32"/>
  <c r="H1492" i="32"/>
  <c r="H1493" i="32"/>
  <c r="H1494" i="32"/>
  <c r="H1495" i="32"/>
  <c r="H1496" i="32"/>
  <c r="H1497" i="32"/>
  <c r="H1498" i="32"/>
  <c r="H1499" i="32"/>
  <c r="H1500" i="32"/>
  <c r="H1501" i="32"/>
  <c r="H1502" i="32"/>
  <c r="H1503" i="32"/>
  <c r="H1504" i="32"/>
  <c r="H1505" i="32"/>
  <c r="H1506" i="32"/>
  <c r="H1507" i="32"/>
  <c r="H1508" i="32"/>
  <c r="H1509" i="32"/>
  <c r="H1510" i="32"/>
  <c r="H1511" i="32"/>
  <c r="H1512" i="32"/>
  <c r="H1513" i="32"/>
  <c r="H1514" i="32"/>
  <c r="H1515" i="32"/>
  <c r="H1516" i="32"/>
  <c r="H1517" i="32"/>
  <c r="H1518" i="32"/>
  <c r="H1519" i="32"/>
  <c r="H1520" i="32"/>
  <c r="H1521" i="32"/>
  <c r="H1522" i="32"/>
  <c r="H1523" i="32"/>
  <c r="H1524" i="32"/>
  <c r="H1525" i="32"/>
  <c r="H1526" i="32"/>
  <c r="H1527" i="32"/>
  <c r="H1528" i="32"/>
  <c r="H1529" i="32"/>
  <c r="H1530" i="32"/>
  <c r="H1531" i="32"/>
  <c r="H1532" i="32"/>
  <c r="H1533" i="32"/>
  <c r="H1534" i="32"/>
  <c r="H1535" i="32"/>
  <c r="H1536" i="32"/>
  <c r="H1537" i="32"/>
  <c r="H1538" i="32"/>
  <c r="H1539" i="32"/>
  <c r="H1540" i="32"/>
  <c r="H1541" i="32"/>
  <c r="H1542" i="32"/>
  <c r="H1543" i="32"/>
  <c r="H1544" i="32"/>
  <c r="H1545" i="32"/>
  <c r="H1546" i="32"/>
  <c r="H1547" i="32"/>
  <c r="H1548" i="32"/>
  <c r="H1549" i="32"/>
  <c r="H1550" i="32"/>
  <c r="H1551" i="32"/>
  <c r="H1552" i="32"/>
  <c r="H1553" i="32"/>
  <c r="H1554" i="32"/>
  <c r="H1555" i="32"/>
  <c r="H1556" i="32"/>
  <c r="H1557" i="32"/>
  <c r="H1558" i="32"/>
  <c r="H1559" i="32"/>
  <c r="H1560" i="32"/>
  <c r="H1561" i="32"/>
  <c r="H1562" i="32"/>
  <c r="H1563" i="32"/>
  <c r="H1564" i="32"/>
  <c r="H1565" i="32"/>
  <c r="H1566" i="32"/>
  <c r="H1567" i="32"/>
  <c r="H1568" i="32"/>
  <c r="H1569" i="32"/>
  <c r="H1570" i="32"/>
  <c r="H1571" i="32"/>
  <c r="H1572" i="32"/>
  <c r="H1573" i="32"/>
  <c r="H1574" i="32"/>
  <c r="H1575" i="32"/>
  <c r="H1576" i="32"/>
  <c r="H1577" i="32"/>
  <c r="H1578" i="32"/>
  <c r="H1579" i="32"/>
  <c r="H1580" i="32"/>
  <c r="H1581" i="32"/>
  <c r="H1582" i="32"/>
  <c r="H1583" i="32"/>
  <c r="H1584" i="32"/>
  <c r="H1585" i="32"/>
  <c r="H1586" i="32"/>
  <c r="H1587" i="32"/>
  <c r="H1588" i="32"/>
  <c r="H1589" i="32"/>
  <c r="H1590" i="32"/>
  <c r="H1591" i="32"/>
  <c r="H1592" i="32"/>
  <c r="H1593" i="32"/>
  <c r="H1594" i="32"/>
  <c r="H1595" i="32"/>
  <c r="H1596" i="32"/>
  <c r="H1597" i="32"/>
  <c r="H1598" i="32"/>
  <c r="H1599" i="32"/>
  <c r="H1600" i="32"/>
  <c r="H1601" i="32"/>
  <c r="H1602" i="32"/>
  <c r="H1603" i="32"/>
  <c r="H1604" i="32"/>
  <c r="H1605" i="32"/>
  <c r="H1606" i="32"/>
  <c r="H1607" i="32"/>
  <c r="H1608" i="32"/>
  <c r="H1609" i="32"/>
  <c r="H1610" i="32"/>
  <c r="H1611" i="32"/>
  <c r="H1612" i="32"/>
  <c r="H1613" i="32"/>
  <c r="H1614" i="32"/>
  <c r="H1615" i="32"/>
  <c r="H1616" i="32"/>
  <c r="H1617" i="32"/>
  <c r="H1618" i="32"/>
  <c r="H1619" i="32"/>
  <c r="H1620" i="32"/>
  <c r="H1621" i="32"/>
  <c r="H1622" i="32"/>
  <c r="H1623" i="32"/>
  <c r="H1624" i="32"/>
  <c r="H1625" i="32"/>
  <c r="H1626" i="32"/>
  <c r="H1627" i="32"/>
  <c r="H1628" i="32"/>
  <c r="H1629" i="32"/>
  <c r="H1630" i="32"/>
  <c r="H1631" i="32"/>
  <c r="H1632" i="32"/>
  <c r="H1633" i="32"/>
  <c r="H1634" i="32"/>
  <c r="H1635" i="32"/>
  <c r="H1636" i="32"/>
  <c r="H1637" i="32"/>
  <c r="H1638" i="32"/>
  <c r="H1639" i="32"/>
  <c r="H1640" i="32"/>
  <c r="H1641" i="32"/>
  <c r="H1642" i="32"/>
  <c r="H1643" i="32"/>
  <c r="H1644" i="32"/>
  <c r="H1645" i="32"/>
  <c r="H1646" i="32"/>
  <c r="H1647" i="32"/>
  <c r="H1648" i="32"/>
  <c r="H1649" i="32"/>
  <c r="H1650" i="32"/>
  <c r="H1651" i="32"/>
  <c r="H1652" i="32"/>
  <c r="H1653" i="32"/>
  <c r="H1654" i="32"/>
  <c r="H1655" i="32"/>
  <c r="H1656" i="32"/>
  <c r="H1657" i="32"/>
  <c r="H1658" i="32"/>
  <c r="H1659" i="32"/>
  <c r="H1660" i="32"/>
  <c r="H1661" i="32"/>
  <c r="H1662" i="32"/>
  <c r="H1663" i="32"/>
  <c r="H1664" i="32"/>
  <c r="H1665" i="32"/>
  <c r="H1666" i="32"/>
  <c r="H1667" i="32"/>
  <c r="H1668" i="32"/>
  <c r="H1669" i="32"/>
  <c r="H1670" i="32"/>
  <c r="H1671" i="32"/>
  <c r="H1672" i="32"/>
  <c r="H1673" i="32"/>
  <c r="H1674" i="32"/>
  <c r="H1675" i="32"/>
  <c r="H1676" i="32"/>
  <c r="H1677" i="32"/>
  <c r="H1678" i="32"/>
  <c r="H1679" i="32"/>
  <c r="H1680" i="32"/>
  <c r="H1681" i="32"/>
  <c r="H1682" i="32"/>
  <c r="H1683" i="32"/>
  <c r="H1684" i="32"/>
  <c r="H1685" i="32"/>
  <c r="H1686" i="32"/>
  <c r="H1687" i="32"/>
  <c r="H1688" i="32"/>
  <c r="H1689" i="32"/>
  <c r="H1690" i="32"/>
  <c r="H1691" i="32"/>
  <c r="H1692" i="32"/>
  <c r="H1693" i="32"/>
  <c r="H1694" i="32"/>
  <c r="H1695" i="32"/>
  <c r="H1696" i="32"/>
  <c r="H1697" i="32"/>
  <c r="H1698" i="32"/>
  <c r="H1699" i="32"/>
  <c r="H1700" i="32"/>
  <c r="H1701" i="32"/>
  <c r="H1702" i="32"/>
  <c r="H1703" i="32"/>
  <c r="H1704" i="32"/>
  <c r="H1705" i="32"/>
  <c r="H1706" i="32"/>
  <c r="H1707" i="32"/>
  <c r="H1708" i="32"/>
  <c r="H1709" i="32"/>
  <c r="H1710" i="32"/>
  <c r="H1711" i="32"/>
  <c r="H1712" i="32"/>
  <c r="H1713" i="32"/>
  <c r="H1714" i="32"/>
  <c r="H1715" i="32"/>
  <c r="H1716" i="32"/>
  <c r="H1717" i="32"/>
  <c r="H1718" i="32"/>
  <c r="H1719" i="32"/>
  <c r="H1720" i="32"/>
  <c r="H1721" i="32"/>
  <c r="H1722" i="32"/>
  <c r="H1723" i="32"/>
  <c r="H1724" i="32"/>
  <c r="H1725" i="32"/>
  <c r="H1726" i="32"/>
  <c r="H1727" i="32"/>
  <c r="H1728" i="32"/>
  <c r="H1729" i="32"/>
  <c r="H1730" i="32"/>
  <c r="H1731" i="32"/>
  <c r="H1732" i="32"/>
  <c r="H1733" i="32"/>
  <c r="H1734" i="32"/>
  <c r="H1735" i="32"/>
  <c r="H1736" i="32"/>
  <c r="H1737" i="32"/>
  <c r="H1738" i="32"/>
  <c r="H1739" i="32"/>
  <c r="H1740" i="32"/>
  <c r="H1741" i="32"/>
  <c r="H1742" i="32"/>
  <c r="H1743" i="32"/>
  <c r="H1744" i="32"/>
  <c r="H1745" i="32"/>
  <c r="H1746" i="32"/>
  <c r="H1747" i="32"/>
  <c r="H1748" i="32"/>
  <c r="H1749" i="32"/>
  <c r="H1750" i="32"/>
  <c r="H1751" i="32"/>
  <c r="H1752" i="32"/>
  <c r="H1753" i="32"/>
  <c r="H1754" i="32"/>
  <c r="H1755" i="32"/>
  <c r="H1756" i="32"/>
  <c r="H1757" i="32"/>
  <c r="H1758" i="32"/>
  <c r="H1759" i="32"/>
  <c r="H1760" i="32"/>
  <c r="H1761" i="32"/>
  <c r="H1762" i="32"/>
  <c r="H1763" i="32"/>
  <c r="H1764" i="32"/>
  <c r="H1765" i="32"/>
  <c r="H1766" i="32"/>
  <c r="H1767" i="32"/>
  <c r="H1768" i="32"/>
  <c r="H1769" i="32"/>
  <c r="H1770" i="32"/>
  <c r="H1771" i="32"/>
  <c r="H1772" i="32"/>
  <c r="H1773" i="32"/>
  <c r="H1774" i="32"/>
  <c r="H1775" i="32"/>
  <c r="H1776" i="32"/>
  <c r="H1777" i="32"/>
  <c r="H1778" i="32"/>
  <c r="H1779" i="32"/>
  <c r="H1780" i="32"/>
  <c r="H1781" i="32"/>
  <c r="H1782" i="32"/>
  <c r="H1783" i="32"/>
  <c r="H1784" i="32"/>
  <c r="H1785" i="32"/>
  <c r="H1786" i="32"/>
  <c r="H1787" i="32"/>
  <c r="H1788" i="32"/>
  <c r="H1789" i="32"/>
  <c r="H1790" i="32"/>
  <c r="H1791" i="32"/>
  <c r="H1792" i="32"/>
  <c r="H1793" i="32"/>
  <c r="H1794" i="32"/>
  <c r="H1795" i="32"/>
  <c r="H1796" i="32"/>
  <c r="H1797" i="32"/>
  <c r="H1798" i="32"/>
  <c r="H1799" i="32"/>
  <c r="H1800" i="32"/>
  <c r="H1801" i="32"/>
  <c r="H1802" i="32"/>
  <c r="H1803" i="32"/>
  <c r="H1804" i="32"/>
  <c r="H1805" i="32"/>
  <c r="H1806" i="32"/>
  <c r="H1807" i="32"/>
  <c r="H1808" i="32"/>
  <c r="H1809" i="32"/>
  <c r="H1810" i="32"/>
  <c r="H1811" i="32"/>
  <c r="H1812" i="32"/>
  <c r="H1813" i="32"/>
  <c r="H1814" i="32"/>
  <c r="H1815" i="32"/>
  <c r="H1816" i="32"/>
  <c r="H1817" i="32"/>
  <c r="H1818" i="32"/>
  <c r="H1819" i="32"/>
  <c r="H1820" i="32"/>
  <c r="H1821" i="32"/>
  <c r="H1822" i="32"/>
  <c r="H1823" i="32"/>
  <c r="H1824" i="32"/>
  <c r="H1825" i="32"/>
  <c r="H1826" i="32"/>
  <c r="H1827" i="32"/>
  <c r="H1828" i="32"/>
  <c r="H1829" i="32"/>
  <c r="H1830" i="32"/>
  <c r="H1831" i="32"/>
  <c r="H1832" i="32"/>
  <c r="H1833" i="32"/>
  <c r="H1834" i="32"/>
  <c r="H1835" i="32"/>
  <c r="H1836" i="32"/>
  <c r="H1837" i="32"/>
  <c r="H1838" i="32"/>
  <c r="H1839" i="32"/>
  <c r="H1840" i="32"/>
  <c r="H1841" i="32"/>
  <c r="H1842" i="32"/>
  <c r="H1843" i="32"/>
  <c r="H1844" i="32"/>
  <c r="H1845" i="32"/>
  <c r="H1846" i="32"/>
  <c r="H1847" i="32"/>
  <c r="H1848" i="32"/>
  <c r="H1849" i="32"/>
  <c r="H1850" i="32"/>
  <c r="H1851" i="32"/>
  <c r="H1852" i="32"/>
  <c r="H1853" i="32"/>
  <c r="H1854" i="32"/>
  <c r="H1855" i="32"/>
  <c r="H1856" i="32"/>
  <c r="H1857" i="32"/>
  <c r="H1858" i="32"/>
  <c r="H1859" i="32"/>
  <c r="H1860" i="32"/>
  <c r="H1861" i="32"/>
  <c r="H1862" i="32"/>
  <c r="H1863" i="32"/>
  <c r="H1864" i="32"/>
  <c r="H1865" i="32"/>
  <c r="H1866" i="32"/>
  <c r="H1867" i="32"/>
  <c r="H1868" i="32"/>
  <c r="H1869" i="32"/>
  <c r="H1870" i="32"/>
  <c r="H1871" i="32"/>
  <c r="H1872" i="32"/>
  <c r="H1873" i="32"/>
  <c r="H1874" i="32"/>
  <c r="H1875" i="32"/>
  <c r="H1876" i="32"/>
  <c r="H1877" i="32"/>
  <c r="H1878" i="32"/>
  <c r="H1879" i="32"/>
  <c r="H1880" i="32"/>
  <c r="H1881" i="32"/>
  <c r="H1882" i="32"/>
  <c r="H1883" i="32"/>
  <c r="H1884" i="32"/>
  <c r="H1885" i="32"/>
  <c r="H1886" i="32"/>
  <c r="H1887" i="32"/>
  <c r="H1888" i="32"/>
  <c r="H1889" i="32"/>
  <c r="H1890" i="32"/>
  <c r="H1891" i="32"/>
  <c r="H1892" i="32"/>
  <c r="H1893" i="32"/>
  <c r="H1894" i="32"/>
  <c r="H1895" i="32"/>
  <c r="H1896" i="32"/>
  <c r="H1897" i="32"/>
  <c r="H1898" i="32"/>
  <c r="H1899" i="32"/>
  <c r="H1900" i="32"/>
  <c r="H1901" i="32"/>
  <c r="H1902" i="32"/>
  <c r="H1903" i="32"/>
  <c r="H1904" i="32"/>
  <c r="H1905" i="32"/>
  <c r="H1906" i="32"/>
  <c r="H1907" i="32"/>
  <c r="H1908" i="32"/>
  <c r="H1909" i="32"/>
  <c r="H1910" i="32"/>
  <c r="H1911" i="32"/>
  <c r="H1912" i="32"/>
  <c r="H1913" i="32"/>
  <c r="H1914" i="32"/>
  <c r="H1915" i="32"/>
  <c r="H1916" i="32"/>
  <c r="H1917" i="32"/>
  <c r="H1918" i="32"/>
  <c r="H1919" i="32"/>
  <c r="H1920" i="32"/>
  <c r="H1921" i="32"/>
  <c r="H1922" i="32"/>
  <c r="H1923" i="32"/>
  <c r="H1924" i="32"/>
  <c r="H1925" i="32"/>
  <c r="H1926" i="32"/>
  <c r="H1927" i="32"/>
  <c r="H1928" i="32"/>
  <c r="H1929" i="32"/>
  <c r="H1930" i="32"/>
  <c r="H1931" i="32"/>
  <c r="H1932" i="32"/>
  <c r="H1933" i="32"/>
  <c r="H1934" i="32"/>
  <c r="H1935" i="32"/>
  <c r="H1936" i="32"/>
  <c r="H1937" i="32"/>
  <c r="H1938" i="32"/>
  <c r="H1939" i="32"/>
  <c r="H1940" i="32"/>
  <c r="H1941" i="32"/>
  <c r="H1942" i="32"/>
  <c r="H1943" i="32"/>
  <c r="H1944" i="32"/>
  <c r="H1945" i="32"/>
  <c r="H1946" i="32"/>
  <c r="H1947" i="32"/>
  <c r="H1948" i="32"/>
  <c r="H1949" i="32"/>
  <c r="H1950" i="32"/>
  <c r="H1951" i="32"/>
  <c r="H1952" i="32"/>
  <c r="H1953" i="32"/>
  <c r="H1954" i="32"/>
  <c r="H1955" i="32"/>
  <c r="H1956" i="32"/>
  <c r="H1957" i="32"/>
  <c r="H1958" i="32"/>
  <c r="H1959" i="32"/>
  <c r="H1960" i="32"/>
  <c r="H1961" i="32"/>
  <c r="H1962" i="32"/>
  <c r="H1963" i="32"/>
  <c r="H1964" i="32"/>
  <c r="H1965" i="32"/>
  <c r="H1966" i="32"/>
  <c r="H1967" i="32"/>
  <c r="H1968" i="32"/>
  <c r="H1969" i="32"/>
  <c r="H1970" i="32"/>
  <c r="H1971" i="32"/>
  <c r="H1972" i="32"/>
  <c r="H1973" i="32"/>
  <c r="H1974" i="32"/>
  <c r="H1975" i="32"/>
  <c r="H1976" i="32"/>
  <c r="H1977" i="32"/>
  <c r="H1978" i="32"/>
  <c r="H1979" i="32"/>
  <c r="H1980" i="32"/>
  <c r="H1981" i="32"/>
  <c r="H1982" i="32"/>
  <c r="H1983" i="32"/>
  <c r="H1984" i="32"/>
  <c r="H1985" i="32"/>
  <c r="H1986" i="32"/>
  <c r="H1987" i="32"/>
  <c r="H1988" i="32"/>
  <c r="H1989" i="32"/>
  <c r="H1990" i="32"/>
  <c r="H1991" i="32"/>
  <c r="H1992" i="32"/>
  <c r="H1993" i="32"/>
  <c r="H1994" i="32"/>
  <c r="H1995" i="32"/>
  <c r="H1996" i="32"/>
  <c r="H1997" i="32"/>
  <c r="H1998" i="32"/>
  <c r="H1999" i="32"/>
  <c r="H2000" i="32"/>
  <c r="H2001" i="32"/>
  <c r="H2002" i="32"/>
  <c r="H2003" i="32"/>
  <c r="H2004" i="32"/>
  <c r="H2005" i="32"/>
  <c r="H2006" i="32"/>
  <c r="H2007" i="32"/>
  <c r="H2008" i="32"/>
  <c r="H2009" i="32"/>
  <c r="H2010" i="32"/>
  <c r="H2011" i="32"/>
  <c r="H2012" i="32"/>
  <c r="H2013" i="32"/>
  <c r="H2014" i="32"/>
  <c r="H2015" i="32"/>
  <c r="H2016" i="32"/>
  <c r="H2017" i="32"/>
  <c r="H2018" i="32"/>
  <c r="H2019" i="32"/>
  <c r="H2020" i="32"/>
  <c r="H2021" i="32"/>
  <c r="H2022" i="32"/>
  <c r="H2023" i="32"/>
  <c r="H2024" i="32"/>
  <c r="H2025" i="32"/>
  <c r="H2026" i="32"/>
  <c r="H2027" i="32"/>
  <c r="H2028" i="32"/>
  <c r="H2029" i="32"/>
  <c r="H2030" i="32"/>
  <c r="H2031" i="32"/>
  <c r="H2032" i="32"/>
  <c r="H2033" i="32"/>
  <c r="H2034" i="32"/>
  <c r="H2035" i="32"/>
  <c r="H2036" i="32"/>
  <c r="H2037" i="32"/>
  <c r="H2038" i="32"/>
  <c r="H2039" i="32"/>
  <c r="H2040" i="32"/>
  <c r="H2041" i="32"/>
  <c r="H2042" i="32"/>
  <c r="H2043" i="32"/>
  <c r="H2044" i="32"/>
  <c r="H2045" i="32"/>
  <c r="H2046" i="32"/>
  <c r="H2047" i="32"/>
  <c r="H2048" i="32"/>
  <c r="H2049" i="32"/>
  <c r="H2050" i="32"/>
  <c r="H2051" i="32"/>
  <c r="H2052" i="32"/>
  <c r="H2053" i="32"/>
  <c r="H2054" i="32"/>
  <c r="H2055" i="32"/>
  <c r="H2056" i="32"/>
  <c r="H2057" i="32"/>
  <c r="H2058" i="32"/>
  <c r="H2059" i="32"/>
  <c r="H2060" i="32"/>
  <c r="H2061" i="32"/>
  <c r="H2062" i="32"/>
  <c r="H2063" i="32"/>
  <c r="H2064" i="32"/>
  <c r="H2065" i="32"/>
  <c r="H2066" i="32"/>
  <c r="H2067" i="32"/>
  <c r="H2068" i="32"/>
  <c r="H2069" i="32"/>
  <c r="H2070" i="32"/>
  <c r="H2071" i="32"/>
  <c r="H2072" i="32"/>
  <c r="H2073" i="32"/>
  <c r="H2074" i="32"/>
  <c r="H2075" i="32"/>
  <c r="H2076" i="32"/>
  <c r="H2077" i="32"/>
  <c r="H2078" i="32"/>
  <c r="H2079" i="32"/>
  <c r="H2080" i="32"/>
  <c r="H2081" i="32"/>
  <c r="H2082" i="32"/>
  <c r="H2083" i="32"/>
  <c r="H2084" i="32"/>
  <c r="H2085" i="32"/>
  <c r="H2086" i="32"/>
  <c r="H2087" i="32"/>
  <c r="H2088" i="32"/>
  <c r="H2089" i="32"/>
  <c r="H2090" i="32"/>
  <c r="H2091" i="32"/>
  <c r="H2092" i="32"/>
  <c r="H2093" i="32"/>
  <c r="H2094" i="32"/>
  <c r="H2095" i="32"/>
  <c r="H2096" i="32"/>
  <c r="H2097" i="32"/>
  <c r="H2098" i="32"/>
  <c r="H2099" i="32"/>
  <c r="H2100" i="32"/>
  <c r="H2101" i="32"/>
  <c r="H2102" i="32"/>
  <c r="H2103" i="32"/>
  <c r="H2104" i="32"/>
  <c r="H2105" i="32"/>
  <c r="H2106" i="32"/>
  <c r="H2107" i="32"/>
  <c r="H2108" i="32"/>
  <c r="H2109" i="32"/>
  <c r="H2110" i="32"/>
  <c r="H2111" i="32"/>
  <c r="H2112" i="32"/>
  <c r="H2113" i="32"/>
  <c r="H2114" i="32"/>
  <c r="H2115" i="32"/>
  <c r="H2116" i="32"/>
  <c r="H2117" i="32"/>
  <c r="H2118" i="32"/>
  <c r="H2119" i="32"/>
  <c r="H2120" i="32"/>
  <c r="H2121" i="32"/>
  <c r="H2122" i="32"/>
  <c r="H2123" i="32"/>
  <c r="H2124" i="32"/>
  <c r="H2125" i="32"/>
  <c r="H2126" i="32"/>
  <c r="H2127" i="32"/>
  <c r="H2128" i="32"/>
  <c r="H2129" i="32"/>
  <c r="H2130" i="32"/>
  <c r="H2131" i="32"/>
  <c r="H2132" i="32"/>
  <c r="H2133" i="32"/>
  <c r="H2134" i="32"/>
  <c r="H2135" i="32"/>
  <c r="H2136" i="32"/>
  <c r="H2137" i="32"/>
  <c r="H2138" i="32"/>
  <c r="H2139" i="32"/>
  <c r="H2140" i="32"/>
  <c r="H2141" i="32"/>
  <c r="H2142" i="32"/>
  <c r="H2143" i="32"/>
  <c r="H2144" i="32"/>
  <c r="H2145" i="32"/>
  <c r="H2146" i="32"/>
  <c r="H2147" i="32"/>
  <c r="H2148" i="32"/>
  <c r="H2149" i="32"/>
  <c r="H2150" i="32"/>
  <c r="H2151" i="32"/>
  <c r="H2152" i="32"/>
  <c r="H2153" i="32"/>
  <c r="H2154" i="32"/>
  <c r="H2155" i="32"/>
  <c r="H2156" i="32"/>
  <c r="H2157" i="32"/>
  <c r="H2158" i="32"/>
  <c r="H2159" i="32"/>
  <c r="H2160" i="32"/>
  <c r="H2161" i="32"/>
  <c r="H2162" i="32"/>
  <c r="H2163" i="32"/>
  <c r="H2164" i="32"/>
  <c r="H2165" i="32"/>
  <c r="H2166" i="32"/>
  <c r="H2167" i="32"/>
  <c r="H2168" i="32"/>
  <c r="H2169" i="32"/>
  <c r="H2170" i="32"/>
  <c r="H2171" i="32"/>
  <c r="H2172" i="32"/>
  <c r="H2173" i="32"/>
  <c r="H2174" i="32"/>
  <c r="H2175" i="32"/>
  <c r="H2176" i="32"/>
  <c r="H2177" i="32"/>
  <c r="H2178" i="32"/>
  <c r="H2179" i="32"/>
  <c r="H2180" i="32"/>
  <c r="H2181" i="32"/>
  <c r="H2182" i="32"/>
  <c r="H2183" i="32"/>
  <c r="H2184" i="32"/>
  <c r="H2185" i="32"/>
  <c r="H2186" i="32"/>
  <c r="H2187" i="32"/>
  <c r="H2188" i="32"/>
  <c r="H2189" i="32"/>
  <c r="H2190" i="32"/>
  <c r="H2191" i="32"/>
  <c r="H2192" i="32"/>
  <c r="H2193" i="32"/>
  <c r="H2194" i="32"/>
  <c r="H2195" i="32"/>
  <c r="H2196" i="32"/>
  <c r="H2197" i="32"/>
  <c r="H2198" i="32"/>
  <c r="H2199" i="32"/>
  <c r="H2200" i="32"/>
  <c r="H2201" i="32"/>
  <c r="H2202" i="32"/>
  <c r="H2203" i="32"/>
  <c r="H2204" i="32"/>
  <c r="H2205" i="32"/>
  <c r="H2206" i="32"/>
  <c r="H2207" i="32"/>
  <c r="H2208" i="32"/>
  <c r="H2209" i="32"/>
  <c r="H2210" i="32"/>
  <c r="H2211" i="32"/>
  <c r="H2212" i="32"/>
  <c r="H2213" i="32"/>
  <c r="H2214" i="32"/>
  <c r="H2215" i="32"/>
  <c r="H2216" i="32"/>
  <c r="H2217" i="32"/>
  <c r="H2218" i="32"/>
  <c r="H2219" i="32"/>
  <c r="H2220" i="32"/>
  <c r="H2221" i="32"/>
  <c r="H2222" i="32"/>
  <c r="H2223" i="32"/>
  <c r="H2224" i="32"/>
  <c r="H2225" i="32"/>
  <c r="H2226" i="32"/>
  <c r="H2227" i="32"/>
  <c r="H2228" i="32"/>
  <c r="H2229" i="32"/>
  <c r="H2230" i="32"/>
  <c r="H2231" i="32"/>
  <c r="H2232" i="32"/>
  <c r="H2233" i="32"/>
  <c r="H2234" i="32"/>
  <c r="H2235" i="32"/>
  <c r="H2236" i="32"/>
  <c r="H2237" i="32"/>
  <c r="H2238" i="32"/>
  <c r="H2239" i="32"/>
  <c r="H2240" i="32"/>
  <c r="H2241" i="32"/>
  <c r="H2242" i="32"/>
  <c r="H2243" i="32"/>
  <c r="H2244" i="32"/>
  <c r="H2245" i="32"/>
  <c r="H2246" i="32"/>
  <c r="H2247" i="32"/>
  <c r="H2248" i="32"/>
  <c r="H2249" i="32"/>
  <c r="H2250" i="32"/>
  <c r="H2251" i="32"/>
  <c r="H2252" i="32"/>
  <c r="H2253" i="32"/>
  <c r="H2254" i="32"/>
  <c r="H2255" i="32"/>
  <c r="H2256" i="32"/>
  <c r="H2257" i="32"/>
  <c r="H2258" i="32"/>
  <c r="H2259" i="32"/>
  <c r="H2260" i="32"/>
  <c r="H2261" i="32"/>
  <c r="H2262" i="32"/>
  <c r="H2263" i="32"/>
  <c r="H2264" i="32"/>
  <c r="H2265" i="32"/>
  <c r="H2266" i="32"/>
  <c r="H2267" i="32"/>
  <c r="H2268" i="32"/>
  <c r="H2269" i="32"/>
  <c r="H2270" i="32"/>
  <c r="H2271" i="32"/>
  <c r="H2272" i="32"/>
  <c r="H2273" i="32"/>
  <c r="H2274" i="32"/>
  <c r="H2275" i="32"/>
  <c r="H2276" i="32"/>
  <c r="H2277" i="32"/>
  <c r="H2278" i="32"/>
  <c r="H2279" i="32"/>
  <c r="H2280" i="32"/>
  <c r="H2281" i="32"/>
  <c r="H2282" i="32"/>
  <c r="H2283" i="32"/>
  <c r="H2284" i="32"/>
  <c r="H2285" i="32"/>
  <c r="H2286" i="32"/>
  <c r="H2287" i="32"/>
  <c r="H2288" i="32"/>
  <c r="H2289" i="32"/>
  <c r="H2290" i="32"/>
  <c r="H2291" i="32"/>
  <c r="H2292" i="32"/>
  <c r="H2293" i="32"/>
  <c r="H2294" i="32"/>
  <c r="H2295" i="32"/>
  <c r="H2296" i="32"/>
  <c r="H2297" i="32"/>
  <c r="H2298" i="32"/>
  <c r="H2299" i="32"/>
  <c r="H2300" i="32"/>
  <c r="H2301" i="32"/>
  <c r="H2302" i="32"/>
  <c r="H2303" i="32"/>
  <c r="H2304" i="32"/>
  <c r="H2305" i="32"/>
  <c r="H2306" i="32"/>
  <c r="H2307" i="32"/>
  <c r="H2308" i="32"/>
  <c r="H2309" i="32"/>
  <c r="H2310" i="32"/>
  <c r="H2311" i="32"/>
  <c r="H2312" i="32"/>
  <c r="H2313" i="32"/>
  <c r="H2314" i="32"/>
  <c r="H2315" i="32"/>
  <c r="H2316" i="32"/>
  <c r="H2317" i="32"/>
  <c r="H2318" i="32"/>
  <c r="H2319" i="32"/>
  <c r="H2320" i="32"/>
  <c r="H2321" i="32"/>
  <c r="H2322" i="32"/>
  <c r="H2323" i="32"/>
  <c r="H2324" i="32"/>
  <c r="H2325" i="32"/>
  <c r="H2326" i="32"/>
  <c r="H2327" i="32"/>
  <c r="H2328" i="32"/>
  <c r="H2329" i="32"/>
  <c r="H2330" i="32"/>
  <c r="H2331" i="32"/>
  <c r="H2332" i="32"/>
  <c r="H2333" i="32"/>
  <c r="H2334" i="32"/>
  <c r="H2335" i="32"/>
  <c r="H2336" i="32"/>
  <c r="H2337" i="32"/>
  <c r="H2338" i="32"/>
  <c r="H2339" i="32"/>
  <c r="H2340" i="32"/>
  <c r="H2341" i="32"/>
  <c r="H2342" i="32"/>
  <c r="H2343" i="32"/>
  <c r="H2344" i="32"/>
  <c r="H2345" i="32"/>
  <c r="H2346" i="32"/>
  <c r="H2347" i="32"/>
  <c r="H2348" i="32"/>
  <c r="H2349" i="32"/>
  <c r="H2350" i="32"/>
  <c r="H2351" i="32"/>
  <c r="H2352" i="32"/>
  <c r="H2353" i="32"/>
  <c r="H2354" i="32"/>
  <c r="H2355" i="32"/>
  <c r="H2356" i="32"/>
  <c r="H2357" i="32"/>
  <c r="H2358" i="32"/>
  <c r="H2359" i="32"/>
  <c r="H2360" i="32"/>
  <c r="H2361" i="32"/>
  <c r="H2362" i="32"/>
  <c r="H2363" i="32"/>
  <c r="H2364" i="32"/>
  <c r="H2365" i="32"/>
  <c r="H2366" i="32"/>
  <c r="H2367" i="32"/>
  <c r="H2368" i="32"/>
  <c r="H2369" i="32"/>
  <c r="H2370" i="32"/>
  <c r="H2371" i="32"/>
  <c r="H2372" i="32"/>
  <c r="H2373" i="32"/>
  <c r="H2374" i="32"/>
  <c r="H2375" i="32"/>
  <c r="H2376" i="32"/>
  <c r="H2377" i="32"/>
  <c r="H2378" i="32"/>
  <c r="H2379" i="32"/>
  <c r="H2380" i="32"/>
  <c r="H2381" i="32"/>
  <c r="H2382" i="32"/>
  <c r="H2383" i="32"/>
  <c r="H2384" i="32"/>
  <c r="H2385" i="32"/>
  <c r="H2386" i="32"/>
  <c r="H2387" i="32"/>
  <c r="H2388" i="32"/>
  <c r="H2389" i="32"/>
  <c r="H2390" i="32"/>
  <c r="H2391" i="32"/>
  <c r="H2392" i="32"/>
  <c r="H2393" i="32"/>
  <c r="H2394" i="32"/>
  <c r="H2395" i="32"/>
  <c r="H2396" i="32"/>
  <c r="H2397" i="32"/>
  <c r="H2398" i="32"/>
  <c r="H2399" i="32"/>
  <c r="H2400" i="32"/>
  <c r="H2401" i="32"/>
  <c r="H2402" i="32"/>
  <c r="H2403" i="32"/>
  <c r="H2404" i="32"/>
  <c r="H2405" i="32"/>
  <c r="H2406" i="32"/>
  <c r="H2407" i="32"/>
  <c r="H2408" i="32"/>
  <c r="H2409" i="32"/>
  <c r="H2410" i="32"/>
  <c r="H2411" i="32"/>
  <c r="H2412" i="32"/>
  <c r="H2413" i="32"/>
  <c r="H2414" i="32"/>
  <c r="H2415" i="32"/>
  <c r="H2416" i="32"/>
  <c r="H2417" i="32"/>
  <c r="H2418" i="32"/>
  <c r="H2419" i="32"/>
  <c r="H2420" i="32"/>
  <c r="H2421" i="32"/>
  <c r="H2422" i="32"/>
  <c r="H2423" i="32"/>
  <c r="H2424" i="32"/>
  <c r="H2425" i="32"/>
  <c r="H2426" i="32"/>
  <c r="H2427" i="32"/>
  <c r="H2428" i="32"/>
  <c r="H2429" i="32"/>
  <c r="H2430" i="32"/>
  <c r="H2431" i="32"/>
  <c r="H2432" i="32"/>
  <c r="H2433" i="32"/>
  <c r="H2434" i="32"/>
  <c r="H2435" i="32"/>
  <c r="H2436" i="32"/>
  <c r="H2437" i="32"/>
  <c r="H2438" i="32"/>
  <c r="H2439" i="32"/>
  <c r="H2440" i="32"/>
  <c r="H2441" i="32"/>
  <c r="H2442" i="32"/>
  <c r="H2443" i="32"/>
  <c r="H2444" i="32"/>
  <c r="H2445" i="32"/>
  <c r="H2446" i="32"/>
  <c r="H2447" i="32"/>
  <c r="H2448" i="32"/>
  <c r="H2449" i="32"/>
  <c r="H2450" i="32"/>
  <c r="H2451" i="32"/>
  <c r="H2452" i="32"/>
  <c r="H2453" i="32"/>
  <c r="H2454" i="32"/>
  <c r="H2455" i="32"/>
  <c r="H2456" i="32"/>
  <c r="H2457" i="32"/>
  <c r="H2458" i="32"/>
  <c r="H2459" i="32"/>
  <c r="H2460" i="32"/>
  <c r="H2461" i="32"/>
  <c r="H2462" i="32"/>
  <c r="H2463" i="32"/>
  <c r="H2464" i="32"/>
  <c r="H2465" i="32"/>
  <c r="H2466" i="32"/>
  <c r="H2467" i="32"/>
  <c r="H2468" i="32"/>
  <c r="H2469" i="32"/>
  <c r="H2470" i="32"/>
  <c r="H2471" i="32"/>
  <c r="H2472" i="32"/>
  <c r="H2473" i="32"/>
  <c r="H2474" i="32"/>
  <c r="H2475" i="32"/>
  <c r="H2476" i="32"/>
  <c r="H2477" i="32"/>
  <c r="H2478" i="32"/>
  <c r="H2479" i="32"/>
  <c r="H2480" i="32"/>
  <c r="H2481" i="32"/>
  <c r="H2482" i="32"/>
  <c r="H2483" i="32"/>
  <c r="H2484" i="32"/>
  <c r="H2485" i="32"/>
  <c r="H2486" i="32"/>
  <c r="H2487" i="32"/>
  <c r="H2488" i="32"/>
  <c r="H2489" i="32"/>
  <c r="H2490" i="32"/>
  <c r="H2491" i="32"/>
  <c r="H2492" i="32"/>
  <c r="H2493" i="32"/>
  <c r="H2494" i="32"/>
  <c r="H2495" i="32"/>
  <c r="H2496" i="32"/>
  <c r="H2497" i="32"/>
  <c r="H2498" i="32"/>
  <c r="H2499" i="32"/>
  <c r="H2500" i="32"/>
  <c r="H2501" i="32"/>
  <c r="H2502" i="32"/>
  <c r="H2503" i="32"/>
  <c r="H2504" i="32"/>
  <c r="H2505" i="32"/>
  <c r="H2506" i="32"/>
  <c r="H2507" i="32"/>
  <c r="H2508" i="32"/>
  <c r="H2509" i="32"/>
  <c r="H2510" i="32"/>
  <c r="H2511" i="32"/>
  <c r="H2512" i="32"/>
  <c r="H2513" i="32"/>
  <c r="H2514" i="32"/>
  <c r="H2515" i="32"/>
  <c r="H2516" i="32"/>
  <c r="H2517" i="32"/>
  <c r="H2518" i="32"/>
  <c r="H2519" i="32"/>
  <c r="H2520" i="32"/>
  <c r="H2521" i="32"/>
  <c r="H2522" i="32"/>
  <c r="H2523" i="32"/>
  <c r="H2524" i="32"/>
  <c r="H2525" i="32"/>
  <c r="H2526" i="32"/>
  <c r="H2527" i="32"/>
  <c r="H2528" i="32"/>
  <c r="H2529" i="32"/>
  <c r="H2530" i="32"/>
  <c r="H2531" i="32"/>
  <c r="H2532" i="32"/>
  <c r="H2533" i="32"/>
  <c r="H2534" i="32"/>
  <c r="H2535" i="32"/>
  <c r="H2536" i="32"/>
  <c r="H2537" i="32"/>
  <c r="H2538" i="32"/>
  <c r="H2539" i="32"/>
  <c r="H2540" i="32"/>
  <c r="H2541" i="32"/>
  <c r="H2542" i="32"/>
  <c r="H2543" i="32"/>
  <c r="H2544" i="32"/>
  <c r="H2545" i="32"/>
  <c r="H2546" i="32"/>
  <c r="H2547" i="32"/>
  <c r="H2548" i="32"/>
  <c r="H2549" i="32"/>
  <c r="H2550" i="32"/>
  <c r="H2551" i="32"/>
  <c r="H2552" i="32"/>
  <c r="H2553" i="32"/>
  <c r="H2554" i="32"/>
  <c r="H2555" i="32"/>
  <c r="H2556" i="32"/>
  <c r="H2557" i="32"/>
  <c r="H2558" i="32"/>
  <c r="H2559" i="32"/>
  <c r="H2560" i="32"/>
  <c r="H2561" i="32"/>
  <c r="H2562" i="32"/>
  <c r="H2563" i="32"/>
  <c r="H2564" i="32"/>
  <c r="H2565" i="32"/>
  <c r="H2566" i="32"/>
  <c r="H2567" i="32"/>
  <c r="H2568" i="32"/>
  <c r="H2569" i="32"/>
  <c r="H2570" i="32"/>
  <c r="H2571" i="32"/>
  <c r="H2572" i="32"/>
  <c r="H2573" i="32"/>
  <c r="H2574" i="32"/>
  <c r="H2575" i="32"/>
  <c r="H2576" i="32"/>
  <c r="H2577" i="32"/>
  <c r="H2578" i="32"/>
  <c r="H2579" i="32"/>
  <c r="H2580" i="32"/>
  <c r="H2581" i="32"/>
  <c r="H2582" i="32"/>
  <c r="H2583" i="32"/>
  <c r="H2584" i="32"/>
  <c r="H2585" i="32"/>
  <c r="H2586" i="32"/>
  <c r="H2587" i="32"/>
  <c r="H2588" i="32"/>
  <c r="H2589" i="32"/>
  <c r="H2590" i="32"/>
  <c r="H2591" i="32"/>
  <c r="H2592" i="32"/>
  <c r="H2593" i="32"/>
  <c r="H2594" i="32"/>
  <c r="H2595" i="32"/>
  <c r="H2596" i="32"/>
  <c r="H2597" i="32"/>
  <c r="H2598" i="32"/>
  <c r="H2599" i="32"/>
  <c r="H2600" i="32"/>
  <c r="H2601" i="32"/>
  <c r="H2602" i="32"/>
  <c r="H2603" i="32"/>
  <c r="H2604" i="32"/>
  <c r="H2605" i="32"/>
  <c r="H2606" i="32"/>
  <c r="H2607" i="32"/>
  <c r="H2608" i="32"/>
  <c r="H2609" i="32"/>
  <c r="H2610" i="32"/>
  <c r="H2611" i="32"/>
  <c r="H2612" i="32"/>
  <c r="H2613" i="32"/>
  <c r="H2614" i="32"/>
  <c r="H2615" i="32"/>
  <c r="H2616" i="32"/>
  <c r="H2617" i="32"/>
  <c r="H2618" i="32"/>
  <c r="H2619" i="32"/>
  <c r="H2620" i="32"/>
  <c r="H2621" i="32"/>
  <c r="H2622" i="32"/>
  <c r="H2623" i="32"/>
  <c r="H2624" i="32"/>
  <c r="H2625" i="32"/>
  <c r="H2626" i="32"/>
  <c r="H2627" i="32"/>
  <c r="H2628" i="32"/>
  <c r="H2629" i="32"/>
  <c r="H2630" i="32"/>
  <c r="H2631" i="32"/>
  <c r="H2632" i="32"/>
  <c r="H2633" i="32"/>
  <c r="H2634" i="32"/>
  <c r="H2635" i="32"/>
  <c r="H2636" i="32"/>
  <c r="H2637" i="32"/>
  <c r="H2638" i="32"/>
  <c r="H2639" i="32"/>
  <c r="H2640" i="32"/>
  <c r="H2641" i="32"/>
  <c r="H2642" i="32"/>
  <c r="H2643" i="32"/>
  <c r="H2644" i="32"/>
  <c r="H2645" i="32"/>
  <c r="H2646" i="32"/>
  <c r="H2647" i="32"/>
  <c r="H2648" i="32"/>
  <c r="H2649" i="32"/>
  <c r="H2650" i="32"/>
  <c r="H2651" i="32"/>
  <c r="H2652" i="32"/>
  <c r="H2653" i="32"/>
  <c r="H2654" i="32"/>
  <c r="H2655" i="32"/>
  <c r="H2656" i="32"/>
  <c r="H2657" i="32"/>
  <c r="H2658" i="32"/>
  <c r="H2659" i="32"/>
  <c r="H2660" i="32"/>
  <c r="H2661" i="32"/>
  <c r="H2662" i="32"/>
  <c r="H2663" i="32"/>
  <c r="H2664" i="32"/>
  <c r="H2665" i="32"/>
  <c r="H2666" i="32"/>
  <c r="H2667" i="32"/>
  <c r="H2668" i="32"/>
  <c r="H2669" i="32"/>
  <c r="H2670" i="32"/>
  <c r="H2671" i="32"/>
  <c r="H2672" i="32"/>
  <c r="H2673" i="32"/>
  <c r="H2674" i="32"/>
  <c r="H2675" i="32"/>
  <c r="H2676" i="32"/>
  <c r="H2677" i="32"/>
  <c r="H2678" i="32"/>
  <c r="H2679" i="32"/>
  <c r="H2680" i="32"/>
  <c r="H2681" i="32"/>
  <c r="H2682" i="32"/>
  <c r="H2683" i="32"/>
  <c r="H2684" i="32"/>
  <c r="H2685" i="32"/>
  <c r="H2686" i="32"/>
  <c r="H2687" i="32"/>
  <c r="H2688" i="32"/>
  <c r="H2689" i="32"/>
  <c r="H2690" i="32"/>
  <c r="H2691" i="32"/>
  <c r="H2692" i="32"/>
  <c r="H2693" i="32"/>
  <c r="H2694" i="32"/>
  <c r="H2695" i="32"/>
  <c r="H2696" i="32"/>
  <c r="H2697" i="32"/>
  <c r="H2698" i="32"/>
  <c r="H2699" i="32"/>
  <c r="H2700" i="32"/>
  <c r="H2701" i="32"/>
  <c r="H2702" i="32"/>
  <c r="H2703" i="32"/>
  <c r="H2704" i="32"/>
  <c r="H2705" i="32"/>
  <c r="H2706" i="32"/>
  <c r="H2707" i="32"/>
  <c r="H2708" i="32"/>
  <c r="H2709" i="32"/>
  <c r="H2710" i="32"/>
  <c r="H2711" i="32"/>
  <c r="H2712" i="32"/>
  <c r="H2713" i="32"/>
  <c r="H2714" i="32"/>
  <c r="H2715" i="32"/>
  <c r="H2716" i="32"/>
  <c r="H2717" i="32"/>
  <c r="H2718" i="32"/>
  <c r="H2719" i="32"/>
  <c r="H2720" i="32"/>
  <c r="H2721" i="32"/>
  <c r="H2722" i="32"/>
  <c r="H2723" i="32"/>
  <c r="H2724" i="32"/>
  <c r="H2725" i="32"/>
  <c r="H2726" i="32"/>
  <c r="H2727" i="32"/>
  <c r="H2728" i="32"/>
  <c r="H2729" i="32"/>
  <c r="H2730" i="32"/>
  <c r="H2731" i="32"/>
  <c r="H2732" i="32"/>
  <c r="H2733" i="32"/>
  <c r="H2734" i="32"/>
  <c r="H2735" i="32"/>
  <c r="H2736" i="32"/>
  <c r="H2737" i="32"/>
  <c r="H2738" i="32"/>
  <c r="H2739" i="32"/>
  <c r="H2740" i="32"/>
  <c r="H2741" i="32"/>
  <c r="H2742" i="32"/>
  <c r="H2743" i="32"/>
  <c r="H2744" i="32"/>
  <c r="H2745" i="32"/>
  <c r="H2746" i="32"/>
  <c r="H2747" i="32"/>
  <c r="H2748" i="32"/>
  <c r="H2749" i="32"/>
  <c r="H2750" i="32"/>
  <c r="H2751" i="32"/>
  <c r="H2752" i="32"/>
  <c r="H2753" i="32"/>
  <c r="H2754" i="32"/>
  <c r="H2755" i="32"/>
  <c r="H2756" i="32"/>
  <c r="H2757" i="32"/>
  <c r="H2758" i="32"/>
  <c r="H2759" i="32"/>
  <c r="H2760" i="32"/>
  <c r="H2761" i="32"/>
  <c r="H2762" i="32"/>
  <c r="H2763" i="32"/>
  <c r="H2764" i="32"/>
  <c r="H2765" i="32"/>
  <c r="H2766" i="32"/>
  <c r="H2767" i="32"/>
  <c r="H2768" i="32"/>
  <c r="H2769" i="32"/>
  <c r="H2770" i="32"/>
  <c r="H2771" i="32"/>
  <c r="H2772" i="32"/>
  <c r="H2773" i="32"/>
  <c r="H2774" i="32"/>
  <c r="H2775" i="32"/>
  <c r="H2776" i="32"/>
  <c r="H2777" i="32"/>
  <c r="H2778" i="32"/>
  <c r="H2779" i="32"/>
  <c r="H2780" i="32"/>
  <c r="H2781" i="32"/>
  <c r="H2782" i="32"/>
  <c r="H2783" i="32"/>
  <c r="H2784" i="32"/>
  <c r="H2785" i="32"/>
  <c r="H2786" i="32"/>
  <c r="H2787" i="32"/>
  <c r="H2788" i="32"/>
  <c r="H2789" i="32"/>
  <c r="H2790" i="32"/>
  <c r="H2791" i="32"/>
  <c r="H2792" i="32"/>
  <c r="H2793" i="32"/>
  <c r="H2794" i="32"/>
  <c r="H2795" i="32"/>
  <c r="H2796" i="32"/>
  <c r="H2797" i="32"/>
  <c r="H2798" i="32"/>
  <c r="H2799" i="32"/>
  <c r="H2800" i="32"/>
  <c r="H2801" i="32"/>
  <c r="H2802" i="32"/>
  <c r="H2803" i="32"/>
  <c r="H2804" i="32"/>
  <c r="H2805" i="32"/>
  <c r="H2806" i="32"/>
  <c r="H2807" i="32"/>
  <c r="H2808" i="32"/>
  <c r="H2809" i="32"/>
  <c r="H2810" i="32"/>
  <c r="H2811" i="32"/>
  <c r="H2812" i="32"/>
  <c r="H2813" i="32"/>
  <c r="H2814" i="32"/>
  <c r="H2815" i="32"/>
  <c r="H2816" i="32"/>
  <c r="H2817" i="32"/>
  <c r="H2818" i="32"/>
  <c r="H2819" i="32"/>
  <c r="H2820" i="32"/>
  <c r="H2821" i="32"/>
  <c r="H2822" i="32"/>
  <c r="H2823" i="32"/>
  <c r="H2824" i="32"/>
  <c r="H2825" i="32"/>
  <c r="H2826" i="32"/>
  <c r="H2827" i="32"/>
  <c r="H2828" i="32"/>
  <c r="H2829" i="32"/>
  <c r="H2830" i="32"/>
  <c r="H2831" i="32"/>
  <c r="H2832" i="32"/>
  <c r="H2833" i="32"/>
  <c r="H2834" i="32"/>
  <c r="H2835" i="32"/>
  <c r="H2836" i="32"/>
  <c r="H2837" i="32"/>
  <c r="H2838" i="32"/>
  <c r="H2839" i="32"/>
  <c r="H2840" i="32"/>
  <c r="H2841" i="32"/>
  <c r="H2842" i="32"/>
  <c r="H2843" i="32"/>
  <c r="H2844" i="32"/>
  <c r="H2845" i="32"/>
  <c r="H2846" i="32"/>
  <c r="H2847" i="32"/>
  <c r="H2848" i="32"/>
  <c r="H2849" i="32"/>
  <c r="H2850" i="32"/>
  <c r="H2851" i="32"/>
  <c r="H2852" i="32"/>
  <c r="H2853" i="32"/>
  <c r="H2854" i="32"/>
  <c r="H2855" i="32"/>
  <c r="H2856" i="32"/>
  <c r="H2857" i="32"/>
  <c r="H2858" i="32"/>
  <c r="H2859" i="32"/>
  <c r="H2860" i="32"/>
  <c r="H2861" i="32"/>
  <c r="H2862" i="32"/>
  <c r="H2863" i="32"/>
  <c r="H2864" i="32"/>
  <c r="H2865" i="32"/>
  <c r="H2866" i="32"/>
  <c r="H2867" i="32"/>
  <c r="H2868" i="32"/>
  <c r="H2869" i="32"/>
  <c r="H2870" i="32"/>
  <c r="H2871" i="32"/>
  <c r="H2872" i="32"/>
  <c r="H2873" i="32"/>
  <c r="H2874" i="32"/>
  <c r="H2875" i="32"/>
  <c r="H2876" i="32"/>
  <c r="H2877" i="32"/>
  <c r="H2878" i="32"/>
  <c r="H2879" i="32"/>
  <c r="H2880" i="32"/>
  <c r="H2881" i="32"/>
  <c r="H2882" i="32"/>
  <c r="H2883" i="32"/>
  <c r="H2884" i="32"/>
  <c r="H2885" i="32"/>
  <c r="H2886" i="32"/>
  <c r="H2887" i="32"/>
  <c r="H2888" i="32"/>
  <c r="H2889" i="32"/>
  <c r="H2890" i="32"/>
  <c r="H2891" i="32"/>
  <c r="H2892" i="32"/>
  <c r="H2893" i="32"/>
  <c r="H2894" i="32"/>
  <c r="H2895" i="32"/>
  <c r="H2896" i="32"/>
  <c r="H2897" i="32"/>
  <c r="H2898" i="32"/>
  <c r="H2899" i="32"/>
  <c r="H2900" i="32"/>
  <c r="H2901" i="32"/>
  <c r="H2902" i="32"/>
  <c r="H2903" i="32"/>
  <c r="H2904" i="32"/>
  <c r="H2905" i="32"/>
  <c r="H2906" i="32"/>
  <c r="H2907" i="32"/>
  <c r="H2908" i="32"/>
  <c r="H2909" i="32"/>
  <c r="H2910" i="32"/>
  <c r="H2911" i="32"/>
  <c r="H2912" i="32"/>
  <c r="H2913" i="32"/>
  <c r="H2914" i="32"/>
  <c r="H2915" i="32"/>
  <c r="H2916" i="32"/>
  <c r="H2917" i="32"/>
  <c r="H2918" i="32"/>
  <c r="H2919" i="32"/>
  <c r="H2920" i="32"/>
  <c r="H2921" i="32"/>
  <c r="H2922" i="32"/>
  <c r="H2923" i="32"/>
  <c r="H2924" i="32"/>
  <c r="H2925" i="32"/>
  <c r="H2926" i="32"/>
  <c r="H2927" i="32"/>
  <c r="H2928" i="32"/>
  <c r="H2929" i="32"/>
  <c r="H2930" i="32"/>
  <c r="H2931" i="32"/>
  <c r="H2932" i="32"/>
  <c r="H2933" i="32"/>
  <c r="H2934" i="32"/>
  <c r="H2935" i="32"/>
  <c r="H2936" i="32"/>
  <c r="H2937" i="32"/>
  <c r="H2938" i="32"/>
  <c r="H2939" i="32"/>
  <c r="H2940" i="32"/>
  <c r="H2941" i="32"/>
  <c r="H2942" i="32"/>
  <c r="H2943" i="32"/>
  <c r="H2944" i="32"/>
  <c r="H2945" i="32"/>
  <c r="H2946" i="32"/>
  <c r="H2947" i="32"/>
  <c r="H2948" i="32"/>
  <c r="H2949" i="32"/>
  <c r="H2950" i="32"/>
  <c r="H2951" i="32"/>
  <c r="H2952" i="32"/>
  <c r="H2953" i="32"/>
  <c r="H2954" i="32"/>
  <c r="H2955" i="32"/>
  <c r="H2956" i="32"/>
  <c r="H2957" i="32"/>
  <c r="H2958" i="32"/>
  <c r="H2959" i="32"/>
  <c r="H2960" i="32"/>
  <c r="H2961" i="32"/>
  <c r="H2962" i="32"/>
  <c r="H2963" i="32"/>
  <c r="H2964" i="32"/>
  <c r="H2965" i="32"/>
  <c r="H2966" i="32"/>
  <c r="H2967" i="32"/>
  <c r="H2968" i="32"/>
  <c r="H2969" i="32"/>
  <c r="H2970" i="32"/>
  <c r="H2971" i="32"/>
  <c r="H2972" i="32"/>
  <c r="H2973" i="32"/>
  <c r="H2974" i="32"/>
  <c r="H2975" i="32"/>
  <c r="H2976" i="32"/>
  <c r="H2977" i="32"/>
  <c r="H2978" i="32"/>
  <c r="H2979" i="32"/>
  <c r="H2980" i="32"/>
  <c r="H2981" i="32"/>
  <c r="H2982" i="32"/>
  <c r="H2983" i="32"/>
  <c r="H2984" i="32"/>
  <c r="H2985" i="32"/>
  <c r="H2986" i="32"/>
  <c r="H2987" i="32"/>
  <c r="H2988" i="32"/>
  <c r="H2989" i="32"/>
  <c r="H2990" i="32"/>
  <c r="H2991" i="32"/>
  <c r="H2992" i="32"/>
  <c r="H2993" i="32"/>
  <c r="H2994" i="32"/>
  <c r="H2995" i="32"/>
  <c r="H2996" i="32"/>
  <c r="H2997" i="32"/>
  <c r="H2998" i="32"/>
  <c r="H2999" i="32"/>
  <c r="H3000" i="32"/>
  <c r="H3001" i="32"/>
  <c r="H3002" i="32"/>
  <c r="H3003" i="32"/>
  <c r="H3004" i="32"/>
  <c r="H3005" i="32"/>
  <c r="H3006" i="32"/>
  <c r="H3007" i="32"/>
  <c r="H3008" i="32"/>
  <c r="H3009" i="32"/>
  <c r="H3010" i="32"/>
  <c r="H3011" i="32"/>
  <c r="H3012" i="32"/>
  <c r="H3013" i="32"/>
  <c r="H3014" i="32"/>
  <c r="H3015" i="32"/>
  <c r="H3016" i="32"/>
  <c r="H3017" i="32"/>
  <c r="H3018" i="32"/>
  <c r="H3019" i="32"/>
  <c r="H3020" i="32"/>
  <c r="H3021" i="32"/>
  <c r="H3022" i="32"/>
  <c r="H3023" i="32"/>
  <c r="H3024" i="32"/>
  <c r="H3025" i="32"/>
  <c r="H3026" i="32"/>
  <c r="H3027" i="32"/>
  <c r="H3028" i="32"/>
  <c r="H3029" i="32"/>
  <c r="H3030" i="32"/>
  <c r="H3031" i="32"/>
  <c r="H3032" i="32"/>
  <c r="H3033" i="32"/>
  <c r="H3034" i="32"/>
  <c r="H3035" i="32"/>
  <c r="H3036" i="32"/>
  <c r="H3037" i="32"/>
  <c r="H3038" i="32"/>
  <c r="H3039" i="32"/>
  <c r="H3040" i="32"/>
  <c r="H3041" i="32"/>
  <c r="H3042" i="32"/>
  <c r="H3043" i="32"/>
  <c r="H3044" i="32"/>
  <c r="H3045" i="32"/>
  <c r="H3046" i="32"/>
  <c r="H3047" i="32"/>
  <c r="H3048" i="32"/>
  <c r="H3049" i="32"/>
  <c r="H3050" i="32"/>
  <c r="H3051" i="32"/>
  <c r="H3052" i="32"/>
  <c r="H3053" i="32"/>
  <c r="H3054" i="32"/>
  <c r="H3055" i="32"/>
  <c r="H3056" i="32"/>
  <c r="H3057" i="32"/>
  <c r="H3058" i="32"/>
  <c r="H3059" i="32"/>
  <c r="H3060" i="32"/>
  <c r="H3061" i="32"/>
  <c r="H3062" i="32"/>
  <c r="H3063" i="32"/>
  <c r="H3064" i="32"/>
  <c r="H3065" i="32"/>
  <c r="H3066" i="32"/>
  <c r="H3067" i="32"/>
  <c r="H3068" i="32"/>
  <c r="H3069" i="32"/>
  <c r="H3070" i="32"/>
  <c r="H3071" i="32"/>
  <c r="H3072" i="32"/>
  <c r="H3073" i="32"/>
  <c r="H3074" i="32"/>
  <c r="H3075" i="32"/>
  <c r="G256" i="3" s="1"/>
  <c r="H256" i="3" s="1"/>
  <c r="H3076" i="32"/>
  <c r="H3077" i="32"/>
  <c r="H3078" i="32"/>
  <c r="H3079" i="32"/>
  <c r="H3080" i="32"/>
  <c r="H3081" i="32"/>
  <c r="H3082" i="32"/>
  <c r="H3083" i="32"/>
  <c r="H3084" i="32"/>
  <c r="H3085" i="32"/>
  <c r="H3086" i="32"/>
  <c r="H3087" i="32"/>
  <c r="H3088" i="32"/>
  <c r="H3089" i="32"/>
  <c r="H3090" i="32"/>
  <c r="H3091" i="32"/>
  <c r="H3092" i="32"/>
  <c r="H3093" i="32"/>
  <c r="H3094" i="32"/>
  <c r="H3095" i="32"/>
  <c r="H3096" i="32"/>
  <c r="H3097" i="32"/>
  <c r="H3098" i="32"/>
  <c r="H3099" i="32"/>
  <c r="H3100" i="32"/>
  <c r="H3101" i="32"/>
  <c r="H3102" i="32"/>
  <c r="H3103" i="32"/>
  <c r="H3104" i="32"/>
  <c r="H3105" i="32"/>
  <c r="H3106" i="32"/>
  <c r="H3107" i="32"/>
  <c r="H3108" i="32"/>
  <c r="H3109" i="32"/>
  <c r="H3110" i="32"/>
  <c r="H3111" i="32"/>
  <c r="H3112" i="32"/>
  <c r="H3113" i="32"/>
  <c r="H3114" i="32"/>
  <c r="H3115" i="32"/>
  <c r="H3116" i="32"/>
  <c r="H3117" i="32"/>
  <c r="H3118" i="32"/>
  <c r="H3119" i="32"/>
  <c r="H3120" i="32"/>
  <c r="H3121" i="32"/>
  <c r="H3122" i="32"/>
  <c r="H3123" i="32"/>
  <c r="H3124" i="32"/>
  <c r="H3125" i="32"/>
  <c r="H3126" i="32"/>
  <c r="H3127" i="32"/>
  <c r="H3128" i="32"/>
  <c r="H3129" i="32"/>
  <c r="H3130" i="32"/>
  <c r="H3131" i="32"/>
  <c r="H3132" i="32"/>
  <c r="H3133" i="32"/>
  <c r="H3134" i="32"/>
  <c r="H3135" i="32"/>
  <c r="H3136" i="32"/>
  <c r="H3137" i="32"/>
  <c r="H3138" i="32"/>
  <c r="H3139" i="32"/>
  <c r="H3140" i="32"/>
  <c r="H3141" i="32"/>
  <c r="H3142" i="32"/>
  <c r="H3143" i="32"/>
  <c r="H3144" i="32"/>
  <c r="H3145" i="32"/>
  <c r="H3146" i="32"/>
  <c r="H3147" i="32"/>
  <c r="H3148" i="32"/>
  <c r="H3149" i="32"/>
  <c r="H3150" i="32"/>
  <c r="H3151" i="32"/>
  <c r="H3152" i="32"/>
  <c r="H3153" i="32"/>
  <c r="H3154" i="32"/>
  <c r="H3155" i="32"/>
  <c r="H3156" i="32"/>
  <c r="H3157" i="32"/>
  <c r="H3158" i="32"/>
  <c r="H3159" i="32"/>
  <c r="H3160" i="32"/>
  <c r="H3161" i="32"/>
  <c r="H3162" i="32"/>
  <c r="H3163" i="32"/>
  <c r="H3164" i="32"/>
  <c r="H3165" i="32"/>
  <c r="H3166" i="32"/>
  <c r="H3167" i="32"/>
  <c r="H3168" i="32"/>
  <c r="H3169" i="32"/>
  <c r="H3170" i="32"/>
  <c r="H3171" i="32"/>
  <c r="H3172" i="32"/>
  <c r="H3173" i="32"/>
  <c r="H3174" i="32"/>
  <c r="H3175" i="32"/>
  <c r="H3176" i="32"/>
  <c r="H3177" i="32"/>
  <c r="H3178" i="32"/>
  <c r="H3179" i="32"/>
  <c r="H3180" i="32"/>
  <c r="H3181" i="32"/>
  <c r="H3182" i="32"/>
  <c r="H3183" i="32"/>
  <c r="H3184" i="32"/>
  <c r="H3185" i="32"/>
  <c r="H3186" i="32"/>
  <c r="H3187" i="32"/>
  <c r="H3188" i="32"/>
  <c r="H3189" i="32"/>
  <c r="H3190" i="32"/>
  <c r="H3191" i="32"/>
  <c r="H3192" i="32"/>
  <c r="H3193" i="32"/>
  <c r="H3194" i="32"/>
  <c r="H3195" i="32"/>
  <c r="H3196" i="32"/>
  <c r="H3197" i="32"/>
  <c r="H3198" i="32"/>
  <c r="H3199" i="32"/>
  <c r="H3200" i="32"/>
  <c r="H3201" i="32"/>
  <c r="H3202" i="32"/>
  <c r="H3203" i="32"/>
  <c r="H3204" i="32"/>
  <c r="H3205" i="32"/>
  <c r="H3206" i="32"/>
  <c r="H3207" i="32"/>
  <c r="H3208" i="32"/>
  <c r="H3209" i="32"/>
  <c r="H3210" i="32"/>
  <c r="H3211" i="32"/>
  <c r="H3212" i="32"/>
  <c r="H3213" i="32"/>
  <c r="H3214" i="32"/>
  <c r="H3215" i="32"/>
  <c r="H3216" i="32"/>
  <c r="H3217" i="32"/>
  <c r="H3218" i="32"/>
  <c r="H3219" i="32"/>
  <c r="H3220" i="32"/>
  <c r="H3221" i="32"/>
  <c r="H3222" i="32"/>
  <c r="H3223" i="32"/>
  <c r="H3224" i="32"/>
  <c r="H3225" i="32"/>
  <c r="H3226" i="32"/>
  <c r="H3227" i="32"/>
  <c r="H3228" i="32"/>
  <c r="H3229" i="32"/>
  <c r="H3230" i="32"/>
  <c r="H3231" i="32"/>
  <c r="H3232" i="32"/>
  <c r="H3233" i="32"/>
  <c r="H3234" i="32"/>
  <c r="H3235" i="32"/>
  <c r="H3236" i="32"/>
  <c r="H3237" i="32"/>
  <c r="H3238" i="32"/>
  <c r="H3239" i="32"/>
  <c r="H3240" i="32"/>
  <c r="H3241" i="32"/>
  <c r="H3242" i="32"/>
  <c r="H3243" i="32"/>
  <c r="H3244" i="32"/>
  <c r="H3245" i="32"/>
  <c r="H3246" i="32"/>
  <c r="H3247" i="32"/>
  <c r="H3248" i="32"/>
  <c r="H3249" i="32"/>
  <c r="H3250" i="32"/>
  <c r="H3251" i="32"/>
  <c r="H3252" i="32"/>
  <c r="H3253" i="32"/>
  <c r="H3254" i="32"/>
  <c r="H3255" i="32"/>
  <c r="H3256" i="32"/>
  <c r="H3257" i="32"/>
  <c r="H3258" i="32"/>
  <c r="H3259" i="32"/>
  <c r="H3260" i="32"/>
  <c r="H3261" i="32"/>
  <c r="H3262" i="32"/>
  <c r="H3263" i="32"/>
  <c r="H3264" i="32"/>
  <c r="H3265" i="32"/>
  <c r="H3266" i="32"/>
  <c r="H3267" i="32"/>
  <c r="H3268" i="32"/>
  <c r="H3269" i="32"/>
  <c r="H3270" i="32"/>
  <c r="H3271" i="32"/>
  <c r="H3272" i="32"/>
  <c r="H3273" i="32"/>
  <c r="H3274" i="32"/>
  <c r="H3275" i="32"/>
  <c r="H3276" i="32"/>
  <c r="H3277" i="32"/>
  <c r="H3278" i="32"/>
  <c r="H3279" i="32"/>
  <c r="H3280" i="32"/>
  <c r="H3281" i="32"/>
  <c r="H3282" i="32"/>
  <c r="H3283" i="32"/>
  <c r="H3284" i="32"/>
  <c r="H3285" i="32"/>
  <c r="H3286" i="32"/>
  <c r="H3287" i="32"/>
  <c r="H3288" i="32"/>
  <c r="H3289" i="32"/>
  <c r="H3290" i="32"/>
  <c r="H3291" i="32"/>
  <c r="H3292" i="32"/>
  <c r="H3293" i="32"/>
  <c r="H3294" i="32"/>
  <c r="H3295" i="32"/>
  <c r="H3296" i="32"/>
  <c r="H3297" i="32"/>
  <c r="H3298" i="32"/>
  <c r="H3299" i="32"/>
  <c r="H3300" i="32"/>
  <c r="H3301" i="32"/>
  <c r="H3302" i="32"/>
  <c r="H3303" i="32"/>
  <c r="H3304" i="32"/>
  <c r="H3305" i="32"/>
  <c r="H3306" i="32"/>
  <c r="H3307" i="32"/>
  <c r="H3308" i="32"/>
  <c r="H3309" i="32"/>
  <c r="H3310" i="32"/>
  <c r="H3311" i="32"/>
  <c r="H3312" i="32"/>
  <c r="H3313" i="32"/>
  <c r="H3314" i="32"/>
  <c r="H3315" i="32"/>
  <c r="H3316" i="32"/>
  <c r="H3317" i="32"/>
  <c r="H3318" i="32"/>
  <c r="H3319" i="32"/>
  <c r="H3320" i="32"/>
  <c r="H3321" i="32"/>
  <c r="H3322" i="32"/>
  <c r="H3323" i="32"/>
  <c r="H3324" i="32"/>
  <c r="H3325" i="32"/>
  <c r="H3326" i="32"/>
  <c r="H3327" i="32"/>
  <c r="H3328" i="32"/>
  <c r="H3329" i="32"/>
  <c r="H3330" i="32"/>
  <c r="H3331" i="32"/>
  <c r="H3332" i="32"/>
  <c r="H3333" i="32"/>
  <c r="H3334" i="32"/>
  <c r="H3335" i="32"/>
  <c r="H3336" i="32"/>
  <c r="H3337" i="32"/>
  <c r="H3338" i="32"/>
  <c r="H3339" i="32"/>
  <c r="H3340" i="32"/>
  <c r="H3341" i="32"/>
  <c r="H3342" i="32"/>
  <c r="H3343" i="32"/>
  <c r="H3344" i="32"/>
  <c r="H3345" i="32"/>
  <c r="H3346" i="32"/>
  <c r="H3347" i="32"/>
  <c r="H3348" i="32"/>
  <c r="H3349" i="32"/>
  <c r="H3350" i="32"/>
  <c r="H3351" i="32"/>
  <c r="H3352" i="32"/>
  <c r="H3353" i="32"/>
  <c r="H3354" i="32"/>
  <c r="H3355" i="32"/>
  <c r="H3356" i="32"/>
  <c r="H3357" i="32"/>
  <c r="H3358" i="32"/>
  <c r="H3359" i="32"/>
  <c r="H3360" i="32"/>
  <c r="H3361" i="32"/>
  <c r="H3362" i="32"/>
  <c r="H3363" i="32"/>
  <c r="H3364" i="32"/>
  <c r="H3365" i="32"/>
  <c r="H3366" i="32"/>
  <c r="H3367" i="32"/>
  <c r="H3368" i="32"/>
  <c r="H3369" i="32"/>
  <c r="H3370" i="32"/>
  <c r="H3371" i="32"/>
  <c r="H3372" i="32"/>
  <c r="H3373" i="32"/>
  <c r="H3374" i="32"/>
  <c r="H3375" i="32"/>
  <c r="H3376" i="32"/>
  <c r="H3377" i="32"/>
  <c r="H3378" i="32"/>
  <c r="H3379" i="32"/>
  <c r="H3380" i="32"/>
  <c r="H3381" i="32"/>
  <c r="H3382" i="32"/>
  <c r="H3383" i="32"/>
  <c r="H3384" i="32"/>
  <c r="H3385" i="32"/>
  <c r="H3386" i="32"/>
  <c r="H3387" i="32"/>
  <c r="H3388" i="32"/>
  <c r="H3389" i="32"/>
  <c r="H3390" i="32"/>
  <c r="H3391" i="32"/>
  <c r="H3392" i="32"/>
  <c r="H3393" i="32"/>
  <c r="H3394" i="32"/>
  <c r="H3395" i="32"/>
  <c r="H3396" i="32"/>
  <c r="H3397" i="32"/>
  <c r="H3398" i="32"/>
  <c r="H3399" i="32"/>
  <c r="H3400" i="32"/>
  <c r="H3401" i="32"/>
  <c r="H3402" i="32"/>
  <c r="H3403" i="32"/>
  <c r="H3404" i="32"/>
  <c r="H3405" i="32"/>
  <c r="H3406" i="32"/>
  <c r="H3407" i="32"/>
  <c r="H3408" i="32"/>
  <c r="H3409" i="32"/>
  <c r="H3410" i="32"/>
  <c r="H3411" i="32"/>
  <c r="H3412" i="32"/>
  <c r="H3413" i="32"/>
  <c r="H3414" i="32"/>
  <c r="H3415" i="32"/>
  <c r="H3416" i="32"/>
  <c r="H3417" i="32"/>
  <c r="H3418" i="32"/>
  <c r="H3419" i="32"/>
  <c r="H3420" i="32"/>
  <c r="H3421" i="32"/>
  <c r="H3422" i="32"/>
  <c r="H3423" i="32"/>
  <c r="H3424" i="32"/>
  <c r="H3425" i="32"/>
  <c r="H3426" i="32"/>
  <c r="H3427" i="32"/>
  <c r="H3428" i="32"/>
  <c r="H3429" i="32"/>
  <c r="H3430" i="32"/>
  <c r="H3431" i="32"/>
  <c r="H3432" i="32"/>
  <c r="H3433" i="32"/>
  <c r="H3434" i="32"/>
  <c r="H3435" i="32"/>
  <c r="H3436" i="32"/>
  <c r="H3437" i="32"/>
  <c r="H3438" i="32"/>
  <c r="H3439" i="32"/>
  <c r="H3440" i="32"/>
  <c r="H3441" i="32"/>
  <c r="H3442" i="32"/>
  <c r="H3443" i="32"/>
  <c r="H3444" i="32"/>
  <c r="H3445" i="32"/>
  <c r="H3446" i="32"/>
  <c r="H3447" i="32"/>
  <c r="H3448" i="32"/>
  <c r="H3449" i="32"/>
  <c r="H3450" i="32"/>
  <c r="H3451" i="32"/>
  <c r="H3452" i="32"/>
  <c r="H3453" i="32"/>
  <c r="H3454" i="32"/>
  <c r="H3455" i="32"/>
  <c r="H3456" i="32"/>
  <c r="H3457" i="32"/>
  <c r="H3458" i="32"/>
  <c r="H3459" i="32"/>
  <c r="H3460" i="32"/>
  <c r="H3461" i="32"/>
  <c r="H3462" i="32"/>
  <c r="H3463" i="32"/>
  <c r="H3464" i="32"/>
  <c r="H3465" i="32"/>
  <c r="H3466" i="32"/>
  <c r="H3467" i="32"/>
  <c r="H3468" i="32"/>
  <c r="H3469" i="32"/>
  <c r="H3470" i="32"/>
  <c r="H3471" i="32"/>
  <c r="H3472" i="32"/>
  <c r="H3473" i="32"/>
  <c r="H3474" i="32"/>
  <c r="H3475" i="32"/>
  <c r="H3476" i="32"/>
  <c r="H3477" i="32"/>
  <c r="H3478" i="32"/>
  <c r="H3479" i="32"/>
  <c r="H3480" i="32"/>
  <c r="H3481" i="32"/>
  <c r="H3482" i="32"/>
  <c r="H3483" i="32"/>
  <c r="H3484" i="32"/>
  <c r="H3485" i="32"/>
  <c r="H3486" i="32"/>
  <c r="H3487" i="32"/>
  <c r="H3488" i="32"/>
  <c r="H3489" i="32"/>
  <c r="H3490" i="32"/>
  <c r="H3491" i="32"/>
  <c r="H3492" i="32"/>
  <c r="H3493" i="32"/>
  <c r="H3494" i="32"/>
  <c r="H3495" i="32"/>
  <c r="H3496" i="32"/>
  <c r="H3497" i="32"/>
  <c r="H3498" i="32"/>
  <c r="H3499" i="32"/>
  <c r="H3500" i="32"/>
  <c r="H3501" i="32"/>
  <c r="H3502" i="32"/>
  <c r="H3503" i="32"/>
  <c r="H3504" i="32"/>
  <c r="H3505" i="32"/>
  <c r="H3506" i="32"/>
  <c r="H3507" i="32"/>
  <c r="H3508" i="32"/>
  <c r="H3509" i="32"/>
  <c r="H3510" i="32"/>
  <c r="H3511" i="32"/>
  <c r="H3512" i="32"/>
  <c r="H3513" i="32"/>
  <c r="H3514" i="32"/>
  <c r="H3515" i="32"/>
  <c r="H3516" i="32"/>
  <c r="H3517" i="32"/>
  <c r="H3518" i="32"/>
  <c r="H3519" i="32"/>
  <c r="H3520" i="32"/>
  <c r="H3521" i="32"/>
  <c r="H3522" i="32"/>
  <c r="H3523" i="32"/>
  <c r="H3524" i="32"/>
  <c r="H3525" i="32"/>
  <c r="H3526" i="32"/>
  <c r="H3527" i="32"/>
  <c r="H3528" i="32"/>
  <c r="H3529" i="32"/>
  <c r="H3530" i="32"/>
  <c r="H3531" i="32"/>
  <c r="H3532" i="32"/>
  <c r="H3533" i="32"/>
  <c r="H3534" i="32"/>
  <c r="H3535" i="32"/>
  <c r="H3536" i="32"/>
  <c r="H3537" i="32"/>
  <c r="H3538" i="32"/>
  <c r="H3539" i="32"/>
  <c r="H3540" i="32"/>
  <c r="H3541" i="32"/>
  <c r="H3542" i="32"/>
  <c r="H3543" i="32"/>
  <c r="H3544" i="32"/>
  <c r="H3545" i="32"/>
  <c r="H3546" i="32"/>
  <c r="H3547" i="32"/>
  <c r="H3548" i="32"/>
  <c r="H3549" i="32"/>
  <c r="H3550" i="32"/>
  <c r="H3551" i="32"/>
  <c r="H3552" i="32"/>
  <c r="H3553" i="32"/>
  <c r="H3554" i="32"/>
  <c r="H3555" i="32"/>
  <c r="H3556" i="32"/>
  <c r="H3557" i="32"/>
  <c r="H3558" i="32"/>
  <c r="H3559" i="32"/>
  <c r="H3560" i="32"/>
  <c r="H3561" i="32"/>
  <c r="H3562" i="32"/>
  <c r="H3563" i="32"/>
  <c r="H3564" i="32"/>
  <c r="H3565" i="32"/>
  <c r="H3566" i="32"/>
  <c r="H3567" i="32"/>
  <c r="H3568" i="32"/>
  <c r="H3569" i="32"/>
  <c r="H3570" i="32"/>
  <c r="H3571" i="32"/>
  <c r="H3572" i="32"/>
  <c r="H3573" i="32"/>
  <c r="H3574" i="32"/>
  <c r="H3575" i="32"/>
  <c r="H3576" i="32"/>
  <c r="H3577" i="32"/>
  <c r="H3578" i="32"/>
  <c r="H3579" i="32"/>
  <c r="H3580" i="32"/>
  <c r="H3581" i="32"/>
  <c r="H3582" i="32"/>
  <c r="H3583" i="32"/>
  <c r="H3584" i="32"/>
  <c r="H3585" i="32"/>
  <c r="H3586" i="32"/>
  <c r="H3587" i="32"/>
  <c r="H3588" i="32"/>
  <c r="H3589" i="32"/>
  <c r="H3590" i="32"/>
  <c r="H3591" i="32"/>
  <c r="H3592" i="32"/>
  <c r="H3593" i="32"/>
  <c r="H3594" i="32"/>
  <c r="H3595" i="32"/>
  <c r="H3596" i="32"/>
  <c r="H3597" i="32"/>
  <c r="H3598" i="32"/>
  <c r="H3599" i="32"/>
  <c r="H3600" i="32"/>
  <c r="H3601" i="32"/>
  <c r="H3602" i="32"/>
  <c r="H3603" i="32"/>
  <c r="H3604" i="32"/>
  <c r="H3605" i="32"/>
  <c r="H3606" i="32"/>
  <c r="H3607" i="32"/>
  <c r="H3608" i="32"/>
  <c r="H3609" i="32"/>
  <c r="H3610" i="32"/>
  <c r="H3611" i="32"/>
  <c r="H3612" i="32"/>
  <c r="H3613" i="32"/>
  <c r="H3614" i="32"/>
  <c r="H3615" i="32"/>
  <c r="H3616" i="32"/>
  <c r="H3617" i="32"/>
  <c r="H3618" i="32"/>
  <c r="H3619" i="32"/>
  <c r="H3620" i="32"/>
  <c r="H3621" i="32"/>
  <c r="H3622" i="32"/>
  <c r="H3623" i="32"/>
  <c r="H3624" i="32"/>
  <c r="H3625" i="32"/>
  <c r="H3626" i="32"/>
  <c r="H3627" i="32"/>
  <c r="H3628" i="32"/>
  <c r="H3629" i="32"/>
  <c r="H3630" i="32"/>
  <c r="H3631" i="32"/>
  <c r="H3632" i="32"/>
  <c r="H3633" i="32"/>
  <c r="H3634" i="32"/>
  <c r="H3635" i="32"/>
  <c r="H3636" i="32"/>
  <c r="H3637" i="32"/>
  <c r="H3638" i="32"/>
  <c r="H3639" i="32"/>
  <c r="H3640" i="32"/>
  <c r="H3641" i="32"/>
  <c r="H3642" i="32"/>
  <c r="H3643" i="32"/>
  <c r="H3644" i="32"/>
  <c r="H3645" i="32"/>
  <c r="H3646" i="32"/>
  <c r="H3647" i="32"/>
  <c r="H3648" i="32"/>
  <c r="H3649" i="32"/>
  <c r="H3650" i="32"/>
  <c r="H3651" i="32"/>
  <c r="H3652" i="32"/>
  <c r="H3653" i="32"/>
  <c r="H3654" i="32"/>
  <c r="H3655" i="32"/>
  <c r="H3656" i="32"/>
  <c r="H3657" i="32"/>
  <c r="H3658" i="32"/>
  <c r="H3659" i="32"/>
  <c r="H3660" i="32"/>
  <c r="H3661" i="32"/>
  <c r="H3662" i="32"/>
  <c r="H3663" i="32"/>
  <c r="H3664" i="32"/>
  <c r="H3665" i="32"/>
  <c r="H3666" i="32"/>
  <c r="H3667" i="32"/>
  <c r="H3668" i="32"/>
  <c r="H3669" i="32"/>
  <c r="H3670" i="32"/>
  <c r="H3671" i="32"/>
  <c r="H3672" i="32"/>
  <c r="H3673" i="32"/>
  <c r="H3674" i="32"/>
  <c r="H3675" i="32"/>
  <c r="H3676" i="32"/>
  <c r="H3677" i="32"/>
  <c r="H3678" i="32"/>
  <c r="H3679" i="32"/>
  <c r="H3680" i="32"/>
  <c r="H3681" i="32"/>
  <c r="H3682" i="32"/>
  <c r="H3683" i="32"/>
  <c r="H3684" i="32"/>
  <c r="H3685" i="32"/>
  <c r="H3686" i="32"/>
  <c r="H3687" i="32"/>
  <c r="H3688" i="32"/>
  <c r="H3689" i="32"/>
  <c r="H3690" i="32"/>
  <c r="H3691" i="32"/>
  <c r="H3692" i="32"/>
  <c r="H3693" i="32"/>
  <c r="H3694" i="32"/>
  <c r="H3695" i="32"/>
  <c r="H3696" i="32"/>
  <c r="H3697" i="32"/>
  <c r="H3698" i="32"/>
  <c r="H3699" i="32"/>
  <c r="H3700" i="32"/>
  <c r="H3701" i="32"/>
  <c r="H3702" i="32"/>
  <c r="H3703" i="32"/>
  <c r="H3704" i="32"/>
  <c r="H3705" i="32"/>
  <c r="H3706" i="32"/>
  <c r="H3707" i="32"/>
  <c r="H3708" i="32"/>
  <c r="H3709" i="32"/>
  <c r="H3710" i="32"/>
  <c r="H3711" i="32"/>
  <c r="H3712" i="32"/>
  <c r="H3713" i="32"/>
  <c r="H3714" i="32"/>
  <c r="H3715" i="32"/>
  <c r="H3716" i="32"/>
  <c r="H3717" i="32"/>
  <c r="H3718" i="32"/>
  <c r="H3719" i="32"/>
  <c r="H3720" i="32"/>
  <c r="H3721" i="32"/>
  <c r="H3722" i="32"/>
  <c r="H3723" i="32"/>
  <c r="H3724" i="32"/>
  <c r="H3725" i="32"/>
  <c r="H3726" i="32"/>
  <c r="H3727" i="32"/>
  <c r="H3728" i="32"/>
  <c r="H3729" i="32"/>
  <c r="H3730" i="32"/>
  <c r="H3731" i="32"/>
  <c r="H3732" i="32"/>
  <c r="H3733" i="32"/>
  <c r="H3734" i="32"/>
  <c r="H3735" i="32"/>
  <c r="H3736" i="32"/>
  <c r="H3737" i="32"/>
  <c r="H3738" i="32"/>
  <c r="H3739" i="32"/>
  <c r="H3740" i="32"/>
  <c r="H3741" i="32"/>
  <c r="H3742" i="32"/>
  <c r="H3743" i="32"/>
  <c r="H3744" i="32"/>
  <c r="H3745" i="32"/>
  <c r="H3746" i="32"/>
  <c r="H3747" i="32"/>
  <c r="H3748" i="32"/>
  <c r="H3749" i="32"/>
  <c r="H3750" i="32"/>
  <c r="H3751" i="32"/>
  <c r="H3752" i="32"/>
  <c r="H3753" i="32"/>
  <c r="H3754" i="32"/>
  <c r="H3755" i="32"/>
  <c r="H3756" i="32"/>
  <c r="H3757" i="32"/>
  <c r="H3758" i="32"/>
  <c r="H3759" i="32"/>
  <c r="H3760" i="32"/>
  <c r="H3761" i="32"/>
  <c r="H3762" i="32"/>
  <c r="H3763" i="32"/>
  <c r="H3764" i="32"/>
  <c r="H3765" i="32"/>
  <c r="H3766" i="32"/>
  <c r="H3767" i="32"/>
  <c r="H3768" i="32"/>
  <c r="H3769" i="32"/>
  <c r="H3770" i="32"/>
  <c r="H3771" i="32"/>
  <c r="H3772" i="32"/>
  <c r="H3773" i="32"/>
  <c r="H3774" i="32"/>
  <c r="H3775" i="32"/>
  <c r="H3776" i="32"/>
  <c r="H3777" i="32"/>
  <c r="H3778" i="32"/>
  <c r="H3779" i="32"/>
  <c r="H3780" i="32"/>
  <c r="H3781" i="32"/>
  <c r="H3782" i="32"/>
  <c r="H3783" i="32"/>
  <c r="H3784" i="32"/>
  <c r="H3785" i="32"/>
  <c r="H3786" i="32"/>
  <c r="H3787" i="32"/>
  <c r="H3788" i="32"/>
  <c r="H3789" i="32"/>
  <c r="H3790" i="32"/>
  <c r="H3791" i="32"/>
  <c r="H3792" i="32"/>
  <c r="H3793" i="32"/>
  <c r="H3794" i="32"/>
  <c r="H3795" i="32"/>
  <c r="H3796" i="32"/>
  <c r="H3797" i="32"/>
  <c r="H3798" i="32"/>
  <c r="H3799" i="32"/>
  <c r="H3800" i="32"/>
  <c r="H3801" i="32"/>
  <c r="H3802" i="32"/>
  <c r="H3803" i="32"/>
  <c r="H3804" i="32"/>
  <c r="H3805" i="32"/>
  <c r="H3806" i="32"/>
  <c r="H3807" i="32"/>
  <c r="H3808" i="32"/>
  <c r="H3809" i="32"/>
  <c r="H3810" i="32"/>
  <c r="H3811" i="32"/>
  <c r="H3812" i="32"/>
  <c r="H3813" i="32"/>
  <c r="H3814" i="32"/>
  <c r="H3815" i="32"/>
  <c r="H3816" i="32"/>
  <c r="H3817" i="32"/>
  <c r="H3818" i="32"/>
  <c r="H3819" i="32"/>
  <c r="H3820" i="32"/>
  <c r="H3821" i="32"/>
  <c r="H3822" i="32"/>
  <c r="H3823" i="32"/>
  <c r="H3824" i="32"/>
  <c r="H3825" i="32"/>
  <c r="H3826" i="32"/>
  <c r="H3827" i="32"/>
  <c r="H3828" i="32"/>
  <c r="H3829" i="32"/>
  <c r="H3830" i="32"/>
  <c r="H3831" i="32"/>
  <c r="H3832" i="32"/>
  <c r="H3833" i="32"/>
  <c r="H3834" i="32"/>
  <c r="H3835" i="32"/>
  <c r="H3836" i="32"/>
  <c r="H3837" i="32"/>
  <c r="H3838" i="32"/>
  <c r="H3839" i="32"/>
  <c r="H3840" i="32"/>
  <c r="H3841" i="32"/>
  <c r="H3842" i="32"/>
  <c r="H3843" i="32"/>
  <c r="H3844" i="32"/>
  <c r="H3845" i="32"/>
  <c r="H3846" i="32"/>
  <c r="H3847" i="32"/>
  <c r="H3848" i="32"/>
  <c r="H3849" i="32"/>
  <c r="H3850" i="32"/>
  <c r="H3851" i="32"/>
  <c r="H3852" i="32"/>
  <c r="H3853" i="32"/>
  <c r="H3854" i="32"/>
  <c r="H3855" i="32"/>
  <c r="H3856" i="32"/>
  <c r="H3857" i="32"/>
  <c r="H3858" i="32"/>
  <c r="H3859" i="32"/>
  <c r="H3860" i="32"/>
  <c r="H3861" i="32"/>
  <c r="H3862" i="32"/>
  <c r="H3863" i="32"/>
  <c r="H3864" i="32"/>
  <c r="H3865" i="32"/>
  <c r="H3866" i="32"/>
  <c r="H3867" i="32"/>
  <c r="H3868" i="32"/>
  <c r="H3869" i="32"/>
  <c r="H3870" i="32"/>
  <c r="H3871" i="32"/>
  <c r="H3872" i="32"/>
  <c r="H3873" i="32"/>
  <c r="H3874" i="32"/>
  <c r="H3875" i="32"/>
  <c r="H3876" i="32"/>
  <c r="H3877" i="32"/>
  <c r="H3878" i="32"/>
  <c r="H3879" i="32"/>
  <c r="H3880" i="32"/>
  <c r="H3881" i="32"/>
  <c r="H3882" i="32"/>
  <c r="H3883" i="32"/>
  <c r="H3884" i="32"/>
  <c r="H3885" i="32"/>
  <c r="H3886" i="32"/>
  <c r="H3887" i="32"/>
  <c r="H3888" i="32"/>
  <c r="H3889" i="32"/>
  <c r="H3890" i="32"/>
  <c r="H3891" i="32"/>
  <c r="H3892" i="32"/>
  <c r="H3893" i="32"/>
  <c r="H3894" i="32"/>
  <c r="H3895" i="32"/>
  <c r="H3896" i="32"/>
  <c r="H3897" i="32"/>
  <c r="H3898" i="32"/>
  <c r="H3899" i="32"/>
  <c r="H3900" i="32"/>
  <c r="H3901" i="32"/>
  <c r="H3902" i="32"/>
  <c r="H3903" i="32"/>
  <c r="H3904" i="32"/>
  <c r="H3905" i="32"/>
  <c r="H3906" i="32"/>
  <c r="H3907" i="32"/>
  <c r="H3908" i="32"/>
  <c r="H3909" i="32"/>
  <c r="H3910" i="32"/>
  <c r="H3911" i="32"/>
  <c r="H3912" i="32"/>
  <c r="H3913" i="32"/>
  <c r="H3914" i="32"/>
  <c r="H3915" i="32"/>
  <c r="H3916" i="32"/>
  <c r="H3917" i="32"/>
  <c r="H3918" i="32"/>
  <c r="H3919" i="32"/>
  <c r="H3920" i="32"/>
  <c r="H3921" i="32"/>
  <c r="H3922" i="32"/>
  <c r="H3923" i="32"/>
  <c r="H3924" i="32"/>
  <c r="H3925" i="32"/>
  <c r="H3926" i="32"/>
  <c r="H3927" i="32"/>
  <c r="H3928" i="32"/>
  <c r="H3929" i="32"/>
  <c r="H3930" i="32"/>
  <c r="H3931" i="32"/>
  <c r="H3932" i="32"/>
  <c r="H3933" i="32"/>
  <c r="H3934" i="32"/>
  <c r="H3935" i="32"/>
  <c r="H3936" i="32"/>
  <c r="H3937" i="32"/>
  <c r="H3938" i="32"/>
  <c r="H3939" i="32"/>
  <c r="H3940" i="32"/>
  <c r="H3941" i="32"/>
  <c r="H3942" i="32"/>
  <c r="H3943" i="32"/>
  <c r="H3944" i="32"/>
  <c r="H3945" i="32"/>
  <c r="H3946" i="32"/>
  <c r="H3947" i="32"/>
  <c r="H3948" i="32"/>
  <c r="H3949" i="32"/>
  <c r="H3950" i="32"/>
  <c r="H3951" i="32"/>
  <c r="H3952" i="32"/>
  <c r="H3953" i="32"/>
  <c r="H3954" i="32"/>
  <c r="H3955" i="32"/>
  <c r="H3956" i="32"/>
  <c r="H3957" i="32"/>
  <c r="H3958" i="32"/>
  <c r="H3959" i="32"/>
  <c r="H3960" i="32"/>
  <c r="H3961" i="32"/>
  <c r="H3962" i="32"/>
  <c r="H3963" i="32"/>
  <c r="H3964" i="32"/>
  <c r="H3965" i="32"/>
  <c r="H3966" i="32"/>
  <c r="H3967" i="32"/>
  <c r="H3968" i="32"/>
  <c r="H3969" i="32"/>
  <c r="H3970" i="32"/>
  <c r="H3971" i="32"/>
  <c r="H3972" i="32"/>
  <c r="H3973" i="32"/>
  <c r="H3974" i="32"/>
  <c r="H3975" i="32"/>
  <c r="H3976" i="32"/>
  <c r="H3977" i="32"/>
  <c r="H3978" i="32"/>
  <c r="H3979" i="32"/>
  <c r="H3980" i="32"/>
  <c r="H3981" i="32"/>
  <c r="H3982" i="32"/>
  <c r="H3983" i="32"/>
  <c r="H3984" i="32"/>
  <c r="H3985" i="32"/>
  <c r="H3986" i="32"/>
  <c r="H3987" i="32"/>
  <c r="H3988" i="32"/>
  <c r="H3989" i="32"/>
  <c r="H3990" i="32"/>
  <c r="H3991" i="32"/>
  <c r="H3992" i="32"/>
  <c r="H3993" i="32"/>
  <c r="H3994" i="32"/>
  <c r="H3995" i="32"/>
  <c r="H3996" i="32"/>
  <c r="H3997" i="32"/>
  <c r="H3998" i="32"/>
  <c r="H3999" i="32"/>
  <c r="H4000" i="32"/>
  <c r="H4001" i="32"/>
  <c r="H4002" i="32"/>
  <c r="H4003" i="32"/>
  <c r="H4004" i="32"/>
  <c r="H4005" i="32"/>
  <c r="H4006" i="32"/>
  <c r="H4007" i="32"/>
  <c r="H4008" i="32"/>
  <c r="H4009" i="32"/>
  <c r="H4010" i="32"/>
  <c r="H4011" i="32"/>
  <c r="H4012" i="32"/>
  <c r="H4013" i="32"/>
  <c r="H4014" i="32"/>
  <c r="H4015" i="32"/>
  <c r="H4016" i="32"/>
  <c r="H4017" i="32"/>
  <c r="H4018" i="32"/>
  <c r="H4019" i="32"/>
  <c r="H4020" i="32"/>
  <c r="H4021" i="32"/>
  <c r="H4022" i="32"/>
  <c r="H4023" i="32"/>
  <c r="H4024" i="32"/>
  <c r="H4025" i="32"/>
  <c r="H4026" i="32"/>
  <c r="H4027" i="32"/>
  <c r="H4028" i="32"/>
  <c r="H4029" i="32"/>
  <c r="H4030" i="32"/>
  <c r="H4031" i="32"/>
  <c r="H4032" i="32"/>
  <c r="H4033" i="32"/>
  <c r="H4034" i="32"/>
  <c r="H4035" i="32"/>
  <c r="H4036" i="32"/>
  <c r="H4037" i="32"/>
  <c r="H4038" i="32"/>
  <c r="H4039" i="32"/>
  <c r="H4040" i="32"/>
  <c r="H4041" i="32"/>
  <c r="H4042" i="32"/>
  <c r="H4043" i="32"/>
  <c r="H4044" i="32"/>
  <c r="H4045" i="32"/>
  <c r="H4046" i="32"/>
  <c r="H4047" i="32"/>
  <c r="H4048" i="32"/>
  <c r="H4049" i="32"/>
  <c r="H4050" i="32"/>
  <c r="H4051" i="32"/>
  <c r="H4052" i="32"/>
  <c r="H4053" i="32"/>
  <c r="H4054" i="32"/>
  <c r="H4055" i="32"/>
  <c r="H4056" i="32"/>
  <c r="H4057" i="32"/>
  <c r="H4058" i="32"/>
  <c r="H4059" i="32"/>
  <c r="H4060" i="32"/>
  <c r="H4061" i="32"/>
  <c r="H4062" i="32"/>
  <c r="H4063" i="32"/>
  <c r="H4064" i="32"/>
  <c r="H4065" i="32"/>
  <c r="H4066" i="32"/>
  <c r="H4067" i="32"/>
  <c r="H4068" i="32"/>
  <c r="H4069" i="32"/>
  <c r="H4070" i="32"/>
  <c r="H4071" i="32"/>
  <c r="H4072" i="32"/>
  <c r="H4073" i="32"/>
  <c r="H4074" i="32"/>
  <c r="H4075" i="32"/>
  <c r="H4076" i="32"/>
  <c r="H4077" i="32"/>
  <c r="H4078" i="32"/>
  <c r="H4079" i="32"/>
  <c r="H4080" i="32"/>
  <c r="H4081" i="32"/>
  <c r="H4082" i="32"/>
  <c r="H4083" i="32"/>
  <c r="H4084" i="32"/>
  <c r="H4085" i="32"/>
  <c r="H4086" i="32"/>
  <c r="H4087" i="32"/>
  <c r="H4088" i="32"/>
  <c r="H4089" i="32"/>
  <c r="H4090" i="32"/>
  <c r="H4091" i="32"/>
  <c r="H4092" i="32"/>
  <c r="H4093" i="32"/>
  <c r="H4094" i="32"/>
  <c r="H4095" i="32"/>
  <c r="H4096" i="32"/>
  <c r="H4097" i="32"/>
  <c r="H4098" i="32"/>
  <c r="H4099" i="32"/>
  <c r="H4100" i="32"/>
  <c r="H4101" i="32"/>
  <c r="H4102" i="32"/>
  <c r="H4103" i="32"/>
  <c r="H4104" i="32"/>
  <c r="H4105" i="32"/>
  <c r="H4106" i="32"/>
  <c r="H4107" i="32"/>
  <c r="H4108" i="32"/>
  <c r="H4109" i="32"/>
  <c r="H4110" i="32"/>
  <c r="H4111" i="32"/>
  <c r="H4112" i="32"/>
  <c r="H4113" i="32"/>
  <c r="H4114" i="32"/>
  <c r="H4115" i="32"/>
  <c r="H4116" i="32"/>
  <c r="H4117" i="32"/>
  <c r="H4118" i="32"/>
  <c r="H4119" i="32"/>
  <c r="H4120" i="32"/>
  <c r="H4121" i="32"/>
  <c r="H4122" i="32"/>
  <c r="H4123" i="32"/>
  <c r="H4124" i="32"/>
  <c r="H4125" i="32"/>
  <c r="H4126" i="32"/>
  <c r="H4127" i="32"/>
  <c r="H4128" i="32"/>
  <c r="H4129" i="32"/>
  <c r="H4130" i="32"/>
  <c r="H4131" i="32"/>
  <c r="H4132" i="32"/>
  <c r="H4133" i="32"/>
  <c r="H4134" i="32"/>
  <c r="H4135" i="32"/>
  <c r="H4136" i="32"/>
  <c r="H4137" i="32"/>
  <c r="H4138" i="32"/>
  <c r="H4139" i="32"/>
  <c r="H4140" i="32"/>
  <c r="H4141" i="32"/>
  <c r="H4142" i="32"/>
  <c r="H4143" i="32"/>
  <c r="H4144" i="32"/>
  <c r="H4145" i="32"/>
  <c r="H4146" i="32"/>
  <c r="H4147" i="32"/>
  <c r="H4148" i="32"/>
  <c r="H4149" i="32"/>
  <c r="H4150" i="32"/>
  <c r="H4151" i="32"/>
  <c r="H4152" i="32"/>
  <c r="H4153" i="32"/>
  <c r="H4154" i="32"/>
  <c r="H4155" i="32"/>
  <c r="H4156" i="32"/>
  <c r="H4157" i="32"/>
  <c r="H4158" i="32"/>
  <c r="H4159" i="32"/>
  <c r="H4160" i="32"/>
  <c r="H4161" i="32"/>
  <c r="H4162" i="32"/>
  <c r="H4163" i="32"/>
  <c r="H4164" i="32"/>
  <c r="H4165" i="32"/>
  <c r="H4166" i="32"/>
  <c r="H4167" i="32"/>
  <c r="H4168" i="32"/>
  <c r="H4169" i="32"/>
  <c r="H4170" i="32"/>
  <c r="H4171" i="32"/>
  <c r="H4172" i="32"/>
  <c r="H4173" i="32"/>
  <c r="H4174" i="32"/>
  <c r="H4175" i="32"/>
  <c r="H4176" i="32"/>
  <c r="H4177" i="32"/>
  <c r="H4178" i="32"/>
  <c r="H4179" i="32"/>
  <c r="H4180" i="32"/>
  <c r="H4181" i="32"/>
  <c r="H4182" i="32"/>
  <c r="H4183" i="32"/>
  <c r="H4184" i="32"/>
  <c r="H4185" i="32"/>
  <c r="H4186" i="32"/>
  <c r="H4187" i="32"/>
  <c r="H4188" i="32"/>
  <c r="H4189" i="32"/>
  <c r="H4190" i="32"/>
  <c r="H4191" i="32"/>
  <c r="H4192" i="32"/>
  <c r="H4193" i="32"/>
  <c r="H4194" i="32"/>
  <c r="H4195" i="32"/>
  <c r="H4196" i="32"/>
  <c r="H4197" i="32"/>
  <c r="H4198" i="32"/>
  <c r="H4199" i="32"/>
  <c r="H4200" i="32"/>
  <c r="H4201" i="32"/>
  <c r="H4202" i="32"/>
  <c r="H4203" i="32"/>
  <c r="H4204" i="32"/>
  <c r="H4205" i="32"/>
  <c r="H4206" i="32"/>
  <c r="H4207" i="32"/>
  <c r="H4208" i="32"/>
  <c r="H4209" i="32"/>
  <c r="H4210" i="32"/>
  <c r="H4211" i="32"/>
  <c r="H4212" i="32"/>
  <c r="H4213" i="32"/>
  <c r="H4214" i="32"/>
  <c r="H4215" i="32"/>
  <c r="H4216" i="32"/>
  <c r="H4217" i="32"/>
  <c r="H4218" i="32"/>
  <c r="H4219" i="32"/>
  <c r="H4220" i="32"/>
  <c r="H4221" i="32"/>
  <c r="H4222" i="32"/>
  <c r="H4223" i="32"/>
  <c r="H4224" i="32"/>
  <c r="H4225" i="32"/>
  <c r="H4226" i="32"/>
  <c r="H4227" i="32"/>
  <c r="H4228" i="32"/>
  <c r="H4229" i="32"/>
  <c r="H4230" i="32"/>
  <c r="H4231" i="32"/>
  <c r="H4232" i="32"/>
  <c r="H4233" i="32"/>
  <c r="H4234" i="32"/>
  <c r="H4235" i="32"/>
  <c r="H4236" i="32"/>
  <c r="H4237" i="32"/>
  <c r="H4238" i="32"/>
  <c r="H4239" i="32"/>
  <c r="H4240" i="32"/>
  <c r="H4241" i="32"/>
  <c r="H4242" i="32"/>
  <c r="H4243" i="32"/>
  <c r="H4244" i="32"/>
  <c r="H4245" i="32"/>
  <c r="H4246" i="32"/>
  <c r="H4247" i="32"/>
  <c r="H4248" i="32"/>
  <c r="H4249" i="32"/>
  <c r="H4250" i="32"/>
  <c r="H4251" i="32"/>
  <c r="H4252" i="32"/>
  <c r="H4253" i="32"/>
  <c r="H4254" i="32"/>
  <c r="H4255" i="32"/>
  <c r="H4256" i="32"/>
  <c r="H4257" i="32"/>
  <c r="H4258" i="32"/>
  <c r="H4259" i="32"/>
  <c r="H4260" i="32"/>
  <c r="H4261" i="32"/>
  <c r="H4262" i="32"/>
  <c r="H4263" i="32"/>
  <c r="H4264" i="32"/>
  <c r="H4265" i="32"/>
  <c r="H4266" i="32"/>
  <c r="H4267" i="32"/>
  <c r="H4268" i="32"/>
  <c r="H4269" i="32"/>
  <c r="H4270" i="32"/>
  <c r="H4271" i="32"/>
  <c r="H4272" i="32"/>
  <c r="H4273" i="32"/>
  <c r="H4274" i="32"/>
  <c r="H4275" i="32"/>
  <c r="H4276" i="32"/>
  <c r="H4277" i="32"/>
  <c r="H4278" i="32"/>
  <c r="H4279" i="32"/>
  <c r="H4280" i="32"/>
  <c r="H4281" i="32"/>
  <c r="H4282" i="32"/>
  <c r="H4283" i="32"/>
  <c r="H4284" i="32"/>
  <c r="H4285" i="32"/>
  <c r="H4286" i="32"/>
  <c r="H4287" i="32"/>
  <c r="H4288" i="32"/>
  <c r="H4289" i="32"/>
  <c r="H4290" i="32"/>
  <c r="H4291" i="32"/>
  <c r="H4292" i="32"/>
  <c r="H4293" i="32"/>
  <c r="H4294" i="32"/>
  <c r="H4295" i="32"/>
  <c r="H4296" i="32"/>
  <c r="H4297" i="32"/>
  <c r="H4298" i="32"/>
  <c r="H4299" i="32"/>
  <c r="H4300" i="32"/>
  <c r="H4301" i="32"/>
  <c r="H4302" i="32"/>
  <c r="H4303" i="32"/>
  <c r="H4304" i="32"/>
  <c r="H4305" i="32"/>
  <c r="H4306" i="32"/>
  <c r="H4307" i="32"/>
  <c r="H4308" i="32"/>
  <c r="H4309" i="32"/>
  <c r="H4310" i="32"/>
  <c r="H4311" i="32"/>
  <c r="H4312" i="32"/>
  <c r="H4313" i="32"/>
  <c r="H4314" i="32"/>
  <c r="H4315" i="32"/>
  <c r="H4316" i="32"/>
  <c r="H4317" i="32"/>
  <c r="H4318" i="32"/>
  <c r="H4319" i="32"/>
  <c r="H4320" i="32"/>
  <c r="H4321" i="32"/>
  <c r="H4322" i="32"/>
  <c r="H4323" i="32"/>
  <c r="H4324" i="32"/>
  <c r="H4325" i="32"/>
  <c r="H4326" i="32"/>
  <c r="H4327" i="32"/>
  <c r="H4328" i="32"/>
  <c r="H4329" i="32"/>
  <c r="H4330" i="32"/>
  <c r="H4331" i="32"/>
  <c r="H4332" i="32"/>
  <c r="H4333" i="32"/>
  <c r="H4334" i="32"/>
  <c r="H4335" i="32"/>
  <c r="H4336" i="32"/>
  <c r="H4337" i="32"/>
  <c r="H4338" i="32"/>
  <c r="H4339" i="32"/>
  <c r="H4340" i="32"/>
  <c r="H4341" i="32"/>
  <c r="H4342" i="32"/>
  <c r="H4343" i="32"/>
  <c r="H4344" i="32"/>
  <c r="H4345" i="32"/>
  <c r="H4346" i="32"/>
  <c r="H4347" i="32"/>
  <c r="H4348" i="32"/>
  <c r="H4349" i="32"/>
  <c r="H4350" i="32"/>
  <c r="H4351" i="32"/>
  <c r="H4352" i="32"/>
  <c r="H4353" i="32"/>
  <c r="H4354" i="32"/>
  <c r="H4355" i="32"/>
  <c r="H4356" i="32"/>
  <c r="H4357" i="32"/>
  <c r="H4358" i="32"/>
  <c r="H4359" i="32"/>
  <c r="H4360" i="32"/>
  <c r="H4361" i="32"/>
  <c r="H4362" i="32"/>
  <c r="H4363" i="32"/>
  <c r="H4364" i="32"/>
  <c r="H4365" i="32"/>
  <c r="H4366" i="32"/>
  <c r="H4367" i="32"/>
  <c r="H4368" i="32"/>
  <c r="H4369" i="32"/>
  <c r="H4370" i="32"/>
  <c r="H4371" i="32"/>
  <c r="H4372" i="32"/>
  <c r="H4373" i="32"/>
  <c r="H4374" i="32"/>
  <c r="H4375" i="32"/>
  <c r="H4376" i="32"/>
  <c r="H4377" i="32"/>
  <c r="H4378" i="32"/>
  <c r="H4379" i="32"/>
  <c r="H4380" i="32"/>
  <c r="H4381" i="32"/>
  <c r="H4382" i="32"/>
  <c r="H4383" i="32"/>
  <c r="H4384" i="32"/>
  <c r="H4385" i="32"/>
  <c r="H4386" i="32"/>
  <c r="H4387" i="32"/>
  <c r="H4388" i="32"/>
  <c r="H4389" i="32"/>
  <c r="H4390" i="32"/>
  <c r="H4391" i="32"/>
  <c r="H4392" i="32"/>
  <c r="H4393" i="32"/>
  <c r="H4394" i="32"/>
  <c r="H4395" i="32"/>
  <c r="H4396" i="32"/>
  <c r="H4397" i="32"/>
  <c r="H4398" i="32"/>
  <c r="H4399" i="32"/>
  <c r="H4400" i="32"/>
  <c r="H4401" i="32"/>
  <c r="H4402" i="32"/>
  <c r="H4403" i="32"/>
  <c r="H4404" i="32"/>
  <c r="H4405" i="32"/>
  <c r="H4406" i="32"/>
  <c r="H4407" i="32"/>
  <c r="H4408" i="32"/>
  <c r="H4409" i="32"/>
  <c r="H4410" i="32"/>
  <c r="H4411" i="32"/>
  <c r="H4412" i="32"/>
  <c r="H4413" i="32"/>
  <c r="H4414" i="32"/>
  <c r="H4415" i="32"/>
  <c r="H4416" i="32"/>
  <c r="H4417" i="32"/>
  <c r="H4418" i="32"/>
  <c r="H4419" i="32"/>
  <c r="H4420" i="32"/>
  <c r="H4421" i="32"/>
  <c r="H4422" i="32"/>
  <c r="H4423" i="32"/>
  <c r="H4424" i="32"/>
  <c r="H4425" i="32"/>
  <c r="H4426" i="32"/>
  <c r="H4427" i="32"/>
  <c r="H4428" i="32"/>
  <c r="H4429" i="32"/>
  <c r="H4430" i="32"/>
  <c r="H4431" i="32"/>
  <c r="H4432" i="32"/>
  <c r="H4433" i="32"/>
  <c r="H4434" i="32"/>
  <c r="H4435" i="32"/>
  <c r="H4436" i="32"/>
  <c r="H4437" i="32"/>
  <c r="H4438" i="32"/>
  <c r="H4439" i="32"/>
  <c r="H4440" i="32"/>
  <c r="H4441" i="32"/>
  <c r="H4442" i="32"/>
  <c r="H4443" i="32"/>
  <c r="H4444" i="32"/>
  <c r="H4445" i="32"/>
  <c r="H4446" i="32"/>
  <c r="H4447" i="32"/>
  <c r="H4448" i="32"/>
  <c r="H4449" i="32"/>
  <c r="H4450" i="32"/>
  <c r="H4451" i="32"/>
  <c r="H4452" i="32"/>
  <c r="H4453" i="32"/>
  <c r="H4454" i="32"/>
  <c r="H4455" i="32"/>
  <c r="H4456" i="32"/>
  <c r="H4457" i="32"/>
  <c r="H4458" i="32"/>
  <c r="H4459" i="32"/>
  <c r="H4460" i="32"/>
  <c r="H4461" i="32"/>
  <c r="H4462" i="32"/>
  <c r="H4463" i="32"/>
  <c r="H4464" i="32"/>
  <c r="H4465" i="32"/>
  <c r="H4466" i="32"/>
  <c r="H4467" i="32"/>
  <c r="H4468" i="32"/>
  <c r="H4469" i="32"/>
  <c r="H4470" i="32"/>
  <c r="H4471" i="32"/>
  <c r="H4472" i="32"/>
  <c r="H4473" i="32"/>
  <c r="H4474" i="32"/>
  <c r="H4475" i="32"/>
  <c r="H4476" i="32"/>
  <c r="H4477" i="32"/>
  <c r="H4478" i="32"/>
  <c r="H4479" i="32"/>
  <c r="H4480" i="32"/>
  <c r="H4481" i="32"/>
  <c r="H4482" i="32"/>
  <c r="H4483" i="32"/>
  <c r="H4484" i="32"/>
  <c r="H4485" i="32"/>
  <c r="H4486" i="32"/>
  <c r="H4487" i="32"/>
  <c r="H4488" i="32"/>
  <c r="H4489" i="32"/>
  <c r="H4490" i="32"/>
  <c r="H4491" i="32"/>
  <c r="H4492" i="32"/>
  <c r="H4493" i="32"/>
  <c r="H4494" i="32"/>
  <c r="H4495" i="32"/>
  <c r="H4496" i="32"/>
  <c r="H4497" i="32"/>
  <c r="H4498" i="32"/>
  <c r="H4499" i="32"/>
  <c r="H4500" i="32"/>
  <c r="H4501" i="32"/>
  <c r="H4502" i="32"/>
  <c r="H4503" i="32"/>
  <c r="H4504" i="32"/>
  <c r="H4505" i="32"/>
  <c r="H4506" i="32"/>
  <c r="H4507" i="32"/>
  <c r="H4508" i="32"/>
  <c r="H4509" i="32"/>
  <c r="H4510" i="32"/>
  <c r="H4511" i="32"/>
  <c r="H4512" i="32"/>
  <c r="H4513" i="32"/>
  <c r="H4514" i="32"/>
  <c r="H4515" i="32"/>
  <c r="H4516" i="32"/>
  <c r="H4517" i="32"/>
  <c r="H4518" i="32"/>
  <c r="H4519" i="32"/>
  <c r="H4520" i="32"/>
  <c r="H4521" i="32"/>
  <c r="H4522" i="32"/>
  <c r="H4523" i="32"/>
  <c r="H4524" i="32"/>
  <c r="H4525" i="32"/>
  <c r="H4526" i="32"/>
  <c r="H4527" i="32"/>
  <c r="H4528" i="32"/>
  <c r="H4529" i="32"/>
  <c r="H4530" i="32"/>
  <c r="H4531" i="32"/>
  <c r="H4532" i="32"/>
  <c r="H4533" i="32"/>
  <c r="H4534" i="32"/>
  <c r="H4535" i="32"/>
  <c r="H4536" i="32"/>
  <c r="H4537" i="32"/>
  <c r="H4538" i="32"/>
  <c r="H4539" i="32"/>
  <c r="H4540" i="32"/>
  <c r="H4541" i="32"/>
  <c r="H4542" i="32"/>
  <c r="H4543" i="32"/>
  <c r="H4544" i="32"/>
  <c r="H4545" i="32"/>
  <c r="H4546" i="32"/>
  <c r="H4547" i="32"/>
  <c r="H4548" i="32"/>
  <c r="H4549" i="32"/>
  <c r="H4550" i="32"/>
  <c r="H4551" i="32"/>
  <c r="H4552" i="32"/>
  <c r="H4553" i="32"/>
  <c r="H4554" i="32"/>
  <c r="H4555" i="32"/>
  <c r="H4556" i="32"/>
  <c r="H4557" i="32"/>
  <c r="H4558" i="32"/>
  <c r="H4559" i="32"/>
  <c r="H4560" i="32"/>
  <c r="H4561" i="32"/>
  <c r="H4562" i="32"/>
  <c r="H4563" i="32"/>
  <c r="H4564" i="32"/>
  <c r="H4565" i="32"/>
  <c r="H4566" i="32"/>
  <c r="H4567" i="32"/>
  <c r="H4568" i="32"/>
  <c r="H4569" i="32"/>
  <c r="H4570" i="32"/>
  <c r="H4571" i="32"/>
  <c r="H4572" i="32"/>
  <c r="H4573" i="32"/>
  <c r="H4574" i="32"/>
  <c r="H4575" i="32"/>
  <c r="H4576" i="32"/>
  <c r="H4577" i="32"/>
  <c r="H4578" i="32"/>
  <c r="H4579" i="32"/>
  <c r="H4580" i="32"/>
  <c r="H4581" i="32"/>
  <c r="H4582" i="32"/>
  <c r="H4583" i="32"/>
  <c r="H4584" i="32"/>
  <c r="H4585" i="32"/>
  <c r="H4586" i="32"/>
  <c r="H4587" i="32"/>
  <c r="H4588" i="32"/>
  <c r="H4589" i="32"/>
  <c r="H4590" i="32"/>
  <c r="H4591" i="32"/>
  <c r="H4592" i="32"/>
  <c r="H4593" i="32"/>
  <c r="H4594" i="32"/>
  <c r="H4595" i="32"/>
  <c r="H4596" i="32"/>
  <c r="H4597" i="32"/>
  <c r="H4598" i="32"/>
  <c r="H4599" i="32"/>
  <c r="H4600" i="32"/>
  <c r="H4601" i="32"/>
  <c r="H4602" i="32"/>
  <c r="H4603" i="32"/>
  <c r="H4604" i="32"/>
  <c r="H4605" i="32"/>
  <c r="H4606" i="32"/>
  <c r="H4607" i="32"/>
  <c r="H4608" i="32"/>
  <c r="H4609" i="32"/>
  <c r="H4610" i="32"/>
  <c r="H4611" i="32"/>
  <c r="H4612" i="32"/>
  <c r="H4613" i="32"/>
  <c r="H4614" i="32"/>
  <c r="H4615" i="32"/>
  <c r="H4616" i="32"/>
  <c r="H4617" i="32"/>
  <c r="H4618" i="32"/>
  <c r="H4619" i="32"/>
  <c r="H4620" i="32"/>
  <c r="H4621" i="32"/>
  <c r="H4622" i="32"/>
  <c r="H4623" i="32"/>
  <c r="H4624" i="32"/>
  <c r="H4625" i="32"/>
  <c r="H4626" i="32"/>
  <c r="H4627" i="32"/>
  <c r="H4628" i="32"/>
  <c r="H4629" i="32"/>
  <c r="H4630" i="32"/>
  <c r="H4631" i="32"/>
  <c r="H4632" i="32"/>
  <c r="H4633" i="32"/>
  <c r="H4634" i="32"/>
  <c r="H4635" i="32"/>
  <c r="H4636" i="32"/>
  <c r="H4637" i="32"/>
  <c r="H4638" i="32"/>
  <c r="H4639" i="32"/>
  <c r="H4640" i="32"/>
  <c r="H4641" i="32"/>
  <c r="H4642" i="32"/>
  <c r="H4643" i="32"/>
  <c r="H4644" i="32"/>
  <c r="H4645" i="32"/>
  <c r="H4646" i="32"/>
  <c r="H4647" i="32"/>
  <c r="H4648" i="32"/>
  <c r="H4649" i="32"/>
  <c r="H4650" i="32"/>
  <c r="H4651" i="32"/>
  <c r="H4652" i="32"/>
  <c r="H4653" i="32"/>
  <c r="H4654" i="32"/>
  <c r="H4655" i="32"/>
  <c r="H4656" i="32"/>
  <c r="H4657" i="32"/>
  <c r="H4658" i="32"/>
  <c r="H4659" i="32"/>
  <c r="H4660" i="32"/>
  <c r="H4661" i="32"/>
  <c r="H4662" i="32"/>
  <c r="H4663" i="32"/>
  <c r="H4664" i="32"/>
  <c r="H4665" i="32"/>
  <c r="H4666" i="32"/>
  <c r="H4667" i="32"/>
  <c r="H4668" i="32"/>
  <c r="H4669" i="32"/>
  <c r="H4670" i="32"/>
  <c r="H4671" i="32"/>
  <c r="H4672" i="32"/>
  <c r="H4673" i="32"/>
  <c r="H4674" i="32"/>
  <c r="H4675" i="32"/>
  <c r="H4676" i="32"/>
  <c r="H4677" i="32"/>
  <c r="H4678" i="32"/>
  <c r="H4679" i="32"/>
  <c r="H4680" i="32"/>
  <c r="H4681" i="32"/>
  <c r="H4682" i="32"/>
  <c r="H4683" i="32"/>
  <c r="H4684" i="32"/>
  <c r="H4685" i="32"/>
  <c r="H4686" i="32"/>
  <c r="H4687" i="32"/>
  <c r="H4688" i="32"/>
  <c r="H4689" i="32"/>
  <c r="H4690" i="32"/>
  <c r="H4691" i="32"/>
  <c r="H4692" i="32"/>
  <c r="H4693" i="32"/>
  <c r="H4694" i="32"/>
  <c r="H4695" i="32"/>
  <c r="H4696" i="32"/>
  <c r="H4697" i="32"/>
  <c r="H4698" i="32"/>
  <c r="H4699" i="32"/>
  <c r="H4700" i="32"/>
  <c r="H4701" i="32"/>
  <c r="H4702" i="32"/>
  <c r="H4703" i="32"/>
  <c r="H4704" i="32"/>
  <c r="H4705" i="32"/>
  <c r="H4706" i="32"/>
  <c r="H4707" i="32"/>
  <c r="H4708" i="32"/>
  <c r="H4709" i="32"/>
  <c r="H4710" i="32"/>
  <c r="H4711" i="32"/>
  <c r="H4712" i="32"/>
  <c r="H4713" i="32"/>
  <c r="H4714" i="32"/>
  <c r="H4715" i="32"/>
  <c r="H4716" i="32"/>
  <c r="H4717" i="32"/>
  <c r="H4718" i="32"/>
  <c r="H4719" i="32"/>
  <c r="H4720" i="32"/>
  <c r="H4721" i="32"/>
  <c r="H4722" i="32"/>
  <c r="H4723" i="32"/>
  <c r="H4724" i="32"/>
  <c r="H4725" i="32"/>
  <c r="H4726" i="32"/>
  <c r="H4727" i="32"/>
  <c r="H4728" i="32"/>
  <c r="H4729" i="32"/>
  <c r="H4730" i="32"/>
  <c r="H4731" i="32"/>
  <c r="H4732" i="32"/>
  <c r="H4733" i="32"/>
  <c r="H4734" i="32"/>
  <c r="H4735" i="32"/>
  <c r="H4736" i="32"/>
  <c r="H4737" i="32"/>
  <c r="H4738" i="32"/>
  <c r="H4739" i="32"/>
  <c r="H4740" i="32"/>
  <c r="H4741" i="32"/>
  <c r="H4742" i="32"/>
  <c r="H4743" i="32"/>
  <c r="H4744" i="32"/>
  <c r="H4745" i="32"/>
  <c r="H4746" i="32"/>
  <c r="H4747" i="32"/>
  <c r="H4748" i="32"/>
  <c r="H4749" i="32"/>
  <c r="H4750" i="32"/>
  <c r="H4751" i="32"/>
  <c r="H4752" i="32"/>
  <c r="H4753" i="32"/>
  <c r="H4754" i="32"/>
  <c r="H4755" i="32"/>
  <c r="H4756" i="32"/>
  <c r="H4757" i="32"/>
  <c r="H4758" i="32"/>
  <c r="H4759" i="32"/>
  <c r="H4760" i="32"/>
  <c r="H4761" i="32"/>
  <c r="H4762" i="32"/>
  <c r="H4763" i="32"/>
  <c r="H4764" i="32"/>
  <c r="H4765" i="32"/>
  <c r="H4766" i="32"/>
  <c r="H4767" i="32"/>
  <c r="H4768" i="32"/>
  <c r="H4769" i="32"/>
  <c r="H4770" i="32"/>
  <c r="H4771" i="32"/>
  <c r="H4772" i="32"/>
  <c r="H4773" i="32"/>
  <c r="H4774" i="32"/>
  <c r="H4775" i="32"/>
  <c r="H4776" i="32"/>
  <c r="H4777" i="32"/>
  <c r="H4778" i="32"/>
  <c r="H4779" i="32"/>
  <c r="H4780" i="32"/>
  <c r="H4781" i="32"/>
  <c r="H4782" i="32"/>
  <c r="H4783" i="32"/>
  <c r="H4784" i="32"/>
  <c r="H4785" i="32"/>
  <c r="H4786" i="32"/>
  <c r="H4787" i="32"/>
  <c r="H4788" i="32"/>
  <c r="H4789" i="32"/>
  <c r="H4790" i="32"/>
  <c r="H4791" i="32"/>
  <c r="H4792" i="32"/>
  <c r="H4793" i="32"/>
  <c r="H4794" i="32"/>
  <c r="H4795" i="32"/>
  <c r="H4796" i="32"/>
  <c r="H4797" i="32"/>
  <c r="H4798" i="32"/>
  <c r="H4799" i="32"/>
  <c r="H4800" i="32"/>
  <c r="H4801" i="32"/>
  <c r="H4802" i="32"/>
  <c r="H4803" i="32"/>
  <c r="H4804" i="32"/>
  <c r="H4805" i="32"/>
  <c r="H4806" i="32"/>
  <c r="H4807" i="32"/>
  <c r="H4808" i="32"/>
  <c r="H4809" i="32"/>
  <c r="H4810" i="32"/>
  <c r="H4811" i="32"/>
  <c r="H4812" i="32"/>
  <c r="H4813" i="32"/>
  <c r="H4814" i="32"/>
  <c r="H4815" i="32"/>
  <c r="H4816" i="32"/>
  <c r="H4817" i="32"/>
  <c r="H4818" i="32"/>
  <c r="H4819" i="32"/>
  <c r="H4820" i="32"/>
  <c r="H4821" i="32"/>
  <c r="H4822" i="32"/>
  <c r="H4823" i="32"/>
  <c r="H4824" i="32"/>
  <c r="H4825" i="32"/>
  <c r="H4826" i="32"/>
  <c r="H4827" i="32"/>
  <c r="H4828" i="32"/>
  <c r="H4829" i="32"/>
  <c r="H4830" i="32"/>
  <c r="H4831" i="32"/>
  <c r="H4832" i="32"/>
  <c r="H4833" i="32"/>
  <c r="H4834" i="32"/>
  <c r="H4835" i="32"/>
  <c r="H4836" i="32"/>
  <c r="H4837" i="32"/>
  <c r="H4838" i="32"/>
  <c r="H4839" i="32"/>
  <c r="H4840" i="32"/>
  <c r="H4841" i="32"/>
  <c r="H4842" i="32"/>
  <c r="H4843" i="32"/>
  <c r="H4844" i="32"/>
  <c r="H4845" i="32"/>
  <c r="H4846" i="32"/>
  <c r="H4847" i="32"/>
  <c r="H4848" i="32"/>
  <c r="H4849" i="32"/>
  <c r="H4850" i="32"/>
  <c r="H4851" i="32"/>
  <c r="H4852" i="32"/>
  <c r="H4853" i="32"/>
  <c r="H4854" i="32"/>
  <c r="H4855" i="32"/>
  <c r="H4856" i="32"/>
  <c r="H4857" i="32"/>
  <c r="H4858" i="32"/>
  <c r="H4859" i="32"/>
  <c r="H4860" i="32"/>
  <c r="H4861" i="32"/>
  <c r="H4862" i="32"/>
  <c r="H4863" i="32"/>
  <c r="H4864" i="32"/>
  <c r="H4865" i="32"/>
  <c r="H4866" i="32"/>
  <c r="H4867" i="32"/>
  <c r="H4868" i="32"/>
  <c r="H4869" i="32"/>
  <c r="H4870" i="32"/>
  <c r="H4871" i="32"/>
  <c r="H4872" i="32"/>
  <c r="H4873" i="32"/>
  <c r="H4874" i="32"/>
  <c r="H4875" i="32"/>
  <c r="H4876" i="32"/>
  <c r="H4877" i="32"/>
  <c r="H4878" i="32"/>
  <c r="H4879" i="32"/>
  <c r="H4880" i="32"/>
  <c r="H4881" i="32"/>
  <c r="H4882" i="32"/>
  <c r="H4883" i="32"/>
  <c r="H4884" i="32"/>
  <c r="H4885" i="32"/>
  <c r="H4886" i="32"/>
  <c r="H4887" i="32"/>
  <c r="H4888" i="32"/>
  <c r="H4889" i="32"/>
  <c r="H4890" i="32"/>
  <c r="H4891" i="32"/>
  <c r="H4892" i="32"/>
  <c r="H4893" i="32"/>
  <c r="H4894" i="32"/>
  <c r="H4895" i="32"/>
  <c r="H4896" i="32"/>
  <c r="H4897" i="32"/>
  <c r="H4898" i="32"/>
  <c r="H4899" i="32"/>
  <c r="H4900" i="32"/>
  <c r="H4901" i="32"/>
  <c r="H4902" i="32"/>
  <c r="H4903" i="32"/>
  <c r="H4904" i="32"/>
  <c r="H4905" i="32"/>
  <c r="H4906" i="32"/>
  <c r="H4907" i="32"/>
  <c r="H4908" i="32"/>
  <c r="H4909" i="32"/>
  <c r="H4910" i="32"/>
  <c r="H4911" i="32"/>
  <c r="H4912" i="32"/>
  <c r="H4913" i="32"/>
  <c r="H4914" i="32"/>
  <c r="H4915" i="32"/>
  <c r="H4916" i="32"/>
  <c r="H4917" i="32"/>
  <c r="H4918" i="32"/>
  <c r="H4919" i="32"/>
  <c r="H4920" i="32"/>
  <c r="H4921" i="32"/>
  <c r="H4922" i="32"/>
  <c r="H4923" i="32"/>
  <c r="H4924" i="32"/>
  <c r="H4925" i="32"/>
  <c r="H4926" i="32"/>
  <c r="H4927" i="32"/>
  <c r="H4928" i="32"/>
  <c r="H4929" i="32"/>
  <c r="H4930" i="32"/>
  <c r="H4931" i="32"/>
  <c r="H4932" i="32"/>
  <c r="H4933" i="32"/>
  <c r="H4934" i="32"/>
  <c r="H4935" i="32"/>
  <c r="H4936" i="32"/>
  <c r="H4937" i="32"/>
  <c r="H4938" i="32"/>
  <c r="H4939" i="32"/>
  <c r="H4940" i="32"/>
  <c r="H4941" i="32"/>
  <c r="H4942" i="32"/>
  <c r="H4943" i="32"/>
  <c r="H4944" i="32"/>
  <c r="H4945" i="32"/>
  <c r="H4946" i="32"/>
  <c r="H4947" i="32"/>
  <c r="H4948" i="32"/>
  <c r="H4949" i="32"/>
  <c r="H4950" i="32"/>
  <c r="H4951" i="32"/>
  <c r="H4952" i="32"/>
  <c r="H4953" i="32"/>
  <c r="H4954" i="32"/>
  <c r="H4955" i="32"/>
  <c r="H4956" i="32"/>
  <c r="H4957" i="32"/>
  <c r="H4958" i="32"/>
  <c r="H4959" i="32"/>
  <c r="H4960" i="32"/>
  <c r="H4961" i="32"/>
  <c r="H4962" i="32"/>
  <c r="H4963" i="32"/>
  <c r="H4964" i="32"/>
  <c r="H4965" i="32"/>
  <c r="H4966" i="32"/>
  <c r="H4967" i="32"/>
  <c r="H4968" i="32"/>
  <c r="H4969" i="32"/>
  <c r="H4970" i="32"/>
  <c r="H4971" i="32"/>
  <c r="H4972" i="32"/>
  <c r="H4973" i="32"/>
  <c r="H4974" i="32"/>
  <c r="H4975" i="32"/>
  <c r="H4976" i="32"/>
  <c r="H4977" i="32"/>
  <c r="H4978" i="32"/>
  <c r="H4979" i="32"/>
  <c r="H4980" i="32"/>
  <c r="H4981" i="32"/>
  <c r="H4982" i="32"/>
  <c r="H4983" i="32"/>
  <c r="H4984" i="32"/>
  <c r="H4985" i="32"/>
  <c r="H4986" i="32"/>
  <c r="H4987" i="32"/>
  <c r="H4988" i="32"/>
  <c r="H4989" i="32"/>
  <c r="H4990" i="32"/>
  <c r="H4991" i="32"/>
  <c r="H4992" i="32"/>
  <c r="H4993" i="32"/>
  <c r="H4994" i="32"/>
  <c r="H4995" i="32"/>
  <c r="H4996" i="32"/>
  <c r="H4997" i="32"/>
  <c r="H4998" i="32"/>
  <c r="H4999" i="32"/>
  <c r="H5000" i="32"/>
  <c r="H5001" i="32"/>
  <c r="H5002" i="32"/>
  <c r="H5003" i="32"/>
  <c r="H5004" i="32"/>
  <c r="H5005" i="32"/>
  <c r="H5006" i="32"/>
  <c r="H5007" i="32"/>
  <c r="H5008" i="32"/>
  <c r="H5009" i="32"/>
  <c r="H5010" i="32"/>
  <c r="H5011" i="32"/>
  <c r="H5012" i="32"/>
  <c r="H5013" i="32"/>
  <c r="H5014" i="32"/>
  <c r="H5015" i="32"/>
  <c r="H5016" i="32"/>
  <c r="H5017" i="32"/>
  <c r="H5018" i="32"/>
  <c r="H5019" i="32"/>
  <c r="H5020" i="32"/>
  <c r="H5021" i="32"/>
  <c r="H5022" i="32"/>
  <c r="H5023" i="32"/>
  <c r="H5024" i="32"/>
  <c r="H5025" i="32"/>
  <c r="H5026" i="32"/>
  <c r="H5027" i="32"/>
  <c r="H5028" i="32"/>
  <c r="H5029" i="32"/>
  <c r="H5030" i="32"/>
  <c r="H5031" i="32"/>
  <c r="H5032" i="32"/>
  <c r="H5033" i="32"/>
  <c r="H5034" i="32"/>
  <c r="H5035" i="32"/>
  <c r="H5036" i="32"/>
  <c r="H5037" i="32"/>
  <c r="H5038" i="32"/>
  <c r="H5039" i="32"/>
  <c r="H5040" i="32"/>
  <c r="H5041" i="32"/>
  <c r="H5042" i="32"/>
  <c r="H5043" i="32"/>
  <c r="H5044" i="32"/>
  <c r="H5045" i="32"/>
  <c r="H5046" i="32"/>
  <c r="H5047" i="32"/>
  <c r="H5048" i="32"/>
  <c r="H5049" i="32"/>
  <c r="H5050" i="32"/>
  <c r="H5051" i="32"/>
  <c r="H5052" i="32"/>
  <c r="H5053" i="32"/>
  <c r="H5054" i="32"/>
  <c r="H5055" i="32"/>
  <c r="H5056" i="32"/>
  <c r="H5057" i="32"/>
  <c r="H5058" i="32"/>
  <c r="H5059" i="32"/>
  <c r="H5060" i="32"/>
  <c r="H5061" i="32"/>
  <c r="H5062" i="32"/>
  <c r="H5063" i="32"/>
  <c r="H5064" i="32"/>
  <c r="H5065" i="32"/>
  <c r="H5066" i="32"/>
  <c r="H5067" i="32"/>
  <c r="H5068" i="32"/>
  <c r="H5069" i="32"/>
  <c r="H5070" i="32"/>
  <c r="H5071" i="32"/>
  <c r="H5072" i="32"/>
  <c r="H5073" i="32"/>
  <c r="H5074" i="32"/>
  <c r="H5075" i="32"/>
  <c r="H5076" i="32"/>
  <c r="H5077" i="32"/>
  <c r="H5078" i="32"/>
  <c r="H5079" i="32"/>
  <c r="H5080" i="32"/>
  <c r="H5081" i="32"/>
  <c r="H5082" i="32"/>
  <c r="H5083" i="32"/>
  <c r="H5084" i="32"/>
  <c r="H5085" i="32"/>
  <c r="H5086" i="32"/>
  <c r="H5087" i="32"/>
  <c r="H5088" i="32"/>
  <c r="H5089" i="32"/>
  <c r="H5090" i="32"/>
  <c r="H5091" i="32"/>
  <c r="H5092" i="32"/>
  <c r="H5093" i="32"/>
  <c r="H5094" i="32"/>
  <c r="H5095" i="32"/>
  <c r="H5096" i="32"/>
  <c r="H5097" i="32"/>
  <c r="H5098" i="32"/>
  <c r="H5099" i="32"/>
  <c r="H5100" i="32"/>
  <c r="H5101" i="32"/>
  <c r="H5102" i="32"/>
  <c r="H5103" i="32"/>
  <c r="H5104" i="32"/>
  <c r="H5105" i="32"/>
  <c r="H5106" i="32"/>
  <c r="H5107" i="32"/>
  <c r="H5108" i="32"/>
  <c r="H5109" i="32"/>
  <c r="H5110" i="32"/>
  <c r="H5111" i="32"/>
  <c r="H5112" i="32"/>
  <c r="H5113" i="32"/>
  <c r="H5114" i="32"/>
  <c r="H5115" i="32"/>
  <c r="H5116" i="32"/>
  <c r="H5117" i="32"/>
  <c r="H5118" i="32"/>
  <c r="H5119" i="32"/>
  <c r="H5120" i="32"/>
  <c r="H5121" i="32"/>
  <c r="H5122" i="32"/>
  <c r="H5123" i="32"/>
  <c r="H5124" i="32"/>
  <c r="H5125" i="32"/>
  <c r="H5126" i="32"/>
  <c r="H5127" i="32"/>
  <c r="H5128" i="32"/>
  <c r="H5129" i="32"/>
  <c r="H5130" i="32"/>
  <c r="H5131" i="32"/>
  <c r="H5132" i="32"/>
  <c r="H5133" i="32"/>
  <c r="H5134" i="32"/>
  <c r="H5135" i="32"/>
  <c r="H5136" i="32"/>
  <c r="H5137" i="32"/>
  <c r="H5138" i="32"/>
  <c r="H5139" i="32"/>
  <c r="H5140" i="32"/>
  <c r="H5141" i="32"/>
  <c r="H5142" i="32"/>
  <c r="H5143" i="32"/>
  <c r="H5144" i="32"/>
  <c r="H5145" i="32"/>
  <c r="H5146" i="32"/>
  <c r="H5147" i="32"/>
  <c r="H5148" i="32"/>
  <c r="H5149" i="32"/>
  <c r="H5150" i="32"/>
  <c r="H5151" i="32"/>
  <c r="H5152" i="32"/>
  <c r="H5153" i="32"/>
  <c r="H5154" i="32"/>
  <c r="H5155" i="32"/>
  <c r="H5156" i="32"/>
  <c r="H5157" i="32"/>
  <c r="H5158" i="32"/>
  <c r="H5159" i="32"/>
  <c r="H5160" i="32"/>
  <c r="H5161" i="32"/>
  <c r="H5162" i="32"/>
  <c r="H5163" i="32"/>
  <c r="H5164" i="32"/>
  <c r="H5165" i="32"/>
  <c r="H5166" i="32"/>
  <c r="H5167" i="32"/>
  <c r="H5168" i="32"/>
  <c r="H5169" i="32"/>
  <c r="H5170" i="32"/>
  <c r="H5171" i="32"/>
  <c r="H5172" i="32"/>
  <c r="H5173" i="32"/>
  <c r="H5174" i="32"/>
  <c r="H5175" i="32"/>
  <c r="H5176" i="32"/>
  <c r="H5177" i="32"/>
  <c r="H5178" i="32"/>
  <c r="H5179" i="32"/>
  <c r="H5180" i="32"/>
  <c r="H5181" i="32"/>
  <c r="H5182" i="32"/>
  <c r="H5183" i="32"/>
  <c r="H5184" i="32"/>
  <c r="H5185" i="32"/>
  <c r="H5186" i="32"/>
  <c r="H5187" i="32"/>
  <c r="H5188" i="32"/>
  <c r="H5189" i="32"/>
  <c r="H5190" i="32"/>
  <c r="H5191" i="32"/>
  <c r="H5192" i="32"/>
  <c r="H5193" i="32"/>
  <c r="H5194" i="32"/>
  <c r="H5195" i="32"/>
  <c r="H5196" i="32"/>
  <c r="H5197" i="32"/>
  <c r="H5198" i="32"/>
  <c r="H5199" i="32"/>
  <c r="H5200" i="32"/>
  <c r="H5201" i="32"/>
  <c r="H5202" i="32"/>
  <c r="H5203" i="32"/>
  <c r="H5204" i="32"/>
  <c r="H5205" i="32"/>
  <c r="H5206" i="32"/>
  <c r="H5207" i="32"/>
  <c r="H5208" i="32"/>
  <c r="H5209" i="32"/>
  <c r="H5210" i="32"/>
  <c r="H5211" i="32"/>
  <c r="H5212" i="32"/>
  <c r="H5213" i="32"/>
  <c r="H5214" i="32"/>
  <c r="H5215" i="32"/>
  <c r="H5216" i="32"/>
  <c r="H5217" i="32"/>
  <c r="H5218" i="32"/>
  <c r="H5219" i="32"/>
  <c r="H5220" i="32"/>
  <c r="H5221" i="32"/>
  <c r="H5222" i="32"/>
  <c r="H5223" i="32"/>
  <c r="H5224" i="32"/>
  <c r="H5225" i="32"/>
  <c r="H5226" i="32"/>
  <c r="H5227" i="32"/>
  <c r="H5228" i="32"/>
  <c r="H5229" i="32"/>
  <c r="H5230" i="32"/>
  <c r="H5231" i="32"/>
  <c r="H5232" i="32"/>
  <c r="H5233" i="32"/>
  <c r="H5234" i="32"/>
  <c r="H5235" i="32"/>
  <c r="H5236" i="32"/>
  <c r="H5237" i="32"/>
  <c r="H5238" i="32"/>
  <c r="H5239" i="32"/>
  <c r="H5240" i="32"/>
  <c r="H5241" i="32"/>
  <c r="H5242" i="32"/>
  <c r="H5243" i="32"/>
  <c r="H5244" i="32"/>
  <c r="H5245" i="32"/>
  <c r="H5246" i="32"/>
  <c r="H5247" i="32"/>
  <c r="H5248" i="32"/>
  <c r="H5249" i="32"/>
  <c r="H5250" i="32"/>
  <c r="H5251" i="32"/>
  <c r="H5252" i="32"/>
  <c r="H5253" i="32"/>
  <c r="H5254" i="32"/>
  <c r="H5255" i="32"/>
  <c r="H5256" i="32"/>
  <c r="H5257" i="32"/>
  <c r="H5258" i="32"/>
  <c r="H5259" i="32"/>
  <c r="H5260" i="32"/>
  <c r="H5261" i="32"/>
  <c r="H5262" i="32"/>
  <c r="H5263" i="32"/>
  <c r="H5264" i="32"/>
  <c r="H5265" i="32"/>
  <c r="H5266" i="32"/>
  <c r="H5267" i="32"/>
  <c r="H5268" i="32"/>
  <c r="H5269" i="32"/>
  <c r="H5270" i="32"/>
  <c r="H5271" i="32"/>
  <c r="H5272" i="32"/>
  <c r="H5273" i="32"/>
  <c r="H5274" i="32"/>
  <c r="H5275" i="32"/>
  <c r="H5276" i="32"/>
  <c r="H5277" i="32"/>
  <c r="H5278" i="32"/>
  <c r="H5279" i="32"/>
  <c r="H5280" i="32"/>
  <c r="H5281" i="32"/>
  <c r="H5282" i="32"/>
  <c r="H5283" i="32"/>
  <c r="H5284" i="32"/>
  <c r="H5285" i="32"/>
  <c r="H5286" i="32"/>
  <c r="H5287" i="32"/>
  <c r="H5288" i="32"/>
  <c r="H5289" i="32"/>
  <c r="H5290" i="32"/>
  <c r="H5291" i="32"/>
  <c r="H5292" i="32"/>
  <c r="H5293" i="32"/>
  <c r="H5294" i="32"/>
  <c r="H5295" i="32"/>
  <c r="H5296" i="32"/>
  <c r="H5297" i="32"/>
  <c r="H5298" i="32"/>
  <c r="H5299" i="32"/>
  <c r="H5300" i="32"/>
  <c r="H5301" i="32"/>
  <c r="H5302" i="32"/>
  <c r="H5303" i="32"/>
  <c r="H5304" i="32"/>
  <c r="H5305" i="32"/>
  <c r="H5306" i="32"/>
  <c r="H5307" i="32"/>
  <c r="H5308" i="32"/>
  <c r="H5309" i="32"/>
  <c r="H5310" i="32"/>
  <c r="H5311" i="32"/>
  <c r="H5312" i="32"/>
  <c r="H5313" i="32"/>
  <c r="H5314" i="32"/>
  <c r="H5315" i="32"/>
  <c r="H5316" i="32"/>
  <c r="H5317" i="32"/>
  <c r="H5318" i="32"/>
  <c r="H5319" i="32"/>
  <c r="H5320" i="32"/>
  <c r="H5321" i="32"/>
  <c r="H5322" i="32"/>
  <c r="H5323" i="32"/>
  <c r="H5324" i="32"/>
  <c r="H5325" i="32"/>
  <c r="H5326" i="32"/>
  <c r="H5327" i="32"/>
  <c r="H5328" i="32"/>
  <c r="H5329" i="32"/>
  <c r="H5330" i="32"/>
  <c r="H5331" i="32"/>
  <c r="H5332" i="32"/>
  <c r="H5333" i="32"/>
  <c r="H5334" i="32"/>
  <c r="H5335" i="32"/>
  <c r="H5336" i="32"/>
  <c r="H5337" i="32"/>
  <c r="H5338" i="32"/>
  <c r="H5339" i="32"/>
  <c r="H5340" i="32"/>
  <c r="H5341" i="32"/>
  <c r="H5342" i="32"/>
  <c r="H5343" i="32"/>
  <c r="H5344" i="32"/>
  <c r="H5345" i="32"/>
  <c r="H5346" i="32"/>
  <c r="H5347" i="32"/>
  <c r="H5348" i="32"/>
  <c r="H5349" i="32"/>
  <c r="H5350" i="32"/>
  <c r="H5351" i="32"/>
  <c r="H5352" i="32"/>
  <c r="H5353" i="32"/>
  <c r="H5354" i="32"/>
  <c r="H5355" i="32"/>
  <c r="H5356" i="32"/>
  <c r="H5357" i="32"/>
  <c r="H5358" i="32"/>
  <c r="H5359" i="32"/>
  <c r="H5360" i="32"/>
  <c r="H5361" i="32"/>
  <c r="H5362" i="32"/>
  <c r="H5363" i="32"/>
  <c r="H5364" i="32"/>
  <c r="H5365" i="32"/>
  <c r="H5366" i="32"/>
  <c r="H5367" i="32"/>
  <c r="H5368" i="32"/>
  <c r="H5369" i="32"/>
  <c r="H5370" i="32"/>
  <c r="H5371" i="32"/>
  <c r="H5372" i="32"/>
  <c r="H5373" i="32"/>
  <c r="H5374" i="32"/>
  <c r="H5375" i="32"/>
  <c r="H5376" i="32"/>
  <c r="H5377" i="32"/>
  <c r="H5378" i="32"/>
  <c r="H5379" i="32"/>
  <c r="H5380" i="32"/>
  <c r="H5381" i="32"/>
  <c r="H5382" i="32"/>
  <c r="H5383" i="32"/>
  <c r="H5384" i="32"/>
  <c r="H5385" i="32"/>
  <c r="H5386" i="32"/>
  <c r="H5387" i="32"/>
  <c r="H5388" i="32"/>
  <c r="H5389" i="32"/>
  <c r="H5390" i="32"/>
  <c r="H5391" i="32"/>
  <c r="H5392" i="32"/>
  <c r="H5393" i="32"/>
  <c r="H5394" i="32"/>
  <c r="H5395" i="32"/>
  <c r="H5396" i="32"/>
  <c r="H5397" i="32"/>
  <c r="H5398" i="32"/>
  <c r="H5399" i="32"/>
  <c r="H5400" i="32"/>
  <c r="H5401" i="32"/>
  <c r="H5402" i="32"/>
  <c r="H5403" i="32"/>
  <c r="H5404" i="32"/>
  <c r="H5405" i="32"/>
  <c r="H5406" i="32"/>
  <c r="H5407" i="32"/>
  <c r="H5408" i="32"/>
  <c r="H5409" i="32"/>
  <c r="H5410" i="32"/>
  <c r="H5411" i="32"/>
  <c r="H5412" i="32"/>
  <c r="H5413" i="32"/>
  <c r="H5414" i="32"/>
  <c r="H5415" i="32"/>
  <c r="H5416" i="32"/>
  <c r="H5417" i="32"/>
  <c r="H5418" i="32"/>
  <c r="H5419" i="32"/>
  <c r="H5420" i="32"/>
  <c r="H5421" i="32"/>
  <c r="H5422" i="32"/>
  <c r="H5423" i="32"/>
  <c r="H5424" i="32"/>
  <c r="H5425" i="32"/>
  <c r="H5426" i="32"/>
  <c r="H5427" i="32"/>
  <c r="H5428" i="32"/>
  <c r="H5429" i="32"/>
  <c r="H5430" i="32"/>
  <c r="H5431" i="32"/>
  <c r="H5432" i="32"/>
  <c r="H5433" i="32"/>
  <c r="H5434" i="32"/>
  <c r="H5435" i="32"/>
  <c r="H5436" i="32"/>
  <c r="H5437" i="32"/>
  <c r="H5438" i="32"/>
  <c r="H5439" i="32"/>
  <c r="H5440" i="32"/>
  <c r="H5441" i="32"/>
  <c r="H5442" i="32"/>
  <c r="H5443" i="32"/>
  <c r="H5444" i="32"/>
  <c r="H5445" i="32"/>
  <c r="H5446" i="32"/>
  <c r="H5447" i="32"/>
  <c r="H5448" i="32"/>
  <c r="H5449" i="32"/>
  <c r="H5450" i="32"/>
  <c r="H5451" i="32"/>
  <c r="H5452" i="32"/>
  <c r="H5453" i="32"/>
  <c r="H5454" i="32"/>
  <c r="H5455" i="32"/>
  <c r="H5456" i="32"/>
  <c r="H5457" i="32"/>
  <c r="H5458" i="32"/>
  <c r="H5459" i="32"/>
  <c r="H5460" i="32"/>
  <c r="H5461" i="32"/>
  <c r="H5462" i="32"/>
  <c r="H5463" i="32"/>
  <c r="H5464" i="32"/>
  <c r="H5465" i="32"/>
  <c r="H5466" i="32"/>
  <c r="H5467" i="32"/>
  <c r="H5468" i="32"/>
  <c r="H5469" i="32"/>
  <c r="H5470" i="32"/>
  <c r="H5471" i="32"/>
  <c r="H5472" i="32"/>
  <c r="H5473" i="32"/>
  <c r="H5474" i="32"/>
  <c r="H5475" i="32"/>
  <c r="H5476" i="32"/>
  <c r="H5477" i="32"/>
  <c r="H5478" i="32"/>
  <c r="H5479" i="32"/>
  <c r="H5480" i="32"/>
  <c r="H5481" i="32"/>
  <c r="H5482" i="32"/>
  <c r="H5483" i="32"/>
  <c r="H5484" i="32"/>
  <c r="H5485" i="32"/>
  <c r="H5486" i="32"/>
  <c r="H5487" i="32"/>
  <c r="H5488" i="32"/>
  <c r="H5489" i="32"/>
  <c r="H5490" i="32"/>
  <c r="H5491" i="32"/>
  <c r="H5492" i="32"/>
  <c r="H5493" i="32"/>
  <c r="H5494" i="32"/>
  <c r="H5495" i="32"/>
  <c r="H5496" i="32"/>
  <c r="H5497" i="32"/>
  <c r="H5498" i="32"/>
  <c r="H5499" i="32"/>
  <c r="H5500" i="32"/>
  <c r="H5501" i="32"/>
  <c r="H5502" i="32"/>
  <c r="H5503" i="32"/>
  <c r="H5504" i="32"/>
  <c r="H5505" i="32"/>
  <c r="H5506" i="32"/>
  <c r="H5507" i="32"/>
  <c r="H5508" i="32"/>
  <c r="H5509" i="32"/>
  <c r="H5510" i="32"/>
  <c r="H5511" i="32"/>
  <c r="H5512" i="32"/>
  <c r="H5513" i="32"/>
  <c r="H5514" i="32"/>
  <c r="H5515" i="32"/>
  <c r="H5516" i="32"/>
  <c r="H5517" i="32"/>
  <c r="H5518" i="32"/>
  <c r="H5519" i="32"/>
  <c r="H5520" i="32"/>
  <c r="H5521" i="32"/>
  <c r="H5522" i="32"/>
  <c r="H5523" i="32"/>
  <c r="H5524" i="32"/>
  <c r="H5525" i="32"/>
  <c r="H5526" i="32"/>
  <c r="H5527" i="32"/>
  <c r="H5528" i="32"/>
  <c r="H5529" i="32"/>
  <c r="H5530" i="32"/>
  <c r="H5531" i="32"/>
  <c r="H5532" i="32"/>
  <c r="H5533" i="32"/>
  <c r="H5534" i="32"/>
  <c r="H5535" i="32"/>
  <c r="H5536" i="32"/>
  <c r="H5537" i="32"/>
  <c r="H5538" i="32"/>
  <c r="H5539" i="32"/>
  <c r="H5540" i="32"/>
  <c r="H5541" i="32"/>
  <c r="H5542" i="32"/>
  <c r="H5543" i="32"/>
  <c r="H5544" i="32"/>
  <c r="H5545" i="32"/>
  <c r="H5546" i="32"/>
  <c r="H5547" i="32"/>
  <c r="H5548" i="32"/>
  <c r="H5549" i="32"/>
  <c r="H5550" i="32"/>
  <c r="H5551" i="32"/>
  <c r="H5552" i="32"/>
  <c r="H5553" i="32"/>
  <c r="H5554" i="32"/>
  <c r="H5555" i="32"/>
  <c r="H5556" i="32"/>
  <c r="H5557" i="32"/>
  <c r="H5558" i="32"/>
  <c r="H5559" i="32"/>
  <c r="H5560" i="32"/>
  <c r="H5561" i="32"/>
  <c r="H5562" i="32"/>
  <c r="H5563" i="32"/>
  <c r="H5564" i="32"/>
  <c r="H5565" i="32"/>
  <c r="H5566" i="32"/>
  <c r="H5567" i="32"/>
  <c r="H5568" i="32"/>
  <c r="H5569" i="32"/>
  <c r="H5570" i="32"/>
  <c r="H5571" i="32"/>
  <c r="H5572" i="32"/>
  <c r="H5573" i="32"/>
  <c r="H5574" i="32"/>
  <c r="H5575" i="32"/>
  <c r="H5576" i="32"/>
  <c r="H5577" i="32"/>
  <c r="H5578" i="32"/>
  <c r="H5579" i="32"/>
  <c r="H5580" i="32"/>
  <c r="H5581" i="32"/>
  <c r="H5582" i="32"/>
  <c r="H5583" i="32"/>
  <c r="H5584" i="32"/>
  <c r="H5585" i="32"/>
  <c r="H5586" i="32"/>
  <c r="H5587" i="32"/>
  <c r="H5588" i="32"/>
  <c r="H5589" i="32"/>
  <c r="H5590" i="32"/>
  <c r="H5591" i="32"/>
  <c r="H5592" i="32"/>
  <c r="H5593" i="32"/>
  <c r="H5594" i="32"/>
  <c r="H5595" i="32"/>
  <c r="H5596" i="32"/>
  <c r="H5597" i="32"/>
  <c r="H5598" i="32"/>
  <c r="H5599" i="32"/>
  <c r="H5600" i="32"/>
  <c r="H5601" i="32"/>
  <c r="H5602" i="32"/>
  <c r="H5603" i="32"/>
  <c r="H5604" i="32"/>
  <c r="H5605" i="32"/>
  <c r="H5606" i="32"/>
  <c r="H5607" i="32"/>
  <c r="H5608" i="32"/>
  <c r="H5609" i="32"/>
  <c r="H5610" i="32"/>
  <c r="H5611" i="32"/>
  <c r="H5612" i="32"/>
  <c r="H5613" i="32"/>
  <c r="H5614" i="32"/>
  <c r="H5615" i="32"/>
  <c r="H5616" i="32"/>
  <c r="H5617" i="32"/>
  <c r="H5618" i="32"/>
  <c r="H5619" i="32"/>
  <c r="H5620" i="32"/>
  <c r="H5621" i="32"/>
  <c r="H5622" i="32"/>
  <c r="H5623" i="32"/>
  <c r="H5624" i="32"/>
  <c r="H5625" i="32"/>
  <c r="H5626" i="32"/>
  <c r="H5627" i="32"/>
  <c r="H5628" i="32"/>
  <c r="H5629" i="32"/>
  <c r="H5630" i="32"/>
  <c r="H5631" i="32"/>
  <c r="H5632" i="32"/>
  <c r="H5633" i="32"/>
  <c r="H5634" i="32"/>
  <c r="H5635" i="32"/>
  <c r="H5636" i="32"/>
  <c r="H5637" i="32"/>
  <c r="H5638" i="32"/>
  <c r="H5639" i="32"/>
  <c r="H5640" i="32"/>
  <c r="H5641" i="32"/>
  <c r="H5642" i="32"/>
  <c r="H5643" i="32"/>
  <c r="H5644" i="32"/>
  <c r="H5645" i="32"/>
  <c r="H5646" i="32"/>
  <c r="H5647" i="32"/>
  <c r="H5648" i="32"/>
  <c r="H5649" i="32"/>
  <c r="H5650" i="32"/>
  <c r="H5651" i="32"/>
  <c r="H5652" i="32"/>
  <c r="H5653" i="32"/>
  <c r="H5654" i="32"/>
  <c r="H5655" i="32"/>
  <c r="H5656" i="32"/>
  <c r="H5657" i="32"/>
  <c r="H5658" i="32"/>
  <c r="H5659" i="32"/>
  <c r="H5660" i="32"/>
  <c r="H5661" i="32"/>
  <c r="H5662" i="32"/>
  <c r="H5663" i="32"/>
  <c r="H5664" i="32"/>
  <c r="H5665" i="32"/>
  <c r="H5666" i="32"/>
  <c r="H5667" i="32"/>
  <c r="H5668" i="32"/>
  <c r="H5669" i="32"/>
  <c r="H5670" i="32"/>
  <c r="H5671" i="32"/>
  <c r="H5672" i="32"/>
  <c r="H5673" i="32"/>
  <c r="H5674" i="32"/>
  <c r="H5675" i="32"/>
  <c r="H5676" i="32"/>
  <c r="H5677" i="32"/>
  <c r="H5678" i="32"/>
  <c r="H5679" i="32"/>
  <c r="H5680" i="32"/>
  <c r="H5681" i="32"/>
  <c r="H5682" i="32"/>
  <c r="H5683" i="32"/>
  <c r="H5684" i="32"/>
  <c r="H5685" i="32"/>
  <c r="H5686" i="32"/>
  <c r="H5687" i="32"/>
  <c r="H5688" i="32"/>
  <c r="H5689" i="32"/>
  <c r="H5690" i="32"/>
  <c r="H5691" i="32"/>
  <c r="H5692" i="32"/>
  <c r="H5693" i="32"/>
  <c r="H5694" i="32"/>
  <c r="H5695" i="32"/>
  <c r="H5696" i="32"/>
  <c r="H5697" i="32"/>
  <c r="H5698" i="32"/>
  <c r="H5699" i="32"/>
  <c r="H5700" i="32"/>
  <c r="H5701" i="32"/>
  <c r="H5702" i="32"/>
  <c r="H5703" i="32"/>
  <c r="H5704" i="32"/>
  <c r="H5705" i="32"/>
  <c r="H5706" i="32"/>
  <c r="H5707" i="32"/>
  <c r="H5708" i="32"/>
  <c r="H5709" i="32"/>
  <c r="H5710" i="32"/>
  <c r="H5711" i="32"/>
  <c r="H5712" i="32"/>
  <c r="H5713" i="32"/>
  <c r="H5714" i="32"/>
  <c r="H5715" i="32"/>
  <c r="H5716" i="32"/>
  <c r="H5717" i="32"/>
  <c r="H5718" i="32"/>
  <c r="H5719" i="32"/>
  <c r="H5720" i="32"/>
  <c r="H5721" i="32"/>
  <c r="H5722" i="32"/>
  <c r="H5723" i="32"/>
  <c r="H5724" i="32"/>
  <c r="H5725" i="32"/>
  <c r="H5726" i="32"/>
  <c r="H5727" i="32"/>
  <c r="H5728" i="32"/>
  <c r="H5729" i="32"/>
  <c r="H5730" i="32"/>
  <c r="H5731" i="32"/>
  <c r="H5732" i="32"/>
  <c r="H5733" i="32"/>
  <c r="H5734" i="32"/>
  <c r="H5735" i="32"/>
  <c r="H5736" i="32"/>
  <c r="H5737" i="32"/>
  <c r="H5738" i="32"/>
  <c r="H5739" i="32"/>
  <c r="H5740" i="32"/>
  <c r="H5741" i="32"/>
  <c r="H5742" i="32"/>
  <c r="H5743" i="32"/>
  <c r="H5744" i="32"/>
  <c r="H5745" i="32"/>
  <c r="H5746" i="32"/>
  <c r="H5747" i="32"/>
  <c r="H5748" i="32"/>
  <c r="H5749" i="32"/>
  <c r="H5750" i="32"/>
  <c r="H5751" i="32"/>
  <c r="H5752" i="32"/>
  <c r="H5753" i="32"/>
  <c r="H5754" i="32"/>
  <c r="H5755" i="32"/>
  <c r="H5756" i="32"/>
  <c r="H5757" i="32"/>
  <c r="H5758" i="32"/>
  <c r="H5759" i="32"/>
  <c r="H5760" i="32"/>
  <c r="H5761" i="32"/>
  <c r="H5762" i="32"/>
  <c r="H5763" i="32"/>
  <c r="H5764" i="32"/>
  <c r="H5765" i="32"/>
  <c r="H5766" i="32"/>
  <c r="H5767" i="32"/>
  <c r="H5768" i="32"/>
  <c r="H5769" i="32"/>
  <c r="H5770" i="32"/>
  <c r="H5771" i="32"/>
  <c r="H5772" i="32"/>
  <c r="H5773" i="32"/>
  <c r="H5774" i="32"/>
  <c r="H5775" i="32"/>
  <c r="H5776" i="32"/>
  <c r="H5777" i="32"/>
  <c r="H5778" i="32"/>
  <c r="H5779" i="32"/>
  <c r="H5780" i="32"/>
  <c r="H5781" i="32"/>
  <c r="H5782" i="32"/>
  <c r="H5783" i="32"/>
  <c r="H5784" i="32"/>
  <c r="H5785" i="32"/>
  <c r="H5786" i="32"/>
  <c r="H5787" i="32"/>
  <c r="H5788" i="32"/>
  <c r="H5789" i="32"/>
  <c r="H5790" i="32"/>
  <c r="H5791" i="32"/>
  <c r="H5792" i="32"/>
  <c r="H5793" i="32"/>
  <c r="H5794" i="32"/>
  <c r="H5795" i="32"/>
  <c r="H5796" i="32"/>
  <c r="H5797" i="32"/>
  <c r="H5798" i="32"/>
  <c r="H5799" i="32"/>
  <c r="H5800" i="32"/>
  <c r="H5801" i="32"/>
  <c r="H5802" i="32"/>
  <c r="H5803" i="32"/>
  <c r="H5804" i="32"/>
  <c r="H5805" i="32"/>
  <c r="H5806" i="32"/>
  <c r="H5807" i="32"/>
  <c r="H5808" i="32"/>
  <c r="H5809" i="32"/>
  <c r="H5810" i="32"/>
  <c r="H5811" i="32"/>
  <c r="H5812" i="32"/>
  <c r="H5813" i="32"/>
  <c r="H5814" i="32"/>
  <c r="H5815" i="32"/>
  <c r="H5816" i="32"/>
  <c r="H5817" i="32"/>
  <c r="H5818" i="32"/>
  <c r="H5819" i="32"/>
  <c r="H5820" i="32"/>
  <c r="H5821" i="32"/>
  <c r="H5822" i="32"/>
  <c r="H5823" i="32"/>
  <c r="H5824" i="32"/>
  <c r="H5825" i="32"/>
  <c r="H5826" i="32"/>
  <c r="H5827" i="32"/>
  <c r="H5828" i="32"/>
  <c r="H5829" i="32"/>
  <c r="H5830" i="32"/>
  <c r="H5831" i="32"/>
  <c r="H5832" i="32"/>
  <c r="H5833" i="32"/>
  <c r="H5834" i="32"/>
  <c r="H5835" i="32"/>
  <c r="H5836" i="32"/>
  <c r="H5837" i="32"/>
  <c r="H5838" i="32"/>
  <c r="H5839" i="32"/>
  <c r="H5840" i="32"/>
  <c r="H5841" i="32"/>
  <c r="H5842" i="32"/>
  <c r="H5843" i="32"/>
  <c r="H5844" i="32"/>
  <c r="H5845" i="32"/>
  <c r="H5846" i="32"/>
  <c r="H5847" i="32"/>
  <c r="H5848" i="32"/>
  <c r="H5849" i="32"/>
  <c r="H5850" i="32"/>
  <c r="H5851" i="32"/>
  <c r="H5852" i="32"/>
  <c r="H5853" i="32"/>
  <c r="H5854" i="32"/>
  <c r="H5855" i="32"/>
  <c r="H5856" i="32"/>
  <c r="H5857" i="32"/>
  <c r="H5858" i="32"/>
  <c r="H5859" i="32"/>
  <c r="H5860" i="32"/>
  <c r="H5861" i="32"/>
  <c r="H5862" i="32"/>
  <c r="H5863" i="32"/>
  <c r="H5864" i="32"/>
  <c r="H5865" i="32"/>
  <c r="H5866" i="32"/>
  <c r="H5867" i="32"/>
  <c r="H5868" i="32"/>
  <c r="H5869" i="32"/>
  <c r="H5870" i="32"/>
  <c r="H5871" i="32"/>
  <c r="H5872" i="32"/>
  <c r="H5873" i="32"/>
  <c r="H5874" i="32"/>
  <c r="H5875" i="32"/>
  <c r="H5876" i="32"/>
  <c r="H5877" i="32"/>
  <c r="H5878" i="32"/>
  <c r="H5879" i="32"/>
  <c r="H5880" i="32"/>
  <c r="H5881" i="32"/>
  <c r="H5882" i="32"/>
  <c r="H5883" i="32"/>
  <c r="H5884" i="32"/>
  <c r="H5885" i="32"/>
  <c r="H5886" i="32"/>
  <c r="H5887" i="32"/>
  <c r="H5888" i="32"/>
  <c r="H5889" i="32"/>
  <c r="H5890" i="32"/>
  <c r="H5891" i="32"/>
  <c r="H5892" i="32"/>
  <c r="H5893" i="32"/>
  <c r="H5894" i="32"/>
  <c r="H5895" i="32"/>
  <c r="H5896" i="32"/>
  <c r="H5897" i="32"/>
  <c r="H5898" i="32"/>
  <c r="H5899" i="32"/>
  <c r="H5900" i="32"/>
  <c r="H5901" i="32"/>
  <c r="H5902" i="32"/>
  <c r="H5903" i="32"/>
  <c r="H5904" i="32"/>
  <c r="H5905" i="32"/>
  <c r="H5906" i="32"/>
  <c r="H5907" i="32"/>
  <c r="H5908" i="32"/>
  <c r="H5909" i="32"/>
  <c r="H5910" i="32"/>
  <c r="H5911" i="32"/>
  <c r="H5912" i="32"/>
  <c r="H5913" i="32"/>
  <c r="H5914" i="32"/>
  <c r="H5915" i="32"/>
  <c r="H5916" i="32"/>
  <c r="H5917" i="32"/>
  <c r="H5918" i="32"/>
  <c r="H5919" i="32"/>
  <c r="H5920" i="32"/>
  <c r="H5921" i="32"/>
  <c r="H5" i="32"/>
  <c r="E81" i="30"/>
  <c r="G328" i="3" l="1"/>
  <c r="H328" i="3" s="1"/>
  <c r="G63" i="3"/>
  <c r="H63" i="3" s="1"/>
  <c r="I674" i="30"/>
  <c r="I1069" i="30"/>
  <c r="I392" i="30"/>
  <c r="I121" i="30"/>
  <c r="I81" i="30"/>
  <c r="H81" i="30" l="1"/>
  <c r="G81" i="30" s="1"/>
  <c r="H121" i="30"/>
  <c r="G121" i="30" s="1"/>
  <c r="G28" i="3" s="1"/>
  <c r="H28" i="3" s="1"/>
  <c r="H392" i="30"/>
  <c r="G392" i="30" s="1"/>
  <c r="H674" i="30"/>
  <c r="G674" i="30" s="1"/>
  <c r="H1069" i="30"/>
  <c r="G1069" i="30" s="1"/>
  <c r="G358" i="3" s="1"/>
  <c r="H358" i="3" s="1"/>
  <c r="I8" i="30"/>
  <c r="H8" i="30" s="1"/>
  <c r="G8" i="30" s="1"/>
  <c r="I9" i="30"/>
  <c r="H9" i="30" s="1"/>
  <c r="G9" i="30" s="1"/>
  <c r="I10" i="30"/>
  <c r="H10" i="30" s="1"/>
  <c r="G10" i="30" s="1"/>
  <c r="I11" i="30"/>
  <c r="H11" i="30" s="1"/>
  <c r="G11" i="30" s="1"/>
  <c r="I12" i="30"/>
  <c r="H12" i="30" s="1"/>
  <c r="G12" i="30" s="1"/>
  <c r="I13" i="30"/>
  <c r="H13" i="30" s="1"/>
  <c r="G13" i="30" s="1"/>
  <c r="I14" i="30"/>
  <c r="H14" i="30" s="1"/>
  <c r="G14" i="30" s="1"/>
  <c r="I15" i="30"/>
  <c r="H15" i="30" s="1"/>
  <c r="G15" i="30" s="1"/>
  <c r="I16" i="30"/>
  <c r="H16" i="30" s="1"/>
  <c r="G16" i="30" s="1"/>
  <c r="I17" i="30"/>
  <c r="H17" i="30" s="1"/>
  <c r="G17" i="30" s="1"/>
  <c r="I18" i="30"/>
  <c r="H18" i="30" s="1"/>
  <c r="G18" i="30" s="1"/>
  <c r="I19" i="30"/>
  <c r="H19" i="30" s="1"/>
  <c r="G19" i="30" s="1"/>
  <c r="I20" i="30"/>
  <c r="H20" i="30" s="1"/>
  <c r="G20" i="30" s="1"/>
  <c r="I21" i="30"/>
  <c r="H21" i="30" s="1"/>
  <c r="G21" i="30" s="1"/>
  <c r="I22" i="30"/>
  <c r="H22" i="30" s="1"/>
  <c r="G22" i="30" s="1"/>
  <c r="I23" i="30"/>
  <c r="H23" i="30" s="1"/>
  <c r="G23" i="30" s="1"/>
  <c r="I24" i="30"/>
  <c r="H24" i="30" s="1"/>
  <c r="G24" i="30" s="1"/>
  <c r="I25" i="30"/>
  <c r="H25" i="30" s="1"/>
  <c r="G25" i="30" s="1"/>
  <c r="I26" i="30"/>
  <c r="H26" i="30" s="1"/>
  <c r="G26" i="30" s="1"/>
  <c r="I27" i="30"/>
  <c r="H27" i="30" s="1"/>
  <c r="G27" i="30" s="1"/>
  <c r="I28" i="30"/>
  <c r="H28" i="30" s="1"/>
  <c r="G28" i="30" s="1"/>
  <c r="I29" i="30"/>
  <c r="H29" i="30" s="1"/>
  <c r="G29" i="30" s="1"/>
  <c r="I30" i="30"/>
  <c r="H30" i="30" s="1"/>
  <c r="G30" i="30" s="1"/>
  <c r="I31" i="30"/>
  <c r="H31" i="30" s="1"/>
  <c r="G31" i="30" s="1"/>
  <c r="I32" i="30"/>
  <c r="H32" i="30" s="1"/>
  <c r="G32" i="30" s="1"/>
  <c r="I33" i="30"/>
  <c r="H33" i="30" s="1"/>
  <c r="G33" i="30" s="1"/>
  <c r="I34" i="30"/>
  <c r="H34" i="30" s="1"/>
  <c r="G34" i="30" s="1"/>
  <c r="I35" i="30"/>
  <c r="H35" i="30" s="1"/>
  <c r="G35" i="30" s="1"/>
  <c r="I36" i="30"/>
  <c r="H36" i="30" s="1"/>
  <c r="G36" i="30" s="1"/>
  <c r="I37" i="30"/>
  <c r="H37" i="30" s="1"/>
  <c r="G37" i="30" s="1"/>
  <c r="I38" i="30"/>
  <c r="H38" i="30" s="1"/>
  <c r="G38" i="30" s="1"/>
  <c r="I39" i="30"/>
  <c r="H39" i="30" s="1"/>
  <c r="G39" i="30" s="1"/>
  <c r="I40" i="30"/>
  <c r="H40" i="30" s="1"/>
  <c r="G40" i="30" s="1"/>
  <c r="I41" i="30"/>
  <c r="H41" i="30" s="1"/>
  <c r="G41" i="30" s="1"/>
  <c r="I42" i="30"/>
  <c r="H42" i="30" s="1"/>
  <c r="G42" i="30" s="1"/>
  <c r="I43" i="30"/>
  <c r="H43" i="30" s="1"/>
  <c r="G43" i="30" s="1"/>
  <c r="I44" i="30"/>
  <c r="H44" i="30" s="1"/>
  <c r="G44" i="30" s="1"/>
  <c r="I45" i="30"/>
  <c r="H45" i="30" s="1"/>
  <c r="G45" i="30" s="1"/>
  <c r="I46" i="30"/>
  <c r="H46" i="30" s="1"/>
  <c r="G46" i="30" s="1"/>
  <c r="I47" i="30"/>
  <c r="H47" i="30" s="1"/>
  <c r="G47" i="30" s="1"/>
  <c r="I48" i="30"/>
  <c r="H48" i="30" s="1"/>
  <c r="G48" i="30" s="1"/>
  <c r="I49" i="30"/>
  <c r="H49" i="30" s="1"/>
  <c r="G49" i="30" s="1"/>
  <c r="I50" i="30"/>
  <c r="H50" i="30" s="1"/>
  <c r="G50" i="30" s="1"/>
  <c r="I51" i="30"/>
  <c r="H51" i="30" s="1"/>
  <c r="G51" i="30" s="1"/>
  <c r="I52" i="30"/>
  <c r="H52" i="30" s="1"/>
  <c r="G52" i="30" s="1"/>
  <c r="I53" i="30"/>
  <c r="H53" i="30" s="1"/>
  <c r="G53" i="30" s="1"/>
  <c r="I54" i="30"/>
  <c r="H54" i="30" s="1"/>
  <c r="G54" i="30" s="1"/>
  <c r="I55" i="30"/>
  <c r="H55" i="30" s="1"/>
  <c r="G55" i="30" s="1"/>
  <c r="I56" i="30"/>
  <c r="H56" i="30" s="1"/>
  <c r="G56" i="30" s="1"/>
  <c r="I57" i="30"/>
  <c r="H57" i="30" s="1"/>
  <c r="G57" i="30" s="1"/>
  <c r="I58" i="30"/>
  <c r="H58" i="30" s="1"/>
  <c r="G58" i="30" s="1"/>
  <c r="I59" i="30"/>
  <c r="H59" i="30" s="1"/>
  <c r="G59" i="30" s="1"/>
  <c r="I60" i="30"/>
  <c r="H60" i="30" s="1"/>
  <c r="G60" i="30" s="1"/>
  <c r="I61" i="30"/>
  <c r="H61" i="30" s="1"/>
  <c r="G61" i="30" s="1"/>
  <c r="I62" i="30"/>
  <c r="H62" i="30" s="1"/>
  <c r="G62" i="30" s="1"/>
  <c r="I63" i="30"/>
  <c r="H63" i="30" s="1"/>
  <c r="G63" i="30" s="1"/>
  <c r="I64" i="30"/>
  <c r="H64" i="30" s="1"/>
  <c r="G64" i="30" s="1"/>
  <c r="I65" i="30"/>
  <c r="H65" i="30" s="1"/>
  <c r="G65" i="30" s="1"/>
  <c r="I66" i="30"/>
  <c r="H66" i="30" s="1"/>
  <c r="G66" i="30" s="1"/>
  <c r="I67" i="30"/>
  <c r="H67" i="30" s="1"/>
  <c r="G67" i="30" s="1"/>
  <c r="I68" i="30"/>
  <c r="H68" i="30" s="1"/>
  <c r="G68" i="30" s="1"/>
  <c r="I69" i="30"/>
  <c r="H69" i="30" s="1"/>
  <c r="G69" i="30" s="1"/>
  <c r="I70" i="30"/>
  <c r="H70" i="30" s="1"/>
  <c r="G70" i="30" s="1"/>
  <c r="I71" i="30"/>
  <c r="H71" i="30" s="1"/>
  <c r="G71" i="30" s="1"/>
  <c r="I72" i="30"/>
  <c r="H72" i="30" s="1"/>
  <c r="G72" i="30" s="1"/>
  <c r="I73" i="30"/>
  <c r="H73" i="30" s="1"/>
  <c r="G73" i="30" s="1"/>
  <c r="G9" i="3" s="1"/>
  <c r="H9" i="3" s="1"/>
  <c r="I74" i="30"/>
  <c r="H74" i="30" s="1"/>
  <c r="G74" i="30" s="1"/>
  <c r="G10" i="3" s="1"/>
  <c r="H10" i="3" s="1"/>
  <c r="I75" i="30"/>
  <c r="H75" i="30" s="1"/>
  <c r="G75" i="30" s="1"/>
  <c r="I76" i="30"/>
  <c r="H76" i="30" s="1"/>
  <c r="G76" i="30" s="1"/>
  <c r="G13" i="3" s="1"/>
  <c r="H13" i="3" s="1"/>
  <c r="I77" i="30"/>
  <c r="H77" i="30" s="1"/>
  <c r="G77" i="30" s="1"/>
  <c r="I78" i="30"/>
  <c r="H78" i="30" s="1"/>
  <c r="G78" i="30" s="1"/>
  <c r="I79" i="30"/>
  <c r="H79" i="30" s="1"/>
  <c r="G79" i="30" s="1"/>
  <c r="I80" i="30"/>
  <c r="H80" i="30" s="1"/>
  <c r="G80" i="30" s="1"/>
  <c r="I82" i="30"/>
  <c r="H82" i="30" s="1"/>
  <c r="G82" i="30" s="1"/>
  <c r="I83" i="30"/>
  <c r="H83" i="30" s="1"/>
  <c r="G83" i="30" s="1"/>
  <c r="I84" i="30"/>
  <c r="H84" i="30" s="1"/>
  <c r="G84" i="30" s="1"/>
  <c r="I85" i="30"/>
  <c r="H85" i="30" s="1"/>
  <c r="G85" i="30" s="1"/>
  <c r="I86" i="30"/>
  <c r="H86" i="30" s="1"/>
  <c r="G86" i="30" s="1"/>
  <c r="I87" i="30"/>
  <c r="H87" i="30" s="1"/>
  <c r="G87" i="30" s="1"/>
  <c r="I88" i="30"/>
  <c r="H88" i="30" s="1"/>
  <c r="G88" i="30" s="1"/>
  <c r="I89" i="30"/>
  <c r="H89" i="30" s="1"/>
  <c r="G89" i="30" s="1"/>
  <c r="I90" i="30"/>
  <c r="H90" i="30" s="1"/>
  <c r="G90" i="30" s="1"/>
  <c r="I91" i="30"/>
  <c r="H91" i="30" s="1"/>
  <c r="G91" i="30" s="1"/>
  <c r="I92" i="30"/>
  <c r="H92" i="30" s="1"/>
  <c r="G92" i="30" s="1"/>
  <c r="I93" i="30"/>
  <c r="H93" i="30" s="1"/>
  <c r="G93" i="30" s="1"/>
  <c r="I94" i="30"/>
  <c r="H94" i="30" s="1"/>
  <c r="G94" i="30" s="1"/>
  <c r="I95" i="30"/>
  <c r="H95" i="30" s="1"/>
  <c r="G95" i="30" s="1"/>
  <c r="I96" i="30"/>
  <c r="H96" i="30" s="1"/>
  <c r="G96" i="30" s="1"/>
  <c r="I97" i="30"/>
  <c r="H97" i="30" s="1"/>
  <c r="G97" i="30" s="1"/>
  <c r="I98" i="30"/>
  <c r="H98" i="30" s="1"/>
  <c r="G98" i="30" s="1"/>
  <c r="I99" i="30"/>
  <c r="H99" i="30" s="1"/>
  <c r="G99" i="30" s="1"/>
  <c r="I100" i="30"/>
  <c r="H100" i="30" s="1"/>
  <c r="G100" i="30" s="1"/>
  <c r="I101" i="30"/>
  <c r="H101" i="30" s="1"/>
  <c r="G101" i="30" s="1"/>
  <c r="I102" i="30"/>
  <c r="H102" i="30" s="1"/>
  <c r="G102" i="30" s="1"/>
  <c r="I103" i="30"/>
  <c r="H103" i="30" s="1"/>
  <c r="G103" i="30" s="1"/>
  <c r="G17" i="3" s="1"/>
  <c r="H17" i="3" s="1"/>
  <c r="I104" i="30"/>
  <c r="H104" i="30" s="1"/>
  <c r="G104" i="30" s="1"/>
  <c r="I105" i="30"/>
  <c r="H105" i="30" s="1"/>
  <c r="G105" i="30" s="1"/>
  <c r="I106" i="30"/>
  <c r="H106" i="30" s="1"/>
  <c r="G106" i="30" s="1"/>
  <c r="I107" i="30"/>
  <c r="H107" i="30" s="1"/>
  <c r="G107" i="30" s="1"/>
  <c r="G23" i="3" s="1"/>
  <c r="H23" i="3" s="1"/>
  <c r="I108" i="30"/>
  <c r="H108" i="30" s="1"/>
  <c r="G108" i="30" s="1"/>
  <c r="I109" i="30"/>
  <c r="H109" i="30" s="1"/>
  <c r="G109" i="30" s="1"/>
  <c r="I110" i="30"/>
  <c r="H110" i="30" s="1"/>
  <c r="G110" i="30" s="1"/>
  <c r="I111" i="30"/>
  <c r="H111" i="30" s="1"/>
  <c r="G111" i="30" s="1"/>
  <c r="I112" i="30"/>
  <c r="H112" i="30" s="1"/>
  <c r="G112" i="30" s="1"/>
  <c r="G25" i="3" s="1"/>
  <c r="H25" i="3" s="1"/>
  <c r="I113" i="30"/>
  <c r="H113" i="30" s="1"/>
  <c r="G113" i="30" s="1"/>
  <c r="I114" i="30"/>
  <c r="H114" i="30" s="1"/>
  <c r="G114" i="30" s="1"/>
  <c r="I115" i="30"/>
  <c r="H115" i="30" s="1"/>
  <c r="G115" i="30" s="1"/>
  <c r="I116" i="30"/>
  <c r="H116" i="30" s="1"/>
  <c r="G116" i="30" s="1"/>
  <c r="I117" i="30"/>
  <c r="H117" i="30" s="1"/>
  <c r="G117" i="30" s="1"/>
  <c r="I118" i="30"/>
  <c r="H118" i="30" s="1"/>
  <c r="G118" i="30" s="1"/>
  <c r="G26" i="3" s="1"/>
  <c r="H26" i="3" s="1"/>
  <c r="I119" i="30"/>
  <c r="H119" i="30" s="1"/>
  <c r="G119" i="30" s="1"/>
  <c r="G27" i="3" s="1"/>
  <c r="H27" i="3" s="1"/>
  <c r="I120" i="30"/>
  <c r="H120" i="30" s="1"/>
  <c r="G120" i="30" s="1"/>
  <c r="I122" i="30"/>
  <c r="H122" i="30" s="1"/>
  <c r="G122" i="30" s="1"/>
  <c r="G29" i="3" s="1"/>
  <c r="H29" i="3" s="1"/>
  <c r="I123" i="30"/>
  <c r="H123" i="30" s="1"/>
  <c r="G123" i="30" s="1"/>
  <c r="G21" i="3" s="1"/>
  <c r="H21" i="3" s="1"/>
  <c r="I124" i="30"/>
  <c r="H124" i="30" s="1"/>
  <c r="G124" i="30" s="1"/>
  <c r="I125" i="30"/>
  <c r="H125" i="30" s="1"/>
  <c r="G125" i="30" s="1"/>
  <c r="I126" i="30"/>
  <c r="H126" i="30" s="1"/>
  <c r="G126" i="30" s="1"/>
  <c r="I127" i="30"/>
  <c r="H127" i="30" s="1"/>
  <c r="G127" i="30" s="1"/>
  <c r="I128" i="30"/>
  <c r="H128" i="30" s="1"/>
  <c r="G128" i="30" s="1"/>
  <c r="I129" i="30"/>
  <c r="H129" i="30" s="1"/>
  <c r="G129" i="30" s="1"/>
  <c r="I130" i="30"/>
  <c r="H130" i="30" s="1"/>
  <c r="G130" i="30" s="1"/>
  <c r="I131" i="30"/>
  <c r="H131" i="30" s="1"/>
  <c r="G131" i="30" s="1"/>
  <c r="I132" i="30"/>
  <c r="H132" i="30" s="1"/>
  <c r="G132" i="30" s="1"/>
  <c r="I133" i="30"/>
  <c r="H133" i="30" s="1"/>
  <c r="G133" i="30" s="1"/>
  <c r="I134" i="30"/>
  <c r="H134" i="30" s="1"/>
  <c r="G134" i="30" s="1"/>
  <c r="I135" i="30"/>
  <c r="H135" i="30" s="1"/>
  <c r="G135" i="30" s="1"/>
  <c r="I136" i="30"/>
  <c r="H136" i="30" s="1"/>
  <c r="G136" i="30" s="1"/>
  <c r="I137" i="30"/>
  <c r="H137" i="30" s="1"/>
  <c r="G137" i="30" s="1"/>
  <c r="I138" i="30"/>
  <c r="H138" i="30" s="1"/>
  <c r="G138" i="30" s="1"/>
  <c r="I139" i="30"/>
  <c r="H139" i="30" s="1"/>
  <c r="G139" i="30" s="1"/>
  <c r="I140" i="30"/>
  <c r="H140" i="30" s="1"/>
  <c r="G140" i="30" s="1"/>
  <c r="I141" i="30"/>
  <c r="H141" i="30" s="1"/>
  <c r="G141" i="30" s="1"/>
  <c r="I142" i="30"/>
  <c r="H142" i="30" s="1"/>
  <c r="G142" i="30" s="1"/>
  <c r="G49" i="3" s="1"/>
  <c r="H49" i="3" s="1"/>
  <c r="I143" i="30"/>
  <c r="H143" i="30" s="1"/>
  <c r="G143" i="30" s="1"/>
  <c r="I144" i="30"/>
  <c r="H144" i="30" s="1"/>
  <c r="G144" i="30" s="1"/>
  <c r="I145" i="30"/>
  <c r="H145" i="30" s="1"/>
  <c r="G145" i="30" s="1"/>
  <c r="I146" i="30"/>
  <c r="H146" i="30" s="1"/>
  <c r="G146" i="30" s="1"/>
  <c r="I147" i="30"/>
  <c r="H147" i="30" s="1"/>
  <c r="G147" i="30" s="1"/>
  <c r="I148" i="30"/>
  <c r="H148" i="30" s="1"/>
  <c r="G148" i="30" s="1"/>
  <c r="G52" i="3" s="1"/>
  <c r="H52" i="3" s="1"/>
  <c r="I149" i="30"/>
  <c r="H149" i="30" s="1"/>
  <c r="G149" i="30" s="1"/>
  <c r="I150" i="30"/>
  <c r="H150" i="30" s="1"/>
  <c r="G150" i="30" s="1"/>
  <c r="I151" i="30"/>
  <c r="H151" i="30" s="1"/>
  <c r="G151" i="30" s="1"/>
  <c r="I152" i="30"/>
  <c r="H152" i="30" s="1"/>
  <c r="G152" i="30" s="1"/>
  <c r="I153" i="30"/>
  <c r="H153" i="30" s="1"/>
  <c r="G153" i="30" s="1"/>
  <c r="G54" i="3" s="1"/>
  <c r="H54" i="3" s="1"/>
  <c r="I154" i="30"/>
  <c r="H154" i="30" s="1"/>
  <c r="G154" i="30" s="1"/>
  <c r="I155" i="30"/>
  <c r="H155" i="30" s="1"/>
  <c r="G155" i="30" s="1"/>
  <c r="I156" i="30"/>
  <c r="H156" i="30" s="1"/>
  <c r="G156" i="30" s="1"/>
  <c r="G56" i="3" s="1"/>
  <c r="H56" i="3" s="1"/>
  <c r="I157" i="30"/>
  <c r="H157" i="30" s="1"/>
  <c r="G157" i="30" s="1"/>
  <c r="I158" i="30"/>
  <c r="H158" i="30" s="1"/>
  <c r="G158" i="30" s="1"/>
  <c r="I159" i="30"/>
  <c r="H159" i="30" s="1"/>
  <c r="G159" i="30" s="1"/>
  <c r="I160" i="30"/>
  <c r="H160" i="30" s="1"/>
  <c r="G160" i="30" s="1"/>
  <c r="I161" i="30"/>
  <c r="H161" i="30" s="1"/>
  <c r="G161" i="30" s="1"/>
  <c r="I162" i="30"/>
  <c r="H162" i="30" s="1"/>
  <c r="G162" i="30" s="1"/>
  <c r="I163" i="30"/>
  <c r="H163" i="30" s="1"/>
  <c r="G163" i="30" s="1"/>
  <c r="I164" i="30"/>
  <c r="H164" i="30" s="1"/>
  <c r="G164" i="30" s="1"/>
  <c r="G61" i="3" s="1"/>
  <c r="H61" i="3" s="1"/>
  <c r="I165" i="30"/>
  <c r="H165" i="30" s="1"/>
  <c r="G165" i="30" s="1"/>
  <c r="I166" i="30"/>
  <c r="H166" i="30" s="1"/>
  <c r="G166" i="30" s="1"/>
  <c r="I167" i="30"/>
  <c r="H167" i="30" s="1"/>
  <c r="G167" i="30" s="1"/>
  <c r="I168" i="30"/>
  <c r="H168" i="30" s="1"/>
  <c r="G168" i="30" s="1"/>
  <c r="I169" i="30"/>
  <c r="H169" i="30" s="1"/>
  <c r="G169" i="30" s="1"/>
  <c r="I170" i="30"/>
  <c r="H170" i="30" s="1"/>
  <c r="G170" i="30" s="1"/>
  <c r="I171" i="30"/>
  <c r="H171" i="30" s="1"/>
  <c r="G171" i="30" s="1"/>
  <c r="G64" i="3" s="1"/>
  <c r="H64" i="3" s="1"/>
  <c r="I172" i="30"/>
  <c r="H172" i="30" s="1"/>
  <c r="G172" i="30" s="1"/>
  <c r="G65" i="3" s="1"/>
  <c r="H65" i="3" s="1"/>
  <c r="I173" i="30"/>
  <c r="H173" i="30" s="1"/>
  <c r="G173" i="30" s="1"/>
  <c r="G66" i="3" s="1"/>
  <c r="H66" i="3" s="1"/>
  <c r="I174" i="30"/>
  <c r="H174" i="30" s="1"/>
  <c r="G174" i="30" s="1"/>
  <c r="I175" i="30"/>
  <c r="H175" i="30" s="1"/>
  <c r="G175" i="30" s="1"/>
  <c r="G62" i="3" s="1"/>
  <c r="H62" i="3" s="1"/>
  <c r="I176" i="30"/>
  <c r="H176" i="30" s="1"/>
  <c r="G176" i="30" s="1"/>
  <c r="I177" i="30"/>
  <c r="H177" i="30" s="1"/>
  <c r="G177" i="30" s="1"/>
  <c r="I178" i="30"/>
  <c r="H178" i="30" s="1"/>
  <c r="G178" i="30" s="1"/>
  <c r="I179" i="30"/>
  <c r="H179" i="30" s="1"/>
  <c r="G179" i="30" s="1"/>
  <c r="I180" i="30"/>
  <c r="H180" i="30" s="1"/>
  <c r="G180" i="30" s="1"/>
  <c r="I181" i="30"/>
  <c r="H181" i="30" s="1"/>
  <c r="G181" i="30" s="1"/>
  <c r="I182" i="30"/>
  <c r="H182" i="30" s="1"/>
  <c r="G182" i="30" s="1"/>
  <c r="G68" i="3" s="1"/>
  <c r="H68" i="3" s="1"/>
  <c r="I183" i="30"/>
  <c r="H183" i="30" s="1"/>
  <c r="G183" i="30" s="1"/>
  <c r="I184" i="30"/>
  <c r="H184" i="30" s="1"/>
  <c r="G184" i="30" s="1"/>
  <c r="I185" i="30"/>
  <c r="H185" i="30" s="1"/>
  <c r="G185" i="30" s="1"/>
  <c r="I186" i="30"/>
  <c r="H186" i="30" s="1"/>
  <c r="G186" i="30" s="1"/>
  <c r="I187" i="30"/>
  <c r="H187" i="30" s="1"/>
  <c r="G187" i="30" s="1"/>
  <c r="G71" i="3" s="1"/>
  <c r="H71" i="3" s="1"/>
  <c r="I188" i="30"/>
  <c r="H188" i="30" s="1"/>
  <c r="G188" i="30" s="1"/>
  <c r="I189" i="30"/>
  <c r="H189" i="30" s="1"/>
  <c r="G189" i="30" s="1"/>
  <c r="G72" i="3" s="1"/>
  <c r="H72" i="3" s="1"/>
  <c r="I190" i="30"/>
  <c r="H190" i="30" s="1"/>
  <c r="G190" i="30" s="1"/>
  <c r="I191" i="30"/>
  <c r="H191" i="30" s="1"/>
  <c r="G191" i="30" s="1"/>
  <c r="I192" i="30"/>
  <c r="H192" i="30" s="1"/>
  <c r="G192" i="30" s="1"/>
  <c r="I193" i="30"/>
  <c r="H193" i="30" s="1"/>
  <c r="G193" i="30" s="1"/>
  <c r="I194" i="30"/>
  <c r="H194" i="30" s="1"/>
  <c r="G194" i="30" s="1"/>
  <c r="G74" i="3" s="1"/>
  <c r="H74" i="3" s="1"/>
  <c r="I195" i="30"/>
  <c r="H195" i="30" s="1"/>
  <c r="G195" i="30" s="1"/>
  <c r="I196" i="30"/>
  <c r="H196" i="30" s="1"/>
  <c r="G196" i="30" s="1"/>
  <c r="I197" i="30"/>
  <c r="H197" i="30" s="1"/>
  <c r="G197" i="30" s="1"/>
  <c r="I198" i="30"/>
  <c r="H198" i="30" s="1"/>
  <c r="G198" i="30" s="1"/>
  <c r="I199" i="30"/>
  <c r="H199" i="30" s="1"/>
  <c r="G199" i="30" s="1"/>
  <c r="I200" i="30"/>
  <c r="H200" i="30" s="1"/>
  <c r="G200" i="30" s="1"/>
  <c r="I201" i="30"/>
  <c r="H201" i="30" s="1"/>
  <c r="G201" i="30" s="1"/>
  <c r="I202" i="30"/>
  <c r="H202" i="30" s="1"/>
  <c r="G202" i="30" s="1"/>
  <c r="I203" i="30"/>
  <c r="H203" i="30" s="1"/>
  <c r="G203" i="30" s="1"/>
  <c r="I204" i="30"/>
  <c r="H204" i="30" s="1"/>
  <c r="G204" i="30" s="1"/>
  <c r="I205" i="30"/>
  <c r="H205" i="30" s="1"/>
  <c r="G205" i="30" s="1"/>
  <c r="I206" i="30"/>
  <c r="H206" i="30" s="1"/>
  <c r="G206" i="30" s="1"/>
  <c r="I207" i="30"/>
  <c r="H207" i="30" s="1"/>
  <c r="G207" i="30" s="1"/>
  <c r="I208" i="30"/>
  <c r="H208" i="30" s="1"/>
  <c r="G208" i="30" s="1"/>
  <c r="I209" i="30"/>
  <c r="H209" i="30" s="1"/>
  <c r="G209" i="30" s="1"/>
  <c r="I210" i="30"/>
  <c r="H210" i="30" s="1"/>
  <c r="G210" i="30" s="1"/>
  <c r="I211" i="30"/>
  <c r="H211" i="30" s="1"/>
  <c r="G211" i="30" s="1"/>
  <c r="I212" i="30"/>
  <c r="H212" i="30" s="1"/>
  <c r="G212" i="30" s="1"/>
  <c r="I213" i="30"/>
  <c r="H213" i="30" s="1"/>
  <c r="G213" i="30" s="1"/>
  <c r="I214" i="30"/>
  <c r="H214" i="30" s="1"/>
  <c r="G214" i="30" s="1"/>
  <c r="I215" i="30"/>
  <c r="H215" i="30" s="1"/>
  <c r="G215" i="30" s="1"/>
  <c r="I216" i="30"/>
  <c r="H216" i="30" s="1"/>
  <c r="G216" i="30" s="1"/>
  <c r="I217" i="30"/>
  <c r="H217" i="30" s="1"/>
  <c r="G217" i="30" s="1"/>
  <c r="I218" i="30"/>
  <c r="H218" i="30" s="1"/>
  <c r="G218" i="30" s="1"/>
  <c r="G85" i="3" s="1"/>
  <c r="H85" i="3" s="1"/>
  <c r="I219" i="30"/>
  <c r="H219" i="30" s="1"/>
  <c r="G219" i="30" s="1"/>
  <c r="I220" i="30"/>
  <c r="H220" i="30" s="1"/>
  <c r="G220" i="30" s="1"/>
  <c r="I221" i="30"/>
  <c r="H221" i="30" s="1"/>
  <c r="G221" i="30" s="1"/>
  <c r="G86" i="3" s="1"/>
  <c r="H86" i="3" s="1"/>
  <c r="I222" i="30"/>
  <c r="H222" i="30" s="1"/>
  <c r="G222" i="30" s="1"/>
  <c r="I223" i="30"/>
  <c r="H223" i="30" s="1"/>
  <c r="G223" i="30" s="1"/>
  <c r="I224" i="30"/>
  <c r="H224" i="30" s="1"/>
  <c r="G224" i="30" s="1"/>
  <c r="I225" i="30"/>
  <c r="H225" i="30" s="1"/>
  <c r="G225" i="30" s="1"/>
  <c r="I226" i="30"/>
  <c r="H226" i="30" s="1"/>
  <c r="G226" i="30" s="1"/>
  <c r="G90" i="3" s="1"/>
  <c r="H90" i="3" s="1"/>
  <c r="I227" i="30"/>
  <c r="H227" i="30" s="1"/>
  <c r="G227" i="30" s="1"/>
  <c r="I228" i="30"/>
  <c r="H228" i="30" s="1"/>
  <c r="G228" i="30" s="1"/>
  <c r="I229" i="30"/>
  <c r="H229" i="30" s="1"/>
  <c r="G229" i="30" s="1"/>
  <c r="I230" i="30"/>
  <c r="H230" i="30" s="1"/>
  <c r="G230" i="30" s="1"/>
  <c r="I231" i="30"/>
  <c r="H231" i="30" s="1"/>
  <c r="G231" i="30" s="1"/>
  <c r="I232" i="30"/>
  <c r="H232" i="30" s="1"/>
  <c r="G232" i="30" s="1"/>
  <c r="I233" i="30"/>
  <c r="H233" i="30" s="1"/>
  <c r="G233" i="30" s="1"/>
  <c r="I234" i="30"/>
  <c r="H234" i="30" s="1"/>
  <c r="G234" i="30" s="1"/>
  <c r="I235" i="30"/>
  <c r="H235" i="30" s="1"/>
  <c r="G235" i="30" s="1"/>
  <c r="I236" i="30"/>
  <c r="H236" i="30" s="1"/>
  <c r="G236" i="30" s="1"/>
  <c r="I237" i="30"/>
  <c r="H237" i="30" s="1"/>
  <c r="G237" i="30" s="1"/>
  <c r="I238" i="30"/>
  <c r="H238" i="30" s="1"/>
  <c r="G238" i="30" s="1"/>
  <c r="I239" i="30"/>
  <c r="H239" i="30" s="1"/>
  <c r="G239" i="30" s="1"/>
  <c r="G84" i="3" s="1"/>
  <c r="H84" i="3" s="1"/>
  <c r="I240" i="30"/>
  <c r="H240" i="30" s="1"/>
  <c r="G240" i="30" s="1"/>
  <c r="I241" i="30"/>
  <c r="H241" i="30" s="1"/>
  <c r="G241" i="30" s="1"/>
  <c r="I242" i="30"/>
  <c r="H242" i="30" s="1"/>
  <c r="G242" i="30" s="1"/>
  <c r="I243" i="30"/>
  <c r="H243" i="30" s="1"/>
  <c r="G243" i="30" s="1"/>
  <c r="I244" i="30"/>
  <c r="H244" i="30" s="1"/>
  <c r="G244" i="30" s="1"/>
  <c r="I245" i="30"/>
  <c r="H245" i="30" s="1"/>
  <c r="G245" i="30" s="1"/>
  <c r="I246" i="30"/>
  <c r="H246" i="30" s="1"/>
  <c r="G246" i="30" s="1"/>
  <c r="I247" i="30"/>
  <c r="H247" i="30" s="1"/>
  <c r="G247" i="30" s="1"/>
  <c r="I248" i="30"/>
  <c r="H248" i="30" s="1"/>
  <c r="G248" i="30" s="1"/>
  <c r="I249" i="30"/>
  <c r="H249" i="30" s="1"/>
  <c r="G249" i="30" s="1"/>
  <c r="I250" i="30"/>
  <c r="H250" i="30" s="1"/>
  <c r="G250" i="30" s="1"/>
  <c r="I251" i="30"/>
  <c r="H251" i="30" s="1"/>
  <c r="G251" i="30" s="1"/>
  <c r="I252" i="30"/>
  <c r="H252" i="30" s="1"/>
  <c r="G252" i="30" s="1"/>
  <c r="I253" i="30"/>
  <c r="H253" i="30" s="1"/>
  <c r="G253" i="30" s="1"/>
  <c r="I254" i="30"/>
  <c r="H254" i="30" s="1"/>
  <c r="G254" i="30" s="1"/>
  <c r="I255" i="30"/>
  <c r="H255" i="30" s="1"/>
  <c r="G255" i="30" s="1"/>
  <c r="I256" i="30"/>
  <c r="H256" i="30" s="1"/>
  <c r="G256" i="30" s="1"/>
  <c r="I257" i="30"/>
  <c r="H257" i="30" s="1"/>
  <c r="G257" i="30" s="1"/>
  <c r="I258" i="30"/>
  <c r="H258" i="30" s="1"/>
  <c r="G258" i="30" s="1"/>
  <c r="I259" i="30"/>
  <c r="H259" i="30" s="1"/>
  <c r="G259" i="30" s="1"/>
  <c r="I260" i="30"/>
  <c r="H260" i="30" s="1"/>
  <c r="G260" i="30" s="1"/>
  <c r="I261" i="30"/>
  <c r="H261" i="30" s="1"/>
  <c r="G261" i="30" s="1"/>
  <c r="I262" i="30"/>
  <c r="H262" i="30" s="1"/>
  <c r="G262" i="30" s="1"/>
  <c r="G95" i="3" s="1"/>
  <c r="H95" i="3" s="1"/>
  <c r="I263" i="30"/>
  <c r="H263" i="30" s="1"/>
  <c r="G263" i="30" s="1"/>
  <c r="G96" i="3" s="1"/>
  <c r="H96" i="3" s="1"/>
  <c r="I264" i="30"/>
  <c r="H264" i="30" s="1"/>
  <c r="G264" i="30" s="1"/>
  <c r="I265" i="30"/>
  <c r="H265" i="30" s="1"/>
  <c r="G265" i="30" s="1"/>
  <c r="I266" i="30"/>
  <c r="H266" i="30" s="1"/>
  <c r="G266" i="30" s="1"/>
  <c r="I267" i="30"/>
  <c r="H267" i="30" s="1"/>
  <c r="G267" i="30" s="1"/>
  <c r="I268" i="30"/>
  <c r="H268" i="30" s="1"/>
  <c r="G268" i="30" s="1"/>
  <c r="I269" i="30"/>
  <c r="H269" i="30" s="1"/>
  <c r="G269" i="30" s="1"/>
  <c r="I270" i="30"/>
  <c r="H270" i="30" s="1"/>
  <c r="G270" i="30" s="1"/>
  <c r="I271" i="30"/>
  <c r="H271" i="30" s="1"/>
  <c r="G271" i="30" s="1"/>
  <c r="I272" i="30"/>
  <c r="H272" i="30" s="1"/>
  <c r="G272" i="30" s="1"/>
  <c r="I273" i="30"/>
  <c r="H273" i="30" s="1"/>
  <c r="G273" i="30" s="1"/>
  <c r="I274" i="30"/>
  <c r="H274" i="30" s="1"/>
  <c r="G274" i="30" s="1"/>
  <c r="I275" i="30"/>
  <c r="H275" i="30" s="1"/>
  <c r="G275" i="30" s="1"/>
  <c r="I276" i="30"/>
  <c r="H276" i="30" s="1"/>
  <c r="G276" i="30" s="1"/>
  <c r="I277" i="30"/>
  <c r="H277" i="30" s="1"/>
  <c r="G277" i="30" s="1"/>
  <c r="I278" i="30"/>
  <c r="H278" i="30" s="1"/>
  <c r="G278" i="30" s="1"/>
  <c r="I279" i="30"/>
  <c r="H279" i="30" s="1"/>
  <c r="G279" i="30" s="1"/>
  <c r="I280" i="30"/>
  <c r="H280" i="30" s="1"/>
  <c r="G280" i="30" s="1"/>
  <c r="I281" i="30"/>
  <c r="H281" i="30" s="1"/>
  <c r="G281" i="30" s="1"/>
  <c r="I282" i="30"/>
  <c r="H282" i="30" s="1"/>
  <c r="G282" i="30" s="1"/>
  <c r="I283" i="30"/>
  <c r="H283" i="30" s="1"/>
  <c r="G283" i="30" s="1"/>
  <c r="I284" i="30"/>
  <c r="H284" i="30" s="1"/>
  <c r="G284" i="30" s="1"/>
  <c r="I285" i="30"/>
  <c r="H285" i="30" s="1"/>
  <c r="G285" i="30" s="1"/>
  <c r="I286" i="30"/>
  <c r="H286" i="30" s="1"/>
  <c r="G286" i="30" s="1"/>
  <c r="I287" i="30"/>
  <c r="H287" i="30" s="1"/>
  <c r="G287" i="30" s="1"/>
  <c r="I288" i="30"/>
  <c r="H288" i="30" s="1"/>
  <c r="G288" i="30" s="1"/>
  <c r="I289" i="30"/>
  <c r="H289" i="30" s="1"/>
  <c r="G289" i="30" s="1"/>
  <c r="I290" i="30"/>
  <c r="H290" i="30" s="1"/>
  <c r="G290" i="30" s="1"/>
  <c r="I291" i="30"/>
  <c r="H291" i="30" s="1"/>
  <c r="G291" i="30" s="1"/>
  <c r="I292" i="30"/>
  <c r="H292" i="30" s="1"/>
  <c r="G292" i="30" s="1"/>
  <c r="I293" i="30"/>
  <c r="H293" i="30" s="1"/>
  <c r="G293" i="30" s="1"/>
  <c r="I294" i="30"/>
  <c r="H294" i="30" s="1"/>
  <c r="G294" i="30" s="1"/>
  <c r="I295" i="30"/>
  <c r="H295" i="30" s="1"/>
  <c r="G295" i="30" s="1"/>
  <c r="I296" i="30"/>
  <c r="H296" i="30" s="1"/>
  <c r="G296" i="30" s="1"/>
  <c r="I297" i="30"/>
  <c r="H297" i="30" s="1"/>
  <c r="G297" i="30" s="1"/>
  <c r="I298" i="30"/>
  <c r="H298" i="30" s="1"/>
  <c r="G298" i="30" s="1"/>
  <c r="I299" i="30"/>
  <c r="H299" i="30" s="1"/>
  <c r="G299" i="30" s="1"/>
  <c r="I300" i="30"/>
  <c r="H300" i="30" s="1"/>
  <c r="G300" i="30" s="1"/>
  <c r="I301" i="30"/>
  <c r="H301" i="30" s="1"/>
  <c r="G301" i="30" s="1"/>
  <c r="I302" i="30"/>
  <c r="H302" i="30" s="1"/>
  <c r="G302" i="30" s="1"/>
  <c r="I303" i="30"/>
  <c r="H303" i="30" s="1"/>
  <c r="G303" i="30" s="1"/>
  <c r="H100" i="3" s="1"/>
  <c r="I304" i="30"/>
  <c r="H304" i="30" s="1"/>
  <c r="G304" i="30" s="1"/>
  <c r="I305" i="30"/>
  <c r="H305" i="30" s="1"/>
  <c r="G305" i="30" s="1"/>
  <c r="I306" i="30"/>
  <c r="H306" i="30" s="1"/>
  <c r="G306" i="30" s="1"/>
  <c r="H101" i="3" s="1"/>
  <c r="I307" i="30"/>
  <c r="H307" i="30" s="1"/>
  <c r="G307" i="30" s="1"/>
  <c r="H102" i="3" s="1"/>
  <c r="I308" i="30"/>
  <c r="H308" i="30" s="1"/>
  <c r="G308" i="30" s="1"/>
  <c r="I309" i="30"/>
  <c r="H309" i="30" s="1"/>
  <c r="G309" i="30" s="1"/>
  <c r="G105" i="3" s="1"/>
  <c r="H105" i="3" s="1"/>
  <c r="I310" i="30"/>
  <c r="H310" i="30" s="1"/>
  <c r="G310" i="30" s="1"/>
  <c r="I311" i="30"/>
  <c r="H311" i="30" s="1"/>
  <c r="G311" i="30" s="1"/>
  <c r="I312" i="30"/>
  <c r="H312" i="30" s="1"/>
  <c r="G312" i="30" s="1"/>
  <c r="I313" i="30"/>
  <c r="H313" i="30" s="1"/>
  <c r="G313" i="30" s="1"/>
  <c r="I314" i="30"/>
  <c r="H314" i="30" s="1"/>
  <c r="G314" i="30" s="1"/>
  <c r="I315" i="30"/>
  <c r="H315" i="30" s="1"/>
  <c r="G315" i="30" s="1"/>
  <c r="I316" i="30"/>
  <c r="H316" i="30" s="1"/>
  <c r="G316" i="30" s="1"/>
  <c r="I317" i="30"/>
  <c r="H317" i="30" s="1"/>
  <c r="G317" i="30" s="1"/>
  <c r="G108" i="3" s="1"/>
  <c r="H108" i="3" s="1"/>
  <c r="I318" i="30"/>
  <c r="H318" i="30" s="1"/>
  <c r="G318" i="30" s="1"/>
  <c r="I319" i="30"/>
  <c r="H319" i="30" s="1"/>
  <c r="G319" i="30" s="1"/>
  <c r="I320" i="30"/>
  <c r="H320" i="30" s="1"/>
  <c r="G320" i="30" s="1"/>
  <c r="I321" i="30"/>
  <c r="H321" i="30" s="1"/>
  <c r="G321" i="30" s="1"/>
  <c r="I322" i="30"/>
  <c r="H322" i="30" s="1"/>
  <c r="G322" i="30" s="1"/>
  <c r="I323" i="30"/>
  <c r="H323" i="30" s="1"/>
  <c r="G323" i="30" s="1"/>
  <c r="H113" i="3" s="1"/>
  <c r="I324" i="30"/>
  <c r="H324" i="30" s="1"/>
  <c r="G324" i="30" s="1"/>
  <c r="I325" i="30"/>
  <c r="H325" i="30" s="1"/>
  <c r="G325" i="30" s="1"/>
  <c r="I326" i="30"/>
  <c r="H326" i="30" s="1"/>
  <c r="G326" i="30" s="1"/>
  <c r="I327" i="30"/>
  <c r="H327" i="30" s="1"/>
  <c r="G327" i="30" s="1"/>
  <c r="I328" i="30"/>
  <c r="H328" i="30" s="1"/>
  <c r="G328" i="30" s="1"/>
  <c r="I329" i="30"/>
  <c r="H329" i="30" s="1"/>
  <c r="G329" i="30" s="1"/>
  <c r="I330" i="30"/>
  <c r="H330" i="30" s="1"/>
  <c r="G330" i="30" s="1"/>
  <c r="I331" i="30"/>
  <c r="H331" i="30" s="1"/>
  <c r="G331" i="30" s="1"/>
  <c r="I332" i="30"/>
  <c r="H332" i="30" s="1"/>
  <c r="G332" i="30" s="1"/>
  <c r="I333" i="30"/>
  <c r="H333" i="30" s="1"/>
  <c r="G333" i="30" s="1"/>
  <c r="I334" i="30"/>
  <c r="H334" i="30" s="1"/>
  <c r="G334" i="30" s="1"/>
  <c r="I335" i="30"/>
  <c r="H335" i="30" s="1"/>
  <c r="G335" i="30" s="1"/>
  <c r="I336" i="30"/>
  <c r="H336" i="30" s="1"/>
  <c r="G336" i="30" s="1"/>
  <c r="I337" i="30"/>
  <c r="H337" i="30" s="1"/>
  <c r="G337" i="30" s="1"/>
  <c r="I338" i="30"/>
  <c r="H338" i="30" s="1"/>
  <c r="G338" i="30" s="1"/>
  <c r="I339" i="30"/>
  <c r="H339" i="30" s="1"/>
  <c r="G339" i="30" s="1"/>
  <c r="G120" i="3" s="1"/>
  <c r="H120" i="3" s="1"/>
  <c r="I340" i="30"/>
  <c r="H340" i="30" s="1"/>
  <c r="G340" i="30" s="1"/>
  <c r="I341" i="30"/>
  <c r="H341" i="30" s="1"/>
  <c r="G341" i="30" s="1"/>
  <c r="I342" i="30"/>
  <c r="H342" i="30" s="1"/>
  <c r="G342" i="30" s="1"/>
  <c r="I343" i="30"/>
  <c r="H343" i="30" s="1"/>
  <c r="G343" i="30" s="1"/>
  <c r="I344" i="30"/>
  <c r="H344" i="30" s="1"/>
  <c r="G344" i="30" s="1"/>
  <c r="I345" i="30"/>
  <c r="H345" i="30" s="1"/>
  <c r="G345" i="30" s="1"/>
  <c r="I346" i="30"/>
  <c r="H346" i="30" s="1"/>
  <c r="G346" i="30" s="1"/>
  <c r="G122" i="3" s="1"/>
  <c r="H122" i="3" s="1"/>
  <c r="I347" i="30"/>
  <c r="H347" i="30" s="1"/>
  <c r="G347" i="30" s="1"/>
  <c r="I348" i="30"/>
  <c r="H348" i="30" s="1"/>
  <c r="G348" i="30" s="1"/>
  <c r="I349" i="30"/>
  <c r="H349" i="30" s="1"/>
  <c r="G349" i="30" s="1"/>
  <c r="I350" i="30"/>
  <c r="H350" i="30" s="1"/>
  <c r="G350" i="30" s="1"/>
  <c r="I351" i="30"/>
  <c r="H351" i="30" s="1"/>
  <c r="G351" i="30" s="1"/>
  <c r="I352" i="30"/>
  <c r="H352" i="30" s="1"/>
  <c r="G352" i="30" s="1"/>
  <c r="I353" i="30"/>
  <c r="H353" i="30" s="1"/>
  <c r="G353" i="30" s="1"/>
  <c r="I354" i="30"/>
  <c r="H354" i="30" s="1"/>
  <c r="G354" i="30" s="1"/>
  <c r="I355" i="30"/>
  <c r="H355" i="30" s="1"/>
  <c r="G355" i="30" s="1"/>
  <c r="I356" i="30"/>
  <c r="H356" i="30" s="1"/>
  <c r="G356" i="30" s="1"/>
  <c r="I357" i="30"/>
  <c r="H357" i="30" s="1"/>
  <c r="G357" i="30" s="1"/>
  <c r="I358" i="30"/>
  <c r="H358" i="30" s="1"/>
  <c r="G358" i="30" s="1"/>
  <c r="I359" i="30"/>
  <c r="H359" i="30" s="1"/>
  <c r="G359" i="30" s="1"/>
  <c r="I360" i="30"/>
  <c r="H360" i="30" s="1"/>
  <c r="G360" i="30" s="1"/>
  <c r="I361" i="30"/>
  <c r="H361" i="30" s="1"/>
  <c r="G361" i="30" s="1"/>
  <c r="I362" i="30"/>
  <c r="H362" i="30" s="1"/>
  <c r="G362" i="30" s="1"/>
  <c r="I363" i="30"/>
  <c r="H363" i="30" s="1"/>
  <c r="G363" i="30" s="1"/>
  <c r="I364" i="30"/>
  <c r="H364" i="30" s="1"/>
  <c r="G364" i="30" s="1"/>
  <c r="I365" i="30"/>
  <c r="H365" i="30" s="1"/>
  <c r="G365" i="30" s="1"/>
  <c r="I366" i="30"/>
  <c r="H366" i="30" s="1"/>
  <c r="G366" i="30" s="1"/>
  <c r="I367" i="30"/>
  <c r="H367" i="30" s="1"/>
  <c r="G367" i="30" s="1"/>
  <c r="I368" i="30"/>
  <c r="H368" i="30" s="1"/>
  <c r="G368" i="30" s="1"/>
  <c r="I369" i="30"/>
  <c r="H369" i="30" s="1"/>
  <c r="G369" i="30" s="1"/>
  <c r="H133" i="3" s="1"/>
  <c r="H134" i="3" s="1"/>
  <c r="K14" i="2" s="1"/>
  <c r="L14" i="2" s="1"/>
  <c r="I370" i="30"/>
  <c r="H370" i="30" s="1"/>
  <c r="G370" i="30" s="1"/>
  <c r="I371" i="30"/>
  <c r="H371" i="30" s="1"/>
  <c r="G371" i="30" s="1"/>
  <c r="I372" i="30"/>
  <c r="H372" i="30" s="1"/>
  <c r="G372" i="30" s="1"/>
  <c r="I373" i="30"/>
  <c r="H373" i="30" s="1"/>
  <c r="G373" i="30" s="1"/>
  <c r="I374" i="30"/>
  <c r="H374" i="30" s="1"/>
  <c r="G374" i="30" s="1"/>
  <c r="I375" i="30"/>
  <c r="H375" i="30" s="1"/>
  <c r="G375" i="30" s="1"/>
  <c r="I376" i="30"/>
  <c r="H376" i="30" s="1"/>
  <c r="G376" i="30" s="1"/>
  <c r="I377" i="30"/>
  <c r="H377" i="30" s="1"/>
  <c r="G377" i="30" s="1"/>
  <c r="I378" i="30"/>
  <c r="H378" i="30" s="1"/>
  <c r="G378" i="30" s="1"/>
  <c r="G138" i="3" s="1"/>
  <c r="H138" i="3" s="1"/>
  <c r="I379" i="30"/>
  <c r="H379" i="30" s="1"/>
  <c r="G379" i="30" s="1"/>
  <c r="I380" i="30"/>
  <c r="H380" i="30" s="1"/>
  <c r="G380" i="30" s="1"/>
  <c r="I381" i="30"/>
  <c r="H381" i="30" s="1"/>
  <c r="G381" i="30" s="1"/>
  <c r="I382" i="30"/>
  <c r="H382" i="30" s="1"/>
  <c r="G382" i="30" s="1"/>
  <c r="I383" i="30"/>
  <c r="H383" i="30" s="1"/>
  <c r="G383" i="30" s="1"/>
  <c r="I384" i="30"/>
  <c r="H384" i="30" s="1"/>
  <c r="G384" i="30" s="1"/>
  <c r="I385" i="30"/>
  <c r="H385" i="30" s="1"/>
  <c r="G385" i="30" s="1"/>
  <c r="I386" i="30"/>
  <c r="H386" i="30" s="1"/>
  <c r="G386" i="30" s="1"/>
  <c r="I387" i="30"/>
  <c r="H387" i="30" s="1"/>
  <c r="G387" i="30" s="1"/>
  <c r="I388" i="30"/>
  <c r="H388" i="30" s="1"/>
  <c r="G388" i="30" s="1"/>
  <c r="G140" i="3" s="1"/>
  <c r="H140" i="3" s="1"/>
  <c r="I389" i="30"/>
  <c r="H389" i="30" s="1"/>
  <c r="G389" i="30" s="1"/>
  <c r="I390" i="30"/>
  <c r="H390" i="30" s="1"/>
  <c r="G390" i="30" s="1"/>
  <c r="I391" i="30"/>
  <c r="H391" i="30" s="1"/>
  <c r="G391" i="30" s="1"/>
  <c r="G142" i="3" s="1"/>
  <c r="H142" i="3" s="1"/>
  <c r="I393" i="30"/>
  <c r="H393" i="30" s="1"/>
  <c r="G393" i="30" s="1"/>
  <c r="I394" i="30"/>
  <c r="H394" i="30" s="1"/>
  <c r="G394" i="30" s="1"/>
  <c r="I395" i="30"/>
  <c r="H395" i="30" s="1"/>
  <c r="G395" i="30" s="1"/>
  <c r="I396" i="30"/>
  <c r="H396" i="30" s="1"/>
  <c r="G396" i="30" s="1"/>
  <c r="I397" i="30"/>
  <c r="H397" i="30" s="1"/>
  <c r="G397" i="30" s="1"/>
  <c r="I398" i="30"/>
  <c r="H398" i="30" s="1"/>
  <c r="G398" i="30" s="1"/>
  <c r="I399" i="30"/>
  <c r="H399" i="30" s="1"/>
  <c r="G399" i="30" s="1"/>
  <c r="I400" i="30"/>
  <c r="H400" i="30" s="1"/>
  <c r="G400" i="30" s="1"/>
  <c r="I401" i="30"/>
  <c r="H401" i="30" s="1"/>
  <c r="G401" i="30" s="1"/>
  <c r="I402" i="30"/>
  <c r="H402" i="30" s="1"/>
  <c r="G402" i="30" s="1"/>
  <c r="I403" i="30"/>
  <c r="H403" i="30" s="1"/>
  <c r="G403" i="30" s="1"/>
  <c r="I404" i="30"/>
  <c r="H404" i="30" s="1"/>
  <c r="G404" i="30" s="1"/>
  <c r="I405" i="30"/>
  <c r="H405" i="30" s="1"/>
  <c r="G405" i="30" s="1"/>
  <c r="I406" i="30"/>
  <c r="H406" i="30" s="1"/>
  <c r="G406" i="30" s="1"/>
  <c r="G150" i="3" s="1"/>
  <c r="H150" i="3" s="1"/>
  <c r="I407" i="30"/>
  <c r="H407" i="30" s="1"/>
  <c r="G407" i="30" s="1"/>
  <c r="I408" i="30"/>
  <c r="H408" i="30" s="1"/>
  <c r="G408" i="30" s="1"/>
  <c r="I409" i="30"/>
  <c r="H409" i="30" s="1"/>
  <c r="G409" i="30" s="1"/>
  <c r="I410" i="30"/>
  <c r="H410" i="30" s="1"/>
  <c r="G410" i="30" s="1"/>
  <c r="I411" i="30"/>
  <c r="H411" i="30" s="1"/>
  <c r="G411" i="30" s="1"/>
  <c r="I412" i="30"/>
  <c r="H412" i="30" s="1"/>
  <c r="G412" i="30" s="1"/>
  <c r="I413" i="30"/>
  <c r="H413" i="30" s="1"/>
  <c r="G413" i="30" s="1"/>
  <c r="I414" i="30"/>
  <c r="H414" i="30" s="1"/>
  <c r="G414" i="30" s="1"/>
  <c r="I415" i="30"/>
  <c r="H415" i="30" s="1"/>
  <c r="G415" i="30" s="1"/>
  <c r="I416" i="30"/>
  <c r="H416" i="30" s="1"/>
  <c r="G416" i="30" s="1"/>
  <c r="I417" i="30"/>
  <c r="H417" i="30" s="1"/>
  <c r="G417" i="30" s="1"/>
  <c r="I418" i="30"/>
  <c r="H418" i="30" s="1"/>
  <c r="G418" i="30" s="1"/>
  <c r="G151" i="3" s="1"/>
  <c r="H151" i="3" s="1"/>
  <c r="I419" i="30"/>
  <c r="H419" i="30" s="1"/>
  <c r="G419" i="30" s="1"/>
  <c r="I420" i="30"/>
  <c r="H420" i="30" s="1"/>
  <c r="G420" i="30" s="1"/>
  <c r="I421" i="30"/>
  <c r="H421" i="30" s="1"/>
  <c r="G421" i="30" s="1"/>
  <c r="I422" i="30"/>
  <c r="H422" i="30" s="1"/>
  <c r="G422" i="30" s="1"/>
  <c r="I423" i="30"/>
  <c r="H423" i="30" s="1"/>
  <c r="G423" i="30" s="1"/>
  <c r="I424" i="30"/>
  <c r="H424" i="30" s="1"/>
  <c r="G424" i="30" s="1"/>
  <c r="I425" i="30"/>
  <c r="H425" i="30" s="1"/>
  <c r="G425" i="30" s="1"/>
  <c r="H148" i="3" s="1"/>
  <c r="I426" i="30"/>
  <c r="H426" i="30" s="1"/>
  <c r="G426" i="30" s="1"/>
  <c r="I427" i="30"/>
  <c r="H427" i="30" s="1"/>
  <c r="G427" i="30" s="1"/>
  <c r="I428" i="30"/>
  <c r="H428" i="30" s="1"/>
  <c r="G428" i="30" s="1"/>
  <c r="G153" i="3" s="1"/>
  <c r="H153" i="3" s="1"/>
  <c r="I429" i="30"/>
  <c r="H429" i="30" s="1"/>
  <c r="G429" i="30" s="1"/>
  <c r="I430" i="30"/>
  <c r="H430" i="30" s="1"/>
  <c r="G430" i="30" s="1"/>
  <c r="I431" i="30"/>
  <c r="H431" i="30" s="1"/>
  <c r="G431" i="30" s="1"/>
  <c r="G154" i="3" s="1"/>
  <c r="H154" i="3" s="1"/>
  <c r="I432" i="30"/>
  <c r="H432" i="30" s="1"/>
  <c r="G432" i="30" s="1"/>
  <c r="I433" i="30"/>
  <c r="H433" i="30" s="1"/>
  <c r="G433" i="30" s="1"/>
  <c r="I434" i="30"/>
  <c r="H434" i="30" s="1"/>
  <c r="G434" i="30" s="1"/>
  <c r="G155" i="3" s="1"/>
  <c r="H155" i="3" s="1"/>
  <c r="I435" i="30"/>
  <c r="H435" i="30" s="1"/>
  <c r="G435" i="30" s="1"/>
  <c r="I436" i="30"/>
  <c r="H436" i="30" s="1"/>
  <c r="G436" i="30" s="1"/>
  <c r="I437" i="30"/>
  <c r="H437" i="30" s="1"/>
  <c r="G437" i="30" s="1"/>
  <c r="I438" i="30"/>
  <c r="H438" i="30" s="1"/>
  <c r="G438" i="30" s="1"/>
  <c r="I439" i="30"/>
  <c r="H439" i="30" s="1"/>
  <c r="G439" i="30" s="1"/>
  <c r="I440" i="30"/>
  <c r="H440" i="30" s="1"/>
  <c r="G440" i="30" s="1"/>
  <c r="I441" i="30"/>
  <c r="H441" i="30" s="1"/>
  <c r="G441" i="30" s="1"/>
  <c r="I442" i="30"/>
  <c r="H442" i="30" s="1"/>
  <c r="G442" i="30" s="1"/>
  <c r="I443" i="30"/>
  <c r="H443" i="30" s="1"/>
  <c r="G443" i="30" s="1"/>
  <c r="I444" i="30"/>
  <c r="H444" i="30" s="1"/>
  <c r="G444" i="30" s="1"/>
  <c r="G160" i="3" s="1"/>
  <c r="H160" i="3" s="1"/>
  <c r="I445" i="30"/>
  <c r="H445" i="30" s="1"/>
  <c r="G445" i="30" s="1"/>
  <c r="I446" i="30"/>
  <c r="H446" i="30" s="1"/>
  <c r="G446" i="30" s="1"/>
  <c r="I447" i="30"/>
  <c r="H447" i="30" s="1"/>
  <c r="G447" i="30" s="1"/>
  <c r="I448" i="30"/>
  <c r="H448" i="30" s="1"/>
  <c r="G448" i="30" s="1"/>
  <c r="I449" i="30"/>
  <c r="H449" i="30" s="1"/>
  <c r="G449" i="30" s="1"/>
  <c r="I450" i="30"/>
  <c r="H450" i="30" s="1"/>
  <c r="G450" i="30" s="1"/>
  <c r="I451" i="30"/>
  <c r="H451" i="30" s="1"/>
  <c r="G451" i="30" s="1"/>
  <c r="I452" i="30"/>
  <c r="H452" i="30" s="1"/>
  <c r="G452" i="30" s="1"/>
  <c r="I453" i="30"/>
  <c r="H453" i="30" s="1"/>
  <c r="G453" i="30" s="1"/>
  <c r="I454" i="30"/>
  <c r="H454" i="30" s="1"/>
  <c r="G454" i="30" s="1"/>
  <c r="I455" i="30"/>
  <c r="H455" i="30" s="1"/>
  <c r="G455" i="30" s="1"/>
  <c r="I456" i="30"/>
  <c r="H456" i="30" s="1"/>
  <c r="G456" i="30" s="1"/>
  <c r="G165" i="3" s="1"/>
  <c r="H165" i="3" s="1"/>
  <c r="I457" i="30"/>
  <c r="H457" i="30" s="1"/>
  <c r="G457" i="30" s="1"/>
  <c r="G166" i="3" s="1"/>
  <c r="H166" i="3" s="1"/>
  <c r="I458" i="30"/>
  <c r="H458" i="30" s="1"/>
  <c r="G458" i="30" s="1"/>
  <c r="G168" i="3" s="1"/>
  <c r="H168" i="3" s="1"/>
  <c r="I459" i="30"/>
  <c r="H459" i="30" s="1"/>
  <c r="G459" i="30" s="1"/>
  <c r="I460" i="30"/>
  <c r="H460" i="30" s="1"/>
  <c r="G460" i="30" s="1"/>
  <c r="G167" i="3" s="1"/>
  <c r="H167" i="3" s="1"/>
  <c r="I461" i="30"/>
  <c r="H461" i="30" s="1"/>
  <c r="G461" i="30" s="1"/>
  <c r="I462" i="30"/>
  <c r="H462" i="30" s="1"/>
  <c r="G462" i="30" s="1"/>
  <c r="I463" i="30"/>
  <c r="H463" i="30" s="1"/>
  <c r="G463" i="30" s="1"/>
  <c r="I464" i="30"/>
  <c r="H464" i="30" s="1"/>
  <c r="G464" i="30" s="1"/>
  <c r="I465" i="30"/>
  <c r="H465" i="30" s="1"/>
  <c r="G465" i="30" s="1"/>
  <c r="G171" i="3" s="1"/>
  <c r="H171" i="3" s="1"/>
  <c r="I466" i="30"/>
  <c r="H466" i="30" s="1"/>
  <c r="G466" i="30" s="1"/>
  <c r="I467" i="30"/>
  <c r="H467" i="30" s="1"/>
  <c r="G467" i="30" s="1"/>
  <c r="G172" i="3" s="1"/>
  <c r="H172" i="3" s="1"/>
  <c r="I468" i="30"/>
  <c r="H468" i="30" s="1"/>
  <c r="G468" i="30" s="1"/>
  <c r="G173" i="3" s="1"/>
  <c r="H173" i="3" s="1"/>
  <c r="I469" i="30"/>
  <c r="H469" i="30" s="1"/>
  <c r="G469" i="30" s="1"/>
  <c r="I470" i="30"/>
  <c r="H470" i="30" s="1"/>
  <c r="G470" i="30" s="1"/>
  <c r="I471" i="30"/>
  <c r="H471" i="30" s="1"/>
  <c r="G471" i="30" s="1"/>
  <c r="I472" i="30"/>
  <c r="H472" i="30" s="1"/>
  <c r="G472" i="30" s="1"/>
  <c r="G177" i="3" s="1"/>
  <c r="H177" i="3" s="1"/>
  <c r="I473" i="30"/>
  <c r="H473" i="30" s="1"/>
  <c r="G473" i="30" s="1"/>
  <c r="I474" i="30"/>
  <c r="H474" i="30" s="1"/>
  <c r="G474" i="30" s="1"/>
  <c r="I475" i="30"/>
  <c r="H475" i="30" s="1"/>
  <c r="G475" i="30" s="1"/>
  <c r="I476" i="30"/>
  <c r="H476" i="30" s="1"/>
  <c r="G476" i="30" s="1"/>
  <c r="I477" i="30"/>
  <c r="H477" i="30" s="1"/>
  <c r="G477" i="30" s="1"/>
  <c r="I478" i="30"/>
  <c r="H478" i="30" s="1"/>
  <c r="G478" i="30" s="1"/>
  <c r="I479" i="30"/>
  <c r="H479" i="30" s="1"/>
  <c r="G479" i="30" s="1"/>
  <c r="I480" i="30"/>
  <c r="H480" i="30" s="1"/>
  <c r="G480" i="30" s="1"/>
  <c r="I481" i="30"/>
  <c r="H481" i="30" s="1"/>
  <c r="G481" i="30" s="1"/>
  <c r="I482" i="30"/>
  <c r="H482" i="30" s="1"/>
  <c r="G482" i="30" s="1"/>
  <c r="G178" i="3" s="1"/>
  <c r="H178" i="3" s="1"/>
  <c r="I483" i="30"/>
  <c r="H483" i="30" s="1"/>
  <c r="G483" i="30" s="1"/>
  <c r="I484" i="30"/>
  <c r="H484" i="30" s="1"/>
  <c r="G484" i="30" s="1"/>
  <c r="I485" i="30"/>
  <c r="H485" i="30" s="1"/>
  <c r="G485" i="30" s="1"/>
  <c r="I486" i="30"/>
  <c r="H486" i="30" s="1"/>
  <c r="G486" i="30" s="1"/>
  <c r="I487" i="30"/>
  <c r="H487" i="30" s="1"/>
  <c r="G487" i="30" s="1"/>
  <c r="I488" i="30"/>
  <c r="H488" i="30" s="1"/>
  <c r="G488" i="30" s="1"/>
  <c r="I489" i="30"/>
  <c r="H489" i="30" s="1"/>
  <c r="G489" i="30" s="1"/>
  <c r="I490" i="30"/>
  <c r="H490" i="30" s="1"/>
  <c r="G490" i="30" s="1"/>
  <c r="I491" i="30"/>
  <c r="H491" i="30" s="1"/>
  <c r="G491" i="30" s="1"/>
  <c r="I492" i="30"/>
  <c r="H492" i="30" s="1"/>
  <c r="G492" i="30" s="1"/>
  <c r="I493" i="30"/>
  <c r="H493" i="30" s="1"/>
  <c r="G493" i="30" s="1"/>
  <c r="I494" i="30"/>
  <c r="H494" i="30" s="1"/>
  <c r="G494" i="30" s="1"/>
  <c r="I495" i="30"/>
  <c r="H495" i="30" s="1"/>
  <c r="G495" i="30" s="1"/>
  <c r="I496" i="30"/>
  <c r="H496" i="30" s="1"/>
  <c r="G496" i="30" s="1"/>
  <c r="I497" i="30"/>
  <c r="H497" i="30" s="1"/>
  <c r="G497" i="30" s="1"/>
  <c r="I498" i="30"/>
  <c r="H498" i="30" s="1"/>
  <c r="G498" i="30" s="1"/>
  <c r="I499" i="30"/>
  <c r="H499" i="30" s="1"/>
  <c r="G499" i="30" s="1"/>
  <c r="I500" i="30"/>
  <c r="H500" i="30" s="1"/>
  <c r="G500" i="30" s="1"/>
  <c r="I501" i="30"/>
  <c r="H501" i="30" s="1"/>
  <c r="G501" i="30" s="1"/>
  <c r="G183" i="3" s="1"/>
  <c r="H183" i="3" s="1"/>
  <c r="I502" i="30"/>
  <c r="H502" i="30" s="1"/>
  <c r="G502" i="30" s="1"/>
  <c r="G184" i="3" s="1"/>
  <c r="H184" i="3" s="1"/>
  <c r="I503" i="30"/>
  <c r="H503" i="30" s="1"/>
  <c r="G503" i="30" s="1"/>
  <c r="G186" i="3" s="1"/>
  <c r="H186" i="3" s="1"/>
  <c r="I504" i="30"/>
  <c r="H504" i="30" s="1"/>
  <c r="G504" i="30" s="1"/>
  <c r="I505" i="30"/>
  <c r="H505" i="30" s="1"/>
  <c r="G505" i="30" s="1"/>
  <c r="I506" i="30"/>
  <c r="H506" i="30" s="1"/>
  <c r="G506" i="30" s="1"/>
  <c r="I507" i="30"/>
  <c r="H507" i="30" s="1"/>
  <c r="G507" i="30" s="1"/>
  <c r="I508" i="30"/>
  <c r="H508" i="30" s="1"/>
  <c r="G508" i="30" s="1"/>
  <c r="G188" i="3" s="1"/>
  <c r="H188" i="3" s="1"/>
  <c r="I509" i="30"/>
  <c r="H509" i="30" s="1"/>
  <c r="G509" i="30" s="1"/>
  <c r="I510" i="30"/>
  <c r="H510" i="30" s="1"/>
  <c r="G510" i="30" s="1"/>
  <c r="G190" i="3" s="1"/>
  <c r="H190" i="3" s="1"/>
  <c r="I511" i="30"/>
  <c r="H511" i="30" s="1"/>
  <c r="G511" i="30" s="1"/>
  <c r="I512" i="30"/>
  <c r="H512" i="30" s="1"/>
  <c r="G512" i="30" s="1"/>
  <c r="G193" i="3" s="1"/>
  <c r="H193" i="3" s="1"/>
  <c r="I513" i="30"/>
  <c r="H513" i="30" s="1"/>
  <c r="G513" i="30" s="1"/>
  <c r="I514" i="30"/>
  <c r="H514" i="30" s="1"/>
  <c r="G514" i="30" s="1"/>
  <c r="I515" i="30"/>
  <c r="H515" i="30" s="1"/>
  <c r="G515" i="30" s="1"/>
  <c r="I516" i="30"/>
  <c r="H516" i="30" s="1"/>
  <c r="G516" i="30" s="1"/>
  <c r="I517" i="30"/>
  <c r="H517" i="30" s="1"/>
  <c r="G517" i="30" s="1"/>
  <c r="I518" i="30"/>
  <c r="H518" i="30" s="1"/>
  <c r="G518" i="30" s="1"/>
  <c r="G196" i="3" s="1"/>
  <c r="H196" i="3" s="1"/>
  <c r="I519" i="30"/>
  <c r="H519" i="30" s="1"/>
  <c r="G519" i="30" s="1"/>
  <c r="I520" i="30"/>
  <c r="H520" i="30" s="1"/>
  <c r="G520" i="30" s="1"/>
  <c r="I521" i="30"/>
  <c r="H521" i="30" s="1"/>
  <c r="G521" i="30" s="1"/>
  <c r="G198" i="3" s="1"/>
  <c r="H198" i="3" s="1"/>
  <c r="I522" i="30"/>
  <c r="H522" i="30" s="1"/>
  <c r="G522" i="30" s="1"/>
  <c r="G199" i="3" s="1"/>
  <c r="H199" i="3" s="1"/>
  <c r="I523" i="30"/>
  <c r="H523" i="30" s="1"/>
  <c r="G523" i="30" s="1"/>
  <c r="I524" i="30"/>
  <c r="H524" i="30" s="1"/>
  <c r="G524" i="30" s="1"/>
  <c r="I525" i="30"/>
  <c r="H525" i="30" s="1"/>
  <c r="G525" i="30" s="1"/>
  <c r="I526" i="30"/>
  <c r="H526" i="30" s="1"/>
  <c r="G526" i="30" s="1"/>
  <c r="I527" i="30"/>
  <c r="H527" i="30" s="1"/>
  <c r="G527" i="30" s="1"/>
  <c r="I528" i="30"/>
  <c r="H528" i="30" s="1"/>
  <c r="G528" i="30" s="1"/>
  <c r="I529" i="30"/>
  <c r="H529" i="30" s="1"/>
  <c r="G529" i="30" s="1"/>
  <c r="I530" i="30"/>
  <c r="H530" i="30" s="1"/>
  <c r="G530" i="30" s="1"/>
  <c r="I531" i="30"/>
  <c r="H531" i="30" s="1"/>
  <c r="G531" i="30" s="1"/>
  <c r="G200" i="3" s="1"/>
  <c r="H200" i="3" s="1"/>
  <c r="I532" i="30"/>
  <c r="H532" i="30" s="1"/>
  <c r="G532" i="30" s="1"/>
  <c r="I533" i="30"/>
  <c r="H533" i="30" s="1"/>
  <c r="G533" i="30" s="1"/>
  <c r="I534" i="30"/>
  <c r="H534" i="30" s="1"/>
  <c r="G534" i="30" s="1"/>
  <c r="I535" i="30"/>
  <c r="H535" i="30" s="1"/>
  <c r="G535" i="30" s="1"/>
  <c r="I536" i="30"/>
  <c r="H536" i="30" s="1"/>
  <c r="G536" i="30" s="1"/>
  <c r="I537" i="30"/>
  <c r="H537" i="30" s="1"/>
  <c r="G537" i="30" s="1"/>
  <c r="I538" i="30"/>
  <c r="H538" i="30" s="1"/>
  <c r="G538" i="30" s="1"/>
  <c r="I539" i="30"/>
  <c r="H539" i="30" s="1"/>
  <c r="G539" i="30" s="1"/>
  <c r="I540" i="30"/>
  <c r="H540" i="30" s="1"/>
  <c r="G540" i="30" s="1"/>
  <c r="I541" i="30"/>
  <c r="H541" i="30" s="1"/>
  <c r="G541" i="30" s="1"/>
  <c r="G204" i="3" s="1"/>
  <c r="H204" i="3" s="1"/>
  <c r="I542" i="30"/>
  <c r="H542" i="30" s="1"/>
  <c r="G542" i="30" s="1"/>
  <c r="G205" i="3" s="1"/>
  <c r="H205" i="3" s="1"/>
  <c r="I543" i="30"/>
  <c r="H543" i="30" s="1"/>
  <c r="G543" i="30" s="1"/>
  <c r="I544" i="30"/>
  <c r="H544" i="30" s="1"/>
  <c r="G544" i="30" s="1"/>
  <c r="I545" i="30"/>
  <c r="H545" i="30" s="1"/>
  <c r="G545" i="30" s="1"/>
  <c r="I546" i="30"/>
  <c r="H546" i="30" s="1"/>
  <c r="G546" i="30" s="1"/>
  <c r="I547" i="30"/>
  <c r="H547" i="30" s="1"/>
  <c r="G547" i="30" s="1"/>
  <c r="I548" i="30"/>
  <c r="H548" i="30" s="1"/>
  <c r="G548" i="30" s="1"/>
  <c r="I549" i="30"/>
  <c r="H549" i="30" s="1"/>
  <c r="G549" i="30" s="1"/>
  <c r="I550" i="30"/>
  <c r="H550" i="30" s="1"/>
  <c r="G550" i="30" s="1"/>
  <c r="I551" i="30"/>
  <c r="H551" i="30" s="1"/>
  <c r="G551" i="30" s="1"/>
  <c r="G207" i="3" s="1"/>
  <c r="H207" i="3" s="1"/>
  <c r="I552" i="30"/>
  <c r="H552" i="30" s="1"/>
  <c r="G552" i="30" s="1"/>
  <c r="I553" i="30"/>
  <c r="H553" i="30" s="1"/>
  <c r="G553" i="30" s="1"/>
  <c r="I554" i="30"/>
  <c r="H554" i="30" s="1"/>
  <c r="G554" i="30" s="1"/>
  <c r="I555" i="30"/>
  <c r="H555" i="30" s="1"/>
  <c r="G555" i="30" s="1"/>
  <c r="I556" i="30"/>
  <c r="H556" i="30" s="1"/>
  <c r="G556" i="30" s="1"/>
  <c r="I557" i="30"/>
  <c r="H557" i="30" s="1"/>
  <c r="G557" i="30" s="1"/>
  <c r="I558" i="30"/>
  <c r="H558" i="30" s="1"/>
  <c r="G558" i="30" s="1"/>
  <c r="I559" i="30"/>
  <c r="H559" i="30" s="1"/>
  <c r="G559" i="30" s="1"/>
  <c r="I560" i="30"/>
  <c r="H560" i="30" s="1"/>
  <c r="G560" i="30" s="1"/>
  <c r="I561" i="30"/>
  <c r="H561" i="30" s="1"/>
  <c r="G561" i="30" s="1"/>
  <c r="I562" i="30"/>
  <c r="H562" i="30" s="1"/>
  <c r="G562" i="30" s="1"/>
  <c r="I563" i="30"/>
  <c r="H563" i="30" s="1"/>
  <c r="G563" i="30" s="1"/>
  <c r="I564" i="30"/>
  <c r="H564" i="30" s="1"/>
  <c r="G564" i="30" s="1"/>
  <c r="G212" i="3" s="1"/>
  <c r="H212" i="3" s="1"/>
  <c r="I565" i="30"/>
  <c r="H565" i="30" s="1"/>
  <c r="G565" i="30" s="1"/>
  <c r="I566" i="30"/>
  <c r="H566" i="30" s="1"/>
  <c r="G566" i="30" s="1"/>
  <c r="G213" i="3" s="1"/>
  <c r="H213" i="3" s="1"/>
  <c r="I567" i="30"/>
  <c r="H567" i="30" s="1"/>
  <c r="G567" i="30" s="1"/>
  <c r="I568" i="30"/>
  <c r="H568" i="30" s="1"/>
  <c r="G568" i="30" s="1"/>
  <c r="I569" i="30"/>
  <c r="H569" i="30" s="1"/>
  <c r="G569" i="30" s="1"/>
  <c r="I570" i="30"/>
  <c r="H570" i="30" s="1"/>
  <c r="G570" i="30" s="1"/>
  <c r="I571" i="30"/>
  <c r="H571" i="30" s="1"/>
  <c r="G571" i="30" s="1"/>
  <c r="I572" i="30"/>
  <c r="H572" i="30" s="1"/>
  <c r="G572" i="30" s="1"/>
  <c r="I573" i="30"/>
  <c r="H573" i="30" s="1"/>
  <c r="G573" i="30" s="1"/>
  <c r="I574" i="30"/>
  <c r="H574" i="30" s="1"/>
  <c r="G574" i="30" s="1"/>
  <c r="I575" i="30"/>
  <c r="H575" i="30" s="1"/>
  <c r="G575" i="30" s="1"/>
  <c r="I576" i="30"/>
  <c r="H576" i="30" s="1"/>
  <c r="G576" i="30" s="1"/>
  <c r="I577" i="30"/>
  <c r="H577" i="30" s="1"/>
  <c r="G577" i="30" s="1"/>
  <c r="I578" i="30"/>
  <c r="H578" i="30" s="1"/>
  <c r="G578" i="30" s="1"/>
  <c r="I579" i="30"/>
  <c r="H579" i="30" s="1"/>
  <c r="G579" i="30" s="1"/>
  <c r="I580" i="30"/>
  <c r="H580" i="30" s="1"/>
  <c r="G580" i="30" s="1"/>
  <c r="I581" i="30"/>
  <c r="H581" i="30" s="1"/>
  <c r="G581" i="30" s="1"/>
  <c r="I582" i="30"/>
  <c r="H582" i="30" s="1"/>
  <c r="G582" i="30" s="1"/>
  <c r="I583" i="30"/>
  <c r="H583" i="30" s="1"/>
  <c r="G583" i="30" s="1"/>
  <c r="I584" i="30"/>
  <c r="H584" i="30" s="1"/>
  <c r="G584" i="30" s="1"/>
  <c r="I585" i="30"/>
  <c r="H585" i="30" s="1"/>
  <c r="G585" i="30" s="1"/>
  <c r="I586" i="30"/>
  <c r="H586" i="30" s="1"/>
  <c r="G586" i="30" s="1"/>
  <c r="I587" i="30"/>
  <c r="H587" i="30" s="1"/>
  <c r="G587" i="30" s="1"/>
  <c r="I588" i="30"/>
  <c r="H588" i="30" s="1"/>
  <c r="G588" i="30" s="1"/>
  <c r="I589" i="30"/>
  <c r="H589" i="30" s="1"/>
  <c r="G589" i="30" s="1"/>
  <c r="I590" i="30"/>
  <c r="H590" i="30" s="1"/>
  <c r="G590" i="30" s="1"/>
  <c r="I591" i="30"/>
  <c r="H591" i="30" s="1"/>
  <c r="G591" i="30" s="1"/>
  <c r="I592" i="30"/>
  <c r="H592" i="30" s="1"/>
  <c r="G592" i="30" s="1"/>
  <c r="I593" i="30"/>
  <c r="H593" i="30" s="1"/>
  <c r="G593" i="30" s="1"/>
  <c r="I594" i="30"/>
  <c r="H594" i="30" s="1"/>
  <c r="G594" i="30" s="1"/>
  <c r="I595" i="30"/>
  <c r="H595" i="30" s="1"/>
  <c r="G595" i="30" s="1"/>
  <c r="I596" i="30"/>
  <c r="H596" i="30" s="1"/>
  <c r="G596" i="30" s="1"/>
  <c r="I597" i="30"/>
  <c r="H597" i="30" s="1"/>
  <c r="G597" i="30" s="1"/>
  <c r="G222" i="3" s="1"/>
  <c r="H222" i="3" s="1"/>
  <c r="I598" i="30"/>
  <c r="H598" i="30" s="1"/>
  <c r="G598" i="30" s="1"/>
  <c r="I599" i="30"/>
  <c r="H599" i="30" s="1"/>
  <c r="G599" i="30" s="1"/>
  <c r="I600" i="30"/>
  <c r="H600" i="30" s="1"/>
  <c r="G600" i="30" s="1"/>
  <c r="I601" i="30"/>
  <c r="H601" i="30" s="1"/>
  <c r="G601" i="30" s="1"/>
  <c r="I602" i="30"/>
  <c r="H602" i="30" s="1"/>
  <c r="G602" i="30" s="1"/>
  <c r="I603" i="30"/>
  <c r="H603" i="30" s="1"/>
  <c r="G603" i="30" s="1"/>
  <c r="I604" i="30"/>
  <c r="H604" i="30" s="1"/>
  <c r="G604" i="30" s="1"/>
  <c r="I605" i="30"/>
  <c r="H605" i="30" s="1"/>
  <c r="G605" i="30" s="1"/>
  <c r="I606" i="30"/>
  <c r="H606" i="30" s="1"/>
  <c r="G606" i="30" s="1"/>
  <c r="I607" i="30"/>
  <c r="H607" i="30" s="1"/>
  <c r="G607" i="30" s="1"/>
  <c r="G223" i="3" s="1"/>
  <c r="H223" i="3" s="1"/>
  <c r="I608" i="30"/>
  <c r="H608" i="30" s="1"/>
  <c r="G608" i="30" s="1"/>
  <c r="I609" i="30"/>
  <c r="H609" i="30" s="1"/>
  <c r="G609" i="30" s="1"/>
  <c r="I610" i="30"/>
  <c r="H610" i="30" s="1"/>
  <c r="G610" i="30" s="1"/>
  <c r="G224" i="3" s="1"/>
  <c r="H224" i="3" s="1"/>
  <c r="I611" i="30"/>
  <c r="H611" i="30" s="1"/>
  <c r="G611" i="30" s="1"/>
  <c r="I612" i="30"/>
  <c r="H612" i="30" s="1"/>
  <c r="G612" i="30" s="1"/>
  <c r="G225" i="3" s="1"/>
  <c r="H225" i="3" s="1"/>
  <c r="I613" i="30"/>
  <c r="H613" i="30" s="1"/>
  <c r="G613" i="30" s="1"/>
  <c r="I614" i="30"/>
  <c r="H614" i="30" s="1"/>
  <c r="G614" i="30" s="1"/>
  <c r="G226" i="3" s="1"/>
  <c r="H226" i="3" s="1"/>
  <c r="I615" i="30"/>
  <c r="H615" i="30" s="1"/>
  <c r="G615" i="30" s="1"/>
  <c r="I616" i="30"/>
  <c r="H616" i="30" s="1"/>
  <c r="G616" i="30" s="1"/>
  <c r="I617" i="30"/>
  <c r="H617" i="30" s="1"/>
  <c r="G617" i="30" s="1"/>
  <c r="G227" i="3" s="1"/>
  <c r="H227" i="3" s="1"/>
  <c r="I618" i="30"/>
  <c r="H618" i="30" s="1"/>
  <c r="G618" i="30" s="1"/>
  <c r="I619" i="30"/>
  <c r="H619" i="30" s="1"/>
  <c r="G619" i="30" s="1"/>
  <c r="I620" i="30"/>
  <c r="H620" i="30" s="1"/>
  <c r="G620" i="30" s="1"/>
  <c r="I621" i="30"/>
  <c r="H621" i="30" s="1"/>
  <c r="G621" i="30" s="1"/>
  <c r="I622" i="30"/>
  <c r="H622" i="30" s="1"/>
  <c r="G622" i="30" s="1"/>
  <c r="I623" i="30"/>
  <c r="H623" i="30" s="1"/>
  <c r="G623" i="30" s="1"/>
  <c r="I624" i="30"/>
  <c r="H624" i="30" s="1"/>
  <c r="G624" i="30" s="1"/>
  <c r="I625" i="30"/>
  <c r="H625" i="30" s="1"/>
  <c r="G625" i="30" s="1"/>
  <c r="I626" i="30"/>
  <c r="H626" i="30" s="1"/>
  <c r="G626" i="30" s="1"/>
  <c r="I627" i="30"/>
  <c r="H627" i="30" s="1"/>
  <c r="G627" i="30" s="1"/>
  <c r="I628" i="30"/>
  <c r="H628" i="30" s="1"/>
  <c r="G628" i="30" s="1"/>
  <c r="I629" i="30"/>
  <c r="H629" i="30" s="1"/>
  <c r="G629" i="30" s="1"/>
  <c r="I630" i="30"/>
  <c r="H630" i="30" s="1"/>
  <c r="G630" i="30" s="1"/>
  <c r="I631" i="30"/>
  <c r="H631" i="30" s="1"/>
  <c r="G631" i="30" s="1"/>
  <c r="I632" i="30"/>
  <c r="H632" i="30" s="1"/>
  <c r="G632" i="30" s="1"/>
  <c r="I633" i="30"/>
  <c r="H633" i="30" s="1"/>
  <c r="G633" i="30" s="1"/>
  <c r="I634" i="30"/>
  <c r="H634" i="30" s="1"/>
  <c r="G634" i="30" s="1"/>
  <c r="I635" i="30"/>
  <c r="H635" i="30" s="1"/>
  <c r="G635" i="30" s="1"/>
  <c r="I636" i="30"/>
  <c r="H636" i="30" s="1"/>
  <c r="G636" i="30" s="1"/>
  <c r="I637" i="30"/>
  <c r="H637" i="30" s="1"/>
  <c r="G637" i="30" s="1"/>
  <c r="I638" i="30"/>
  <c r="H638" i="30" s="1"/>
  <c r="G638" i="30" s="1"/>
  <c r="I639" i="30"/>
  <c r="H639" i="30" s="1"/>
  <c r="G639" i="30" s="1"/>
  <c r="I640" i="30"/>
  <c r="H640" i="30" s="1"/>
  <c r="G640" i="30" s="1"/>
  <c r="I641" i="30"/>
  <c r="H641" i="30" s="1"/>
  <c r="G641" i="30" s="1"/>
  <c r="G249" i="3" s="1"/>
  <c r="H249" i="3" s="1"/>
  <c r="I642" i="30"/>
  <c r="H642" i="30" s="1"/>
  <c r="G642" i="30" s="1"/>
  <c r="G229" i="3" s="1"/>
  <c r="H229" i="3" s="1"/>
  <c r="I643" i="30"/>
  <c r="H643" i="30" s="1"/>
  <c r="G643" i="30" s="1"/>
  <c r="G230" i="3" s="1"/>
  <c r="H230" i="3" s="1"/>
  <c r="I644" i="30"/>
  <c r="H644" i="30" s="1"/>
  <c r="G644" i="30" s="1"/>
  <c r="G231" i="3" s="1"/>
  <c r="H231" i="3" s="1"/>
  <c r="I645" i="30"/>
  <c r="H645" i="30" s="1"/>
  <c r="G645" i="30" s="1"/>
  <c r="G232" i="3" s="1"/>
  <c r="H232" i="3" s="1"/>
  <c r="I646" i="30"/>
  <c r="H646" i="30" s="1"/>
  <c r="G646" i="30" s="1"/>
  <c r="G233" i="3" s="1"/>
  <c r="H233" i="3" s="1"/>
  <c r="I647" i="30"/>
  <c r="H647" i="30" s="1"/>
  <c r="G647" i="30" s="1"/>
  <c r="I648" i="30"/>
  <c r="H648" i="30" s="1"/>
  <c r="G648" i="30" s="1"/>
  <c r="I649" i="30"/>
  <c r="H649" i="30" s="1"/>
  <c r="G649" i="30" s="1"/>
  <c r="I650" i="30"/>
  <c r="H650" i="30" s="1"/>
  <c r="G650" i="30" s="1"/>
  <c r="I651" i="30"/>
  <c r="H651" i="30" s="1"/>
  <c r="G651" i="30" s="1"/>
  <c r="I652" i="30"/>
  <c r="H652" i="30" s="1"/>
  <c r="G652" i="30" s="1"/>
  <c r="I653" i="30"/>
  <c r="H653" i="30" s="1"/>
  <c r="G653" i="30" s="1"/>
  <c r="I654" i="30"/>
  <c r="H654" i="30" s="1"/>
  <c r="G654" i="30" s="1"/>
  <c r="I655" i="30"/>
  <c r="H655" i="30" s="1"/>
  <c r="G655" i="30" s="1"/>
  <c r="I656" i="30"/>
  <c r="H656" i="30" s="1"/>
  <c r="G656" i="30" s="1"/>
  <c r="I657" i="30"/>
  <c r="H657" i="30" s="1"/>
  <c r="G657" i="30" s="1"/>
  <c r="I658" i="30"/>
  <c r="H658" i="30" s="1"/>
  <c r="G658" i="30" s="1"/>
  <c r="I659" i="30"/>
  <c r="H659" i="30" s="1"/>
  <c r="G659" i="30" s="1"/>
  <c r="I660" i="30"/>
  <c r="H660" i="30" s="1"/>
  <c r="G660" i="30" s="1"/>
  <c r="I661" i="30"/>
  <c r="H661" i="30" s="1"/>
  <c r="G661" i="30" s="1"/>
  <c r="I662" i="30"/>
  <c r="H662" i="30" s="1"/>
  <c r="G662" i="30" s="1"/>
  <c r="I663" i="30"/>
  <c r="H663" i="30" s="1"/>
  <c r="G663" i="30" s="1"/>
  <c r="G237" i="3" s="1"/>
  <c r="H237" i="3" s="1"/>
  <c r="I664" i="30"/>
  <c r="H664" i="30" s="1"/>
  <c r="G664" i="30" s="1"/>
  <c r="I665" i="30"/>
  <c r="H665" i="30" s="1"/>
  <c r="G665" i="30" s="1"/>
  <c r="I666" i="30"/>
  <c r="H666" i="30" s="1"/>
  <c r="G666" i="30" s="1"/>
  <c r="I667" i="30"/>
  <c r="H667" i="30" s="1"/>
  <c r="G667" i="30" s="1"/>
  <c r="I668" i="30"/>
  <c r="H668" i="30" s="1"/>
  <c r="G668" i="30" s="1"/>
  <c r="G238" i="3" s="1"/>
  <c r="H238" i="3" s="1"/>
  <c r="I669" i="30"/>
  <c r="H669" i="30" s="1"/>
  <c r="G669" i="30" s="1"/>
  <c r="I670" i="30"/>
  <c r="H670" i="30" s="1"/>
  <c r="G670" i="30" s="1"/>
  <c r="I671" i="30"/>
  <c r="H671" i="30" s="1"/>
  <c r="G671" i="30" s="1"/>
  <c r="I672" i="30"/>
  <c r="H672" i="30" s="1"/>
  <c r="G672" i="30" s="1"/>
  <c r="I673" i="30"/>
  <c r="H673" i="30" s="1"/>
  <c r="G673" i="30" s="1"/>
  <c r="I675" i="30"/>
  <c r="H675" i="30" s="1"/>
  <c r="G675" i="30" s="1"/>
  <c r="I676" i="30"/>
  <c r="H676" i="30" s="1"/>
  <c r="G676" i="30" s="1"/>
  <c r="I677" i="30"/>
  <c r="H677" i="30" s="1"/>
  <c r="G677" i="30" s="1"/>
  <c r="G240" i="3" s="1"/>
  <c r="H240" i="3" s="1"/>
  <c r="I678" i="30"/>
  <c r="H678" i="30" s="1"/>
  <c r="G678" i="30" s="1"/>
  <c r="G241" i="3" s="1"/>
  <c r="H241" i="3" s="1"/>
  <c r="I679" i="30"/>
  <c r="H679" i="30" s="1"/>
  <c r="G679" i="30" s="1"/>
  <c r="G242" i="3" s="1"/>
  <c r="H242" i="3" s="1"/>
  <c r="I680" i="30"/>
  <c r="H680" i="30" s="1"/>
  <c r="G680" i="30" s="1"/>
  <c r="I681" i="30"/>
  <c r="H681" i="30" s="1"/>
  <c r="G681" i="30" s="1"/>
  <c r="I682" i="30"/>
  <c r="H682" i="30" s="1"/>
  <c r="G682" i="30" s="1"/>
  <c r="I683" i="30"/>
  <c r="H683" i="30" s="1"/>
  <c r="G683" i="30" s="1"/>
  <c r="I684" i="30"/>
  <c r="H684" i="30" s="1"/>
  <c r="G684" i="30" s="1"/>
  <c r="I685" i="30"/>
  <c r="H685" i="30" s="1"/>
  <c r="G685" i="30" s="1"/>
  <c r="I686" i="30"/>
  <c r="H686" i="30" s="1"/>
  <c r="G686" i="30" s="1"/>
  <c r="I687" i="30"/>
  <c r="H687" i="30" s="1"/>
  <c r="G687" i="30" s="1"/>
  <c r="I688" i="30"/>
  <c r="H688" i="30" s="1"/>
  <c r="G688" i="30" s="1"/>
  <c r="I689" i="30"/>
  <c r="H689" i="30" s="1"/>
  <c r="G689" i="30" s="1"/>
  <c r="G239" i="3" s="1"/>
  <c r="H239" i="3" s="1"/>
  <c r="I690" i="30"/>
  <c r="H690" i="30" s="1"/>
  <c r="G690" i="30" s="1"/>
  <c r="G243" i="3" s="1"/>
  <c r="H243" i="3" s="1"/>
  <c r="I691" i="30"/>
  <c r="H691" i="30" s="1"/>
  <c r="G691" i="30" s="1"/>
  <c r="I692" i="30"/>
  <c r="H692" i="30" s="1"/>
  <c r="G692" i="30" s="1"/>
  <c r="G244" i="3" s="1"/>
  <c r="H244" i="3" s="1"/>
  <c r="I693" i="30"/>
  <c r="H693" i="30" s="1"/>
  <c r="G693" i="30" s="1"/>
  <c r="I694" i="30"/>
  <c r="H694" i="30" s="1"/>
  <c r="G694" i="30" s="1"/>
  <c r="I695" i="30"/>
  <c r="H695" i="30" s="1"/>
  <c r="G695" i="30" s="1"/>
  <c r="I696" i="30"/>
  <c r="H696" i="30" s="1"/>
  <c r="G696" i="30" s="1"/>
  <c r="I697" i="30"/>
  <c r="H697" i="30" s="1"/>
  <c r="G697" i="30" s="1"/>
  <c r="I698" i="30"/>
  <c r="H698" i="30" s="1"/>
  <c r="G698" i="30" s="1"/>
  <c r="I699" i="30"/>
  <c r="H699" i="30" s="1"/>
  <c r="G699" i="30" s="1"/>
  <c r="I700" i="30"/>
  <c r="H700" i="30" s="1"/>
  <c r="G700" i="30" s="1"/>
  <c r="I701" i="30"/>
  <c r="H701" i="30" s="1"/>
  <c r="G701" i="30" s="1"/>
  <c r="G245" i="3" s="1"/>
  <c r="H245" i="3" s="1"/>
  <c r="I702" i="30"/>
  <c r="H702" i="30" s="1"/>
  <c r="G702" i="30" s="1"/>
  <c r="I703" i="30"/>
  <c r="H703" i="30" s="1"/>
  <c r="G703" i="30" s="1"/>
  <c r="I704" i="30"/>
  <c r="H704" i="30" s="1"/>
  <c r="G704" i="30" s="1"/>
  <c r="I705" i="30"/>
  <c r="H705" i="30" s="1"/>
  <c r="G705" i="30" s="1"/>
  <c r="I706" i="30"/>
  <c r="H706" i="30" s="1"/>
  <c r="G706" i="30" s="1"/>
  <c r="I707" i="30"/>
  <c r="H707" i="30" s="1"/>
  <c r="G707" i="30" s="1"/>
  <c r="I708" i="30"/>
  <c r="H708" i="30" s="1"/>
  <c r="G708" i="30" s="1"/>
  <c r="I709" i="30"/>
  <c r="H709" i="30" s="1"/>
  <c r="G709" i="30" s="1"/>
  <c r="I710" i="30"/>
  <c r="H710" i="30" s="1"/>
  <c r="G710" i="30" s="1"/>
  <c r="I711" i="30"/>
  <c r="H711" i="30" s="1"/>
  <c r="G711" i="30" s="1"/>
  <c r="I712" i="30"/>
  <c r="H712" i="30" s="1"/>
  <c r="G712" i="30" s="1"/>
  <c r="I713" i="30"/>
  <c r="H713" i="30" s="1"/>
  <c r="G713" i="30" s="1"/>
  <c r="I714" i="30"/>
  <c r="H714" i="30" s="1"/>
  <c r="G714" i="30" s="1"/>
  <c r="G250" i="3" s="1"/>
  <c r="H250" i="3" s="1"/>
  <c r="I715" i="30"/>
  <c r="H715" i="30" s="1"/>
  <c r="G715" i="30" s="1"/>
  <c r="G251" i="3" s="1"/>
  <c r="H251" i="3" s="1"/>
  <c r="I716" i="30"/>
  <c r="H716" i="30" s="1"/>
  <c r="G716" i="30" s="1"/>
  <c r="G252" i="3" s="1"/>
  <c r="H252" i="3" s="1"/>
  <c r="I717" i="30"/>
  <c r="H717" i="30" s="1"/>
  <c r="G717" i="30" s="1"/>
  <c r="G253" i="3" s="1"/>
  <c r="H253" i="3" s="1"/>
  <c r="I718" i="30"/>
  <c r="H718" i="30" s="1"/>
  <c r="G718" i="30" s="1"/>
  <c r="I719" i="30"/>
  <c r="H719" i="30" s="1"/>
  <c r="G719" i="30" s="1"/>
  <c r="I720" i="30"/>
  <c r="H720" i="30" s="1"/>
  <c r="G720" i="30" s="1"/>
  <c r="I721" i="30"/>
  <c r="H721" i="30" s="1"/>
  <c r="G721" i="30" s="1"/>
  <c r="I722" i="30"/>
  <c r="H722" i="30" s="1"/>
  <c r="G722" i="30" s="1"/>
  <c r="I723" i="30"/>
  <c r="H723" i="30" s="1"/>
  <c r="G723" i="30" s="1"/>
  <c r="I724" i="30"/>
  <c r="H724" i="30" s="1"/>
  <c r="G724" i="30" s="1"/>
  <c r="I725" i="30"/>
  <c r="H725" i="30" s="1"/>
  <c r="G725" i="30" s="1"/>
  <c r="I726" i="30"/>
  <c r="H726" i="30" s="1"/>
  <c r="G726" i="30" s="1"/>
  <c r="G254" i="3" s="1"/>
  <c r="H254" i="3" s="1"/>
  <c r="I727" i="30"/>
  <c r="H727" i="30" s="1"/>
  <c r="G727" i="30" s="1"/>
  <c r="I728" i="30"/>
  <c r="H728" i="30" s="1"/>
  <c r="G728" i="30" s="1"/>
  <c r="G255" i="3" s="1"/>
  <c r="H255" i="3" s="1"/>
  <c r="I729" i="30"/>
  <c r="H729" i="30" s="1"/>
  <c r="G729" i="30" s="1"/>
  <c r="I730" i="30"/>
  <c r="H730" i="30" s="1"/>
  <c r="G730" i="30" s="1"/>
  <c r="I731" i="30"/>
  <c r="H731" i="30" s="1"/>
  <c r="G731" i="30" s="1"/>
  <c r="I732" i="30"/>
  <c r="H732" i="30" s="1"/>
  <c r="G732" i="30" s="1"/>
  <c r="I733" i="30"/>
  <c r="H733" i="30" s="1"/>
  <c r="G733" i="30" s="1"/>
  <c r="I734" i="30"/>
  <c r="H734" i="30" s="1"/>
  <c r="G734" i="30" s="1"/>
  <c r="I735" i="30"/>
  <c r="H735" i="30" s="1"/>
  <c r="G735" i="30" s="1"/>
  <c r="I736" i="30"/>
  <c r="H736" i="30" s="1"/>
  <c r="G736" i="30" s="1"/>
  <c r="I737" i="30"/>
  <c r="H737" i="30" s="1"/>
  <c r="G737" i="30" s="1"/>
  <c r="I738" i="30"/>
  <c r="H738" i="30" s="1"/>
  <c r="G738" i="30" s="1"/>
  <c r="I739" i="30"/>
  <c r="H739" i="30" s="1"/>
  <c r="G739" i="30" s="1"/>
  <c r="I740" i="30"/>
  <c r="H740" i="30" s="1"/>
  <c r="G740" i="30" s="1"/>
  <c r="I741" i="30"/>
  <c r="H741" i="30" s="1"/>
  <c r="G741" i="30" s="1"/>
  <c r="I742" i="30"/>
  <c r="H742" i="30" s="1"/>
  <c r="G742" i="30" s="1"/>
  <c r="I743" i="30"/>
  <c r="H743" i="30" s="1"/>
  <c r="G743" i="30" s="1"/>
  <c r="I744" i="30"/>
  <c r="H744" i="30" s="1"/>
  <c r="G744" i="30" s="1"/>
  <c r="G258" i="3" s="1"/>
  <c r="H258" i="3" s="1"/>
  <c r="I745" i="30"/>
  <c r="H745" i="30" s="1"/>
  <c r="G745" i="30" s="1"/>
  <c r="I746" i="30"/>
  <c r="H746" i="30" s="1"/>
  <c r="G746" i="30" s="1"/>
  <c r="G259" i="3" s="1"/>
  <c r="H259" i="3" s="1"/>
  <c r="I747" i="30"/>
  <c r="H747" i="30" s="1"/>
  <c r="G747" i="30" s="1"/>
  <c r="I748" i="30"/>
  <c r="H748" i="30" s="1"/>
  <c r="G748" i="30" s="1"/>
  <c r="I749" i="30"/>
  <c r="H749" i="30" s="1"/>
  <c r="G749" i="30" s="1"/>
  <c r="I750" i="30"/>
  <c r="H750" i="30" s="1"/>
  <c r="G750" i="30" s="1"/>
  <c r="I751" i="30"/>
  <c r="H751" i="30" s="1"/>
  <c r="G751" i="30" s="1"/>
  <c r="I752" i="30"/>
  <c r="H752" i="30" s="1"/>
  <c r="G752" i="30" s="1"/>
  <c r="I753" i="30"/>
  <c r="H753" i="30" s="1"/>
  <c r="G753" i="30" s="1"/>
  <c r="I754" i="30"/>
  <c r="H754" i="30" s="1"/>
  <c r="G754" i="30" s="1"/>
  <c r="I755" i="30"/>
  <c r="H755" i="30" s="1"/>
  <c r="G755" i="30" s="1"/>
  <c r="I756" i="30"/>
  <c r="H756" i="30" s="1"/>
  <c r="G756" i="30" s="1"/>
  <c r="I757" i="30"/>
  <c r="H757" i="30" s="1"/>
  <c r="G757" i="30" s="1"/>
  <c r="I758" i="30"/>
  <c r="H758" i="30" s="1"/>
  <c r="G758" i="30" s="1"/>
  <c r="I759" i="30"/>
  <c r="H759" i="30" s="1"/>
  <c r="G759" i="30" s="1"/>
  <c r="I760" i="30"/>
  <c r="H760" i="30" s="1"/>
  <c r="G760" i="30" s="1"/>
  <c r="I761" i="30"/>
  <c r="H761" i="30" s="1"/>
  <c r="G761" i="30" s="1"/>
  <c r="I762" i="30"/>
  <c r="H762" i="30" s="1"/>
  <c r="G762" i="30" s="1"/>
  <c r="I763" i="30"/>
  <c r="H763" i="30" s="1"/>
  <c r="G763" i="30" s="1"/>
  <c r="I764" i="30"/>
  <c r="H764" i="30" s="1"/>
  <c r="G764" i="30" s="1"/>
  <c r="I765" i="30"/>
  <c r="H765" i="30" s="1"/>
  <c r="G765" i="30" s="1"/>
  <c r="I766" i="30"/>
  <c r="H766" i="30" s="1"/>
  <c r="G766" i="30" s="1"/>
  <c r="I767" i="30"/>
  <c r="H767" i="30" s="1"/>
  <c r="G767" i="30" s="1"/>
  <c r="I768" i="30"/>
  <c r="H768" i="30" s="1"/>
  <c r="G768" i="30" s="1"/>
  <c r="I769" i="30"/>
  <c r="H769" i="30" s="1"/>
  <c r="G769" i="30" s="1"/>
  <c r="I770" i="30"/>
  <c r="H770" i="30" s="1"/>
  <c r="G770" i="30" s="1"/>
  <c r="I771" i="30"/>
  <c r="H771" i="30" s="1"/>
  <c r="G771" i="30" s="1"/>
  <c r="I772" i="30"/>
  <c r="H772" i="30" s="1"/>
  <c r="G772" i="30" s="1"/>
  <c r="I773" i="30"/>
  <c r="H773" i="30" s="1"/>
  <c r="G773" i="30" s="1"/>
  <c r="G268" i="3" s="1"/>
  <c r="H268" i="3" s="1"/>
  <c r="I774" i="30"/>
  <c r="H774" i="30" s="1"/>
  <c r="G774" i="30" s="1"/>
  <c r="I775" i="30"/>
  <c r="H775" i="30" s="1"/>
  <c r="G775" i="30" s="1"/>
  <c r="I776" i="30"/>
  <c r="H776" i="30" s="1"/>
  <c r="G776" i="30" s="1"/>
  <c r="I777" i="30"/>
  <c r="H777" i="30" s="1"/>
  <c r="G777" i="30" s="1"/>
  <c r="I778" i="30"/>
  <c r="H778" i="30" s="1"/>
  <c r="G778" i="30" s="1"/>
  <c r="I779" i="30"/>
  <c r="H779" i="30" s="1"/>
  <c r="G779" i="30" s="1"/>
  <c r="G270" i="3" s="1"/>
  <c r="H270" i="3" s="1"/>
  <c r="I780" i="30"/>
  <c r="H780" i="30" s="1"/>
  <c r="G780" i="30" s="1"/>
  <c r="I781" i="30"/>
  <c r="H781" i="30" s="1"/>
  <c r="G781" i="30" s="1"/>
  <c r="I782" i="30"/>
  <c r="H782" i="30" s="1"/>
  <c r="G782" i="30" s="1"/>
  <c r="I783" i="30"/>
  <c r="H783" i="30" s="1"/>
  <c r="G783" i="30" s="1"/>
  <c r="I784" i="30"/>
  <c r="H784" i="30" s="1"/>
  <c r="G784" i="30" s="1"/>
  <c r="I785" i="30"/>
  <c r="H785" i="30" s="1"/>
  <c r="G785" i="30" s="1"/>
  <c r="G272" i="3" s="1"/>
  <c r="H272" i="3" s="1"/>
  <c r="I786" i="30"/>
  <c r="H786" i="30" s="1"/>
  <c r="G786" i="30" s="1"/>
  <c r="G273" i="3" s="1"/>
  <c r="H273" i="3" s="1"/>
  <c r="I787" i="30"/>
  <c r="H787" i="30" s="1"/>
  <c r="G787" i="30" s="1"/>
  <c r="I788" i="30"/>
  <c r="H788" i="30" s="1"/>
  <c r="G788" i="30" s="1"/>
  <c r="I789" i="30"/>
  <c r="H789" i="30" s="1"/>
  <c r="G789" i="30" s="1"/>
  <c r="G274" i="3" s="1"/>
  <c r="H274" i="3" s="1"/>
  <c r="I790" i="30"/>
  <c r="H790" i="30" s="1"/>
  <c r="G790" i="30" s="1"/>
  <c r="I791" i="30"/>
  <c r="H791" i="30" s="1"/>
  <c r="G791" i="30" s="1"/>
  <c r="I792" i="30"/>
  <c r="H792" i="30" s="1"/>
  <c r="G792" i="30" s="1"/>
  <c r="I793" i="30"/>
  <c r="H793" i="30" s="1"/>
  <c r="G793" i="30" s="1"/>
  <c r="I794" i="30"/>
  <c r="H794" i="30" s="1"/>
  <c r="G794" i="30" s="1"/>
  <c r="I795" i="30"/>
  <c r="H795" i="30" s="1"/>
  <c r="G795" i="30" s="1"/>
  <c r="G276" i="3" s="1"/>
  <c r="H276" i="3" s="1"/>
  <c r="I796" i="30"/>
  <c r="H796" i="30" s="1"/>
  <c r="G796" i="30" s="1"/>
  <c r="I797" i="30"/>
  <c r="H797" i="30" s="1"/>
  <c r="G797" i="30" s="1"/>
  <c r="I798" i="30"/>
  <c r="H798" i="30" s="1"/>
  <c r="G798" i="30" s="1"/>
  <c r="I799" i="30"/>
  <c r="H799" i="30" s="1"/>
  <c r="G799" i="30" s="1"/>
  <c r="I800" i="30"/>
  <c r="H800" i="30" s="1"/>
  <c r="G800" i="30" s="1"/>
  <c r="I801" i="30"/>
  <c r="H801" i="30" s="1"/>
  <c r="G801" i="30" s="1"/>
  <c r="I802" i="30"/>
  <c r="H802" i="30" s="1"/>
  <c r="G802" i="30" s="1"/>
  <c r="I803" i="30"/>
  <c r="H803" i="30" s="1"/>
  <c r="G803" i="30" s="1"/>
  <c r="I804" i="30"/>
  <c r="H804" i="30" s="1"/>
  <c r="G804" i="30" s="1"/>
  <c r="I805" i="30"/>
  <c r="H805" i="30" s="1"/>
  <c r="G805" i="30" s="1"/>
  <c r="I806" i="30"/>
  <c r="H806" i="30" s="1"/>
  <c r="G806" i="30" s="1"/>
  <c r="I807" i="30"/>
  <c r="H807" i="30" s="1"/>
  <c r="G807" i="30" s="1"/>
  <c r="I808" i="30"/>
  <c r="H808" i="30" s="1"/>
  <c r="G808" i="30" s="1"/>
  <c r="I809" i="30"/>
  <c r="H809" i="30" s="1"/>
  <c r="G809" i="30" s="1"/>
  <c r="I810" i="30"/>
  <c r="H810" i="30" s="1"/>
  <c r="G810" i="30" s="1"/>
  <c r="I811" i="30"/>
  <c r="H811" i="30" s="1"/>
  <c r="G811" i="30" s="1"/>
  <c r="I812" i="30"/>
  <c r="H812" i="30" s="1"/>
  <c r="G812" i="30" s="1"/>
  <c r="I813" i="30"/>
  <c r="H813" i="30" s="1"/>
  <c r="G813" i="30" s="1"/>
  <c r="I814" i="30"/>
  <c r="H814" i="30" s="1"/>
  <c r="G814" i="30" s="1"/>
  <c r="I815" i="30"/>
  <c r="H815" i="30" s="1"/>
  <c r="G815" i="30" s="1"/>
  <c r="I816" i="30"/>
  <c r="H816" i="30" s="1"/>
  <c r="G816" i="30" s="1"/>
  <c r="I817" i="30"/>
  <c r="H817" i="30" s="1"/>
  <c r="G817" i="30" s="1"/>
  <c r="I818" i="30"/>
  <c r="H818" i="30" s="1"/>
  <c r="G818" i="30" s="1"/>
  <c r="I819" i="30"/>
  <c r="H819" i="30" s="1"/>
  <c r="G819" i="30" s="1"/>
  <c r="I820" i="30"/>
  <c r="H820" i="30" s="1"/>
  <c r="G820" i="30" s="1"/>
  <c r="I821" i="30"/>
  <c r="H821" i="30" s="1"/>
  <c r="G821" i="30" s="1"/>
  <c r="I822" i="30"/>
  <c r="H822" i="30" s="1"/>
  <c r="G822" i="30" s="1"/>
  <c r="I823" i="30"/>
  <c r="H823" i="30" s="1"/>
  <c r="G823" i="30" s="1"/>
  <c r="I824" i="30"/>
  <c r="H824" i="30" s="1"/>
  <c r="G824" i="30" s="1"/>
  <c r="I825" i="30"/>
  <c r="H825" i="30" s="1"/>
  <c r="G825" i="30" s="1"/>
  <c r="I826" i="30"/>
  <c r="H826" i="30" s="1"/>
  <c r="G826" i="30" s="1"/>
  <c r="I827" i="30"/>
  <c r="H827" i="30" s="1"/>
  <c r="G827" i="30" s="1"/>
  <c r="I828" i="30"/>
  <c r="H828" i="30" s="1"/>
  <c r="G828" i="30" s="1"/>
  <c r="I829" i="30"/>
  <c r="H829" i="30" s="1"/>
  <c r="G829" i="30" s="1"/>
  <c r="I830" i="30"/>
  <c r="H830" i="30" s="1"/>
  <c r="G830" i="30" s="1"/>
  <c r="I831" i="30"/>
  <c r="H831" i="30" s="1"/>
  <c r="G831" i="30" s="1"/>
  <c r="I832" i="30"/>
  <c r="H832" i="30" s="1"/>
  <c r="G832" i="30" s="1"/>
  <c r="I833" i="30"/>
  <c r="H833" i="30" s="1"/>
  <c r="G833" i="30" s="1"/>
  <c r="I834" i="30"/>
  <c r="H834" i="30" s="1"/>
  <c r="G834" i="30" s="1"/>
  <c r="I835" i="30"/>
  <c r="H835" i="30" s="1"/>
  <c r="G835" i="30" s="1"/>
  <c r="I836" i="30"/>
  <c r="H836" i="30" s="1"/>
  <c r="G836" i="30" s="1"/>
  <c r="I837" i="30"/>
  <c r="H837" i="30" s="1"/>
  <c r="G837" i="30" s="1"/>
  <c r="I838" i="30"/>
  <c r="H838" i="30" s="1"/>
  <c r="G838" i="30" s="1"/>
  <c r="I839" i="30"/>
  <c r="H839" i="30" s="1"/>
  <c r="G839" i="30" s="1"/>
  <c r="I840" i="30"/>
  <c r="H840" i="30" s="1"/>
  <c r="G840" i="30" s="1"/>
  <c r="I841" i="30"/>
  <c r="H841" i="30" s="1"/>
  <c r="G841" i="30" s="1"/>
  <c r="I842" i="30"/>
  <c r="H842" i="30" s="1"/>
  <c r="G842" i="30" s="1"/>
  <c r="I843" i="30"/>
  <c r="H843" i="30" s="1"/>
  <c r="G843" i="30" s="1"/>
  <c r="I844" i="30"/>
  <c r="H844" i="30" s="1"/>
  <c r="G844" i="30" s="1"/>
  <c r="I845" i="30"/>
  <c r="H845" i="30" s="1"/>
  <c r="G845" i="30" s="1"/>
  <c r="I846" i="30"/>
  <c r="H846" i="30" s="1"/>
  <c r="G846" i="30" s="1"/>
  <c r="I847" i="30"/>
  <c r="H847" i="30" s="1"/>
  <c r="G847" i="30" s="1"/>
  <c r="I848" i="30"/>
  <c r="H848" i="30" s="1"/>
  <c r="G848" i="30" s="1"/>
  <c r="I849" i="30"/>
  <c r="H849" i="30" s="1"/>
  <c r="G849" i="30" s="1"/>
  <c r="I850" i="30"/>
  <c r="H850" i="30" s="1"/>
  <c r="G850" i="30" s="1"/>
  <c r="I851" i="30"/>
  <c r="H851" i="30" s="1"/>
  <c r="G851" i="30" s="1"/>
  <c r="I852" i="30"/>
  <c r="H852" i="30" s="1"/>
  <c r="G852" i="30" s="1"/>
  <c r="I853" i="30"/>
  <c r="H853" i="30" s="1"/>
  <c r="G853" i="30" s="1"/>
  <c r="I854" i="30"/>
  <c r="H854" i="30" s="1"/>
  <c r="G854" i="30" s="1"/>
  <c r="I855" i="30"/>
  <c r="H855" i="30" s="1"/>
  <c r="G855" i="30" s="1"/>
  <c r="I856" i="30"/>
  <c r="H856" i="30" s="1"/>
  <c r="G856" i="30" s="1"/>
  <c r="I857" i="30"/>
  <c r="H857" i="30" s="1"/>
  <c r="G857" i="30" s="1"/>
  <c r="I858" i="30"/>
  <c r="H858" i="30" s="1"/>
  <c r="G858" i="30" s="1"/>
  <c r="I859" i="30"/>
  <c r="H859" i="30" s="1"/>
  <c r="G859" i="30" s="1"/>
  <c r="I860" i="30"/>
  <c r="H860" i="30" s="1"/>
  <c r="G860" i="30" s="1"/>
  <c r="I861" i="30"/>
  <c r="H861" i="30" s="1"/>
  <c r="G861" i="30" s="1"/>
  <c r="I862" i="30"/>
  <c r="H862" i="30" s="1"/>
  <c r="G862" i="30" s="1"/>
  <c r="G281" i="3" s="1"/>
  <c r="H281" i="3" s="1"/>
  <c r="I863" i="30"/>
  <c r="H863" i="30" s="1"/>
  <c r="G863" i="30" s="1"/>
  <c r="I864" i="30"/>
  <c r="H864" i="30" s="1"/>
  <c r="G864" i="30" s="1"/>
  <c r="I865" i="30"/>
  <c r="H865" i="30" s="1"/>
  <c r="G865" i="30" s="1"/>
  <c r="I866" i="30"/>
  <c r="H866" i="30" s="1"/>
  <c r="G866" i="30" s="1"/>
  <c r="I867" i="30"/>
  <c r="H867" i="30" s="1"/>
  <c r="G867" i="30" s="1"/>
  <c r="I868" i="30"/>
  <c r="H868" i="30" s="1"/>
  <c r="G868" i="30" s="1"/>
  <c r="G282" i="3" s="1"/>
  <c r="H282" i="3" s="1"/>
  <c r="I869" i="30"/>
  <c r="H869" i="30" s="1"/>
  <c r="G869" i="30" s="1"/>
  <c r="I870" i="30"/>
  <c r="H870" i="30" s="1"/>
  <c r="G870" i="30" s="1"/>
  <c r="I871" i="30"/>
  <c r="H871" i="30" s="1"/>
  <c r="G871" i="30" s="1"/>
  <c r="I872" i="30"/>
  <c r="H872" i="30" s="1"/>
  <c r="G872" i="30" s="1"/>
  <c r="I873" i="30"/>
  <c r="H873" i="30" s="1"/>
  <c r="G873" i="30" s="1"/>
  <c r="I874" i="30"/>
  <c r="H874" i="30" s="1"/>
  <c r="G874" i="30" s="1"/>
  <c r="I875" i="30"/>
  <c r="H875" i="30" s="1"/>
  <c r="G875" i="30" s="1"/>
  <c r="I876" i="30"/>
  <c r="H876" i="30" s="1"/>
  <c r="G876" i="30" s="1"/>
  <c r="I877" i="30"/>
  <c r="H877" i="30" s="1"/>
  <c r="G877" i="30" s="1"/>
  <c r="I878" i="30"/>
  <c r="H878" i="30" s="1"/>
  <c r="G878" i="30" s="1"/>
  <c r="I879" i="30"/>
  <c r="H879" i="30" s="1"/>
  <c r="G879" i="30" s="1"/>
  <c r="G284" i="3" s="1"/>
  <c r="H284" i="3" s="1"/>
  <c r="I880" i="30"/>
  <c r="H880" i="30" s="1"/>
  <c r="G880" i="30" s="1"/>
  <c r="G285" i="3" s="1"/>
  <c r="H285" i="3" s="1"/>
  <c r="I881" i="30"/>
  <c r="H881" i="30" s="1"/>
  <c r="G881" i="30" s="1"/>
  <c r="G286" i="3" s="1"/>
  <c r="H286" i="3" s="1"/>
  <c r="I882" i="30"/>
  <c r="H882" i="30" s="1"/>
  <c r="G882" i="30" s="1"/>
  <c r="G287" i="3" s="1"/>
  <c r="H287" i="3" s="1"/>
  <c r="I883" i="30"/>
  <c r="H883" i="30" s="1"/>
  <c r="G883" i="30" s="1"/>
  <c r="G288" i="3" s="1"/>
  <c r="H288" i="3" s="1"/>
  <c r="I884" i="30"/>
  <c r="H884" i="30" s="1"/>
  <c r="G884" i="30" s="1"/>
  <c r="G289" i="3" s="1"/>
  <c r="H289" i="3" s="1"/>
  <c r="I885" i="30"/>
  <c r="H885" i="30" s="1"/>
  <c r="G885" i="30" s="1"/>
  <c r="I886" i="30"/>
  <c r="H886" i="30" s="1"/>
  <c r="G886" i="30" s="1"/>
  <c r="I887" i="30"/>
  <c r="H887" i="30" s="1"/>
  <c r="G887" i="30" s="1"/>
  <c r="I888" i="30"/>
  <c r="H888" i="30" s="1"/>
  <c r="G888" i="30" s="1"/>
  <c r="G290" i="3" s="1"/>
  <c r="H290" i="3" s="1"/>
  <c r="I889" i="30"/>
  <c r="H889" i="30" s="1"/>
  <c r="G889" i="30" s="1"/>
  <c r="I890" i="30"/>
  <c r="H890" i="30" s="1"/>
  <c r="G890" i="30" s="1"/>
  <c r="I891" i="30"/>
  <c r="H891" i="30" s="1"/>
  <c r="G891" i="30" s="1"/>
  <c r="I892" i="30"/>
  <c r="H892" i="30" s="1"/>
  <c r="G892" i="30" s="1"/>
  <c r="I893" i="30"/>
  <c r="H893" i="30" s="1"/>
  <c r="G893" i="30" s="1"/>
  <c r="I894" i="30"/>
  <c r="H894" i="30" s="1"/>
  <c r="G894" i="30" s="1"/>
  <c r="I895" i="30"/>
  <c r="H895" i="30" s="1"/>
  <c r="G895" i="30" s="1"/>
  <c r="I896" i="30"/>
  <c r="H896" i="30" s="1"/>
  <c r="G896" i="30" s="1"/>
  <c r="I897" i="30"/>
  <c r="H897" i="30" s="1"/>
  <c r="G897" i="30" s="1"/>
  <c r="I898" i="30"/>
  <c r="H898" i="30" s="1"/>
  <c r="G898" i="30" s="1"/>
  <c r="G291" i="3" s="1"/>
  <c r="H291" i="3" s="1"/>
  <c r="I899" i="30"/>
  <c r="H899" i="30" s="1"/>
  <c r="G899" i="30" s="1"/>
  <c r="G292" i="3" s="1"/>
  <c r="H292" i="3" s="1"/>
  <c r="I900" i="30"/>
  <c r="H900" i="30" s="1"/>
  <c r="G900" i="30" s="1"/>
  <c r="I901" i="30"/>
  <c r="H901" i="30" s="1"/>
  <c r="G901" i="30" s="1"/>
  <c r="I902" i="30"/>
  <c r="H902" i="30" s="1"/>
  <c r="G902" i="30" s="1"/>
  <c r="I903" i="30"/>
  <c r="H903" i="30" s="1"/>
  <c r="G903" i="30" s="1"/>
  <c r="I904" i="30"/>
  <c r="H904" i="30" s="1"/>
  <c r="G904" i="30" s="1"/>
  <c r="I905" i="30"/>
  <c r="H905" i="30" s="1"/>
  <c r="G905" i="30" s="1"/>
  <c r="I906" i="30"/>
  <c r="H906" i="30" s="1"/>
  <c r="G906" i="30" s="1"/>
  <c r="I907" i="30"/>
  <c r="H907" i="30" s="1"/>
  <c r="G907" i="30" s="1"/>
  <c r="I908" i="30"/>
  <c r="H908" i="30" s="1"/>
  <c r="G908" i="30" s="1"/>
  <c r="I909" i="30"/>
  <c r="H909" i="30" s="1"/>
  <c r="G909" i="30" s="1"/>
  <c r="I910" i="30"/>
  <c r="H910" i="30" s="1"/>
  <c r="G910" i="30" s="1"/>
  <c r="G294" i="3" s="1"/>
  <c r="H294" i="3" s="1"/>
  <c r="I911" i="30"/>
  <c r="H911" i="30" s="1"/>
  <c r="G911" i="30" s="1"/>
  <c r="I912" i="30"/>
  <c r="H912" i="30" s="1"/>
  <c r="G912" i="30" s="1"/>
  <c r="G295" i="3" s="1"/>
  <c r="H295" i="3" s="1"/>
  <c r="I913" i="30"/>
  <c r="H913" i="30" s="1"/>
  <c r="G913" i="30" s="1"/>
  <c r="G296" i="3" s="1"/>
  <c r="H296" i="3" s="1"/>
  <c r="I914" i="30"/>
  <c r="H914" i="30" s="1"/>
  <c r="G914" i="30" s="1"/>
  <c r="I915" i="30"/>
  <c r="H915" i="30" s="1"/>
  <c r="G915" i="30" s="1"/>
  <c r="I916" i="30"/>
  <c r="H916" i="30" s="1"/>
  <c r="G916" i="30" s="1"/>
  <c r="G297" i="3" s="1"/>
  <c r="H297" i="3" s="1"/>
  <c r="I917" i="30"/>
  <c r="H917" i="30" s="1"/>
  <c r="G917" i="30" s="1"/>
  <c r="G298" i="3" s="1"/>
  <c r="H298" i="3" s="1"/>
  <c r="I918" i="30"/>
  <c r="H918" i="30" s="1"/>
  <c r="G918" i="30" s="1"/>
  <c r="G299" i="3" s="1"/>
  <c r="H299" i="3" s="1"/>
  <c r="I919" i="30"/>
  <c r="H919" i="30" s="1"/>
  <c r="G919" i="30" s="1"/>
  <c r="I920" i="30"/>
  <c r="H920" i="30" s="1"/>
  <c r="G920" i="30" s="1"/>
  <c r="I921" i="30"/>
  <c r="H921" i="30" s="1"/>
  <c r="G921" i="30" s="1"/>
  <c r="G300" i="3" s="1"/>
  <c r="H300" i="3" s="1"/>
  <c r="I922" i="30"/>
  <c r="H922" i="30" s="1"/>
  <c r="G922" i="30" s="1"/>
  <c r="I923" i="30"/>
  <c r="H923" i="30" s="1"/>
  <c r="G923" i="30" s="1"/>
  <c r="G301" i="3" s="1"/>
  <c r="H301" i="3" s="1"/>
  <c r="I924" i="30"/>
  <c r="H924" i="30" s="1"/>
  <c r="G924" i="30" s="1"/>
  <c r="G302" i="3" s="1"/>
  <c r="H302" i="3" s="1"/>
  <c r="I925" i="30"/>
  <c r="H925" i="30" s="1"/>
  <c r="G925" i="30" s="1"/>
  <c r="G303" i="3" s="1"/>
  <c r="H303" i="3" s="1"/>
  <c r="I926" i="30"/>
  <c r="H926" i="30" s="1"/>
  <c r="G926" i="30" s="1"/>
  <c r="G304" i="3" s="1"/>
  <c r="H304" i="3" s="1"/>
  <c r="I927" i="30"/>
  <c r="H927" i="30" s="1"/>
  <c r="G927" i="30" s="1"/>
  <c r="G305" i="3" s="1"/>
  <c r="H305" i="3" s="1"/>
  <c r="I928" i="30"/>
  <c r="H928" i="30" s="1"/>
  <c r="G928" i="30" s="1"/>
  <c r="G306" i="3" s="1"/>
  <c r="H306" i="3" s="1"/>
  <c r="I929" i="30"/>
  <c r="H929" i="30" s="1"/>
  <c r="G929" i="30" s="1"/>
  <c r="I930" i="30"/>
  <c r="H930" i="30" s="1"/>
  <c r="G930" i="30" s="1"/>
  <c r="G307" i="3" s="1"/>
  <c r="H307" i="3" s="1"/>
  <c r="I931" i="30"/>
  <c r="H931" i="30" s="1"/>
  <c r="G931" i="30" s="1"/>
  <c r="G308" i="3" s="1"/>
  <c r="H308" i="3" s="1"/>
  <c r="I932" i="30"/>
  <c r="H932" i="30" s="1"/>
  <c r="G932" i="30" s="1"/>
  <c r="G309" i="3" s="1"/>
  <c r="H309" i="3" s="1"/>
  <c r="I933" i="30"/>
  <c r="H933" i="30" s="1"/>
  <c r="G933" i="30" s="1"/>
  <c r="I934" i="30"/>
  <c r="H934" i="30" s="1"/>
  <c r="G934" i="30" s="1"/>
  <c r="I935" i="30"/>
  <c r="H935" i="30" s="1"/>
  <c r="G935" i="30" s="1"/>
  <c r="I936" i="30"/>
  <c r="H936" i="30" s="1"/>
  <c r="G936" i="30" s="1"/>
  <c r="I937" i="30"/>
  <c r="H937" i="30" s="1"/>
  <c r="G937" i="30" s="1"/>
  <c r="I938" i="30"/>
  <c r="H938" i="30" s="1"/>
  <c r="G938" i="30" s="1"/>
  <c r="I939" i="30"/>
  <c r="H939" i="30" s="1"/>
  <c r="G939" i="30" s="1"/>
  <c r="I940" i="30"/>
  <c r="H940" i="30" s="1"/>
  <c r="G940" i="30" s="1"/>
  <c r="I941" i="30"/>
  <c r="H941" i="30" s="1"/>
  <c r="G941" i="30" s="1"/>
  <c r="I942" i="30"/>
  <c r="H942" i="30" s="1"/>
  <c r="G942" i="30" s="1"/>
  <c r="I943" i="30"/>
  <c r="H943" i="30" s="1"/>
  <c r="G943" i="30" s="1"/>
  <c r="G310" i="3" s="1"/>
  <c r="H310" i="3" s="1"/>
  <c r="I944" i="30"/>
  <c r="H944" i="30" s="1"/>
  <c r="G944" i="30" s="1"/>
  <c r="G311" i="3" s="1"/>
  <c r="H311" i="3" s="1"/>
  <c r="I945" i="30"/>
  <c r="H945" i="30" s="1"/>
  <c r="G945" i="30" s="1"/>
  <c r="G312" i="3" s="1"/>
  <c r="H312" i="3" s="1"/>
  <c r="I946" i="30"/>
  <c r="H946" i="30" s="1"/>
  <c r="G946" i="30" s="1"/>
  <c r="G313" i="3" s="1"/>
  <c r="H313" i="3" s="1"/>
  <c r="I947" i="30"/>
  <c r="H947" i="30" s="1"/>
  <c r="G947" i="30" s="1"/>
  <c r="I948" i="30"/>
  <c r="H948" i="30" s="1"/>
  <c r="G948" i="30" s="1"/>
  <c r="I949" i="30"/>
  <c r="H949" i="30" s="1"/>
  <c r="G949" i="30" s="1"/>
  <c r="G314" i="3" s="1"/>
  <c r="H314" i="3" s="1"/>
  <c r="I950" i="30"/>
  <c r="H950" i="30" s="1"/>
  <c r="G950" i="30" s="1"/>
  <c r="G315" i="3" s="1"/>
  <c r="H315" i="3" s="1"/>
  <c r="I951" i="30"/>
  <c r="H951" i="30" s="1"/>
  <c r="G951" i="30" s="1"/>
  <c r="I952" i="30"/>
  <c r="H952" i="30" s="1"/>
  <c r="G952" i="30" s="1"/>
  <c r="G316" i="3" s="1"/>
  <c r="H316" i="3" s="1"/>
  <c r="I953" i="30"/>
  <c r="H953" i="30" s="1"/>
  <c r="G953" i="30" s="1"/>
  <c r="I954" i="30"/>
  <c r="H954" i="30" s="1"/>
  <c r="G954" i="30" s="1"/>
  <c r="I955" i="30"/>
  <c r="H955" i="30" s="1"/>
  <c r="G955" i="30" s="1"/>
  <c r="G317" i="3" s="1"/>
  <c r="H317" i="3" s="1"/>
  <c r="I956" i="30"/>
  <c r="H956" i="30" s="1"/>
  <c r="G956" i="30" s="1"/>
  <c r="I957" i="30"/>
  <c r="H957" i="30" s="1"/>
  <c r="G957" i="30" s="1"/>
  <c r="G318" i="3" s="1"/>
  <c r="H318" i="3" s="1"/>
  <c r="I958" i="30"/>
  <c r="H958" i="30" s="1"/>
  <c r="G958" i="30" s="1"/>
  <c r="I959" i="30"/>
  <c r="H959" i="30" s="1"/>
  <c r="G959" i="30" s="1"/>
  <c r="G319" i="3" s="1"/>
  <c r="H319" i="3" s="1"/>
  <c r="I960" i="30"/>
  <c r="H960" i="30" s="1"/>
  <c r="G960" i="30" s="1"/>
  <c r="G320" i="3" s="1"/>
  <c r="H320" i="3" s="1"/>
  <c r="I961" i="30"/>
  <c r="H961" i="30" s="1"/>
  <c r="G961" i="30" s="1"/>
  <c r="G321" i="3" s="1"/>
  <c r="H321" i="3" s="1"/>
  <c r="I962" i="30"/>
  <c r="H962" i="30" s="1"/>
  <c r="G962" i="30" s="1"/>
  <c r="G322" i="3" s="1"/>
  <c r="H322" i="3" s="1"/>
  <c r="I963" i="30"/>
  <c r="H963" i="30" s="1"/>
  <c r="G963" i="30" s="1"/>
  <c r="G323" i="3" s="1"/>
  <c r="H323" i="3" s="1"/>
  <c r="I964" i="30"/>
  <c r="H964" i="30" s="1"/>
  <c r="G964" i="30" s="1"/>
  <c r="I965" i="30"/>
  <c r="H965" i="30" s="1"/>
  <c r="G965" i="30" s="1"/>
  <c r="I966" i="30"/>
  <c r="H966" i="30" s="1"/>
  <c r="G966" i="30" s="1"/>
  <c r="I967" i="30"/>
  <c r="H967" i="30" s="1"/>
  <c r="G967" i="30" s="1"/>
  <c r="I968" i="30"/>
  <c r="H968" i="30" s="1"/>
  <c r="G968" i="30" s="1"/>
  <c r="I969" i="30"/>
  <c r="H969" i="30" s="1"/>
  <c r="G969" i="30" s="1"/>
  <c r="I970" i="30"/>
  <c r="H970" i="30" s="1"/>
  <c r="G970" i="30" s="1"/>
  <c r="I971" i="30"/>
  <c r="H971" i="30" s="1"/>
  <c r="G971" i="30" s="1"/>
  <c r="I972" i="30"/>
  <c r="H972" i="30" s="1"/>
  <c r="G972" i="30" s="1"/>
  <c r="I973" i="30"/>
  <c r="H973" i="30" s="1"/>
  <c r="G973" i="30" s="1"/>
  <c r="I974" i="30"/>
  <c r="H974" i="30" s="1"/>
  <c r="G974" i="30" s="1"/>
  <c r="I975" i="30"/>
  <c r="H975" i="30" s="1"/>
  <c r="G975" i="30" s="1"/>
  <c r="I976" i="30"/>
  <c r="H976" i="30" s="1"/>
  <c r="G976" i="30" s="1"/>
  <c r="G325" i="3" s="1"/>
  <c r="H325" i="3" s="1"/>
  <c r="I977" i="30"/>
  <c r="H977" i="30" s="1"/>
  <c r="G977" i="30" s="1"/>
  <c r="G326" i="3" s="1"/>
  <c r="H326" i="3" s="1"/>
  <c r="I978" i="30"/>
  <c r="H978" i="30" s="1"/>
  <c r="G978" i="30" s="1"/>
  <c r="G327" i="3" s="1"/>
  <c r="H327" i="3" s="1"/>
  <c r="I979" i="30"/>
  <c r="H979" i="30" s="1"/>
  <c r="G979" i="30" s="1"/>
  <c r="I980" i="30"/>
  <c r="H980" i="30" s="1"/>
  <c r="G980" i="30" s="1"/>
  <c r="I981" i="30"/>
  <c r="H981" i="30" s="1"/>
  <c r="G981" i="30" s="1"/>
  <c r="I982" i="30"/>
  <c r="H982" i="30" s="1"/>
  <c r="G982" i="30" s="1"/>
  <c r="I983" i="30"/>
  <c r="H983" i="30" s="1"/>
  <c r="G983" i="30" s="1"/>
  <c r="I984" i="30"/>
  <c r="H984" i="30" s="1"/>
  <c r="G984" i="30" s="1"/>
  <c r="I985" i="30"/>
  <c r="H985" i="30" s="1"/>
  <c r="G985" i="30" s="1"/>
  <c r="I986" i="30"/>
  <c r="H986" i="30" s="1"/>
  <c r="G986" i="30" s="1"/>
  <c r="I987" i="30"/>
  <c r="H987" i="30" s="1"/>
  <c r="G987" i="30" s="1"/>
  <c r="I988" i="30"/>
  <c r="H988" i="30" s="1"/>
  <c r="G988" i="30" s="1"/>
  <c r="I989" i="30"/>
  <c r="H989" i="30" s="1"/>
  <c r="G989" i="30" s="1"/>
  <c r="I990" i="30"/>
  <c r="H990" i="30" s="1"/>
  <c r="G990" i="30" s="1"/>
  <c r="I991" i="30"/>
  <c r="H991" i="30" s="1"/>
  <c r="G991" i="30" s="1"/>
  <c r="I992" i="30"/>
  <c r="H992" i="30" s="1"/>
  <c r="G992" i="30" s="1"/>
  <c r="I993" i="30"/>
  <c r="H993" i="30" s="1"/>
  <c r="G993" i="30" s="1"/>
  <c r="I994" i="30"/>
  <c r="H994" i="30" s="1"/>
  <c r="G994" i="30" s="1"/>
  <c r="I995" i="30"/>
  <c r="H995" i="30" s="1"/>
  <c r="G995" i="30" s="1"/>
  <c r="I996" i="30"/>
  <c r="H996" i="30" s="1"/>
  <c r="G996" i="30" s="1"/>
  <c r="I997" i="30"/>
  <c r="H997" i="30" s="1"/>
  <c r="G997" i="30" s="1"/>
  <c r="I998" i="30"/>
  <c r="H998" i="30" s="1"/>
  <c r="G998" i="30" s="1"/>
  <c r="I999" i="30"/>
  <c r="H999" i="30" s="1"/>
  <c r="G999" i="30" s="1"/>
  <c r="I1000" i="30"/>
  <c r="H1000" i="30" s="1"/>
  <c r="G1000" i="30" s="1"/>
  <c r="I1001" i="30"/>
  <c r="H1001" i="30" s="1"/>
  <c r="G1001" i="30" s="1"/>
  <c r="G331" i="3" s="1"/>
  <c r="H331" i="3" s="1"/>
  <c r="I1002" i="30"/>
  <c r="H1002" i="30" s="1"/>
  <c r="G1002" i="30" s="1"/>
  <c r="I1003" i="30"/>
  <c r="H1003" i="30" s="1"/>
  <c r="G1003" i="30" s="1"/>
  <c r="G332" i="3" s="1"/>
  <c r="H332" i="3" s="1"/>
  <c r="I1004" i="30"/>
  <c r="H1004" i="30" s="1"/>
  <c r="G1004" i="30" s="1"/>
  <c r="I1005" i="30"/>
  <c r="H1005" i="30" s="1"/>
  <c r="G1005" i="30" s="1"/>
  <c r="I1006" i="30"/>
  <c r="H1006" i="30" s="1"/>
  <c r="G1006" i="30" s="1"/>
  <c r="I1007" i="30"/>
  <c r="H1007" i="30" s="1"/>
  <c r="G1007" i="30" s="1"/>
  <c r="I1008" i="30"/>
  <c r="H1008" i="30" s="1"/>
  <c r="G1008" i="30" s="1"/>
  <c r="I1009" i="30"/>
  <c r="H1009" i="30" s="1"/>
  <c r="G1009" i="30" s="1"/>
  <c r="I1010" i="30"/>
  <c r="H1010" i="30" s="1"/>
  <c r="G1010" i="30" s="1"/>
  <c r="G333" i="3" s="1"/>
  <c r="H333" i="3" s="1"/>
  <c r="I1011" i="30"/>
  <c r="H1011" i="30" s="1"/>
  <c r="G1011" i="30" s="1"/>
  <c r="I1012" i="30"/>
  <c r="H1012" i="30" s="1"/>
  <c r="G1012" i="30" s="1"/>
  <c r="I1013" i="30"/>
  <c r="H1013" i="30" s="1"/>
  <c r="G1013" i="30" s="1"/>
  <c r="G334" i="3" s="1"/>
  <c r="H334" i="3" s="1"/>
  <c r="I1014" i="30"/>
  <c r="H1014" i="30" s="1"/>
  <c r="G1014" i="30" s="1"/>
  <c r="G335" i="3" s="1"/>
  <c r="H335" i="3" s="1"/>
  <c r="I1015" i="30"/>
  <c r="H1015" i="30" s="1"/>
  <c r="G1015" i="30" s="1"/>
  <c r="G336" i="3" s="1"/>
  <c r="H336" i="3" s="1"/>
  <c r="I1016" i="30"/>
  <c r="H1016" i="30" s="1"/>
  <c r="G1016" i="30" s="1"/>
  <c r="G337" i="3" s="1"/>
  <c r="H337" i="3" s="1"/>
  <c r="I1017" i="30"/>
  <c r="H1017" i="30" s="1"/>
  <c r="G1017" i="30" s="1"/>
  <c r="G338" i="3" s="1"/>
  <c r="H338" i="3" s="1"/>
  <c r="I1018" i="30"/>
  <c r="H1018" i="30" s="1"/>
  <c r="G1018" i="30" s="1"/>
  <c r="I1019" i="30"/>
  <c r="H1019" i="30" s="1"/>
  <c r="G1019" i="30" s="1"/>
  <c r="G339" i="3" s="1"/>
  <c r="H339" i="3" s="1"/>
  <c r="I1020" i="30"/>
  <c r="H1020" i="30" s="1"/>
  <c r="G1020" i="30" s="1"/>
  <c r="I1021" i="30"/>
  <c r="H1021" i="30" s="1"/>
  <c r="G1021" i="30" s="1"/>
  <c r="G340" i="3" s="1"/>
  <c r="H340" i="3" s="1"/>
  <c r="I1022" i="30"/>
  <c r="H1022" i="30" s="1"/>
  <c r="G1022" i="30" s="1"/>
  <c r="I1023" i="30"/>
  <c r="H1023" i="30" s="1"/>
  <c r="G1023" i="30" s="1"/>
  <c r="G341" i="3" s="1"/>
  <c r="H341" i="3" s="1"/>
  <c r="I1024" i="30"/>
  <c r="H1024" i="30" s="1"/>
  <c r="G1024" i="30" s="1"/>
  <c r="G342" i="3" s="1"/>
  <c r="H342" i="3" s="1"/>
  <c r="I1025" i="30"/>
  <c r="H1025" i="30" s="1"/>
  <c r="G1025" i="30" s="1"/>
  <c r="I1026" i="30"/>
  <c r="H1026" i="30" s="1"/>
  <c r="G1026" i="30" s="1"/>
  <c r="I1027" i="30"/>
  <c r="H1027" i="30" s="1"/>
  <c r="G1027" i="30" s="1"/>
  <c r="I1028" i="30"/>
  <c r="H1028" i="30" s="1"/>
  <c r="G1028" i="30" s="1"/>
  <c r="I1029" i="30"/>
  <c r="H1029" i="30" s="1"/>
  <c r="G1029" i="30" s="1"/>
  <c r="I1030" i="30"/>
  <c r="H1030" i="30" s="1"/>
  <c r="G1030" i="30" s="1"/>
  <c r="G344" i="3" s="1"/>
  <c r="H344" i="3" s="1"/>
  <c r="I1031" i="30"/>
  <c r="H1031" i="30" s="1"/>
  <c r="G1031" i="30" s="1"/>
  <c r="G345" i="3" s="1"/>
  <c r="H345" i="3" s="1"/>
  <c r="I1032" i="30"/>
  <c r="H1032" i="30" s="1"/>
  <c r="G1032" i="30" s="1"/>
  <c r="G346" i="3" s="1"/>
  <c r="H346" i="3" s="1"/>
  <c r="I1033" i="30"/>
  <c r="H1033" i="30" s="1"/>
  <c r="G1033" i="30" s="1"/>
  <c r="G347" i="3" s="1"/>
  <c r="H347" i="3" s="1"/>
  <c r="I1034" i="30"/>
  <c r="H1034" i="30" s="1"/>
  <c r="G1034" i="30" s="1"/>
  <c r="I1035" i="30"/>
  <c r="H1035" i="30" s="1"/>
  <c r="G1035" i="30" s="1"/>
  <c r="I1036" i="30"/>
  <c r="H1036" i="30" s="1"/>
  <c r="G1036" i="30" s="1"/>
  <c r="I1037" i="30"/>
  <c r="H1037" i="30" s="1"/>
  <c r="G1037" i="30" s="1"/>
  <c r="G348" i="3" s="1"/>
  <c r="H348" i="3" s="1"/>
  <c r="I1038" i="30"/>
  <c r="H1038" i="30" s="1"/>
  <c r="G1038" i="30" s="1"/>
  <c r="I1039" i="30"/>
  <c r="H1039" i="30" s="1"/>
  <c r="G1039" i="30" s="1"/>
  <c r="I1040" i="30"/>
  <c r="H1040" i="30" s="1"/>
  <c r="G1040" i="30" s="1"/>
  <c r="G349" i="3" s="1"/>
  <c r="H349" i="3" s="1"/>
  <c r="I1041" i="30"/>
  <c r="H1041" i="30" s="1"/>
  <c r="G1041" i="30" s="1"/>
  <c r="I1042" i="30"/>
  <c r="H1042" i="30" s="1"/>
  <c r="G1042" i="30" s="1"/>
  <c r="G350" i="3" s="1"/>
  <c r="H350" i="3" s="1"/>
  <c r="I1043" i="30"/>
  <c r="H1043" i="30" s="1"/>
  <c r="G1043" i="30" s="1"/>
  <c r="I1044" i="30"/>
  <c r="H1044" i="30" s="1"/>
  <c r="G1044" i="30" s="1"/>
  <c r="I1045" i="30"/>
  <c r="H1045" i="30" s="1"/>
  <c r="G1045" i="30" s="1"/>
  <c r="I1046" i="30"/>
  <c r="H1046" i="30" s="1"/>
  <c r="G1046" i="30" s="1"/>
  <c r="I1047" i="30"/>
  <c r="H1047" i="30" s="1"/>
  <c r="G1047" i="30" s="1"/>
  <c r="I1048" i="30"/>
  <c r="H1048" i="30" s="1"/>
  <c r="G1048" i="30" s="1"/>
  <c r="I1049" i="30"/>
  <c r="H1049" i="30" s="1"/>
  <c r="G1049" i="30" s="1"/>
  <c r="G354" i="3" s="1"/>
  <c r="H354" i="3" s="1"/>
  <c r="I1050" i="30"/>
  <c r="H1050" i="30" s="1"/>
  <c r="G1050" i="30" s="1"/>
  <c r="I1051" i="30"/>
  <c r="H1051" i="30" s="1"/>
  <c r="G1051" i="30" s="1"/>
  <c r="I1052" i="30"/>
  <c r="H1052" i="30" s="1"/>
  <c r="G1052" i="30" s="1"/>
  <c r="I1053" i="30"/>
  <c r="H1053" i="30" s="1"/>
  <c r="G1053" i="30" s="1"/>
  <c r="I1054" i="30"/>
  <c r="H1054" i="30" s="1"/>
  <c r="G1054" i="30" s="1"/>
  <c r="I1055" i="30"/>
  <c r="H1055" i="30" s="1"/>
  <c r="G1055" i="30" s="1"/>
  <c r="I1056" i="30"/>
  <c r="H1056" i="30" s="1"/>
  <c r="G1056" i="30" s="1"/>
  <c r="I1057" i="30"/>
  <c r="H1057" i="30" s="1"/>
  <c r="G1057" i="30" s="1"/>
  <c r="I1058" i="30"/>
  <c r="H1058" i="30" s="1"/>
  <c r="G1058" i="30" s="1"/>
  <c r="I1059" i="30"/>
  <c r="H1059" i="30" s="1"/>
  <c r="G1059" i="30" s="1"/>
  <c r="I1060" i="30"/>
  <c r="H1060" i="30" s="1"/>
  <c r="G1060" i="30" s="1"/>
  <c r="G355" i="3" s="1"/>
  <c r="H355" i="3" s="1"/>
  <c r="I1061" i="30"/>
  <c r="H1061" i="30" s="1"/>
  <c r="G1061" i="30" s="1"/>
  <c r="G356" i="3" s="1"/>
  <c r="H356" i="3" s="1"/>
  <c r="I1062" i="30"/>
  <c r="H1062" i="30" s="1"/>
  <c r="G1062" i="30" s="1"/>
  <c r="I1063" i="30"/>
  <c r="H1063" i="30" s="1"/>
  <c r="G1063" i="30" s="1"/>
  <c r="I1064" i="30"/>
  <c r="H1064" i="30" s="1"/>
  <c r="G1064" i="30" s="1"/>
  <c r="I1065" i="30"/>
  <c r="H1065" i="30" s="1"/>
  <c r="G1065" i="30" s="1"/>
  <c r="I1066" i="30"/>
  <c r="H1066" i="30" s="1"/>
  <c r="G1066" i="30" s="1"/>
  <c r="G357" i="3" s="1"/>
  <c r="H357" i="3" s="1"/>
  <c r="I1067" i="30"/>
  <c r="H1067" i="30" s="1"/>
  <c r="G1067" i="30" s="1"/>
  <c r="I1068" i="30"/>
  <c r="H1068" i="30" s="1"/>
  <c r="G1068" i="30" s="1"/>
  <c r="I1070" i="30"/>
  <c r="H1070" i="30" s="1"/>
  <c r="G1070" i="30" s="1"/>
  <c r="I1071" i="30"/>
  <c r="H1071" i="30" s="1"/>
  <c r="G1071" i="30" s="1"/>
  <c r="I1072" i="30"/>
  <c r="H1072" i="30" s="1"/>
  <c r="G1072" i="30" s="1"/>
  <c r="G360" i="3" s="1"/>
  <c r="H360" i="3" s="1"/>
  <c r="I1073" i="30"/>
  <c r="H1073" i="30" s="1"/>
  <c r="G1073" i="30" s="1"/>
  <c r="I1074" i="30"/>
  <c r="H1074" i="30" s="1"/>
  <c r="G1074" i="30" s="1"/>
  <c r="I1075" i="30"/>
  <c r="H1075" i="30" s="1"/>
  <c r="G1075" i="30" s="1"/>
  <c r="I1076" i="30"/>
  <c r="H1076" i="30" s="1"/>
  <c r="G1076" i="30" s="1"/>
  <c r="G362" i="3" s="1"/>
  <c r="H362" i="3" s="1"/>
  <c r="I1077" i="30"/>
  <c r="H1077" i="30" s="1"/>
  <c r="G1077" i="30" s="1"/>
  <c r="G363" i="3" s="1"/>
  <c r="H363" i="3" s="1"/>
  <c r="I1078" i="30"/>
  <c r="H1078" i="30" s="1"/>
  <c r="G1078" i="30" s="1"/>
  <c r="I1079" i="30"/>
  <c r="H1079" i="30" s="1"/>
  <c r="G1079" i="30" s="1"/>
  <c r="G364" i="3" s="1"/>
  <c r="H364" i="3" s="1"/>
  <c r="I1080" i="30"/>
  <c r="H1080" i="30" s="1"/>
  <c r="G1080" i="30" s="1"/>
  <c r="I1081" i="30"/>
  <c r="H1081" i="30" s="1"/>
  <c r="G1081" i="30" s="1"/>
  <c r="I1082" i="30"/>
  <c r="H1082" i="30" s="1"/>
  <c r="G1082" i="30" s="1"/>
  <c r="I1083" i="30"/>
  <c r="H1083" i="30" s="1"/>
  <c r="G1083" i="30" s="1"/>
  <c r="I1084" i="30"/>
  <c r="H1084" i="30" s="1"/>
  <c r="G1084" i="30" s="1"/>
  <c r="I1085" i="30"/>
  <c r="H1085" i="30" s="1"/>
  <c r="G1085" i="30" s="1"/>
  <c r="I1086" i="30"/>
  <c r="H1086" i="30" s="1"/>
  <c r="G1086" i="30" s="1"/>
  <c r="I1087" i="30"/>
  <c r="H1087" i="30" s="1"/>
  <c r="G1087" i="30" s="1"/>
  <c r="I1088" i="30"/>
  <c r="H1088" i="30" s="1"/>
  <c r="G1088" i="30" s="1"/>
  <c r="I1089" i="30"/>
  <c r="H1089" i="30" s="1"/>
  <c r="G1089" i="30" s="1"/>
  <c r="I1090" i="30"/>
  <c r="H1090" i="30" s="1"/>
  <c r="G1090" i="30" s="1"/>
  <c r="I1091" i="30"/>
  <c r="H1091" i="30" s="1"/>
  <c r="G1091" i="30" s="1"/>
  <c r="I1092" i="30"/>
  <c r="H1092" i="30" s="1"/>
  <c r="G1092" i="30" s="1"/>
  <c r="I1093" i="30"/>
  <c r="H1093" i="30" s="1"/>
  <c r="G1093" i="30" s="1"/>
  <c r="I1094" i="30"/>
  <c r="H1094" i="30" s="1"/>
  <c r="G1094" i="30" s="1"/>
  <c r="I1095" i="30"/>
  <c r="H1095" i="30" s="1"/>
  <c r="G1095" i="30" s="1"/>
  <c r="I1096" i="30"/>
  <c r="H1096" i="30" s="1"/>
  <c r="G1096" i="30" s="1"/>
  <c r="G365" i="3" s="1"/>
  <c r="H365" i="3" s="1"/>
  <c r="I1097" i="30"/>
  <c r="H1097" i="30" s="1"/>
  <c r="G1097" i="30" s="1"/>
  <c r="G366" i="3" s="1"/>
  <c r="H366" i="3" s="1"/>
  <c r="I1098" i="30"/>
  <c r="H1098" i="30" s="1"/>
  <c r="G1098" i="30" s="1"/>
  <c r="I1099" i="30"/>
  <c r="H1099" i="30" s="1"/>
  <c r="G1099" i="30" s="1"/>
  <c r="I1100" i="30"/>
  <c r="H1100" i="30" s="1"/>
  <c r="G1100" i="30" s="1"/>
  <c r="I1101" i="30"/>
  <c r="H1101" i="30" s="1"/>
  <c r="G1101" i="30" s="1"/>
  <c r="I1102" i="30"/>
  <c r="H1102" i="30" s="1"/>
  <c r="G1102" i="30" s="1"/>
  <c r="I1103" i="30"/>
  <c r="H1103" i="30" s="1"/>
  <c r="G1103" i="30" s="1"/>
  <c r="I1104" i="30"/>
  <c r="H1104" i="30" s="1"/>
  <c r="G1104" i="30" s="1"/>
  <c r="I1105" i="30"/>
  <c r="H1105" i="30" s="1"/>
  <c r="G1105" i="30" s="1"/>
  <c r="I1106" i="30"/>
  <c r="H1106" i="30" s="1"/>
  <c r="G1106" i="30" s="1"/>
  <c r="I1107" i="30"/>
  <c r="H1107" i="30" s="1"/>
  <c r="G1107" i="30" s="1"/>
  <c r="I1108" i="30"/>
  <c r="H1108" i="30" s="1"/>
  <c r="G1108" i="30" s="1"/>
  <c r="I1109" i="30"/>
  <c r="H1109" i="30" s="1"/>
  <c r="G1109" i="30" s="1"/>
  <c r="I1110" i="30"/>
  <c r="H1110" i="30" s="1"/>
  <c r="G1110" i="30" s="1"/>
  <c r="I1111" i="30"/>
  <c r="H1111" i="30" s="1"/>
  <c r="G1111" i="30" s="1"/>
  <c r="I1112" i="30"/>
  <c r="H1112" i="30" s="1"/>
  <c r="G1112" i="30" s="1"/>
  <c r="I1113" i="30"/>
  <c r="H1113" i="30" s="1"/>
  <c r="G1113" i="30" s="1"/>
  <c r="I1114" i="30"/>
  <c r="H1114" i="30" s="1"/>
  <c r="G1114" i="30" s="1"/>
  <c r="I1115" i="30"/>
  <c r="H1115" i="30" s="1"/>
  <c r="G1115" i="30" s="1"/>
  <c r="I1116" i="30"/>
  <c r="H1116" i="30" s="1"/>
  <c r="G1116" i="30" s="1"/>
  <c r="I1117" i="30"/>
  <c r="H1117" i="30" s="1"/>
  <c r="G1117" i="30" s="1"/>
  <c r="I1118" i="30"/>
  <c r="H1118" i="30" s="1"/>
  <c r="G1118" i="30" s="1"/>
  <c r="I1119" i="30"/>
  <c r="H1119" i="30" s="1"/>
  <c r="G1119" i="30" s="1"/>
  <c r="I1120" i="30"/>
  <c r="H1120" i="30" s="1"/>
  <c r="G1120" i="30" s="1"/>
  <c r="I1121" i="30"/>
  <c r="H1121" i="30" s="1"/>
  <c r="G1121" i="30" s="1"/>
  <c r="I1122" i="30"/>
  <c r="H1122" i="30" s="1"/>
  <c r="G1122" i="30" s="1"/>
  <c r="I1123" i="30"/>
  <c r="H1123" i="30" s="1"/>
  <c r="G1123" i="30" s="1"/>
  <c r="I1124" i="30"/>
  <c r="H1124" i="30" s="1"/>
  <c r="G1124" i="30" s="1"/>
  <c r="I1125" i="30"/>
  <c r="H1125" i="30" s="1"/>
  <c r="G1125" i="30" s="1"/>
  <c r="I1126" i="30"/>
  <c r="H1126" i="30" s="1"/>
  <c r="G1126" i="30" s="1"/>
  <c r="I1127" i="30"/>
  <c r="H1127" i="30" s="1"/>
  <c r="G1127" i="30" s="1"/>
  <c r="I1128" i="30"/>
  <c r="H1128" i="30" s="1"/>
  <c r="G1128" i="30" s="1"/>
  <c r="I1129" i="30"/>
  <c r="H1129" i="30" s="1"/>
  <c r="G1129" i="30" s="1"/>
  <c r="I1130" i="30"/>
  <c r="H1130" i="30" s="1"/>
  <c r="G1130" i="30" s="1"/>
  <c r="I1131" i="30"/>
  <c r="H1131" i="30" s="1"/>
  <c r="G1131" i="30" s="1"/>
  <c r="I1132" i="30"/>
  <c r="H1132" i="30" s="1"/>
  <c r="G1132" i="30" s="1"/>
  <c r="G368" i="3" s="1"/>
  <c r="H368" i="3" s="1"/>
  <c r="I1133" i="30"/>
  <c r="H1133" i="30" s="1"/>
  <c r="G1133" i="30" s="1"/>
  <c r="I1134" i="30"/>
  <c r="H1134" i="30" s="1"/>
  <c r="G1134" i="30" s="1"/>
  <c r="G369" i="3" s="1"/>
  <c r="H369" i="3" s="1"/>
  <c r="I1135" i="30"/>
  <c r="H1135" i="30" s="1"/>
  <c r="G1135" i="30" s="1"/>
  <c r="G370" i="3" s="1"/>
  <c r="H370" i="3" s="1"/>
  <c r="I1136" i="30"/>
  <c r="H1136" i="30" s="1"/>
  <c r="G1136" i="30" s="1"/>
  <c r="I1137" i="30"/>
  <c r="H1137" i="30" s="1"/>
  <c r="G1137" i="30" s="1"/>
  <c r="I1138" i="30"/>
  <c r="H1138" i="30" s="1"/>
  <c r="G1138" i="30" s="1"/>
  <c r="I1139" i="30"/>
  <c r="H1139" i="30" s="1"/>
  <c r="G1139" i="30" s="1"/>
  <c r="I1140" i="30"/>
  <c r="H1140" i="30" s="1"/>
  <c r="G1140" i="30" s="1"/>
  <c r="I1141" i="30"/>
  <c r="H1141" i="30" s="1"/>
  <c r="G1141" i="30" s="1"/>
  <c r="I1142" i="30"/>
  <c r="H1142" i="30" s="1"/>
  <c r="G1142" i="30" s="1"/>
  <c r="I1143" i="30"/>
  <c r="H1143" i="30" s="1"/>
  <c r="G1143" i="30" s="1"/>
  <c r="I1144" i="30"/>
  <c r="H1144" i="30" s="1"/>
  <c r="G1144" i="30" s="1"/>
  <c r="I1145" i="30"/>
  <c r="H1145" i="30" s="1"/>
  <c r="G1145" i="30" s="1"/>
  <c r="I1146" i="30"/>
  <c r="H1146" i="30" s="1"/>
  <c r="G1146" i="30" s="1"/>
  <c r="I1147" i="30"/>
  <c r="H1147" i="30" s="1"/>
  <c r="G1147" i="30" s="1"/>
  <c r="I1148" i="30"/>
  <c r="H1148" i="30" s="1"/>
  <c r="G1148" i="30" s="1"/>
  <c r="I1149" i="30"/>
  <c r="H1149" i="30" s="1"/>
  <c r="G1149" i="30" s="1"/>
  <c r="I1150" i="30"/>
  <c r="H1150" i="30" s="1"/>
  <c r="G1150" i="30" s="1"/>
  <c r="I1151" i="30"/>
  <c r="H1151" i="30" s="1"/>
  <c r="G1151" i="30" s="1"/>
  <c r="I1152" i="30"/>
  <c r="H1152" i="30" s="1"/>
  <c r="G1152" i="30" s="1"/>
  <c r="I1153" i="30"/>
  <c r="H1153" i="30" s="1"/>
  <c r="G1153" i="30" s="1"/>
  <c r="I1154" i="30"/>
  <c r="H1154" i="30" s="1"/>
  <c r="G1154" i="30" s="1"/>
  <c r="I1155" i="30"/>
  <c r="H1155" i="30" s="1"/>
  <c r="G1155" i="30" s="1"/>
  <c r="I1156" i="30"/>
  <c r="H1156" i="30" s="1"/>
  <c r="G1156" i="30" s="1"/>
  <c r="I1157" i="30"/>
  <c r="H1157" i="30" s="1"/>
  <c r="G1157" i="30" s="1"/>
  <c r="I1158" i="30"/>
  <c r="H1158" i="30" s="1"/>
  <c r="G1158" i="30" s="1"/>
  <c r="I1159" i="30"/>
  <c r="H1159" i="30" s="1"/>
  <c r="G1159" i="30" s="1"/>
  <c r="G371" i="3" s="1"/>
  <c r="H371" i="3" s="1"/>
  <c r="I1160" i="30"/>
  <c r="H1160" i="30" s="1"/>
  <c r="G1160" i="30" s="1"/>
  <c r="G372" i="3" s="1"/>
  <c r="H372" i="3" s="1"/>
  <c r="I1161" i="30"/>
  <c r="H1161" i="30" s="1"/>
  <c r="G1161" i="30" s="1"/>
  <c r="G373" i="3" s="1"/>
  <c r="H373" i="3" s="1"/>
  <c r="I1162" i="30"/>
  <c r="H1162" i="30" s="1"/>
  <c r="G1162" i="30" s="1"/>
  <c r="I1163" i="30"/>
  <c r="H1163" i="30" s="1"/>
  <c r="G1163" i="30" s="1"/>
  <c r="I1164" i="30"/>
  <c r="H1164" i="30" s="1"/>
  <c r="G1164" i="30" s="1"/>
  <c r="I1165" i="30"/>
  <c r="H1165" i="30" s="1"/>
  <c r="G1165" i="30" s="1"/>
  <c r="G375" i="3" s="1"/>
  <c r="H375" i="3" s="1"/>
  <c r="I1166" i="30"/>
  <c r="H1166" i="30" s="1"/>
  <c r="G1166" i="30" s="1"/>
  <c r="I1167" i="30"/>
  <c r="H1167" i="30" s="1"/>
  <c r="G1167" i="30" s="1"/>
  <c r="I1168" i="30"/>
  <c r="H1168" i="30" s="1"/>
  <c r="G1168" i="30" s="1"/>
  <c r="I1169" i="30"/>
  <c r="H1169" i="30" s="1"/>
  <c r="G1169" i="30" s="1"/>
  <c r="I1170" i="30"/>
  <c r="H1170" i="30" s="1"/>
  <c r="G1170" i="30" s="1"/>
  <c r="I1171" i="30"/>
  <c r="H1171" i="30" s="1"/>
  <c r="G1171" i="30" s="1"/>
  <c r="I1172" i="30"/>
  <c r="H1172" i="30" s="1"/>
  <c r="G1172" i="30" s="1"/>
  <c r="G376" i="3" s="1"/>
  <c r="H376" i="3" s="1"/>
  <c r="I1173" i="30"/>
  <c r="H1173" i="30" s="1"/>
  <c r="G1173" i="30" s="1"/>
  <c r="G377" i="3" s="1"/>
  <c r="H377" i="3" s="1"/>
  <c r="I1174" i="30"/>
  <c r="H1174" i="30" s="1"/>
  <c r="G1174" i="30" s="1"/>
  <c r="I1175" i="30"/>
  <c r="H1175" i="30" s="1"/>
  <c r="G1175" i="30" s="1"/>
  <c r="I1176" i="30"/>
  <c r="H1176" i="30" s="1"/>
  <c r="G1176" i="30" s="1"/>
  <c r="I1177" i="30"/>
  <c r="H1177" i="30" s="1"/>
  <c r="G1177" i="30" s="1"/>
  <c r="I1178" i="30"/>
  <c r="H1178" i="30" s="1"/>
  <c r="G1178" i="30" s="1"/>
  <c r="I1179" i="30"/>
  <c r="H1179" i="30" s="1"/>
  <c r="G1179" i="30" s="1"/>
  <c r="I1180" i="30"/>
  <c r="H1180" i="30" s="1"/>
  <c r="G1180" i="30" s="1"/>
  <c r="I1181" i="30"/>
  <c r="H1181" i="30" s="1"/>
  <c r="G1181" i="30" s="1"/>
  <c r="I1182" i="30"/>
  <c r="H1182" i="30" s="1"/>
  <c r="G1182" i="30" s="1"/>
  <c r="I1183" i="30"/>
  <c r="H1183" i="30" s="1"/>
  <c r="G1183" i="30" s="1"/>
  <c r="I1184" i="30"/>
  <c r="H1184" i="30" s="1"/>
  <c r="G1184" i="30" s="1"/>
  <c r="I1185" i="30"/>
  <c r="H1185" i="30" s="1"/>
  <c r="G1185" i="30" s="1"/>
  <c r="I1186" i="30"/>
  <c r="H1186" i="30" s="1"/>
  <c r="G1186" i="30" s="1"/>
  <c r="I1187" i="30"/>
  <c r="H1187" i="30" s="1"/>
  <c r="G1187" i="30" s="1"/>
  <c r="I1188" i="30"/>
  <c r="H1188" i="30" s="1"/>
  <c r="G1188" i="30" s="1"/>
  <c r="I1189" i="30"/>
  <c r="H1189" i="30" s="1"/>
  <c r="G1189" i="30" s="1"/>
  <c r="I1190" i="30"/>
  <c r="H1190" i="30" s="1"/>
  <c r="G1190" i="30" s="1"/>
  <c r="I1191" i="30"/>
  <c r="H1191" i="30" s="1"/>
  <c r="G1191" i="30" s="1"/>
  <c r="I1192" i="30"/>
  <c r="H1192" i="30" s="1"/>
  <c r="G1192" i="30" s="1"/>
  <c r="I1193" i="30"/>
  <c r="H1193" i="30" s="1"/>
  <c r="G1193" i="30" s="1"/>
  <c r="I1194" i="30"/>
  <c r="H1194" i="30" s="1"/>
  <c r="G1194" i="30" s="1"/>
  <c r="I1195" i="30"/>
  <c r="H1195" i="30" s="1"/>
  <c r="G1195" i="30" s="1"/>
  <c r="I1196" i="30"/>
  <c r="H1196" i="30" s="1"/>
  <c r="G1196" i="30" s="1"/>
  <c r="I1197" i="30"/>
  <c r="H1197" i="30" s="1"/>
  <c r="G1197" i="30" s="1"/>
  <c r="I1198" i="30"/>
  <c r="H1198" i="30" s="1"/>
  <c r="G1198" i="30" s="1"/>
  <c r="I1199" i="30"/>
  <c r="H1199" i="30" s="1"/>
  <c r="G1199" i="30" s="1"/>
  <c r="I1200" i="30"/>
  <c r="H1200" i="30" s="1"/>
  <c r="G1200" i="30" s="1"/>
  <c r="I1201" i="30"/>
  <c r="H1201" i="30" s="1"/>
  <c r="G1201" i="30" s="1"/>
  <c r="I1202" i="30"/>
  <c r="H1202" i="30" s="1"/>
  <c r="G1202" i="30" s="1"/>
  <c r="I1203" i="30"/>
  <c r="H1203" i="30" s="1"/>
  <c r="G1203" i="30" s="1"/>
  <c r="I1204" i="30"/>
  <c r="H1204" i="30" s="1"/>
  <c r="G1204" i="30" s="1"/>
  <c r="I1205" i="30"/>
  <c r="H1205" i="30" s="1"/>
  <c r="G1205" i="30" s="1"/>
  <c r="I1206" i="30"/>
  <c r="H1206" i="30" s="1"/>
  <c r="G1206" i="30" s="1"/>
  <c r="I1207" i="30"/>
  <c r="H1207" i="30" s="1"/>
  <c r="G1207" i="30" s="1"/>
  <c r="I1208" i="30"/>
  <c r="H1208" i="30" s="1"/>
  <c r="G1208" i="30" s="1"/>
  <c r="I1209" i="30"/>
  <c r="H1209" i="30" s="1"/>
  <c r="G1209" i="30" s="1"/>
  <c r="I1210" i="30"/>
  <c r="H1210" i="30" s="1"/>
  <c r="G1210" i="30" s="1"/>
  <c r="I1211" i="30"/>
  <c r="H1211" i="30" s="1"/>
  <c r="G1211" i="30" s="1"/>
  <c r="I1212" i="30"/>
  <c r="H1212" i="30" s="1"/>
  <c r="G1212" i="30" s="1"/>
  <c r="I1213" i="30"/>
  <c r="H1213" i="30" s="1"/>
  <c r="G1213" i="30" s="1"/>
  <c r="I1214" i="30"/>
  <c r="H1214" i="30" s="1"/>
  <c r="G1214" i="30" s="1"/>
  <c r="I1215" i="30"/>
  <c r="H1215" i="30" s="1"/>
  <c r="G1215" i="30" s="1"/>
  <c r="I1216" i="30"/>
  <c r="H1216" i="30" s="1"/>
  <c r="G1216" i="30" s="1"/>
  <c r="I1217" i="30"/>
  <c r="H1217" i="30" s="1"/>
  <c r="G1217" i="30" s="1"/>
  <c r="I1218" i="30"/>
  <c r="H1218" i="30" s="1"/>
  <c r="G1218" i="30" s="1"/>
  <c r="I1219" i="30"/>
  <c r="H1219" i="30" s="1"/>
  <c r="G1219" i="30" s="1"/>
  <c r="G382" i="3" s="1"/>
  <c r="H382" i="3" s="1"/>
  <c r="I1220" i="30"/>
  <c r="H1220" i="30" s="1"/>
  <c r="G1220" i="30" s="1"/>
  <c r="G384" i="3" s="1"/>
  <c r="H384" i="3" s="1"/>
  <c r="I1221" i="30"/>
  <c r="H1221" i="30" s="1"/>
  <c r="G1221" i="30" s="1"/>
  <c r="I1222" i="30"/>
  <c r="H1222" i="30" s="1"/>
  <c r="G1222" i="30" s="1"/>
  <c r="I1223" i="30"/>
  <c r="H1223" i="30" s="1"/>
  <c r="G1223" i="30" s="1"/>
  <c r="G385" i="3" s="1"/>
  <c r="H385" i="3" s="1"/>
  <c r="I1224" i="30"/>
  <c r="H1224" i="30" s="1"/>
  <c r="G1224" i="30" s="1"/>
  <c r="I1225" i="30"/>
  <c r="H1225" i="30" s="1"/>
  <c r="G1225" i="30" s="1"/>
  <c r="I1226" i="30"/>
  <c r="H1226" i="30" s="1"/>
  <c r="G1226" i="30" s="1"/>
  <c r="G390" i="3" s="1"/>
  <c r="H390" i="3" s="1"/>
  <c r="I1227" i="30"/>
  <c r="H1227" i="30" s="1"/>
  <c r="G1227" i="30" s="1"/>
  <c r="I1228" i="30"/>
  <c r="H1228" i="30" s="1"/>
  <c r="G1228" i="30" s="1"/>
  <c r="G391" i="3" s="1"/>
  <c r="H391" i="3" s="1"/>
  <c r="I1229" i="30"/>
  <c r="H1229" i="30" s="1"/>
  <c r="G1229" i="30" s="1"/>
  <c r="G392" i="3" s="1"/>
  <c r="H392" i="3" s="1"/>
  <c r="I1230" i="30"/>
  <c r="H1230" i="30" s="1"/>
  <c r="G1230" i="30" s="1"/>
  <c r="I1231" i="30"/>
  <c r="H1231" i="30" s="1"/>
  <c r="G1231" i="30" s="1"/>
  <c r="G393" i="3" s="1"/>
  <c r="H393" i="3" s="1"/>
  <c r="I1232" i="30"/>
  <c r="H1232" i="30" s="1"/>
  <c r="G1232" i="30" s="1"/>
  <c r="I1233" i="30"/>
  <c r="H1233" i="30" s="1"/>
  <c r="G1233" i="30" s="1"/>
  <c r="I1234" i="30"/>
  <c r="H1234" i="30" s="1"/>
  <c r="G1234" i="30" s="1"/>
  <c r="I1235" i="30"/>
  <c r="H1235" i="30" s="1"/>
  <c r="G1235" i="30" s="1"/>
  <c r="I1236" i="30"/>
  <c r="H1236" i="30" s="1"/>
  <c r="G1236" i="30" s="1"/>
  <c r="I1237" i="30"/>
  <c r="H1237" i="30" s="1"/>
  <c r="G1237" i="30" s="1"/>
  <c r="F5327" i="32"/>
  <c r="F5328" i="32"/>
  <c r="F5329" i="32"/>
  <c r="F5330" i="32"/>
  <c r="F5331" i="32"/>
  <c r="F5332" i="32"/>
  <c r="F5333" i="32"/>
  <c r="F5334" i="32"/>
  <c r="F5335" i="32"/>
  <c r="F5336" i="32"/>
  <c r="F5337" i="32"/>
  <c r="F5338" i="32"/>
  <c r="F5339" i="32"/>
  <c r="F5340" i="32"/>
  <c r="F5341" i="32"/>
  <c r="F5342" i="32"/>
  <c r="F5343" i="32"/>
  <c r="F5344" i="32"/>
  <c r="F5345" i="32"/>
  <c r="F5346" i="32"/>
  <c r="F5347" i="32"/>
  <c r="F5348" i="32"/>
  <c r="F5349" i="32"/>
  <c r="F5350" i="32"/>
  <c r="F5351" i="32"/>
  <c r="F5352" i="32"/>
  <c r="F5353" i="32"/>
  <c r="F5354" i="32"/>
  <c r="F5355" i="32"/>
  <c r="F5356" i="32"/>
  <c r="F5357" i="32"/>
  <c r="F5358" i="32"/>
  <c r="F5359" i="32"/>
  <c r="F5360" i="32"/>
  <c r="F5361" i="32"/>
  <c r="F5362" i="32"/>
  <c r="F5363" i="32"/>
  <c r="F5364" i="32"/>
  <c r="F5365" i="32"/>
  <c r="F5366" i="32"/>
  <c r="F5367" i="32"/>
  <c r="F5368" i="32"/>
  <c r="F5369" i="32"/>
  <c r="F5370" i="32"/>
  <c r="F5371" i="32"/>
  <c r="F5372" i="32"/>
  <c r="F5373" i="32"/>
  <c r="F5374" i="32"/>
  <c r="F5375" i="32"/>
  <c r="F5376" i="32"/>
  <c r="F5377" i="32"/>
  <c r="F5378" i="32"/>
  <c r="F5379" i="32"/>
  <c r="F5380" i="32"/>
  <c r="F5381" i="32"/>
  <c r="F5382" i="32"/>
  <c r="F5383" i="32"/>
  <c r="F5384" i="32"/>
  <c r="F5385" i="32"/>
  <c r="F5386" i="32"/>
  <c r="F5387" i="32"/>
  <c r="F5388" i="32"/>
  <c r="F5389" i="32"/>
  <c r="F5390" i="32"/>
  <c r="F5391" i="32"/>
  <c r="F5392" i="32"/>
  <c r="F5393" i="32"/>
  <c r="F5394" i="32"/>
  <c r="F5395" i="32"/>
  <c r="F5396" i="32"/>
  <c r="F5397" i="32"/>
  <c r="F5398" i="32"/>
  <c r="F5399" i="32"/>
  <c r="F5400" i="32"/>
  <c r="F5401" i="32"/>
  <c r="F5402" i="32"/>
  <c r="F5403" i="32"/>
  <c r="F5404" i="32"/>
  <c r="F5405" i="32"/>
  <c r="F5406" i="32"/>
  <c r="F5407" i="32"/>
  <c r="F5408" i="32"/>
  <c r="F5409" i="32"/>
  <c r="F5410" i="32"/>
  <c r="F5411" i="32"/>
  <c r="F5412" i="32"/>
  <c r="F5413" i="32"/>
  <c r="F5414" i="32"/>
  <c r="F5415" i="32"/>
  <c r="F5416" i="32"/>
  <c r="F5417" i="32"/>
  <c r="F5418" i="32"/>
  <c r="F5419" i="32"/>
  <c r="F5420" i="32"/>
  <c r="F5421" i="32"/>
  <c r="F5422" i="32"/>
  <c r="F5423" i="32"/>
  <c r="F5424" i="32"/>
  <c r="F5425" i="32"/>
  <c r="F5426" i="32"/>
  <c r="F5427" i="32"/>
  <c r="F5428" i="32"/>
  <c r="F5429" i="32"/>
  <c r="F5430" i="32"/>
  <c r="F5431" i="32"/>
  <c r="F5432" i="32"/>
  <c r="F5433" i="32"/>
  <c r="F5434" i="32"/>
  <c r="F5435" i="32"/>
  <c r="F5436" i="32"/>
  <c r="F5437" i="32"/>
  <c r="F5438" i="32"/>
  <c r="F5439" i="32"/>
  <c r="F5440" i="32"/>
  <c r="F5441" i="32"/>
  <c r="F5442" i="32"/>
  <c r="F5443" i="32"/>
  <c r="F5444" i="32"/>
  <c r="F5445" i="32"/>
  <c r="F5446" i="32"/>
  <c r="F5447" i="32"/>
  <c r="F5448" i="32"/>
  <c r="F5449" i="32"/>
  <c r="F5450" i="32"/>
  <c r="F5451" i="32"/>
  <c r="F5452" i="32"/>
  <c r="F5453" i="32"/>
  <c r="F5454" i="32"/>
  <c r="F5455" i="32"/>
  <c r="F5456" i="32"/>
  <c r="F5457" i="32"/>
  <c r="F5458" i="32"/>
  <c r="F5459" i="32"/>
  <c r="F5460" i="32"/>
  <c r="F5461" i="32"/>
  <c r="F5462" i="32"/>
  <c r="F5463" i="32"/>
  <c r="F5464" i="32"/>
  <c r="F5465" i="32"/>
  <c r="F5466" i="32"/>
  <c r="F5467" i="32"/>
  <c r="F5468" i="32"/>
  <c r="F5469" i="32"/>
  <c r="F5470" i="32"/>
  <c r="F5471" i="32"/>
  <c r="F5472" i="32"/>
  <c r="F5473" i="32"/>
  <c r="F5474" i="32"/>
  <c r="F5475" i="32"/>
  <c r="F5476" i="32"/>
  <c r="F5477" i="32"/>
  <c r="F5478" i="32"/>
  <c r="F5479" i="32"/>
  <c r="F5480" i="32"/>
  <c r="F5481" i="32"/>
  <c r="F5482" i="32"/>
  <c r="F5483" i="32"/>
  <c r="F5484" i="32"/>
  <c r="F5485" i="32"/>
  <c r="F5486" i="32"/>
  <c r="F5487" i="32"/>
  <c r="F5488" i="32"/>
  <c r="F5489" i="32"/>
  <c r="F5490" i="32"/>
  <c r="F5491" i="32"/>
  <c r="F5492" i="32"/>
  <c r="F5493" i="32"/>
  <c r="F5494" i="32"/>
  <c r="F5495" i="32"/>
  <c r="F5496" i="32"/>
  <c r="F5497" i="32"/>
  <c r="F5498" i="32"/>
  <c r="F5499" i="32"/>
  <c r="F5500" i="32"/>
  <c r="F5501" i="32"/>
  <c r="F5502" i="32"/>
  <c r="F5503" i="32"/>
  <c r="F5504" i="32"/>
  <c r="F5505" i="32"/>
  <c r="F5506" i="32"/>
  <c r="F5507" i="32"/>
  <c r="F5508" i="32"/>
  <c r="F5509" i="32"/>
  <c r="F5510" i="32"/>
  <c r="F5511" i="32"/>
  <c r="F5512" i="32"/>
  <c r="F5513" i="32"/>
  <c r="F5514" i="32"/>
  <c r="F5515" i="32"/>
  <c r="F5516" i="32"/>
  <c r="F5517" i="32"/>
  <c r="F5518" i="32"/>
  <c r="F5519" i="32"/>
  <c r="F5520" i="32"/>
  <c r="F5521" i="32"/>
  <c r="F5522" i="32"/>
  <c r="F5523" i="32"/>
  <c r="F5524" i="32"/>
  <c r="F5525" i="32"/>
  <c r="F5526" i="32"/>
  <c r="F5527" i="32"/>
  <c r="F5528" i="32"/>
  <c r="F5529" i="32"/>
  <c r="F5530" i="32"/>
  <c r="F5531" i="32"/>
  <c r="F5532" i="32"/>
  <c r="F5533" i="32"/>
  <c r="F5534" i="32"/>
  <c r="F5535" i="32"/>
  <c r="F5536" i="32"/>
  <c r="F5537" i="32"/>
  <c r="F5538" i="32"/>
  <c r="F5539" i="32"/>
  <c r="F5540" i="32"/>
  <c r="F5541" i="32"/>
  <c r="F5542" i="32"/>
  <c r="F5543" i="32"/>
  <c r="F5544" i="32"/>
  <c r="F5545" i="32"/>
  <c r="F5546" i="32"/>
  <c r="F5547" i="32"/>
  <c r="F5548" i="32"/>
  <c r="F5549" i="32"/>
  <c r="F5550" i="32"/>
  <c r="F5551" i="32"/>
  <c r="F5552" i="32"/>
  <c r="F5553" i="32"/>
  <c r="F5554" i="32"/>
  <c r="F5555" i="32"/>
  <c r="F5556" i="32"/>
  <c r="F5557" i="32"/>
  <c r="F5558" i="32"/>
  <c r="F5559" i="32"/>
  <c r="F5560" i="32"/>
  <c r="F5561" i="32"/>
  <c r="F5562" i="32"/>
  <c r="F5563" i="32"/>
  <c r="F5564" i="32"/>
  <c r="F5565" i="32"/>
  <c r="F5566" i="32"/>
  <c r="F5567" i="32"/>
  <c r="F5568" i="32"/>
  <c r="F5569" i="32"/>
  <c r="F5570" i="32"/>
  <c r="F5571" i="32"/>
  <c r="F5572" i="32"/>
  <c r="F5573" i="32"/>
  <c r="F5574" i="32"/>
  <c r="F5575" i="32"/>
  <c r="F5576" i="32"/>
  <c r="F5577" i="32"/>
  <c r="F5578" i="32"/>
  <c r="F5579" i="32"/>
  <c r="F5580" i="32"/>
  <c r="F5581" i="32"/>
  <c r="F5582" i="32"/>
  <c r="F5583" i="32"/>
  <c r="F5584" i="32"/>
  <c r="F5585" i="32"/>
  <c r="F5586" i="32"/>
  <c r="F5587" i="32"/>
  <c r="F5588" i="32"/>
  <c r="F5589" i="32"/>
  <c r="F5590" i="32"/>
  <c r="F5591" i="32"/>
  <c r="F5592" i="32"/>
  <c r="F5593" i="32"/>
  <c r="F5594" i="32"/>
  <c r="F5595" i="32"/>
  <c r="F5596" i="32"/>
  <c r="F5597" i="32"/>
  <c r="F5598" i="32"/>
  <c r="F5599" i="32"/>
  <c r="F5600" i="32"/>
  <c r="F5601" i="32"/>
  <c r="F5602" i="32"/>
  <c r="F5603" i="32"/>
  <c r="F5604" i="32"/>
  <c r="F5605" i="32"/>
  <c r="F5606" i="32"/>
  <c r="F5607" i="32"/>
  <c r="F5608" i="32"/>
  <c r="F5609" i="32"/>
  <c r="F5610" i="32"/>
  <c r="F5611" i="32"/>
  <c r="F5612" i="32"/>
  <c r="F5613" i="32"/>
  <c r="F5614" i="32"/>
  <c r="F5615" i="32"/>
  <c r="F5616" i="32"/>
  <c r="F5617" i="32"/>
  <c r="F5618" i="32"/>
  <c r="F5619" i="32"/>
  <c r="F5620" i="32"/>
  <c r="F5621" i="32"/>
  <c r="F5622" i="32"/>
  <c r="F5623" i="32"/>
  <c r="F5624" i="32"/>
  <c r="F5625" i="32"/>
  <c r="F5626" i="32"/>
  <c r="F5627" i="32"/>
  <c r="F5628" i="32"/>
  <c r="F5629" i="32"/>
  <c r="F5630" i="32"/>
  <c r="F5631" i="32"/>
  <c r="F5632" i="32"/>
  <c r="F5633" i="32"/>
  <c r="F5634" i="32"/>
  <c r="F5635" i="32"/>
  <c r="F5636" i="32"/>
  <c r="F5637" i="32"/>
  <c r="F5638" i="32"/>
  <c r="F5639" i="32"/>
  <c r="F5640" i="32"/>
  <c r="F5641" i="32"/>
  <c r="F5642" i="32"/>
  <c r="F5643" i="32"/>
  <c r="F5644" i="32"/>
  <c r="F5645" i="32"/>
  <c r="F5646" i="32"/>
  <c r="F5647" i="32"/>
  <c r="F5648" i="32"/>
  <c r="F5649" i="32"/>
  <c r="F5650" i="32"/>
  <c r="F5651" i="32"/>
  <c r="F5652" i="32"/>
  <c r="F5653" i="32"/>
  <c r="F5654" i="32"/>
  <c r="F5655" i="32"/>
  <c r="F5656" i="32"/>
  <c r="F5657" i="32"/>
  <c r="F5658" i="32"/>
  <c r="F5659" i="32"/>
  <c r="F5660" i="32"/>
  <c r="F5661" i="32"/>
  <c r="F5662" i="32"/>
  <c r="F5663" i="32"/>
  <c r="F5664" i="32"/>
  <c r="F5665" i="32"/>
  <c r="F5666" i="32"/>
  <c r="F5667" i="32"/>
  <c r="F5668" i="32"/>
  <c r="F5669" i="32"/>
  <c r="F5670" i="32"/>
  <c r="F5671" i="32"/>
  <c r="F5672" i="32"/>
  <c r="F5673" i="32"/>
  <c r="F5674" i="32"/>
  <c r="F5675" i="32"/>
  <c r="F5676" i="32"/>
  <c r="F5677" i="32"/>
  <c r="F5678" i="32"/>
  <c r="F5679" i="32"/>
  <c r="F5680" i="32"/>
  <c r="F5681" i="32"/>
  <c r="F5682" i="32"/>
  <c r="F5683" i="32"/>
  <c r="F5684" i="32"/>
  <c r="F5685" i="32"/>
  <c r="F5686" i="32"/>
  <c r="F5687" i="32"/>
  <c r="F5688" i="32"/>
  <c r="F5689" i="32"/>
  <c r="F5690" i="32"/>
  <c r="F5691" i="32"/>
  <c r="F5692" i="32"/>
  <c r="F5693" i="32"/>
  <c r="F5694" i="32"/>
  <c r="F5695" i="32"/>
  <c r="F5696" i="32"/>
  <c r="F5697" i="32"/>
  <c r="F5698" i="32"/>
  <c r="F5699" i="32"/>
  <c r="F5700" i="32"/>
  <c r="F5701" i="32"/>
  <c r="F5702" i="32"/>
  <c r="F5703" i="32"/>
  <c r="F5704" i="32"/>
  <c r="F5705" i="32"/>
  <c r="F5706" i="32"/>
  <c r="F5707" i="32"/>
  <c r="F5708" i="32"/>
  <c r="F5709" i="32"/>
  <c r="F5710" i="32"/>
  <c r="F5711" i="32"/>
  <c r="F5712" i="32"/>
  <c r="F5713" i="32"/>
  <c r="F5714" i="32"/>
  <c r="F5715" i="32"/>
  <c r="F5716" i="32"/>
  <c r="F5717" i="32"/>
  <c r="F5718" i="32"/>
  <c r="F5719" i="32"/>
  <c r="F5720" i="32"/>
  <c r="F5721" i="32"/>
  <c r="F5722" i="32"/>
  <c r="F5723" i="32"/>
  <c r="F5724" i="32"/>
  <c r="F5725" i="32"/>
  <c r="F5726" i="32"/>
  <c r="F5727" i="32"/>
  <c r="F5728" i="32"/>
  <c r="F5729" i="32"/>
  <c r="F5730" i="32"/>
  <c r="F5731" i="32"/>
  <c r="F5732" i="32"/>
  <c r="F5733" i="32"/>
  <c r="F5734" i="32"/>
  <c r="F5735" i="32"/>
  <c r="F5736" i="32"/>
  <c r="F5737" i="32"/>
  <c r="F5738" i="32"/>
  <c r="F5739" i="32"/>
  <c r="F5740" i="32"/>
  <c r="F5741" i="32"/>
  <c r="F5742" i="32"/>
  <c r="F5743" i="32"/>
  <c r="F5744" i="32"/>
  <c r="F5745" i="32"/>
  <c r="F5746" i="32"/>
  <c r="F5747" i="32"/>
  <c r="F5748" i="32"/>
  <c r="F5749" i="32"/>
  <c r="F5750" i="32"/>
  <c r="F5751" i="32"/>
  <c r="F5752" i="32"/>
  <c r="F5753" i="32"/>
  <c r="F5754" i="32"/>
  <c r="F5755" i="32"/>
  <c r="F5756" i="32"/>
  <c r="F5757" i="32"/>
  <c r="F5758" i="32"/>
  <c r="F5759" i="32"/>
  <c r="F5760" i="32"/>
  <c r="F5761" i="32"/>
  <c r="F5762" i="32"/>
  <c r="F5763" i="32"/>
  <c r="F5764" i="32"/>
  <c r="F5765" i="32"/>
  <c r="F5766" i="32"/>
  <c r="F5767" i="32"/>
  <c r="F5768" i="32"/>
  <c r="F5769" i="32"/>
  <c r="F5770" i="32"/>
  <c r="F5771" i="32"/>
  <c r="F5772" i="32"/>
  <c r="F5773" i="32"/>
  <c r="F5774" i="32"/>
  <c r="F5775" i="32"/>
  <c r="F5776" i="32"/>
  <c r="F5777" i="32"/>
  <c r="F5778" i="32"/>
  <c r="F5779" i="32"/>
  <c r="F5780" i="32"/>
  <c r="F5781" i="32"/>
  <c r="F5782" i="32"/>
  <c r="F5783" i="32"/>
  <c r="F5784" i="32"/>
  <c r="F5785" i="32"/>
  <c r="F5786" i="32"/>
  <c r="F5787" i="32"/>
  <c r="F5788" i="32"/>
  <c r="F5789" i="32"/>
  <c r="F5790" i="32"/>
  <c r="F5791" i="32"/>
  <c r="F5792" i="32"/>
  <c r="F5793" i="32"/>
  <c r="F5794" i="32"/>
  <c r="F5795" i="32"/>
  <c r="F5796" i="32"/>
  <c r="F5797" i="32"/>
  <c r="F5798" i="32"/>
  <c r="F5799" i="32"/>
  <c r="F5800" i="32"/>
  <c r="F5801" i="32"/>
  <c r="F5802" i="32"/>
  <c r="F5803" i="32"/>
  <c r="F5804" i="32"/>
  <c r="F5805" i="32"/>
  <c r="F5806" i="32"/>
  <c r="F5807" i="32"/>
  <c r="F5808" i="32"/>
  <c r="F5809" i="32"/>
  <c r="F5810" i="32"/>
  <c r="F5811" i="32"/>
  <c r="F5812" i="32"/>
  <c r="F5813" i="32"/>
  <c r="F5814" i="32"/>
  <c r="F5815" i="32"/>
  <c r="F5816" i="32"/>
  <c r="F5817" i="32"/>
  <c r="F5818" i="32"/>
  <c r="F5819" i="32"/>
  <c r="F5820" i="32"/>
  <c r="F5821" i="32"/>
  <c r="F5822" i="32"/>
  <c r="F5823" i="32"/>
  <c r="F5824" i="32"/>
  <c r="F5825" i="32"/>
  <c r="F5826" i="32"/>
  <c r="F5827" i="32"/>
  <c r="F5828" i="32"/>
  <c r="F5829" i="32"/>
  <c r="F5830" i="32"/>
  <c r="F5831" i="32"/>
  <c r="F5832" i="32"/>
  <c r="F5833" i="32"/>
  <c r="F5834" i="32"/>
  <c r="F5835" i="32"/>
  <c r="F5836" i="32"/>
  <c r="F5837" i="32"/>
  <c r="F5838" i="32"/>
  <c r="F5839" i="32"/>
  <c r="F5840" i="32"/>
  <c r="F5841" i="32"/>
  <c r="F5842" i="32"/>
  <c r="F5843" i="32"/>
  <c r="F5844" i="32"/>
  <c r="F5845" i="32"/>
  <c r="F5846" i="32"/>
  <c r="F5847" i="32"/>
  <c r="F5848" i="32"/>
  <c r="F5849" i="32"/>
  <c r="F5850" i="32"/>
  <c r="F5851" i="32"/>
  <c r="F5852" i="32"/>
  <c r="F5853" i="32"/>
  <c r="F5854" i="32"/>
  <c r="F5855" i="32"/>
  <c r="F5856" i="32"/>
  <c r="F5857" i="32"/>
  <c r="F5858" i="32"/>
  <c r="F5859" i="32"/>
  <c r="F5860" i="32"/>
  <c r="F5861" i="32"/>
  <c r="F5862" i="32"/>
  <c r="F5863" i="32"/>
  <c r="F5864" i="32"/>
  <c r="F5865" i="32"/>
  <c r="F5866" i="32"/>
  <c r="F5867" i="32"/>
  <c r="F5868" i="32"/>
  <c r="F5869" i="32"/>
  <c r="F5870" i="32"/>
  <c r="F5871" i="32"/>
  <c r="F5872" i="32"/>
  <c r="F5873" i="32"/>
  <c r="F5874" i="32"/>
  <c r="F5875" i="32"/>
  <c r="F5876" i="32"/>
  <c r="F5877" i="32"/>
  <c r="F5878" i="32"/>
  <c r="F5879" i="32"/>
  <c r="F5880" i="32"/>
  <c r="F5881" i="32"/>
  <c r="F5882" i="32"/>
  <c r="F5883" i="32"/>
  <c r="F5884" i="32"/>
  <c r="F5885" i="32"/>
  <c r="F5886" i="32"/>
  <c r="F5887" i="32"/>
  <c r="F5888" i="32"/>
  <c r="F5889" i="32"/>
  <c r="F5890" i="32"/>
  <c r="F5891" i="32"/>
  <c r="F5892" i="32"/>
  <c r="F5893" i="32"/>
  <c r="F5894" i="32"/>
  <c r="F5895" i="32"/>
  <c r="F5896" i="32"/>
  <c r="F5897" i="32"/>
  <c r="F5898" i="32"/>
  <c r="F5899" i="32"/>
  <c r="F5900" i="32"/>
  <c r="F5901" i="32"/>
  <c r="F5902" i="32"/>
  <c r="F5903" i="32"/>
  <c r="F5904" i="32"/>
  <c r="F5905" i="32"/>
  <c r="F5906" i="32"/>
  <c r="F5907" i="32"/>
  <c r="F5908" i="32"/>
  <c r="F5909" i="32"/>
  <c r="F5910" i="32"/>
  <c r="F5911" i="32"/>
  <c r="F5912" i="32"/>
  <c r="F5913" i="32"/>
  <c r="F5914" i="32"/>
  <c r="F5915" i="32"/>
  <c r="F5916" i="32"/>
  <c r="F5917" i="32"/>
  <c r="F5918" i="32"/>
  <c r="F5919" i="32"/>
  <c r="F5920" i="32"/>
  <c r="F5921" i="32"/>
  <c r="F5922" i="32"/>
  <c r="F5923" i="32"/>
  <c r="F5924" i="32"/>
  <c r="F5925" i="32"/>
  <c r="H91" i="3" l="1"/>
  <c r="K10" i="2" s="1"/>
  <c r="H109" i="3"/>
  <c r="K11" i="2" s="1"/>
  <c r="L11" i="2" s="1"/>
  <c r="G170" i="3"/>
  <c r="H170" i="3" s="1"/>
  <c r="G121" i="3"/>
  <c r="H121" i="3" s="1"/>
  <c r="G30" i="3"/>
  <c r="H30" i="3" s="1"/>
  <c r="G236" i="3"/>
  <c r="H236" i="3" s="1"/>
  <c r="G330" i="3"/>
  <c r="H330" i="3" s="1"/>
  <c r="G235" i="3"/>
  <c r="H235" i="3" s="1"/>
  <c r="G128" i="3"/>
  <c r="H128" i="3" s="1"/>
  <c r="G127" i="3"/>
  <c r="H127" i="3" s="1"/>
  <c r="G19" i="3"/>
  <c r="H19" i="3" s="1"/>
  <c r="G202" i="3"/>
  <c r="H202" i="3" s="1"/>
  <c r="G181" i="3"/>
  <c r="H181" i="3" s="1"/>
  <c r="G143" i="3"/>
  <c r="H143" i="3" s="1"/>
  <c r="H144" i="3" s="1"/>
  <c r="K15" i="2" s="1"/>
  <c r="L15" i="2" s="1"/>
  <c r="G77" i="3"/>
  <c r="H77" i="3" s="1"/>
  <c r="G195" i="3"/>
  <c r="H195" i="3" s="1"/>
  <c r="G192" i="3"/>
  <c r="H192" i="3" s="1"/>
  <c r="G163" i="3"/>
  <c r="H163" i="3" s="1"/>
  <c r="G266" i="3"/>
  <c r="H266" i="3" s="1"/>
  <c r="G118" i="3"/>
  <c r="H118" i="3" s="1"/>
  <c r="G18" i="3"/>
  <c r="H18" i="3" s="1"/>
  <c r="G24" i="3"/>
  <c r="H24" i="3" s="1"/>
  <c r="G203" i="3"/>
  <c r="H203" i="3" s="1"/>
  <c r="G180" i="3"/>
  <c r="H180" i="3" s="1"/>
  <c r="G247" i="3"/>
  <c r="H247" i="3" s="1"/>
  <c r="G262" i="3"/>
  <c r="H262" i="3" s="1"/>
  <c r="G261" i="3"/>
  <c r="H261" i="3" s="1"/>
  <c r="G219" i="3"/>
  <c r="H219" i="3" s="1"/>
  <c r="G187" i="3"/>
  <c r="H187" i="3" s="1"/>
  <c r="G189" i="3"/>
  <c r="H189" i="3" s="1"/>
  <c r="G176" i="3"/>
  <c r="H176" i="3" s="1"/>
  <c r="G174" i="3"/>
  <c r="H174" i="3" s="1"/>
  <c r="G248" i="3"/>
  <c r="H248" i="3" s="1"/>
  <c r="G194" i="3"/>
  <c r="H194" i="3" s="1"/>
  <c r="G164" i="3"/>
  <c r="H164" i="3" s="1"/>
  <c r="G51" i="3"/>
  <c r="H51" i="3" s="1"/>
  <c r="G53" i="3"/>
  <c r="H53" i="3" s="1"/>
  <c r="H378" i="3"/>
  <c r="K20" i="2" s="1"/>
  <c r="L20" i="2" s="1"/>
  <c r="G162" i="3"/>
  <c r="H162" i="3" s="1"/>
  <c r="G20" i="3"/>
  <c r="H20" i="3" s="1"/>
  <c r="G22" i="3"/>
  <c r="H22" i="3" s="1"/>
  <c r="G271" i="3"/>
  <c r="H271" i="3" s="1"/>
  <c r="G182" i="3"/>
  <c r="H182" i="3" s="1"/>
  <c r="G269" i="3"/>
  <c r="H269" i="3" s="1"/>
  <c r="G220" i="3"/>
  <c r="H220" i="3" s="1"/>
  <c r="G267" i="3"/>
  <c r="H267" i="3" s="1"/>
  <c r="G264" i="3"/>
  <c r="H264" i="3" s="1"/>
  <c r="G218" i="3"/>
  <c r="H218" i="3" s="1"/>
  <c r="G161" i="3"/>
  <c r="H161" i="3" s="1"/>
  <c r="G75" i="3"/>
  <c r="H75" i="3" s="1"/>
  <c r="G70" i="3"/>
  <c r="H70" i="3" s="1"/>
  <c r="G329" i="3"/>
  <c r="H329" i="3" s="1"/>
  <c r="G76" i="3"/>
  <c r="H76" i="3" s="1"/>
  <c r="G69" i="3"/>
  <c r="H69" i="3" s="1"/>
  <c r="H80" i="3" s="1"/>
  <c r="K9" i="2" s="1"/>
  <c r="H386" i="3"/>
  <c r="K21" i="2" s="1"/>
  <c r="L21" i="2" s="1"/>
  <c r="H156" i="3"/>
  <c r="K16" i="2" s="1"/>
  <c r="L16" i="2" s="1"/>
  <c r="G14" i="3"/>
  <c r="G8" i="3"/>
  <c r="G48" i="3"/>
  <c r="G16" i="3"/>
  <c r="F18" i="19"/>
  <c r="B6" i="19"/>
  <c r="A6" i="19"/>
  <c r="H351" i="3" l="1"/>
  <c r="K19" i="2" s="1"/>
  <c r="L19" i="2" s="1"/>
  <c r="H208" i="3"/>
  <c r="K17" i="2" s="1"/>
  <c r="L17" i="2" s="1"/>
  <c r="H123" i="3"/>
  <c r="K12" i="2" s="1"/>
  <c r="L12" i="2" s="1"/>
  <c r="H129" i="3"/>
  <c r="K13" i="2" s="1"/>
  <c r="L13" i="2" s="1"/>
  <c r="J9" i="19"/>
  <c r="H12" i="19" s="1"/>
  <c r="U40" i="1" l="1"/>
  <c r="V40" i="1"/>
  <c r="H16" i="19"/>
  <c r="I16" i="19" s="1"/>
  <c r="J16" i="19" s="1"/>
  <c r="H13" i="19"/>
  <c r="H14" i="19" s="1"/>
  <c r="X40" i="1" l="1"/>
  <c r="I14" i="19"/>
  <c r="H17" i="19"/>
  <c r="J14" i="19" l="1"/>
  <c r="J19" i="19" s="1"/>
  <c r="F5324" i="32"/>
  <c r="F5325" i="32"/>
  <c r="F5326" i="32"/>
  <c r="F5226" i="32"/>
  <c r="F5227" i="32"/>
  <c r="F5228" i="32"/>
  <c r="F5229" i="32"/>
  <c r="F5230" i="32"/>
  <c r="F5231" i="32"/>
  <c r="F5232" i="32"/>
  <c r="F5233" i="32"/>
  <c r="F5234" i="32"/>
  <c r="F5235" i="32"/>
  <c r="F5236" i="32"/>
  <c r="F5237" i="32"/>
  <c r="F5238" i="32"/>
  <c r="F5239" i="32"/>
  <c r="F5240" i="32"/>
  <c r="F5241" i="32"/>
  <c r="F5242" i="32"/>
  <c r="F5243" i="32"/>
  <c r="F5244" i="32"/>
  <c r="F5245" i="32"/>
  <c r="F5246" i="32"/>
  <c r="F5247" i="32"/>
  <c r="F5248" i="32"/>
  <c r="F5249" i="32"/>
  <c r="F5250" i="32"/>
  <c r="F5251" i="32"/>
  <c r="F5252" i="32"/>
  <c r="F5253" i="32"/>
  <c r="F5254" i="32"/>
  <c r="F5255" i="32"/>
  <c r="F5256" i="32"/>
  <c r="F5257" i="32"/>
  <c r="F5258" i="32"/>
  <c r="F5259" i="32"/>
  <c r="F5260" i="32"/>
  <c r="F5261" i="32"/>
  <c r="F5262" i="32"/>
  <c r="F5263" i="32"/>
  <c r="F5264" i="32"/>
  <c r="F5265" i="32"/>
  <c r="F5266" i="32"/>
  <c r="F5267" i="32"/>
  <c r="F5268" i="32"/>
  <c r="F5269" i="32"/>
  <c r="F5270" i="32"/>
  <c r="F5271" i="32"/>
  <c r="F5272" i="32"/>
  <c r="F5273" i="32"/>
  <c r="F5274" i="32"/>
  <c r="F5275" i="32"/>
  <c r="F5276" i="32"/>
  <c r="F5277" i="32"/>
  <c r="F5278" i="32"/>
  <c r="F5279" i="32"/>
  <c r="F5280" i="32"/>
  <c r="F5281" i="32"/>
  <c r="F5282" i="32"/>
  <c r="F5283" i="32"/>
  <c r="F5284" i="32"/>
  <c r="F5285" i="32"/>
  <c r="F5286" i="32"/>
  <c r="F5287" i="32"/>
  <c r="F5288" i="32"/>
  <c r="F5289" i="32"/>
  <c r="F5290" i="32"/>
  <c r="F5291" i="32"/>
  <c r="F5292" i="32"/>
  <c r="F5293" i="32"/>
  <c r="F5294" i="32"/>
  <c r="F5295" i="32"/>
  <c r="F5296" i="32"/>
  <c r="F5297" i="32"/>
  <c r="F5298" i="32"/>
  <c r="F5299" i="32"/>
  <c r="F5300" i="32"/>
  <c r="F5301" i="32"/>
  <c r="F5302" i="32"/>
  <c r="F5303" i="32"/>
  <c r="F5304" i="32"/>
  <c r="F5305" i="32"/>
  <c r="F5306" i="32"/>
  <c r="F5307" i="32"/>
  <c r="F5308" i="32"/>
  <c r="F5309" i="32"/>
  <c r="F5310" i="32"/>
  <c r="F5311" i="32"/>
  <c r="F5312" i="32"/>
  <c r="F5313" i="32"/>
  <c r="F5314" i="32"/>
  <c r="F5315" i="32"/>
  <c r="F5316" i="32"/>
  <c r="F5317" i="32"/>
  <c r="F5318" i="32"/>
  <c r="F5319" i="32"/>
  <c r="F5320" i="32"/>
  <c r="F5321" i="32"/>
  <c r="F5322" i="32"/>
  <c r="F5323" i="32"/>
  <c r="J6" i="19" l="1"/>
  <c r="I15" i="8" l="1"/>
  <c r="J15" i="8" s="1"/>
  <c r="J18" i="8" s="1"/>
  <c r="J6" i="8" s="1"/>
  <c r="C19" i="28" l="1"/>
  <c r="C34" i="28"/>
  <c r="A4" i="28"/>
  <c r="A2" i="28"/>
  <c r="H16" i="3" l="1"/>
  <c r="H14" i="3"/>
  <c r="H8" i="3"/>
  <c r="H44" i="3" l="1"/>
  <c r="K7" i="2" s="1"/>
  <c r="U18" i="1"/>
  <c r="X18" i="1" s="1"/>
  <c r="U28" i="1"/>
  <c r="X28" i="1" s="1"/>
  <c r="E10" i="1" l="1"/>
  <c r="X10" i="1" s="1"/>
  <c r="F32" i="1"/>
  <c r="U32" i="1"/>
  <c r="V30" i="1"/>
  <c r="U30" i="1"/>
  <c r="F5225" i="32"/>
  <c r="F5224" i="32"/>
  <c r="F5223" i="32"/>
  <c r="F5222" i="32"/>
  <c r="F5221" i="32"/>
  <c r="F5220" i="32"/>
  <c r="F5219" i="32"/>
  <c r="F5218" i="32"/>
  <c r="F5217" i="32"/>
  <c r="F5216" i="32"/>
  <c r="F5215" i="32"/>
  <c r="F5214" i="32"/>
  <c r="F5213" i="32"/>
  <c r="F5212" i="32"/>
  <c r="F5211" i="32"/>
  <c r="F5210" i="32"/>
  <c r="F5209" i="32"/>
  <c r="F5208" i="32"/>
  <c r="F5207" i="32"/>
  <c r="F5206" i="32"/>
  <c r="F5205" i="32"/>
  <c r="F5204" i="32"/>
  <c r="F5203" i="32"/>
  <c r="F5202" i="32"/>
  <c r="F5201" i="32"/>
  <c r="F5200" i="32"/>
  <c r="F5199" i="32"/>
  <c r="F5198" i="32"/>
  <c r="F5197" i="32"/>
  <c r="F5196" i="32"/>
  <c r="F5195" i="32"/>
  <c r="F5194" i="32"/>
  <c r="F5193" i="32"/>
  <c r="F5192" i="32"/>
  <c r="F5191" i="32"/>
  <c r="F5190" i="32"/>
  <c r="F5189" i="32"/>
  <c r="F5188" i="32"/>
  <c r="F5187" i="32"/>
  <c r="F5186" i="32"/>
  <c r="F5185" i="32"/>
  <c r="F5184" i="32"/>
  <c r="F5183" i="32"/>
  <c r="F5182" i="32"/>
  <c r="F5181" i="32"/>
  <c r="F5180" i="32"/>
  <c r="F5179" i="32"/>
  <c r="F5178" i="32"/>
  <c r="F5177" i="32"/>
  <c r="F5176" i="32"/>
  <c r="F5175" i="32"/>
  <c r="F5174" i="32"/>
  <c r="F5173" i="32"/>
  <c r="F5172" i="32"/>
  <c r="F5171" i="32"/>
  <c r="F5170" i="32"/>
  <c r="F5169" i="32"/>
  <c r="F5168" i="32"/>
  <c r="F5167" i="32"/>
  <c r="F5166" i="32"/>
  <c r="F5165" i="32"/>
  <c r="F5164" i="32"/>
  <c r="F5163" i="32"/>
  <c r="F5162" i="32"/>
  <c r="F5161" i="32"/>
  <c r="F5160" i="32"/>
  <c r="F5159" i="32"/>
  <c r="F5158" i="32"/>
  <c r="F5157" i="32"/>
  <c r="F5156" i="32"/>
  <c r="F5155" i="32"/>
  <c r="F5154" i="32"/>
  <c r="F5153" i="32"/>
  <c r="F5152" i="32"/>
  <c r="F5151" i="32"/>
  <c r="F5150" i="32"/>
  <c r="F5149" i="32"/>
  <c r="F5148" i="32"/>
  <c r="F5147" i="32"/>
  <c r="F5146" i="32"/>
  <c r="F5145" i="32"/>
  <c r="F5144" i="32"/>
  <c r="F5143" i="32"/>
  <c r="F5142" i="32"/>
  <c r="F5141" i="32"/>
  <c r="F5140" i="32"/>
  <c r="F5139" i="32"/>
  <c r="F5138" i="32"/>
  <c r="F5137" i="32"/>
  <c r="F5136" i="32"/>
  <c r="F5135" i="32"/>
  <c r="F5134" i="32"/>
  <c r="F5133" i="32"/>
  <c r="F5132" i="32"/>
  <c r="F5131" i="32"/>
  <c r="F5130" i="32"/>
  <c r="F5129" i="32"/>
  <c r="F5128" i="32"/>
  <c r="F5127" i="32"/>
  <c r="F5126" i="32"/>
  <c r="F5125" i="32"/>
  <c r="F5124" i="32"/>
  <c r="F5123" i="32"/>
  <c r="F5122" i="32"/>
  <c r="F5121" i="32"/>
  <c r="F5120" i="32"/>
  <c r="F5119" i="32"/>
  <c r="F5118" i="32"/>
  <c r="F5117" i="32"/>
  <c r="F5116" i="32"/>
  <c r="F5115" i="32"/>
  <c r="F5114" i="32"/>
  <c r="F5113" i="32"/>
  <c r="F5112" i="32"/>
  <c r="F5111" i="32"/>
  <c r="F5110" i="32"/>
  <c r="F5109" i="32"/>
  <c r="F5108" i="32"/>
  <c r="F5107" i="32"/>
  <c r="F5106" i="32"/>
  <c r="F5105" i="32"/>
  <c r="F5104" i="32"/>
  <c r="F5103" i="32"/>
  <c r="F5102" i="32"/>
  <c r="F5101" i="32"/>
  <c r="F5100" i="32"/>
  <c r="F5099" i="32"/>
  <c r="F5098" i="32"/>
  <c r="F5097" i="32"/>
  <c r="F5096" i="32"/>
  <c r="F5095" i="32"/>
  <c r="F5094" i="32"/>
  <c r="F5093" i="32"/>
  <c r="F5092" i="32"/>
  <c r="F5091" i="32"/>
  <c r="F5090" i="32"/>
  <c r="F5089" i="32"/>
  <c r="F5088" i="32"/>
  <c r="F5087" i="32"/>
  <c r="F5086" i="32"/>
  <c r="F5085" i="32"/>
  <c r="F5084" i="32"/>
  <c r="F5083" i="32"/>
  <c r="F5082" i="32"/>
  <c r="F5081" i="32"/>
  <c r="F5080" i="32"/>
  <c r="F5079" i="32"/>
  <c r="F5078" i="32"/>
  <c r="F5077" i="32"/>
  <c r="F5076" i="32"/>
  <c r="F5075" i="32"/>
  <c r="F5074" i="32"/>
  <c r="F5073" i="32"/>
  <c r="F5072" i="32"/>
  <c r="F5071" i="32"/>
  <c r="F5070" i="32"/>
  <c r="F5069" i="32"/>
  <c r="F5068" i="32"/>
  <c r="F5067" i="32"/>
  <c r="F5066" i="32"/>
  <c r="F5065" i="32"/>
  <c r="F5064" i="32"/>
  <c r="F5063" i="32"/>
  <c r="F5062" i="32"/>
  <c r="F5061" i="32"/>
  <c r="F5060" i="32"/>
  <c r="F5059" i="32"/>
  <c r="F5058" i="32"/>
  <c r="F5057" i="32"/>
  <c r="F5056" i="32"/>
  <c r="F5055" i="32"/>
  <c r="F5054" i="32"/>
  <c r="F5053" i="32"/>
  <c r="F5052" i="32"/>
  <c r="F5051" i="32"/>
  <c r="F5050" i="32"/>
  <c r="F5049" i="32"/>
  <c r="F5048" i="32"/>
  <c r="F5047" i="32"/>
  <c r="F5046" i="32"/>
  <c r="F5045" i="32"/>
  <c r="F5044" i="32"/>
  <c r="F5043" i="32"/>
  <c r="F5042" i="32"/>
  <c r="F5041" i="32"/>
  <c r="F5040" i="32"/>
  <c r="F5039" i="32"/>
  <c r="F5038" i="32"/>
  <c r="F5037" i="32"/>
  <c r="F5036" i="32"/>
  <c r="F5035" i="32"/>
  <c r="F5034" i="32"/>
  <c r="F5033" i="32"/>
  <c r="F5032" i="32"/>
  <c r="F5031" i="32"/>
  <c r="F5030" i="32"/>
  <c r="F5029" i="32"/>
  <c r="F5028" i="32"/>
  <c r="F5027" i="32"/>
  <c r="F5026" i="32"/>
  <c r="F5025" i="32"/>
  <c r="F5024" i="32"/>
  <c r="F5023" i="32"/>
  <c r="F5022" i="32"/>
  <c r="F5021" i="32"/>
  <c r="F5020" i="32"/>
  <c r="F5019" i="32"/>
  <c r="F5018" i="32"/>
  <c r="F5017" i="32"/>
  <c r="F5016" i="32"/>
  <c r="F5015" i="32"/>
  <c r="F5014" i="32"/>
  <c r="F5013" i="32"/>
  <c r="F5012" i="32"/>
  <c r="F5011" i="32"/>
  <c r="F5010" i="32"/>
  <c r="F5009" i="32"/>
  <c r="F5008" i="32"/>
  <c r="F5007" i="32"/>
  <c r="F5006" i="32"/>
  <c r="F5005" i="32"/>
  <c r="F5004" i="32"/>
  <c r="F5003" i="32"/>
  <c r="F5002" i="32"/>
  <c r="F5001" i="32"/>
  <c r="F5000" i="32"/>
  <c r="F4999" i="32"/>
  <c r="F4998" i="32"/>
  <c r="F4997" i="32"/>
  <c r="F4996" i="32"/>
  <c r="F4995" i="32"/>
  <c r="F4994" i="32"/>
  <c r="F4993" i="32"/>
  <c r="F4992" i="32"/>
  <c r="F4991" i="32"/>
  <c r="F4990" i="32"/>
  <c r="F4989" i="32"/>
  <c r="F4988" i="32"/>
  <c r="F4987" i="32"/>
  <c r="F4986" i="32"/>
  <c r="F4985" i="32"/>
  <c r="F4984" i="32"/>
  <c r="F4983" i="32"/>
  <c r="F4982" i="32"/>
  <c r="F4981" i="32"/>
  <c r="F4980" i="32"/>
  <c r="F4979" i="32"/>
  <c r="F4978" i="32"/>
  <c r="F4977" i="32"/>
  <c r="F4976" i="32"/>
  <c r="F4975" i="32"/>
  <c r="F4974" i="32"/>
  <c r="F4973" i="32"/>
  <c r="F4972" i="32"/>
  <c r="F4971" i="32"/>
  <c r="F4970" i="32"/>
  <c r="F4969" i="32"/>
  <c r="F4968" i="32"/>
  <c r="F4967" i="32"/>
  <c r="F4966" i="32"/>
  <c r="F4965" i="32"/>
  <c r="F4964" i="32"/>
  <c r="F4963" i="32"/>
  <c r="F4962" i="32"/>
  <c r="F4961" i="32"/>
  <c r="F4960" i="32"/>
  <c r="F4959" i="32"/>
  <c r="F4958" i="32"/>
  <c r="F4957" i="32"/>
  <c r="F4956" i="32"/>
  <c r="F4955" i="32"/>
  <c r="F4954" i="32"/>
  <c r="F4953" i="32"/>
  <c r="F4952" i="32"/>
  <c r="F4951" i="32"/>
  <c r="F4950" i="32"/>
  <c r="F4949" i="32"/>
  <c r="F4948" i="32"/>
  <c r="F4947" i="32"/>
  <c r="F4946" i="32"/>
  <c r="F4945" i="32"/>
  <c r="F4944" i="32"/>
  <c r="F4943" i="32"/>
  <c r="F4942" i="32"/>
  <c r="F4941" i="32"/>
  <c r="F4940" i="32"/>
  <c r="F4939" i="32"/>
  <c r="F4938" i="32"/>
  <c r="F4937" i="32"/>
  <c r="F4936" i="32"/>
  <c r="F4935" i="32"/>
  <c r="F4934" i="32"/>
  <c r="F4933" i="32"/>
  <c r="F4932" i="32"/>
  <c r="F4931" i="32"/>
  <c r="F4930" i="32"/>
  <c r="F4929" i="32"/>
  <c r="F4928" i="32"/>
  <c r="F4927" i="32"/>
  <c r="F4926" i="32"/>
  <c r="F4925" i="32"/>
  <c r="F4924" i="32"/>
  <c r="F4923" i="32"/>
  <c r="F4922" i="32"/>
  <c r="F4921" i="32"/>
  <c r="F4920" i="32"/>
  <c r="F4919" i="32"/>
  <c r="F4918" i="32"/>
  <c r="F4917" i="32"/>
  <c r="F4916" i="32"/>
  <c r="F4915" i="32"/>
  <c r="F4914" i="32"/>
  <c r="F4913" i="32"/>
  <c r="F4912" i="32"/>
  <c r="F4911" i="32"/>
  <c r="F4910" i="32"/>
  <c r="F4909" i="32"/>
  <c r="F4908" i="32"/>
  <c r="F4907" i="32"/>
  <c r="F4906" i="32"/>
  <c r="F4905" i="32"/>
  <c r="F4904" i="32"/>
  <c r="F4903" i="32"/>
  <c r="F4902" i="32"/>
  <c r="F4901" i="32"/>
  <c r="F4900" i="32"/>
  <c r="F4899" i="32"/>
  <c r="F4898" i="32"/>
  <c r="F4897" i="32"/>
  <c r="F4896" i="32"/>
  <c r="F4895" i="32"/>
  <c r="F4894" i="32"/>
  <c r="F4893" i="32"/>
  <c r="F4892" i="32"/>
  <c r="F4891" i="32"/>
  <c r="F4890" i="32"/>
  <c r="F4889" i="32"/>
  <c r="F4888" i="32"/>
  <c r="F4887" i="32"/>
  <c r="F4886" i="32"/>
  <c r="F4885" i="32"/>
  <c r="F4884" i="32"/>
  <c r="F4883" i="32"/>
  <c r="F4882" i="32"/>
  <c r="F4881" i="32"/>
  <c r="F4880" i="32"/>
  <c r="F4879" i="32"/>
  <c r="F4878" i="32"/>
  <c r="F4877" i="32"/>
  <c r="F4876" i="32"/>
  <c r="F4875" i="32"/>
  <c r="F4874" i="32"/>
  <c r="F4873" i="32"/>
  <c r="F4872" i="32"/>
  <c r="F4871" i="32"/>
  <c r="F4870" i="32"/>
  <c r="F4869" i="32"/>
  <c r="F4868" i="32"/>
  <c r="F4867" i="32"/>
  <c r="F4866" i="32"/>
  <c r="F4865" i="32"/>
  <c r="F4864" i="32"/>
  <c r="F4863" i="32"/>
  <c r="F4862" i="32"/>
  <c r="F4861" i="32"/>
  <c r="F4860" i="32"/>
  <c r="F4859" i="32"/>
  <c r="F4858" i="32"/>
  <c r="F4857" i="32"/>
  <c r="F4856" i="32"/>
  <c r="F4855" i="32"/>
  <c r="F4854" i="32"/>
  <c r="F4853" i="32"/>
  <c r="F4852" i="32"/>
  <c r="F4851" i="32"/>
  <c r="F4850" i="32"/>
  <c r="F4849" i="32"/>
  <c r="F4848" i="32"/>
  <c r="F4847" i="32"/>
  <c r="F4846" i="32"/>
  <c r="F4845" i="32"/>
  <c r="F4844" i="32"/>
  <c r="F4843" i="32"/>
  <c r="F4842" i="32"/>
  <c r="F4841" i="32"/>
  <c r="F4840" i="32"/>
  <c r="F4839" i="32"/>
  <c r="F4838" i="32"/>
  <c r="F4837" i="32"/>
  <c r="F4836" i="32"/>
  <c r="F4835" i="32"/>
  <c r="F4834" i="32"/>
  <c r="F4833" i="32"/>
  <c r="F4832" i="32"/>
  <c r="F4831" i="32"/>
  <c r="F4830" i="32"/>
  <c r="F4829" i="32"/>
  <c r="F4828" i="32"/>
  <c r="F4827" i="32"/>
  <c r="F4826" i="32"/>
  <c r="F4825" i="32"/>
  <c r="F4824" i="32"/>
  <c r="F4823" i="32"/>
  <c r="F4822" i="32"/>
  <c r="F4821" i="32"/>
  <c r="F4820" i="32"/>
  <c r="F4819" i="32"/>
  <c r="F4818" i="32"/>
  <c r="F4817" i="32"/>
  <c r="F4816" i="32"/>
  <c r="F4815" i="32"/>
  <c r="F4814" i="32"/>
  <c r="F4813" i="32"/>
  <c r="F4812" i="32"/>
  <c r="F4811" i="32"/>
  <c r="F4810" i="32"/>
  <c r="F4809" i="32"/>
  <c r="F4808" i="32"/>
  <c r="F4807" i="32"/>
  <c r="F4806" i="32"/>
  <c r="F4805" i="32"/>
  <c r="F4804" i="32"/>
  <c r="F4803" i="32"/>
  <c r="F4802" i="32"/>
  <c r="F4801" i="32"/>
  <c r="F4800" i="32"/>
  <c r="F4799" i="32"/>
  <c r="F4798" i="32"/>
  <c r="F4797" i="32"/>
  <c r="F4796" i="32"/>
  <c r="F4795" i="32"/>
  <c r="F4794" i="32"/>
  <c r="F4793" i="32"/>
  <c r="F4792" i="32"/>
  <c r="F4791" i="32"/>
  <c r="F4790" i="32"/>
  <c r="F4789" i="32"/>
  <c r="F4788" i="32"/>
  <c r="F4787" i="32"/>
  <c r="F4786" i="32"/>
  <c r="F4785" i="32"/>
  <c r="F4784" i="32"/>
  <c r="F4783" i="32"/>
  <c r="F4782" i="32"/>
  <c r="F4781" i="32"/>
  <c r="F4780" i="32"/>
  <c r="F4779" i="32"/>
  <c r="F4778" i="32"/>
  <c r="F4777" i="32"/>
  <c r="F4776" i="32"/>
  <c r="F4775" i="32"/>
  <c r="F4774" i="32"/>
  <c r="F4773" i="32"/>
  <c r="F4772" i="32"/>
  <c r="F4771" i="32"/>
  <c r="F4770" i="32"/>
  <c r="F4769" i="32"/>
  <c r="F4768" i="32"/>
  <c r="F4767" i="32"/>
  <c r="F4766" i="32"/>
  <c r="F4765" i="32"/>
  <c r="F4764" i="32"/>
  <c r="F4763" i="32"/>
  <c r="F4762" i="32"/>
  <c r="F4761" i="32"/>
  <c r="F4760" i="32"/>
  <c r="F4759" i="32"/>
  <c r="F4758" i="32"/>
  <c r="F4757" i="32"/>
  <c r="F4756" i="32"/>
  <c r="F4755" i="32"/>
  <c r="F4754" i="32"/>
  <c r="F4753" i="32"/>
  <c r="F4752" i="32"/>
  <c r="F4751" i="32"/>
  <c r="F4750" i="32"/>
  <c r="F4749" i="32"/>
  <c r="F4748" i="32"/>
  <c r="F4747" i="32"/>
  <c r="F4746" i="32"/>
  <c r="F4745" i="32"/>
  <c r="F4744" i="32"/>
  <c r="F4743" i="32"/>
  <c r="F4742" i="32"/>
  <c r="F4741" i="32"/>
  <c r="F4740" i="32"/>
  <c r="F4739" i="32"/>
  <c r="F4738" i="32"/>
  <c r="F4737" i="32"/>
  <c r="F4736" i="32"/>
  <c r="F4735" i="32"/>
  <c r="F4734" i="32"/>
  <c r="F4733" i="32"/>
  <c r="F4732" i="32"/>
  <c r="F4731" i="32"/>
  <c r="F4730" i="32"/>
  <c r="F4729" i="32"/>
  <c r="F4728" i="32"/>
  <c r="F4727" i="32"/>
  <c r="F4726" i="32"/>
  <c r="F4725" i="32"/>
  <c r="F4724" i="32"/>
  <c r="F4723" i="32"/>
  <c r="F4722" i="32"/>
  <c r="F4721" i="32"/>
  <c r="F4720" i="32"/>
  <c r="F4719" i="32"/>
  <c r="F4718" i="32"/>
  <c r="F4717" i="32"/>
  <c r="F4716" i="32"/>
  <c r="F4715" i="32"/>
  <c r="F4714" i="32"/>
  <c r="F4713" i="32"/>
  <c r="F4712" i="32"/>
  <c r="F4711" i="32"/>
  <c r="F4710" i="32"/>
  <c r="F4709" i="32"/>
  <c r="F4708" i="32"/>
  <c r="F4707" i="32"/>
  <c r="F4706" i="32"/>
  <c r="F4705" i="32"/>
  <c r="F4704" i="32"/>
  <c r="F4703" i="32"/>
  <c r="F4702" i="32"/>
  <c r="F4701" i="32"/>
  <c r="F4700" i="32"/>
  <c r="F4699" i="32"/>
  <c r="F4698" i="32"/>
  <c r="F4697" i="32"/>
  <c r="F4696" i="32"/>
  <c r="F4695" i="32"/>
  <c r="F4694" i="32"/>
  <c r="F4693" i="32"/>
  <c r="F4692" i="32"/>
  <c r="F4691" i="32"/>
  <c r="F4690" i="32"/>
  <c r="F4689" i="32"/>
  <c r="F4688" i="32"/>
  <c r="F4687" i="32"/>
  <c r="F4686" i="32"/>
  <c r="F4685" i="32"/>
  <c r="F4684" i="32"/>
  <c r="F4683" i="32"/>
  <c r="F4682" i="32"/>
  <c r="F4681" i="32"/>
  <c r="F4680" i="32"/>
  <c r="F4679" i="32"/>
  <c r="F4678" i="32"/>
  <c r="F4677" i="32"/>
  <c r="F4676" i="32"/>
  <c r="F4675" i="32"/>
  <c r="F4674" i="32"/>
  <c r="F4673" i="32"/>
  <c r="F4672" i="32"/>
  <c r="F4671" i="32"/>
  <c r="F4670" i="32"/>
  <c r="F4669" i="32"/>
  <c r="F4668" i="32"/>
  <c r="F4667" i="32"/>
  <c r="F4666" i="32"/>
  <c r="F4665" i="32"/>
  <c r="F4664" i="32"/>
  <c r="F4663" i="32"/>
  <c r="F4662" i="32"/>
  <c r="F4661" i="32"/>
  <c r="F4660" i="32"/>
  <c r="F4659" i="32"/>
  <c r="F4658" i="32"/>
  <c r="F4657" i="32"/>
  <c r="F4656" i="32"/>
  <c r="F4655" i="32"/>
  <c r="F4654" i="32"/>
  <c r="F4653" i="32"/>
  <c r="F4652" i="32"/>
  <c r="F4651" i="32"/>
  <c r="F4650" i="32"/>
  <c r="F4649" i="32"/>
  <c r="F4648" i="32"/>
  <c r="F4647" i="32"/>
  <c r="F4646" i="32"/>
  <c r="F4645" i="32"/>
  <c r="F4644" i="32"/>
  <c r="F4643" i="32"/>
  <c r="F4642" i="32"/>
  <c r="F4641" i="32"/>
  <c r="F4640" i="32"/>
  <c r="F4639" i="32"/>
  <c r="F4638" i="32"/>
  <c r="F4637" i="32"/>
  <c r="F4636" i="32"/>
  <c r="F4635" i="32"/>
  <c r="F4634" i="32"/>
  <c r="F4633" i="32"/>
  <c r="F4632" i="32"/>
  <c r="F4631" i="32"/>
  <c r="F4630" i="32"/>
  <c r="F4629" i="32"/>
  <c r="F4628" i="32"/>
  <c r="F4627" i="32"/>
  <c r="F4626" i="32"/>
  <c r="F4625" i="32"/>
  <c r="F4624" i="32"/>
  <c r="F4623" i="32"/>
  <c r="F4622" i="32"/>
  <c r="F4621" i="32"/>
  <c r="F4620" i="32"/>
  <c r="F4619" i="32"/>
  <c r="F4618" i="32"/>
  <c r="F4617" i="32"/>
  <c r="F4616" i="32"/>
  <c r="F4615" i="32"/>
  <c r="F4614" i="32"/>
  <c r="F4613" i="32"/>
  <c r="F4612" i="32"/>
  <c r="F4611" i="32"/>
  <c r="F4610" i="32"/>
  <c r="F4609" i="32"/>
  <c r="F4608" i="32"/>
  <c r="F4607" i="32"/>
  <c r="F4606" i="32"/>
  <c r="F4605" i="32"/>
  <c r="F4604" i="32"/>
  <c r="F4603" i="32"/>
  <c r="F4602" i="32"/>
  <c r="F4601" i="32"/>
  <c r="F4600" i="32"/>
  <c r="F4599" i="32"/>
  <c r="F4598" i="32"/>
  <c r="F4597" i="32"/>
  <c r="F4596" i="32"/>
  <c r="F4595" i="32"/>
  <c r="F4594" i="32"/>
  <c r="F4593" i="32"/>
  <c r="F4592" i="32"/>
  <c r="F4591" i="32"/>
  <c r="F4590" i="32"/>
  <c r="F4589" i="32"/>
  <c r="F4588" i="32"/>
  <c r="F4587" i="32"/>
  <c r="F4586" i="32"/>
  <c r="F4585" i="32"/>
  <c r="F4584" i="32"/>
  <c r="F4583" i="32"/>
  <c r="F4582" i="32"/>
  <c r="F4581" i="32"/>
  <c r="F4580" i="32"/>
  <c r="F4579" i="32"/>
  <c r="F4578" i="32"/>
  <c r="F4577" i="32"/>
  <c r="F4576" i="32"/>
  <c r="F4575" i="32"/>
  <c r="F4574" i="32"/>
  <c r="F4573" i="32"/>
  <c r="F4572" i="32"/>
  <c r="F4571" i="32"/>
  <c r="F4570" i="32"/>
  <c r="F4569" i="32"/>
  <c r="F4568" i="32"/>
  <c r="F4567" i="32"/>
  <c r="F4566" i="32"/>
  <c r="F4565" i="32"/>
  <c r="F4564" i="32"/>
  <c r="F4563" i="32"/>
  <c r="F4562" i="32"/>
  <c r="F4561" i="32"/>
  <c r="F4560" i="32"/>
  <c r="F4559" i="32"/>
  <c r="F4558" i="32"/>
  <c r="F4557" i="32"/>
  <c r="F4556" i="32"/>
  <c r="F4555" i="32"/>
  <c r="F4554" i="32"/>
  <c r="F4553" i="32"/>
  <c r="F4552" i="32"/>
  <c r="F4551" i="32"/>
  <c r="F4550" i="32"/>
  <c r="F4549" i="32"/>
  <c r="F4548" i="32"/>
  <c r="F4547" i="32"/>
  <c r="F4546" i="32"/>
  <c r="F4545" i="32"/>
  <c r="F4544" i="32"/>
  <c r="F4543" i="32"/>
  <c r="F4542" i="32"/>
  <c r="F4541" i="32"/>
  <c r="F4540" i="32"/>
  <c r="F4539" i="32"/>
  <c r="F4538" i="32"/>
  <c r="F4537" i="32"/>
  <c r="F4536" i="32"/>
  <c r="F4535" i="32"/>
  <c r="F4534" i="32"/>
  <c r="F4533" i="32"/>
  <c r="F4532" i="32"/>
  <c r="F4531" i="32"/>
  <c r="F4530" i="32"/>
  <c r="F4529" i="32"/>
  <c r="F4528" i="32"/>
  <c r="F4527" i="32"/>
  <c r="F4526" i="32"/>
  <c r="F4525" i="32"/>
  <c r="F4524" i="32"/>
  <c r="F4523" i="32"/>
  <c r="F4522" i="32"/>
  <c r="F4521" i="32"/>
  <c r="F4520" i="32"/>
  <c r="F4519" i="32"/>
  <c r="F4518" i="32"/>
  <c r="F4517" i="32"/>
  <c r="F4516" i="32"/>
  <c r="F4515" i="32"/>
  <c r="F4514" i="32"/>
  <c r="F4513" i="32"/>
  <c r="F4512" i="32"/>
  <c r="F4511" i="32"/>
  <c r="F4510" i="32"/>
  <c r="F4509" i="32"/>
  <c r="F4508" i="32"/>
  <c r="F4507" i="32"/>
  <c r="F4506" i="32"/>
  <c r="F4505" i="32"/>
  <c r="F4504" i="32"/>
  <c r="F4503" i="32"/>
  <c r="F4502" i="32"/>
  <c r="F4501" i="32"/>
  <c r="F4500" i="32"/>
  <c r="F4499" i="32"/>
  <c r="F4498" i="32"/>
  <c r="F4497" i="32"/>
  <c r="F4496" i="32"/>
  <c r="F4495" i="32"/>
  <c r="F4494" i="32"/>
  <c r="F4493" i="32"/>
  <c r="F4492" i="32"/>
  <c r="F4491" i="32"/>
  <c r="F4490" i="32"/>
  <c r="F4489" i="32"/>
  <c r="F4488" i="32"/>
  <c r="F4487" i="32"/>
  <c r="F4486" i="32"/>
  <c r="F4485" i="32"/>
  <c r="F4484" i="32"/>
  <c r="F4483" i="32"/>
  <c r="F4482" i="32"/>
  <c r="F4481" i="32"/>
  <c r="F4480" i="32"/>
  <c r="F4479" i="32"/>
  <c r="F4478" i="32"/>
  <c r="F4477" i="32"/>
  <c r="F4476" i="32"/>
  <c r="F4475" i="32"/>
  <c r="F4474" i="32"/>
  <c r="F4473" i="32"/>
  <c r="F4472" i="32"/>
  <c r="F4471" i="32"/>
  <c r="F4470" i="32"/>
  <c r="F4469" i="32"/>
  <c r="F4468" i="32"/>
  <c r="F4467" i="32"/>
  <c r="F4466" i="32"/>
  <c r="F4465" i="32"/>
  <c r="F4464" i="32"/>
  <c r="F4463" i="32"/>
  <c r="F4462" i="32"/>
  <c r="F4461" i="32"/>
  <c r="F4460" i="32"/>
  <c r="F4459" i="32"/>
  <c r="F4458" i="32"/>
  <c r="F4457" i="32"/>
  <c r="F4456" i="32"/>
  <c r="F4455" i="32"/>
  <c r="F4454" i="32"/>
  <c r="F4453" i="32"/>
  <c r="F4452" i="32"/>
  <c r="F4451" i="32"/>
  <c r="F4450" i="32"/>
  <c r="F4449" i="32"/>
  <c r="F4448" i="32"/>
  <c r="F4447" i="32"/>
  <c r="F4446" i="32"/>
  <c r="F4445" i="32"/>
  <c r="F4444" i="32"/>
  <c r="F4443" i="32"/>
  <c r="F4442" i="32"/>
  <c r="F4441" i="32"/>
  <c r="F4440" i="32"/>
  <c r="F4439" i="32"/>
  <c r="F4438" i="32"/>
  <c r="F4437" i="32"/>
  <c r="F4436" i="32"/>
  <c r="F4435" i="32"/>
  <c r="F4434" i="32"/>
  <c r="F4433" i="32"/>
  <c r="F4432" i="32"/>
  <c r="F4431" i="32"/>
  <c r="F4430" i="32"/>
  <c r="F4429" i="32"/>
  <c r="F4428" i="32"/>
  <c r="F4427" i="32"/>
  <c r="F4426" i="32"/>
  <c r="F4425" i="32"/>
  <c r="F4424" i="32"/>
  <c r="F4423" i="32"/>
  <c r="F4422" i="32"/>
  <c r="F4421" i="32"/>
  <c r="F4420" i="32"/>
  <c r="F4419" i="32"/>
  <c r="F4418" i="32"/>
  <c r="F4417" i="32"/>
  <c r="F4416" i="32"/>
  <c r="F4415" i="32"/>
  <c r="F4414" i="32"/>
  <c r="F4413" i="32"/>
  <c r="F4412" i="32"/>
  <c r="F4411" i="32"/>
  <c r="F4410" i="32"/>
  <c r="F4409" i="32"/>
  <c r="F4408" i="32"/>
  <c r="F4407" i="32"/>
  <c r="F4406" i="32"/>
  <c r="F4405" i="32"/>
  <c r="F4404" i="32"/>
  <c r="F4403" i="32"/>
  <c r="F4402" i="32"/>
  <c r="F4401" i="32"/>
  <c r="F4400" i="32"/>
  <c r="F4399" i="32"/>
  <c r="F4398" i="32"/>
  <c r="F4397" i="32"/>
  <c r="F4396" i="32"/>
  <c r="F4395" i="32"/>
  <c r="F4394" i="32"/>
  <c r="F4393" i="32"/>
  <c r="F4392" i="32"/>
  <c r="F4391" i="32"/>
  <c r="F4390" i="32"/>
  <c r="F4389" i="32"/>
  <c r="F4388" i="32"/>
  <c r="F4387" i="32"/>
  <c r="F4386" i="32"/>
  <c r="F4385" i="32"/>
  <c r="F4384" i="32"/>
  <c r="F4383" i="32"/>
  <c r="F4382" i="32"/>
  <c r="F4381" i="32"/>
  <c r="F4380" i="32"/>
  <c r="F4379" i="32"/>
  <c r="F4378" i="32"/>
  <c r="F4377" i="32"/>
  <c r="F4376" i="32"/>
  <c r="F4375" i="32"/>
  <c r="F4374" i="32"/>
  <c r="F4373" i="32"/>
  <c r="F4372" i="32"/>
  <c r="F4371" i="32"/>
  <c r="F4370" i="32"/>
  <c r="F4369" i="32"/>
  <c r="F4368" i="32"/>
  <c r="F4367" i="32"/>
  <c r="F4366" i="32"/>
  <c r="F4365" i="32"/>
  <c r="F4364" i="32"/>
  <c r="F4363" i="32"/>
  <c r="F4362" i="32"/>
  <c r="F4361" i="32"/>
  <c r="F4360" i="32"/>
  <c r="F4359" i="32"/>
  <c r="F4358" i="32"/>
  <c r="F4357" i="32"/>
  <c r="F4356" i="32"/>
  <c r="F4355" i="32"/>
  <c r="F4354" i="32"/>
  <c r="F4353" i="32"/>
  <c r="F4352" i="32"/>
  <c r="F4351" i="32"/>
  <c r="F4350" i="32"/>
  <c r="F4349" i="32"/>
  <c r="F4348" i="32"/>
  <c r="F4347" i="32"/>
  <c r="F4346" i="32"/>
  <c r="F4345" i="32"/>
  <c r="F4344" i="32"/>
  <c r="F4343" i="32"/>
  <c r="F4342" i="32"/>
  <c r="F4341" i="32"/>
  <c r="F4340" i="32"/>
  <c r="F4339" i="32"/>
  <c r="F4338" i="32"/>
  <c r="F4337" i="32"/>
  <c r="F4336" i="32"/>
  <c r="F4335" i="32"/>
  <c r="F4334" i="32"/>
  <c r="F4333" i="32"/>
  <c r="F4332" i="32"/>
  <c r="F4331" i="32"/>
  <c r="F4330" i="32"/>
  <c r="F4329" i="32"/>
  <c r="F4328" i="32"/>
  <c r="F4327" i="32"/>
  <c r="F4326" i="32"/>
  <c r="F4325" i="32"/>
  <c r="F4324" i="32"/>
  <c r="F4323" i="32"/>
  <c r="F4322" i="32"/>
  <c r="F4321" i="32"/>
  <c r="F4320" i="32"/>
  <c r="F4319" i="32"/>
  <c r="F4318" i="32"/>
  <c r="F4317" i="32"/>
  <c r="F4316" i="32"/>
  <c r="F4315" i="32"/>
  <c r="F4314" i="32"/>
  <c r="F4313" i="32"/>
  <c r="F4312" i="32"/>
  <c r="F4311" i="32"/>
  <c r="F4310" i="32"/>
  <c r="F4309" i="32"/>
  <c r="F4308" i="32"/>
  <c r="F4307" i="32"/>
  <c r="F4306" i="32"/>
  <c r="F4305" i="32"/>
  <c r="F4304" i="32"/>
  <c r="F4303" i="32"/>
  <c r="F4302" i="32"/>
  <c r="F4301" i="32"/>
  <c r="F4300" i="32"/>
  <c r="F4299" i="32"/>
  <c r="F4298" i="32"/>
  <c r="F4297" i="32"/>
  <c r="F4296" i="32"/>
  <c r="F4295" i="32"/>
  <c r="F4294" i="32"/>
  <c r="F4293" i="32"/>
  <c r="F4292" i="32"/>
  <c r="F4291" i="32"/>
  <c r="F4290" i="32"/>
  <c r="F4289" i="32"/>
  <c r="F4288" i="32"/>
  <c r="F4287" i="32"/>
  <c r="F4286" i="32"/>
  <c r="F4285" i="32"/>
  <c r="F4284" i="32"/>
  <c r="F4283" i="32"/>
  <c r="F4282" i="32"/>
  <c r="F4281" i="32"/>
  <c r="F4280" i="32"/>
  <c r="F4279" i="32"/>
  <c r="F4278" i="32"/>
  <c r="F4277" i="32"/>
  <c r="F4276" i="32"/>
  <c r="F4275" i="32"/>
  <c r="F4274" i="32"/>
  <c r="F4273" i="32"/>
  <c r="F4272" i="32"/>
  <c r="F4271" i="32"/>
  <c r="F4270" i="32"/>
  <c r="F4269" i="32"/>
  <c r="F4268" i="32"/>
  <c r="F4267" i="32"/>
  <c r="F4266" i="32"/>
  <c r="F4265" i="32"/>
  <c r="F4264" i="32"/>
  <c r="F4263" i="32"/>
  <c r="F4262" i="32"/>
  <c r="F4261" i="32"/>
  <c r="F4260" i="32"/>
  <c r="F4259" i="32"/>
  <c r="F4258" i="32"/>
  <c r="F4257" i="32"/>
  <c r="F4256" i="32"/>
  <c r="F4255" i="32"/>
  <c r="F4254" i="32"/>
  <c r="F4253" i="32"/>
  <c r="F4252" i="32"/>
  <c r="F4251" i="32"/>
  <c r="F4250" i="32"/>
  <c r="F4249" i="32"/>
  <c r="F4248" i="32"/>
  <c r="F4247" i="32"/>
  <c r="F4246" i="32"/>
  <c r="F4245" i="32"/>
  <c r="F4244" i="32"/>
  <c r="F4243" i="32"/>
  <c r="F4242" i="32"/>
  <c r="F4241" i="32"/>
  <c r="F4240" i="32"/>
  <c r="F4239" i="32"/>
  <c r="F4238" i="32"/>
  <c r="F4237" i="32"/>
  <c r="F4236" i="32"/>
  <c r="F4235" i="32"/>
  <c r="F4234" i="32"/>
  <c r="F4233" i="32"/>
  <c r="F4232" i="32"/>
  <c r="F4231" i="32"/>
  <c r="F4230" i="32"/>
  <c r="F4229" i="32"/>
  <c r="F4228" i="32"/>
  <c r="F4227" i="32"/>
  <c r="F4226" i="32"/>
  <c r="F4225" i="32"/>
  <c r="F4224" i="32"/>
  <c r="F4223" i="32"/>
  <c r="F4222" i="32"/>
  <c r="F4221" i="32"/>
  <c r="F4220" i="32"/>
  <c r="F4219" i="32"/>
  <c r="F4218" i="32"/>
  <c r="F4217" i="32"/>
  <c r="F4216" i="32"/>
  <c r="F4215" i="32"/>
  <c r="F4214" i="32"/>
  <c r="F4213" i="32"/>
  <c r="F4212" i="32"/>
  <c r="F4211" i="32"/>
  <c r="F4210" i="32"/>
  <c r="F4209" i="32"/>
  <c r="F4208" i="32"/>
  <c r="F4207" i="32"/>
  <c r="F4206" i="32"/>
  <c r="F4205" i="32"/>
  <c r="F4204" i="32"/>
  <c r="F4203" i="32"/>
  <c r="F4202" i="32"/>
  <c r="F4201" i="32"/>
  <c r="F4200" i="32"/>
  <c r="F4199" i="32"/>
  <c r="F4198" i="32"/>
  <c r="F4197" i="32"/>
  <c r="F4196" i="32"/>
  <c r="F4195" i="32"/>
  <c r="F4194" i="32"/>
  <c r="F4193" i="32"/>
  <c r="F4192" i="32"/>
  <c r="F4191" i="32"/>
  <c r="F4190" i="32"/>
  <c r="F4189" i="32"/>
  <c r="F4188" i="32"/>
  <c r="F4187" i="32"/>
  <c r="F4186" i="32"/>
  <c r="F4185" i="32"/>
  <c r="F4184" i="32"/>
  <c r="F4183" i="32"/>
  <c r="F4182" i="32"/>
  <c r="F4181" i="32"/>
  <c r="F4180" i="32"/>
  <c r="F4179" i="32"/>
  <c r="F4178" i="32"/>
  <c r="F4177" i="32"/>
  <c r="F4176" i="32"/>
  <c r="F4175" i="32"/>
  <c r="F4174" i="32"/>
  <c r="F4173" i="32"/>
  <c r="F4172" i="32"/>
  <c r="F4171" i="32"/>
  <c r="F4170" i="32"/>
  <c r="F4169" i="32"/>
  <c r="F4168" i="32"/>
  <c r="F4167" i="32"/>
  <c r="F4166" i="32"/>
  <c r="F4165" i="32"/>
  <c r="F4164" i="32"/>
  <c r="F4163" i="32"/>
  <c r="F4162" i="32"/>
  <c r="F4161" i="32"/>
  <c r="F4160" i="32"/>
  <c r="F4159" i="32"/>
  <c r="F4158" i="32"/>
  <c r="F4157" i="32"/>
  <c r="F4156" i="32"/>
  <c r="F4155" i="32"/>
  <c r="F4154" i="32"/>
  <c r="F4153" i="32"/>
  <c r="F4152" i="32"/>
  <c r="F4151" i="32"/>
  <c r="F4150" i="32"/>
  <c r="F4149" i="32"/>
  <c r="F4148" i="32"/>
  <c r="F4147" i="32"/>
  <c r="F4146" i="32"/>
  <c r="F4145" i="32"/>
  <c r="F4144" i="32"/>
  <c r="F4143" i="32"/>
  <c r="F4142" i="32"/>
  <c r="F4141" i="32"/>
  <c r="F4140" i="32"/>
  <c r="F4139" i="32"/>
  <c r="F4138" i="32"/>
  <c r="F4137" i="32"/>
  <c r="F4136" i="32"/>
  <c r="F4135" i="32"/>
  <c r="F4134" i="32"/>
  <c r="F4133" i="32"/>
  <c r="F4132" i="32"/>
  <c r="F4131" i="32"/>
  <c r="F4130" i="32"/>
  <c r="F4129" i="32"/>
  <c r="F4128" i="32"/>
  <c r="F4127" i="32"/>
  <c r="F4126" i="32"/>
  <c r="F4125" i="32"/>
  <c r="F4124" i="32"/>
  <c r="F4123" i="32"/>
  <c r="F4122" i="32"/>
  <c r="F4121" i="32"/>
  <c r="F4120" i="32"/>
  <c r="F4119" i="32"/>
  <c r="F4118" i="32"/>
  <c r="F4117" i="32"/>
  <c r="F4116" i="32"/>
  <c r="F4115" i="32"/>
  <c r="F4114" i="32"/>
  <c r="F4113" i="32"/>
  <c r="F4112" i="32"/>
  <c r="F4111" i="32"/>
  <c r="F4110" i="32"/>
  <c r="F4109" i="32"/>
  <c r="F4108" i="32"/>
  <c r="F4107" i="32"/>
  <c r="F4106" i="32"/>
  <c r="F4105" i="32"/>
  <c r="F4104" i="32"/>
  <c r="F4103" i="32"/>
  <c r="F4102" i="32"/>
  <c r="F4101" i="32"/>
  <c r="F4100" i="32"/>
  <c r="F4099" i="32"/>
  <c r="F4098" i="32"/>
  <c r="F4097" i="32"/>
  <c r="F4096" i="32"/>
  <c r="F4095" i="32"/>
  <c r="F4094" i="32"/>
  <c r="F4093" i="32"/>
  <c r="F4092" i="32"/>
  <c r="F4091" i="32"/>
  <c r="F4090" i="32"/>
  <c r="F4089" i="32"/>
  <c r="F4088" i="32"/>
  <c r="F4087" i="32"/>
  <c r="F4086" i="32"/>
  <c r="F4085" i="32"/>
  <c r="F4084" i="32"/>
  <c r="F4083" i="32"/>
  <c r="F4082" i="32"/>
  <c r="F4081" i="32"/>
  <c r="F4080" i="32"/>
  <c r="F4079" i="32"/>
  <c r="F4078" i="32"/>
  <c r="F4077" i="32"/>
  <c r="F4076" i="32"/>
  <c r="F4075" i="32"/>
  <c r="F4074" i="32"/>
  <c r="F4073" i="32"/>
  <c r="F4072" i="32"/>
  <c r="F4071" i="32"/>
  <c r="F4070" i="32"/>
  <c r="F4069" i="32"/>
  <c r="F4068" i="32"/>
  <c r="F4067" i="32"/>
  <c r="F4066" i="32"/>
  <c r="F4065" i="32"/>
  <c r="F4064" i="32"/>
  <c r="F4063" i="32"/>
  <c r="F4062" i="32"/>
  <c r="F4061" i="32"/>
  <c r="F4060" i="32"/>
  <c r="F4059" i="32"/>
  <c r="F4058" i="32"/>
  <c r="F4057" i="32"/>
  <c r="F4056" i="32"/>
  <c r="F4055" i="32"/>
  <c r="F4054" i="32"/>
  <c r="F4053" i="32"/>
  <c r="F4052" i="32"/>
  <c r="F4051" i="32"/>
  <c r="F4050" i="32"/>
  <c r="F4049" i="32"/>
  <c r="F4048" i="32"/>
  <c r="F4047" i="32"/>
  <c r="F4046" i="32"/>
  <c r="F4045" i="32"/>
  <c r="F4044" i="32"/>
  <c r="F4043" i="32"/>
  <c r="F4042" i="32"/>
  <c r="F4041" i="32"/>
  <c r="F4040" i="32"/>
  <c r="F4039" i="32"/>
  <c r="F4038" i="32"/>
  <c r="F4037" i="32"/>
  <c r="F4036" i="32"/>
  <c r="F4035" i="32"/>
  <c r="F4034" i="32"/>
  <c r="F4033" i="32"/>
  <c r="F4032" i="32"/>
  <c r="F4031" i="32"/>
  <c r="F4030" i="32"/>
  <c r="F4029" i="32"/>
  <c r="F4028" i="32"/>
  <c r="F4027" i="32"/>
  <c r="F4026" i="32"/>
  <c r="F4025" i="32"/>
  <c r="F4024" i="32"/>
  <c r="F4023" i="32"/>
  <c r="F4022" i="32"/>
  <c r="F4021" i="32"/>
  <c r="F4020" i="32"/>
  <c r="F4019" i="32"/>
  <c r="F4018" i="32"/>
  <c r="F4017" i="32"/>
  <c r="F4016" i="32"/>
  <c r="F4015" i="32"/>
  <c r="F4014" i="32"/>
  <c r="F4013" i="32"/>
  <c r="F4012" i="32"/>
  <c r="F4011" i="32"/>
  <c r="F4010" i="32"/>
  <c r="F4009" i="32"/>
  <c r="F4008" i="32"/>
  <c r="F4007" i="32"/>
  <c r="F4006" i="32"/>
  <c r="F4005" i="32"/>
  <c r="F4004" i="32"/>
  <c r="F4003" i="32"/>
  <c r="F4002" i="32"/>
  <c r="F4001" i="32"/>
  <c r="F4000" i="32"/>
  <c r="F3999" i="32"/>
  <c r="F3998" i="32"/>
  <c r="F3997" i="32"/>
  <c r="F3996" i="32"/>
  <c r="F3995" i="32"/>
  <c r="F3994" i="32"/>
  <c r="F3993" i="32"/>
  <c r="F3992" i="32"/>
  <c r="F3991" i="32"/>
  <c r="F3990" i="32"/>
  <c r="F3989" i="32"/>
  <c r="F3988" i="32"/>
  <c r="F3987" i="32"/>
  <c r="F3986" i="32"/>
  <c r="F3985" i="32"/>
  <c r="F3984" i="32"/>
  <c r="F3983" i="32"/>
  <c r="F3982" i="32"/>
  <c r="F3981" i="32"/>
  <c r="F3980" i="32"/>
  <c r="F3979" i="32"/>
  <c r="F3978" i="32"/>
  <c r="F3977" i="32"/>
  <c r="F3976" i="32"/>
  <c r="F3975" i="32"/>
  <c r="F3974" i="32"/>
  <c r="F3973" i="32"/>
  <c r="F3972" i="32"/>
  <c r="F3971" i="32"/>
  <c r="F3970" i="32"/>
  <c r="F3969" i="32"/>
  <c r="F3968" i="32"/>
  <c r="F3967" i="32"/>
  <c r="F3966" i="32"/>
  <c r="F3965" i="32"/>
  <c r="F3964" i="32"/>
  <c r="F3963" i="32"/>
  <c r="F3962" i="32"/>
  <c r="F3961" i="32"/>
  <c r="F3960" i="32"/>
  <c r="F3959" i="32"/>
  <c r="F3958" i="32"/>
  <c r="F3957" i="32"/>
  <c r="F3956" i="32"/>
  <c r="F3955" i="32"/>
  <c r="F3954" i="32"/>
  <c r="F3953" i="32"/>
  <c r="F3952" i="32"/>
  <c r="F3951" i="32"/>
  <c r="F3950" i="32"/>
  <c r="F3949" i="32"/>
  <c r="F3948" i="32"/>
  <c r="F3947" i="32"/>
  <c r="F3946" i="32"/>
  <c r="F3945" i="32"/>
  <c r="F3944" i="32"/>
  <c r="F3943" i="32"/>
  <c r="F3942" i="32"/>
  <c r="F3941" i="32"/>
  <c r="F3940" i="32"/>
  <c r="F3939" i="32"/>
  <c r="F3938" i="32"/>
  <c r="F3937" i="32"/>
  <c r="F3936" i="32"/>
  <c r="F3935" i="32"/>
  <c r="F3934" i="32"/>
  <c r="F3933" i="32"/>
  <c r="F3932" i="32"/>
  <c r="F3931" i="32"/>
  <c r="F3930" i="32"/>
  <c r="F3929" i="32"/>
  <c r="F3928" i="32"/>
  <c r="F3927" i="32"/>
  <c r="F3926" i="32"/>
  <c r="F3925" i="32"/>
  <c r="F3924" i="32"/>
  <c r="F3923" i="32"/>
  <c r="F3922" i="32"/>
  <c r="F3921" i="32"/>
  <c r="F3920" i="32"/>
  <c r="F3919" i="32"/>
  <c r="F3918" i="32"/>
  <c r="F3917" i="32"/>
  <c r="F3916" i="32"/>
  <c r="F3915" i="32"/>
  <c r="F3914" i="32"/>
  <c r="F3913" i="32"/>
  <c r="F3912" i="32"/>
  <c r="F3911" i="32"/>
  <c r="F3910" i="32"/>
  <c r="F3909" i="32"/>
  <c r="F3908" i="32"/>
  <c r="F3907" i="32"/>
  <c r="F3906" i="32"/>
  <c r="F3905" i="32"/>
  <c r="F3904" i="32"/>
  <c r="F3903" i="32"/>
  <c r="F3902" i="32"/>
  <c r="F3901" i="32"/>
  <c r="F3900" i="32"/>
  <c r="F3899" i="32"/>
  <c r="F3898" i="32"/>
  <c r="F3897" i="32"/>
  <c r="F3896" i="32"/>
  <c r="F3895" i="32"/>
  <c r="F3894" i="32"/>
  <c r="F3893" i="32"/>
  <c r="F3892" i="32"/>
  <c r="F3891" i="32"/>
  <c r="F3890" i="32"/>
  <c r="F3889" i="32"/>
  <c r="F3888" i="32"/>
  <c r="F3887" i="32"/>
  <c r="F3886" i="32"/>
  <c r="F3885" i="32"/>
  <c r="F3884" i="32"/>
  <c r="F3883" i="32"/>
  <c r="F3882" i="32"/>
  <c r="F3881" i="32"/>
  <c r="F3880" i="32"/>
  <c r="F3879" i="32"/>
  <c r="F3878" i="32"/>
  <c r="F3877" i="32"/>
  <c r="F3876" i="32"/>
  <c r="F3875" i="32"/>
  <c r="F3874" i="32"/>
  <c r="F3873" i="32"/>
  <c r="F3872" i="32"/>
  <c r="F3871" i="32"/>
  <c r="F3870" i="32"/>
  <c r="F3869" i="32"/>
  <c r="F3868" i="32"/>
  <c r="F3867" i="32"/>
  <c r="F3866" i="32"/>
  <c r="F3865" i="32"/>
  <c r="F3864" i="32"/>
  <c r="F3863" i="32"/>
  <c r="F3862" i="32"/>
  <c r="F3861" i="32"/>
  <c r="F3860" i="32"/>
  <c r="F3859" i="32"/>
  <c r="F3858" i="32"/>
  <c r="F3857" i="32"/>
  <c r="F3856" i="32"/>
  <c r="F3855" i="32"/>
  <c r="F3854" i="32"/>
  <c r="F3853" i="32"/>
  <c r="F3852" i="32"/>
  <c r="F3851" i="32"/>
  <c r="F3850" i="32"/>
  <c r="F3849" i="32"/>
  <c r="F3848" i="32"/>
  <c r="F3847" i="32"/>
  <c r="F3846" i="32"/>
  <c r="F3845" i="32"/>
  <c r="F3844" i="32"/>
  <c r="F3843" i="32"/>
  <c r="F3842" i="32"/>
  <c r="F3841" i="32"/>
  <c r="F3840" i="32"/>
  <c r="F3839" i="32"/>
  <c r="F3838" i="32"/>
  <c r="F3837" i="32"/>
  <c r="F3836" i="32"/>
  <c r="F3835" i="32"/>
  <c r="F3834" i="32"/>
  <c r="F3833" i="32"/>
  <c r="F3832" i="32"/>
  <c r="F3831" i="32"/>
  <c r="F3830" i="32"/>
  <c r="F3829" i="32"/>
  <c r="F3828" i="32"/>
  <c r="F3827" i="32"/>
  <c r="F3826" i="32"/>
  <c r="F3825" i="32"/>
  <c r="F3824" i="32"/>
  <c r="F3823" i="32"/>
  <c r="F3822" i="32"/>
  <c r="F3821" i="32"/>
  <c r="F3820" i="32"/>
  <c r="F3819" i="32"/>
  <c r="F3818" i="32"/>
  <c r="F3817" i="32"/>
  <c r="F3816" i="32"/>
  <c r="F3815" i="32"/>
  <c r="F3814" i="32"/>
  <c r="F3813" i="32"/>
  <c r="F3812" i="32"/>
  <c r="F3811" i="32"/>
  <c r="F3810" i="32"/>
  <c r="F3809" i="32"/>
  <c r="F3808" i="32"/>
  <c r="F3807" i="32"/>
  <c r="F3806" i="32"/>
  <c r="F3805" i="32"/>
  <c r="F3804" i="32"/>
  <c r="F3803" i="32"/>
  <c r="F3802" i="32"/>
  <c r="F3801" i="32"/>
  <c r="F3800" i="32"/>
  <c r="F3799" i="32"/>
  <c r="F3798" i="32"/>
  <c r="F3797" i="32"/>
  <c r="F3796" i="32"/>
  <c r="F3795" i="32"/>
  <c r="F3794" i="32"/>
  <c r="F3793" i="32"/>
  <c r="F3792" i="32"/>
  <c r="F3791" i="32"/>
  <c r="F3790" i="32"/>
  <c r="F3789" i="32"/>
  <c r="F3788" i="32"/>
  <c r="F3787" i="32"/>
  <c r="F3786" i="32"/>
  <c r="F3785" i="32"/>
  <c r="F3784" i="32"/>
  <c r="F3783" i="32"/>
  <c r="F3782" i="32"/>
  <c r="F3781" i="32"/>
  <c r="F3780" i="32"/>
  <c r="F3779" i="32"/>
  <c r="F3778" i="32"/>
  <c r="F3777" i="32"/>
  <c r="F3776" i="32"/>
  <c r="F3775" i="32"/>
  <c r="F3774" i="32"/>
  <c r="F3773" i="32"/>
  <c r="F3772" i="32"/>
  <c r="F3771" i="32"/>
  <c r="F3770" i="32"/>
  <c r="F3769" i="32"/>
  <c r="F3768" i="32"/>
  <c r="F3767" i="32"/>
  <c r="F3766" i="32"/>
  <c r="F3765" i="32"/>
  <c r="F3764" i="32"/>
  <c r="F3763" i="32"/>
  <c r="F3762" i="32"/>
  <c r="F3761" i="32"/>
  <c r="F3760" i="32"/>
  <c r="F3759" i="32"/>
  <c r="F3758" i="32"/>
  <c r="F3757" i="32"/>
  <c r="F3756" i="32"/>
  <c r="F3755" i="32"/>
  <c r="F3754" i="32"/>
  <c r="F3753" i="32"/>
  <c r="F3752" i="32"/>
  <c r="F3751" i="32"/>
  <c r="F3750" i="32"/>
  <c r="F3749" i="32"/>
  <c r="F3748" i="32"/>
  <c r="F3747" i="32"/>
  <c r="F3746" i="32"/>
  <c r="F3745" i="32"/>
  <c r="F3744" i="32"/>
  <c r="F3743" i="32"/>
  <c r="F3742" i="32"/>
  <c r="F3741" i="32"/>
  <c r="F3740" i="32"/>
  <c r="F3739" i="32"/>
  <c r="F3738" i="32"/>
  <c r="F3737" i="32"/>
  <c r="F3736" i="32"/>
  <c r="F3735" i="32"/>
  <c r="F3734" i="32"/>
  <c r="F3733" i="32"/>
  <c r="F3732" i="32"/>
  <c r="F3731" i="32"/>
  <c r="F3730" i="32"/>
  <c r="F3729" i="32"/>
  <c r="F3728" i="32"/>
  <c r="F3727" i="32"/>
  <c r="F3726" i="32"/>
  <c r="F3725" i="32"/>
  <c r="F3724" i="32"/>
  <c r="F3723" i="32"/>
  <c r="F3722" i="32"/>
  <c r="F3721" i="32"/>
  <c r="F3720" i="32"/>
  <c r="F3719" i="32"/>
  <c r="F3718" i="32"/>
  <c r="F3717" i="32"/>
  <c r="F3716" i="32"/>
  <c r="F3715" i="32"/>
  <c r="F3714" i="32"/>
  <c r="F3713" i="32"/>
  <c r="F3712" i="32"/>
  <c r="F3711" i="32"/>
  <c r="F3710" i="32"/>
  <c r="F3709" i="32"/>
  <c r="F3708" i="32"/>
  <c r="F3707" i="32"/>
  <c r="F3706" i="32"/>
  <c r="F3705" i="32"/>
  <c r="F3704" i="32"/>
  <c r="F3703" i="32"/>
  <c r="F3702" i="32"/>
  <c r="F3701" i="32"/>
  <c r="F3700" i="32"/>
  <c r="F3699" i="32"/>
  <c r="F3698" i="32"/>
  <c r="F3697" i="32"/>
  <c r="F3696" i="32"/>
  <c r="F3695" i="32"/>
  <c r="F3694" i="32"/>
  <c r="F3693" i="32"/>
  <c r="F3692" i="32"/>
  <c r="F3691" i="32"/>
  <c r="F3690" i="32"/>
  <c r="F3689" i="32"/>
  <c r="F3688" i="32"/>
  <c r="F3687" i="32"/>
  <c r="F3686" i="32"/>
  <c r="F3685" i="32"/>
  <c r="F3684" i="32"/>
  <c r="F3683" i="32"/>
  <c r="F3682" i="32"/>
  <c r="F3681" i="32"/>
  <c r="F3680" i="32"/>
  <c r="F3679" i="32"/>
  <c r="F3678" i="32"/>
  <c r="F3677" i="32"/>
  <c r="F3676" i="32"/>
  <c r="F3675" i="32"/>
  <c r="F3674" i="32"/>
  <c r="F3673" i="32"/>
  <c r="F3672" i="32"/>
  <c r="F3671" i="32"/>
  <c r="F3670" i="32"/>
  <c r="F3669" i="32"/>
  <c r="F3668" i="32"/>
  <c r="F3667" i="32"/>
  <c r="F3666" i="32"/>
  <c r="F3665" i="32"/>
  <c r="F3664" i="32"/>
  <c r="F3663" i="32"/>
  <c r="F3662" i="32"/>
  <c r="F3661" i="32"/>
  <c r="F3660" i="32"/>
  <c r="F3659" i="32"/>
  <c r="F3658" i="32"/>
  <c r="F3657" i="32"/>
  <c r="F3656" i="32"/>
  <c r="F3655" i="32"/>
  <c r="F3654" i="32"/>
  <c r="F3653" i="32"/>
  <c r="F3652" i="32"/>
  <c r="F3651" i="32"/>
  <c r="F3650" i="32"/>
  <c r="F3649" i="32"/>
  <c r="F3648" i="32"/>
  <c r="F3647" i="32"/>
  <c r="F3646" i="32"/>
  <c r="F3645" i="32"/>
  <c r="F3644" i="32"/>
  <c r="F3643" i="32"/>
  <c r="F3642" i="32"/>
  <c r="F3641" i="32"/>
  <c r="F3640" i="32"/>
  <c r="F3639" i="32"/>
  <c r="F3638" i="32"/>
  <c r="F3637" i="32"/>
  <c r="F3636" i="32"/>
  <c r="F3635" i="32"/>
  <c r="F3634" i="32"/>
  <c r="F3633" i="32"/>
  <c r="F3632" i="32"/>
  <c r="F3631" i="32"/>
  <c r="F3630" i="32"/>
  <c r="F3629" i="32"/>
  <c r="F3628" i="32"/>
  <c r="F3627" i="32"/>
  <c r="F3626" i="32"/>
  <c r="F3625" i="32"/>
  <c r="F3624" i="32"/>
  <c r="F3623" i="32"/>
  <c r="F3622" i="32"/>
  <c r="F3621" i="32"/>
  <c r="F3620" i="32"/>
  <c r="F3619" i="32"/>
  <c r="F3618" i="32"/>
  <c r="F3617" i="32"/>
  <c r="F3616" i="32"/>
  <c r="F3615" i="32"/>
  <c r="F3614" i="32"/>
  <c r="F3613" i="32"/>
  <c r="F3612" i="32"/>
  <c r="F3611" i="32"/>
  <c r="F3610" i="32"/>
  <c r="F3609" i="32"/>
  <c r="F3608" i="32"/>
  <c r="F3607" i="32"/>
  <c r="F3606" i="32"/>
  <c r="F3605" i="32"/>
  <c r="F3604" i="32"/>
  <c r="F3603" i="32"/>
  <c r="F3602" i="32"/>
  <c r="F3601" i="32"/>
  <c r="F3600" i="32"/>
  <c r="F3599" i="32"/>
  <c r="F3598" i="32"/>
  <c r="F3597" i="32"/>
  <c r="F3596" i="32"/>
  <c r="F3595" i="32"/>
  <c r="F3594" i="32"/>
  <c r="F3593" i="32"/>
  <c r="F3592" i="32"/>
  <c r="F3591" i="32"/>
  <c r="F3590" i="32"/>
  <c r="F3589" i="32"/>
  <c r="F3588" i="32"/>
  <c r="F3587" i="32"/>
  <c r="F3586" i="32"/>
  <c r="F3585" i="32"/>
  <c r="F3584" i="32"/>
  <c r="F3583" i="32"/>
  <c r="F3582" i="32"/>
  <c r="F3581" i="32"/>
  <c r="F3580" i="32"/>
  <c r="F3579" i="32"/>
  <c r="F3578" i="32"/>
  <c r="F3577" i="32"/>
  <c r="F3576" i="32"/>
  <c r="F3575" i="32"/>
  <c r="F3574" i="32"/>
  <c r="F3573" i="32"/>
  <c r="F3572" i="32"/>
  <c r="F3571" i="32"/>
  <c r="F3570" i="32"/>
  <c r="F3569" i="32"/>
  <c r="F3568" i="32"/>
  <c r="F3567" i="32"/>
  <c r="F3566" i="32"/>
  <c r="F3565" i="32"/>
  <c r="F3564" i="32"/>
  <c r="F3563" i="32"/>
  <c r="F3562" i="32"/>
  <c r="F3561" i="32"/>
  <c r="F3560" i="32"/>
  <c r="F3559" i="32"/>
  <c r="F3558" i="32"/>
  <c r="F3557" i="32"/>
  <c r="F3556" i="32"/>
  <c r="F3555" i="32"/>
  <c r="F3554" i="32"/>
  <c r="F3553" i="32"/>
  <c r="F3552" i="32"/>
  <c r="F3551" i="32"/>
  <c r="F3550" i="32"/>
  <c r="F3549" i="32"/>
  <c r="F3548" i="32"/>
  <c r="F3547" i="32"/>
  <c r="F3546" i="32"/>
  <c r="F3545" i="32"/>
  <c r="F3544" i="32"/>
  <c r="F3543" i="32"/>
  <c r="F3542" i="32"/>
  <c r="F3541" i="32"/>
  <c r="F3540" i="32"/>
  <c r="F3539" i="32"/>
  <c r="F3538" i="32"/>
  <c r="F3537" i="32"/>
  <c r="F3536" i="32"/>
  <c r="F3535" i="32"/>
  <c r="F3534" i="32"/>
  <c r="F3533" i="32"/>
  <c r="F3532" i="32"/>
  <c r="F3531" i="32"/>
  <c r="F3530" i="32"/>
  <c r="F3529" i="32"/>
  <c r="F3528" i="32"/>
  <c r="F3527" i="32"/>
  <c r="F3526" i="32"/>
  <c r="F3525" i="32"/>
  <c r="F3524" i="32"/>
  <c r="F3523" i="32"/>
  <c r="F3522" i="32"/>
  <c r="F3521" i="32"/>
  <c r="F3520" i="32"/>
  <c r="F3519" i="32"/>
  <c r="F3518" i="32"/>
  <c r="F3517" i="32"/>
  <c r="F3516" i="32"/>
  <c r="F3515" i="32"/>
  <c r="F3514" i="32"/>
  <c r="F3513" i="32"/>
  <c r="F3512" i="32"/>
  <c r="F3511" i="32"/>
  <c r="F3510" i="32"/>
  <c r="F3509" i="32"/>
  <c r="F3508" i="32"/>
  <c r="F3507" i="32"/>
  <c r="F3506" i="32"/>
  <c r="F3505" i="32"/>
  <c r="F3504" i="32"/>
  <c r="F3503" i="32"/>
  <c r="F3502" i="32"/>
  <c r="F3501" i="32"/>
  <c r="F3500" i="32"/>
  <c r="F3499" i="32"/>
  <c r="F3498" i="32"/>
  <c r="F3497" i="32"/>
  <c r="F3496" i="32"/>
  <c r="F3495" i="32"/>
  <c r="F3494" i="32"/>
  <c r="F3493" i="32"/>
  <c r="F3492" i="32"/>
  <c r="F3491" i="32"/>
  <c r="F3490" i="32"/>
  <c r="F3489" i="32"/>
  <c r="F3488" i="32"/>
  <c r="F3487" i="32"/>
  <c r="F3486" i="32"/>
  <c r="F3485" i="32"/>
  <c r="F3484" i="32"/>
  <c r="F3483" i="32"/>
  <c r="F3482" i="32"/>
  <c r="F3481" i="32"/>
  <c r="F3480" i="32"/>
  <c r="F3479" i="32"/>
  <c r="F3478" i="32"/>
  <c r="F3477" i="32"/>
  <c r="F3476" i="32"/>
  <c r="F3475" i="32"/>
  <c r="F3474" i="32"/>
  <c r="F3473" i="32"/>
  <c r="F3472" i="32"/>
  <c r="F3471" i="32"/>
  <c r="F3470" i="32"/>
  <c r="F3469" i="32"/>
  <c r="F3468" i="32"/>
  <c r="F3467" i="32"/>
  <c r="F3466" i="32"/>
  <c r="F3465" i="32"/>
  <c r="F3464" i="32"/>
  <c r="F3463" i="32"/>
  <c r="F3462" i="32"/>
  <c r="F3461" i="32"/>
  <c r="F3460" i="32"/>
  <c r="F3459" i="32"/>
  <c r="F3458" i="32"/>
  <c r="F3457" i="32"/>
  <c r="F3456" i="32"/>
  <c r="F3455" i="32"/>
  <c r="F3454" i="32"/>
  <c r="F3453" i="32"/>
  <c r="F3452" i="32"/>
  <c r="F3451" i="32"/>
  <c r="F3450" i="32"/>
  <c r="F3449" i="32"/>
  <c r="F3448" i="32"/>
  <c r="F3447" i="32"/>
  <c r="F3446" i="32"/>
  <c r="F3445" i="32"/>
  <c r="F3444" i="32"/>
  <c r="F3443" i="32"/>
  <c r="F3442" i="32"/>
  <c r="F3441" i="32"/>
  <c r="F3440" i="32"/>
  <c r="F3439" i="32"/>
  <c r="F3438" i="32"/>
  <c r="F3437" i="32"/>
  <c r="F3436" i="32"/>
  <c r="F3435" i="32"/>
  <c r="F3434" i="32"/>
  <c r="F3433" i="32"/>
  <c r="F3432" i="32"/>
  <c r="F3431" i="32"/>
  <c r="F3430" i="32"/>
  <c r="F3429" i="32"/>
  <c r="F3428" i="32"/>
  <c r="F3427" i="32"/>
  <c r="F3426" i="32"/>
  <c r="F3425" i="32"/>
  <c r="F3424" i="32"/>
  <c r="F3423" i="32"/>
  <c r="F3422" i="32"/>
  <c r="F3421" i="32"/>
  <c r="F3420" i="32"/>
  <c r="F3419" i="32"/>
  <c r="F3418" i="32"/>
  <c r="F3417" i="32"/>
  <c r="F3416" i="32"/>
  <c r="F3415" i="32"/>
  <c r="F3414" i="32"/>
  <c r="F3413" i="32"/>
  <c r="F3412" i="32"/>
  <c r="F3411" i="32"/>
  <c r="F3410" i="32"/>
  <c r="F3409" i="32"/>
  <c r="F3408" i="32"/>
  <c r="F3407" i="32"/>
  <c r="F3406" i="32"/>
  <c r="F3405" i="32"/>
  <c r="F3404" i="32"/>
  <c r="F3403" i="32"/>
  <c r="F3402" i="32"/>
  <c r="F3401" i="32"/>
  <c r="F3400" i="32"/>
  <c r="F3399" i="32"/>
  <c r="F3398" i="32"/>
  <c r="F3397" i="32"/>
  <c r="F3396" i="32"/>
  <c r="F3395" i="32"/>
  <c r="F3394" i="32"/>
  <c r="F3393" i="32"/>
  <c r="F3392" i="32"/>
  <c r="F3391" i="32"/>
  <c r="F3390" i="32"/>
  <c r="F3389" i="32"/>
  <c r="F3388" i="32"/>
  <c r="F3387" i="32"/>
  <c r="F3386" i="32"/>
  <c r="F3385" i="32"/>
  <c r="F3384" i="32"/>
  <c r="F3383" i="32"/>
  <c r="F3382" i="32"/>
  <c r="F3381" i="32"/>
  <c r="F3380" i="32"/>
  <c r="F3379" i="32"/>
  <c r="F3378" i="32"/>
  <c r="F3377" i="32"/>
  <c r="F3376" i="32"/>
  <c r="F3375" i="32"/>
  <c r="F3374" i="32"/>
  <c r="F3373" i="32"/>
  <c r="F3372" i="32"/>
  <c r="F3371" i="32"/>
  <c r="F3370" i="32"/>
  <c r="F3369" i="32"/>
  <c r="F3368" i="32"/>
  <c r="F3367" i="32"/>
  <c r="F3366" i="32"/>
  <c r="F3365" i="32"/>
  <c r="F3364" i="32"/>
  <c r="F3363" i="32"/>
  <c r="F3362" i="32"/>
  <c r="F3361" i="32"/>
  <c r="F3360" i="32"/>
  <c r="F3359" i="32"/>
  <c r="F3358" i="32"/>
  <c r="F3357" i="32"/>
  <c r="F3356" i="32"/>
  <c r="F3355" i="32"/>
  <c r="F3354" i="32"/>
  <c r="F3353" i="32"/>
  <c r="F3352" i="32"/>
  <c r="F3351" i="32"/>
  <c r="F3350" i="32"/>
  <c r="F3349" i="32"/>
  <c r="F3348" i="32"/>
  <c r="F3347" i="32"/>
  <c r="F3346" i="32"/>
  <c r="F3345" i="32"/>
  <c r="F3344" i="32"/>
  <c r="F3343" i="32"/>
  <c r="F3342" i="32"/>
  <c r="F3341" i="32"/>
  <c r="F3340" i="32"/>
  <c r="F3339" i="32"/>
  <c r="F3338" i="32"/>
  <c r="F3337" i="32"/>
  <c r="F3336" i="32"/>
  <c r="F3335" i="32"/>
  <c r="F3334" i="32"/>
  <c r="F3333" i="32"/>
  <c r="F3332" i="32"/>
  <c r="F3331" i="32"/>
  <c r="F3330" i="32"/>
  <c r="F3329" i="32"/>
  <c r="F3328" i="32"/>
  <c r="F3327" i="32"/>
  <c r="F3326" i="32"/>
  <c r="F3325" i="32"/>
  <c r="F3324" i="32"/>
  <c r="F3323" i="32"/>
  <c r="F3322" i="32"/>
  <c r="F3321" i="32"/>
  <c r="F3320" i="32"/>
  <c r="F3319" i="32"/>
  <c r="F3318" i="32"/>
  <c r="F3317" i="32"/>
  <c r="F3316" i="32"/>
  <c r="F3315" i="32"/>
  <c r="F3314" i="32"/>
  <c r="F3313" i="32"/>
  <c r="F3312" i="32"/>
  <c r="F3311" i="32"/>
  <c r="F3310" i="32"/>
  <c r="F3309" i="32"/>
  <c r="F3308" i="32"/>
  <c r="F3307" i="32"/>
  <c r="F3306" i="32"/>
  <c r="F3305" i="32"/>
  <c r="F3304" i="32"/>
  <c r="F3303" i="32"/>
  <c r="F3302" i="32"/>
  <c r="F3301" i="32"/>
  <c r="F3300" i="32"/>
  <c r="F3299" i="32"/>
  <c r="F3298" i="32"/>
  <c r="F3297" i="32"/>
  <c r="F3296" i="32"/>
  <c r="F3295" i="32"/>
  <c r="F3294" i="32"/>
  <c r="F3293" i="32"/>
  <c r="F3292" i="32"/>
  <c r="F3291" i="32"/>
  <c r="F3290" i="32"/>
  <c r="F3289" i="32"/>
  <c r="F3288" i="32"/>
  <c r="F3287" i="32"/>
  <c r="F3286" i="32"/>
  <c r="F3285" i="32"/>
  <c r="F3284" i="32"/>
  <c r="F3283" i="32"/>
  <c r="F3282" i="32"/>
  <c r="F3281" i="32"/>
  <c r="F3280" i="32"/>
  <c r="F3279" i="32"/>
  <c r="F3278" i="32"/>
  <c r="F3277" i="32"/>
  <c r="F3276" i="32"/>
  <c r="F3275" i="32"/>
  <c r="F3274" i="32"/>
  <c r="F3273" i="32"/>
  <c r="F3272" i="32"/>
  <c r="F3271" i="32"/>
  <c r="F3270" i="32"/>
  <c r="F3269" i="32"/>
  <c r="F3268" i="32"/>
  <c r="F3267" i="32"/>
  <c r="F3266" i="32"/>
  <c r="F3265" i="32"/>
  <c r="F3264" i="32"/>
  <c r="F3263" i="32"/>
  <c r="F3262" i="32"/>
  <c r="F3261" i="32"/>
  <c r="F3260" i="32"/>
  <c r="F3259" i="32"/>
  <c r="F3258" i="32"/>
  <c r="F3257" i="32"/>
  <c r="F3256" i="32"/>
  <c r="F3255" i="32"/>
  <c r="F3254" i="32"/>
  <c r="F3253" i="32"/>
  <c r="F3252" i="32"/>
  <c r="F3251" i="32"/>
  <c r="F3250" i="32"/>
  <c r="F3249" i="32"/>
  <c r="F3248" i="32"/>
  <c r="F3247" i="32"/>
  <c r="F3246" i="32"/>
  <c r="F3245" i="32"/>
  <c r="F3244" i="32"/>
  <c r="F3243" i="32"/>
  <c r="F3242" i="32"/>
  <c r="F3241" i="32"/>
  <c r="F3240" i="32"/>
  <c r="F3239" i="32"/>
  <c r="F3238" i="32"/>
  <c r="F3237" i="32"/>
  <c r="F3236" i="32"/>
  <c r="F3235" i="32"/>
  <c r="F3234" i="32"/>
  <c r="F3233" i="32"/>
  <c r="F3232" i="32"/>
  <c r="F3231" i="32"/>
  <c r="F3230" i="32"/>
  <c r="F3229" i="32"/>
  <c r="F3228" i="32"/>
  <c r="F3227" i="32"/>
  <c r="F3226" i="32"/>
  <c r="F3225" i="32"/>
  <c r="F3224" i="32"/>
  <c r="F3223" i="32"/>
  <c r="F3222" i="32"/>
  <c r="F3221" i="32"/>
  <c r="F3220" i="32"/>
  <c r="F3219" i="32"/>
  <c r="F3218" i="32"/>
  <c r="F3217" i="32"/>
  <c r="F3216" i="32"/>
  <c r="F3215" i="32"/>
  <c r="F3214" i="32"/>
  <c r="F3213" i="32"/>
  <c r="F3212" i="32"/>
  <c r="F3211" i="32"/>
  <c r="F3210" i="32"/>
  <c r="F3209" i="32"/>
  <c r="F3208" i="32"/>
  <c r="F3207" i="32"/>
  <c r="F3206" i="32"/>
  <c r="F3205" i="32"/>
  <c r="F3204" i="32"/>
  <c r="F3203" i="32"/>
  <c r="F3202" i="32"/>
  <c r="F3201" i="32"/>
  <c r="F3200" i="32"/>
  <c r="F3199" i="32"/>
  <c r="F3198" i="32"/>
  <c r="F3197" i="32"/>
  <c r="F3196" i="32"/>
  <c r="F3195" i="32"/>
  <c r="F3194" i="32"/>
  <c r="F3193" i="32"/>
  <c r="F3192" i="32"/>
  <c r="F3191" i="32"/>
  <c r="F3190" i="32"/>
  <c r="F3189" i="32"/>
  <c r="F3188" i="32"/>
  <c r="F3187" i="32"/>
  <c r="F3186" i="32"/>
  <c r="F3185" i="32"/>
  <c r="F3184" i="32"/>
  <c r="F3183" i="32"/>
  <c r="F3182" i="32"/>
  <c r="F3181" i="32"/>
  <c r="F3180" i="32"/>
  <c r="F3179" i="32"/>
  <c r="F3178" i="32"/>
  <c r="F3177" i="32"/>
  <c r="F3176" i="32"/>
  <c r="F3175" i="32"/>
  <c r="F3174" i="32"/>
  <c r="F3173" i="32"/>
  <c r="F3172" i="32"/>
  <c r="F3171" i="32"/>
  <c r="F3170" i="32"/>
  <c r="F3169" i="32"/>
  <c r="F3168" i="32"/>
  <c r="F3167" i="32"/>
  <c r="F3166" i="32"/>
  <c r="F3165" i="32"/>
  <c r="F3164" i="32"/>
  <c r="F3163" i="32"/>
  <c r="F3162" i="32"/>
  <c r="F3161" i="32"/>
  <c r="F3160" i="32"/>
  <c r="F3159" i="32"/>
  <c r="F3158" i="32"/>
  <c r="F3157" i="32"/>
  <c r="F3156" i="32"/>
  <c r="F3155" i="32"/>
  <c r="F3154" i="32"/>
  <c r="F3153" i="32"/>
  <c r="F3152" i="32"/>
  <c r="F3151" i="32"/>
  <c r="F3150" i="32"/>
  <c r="F3149" i="32"/>
  <c r="F3148" i="32"/>
  <c r="F3147" i="32"/>
  <c r="F3146" i="32"/>
  <c r="F3145" i="32"/>
  <c r="F3144" i="32"/>
  <c r="F3143" i="32"/>
  <c r="F3142" i="32"/>
  <c r="F3141" i="32"/>
  <c r="F3140" i="32"/>
  <c r="F3139" i="32"/>
  <c r="F3138" i="32"/>
  <c r="F3137" i="32"/>
  <c r="F3136" i="32"/>
  <c r="F3135" i="32"/>
  <c r="F3134" i="32"/>
  <c r="F3133" i="32"/>
  <c r="F3132" i="32"/>
  <c r="F3131" i="32"/>
  <c r="F3130" i="32"/>
  <c r="F3129" i="32"/>
  <c r="F3128" i="32"/>
  <c r="F3127" i="32"/>
  <c r="F3126" i="32"/>
  <c r="F3125" i="32"/>
  <c r="F3124" i="32"/>
  <c r="F3123" i="32"/>
  <c r="F3122" i="32"/>
  <c r="F3121" i="32"/>
  <c r="F3120" i="32"/>
  <c r="F3119" i="32"/>
  <c r="F3118" i="32"/>
  <c r="F3117" i="32"/>
  <c r="F3116" i="32"/>
  <c r="F3115" i="32"/>
  <c r="F3114" i="32"/>
  <c r="F3113" i="32"/>
  <c r="F3112" i="32"/>
  <c r="F3111" i="32"/>
  <c r="F3110" i="32"/>
  <c r="F3109" i="32"/>
  <c r="F3108" i="32"/>
  <c r="F3107" i="32"/>
  <c r="F3106" i="32"/>
  <c r="F3105" i="32"/>
  <c r="F3104" i="32"/>
  <c r="F3103" i="32"/>
  <c r="F3102" i="32"/>
  <c r="F3101" i="32"/>
  <c r="F3100" i="32"/>
  <c r="F3099" i="32"/>
  <c r="F3098" i="32"/>
  <c r="F3097" i="32"/>
  <c r="F3096" i="32"/>
  <c r="F3095" i="32"/>
  <c r="F3094" i="32"/>
  <c r="F3093" i="32"/>
  <c r="F3092" i="32"/>
  <c r="F3091" i="32"/>
  <c r="F3090" i="32"/>
  <c r="F3089" i="32"/>
  <c r="F3088" i="32"/>
  <c r="F3087" i="32"/>
  <c r="F3086" i="32"/>
  <c r="F3085" i="32"/>
  <c r="F3084" i="32"/>
  <c r="F3083" i="32"/>
  <c r="F3082" i="32"/>
  <c r="F3081" i="32"/>
  <c r="F3080" i="32"/>
  <c r="F3079" i="32"/>
  <c r="F3078" i="32"/>
  <c r="F3077" i="32"/>
  <c r="F3076" i="32"/>
  <c r="F3075" i="32"/>
  <c r="F3074" i="32"/>
  <c r="F3073" i="32"/>
  <c r="F3072" i="32"/>
  <c r="F3071" i="32"/>
  <c r="F3070" i="32"/>
  <c r="F3069" i="32"/>
  <c r="F3068" i="32"/>
  <c r="F3067" i="32"/>
  <c r="F3066" i="32"/>
  <c r="F3065" i="32"/>
  <c r="F3064" i="32"/>
  <c r="F3063" i="32"/>
  <c r="F3062" i="32"/>
  <c r="F3061" i="32"/>
  <c r="F3060" i="32"/>
  <c r="F3059" i="32"/>
  <c r="F3058" i="32"/>
  <c r="F3057" i="32"/>
  <c r="F3056" i="32"/>
  <c r="F3055" i="32"/>
  <c r="F3054" i="32"/>
  <c r="F3053" i="32"/>
  <c r="F3052" i="32"/>
  <c r="F3051" i="32"/>
  <c r="F3050" i="32"/>
  <c r="F3049" i="32"/>
  <c r="F3048" i="32"/>
  <c r="F3047" i="32"/>
  <c r="F3046" i="32"/>
  <c r="F3045" i="32"/>
  <c r="F3044" i="32"/>
  <c r="F3043" i="32"/>
  <c r="F3042" i="32"/>
  <c r="F3041" i="32"/>
  <c r="F3040" i="32"/>
  <c r="F3039" i="32"/>
  <c r="F3038" i="32"/>
  <c r="F3037" i="32"/>
  <c r="F3036" i="32"/>
  <c r="F3035" i="32"/>
  <c r="F3034" i="32"/>
  <c r="F3033" i="32"/>
  <c r="F3032" i="32"/>
  <c r="F3031" i="32"/>
  <c r="F3030" i="32"/>
  <c r="F3029" i="32"/>
  <c r="F3028" i="32"/>
  <c r="F3027" i="32"/>
  <c r="F3026" i="32"/>
  <c r="F3025" i="32"/>
  <c r="F3024" i="32"/>
  <c r="F3023" i="32"/>
  <c r="F3022" i="32"/>
  <c r="F3021" i="32"/>
  <c r="F3020" i="32"/>
  <c r="F3019" i="32"/>
  <c r="F3018" i="32"/>
  <c r="F3017" i="32"/>
  <c r="F3016" i="32"/>
  <c r="F3015" i="32"/>
  <c r="F3014" i="32"/>
  <c r="F3013" i="32"/>
  <c r="F3012" i="32"/>
  <c r="F3011" i="32"/>
  <c r="F3010" i="32"/>
  <c r="F3009" i="32"/>
  <c r="F3008" i="32"/>
  <c r="F3007" i="32"/>
  <c r="F3006" i="32"/>
  <c r="F3005" i="32"/>
  <c r="F3004" i="32"/>
  <c r="F3003" i="32"/>
  <c r="F3002" i="32"/>
  <c r="F3001" i="32"/>
  <c r="F3000" i="32"/>
  <c r="F2999" i="32"/>
  <c r="F2998" i="32"/>
  <c r="F2997" i="32"/>
  <c r="F2996" i="32"/>
  <c r="F2995" i="32"/>
  <c r="F2994" i="32"/>
  <c r="F2993" i="32"/>
  <c r="F2992" i="32"/>
  <c r="F2991" i="32"/>
  <c r="F2990" i="32"/>
  <c r="F2989" i="32"/>
  <c r="F2988" i="32"/>
  <c r="F2987" i="32"/>
  <c r="F2986" i="32"/>
  <c r="F2985" i="32"/>
  <c r="F2984" i="32"/>
  <c r="F2983" i="32"/>
  <c r="F2982" i="32"/>
  <c r="F2981" i="32"/>
  <c r="F2980" i="32"/>
  <c r="F2979" i="32"/>
  <c r="F2978" i="32"/>
  <c r="F2977" i="32"/>
  <c r="F2976" i="32"/>
  <c r="F2975" i="32"/>
  <c r="F2974" i="32"/>
  <c r="F2973" i="32"/>
  <c r="F2972" i="32"/>
  <c r="F2971" i="32"/>
  <c r="F2970" i="32"/>
  <c r="F2969" i="32"/>
  <c r="F2968" i="32"/>
  <c r="F2967" i="32"/>
  <c r="F2966" i="32"/>
  <c r="F2965" i="32"/>
  <c r="F2964" i="32"/>
  <c r="F2963" i="32"/>
  <c r="F2962" i="32"/>
  <c r="F2961" i="32"/>
  <c r="F2960" i="32"/>
  <c r="F2959" i="32"/>
  <c r="F2958" i="32"/>
  <c r="F2957" i="32"/>
  <c r="F2956" i="32"/>
  <c r="F2955" i="32"/>
  <c r="F2954" i="32"/>
  <c r="F2953" i="32"/>
  <c r="F2952" i="32"/>
  <c r="F2951" i="32"/>
  <c r="F2950" i="32"/>
  <c r="F2949" i="32"/>
  <c r="F2948" i="32"/>
  <c r="F2947" i="32"/>
  <c r="F2946" i="32"/>
  <c r="F2945" i="32"/>
  <c r="F2944" i="32"/>
  <c r="F2943" i="32"/>
  <c r="F2942" i="32"/>
  <c r="F2941" i="32"/>
  <c r="F2940" i="32"/>
  <c r="F2939" i="32"/>
  <c r="F2938" i="32"/>
  <c r="F2937" i="32"/>
  <c r="F2936" i="32"/>
  <c r="F2935" i="32"/>
  <c r="F2934" i="32"/>
  <c r="F2933" i="32"/>
  <c r="F2932" i="32"/>
  <c r="F2931" i="32"/>
  <c r="F2930" i="32"/>
  <c r="F2929" i="32"/>
  <c r="F2928" i="32"/>
  <c r="F2927" i="32"/>
  <c r="F2926" i="32"/>
  <c r="F2925" i="32"/>
  <c r="F2924" i="32"/>
  <c r="F2923" i="32"/>
  <c r="F2922" i="32"/>
  <c r="F2921" i="32"/>
  <c r="F2920" i="32"/>
  <c r="F2919" i="32"/>
  <c r="F2918" i="32"/>
  <c r="F2917" i="32"/>
  <c r="F2916" i="32"/>
  <c r="F2915" i="32"/>
  <c r="F2914" i="32"/>
  <c r="F2913" i="32"/>
  <c r="F2912" i="32"/>
  <c r="F2911" i="32"/>
  <c r="F2910" i="32"/>
  <c r="F2909" i="32"/>
  <c r="F2908" i="32"/>
  <c r="F2907" i="32"/>
  <c r="F2906" i="32"/>
  <c r="F2905" i="32"/>
  <c r="F2904" i="32"/>
  <c r="F2903" i="32"/>
  <c r="F2902" i="32"/>
  <c r="F2901" i="32"/>
  <c r="F2900" i="32"/>
  <c r="F2899" i="32"/>
  <c r="F2898" i="32"/>
  <c r="F2897" i="32"/>
  <c r="F2896" i="32"/>
  <c r="F2895" i="32"/>
  <c r="F2894" i="32"/>
  <c r="F2893" i="32"/>
  <c r="F2892" i="32"/>
  <c r="F2891" i="32"/>
  <c r="F2890" i="32"/>
  <c r="F2889" i="32"/>
  <c r="F2888" i="32"/>
  <c r="F2887" i="32"/>
  <c r="F2886" i="32"/>
  <c r="F2885" i="32"/>
  <c r="F2884" i="32"/>
  <c r="F2883" i="32"/>
  <c r="F2882" i="32"/>
  <c r="F2881" i="32"/>
  <c r="F2880" i="32"/>
  <c r="F2879" i="32"/>
  <c r="F2878" i="32"/>
  <c r="F2877" i="32"/>
  <c r="F2876" i="32"/>
  <c r="F2875" i="32"/>
  <c r="F2874" i="32"/>
  <c r="F2873" i="32"/>
  <c r="F2872" i="32"/>
  <c r="F2871" i="32"/>
  <c r="F2870" i="32"/>
  <c r="F2869" i="32"/>
  <c r="F2868" i="32"/>
  <c r="F2867" i="32"/>
  <c r="F2866" i="32"/>
  <c r="F2865" i="32"/>
  <c r="F2864" i="32"/>
  <c r="F2863" i="32"/>
  <c r="F2862" i="32"/>
  <c r="F2861" i="32"/>
  <c r="F2860" i="32"/>
  <c r="F2859" i="32"/>
  <c r="F2858" i="32"/>
  <c r="F2857" i="32"/>
  <c r="F2856" i="32"/>
  <c r="F2855" i="32"/>
  <c r="F2854" i="32"/>
  <c r="F2853" i="32"/>
  <c r="F2852" i="32"/>
  <c r="F2851" i="32"/>
  <c r="F2850" i="32"/>
  <c r="F2849" i="32"/>
  <c r="F2848" i="32"/>
  <c r="F2847" i="32"/>
  <c r="F2846" i="32"/>
  <c r="F2845" i="32"/>
  <c r="F2844" i="32"/>
  <c r="F2843" i="32"/>
  <c r="F2842" i="32"/>
  <c r="F2841" i="32"/>
  <c r="F2840" i="32"/>
  <c r="F2839" i="32"/>
  <c r="F2838" i="32"/>
  <c r="F2837" i="32"/>
  <c r="F2836" i="32"/>
  <c r="F2835" i="32"/>
  <c r="F2834" i="32"/>
  <c r="F2833" i="32"/>
  <c r="F2832" i="32"/>
  <c r="F2831" i="32"/>
  <c r="F2830" i="32"/>
  <c r="F2829" i="32"/>
  <c r="F2828" i="32"/>
  <c r="F2827" i="32"/>
  <c r="F2826" i="32"/>
  <c r="F2825" i="32"/>
  <c r="F2824" i="32"/>
  <c r="F2823" i="32"/>
  <c r="F2822" i="32"/>
  <c r="F2821" i="32"/>
  <c r="F2820" i="32"/>
  <c r="F2819" i="32"/>
  <c r="F2818" i="32"/>
  <c r="F2817" i="32"/>
  <c r="F2816" i="32"/>
  <c r="F2815" i="32"/>
  <c r="F2814" i="32"/>
  <c r="F2813" i="32"/>
  <c r="F2812" i="32"/>
  <c r="F2811" i="32"/>
  <c r="F2810" i="32"/>
  <c r="F2809" i="32"/>
  <c r="F2808" i="32"/>
  <c r="F2807" i="32"/>
  <c r="F2806" i="32"/>
  <c r="F2805" i="32"/>
  <c r="F2804" i="32"/>
  <c r="F2803" i="32"/>
  <c r="F2802" i="32"/>
  <c r="F2801" i="32"/>
  <c r="F2800" i="32"/>
  <c r="F2799" i="32"/>
  <c r="F2798" i="32"/>
  <c r="F2797" i="32"/>
  <c r="F2796" i="32"/>
  <c r="F2795" i="32"/>
  <c r="F2794" i="32"/>
  <c r="F2793" i="32"/>
  <c r="F2792" i="32"/>
  <c r="F2791" i="32"/>
  <c r="F2790" i="32"/>
  <c r="F2789" i="32"/>
  <c r="F2788" i="32"/>
  <c r="F2787" i="32"/>
  <c r="F2786" i="32"/>
  <c r="F2785" i="32"/>
  <c r="F2784" i="32"/>
  <c r="F2783" i="32"/>
  <c r="F2782" i="32"/>
  <c r="F2781" i="32"/>
  <c r="F2780" i="32"/>
  <c r="F2779" i="32"/>
  <c r="F2778" i="32"/>
  <c r="F2777" i="32"/>
  <c r="F2776" i="32"/>
  <c r="F2775" i="32"/>
  <c r="F2774" i="32"/>
  <c r="F2773" i="32"/>
  <c r="F2772" i="32"/>
  <c r="F2771" i="32"/>
  <c r="F2770" i="32"/>
  <c r="F2769" i="32"/>
  <c r="F2768" i="32"/>
  <c r="F2767" i="32"/>
  <c r="F2766" i="32"/>
  <c r="F2765" i="32"/>
  <c r="F2764" i="32"/>
  <c r="F2763" i="32"/>
  <c r="F2762" i="32"/>
  <c r="F2761" i="32"/>
  <c r="F2760" i="32"/>
  <c r="F2759" i="32"/>
  <c r="F2758" i="32"/>
  <c r="F2757" i="32"/>
  <c r="F2756" i="32"/>
  <c r="F2755" i="32"/>
  <c r="F2754" i="32"/>
  <c r="F2753" i="32"/>
  <c r="F2752" i="32"/>
  <c r="F2751" i="32"/>
  <c r="F2750" i="32"/>
  <c r="F2749" i="32"/>
  <c r="F2748" i="32"/>
  <c r="F2747" i="32"/>
  <c r="F2746" i="32"/>
  <c r="F2745" i="32"/>
  <c r="F2744" i="32"/>
  <c r="F2743" i="32"/>
  <c r="F2742" i="32"/>
  <c r="F2741" i="32"/>
  <c r="F2740" i="32"/>
  <c r="F2739" i="32"/>
  <c r="F2738" i="32"/>
  <c r="F2737" i="32"/>
  <c r="F2736" i="32"/>
  <c r="F2735" i="32"/>
  <c r="F2734" i="32"/>
  <c r="F2733" i="32"/>
  <c r="F2732" i="32"/>
  <c r="F2731" i="32"/>
  <c r="F2730" i="32"/>
  <c r="F2729" i="32"/>
  <c r="F2728" i="32"/>
  <c r="F2727" i="32"/>
  <c r="F2726" i="32"/>
  <c r="F2725" i="32"/>
  <c r="F2724" i="32"/>
  <c r="F2723" i="32"/>
  <c r="F2722" i="32"/>
  <c r="F2721" i="32"/>
  <c r="F2720" i="32"/>
  <c r="F2719" i="32"/>
  <c r="F2718" i="32"/>
  <c r="F2717" i="32"/>
  <c r="F2716" i="32"/>
  <c r="F2715" i="32"/>
  <c r="F2714" i="32"/>
  <c r="F2713" i="32"/>
  <c r="F2712" i="32"/>
  <c r="F2711" i="32"/>
  <c r="F2710" i="32"/>
  <c r="F2709" i="32"/>
  <c r="F2708" i="32"/>
  <c r="F2707" i="32"/>
  <c r="F2706" i="32"/>
  <c r="F2705" i="32"/>
  <c r="F2704" i="32"/>
  <c r="F2703" i="32"/>
  <c r="F2702" i="32"/>
  <c r="F2701" i="32"/>
  <c r="F2700" i="32"/>
  <c r="F2699" i="32"/>
  <c r="F2698" i="32"/>
  <c r="F2697" i="32"/>
  <c r="F2696" i="32"/>
  <c r="F2695" i="32"/>
  <c r="F2694" i="32"/>
  <c r="F2693" i="32"/>
  <c r="F2692" i="32"/>
  <c r="F2691" i="32"/>
  <c r="F2690" i="32"/>
  <c r="F2689" i="32"/>
  <c r="F2688" i="32"/>
  <c r="F2687" i="32"/>
  <c r="F2686" i="32"/>
  <c r="F2685" i="32"/>
  <c r="F2684" i="32"/>
  <c r="F2683" i="32"/>
  <c r="F2682" i="32"/>
  <c r="F2681" i="32"/>
  <c r="F2680" i="32"/>
  <c r="F2679" i="32"/>
  <c r="F2678" i="32"/>
  <c r="F2677" i="32"/>
  <c r="F2676" i="32"/>
  <c r="F2675" i="32"/>
  <c r="F2674" i="32"/>
  <c r="F2673" i="32"/>
  <c r="F2672" i="32"/>
  <c r="F2671" i="32"/>
  <c r="F2670" i="32"/>
  <c r="F2669" i="32"/>
  <c r="F2668" i="32"/>
  <c r="F2667" i="32"/>
  <c r="F2666" i="32"/>
  <c r="F2665" i="32"/>
  <c r="F2664" i="32"/>
  <c r="F2663" i="32"/>
  <c r="F2662" i="32"/>
  <c r="F2661" i="32"/>
  <c r="F2660" i="32"/>
  <c r="F2659" i="32"/>
  <c r="F2658" i="32"/>
  <c r="F2657" i="32"/>
  <c r="F2656" i="32"/>
  <c r="F2655" i="32"/>
  <c r="F2654" i="32"/>
  <c r="F2653" i="32"/>
  <c r="F2652" i="32"/>
  <c r="F2651" i="32"/>
  <c r="F2650" i="32"/>
  <c r="F2649" i="32"/>
  <c r="F2648" i="32"/>
  <c r="F2647" i="32"/>
  <c r="F2646" i="32"/>
  <c r="F2645" i="32"/>
  <c r="F2644" i="32"/>
  <c r="F2643" i="32"/>
  <c r="F2642" i="32"/>
  <c r="F2641" i="32"/>
  <c r="F2640" i="32"/>
  <c r="F2639" i="32"/>
  <c r="F2638" i="32"/>
  <c r="F2637" i="32"/>
  <c r="F2636" i="32"/>
  <c r="F2635" i="32"/>
  <c r="F2634" i="32"/>
  <c r="F2633" i="32"/>
  <c r="F2632" i="32"/>
  <c r="F2631" i="32"/>
  <c r="F2630" i="32"/>
  <c r="F2629" i="32"/>
  <c r="F2628" i="32"/>
  <c r="F2627" i="32"/>
  <c r="F2626" i="32"/>
  <c r="F2625" i="32"/>
  <c r="F2624" i="32"/>
  <c r="F2623" i="32"/>
  <c r="F2622" i="32"/>
  <c r="F2621" i="32"/>
  <c r="F2620" i="32"/>
  <c r="F2619" i="32"/>
  <c r="F2618" i="32"/>
  <c r="F2617" i="32"/>
  <c r="F2616" i="32"/>
  <c r="F2615" i="32"/>
  <c r="F2614" i="32"/>
  <c r="F2613" i="32"/>
  <c r="F2612" i="32"/>
  <c r="F2611" i="32"/>
  <c r="F2610" i="32"/>
  <c r="F2609" i="32"/>
  <c r="F2608" i="32"/>
  <c r="F2607" i="32"/>
  <c r="F2606" i="32"/>
  <c r="F2605" i="32"/>
  <c r="F2604" i="32"/>
  <c r="F2603" i="32"/>
  <c r="F2602" i="32"/>
  <c r="F2601" i="32"/>
  <c r="F2600" i="32"/>
  <c r="F2599" i="32"/>
  <c r="F2598" i="32"/>
  <c r="F2597" i="32"/>
  <c r="F2596" i="32"/>
  <c r="F2595" i="32"/>
  <c r="F2594" i="32"/>
  <c r="F2593" i="32"/>
  <c r="F2592" i="32"/>
  <c r="F2591" i="32"/>
  <c r="F2590" i="32"/>
  <c r="F2589" i="32"/>
  <c r="F2588" i="32"/>
  <c r="F2587" i="32"/>
  <c r="F2586" i="32"/>
  <c r="F2585" i="32"/>
  <c r="F2584" i="32"/>
  <c r="F2583" i="32"/>
  <c r="F2582" i="32"/>
  <c r="F2581" i="32"/>
  <c r="F2580" i="32"/>
  <c r="F2579" i="32"/>
  <c r="F2578" i="32"/>
  <c r="F2577" i="32"/>
  <c r="F2576" i="32"/>
  <c r="F2575" i="32"/>
  <c r="F2574" i="32"/>
  <c r="F2573" i="32"/>
  <c r="F2572" i="32"/>
  <c r="F2571" i="32"/>
  <c r="F2570" i="32"/>
  <c r="F2569" i="32"/>
  <c r="F2568" i="32"/>
  <c r="F2567" i="32"/>
  <c r="F2566" i="32"/>
  <c r="F2565" i="32"/>
  <c r="F2564" i="32"/>
  <c r="F2563" i="32"/>
  <c r="F2562" i="32"/>
  <c r="F2561" i="32"/>
  <c r="F2560" i="32"/>
  <c r="F2559" i="32"/>
  <c r="F2558" i="32"/>
  <c r="F2557" i="32"/>
  <c r="F2556" i="32"/>
  <c r="F2555" i="32"/>
  <c r="F2554" i="32"/>
  <c r="F2553" i="32"/>
  <c r="F2552" i="32"/>
  <c r="F2551" i="32"/>
  <c r="F2550" i="32"/>
  <c r="F2549" i="32"/>
  <c r="F2548" i="32"/>
  <c r="F2547" i="32"/>
  <c r="F2546" i="32"/>
  <c r="F2545" i="32"/>
  <c r="F2544" i="32"/>
  <c r="F2543" i="32"/>
  <c r="F2542" i="32"/>
  <c r="F2541" i="32"/>
  <c r="F2540" i="32"/>
  <c r="F2539" i="32"/>
  <c r="F2538" i="32"/>
  <c r="F2537" i="32"/>
  <c r="F2536" i="32"/>
  <c r="F2535" i="32"/>
  <c r="F2534" i="32"/>
  <c r="F2533" i="32"/>
  <c r="F2532" i="32"/>
  <c r="F2531" i="32"/>
  <c r="F2530" i="32"/>
  <c r="F2529" i="32"/>
  <c r="F2528" i="32"/>
  <c r="F2527" i="32"/>
  <c r="F2526" i="32"/>
  <c r="F2525" i="32"/>
  <c r="F2524" i="32"/>
  <c r="F2523" i="32"/>
  <c r="F2522" i="32"/>
  <c r="F2521" i="32"/>
  <c r="F2520" i="32"/>
  <c r="F2519" i="32"/>
  <c r="F2518" i="32"/>
  <c r="F2517" i="32"/>
  <c r="F2516" i="32"/>
  <c r="F2515" i="32"/>
  <c r="F2514" i="32"/>
  <c r="F2513" i="32"/>
  <c r="F2512" i="32"/>
  <c r="F2511" i="32"/>
  <c r="F2510" i="32"/>
  <c r="F2509" i="32"/>
  <c r="F2508" i="32"/>
  <c r="F2507" i="32"/>
  <c r="F2506" i="32"/>
  <c r="F2505" i="32"/>
  <c r="F2504" i="32"/>
  <c r="F2503" i="32"/>
  <c r="F2502" i="32"/>
  <c r="F2501" i="32"/>
  <c r="F2500" i="32"/>
  <c r="F2499" i="32"/>
  <c r="F2498" i="32"/>
  <c r="F2497" i="32"/>
  <c r="F2496" i="32"/>
  <c r="F2495" i="32"/>
  <c r="F2494" i="32"/>
  <c r="F2493" i="32"/>
  <c r="F2492" i="32"/>
  <c r="F2491" i="32"/>
  <c r="F2490" i="32"/>
  <c r="F2489" i="32"/>
  <c r="F2488" i="32"/>
  <c r="F2487" i="32"/>
  <c r="F2486" i="32"/>
  <c r="F2485" i="32"/>
  <c r="F2484" i="32"/>
  <c r="F2483" i="32"/>
  <c r="F2482" i="32"/>
  <c r="F2481" i="32"/>
  <c r="F2480" i="32"/>
  <c r="F2479" i="32"/>
  <c r="F2478" i="32"/>
  <c r="F2477" i="32"/>
  <c r="F2476" i="32"/>
  <c r="F2475" i="32"/>
  <c r="F2474" i="32"/>
  <c r="F2473" i="32"/>
  <c r="F2472" i="32"/>
  <c r="F2471" i="32"/>
  <c r="F2470" i="32"/>
  <c r="F2469" i="32"/>
  <c r="F2468" i="32"/>
  <c r="F2467" i="32"/>
  <c r="F2466" i="32"/>
  <c r="F2465" i="32"/>
  <c r="F2464" i="32"/>
  <c r="F2463" i="32"/>
  <c r="F2462" i="32"/>
  <c r="F2461" i="32"/>
  <c r="F2460" i="32"/>
  <c r="F2459" i="32"/>
  <c r="F2458" i="32"/>
  <c r="F2457" i="32"/>
  <c r="F2456" i="32"/>
  <c r="F2455" i="32"/>
  <c r="F2454" i="32"/>
  <c r="F2453" i="32"/>
  <c r="F2452" i="32"/>
  <c r="F2451" i="32"/>
  <c r="F2450" i="32"/>
  <c r="F2449" i="32"/>
  <c r="F2448" i="32"/>
  <c r="F2447" i="32"/>
  <c r="F2446" i="32"/>
  <c r="F2445" i="32"/>
  <c r="F2444" i="32"/>
  <c r="F2443" i="32"/>
  <c r="F2442" i="32"/>
  <c r="F2441" i="32"/>
  <c r="F2440" i="32"/>
  <c r="F2439" i="32"/>
  <c r="F2438" i="32"/>
  <c r="F2437" i="32"/>
  <c r="F2436" i="32"/>
  <c r="F2435" i="32"/>
  <c r="F2434" i="32"/>
  <c r="F2433" i="32"/>
  <c r="F2432" i="32"/>
  <c r="F2431" i="32"/>
  <c r="F2430" i="32"/>
  <c r="F2429" i="32"/>
  <c r="F2428" i="32"/>
  <c r="F2427" i="32"/>
  <c r="F2426" i="32"/>
  <c r="F2425" i="32"/>
  <c r="F2424" i="32"/>
  <c r="F2423" i="32"/>
  <c r="F2422" i="32"/>
  <c r="F2421" i="32"/>
  <c r="F2420" i="32"/>
  <c r="F2419" i="32"/>
  <c r="F2418" i="32"/>
  <c r="F2417" i="32"/>
  <c r="F2416" i="32"/>
  <c r="F2415" i="32"/>
  <c r="F2414" i="32"/>
  <c r="F2413" i="32"/>
  <c r="F2412" i="32"/>
  <c r="F2411" i="32"/>
  <c r="F2410" i="32"/>
  <c r="F2409" i="32"/>
  <c r="F2408" i="32"/>
  <c r="F2407" i="32"/>
  <c r="F2406" i="32"/>
  <c r="F2405" i="32"/>
  <c r="F2404" i="32"/>
  <c r="F2403" i="32"/>
  <c r="F2402" i="32"/>
  <c r="F2401" i="32"/>
  <c r="F2400" i="32"/>
  <c r="F2399" i="32"/>
  <c r="F2398" i="32"/>
  <c r="F2397" i="32"/>
  <c r="F2396" i="32"/>
  <c r="F2395" i="32"/>
  <c r="F2394" i="32"/>
  <c r="F2393" i="32"/>
  <c r="F2392" i="32"/>
  <c r="F2391" i="32"/>
  <c r="F2390" i="32"/>
  <c r="F2389" i="32"/>
  <c r="F2388" i="32"/>
  <c r="F2387" i="32"/>
  <c r="F2386" i="32"/>
  <c r="F2385" i="32"/>
  <c r="F2384" i="32"/>
  <c r="F2383" i="32"/>
  <c r="F2382" i="32"/>
  <c r="F2381" i="32"/>
  <c r="F2380" i="32"/>
  <c r="F2379" i="32"/>
  <c r="F2378" i="32"/>
  <c r="F2377" i="32"/>
  <c r="F2376" i="32"/>
  <c r="F2375" i="32"/>
  <c r="F2374" i="32"/>
  <c r="F2373" i="32"/>
  <c r="F2372" i="32"/>
  <c r="F2371" i="32"/>
  <c r="F2370" i="32"/>
  <c r="F2369" i="32"/>
  <c r="F2368" i="32"/>
  <c r="F2367" i="32"/>
  <c r="F2366" i="32"/>
  <c r="F2365" i="32"/>
  <c r="F2364" i="32"/>
  <c r="F2363" i="32"/>
  <c r="F2362" i="32"/>
  <c r="F2361" i="32"/>
  <c r="F2360" i="32"/>
  <c r="F2359" i="32"/>
  <c r="F2358" i="32"/>
  <c r="F2357" i="32"/>
  <c r="F2356" i="32"/>
  <c r="F2355" i="32"/>
  <c r="F2354" i="32"/>
  <c r="F2353" i="32"/>
  <c r="F2352" i="32"/>
  <c r="F2351" i="32"/>
  <c r="F2350" i="32"/>
  <c r="F2349" i="32"/>
  <c r="F2348" i="32"/>
  <c r="F2347" i="32"/>
  <c r="F2346" i="32"/>
  <c r="F2345" i="32"/>
  <c r="F2344" i="32"/>
  <c r="F2343" i="32"/>
  <c r="F2342" i="32"/>
  <c r="F2341" i="32"/>
  <c r="F2340" i="32"/>
  <c r="F2339" i="32"/>
  <c r="F2338" i="32"/>
  <c r="F2337" i="32"/>
  <c r="F2336" i="32"/>
  <c r="F2335" i="32"/>
  <c r="F2334" i="32"/>
  <c r="F2333" i="32"/>
  <c r="F2332" i="32"/>
  <c r="F2331" i="32"/>
  <c r="F2330" i="32"/>
  <c r="F2329" i="32"/>
  <c r="F2328" i="32"/>
  <c r="F2327" i="32"/>
  <c r="F2326" i="32"/>
  <c r="F2325" i="32"/>
  <c r="F2324" i="32"/>
  <c r="F2323" i="32"/>
  <c r="F2322" i="32"/>
  <c r="F2321" i="32"/>
  <c r="F2320" i="32"/>
  <c r="F2319" i="32"/>
  <c r="F2318" i="32"/>
  <c r="F2317" i="32"/>
  <c r="F2316" i="32"/>
  <c r="F2315" i="32"/>
  <c r="F2314" i="32"/>
  <c r="F2313" i="32"/>
  <c r="F2312" i="32"/>
  <c r="F2311" i="32"/>
  <c r="F2310" i="32"/>
  <c r="F2309" i="32"/>
  <c r="F2308" i="32"/>
  <c r="F2307" i="32"/>
  <c r="F2306" i="32"/>
  <c r="F2305" i="32"/>
  <c r="F2304" i="32"/>
  <c r="F2303" i="32"/>
  <c r="F2302" i="32"/>
  <c r="F2301" i="32"/>
  <c r="F2300" i="32"/>
  <c r="F2299" i="32"/>
  <c r="F2298" i="32"/>
  <c r="F2297" i="32"/>
  <c r="F2296" i="32"/>
  <c r="F2295" i="32"/>
  <c r="F2294" i="32"/>
  <c r="F2293" i="32"/>
  <c r="F2292" i="32"/>
  <c r="F2291" i="32"/>
  <c r="F2290" i="32"/>
  <c r="F2289" i="32"/>
  <c r="F2288" i="32"/>
  <c r="F2287" i="32"/>
  <c r="F2286" i="32"/>
  <c r="F2285" i="32"/>
  <c r="F2284" i="32"/>
  <c r="F2283" i="32"/>
  <c r="F2282" i="32"/>
  <c r="F2281" i="32"/>
  <c r="F2280" i="32"/>
  <c r="F2279" i="32"/>
  <c r="F2278" i="32"/>
  <c r="F2277" i="32"/>
  <c r="F2276" i="32"/>
  <c r="F2275" i="32"/>
  <c r="F2274" i="32"/>
  <c r="F2273" i="32"/>
  <c r="F2272" i="32"/>
  <c r="F2271" i="32"/>
  <c r="F2270" i="32"/>
  <c r="F2269" i="32"/>
  <c r="F2268" i="32"/>
  <c r="F2267" i="32"/>
  <c r="F2266" i="32"/>
  <c r="F2265" i="32"/>
  <c r="F2264" i="32"/>
  <c r="F2263" i="32"/>
  <c r="F2262" i="32"/>
  <c r="F2261" i="32"/>
  <c r="F2260" i="32"/>
  <c r="F2259" i="32"/>
  <c r="F2258" i="32"/>
  <c r="F2257" i="32"/>
  <c r="F2256" i="32"/>
  <c r="F2255" i="32"/>
  <c r="F2254" i="32"/>
  <c r="F2253" i="32"/>
  <c r="F2252" i="32"/>
  <c r="F2251" i="32"/>
  <c r="F2250" i="32"/>
  <c r="F2249" i="32"/>
  <c r="F2248" i="32"/>
  <c r="F2247" i="32"/>
  <c r="F2246" i="32"/>
  <c r="F2245" i="32"/>
  <c r="F2244" i="32"/>
  <c r="F2243" i="32"/>
  <c r="F2242" i="32"/>
  <c r="F2241" i="32"/>
  <c r="F2240" i="32"/>
  <c r="F2239" i="32"/>
  <c r="F2238" i="32"/>
  <c r="F2237" i="32"/>
  <c r="F2236" i="32"/>
  <c r="F2235" i="32"/>
  <c r="F2234" i="32"/>
  <c r="F2233" i="32"/>
  <c r="F2232" i="32"/>
  <c r="F2231" i="32"/>
  <c r="F2230" i="32"/>
  <c r="F2229" i="32"/>
  <c r="F2228" i="32"/>
  <c r="F2227" i="32"/>
  <c r="F2226" i="32"/>
  <c r="F2225" i="32"/>
  <c r="F2224" i="32"/>
  <c r="F2223" i="32"/>
  <c r="F2222" i="32"/>
  <c r="F2221" i="32"/>
  <c r="F2220" i="32"/>
  <c r="F2219" i="32"/>
  <c r="F2218" i="32"/>
  <c r="F2217" i="32"/>
  <c r="F2216" i="32"/>
  <c r="F2215" i="32"/>
  <c r="F2214" i="32"/>
  <c r="F2213" i="32"/>
  <c r="F2212" i="32"/>
  <c r="F2211" i="32"/>
  <c r="F2210" i="32"/>
  <c r="F2209" i="32"/>
  <c r="F2208" i="32"/>
  <c r="F2207" i="32"/>
  <c r="F2206" i="32"/>
  <c r="F2205" i="32"/>
  <c r="F2204" i="32"/>
  <c r="F2203" i="32"/>
  <c r="F2202" i="32"/>
  <c r="F2201" i="32"/>
  <c r="F2200" i="32"/>
  <c r="F2199" i="32"/>
  <c r="F2198" i="32"/>
  <c r="F2197" i="32"/>
  <c r="F2196" i="32"/>
  <c r="F2195" i="32"/>
  <c r="F2194" i="32"/>
  <c r="F2193" i="32"/>
  <c r="F2192" i="32"/>
  <c r="F2191" i="32"/>
  <c r="F2190" i="32"/>
  <c r="F2189" i="32"/>
  <c r="F2188" i="32"/>
  <c r="F2187" i="32"/>
  <c r="F2186" i="32"/>
  <c r="F2185" i="32"/>
  <c r="F2184" i="32"/>
  <c r="F2183" i="32"/>
  <c r="F2182" i="32"/>
  <c r="F2181" i="32"/>
  <c r="F2180" i="32"/>
  <c r="F2179" i="32"/>
  <c r="F2178" i="32"/>
  <c r="F2177" i="32"/>
  <c r="F2176" i="32"/>
  <c r="F2175" i="32"/>
  <c r="F2174" i="32"/>
  <c r="F2173" i="32"/>
  <c r="F2172" i="32"/>
  <c r="F2171" i="32"/>
  <c r="F2170" i="32"/>
  <c r="F2169" i="32"/>
  <c r="F2168" i="32"/>
  <c r="F2167" i="32"/>
  <c r="F2166" i="32"/>
  <c r="F2165" i="32"/>
  <c r="F2164" i="32"/>
  <c r="F2163" i="32"/>
  <c r="F2162" i="32"/>
  <c r="F2161" i="32"/>
  <c r="F2160" i="32"/>
  <c r="F2159" i="32"/>
  <c r="F2158" i="32"/>
  <c r="F2157" i="32"/>
  <c r="F2156" i="32"/>
  <c r="F2155" i="32"/>
  <c r="F2154" i="32"/>
  <c r="F2153" i="32"/>
  <c r="F2152" i="32"/>
  <c r="F2151" i="32"/>
  <c r="F2150" i="32"/>
  <c r="F2149" i="32"/>
  <c r="F2148" i="32"/>
  <c r="F2147" i="32"/>
  <c r="F2146" i="32"/>
  <c r="F2145" i="32"/>
  <c r="F2144" i="32"/>
  <c r="F2143" i="32"/>
  <c r="F2142" i="32"/>
  <c r="F2141" i="32"/>
  <c r="F2140" i="32"/>
  <c r="F2139" i="32"/>
  <c r="F2138" i="32"/>
  <c r="F2137" i="32"/>
  <c r="F2136" i="32"/>
  <c r="F2135" i="32"/>
  <c r="F2134" i="32"/>
  <c r="F2133" i="32"/>
  <c r="F2132" i="32"/>
  <c r="F2131" i="32"/>
  <c r="F2130" i="32"/>
  <c r="F2129" i="32"/>
  <c r="F2128" i="32"/>
  <c r="F2127" i="32"/>
  <c r="F2126" i="32"/>
  <c r="F2125" i="32"/>
  <c r="F2124" i="32"/>
  <c r="F2123" i="32"/>
  <c r="F2122" i="32"/>
  <c r="F2121" i="32"/>
  <c r="F2120" i="32"/>
  <c r="F2119" i="32"/>
  <c r="F2118" i="32"/>
  <c r="F2117" i="32"/>
  <c r="F2116" i="32"/>
  <c r="F2115" i="32"/>
  <c r="F2114" i="32"/>
  <c r="F2113" i="32"/>
  <c r="F2112" i="32"/>
  <c r="F2111" i="32"/>
  <c r="F2110" i="32"/>
  <c r="F2109" i="32"/>
  <c r="F2108" i="32"/>
  <c r="F2107" i="32"/>
  <c r="F2106" i="32"/>
  <c r="F2105" i="32"/>
  <c r="F2104" i="32"/>
  <c r="F2103" i="32"/>
  <c r="F2102" i="32"/>
  <c r="F2101" i="32"/>
  <c r="F2100" i="32"/>
  <c r="F2099" i="32"/>
  <c r="F2098" i="32"/>
  <c r="F2097" i="32"/>
  <c r="F2096" i="32"/>
  <c r="F2095" i="32"/>
  <c r="F2094" i="32"/>
  <c r="F2093" i="32"/>
  <c r="F2092" i="32"/>
  <c r="F2091" i="32"/>
  <c r="F2090" i="32"/>
  <c r="F2089" i="32"/>
  <c r="F2088" i="32"/>
  <c r="F2087" i="32"/>
  <c r="F2086" i="32"/>
  <c r="F2085" i="32"/>
  <c r="F2084" i="32"/>
  <c r="F2083" i="32"/>
  <c r="F2082" i="32"/>
  <c r="F2081" i="32"/>
  <c r="F2080" i="32"/>
  <c r="F2079" i="32"/>
  <c r="F2078" i="32"/>
  <c r="F2077" i="32"/>
  <c r="F2076" i="32"/>
  <c r="F2075" i="32"/>
  <c r="F2074" i="32"/>
  <c r="F2073" i="32"/>
  <c r="F2072" i="32"/>
  <c r="F2071" i="32"/>
  <c r="F2070" i="32"/>
  <c r="F2069" i="32"/>
  <c r="F2068" i="32"/>
  <c r="F2067" i="32"/>
  <c r="F2066" i="32"/>
  <c r="F2065" i="32"/>
  <c r="F2064" i="32"/>
  <c r="F2063" i="32"/>
  <c r="F2062" i="32"/>
  <c r="F2061" i="32"/>
  <c r="F2060" i="32"/>
  <c r="F2059" i="32"/>
  <c r="F2058" i="32"/>
  <c r="F2057" i="32"/>
  <c r="F2056" i="32"/>
  <c r="F2055" i="32"/>
  <c r="F2054" i="32"/>
  <c r="F2053" i="32"/>
  <c r="F2052" i="32"/>
  <c r="F2051" i="32"/>
  <c r="F2050" i="32"/>
  <c r="F2049" i="32"/>
  <c r="F2048" i="32"/>
  <c r="F2047" i="32"/>
  <c r="F2046" i="32"/>
  <c r="F2045" i="32"/>
  <c r="F2044" i="32"/>
  <c r="F2043" i="32"/>
  <c r="F2042" i="32"/>
  <c r="F2041" i="32"/>
  <c r="F2040" i="32"/>
  <c r="F2039" i="32"/>
  <c r="F2038" i="32"/>
  <c r="F2037" i="32"/>
  <c r="F2036" i="32"/>
  <c r="F2035" i="32"/>
  <c r="F2034" i="32"/>
  <c r="F2033" i="32"/>
  <c r="F2032" i="32"/>
  <c r="F2031" i="32"/>
  <c r="F2030" i="32"/>
  <c r="F2029" i="32"/>
  <c r="F2028" i="32"/>
  <c r="F2027" i="32"/>
  <c r="F2026" i="32"/>
  <c r="F2025" i="32"/>
  <c r="F2024" i="32"/>
  <c r="F2023" i="32"/>
  <c r="F2022" i="32"/>
  <c r="F2021" i="32"/>
  <c r="F2020" i="32"/>
  <c r="F2019" i="32"/>
  <c r="F2018" i="32"/>
  <c r="F2017" i="32"/>
  <c r="F2016" i="32"/>
  <c r="F2015" i="32"/>
  <c r="F2014" i="32"/>
  <c r="F2013" i="32"/>
  <c r="F2012" i="32"/>
  <c r="F2011" i="32"/>
  <c r="F2010" i="32"/>
  <c r="F2009" i="32"/>
  <c r="F2008" i="32"/>
  <c r="F2007" i="32"/>
  <c r="F2006" i="32"/>
  <c r="F2005" i="32"/>
  <c r="F2004" i="32"/>
  <c r="F2003" i="32"/>
  <c r="F2002" i="32"/>
  <c r="F2001" i="32"/>
  <c r="F2000" i="32"/>
  <c r="F1999" i="32"/>
  <c r="F1998" i="32"/>
  <c r="F1997" i="32"/>
  <c r="F1996" i="32"/>
  <c r="F1995" i="32"/>
  <c r="F1994" i="32"/>
  <c r="F1993" i="32"/>
  <c r="F1992" i="32"/>
  <c r="F1991" i="32"/>
  <c r="F1990" i="32"/>
  <c r="F1989" i="32"/>
  <c r="F1988" i="32"/>
  <c r="F1987" i="32"/>
  <c r="F1986" i="32"/>
  <c r="F1985" i="32"/>
  <c r="F1984" i="32"/>
  <c r="F1983" i="32"/>
  <c r="F1982" i="32"/>
  <c r="F1981" i="32"/>
  <c r="F1980" i="32"/>
  <c r="F1979" i="32"/>
  <c r="F1978" i="32"/>
  <c r="F1977" i="32"/>
  <c r="F1976" i="32"/>
  <c r="F1975" i="32"/>
  <c r="F1974" i="32"/>
  <c r="F1973" i="32"/>
  <c r="F1972" i="32"/>
  <c r="F1971" i="32"/>
  <c r="F1970" i="32"/>
  <c r="F1969" i="32"/>
  <c r="F1968" i="32"/>
  <c r="F1967" i="32"/>
  <c r="F1966" i="32"/>
  <c r="F1965" i="32"/>
  <c r="F1964" i="32"/>
  <c r="F1963" i="32"/>
  <c r="F1962" i="32"/>
  <c r="F1961" i="32"/>
  <c r="F1960" i="32"/>
  <c r="F1959" i="32"/>
  <c r="F1958" i="32"/>
  <c r="F1957" i="32"/>
  <c r="F1956" i="32"/>
  <c r="F1955" i="32"/>
  <c r="F1954" i="32"/>
  <c r="F1953" i="32"/>
  <c r="F1952" i="32"/>
  <c r="F1951" i="32"/>
  <c r="F1950" i="32"/>
  <c r="F1949" i="32"/>
  <c r="F1948" i="32"/>
  <c r="F1947" i="32"/>
  <c r="F1946" i="32"/>
  <c r="F1945" i="32"/>
  <c r="F1944" i="32"/>
  <c r="F1943" i="32"/>
  <c r="F1942" i="32"/>
  <c r="F1941" i="32"/>
  <c r="F1940" i="32"/>
  <c r="F1939" i="32"/>
  <c r="F1938" i="32"/>
  <c r="F1937" i="32"/>
  <c r="F1936" i="32"/>
  <c r="F1935" i="32"/>
  <c r="F1934" i="32"/>
  <c r="F1933" i="32"/>
  <c r="F1932" i="32"/>
  <c r="F1931" i="32"/>
  <c r="F1930" i="32"/>
  <c r="F1929" i="32"/>
  <c r="F1928" i="32"/>
  <c r="F1927" i="32"/>
  <c r="F1926" i="32"/>
  <c r="F1925" i="32"/>
  <c r="F1924" i="32"/>
  <c r="F1923" i="32"/>
  <c r="F1922" i="32"/>
  <c r="F1921" i="32"/>
  <c r="F1920" i="32"/>
  <c r="F1919" i="32"/>
  <c r="F1918" i="32"/>
  <c r="F1917" i="32"/>
  <c r="F1916" i="32"/>
  <c r="F1915" i="32"/>
  <c r="F1914" i="32"/>
  <c r="F1913" i="32"/>
  <c r="F1912" i="32"/>
  <c r="F1911" i="32"/>
  <c r="F1910" i="32"/>
  <c r="F1909" i="32"/>
  <c r="F1908" i="32"/>
  <c r="F1907" i="32"/>
  <c r="F1906" i="32"/>
  <c r="F1905" i="32"/>
  <c r="F1904" i="32"/>
  <c r="F1903" i="32"/>
  <c r="F1902" i="32"/>
  <c r="F1901" i="32"/>
  <c r="F1900" i="32"/>
  <c r="F1899" i="32"/>
  <c r="F1898" i="32"/>
  <c r="F1897" i="32"/>
  <c r="F1896" i="32"/>
  <c r="F1895" i="32"/>
  <c r="F1894" i="32"/>
  <c r="F1893" i="32"/>
  <c r="F1892" i="32"/>
  <c r="F1891" i="32"/>
  <c r="F1890" i="32"/>
  <c r="F1889" i="32"/>
  <c r="F1888" i="32"/>
  <c r="F1887" i="32"/>
  <c r="F1886" i="32"/>
  <c r="F1885" i="32"/>
  <c r="F1884" i="32"/>
  <c r="F1883" i="32"/>
  <c r="F1882" i="32"/>
  <c r="F1881" i="32"/>
  <c r="F1880" i="32"/>
  <c r="F1879" i="32"/>
  <c r="F1878" i="32"/>
  <c r="F1877" i="32"/>
  <c r="F1876" i="32"/>
  <c r="F1875" i="32"/>
  <c r="F1874" i="32"/>
  <c r="F1873" i="32"/>
  <c r="F1872" i="32"/>
  <c r="F1871" i="32"/>
  <c r="F1870" i="32"/>
  <c r="F1869" i="32"/>
  <c r="F1868" i="32"/>
  <c r="F1867" i="32"/>
  <c r="F1866" i="32"/>
  <c r="F1865" i="32"/>
  <c r="F1864" i="32"/>
  <c r="F1863" i="32"/>
  <c r="F1862" i="32"/>
  <c r="F1861" i="32"/>
  <c r="F1860" i="32"/>
  <c r="F1859" i="32"/>
  <c r="F1858" i="32"/>
  <c r="F1857" i="32"/>
  <c r="F1856" i="32"/>
  <c r="F1855" i="32"/>
  <c r="F1854" i="32"/>
  <c r="F1853" i="32"/>
  <c r="F1852" i="32"/>
  <c r="F1851" i="32"/>
  <c r="F1850" i="32"/>
  <c r="F1849" i="32"/>
  <c r="F1848" i="32"/>
  <c r="F1847" i="32"/>
  <c r="F1846" i="32"/>
  <c r="F1845" i="32"/>
  <c r="F1844" i="32"/>
  <c r="F1843" i="32"/>
  <c r="F1842" i="32"/>
  <c r="F1841" i="32"/>
  <c r="F1840" i="32"/>
  <c r="F1839" i="32"/>
  <c r="F1838" i="32"/>
  <c r="F1837" i="32"/>
  <c r="F1836" i="32"/>
  <c r="F1835" i="32"/>
  <c r="F1834" i="32"/>
  <c r="F1833" i="32"/>
  <c r="F1832" i="32"/>
  <c r="F1831" i="32"/>
  <c r="F1830" i="32"/>
  <c r="F1829" i="32"/>
  <c r="F1828" i="32"/>
  <c r="F1827" i="32"/>
  <c r="F1826" i="32"/>
  <c r="F1825" i="32"/>
  <c r="F1824" i="32"/>
  <c r="F1823" i="32"/>
  <c r="F1822" i="32"/>
  <c r="F1821" i="32"/>
  <c r="F1820" i="32"/>
  <c r="F1819" i="32"/>
  <c r="F1818" i="32"/>
  <c r="F1817" i="32"/>
  <c r="F1816" i="32"/>
  <c r="F1815" i="32"/>
  <c r="F1814" i="32"/>
  <c r="F1813" i="32"/>
  <c r="F1812" i="32"/>
  <c r="F1811" i="32"/>
  <c r="F1810" i="32"/>
  <c r="F1809" i="32"/>
  <c r="F1808" i="32"/>
  <c r="F1807" i="32"/>
  <c r="F1806" i="32"/>
  <c r="F1805" i="32"/>
  <c r="F1804" i="32"/>
  <c r="F1803" i="32"/>
  <c r="F1802" i="32"/>
  <c r="F1801" i="32"/>
  <c r="F1800" i="32"/>
  <c r="F1799" i="32"/>
  <c r="F1798" i="32"/>
  <c r="F1797" i="32"/>
  <c r="F1796" i="32"/>
  <c r="F1795" i="32"/>
  <c r="F1794" i="32"/>
  <c r="F1793" i="32"/>
  <c r="F1792" i="32"/>
  <c r="F1791" i="32"/>
  <c r="F1790" i="32"/>
  <c r="F1789" i="32"/>
  <c r="F1788" i="32"/>
  <c r="F1787" i="32"/>
  <c r="F1786" i="32"/>
  <c r="F1785" i="32"/>
  <c r="F1784" i="32"/>
  <c r="F1783" i="32"/>
  <c r="F1782" i="32"/>
  <c r="F1781" i="32"/>
  <c r="F1780" i="32"/>
  <c r="F1779" i="32"/>
  <c r="F1778" i="32"/>
  <c r="F1777" i="32"/>
  <c r="F1776" i="32"/>
  <c r="F1775" i="32"/>
  <c r="F1774" i="32"/>
  <c r="F1773" i="32"/>
  <c r="F1772" i="32"/>
  <c r="F1771" i="32"/>
  <c r="F1770" i="32"/>
  <c r="F1769" i="32"/>
  <c r="F1768" i="32"/>
  <c r="F1767" i="32"/>
  <c r="F1766" i="32"/>
  <c r="F1765" i="32"/>
  <c r="F1764" i="32"/>
  <c r="F1763" i="32"/>
  <c r="F1762" i="32"/>
  <c r="F1761" i="32"/>
  <c r="F1760" i="32"/>
  <c r="F1759" i="32"/>
  <c r="F1758" i="32"/>
  <c r="F1757" i="32"/>
  <c r="F1756" i="32"/>
  <c r="F1755" i="32"/>
  <c r="F1754" i="32"/>
  <c r="F1753" i="32"/>
  <c r="F1752" i="32"/>
  <c r="F1751" i="32"/>
  <c r="F1750" i="32"/>
  <c r="F1749" i="32"/>
  <c r="F1748" i="32"/>
  <c r="F1747" i="32"/>
  <c r="F1746" i="32"/>
  <c r="F1745" i="32"/>
  <c r="F1744" i="32"/>
  <c r="F1743" i="32"/>
  <c r="F1742" i="32"/>
  <c r="F1741" i="32"/>
  <c r="F1740" i="32"/>
  <c r="F1739" i="32"/>
  <c r="F1738" i="32"/>
  <c r="F1737" i="32"/>
  <c r="F1736" i="32"/>
  <c r="F1735" i="32"/>
  <c r="F1734" i="32"/>
  <c r="F1733" i="32"/>
  <c r="F1732" i="32"/>
  <c r="F1731" i="32"/>
  <c r="F1730" i="32"/>
  <c r="F1729" i="32"/>
  <c r="F1728" i="32"/>
  <c r="F1727" i="32"/>
  <c r="F1726" i="32"/>
  <c r="F1725" i="32"/>
  <c r="F1724" i="32"/>
  <c r="F1723" i="32"/>
  <c r="F1722" i="32"/>
  <c r="F1721" i="32"/>
  <c r="F1720" i="32"/>
  <c r="F1719" i="32"/>
  <c r="F1718" i="32"/>
  <c r="F1717" i="32"/>
  <c r="F1716" i="32"/>
  <c r="F1715" i="32"/>
  <c r="F1714" i="32"/>
  <c r="F1713" i="32"/>
  <c r="F1712" i="32"/>
  <c r="F1711" i="32"/>
  <c r="F1710" i="32"/>
  <c r="F1709" i="32"/>
  <c r="F1708" i="32"/>
  <c r="F1707" i="32"/>
  <c r="F1706" i="32"/>
  <c r="F1705" i="32"/>
  <c r="F1704" i="32"/>
  <c r="F1703" i="32"/>
  <c r="F1702" i="32"/>
  <c r="F1701" i="32"/>
  <c r="F1700" i="32"/>
  <c r="F1699" i="32"/>
  <c r="F1698" i="32"/>
  <c r="F1697" i="32"/>
  <c r="F1696" i="32"/>
  <c r="F1695" i="32"/>
  <c r="F1694" i="32"/>
  <c r="F1693" i="32"/>
  <c r="F1692" i="32"/>
  <c r="F1691" i="32"/>
  <c r="F1690" i="32"/>
  <c r="F1689" i="32"/>
  <c r="F1688" i="32"/>
  <c r="F1687" i="32"/>
  <c r="F1686" i="32"/>
  <c r="F1685" i="32"/>
  <c r="F1684" i="32"/>
  <c r="F1683" i="32"/>
  <c r="F1682" i="32"/>
  <c r="F1681" i="32"/>
  <c r="F1680" i="32"/>
  <c r="F1679" i="32"/>
  <c r="F1678" i="32"/>
  <c r="F1677" i="32"/>
  <c r="F1676" i="32"/>
  <c r="F1675" i="32"/>
  <c r="F1674" i="32"/>
  <c r="F1673" i="32"/>
  <c r="F1672" i="32"/>
  <c r="F1671" i="32"/>
  <c r="F1670" i="32"/>
  <c r="F1669" i="32"/>
  <c r="F1668" i="32"/>
  <c r="F1667" i="32"/>
  <c r="F1666" i="32"/>
  <c r="F1665" i="32"/>
  <c r="F1664" i="32"/>
  <c r="F1663" i="32"/>
  <c r="F1662" i="32"/>
  <c r="F1661" i="32"/>
  <c r="F1660" i="32"/>
  <c r="F1659" i="32"/>
  <c r="F1658" i="32"/>
  <c r="F1657" i="32"/>
  <c r="F1656" i="32"/>
  <c r="F1655" i="32"/>
  <c r="F1654" i="32"/>
  <c r="F1653" i="32"/>
  <c r="F1652" i="32"/>
  <c r="F1651" i="32"/>
  <c r="F1650" i="32"/>
  <c r="F1649" i="32"/>
  <c r="F1648" i="32"/>
  <c r="F1647" i="32"/>
  <c r="F1646" i="32"/>
  <c r="F1645" i="32"/>
  <c r="F1644" i="32"/>
  <c r="F1643" i="32"/>
  <c r="F1642" i="32"/>
  <c r="F1641" i="32"/>
  <c r="F1640" i="32"/>
  <c r="F1639" i="32"/>
  <c r="F1638" i="32"/>
  <c r="F1637" i="32"/>
  <c r="F1636" i="32"/>
  <c r="F1635" i="32"/>
  <c r="F1634" i="32"/>
  <c r="F1633" i="32"/>
  <c r="F1632" i="32"/>
  <c r="F1631" i="32"/>
  <c r="F1630" i="32"/>
  <c r="F1629" i="32"/>
  <c r="F1628" i="32"/>
  <c r="F1627" i="32"/>
  <c r="F1626" i="32"/>
  <c r="F1625" i="32"/>
  <c r="F1624" i="32"/>
  <c r="F1623" i="32"/>
  <c r="F1622" i="32"/>
  <c r="F1621" i="32"/>
  <c r="F1620" i="32"/>
  <c r="F1619" i="32"/>
  <c r="F1618" i="32"/>
  <c r="F1617" i="32"/>
  <c r="F1616" i="32"/>
  <c r="F1615" i="32"/>
  <c r="F1614" i="32"/>
  <c r="F1613" i="32"/>
  <c r="F1612" i="32"/>
  <c r="F1611" i="32"/>
  <c r="F1610" i="32"/>
  <c r="F1609" i="32"/>
  <c r="F1608" i="32"/>
  <c r="F1607" i="32"/>
  <c r="F1606" i="32"/>
  <c r="F1605" i="32"/>
  <c r="F1604" i="32"/>
  <c r="F1603" i="32"/>
  <c r="F1602" i="32"/>
  <c r="F1601" i="32"/>
  <c r="F1600" i="32"/>
  <c r="F1599" i="32"/>
  <c r="F1598" i="32"/>
  <c r="F1597" i="32"/>
  <c r="F1596" i="32"/>
  <c r="F1595" i="32"/>
  <c r="F1594" i="32"/>
  <c r="F1593" i="32"/>
  <c r="F1592" i="32"/>
  <c r="F1591" i="32"/>
  <c r="F1590" i="32"/>
  <c r="F1589" i="32"/>
  <c r="F1588" i="32"/>
  <c r="F1587" i="32"/>
  <c r="F1586" i="32"/>
  <c r="F1585" i="32"/>
  <c r="F1584" i="32"/>
  <c r="F1583" i="32"/>
  <c r="F1582" i="32"/>
  <c r="F1581" i="32"/>
  <c r="F1580" i="32"/>
  <c r="F1579" i="32"/>
  <c r="F1578" i="32"/>
  <c r="F1577" i="32"/>
  <c r="F1576" i="32"/>
  <c r="F1575" i="32"/>
  <c r="F1574" i="32"/>
  <c r="F1573" i="32"/>
  <c r="F1572" i="32"/>
  <c r="F1571" i="32"/>
  <c r="F1570" i="32"/>
  <c r="F1569" i="32"/>
  <c r="F1568" i="32"/>
  <c r="F1567" i="32"/>
  <c r="F1566" i="32"/>
  <c r="F1565" i="32"/>
  <c r="F1564" i="32"/>
  <c r="F1563" i="32"/>
  <c r="F1562" i="32"/>
  <c r="F1561" i="32"/>
  <c r="F1560" i="32"/>
  <c r="F1559" i="32"/>
  <c r="F1558" i="32"/>
  <c r="F1557" i="32"/>
  <c r="F1556" i="32"/>
  <c r="F1555" i="32"/>
  <c r="F1554" i="32"/>
  <c r="F1553" i="32"/>
  <c r="F1552" i="32"/>
  <c r="F1551" i="32"/>
  <c r="F1550" i="32"/>
  <c r="F1549" i="32"/>
  <c r="F1548" i="32"/>
  <c r="F1547" i="32"/>
  <c r="F1546" i="32"/>
  <c r="F1545" i="32"/>
  <c r="F1544" i="32"/>
  <c r="F1543" i="32"/>
  <c r="F1542" i="32"/>
  <c r="F1541" i="32"/>
  <c r="F1540" i="32"/>
  <c r="F1539" i="32"/>
  <c r="F1538" i="32"/>
  <c r="F1537" i="32"/>
  <c r="F1536" i="32"/>
  <c r="F1535" i="32"/>
  <c r="F1534" i="32"/>
  <c r="F1533" i="32"/>
  <c r="F1532" i="32"/>
  <c r="F1531" i="32"/>
  <c r="F1530" i="32"/>
  <c r="F1529" i="32"/>
  <c r="F1528" i="32"/>
  <c r="F1527" i="32"/>
  <c r="F1526" i="32"/>
  <c r="F1525" i="32"/>
  <c r="F1524" i="32"/>
  <c r="F1523" i="32"/>
  <c r="F1522" i="32"/>
  <c r="F1521" i="32"/>
  <c r="F1520" i="32"/>
  <c r="F1519" i="32"/>
  <c r="F1518" i="32"/>
  <c r="F1517" i="32"/>
  <c r="F1516" i="32"/>
  <c r="F1515" i="32"/>
  <c r="F1514" i="32"/>
  <c r="F1513" i="32"/>
  <c r="F1512" i="32"/>
  <c r="F1511" i="32"/>
  <c r="F1510" i="32"/>
  <c r="F1509" i="32"/>
  <c r="F1508" i="32"/>
  <c r="F1507" i="32"/>
  <c r="F1506" i="32"/>
  <c r="F1505" i="32"/>
  <c r="F1504" i="32"/>
  <c r="F1503" i="32"/>
  <c r="F1502" i="32"/>
  <c r="F1501" i="32"/>
  <c r="F1500" i="32"/>
  <c r="F1499" i="32"/>
  <c r="F1498" i="32"/>
  <c r="F1497" i="32"/>
  <c r="F1496" i="32"/>
  <c r="F1495" i="32"/>
  <c r="F1494" i="32"/>
  <c r="F1493" i="32"/>
  <c r="F1492" i="32"/>
  <c r="F1491" i="32"/>
  <c r="F1490" i="32"/>
  <c r="F1489" i="32"/>
  <c r="F1488" i="32"/>
  <c r="F1487" i="32"/>
  <c r="F1486" i="32"/>
  <c r="F1485" i="32"/>
  <c r="F1484" i="32"/>
  <c r="F1483" i="32"/>
  <c r="F1482" i="32"/>
  <c r="F1481" i="32"/>
  <c r="F1480" i="32"/>
  <c r="F1479" i="32"/>
  <c r="F1478" i="32"/>
  <c r="F1477" i="32"/>
  <c r="F1476" i="32"/>
  <c r="F1475" i="32"/>
  <c r="F1474" i="32"/>
  <c r="F1473" i="32"/>
  <c r="F1472" i="32"/>
  <c r="F1471" i="32"/>
  <c r="F1470" i="32"/>
  <c r="F1469" i="32"/>
  <c r="F1468" i="32"/>
  <c r="F1467" i="32"/>
  <c r="F1466" i="32"/>
  <c r="F1465" i="32"/>
  <c r="F1464" i="32"/>
  <c r="F1463" i="32"/>
  <c r="F1462" i="32"/>
  <c r="F1461" i="32"/>
  <c r="F1460" i="32"/>
  <c r="F1459" i="32"/>
  <c r="F1458" i="32"/>
  <c r="F1457" i="32"/>
  <c r="F1456" i="32"/>
  <c r="F1455" i="32"/>
  <c r="F1454" i="32"/>
  <c r="F1453" i="32"/>
  <c r="F1452" i="32"/>
  <c r="F1451" i="32"/>
  <c r="F1450" i="32"/>
  <c r="F1449" i="32"/>
  <c r="F1448" i="32"/>
  <c r="F1447" i="32"/>
  <c r="F1446" i="32"/>
  <c r="F1445" i="32"/>
  <c r="F1444" i="32"/>
  <c r="F1443" i="32"/>
  <c r="F1442" i="32"/>
  <c r="F1441" i="32"/>
  <c r="F1440" i="32"/>
  <c r="F1439" i="32"/>
  <c r="F1438" i="32"/>
  <c r="F1437" i="32"/>
  <c r="F1436" i="32"/>
  <c r="F1435" i="32"/>
  <c r="F1434" i="32"/>
  <c r="F1433" i="32"/>
  <c r="F1432" i="32"/>
  <c r="F1431" i="32"/>
  <c r="F1430" i="32"/>
  <c r="F1429" i="32"/>
  <c r="F1428" i="32"/>
  <c r="F1427" i="32"/>
  <c r="F1426" i="32"/>
  <c r="F1425" i="32"/>
  <c r="F1424" i="32"/>
  <c r="F1423" i="32"/>
  <c r="F1422" i="32"/>
  <c r="F1421" i="32"/>
  <c r="F1420" i="32"/>
  <c r="F1419" i="32"/>
  <c r="F1418" i="32"/>
  <c r="F1417" i="32"/>
  <c r="F1416" i="32"/>
  <c r="F1415" i="32"/>
  <c r="F1414" i="32"/>
  <c r="F1413" i="32"/>
  <c r="F1412" i="32"/>
  <c r="F1411" i="32"/>
  <c r="F1410" i="32"/>
  <c r="F1409" i="32"/>
  <c r="F1408" i="32"/>
  <c r="F1407" i="32"/>
  <c r="F1406" i="32"/>
  <c r="F1405" i="32"/>
  <c r="F1404" i="32"/>
  <c r="F1403" i="32"/>
  <c r="F1402" i="32"/>
  <c r="F1401" i="32"/>
  <c r="F1400" i="32"/>
  <c r="F1399" i="32"/>
  <c r="F1398" i="32"/>
  <c r="F1397" i="32"/>
  <c r="F1396" i="32"/>
  <c r="F1395" i="32"/>
  <c r="F1394" i="32"/>
  <c r="F1393" i="32"/>
  <c r="F1392" i="32"/>
  <c r="F1391" i="32"/>
  <c r="F1390" i="32"/>
  <c r="F1389" i="32"/>
  <c r="F1388" i="32"/>
  <c r="F1387" i="32"/>
  <c r="F1386" i="32"/>
  <c r="F1385" i="32"/>
  <c r="F1384" i="32"/>
  <c r="F1383" i="32"/>
  <c r="F1382" i="32"/>
  <c r="F1381" i="32"/>
  <c r="F1380" i="32"/>
  <c r="F1379" i="32"/>
  <c r="F1378" i="32"/>
  <c r="F1377" i="32"/>
  <c r="F1376" i="32"/>
  <c r="F1375" i="32"/>
  <c r="F1374" i="32"/>
  <c r="F1373" i="32"/>
  <c r="F1372" i="32"/>
  <c r="F1371" i="32"/>
  <c r="F1370" i="32"/>
  <c r="F1369" i="32"/>
  <c r="F1368" i="32"/>
  <c r="F1367" i="32"/>
  <c r="F1366" i="32"/>
  <c r="F1365" i="32"/>
  <c r="F1364" i="32"/>
  <c r="F1363" i="32"/>
  <c r="F1362" i="32"/>
  <c r="F1361" i="32"/>
  <c r="F1360" i="32"/>
  <c r="F1359" i="32"/>
  <c r="F1358" i="32"/>
  <c r="F1357" i="32"/>
  <c r="F1356" i="32"/>
  <c r="F1355" i="32"/>
  <c r="F1354" i="32"/>
  <c r="F1353" i="32"/>
  <c r="F1352" i="32"/>
  <c r="F1351" i="32"/>
  <c r="F1350" i="32"/>
  <c r="F1349" i="32"/>
  <c r="F1348" i="32"/>
  <c r="F1347" i="32"/>
  <c r="F1346" i="32"/>
  <c r="F1345" i="32"/>
  <c r="F1344" i="32"/>
  <c r="F1343" i="32"/>
  <c r="F1342" i="32"/>
  <c r="F1341" i="32"/>
  <c r="F1340" i="32"/>
  <c r="F1339" i="32"/>
  <c r="F1338" i="32"/>
  <c r="F1337" i="32"/>
  <c r="F1336" i="32"/>
  <c r="F1335" i="32"/>
  <c r="F1334" i="32"/>
  <c r="F1333" i="32"/>
  <c r="F1332" i="32"/>
  <c r="F1331" i="32"/>
  <c r="F1330" i="32"/>
  <c r="F1329" i="32"/>
  <c r="F1328" i="32"/>
  <c r="F1327" i="32"/>
  <c r="F1326" i="32"/>
  <c r="F1325" i="32"/>
  <c r="F1324" i="32"/>
  <c r="F1323" i="32"/>
  <c r="F1322" i="32"/>
  <c r="F1321" i="32"/>
  <c r="F1320" i="32"/>
  <c r="F1319" i="32"/>
  <c r="F1318" i="32"/>
  <c r="F1317" i="32"/>
  <c r="F1316" i="32"/>
  <c r="F1315" i="32"/>
  <c r="F1314" i="32"/>
  <c r="F1313" i="32"/>
  <c r="F1312" i="32"/>
  <c r="F1311" i="32"/>
  <c r="F1310" i="32"/>
  <c r="F1309" i="32"/>
  <c r="F1308" i="32"/>
  <c r="F1307" i="32"/>
  <c r="F1306" i="32"/>
  <c r="F1305" i="32"/>
  <c r="F1304" i="32"/>
  <c r="F1303" i="32"/>
  <c r="F1302" i="32"/>
  <c r="F1301" i="32"/>
  <c r="F1300" i="32"/>
  <c r="F1299" i="32"/>
  <c r="F1298" i="32"/>
  <c r="F1297" i="32"/>
  <c r="F1296" i="32"/>
  <c r="F1295" i="32"/>
  <c r="F1294" i="32"/>
  <c r="F1293" i="32"/>
  <c r="F1292" i="32"/>
  <c r="F1291" i="32"/>
  <c r="F1290" i="32"/>
  <c r="F1289" i="32"/>
  <c r="F1288" i="32"/>
  <c r="F1287" i="32"/>
  <c r="F1286" i="32"/>
  <c r="F1285" i="32"/>
  <c r="F1284" i="32"/>
  <c r="F1283" i="32"/>
  <c r="F1282" i="32"/>
  <c r="F1281" i="32"/>
  <c r="F1280" i="32"/>
  <c r="F1279" i="32"/>
  <c r="F1278" i="32"/>
  <c r="F1277" i="32"/>
  <c r="F1276" i="32"/>
  <c r="F1275" i="32"/>
  <c r="F1274" i="32"/>
  <c r="F1273" i="32"/>
  <c r="F1272" i="32"/>
  <c r="F1271" i="32"/>
  <c r="F1270" i="32"/>
  <c r="F1269" i="32"/>
  <c r="F1268" i="32"/>
  <c r="F1267" i="32"/>
  <c r="F1266" i="32"/>
  <c r="F1265" i="32"/>
  <c r="F1264" i="32"/>
  <c r="F1263" i="32"/>
  <c r="F1262" i="32"/>
  <c r="F1261" i="32"/>
  <c r="F1260" i="32"/>
  <c r="F1259" i="32"/>
  <c r="F1258" i="32"/>
  <c r="F1257" i="32"/>
  <c r="F1256" i="32"/>
  <c r="F1255" i="32"/>
  <c r="F1254" i="32"/>
  <c r="F1253" i="32"/>
  <c r="F1252" i="32"/>
  <c r="F1251" i="32"/>
  <c r="F1250" i="32"/>
  <c r="F1249" i="32"/>
  <c r="F1248" i="32"/>
  <c r="F1247" i="32"/>
  <c r="F1246" i="32"/>
  <c r="F1245" i="32"/>
  <c r="F1244" i="32"/>
  <c r="F1243" i="32"/>
  <c r="F1242" i="32"/>
  <c r="F1241" i="32"/>
  <c r="F1240" i="32"/>
  <c r="F1239" i="32"/>
  <c r="F1238" i="32"/>
  <c r="F1237" i="32"/>
  <c r="F1236" i="32"/>
  <c r="F1235" i="32"/>
  <c r="F1234" i="32"/>
  <c r="F1233" i="32"/>
  <c r="F1232" i="32"/>
  <c r="F1231" i="32"/>
  <c r="F1230" i="32"/>
  <c r="F1229" i="32"/>
  <c r="F1228" i="32"/>
  <c r="F1227" i="32"/>
  <c r="F1226" i="32"/>
  <c r="F1225" i="32"/>
  <c r="F1224" i="32"/>
  <c r="F1223" i="32"/>
  <c r="F1222" i="32"/>
  <c r="F1221" i="32"/>
  <c r="F1220" i="32"/>
  <c r="F1219" i="32"/>
  <c r="F1218" i="32"/>
  <c r="F1217" i="32"/>
  <c r="F1216" i="32"/>
  <c r="F1215" i="32"/>
  <c r="F1214" i="32"/>
  <c r="F1213" i="32"/>
  <c r="F1212" i="32"/>
  <c r="F1211" i="32"/>
  <c r="F1210" i="32"/>
  <c r="F1209" i="32"/>
  <c r="F1208" i="32"/>
  <c r="F1207" i="32"/>
  <c r="F1206" i="32"/>
  <c r="F1205" i="32"/>
  <c r="F1204" i="32"/>
  <c r="F1203" i="32"/>
  <c r="F1202" i="32"/>
  <c r="F1201" i="32"/>
  <c r="F1200" i="32"/>
  <c r="F1199" i="32"/>
  <c r="F1198" i="32"/>
  <c r="F1197" i="32"/>
  <c r="F1196" i="32"/>
  <c r="F1195" i="32"/>
  <c r="F1194" i="32"/>
  <c r="F1193" i="32"/>
  <c r="F1192" i="32"/>
  <c r="F1191" i="32"/>
  <c r="F1190" i="32"/>
  <c r="F1189" i="32"/>
  <c r="F1188" i="32"/>
  <c r="F1187" i="32"/>
  <c r="F1186" i="32"/>
  <c r="F1185" i="32"/>
  <c r="F1184" i="32"/>
  <c r="F1183" i="32"/>
  <c r="F1182" i="32"/>
  <c r="F1181" i="32"/>
  <c r="F1180" i="32"/>
  <c r="F1179" i="32"/>
  <c r="F1178" i="32"/>
  <c r="F1177" i="32"/>
  <c r="F1176" i="32"/>
  <c r="F1175" i="32"/>
  <c r="F1174" i="32"/>
  <c r="F1173" i="32"/>
  <c r="F1172" i="32"/>
  <c r="F1171" i="32"/>
  <c r="F1170" i="32"/>
  <c r="F1169" i="32"/>
  <c r="F1168" i="32"/>
  <c r="F1167" i="32"/>
  <c r="F1166" i="32"/>
  <c r="F1165" i="32"/>
  <c r="F1164" i="32"/>
  <c r="F1163" i="32"/>
  <c r="F1162" i="32"/>
  <c r="F1161" i="32"/>
  <c r="F1160" i="32"/>
  <c r="F1159" i="32"/>
  <c r="F1158" i="32"/>
  <c r="F1157" i="32"/>
  <c r="F1156" i="32"/>
  <c r="F1155" i="32"/>
  <c r="F1154" i="32"/>
  <c r="F1153" i="32"/>
  <c r="F1152" i="32"/>
  <c r="F1151" i="32"/>
  <c r="F1150" i="32"/>
  <c r="F1149" i="32"/>
  <c r="F1148" i="32"/>
  <c r="F1147" i="32"/>
  <c r="F1146" i="32"/>
  <c r="F1145" i="32"/>
  <c r="F1144" i="32"/>
  <c r="F1143" i="32"/>
  <c r="F1142" i="32"/>
  <c r="F1141" i="32"/>
  <c r="F1140" i="32"/>
  <c r="F1139" i="32"/>
  <c r="F1138" i="32"/>
  <c r="F1137" i="32"/>
  <c r="F1136" i="32"/>
  <c r="F1135" i="32"/>
  <c r="F1134" i="32"/>
  <c r="F1133" i="32"/>
  <c r="F1132" i="32"/>
  <c r="F1131" i="32"/>
  <c r="F1130" i="32"/>
  <c r="F1129" i="32"/>
  <c r="F1128" i="32"/>
  <c r="F1127" i="32"/>
  <c r="F1126" i="32"/>
  <c r="F1125" i="32"/>
  <c r="F1124" i="32"/>
  <c r="F1123" i="32"/>
  <c r="F1122" i="32"/>
  <c r="F1121" i="32"/>
  <c r="F1120" i="32"/>
  <c r="F1119" i="32"/>
  <c r="F1118" i="32"/>
  <c r="F1117" i="32"/>
  <c r="F1116" i="32"/>
  <c r="F1115" i="32"/>
  <c r="F1114" i="32"/>
  <c r="F1113" i="32"/>
  <c r="F1112" i="32"/>
  <c r="F1111" i="32"/>
  <c r="F1110" i="32"/>
  <c r="F1109" i="32"/>
  <c r="F1108" i="32"/>
  <c r="F1107" i="32"/>
  <c r="F1106" i="32"/>
  <c r="F1105" i="32"/>
  <c r="F1104" i="32"/>
  <c r="F1103" i="32"/>
  <c r="F1102" i="32"/>
  <c r="F1101" i="32"/>
  <c r="F1100" i="32"/>
  <c r="F1099" i="32"/>
  <c r="F1098" i="32"/>
  <c r="F1097" i="32"/>
  <c r="F1096" i="32"/>
  <c r="F1095" i="32"/>
  <c r="F1094" i="32"/>
  <c r="F1093" i="32"/>
  <c r="F1092" i="32"/>
  <c r="F1091" i="32"/>
  <c r="F1090" i="32"/>
  <c r="F1089" i="32"/>
  <c r="F1088" i="32"/>
  <c r="F1087" i="32"/>
  <c r="F1086" i="32"/>
  <c r="F1085" i="32"/>
  <c r="F1084" i="32"/>
  <c r="F1083" i="32"/>
  <c r="F1082" i="32"/>
  <c r="F1081" i="32"/>
  <c r="F1080" i="32"/>
  <c r="F1079" i="32"/>
  <c r="F1078" i="32"/>
  <c r="F1077" i="32"/>
  <c r="F1076" i="32"/>
  <c r="F1075" i="32"/>
  <c r="F1074" i="32"/>
  <c r="F1073" i="32"/>
  <c r="F1072" i="32"/>
  <c r="F1071" i="32"/>
  <c r="F1070" i="32"/>
  <c r="F1069" i="32"/>
  <c r="F1068" i="32"/>
  <c r="F1067" i="32"/>
  <c r="F1066" i="32"/>
  <c r="F1065" i="32"/>
  <c r="F1064" i="32"/>
  <c r="F1063" i="32"/>
  <c r="F1062" i="32"/>
  <c r="F1061" i="32"/>
  <c r="F1060" i="32"/>
  <c r="F1059" i="32"/>
  <c r="F1058" i="32"/>
  <c r="F1057" i="32"/>
  <c r="F1056" i="32"/>
  <c r="F1055" i="32"/>
  <c r="F1054" i="32"/>
  <c r="F1053" i="32"/>
  <c r="F1052" i="32"/>
  <c r="F1051" i="32"/>
  <c r="F1050" i="32"/>
  <c r="F1049" i="32"/>
  <c r="F1048" i="32"/>
  <c r="F1047" i="32"/>
  <c r="F1046" i="32"/>
  <c r="F1045" i="32"/>
  <c r="F1044" i="32"/>
  <c r="F1043" i="32"/>
  <c r="F1042" i="32"/>
  <c r="F1041" i="32"/>
  <c r="F1040" i="32"/>
  <c r="F1039" i="32"/>
  <c r="F1038" i="32"/>
  <c r="F1037" i="32"/>
  <c r="F1036" i="32"/>
  <c r="F1035" i="32"/>
  <c r="F1034" i="32"/>
  <c r="F1033" i="32"/>
  <c r="F1032" i="32"/>
  <c r="F1031" i="32"/>
  <c r="F1030" i="32"/>
  <c r="F1029" i="32"/>
  <c r="F1028" i="32"/>
  <c r="F1027" i="32"/>
  <c r="F1026" i="32"/>
  <c r="F1025" i="32"/>
  <c r="F1024" i="32"/>
  <c r="F1023" i="32"/>
  <c r="F1022" i="32"/>
  <c r="F1021" i="32"/>
  <c r="F1020" i="32"/>
  <c r="F1019" i="32"/>
  <c r="F1018" i="32"/>
  <c r="F1017" i="32"/>
  <c r="F1016" i="32"/>
  <c r="F1015" i="32"/>
  <c r="F1014" i="32"/>
  <c r="F1013" i="32"/>
  <c r="F1012" i="32"/>
  <c r="F1011" i="32"/>
  <c r="F1010" i="32"/>
  <c r="F1009" i="32"/>
  <c r="F1008" i="32"/>
  <c r="F1007" i="32"/>
  <c r="F1006" i="32"/>
  <c r="F1005" i="32"/>
  <c r="F1004" i="32"/>
  <c r="F1003" i="32"/>
  <c r="F1002" i="32"/>
  <c r="F1001" i="32"/>
  <c r="F1000" i="32"/>
  <c r="F999" i="32"/>
  <c r="F998" i="32"/>
  <c r="F997" i="32"/>
  <c r="F996" i="32"/>
  <c r="F995" i="32"/>
  <c r="F994" i="32"/>
  <c r="F993" i="32"/>
  <c r="F992" i="32"/>
  <c r="F991" i="32"/>
  <c r="F990" i="32"/>
  <c r="F989" i="32"/>
  <c r="F988" i="32"/>
  <c r="F987" i="32"/>
  <c r="F986" i="32"/>
  <c r="F985" i="32"/>
  <c r="F984" i="32"/>
  <c r="F983" i="32"/>
  <c r="F982" i="32"/>
  <c r="F981" i="32"/>
  <c r="F980" i="32"/>
  <c r="F979" i="32"/>
  <c r="F978" i="32"/>
  <c r="F977" i="32"/>
  <c r="F976" i="32"/>
  <c r="F975" i="32"/>
  <c r="F974" i="32"/>
  <c r="F973" i="32"/>
  <c r="F972" i="32"/>
  <c r="F971" i="32"/>
  <c r="F970" i="32"/>
  <c r="F969" i="32"/>
  <c r="F968" i="32"/>
  <c r="F967" i="32"/>
  <c r="F966" i="32"/>
  <c r="F965" i="32"/>
  <c r="F964" i="32"/>
  <c r="F963" i="32"/>
  <c r="F962" i="32"/>
  <c r="F961" i="32"/>
  <c r="F960" i="32"/>
  <c r="F959" i="32"/>
  <c r="F958" i="32"/>
  <c r="F957" i="32"/>
  <c r="F956" i="32"/>
  <c r="F955" i="32"/>
  <c r="F954" i="32"/>
  <c r="F953" i="32"/>
  <c r="F952" i="32"/>
  <c r="F951" i="32"/>
  <c r="F950" i="32"/>
  <c r="F949" i="32"/>
  <c r="F948" i="32"/>
  <c r="F947" i="32"/>
  <c r="F946" i="32"/>
  <c r="F945" i="32"/>
  <c r="F944" i="32"/>
  <c r="F943" i="32"/>
  <c r="F942" i="32"/>
  <c r="F941" i="32"/>
  <c r="F940" i="32"/>
  <c r="F939" i="32"/>
  <c r="F938" i="32"/>
  <c r="F937" i="32"/>
  <c r="F936" i="32"/>
  <c r="F935" i="32"/>
  <c r="F934" i="32"/>
  <c r="F933" i="32"/>
  <c r="F932" i="32"/>
  <c r="F931" i="32"/>
  <c r="F930" i="32"/>
  <c r="F929" i="32"/>
  <c r="F928" i="32"/>
  <c r="F927" i="32"/>
  <c r="F926" i="32"/>
  <c r="F925" i="32"/>
  <c r="F924" i="32"/>
  <c r="F923" i="32"/>
  <c r="F922" i="32"/>
  <c r="F921" i="32"/>
  <c r="F920" i="32"/>
  <c r="F919" i="32"/>
  <c r="F918" i="32"/>
  <c r="F917" i="32"/>
  <c r="F916" i="32"/>
  <c r="F915" i="32"/>
  <c r="F914" i="32"/>
  <c r="F913" i="32"/>
  <c r="F912" i="32"/>
  <c r="F911" i="32"/>
  <c r="F910" i="32"/>
  <c r="F909" i="32"/>
  <c r="F908" i="32"/>
  <c r="F907" i="32"/>
  <c r="F906" i="32"/>
  <c r="F905" i="32"/>
  <c r="F904" i="32"/>
  <c r="F903" i="32"/>
  <c r="F902" i="32"/>
  <c r="F901" i="32"/>
  <c r="F900" i="32"/>
  <c r="F899" i="32"/>
  <c r="F898" i="32"/>
  <c r="F897" i="32"/>
  <c r="F896" i="32"/>
  <c r="F895" i="32"/>
  <c r="F894" i="32"/>
  <c r="F893" i="32"/>
  <c r="F892" i="32"/>
  <c r="F891" i="32"/>
  <c r="F890" i="32"/>
  <c r="F889" i="32"/>
  <c r="F888" i="32"/>
  <c r="F887" i="32"/>
  <c r="F886" i="32"/>
  <c r="F885" i="32"/>
  <c r="F884" i="32"/>
  <c r="F883" i="32"/>
  <c r="F882" i="32"/>
  <c r="F881" i="32"/>
  <c r="F880" i="32"/>
  <c r="F879" i="32"/>
  <c r="F878" i="32"/>
  <c r="F877" i="32"/>
  <c r="F876" i="32"/>
  <c r="F875" i="32"/>
  <c r="F874" i="32"/>
  <c r="F873" i="32"/>
  <c r="F872" i="32"/>
  <c r="F871" i="32"/>
  <c r="F870" i="32"/>
  <c r="F869" i="32"/>
  <c r="F868" i="32"/>
  <c r="F867" i="32"/>
  <c r="F866" i="32"/>
  <c r="F865" i="32"/>
  <c r="F864" i="32"/>
  <c r="F863" i="32"/>
  <c r="F862" i="32"/>
  <c r="F861" i="32"/>
  <c r="F860" i="32"/>
  <c r="F859" i="32"/>
  <c r="F858" i="32"/>
  <c r="F857" i="32"/>
  <c r="F856" i="32"/>
  <c r="F855" i="32"/>
  <c r="F854" i="32"/>
  <c r="F853" i="32"/>
  <c r="F852" i="32"/>
  <c r="F851" i="32"/>
  <c r="F850" i="32"/>
  <c r="F849" i="32"/>
  <c r="F848" i="32"/>
  <c r="F847" i="32"/>
  <c r="F846" i="32"/>
  <c r="F845" i="32"/>
  <c r="F844" i="32"/>
  <c r="F843" i="32"/>
  <c r="F842" i="32"/>
  <c r="F841" i="32"/>
  <c r="F840" i="32"/>
  <c r="F839" i="32"/>
  <c r="F838" i="32"/>
  <c r="F837" i="32"/>
  <c r="F836" i="32"/>
  <c r="F835" i="32"/>
  <c r="F834" i="32"/>
  <c r="F833" i="32"/>
  <c r="F832" i="32"/>
  <c r="F831" i="32"/>
  <c r="F830" i="32"/>
  <c r="F829" i="32"/>
  <c r="F828" i="32"/>
  <c r="F827" i="32"/>
  <c r="F826" i="32"/>
  <c r="F825" i="32"/>
  <c r="F824" i="32"/>
  <c r="F823" i="32"/>
  <c r="F822" i="32"/>
  <c r="F821" i="32"/>
  <c r="F820" i="32"/>
  <c r="F819" i="32"/>
  <c r="F818" i="32"/>
  <c r="F817" i="32"/>
  <c r="F816" i="32"/>
  <c r="F815" i="32"/>
  <c r="F814" i="32"/>
  <c r="F813" i="32"/>
  <c r="F812" i="32"/>
  <c r="F811" i="32"/>
  <c r="F810" i="32"/>
  <c r="F809" i="32"/>
  <c r="F808" i="32"/>
  <c r="F807" i="32"/>
  <c r="F806" i="32"/>
  <c r="F805" i="32"/>
  <c r="F804" i="32"/>
  <c r="F803" i="32"/>
  <c r="F802" i="32"/>
  <c r="F801" i="32"/>
  <c r="F800" i="32"/>
  <c r="F799" i="32"/>
  <c r="F798" i="32"/>
  <c r="F797" i="32"/>
  <c r="F796" i="32"/>
  <c r="F795" i="32"/>
  <c r="F794" i="32"/>
  <c r="F793" i="32"/>
  <c r="F792" i="32"/>
  <c r="F791" i="32"/>
  <c r="F790" i="32"/>
  <c r="F789" i="32"/>
  <c r="F788" i="32"/>
  <c r="F787" i="32"/>
  <c r="F786" i="32"/>
  <c r="F785" i="32"/>
  <c r="F784" i="32"/>
  <c r="F783" i="32"/>
  <c r="F782" i="32"/>
  <c r="F781" i="32"/>
  <c r="F780" i="32"/>
  <c r="F779" i="32"/>
  <c r="F778" i="32"/>
  <c r="F777" i="32"/>
  <c r="F776" i="32"/>
  <c r="F775" i="32"/>
  <c r="F774" i="32"/>
  <c r="F773" i="32"/>
  <c r="F772" i="32"/>
  <c r="F771" i="32"/>
  <c r="F770" i="32"/>
  <c r="F769" i="32"/>
  <c r="F768" i="32"/>
  <c r="F767" i="32"/>
  <c r="F766" i="32"/>
  <c r="F765" i="32"/>
  <c r="F764" i="32"/>
  <c r="F763" i="32"/>
  <c r="F762" i="32"/>
  <c r="F761" i="32"/>
  <c r="F760" i="32"/>
  <c r="F759" i="32"/>
  <c r="F758" i="32"/>
  <c r="F757" i="32"/>
  <c r="F756" i="32"/>
  <c r="F755" i="32"/>
  <c r="F754" i="32"/>
  <c r="F753" i="32"/>
  <c r="F752" i="32"/>
  <c r="F751" i="32"/>
  <c r="F750" i="32"/>
  <c r="F749" i="32"/>
  <c r="F748" i="32"/>
  <c r="F747" i="32"/>
  <c r="F746" i="32"/>
  <c r="F745" i="32"/>
  <c r="F744" i="32"/>
  <c r="F743" i="32"/>
  <c r="F742" i="32"/>
  <c r="F741" i="32"/>
  <c r="F740" i="32"/>
  <c r="F739" i="32"/>
  <c r="F738" i="32"/>
  <c r="F737" i="32"/>
  <c r="F736" i="32"/>
  <c r="F735" i="32"/>
  <c r="F734" i="32"/>
  <c r="F733" i="32"/>
  <c r="F732" i="32"/>
  <c r="F731" i="32"/>
  <c r="F730" i="32"/>
  <c r="F729" i="32"/>
  <c r="F728" i="32"/>
  <c r="F727" i="32"/>
  <c r="F726" i="32"/>
  <c r="F725" i="32"/>
  <c r="F724" i="32"/>
  <c r="F723" i="32"/>
  <c r="F722" i="32"/>
  <c r="F721" i="32"/>
  <c r="F720" i="32"/>
  <c r="F719" i="32"/>
  <c r="F718" i="32"/>
  <c r="F717" i="32"/>
  <c r="F716" i="32"/>
  <c r="F715" i="32"/>
  <c r="F714" i="32"/>
  <c r="F713" i="32"/>
  <c r="F712" i="32"/>
  <c r="F711" i="32"/>
  <c r="F710" i="32"/>
  <c r="F709" i="32"/>
  <c r="F708" i="32"/>
  <c r="F707" i="32"/>
  <c r="F706" i="32"/>
  <c r="F705" i="32"/>
  <c r="F704" i="32"/>
  <c r="F703" i="32"/>
  <c r="F702" i="32"/>
  <c r="F701" i="32"/>
  <c r="F700" i="32"/>
  <c r="F699" i="32"/>
  <c r="F698" i="32"/>
  <c r="F697" i="32"/>
  <c r="F696" i="32"/>
  <c r="F695" i="32"/>
  <c r="F694" i="32"/>
  <c r="F693" i="32"/>
  <c r="F692" i="32"/>
  <c r="F691" i="32"/>
  <c r="F690" i="32"/>
  <c r="F689" i="32"/>
  <c r="F688" i="32"/>
  <c r="F687" i="32"/>
  <c r="F686" i="32"/>
  <c r="F685" i="32"/>
  <c r="F684" i="32"/>
  <c r="F683" i="32"/>
  <c r="F682" i="32"/>
  <c r="F681" i="32"/>
  <c r="F680" i="32"/>
  <c r="F679" i="32"/>
  <c r="F678" i="32"/>
  <c r="F677" i="32"/>
  <c r="F676" i="32"/>
  <c r="F675" i="32"/>
  <c r="F674" i="32"/>
  <c r="F673" i="32"/>
  <c r="F672" i="32"/>
  <c r="F671" i="32"/>
  <c r="F670" i="32"/>
  <c r="F669" i="32"/>
  <c r="F668" i="32"/>
  <c r="F667" i="32"/>
  <c r="F666" i="32"/>
  <c r="F665" i="32"/>
  <c r="F664" i="32"/>
  <c r="F663" i="32"/>
  <c r="F662" i="32"/>
  <c r="F661" i="32"/>
  <c r="F660" i="32"/>
  <c r="F659" i="32"/>
  <c r="F658" i="32"/>
  <c r="F657" i="32"/>
  <c r="F656" i="32"/>
  <c r="F655" i="32"/>
  <c r="F654" i="32"/>
  <c r="F653" i="32"/>
  <c r="F652" i="32"/>
  <c r="F651" i="32"/>
  <c r="F650" i="32"/>
  <c r="F649" i="32"/>
  <c r="F648" i="32"/>
  <c r="F647" i="32"/>
  <c r="F646" i="32"/>
  <c r="F645" i="32"/>
  <c r="F644" i="32"/>
  <c r="F643" i="32"/>
  <c r="F642" i="32"/>
  <c r="F641" i="32"/>
  <c r="F640" i="32"/>
  <c r="F639" i="32"/>
  <c r="F638" i="32"/>
  <c r="F637" i="32"/>
  <c r="F636" i="32"/>
  <c r="F635" i="32"/>
  <c r="F634" i="32"/>
  <c r="F633" i="32"/>
  <c r="F632" i="32"/>
  <c r="F631" i="32"/>
  <c r="F630" i="32"/>
  <c r="F629" i="32"/>
  <c r="F628" i="32"/>
  <c r="F627" i="32"/>
  <c r="F626" i="32"/>
  <c r="F625" i="32"/>
  <c r="F624" i="32"/>
  <c r="F623" i="32"/>
  <c r="F622" i="32"/>
  <c r="F621" i="32"/>
  <c r="F620" i="32"/>
  <c r="F619" i="32"/>
  <c r="F618" i="32"/>
  <c r="F617" i="32"/>
  <c r="F616" i="32"/>
  <c r="F615" i="32"/>
  <c r="F614" i="32"/>
  <c r="F613" i="32"/>
  <c r="F612" i="32"/>
  <c r="F611" i="32"/>
  <c r="F610" i="32"/>
  <c r="F609" i="32"/>
  <c r="F608" i="32"/>
  <c r="F607" i="32"/>
  <c r="F606" i="32"/>
  <c r="F605" i="32"/>
  <c r="F604" i="32"/>
  <c r="F603" i="32"/>
  <c r="F602" i="32"/>
  <c r="F601" i="32"/>
  <c r="F600" i="32"/>
  <c r="F599" i="32"/>
  <c r="F598" i="32"/>
  <c r="F597" i="32"/>
  <c r="F596" i="32"/>
  <c r="F595" i="32"/>
  <c r="F594" i="32"/>
  <c r="F593" i="32"/>
  <c r="F592" i="32"/>
  <c r="F591" i="32"/>
  <c r="F590" i="32"/>
  <c r="F589" i="32"/>
  <c r="F588" i="32"/>
  <c r="F587" i="32"/>
  <c r="F586" i="32"/>
  <c r="F585" i="32"/>
  <c r="F584" i="32"/>
  <c r="F583" i="32"/>
  <c r="F582" i="32"/>
  <c r="F581" i="32"/>
  <c r="F580" i="32"/>
  <c r="F579" i="32"/>
  <c r="F578" i="32"/>
  <c r="F577" i="32"/>
  <c r="F576" i="32"/>
  <c r="F575" i="32"/>
  <c r="F574" i="32"/>
  <c r="F573" i="32"/>
  <c r="F572" i="32"/>
  <c r="F571" i="32"/>
  <c r="F570" i="32"/>
  <c r="F569" i="32"/>
  <c r="F568" i="32"/>
  <c r="F567" i="32"/>
  <c r="F566" i="32"/>
  <c r="F565" i="32"/>
  <c r="F564" i="32"/>
  <c r="F563" i="32"/>
  <c r="F562" i="32"/>
  <c r="F561" i="32"/>
  <c r="F560" i="32"/>
  <c r="F559" i="32"/>
  <c r="F558" i="32"/>
  <c r="F557" i="32"/>
  <c r="F556" i="32"/>
  <c r="F555" i="32"/>
  <c r="F554" i="32"/>
  <c r="F553" i="32"/>
  <c r="F552" i="32"/>
  <c r="F551" i="32"/>
  <c r="F550" i="32"/>
  <c r="F549" i="32"/>
  <c r="F548" i="32"/>
  <c r="F547" i="32"/>
  <c r="F546" i="32"/>
  <c r="F545" i="32"/>
  <c r="F544" i="32"/>
  <c r="F543" i="32"/>
  <c r="F542" i="32"/>
  <c r="F541" i="32"/>
  <c r="F540" i="32"/>
  <c r="F539" i="32"/>
  <c r="F538" i="32"/>
  <c r="F537" i="32"/>
  <c r="F536" i="32"/>
  <c r="F535" i="32"/>
  <c r="F534" i="32"/>
  <c r="F533" i="32"/>
  <c r="F532" i="32"/>
  <c r="F531" i="32"/>
  <c r="F530" i="32"/>
  <c r="F529" i="32"/>
  <c r="F528" i="32"/>
  <c r="F527" i="32"/>
  <c r="F526" i="32"/>
  <c r="F525" i="32"/>
  <c r="F524" i="32"/>
  <c r="F523" i="32"/>
  <c r="F522" i="32"/>
  <c r="F521" i="32"/>
  <c r="F520" i="32"/>
  <c r="F519" i="32"/>
  <c r="F518" i="32"/>
  <c r="F517" i="32"/>
  <c r="F516" i="32"/>
  <c r="F515" i="32"/>
  <c r="F514" i="32"/>
  <c r="F513" i="32"/>
  <c r="F512" i="32"/>
  <c r="F511" i="32"/>
  <c r="F510" i="32"/>
  <c r="F509" i="32"/>
  <c r="F508" i="32"/>
  <c r="F507" i="32"/>
  <c r="F506" i="32"/>
  <c r="F505" i="32"/>
  <c r="F504" i="32"/>
  <c r="F503" i="32"/>
  <c r="F502" i="32"/>
  <c r="F501" i="32"/>
  <c r="F500" i="32"/>
  <c r="F499" i="32"/>
  <c r="F498" i="32"/>
  <c r="F497" i="32"/>
  <c r="F496" i="32"/>
  <c r="F495" i="32"/>
  <c r="F494" i="32"/>
  <c r="F493" i="32"/>
  <c r="F492" i="32"/>
  <c r="F491" i="32"/>
  <c r="F490" i="32"/>
  <c r="F489" i="32"/>
  <c r="F488" i="32"/>
  <c r="F487" i="32"/>
  <c r="F486" i="32"/>
  <c r="F485" i="32"/>
  <c r="F484" i="32"/>
  <c r="F483" i="32"/>
  <c r="F482" i="32"/>
  <c r="F481" i="32"/>
  <c r="F480" i="32"/>
  <c r="F479" i="32"/>
  <c r="F478" i="32"/>
  <c r="F477" i="32"/>
  <c r="F476" i="32"/>
  <c r="F475" i="32"/>
  <c r="F474" i="32"/>
  <c r="F473" i="32"/>
  <c r="F472" i="32"/>
  <c r="F471" i="32"/>
  <c r="F470" i="32"/>
  <c r="F469" i="32"/>
  <c r="F468" i="32"/>
  <c r="F467" i="32"/>
  <c r="F466" i="32"/>
  <c r="F465" i="32"/>
  <c r="F464" i="32"/>
  <c r="F463" i="32"/>
  <c r="F462" i="32"/>
  <c r="F461" i="32"/>
  <c r="F460" i="32"/>
  <c r="F459" i="32"/>
  <c r="F458" i="32"/>
  <c r="F457" i="32"/>
  <c r="F456" i="32"/>
  <c r="F455" i="32"/>
  <c r="F454" i="32"/>
  <c r="F453" i="32"/>
  <c r="F452" i="32"/>
  <c r="F451" i="32"/>
  <c r="F450" i="32"/>
  <c r="F449" i="32"/>
  <c r="F448" i="32"/>
  <c r="F447" i="32"/>
  <c r="F446" i="32"/>
  <c r="F445" i="32"/>
  <c r="F444" i="32"/>
  <c r="F443" i="32"/>
  <c r="F442" i="32"/>
  <c r="F441" i="32"/>
  <c r="F440" i="32"/>
  <c r="F439" i="32"/>
  <c r="F438" i="32"/>
  <c r="F437" i="32"/>
  <c r="F436" i="32"/>
  <c r="F435" i="32"/>
  <c r="F434" i="32"/>
  <c r="F433" i="32"/>
  <c r="F432" i="32"/>
  <c r="F431" i="32"/>
  <c r="F430" i="32"/>
  <c r="F429" i="32"/>
  <c r="F428" i="32"/>
  <c r="F427" i="32"/>
  <c r="F426" i="32"/>
  <c r="F425" i="32"/>
  <c r="F424" i="32"/>
  <c r="F423" i="32"/>
  <c r="F422" i="32"/>
  <c r="F421" i="32"/>
  <c r="F420" i="32"/>
  <c r="F419" i="32"/>
  <c r="F418" i="32"/>
  <c r="F417" i="32"/>
  <c r="F416" i="32"/>
  <c r="F415" i="32"/>
  <c r="F414" i="32"/>
  <c r="F413" i="32"/>
  <c r="F412" i="32"/>
  <c r="F411" i="32"/>
  <c r="F410" i="32"/>
  <c r="F409" i="32"/>
  <c r="F408" i="32"/>
  <c r="F407" i="32"/>
  <c r="F406" i="32"/>
  <c r="F405" i="32"/>
  <c r="F404" i="32"/>
  <c r="F403" i="32"/>
  <c r="F402" i="32"/>
  <c r="F401" i="32"/>
  <c r="F400" i="32"/>
  <c r="F399" i="32"/>
  <c r="F398" i="32"/>
  <c r="F397" i="32"/>
  <c r="F396" i="32"/>
  <c r="F395" i="32"/>
  <c r="F394" i="32"/>
  <c r="F393" i="32"/>
  <c r="F392" i="32"/>
  <c r="F391" i="32"/>
  <c r="F390" i="32"/>
  <c r="F389" i="32"/>
  <c r="F388" i="32"/>
  <c r="F387" i="32"/>
  <c r="F386" i="32"/>
  <c r="F385" i="32"/>
  <c r="F384" i="32"/>
  <c r="F383" i="32"/>
  <c r="F382" i="32"/>
  <c r="F381" i="32"/>
  <c r="F380" i="32"/>
  <c r="F379" i="32"/>
  <c r="F378" i="32"/>
  <c r="F377" i="32"/>
  <c r="F376" i="32"/>
  <c r="F375" i="32"/>
  <c r="F374" i="32"/>
  <c r="F373" i="32"/>
  <c r="F372" i="32"/>
  <c r="F371" i="32"/>
  <c r="F370" i="32"/>
  <c r="F369" i="32"/>
  <c r="F368" i="32"/>
  <c r="F367" i="32"/>
  <c r="F366" i="32"/>
  <c r="F365" i="32"/>
  <c r="F364" i="32"/>
  <c r="F363" i="32"/>
  <c r="F362" i="32"/>
  <c r="F361" i="32"/>
  <c r="F360" i="32"/>
  <c r="F359" i="32"/>
  <c r="F358" i="32"/>
  <c r="F357" i="32"/>
  <c r="F356" i="32"/>
  <c r="F355" i="32"/>
  <c r="F354" i="32"/>
  <c r="F353" i="32"/>
  <c r="F352" i="32"/>
  <c r="F351" i="32"/>
  <c r="F350" i="32"/>
  <c r="F349" i="32"/>
  <c r="F348" i="32"/>
  <c r="F347" i="32"/>
  <c r="F346" i="32"/>
  <c r="F345" i="32"/>
  <c r="F344" i="32"/>
  <c r="F343" i="32"/>
  <c r="F342" i="32"/>
  <c r="F341" i="32"/>
  <c r="F340" i="32"/>
  <c r="F339" i="32"/>
  <c r="F338" i="32"/>
  <c r="F337" i="32"/>
  <c r="F336" i="32"/>
  <c r="F335" i="32"/>
  <c r="F334" i="32"/>
  <c r="F333" i="32"/>
  <c r="F332" i="32"/>
  <c r="F331" i="32"/>
  <c r="F330" i="32"/>
  <c r="F329" i="32"/>
  <c r="F328" i="32"/>
  <c r="F327" i="32"/>
  <c r="F326" i="32"/>
  <c r="F325" i="32"/>
  <c r="F324" i="32"/>
  <c r="F323" i="32"/>
  <c r="F322" i="32"/>
  <c r="F321" i="32"/>
  <c r="F320" i="32"/>
  <c r="F319" i="32"/>
  <c r="F318" i="32"/>
  <c r="F317" i="32"/>
  <c r="F316" i="32"/>
  <c r="F315" i="32"/>
  <c r="F314" i="32"/>
  <c r="F313" i="32"/>
  <c r="F312" i="32"/>
  <c r="F311" i="32"/>
  <c r="F310" i="32"/>
  <c r="F309" i="32"/>
  <c r="F308" i="32"/>
  <c r="F307" i="32"/>
  <c r="F306" i="32"/>
  <c r="F305" i="32"/>
  <c r="F304" i="32"/>
  <c r="F303" i="32"/>
  <c r="F302" i="32"/>
  <c r="F301" i="32"/>
  <c r="F300" i="32"/>
  <c r="F299" i="32"/>
  <c r="F298" i="32"/>
  <c r="F297" i="32"/>
  <c r="F296" i="32"/>
  <c r="F295" i="32"/>
  <c r="F294" i="32"/>
  <c r="F293" i="32"/>
  <c r="F292" i="32"/>
  <c r="F291" i="32"/>
  <c r="F290" i="32"/>
  <c r="F289" i="32"/>
  <c r="F288" i="32"/>
  <c r="F287" i="32"/>
  <c r="F286" i="32"/>
  <c r="F285" i="32"/>
  <c r="F284" i="32"/>
  <c r="F283" i="32"/>
  <c r="F282" i="32"/>
  <c r="F281" i="32"/>
  <c r="F280" i="32"/>
  <c r="F279" i="32"/>
  <c r="F278" i="32"/>
  <c r="F277" i="32"/>
  <c r="F276" i="32"/>
  <c r="F275" i="32"/>
  <c r="F274" i="32"/>
  <c r="F273" i="32"/>
  <c r="F272" i="32"/>
  <c r="F271" i="32"/>
  <c r="F270" i="32"/>
  <c r="F269" i="32"/>
  <c r="F268" i="32"/>
  <c r="F267" i="32"/>
  <c r="F266" i="32"/>
  <c r="F265" i="32"/>
  <c r="F264" i="32"/>
  <c r="F263" i="32"/>
  <c r="F262" i="32"/>
  <c r="F261" i="32"/>
  <c r="F260" i="32"/>
  <c r="F259" i="32"/>
  <c r="F258" i="32"/>
  <c r="F257" i="32"/>
  <c r="F256" i="32"/>
  <c r="F255" i="32"/>
  <c r="F254" i="32"/>
  <c r="F253" i="32"/>
  <c r="F252" i="32"/>
  <c r="F251" i="32"/>
  <c r="F250" i="32"/>
  <c r="F249" i="32"/>
  <c r="F248" i="32"/>
  <c r="F247" i="32"/>
  <c r="F246" i="32"/>
  <c r="F245" i="32"/>
  <c r="F244" i="32"/>
  <c r="F243" i="32"/>
  <c r="F242" i="32"/>
  <c r="F241" i="32"/>
  <c r="F240" i="32"/>
  <c r="F239" i="32"/>
  <c r="F238" i="32"/>
  <c r="F237" i="32"/>
  <c r="F236" i="32"/>
  <c r="F235" i="32"/>
  <c r="F234" i="32"/>
  <c r="F233" i="32"/>
  <c r="F232" i="32"/>
  <c r="F231" i="32"/>
  <c r="F230" i="32"/>
  <c r="F229" i="32"/>
  <c r="F228" i="32"/>
  <c r="F227" i="32"/>
  <c r="F226" i="32"/>
  <c r="F225" i="32"/>
  <c r="F224" i="32"/>
  <c r="F223" i="32"/>
  <c r="F222" i="32"/>
  <c r="F221" i="32"/>
  <c r="F220" i="32"/>
  <c r="F219" i="32"/>
  <c r="F218" i="32"/>
  <c r="F217" i="32"/>
  <c r="F216" i="32"/>
  <c r="F215" i="32"/>
  <c r="F214" i="32"/>
  <c r="F213" i="32"/>
  <c r="F212" i="32"/>
  <c r="F211" i="32"/>
  <c r="F210" i="32"/>
  <c r="F209" i="32"/>
  <c r="F208" i="32"/>
  <c r="F207" i="32"/>
  <c r="F206" i="32"/>
  <c r="F205" i="32"/>
  <c r="F204" i="32"/>
  <c r="F203" i="32"/>
  <c r="F202" i="32"/>
  <c r="F201" i="32"/>
  <c r="F200" i="32"/>
  <c r="F199" i="32"/>
  <c r="F198" i="32"/>
  <c r="F197" i="32"/>
  <c r="F196" i="32"/>
  <c r="F195" i="32"/>
  <c r="F194" i="32"/>
  <c r="F193" i="32"/>
  <c r="F192" i="32"/>
  <c r="F191" i="32"/>
  <c r="F190" i="32"/>
  <c r="F189" i="32"/>
  <c r="F188" i="32"/>
  <c r="F187" i="32"/>
  <c r="F186" i="32"/>
  <c r="F185" i="32"/>
  <c r="F184" i="32"/>
  <c r="F183" i="32"/>
  <c r="F182" i="32"/>
  <c r="F181" i="32"/>
  <c r="F180" i="32"/>
  <c r="F179" i="32"/>
  <c r="F178" i="32"/>
  <c r="F177" i="32"/>
  <c r="F176" i="32"/>
  <c r="F175" i="32"/>
  <c r="F174" i="32"/>
  <c r="F173" i="32"/>
  <c r="F172" i="32"/>
  <c r="F171" i="32"/>
  <c r="F170" i="32"/>
  <c r="F169" i="32"/>
  <c r="F168" i="32"/>
  <c r="F167" i="32"/>
  <c r="F166" i="32"/>
  <c r="F165" i="32"/>
  <c r="F164" i="32"/>
  <c r="F163" i="32"/>
  <c r="F162" i="32"/>
  <c r="F161" i="32"/>
  <c r="F160" i="32"/>
  <c r="F159" i="32"/>
  <c r="F158" i="32"/>
  <c r="F157" i="32"/>
  <c r="F156" i="32"/>
  <c r="F155" i="32"/>
  <c r="F154" i="32"/>
  <c r="F153" i="32"/>
  <c r="F152" i="32"/>
  <c r="F151" i="32"/>
  <c r="F150" i="32"/>
  <c r="F149" i="32"/>
  <c r="F148" i="32"/>
  <c r="F147" i="32"/>
  <c r="F146" i="32"/>
  <c r="F145" i="32"/>
  <c r="F144" i="32"/>
  <c r="F143" i="32"/>
  <c r="F142" i="32"/>
  <c r="F141" i="32"/>
  <c r="F140" i="32"/>
  <c r="F139" i="32"/>
  <c r="F138" i="32"/>
  <c r="F137" i="32"/>
  <c r="F136" i="32"/>
  <c r="F135" i="32"/>
  <c r="F134" i="32"/>
  <c r="F133" i="32"/>
  <c r="F132" i="32"/>
  <c r="F131" i="32"/>
  <c r="F130" i="32"/>
  <c r="F129" i="32"/>
  <c r="F128" i="32"/>
  <c r="F127" i="32"/>
  <c r="F126" i="32"/>
  <c r="F125" i="32"/>
  <c r="F124" i="32"/>
  <c r="F123" i="32"/>
  <c r="F122" i="32"/>
  <c r="F121" i="32"/>
  <c r="F120" i="32"/>
  <c r="F119" i="32"/>
  <c r="F118" i="32"/>
  <c r="F117" i="32"/>
  <c r="F116" i="32"/>
  <c r="F115" i="32"/>
  <c r="F114" i="32"/>
  <c r="F113" i="32"/>
  <c r="F112" i="32"/>
  <c r="F111" i="32"/>
  <c r="F110" i="32"/>
  <c r="F109" i="32"/>
  <c r="F108" i="32"/>
  <c r="F107" i="32"/>
  <c r="F106" i="32"/>
  <c r="F105" i="32"/>
  <c r="F104" i="32"/>
  <c r="F103" i="32"/>
  <c r="F102" i="32"/>
  <c r="F101" i="32"/>
  <c r="F100" i="32"/>
  <c r="F99" i="32"/>
  <c r="F98" i="32"/>
  <c r="F97" i="32"/>
  <c r="F96" i="32"/>
  <c r="F95" i="32"/>
  <c r="F94" i="32"/>
  <c r="F93" i="32"/>
  <c r="F92" i="32"/>
  <c r="F91" i="32"/>
  <c r="F90" i="32"/>
  <c r="F89" i="32"/>
  <c r="F88" i="32"/>
  <c r="F87" i="32"/>
  <c r="F86" i="32"/>
  <c r="F85" i="32"/>
  <c r="F84" i="32"/>
  <c r="F83" i="32"/>
  <c r="F82" i="32"/>
  <c r="F81" i="32"/>
  <c r="F80" i="32"/>
  <c r="F79" i="32"/>
  <c r="F78" i="32"/>
  <c r="F77" i="32"/>
  <c r="F76" i="32"/>
  <c r="F75" i="32"/>
  <c r="F74" i="32"/>
  <c r="F73" i="32"/>
  <c r="F72" i="32"/>
  <c r="F71" i="32"/>
  <c r="F70" i="32"/>
  <c r="F69" i="32"/>
  <c r="F68" i="32"/>
  <c r="F67" i="32"/>
  <c r="F66" i="32"/>
  <c r="F65" i="32"/>
  <c r="F64" i="32"/>
  <c r="F63" i="32"/>
  <c r="F62" i="32"/>
  <c r="F61" i="32"/>
  <c r="F60" i="32"/>
  <c r="F59" i="32"/>
  <c r="F58" i="32"/>
  <c r="F57" i="32"/>
  <c r="F56" i="32"/>
  <c r="F55" i="32"/>
  <c r="F54" i="32"/>
  <c r="F53" i="32"/>
  <c r="F52" i="32"/>
  <c r="F51" i="32"/>
  <c r="F50" i="32"/>
  <c r="F49" i="32"/>
  <c r="F48" i="32"/>
  <c r="F47" i="32"/>
  <c r="F46" i="32"/>
  <c r="F45" i="32"/>
  <c r="F44" i="32"/>
  <c r="F43" i="32"/>
  <c r="F42" i="32"/>
  <c r="F41" i="32"/>
  <c r="F40" i="32"/>
  <c r="F39" i="32"/>
  <c r="F38" i="32"/>
  <c r="F37" i="32"/>
  <c r="F36" i="32"/>
  <c r="F35" i="32"/>
  <c r="F34" i="32"/>
  <c r="F33" i="32"/>
  <c r="F32" i="32"/>
  <c r="F31" i="32"/>
  <c r="F30" i="32"/>
  <c r="F29" i="32"/>
  <c r="F28" i="32"/>
  <c r="F27" i="32"/>
  <c r="F26" i="32"/>
  <c r="F25" i="32"/>
  <c r="F24" i="32"/>
  <c r="F23" i="32"/>
  <c r="F22" i="32"/>
  <c r="F21" i="32"/>
  <c r="F20" i="32"/>
  <c r="F19" i="32"/>
  <c r="F18" i="32"/>
  <c r="F17" i="32"/>
  <c r="F16" i="32"/>
  <c r="F15" i="32"/>
  <c r="F14" i="32"/>
  <c r="F13" i="32"/>
  <c r="F12" i="32"/>
  <c r="F11" i="32"/>
  <c r="F10" i="32"/>
  <c r="F9" i="32"/>
  <c r="F8" i="32"/>
  <c r="F7" i="32"/>
  <c r="F6" i="32"/>
  <c r="F5" i="32"/>
  <c r="G1769" i="30"/>
  <c r="H1769" i="30" s="1"/>
  <c r="F1769" i="30"/>
  <c r="E1769" i="30"/>
  <c r="G1768" i="30"/>
  <c r="H1768" i="30" s="1"/>
  <c r="F1768" i="30"/>
  <c r="E1768" i="30"/>
  <c r="G1767" i="30"/>
  <c r="H1767" i="30" s="1"/>
  <c r="F1767" i="30"/>
  <c r="E1767" i="30"/>
  <c r="G1766" i="30"/>
  <c r="H1766" i="30" s="1"/>
  <c r="F1766" i="30"/>
  <c r="E1766" i="30"/>
  <c r="G1765" i="30"/>
  <c r="H1765" i="30" s="1"/>
  <c r="F1765" i="30"/>
  <c r="E1765" i="30"/>
  <c r="G1764" i="30"/>
  <c r="H1764" i="30" s="1"/>
  <c r="F1764" i="30"/>
  <c r="E1764" i="30"/>
  <c r="G1763" i="30"/>
  <c r="H1763" i="30" s="1"/>
  <c r="F1763" i="30"/>
  <c r="E1763" i="30"/>
  <c r="G1762" i="30"/>
  <c r="H1762" i="30" s="1"/>
  <c r="F1762" i="30"/>
  <c r="E1762" i="30"/>
  <c r="G1761" i="30"/>
  <c r="H1761" i="30" s="1"/>
  <c r="F1761" i="30"/>
  <c r="E1761" i="30"/>
  <c r="G1760" i="30"/>
  <c r="H1760" i="30" s="1"/>
  <c r="F1760" i="30"/>
  <c r="E1760" i="30"/>
  <c r="G1759" i="30"/>
  <c r="H1759" i="30" s="1"/>
  <c r="F1759" i="30"/>
  <c r="E1759" i="30"/>
  <c r="G1758" i="30"/>
  <c r="H1758" i="30" s="1"/>
  <c r="F1758" i="30"/>
  <c r="E1758" i="30"/>
  <c r="G1757" i="30"/>
  <c r="H1757" i="30" s="1"/>
  <c r="F1757" i="30"/>
  <c r="E1757" i="30"/>
  <c r="G1756" i="30"/>
  <c r="H1756" i="30" s="1"/>
  <c r="F1756" i="30"/>
  <c r="E1756" i="30"/>
  <c r="G1755" i="30"/>
  <c r="H1755" i="30" s="1"/>
  <c r="F1755" i="30"/>
  <c r="E1755" i="30"/>
  <c r="G1754" i="30"/>
  <c r="H1754" i="30" s="1"/>
  <c r="F1754" i="30"/>
  <c r="E1754" i="30"/>
  <c r="G1753" i="30"/>
  <c r="H1753" i="30" s="1"/>
  <c r="F1753" i="30"/>
  <c r="E1753" i="30"/>
  <c r="G1752" i="30"/>
  <c r="H1752" i="30" s="1"/>
  <c r="F1752" i="30"/>
  <c r="E1752" i="30"/>
  <c r="G1751" i="30"/>
  <c r="H1751" i="30" s="1"/>
  <c r="F1751" i="30"/>
  <c r="E1751" i="30"/>
  <c r="G1750" i="30"/>
  <c r="H1750" i="30" s="1"/>
  <c r="F1750" i="30"/>
  <c r="E1750" i="30"/>
  <c r="G1749" i="30"/>
  <c r="H1749" i="30" s="1"/>
  <c r="F1749" i="30"/>
  <c r="E1749" i="30"/>
  <c r="G1748" i="30"/>
  <c r="H1748" i="30" s="1"/>
  <c r="F1748" i="30"/>
  <c r="E1748" i="30"/>
  <c r="G1747" i="30"/>
  <c r="H1747" i="30" s="1"/>
  <c r="F1747" i="30"/>
  <c r="E1747" i="30"/>
  <c r="G1746" i="30"/>
  <c r="H1746" i="30" s="1"/>
  <c r="F1746" i="30"/>
  <c r="E1746" i="30"/>
  <c r="G1745" i="30"/>
  <c r="H1745" i="30" s="1"/>
  <c r="F1745" i="30"/>
  <c r="E1745" i="30"/>
  <c r="G1744" i="30"/>
  <c r="H1744" i="30" s="1"/>
  <c r="F1744" i="30"/>
  <c r="E1744" i="30"/>
  <c r="G1743" i="30"/>
  <c r="H1743" i="30" s="1"/>
  <c r="F1743" i="30"/>
  <c r="E1743" i="30"/>
  <c r="G1742" i="30"/>
  <c r="H1742" i="30" s="1"/>
  <c r="F1742" i="30"/>
  <c r="E1742" i="30"/>
  <c r="G1741" i="30"/>
  <c r="H1741" i="30" s="1"/>
  <c r="F1741" i="30"/>
  <c r="E1741" i="30"/>
  <c r="G1740" i="30"/>
  <c r="H1740" i="30" s="1"/>
  <c r="F1740" i="30"/>
  <c r="E1740" i="30"/>
  <c r="G1739" i="30"/>
  <c r="H1739" i="30" s="1"/>
  <c r="F1739" i="30"/>
  <c r="E1739" i="30"/>
  <c r="G1738" i="30"/>
  <c r="H1738" i="30" s="1"/>
  <c r="F1738" i="30"/>
  <c r="E1738" i="30"/>
  <c r="G1737" i="30"/>
  <c r="H1737" i="30" s="1"/>
  <c r="F1737" i="30"/>
  <c r="E1737" i="30"/>
  <c r="G1736" i="30"/>
  <c r="H1736" i="30" s="1"/>
  <c r="F1736" i="30"/>
  <c r="E1736" i="30"/>
  <c r="G1735" i="30"/>
  <c r="H1735" i="30" s="1"/>
  <c r="F1735" i="30"/>
  <c r="E1735" i="30"/>
  <c r="G1734" i="30"/>
  <c r="H1734" i="30" s="1"/>
  <c r="F1734" i="30"/>
  <c r="E1734" i="30"/>
  <c r="G1733" i="30"/>
  <c r="H1733" i="30" s="1"/>
  <c r="F1733" i="30"/>
  <c r="E1733" i="30"/>
  <c r="G1732" i="30"/>
  <c r="H1732" i="30" s="1"/>
  <c r="F1732" i="30"/>
  <c r="E1732" i="30"/>
  <c r="G1731" i="30"/>
  <c r="H1731" i="30" s="1"/>
  <c r="F1731" i="30"/>
  <c r="E1731" i="30"/>
  <c r="G1730" i="30"/>
  <c r="H1730" i="30" s="1"/>
  <c r="F1730" i="30"/>
  <c r="E1730" i="30"/>
  <c r="G1729" i="30"/>
  <c r="H1729" i="30" s="1"/>
  <c r="F1729" i="30"/>
  <c r="E1729" i="30"/>
  <c r="G1728" i="30"/>
  <c r="H1728" i="30" s="1"/>
  <c r="F1728" i="30"/>
  <c r="E1728" i="30"/>
  <c r="G1727" i="30"/>
  <c r="H1727" i="30" s="1"/>
  <c r="F1727" i="30"/>
  <c r="E1727" i="30"/>
  <c r="G1726" i="30"/>
  <c r="H1726" i="30" s="1"/>
  <c r="F1726" i="30"/>
  <c r="E1726" i="30"/>
  <c r="G1725" i="30"/>
  <c r="H1725" i="30" s="1"/>
  <c r="F1725" i="30"/>
  <c r="E1725" i="30"/>
  <c r="G1724" i="30"/>
  <c r="H1724" i="30" s="1"/>
  <c r="F1724" i="30"/>
  <c r="E1724" i="30"/>
  <c r="G1723" i="30"/>
  <c r="H1723" i="30" s="1"/>
  <c r="F1723" i="30"/>
  <c r="E1723" i="30"/>
  <c r="G1722" i="30"/>
  <c r="H1722" i="30" s="1"/>
  <c r="F1722" i="30"/>
  <c r="E1722" i="30"/>
  <c r="G1721" i="30"/>
  <c r="H1721" i="30" s="1"/>
  <c r="F1721" i="30"/>
  <c r="E1721" i="30"/>
  <c r="G1720" i="30"/>
  <c r="H1720" i="30" s="1"/>
  <c r="F1720" i="30"/>
  <c r="E1720" i="30"/>
  <c r="G1719" i="30"/>
  <c r="H1719" i="30" s="1"/>
  <c r="F1719" i="30"/>
  <c r="E1719" i="30"/>
  <c r="G1718" i="30"/>
  <c r="H1718" i="30" s="1"/>
  <c r="F1718" i="30"/>
  <c r="E1718" i="30"/>
  <c r="G1717" i="30"/>
  <c r="H1717" i="30" s="1"/>
  <c r="F1717" i="30"/>
  <c r="E1717" i="30"/>
  <c r="G1716" i="30"/>
  <c r="H1716" i="30" s="1"/>
  <c r="F1716" i="30"/>
  <c r="E1716" i="30"/>
  <c r="G1715" i="30"/>
  <c r="H1715" i="30" s="1"/>
  <c r="F1715" i="30"/>
  <c r="E1715" i="30"/>
  <c r="G1714" i="30"/>
  <c r="H1714" i="30" s="1"/>
  <c r="F1714" i="30"/>
  <c r="E1714" i="30"/>
  <c r="G1713" i="30"/>
  <c r="H1713" i="30" s="1"/>
  <c r="F1713" i="30"/>
  <c r="E1713" i="30"/>
  <c r="G1712" i="30"/>
  <c r="H1712" i="30" s="1"/>
  <c r="F1712" i="30"/>
  <c r="E1712" i="30"/>
  <c r="G1711" i="30"/>
  <c r="H1711" i="30" s="1"/>
  <c r="F1711" i="30"/>
  <c r="E1711" i="30"/>
  <c r="G1710" i="30"/>
  <c r="H1710" i="30" s="1"/>
  <c r="F1710" i="30"/>
  <c r="E1710" i="30"/>
  <c r="G1709" i="30"/>
  <c r="H1709" i="30" s="1"/>
  <c r="F1709" i="30"/>
  <c r="E1709" i="30"/>
  <c r="G1708" i="30"/>
  <c r="H1708" i="30" s="1"/>
  <c r="F1708" i="30"/>
  <c r="E1708" i="30"/>
  <c r="G1707" i="30"/>
  <c r="H1707" i="30" s="1"/>
  <c r="F1707" i="30"/>
  <c r="E1707" i="30"/>
  <c r="G1706" i="30"/>
  <c r="H1706" i="30" s="1"/>
  <c r="F1706" i="30"/>
  <c r="E1706" i="30"/>
  <c r="G1705" i="30"/>
  <c r="H1705" i="30" s="1"/>
  <c r="F1705" i="30"/>
  <c r="E1705" i="30"/>
  <c r="G1704" i="30"/>
  <c r="H1704" i="30" s="1"/>
  <c r="F1704" i="30"/>
  <c r="E1704" i="30"/>
  <c r="G1703" i="30"/>
  <c r="H1703" i="30" s="1"/>
  <c r="F1703" i="30"/>
  <c r="E1703" i="30"/>
  <c r="G1702" i="30"/>
  <c r="H1702" i="30" s="1"/>
  <c r="F1702" i="30"/>
  <c r="E1702" i="30"/>
  <c r="G1701" i="30"/>
  <c r="H1701" i="30" s="1"/>
  <c r="F1701" i="30"/>
  <c r="E1701" i="30"/>
  <c r="G1700" i="30"/>
  <c r="H1700" i="30" s="1"/>
  <c r="F1700" i="30"/>
  <c r="E1700" i="30"/>
  <c r="G1699" i="30"/>
  <c r="H1699" i="30" s="1"/>
  <c r="F1699" i="30"/>
  <c r="E1699" i="30"/>
  <c r="G1698" i="30"/>
  <c r="H1698" i="30" s="1"/>
  <c r="F1698" i="30"/>
  <c r="E1698" i="30"/>
  <c r="G1697" i="30"/>
  <c r="H1697" i="30" s="1"/>
  <c r="F1697" i="30"/>
  <c r="E1697" i="30"/>
  <c r="G1696" i="30"/>
  <c r="H1696" i="30" s="1"/>
  <c r="F1696" i="30"/>
  <c r="E1696" i="30"/>
  <c r="G1695" i="30"/>
  <c r="H1695" i="30" s="1"/>
  <c r="F1695" i="30"/>
  <c r="E1695" i="30"/>
  <c r="G1694" i="30"/>
  <c r="H1694" i="30" s="1"/>
  <c r="F1694" i="30"/>
  <c r="E1694" i="30"/>
  <c r="G1693" i="30"/>
  <c r="H1693" i="30" s="1"/>
  <c r="F1693" i="30"/>
  <c r="E1693" i="30"/>
  <c r="G1692" i="30"/>
  <c r="H1692" i="30" s="1"/>
  <c r="F1692" i="30"/>
  <c r="E1692" i="30"/>
  <c r="G1691" i="30"/>
  <c r="H1691" i="30" s="1"/>
  <c r="F1691" i="30"/>
  <c r="E1691" i="30"/>
  <c r="G1690" i="30"/>
  <c r="H1690" i="30" s="1"/>
  <c r="F1690" i="30"/>
  <c r="E1690" i="30"/>
  <c r="G1689" i="30"/>
  <c r="H1689" i="30" s="1"/>
  <c r="F1689" i="30"/>
  <c r="E1689" i="30"/>
  <c r="G1688" i="30"/>
  <c r="H1688" i="30" s="1"/>
  <c r="F1688" i="30"/>
  <c r="E1688" i="30"/>
  <c r="G1687" i="30"/>
  <c r="H1687" i="30" s="1"/>
  <c r="F1687" i="30"/>
  <c r="E1687" i="30"/>
  <c r="G1686" i="30"/>
  <c r="H1686" i="30" s="1"/>
  <c r="F1686" i="30"/>
  <c r="E1686" i="30"/>
  <c r="G1685" i="30"/>
  <c r="H1685" i="30" s="1"/>
  <c r="F1685" i="30"/>
  <c r="E1685" i="30"/>
  <c r="G1684" i="30"/>
  <c r="H1684" i="30" s="1"/>
  <c r="F1684" i="30"/>
  <c r="E1684" i="30"/>
  <c r="G1683" i="30"/>
  <c r="H1683" i="30" s="1"/>
  <c r="F1683" i="30"/>
  <c r="E1683" i="30"/>
  <c r="G1682" i="30"/>
  <c r="H1682" i="30" s="1"/>
  <c r="F1682" i="30"/>
  <c r="E1682" i="30"/>
  <c r="G1681" i="30"/>
  <c r="H1681" i="30" s="1"/>
  <c r="F1681" i="30"/>
  <c r="E1681" i="30"/>
  <c r="G1680" i="30"/>
  <c r="H1680" i="30" s="1"/>
  <c r="F1680" i="30"/>
  <c r="E1680" i="30"/>
  <c r="G1679" i="30"/>
  <c r="H1679" i="30" s="1"/>
  <c r="F1679" i="30"/>
  <c r="E1679" i="30"/>
  <c r="G1678" i="30"/>
  <c r="H1678" i="30" s="1"/>
  <c r="F1678" i="30"/>
  <c r="E1678" i="30"/>
  <c r="G1677" i="30"/>
  <c r="H1677" i="30" s="1"/>
  <c r="F1677" i="30"/>
  <c r="E1677" i="30"/>
  <c r="G1676" i="30"/>
  <c r="H1676" i="30" s="1"/>
  <c r="F1676" i="30"/>
  <c r="E1676" i="30"/>
  <c r="G1675" i="30"/>
  <c r="H1675" i="30" s="1"/>
  <c r="F1675" i="30"/>
  <c r="E1675" i="30"/>
  <c r="G1674" i="30"/>
  <c r="H1674" i="30" s="1"/>
  <c r="F1674" i="30"/>
  <c r="E1674" i="30"/>
  <c r="G1673" i="30"/>
  <c r="H1673" i="30" s="1"/>
  <c r="F1673" i="30"/>
  <c r="E1673" i="30"/>
  <c r="G1672" i="30"/>
  <c r="H1672" i="30" s="1"/>
  <c r="F1672" i="30"/>
  <c r="E1672" i="30"/>
  <c r="G1671" i="30"/>
  <c r="H1671" i="30" s="1"/>
  <c r="F1671" i="30"/>
  <c r="E1671" i="30"/>
  <c r="G1670" i="30"/>
  <c r="H1670" i="30" s="1"/>
  <c r="F1670" i="30"/>
  <c r="E1670" i="30"/>
  <c r="G1669" i="30"/>
  <c r="H1669" i="30" s="1"/>
  <c r="F1669" i="30"/>
  <c r="E1669" i="30"/>
  <c r="G1668" i="30"/>
  <c r="H1668" i="30" s="1"/>
  <c r="F1668" i="30"/>
  <c r="E1668" i="30"/>
  <c r="G1667" i="30"/>
  <c r="H1667" i="30" s="1"/>
  <c r="F1667" i="30"/>
  <c r="E1667" i="30"/>
  <c r="G1666" i="30"/>
  <c r="H1666" i="30" s="1"/>
  <c r="F1666" i="30"/>
  <c r="E1666" i="30"/>
  <c r="G1665" i="30"/>
  <c r="H1665" i="30" s="1"/>
  <c r="F1665" i="30"/>
  <c r="E1665" i="30"/>
  <c r="G1664" i="30"/>
  <c r="H1664" i="30" s="1"/>
  <c r="F1664" i="30"/>
  <c r="E1664" i="30"/>
  <c r="G1663" i="30"/>
  <c r="H1663" i="30" s="1"/>
  <c r="F1663" i="30"/>
  <c r="E1663" i="30"/>
  <c r="G1662" i="30"/>
  <c r="H1662" i="30" s="1"/>
  <c r="F1662" i="30"/>
  <c r="E1662" i="30"/>
  <c r="G1661" i="30"/>
  <c r="H1661" i="30" s="1"/>
  <c r="F1661" i="30"/>
  <c r="E1661" i="30"/>
  <c r="G1660" i="30"/>
  <c r="H1660" i="30" s="1"/>
  <c r="F1660" i="30"/>
  <c r="E1660" i="30"/>
  <c r="G1659" i="30"/>
  <c r="H1659" i="30" s="1"/>
  <c r="F1659" i="30"/>
  <c r="E1659" i="30"/>
  <c r="G1658" i="30"/>
  <c r="H1658" i="30" s="1"/>
  <c r="F1658" i="30"/>
  <c r="E1658" i="30"/>
  <c r="G1657" i="30"/>
  <c r="H1657" i="30" s="1"/>
  <c r="F1657" i="30"/>
  <c r="E1657" i="30"/>
  <c r="G1656" i="30"/>
  <c r="H1656" i="30" s="1"/>
  <c r="F1656" i="30"/>
  <c r="E1656" i="30"/>
  <c r="G1655" i="30"/>
  <c r="H1655" i="30" s="1"/>
  <c r="F1655" i="30"/>
  <c r="E1655" i="30"/>
  <c r="G1654" i="30"/>
  <c r="H1654" i="30" s="1"/>
  <c r="F1654" i="30"/>
  <c r="E1654" i="30"/>
  <c r="G1653" i="30"/>
  <c r="H1653" i="30" s="1"/>
  <c r="F1653" i="30"/>
  <c r="E1653" i="30"/>
  <c r="G1652" i="30"/>
  <c r="H1652" i="30" s="1"/>
  <c r="F1652" i="30"/>
  <c r="E1652" i="30"/>
  <c r="G1651" i="30"/>
  <c r="H1651" i="30" s="1"/>
  <c r="F1651" i="30"/>
  <c r="E1651" i="30"/>
  <c r="G1650" i="30"/>
  <c r="H1650" i="30" s="1"/>
  <c r="F1650" i="30"/>
  <c r="E1650" i="30"/>
  <c r="G1649" i="30"/>
  <c r="H1649" i="30" s="1"/>
  <c r="F1649" i="30"/>
  <c r="E1649" i="30"/>
  <c r="G1648" i="30"/>
  <c r="H1648" i="30" s="1"/>
  <c r="F1648" i="30"/>
  <c r="E1648" i="30"/>
  <c r="G1647" i="30"/>
  <c r="H1647" i="30" s="1"/>
  <c r="F1647" i="30"/>
  <c r="E1647" i="30"/>
  <c r="G1646" i="30"/>
  <c r="H1646" i="30" s="1"/>
  <c r="F1646" i="30"/>
  <c r="E1646" i="30"/>
  <c r="G1645" i="30"/>
  <c r="H1645" i="30" s="1"/>
  <c r="F1645" i="30"/>
  <c r="E1645" i="30"/>
  <c r="G1644" i="30"/>
  <c r="H1644" i="30" s="1"/>
  <c r="F1644" i="30"/>
  <c r="E1644" i="30"/>
  <c r="G1643" i="30"/>
  <c r="H1643" i="30" s="1"/>
  <c r="F1643" i="30"/>
  <c r="E1643" i="30"/>
  <c r="G1642" i="30"/>
  <c r="H1642" i="30" s="1"/>
  <c r="F1642" i="30"/>
  <c r="E1642" i="30"/>
  <c r="G1641" i="30"/>
  <c r="H1641" i="30" s="1"/>
  <c r="F1641" i="30"/>
  <c r="E1641" i="30"/>
  <c r="G1640" i="30"/>
  <c r="H1640" i="30" s="1"/>
  <c r="F1640" i="30"/>
  <c r="E1640" i="30"/>
  <c r="G1639" i="30"/>
  <c r="H1639" i="30" s="1"/>
  <c r="F1639" i="30"/>
  <c r="E1639" i="30"/>
  <c r="G1638" i="30"/>
  <c r="H1638" i="30" s="1"/>
  <c r="F1638" i="30"/>
  <c r="E1638" i="30"/>
  <c r="G1637" i="30"/>
  <c r="H1637" i="30" s="1"/>
  <c r="F1637" i="30"/>
  <c r="E1637" i="30"/>
  <c r="G1636" i="30"/>
  <c r="H1636" i="30" s="1"/>
  <c r="F1636" i="30"/>
  <c r="E1636" i="30"/>
  <c r="G1635" i="30"/>
  <c r="H1635" i="30" s="1"/>
  <c r="F1635" i="30"/>
  <c r="E1635" i="30"/>
  <c r="G1634" i="30"/>
  <c r="H1634" i="30" s="1"/>
  <c r="F1634" i="30"/>
  <c r="E1634" i="30"/>
  <c r="G1633" i="30"/>
  <c r="H1633" i="30" s="1"/>
  <c r="F1633" i="30"/>
  <c r="E1633" i="30"/>
  <c r="G1632" i="30"/>
  <c r="H1632" i="30" s="1"/>
  <c r="F1632" i="30"/>
  <c r="E1632" i="30"/>
  <c r="G1631" i="30"/>
  <c r="H1631" i="30" s="1"/>
  <c r="F1631" i="30"/>
  <c r="E1631" i="30"/>
  <c r="G1630" i="30"/>
  <c r="H1630" i="30" s="1"/>
  <c r="F1630" i="30"/>
  <c r="E1630" i="30"/>
  <c r="G1629" i="30"/>
  <c r="H1629" i="30" s="1"/>
  <c r="F1629" i="30"/>
  <c r="E1629" i="30"/>
  <c r="G1628" i="30"/>
  <c r="H1628" i="30" s="1"/>
  <c r="F1628" i="30"/>
  <c r="E1628" i="30"/>
  <c r="G1627" i="30"/>
  <c r="H1627" i="30" s="1"/>
  <c r="F1627" i="30"/>
  <c r="E1627" i="30"/>
  <c r="G1626" i="30"/>
  <c r="H1626" i="30" s="1"/>
  <c r="F1626" i="30"/>
  <c r="E1626" i="30"/>
  <c r="G1625" i="30"/>
  <c r="H1625" i="30" s="1"/>
  <c r="F1625" i="30"/>
  <c r="E1625" i="30"/>
  <c r="G1624" i="30"/>
  <c r="H1624" i="30" s="1"/>
  <c r="F1624" i="30"/>
  <c r="E1624" i="30"/>
  <c r="G1623" i="30"/>
  <c r="H1623" i="30" s="1"/>
  <c r="F1623" i="30"/>
  <c r="E1623" i="30"/>
  <c r="G1622" i="30"/>
  <c r="H1622" i="30" s="1"/>
  <c r="F1622" i="30"/>
  <c r="E1622" i="30"/>
  <c r="G1621" i="30"/>
  <c r="H1621" i="30" s="1"/>
  <c r="F1621" i="30"/>
  <c r="E1621" i="30"/>
  <c r="G1620" i="30"/>
  <c r="H1620" i="30" s="1"/>
  <c r="F1620" i="30"/>
  <c r="E1620" i="30"/>
  <c r="G1619" i="30"/>
  <c r="H1619" i="30" s="1"/>
  <c r="F1619" i="30"/>
  <c r="E1619" i="30"/>
  <c r="G1618" i="30"/>
  <c r="H1618" i="30" s="1"/>
  <c r="F1618" i="30"/>
  <c r="E1618" i="30"/>
  <c r="G1617" i="30"/>
  <c r="H1617" i="30" s="1"/>
  <c r="F1617" i="30"/>
  <c r="E1617" i="30"/>
  <c r="G1616" i="30"/>
  <c r="H1616" i="30" s="1"/>
  <c r="F1616" i="30"/>
  <c r="E1616" i="30"/>
  <c r="G1615" i="30"/>
  <c r="H1615" i="30" s="1"/>
  <c r="F1615" i="30"/>
  <c r="E1615" i="30"/>
  <c r="G1614" i="30"/>
  <c r="H1614" i="30" s="1"/>
  <c r="F1614" i="30"/>
  <c r="E1614" i="30"/>
  <c r="G1613" i="30"/>
  <c r="H1613" i="30" s="1"/>
  <c r="F1613" i="30"/>
  <c r="E1613" i="30"/>
  <c r="G1612" i="30"/>
  <c r="H1612" i="30" s="1"/>
  <c r="F1612" i="30"/>
  <c r="E1612" i="30"/>
  <c r="G1611" i="30"/>
  <c r="H1611" i="30" s="1"/>
  <c r="F1611" i="30"/>
  <c r="E1611" i="30"/>
  <c r="G1610" i="30"/>
  <c r="H1610" i="30" s="1"/>
  <c r="F1610" i="30"/>
  <c r="E1610" i="30"/>
  <c r="G1609" i="30"/>
  <c r="H1609" i="30" s="1"/>
  <c r="F1609" i="30"/>
  <c r="E1609" i="30"/>
  <c r="G1608" i="30"/>
  <c r="H1608" i="30" s="1"/>
  <c r="F1608" i="30"/>
  <c r="E1608" i="30"/>
  <c r="G1607" i="30"/>
  <c r="H1607" i="30" s="1"/>
  <c r="F1607" i="30"/>
  <c r="E1607" i="30"/>
  <c r="G1606" i="30"/>
  <c r="H1606" i="30" s="1"/>
  <c r="F1606" i="30"/>
  <c r="E1606" i="30"/>
  <c r="G1605" i="30"/>
  <c r="H1605" i="30" s="1"/>
  <c r="F1605" i="30"/>
  <c r="E1605" i="30"/>
  <c r="G1604" i="30"/>
  <c r="H1604" i="30" s="1"/>
  <c r="F1604" i="30"/>
  <c r="E1604" i="30"/>
  <c r="G1603" i="30"/>
  <c r="H1603" i="30" s="1"/>
  <c r="F1603" i="30"/>
  <c r="E1603" i="30"/>
  <c r="G1602" i="30"/>
  <c r="H1602" i="30" s="1"/>
  <c r="F1602" i="30"/>
  <c r="E1602" i="30"/>
  <c r="G1601" i="30"/>
  <c r="H1601" i="30" s="1"/>
  <c r="F1601" i="30"/>
  <c r="E1601" i="30"/>
  <c r="G1600" i="30"/>
  <c r="H1600" i="30" s="1"/>
  <c r="F1600" i="30"/>
  <c r="E1600" i="30"/>
  <c r="G1599" i="30"/>
  <c r="H1599" i="30" s="1"/>
  <c r="F1599" i="30"/>
  <c r="E1599" i="30"/>
  <c r="G1598" i="30"/>
  <c r="H1598" i="30" s="1"/>
  <c r="F1598" i="30"/>
  <c r="E1598" i="30"/>
  <c r="G1597" i="30"/>
  <c r="H1597" i="30" s="1"/>
  <c r="F1597" i="30"/>
  <c r="E1597" i="30"/>
  <c r="G1596" i="30"/>
  <c r="H1596" i="30" s="1"/>
  <c r="F1596" i="30"/>
  <c r="E1596" i="30"/>
  <c r="G1595" i="30"/>
  <c r="H1595" i="30" s="1"/>
  <c r="F1595" i="30"/>
  <c r="E1595" i="30"/>
  <c r="G1594" i="30"/>
  <c r="H1594" i="30" s="1"/>
  <c r="F1594" i="30"/>
  <c r="E1594" i="30"/>
  <c r="G1593" i="30"/>
  <c r="H1593" i="30" s="1"/>
  <c r="F1593" i="30"/>
  <c r="E1593" i="30"/>
  <c r="G1592" i="30"/>
  <c r="H1592" i="30" s="1"/>
  <c r="F1592" i="30"/>
  <c r="E1592" i="30"/>
  <c r="G1591" i="30"/>
  <c r="H1591" i="30" s="1"/>
  <c r="F1591" i="30"/>
  <c r="E1591" i="30"/>
  <c r="G1590" i="30"/>
  <c r="H1590" i="30" s="1"/>
  <c r="F1590" i="30"/>
  <c r="E1590" i="30"/>
  <c r="G1589" i="30"/>
  <c r="H1589" i="30" s="1"/>
  <c r="F1589" i="30"/>
  <c r="E1589" i="30"/>
  <c r="G1588" i="30"/>
  <c r="H1588" i="30" s="1"/>
  <c r="F1588" i="30"/>
  <c r="E1588" i="30"/>
  <c r="G1587" i="30"/>
  <c r="H1587" i="30" s="1"/>
  <c r="F1587" i="30"/>
  <c r="E1587" i="30"/>
  <c r="G1586" i="30"/>
  <c r="H1586" i="30" s="1"/>
  <c r="F1586" i="30"/>
  <c r="E1586" i="30"/>
  <c r="G1585" i="30"/>
  <c r="H1585" i="30" s="1"/>
  <c r="F1585" i="30"/>
  <c r="E1585" i="30"/>
  <c r="G1584" i="30"/>
  <c r="H1584" i="30" s="1"/>
  <c r="F1584" i="30"/>
  <c r="E1584" i="30"/>
  <c r="G1583" i="30"/>
  <c r="H1583" i="30" s="1"/>
  <c r="F1583" i="30"/>
  <c r="E1583" i="30"/>
  <c r="G1582" i="30"/>
  <c r="H1582" i="30" s="1"/>
  <c r="F1582" i="30"/>
  <c r="E1582" i="30"/>
  <c r="G1581" i="30"/>
  <c r="H1581" i="30" s="1"/>
  <c r="F1581" i="30"/>
  <c r="E1581" i="30"/>
  <c r="G1580" i="30"/>
  <c r="H1580" i="30" s="1"/>
  <c r="F1580" i="30"/>
  <c r="E1580" i="30"/>
  <c r="G1579" i="30"/>
  <c r="H1579" i="30" s="1"/>
  <c r="F1579" i="30"/>
  <c r="E1579" i="30"/>
  <c r="G1578" i="30"/>
  <c r="H1578" i="30" s="1"/>
  <c r="F1578" i="30"/>
  <c r="E1578" i="30"/>
  <c r="G1577" i="30"/>
  <c r="H1577" i="30" s="1"/>
  <c r="F1577" i="30"/>
  <c r="E1577" i="30"/>
  <c r="G1576" i="30"/>
  <c r="H1576" i="30" s="1"/>
  <c r="F1576" i="30"/>
  <c r="E1576" i="30"/>
  <c r="G1575" i="30"/>
  <c r="H1575" i="30" s="1"/>
  <c r="F1575" i="30"/>
  <c r="E1575" i="30"/>
  <c r="G1574" i="30"/>
  <c r="H1574" i="30" s="1"/>
  <c r="F1574" i="30"/>
  <c r="E1574" i="30"/>
  <c r="G1573" i="30"/>
  <c r="H1573" i="30" s="1"/>
  <c r="F1573" i="30"/>
  <c r="E1573" i="30"/>
  <c r="G1572" i="30"/>
  <c r="H1572" i="30" s="1"/>
  <c r="F1572" i="30"/>
  <c r="E1572" i="30"/>
  <c r="G1571" i="30"/>
  <c r="H1571" i="30" s="1"/>
  <c r="F1571" i="30"/>
  <c r="E1571" i="30"/>
  <c r="G1570" i="30"/>
  <c r="H1570" i="30" s="1"/>
  <c r="F1570" i="30"/>
  <c r="E1570" i="30"/>
  <c r="G1569" i="30"/>
  <c r="H1569" i="30" s="1"/>
  <c r="F1569" i="30"/>
  <c r="E1569" i="30"/>
  <c r="G1568" i="30"/>
  <c r="H1568" i="30" s="1"/>
  <c r="F1568" i="30"/>
  <c r="E1568" i="30"/>
  <c r="G1567" i="30"/>
  <c r="H1567" i="30" s="1"/>
  <c r="F1567" i="30"/>
  <c r="E1567" i="30"/>
  <c r="G1566" i="30"/>
  <c r="H1566" i="30" s="1"/>
  <c r="F1566" i="30"/>
  <c r="E1566" i="30"/>
  <c r="G1565" i="30"/>
  <c r="H1565" i="30" s="1"/>
  <c r="F1565" i="30"/>
  <c r="E1565" i="30"/>
  <c r="G1564" i="30"/>
  <c r="H1564" i="30" s="1"/>
  <c r="F1564" i="30"/>
  <c r="E1564" i="30"/>
  <c r="G1563" i="30"/>
  <c r="H1563" i="30" s="1"/>
  <c r="F1563" i="30"/>
  <c r="E1563" i="30"/>
  <c r="G1562" i="30"/>
  <c r="H1562" i="30" s="1"/>
  <c r="F1562" i="30"/>
  <c r="E1562" i="30"/>
  <c r="G1561" i="30"/>
  <c r="H1561" i="30" s="1"/>
  <c r="F1561" i="30"/>
  <c r="E1561" i="30"/>
  <c r="G1560" i="30"/>
  <c r="H1560" i="30" s="1"/>
  <c r="F1560" i="30"/>
  <c r="E1560" i="30"/>
  <c r="G1559" i="30"/>
  <c r="H1559" i="30" s="1"/>
  <c r="F1559" i="30"/>
  <c r="E1559" i="30"/>
  <c r="G1558" i="30"/>
  <c r="H1558" i="30" s="1"/>
  <c r="F1558" i="30"/>
  <c r="E1558" i="30"/>
  <c r="G1557" i="30"/>
  <c r="H1557" i="30" s="1"/>
  <c r="F1557" i="30"/>
  <c r="E1557" i="30"/>
  <c r="G1556" i="30"/>
  <c r="H1556" i="30" s="1"/>
  <c r="F1556" i="30"/>
  <c r="E1556" i="30"/>
  <c r="G1555" i="30"/>
  <c r="H1555" i="30" s="1"/>
  <c r="F1555" i="30"/>
  <c r="E1555" i="30"/>
  <c r="G1554" i="30"/>
  <c r="H1554" i="30" s="1"/>
  <c r="F1554" i="30"/>
  <c r="E1554" i="30"/>
  <c r="G1553" i="30"/>
  <c r="H1553" i="30" s="1"/>
  <c r="F1553" i="30"/>
  <c r="E1553" i="30"/>
  <c r="G1552" i="30"/>
  <c r="H1552" i="30" s="1"/>
  <c r="F1552" i="30"/>
  <c r="E1552" i="30"/>
  <c r="G1551" i="30"/>
  <c r="H1551" i="30" s="1"/>
  <c r="F1551" i="30"/>
  <c r="E1551" i="30"/>
  <c r="G1550" i="30"/>
  <c r="H1550" i="30" s="1"/>
  <c r="F1550" i="30"/>
  <c r="E1550" i="30"/>
  <c r="G1549" i="30"/>
  <c r="H1549" i="30" s="1"/>
  <c r="F1549" i="30"/>
  <c r="E1549" i="30"/>
  <c r="G1548" i="30"/>
  <c r="H1548" i="30" s="1"/>
  <c r="F1548" i="30"/>
  <c r="E1548" i="30"/>
  <c r="G1547" i="30"/>
  <c r="H1547" i="30" s="1"/>
  <c r="F1547" i="30"/>
  <c r="E1547" i="30"/>
  <c r="G1546" i="30"/>
  <c r="H1546" i="30" s="1"/>
  <c r="F1546" i="30"/>
  <c r="E1546" i="30"/>
  <c r="G1545" i="30"/>
  <c r="H1545" i="30" s="1"/>
  <c r="F1545" i="30"/>
  <c r="E1545" i="30"/>
  <c r="G1544" i="30"/>
  <c r="H1544" i="30" s="1"/>
  <c r="F1544" i="30"/>
  <c r="E1544" i="30"/>
  <c r="G1543" i="30"/>
  <c r="H1543" i="30" s="1"/>
  <c r="F1543" i="30"/>
  <c r="E1543" i="30"/>
  <c r="G1542" i="30"/>
  <c r="H1542" i="30" s="1"/>
  <c r="F1542" i="30"/>
  <c r="E1542" i="30"/>
  <c r="G1541" i="30"/>
  <c r="H1541" i="30" s="1"/>
  <c r="F1541" i="30"/>
  <c r="E1541" i="30"/>
  <c r="G1540" i="30"/>
  <c r="H1540" i="30" s="1"/>
  <c r="F1540" i="30"/>
  <c r="E1540" i="30"/>
  <c r="G1539" i="30"/>
  <c r="H1539" i="30" s="1"/>
  <c r="F1539" i="30"/>
  <c r="E1539" i="30"/>
  <c r="G1538" i="30"/>
  <c r="H1538" i="30" s="1"/>
  <c r="F1538" i="30"/>
  <c r="E1538" i="30"/>
  <c r="G1537" i="30"/>
  <c r="H1537" i="30" s="1"/>
  <c r="F1537" i="30"/>
  <c r="E1537" i="30"/>
  <c r="G1536" i="30"/>
  <c r="H1536" i="30" s="1"/>
  <c r="F1536" i="30"/>
  <c r="E1536" i="30"/>
  <c r="G1535" i="30"/>
  <c r="H1535" i="30" s="1"/>
  <c r="F1535" i="30"/>
  <c r="E1535" i="30"/>
  <c r="G1534" i="30"/>
  <c r="H1534" i="30" s="1"/>
  <c r="F1534" i="30"/>
  <c r="E1534" i="30"/>
  <c r="G1533" i="30"/>
  <c r="H1533" i="30" s="1"/>
  <c r="F1533" i="30"/>
  <c r="E1533" i="30"/>
  <c r="G1532" i="30"/>
  <c r="H1532" i="30" s="1"/>
  <c r="F1532" i="30"/>
  <c r="E1532" i="30"/>
  <c r="G1531" i="30"/>
  <c r="H1531" i="30" s="1"/>
  <c r="F1531" i="30"/>
  <c r="E1531" i="30"/>
  <c r="G1530" i="30"/>
  <c r="H1530" i="30" s="1"/>
  <c r="F1530" i="30"/>
  <c r="E1530" i="30"/>
  <c r="G1529" i="30"/>
  <c r="H1529" i="30" s="1"/>
  <c r="F1529" i="30"/>
  <c r="E1529" i="30"/>
  <c r="G1528" i="30"/>
  <c r="H1528" i="30" s="1"/>
  <c r="F1528" i="30"/>
  <c r="E1528" i="30"/>
  <c r="G1527" i="30"/>
  <c r="H1527" i="30" s="1"/>
  <c r="F1527" i="30"/>
  <c r="E1527" i="30"/>
  <c r="G1526" i="30"/>
  <c r="H1526" i="30" s="1"/>
  <c r="F1526" i="30"/>
  <c r="E1526" i="30"/>
  <c r="G1525" i="30"/>
  <c r="H1525" i="30" s="1"/>
  <c r="F1525" i="30"/>
  <c r="E1525" i="30"/>
  <c r="G1524" i="30"/>
  <c r="H1524" i="30" s="1"/>
  <c r="F1524" i="30"/>
  <c r="E1524" i="30"/>
  <c r="G1523" i="30"/>
  <c r="H1523" i="30" s="1"/>
  <c r="F1523" i="30"/>
  <c r="E1523" i="30"/>
  <c r="G1522" i="30"/>
  <c r="H1522" i="30" s="1"/>
  <c r="F1522" i="30"/>
  <c r="E1522" i="30"/>
  <c r="G1521" i="30"/>
  <c r="H1521" i="30" s="1"/>
  <c r="F1521" i="30"/>
  <c r="E1521" i="30"/>
  <c r="G1520" i="30"/>
  <c r="H1520" i="30" s="1"/>
  <c r="F1520" i="30"/>
  <c r="E1520" i="30"/>
  <c r="G1519" i="30"/>
  <c r="H1519" i="30" s="1"/>
  <c r="F1519" i="30"/>
  <c r="E1519" i="30"/>
  <c r="G1518" i="30"/>
  <c r="H1518" i="30" s="1"/>
  <c r="F1518" i="30"/>
  <c r="E1518" i="30"/>
  <c r="G1517" i="30"/>
  <c r="H1517" i="30" s="1"/>
  <c r="F1517" i="30"/>
  <c r="E1517" i="30"/>
  <c r="G1516" i="30"/>
  <c r="H1516" i="30" s="1"/>
  <c r="F1516" i="30"/>
  <c r="E1516" i="30"/>
  <c r="G1515" i="30"/>
  <c r="H1515" i="30" s="1"/>
  <c r="F1515" i="30"/>
  <c r="E1515" i="30"/>
  <c r="G1514" i="30"/>
  <c r="H1514" i="30" s="1"/>
  <c r="F1514" i="30"/>
  <c r="E1514" i="30"/>
  <c r="G1513" i="30"/>
  <c r="H1513" i="30" s="1"/>
  <c r="F1513" i="30"/>
  <c r="E1513" i="30"/>
  <c r="G1512" i="30"/>
  <c r="H1512" i="30" s="1"/>
  <c r="F1512" i="30"/>
  <c r="E1512" i="30"/>
  <c r="G1511" i="30"/>
  <c r="H1511" i="30" s="1"/>
  <c r="F1511" i="30"/>
  <c r="E1511" i="30"/>
  <c r="G1510" i="30"/>
  <c r="H1510" i="30" s="1"/>
  <c r="F1510" i="30"/>
  <c r="E1510" i="30"/>
  <c r="G1509" i="30"/>
  <c r="H1509" i="30" s="1"/>
  <c r="F1509" i="30"/>
  <c r="E1509" i="30"/>
  <c r="G1508" i="30"/>
  <c r="H1508" i="30" s="1"/>
  <c r="F1508" i="30"/>
  <c r="E1508" i="30"/>
  <c r="G1507" i="30"/>
  <c r="H1507" i="30" s="1"/>
  <c r="F1507" i="30"/>
  <c r="E1507" i="30"/>
  <c r="G1506" i="30"/>
  <c r="H1506" i="30" s="1"/>
  <c r="F1506" i="30"/>
  <c r="E1506" i="30"/>
  <c r="G1505" i="30"/>
  <c r="H1505" i="30" s="1"/>
  <c r="F1505" i="30"/>
  <c r="E1505" i="30"/>
  <c r="G1504" i="30"/>
  <c r="H1504" i="30" s="1"/>
  <c r="F1504" i="30"/>
  <c r="E1504" i="30"/>
  <c r="G1503" i="30"/>
  <c r="H1503" i="30" s="1"/>
  <c r="F1503" i="30"/>
  <c r="E1503" i="30"/>
  <c r="G1502" i="30"/>
  <c r="H1502" i="30" s="1"/>
  <c r="F1502" i="30"/>
  <c r="E1502" i="30"/>
  <c r="G1501" i="30"/>
  <c r="H1501" i="30" s="1"/>
  <c r="F1501" i="30"/>
  <c r="E1501" i="30"/>
  <c r="G1500" i="30"/>
  <c r="H1500" i="30" s="1"/>
  <c r="F1500" i="30"/>
  <c r="E1500" i="30"/>
  <c r="G1499" i="30"/>
  <c r="H1499" i="30" s="1"/>
  <c r="F1499" i="30"/>
  <c r="E1499" i="30"/>
  <c r="G1498" i="30"/>
  <c r="H1498" i="30" s="1"/>
  <c r="F1498" i="30"/>
  <c r="E1498" i="30"/>
  <c r="G1497" i="30"/>
  <c r="H1497" i="30" s="1"/>
  <c r="F1497" i="30"/>
  <c r="E1497" i="30"/>
  <c r="G1496" i="30"/>
  <c r="H1496" i="30" s="1"/>
  <c r="F1496" i="30"/>
  <c r="E1496" i="30"/>
  <c r="G1495" i="30"/>
  <c r="H1495" i="30" s="1"/>
  <c r="F1495" i="30"/>
  <c r="E1495" i="30"/>
  <c r="G1494" i="30"/>
  <c r="H1494" i="30" s="1"/>
  <c r="F1494" i="30"/>
  <c r="E1494" i="30"/>
  <c r="G1493" i="30"/>
  <c r="H1493" i="30" s="1"/>
  <c r="F1493" i="30"/>
  <c r="E1493" i="30"/>
  <c r="G1492" i="30"/>
  <c r="H1492" i="30" s="1"/>
  <c r="F1492" i="30"/>
  <c r="E1492" i="30"/>
  <c r="G1491" i="30"/>
  <c r="H1491" i="30" s="1"/>
  <c r="F1491" i="30"/>
  <c r="E1491" i="30"/>
  <c r="G1490" i="30"/>
  <c r="H1490" i="30" s="1"/>
  <c r="F1490" i="30"/>
  <c r="E1490" i="30"/>
  <c r="G1489" i="30"/>
  <c r="H1489" i="30" s="1"/>
  <c r="F1489" i="30"/>
  <c r="E1489" i="30"/>
  <c r="G1488" i="30"/>
  <c r="H1488" i="30" s="1"/>
  <c r="F1488" i="30"/>
  <c r="E1488" i="30"/>
  <c r="G1487" i="30"/>
  <c r="H1487" i="30" s="1"/>
  <c r="F1487" i="30"/>
  <c r="E1487" i="30"/>
  <c r="G1486" i="30"/>
  <c r="H1486" i="30" s="1"/>
  <c r="F1486" i="30"/>
  <c r="E1486" i="30"/>
  <c r="G1485" i="30"/>
  <c r="H1485" i="30" s="1"/>
  <c r="F1485" i="30"/>
  <c r="E1485" i="30"/>
  <c r="G1484" i="30"/>
  <c r="H1484" i="30" s="1"/>
  <c r="F1484" i="30"/>
  <c r="E1484" i="30"/>
  <c r="G1483" i="30"/>
  <c r="H1483" i="30" s="1"/>
  <c r="F1483" i="30"/>
  <c r="E1483" i="30"/>
  <c r="G1482" i="30"/>
  <c r="H1482" i="30" s="1"/>
  <c r="F1482" i="30"/>
  <c r="E1482" i="30"/>
  <c r="G1481" i="30"/>
  <c r="H1481" i="30" s="1"/>
  <c r="F1481" i="30"/>
  <c r="E1481" i="30"/>
  <c r="G1480" i="30"/>
  <c r="H1480" i="30" s="1"/>
  <c r="F1480" i="30"/>
  <c r="E1480" i="30"/>
  <c r="G1479" i="30"/>
  <c r="H1479" i="30" s="1"/>
  <c r="F1479" i="30"/>
  <c r="E1479" i="30"/>
  <c r="G1478" i="30"/>
  <c r="H1478" i="30" s="1"/>
  <c r="F1478" i="30"/>
  <c r="E1478" i="30"/>
  <c r="G1477" i="30"/>
  <c r="H1477" i="30" s="1"/>
  <c r="F1477" i="30"/>
  <c r="E1477" i="30"/>
  <c r="G1476" i="30"/>
  <c r="H1476" i="30" s="1"/>
  <c r="F1476" i="30"/>
  <c r="E1476" i="30"/>
  <c r="G1475" i="30"/>
  <c r="H1475" i="30" s="1"/>
  <c r="F1475" i="30"/>
  <c r="E1475" i="30"/>
  <c r="G1474" i="30"/>
  <c r="H1474" i="30" s="1"/>
  <c r="F1474" i="30"/>
  <c r="E1474" i="30"/>
  <c r="G1473" i="30"/>
  <c r="H1473" i="30" s="1"/>
  <c r="F1473" i="30"/>
  <c r="E1473" i="30"/>
  <c r="G1472" i="30"/>
  <c r="H1472" i="30" s="1"/>
  <c r="F1472" i="30"/>
  <c r="E1472" i="30"/>
  <c r="G1471" i="30"/>
  <c r="H1471" i="30" s="1"/>
  <c r="F1471" i="30"/>
  <c r="E1471" i="30"/>
  <c r="G1470" i="30"/>
  <c r="H1470" i="30" s="1"/>
  <c r="F1470" i="30"/>
  <c r="E1470" i="30"/>
  <c r="G1469" i="30"/>
  <c r="H1469" i="30" s="1"/>
  <c r="F1469" i="30"/>
  <c r="E1469" i="30"/>
  <c r="G1468" i="30"/>
  <c r="H1468" i="30" s="1"/>
  <c r="F1468" i="30"/>
  <c r="E1468" i="30"/>
  <c r="G1467" i="30"/>
  <c r="H1467" i="30" s="1"/>
  <c r="F1467" i="30"/>
  <c r="E1467" i="30"/>
  <c r="G1466" i="30"/>
  <c r="H1466" i="30" s="1"/>
  <c r="F1466" i="30"/>
  <c r="E1466" i="30"/>
  <c r="G1465" i="30"/>
  <c r="H1465" i="30" s="1"/>
  <c r="F1465" i="30"/>
  <c r="E1465" i="30"/>
  <c r="G1464" i="30"/>
  <c r="H1464" i="30" s="1"/>
  <c r="F1464" i="30"/>
  <c r="E1464" i="30"/>
  <c r="G1463" i="30"/>
  <c r="H1463" i="30" s="1"/>
  <c r="F1463" i="30"/>
  <c r="E1463" i="30"/>
  <c r="G1462" i="30"/>
  <c r="H1462" i="30" s="1"/>
  <c r="F1462" i="30"/>
  <c r="E1462" i="30"/>
  <c r="G1461" i="30"/>
  <c r="H1461" i="30" s="1"/>
  <c r="F1461" i="30"/>
  <c r="E1461" i="30"/>
  <c r="G1460" i="30"/>
  <c r="H1460" i="30" s="1"/>
  <c r="F1460" i="30"/>
  <c r="E1460" i="30"/>
  <c r="G1459" i="30"/>
  <c r="H1459" i="30" s="1"/>
  <c r="F1459" i="30"/>
  <c r="E1459" i="30"/>
  <c r="G1458" i="30"/>
  <c r="H1458" i="30" s="1"/>
  <c r="F1458" i="30"/>
  <c r="E1458" i="30"/>
  <c r="G1457" i="30"/>
  <c r="H1457" i="30" s="1"/>
  <c r="F1457" i="30"/>
  <c r="E1457" i="30"/>
  <c r="G1456" i="30"/>
  <c r="H1456" i="30" s="1"/>
  <c r="F1456" i="30"/>
  <c r="E1456" i="30"/>
  <c r="G1455" i="30"/>
  <c r="H1455" i="30" s="1"/>
  <c r="F1455" i="30"/>
  <c r="E1455" i="30"/>
  <c r="G1454" i="30"/>
  <c r="H1454" i="30" s="1"/>
  <c r="F1454" i="30"/>
  <c r="E1454" i="30"/>
  <c r="G1453" i="30"/>
  <c r="H1453" i="30" s="1"/>
  <c r="F1453" i="30"/>
  <c r="E1453" i="30"/>
  <c r="G1452" i="30"/>
  <c r="H1452" i="30" s="1"/>
  <c r="F1452" i="30"/>
  <c r="E1452" i="30"/>
  <c r="G1451" i="30"/>
  <c r="H1451" i="30" s="1"/>
  <c r="F1451" i="30"/>
  <c r="E1451" i="30"/>
  <c r="G1450" i="30"/>
  <c r="H1450" i="30" s="1"/>
  <c r="F1450" i="30"/>
  <c r="E1450" i="30"/>
  <c r="G1449" i="30"/>
  <c r="H1449" i="30" s="1"/>
  <c r="F1449" i="30"/>
  <c r="E1449" i="30"/>
  <c r="G1448" i="30"/>
  <c r="H1448" i="30" s="1"/>
  <c r="F1448" i="30"/>
  <c r="E1448" i="30"/>
  <c r="G1447" i="30"/>
  <c r="H1447" i="30" s="1"/>
  <c r="F1447" i="30"/>
  <c r="E1447" i="30"/>
  <c r="G1446" i="30"/>
  <c r="H1446" i="30" s="1"/>
  <c r="F1446" i="30"/>
  <c r="E1446" i="30"/>
  <c r="G1445" i="30"/>
  <c r="H1445" i="30" s="1"/>
  <c r="F1445" i="30"/>
  <c r="E1445" i="30"/>
  <c r="G1444" i="30"/>
  <c r="H1444" i="30" s="1"/>
  <c r="F1444" i="30"/>
  <c r="E1444" i="30"/>
  <c r="G1443" i="30"/>
  <c r="H1443" i="30" s="1"/>
  <c r="F1443" i="30"/>
  <c r="E1443" i="30"/>
  <c r="G1442" i="30"/>
  <c r="H1442" i="30" s="1"/>
  <c r="F1442" i="30"/>
  <c r="E1442" i="30"/>
  <c r="G1441" i="30"/>
  <c r="H1441" i="30" s="1"/>
  <c r="F1441" i="30"/>
  <c r="E1441" i="30"/>
  <c r="G1440" i="30"/>
  <c r="H1440" i="30" s="1"/>
  <c r="F1440" i="30"/>
  <c r="E1440" i="30"/>
  <c r="G1439" i="30"/>
  <c r="H1439" i="30" s="1"/>
  <c r="F1439" i="30"/>
  <c r="E1439" i="30"/>
  <c r="G1438" i="30"/>
  <c r="H1438" i="30" s="1"/>
  <c r="F1438" i="30"/>
  <c r="E1438" i="30"/>
  <c r="G1437" i="30"/>
  <c r="H1437" i="30" s="1"/>
  <c r="F1437" i="30"/>
  <c r="E1437" i="30"/>
  <c r="G1436" i="30"/>
  <c r="H1436" i="30" s="1"/>
  <c r="F1436" i="30"/>
  <c r="E1436" i="30"/>
  <c r="G1435" i="30"/>
  <c r="H1435" i="30" s="1"/>
  <c r="F1435" i="30"/>
  <c r="E1435" i="30"/>
  <c r="G1434" i="30"/>
  <c r="H1434" i="30" s="1"/>
  <c r="F1434" i="30"/>
  <c r="E1434" i="30"/>
  <c r="G1433" i="30"/>
  <c r="H1433" i="30" s="1"/>
  <c r="F1433" i="30"/>
  <c r="E1433" i="30"/>
  <c r="G1432" i="30"/>
  <c r="H1432" i="30" s="1"/>
  <c r="F1432" i="30"/>
  <c r="E1432" i="30"/>
  <c r="G1431" i="30"/>
  <c r="H1431" i="30" s="1"/>
  <c r="F1431" i="30"/>
  <c r="E1431" i="30"/>
  <c r="G1430" i="30"/>
  <c r="H1430" i="30" s="1"/>
  <c r="F1430" i="30"/>
  <c r="E1430" i="30"/>
  <c r="G1429" i="30"/>
  <c r="H1429" i="30" s="1"/>
  <c r="F1429" i="30"/>
  <c r="E1429" i="30"/>
  <c r="G1428" i="30"/>
  <c r="H1428" i="30" s="1"/>
  <c r="F1428" i="30"/>
  <c r="E1428" i="30"/>
  <c r="G1427" i="30"/>
  <c r="H1427" i="30" s="1"/>
  <c r="F1427" i="30"/>
  <c r="E1427" i="30"/>
  <c r="G1426" i="30"/>
  <c r="H1426" i="30" s="1"/>
  <c r="F1426" i="30"/>
  <c r="E1426" i="30"/>
  <c r="G1425" i="30"/>
  <c r="H1425" i="30" s="1"/>
  <c r="F1425" i="30"/>
  <c r="E1425" i="30"/>
  <c r="G1424" i="30"/>
  <c r="H1424" i="30" s="1"/>
  <c r="F1424" i="30"/>
  <c r="E1424" i="30"/>
  <c r="G1423" i="30"/>
  <c r="H1423" i="30" s="1"/>
  <c r="F1423" i="30"/>
  <c r="E1423" i="30"/>
  <c r="G1422" i="30"/>
  <c r="H1422" i="30" s="1"/>
  <c r="F1422" i="30"/>
  <c r="E1422" i="30"/>
  <c r="G1421" i="30"/>
  <c r="H1421" i="30" s="1"/>
  <c r="F1421" i="30"/>
  <c r="E1421" i="30"/>
  <c r="G1420" i="30"/>
  <c r="H1420" i="30" s="1"/>
  <c r="F1420" i="30"/>
  <c r="E1420" i="30"/>
  <c r="G1419" i="30"/>
  <c r="H1419" i="30" s="1"/>
  <c r="F1419" i="30"/>
  <c r="E1419" i="30"/>
  <c r="G1418" i="30"/>
  <c r="H1418" i="30" s="1"/>
  <c r="F1418" i="30"/>
  <c r="E1418" i="30"/>
  <c r="G1417" i="30"/>
  <c r="H1417" i="30" s="1"/>
  <c r="F1417" i="30"/>
  <c r="E1417" i="30"/>
  <c r="G1416" i="30"/>
  <c r="H1416" i="30" s="1"/>
  <c r="F1416" i="30"/>
  <c r="E1416" i="30"/>
  <c r="G1415" i="30"/>
  <c r="H1415" i="30" s="1"/>
  <c r="F1415" i="30"/>
  <c r="E1415" i="30"/>
  <c r="G1414" i="30"/>
  <c r="H1414" i="30" s="1"/>
  <c r="F1414" i="30"/>
  <c r="E1414" i="30"/>
  <c r="G1413" i="30"/>
  <c r="H1413" i="30" s="1"/>
  <c r="F1413" i="30"/>
  <c r="E1413" i="30"/>
  <c r="G1412" i="30"/>
  <c r="H1412" i="30" s="1"/>
  <c r="F1412" i="30"/>
  <c r="E1412" i="30"/>
  <c r="G1411" i="30"/>
  <c r="H1411" i="30" s="1"/>
  <c r="F1411" i="30"/>
  <c r="E1411" i="30"/>
  <c r="G1410" i="30"/>
  <c r="H1410" i="30" s="1"/>
  <c r="F1410" i="30"/>
  <c r="E1410" i="30"/>
  <c r="G1409" i="30"/>
  <c r="H1409" i="30" s="1"/>
  <c r="F1409" i="30"/>
  <c r="E1409" i="30"/>
  <c r="G1408" i="30"/>
  <c r="H1408" i="30" s="1"/>
  <c r="F1408" i="30"/>
  <c r="E1408" i="30"/>
  <c r="G1407" i="30"/>
  <c r="H1407" i="30" s="1"/>
  <c r="F1407" i="30"/>
  <c r="E1407" i="30"/>
  <c r="G1406" i="30"/>
  <c r="H1406" i="30" s="1"/>
  <c r="F1406" i="30"/>
  <c r="E1406" i="30"/>
  <c r="G1405" i="30"/>
  <c r="H1405" i="30" s="1"/>
  <c r="F1405" i="30"/>
  <c r="E1405" i="30"/>
  <c r="G1404" i="30"/>
  <c r="H1404" i="30" s="1"/>
  <c r="F1404" i="30"/>
  <c r="E1404" i="30"/>
  <c r="G1403" i="30"/>
  <c r="H1403" i="30" s="1"/>
  <c r="F1403" i="30"/>
  <c r="E1403" i="30"/>
  <c r="G1402" i="30"/>
  <c r="H1402" i="30" s="1"/>
  <c r="F1402" i="30"/>
  <c r="E1402" i="30"/>
  <c r="G1401" i="30"/>
  <c r="H1401" i="30" s="1"/>
  <c r="F1401" i="30"/>
  <c r="E1401" i="30"/>
  <c r="G1400" i="30"/>
  <c r="H1400" i="30" s="1"/>
  <c r="F1400" i="30"/>
  <c r="E1400" i="30"/>
  <c r="G1399" i="30"/>
  <c r="H1399" i="30" s="1"/>
  <c r="F1399" i="30"/>
  <c r="E1399" i="30"/>
  <c r="G1398" i="30"/>
  <c r="H1398" i="30" s="1"/>
  <c r="F1398" i="30"/>
  <c r="E1398" i="30"/>
  <c r="G1397" i="30"/>
  <c r="H1397" i="30" s="1"/>
  <c r="F1397" i="30"/>
  <c r="E1397" i="30"/>
  <c r="G1396" i="30"/>
  <c r="H1396" i="30" s="1"/>
  <c r="F1396" i="30"/>
  <c r="E1396" i="30"/>
  <c r="G1395" i="30"/>
  <c r="H1395" i="30" s="1"/>
  <c r="F1395" i="30"/>
  <c r="E1395" i="30"/>
  <c r="G1394" i="30"/>
  <c r="H1394" i="30" s="1"/>
  <c r="F1394" i="30"/>
  <c r="E1394" i="30"/>
  <c r="G1393" i="30"/>
  <c r="H1393" i="30" s="1"/>
  <c r="F1393" i="30"/>
  <c r="E1393" i="30"/>
  <c r="G1392" i="30"/>
  <c r="H1392" i="30" s="1"/>
  <c r="F1392" i="30"/>
  <c r="E1392" i="30"/>
  <c r="G1391" i="30"/>
  <c r="H1391" i="30" s="1"/>
  <c r="F1391" i="30"/>
  <c r="E1391" i="30"/>
  <c r="G1390" i="30"/>
  <c r="H1390" i="30" s="1"/>
  <c r="F1390" i="30"/>
  <c r="E1390" i="30"/>
  <c r="G1389" i="30"/>
  <c r="H1389" i="30" s="1"/>
  <c r="F1389" i="30"/>
  <c r="E1389" i="30"/>
  <c r="G1388" i="30"/>
  <c r="H1388" i="30" s="1"/>
  <c r="F1388" i="30"/>
  <c r="E1388" i="30"/>
  <c r="G1387" i="30"/>
  <c r="H1387" i="30" s="1"/>
  <c r="F1387" i="30"/>
  <c r="E1387" i="30"/>
  <c r="G1386" i="30"/>
  <c r="H1386" i="30" s="1"/>
  <c r="F1386" i="30"/>
  <c r="E1386" i="30"/>
  <c r="G1385" i="30"/>
  <c r="H1385" i="30" s="1"/>
  <c r="F1385" i="30"/>
  <c r="E1385" i="30"/>
  <c r="G1384" i="30"/>
  <c r="H1384" i="30" s="1"/>
  <c r="F1384" i="30"/>
  <c r="E1384" i="30"/>
  <c r="G1383" i="30"/>
  <c r="H1383" i="30" s="1"/>
  <c r="F1383" i="30"/>
  <c r="E1383" i="30"/>
  <c r="G1382" i="30"/>
  <c r="H1382" i="30" s="1"/>
  <c r="F1382" i="30"/>
  <c r="E1382" i="30"/>
  <c r="G1381" i="30"/>
  <c r="H1381" i="30" s="1"/>
  <c r="F1381" i="30"/>
  <c r="E1381" i="30"/>
  <c r="G1380" i="30"/>
  <c r="H1380" i="30" s="1"/>
  <c r="F1380" i="30"/>
  <c r="E1380" i="30"/>
  <c r="G1379" i="30"/>
  <c r="H1379" i="30" s="1"/>
  <c r="F1379" i="30"/>
  <c r="E1379" i="30"/>
  <c r="G1378" i="30"/>
  <c r="H1378" i="30" s="1"/>
  <c r="F1378" i="30"/>
  <c r="E1378" i="30"/>
  <c r="G1377" i="30"/>
  <c r="H1377" i="30" s="1"/>
  <c r="F1377" i="30"/>
  <c r="E1377" i="30"/>
  <c r="G1376" i="30"/>
  <c r="H1376" i="30" s="1"/>
  <c r="F1376" i="30"/>
  <c r="E1376" i="30"/>
  <c r="G1375" i="30"/>
  <c r="H1375" i="30" s="1"/>
  <c r="F1375" i="30"/>
  <c r="E1375" i="30"/>
  <c r="G1374" i="30"/>
  <c r="H1374" i="30" s="1"/>
  <c r="F1374" i="30"/>
  <c r="E1374" i="30"/>
  <c r="G1373" i="30"/>
  <c r="H1373" i="30" s="1"/>
  <c r="F1373" i="30"/>
  <c r="E1373" i="30"/>
  <c r="G1372" i="30"/>
  <c r="H1372" i="30" s="1"/>
  <c r="F1372" i="30"/>
  <c r="E1372" i="30"/>
  <c r="G1371" i="30"/>
  <c r="H1371" i="30" s="1"/>
  <c r="F1371" i="30"/>
  <c r="E1371" i="30"/>
  <c r="G1370" i="30"/>
  <c r="H1370" i="30" s="1"/>
  <c r="F1370" i="30"/>
  <c r="E1370" i="30"/>
  <c r="G1369" i="30"/>
  <c r="H1369" i="30" s="1"/>
  <c r="F1369" i="30"/>
  <c r="E1369" i="30"/>
  <c r="G1368" i="30"/>
  <c r="H1368" i="30" s="1"/>
  <c r="F1368" i="30"/>
  <c r="E1368" i="30"/>
  <c r="G1367" i="30"/>
  <c r="H1367" i="30" s="1"/>
  <c r="F1367" i="30"/>
  <c r="E1367" i="30"/>
  <c r="G1366" i="30"/>
  <c r="H1366" i="30" s="1"/>
  <c r="F1366" i="30"/>
  <c r="E1366" i="30"/>
  <c r="G1365" i="30"/>
  <c r="H1365" i="30" s="1"/>
  <c r="F1365" i="30"/>
  <c r="E1365" i="30"/>
  <c r="G1364" i="30"/>
  <c r="H1364" i="30" s="1"/>
  <c r="F1364" i="30"/>
  <c r="E1364" i="30"/>
  <c r="G1363" i="30"/>
  <c r="H1363" i="30" s="1"/>
  <c r="F1363" i="30"/>
  <c r="E1363" i="30"/>
  <c r="G1362" i="30"/>
  <c r="H1362" i="30" s="1"/>
  <c r="F1362" i="30"/>
  <c r="E1362" i="30"/>
  <c r="G1361" i="30"/>
  <c r="H1361" i="30" s="1"/>
  <c r="F1361" i="30"/>
  <c r="E1361" i="30"/>
  <c r="G1360" i="30"/>
  <c r="H1360" i="30" s="1"/>
  <c r="F1360" i="30"/>
  <c r="E1360" i="30"/>
  <c r="G1359" i="30"/>
  <c r="H1359" i="30" s="1"/>
  <c r="F1359" i="30"/>
  <c r="E1359" i="30"/>
  <c r="G1358" i="30"/>
  <c r="H1358" i="30" s="1"/>
  <c r="F1358" i="30"/>
  <c r="E1358" i="30"/>
  <c r="G1357" i="30"/>
  <c r="H1357" i="30" s="1"/>
  <c r="F1357" i="30"/>
  <c r="E1357" i="30"/>
  <c r="G1356" i="30"/>
  <c r="H1356" i="30" s="1"/>
  <c r="F1356" i="30"/>
  <c r="E1356" i="30"/>
  <c r="G1355" i="30"/>
  <c r="H1355" i="30" s="1"/>
  <c r="F1355" i="30"/>
  <c r="E1355" i="30"/>
  <c r="G1354" i="30"/>
  <c r="H1354" i="30" s="1"/>
  <c r="F1354" i="30"/>
  <c r="E1354" i="30"/>
  <c r="G1353" i="30"/>
  <c r="H1353" i="30" s="1"/>
  <c r="F1353" i="30"/>
  <c r="E1353" i="30"/>
  <c r="G1352" i="30"/>
  <c r="H1352" i="30" s="1"/>
  <c r="F1352" i="30"/>
  <c r="E1352" i="30"/>
  <c r="G1351" i="30"/>
  <c r="H1351" i="30" s="1"/>
  <c r="F1351" i="30"/>
  <c r="E1351" i="30"/>
  <c r="G1350" i="30"/>
  <c r="H1350" i="30" s="1"/>
  <c r="F1350" i="30"/>
  <c r="E1350" i="30"/>
  <c r="G1349" i="30"/>
  <c r="H1349" i="30" s="1"/>
  <c r="F1349" i="30"/>
  <c r="E1349" i="30"/>
  <c r="G1348" i="30"/>
  <c r="H1348" i="30" s="1"/>
  <c r="F1348" i="30"/>
  <c r="E1348" i="30"/>
  <c r="G1347" i="30"/>
  <c r="H1347" i="30" s="1"/>
  <c r="F1347" i="30"/>
  <c r="E1347" i="30"/>
  <c r="G1346" i="30"/>
  <c r="H1346" i="30" s="1"/>
  <c r="F1346" i="30"/>
  <c r="E1346" i="30"/>
  <c r="G1345" i="30"/>
  <c r="H1345" i="30" s="1"/>
  <c r="F1345" i="30"/>
  <c r="E1345" i="30"/>
  <c r="G1344" i="30"/>
  <c r="H1344" i="30" s="1"/>
  <c r="F1344" i="30"/>
  <c r="E1344" i="30"/>
  <c r="G1343" i="30"/>
  <c r="H1343" i="30" s="1"/>
  <c r="F1343" i="30"/>
  <c r="E1343" i="30"/>
  <c r="G1342" i="30"/>
  <c r="H1342" i="30" s="1"/>
  <c r="F1342" i="30"/>
  <c r="E1342" i="30"/>
  <c r="G1341" i="30"/>
  <c r="H1341" i="30" s="1"/>
  <c r="F1341" i="30"/>
  <c r="E1341" i="30"/>
  <c r="G1340" i="30"/>
  <c r="H1340" i="30" s="1"/>
  <c r="F1340" i="30"/>
  <c r="E1340" i="30"/>
  <c r="G1339" i="30"/>
  <c r="H1339" i="30" s="1"/>
  <c r="F1339" i="30"/>
  <c r="E1339" i="30"/>
  <c r="G1338" i="30"/>
  <c r="H1338" i="30" s="1"/>
  <c r="F1338" i="30"/>
  <c r="E1338" i="30"/>
  <c r="G1337" i="30"/>
  <c r="H1337" i="30" s="1"/>
  <c r="F1337" i="30"/>
  <c r="E1337" i="30"/>
  <c r="G1336" i="30"/>
  <c r="H1336" i="30" s="1"/>
  <c r="F1336" i="30"/>
  <c r="E1336" i="30"/>
  <c r="G1335" i="30"/>
  <c r="H1335" i="30" s="1"/>
  <c r="F1335" i="30"/>
  <c r="E1335" i="30"/>
  <c r="G1334" i="30"/>
  <c r="H1334" i="30" s="1"/>
  <c r="F1334" i="30"/>
  <c r="E1334" i="30"/>
  <c r="G1333" i="30"/>
  <c r="H1333" i="30" s="1"/>
  <c r="F1333" i="30"/>
  <c r="E1333" i="30"/>
  <c r="G1332" i="30"/>
  <c r="H1332" i="30" s="1"/>
  <c r="F1332" i="30"/>
  <c r="E1332" i="30"/>
  <c r="G1331" i="30"/>
  <c r="H1331" i="30" s="1"/>
  <c r="F1331" i="30"/>
  <c r="E1331" i="30"/>
  <c r="G1330" i="30"/>
  <c r="H1330" i="30" s="1"/>
  <c r="F1330" i="30"/>
  <c r="E1330" i="30"/>
  <c r="G1329" i="30"/>
  <c r="H1329" i="30" s="1"/>
  <c r="F1329" i="30"/>
  <c r="E1329" i="30"/>
  <c r="G1328" i="30"/>
  <c r="H1328" i="30" s="1"/>
  <c r="F1328" i="30"/>
  <c r="E1328" i="30"/>
  <c r="G1327" i="30"/>
  <c r="H1327" i="30" s="1"/>
  <c r="F1327" i="30"/>
  <c r="E1327" i="30"/>
  <c r="G1326" i="30"/>
  <c r="H1326" i="30" s="1"/>
  <c r="F1326" i="30"/>
  <c r="E1326" i="30"/>
  <c r="G1325" i="30"/>
  <c r="F1325" i="30"/>
  <c r="E1325" i="30"/>
  <c r="G1324" i="30"/>
  <c r="H1324" i="30" s="1"/>
  <c r="F1324" i="30"/>
  <c r="E1324" i="30"/>
  <c r="G1323" i="30"/>
  <c r="H1323" i="30" s="1"/>
  <c r="F1323" i="30"/>
  <c r="E1323" i="30"/>
  <c r="G1322" i="30"/>
  <c r="H1322" i="30" s="1"/>
  <c r="F1322" i="30"/>
  <c r="E1322" i="30"/>
  <c r="G1321" i="30"/>
  <c r="H1321" i="30" s="1"/>
  <c r="F1321" i="30"/>
  <c r="E1321" i="30"/>
  <c r="G1320" i="30"/>
  <c r="H1320" i="30" s="1"/>
  <c r="F1320" i="30"/>
  <c r="E1320" i="30"/>
  <c r="G1319" i="30"/>
  <c r="H1319" i="30" s="1"/>
  <c r="F1319" i="30"/>
  <c r="E1319" i="30"/>
  <c r="G1318" i="30"/>
  <c r="H1318" i="30" s="1"/>
  <c r="F1318" i="30"/>
  <c r="E1318" i="30"/>
  <c r="G1317" i="30"/>
  <c r="H1317" i="30" s="1"/>
  <c r="F1317" i="30"/>
  <c r="E1317" i="30"/>
  <c r="G1316" i="30"/>
  <c r="H1316" i="30" s="1"/>
  <c r="F1316" i="30"/>
  <c r="E1316" i="30"/>
  <c r="G1315" i="30"/>
  <c r="H1315" i="30" s="1"/>
  <c r="F1315" i="30"/>
  <c r="E1315" i="30"/>
  <c r="G1314" i="30"/>
  <c r="H1314" i="30" s="1"/>
  <c r="F1314" i="30"/>
  <c r="E1314" i="30"/>
  <c r="G1313" i="30"/>
  <c r="H1313" i="30" s="1"/>
  <c r="F1313" i="30"/>
  <c r="E1313" i="30"/>
  <c r="G1312" i="30"/>
  <c r="H1312" i="30" s="1"/>
  <c r="F1312" i="30"/>
  <c r="E1312" i="30"/>
  <c r="G1311" i="30"/>
  <c r="F1311" i="30"/>
  <c r="E425" i="3" s="1"/>
  <c r="C2544" i="5" s="1"/>
  <c r="E1311" i="30"/>
  <c r="D425" i="3" s="1"/>
  <c r="B2544" i="5" s="1"/>
  <c r="G1310" i="30"/>
  <c r="F1310" i="30"/>
  <c r="E424" i="3" s="1"/>
  <c r="C2538" i="5" s="1"/>
  <c r="E1310" i="30"/>
  <c r="D424" i="3" s="1"/>
  <c r="B2538" i="5" s="1"/>
  <c r="G1309" i="30"/>
  <c r="F1309" i="30"/>
  <c r="E1309" i="30"/>
  <c r="G1308" i="30"/>
  <c r="H1308" i="30" s="1"/>
  <c r="F1308" i="30"/>
  <c r="E1308" i="30"/>
  <c r="G1307" i="30"/>
  <c r="H1307" i="30" s="1"/>
  <c r="F1307" i="30"/>
  <c r="E1307" i="30"/>
  <c r="G1306" i="30"/>
  <c r="H1306" i="30" s="1"/>
  <c r="F1306" i="30"/>
  <c r="E1306" i="30"/>
  <c r="G1305" i="30"/>
  <c r="F1305" i="30"/>
  <c r="E423" i="3" s="1"/>
  <c r="C2532" i="5" s="1"/>
  <c r="E1305" i="30"/>
  <c r="D423" i="3" s="1"/>
  <c r="B2532" i="5" s="1"/>
  <c r="G1304" i="30"/>
  <c r="H1304" i="30" s="1"/>
  <c r="F1304" i="30"/>
  <c r="E1304" i="30"/>
  <c r="G1303" i="30"/>
  <c r="H1303" i="30" s="1"/>
  <c r="F1303" i="30"/>
  <c r="E1303" i="30"/>
  <c r="G1302" i="30"/>
  <c r="H1302" i="30" s="1"/>
  <c r="F1302" i="30"/>
  <c r="E1302" i="30"/>
  <c r="G1301" i="30"/>
  <c r="F1301" i="30"/>
  <c r="E421" i="3" s="1"/>
  <c r="C2525" i="5" s="1"/>
  <c r="E1301" i="30"/>
  <c r="D421" i="3" s="1"/>
  <c r="B2525" i="5" s="1"/>
  <c r="G1300" i="30"/>
  <c r="F1300" i="30"/>
  <c r="E420" i="3" s="1"/>
  <c r="C2519" i="5" s="1"/>
  <c r="E1300" i="30"/>
  <c r="D420" i="3" s="1"/>
  <c r="B2519" i="5" s="1"/>
  <c r="G1299" i="30"/>
  <c r="F1299" i="30"/>
  <c r="E419" i="3" s="1"/>
  <c r="C2513" i="5" s="1"/>
  <c r="E1299" i="30"/>
  <c r="D419" i="3" s="1"/>
  <c r="B2513" i="5" s="1"/>
  <c r="G1298" i="30"/>
  <c r="F1298" i="30"/>
  <c r="E1298" i="30"/>
  <c r="G1297" i="30"/>
  <c r="F1297" i="30"/>
  <c r="E417" i="3" s="1"/>
  <c r="C2507" i="5" s="1"/>
  <c r="E1297" i="30"/>
  <c r="D417" i="3" s="1"/>
  <c r="B2507" i="5" s="1"/>
  <c r="G1296" i="30"/>
  <c r="F1296" i="30"/>
  <c r="E1296" i="30"/>
  <c r="G1295" i="30"/>
  <c r="H1295" i="30" s="1"/>
  <c r="F1295" i="30"/>
  <c r="E1295" i="30"/>
  <c r="G1294" i="30"/>
  <c r="H1294" i="30" s="1"/>
  <c r="F1294" i="30"/>
  <c r="E1294" i="30"/>
  <c r="G1293" i="30"/>
  <c r="H1293" i="30" s="1"/>
  <c r="F1293" i="30"/>
  <c r="E1293" i="30"/>
  <c r="G1292" i="30"/>
  <c r="H1292" i="30" s="1"/>
  <c r="F1292" i="30"/>
  <c r="E1292" i="30"/>
  <c r="G1291" i="30"/>
  <c r="H1291" i="30" s="1"/>
  <c r="F1291" i="30"/>
  <c r="E1291" i="30"/>
  <c r="G1290" i="30"/>
  <c r="F1290" i="30"/>
  <c r="E415" i="3" s="1"/>
  <c r="C2501" i="5" s="1"/>
  <c r="E1290" i="30"/>
  <c r="D415" i="3" s="1"/>
  <c r="B2501" i="5" s="1"/>
  <c r="G1289" i="30"/>
  <c r="F1289" i="30"/>
  <c r="E414" i="3" s="1"/>
  <c r="C2495" i="5" s="1"/>
  <c r="E1289" i="30"/>
  <c r="D414" i="3" s="1"/>
  <c r="B2495" i="5" s="1"/>
  <c r="G1288" i="30"/>
  <c r="H1288" i="30" s="1"/>
  <c r="F1288" i="30"/>
  <c r="E1288" i="30"/>
  <c r="G1287" i="30"/>
  <c r="F1287" i="30"/>
  <c r="E1287" i="30"/>
  <c r="G1286" i="30"/>
  <c r="H1286" i="30" s="1"/>
  <c r="F1286" i="30"/>
  <c r="E1286" i="30"/>
  <c r="G1285" i="30"/>
  <c r="H1285" i="30" s="1"/>
  <c r="F1285" i="30"/>
  <c r="E1285" i="30"/>
  <c r="G1284" i="30"/>
  <c r="H1284" i="30" s="1"/>
  <c r="F1284" i="30"/>
  <c r="E1284" i="30"/>
  <c r="G1283" i="30"/>
  <c r="F1283" i="30"/>
  <c r="E413" i="3" s="1"/>
  <c r="C2490" i="5" s="1"/>
  <c r="E1283" i="30"/>
  <c r="D413" i="3" s="1"/>
  <c r="B2490" i="5" s="1"/>
  <c r="G1282" i="30"/>
  <c r="F1282" i="30"/>
  <c r="E412" i="3" s="1"/>
  <c r="C2485" i="5" s="1"/>
  <c r="E1282" i="30"/>
  <c r="D412" i="3" s="1"/>
  <c r="B2485" i="5" s="1"/>
  <c r="G1281" i="30"/>
  <c r="F1281" i="30"/>
  <c r="E411" i="3" s="1"/>
  <c r="C2477" i="5" s="1"/>
  <c r="E1281" i="30"/>
  <c r="D411" i="3" s="1"/>
  <c r="B2477" i="5" s="1"/>
  <c r="G1280" i="30"/>
  <c r="H1280" i="30" s="1"/>
  <c r="F1280" i="30"/>
  <c r="E1280" i="30"/>
  <c r="G1279" i="30"/>
  <c r="H1279" i="30" s="1"/>
  <c r="F1279" i="30"/>
  <c r="E1279" i="30"/>
  <c r="G1278" i="30"/>
  <c r="H1278" i="30" s="1"/>
  <c r="F1278" i="30"/>
  <c r="E1278" i="30"/>
  <c r="G1277" i="30"/>
  <c r="H1277" i="30" s="1"/>
  <c r="F1277" i="30"/>
  <c r="E1277" i="30"/>
  <c r="G1276" i="30"/>
  <c r="H1276" i="30" s="1"/>
  <c r="F1276" i="30"/>
  <c r="E1276" i="30"/>
  <c r="G1275" i="30"/>
  <c r="F1275" i="30"/>
  <c r="E409" i="3" s="1"/>
  <c r="E1275" i="30"/>
  <c r="D409" i="3" s="1"/>
  <c r="G1274" i="30"/>
  <c r="F1274" i="30"/>
  <c r="E1274" i="30"/>
  <c r="G1273" i="30"/>
  <c r="H1273" i="30" s="1"/>
  <c r="F1273" i="30"/>
  <c r="E1273" i="30"/>
  <c r="G1272" i="30"/>
  <c r="H1272" i="30" s="1"/>
  <c r="F1272" i="30"/>
  <c r="E1272" i="30"/>
  <c r="G1271" i="30"/>
  <c r="F1271" i="30"/>
  <c r="E1271" i="30"/>
  <c r="G1270" i="30"/>
  <c r="H1270" i="30" s="1"/>
  <c r="F1270" i="30"/>
  <c r="E1270" i="30"/>
  <c r="G1269" i="30"/>
  <c r="H1269" i="30" s="1"/>
  <c r="F1269" i="30"/>
  <c r="E1269" i="30"/>
  <c r="G1268" i="30"/>
  <c r="H1268" i="30" s="1"/>
  <c r="F1268" i="30"/>
  <c r="E1268" i="30"/>
  <c r="G1267" i="30"/>
  <c r="H1267" i="30" s="1"/>
  <c r="F1267" i="30"/>
  <c r="E1267" i="30"/>
  <c r="G1266" i="30"/>
  <c r="H1266" i="30" s="1"/>
  <c r="F1266" i="30"/>
  <c r="E1266" i="30"/>
  <c r="G1265" i="30"/>
  <c r="F1265" i="30"/>
  <c r="E1265" i="30"/>
  <c r="G1264" i="30"/>
  <c r="H1264" i="30" s="1"/>
  <c r="F1264" i="30"/>
  <c r="E1264" i="30"/>
  <c r="G1263" i="30"/>
  <c r="H1263" i="30" s="1"/>
  <c r="F1263" i="30"/>
  <c r="E1263" i="30"/>
  <c r="G1262" i="30"/>
  <c r="F1262" i="30"/>
  <c r="E403" i="3" s="1"/>
  <c r="C2454" i="5" s="1"/>
  <c r="E1262" i="30"/>
  <c r="D403" i="3" s="1"/>
  <c r="B2454" i="5" s="1"/>
  <c r="G1261" i="30"/>
  <c r="F1261" i="30"/>
  <c r="E1261" i="30"/>
  <c r="G1260" i="30"/>
  <c r="H1260" i="30" s="1"/>
  <c r="F1260" i="30"/>
  <c r="E1260" i="30"/>
  <c r="G1259" i="30"/>
  <c r="F1259" i="30"/>
  <c r="E402" i="3" s="1"/>
  <c r="C2448" i="5" s="1"/>
  <c r="E1259" i="30"/>
  <c r="D402" i="3" s="1"/>
  <c r="B2448" i="5" s="1"/>
  <c r="G1258" i="30"/>
  <c r="H1258" i="30" s="1"/>
  <c r="F1258" i="30"/>
  <c r="E1258" i="30"/>
  <c r="G1257" i="30"/>
  <c r="H1257" i="30" s="1"/>
  <c r="F1257" i="30"/>
  <c r="E1257" i="30"/>
  <c r="G1256" i="30"/>
  <c r="H1256" i="30" s="1"/>
  <c r="F1256" i="30"/>
  <c r="E1256" i="30"/>
  <c r="G1255" i="30"/>
  <c r="H1255" i="30" s="1"/>
  <c r="F1255" i="30"/>
  <c r="E1255" i="30"/>
  <c r="G1254" i="30"/>
  <c r="H1254" i="30" s="1"/>
  <c r="F1254" i="30"/>
  <c r="E1254" i="30"/>
  <c r="G1253" i="30"/>
  <c r="H1253" i="30" s="1"/>
  <c r="F1253" i="30"/>
  <c r="E1253" i="30"/>
  <c r="G1252" i="30"/>
  <c r="H1252" i="30" s="1"/>
  <c r="F1252" i="30"/>
  <c r="E1252" i="30"/>
  <c r="G1251" i="30"/>
  <c r="H1251" i="30" s="1"/>
  <c r="F1251" i="30"/>
  <c r="E1251" i="30"/>
  <c r="G1250" i="30"/>
  <c r="H1250" i="30" s="1"/>
  <c r="F1250" i="30"/>
  <c r="E1250" i="30"/>
  <c r="G1249" i="30"/>
  <c r="F1249" i="30"/>
  <c r="E400" i="3" s="1"/>
  <c r="C2442" i="5" s="1"/>
  <c r="E1249" i="30"/>
  <c r="D400" i="3" s="1"/>
  <c r="B2442" i="5" s="1"/>
  <c r="G1248" i="30"/>
  <c r="F1248" i="30"/>
  <c r="E399" i="3" s="1"/>
  <c r="C2437" i="5" s="1"/>
  <c r="E1248" i="30"/>
  <c r="D399" i="3" s="1"/>
  <c r="B2437" i="5" s="1"/>
  <c r="G1247" i="30"/>
  <c r="H1247" i="30" s="1"/>
  <c r="F1247" i="30"/>
  <c r="E1247" i="30"/>
  <c r="F1246" i="30"/>
  <c r="E1246" i="30"/>
  <c r="F1245" i="30"/>
  <c r="E397" i="3" s="1"/>
  <c r="C2430" i="5" s="1"/>
  <c r="E1245" i="30"/>
  <c r="D397" i="3" s="1"/>
  <c r="B2430" i="5" s="1"/>
  <c r="F1244" i="30"/>
  <c r="E396" i="3" s="1"/>
  <c r="C2425" i="5" s="1"/>
  <c r="E1244" i="30"/>
  <c r="D396" i="3" s="1"/>
  <c r="B2425" i="5" s="1"/>
  <c r="F1243" i="30"/>
  <c r="E1243" i="30"/>
  <c r="F1242" i="30"/>
  <c r="E1242" i="30"/>
  <c r="F1241" i="30"/>
  <c r="E395" i="3" s="1"/>
  <c r="E1241" i="30"/>
  <c r="D395" i="3" s="1"/>
  <c r="F1240" i="30"/>
  <c r="E1240" i="30"/>
  <c r="F1239" i="30"/>
  <c r="E1239" i="30"/>
  <c r="F1238" i="30"/>
  <c r="E1238" i="30"/>
  <c r="F1237" i="30"/>
  <c r="E1237" i="30"/>
  <c r="F1236" i="30"/>
  <c r="E1236" i="30"/>
  <c r="F1235" i="30"/>
  <c r="E1235" i="30"/>
  <c r="F1234" i="30"/>
  <c r="E1234" i="30"/>
  <c r="F1233" i="30"/>
  <c r="E1233" i="30"/>
  <c r="F1232" i="30"/>
  <c r="E1232" i="30"/>
  <c r="F1231" i="30"/>
  <c r="E393" i="3" s="1"/>
  <c r="C2361" i="5" s="1"/>
  <c r="E1231" i="30"/>
  <c r="D393" i="3" s="1"/>
  <c r="B2361" i="5" s="1"/>
  <c r="F1230" i="30"/>
  <c r="E1230" i="30"/>
  <c r="F1229" i="30"/>
  <c r="E392" i="3" s="1"/>
  <c r="C2299" i="5" s="1"/>
  <c r="E1229" i="30"/>
  <c r="D392" i="3" s="1"/>
  <c r="B2299" i="5" s="1"/>
  <c r="F1228" i="30"/>
  <c r="E391" i="3" s="1"/>
  <c r="C2242" i="5" s="1"/>
  <c r="E1228" i="30"/>
  <c r="D391" i="3" s="1"/>
  <c r="B2242" i="5" s="1"/>
  <c r="F1227" i="30"/>
  <c r="E1227" i="30"/>
  <c r="F1226" i="30"/>
  <c r="E390" i="3" s="1"/>
  <c r="E1226" i="30"/>
  <c r="D390" i="3" s="1"/>
  <c r="F1225" i="30"/>
  <c r="E1225" i="30"/>
  <c r="F1224" i="30"/>
  <c r="E1224" i="30"/>
  <c r="F1223" i="30"/>
  <c r="E385" i="3" s="1"/>
  <c r="C2146" i="5" s="1"/>
  <c r="E1223" i="30"/>
  <c r="D385" i="3" s="1"/>
  <c r="B2146" i="5" s="1"/>
  <c r="F1222" i="30"/>
  <c r="E1222" i="30"/>
  <c r="F1221" i="30"/>
  <c r="E1221" i="30"/>
  <c r="F1220" i="30"/>
  <c r="E384" i="3" s="1"/>
  <c r="C2127" i="5" s="1"/>
  <c r="E1220" i="30"/>
  <c r="D384" i="3" s="1"/>
  <c r="B2127" i="5" s="1"/>
  <c r="F1219" i="30"/>
  <c r="E382" i="3" s="1"/>
  <c r="E1219" i="30"/>
  <c r="D382" i="3" s="1"/>
  <c r="F1218" i="30"/>
  <c r="E1218" i="30"/>
  <c r="F1217" i="30"/>
  <c r="E1217" i="30"/>
  <c r="F1216" i="30"/>
  <c r="E1216" i="30"/>
  <c r="F1215" i="30"/>
  <c r="E1215" i="30"/>
  <c r="F1214" i="30"/>
  <c r="E1214" i="30"/>
  <c r="F1213" i="30"/>
  <c r="E1213" i="30"/>
  <c r="F1212" i="30"/>
  <c r="E1212" i="30"/>
  <c r="F1211" i="30"/>
  <c r="E1211" i="30"/>
  <c r="F1210" i="30"/>
  <c r="E1210" i="30"/>
  <c r="F1209" i="30"/>
  <c r="E1209" i="30"/>
  <c r="F1208" i="30"/>
  <c r="E1208" i="30"/>
  <c r="F1207" i="30"/>
  <c r="E1207" i="30"/>
  <c r="F1206" i="30"/>
  <c r="E1206" i="30"/>
  <c r="F1205" i="30"/>
  <c r="E1205" i="30"/>
  <c r="F1204" i="30"/>
  <c r="E1204" i="30"/>
  <c r="F1203" i="30"/>
  <c r="E1203" i="30"/>
  <c r="F1202" i="30"/>
  <c r="E1202" i="30"/>
  <c r="F1201" i="30"/>
  <c r="E1201" i="30"/>
  <c r="F1200" i="30"/>
  <c r="E1200" i="30"/>
  <c r="F1199" i="30"/>
  <c r="E1199" i="30"/>
  <c r="F1198" i="30"/>
  <c r="E1198" i="30"/>
  <c r="F1197" i="30"/>
  <c r="E1197" i="30"/>
  <c r="F1196" i="30"/>
  <c r="E1196" i="30"/>
  <c r="F1195" i="30"/>
  <c r="E1195" i="30"/>
  <c r="F1194" i="30"/>
  <c r="E1194" i="30"/>
  <c r="F1193" i="30"/>
  <c r="E1193" i="30"/>
  <c r="F1192" i="30"/>
  <c r="E1192" i="30"/>
  <c r="F1191" i="30"/>
  <c r="E1191" i="30"/>
  <c r="F1190" i="30"/>
  <c r="E1190" i="30"/>
  <c r="F1189" i="30"/>
  <c r="E1189" i="30"/>
  <c r="F1188" i="30"/>
  <c r="E1188" i="30"/>
  <c r="F1187" i="30"/>
  <c r="E1187" i="30"/>
  <c r="F1186" i="30"/>
  <c r="E1186" i="30"/>
  <c r="F1185" i="30"/>
  <c r="E1185" i="30"/>
  <c r="F1184" i="30"/>
  <c r="E1184" i="30"/>
  <c r="F1183" i="30"/>
  <c r="E1183" i="30"/>
  <c r="F1182" i="30"/>
  <c r="E1182" i="30"/>
  <c r="F1181" i="30"/>
  <c r="E1181" i="30"/>
  <c r="F1180" i="30"/>
  <c r="E1180" i="30"/>
  <c r="F1179" i="30"/>
  <c r="E1179" i="30"/>
  <c r="F1178" i="30"/>
  <c r="E1178" i="30"/>
  <c r="F1177" i="30"/>
  <c r="E1177" i="30"/>
  <c r="F1176" i="30"/>
  <c r="E1176" i="30"/>
  <c r="F1175" i="30"/>
  <c r="E1175" i="30"/>
  <c r="F1174" i="30"/>
  <c r="E1174" i="30"/>
  <c r="F1173" i="30"/>
  <c r="E377" i="3" s="1"/>
  <c r="C2114" i="5" s="1"/>
  <c r="E1173" i="30"/>
  <c r="D377" i="3" s="1"/>
  <c r="B2114" i="5" s="1"/>
  <c r="F1172" i="30"/>
  <c r="E376" i="3" s="1"/>
  <c r="C2109" i="5" s="1"/>
  <c r="E1172" i="30"/>
  <c r="D376" i="3" s="1"/>
  <c r="B2109" i="5" s="1"/>
  <c r="F1171" i="30"/>
  <c r="E1171" i="30"/>
  <c r="F1170" i="30"/>
  <c r="E1170" i="30"/>
  <c r="F1169" i="30"/>
  <c r="E1169" i="30"/>
  <c r="F1168" i="30"/>
  <c r="E1168" i="30"/>
  <c r="F1167" i="30"/>
  <c r="E1167" i="30"/>
  <c r="F1166" i="30"/>
  <c r="E1166" i="30"/>
  <c r="F1165" i="30"/>
  <c r="E375" i="3" s="1"/>
  <c r="C2104" i="5" s="1"/>
  <c r="E1165" i="30"/>
  <c r="D375" i="3" s="1"/>
  <c r="B2104" i="5" s="1"/>
  <c r="F1164" i="30"/>
  <c r="E1164" i="30"/>
  <c r="F1163" i="30"/>
  <c r="E1163" i="30"/>
  <c r="F1162" i="30"/>
  <c r="E1162" i="30"/>
  <c r="F1161" i="30"/>
  <c r="E373" i="3" s="1"/>
  <c r="C2098" i="5" s="1"/>
  <c r="E1161" i="30"/>
  <c r="D373" i="3" s="1"/>
  <c r="B2098" i="5" s="1"/>
  <c r="F1160" i="30"/>
  <c r="E372" i="3" s="1"/>
  <c r="C2090" i="5" s="1"/>
  <c r="E1160" i="30"/>
  <c r="D372" i="3" s="1"/>
  <c r="B2090" i="5" s="1"/>
  <c r="F1159" i="30"/>
  <c r="E371" i="3" s="1"/>
  <c r="C2085" i="5" s="1"/>
  <c r="E1159" i="30"/>
  <c r="D371" i="3" s="1"/>
  <c r="B2085" i="5" s="1"/>
  <c r="F1158" i="30"/>
  <c r="E1158" i="30"/>
  <c r="F1157" i="30"/>
  <c r="E1157" i="30"/>
  <c r="F1156" i="30"/>
  <c r="E1156" i="30"/>
  <c r="F1155" i="30"/>
  <c r="E1155" i="30"/>
  <c r="F1154" i="30"/>
  <c r="E1154" i="30"/>
  <c r="F1153" i="30"/>
  <c r="E1153" i="30"/>
  <c r="F1152" i="30"/>
  <c r="E1152" i="30"/>
  <c r="F1151" i="30"/>
  <c r="E1151" i="30"/>
  <c r="F1150" i="30"/>
  <c r="E1150" i="30"/>
  <c r="F1149" i="30"/>
  <c r="E1149" i="30"/>
  <c r="F1148" i="30"/>
  <c r="E1148" i="30"/>
  <c r="F1147" i="30"/>
  <c r="E1147" i="30"/>
  <c r="F1146" i="30"/>
  <c r="E1146" i="30"/>
  <c r="F1145" i="30"/>
  <c r="E1145" i="30"/>
  <c r="F1144" i="30"/>
  <c r="E1144" i="30"/>
  <c r="F1143" i="30"/>
  <c r="E1143" i="30"/>
  <c r="F1142" i="30"/>
  <c r="E1142" i="30"/>
  <c r="F1141" i="30"/>
  <c r="E1141" i="30"/>
  <c r="F1140" i="30"/>
  <c r="E1140" i="30"/>
  <c r="F1139" i="30"/>
  <c r="E1139" i="30"/>
  <c r="F1138" i="30"/>
  <c r="E1138" i="30"/>
  <c r="F1137" i="30"/>
  <c r="E1137" i="30"/>
  <c r="F1136" i="30"/>
  <c r="E1136" i="30"/>
  <c r="F1135" i="30"/>
  <c r="E370" i="3" s="1"/>
  <c r="C2078" i="5" s="1"/>
  <c r="E1135" i="30"/>
  <c r="D370" i="3" s="1"/>
  <c r="B2078" i="5" s="1"/>
  <c r="F1134" i="30"/>
  <c r="E369" i="3" s="1"/>
  <c r="C2071" i="5" s="1"/>
  <c r="E1134" i="30"/>
  <c r="D369" i="3" s="1"/>
  <c r="B2071" i="5" s="1"/>
  <c r="F1133" i="30"/>
  <c r="E1133" i="30"/>
  <c r="F1132" i="30"/>
  <c r="E368" i="3" s="1"/>
  <c r="C2063" i="5" s="1"/>
  <c r="E1132" i="30"/>
  <c r="D368" i="3" s="1"/>
  <c r="B2063" i="5" s="1"/>
  <c r="F1131" i="30"/>
  <c r="E1131" i="30"/>
  <c r="F1130" i="30"/>
  <c r="E1130" i="30"/>
  <c r="F1129" i="30"/>
  <c r="E1129" i="30"/>
  <c r="F1128" i="30"/>
  <c r="E1128" i="30"/>
  <c r="F1127" i="30"/>
  <c r="E1127" i="30"/>
  <c r="F1126" i="30"/>
  <c r="E1126" i="30"/>
  <c r="F1125" i="30"/>
  <c r="E1125" i="30"/>
  <c r="F1124" i="30"/>
  <c r="E1124" i="30"/>
  <c r="F1123" i="30"/>
  <c r="E1123" i="30"/>
  <c r="F1122" i="30"/>
  <c r="E1122" i="30"/>
  <c r="F1121" i="30"/>
  <c r="E1121" i="30"/>
  <c r="F1120" i="30"/>
  <c r="E1120" i="30"/>
  <c r="F1119" i="30"/>
  <c r="E1119" i="30"/>
  <c r="F1118" i="30"/>
  <c r="E1118" i="30"/>
  <c r="F1117" i="30"/>
  <c r="E1117" i="30"/>
  <c r="F1116" i="30"/>
  <c r="E1116" i="30"/>
  <c r="F1115" i="30"/>
  <c r="E1115" i="30"/>
  <c r="F1114" i="30"/>
  <c r="E1114" i="30"/>
  <c r="F1113" i="30"/>
  <c r="E1113" i="30"/>
  <c r="F1112" i="30"/>
  <c r="E1112" i="30"/>
  <c r="F1111" i="30"/>
  <c r="E1111" i="30"/>
  <c r="F1110" i="30"/>
  <c r="E1110" i="30"/>
  <c r="F1109" i="30"/>
  <c r="E1109" i="30"/>
  <c r="F1108" i="30"/>
  <c r="E1108" i="30"/>
  <c r="F1107" i="30"/>
  <c r="E1107" i="30"/>
  <c r="F1106" i="30"/>
  <c r="E1106" i="30"/>
  <c r="F1105" i="30"/>
  <c r="E1105" i="30"/>
  <c r="F1104" i="30"/>
  <c r="E1104" i="30"/>
  <c r="F1103" i="30"/>
  <c r="E1103" i="30"/>
  <c r="F1102" i="30"/>
  <c r="E1102" i="30"/>
  <c r="F1101" i="30"/>
  <c r="E1101" i="30"/>
  <c r="F1100" i="30"/>
  <c r="E1100" i="30"/>
  <c r="F1099" i="30"/>
  <c r="E1099" i="30"/>
  <c r="F1098" i="30"/>
  <c r="E1098" i="30"/>
  <c r="F1097" i="30"/>
  <c r="E366" i="3" s="1"/>
  <c r="C2046" i="5" s="1"/>
  <c r="E1097" i="30"/>
  <c r="D366" i="3" s="1"/>
  <c r="B2046" i="5" s="1"/>
  <c r="F1096" i="30"/>
  <c r="E365" i="3" s="1"/>
  <c r="C2030" i="5" s="1"/>
  <c r="E1096" i="30"/>
  <c r="D365" i="3" s="1"/>
  <c r="B2030" i="5" s="1"/>
  <c r="F1095" i="30"/>
  <c r="E1095" i="30"/>
  <c r="F1094" i="30"/>
  <c r="E1094" i="30"/>
  <c r="F1093" i="30"/>
  <c r="E1093" i="30"/>
  <c r="F1092" i="30"/>
  <c r="E1092" i="30"/>
  <c r="F1091" i="30"/>
  <c r="E1091" i="30"/>
  <c r="F1090" i="30"/>
  <c r="E1090" i="30"/>
  <c r="F1089" i="30"/>
  <c r="E1089" i="30"/>
  <c r="F1088" i="30"/>
  <c r="E1088" i="30"/>
  <c r="F1087" i="30"/>
  <c r="E1087" i="30"/>
  <c r="F1086" i="30"/>
  <c r="E1086" i="30"/>
  <c r="F1085" i="30"/>
  <c r="E1085" i="30"/>
  <c r="F1084" i="30"/>
  <c r="E1084" i="30"/>
  <c r="F1083" i="30"/>
  <c r="E1083" i="30"/>
  <c r="F1082" i="30"/>
  <c r="E1082" i="30"/>
  <c r="F1081" i="30"/>
  <c r="E1081" i="30"/>
  <c r="F1080" i="30"/>
  <c r="E1080" i="30"/>
  <c r="F1079" i="30"/>
  <c r="E364" i="3" s="1"/>
  <c r="C2023" i="5" s="1"/>
  <c r="E1079" i="30"/>
  <c r="D364" i="3" s="1"/>
  <c r="B2023" i="5" s="1"/>
  <c r="F1078" i="30"/>
  <c r="E1078" i="30"/>
  <c r="F1077" i="30"/>
  <c r="E363" i="3" s="1"/>
  <c r="C2018" i="5" s="1"/>
  <c r="E1077" i="30"/>
  <c r="D363" i="3" s="1"/>
  <c r="B2018" i="5" s="1"/>
  <c r="F1076" i="30"/>
  <c r="E362" i="3" s="1"/>
  <c r="C2006" i="5" s="1"/>
  <c r="E1076" i="30"/>
  <c r="D362" i="3" s="1"/>
  <c r="B2006" i="5" s="1"/>
  <c r="F1075" i="30"/>
  <c r="E1075" i="30"/>
  <c r="F1074" i="30"/>
  <c r="E1074" i="30"/>
  <c r="F1073" i="30"/>
  <c r="E1073" i="30"/>
  <c r="F1072" i="30"/>
  <c r="E360" i="3" s="1"/>
  <c r="C1990" i="5" s="1"/>
  <c r="E1072" i="30"/>
  <c r="D360" i="3" s="1"/>
  <c r="B1990" i="5" s="1"/>
  <c r="F1071" i="30"/>
  <c r="E1071" i="30"/>
  <c r="F1070" i="30"/>
  <c r="E1070" i="30"/>
  <c r="F1069" i="30"/>
  <c r="E358" i="3" s="1"/>
  <c r="C1982" i="5" s="1"/>
  <c r="E1069" i="30"/>
  <c r="D358" i="3" s="1"/>
  <c r="B1982" i="5" s="1"/>
  <c r="F1068" i="30"/>
  <c r="E1068" i="30"/>
  <c r="F1067" i="30"/>
  <c r="E1067" i="30"/>
  <c r="F1066" i="30"/>
  <c r="E357" i="3" s="1"/>
  <c r="C1974" i="5" s="1"/>
  <c r="E1066" i="30"/>
  <c r="D357" i="3" s="1"/>
  <c r="B1974" i="5" s="1"/>
  <c r="F1065" i="30"/>
  <c r="E1065" i="30"/>
  <c r="F1064" i="30"/>
  <c r="E1064" i="30"/>
  <c r="F1063" i="30"/>
  <c r="E1063" i="30"/>
  <c r="F1062" i="30"/>
  <c r="E1062" i="30"/>
  <c r="F1061" i="30"/>
  <c r="E356" i="3" s="1"/>
  <c r="C1969" i="5" s="1"/>
  <c r="E1061" i="30"/>
  <c r="D356" i="3" s="1"/>
  <c r="B1969" i="5" s="1"/>
  <c r="F1060" i="30"/>
  <c r="E355" i="3" s="1"/>
  <c r="C1964" i="5" s="1"/>
  <c r="E1060" i="30"/>
  <c r="D355" i="3" s="1"/>
  <c r="B1964" i="5" s="1"/>
  <c r="F1059" i="30"/>
  <c r="E1059" i="30"/>
  <c r="F1058" i="30"/>
  <c r="E1058" i="30"/>
  <c r="F1057" i="30"/>
  <c r="E1057" i="30"/>
  <c r="F1056" i="30"/>
  <c r="E1056" i="30"/>
  <c r="F1055" i="30"/>
  <c r="E1055" i="30"/>
  <c r="F1054" i="30"/>
  <c r="E1054" i="30"/>
  <c r="F1053" i="30"/>
  <c r="E1053" i="30"/>
  <c r="F1052" i="30"/>
  <c r="E1052" i="30"/>
  <c r="F1051" i="30"/>
  <c r="E1051" i="30"/>
  <c r="F1050" i="30"/>
  <c r="E1050" i="30"/>
  <c r="F1049" i="30"/>
  <c r="E354" i="3" s="1"/>
  <c r="C1958" i="5" s="1"/>
  <c r="E1049" i="30"/>
  <c r="D354" i="3" s="1"/>
  <c r="B1958" i="5" s="1"/>
  <c r="F1048" i="30"/>
  <c r="E1048" i="30"/>
  <c r="F1047" i="30"/>
  <c r="E1047" i="30"/>
  <c r="F1046" i="30"/>
  <c r="E1046" i="30"/>
  <c r="F1045" i="30"/>
  <c r="E1045" i="30"/>
  <c r="F1044" i="30"/>
  <c r="E1044" i="30"/>
  <c r="F1043" i="30"/>
  <c r="E1043" i="30"/>
  <c r="F1042" i="30"/>
  <c r="E350" i="3" s="1"/>
  <c r="C1951" i="5" s="1"/>
  <c r="E1042" i="30"/>
  <c r="D350" i="3" s="1"/>
  <c r="B1951" i="5" s="1"/>
  <c r="F1041" i="30"/>
  <c r="E1041" i="30"/>
  <c r="F1040" i="30"/>
  <c r="E349" i="3" s="1"/>
  <c r="C1946" i="5" s="1"/>
  <c r="E1040" i="30"/>
  <c r="D349" i="3" s="1"/>
  <c r="B1946" i="5" s="1"/>
  <c r="F1039" i="30"/>
  <c r="E1039" i="30"/>
  <c r="F1038" i="30"/>
  <c r="E1038" i="30"/>
  <c r="F1037" i="30"/>
  <c r="E348" i="3" s="1"/>
  <c r="C1941" i="5" s="1"/>
  <c r="E1037" i="30"/>
  <c r="D348" i="3" s="1"/>
  <c r="B1941" i="5" s="1"/>
  <c r="F1036" i="30"/>
  <c r="E1036" i="30"/>
  <c r="F1035" i="30"/>
  <c r="E1035" i="30"/>
  <c r="F1034" i="30"/>
  <c r="E1034" i="30"/>
  <c r="F1033" i="30"/>
  <c r="E347" i="3" s="1"/>
  <c r="C1936" i="5" s="1"/>
  <c r="E1033" i="30"/>
  <c r="D347" i="3" s="1"/>
  <c r="B1936" i="5" s="1"/>
  <c r="F1032" i="30"/>
  <c r="E346" i="3" s="1"/>
  <c r="C1931" i="5" s="1"/>
  <c r="E1032" i="30"/>
  <c r="D346" i="3" s="1"/>
  <c r="B1931" i="5" s="1"/>
  <c r="F1031" i="30"/>
  <c r="E345" i="3" s="1"/>
  <c r="C1926" i="5" s="1"/>
  <c r="E1031" i="30"/>
  <c r="D345" i="3" s="1"/>
  <c r="B1926" i="5" s="1"/>
  <c r="F1030" i="30"/>
  <c r="E344" i="3" s="1"/>
  <c r="C1921" i="5" s="1"/>
  <c r="E1030" i="30"/>
  <c r="D344" i="3" s="1"/>
  <c r="B1921" i="5" s="1"/>
  <c r="F1029" i="30"/>
  <c r="E1029" i="30"/>
  <c r="F1028" i="30"/>
  <c r="E1028" i="30"/>
  <c r="F1027" i="30"/>
  <c r="E1027" i="30"/>
  <c r="F1026" i="30"/>
  <c r="E1026" i="30"/>
  <c r="F1025" i="30"/>
  <c r="E1025" i="30"/>
  <c r="F1024" i="30"/>
  <c r="E342" i="3" s="1"/>
  <c r="C1915" i="5" s="1"/>
  <c r="E1024" i="30"/>
  <c r="D342" i="3" s="1"/>
  <c r="B1915" i="5" s="1"/>
  <c r="F1023" i="30"/>
  <c r="E341" i="3" s="1"/>
  <c r="C1910" i="5" s="1"/>
  <c r="E1023" i="30"/>
  <c r="D341" i="3" s="1"/>
  <c r="B1910" i="5" s="1"/>
  <c r="F1022" i="30"/>
  <c r="E1022" i="30"/>
  <c r="F1021" i="30"/>
  <c r="E340" i="3" s="1"/>
  <c r="C1905" i="5" s="1"/>
  <c r="E1021" i="30"/>
  <c r="D340" i="3" s="1"/>
  <c r="B1905" i="5" s="1"/>
  <c r="F1020" i="30"/>
  <c r="E1020" i="30"/>
  <c r="F1019" i="30"/>
  <c r="E339" i="3" s="1"/>
  <c r="C1900" i="5" s="1"/>
  <c r="E1019" i="30"/>
  <c r="D339" i="3" s="1"/>
  <c r="B1900" i="5" s="1"/>
  <c r="F1018" i="30"/>
  <c r="E1018" i="30"/>
  <c r="F1017" i="30"/>
  <c r="E338" i="3" s="1"/>
  <c r="C1895" i="5" s="1"/>
  <c r="E1017" i="30"/>
  <c r="D338" i="3" s="1"/>
  <c r="B1895" i="5" s="1"/>
  <c r="F1016" i="30"/>
  <c r="E337" i="3" s="1"/>
  <c r="C1890" i="5" s="1"/>
  <c r="E1016" i="30"/>
  <c r="D337" i="3" s="1"/>
  <c r="B1890" i="5" s="1"/>
  <c r="F1015" i="30"/>
  <c r="E336" i="3" s="1"/>
  <c r="C1885" i="5" s="1"/>
  <c r="E1015" i="30"/>
  <c r="D336" i="3" s="1"/>
  <c r="B1885" i="5" s="1"/>
  <c r="F1014" i="30"/>
  <c r="E335" i="3" s="1"/>
  <c r="C1880" i="5" s="1"/>
  <c r="E1014" i="30"/>
  <c r="D335" i="3" s="1"/>
  <c r="B1880" i="5" s="1"/>
  <c r="F1013" i="30"/>
  <c r="E334" i="3" s="1"/>
  <c r="C1875" i="5" s="1"/>
  <c r="E1013" i="30"/>
  <c r="D334" i="3" s="1"/>
  <c r="B1875" i="5" s="1"/>
  <c r="F1012" i="30"/>
  <c r="E1012" i="30"/>
  <c r="F1011" i="30"/>
  <c r="E1011" i="30"/>
  <c r="F1010" i="30"/>
  <c r="E333" i="3" s="1"/>
  <c r="C1870" i="5" s="1"/>
  <c r="E1010" i="30"/>
  <c r="D333" i="3" s="1"/>
  <c r="B1870" i="5" s="1"/>
  <c r="F1009" i="30"/>
  <c r="E1009" i="30"/>
  <c r="F1008" i="30"/>
  <c r="E1008" i="30"/>
  <c r="F1007" i="30"/>
  <c r="E1007" i="30"/>
  <c r="F1006" i="30"/>
  <c r="E1006" i="30"/>
  <c r="F1005" i="30"/>
  <c r="E1005" i="30"/>
  <c r="F1004" i="30"/>
  <c r="E1004" i="30"/>
  <c r="F1003" i="30"/>
  <c r="E332" i="3" s="1"/>
  <c r="C1865" i="5" s="1"/>
  <c r="E1003" i="30"/>
  <c r="D332" i="3" s="1"/>
  <c r="B1865" i="5" s="1"/>
  <c r="F1002" i="30"/>
  <c r="E1002" i="30"/>
  <c r="F1001" i="30"/>
  <c r="E331" i="3" s="1"/>
  <c r="C1860" i="5" s="1"/>
  <c r="E1001" i="30"/>
  <c r="D331" i="3" s="1"/>
  <c r="B1860" i="5" s="1"/>
  <c r="F1000" i="30"/>
  <c r="E1000" i="30"/>
  <c r="F999" i="30"/>
  <c r="E999" i="30"/>
  <c r="F998" i="30"/>
  <c r="E998" i="30"/>
  <c r="F997" i="30"/>
  <c r="E997" i="30"/>
  <c r="F996" i="30"/>
  <c r="E996" i="30"/>
  <c r="F995" i="30"/>
  <c r="E995" i="30"/>
  <c r="F994" i="30"/>
  <c r="E994" i="30"/>
  <c r="F993" i="30"/>
  <c r="E993" i="30"/>
  <c r="F992" i="30"/>
  <c r="E992" i="30"/>
  <c r="F991" i="30"/>
  <c r="E991" i="30"/>
  <c r="F990" i="30"/>
  <c r="E990" i="30"/>
  <c r="F989" i="30"/>
  <c r="E989" i="30"/>
  <c r="F988" i="30"/>
  <c r="E988" i="30"/>
  <c r="F987" i="30"/>
  <c r="E987" i="30"/>
  <c r="F986" i="30"/>
  <c r="E986" i="30"/>
  <c r="F985" i="30"/>
  <c r="E985" i="30"/>
  <c r="F984" i="30"/>
  <c r="E984" i="30"/>
  <c r="F983" i="30"/>
  <c r="E983" i="30"/>
  <c r="F982" i="30"/>
  <c r="E330" i="3" s="1"/>
  <c r="E982" i="30"/>
  <c r="D330" i="3" s="1"/>
  <c r="F981" i="30"/>
  <c r="E981" i="30"/>
  <c r="F980" i="30"/>
  <c r="E980" i="30"/>
  <c r="F979" i="30"/>
  <c r="E979" i="30"/>
  <c r="F978" i="30"/>
  <c r="E978" i="30"/>
  <c r="F977" i="30"/>
  <c r="E977" i="30"/>
  <c r="F976" i="30"/>
  <c r="E976" i="30"/>
  <c r="F975" i="30"/>
  <c r="E975" i="30"/>
  <c r="F974" i="30"/>
  <c r="E974" i="30"/>
  <c r="F973" i="30"/>
  <c r="E973" i="30"/>
  <c r="F972" i="30"/>
  <c r="E972" i="30"/>
  <c r="F971" i="30"/>
  <c r="E971" i="30"/>
  <c r="F970" i="30"/>
  <c r="E970" i="30"/>
  <c r="F969" i="30"/>
  <c r="E969" i="30"/>
  <c r="F968" i="30"/>
  <c r="E968" i="30"/>
  <c r="F967" i="30"/>
  <c r="E967" i="30"/>
  <c r="F966" i="30"/>
  <c r="E966" i="30"/>
  <c r="F965" i="30"/>
  <c r="E965" i="30"/>
  <c r="F964" i="30"/>
  <c r="E964" i="30"/>
  <c r="F963" i="30"/>
  <c r="E323" i="3" s="1"/>
  <c r="C1824" i="5" s="1"/>
  <c r="E963" i="30"/>
  <c r="D323" i="3" s="1"/>
  <c r="B1824" i="5" s="1"/>
  <c r="F962" i="30"/>
  <c r="E322" i="3" s="1"/>
  <c r="C1819" i="5" s="1"/>
  <c r="E962" i="30"/>
  <c r="D322" i="3" s="1"/>
  <c r="B1819" i="5" s="1"/>
  <c r="F961" i="30"/>
  <c r="E321" i="3" s="1"/>
  <c r="C1814" i="5" s="1"/>
  <c r="E961" i="30"/>
  <c r="D321" i="3" s="1"/>
  <c r="B1814" i="5" s="1"/>
  <c r="F960" i="30"/>
  <c r="E960" i="30"/>
  <c r="F959" i="30"/>
  <c r="E319" i="3" s="1"/>
  <c r="C1804" i="5" s="1"/>
  <c r="E959" i="30"/>
  <c r="D319" i="3" s="1"/>
  <c r="B1804" i="5" s="1"/>
  <c r="F958" i="30"/>
  <c r="E958" i="30"/>
  <c r="F957" i="30"/>
  <c r="E957" i="30"/>
  <c r="F956" i="30"/>
  <c r="E956" i="30"/>
  <c r="F955" i="30"/>
  <c r="E317" i="3" s="1"/>
  <c r="C1794" i="5" s="1"/>
  <c r="E955" i="30"/>
  <c r="D317" i="3" s="1"/>
  <c r="B1794" i="5" s="1"/>
  <c r="F954" i="30"/>
  <c r="E954" i="30"/>
  <c r="F953" i="30"/>
  <c r="E953" i="30"/>
  <c r="F952" i="30"/>
  <c r="E316" i="3" s="1"/>
  <c r="C1789" i="5" s="1"/>
  <c r="E952" i="30"/>
  <c r="D316" i="3" s="1"/>
  <c r="B1789" i="5" s="1"/>
  <c r="F951" i="30"/>
  <c r="E951" i="30"/>
  <c r="F950" i="30"/>
  <c r="E315" i="3" s="1"/>
  <c r="C1784" i="5" s="1"/>
  <c r="E950" i="30"/>
  <c r="D315" i="3" s="1"/>
  <c r="B1784" i="5" s="1"/>
  <c r="F949" i="30"/>
  <c r="E314" i="3" s="1"/>
  <c r="C1779" i="5" s="1"/>
  <c r="E949" i="30"/>
  <c r="D314" i="3" s="1"/>
  <c r="B1779" i="5" s="1"/>
  <c r="F948" i="30"/>
  <c r="E948" i="30"/>
  <c r="F947" i="30"/>
  <c r="E947" i="30"/>
  <c r="F946" i="30"/>
  <c r="E313" i="3" s="1"/>
  <c r="C1774" i="5" s="1"/>
  <c r="E946" i="30"/>
  <c r="D313" i="3" s="1"/>
  <c r="B1774" i="5" s="1"/>
  <c r="F945" i="30"/>
  <c r="E312" i="3" s="1"/>
  <c r="C1769" i="5" s="1"/>
  <c r="E945" i="30"/>
  <c r="D312" i="3" s="1"/>
  <c r="B1769" i="5" s="1"/>
  <c r="F944" i="30"/>
  <c r="E311" i="3" s="1"/>
  <c r="C1764" i="5" s="1"/>
  <c r="E944" i="30"/>
  <c r="D311" i="3" s="1"/>
  <c r="B1764" i="5" s="1"/>
  <c r="F943" i="30"/>
  <c r="E310" i="3" s="1"/>
  <c r="C1759" i="5" s="1"/>
  <c r="E943" i="30"/>
  <c r="D310" i="3" s="1"/>
  <c r="B1759" i="5" s="1"/>
  <c r="F942" i="30"/>
  <c r="E942" i="30"/>
  <c r="F941" i="30"/>
  <c r="E941" i="30"/>
  <c r="F940" i="30"/>
  <c r="E940" i="30"/>
  <c r="F939" i="30"/>
  <c r="E939" i="30"/>
  <c r="F938" i="30"/>
  <c r="E938" i="30"/>
  <c r="F937" i="30"/>
  <c r="E937" i="30"/>
  <c r="F936" i="30"/>
  <c r="E936" i="30"/>
  <c r="F935" i="30"/>
  <c r="E935" i="30"/>
  <c r="F934" i="30"/>
  <c r="E934" i="30"/>
  <c r="F933" i="30"/>
  <c r="E933" i="30"/>
  <c r="F932" i="30"/>
  <c r="E309" i="3" s="1"/>
  <c r="C1754" i="5" s="1"/>
  <c r="E932" i="30"/>
  <c r="D309" i="3" s="1"/>
  <c r="B1754" i="5" s="1"/>
  <c r="F931" i="30"/>
  <c r="E308" i="3" s="1"/>
  <c r="C1749" i="5" s="1"/>
  <c r="E931" i="30"/>
  <c r="D308" i="3" s="1"/>
  <c r="B1749" i="5" s="1"/>
  <c r="F930" i="30"/>
  <c r="E307" i="3" s="1"/>
  <c r="C1744" i="5" s="1"/>
  <c r="E930" i="30"/>
  <c r="D307" i="3" s="1"/>
  <c r="B1744" i="5" s="1"/>
  <c r="F929" i="30"/>
  <c r="E929" i="30"/>
  <c r="F928" i="30"/>
  <c r="E306" i="3" s="1"/>
  <c r="C1739" i="5" s="1"/>
  <c r="E928" i="30"/>
  <c r="D306" i="3" s="1"/>
  <c r="B1739" i="5" s="1"/>
  <c r="F927" i="30"/>
  <c r="E305" i="3" s="1"/>
  <c r="C1734" i="5" s="1"/>
  <c r="E927" i="30"/>
  <c r="D305" i="3" s="1"/>
  <c r="B1734" i="5" s="1"/>
  <c r="F926" i="30"/>
  <c r="E304" i="3" s="1"/>
  <c r="C1728" i="5" s="1"/>
  <c r="E926" i="30"/>
  <c r="D304" i="3" s="1"/>
  <c r="B1728" i="5" s="1"/>
  <c r="F925" i="30"/>
  <c r="E303" i="3" s="1"/>
  <c r="C1722" i="5" s="1"/>
  <c r="E925" i="30"/>
  <c r="D303" i="3" s="1"/>
  <c r="B1722" i="5" s="1"/>
  <c r="F924" i="30"/>
  <c r="E302" i="3" s="1"/>
  <c r="C1716" i="5" s="1"/>
  <c r="E924" i="30"/>
  <c r="D302" i="3" s="1"/>
  <c r="B1716" i="5" s="1"/>
  <c r="F923" i="30"/>
  <c r="E301" i="3" s="1"/>
  <c r="C1710" i="5" s="1"/>
  <c r="E923" i="30"/>
  <c r="D301" i="3" s="1"/>
  <c r="B1710" i="5" s="1"/>
  <c r="F922" i="30"/>
  <c r="E922" i="30"/>
  <c r="F921" i="30"/>
  <c r="E300" i="3" s="1"/>
  <c r="C1703" i="5" s="1"/>
  <c r="E921" i="30"/>
  <c r="D300" i="3" s="1"/>
  <c r="B1703" i="5" s="1"/>
  <c r="F920" i="30"/>
  <c r="E920" i="30"/>
  <c r="F919" i="30"/>
  <c r="E919" i="30"/>
  <c r="F918" i="30"/>
  <c r="E299" i="3" s="1"/>
  <c r="C1697" i="5" s="1"/>
  <c r="E918" i="30"/>
  <c r="D299" i="3" s="1"/>
  <c r="B1697" i="5" s="1"/>
  <c r="F917" i="30"/>
  <c r="E298" i="3" s="1"/>
  <c r="C1691" i="5" s="1"/>
  <c r="E917" i="30"/>
  <c r="D298" i="3" s="1"/>
  <c r="B1691" i="5" s="1"/>
  <c r="F916" i="30"/>
  <c r="E297" i="3" s="1"/>
  <c r="C1685" i="5" s="1"/>
  <c r="E916" i="30"/>
  <c r="D297" i="3" s="1"/>
  <c r="B1685" i="5" s="1"/>
  <c r="F915" i="30"/>
  <c r="E915" i="30"/>
  <c r="F914" i="30"/>
  <c r="E914" i="30"/>
  <c r="F913" i="30"/>
  <c r="E296" i="3" s="1"/>
  <c r="C1679" i="5" s="1"/>
  <c r="E913" i="30"/>
  <c r="D296" i="3" s="1"/>
  <c r="B1679" i="5" s="1"/>
  <c r="F912" i="30"/>
  <c r="E295" i="3" s="1"/>
  <c r="C1673" i="5" s="1"/>
  <c r="E912" i="30"/>
  <c r="D295" i="3" s="1"/>
  <c r="B1673" i="5" s="1"/>
  <c r="F911" i="30"/>
  <c r="E911" i="30"/>
  <c r="F910" i="30"/>
  <c r="E294" i="3" s="1"/>
  <c r="E910" i="30"/>
  <c r="D294" i="3" s="1"/>
  <c r="F909" i="30"/>
  <c r="E909" i="30"/>
  <c r="F908" i="30"/>
  <c r="E908" i="30"/>
  <c r="F907" i="30"/>
  <c r="E907" i="30"/>
  <c r="F906" i="30"/>
  <c r="E906" i="30"/>
  <c r="F905" i="30"/>
  <c r="E905" i="30"/>
  <c r="F904" i="30"/>
  <c r="E904" i="30"/>
  <c r="F903" i="30"/>
  <c r="E903" i="30"/>
  <c r="F902" i="30"/>
  <c r="E902" i="30"/>
  <c r="F901" i="30"/>
  <c r="E901" i="30"/>
  <c r="F900" i="30"/>
  <c r="E900" i="30"/>
  <c r="F899" i="30"/>
  <c r="E292" i="3" s="1"/>
  <c r="E899" i="30"/>
  <c r="D292" i="3" s="1"/>
  <c r="F898" i="30"/>
  <c r="E291" i="3" s="1"/>
  <c r="E898" i="30"/>
  <c r="D291" i="3" s="1"/>
  <c r="F897" i="30"/>
  <c r="E897" i="30"/>
  <c r="F896" i="30"/>
  <c r="E896" i="30"/>
  <c r="F895" i="30"/>
  <c r="E895" i="30"/>
  <c r="F894" i="30"/>
  <c r="E894" i="30"/>
  <c r="F893" i="30"/>
  <c r="E893" i="30"/>
  <c r="F892" i="30"/>
  <c r="E892" i="30"/>
  <c r="F891" i="30"/>
  <c r="E891" i="30"/>
  <c r="F890" i="30"/>
  <c r="E890" i="30"/>
  <c r="F889" i="30"/>
  <c r="E889" i="30"/>
  <c r="F888" i="30"/>
  <c r="E290" i="3" s="1"/>
  <c r="E888" i="30"/>
  <c r="D290" i="3" s="1"/>
  <c r="F887" i="30"/>
  <c r="E887" i="30"/>
  <c r="F886" i="30"/>
  <c r="E886" i="30"/>
  <c r="F885" i="30"/>
  <c r="E885" i="30"/>
  <c r="F884" i="30"/>
  <c r="E289" i="3" s="1"/>
  <c r="E884" i="30"/>
  <c r="D289" i="3" s="1"/>
  <c r="F883" i="30"/>
  <c r="E288" i="3" s="1"/>
  <c r="E883" i="30"/>
  <c r="D288" i="3" s="1"/>
  <c r="F882" i="30"/>
  <c r="E287" i="3" s="1"/>
  <c r="C1632" i="5" s="1"/>
  <c r="E882" i="30"/>
  <c r="D287" i="3" s="1"/>
  <c r="B1632" i="5" s="1"/>
  <c r="F881" i="30"/>
  <c r="E286" i="3" s="1"/>
  <c r="E881" i="30"/>
  <c r="D286" i="3" s="1"/>
  <c r="F880" i="30"/>
  <c r="E285" i="3" s="1"/>
  <c r="E880" i="30"/>
  <c r="D285" i="3" s="1"/>
  <c r="F879" i="30"/>
  <c r="E284" i="3" s="1"/>
  <c r="E879" i="30"/>
  <c r="D284" i="3" s="1"/>
  <c r="F878" i="30"/>
  <c r="E878" i="30"/>
  <c r="F877" i="30"/>
  <c r="E877" i="30"/>
  <c r="F876" i="30"/>
  <c r="E876" i="30"/>
  <c r="F875" i="30"/>
  <c r="E875" i="30"/>
  <c r="F874" i="30"/>
  <c r="E874" i="30"/>
  <c r="F873" i="30"/>
  <c r="E873" i="30"/>
  <c r="F872" i="30"/>
  <c r="E872" i="30"/>
  <c r="F871" i="30"/>
  <c r="E871" i="30"/>
  <c r="F870" i="30"/>
  <c r="E870" i="30"/>
  <c r="F869" i="30"/>
  <c r="E869" i="30"/>
  <c r="F868" i="30"/>
  <c r="E282" i="3" s="1"/>
  <c r="E868" i="30"/>
  <c r="D282" i="3" s="1"/>
  <c r="F867" i="30"/>
  <c r="E867" i="30"/>
  <c r="F866" i="30"/>
  <c r="E866" i="30"/>
  <c r="F865" i="30"/>
  <c r="E865" i="30"/>
  <c r="F864" i="30"/>
  <c r="E864" i="30"/>
  <c r="F863" i="30"/>
  <c r="E863" i="30"/>
  <c r="F862" i="30"/>
  <c r="E281" i="3" s="1"/>
  <c r="C1598" i="5" s="1"/>
  <c r="E862" i="30"/>
  <c r="D281" i="3" s="1"/>
  <c r="F861" i="30"/>
  <c r="E861" i="30"/>
  <c r="F860" i="30"/>
  <c r="E860" i="30"/>
  <c r="F859" i="30"/>
  <c r="E859" i="30"/>
  <c r="F858" i="30"/>
  <c r="E858" i="30"/>
  <c r="F857" i="30"/>
  <c r="E857" i="30"/>
  <c r="F856" i="30"/>
  <c r="E856" i="30"/>
  <c r="F855" i="30"/>
  <c r="E855" i="30"/>
  <c r="F854" i="30"/>
  <c r="E854" i="30"/>
  <c r="F853" i="30"/>
  <c r="E853" i="30"/>
  <c r="F852" i="30"/>
  <c r="E852" i="30"/>
  <c r="F851" i="30"/>
  <c r="E851" i="30"/>
  <c r="F850" i="30"/>
  <c r="E850" i="30"/>
  <c r="F849" i="30"/>
  <c r="E849" i="30"/>
  <c r="F848" i="30"/>
  <c r="E848" i="30"/>
  <c r="F847" i="30"/>
  <c r="E847" i="30"/>
  <c r="F846" i="30"/>
  <c r="E846" i="30"/>
  <c r="F845" i="30"/>
  <c r="E845" i="30"/>
  <c r="F844" i="30"/>
  <c r="E844" i="30"/>
  <c r="F843" i="30"/>
  <c r="E843" i="30"/>
  <c r="F842" i="30"/>
  <c r="E842" i="30"/>
  <c r="F841" i="30"/>
  <c r="E841" i="30"/>
  <c r="F840" i="30"/>
  <c r="E840" i="30"/>
  <c r="F839" i="30"/>
  <c r="E839" i="30"/>
  <c r="F838" i="30"/>
  <c r="E838" i="30"/>
  <c r="F837" i="30"/>
  <c r="E837" i="30"/>
  <c r="F836" i="30"/>
  <c r="E836" i="30"/>
  <c r="F835" i="30"/>
  <c r="E835" i="30"/>
  <c r="F834" i="30"/>
  <c r="E834" i="30"/>
  <c r="F833" i="30"/>
  <c r="E833" i="30"/>
  <c r="F832" i="30"/>
  <c r="E832" i="30"/>
  <c r="F831" i="30"/>
  <c r="E831" i="30"/>
  <c r="F830" i="30"/>
  <c r="E830" i="30"/>
  <c r="F829" i="30"/>
  <c r="E829" i="30"/>
  <c r="F828" i="30"/>
  <c r="E828" i="30"/>
  <c r="F827" i="30"/>
  <c r="E827" i="30"/>
  <c r="F826" i="30"/>
  <c r="E826" i="30"/>
  <c r="F825" i="30"/>
  <c r="E825" i="30"/>
  <c r="F824" i="30"/>
  <c r="E824" i="30"/>
  <c r="F823" i="30"/>
  <c r="E823" i="30"/>
  <c r="F822" i="30"/>
  <c r="E822" i="30"/>
  <c r="F821" i="30"/>
  <c r="E821" i="30"/>
  <c r="F820" i="30"/>
  <c r="E820" i="30"/>
  <c r="F819" i="30"/>
  <c r="E819" i="30"/>
  <c r="F818" i="30"/>
  <c r="E818" i="30"/>
  <c r="F817" i="30"/>
  <c r="E817" i="30"/>
  <c r="F816" i="30"/>
  <c r="E816" i="30"/>
  <c r="F815" i="30"/>
  <c r="E815" i="30"/>
  <c r="F814" i="30"/>
  <c r="E814" i="30"/>
  <c r="F813" i="30"/>
  <c r="E813" i="30"/>
  <c r="F812" i="30"/>
  <c r="E812" i="30"/>
  <c r="F811" i="30"/>
  <c r="E811" i="30"/>
  <c r="F810" i="30"/>
  <c r="E810" i="30"/>
  <c r="F809" i="30"/>
  <c r="E809" i="30"/>
  <c r="F808" i="30"/>
  <c r="E808" i="30"/>
  <c r="F807" i="30"/>
  <c r="E807" i="30"/>
  <c r="F806" i="30"/>
  <c r="E806" i="30"/>
  <c r="F805" i="30"/>
  <c r="E805" i="30"/>
  <c r="F804" i="30"/>
  <c r="E804" i="30"/>
  <c r="F803" i="30"/>
  <c r="E803" i="30"/>
  <c r="F802" i="30"/>
  <c r="E802" i="30"/>
  <c r="F801" i="30"/>
  <c r="E801" i="30"/>
  <c r="F800" i="30"/>
  <c r="E800" i="30"/>
  <c r="F799" i="30"/>
  <c r="E799" i="30"/>
  <c r="F798" i="30"/>
  <c r="E798" i="30"/>
  <c r="F797" i="30"/>
  <c r="E797" i="30"/>
  <c r="F796" i="30"/>
  <c r="E796" i="30"/>
  <c r="F795" i="30"/>
  <c r="E276" i="3" s="1"/>
  <c r="C1591" i="5" s="1"/>
  <c r="E795" i="30"/>
  <c r="D276" i="3" s="1"/>
  <c r="B1591" i="5" s="1"/>
  <c r="F794" i="30"/>
  <c r="E794" i="30"/>
  <c r="F793" i="30"/>
  <c r="E793" i="30"/>
  <c r="F792" i="30"/>
  <c r="E792" i="30"/>
  <c r="F791" i="30"/>
  <c r="E791" i="30"/>
  <c r="F790" i="30"/>
  <c r="E790" i="30"/>
  <c r="F789" i="30"/>
  <c r="E274" i="3" s="1"/>
  <c r="C1585" i="5" s="1"/>
  <c r="E789" i="30"/>
  <c r="D274" i="3" s="1"/>
  <c r="B1585" i="5" s="1"/>
  <c r="F788" i="30"/>
  <c r="E788" i="30"/>
  <c r="F787" i="30"/>
  <c r="E787" i="30"/>
  <c r="F786" i="30"/>
  <c r="E786" i="30"/>
  <c r="F785" i="30"/>
  <c r="E785" i="30"/>
  <c r="F784" i="30"/>
  <c r="E784" i="30"/>
  <c r="F783" i="30"/>
  <c r="E783" i="30"/>
  <c r="F782" i="30"/>
  <c r="E782" i="30"/>
  <c r="F781" i="30"/>
  <c r="E781" i="30"/>
  <c r="F780" i="30"/>
  <c r="E780" i="30"/>
  <c r="F779" i="30"/>
  <c r="E270" i="3" s="1"/>
  <c r="C1565" i="5" s="1"/>
  <c r="E779" i="30"/>
  <c r="D270" i="3" s="1"/>
  <c r="B1565" i="5" s="1"/>
  <c r="F778" i="30"/>
  <c r="E778" i="30"/>
  <c r="F777" i="30"/>
  <c r="E777" i="30"/>
  <c r="F776" i="30"/>
  <c r="E776" i="30"/>
  <c r="F775" i="30"/>
  <c r="E269" i="3" s="1"/>
  <c r="C1560" i="5" s="1"/>
  <c r="E775" i="30"/>
  <c r="D269" i="3" s="1"/>
  <c r="B1560" i="5" s="1"/>
  <c r="F774" i="30"/>
  <c r="E774" i="30"/>
  <c r="F773" i="30"/>
  <c r="E268" i="3" s="1"/>
  <c r="C1555" i="5" s="1"/>
  <c r="E773" i="30"/>
  <c r="D268" i="3" s="1"/>
  <c r="B1555" i="5" s="1"/>
  <c r="F772" i="30"/>
  <c r="E772" i="30"/>
  <c r="F771" i="30"/>
  <c r="E266" i="3" s="1"/>
  <c r="C1545" i="5" s="1"/>
  <c r="E771" i="30"/>
  <c r="F770" i="30"/>
  <c r="E770" i="30"/>
  <c r="F769" i="30"/>
  <c r="E769" i="30"/>
  <c r="F768" i="30"/>
  <c r="E768" i="30"/>
  <c r="F767" i="30"/>
  <c r="E767" i="30"/>
  <c r="F766" i="30"/>
  <c r="E766" i="30"/>
  <c r="F765" i="30"/>
  <c r="E765" i="30"/>
  <c r="F764" i="30"/>
  <c r="E764" i="30"/>
  <c r="F763" i="30"/>
  <c r="E763" i="30"/>
  <c r="F762" i="30"/>
  <c r="E762" i="30"/>
  <c r="F761" i="30"/>
  <c r="E761" i="30"/>
  <c r="F760" i="30"/>
  <c r="E760" i="30"/>
  <c r="F759" i="30"/>
  <c r="E759" i="30"/>
  <c r="F758" i="30"/>
  <c r="E758" i="30"/>
  <c r="F757" i="30"/>
  <c r="E757" i="30"/>
  <c r="F756" i="30"/>
  <c r="E756" i="30"/>
  <c r="F755" i="30"/>
  <c r="E755" i="30"/>
  <c r="F754" i="30"/>
  <c r="E754" i="30"/>
  <c r="F753" i="30"/>
  <c r="E262" i="3" s="1"/>
  <c r="C1533" i="5" s="1"/>
  <c r="E753" i="30"/>
  <c r="D262" i="3" s="1"/>
  <c r="B1533" i="5" s="1"/>
  <c r="F752" i="30"/>
  <c r="E752" i="30"/>
  <c r="F751" i="30"/>
  <c r="E751" i="30"/>
  <c r="F750" i="30"/>
  <c r="E261" i="3" s="1"/>
  <c r="C1528" i="5" s="1"/>
  <c r="E750" i="30"/>
  <c r="D261" i="3" s="1"/>
  <c r="B1528" i="5" s="1"/>
  <c r="F749" i="30"/>
  <c r="E749" i="30"/>
  <c r="F748" i="30"/>
  <c r="E748" i="30"/>
  <c r="F747" i="30"/>
  <c r="E747" i="30"/>
  <c r="F746" i="30"/>
  <c r="E259" i="3" s="1"/>
  <c r="C1522" i="5" s="1"/>
  <c r="E746" i="30"/>
  <c r="D259" i="3" s="1"/>
  <c r="B1522" i="5" s="1"/>
  <c r="F745" i="30"/>
  <c r="E745" i="30"/>
  <c r="F744" i="30"/>
  <c r="E258" i="3" s="1"/>
  <c r="C1517" i="5" s="1"/>
  <c r="E744" i="30"/>
  <c r="D258" i="3" s="1"/>
  <c r="B1517" i="5" s="1"/>
  <c r="F743" i="30"/>
  <c r="E743" i="30"/>
  <c r="F742" i="30"/>
  <c r="E742" i="30"/>
  <c r="F741" i="30"/>
  <c r="E741" i="30"/>
  <c r="F740" i="30"/>
  <c r="E740" i="30"/>
  <c r="F739" i="30"/>
  <c r="E739" i="30"/>
  <c r="F738" i="30"/>
  <c r="E738" i="30"/>
  <c r="F737" i="30"/>
  <c r="E737" i="30"/>
  <c r="F736" i="30"/>
  <c r="E736" i="30"/>
  <c r="F735" i="30"/>
  <c r="E735" i="30"/>
  <c r="F734" i="30"/>
  <c r="E734" i="30"/>
  <c r="F733" i="30"/>
  <c r="E733" i="30"/>
  <c r="F732" i="30"/>
  <c r="E732" i="30"/>
  <c r="F731" i="30"/>
  <c r="E731" i="30"/>
  <c r="F730" i="30"/>
  <c r="E730" i="30"/>
  <c r="F729" i="30"/>
  <c r="E729" i="30"/>
  <c r="F728" i="30"/>
  <c r="E255" i="3" s="1"/>
  <c r="C1506" i="5" s="1"/>
  <c r="E728" i="30"/>
  <c r="D255" i="3" s="1"/>
  <c r="B1506" i="5" s="1"/>
  <c r="F727" i="30"/>
  <c r="E727" i="30"/>
  <c r="F726" i="30"/>
  <c r="E254" i="3" s="1"/>
  <c r="C1501" i="5" s="1"/>
  <c r="E726" i="30"/>
  <c r="D254" i="3" s="1"/>
  <c r="B1501" i="5" s="1"/>
  <c r="F725" i="30"/>
  <c r="E725" i="30"/>
  <c r="F724" i="30"/>
  <c r="E724" i="30"/>
  <c r="F723" i="30"/>
  <c r="E723" i="30"/>
  <c r="F722" i="30"/>
  <c r="E722" i="30"/>
  <c r="F721" i="30"/>
  <c r="E721" i="30"/>
  <c r="F720" i="30"/>
  <c r="E720" i="30"/>
  <c r="F719" i="30"/>
  <c r="E719" i="30"/>
  <c r="F718" i="30"/>
  <c r="E718" i="30"/>
  <c r="F717" i="30"/>
  <c r="E717" i="30"/>
  <c r="F716" i="30"/>
  <c r="E716" i="30"/>
  <c r="F715" i="30"/>
  <c r="E715" i="30"/>
  <c r="F714" i="30"/>
  <c r="E250" i="3" s="1"/>
  <c r="C1481" i="5" s="1"/>
  <c r="E714" i="30"/>
  <c r="D250" i="3" s="1"/>
  <c r="B1481" i="5" s="1"/>
  <c r="F713" i="30"/>
  <c r="E713" i="30"/>
  <c r="F712" i="30"/>
  <c r="E712" i="30"/>
  <c r="F711" i="30"/>
  <c r="E711" i="30"/>
  <c r="F710" i="30"/>
  <c r="E710" i="30"/>
  <c r="F709" i="30"/>
  <c r="E709" i="30"/>
  <c r="F708" i="30"/>
  <c r="E708" i="30"/>
  <c r="F707" i="30"/>
  <c r="E707" i="30"/>
  <c r="F706" i="30"/>
  <c r="E706" i="30"/>
  <c r="F705" i="30"/>
  <c r="E705" i="30"/>
  <c r="F704" i="30"/>
  <c r="E704" i="30"/>
  <c r="F703" i="30"/>
  <c r="E703" i="30"/>
  <c r="F702" i="30"/>
  <c r="E702" i="30"/>
  <c r="F701" i="30"/>
  <c r="E245" i="3" s="1"/>
  <c r="C1460" i="5" s="1"/>
  <c r="E701" i="30"/>
  <c r="D245" i="3" s="1"/>
  <c r="B1460" i="5" s="1"/>
  <c r="F700" i="30"/>
  <c r="E700" i="30"/>
  <c r="F699" i="30"/>
  <c r="E699" i="30"/>
  <c r="F698" i="30"/>
  <c r="E698" i="30"/>
  <c r="F697" i="30"/>
  <c r="E697" i="30"/>
  <c r="F696" i="30"/>
  <c r="E696" i="30"/>
  <c r="F695" i="30"/>
  <c r="E695" i="30"/>
  <c r="F694" i="30"/>
  <c r="E694" i="30"/>
  <c r="F693" i="30"/>
  <c r="E693" i="30"/>
  <c r="F692" i="30"/>
  <c r="E244" i="3" s="1"/>
  <c r="C1455" i="5" s="1"/>
  <c r="E692" i="30"/>
  <c r="D244" i="3" s="1"/>
  <c r="B1455" i="5" s="1"/>
  <c r="F691" i="30"/>
  <c r="E691" i="30"/>
  <c r="F690" i="30"/>
  <c r="E243" i="3" s="1"/>
  <c r="C1450" i="5" s="1"/>
  <c r="E690" i="30"/>
  <c r="D243" i="3" s="1"/>
  <c r="B1450" i="5" s="1"/>
  <c r="F689" i="30"/>
  <c r="E689" i="30"/>
  <c r="D239" i="3" s="1"/>
  <c r="B1430" i="5" s="1"/>
  <c r="F688" i="30"/>
  <c r="E688" i="30"/>
  <c r="F687" i="30"/>
  <c r="E687" i="30"/>
  <c r="F686" i="30"/>
  <c r="E686" i="30"/>
  <c r="F685" i="30"/>
  <c r="E685" i="30"/>
  <c r="F684" i="30"/>
  <c r="E684" i="30"/>
  <c r="F683" i="30"/>
  <c r="E683" i="30"/>
  <c r="F682" i="30"/>
  <c r="E682" i="30"/>
  <c r="F681" i="30"/>
  <c r="E681" i="30"/>
  <c r="F680" i="30"/>
  <c r="E680" i="30"/>
  <c r="F679" i="30"/>
  <c r="E242" i="3" s="1"/>
  <c r="C1445" i="5" s="1"/>
  <c r="E679" i="30"/>
  <c r="D242" i="3" s="1"/>
  <c r="B1445" i="5" s="1"/>
  <c r="F678" i="30"/>
  <c r="E241" i="3" s="1"/>
  <c r="C1440" i="5" s="1"/>
  <c r="E678" i="30"/>
  <c r="D241" i="3" s="1"/>
  <c r="B1440" i="5" s="1"/>
  <c r="F677" i="30"/>
  <c r="E240" i="3" s="1"/>
  <c r="C1435" i="5" s="1"/>
  <c r="E677" i="30"/>
  <c r="D240" i="3" s="1"/>
  <c r="B1435" i="5" s="1"/>
  <c r="F676" i="30"/>
  <c r="E676" i="30"/>
  <c r="F675" i="30"/>
  <c r="E675" i="30"/>
  <c r="F674" i="30"/>
  <c r="E674" i="30"/>
  <c r="F673" i="30"/>
  <c r="E673" i="30"/>
  <c r="F672" i="30"/>
  <c r="E672" i="30"/>
  <c r="F671" i="30"/>
  <c r="E671" i="30"/>
  <c r="F670" i="30"/>
  <c r="E670" i="30"/>
  <c r="F669" i="30"/>
  <c r="E669" i="30"/>
  <c r="F668" i="30"/>
  <c r="E238" i="3" s="1"/>
  <c r="C1425" i="5" s="1"/>
  <c r="E668" i="30"/>
  <c r="D238" i="3" s="1"/>
  <c r="B1425" i="5" s="1"/>
  <c r="F667" i="30"/>
  <c r="E667" i="30"/>
  <c r="F666" i="30"/>
  <c r="E666" i="30"/>
  <c r="F665" i="30"/>
  <c r="E665" i="30"/>
  <c r="F664" i="30"/>
  <c r="E664" i="30"/>
  <c r="F663" i="30"/>
  <c r="E237" i="3" s="1"/>
  <c r="C1420" i="5" s="1"/>
  <c r="E663" i="30"/>
  <c r="D237" i="3" s="1"/>
  <c r="B1420" i="5" s="1"/>
  <c r="F662" i="30"/>
  <c r="E236" i="3" s="1"/>
  <c r="C1415" i="5" s="1"/>
  <c r="E662" i="30"/>
  <c r="D236" i="3" s="1"/>
  <c r="B1415" i="5" s="1"/>
  <c r="F661" i="30"/>
  <c r="E235" i="3" s="1"/>
  <c r="C1410" i="5" s="1"/>
  <c r="E661" i="30"/>
  <c r="F660" i="30"/>
  <c r="E660" i="30"/>
  <c r="F659" i="30"/>
  <c r="E659" i="30"/>
  <c r="F658" i="30"/>
  <c r="E658" i="30"/>
  <c r="F657" i="30"/>
  <c r="E657" i="30"/>
  <c r="F656" i="30"/>
  <c r="E656" i="30"/>
  <c r="F655" i="30"/>
  <c r="E655" i="30"/>
  <c r="F654" i="30"/>
  <c r="E654" i="30"/>
  <c r="F653" i="30"/>
  <c r="E247" i="3" s="1"/>
  <c r="C1466" i="5" s="1"/>
  <c r="E653" i="30"/>
  <c r="D247" i="3" s="1"/>
  <c r="B1466" i="5" s="1"/>
  <c r="F652" i="30"/>
  <c r="E652" i="30"/>
  <c r="F651" i="30"/>
  <c r="E651" i="30"/>
  <c r="F650" i="30"/>
  <c r="E650" i="30"/>
  <c r="F649" i="30"/>
  <c r="E649" i="30"/>
  <c r="F648" i="30"/>
  <c r="E648" i="30"/>
  <c r="F647" i="30"/>
  <c r="E647" i="30"/>
  <c r="F646" i="30"/>
  <c r="E233" i="3" s="1"/>
  <c r="C1404" i="5" s="1"/>
  <c r="E646" i="30"/>
  <c r="D233" i="3" s="1"/>
  <c r="B1404" i="5" s="1"/>
  <c r="F645" i="30"/>
  <c r="E232" i="3" s="1"/>
  <c r="C1399" i="5" s="1"/>
  <c r="E645" i="30"/>
  <c r="D232" i="3" s="1"/>
  <c r="B1399" i="5" s="1"/>
  <c r="F644" i="30"/>
  <c r="E231" i="3" s="1"/>
  <c r="C1394" i="5" s="1"/>
  <c r="E644" i="30"/>
  <c r="D231" i="3" s="1"/>
  <c r="B1394" i="5" s="1"/>
  <c r="F643" i="30"/>
  <c r="E230" i="3" s="1"/>
  <c r="C1389" i="5" s="1"/>
  <c r="E643" i="30"/>
  <c r="D230" i="3" s="1"/>
  <c r="B1389" i="5" s="1"/>
  <c r="F642" i="30"/>
  <c r="E229" i="3" s="1"/>
  <c r="C1384" i="5" s="1"/>
  <c r="E642" i="30"/>
  <c r="D229" i="3" s="1"/>
  <c r="B1384" i="5" s="1"/>
  <c r="F641" i="30"/>
  <c r="E249" i="3" s="1"/>
  <c r="C1476" i="5" s="1"/>
  <c r="E641" i="30"/>
  <c r="D249" i="3" s="1"/>
  <c r="B1476" i="5" s="1"/>
  <c r="F640" i="30"/>
  <c r="E248" i="3" s="1"/>
  <c r="C1471" i="5" s="1"/>
  <c r="E640" i="30"/>
  <c r="D248" i="3" s="1"/>
  <c r="B1471" i="5" s="1"/>
  <c r="F639" i="30"/>
  <c r="E639" i="30"/>
  <c r="F638" i="30"/>
  <c r="E638" i="30"/>
  <c r="F637" i="30"/>
  <c r="E637" i="30"/>
  <c r="F636" i="30"/>
  <c r="E636" i="30"/>
  <c r="F635" i="30"/>
  <c r="E635" i="30"/>
  <c r="F634" i="30"/>
  <c r="E634" i="30"/>
  <c r="F633" i="30"/>
  <c r="E633" i="30"/>
  <c r="F632" i="30"/>
  <c r="E632" i="30"/>
  <c r="F631" i="30"/>
  <c r="E631" i="30"/>
  <c r="F630" i="30"/>
  <c r="E630" i="30"/>
  <c r="F629" i="30"/>
  <c r="E629" i="30"/>
  <c r="F628" i="30"/>
  <c r="E628" i="30"/>
  <c r="F627" i="30"/>
  <c r="E627" i="30"/>
  <c r="F626" i="30"/>
  <c r="E626" i="30"/>
  <c r="F625" i="30"/>
  <c r="E625" i="30"/>
  <c r="F624" i="30"/>
  <c r="E624" i="30"/>
  <c r="F623" i="30"/>
  <c r="E623" i="30"/>
  <c r="F622" i="30"/>
  <c r="E622" i="30"/>
  <c r="F621" i="30"/>
  <c r="E621" i="30"/>
  <c r="F620" i="30"/>
  <c r="E620" i="30"/>
  <c r="F619" i="30"/>
  <c r="E619" i="30"/>
  <c r="F618" i="30"/>
  <c r="E618" i="30"/>
  <c r="F617" i="30"/>
  <c r="E227" i="3" s="1"/>
  <c r="C1377" i="5" s="1"/>
  <c r="E617" i="30"/>
  <c r="D227" i="3" s="1"/>
  <c r="B1377" i="5" s="1"/>
  <c r="F616" i="30"/>
  <c r="E616" i="30"/>
  <c r="F615" i="30"/>
  <c r="E615" i="30"/>
  <c r="F614" i="30"/>
  <c r="E226" i="3" s="1"/>
  <c r="C1371" i="5" s="1"/>
  <c r="E614" i="30"/>
  <c r="D226" i="3" s="1"/>
  <c r="B1371" i="5" s="1"/>
  <c r="F613" i="30"/>
  <c r="E613" i="30"/>
  <c r="F612" i="30"/>
  <c r="E225" i="3" s="1"/>
  <c r="C1365" i="5" s="1"/>
  <c r="E612" i="30"/>
  <c r="D225" i="3" s="1"/>
  <c r="B1365" i="5" s="1"/>
  <c r="F611" i="30"/>
  <c r="E611" i="30"/>
  <c r="F610" i="30"/>
  <c r="E224" i="3" s="1"/>
  <c r="C1359" i="5" s="1"/>
  <c r="E610" i="30"/>
  <c r="D224" i="3" s="1"/>
  <c r="B1359" i="5" s="1"/>
  <c r="F609" i="30"/>
  <c r="E609" i="30"/>
  <c r="F608" i="30"/>
  <c r="E608" i="30"/>
  <c r="F607" i="30"/>
  <c r="E223" i="3" s="1"/>
  <c r="C1353" i="5" s="1"/>
  <c r="E607" i="30"/>
  <c r="D223" i="3" s="1"/>
  <c r="B1353" i="5" s="1"/>
  <c r="F606" i="30"/>
  <c r="E606" i="30"/>
  <c r="F605" i="30"/>
  <c r="E605" i="30"/>
  <c r="F604" i="30"/>
  <c r="E604" i="30"/>
  <c r="F603" i="30"/>
  <c r="E603" i="30"/>
  <c r="F602" i="30"/>
  <c r="E602" i="30"/>
  <c r="F601" i="30"/>
  <c r="E601" i="30"/>
  <c r="F600" i="30"/>
  <c r="E600" i="30"/>
  <c r="F599" i="30"/>
  <c r="E599" i="30"/>
  <c r="F598" i="30"/>
  <c r="E598" i="30"/>
  <c r="F597" i="30"/>
  <c r="E222" i="3" s="1"/>
  <c r="C1347" i="5" s="1"/>
  <c r="E597" i="30"/>
  <c r="D222" i="3" s="1"/>
  <c r="B1347" i="5" s="1"/>
  <c r="F596" i="30"/>
  <c r="E596" i="30"/>
  <c r="F595" i="30"/>
  <c r="E595" i="30"/>
  <c r="F594" i="30"/>
  <c r="E594" i="30"/>
  <c r="F593" i="30"/>
  <c r="E329" i="3" s="1"/>
  <c r="E593" i="30"/>
  <c r="D329" i="3" s="1"/>
  <c r="F592" i="30"/>
  <c r="E592" i="30"/>
  <c r="F591" i="30"/>
  <c r="E591" i="30"/>
  <c r="F590" i="30"/>
  <c r="E590" i="30"/>
  <c r="F589" i="30"/>
  <c r="E589" i="30"/>
  <c r="F588" i="30"/>
  <c r="E588" i="30"/>
  <c r="F587" i="30"/>
  <c r="E587" i="30"/>
  <c r="F586" i="30"/>
  <c r="E586" i="30"/>
  <c r="F585" i="30"/>
  <c r="E585" i="30"/>
  <c r="F584" i="30"/>
  <c r="E584" i="30"/>
  <c r="F583" i="30"/>
  <c r="E583" i="30"/>
  <c r="F582" i="30"/>
  <c r="E582" i="30"/>
  <c r="F581" i="30"/>
  <c r="E581" i="30"/>
  <c r="F580" i="30"/>
  <c r="E580" i="30"/>
  <c r="F579" i="30"/>
  <c r="E579" i="30"/>
  <c r="F578" i="30"/>
  <c r="E578" i="30"/>
  <c r="F577" i="30"/>
  <c r="E577" i="30"/>
  <c r="F576" i="30"/>
  <c r="E576" i="30"/>
  <c r="F575" i="30"/>
  <c r="E575" i="30"/>
  <c r="F574" i="30"/>
  <c r="E574" i="30"/>
  <c r="F573" i="30"/>
  <c r="E573" i="30"/>
  <c r="F572" i="30"/>
  <c r="E572" i="30"/>
  <c r="F571" i="30"/>
  <c r="E571" i="30"/>
  <c r="F570" i="30"/>
  <c r="E570" i="30"/>
  <c r="F569" i="30"/>
  <c r="E219" i="3" s="1"/>
  <c r="C1334" i="5" s="1"/>
  <c r="E569" i="30"/>
  <c r="D219" i="3" s="1"/>
  <c r="B1334" i="5" s="1"/>
  <c r="F568" i="30"/>
  <c r="E568" i="30"/>
  <c r="F567" i="30"/>
  <c r="E567" i="30"/>
  <c r="F566" i="30"/>
  <c r="E213" i="3" s="1"/>
  <c r="C1306" i="5" s="1"/>
  <c r="E566" i="30"/>
  <c r="D213" i="3" s="1"/>
  <c r="B1306" i="5" s="1"/>
  <c r="F565" i="30"/>
  <c r="E565" i="30"/>
  <c r="F564" i="30"/>
  <c r="E212" i="3" s="1"/>
  <c r="E564" i="30"/>
  <c r="D212" i="3" s="1"/>
  <c r="F563" i="30"/>
  <c r="E563" i="30"/>
  <c r="F562" i="30"/>
  <c r="E562" i="30"/>
  <c r="F561" i="30"/>
  <c r="E561" i="30"/>
  <c r="F560" i="30"/>
  <c r="E560" i="30"/>
  <c r="F559" i="30"/>
  <c r="E559" i="30"/>
  <c r="F558" i="30"/>
  <c r="E558" i="30"/>
  <c r="F557" i="30"/>
  <c r="E557" i="30"/>
  <c r="F556" i="30"/>
  <c r="E556" i="30"/>
  <c r="F555" i="30"/>
  <c r="E555" i="30"/>
  <c r="F554" i="30"/>
  <c r="E554" i="30"/>
  <c r="F553" i="30"/>
  <c r="E553" i="30"/>
  <c r="F552" i="30"/>
  <c r="E552" i="30"/>
  <c r="F551" i="30"/>
  <c r="E207" i="3" s="1"/>
  <c r="C1290" i="5" s="1"/>
  <c r="E551" i="30"/>
  <c r="D207" i="3" s="1"/>
  <c r="B1290" i="5" s="1"/>
  <c r="F550" i="30"/>
  <c r="E550" i="30"/>
  <c r="F549" i="30"/>
  <c r="E549" i="30"/>
  <c r="F548" i="30"/>
  <c r="E548" i="30"/>
  <c r="F547" i="30"/>
  <c r="E547" i="30"/>
  <c r="F546" i="30"/>
  <c r="E546" i="30"/>
  <c r="F545" i="30"/>
  <c r="E545" i="30"/>
  <c r="F544" i="30"/>
  <c r="E544" i="30"/>
  <c r="F543" i="30"/>
  <c r="E543" i="30"/>
  <c r="F542" i="30"/>
  <c r="E205" i="3" s="1"/>
  <c r="C1270" i="5" s="1"/>
  <c r="E542" i="30"/>
  <c r="D205" i="3" s="1"/>
  <c r="B1270" i="5" s="1"/>
  <c r="F541" i="30"/>
  <c r="E204" i="3" s="1"/>
  <c r="C1251" i="5" s="1"/>
  <c r="E541" i="30"/>
  <c r="D204" i="3" s="1"/>
  <c r="B1251" i="5" s="1"/>
  <c r="F540" i="30"/>
  <c r="E540" i="30"/>
  <c r="F539" i="30"/>
  <c r="E539" i="30"/>
  <c r="F538" i="30"/>
  <c r="E538" i="30"/>
  <c r="F537" i="30"/>
  <c r="E537" i="30"/>
  <c r="F536" i="30"/>
  <c r="E536" i="30"/>
  <c r="F535" i="30"/>
  <c r="E202" i="3" s="1"/>
  <c r="C1208" i="5" s="1"/>
  <c r="E535" i="30"/>
  <c r="D202" i="3" s="1"/>
  <c r="B1208" i="5" s="1"/>
  <c r="F534" i="30"/>
  <c r="E534" i="30"/>
  <c r="F533" i="30"/>
  <c r="E533" i="30"/>
  <c r="F532" i="30"/>
  <c r="E532" i="30"/>
  <c r="F531" i="30"/>
  <c r="E200" i="3" s="1"/>
  <c r="C1183" i="5" s="1"/>
  <c r="E531" i="30"/>
  <c r="D200" i="3" s="1"/>
  <c r="B1183" i="5" s="1"/>
  <c r="F530" i="30"/>
  <c r="E530" i="30"/>
  <c r="F529" i="30"/>
  <c r="E529" i="30"/>
  <c r="F528" i="30"/>
  <c r="E528" i="30"/>
  <c r="F527" i="30"/>
  <c r="E527" i="30"/>
  <c r="F526" i="30"/>
  <c r="E526" i="30"/>
  <c r="F525" i="30"/>
  <c r="E525" i="30"/>
  <c r="F524" i="30"/>
  <c r="E524" i="30"/>
  <c r="F523" i="30"/>
  <c r="E523" i="30"/>
  <c r="F522" i="30"/>
  <c r="E199" i="3" s="1"/>
  <c r="C1177" i="5" s="1"/>
  <c r="E522" i="30"/>
  <c r="D199" i="3" s="1"/>
  <c r="B1177" i="5" s="1"/>
  <c r="F521" i="30"/>
  <c r="E198" i="3" s="1"/>
  <c r="C1153" i="5" s="1"/>
  <c r="E521" i="30"/>
  <c r="D198" i="3" s="1"/>
  <c r="B1153" i="5" s="1"/>
  <c r="F520" i="30"/>
  <c r="E520" i="30"/>
  <c r="F519" i="30"/>
  <c r="E519" i="30"/>
  <c r="F518" i="30"/>
  <c r="E196" i="3" s="1"/>
  <c r="C1144" i="5" s="1"/>
  <c r="E518" i="30"/>
  <c r="D196" i="3" s="1"/>
  <c r="B1144" i="5" s="1"/>
  <c r="F517" i="30"/>
  <c r="E517" i="30"/>
  <c r="F516" i="30"/>
  <c r="E516" i="30"/>
  <c r="F515" i="30"/>
  <c r="E515" i="30"/>
  <c r="F514" i="30"/>
  <c r="E195" i="3" s="1"/>
  <c r="C1136" i="5" s="1"/>
  <c r="E514" i="30"/>
  <c r="D195" i="3" s="1"/>
  <c r="B1136" i="5" s="1"/>
  <c r="F513" i="30"/>
  <c r="E194" i="3" s="1"/>
  <c r="C1128" i="5" s="1"/>
  <c r="E513" i="30"/>
  <c r="D194" i="3" s="1"/>
  <c r="B1128" i="5" s="1"/>
  <c r="F512" i="30"/>
  <c r="E193" i="3" s="1"/>
  <c r="C1120" i="5" s="1"/>
  <c r="E512" i="30"/>
  <c r="D193" i="3" s="1"/>
  <c r="B1120" i="5" s="1"/>
  <c r="F511" i="30"/>
  <c r="E192" i="3" s="1"/>
  <c r="C1114" i="5" s="1"/>
  <c r="E511" i="30"/>
  <c r="F510" i="30"/>
  <c r="E190" i="3" s="1"/>
  <c r="C1105" i="5" s="1"/>
  <c r="E510" i="30"/>
  <c r="D190" i="3" s="1"/>
  <c r="B1105" i="5" s="1"/>
  <c r="F509" i="30"/>
  <c r="E509" i="30"/>
  <c r="F508" i="30"/>
  <c r="E188" i="3" s="1"/>
  <c r="C1089" i="5" s="1"/>
  <c r="E508" i="30"/>
  <c r="D188" i="3" s="1"/>
  <c r="B1089" i="5" s="1"/>
  <c r="F507" i="30"/>
  <c r="E507" i="30"/>
  <c r="F506" i="30"/>
  <c r="E506" i="30"/>
  <c r="F505" i="30"/>
  <c r="E505" i="30"/>
  <c r="F504" i="30"/>
  <c r="E504" i="30"/>
  <c r="F503" i="30"/>
  <c r="E186" i="3" s="1"/>
  <c r="C1073" i="5" s="1"/>
  <c r="E503" i="30"/>
  <c r="D186" i="3" s="1"/>
  <c r="B1073" i="5" s="1"/>
  <c r="F502" i="30"/>
  <c r="E184" i="3" s="1"/>
  <c r="C1066" i="5" s="1"/>
  <c r="E502" i="30"/>
  <c r="D184" i="3" s="1"/>
  <c r="B1066" i="5" s="1"/>
  <c r="F501" i="30"/>
  <c r="E183" i="3" s="1"/>
  <c r="C1060" i="5" s="1"/>
  <c r="E501" i="30"/>
  <c r="D183" i="3" s="1"/>
  <c r="B1060" i="5" s="1"/>
  <c r="F500" i="30"/>
  <c r="E500" i="30"/>
  <c r="F499" i="30"/>
  <c r="E499" i="30"/>
  <c r="F498" i="30"/>
  <c r="E498" i="30"/>
  <c r="F497" i="30"/>
  <c r="E497" i="30"/>
  <c r="F496" i="30"/>
  <c r="E496" i="30"/>
  <c r="F495" i="30"/>
  <c r="E495" i="30"/>
  <c r="F494" i="30"/>
  <c r="E180" i="3" s="1"/>
  <c r="C1042" i="5" s="1"/>
  <c r="E494" i="30"/>
  <c r="D180" i="3" s="1"/>
  <c r="B1042" i="5" s="1"/>
  <c r="F493" i="30"/>
  <c r="E493" i="30"/>
  <c r="F492" i="30"/>
  <c r="E492" i="30"/>
  <c r="F491" i="30"/>
  <c r="E491" i="30"/>
  <c r="F490" i="30"/>
  <c r="E490" i="30"/>
  <c r="F489" i="30"/>
  <c r="E489" i="30"/>
  <c r="F488" i="30"/>
  <c r="E488" i="30"/>
  <c r="F487" i="30"/>
  <c r="E487" i="30"/>
  <c r="F486" i="30"/>
  <c r="E486" i="30"/>
  <c r="F485" i="30"/>
  <c r="E485" i="30"/>
  <c r="F484" i="30"/>
  <c r="E484" i="30"/>
  <c r="F483" i="30"/>
  <c r="E483" i="30"/>
  <c r="F482" i="30"/>
  <c r="E178" i="3" s="1"/>
  <c r="C1035" i="5" s="1"/>
  <c r="E482" i="30"/>
  <c r="D178" i="3" s="1"/>
  <c r="B1035" i="5" s="1"/>
  <c r="F481" i="30"/>
  <c r="E481" i="30"/>
  <c r="F480" i="30"/>
  <c r="E480" i="30"/>
  <c r="F479" i="30"/>
  <c r="E479" i="30"/>
  <c r="F478" i="30"/>
  <c r="E478" i="30"/>
  <c r="F477" i="30"/>
  <c r="E477" i="30"/>
  <c r="F476" i="30"/>
  <c r="E476" i="30"/>
  <c r="F475" i="30"/>
  <c r="E475" i="30"/>
  <c r="F474" i="30"/>
  <c r="E474" i="30"/>
  <c r="F473" i="30"/>
  <c r="E473" i="30"/>
  <c r="F472" i="30"/>
  <c r="E177" i="3" s="1"/>
  <c r="C1029" i="5" s="1"/>
  <c r="E472" i="30"/>
  <c r="D177" i="3" s="1"/>
  <c r="B1029" i="5" s="1"/>
  <c r="F471" i="30"/>
  <c r="E471" i="30"/>
  <c r="F470" i="30"/>
  <c r="E470" i="30"/>
  <c r="F469" i="30"/>
  <c r="E469" i="30"/>
  <c r="F468" i="30"/>
  <c r="E173" i="3" s="1"/>
  <c r="C1010" i="5" s="1"/>
  <c r="E468" i="30"/>
  <c r="D173" i="3" s="1"/>
  <c r="B1010" i="5" s="1"/>
  <c r="F467" i="30"/>
  <c r="E172" i="3" s="1"/>
  <c r="C1004" i="5" s="1"/>
  <c r="E467" i="30"/>
  <c r="D172" i="3" s="1"/>
  <c r="B1004" i="5" s="1"/>
  <c r="F466" i="30"/>
  <c r="E466" i="30"/>
  <c r="F465" i="30"/>
  <c r="E171" i="3" s="1"/>
  <c r="C998" i="5" s="1"/>
  <c r="E465" i="30"/>
  <c r="D171" i="3" s="1"/>
  <c r="B998" i="5" s="1"/>
  <c r="F464" i="30"/>
  <c r="E464" i="30"/>
  <c r="D170" i="3" s="1"/>
  <c r="B992" i="5" s="1"/>
  <c r="F463" i="30"/>
  <c r="E463" i="30"/>
  <c r="F462" i="30"/>
  <c r="E462" i="30"/>
  <c r="F461" i="30"/>
  <c r="E461" i="30"/>
  <c r="F460" i="30"/>
  <c r="E167" i="3" s="1"/>
  <c r="C941" i="5" s="1"/>
  <c r="E460" i="30"/>
  <c r="D167" i="3" s="1"/>
  <c r="B941" i="5" s="1"/>
  <c r="F459" i="30"/>
  <c r="E459" i="30"/>
  <c r="F458" i="30"/>
  <c r="E168" i="3" s="1"/>
  <c r="C966" i="5" s="1"/>
  <c r="E458" i="30"/>
  <c r="D168" i="3" s="1"/>
  <c r="B966" i="5" s="1"/>
  <c r="F457" i="30"/>
  <c r="E457" i="30"/>
  <c r="F456" i="30"/>
  <c r="E456" i="30"/>
  <c r="F455" i="30"/>
  <c r="E455" i="30"/>
  <c r="F454" i="30"/>
  <c r="E454" i="30"/>
  <c r="F453" i="30"/>
  <c r="E453" i="30"/>
  <c r="F452" i="30"/>
  <c r="E164" i="3" s="1"/>
  <c r="C868" i="5" s="1"/>
  <c r="E452" i="30"/>
  <c r="D164" i="3" s="1"/>
  <c r="B868" i="5" s="1"/>
  <c r="F451" i="30"/>
  <c r="E163" i="3" s="1"/>
  <c r="C862" i="5" s="1"/>
  <c r="E451" i="30"/>
  <c r="F450" i="30"/>
  <c r="E450" i="30"/>
  <c r="F449" i="30"/>
  <c r="E449" i="30"/>
  <c r="F448" i="30"/>
  <c r="E448" i="30"/>
  <c r="F447" i="30"/>
  <c r="E447" i="30"/>
  <c r="F446" i="30"/>
  <c r="E446" i="30"/>
  <c r="F445" i="30"/>
  <c r="E445" i="30"/>
  <c r="F444" i="30"/>
  <c r="E160" i="3" s="1"/>
  <c r="E444" i="30"/>
  <c r="D160" i="3" s="1"/>
  <c r="F443" i="30"/>
  <c r="E443" i="30"/>
  <c r="F442" i="30"/>
  <c r="E442" i="30"/>
  <c r="F441" i="30"/>
  <c r="E441" i="30"/>
  <c r="F440" i="30"/>
  <c r="E440" i="30"/>
  <c r="F439" i="30"/>
  <c r="E439" i="30"/>
  <c r="F438" i="30"/>
  <c r="E438" i="30"/>
  <c r="F437" i="30"/>
  <c r="E437" i="30"/>
  <c r="F436" i="30"/>
  <c r="E436" i="30"/>
  <c r="F435" i="30"/>
  <c r="E435" i="30"/>
  <c r="F434" i="30"/>
  <c r="E155" i="3" s="1"/>
  <c r="C786" i="5" s="1"/>
  <c r="E434" i="30"/>
  <c r="D155" i="3" s="1"/>
  <c r="B786" i="5" s="1"/>
  <c r="F433" i="30"/>
  <c r="E433" i="30"/>
  <c r="F432" i="30"/>
  <c r="E432" i="30"/>
  <c r="F431" i="30"/>
  <c r="E154" i="3" s="1"/>
  <c r="E431" i="30"/>
  <c r="D154" i="3" s="1"/>
  <c r="F430" i="30"/>
  <c r="E430" i="30"/>
  <c r="F429" i="30"/>
  <c r="E429" i="30"/>
  <c r="F428" i="30"/>
  <c r="E153" i="3" s="1"/>
  <c r="E428" i="30"/>
  <c r="D153" i="3" s="1"/>
  <c r="F427" i="30"/>
  <c r="E427" i="30"/>
  <c r="F426" i="30"/>
  <c r="E426" i="30"/>
  <c r="F425" i="30"/>
  <c r="E425" i="30"/>
  <c r="F424" i="30"/>
  <c r="E424" i="30"/>
  <c r="F423" i="30"/>
  <c r="E423" i="30"/>
  <c r="F422" i="30"/>
  <c r="E422" i="30"/>
  <c r="F421" i="30"/>
  <c r="E421" i="30"/>
  <c r="F420" i="30"/>
  <c r="E420" i="30"/>
  <c r="F419" i="30"/>
  <c r="E419" i="30"/>
  <c r="F418" i="30"/>
  <c r="E151" i="3" s="1"/>
  <c r="E418" i="30"/>
  <c r="D151" i="3" s="1"/>
  <c r="F417" i="30"/>
  <c r="E417" i="30"/>
  <c r="F416" i="30"/>
  <c r="E416" i="30"/>
  <c r="F415" i="30"/>
  <c r="E415" i="30"/>
  <c r="F414" i="30"/>
  <c r="E414" i="30"/>
  <c r="F413" i="30"/>
  <c r="E413" i="30"/>
  <c r="F412" i="30"/>
  <c r="E412" i="30"/>
  <c r="F411" i="30"/>
  <c r="E411" i="30"/>
  <c r="F410" i="30"/>
  <c r="E410" i="30"/>
  <c r="F409" i="30"/>
  <c r="E409" i="30"/>
  <c r="F408" i="30"/>
  <c r="E408" i="30"/>
  <c r="F407" i="30"/>
  <c r="E407" i="30"/>
  <c r="F406" i="30"/>
  <c r="E150" i="3" s="1"/>
  <c r="E406" i="30"/>
  <c r="D150" i="3" s="1"/>
  <c r="F405" i="30"/>
  <c r="E405" i="30"/>
  <c r="F404" i="30"/>
  <c r="E404" i="30"/>
  <c r="F403" i="30"/>
  <c r="E403" i="30"/>
  <c r="F402" i="30"/>
  <c r="E402" i="30"/>
  <c r="F401" i="30"/>
  <c r="E401" i="30"/>
  <c r="F400" i="30"/>
  <c r="E400" i="30"/>
  <c r="F399" i="30"/>
  <c r="E399" i="30"/>
  <c r="F398" i="30"/>
  <c r="E398" i="30"/>
  <c r="F397" i="30"/>
  <c r="E397" i="30"/>
  <c r="F396" i="30"/>
  <c r="E396" i="30"/>
  <c r="F395" i="30"/>
  <c r="E395" i="30"/>
  <c r="F394" i="30"/>
  <c r="E394" i="30"/>
  <c r="F393" i="30"/>
  <c r="E393" i="30"/>
  <c r="F392" i="30"/>
  <c r="E392" i="30"/>
  <c r="F391" i="30"/>
  <c r="E142" i="3" s="1"/>
  <c r="E391" i="30"/>
  <c r="D142" i="3" s="1"/>
  <c r="F390" i="30"/>
  <c r="E390" i="30"/>
  <c r="F389" i="30"/>
  <c r="E389" i="30"/>
  <c r="F388" i="30"/>
  <c r="E140" i="3" s="1"/>
  <c r="C688" i="5" s="1"/>
  <c r="E388" i="30"/>
  <c r="D140" i="3" s="1"/>
  <c r="B688" i="5" s="1"/>
  <c r="F387" i="30"/>
  <c r="E387" i="30"/>
  <c r="F386" i="30"/>
  <c r="E386" i="30"/>
  <c r="F385" i="30"/>
  <c r="E385" i="30"/>
  <c r="F384" i="30"/>
  <c r="E384" i="30"/>
  <c r="F383" i="30"/>
  <c r="E383" i="30"/>
  <c r="F382" i="30"/>
  <c r="E382" i="30"/>
  <c r="F381" i="30"/>
  <c r="E381" i="30"/>
  <c r="F380" i="30"/>
  <c r="E380" i="30"/>
  <c r="F379" i="30"/>
  <c r="E379" i="30"/>
  <c r="F378" i="30"/>
  <c r="E138" i="3" s="1"/>
  <c r="E378" i="30"/>
  <c r="D138" i="3" s="1"/>
  <c r="F377" i="30"/>
  <c r="E377" i="30"/>
  <c r="F376" i="30"/>
  <c r="E376" i="30"/>
  <c r="F375" i="30"/>
  <c r="E375" i="30"/>
  <c r="F374" i="30"/>
  <c r="E374" i="30"/>
  <c r="F373" i="30"/>
  <c r="E373" i="30"/>
  <c r="F372" i="30"/>
  <c r="E372" i="30"/>
  <c r="F371" i="30"/>
  <c r="E371" i="30"/>
  <c r="F370" i="30"/>
  <c r="E370" i="30"/>
  <c r="F369" i="30"/>
  <c r="E369" i="30"/>
  <c r="F368" i="30"/>
  <c r="E368" i="30"/>
  <c r="F367" i="30"/>
  <c r="E367" i="30"/>
  <c r="F366" i="30"/>
  <c r="E366" i="30"/>
  <c r="F365" i="30"/>
  <c r="E365" i="30"/>
  <c r="F364" i="30"/>
  <c r="E364" i="30"/>
  <c r="F363" i="30"/>
  <c r="E363" i="30"/>
  <c r="F362" i="30"/>
  <c r="E362" i="30"/>
  <c r="F361" i="30"/>
  <c r="E361" i="30"/>
  <c r="F360" i="30"/>
  <c r="E360" i="30"/>
  <c r="F359" i="30"/>
  <c r="E359" i="30"/>
  <c r="F358" i="30"/>
  <c r="E358" i="30"/>
  <c r="F357" i="30"/>
  <c r="E357" i="30"/>
  <c r="F356" i="30"/>
  <c r="E356" i="30"/>
  <c r="F355" i="30"/>
  <c r="E355" i="30"/>
  <c r="F354" i="30"/>
  <c r="E354" i="30"/>
  <c r="F353" i="30"/>
  <c r="E353" i="30"/>
  <c r="F352" i="30"/>
  <c r="E352" i="30"/>
  <c r="F351" i="30"/>
  <c r="E351" i="30"/>
  <c r="F350" i="30"/>
  <c r="E350" i="30"/>
  <c r="F349" i="30"/>
  <c r="E349" i="30"/>
  <c r="F348" i="30"/>
  <c r="E348" i="30"/>
  <c r="F347" i="30"/>
  <c r="E347" i="30"/>
  <c r="F346" i="30"/>
  <c r="E122" i="3" s="1"/>
  <c r="C625" i="5" s="1"/>
  <c r="E346" i="30"/>
  <c r="D122" i="3" s="1"/>
  <c r="B625" i="5" s="1"/>
  <c r="F345" i="30"/>
  <c r="E345" i="30"/>
  <c r="F344" i="30"/>
  <c r="E344" i="30"/>
  <c r="F343" i="30"/>
  <c r="E343" i="30"/>
  <c r="F342" i="30"/>
  <c r="E342" i="30"/>
  <c r="F341" i="30"/>
  <c r="E121" i="3" s="1"/>
  <c r="C620" i="5" s="1"/>
  <c r="E341" i="30"/>
  <c r="F340" i="30"/>
  <c r="E340" i="30"/>
  <c r="F339" i="30"/>
  <c r="E120" i="3" s="1"/>
  <c r="E339" i="30"/>
  <c r="D120" i="3" s="1"/>
  <c r="F338" i="30"/>
  <c r="E338" i="30"/>
  <c r="F337" i="30"/>
  <c r="E337" i="30"/>
  <c r="B1327" i="5" s="1"/>
  <c r="F336" i="30"/>
  <c r="E336" i="30"/>
  <c r="F335" i="30"/>
  <c r="E335" i="30"/>
  <c r="F334" i="30"/>
  <c r="E334" i="30"/>
  <c r="F333" i="30"/>
  <c r="E333" i="30"/>
  <c r="F332" i="30"/>
  <c r="E332" i="30"/>
  <c r="F331" i="30"/>
  <c r="E331" i="30"/>
  <c r="F330" i="30"/>
  <c r="E330" i="30"/>
  <c r="F329" i="30"/>
  <c r="E118" i="3" s="1"/>
  <c r="E329" i="30"/>
  <c r="D118" i="3" s="1"/>
  <c r="F328" i="30"/>
  <c r="E328" i="30"/>
  <c r="F327" i="30"/>
  <c r="E327" i="30"/>
  <c r="F326" i="30"/>
  <c r="E326" i="30"/>
  <c r="F325" i="30"/>
  <c r="E325" i="30"/>
  <c r="F324" i="30"/>
  <c r="E324" i="30"/>
  <c r="F323" i="30"/>
  <c r="E323" i="30"/>
  <c r="F322" i="30"/>
  <c r="E322" i="30"/>
  <c r="F321" i="30"/>
  <c r="E321" i="30"/>
  <c r="F320" i="30"/>
  <c r="E320" i="30"/>
  <c r="F319" i="30"/>
  <c r="E319" i="30"/>
  <c r="F318" i="30"/>
  <c r="E318" i="30"/>
  <c r="F317" i="30"/>
  <c r="E317" i="30"/>
  <c r="F316" i="30"/>
  <c r="E316" i="30"/>
  <c r="F315" i="30"/>
  <c r="E315" i="30"/>
  <c r="F314" i="30"/>
  <c r="E314" i="30"/>
  <c r="F313" i="30"/>
  <c r="E313" i="30"/>
  <c r="F312" i="30"/>
  <c r="E312" i="30"/>
  <c r="F311" i="30"/>
  <c r="E311" i="30"/>
  <c r="F310" i="30"/>
  <c r="E310" i="30"/>
  <c r="F309" i="30"/>
  <c r="E105" i="3" s="1"/>
  <c r="E309" i="30"/>
  <c r="D105" i="3" s="1"/>
  <c r="F308" i="30"/>
  <c r="E308" i="30"/>
  <c r="F307" i="30"/>
  <c r="C500" i="5" s="1"/>
  <c r="E307" i="30"/>
  <c r="B500" i="5" s="1"/>
  <c r="F306" i="30"/>
  <c r="C490" i="5" s="1"/>
  <c r="E306" i="30"/>
  <c r="B490" i="5" s="1"/>
  <c r="F305" i="30"/>
  <c r="E305" i="30"/>
  <c r="F304" i="30"/>
  <c r="E304" i="30"/>
  <c r="F303" i="30"/>
  <c r="E303" i="30"/>
  <c r="F302" i="30"/>
  <c r="E302" i="30"/>
  <c r="F301" i="30"/>
  <c r="E301" i="30"/>
  <c r="F300" i="30"/>
  <c r="E300" i="30"/>
  <c r="F299" i="30"/>
  <c r="E299" i="30"/>
  <c r="F298" i="30"/>
  <c r="E298" i="30"/>
  <c r="F297" i="30"/>
  <c r="E297" i="30"/>
  <c r="F296" i="30"/>
  <c r="E296" i="30"/>
  <c r="F295" i="30"/>
  <c r="E295" i="30"/>
  <c r="F294" i="30"/>
  <c r="E294" i="30"/>
  <c r="F293" i="30"/>
  <c r="E293" i="30"/>
  <c r="F292" i="30"/>
  <c r="E292" i="30"/>
  <c r="F291" i="30"/>
  <c r="E291" i="30"/>
  <c r="F290" i="30"/>
  <c r="E290" i="30"/>
  <c r="F289" i="30"/>
  <c r="E289" i="30"/>
  <c r="F288" i="30"/>
  <c r="E288" i="30"/>
  <c r="F287" i="30"/>
  <c r="E287" i="30"/>
  <c r="F286" i="30"/>
  <c r="E286" i="30"/>
  <c r="F285" i="30"/>
  <c r="E285" i="30"/>
  <c r="F284" i="30"/>
  <c r="E284" i="30"/>
  <c r="F283" i="30"/>
  <c r="E283" i="30"/>
  <c r="F282" i="30"/>
  <c r="E282" i="30"/>
  <c r="F281" i="30"/>
  <c r="E281" i="30"/>
  <c r="F280" i="30"/>
  <c r="E280" i="30"/>
  <c r="F279" i="30"/>
  <c r="E279" i="30"/>
  <c r="F278" i="30"/>
  <c r="E278" i="30"/>
  <c r="F277" i="30"/>
  <c r="E277" i="30"/>
  <c r="F276" i="30"/>
  <c r="E276" i="30"/>
  <c r="F275" i="30"/>
  <c r="E275" i="30"/>
  <c r="F274" i="30"/>
  <c r="E274" i="30"/>
  <c r="F273" i="30"/>
  <c r="E273" i="30"/>
  <c r="F272" i="30"/>
  <c r="E272" i="30"/>
  <c r="F271" i="30"/>
  <c r="E271" i="30"/>
  <c r="F270" i="30"/>
  <c r="E270" i="30"/>
  <c r="F269" i="30"/>
  <c r="E269" i="30"/>
  <c r="F268" i="30"/>
  <c r="E268" i="30"/>
  <c r="F267" i="30"/>
  <c r="E267" i="30"/>
  <c r="F266" i="30"/>
  <c r="E266" i="30"/>
  <c r="F265" i="30"/>
  <c r="E265" i="30"/>
  <c r="F264" i="30"/>
  <c r="E264" i="30"/>
  <c r="F263" i="30"/>
  <c r="E96" i="3" s="1"/>
  <c r="C448" i="5" s="1"/>
  <c r="E263" i="30"/>
  <c r="D96" i="3" s="1"/>
  <c r="B448" i="5" s="1"/>
  <c r="F262" i="30"/>
  <c r="E95" i="3" s="1"/>
  <c r="E262" i="30"/>
  <c r="D95" i="3" s="1"/>
  <c r="F261" i="30"/>
  <c r="E261" i="30"/>
  <c r="F260" i="30"/>
  <c r="E260" i="30"/>
  <c r="F259" i="30"/>
  <c r="E259" i="30"/>
  <c r="F258" i="30"/>
  <c r="E258" i="30"/>
  <c r="F257" i="30"/>
  <c r="E257" i="30"/>
  <c r="F256" i="30"/>
  <c r="E256" i="30"/>
  <c r="F255" i="30"/>
  <c r="E255" i="30"/>
  <c r="F254" i="30"/>
  <c r="E254" i="30"/>
  <c r="F253" i="30"/>
  <c r="E253" i="30"/>
  <c r="F252" i="30"/>
  <c r="E252" i="30"/>
  <c r="F251" i="30"/>
  <c r="E251" i="30"/>
  <c r="F250" i="30"/>
  <c r="E250" i="30"/>
  <c r="F249" i="30"/>
  <c r="E249" i="30"/>
  <c r="F248" i="30"/>
  <c r="E248" i="30"/>
  <c r="F247" i="30"/>
  <c r="E247" i="30"/>
  <c r="F246" i="30"/>
  <c r="E246" i="30"/>
  <c r="F245" i="30"/>
  <c r="E245" i="30"/>
  <c r="F244" i="30"/>
  <c r="E244" i="30"/>
  <c r="F243" i="30"/>
  <c r="E243" i="30"/>
  <c r="F242" i="30"/>
  <c r="E242" i="30"/>
  <c r="F241" i="30"/>
  <c r="E241" i="30"/>
  <c r="F240" i="30"/>
  <c r="E240" i="30"/>
  <c r="F239" i="30"/>
  <c r="E84" i="3" s="1"/>
  <c r="E239" i="30"/>
  <c r="D84" i="3" s="1"/>
  <c r="F238" i="30"/>
  <c r="E238" i="30"/>
  <c r="F237" i="30"/>
  <c r="E237" i="30"/>
  <c r="F236" i="30"/>
  <c r="E236" i="30"/>
  <c r="F235" i="30"/>
  <c r="E235" i="30"/>
  <c r="F234" i="30"/>
  <c r="E234" i="30"/>
  <c r="F233" i="30"/>
  <c r="E233" i="30"/>
  <c r="F232" i="30"/>
  <c r="E232" i="30"/>
  <c r="F231" i="30"/>
  <c r="E231" i="30"/>
  <c r="F230" i="30"/>
  <c r="E230" i="30"/>
  <c r="F229" i="30"/>
  <c r="E229" i="30"/>
  <c r="F228" i="30"/>
  <c r="E228" i="30"/>
  <c r="F227" i="30"/>
  <c r="E227" i="30"/>
  <c r="F226" i="30"/>
  <c r="E90" i="3" s="1"/>
  <c r="E226" i="30"/>
  <c r="D90" i="3" s="1"/>
  <c r="F225" i="30"/>
  <c r="E225" i="30"/>
  <c r="F224" i="30"/>
  <c r="E224" i="30"/>
  <c r="F223" i="30"/>
  <c r="E223" i="30"/>
  <c r="F222" i="30"/>
  <c r="E222" i="30"/>
  <c r="B656" i="5" s="1"/>
  <c r="F221" i="30"/>
  <c r="E86" i="3" s="1"/>
  <c r="C376" i="5" s="1"/>
  <c r="E221" i="30"/>
  <c r="D86" i="3" s="1"/>
  <c r="B376" i="5" s="1"/>
  <c r="F220" i="30"/>
  <c r="E220" i="30"/>
  <c r="F219" i="30"/>
  <c r="E219" i="30"/>
  <c r="F218" i="30"/>
  <c r="E85" i="3" s="1"/>
  <c r="E218" i="30"/>
  <c r="D85" i="3" s="1"/>
  <c r="F217" i="30"/>
  <c r="E217" i="30"/>
  <c r="F216" i="30"/>
  <c r="E216" i="30"/>
  <c r="F215" i="30"/>
  <c r="E215" i="30"/>
  <c r="F214" i="30"/>
  <c r="E214" i="30"/>
  <c r="F213" i="30"/>
  <c r="E213" i="30"/>
  <c r="F212" i="30"/>
  <c r="E212" i="30"/>
  <c r="F211" i="30"/>
  <c r="E211" i="30"/>
  <c r="F210" i="30"/>
  <c r="E210" i="30"/>
  <c r="F209" i="30"/>
  <c r="E209" i="30"/>
  <c r="F208" i="30"/>
  <c r="E208" i="30"/>
  <c r="F207" i="30"/>
  <c r="E207" i="30"/>
  <c r="F206" i="30"/>
  <c r="E206" i="30"/>
  <c r="F205" i="30"/>
  <c r="E205" i="30"/>
  <c r="F204" i="30"/>
  <c r="E204" i="30"/>
  <c r="F203" i="30"/>
  <c r="E203" i="30"/>
  <c r="F202" i="30"/>
  <c r="E202" i="30"/>
  <c r="F201" i="30"/>
  <c r="E201" i="30"/>
  <c r="F200" i="30"/>
  <c r="E200" i="30"/>
  <c r="F199" i="30"/>
  <c r="E199" i="30"/>
  <c r="F198" i="30"/>
  <c r="E198" i="30"/>
  <c r="F197" i="30"/>
  <c r="E197" i="30"/>
  <c r="F196" i="30"/>
  <c r="E196" i="30"/>
  <c r="F195" i="30"/>
  <c r="E195" i="30"/>
  <c r="F194" i="30"/>
  <c r="E74" i="3" s="1"/>
  <c r="E194" i="30"/>
  <c r="D74" i="3" s="1"/>
  <c r="F193" i="30"/>
  <c r="E77" i="3" s="1"/>
  <c r="E193" i="30"/>
  <c r="D77" i="3" s="1"/>
  <c r="F192" i="30"/>
  <c r="E192" i="30"/>
  <c r="F191" i="30"/>
  <c r="E191" i="30"/>
  <c r="F190" i="30"/>
  <c r="E190" i="30"/>
  <c r="F189" i="30"/>
  <c r="E72" i="3" s="1"/>
  <c r="C290" i="5" s="1"/>
  <c r="E189" i="30"/>
  <c r="D72" i="3" s="1"/>
  <c r="B290" i="5" s="1"/>
  <c r="F188" i="30"/>
  <c r="E188" i="30"/>
  <c r="F187" i="30"/>
  <c r="E71" i="3" s="1"/>
  <c r="C285" i="5" s="1"/>
  <c r="E187" i="30"/>
  <c r="D71" i="3" s="1"/>
  <c r="B285" i="5" s="1"/>
  <c r="F186" i="30"/>
  <c r="E186" i="30"/>
  <c r="F185" i="30"/>
  <c r="E185" i="30"/>
  <c r="F184" i="30"/>
  <c r="E184" i="30"/>
  <c r="F183" i="30"/>
  <c r="E183" i="30"/>
  <c r="F182" i="30"/>
  <c r="E68" i="3" s="1"/>
  <c r="E182" i="30"/>
  <c r="D68" i="3" s="1"/>
  <c r="F181" i="30"/>
  <c r="E181" i="30"/>
  <c r="F180" i="30"/>
  <c r="E180" i="30"/>
  <c r="F179" i="30"/>
  <c r="E179" i="30"/>
  <c r="F178" i="30"/>
  <c r="E178" i="30"/>
  <c r="F177" i="30"/>
  <c r="E177" i="30"/>
  <c r="F176" i="30"/>
  <c r="E176" i="30"/>
  <c r="F175" i="30"/>
  <c r="E62" i="3" s="1"/>
  <c r="E175" i="30"/>
  <c r="D62" i="3" s="1"/>
  <c r="F174" i="30"/>
  <c r="E174" i="30"/>
  <c r="F173" i="30"/>
  <c r="E66" i="3" s="1"/>
  <c r="C263" i="5" s="1"/>
  <c r="E173" i="30"/>
  <c r="D66" i="3" s="1"/>
  <c r="B263" i="5" s="1"/>
  <c r="F172" i="30"/>
  <c r="E65" i="3" s="1"/>
  <c r="C258" i="5" s="1"/>
  <c r="E172" i="30"/>
  <c r="D65" i="3" s="1"/>
  <c r="B258" i="5" s="1"/>
  <c r="F171" i="30"/>
  <c r="E64" i="3" s="1"/>
  <c r="C253" i="5" s="1"/>
  <c r="E171" i="30"/>
  <c r="D64" i="3" s="1"/>
  <c r="B253" i="5" s="1"/>
  <c r="F170" i="30"/>
  <c r="E170" i="30"/>
  <c r="F169" i="30"/>
  <c r="E169" i="30"/>
  <c r="F168" i="30"/>
  <c r="E168" i="30"/>
  <c r="F167" i="30"/>
  <c r="E167" i="30"/>
  <c r="F166" i="30"/>
  <c r="E166" i="30"/>
  <c r="F165" i="30"/>
  <c r="E165" i="30"/>
  <c r="F164" i="30"/>
  <c r="E61" i="3" s="1"/>
  <c r="C235" i="5" s="1"/>
  <c r="E164" i="30"/>
  <c r="D61" i="3" s="1"/>
  <c r="B235" i="5" s="1"/>
  <c r="F163" i="30"/>
  <c r="E163" i="30"/>
  <c r="F162" i="30"/>
  <c r="E162" i="30"/>
  <c r="F161" i="30"/>
  <c r="E161" i="30"/>
  <c r="F160" i="30"/>
  <c r="E160" i="30"/>
  <c r="F159" i="30"/>
  <c r="E159" i="30"/>
  <c r="F158" i="30"/>
  <c r="E158" i="30"/>
  <c r="F157" i="30"/>
  <c r="E157" i="30"/>
  <c r="F156" i="30"/>
  <c r="E56" i="3" s="1"/>
  <c r="C228" i="5" s="1"/>
  <c r="E156" i="30"/>
  <c r="D56" i="3" s="1"/>
  <c r="B228" i="5" s="1"/>
  <c r="F155" i="30"/>
  <c r="E155" i="30"/>
  <c r="F154" i="30"/>
  <c r="E154" i="30"/>
  <c r="F153" i="30"/>
  <c r="E54" i="3" s="1"/>
  <c r="C221" i="5" s="1"/>
  <c r="E153" i="30"/>
  <c r="D54" i="3" s="1"/>
  <c r="B221" i="5" s="1"/>
  <c r="F152" i="30"/>
  <c r="E152" i="30"/>
  <c r="F151" i="30"/>
  <c r="E151" i="30"/>
  <c r="F150" i="30"/>
  <c r="E150" i="30"/>
  <c r="F149" i="30"/>
  <c r="E149" i="30"/>
  <c r="F148" i="30"/>
  <c r="E52" i="3" s="1"/>
  <c r="C210" i="5" s="1"/>
  <c r="E148" i="30"/>
  <c r="D52" i="3" s="1"/>
  <c r="B210" i="5" s="1"/>
  <c r="F147" i="30"/>
  <c r="E147" i="30"/>
  <c r="F146" i="30"/>
  <c r="E146" i="30"/>
  <c r="F145" i="30"/>
  <c r="E145" i="30"/>
  <c r="F144" i="30"/>
  <c r="E144" i="30"/>
  <c r="F143" i="30"/>
  <c r="E143" i="30"/>
  <c r="F142" i="30"/>
  <c r="E49" i="3" s="1"/>
  <c r="C195" i="5" s="1"/>
  <c r="E142" i="30"/>
  <c r="D49" i="3" s="1"/>
  <c r="B195" i="5" s="1"/>
  <c r="F141" i="30"/>
  <c r="E141" i="30"/>
  <c r="F140" i="30"/>
  <c r="E140" i="30"/>
  <c r="F139" i="30"/>
  <c r="E139" i="30"/>
  <c r="F138" i="30"/>
  <c r="E138" i="30"/>
  <c r="F137" i="30"/>
  <c r="E137" i="30"/>
  <c r="F136" i="30"/>
  <c r="E136" i="30"/>
  <c r="F135" i="30"/>
  <c r="E135" i="30"/>
  <c r="F134" i="30"/>
  <c r="E134" i="30"/>
  <c r="F133" i="30"/>
  <c r="E133" i="30"/>
  <c r="F132" i="30"/>
  <c r="E132" i="30"/>
  <c r="F131" i="30"/>
  <c r="E131" i="30"/>
  <c r="F130" i="30"/>
  <c r="E130" i="30"/>
  <c r="F129" i="30"/>
  <c r="E129" i="30"/>
  <c r="F128" i="30"/>
  <c r="E128" i="30"/>
  <c r="F127" i="30"/>
  <c r="E127" i="30"/>
  <c r="F126" i="30"/>
  <c r="E126" i="30"/>
  <c r="F125" i="30"/>
  <c r="E125" i="30"/>
  <c r="F124" i="30"/>
  <c r="E124" i="30"/>
  <c r="F123" i="30"/>
  <c r="E21" i="3" s="1"/>
  <c r="E123" i="30"/>
  <c r="D21" i="3" s="1"/>
  <c r="F122" i="30"/>
  <c r="E29" i="3" s="1"/>
  <c r="C107" i="5" s="1"/>
  <c r="E122" i="30"/>
  <c r="D29" i="3" s="1"/>
  <c r="B107" i="5" s="1"/>
  <c r="F121" i="30"/>
  <c r="E28" i="3" s="1"/>
  <c r="E121" i="30"/>
  <c r="D28" i="3" s="1"/>
  <c r="F120" i="30"/>
  <c r="E120" i="30"/>
  <c r="F119" i="30"/>
  <c r="E27" i="3" s="1"/>
  <c r="C97" i="5" s="1"/>
  <c r="E119" i="30"/>
  <c r="D27" i="3" s="1"/>
  <c r="B97" i="5" s="1"/>
  <c r="F118" i="30"/>
  <c r="E26" i="3" s="1"/>
  <c r="C92" i="5" s="1"/>
  <c r="E118" i="30"/>
  <c r="D26" i="3" s="1"/>
  <c r="B92" i="5" s="1"/>
  <c r="F117" i="30"/>
  <c r="E117" i="30"/>
  <c r="F116" i="30"/>
  <c r="E116" i="30"/>
  <c r="F115" i="30"/>
  <c r="E115" i="30"/>
  <c r="F114" i="30"/>
  <c r="E114" i="30"/>
  <c r="F113" i="30"/>
  <c r="E113" i="30"/>
  <c r="F112" i="30"/>
  <c r="E25" i="3" s="1"/>
  <c r="C87" i="5" s="1"/>
  <c r="E112" i="30"/>
  <c r="D25" i="3" s="1"/>
  <c r="B87" i="5" s="1"/>
  <c r="F111" i="30"/>
  <c r="E111" i="30"/>
  <c r="F110" i="30"/>
  <c r="E110" i="30"/>
  <c r="F109" i="30"/>
  <c r="E109" i="30"/>
  <c r="F108" i="30"/>
  <c r="E108" i="30"/>
  <c r="F107" i="30"/>
  <c r="E23" i="3" s="1"/>
  <c r="C77" i="5" s="1"/>
  <c r="E107" i="30"/>
  <c r="D23" i="3" s="1"/>
  <c r="B77" i="5" s="1"/>
  <c r="F106" i="30"/>
  <c r="E106" i="30"/>
  <c r="F105" i="30"/>
  <c r="E105" i="30"/>
  <c r="F104" i="30"/>
  <c r="E104" i="30"/>
  <c r="F103" i="30"/>
  <c r="E17" i="3" s="1"/>
  <c r="C47" i="5" s="1"/>
  <c r="E103" i="30"/>
  <c r="D17" i="3" s="1"/>
  <c r="B47" i="5" s="1"/>
  <c r="F102" i="30"/>
  <c r="E102" i="30"/>
  <c r="F101" i="30"/>
  <c r="E101" i="30"/>
  <c r="F100" i="30"/>
  <c r="E30" i="3" s="1"/>
  <c r="E100" i="30"/>
  <c r="D30" i="3" s="1"/>
  <c r="F99" i="30"/>
  <c r="E19" i="3" s="1"/>
  <c r="C57" i="5" s="1"/>
  <c r="E99" i="30"/>
  <c r="D19" i="3" s="1"/>
  <c r="B57" i="5" s="1"/>
  <c r="F98" i="30"/>
  <c r="E98" i="30"/>
  <c r="F97" i="30"/>
  <c r="E97" i="30"/>
  <c r="F96" i="30"/>
  <c r="E96" i="30"/>
  <c r="F95" i="30"/>
  <c r="E95" i="30"/>
  <c r="F94" i="30"/>
  <c r="E94" i="30"/>
  <c r="F93" i="30"/>
  <c r="E93" i="30"/>
  <c r="F92" i="30"/>
  <c r="E92" i="30"/>
  <c r="F91" i="30"/>
  <c r="E91" i="30"/>
  <c r="F90" i="30"/>
  <c r="E90" i="30"/>
  <c r="F89" i="30"/>
  <c r="E89" i="30"/>
  <c r="F88" i="30"/>
  <c r="E88" i="30"/>
  <c r="F87" i="30"/>
  <c r="E87" i="30"/>
  <c r="F86" i="30"/>
  <c r="E86" i="30"/>
  <c r="F85" i="30"/>
  <c r="E85" i="30"/>
  <c r="F84" i="30"/>
  <c r="E84" i="30"/>
  <c r="F83" i="30"/>
  <c r="E83" i="30"/>
  <c r="F82" i="30"/>
  <c r="E82" i="30"/>
  <c r="F81" i="30"/>
  <c r="F80" i="30"/>
  <c r="E80" i="30"/>
  <c r="F79" i="30"/>
  <c r="E79" i="30"/>
  <c r="F78" i="30"/>
  <c r="E78" i="30"/>
  <c r="F77" i="30"/>
  <c r="E77" i="30"/>
  <c r="F76" i="30"/>
  <c r="E13" i="3" s="1"/>
  <c r="E76" i="30"/>
  <c r="D13" i="3" s="1"/>
  <c r="F75" i="30"/>
  <c r="E75" i="30"/>
  <c r="F74" i="30"/>
  <c r="E10" i="3" s="1"/>
  <c r="C19" i="5" s="1"/>
  <c r="E74" i="30"/>
  <c r="D10" i="3" s="1"/>
  <c r="B19" i="5" s="1"/>
  <c r="F73" i="30"/>
  <c r="E9" i="3" s="1"/>
  <c r="C14" i="5" s="1"/>
  <c r="E73" i="30"/>
  <c r="D9" i="3" s="1"/>
  <c r="B14" i="5" s="1"/>
  <c r="F72" i="30"/>
  <c r="E72" i="30"/>
  <c r="F71" i="30"/>
  <c r="E71" i="30"/>
  <c r="F70" i="30"/>
  <c r="E70" i="30"/>
  <c r="F69" i="30"/>
  <c r="E69" i="30"/>
  <c r="F68" i="30"/>
  <c r="E68" i="30"/>
  <c r="B8" i="5" s="1"/>
  <c r="F67" i="30"/>
  <c r="E67" i="30"/>
  <c r="F66" i="30"/>
  <c r="E66" i="30"/>
  <c r="F65" i="30"/>
  <c r="E65" i="30"/>
  <c r="F64" i="30"/>
  <c r="E64" i="30"/>
  <c r="F63" i="30"/>
  <c r="E63" i="30"/>
  <c r="F62" i="30"/>
  <c r="E62" i="30"/>
  <c r="F61" i="30"/>
  <c r="E61" i="30"/>
  <c r="F60" i="30"/>
  <c r="E60" i="30"/>
  <c r="F59" i="30"/>
  <c r="E59" i="30"/>
  <c r="F58" i="30"/>
  <c r="E58" i="30"/>
  <c r="F57" i="30"/>
  <c r="E57" i="30"/>
  <c r="F56" i="30"/>
  <c r="E56" i="30"/>
  <c r="F55" i="30"/>
  <c r="E55" i="30"/>
  <c r="F54" i="30"/>
  <c r="E54" i="30"/>
  <c r="F53" i="30"/>
  <c r="E53" i="30"/>
  <c r="F52" i="30"/>
  <c r="E52" i="30"/>
  <c r="F51" i="30"/>
  <c r="E51" i="30"/>
  <c r="F50" i="30"/>
  <c r="E50" i="30"/>
  <c r="F49" i="30"/>
  <c r="E49" i="30"/>
  <c r="F48" i="30"/>
  <c r="E48" i="30"/>
  <c r="F47" i="30"/>
  <c r="E47" i="30"/>
  <c r="F46" i="30"/>
  <c r="E46" i="30"/>
  <c r="F45" i="30"/>
  <c r="E45" i="30"/>
  <c r="F44" i="30"/>
  <c r="E44" i="30"/>
  <c r="F43" i="30"/>
  <c r="E43" i="30"/>
  <c r="F42" i="30"/>
  <c r="E42" i="30"/>
  <c r="F41" i="30"/>
  <c r="E41" i="30"/>
  <c r="F40" i="30"/>
  <c r="E40" i="30"/>
  <c r="F39" i="30"/>
  <c r="E39" i="30"/>
  <c r="F38" i="30"/>
  <c r="E38" i="30"/>
  <c r="F37" i="30"/>
  <c r="E37" i="30"/>
  <c r="F36" i="30"/>
  <c r="E36" i="30"/>
  <c r="F35" i="30"/>
  <c r="E35" i="30"/>
  <c r="F34" i="30"/>
  <c r="E34" i="30"/>
  <c r="F33" i="30"/>
  <c r="E33" i="30"/>
  <c r="F32" i="30"/>
  <c r="E32" i="30"/>
  <c r="F31" i="30"/>
  <c r="E31" i="30"/>
  <c r="F30" i="30"/>
  <c r="E30" i="30"/>
  <c r="F29" i="30"/>
  <c r="E29" i="30"/>
  <c r="F28" i="30"/>
  <c r="E28" i="30"/>
  <c r="F27" i="30"/>
  <c r="E27" i="30"/>
  <c r="F26" i="30"/>
  <c r="E26" i="30"/>
  <c r="F25" i="30"/>
  <c r="E25" i="30"/>
  <c r="F24" i="30"/>
  <c r="E24" i="30"/>
  <c r="F23" i="30"/>
  <c r="E23" i="30"/>
  <c r="F22" i="30"/>
  <c r="E22" i="30"/>
  <c r="F21" i="30"/>
  <c r="E21" i="30"/>
  <c r="F20" i="30"/>
  <c r="E20" i="30"/>
  <c r="F19" i="30"/>
  <c r="E19" i="30"/>
  <c r="F18" i="30"/>
  <c r="E18" i="30"/>
  <c r="F17" i="30"/>
  <c r="E17" i="30"/>
  <c r="F16" i="30"/>
  <c r="E16" i="30"/>
  <c r="F15" i="30"/>
  <c r="E15" i="30"/>
  <c r="F14" i="30"/>
  <c r="E14" i="30"/>
  <c r="F13" i="30"/>
  <c r="E13" i="30"/>
  <c r="F12" i="30"/>
  <c r="E12" i="30"/>
  <c r="F11" i="30"/>
  <c r="E11" i="30"/>
  <c r="F10" i="30"/>
  <c r="E10" i="30"/>
  <c r="F9" i="30"/>
  <c r="E9" i="30"/>
  <c r="F8" i="30"/>
  <c r="E8" i="30"/>
  <c r="F7" i="30"/>
  <c r="E7" i="30"/>
  <c r="G6" i="30"/>
  <c r="F6" i="30"/>
  <c r="E6" i="30"/>
  <c r="G5" i="30"/>
  <c r="H5" i="30" s="1"/>
  <c r="F5" i="30"/>
  <c r="E5" i="30"/>
  <c r="F4" i="30"/>
  <c r="E4" i="30"/>
  <c r="C45" i="28"/>
  <c r="X32" i="1" l="1"/>
  <c r="X30" i="1"/>
  <c r="B1650" i="5"/>
  <c r="C1626" i="5"/>
  <c r="B424" i="5"/>
  <c r="C520" i="5"/>
  <c r="C528" i="5"/>
  <c r="B520" i="5"/>
  <c r="B528" i="5"/>
  <c r="B102" i="5"/>
  <c r="C424" i="5"/>
  <c r="C1650" i="5"/>
  <c r="B1661" i="5"/>
  <c r="D320" i="3"/>
  <c r="B1809" i="5" s="1"/>
  <c r="H1275" i="30"/>
  <c r="G409" i="3"/>
  <c r="H409" i="3" s="1"/>
  <c r="C102" i="5"/>
  <c r="E128" i="3"/>
  <c r="C637" i="5" s="1"/>
  <c r="E127" i="3"/>
  <c r="C1661" i="5"/>
  <c r="E320" i="3"/>
  <c r="C1809" i="5" s="1"/>
  <c r="H1262" i="30"/>
  <c r="G403" i="3"/>
  <c r="H403" i="3" s="1"/>
  <c r="H1282" i="30"/>
  <c r="G412" i="3"/>
  <c r="H412" i="3" s="1"/>
  <c r="D51" i="3"/>
  <c r="B203" i="5" s="1"/>
  <c r="D53" i="3"/>
  <c r="B216" i="5" s="1"/>
  <c r="D121" i="3"/>
  <c r="B620" i="5" s="1"/>
  <c r="D163" i="3"/>
  <c r="B862" i="5" s="1"/>
  <c r="B1626" i="5"/>
  <c r="D192" i="3"/>
  <c r="B1114" i="5" s="1"/>
  <c r="D235" i="3"/>
  <c r="B1410" i="5" s="1"/>
  <c r="D266" i="3"/>
  <c r="B1545" i="5" s="1"/>
  <c r="H1249" i="30"/>
  <c r="G400" i="3"/>
  <c r="H400" i="3" s="1"/>
  <c r="H1289" i="30"/>
  <c r="G414" i="3"/>
  <c r="H414" i="3" s="1"/>
  <c r="D187" i="3"/>
  <c r="B1081" i="5" s="1"/>
  <c r="D189" i="3"/>
  <c r="B1097" i="5" s="1"/>
  <c r="H1301" i="30"/>
  <c r="G421" i="3"/>
  <c r="H421" i="3" s="1"/>
  <c r="E176" i="3"/>
  <c r="C1023" i="5" s="1"/>
  <c r="E174" i="3"/>
  <c r="C1016" i="5" s="1"/>
  <c r="E239" i="3"/>
  <c r="C1430" i="5" s="1"/>
  <c r="H1248" i="30"/>
  <c r="G399" i="3"/>
  <c r="H399" i="3" s="1"/>
  <c r="H1290" i="30"/>
  <c r="G415" i="3"/>
  <c r="H415" i="3" s="1"/>
  <c r="D220" i="3"/>
  <c r="B1340" i="5" s="1"/>
  <c r="D128" i="3"/>
  <c r="B637" i="5" s="1"/>
  <c r="D127" i="3"/>
  <c r="B632" i="5" s="1"/>
  <c r="H1283" i="30"/>
  <c r="G413" i="3"/>
  <c r="H413" i="3" s="1"/>
  <c r="E220" i="3"/>
  <c r="C1340" i="5" s="1"/>
  <c r="H1311" i="30"/>
  <c r="G425" i="3"/>
  <c r="H425" i="3" s="1"/>
  <c r="C645" i="5"/>
  <c r="E170" i="3"/>
  <c r="C992" i="5" s="1"/>
  <c r="H1310" i="30"/>
  <c r="G424" i="3"/>
  <c r="H424" i="3" s="1"/>
  <c r="H1297" i="30"/>
  <c r="G417" i="3"/>
  <c r="H417" i="3" s="1"/>
  <c r="H1305" i="30"/>
  <c r="G423" i="3"/>
  <c r="H423" i="3" s="1"/>
  <c r="E69" i="3"/>
  <c r="C275" i="5" s="1"/>
  <c r="E76" i="3"/>
  <c r="C309" i="5" s="1"/>
  <c r="D20" i="3"/>
  <c r="B62" i="5" s="1"/>
  <c r="D22" i="3"/>
  <c r="B72" i="5" s="1"/>
  <c r="D70" i="3"/>
  <c r="B280" i="5" s="1"/>
  <c r="D75" i="3"/>
  <c r="B304" i="5" s="1"/>
  <c r="D165" i="3"/>
  <c r="B892" i="5" s="1"/>
  <c r="D182" i="3"/>
  <c r="B1054" i="5" s="1"/>
  <c r="D203" i="3"/>
  <c r="B1232" i="5" s="1"/>
  <c r="D252" i="3"/>
  <c r="B1491" i="5" s="1"/>
  <c r="D273" i="3"/>
  <c r="B1580" i="5" s="1"/>
  <c r="D325" i="3"/>
  <c r="B1830" i="5" s="1"/>
  <c r="H1259" i="30"/>
  <c r="G402" i="3"/>
  <c r="H402" i="3" s="1"/>
  <c r="H1299" i="30"/>
  <c r="G419" i="3"/>
  <c r="H419" i="3" s="1"/>
  <c r="H1281" i="30"/>
  <c r="G411" i="3"/>
  <c r="H411" i="3" s="1"/>
  <c r="E187" i="3"/>
  <c r="C1081" i="5" s="1"/>
  <c r="E189" i="3"/>
  <c r="C1097" i="5" s="1"/>
  <c r="E51" i="3"/>
  <c r="E53" i="3"/>
  <c r="C216" i="5" s="1"/>
  <c r="E267" i="3"/>
  <c r="C1550" i="5" s="1"/>
  <c r="E264" i="3"/>
  <c r="C1539" i="5" s="1"/>
  <c r="B645" i="5"/>
  <c r="D76" i="3"/>
  <c r="B309" i="5" s="1"/>
  <c r="D69" i="3"/>
  <c r="B275" i="5" s="1"/>
  <c r="D181" i="3"/>
  <c r="B1048" i="5" s="1"/>
  <c r="D251" i="3"/>
  <c r="B1486" i="5" s="1"/>
  <c r="D272" i="3"/>
  <c r="B1575" i="5" s="1"/>
  <c r="E182" i="3"/>
  <c r="C1054" i="5" s="1"/>
  <c r="E252" i="3"/>
  <c r="C1491" i="5" s="1"/>
  <c r="E273" i="3"/>
  <c r="C1580" i="5" s="1"/>
  <c r="E325" i="3"/>
  <c r="C1830" i="5" s="1"/>
  <c r="D108" i="3"/>
  <c r="B565" i="5" s="1"/>
  <c r="D253" i="3"/>
  <c r="B1496" i="5" s="1"/>
  <c r="B1644" i="5"/>
  <c r="B1668" i="5"/>
  <c r="D318" i="3"/>
  <c r="B1799" i="5" s="1"/>
  <c r="D326" i="3"/>
  <c r="B1835" i="5" s="1"/>
  <c r="B2468" i="5"/>
  <c r="E251" i="3"/>
  <c r="C1486" i="5" s="1"/>
  <c r="E272" i="3"/>
  <c r="C1575" i="5" s="1"/>
  <c r="E20" i="3"/>
  <c r="C62" i="5" s="1"/>
  <c r="E22" i="3"/>
  <c r="C72" i="5" s="1"/>
  <c r="E75" i="3"/>
  <c r="C304" i="5" s="1"/>
  <c r="E70" i="3"/>
  <c r="C280" i="5" s="1"/>
  <c r="B67" i="5"/>
  <c r="D161" i="3"/>
  <c r="B814" i="5" s="1"/>
  <c r="D166" i="3"/>
  <c r="B916" i="5" s="1"/>
  <c r="D218" i="3"/>
  <c r="B1328" i="5" s="1"/>
  <c r="C67" i="5"/>
  <c r="E108" i="3"/>
  <c r="C565" i="5" s="1"/>
  <c r="E161" i="3"/>
  <c r="C814" i="5" s="1"/>
  <c r="E166" i="3"/>
  <c r="C916" i="5" s="1"/>
  <c r="E218" i="3"/>
  <c r="C1328" i="5" s="1"/>
  <c r="E253" i="3"/>
  <c r="C1496" i="5" s="1"/>
  <c r="C1644" i="5"/>
  <c r="C1668" i="5"/>
  <c r="E318" i="3"/>
  <c r="C1799" i="5" s="1"/>
  <c r="E326" i="3"/>
  <c r="C1835" i="5" s="1"/>
  <c r="C2468" i="5"/>
  <c r="H1300" i="30"/>
  <c r="G420" i="3"/>
  <c r="H420" i="3" s="1"/>
  <c r="D176" i="3"/>
  <c r="B1023" i="5" s="1"/>
  <c r="D174" i="3"/>
  <c r="B1016" i="5" s="1"/>
  <c r="D267" i="3"/>
  <c r="B1550" i="5" s="1"/>
  <c r="D264" i="3"/>
  <c r="B1539" i="5" s="1"/>
  <c r="D271" i="3"/>
  <c r="B1570" i="5" s="1"/>
  <c r="B1638" i="5"/>
  <c r="B1655" i="5"/>
  <c r="D327" i="3"/>
  <c r="B1840" i="5" s="1"/>
  <c r="E181" i="3"/>
  <c r="C1048" i="5" s="1"/>
  <c r="E165" i="3"/>
  <c r="C892" i="5" s="1"/>
  <c r="E203" i="3"/>
  <c r="C1232" i="5" s="1"/>
  <c r="D18" i="3"/>
  <c r="B52" i="5" s="1"/>
  <c r="D24" i="3"/>
  <c r="B82" i="5" s="1"/>
  <c r="D162" i="3"/>
  <c r="B838" i="5" s="1"/>
  <c r="E18" i="3"/>
  <c r="C52" i="5" s="1"/>
  <c r="E24" i="3"/>
  <c r="C82" i="5" s="1"/>
  <c r="E162" i="3"/>
  <c r="C838" i="5" s="1"/>
  <c r="E271" i="3"/>
  <c r="C1570" i="5" s="1"/>
  <c r="C1638" i="5"/>
  <c r="C1655" i="5"/>
  <c r="E327" i="3"/>
  <c r="C1840" i="5" s="1"/>
  <c r="B773" i="5"/>
  <c r="B1850" i="5"/>
  <c r="C763" i="5"/>
  <c r="B780" i="5"/>
  <c r="B1855" i="5"/>
  <c r="C780" i="5"/>
  <c r="C1855" i="5"/>
  <c r="C773" i="5"/>
  <c r="C1850" i="5"/>
  <c r="B763" i="5"/>
  <c r="B112" i="5"/>
  <c r="C112" i="5"/>
  <c r="B317" i="5"/>
  <c r="C317" i="5"/>
  <c r="B758" i="5"/>
  <c r="H1298" i="30"/>
  <c r="H1309" i="30"/>
  <c r="H1325" i="30"/>
  <c r="B370" i="5"/>
  <c r="H1296" i="30"/>
  <c r="B1620" i="5"/>
  <c r="D143" i="3"/>
  <c r="C1620" i="5"/>
  <c r="E143" i="3"/>
  <c r="D16" i="3"/>
  <c r="B42" i="5" s="1"/>
  <c r="D14" i="3"/>
  <c r="D48" i="3"/>
  <c r="B338" i="5" s="1"/>
  <c r="E48" i="3"/>
  <c r="C338" i="5" s="1"/>
  <c r="B2420" i="5"/>
  <c r="B615" i="5"/>
  <c r="C615" i="5"/>
  <c r="H1271" i="30"/>
  <c r="B241" i="5"/>
  <c r="B480" i="5"/>
  <c r="B609" i="5"/>
  <c r="B1598" i="5"/>
  <c r="B2180" i="5"/>
  <c r="H1265" i="30"/>
  <c r="B809" i="5"/>
  <c r="H1287" i="30"/>
  <c r="H1274" i="30"/>
  <c r="H1261" i="30"/>
  <c r="C2420" i="5"/>
  <c r="C241" i="5"/>
  <c r="E16" i="3"/>
  <c r="C1609" i="5"/>
  <c r="B1609" i="5"/>
  <c r="C1603" i="5"/>
  <c r="B1603" i="5"/>
  <c r="E14" i="3"/>
  <c r="C711" i="5"/>
  <c r="E8" i="3"/>
  <c r="C587" i="5" s="1"/>
  <c r="C1614" i="5"/>
  <c r="D8" i="3"/>
  <c r="B1614" i="5"/>
  <c r="B6" i="8"/>
  <c r="C49" i="28"/>
  <c r="C51" i="28" s="1"/>
  <c r="C53" i="28" s="1"/>
  <c r="H6" i="30"/>
  <c r="B21" i="8" l="1"/>
  <c r="G215" i="3" s="1"/>
  <c r="H215" i="3" s="1"/>
  <c r="G214" i="3"/>
  <c r="H214" i="3" s="1"/>
  <c r="E214" i="3"/>
  <c r="C1312" i="5" s="1"/>
  <c r="D214" i="3"/>
  <c r="B1312" i="5" s="1"/>
  <c r="H431" i="3"/>
  <c r="H405" i="3"/>
  <c r="K22" i="2" s="1"/>
  <c r="L22" i="2" s="1"/>
  <c r="C30" i="5"/>
  <c r="C36" i="5"/>
  <c r="B30" i="5"/>
  <c r="B36" i="5"/>
  <c r="C370" i="5"/>
  <c r="C203" i="5"/>
  <c r="B587" i="5"/>
  <c r="B9" i="5"/>
  <c r="C632" i="5"/>
  <c r="C42" i="5"/>
  <c r="B270" i="5"/>
  <c r="C9" i="5"/>
  <c r="C437" i="5"/>
  <c r="C480" i="5"/>
  <c r="C609" i="5"/>
  <c r="C809" i="5"/>
  <c r="B1300" i="5"/>
  <c r="C2180" i="5"/>
  <c r="C1300" i="5"/>
  <c r="C758" i="5"/>
  <c r="B748" i="5"/>
  <c r="C748" i="5"/>
  <c r="C657" i="5"/>
  <c r="B733" i="5"/>
  <c r="B657" i="5"/>
  <c r="B711" i="5"/>
  <c r="C733" i="5"/>
  <c r="C296" i="5"/>
  <c r="C270" i="5"/>
  <c r="B296" i="5"/>
  <c r="C247" i="5"/>
  <c r="B247" i="5"/>
  <c r="B479" i="5"/>
  <c r="B188" i="5"/>
  <c r="E51" i="28"/>
  <c r="K23" i="2" l="1"/>
  <c r="L23" i="2" s="1"/>
  <c r="E215" i="3"/>
  <c r="C1317" i="5" s="1"/>
  <c r="D215" i="3"/>
  <c r="B1317" i="5" s="1"/>
  <c r="B36" i="8"/>
  <c r="E216" i="3" s="1"/>
  <c r="C1322" i="5" s="1"/>
  <c r="U42" i="1"/>
  <c r="U46" i="1" s="1"/>
  <c r="V42" i="1"/>
  <c r="H48" i="3"/>
  <c r="H57" i="3" s="1"/>
  <c r="K8" i="2" s="1"/>
  <c r="X42" i="1" l="1"/>
  <c r="D216" i="3"/>
  <c r="B1322" i="5" s="1"/>
  <c r="B51" i="8"/>
  <c r="G216" i="3"/>
  <c r="H216" i="3" s="1"/>
  <c r="H277" i="3" s="1"/>
  <c r="B437" i="5"/>
  <c r="K18" i="2" l="1"/>
  <c r="H441" i="3"/>
  <c r="I216" i="3"/>
  <c r="I79" i="3"/>
  <c r="I235" i="3"/>
  <c r="I164" i="3"/>
  <c r="I133" i="3"/>
  <c r="I436" i="3"/>
  <c r="I75" i="3"/>
  <c r="I202" i="3"/>
  <c r="I356" i="3"/>
  <c r="I186" i="3"/>
  <c r="I346" i="3"/>
  <c r="I365" i="3"/>
  <c r="I212" i="3"/>
  <c r="I282" i="3"/>
  <c r="I207" i="3"/>
  <c r="I26" i="3"/>
  <c r="I403" i="3"/>
  <c r="I415" i="3"/>
  <c r="I38" i="3"/>
  <c r="I162" i="3"/>
  <c r="I108" i="3"/>
  <c r="I29" i="3"/>
  <c r="I230" i="3"/>
  <c r="I243" i="3"/>
  <c r="I271" i="3"/>
  <c r="I225" i="3"/>
  <c r="I269" i="3"/>
  <c r="I190" i="3"/>
  <c r="I419" i="3"/>
  <c r="I321" i="3"/>
  <c r="I37" i="3"/>
  <c r="I347" i="3"/>
  <c r="I411" i="3"/>
  <c r="I41" i="3"/>
  <c r="I65" i="3"/>
  <c r="I176" i="3"/>
  <c r="I417" i="3"/>
  <c r="I181" i="3"/>
  <c r="I331" i="3"/>
  <c r="I375" i="3"/>
  <c r="I338" i="3"/>
  <c r="I311" i="3"/>
  <c r="I369" i="3"/>
  <c r="I34" i="3"/>
  <c r="I27" i="3"/>
  <c r="I172" i="3"/>
  <c r="I295" i="3"/>
  <c r="I348" i="3"/>
  <c r="I23" i="3"/>
  <c r="I281" i="3"/>
  <c r="I40" i="3"/>
  <c r="I305" i="3"/>
  <c r="I345" i="3"/>
  <c r="I360" i="3"/>
  <c r="I296" i="3"/>
  <c r="I377" i="3"/>
  <c r="I276" i="3"/>
  <c r="I317" i="3"/>
  <c r="I329" i="3"/>
  <c r="I62" i="3"/>
  <c r="I350" i="3"/>
  <c r="I163" i="3"/>
  <c r="I366" i="3"/>
  <c r="I328" i="3"/>
  <c r="I274" i="3"/>
  <c r="I21" i="3"/>
  <c r="I96" i="3"/>
  <c r="I272" i="3"/>
  <c r="I17" i="3"/>
  <c r="I244" i="3"/>
  <c r="I232" i="3"/>
  <c r="I393" i="3"/>
  <c r="I138" i="3"/>
  <c r="I49" i="3"/>
  <c r="I344" i="3"/>
  <c r="I261" i="3"/>
  <c r="I85" i="3"/>
  <c r="I170" i="3"/>
  <c r="I435" i="3"/>
  <c r="I177" i="3"/>
  <c r="I229" i="3"/>
  <c r="I362" i="3"/>
  <c r="I322" i="3"/>
  <c r="I314" i="3"/>
  <c r="I51" i="3"/>
  <c r="I236" i="3"/>
  <c r="I297" i="3"/>
  <c r="I203" i="3"/>
  <c r="I70" i="3"/>
  <c r="I102" i="3"/>
  <c r="I355" i="3"/>
  <c r="I143" i="3"/>
  <c r="I333" i="3"/>
  <c r="I168" i="3"/>
  <c r="I402" i="3"/>
  <c r="I337" i="3"/>
  <c r="I384" i="3"/>
  <c r="I10" i="3"/>
  <c r="I239" i="3"/>
  <c r="I285" i="3"/>
  <c r="I332" i="3"/>
  <c r="I237" i="3"/>
  <c r="I64" i="3"/>
  <c r="I268" i="3"/>
  <c r="I437" i="3"/>
  <c r="I370" i="3"/>
  <c r="I396" i="3"/>
  <c r="I312" i="3"/>
  <c r="I20" i="3"/>
  <c r="I98" i="3"/>
  <c r="I122" i="3"/>
  <c r="I233" i="3"/>
  <c r="I188" i="3"/>
  <c r="I171" i="3"/>
  <c r="I68" i="3"/>
  <c r="I330" i="3"/>
  <c r="I245" i="3"/>
  <c r="I198" i="3"/>
  <c r="I71" i="3"/>
  <c r="I174" i="3"/>
  <c r="I391" i="3"/>
  <c r="I104" i="3"/>
  <c r="I106" i="3"/>
  <c r="I48" i="3"/>
  <c r="I222" i="3"/>
  <c r="I184" i="3"/>
  <c r="I150" i="3"/>
  <c r="I196" i="3"/>
  <c r="I302" i="3"/>
  <c r="I313" i="3"/>
  <c r="I288" i="3"/>
  <c r="I224" i="3"/>
  <c r="I287" i="3"/>
  <c r="I371" i="3"/>
  <c r="I77" i="3"/>
  <c r="I258" i="3"/>
  <c r="I199" i="3"/>
  <c r="I241" i="3"/>
  <c r="I127" i="3"/>
  <c r="I310" i="3"/>
  <c r="I187" i="3"/>
  <c r="I28" i="3"/>
  <c r="I273" i="3"/>
  <c r="I339" i="3"/>
  <c r="I395" i="3"/>
  <c r="I101" i="3"/>
  <c r="I349" i="3"/>
  <c r="I267" i="3"/>
  <c r="I72" i="3"/>
  <c r="I242" i="3"/>
  <c r="I178" i="3"/>
  <c r="I405" i="3"/>
  <c r="I277" i="3"/>
  <c r="I153" i="3"/>
  <c r="I113" i="3"/>
  <c r="I33" i="3"/>
  <c r="I76" i="3"/>
  <c r="I262" i="3"/>
  <c r="I382" i="3"/>
  <c r="I300" i="3"/>
  <c r="I358" i="3"/>
  <c r="I227" i="3"/>
  <c r="I326" i="3"/>
  <c r="I52" i="3"/>
  <c r="I121" i="3"/>
  <c r="I250" i="3"/>
  <c r="I264" i="3"/>
  <c r="I100" i="3"/>
  <c r="I30" i="3"/>
  <c r="I286" i="3"/>
  <c r="I16" i="3"/>
  <c r="I43" i="3"/>
  <c r="I44" i="3"/>
  <c r="I74" i="3"/>
  <c r="I53" i="3"/>
  <c r="I129" i="3"/>
  <c r="I183" i="3"/>
  <c r="I284" i="3"/>
  <c r="I363" i="3"/>
  <c r="I192" i="3"/>
  <c r="I109" i="3"/>
  <c r="I320" i="3"/>
  <c r="I39" i="3"/>
  <c r="I392" i="3"/>
  <c r="I173" i="3"/>
  <c r="I195" i="3"/>
  <c r="I316" i="3"/>
  <c r="I253" i="3"/>
  <c r="I226" i="3"/>
  <c r="I151" i="3"/>
  <c r="I342" i="3"/>
  <c r="I155" i="3"/>
  <c r="I378" i="3"/>
  <c r="I327" i="3"/>
  <c r="I368" i="3"/>
  <c r="I318" i="3"/>
  <c r="I425" i="3"/>
  <c r="I414" i="3"/>
  <c r="I91" i="3"/>
  <c r="I56" i="3"/>
  <c r="I36" i="3"/>
  <c r="I182" i="3"/>
  <c r="I290" i="3"/>
  <c r="I223" i="3"/>
  <c r="I25" i="3"/>
  <c r="I213" i="3"/>
  <c r="I307" i="3"/>
  <c r="I373" i="3"/>
  <c r="I289" i="3"/>
  <c r="I120" i="3"/>
  <c r="I386" i="3"/>
  <c r="I303" i="3"/>
  <c r="I142" i="3"/>
  <c r="I95" i="3"/>
  <c r="I204" i="3"/>
  <c r="I156" i="3"/>
  <c r="I160" i="3"/>
  <c r="I340" i="3"/>
  <c r="I61" i="3"/>
  <c r="I128" i="3"/>
  <c r="I294" i="3"/>
  <c r="I14" i="3"/>
  <c r="I194" i="3"/>
  <c r="I9" i="3"/>
  <c r="I319" i="3"/>
  <c r="I134" i="3"/>
  <c r="I372" i="3"/>
  <c r="I166" i="3"/>
  <c r="I148" i="3"/>
  <c r="I66" i="3"/>
  <c r="I161" i="3"/>
  <c r="I335" i="3"/>
  <c r="I69" i="3"/>
  <c r="I270" i="3"/>
  <c r="I424" i="3"/>
  <c r="I309" i="3"/>
  <c r="I252" i="3"/>
  <c r="I323" i="3"/>
  <c r="I247" i="3"/>
  <c r="I439" i="3"/>
  <c r="I219" i="3"/>
  <c r="I42" i="3"/>
  <c r="I90" i="3"/>
  <c r="I24" i="3"/>
  <c r="I140" i="3"/>
  <c r="I19" i="3"/>
  <c r="I291" i="3"/>
  <c r="I218" i="3"/>
  <c r="I105" i="3"/>
  <c r="I421" i="3"/>
  <c r="I180" i="3"/>
  <c r="I400" i="3"/>
  <c r="I238" i="3"/>
  <c r="I325" i="3"/>
  <c r="I364" i="3"/>
  <c r="I259" i="3"/>
  <c r="I301" i="3"/>
  <c r="I205" i="3"/>
  <c r="I118" i="3"/>
  <c r="I266" i="3"/>
  <c r="I86" i="3"/>
  <c r="I154" i="3"/>
  <c r="I22" i="3"/>
  <c r="I13" i="3"/>
  <c r="I429" i="3"/>
  <c r="I399" i="3"/>
  <c r="I189" i="3"/>
  <c r="I430" i="3"/>
  <c r="I423" i="3"/>
  <c r="I420" i="3"/>
  <c r="I11" i="3"/>
  <c r="I35" i="3"/>
  <c r="I306" i="3"/>
  <c r="I428" i="3"/>
  <c r="I63" i="3"/>
  <c r="I255" i="3"/>
  <c r="I97" i="3"/>
  <c r="I57" i="3"/>
  <c r="I385" i="3"/>
  <c r="I116" i="3"/>
  <c r="I354" i="3"/>
  <c r="I240" i="3"/>
  <c r="I103" i="3"/>
  <c r="I115" i="3"/>
  <c r="I376" i="3"/>
  <c r="I165" i="3"/>
  <c r="I413" i="3"/>
  <c r="I167" i="3"/>
  <c r="I248" i="3"/>
  <c r="I18" i="3"/>
  <c r="I299" i="3"/>
  <c r="I231" i="3"/>
  <c r="I32" i="3"/>
  <c r="I114" i="3"/>
  <c r="I334" i="3"/>
  <c r="I438" i="3"/>
  <c r="I78" i="3"/>
  <c r="I315" i="3"/>
  <c r="I304" i="3"/>
  <c r="I220" i="3"/>
  <c r="I404" i="3"/>
  <c r="I426" i="3"/>
  <c r="I357" i="3"/>
  <c r="I409" i="3"/>
  <c r="I249" i="3"/>
  <c r="I193" i="3"/>
  <c r="I8" i="3"/>
  <c r="I54" i="3"/>
  <c r="I431" i="3"/>
  <c r="I80" i="3"/>
  <c r="I87" i="3"/>
  <c r="I208" i="3"/>
  <c r="I256" i="3"/>
  <c r="I308" i="3"/>
  <c r="I292" i="3"/>
  <c r="I123" i="3"/>
  <c r="I88" i="3"/>
  <c r="I254" i="3"/>
  <c r="I298" i="3"/>
  <c r="I336" i="3"/>
  <c r="I390" i="3"/>
  <c r="I251" i="3"/>
  <c r="I412" i="3"/>
  <c r="I397" i="3"/>
  <c r="I200" i="3"/>
  <c r="I144" i="3"/>
  <c r="I215" i="3"/>
  <c r="I341" i="3"/>
  <c r="I84" i="3"/>
  <c r="I351" i="3"/>
  <c r="I214" i="3"/>
  <c r="F46" i="1"/>
  <c r="L18" i="2" l="1"/>
  <c r="K26" i="2"/>
  <c r="C2121" i="5"/>
  <c r="B2121" i="5"/>
  <c r="H4" i="2" l="1"/>
  <c r="C188" i="5"/>
  <c r="H38" i="2" l="1"/>
  <c r="L7" i="2" l="1"/>
  <c r="L8" i="2" l="1"/>
  <c r="L9" i="2"/>
  <c r="L10" i="2"/>
  <c r="E8" i="1"/>
  <c r="X46" i="1" s="1"/>
  <c r="E48" i="1" l="1"/>
  <c r="E23" i="2" l="1"/>
  <c r="E24" i="2"/>
  <c r="E22" i="2"/>
  <c r="E15" i="2"/>
  <c r="E21" i="2"/>
  <c r="E18" i="2"/>
  <c r="E19" i="2"/>
  <c r="E17" i="2"/>
  <c r="E20" i="2"/>
  <c r="E16" i="2"/>
  <c r="E11" i="2"/>
  <c r="E12" i="2"/>
  <c r="E13" i="2"/>
  <c r="E14" i="2"/>
  <c r="F48" i="1"/>
  <c r="X48" i="1" l="1"/>
  <c r="D34" i="1"/>
  <c r="D38" i="1"/>
  <c r="D36" i="1"/>
  <c r="D40" i="1"/>
  <c r="D20" i="1"/>
  <c r="D18" i="1"/>
  <c r="D28" i="1"/>
  <c r="D16" i="1"/>
  <c r="D30" i="1"/>
  <c r="D8" i="1"/>
  <c r="D12" i="1"/>
  <c r="D22" i="1"/>
  <c r="D32" i="1"/>
  <c r="D24" i="1"/>
  <c r="D10" i="1"/>
  <c r="D26" i="1"/>
  <c r="D42" i="1"/>
  <c r="D14" i="1"/>
  <c r="A3" i="40"/>
  <c r="A2" i="19"/>
  <c r="A3" i="28"/>
  <c r="B2" i="5"/>
  <c r="A2" i="8"/>
  <c r="K30" i="2" l="1"/>
  <c r="I29" i="2"/>
  <c r="G28" i="2"/>
  <c r="G29" i="2" s="1"/>
  <c r="E10" i="2"/>
  <c r="E28" i="2"/>
  <c r="E7" i="2"/>
  <c r="D30" i="2"/>
  <c r="D33" i="2" s="1"/>
  <c r="E8" i="2"/>
  <c r="E34" i="2"/>
  <c r="E9" i="2"/>
  <c r="E47" i="1" l="1"/>
  <c r="E49" i="1" s="1"/>
  <c r="U47" i="1"/>
  <c r="F47" i="1"/>
  <c r="F49" i="1" l="1"/>
  <c r="D45" i="1" l="1"/>
  <c r="V47" i="1" l="1"/>
  <c r="X49" i="1" l="1"/>
  <c r="X47" i="1"/>
</calcChain>
</file>

<file path=xl/sharedStrings.xml><?xml version="1.0" encoding="utf-8"?>
<sst xmlns="http://schemas.openxmlformats.org/spreadsheetml/2006/main" count="68598" uniqueCount="36142">
  <si>
    <t>CRONOGRAMA FÍSICO E FINANCEIRO</t>
  </si>
  <si>
    <t>ITEM</t>
  </si>
  <si>
    <t>SERVIÇO</t>
  </si>
  <si>
    <t>VALORES DO ITEM</t>
  </si>
  <si>
    <t>R$</t>
  </si>
  <si>
    <t>%</t>
  </si>
  <si>
    <t>01</t>
  </si>
  <si>
    <t>02</t>
  </si>
  <si>
    <t>03</t>
  </si>
  <si>
    <t>04</t>
  </si>
  <si>
    <t>05</t>
  </si>
  <si>
    <t>06</t>
  </si>
  <si>
    <t>07</t>
  </si>
  <si>
    <t>TOTAL PLANILHA</t>
  </si>
  <si>
    <t>VALOR DO SERVIÇO EXECUTADO NO MÊS</t>
  </si>
  <si>
    <t>PORCENTAGEM</t>
  </si>
  <si>
    <t xml:space="preserve">VALOR ACUMULADO DOS SERVIÇOS EXECUTADOS </t>
  </si>
  <si>
    <t>PORCENTAGEM ACUMULADO</t>
  </si>
  <si>
    <t>RESUMO DO ORÇAMENTO</t>
  </si>
  <si>
    <t>TOTAL</t>
  </si>
  <si>
    <t>DESCRIÇÃO DOS SERVIÇOS</t>
  </si>
  <si>
    <t>UNID.</t>
  </si>
  <si>
    <t>QUANT.</t>
  </si>
  <si>
    <t>PREÇO 
TOTAL (R$)</t>
  </si>
  <si>
    <t>FONTE DE REFERÊNCIA</t>
  </si>
  <si>
    <t>CÓDIGO</t>
  </si>
  <si>
    <t>SERVIÇOS PRELIMINARES</t>
  </si>
  <si>
    <t>01.01</t>
  </si>
  <si>
    <t>01.01.01</t>
  </si>
  <si>
    <t>SINAPI</t>
  </si>
  <si>
    <t>01.01.02</t>
  </si>
  <si>
    <t>COMPOSIÇÃO</t>
  </si>
  <si>
    <t>01.01.03</t>
  </si>
  <si>
    <t>01.01.04</t>
  </si>
  <si>
    <t>01.01.05</t>
  </si>
  <si>
    <t>SUBTOTAL 01</t>
  </si>
  <si>
    <t>MOVIMENTO DE TERRA</t>
  </si>
  <si>
    <t>02.01.01</t>
  </si>
  <si>
    <t>SUBTOTAL 02</t>
  </si>
  <si>
    <t>03.01</t>
  </si>
  <si>
    <t>03.01.01</t>
  </si>
  <si>
    <t>04.01</t>
  </si>
  <si>
    <t>04.01.01</t>
  </si>
  <si>
    <t>04.01.02</t>
  </si>
  <si>
    <t>04.01.03</t>
  </si>
  <si>
    <t>ALVENARIA DE VEDAÇÃO</t>
  </si>
  <si>
    <t>06.01.01</t>
  </si>
  <si>
    <t>GRADES E PORTÕES</t>
  </si>
  <si>
    <t>COBERTURA</t>
  </si>
  <si>
    <t>TELHADO</t>
  </si>
  <si>
    <t>RUFOS E CALHAS</t>
  </si>
  <si>
    <t>PAVIMENTAÇÃO</t>
  </si>
  <si>
    <t>ACABAMENTOS</t>
  </si>
  <si>
    <t>PINTURA</t>
  </si>
  <si>
    <t>TOMADAS</t>
  </si>
  <si>
    <t>BANCADAS</t>
  </si>
  <si>
    <t>MUROS E FECHAMENTOS</t>
  </si>
  <si>
    <t>PAVIMENTAÇÃO EXTERNA</t>
  </si>
  <si>
    <t>PAISAGISMO</t>
  </si>
  <si>
    <t>DIVERSOS EXTERNOS</t>
  </si>
  <si>
    <t>SERVIÇOS DIVERSOS</t>
  </si>
  <si>
    <t>ESQUADRIAS METÁLICAS</t>
  </si>
  <si>
    <t>MEMÓRIA DE CÁLCULO</t>
  </si>
  <si>
    <t>DESCRIÇÃO SERVIÇO</t>
  </si>
  <si>
    <t>UNIDADE</t>
  </si>
  <si>
    <t>QUANT.  DO SERVIÇO</t>
  </si>
  <si>
    <t>C (m)</t>
  </si>
  <si>
    <t>H (m)</t>
  </si>
  <si>
    <t>Qnt</t>
  </si>
  <si>
    <t>L</t>
  </si>
  <si>
    <t>L (m)</t>
  </si>
  <si>
    <t>KG</t>
  </si>
  <si>
    <t>IMPERMEABILIZAÇÃO</t>
  </si>
  <si>
    <t>M2</t>
  </si>
  <si>
    <t>UND</t>
  </si>
  <si>
    <t>M</t>
  </si>
  <si>
    <t>CJ</t>
  </si>
  <si>
    <t>TIPO COMPOSIÇÃO</t>
  </si>
  <si>
    <t>LS:</t>
  </si>
  <si>
    <t>BDI:</t>
  </si>
  <si>
    <t>DATA-BASE</t>
  </si>
  <si>
    <t>COMPOSIÇÃO DE REFERÊNCIA</t>
  </si>
  <si>
    <t>CUSTO UNIT.  DO SERVIÇO (R$)</t>
  </si>
  <si>
    <t>M3</t>
  </si>
  <si>
    <t>TIPO</t>
  </si>
  <si>
    <t>FONTE</t>
  </si>
  <si>
    <t>REF.</t>
  </si>
  <si>
    <t>DESCRIÇÃO DO ITEM</t>
  </si>
  <si>
    <t>COEF.</t>
  </si>
  <si>
    <t>V. UNIT.</t>
  </si>
  <si>
    <t>V. TOTAL</t>
  </si>
  <si>
    <t>I</t>
  </si>
  <si>
    <t>MO</t>
  </si>
  <si>
    <t>MA</t>
  </si>
  <si>
    <t>RESUMO - DISCRIMINAÇÃO</t>
  </si>
  <si>
    <t>TAXA</t>
  </si>
  <si>
    <t xml:space="preserve"> TOTAL S/ BDI </t>
  </si>
  <si>
    <t xml:space="preserve"> BDI </t>
  </si>
  <si>
    <t>MÃO DE OBRA -   (TOTAL MO)</t>
  </si>
  <si>
    <t>ENCARGOS SOCIAIS</t>
  </si>
  <si>
    <t>TOTAL MÃO OBRA</t>
  </si>
  <si>
    <t>MATERIAIS E EQUIPAMENTOS -   (TOTAL MA)</t>
  </si>
  <si>
    <t>TOTAL MATERIAIS E EQUIPAMENTOS</t>
  </si>
  <si>
    <t>TOTAL (MÃO DE OBRA + MATERIAIS + EQUIPAMENTOS)</t>
  </si>
  <si>
    <t xml:space="preserve">BDI </t>
  </si>
  <si>
    <t>TOTAL DO SERVIÇO</t>
  </si>
  <si>
    <t>ARQ</t>
  </si>
  <si>
    <t>C</t>
  </si>
  <si>
    <t>-</t>
  </si>
  <si>
    <t>H</t>
  </si>
  <si>
    <t>m2</t>
  </si>
  <si>
    <t>mês</t>
  </si>
  <si>
    <t>m</t>
  </si>
  <si>
    <t>Interruptor de uma tecla paralelo 10A/250V, com placa 4x2"</t>
  </si>
  <si>
    <t>UN</t>
  </si>
  <si>
    <t>und</t>
  </si>
  <si>
    <t>PAR</t>
  </si>
  <si>
    <t>BDI</t>
  </si>
  <si>
    <t>COMPOSIÇÃO LEI SOCIAL</t>
  </si>
  <si>
    <t>GRUPO A - Encargos Sociais Básicos</t>
  </si>
  <si>
    <t>A.1</t>
  </si>
  <si>
    <t>INSS (Art. 22 da Lei 8.212/91)</t>
  </si>
  <si>
    <t>A.2</t>
  </si>
  <si>
    <t xml:space="preserve">FGTS (Art. 27 do Decreto 99.684/90) </t>
  </si>
  <si>
    <t>A.3</t>
  </si>
  <si>
    <t>SESI/SESC (Lei 8.029/90 e Lei 8.036/90)</t>
  </si>
  <si>
    <t>A.4</t>
  </si>
  <si>
    <t>SENAI/SENAC (Lei 8.029/90 e Decreto-Lei 6246/44)</t>
  </si>
  <si>
    <t>A.5</t>
  </si>
  <si>
    <t xml:space="preserve">SEBRAE (já considerado no item A.3 e A.4) </t>
  </si>
  <si>
    <t>A.6</t>
  </si>
  <si>
    <t xml:space="preserve">INCRA (Lei 2.613/55 e Decreto 1.146/70) </t>
  </si>
  <si>
    <t>A.7</t>
  </si>
  <si>
    <t>SALÁRIO-EDUCAÇÃO (Decreto 87.043/82)</t>
  </si>
  <si>
    <t>A.8</t>
  </si>
  <si>
    <t xml:space="preserve">SEGURO ACIDENTE DO TRABALHO (Lei 8.212/91 e Decreto 3.048/99) </t>
  </si>
  <si>
    <t>A.9</t>
  </si>
  <si>
    <t xml:space="preserve">SECONCI/Medicina do Trabalho </t>
  </si>
  <si>
    <t>TOTAL GRUPO A</t>
  </si>
  <si>
    <t xml:space="preserve">GRUPO B - Encargos Sociais que recebem a incidência do grupo A </t>
  </si>
  <si>
    <t>B.1</t>
  </si>
  <si>
    <t>Descanso Semanal Remunerado (Art. 66 da CLT e Art. 7º da CF/88)</t>
  </si>
  <si>
    <t>B.2</t>
  </si>
  <si>
    <t>Feriados (Art. 70 da CLT e Lei 605/49)</t>
  </si>
  <si>
    <t>B.3</t>
  </si>
  <si>
    <t>Auxílio doença e acidente do trabalho (Lei 3.607/60 e Art. 131 da CLT)</t>
  </si>
  <si>
    <t>B.4</t>
  </si>
  <si>
    <t xml:space="preserve">Licença Paternidade (Art. 7º da CF/88) </t>
  </si>
  <si>
    <t>B.5</t>
  </si>
  <si>
    <t xml:space="preserve">Faltas Legais (Art. 473 da CLT) </t>
  </si>
  <si>
    <t>B.6</t>
  </si>
  <si>
    <t xml:space="preserve">13º Salário (Lei nº 4090/62) </t>
  </si>
  <si>
    <t>B.7</t>
  </si>
  <si>
    <t xml:space="preserve">Aviso Prévio Trabalhado (Art. 7º, inciso XXI da CF/88) </t>
  </si>
  <si>
    <t>B.8</t>
  </si>
  <si>
    <t>Dias de Chuvas</t>
  </si>
  <si>
    <t>B.9</t>
  </si>
  <si>
    <t>Férias Gozadas</t>
  </si>
  <si>
    <t>B.10</t>
  </si>
  <si>
    <t>Salário Maternidade</t>
  </si>
  <si>
    <t>B.11</t>
  </si>
  <si>
    <t>Auxílio - Enfermidade</t>
  </si>
  <si>
    <t>TOTAL GRUPO B</t>
  </si>
  <si>
    <t>GRUPO C - Encargos Sociais que não recebem a incidência do grupo A</t>
  </si>
  <si>
    <t>C.1</t>
  </si>
  <si>
    <t>Dispensa sem justa causa (LC 110/01)</t>
  </si>
  <si>
    <t>C.2</t>
  </si>
  <si>
    <t xml:space="preserve">Férias indenizadas (Art. 129 a 148 da CLT) </t>
  </si>
  <si>
    <t>C.3</t>
  </si>
  <si>
    <t xml:space="preserve">Aviso prévio indenizado (Art. 7º, inciso XXI da CF/88) </t>
  </si>
  <si>
    <t>C.4</t>
  </si>
  <si>
    <t xml:space="preserve">FGTS sobre aviso prévio indenizado (Súmula 305 TST) </t>
  </si>
  <si>
    <t>C.5</t>
  </si>
  <si>
    <t>INSS sobre aviso prévio indenizado (Decreto 6.727/09)</t>
  </si>
  <si>
    <t>C.6</t>
  </si>
  <si>
    <t>Aviso prévio trabalhado</t>
  </si>
  <si>
    <t>C.7</t>
  </si>
  <si>
    <t>Indenização Adicional</t>
  </si>
  <si>
    <t>TOTAL GRUPO C</t>
  </si>
  <si>
    <t xml:space="preserve">GRUPO D - Reincidência dos encargos sociais básicos </t>
  </si>
  <si>
    <t>D.1</t>
  </si>
  <si>
    <t>Incidência do grupo A sobre o grupo B</t>
  </si>
  <si>
    <t>D.2</t>
  </si>
  <si>
    <t>Reincidência de Grupo A sobre Aviso Prévio Trabalho e Reincidência
 do FGTS sobre Aviso Prévio Indenizado</t>
  </si>
  <si>
    <t>TOTAL GRUPO D</t>
  </si>
  <si>
    <t>Código</t>
  </si>
  <si>
    <t>Descrição</t>
  </si>
  <si>
    <t>Und.</t>
  </si>
  <si>
    <t>Preço</t>
  </si>
  <si>
    <t>INSUMOS DE MAO DE OBRA</t>
  </si>
  <si>
    <t>MAO DE OBRA (SALARIOS)</t>
  </si>
  <si>
    <t>MAO DE OBRA (SALARIOS) - CONTINUACAO</t>
  </si>
  <si>
    <t>TOPOGRAFO - (TECNICO 2O GRAU NIVEL C)</t>
  </si>
  <si>
    <t>Categoria: Material</t>
  </si>
  <si>
    <t>INSUMOS BASICOS - CIVIL</t>
  </si>
  <si>
    <t>ELEMENTOS ESTRUTURAIS PRE-MOLDADOS</t>
  </si>
  <si>
    <t>MOURAO RETO DE CONCRETO BASE 10X10CM H=2.50M</t>
  </si>
  <si>
    <t>AGREGADOS, AGLOMERANTES, MISTURADOS</t>
  </si>
  <si>
    <t>CONCRETO USINADO FCK 30 MPA</t>
  </si>
  <si>
    <t>REJUNTE JUNTAPLUS FINA COR CINZA</t>
  </si>
  <si>
    <t>REJUNTE PORCELANATO QUARTZOLIT</t>
  </si>
  <si>
    <t>AGREGADOS, AGLOMERANTES E MISTURAS</t>
  </si>
  <si>
    <t>AREIA LAVADA MEDIA</t>
  </si>
  <si>
    <t>CIMENTO BRANCO NAO ESTRUTURAL</t>
  </si>
  <si>
    <t>CIMENTO COLANTE INDUSTRIALIZADO AC I</t>
  </si>
  <si>
    <t>CONCRETO USINADO FCK 20 MPA</t>
  </si>
  <si>
    <t>BRITA 1</t>
  </si>
  <si>
    <t>BRITA 2</t>
  </si>
  <si>
    <t>BRITA 3</t>
  </si>
  <si>
    <t>BRITA 4</t>
  </si>
  <si>
    <t>PEDRA DE MAO (RACHAO)</t>
  </si>
  <si>
    <t>PEDRISCO</t>
  </si>
  <si>
    <t>PO DE PEDRA</t>
  </si>
  <si>
    <t>BRITA N.3 E 4</t>
  </si>
  <si>
    <t>BARRO PARA ATERRO</t>
  </si>
  <si>
    <t>CONCRETO USINADO FCK 25 MPA</t>
  </si>
  <si>
    <t>BRITA 1 E 2 (MEDIA)</t>
  </si>
  <si>
    <t>AREIA FINA</t>
  </si>
  <si>
    <t>AREIA PARA ATERRO</t>
  </si>
  <si>
    <t>ARGAMASSA PARA GRAUTEAMENTO TIPO SIKAGROUT</t>
  </si>
  <si>
    <t>REJUNTE PRE-FABRICADA</t>
  </si>
  <si>
    <t>ARGAMASSA TIXOTROPICA SIKA MONOTOP 622 BR</t>
  </si>
  <si>
    <t>MADEIRAS</t>
  </si>
  <si>
    <t>TACO P/ FIXACAO DE BATENTE/RODAPE 10X10X2,5 CM</t>
  </si>
  <si>
    <t>FL</t>
  </si>
  <si>
    <t>PECA EM MADEIRA DE LEI 8.0 X 8.0 CM</t>
  </si>
  <si>
    <t>PECA EM MADEIRA DE LEI 5.0 X 10.0 CM (APARELHADA)</t>
  </si>
  <si>
    <t>PECA EM MADEIRA DE LEI 7.0 X 12.0 CM (APARELHADA)</t>
  </si>
  <si>
    <t>PECA EM MADEIRA DE LEI 15.0 X 20.0 CM (APARELHADA)</t>
  </si>
  <si>
    <t>RIPA EM MADEIRA DE LEI 1.5 X 5.0 CM</t>
  </si>
  <si>
    <t>RIPA EM MADEIRA DE LEI 1.5 X 4.0 CM</t>
  </si>
  <si>
    <t>FORMICA TIPO LOUSA ESCOLAR</t>
  </si>
  <si>
    <t>FORMICA LISA BRILHANTE</t>
  </si>
  <si>
    <t>MADEIRAS - CONTINUACAO</t>
  </si>
  <si>
    <t>TABUA EM MADEIRA DE LEI DE 20 CM DE LARGURA</t>
  </si>
  <si>
    <t>ESCORA DE EUCALIPTO (COMP.=3.50M)</t>
  </si>
  <si>
    <t>DZ</t>
  </si>
  <si>
    <t>PECA EM MADEIRA DE LEI 8.5 X 2 CM (BRUTA)</t>
  </si>
  <si>
    <t>FORMAS E ESCORAMENTOS</t>
  </si>
  <si>
    <t>ANDAIME MET TUBULAR FACHADA - LOCACAO (M/MÊS)</t>
  </si>
  <si>
    <t>ANDAIME PARA FACHADA (LOCAÇÃO MENSAL)</t>
  </si>
  <si>
    <t>ARMADURAS PARA CONCRETO</t>
  </si>
  <si>
    <t>ACO CA-50 DE 6.3MM</t>
  </si>
  <si>
    <t>ACO CA-50 DE 8.0MM</t>
  </si>
  <si>
    <t>ACO CA-50 DE 20.0MM</t>
  </si>
  <si>
    <t>ACO CA-60 DE 5.0MM</t>
  </si>
  <si>
    <t>TELA SOLDADA EM AÇO TIPO TELCON Q-138 P/ ARMADURA</t>
  </si>
  <si>
    <t>LAJES E PAINEIS PRE-FABRICADOS</t>
  </si>
  <si>
    <t>VEDACAO (TIJOLOS E BLOCOS)</t>
  </si>
  <si>
    <t>BLOCO DE CONCRETO 9 X 19 X 39CM - VEDACAO</t>
  </si>
  <si>
    <t>BLOCO DE CONCRETO 14 X 19 X 39CM - VEDACAO</t>
  </si>
  <si>
    <t>BLOCO DE CONCRETO 19 X 19 X 39CM - VEDACAO</t>
  </si>
  <si>
    <t>BLOCO DE CONCRETO 14 X 19 X 39CM - ESTRUTURAL</t>
  </si>
  <si>
    <t>BLOCO DE CONCRETO 19 X 19 X 39CM - ESTRUTURAL</t>
  </si>
  <si>
    <t>BLOCO DE CONCRETO 9 X 19 X 39 CM - ESTRUTURAL</t>
  </si>
  <si>
    <t>VEDACAO (ELEMENTOS VAZADOS)</t>
  </si>
  <si>
    <t>VEDACAO (DIVISORIAS)</t>
  </si>
  <si>
    <t>DIVISORIA ESP.35MM MIOLO COLMEIA MOD PAINEL/PAINEL</t>
  </si>
  <si>
    <t>PORTA P/ DIVISORIA 80X210 CM, INC DOBR/FECH INTERN</t>
  </si>
  <si>
    <t>GRANITO CINZA ANDORINHA E = 3 CM POLIDO NOS DOIS LADOS</t>
  </si>
  <si>
    <t>MATERIAIS PARA IMPERMEABILIZACAO</t>
  </si>
  <si>
    <t>SIKA TOP 107</t>
  </si>
  <si>
    <t>MANTA GEOTEXTIL DE POLIESTER BIDIM RT-16</t>
  </si>
  <si>
    <t>SIKAFLEX 1A</t>
  </si>
  <si>
    <t>ML</t>
  </si>
  <si>
    <t>SIKA TOP 108 ARMATEC (INIBIDOR DE CORROSAO)</t>
  </si>
  <si>
    <t>MATERIAIS PARA IMPERMEABILIZACAO (CONT.)</t>
  </si>
  <si>
    <t>LONA PLASTICA PRETA 80 MICRAS</t>
  </si>
  <si>
    <t>OXIPRIMER DA TEXSA OU EQUIVALENTE</t>
  </si>
  <si>
    <t>POLIURETANO FLEXIVEL BISNAGA 360G TEL 5905</t>
  </si>
  <si>
    <t>TELHAS E DOMUS</t>
  </si>
  <si>
    <t>TELHA FIBROCIMENTO ONDULADA DE 6MM</t>
  </si>
  <si>
    <t>TELHA FIBROCIMENTO ONDULADA DE 8MM</t>
  </si>
  <si>
    <t>TELHA ALUMINIO TRAPEZOIDAL 0,5MM</t>
  </si>
  <si>
    <t>TELHA CERAMICA TIPO CAPA E CANAL PLAN - NATURAL</t>
  </si>
  <si>
    <t>CUMEEIRA CERAMICA TIPO CAPA E CANAL NAT - FABRICA</t>
  </si>
  <si>
    <t>CUMEEIRA CERAMICA CAPA E CANAL NAT - PÇA VITORIA</t>
  </si>
  <si>
    <t>TELHA ONDULADA DE ALUMÍNIO ESP. 0.5 MM</t>
  </si>
  <si>
    <t>TELHA AL/ZINCO ONDULADA (GALVALUME) ESP. 0.43MM</t>
  </si>
  <si>
    <t>TELHAS (ELEMENTOS DE ARREMATE)</t>
  </si>
  <si>
    <t>RUFO EM ALUMINIO ESP. 0.5 MM LARGURA 30 CM</t>
  </si>
  <si>
    <t>CUMEEIRA FIBROCIMENTO NORMAL (ONDULADA)</t>
  </si>
  <si>
    <t>ELEMENTOS DE FIXACAO (PARAFUSOS/FERRAGENS)</t>
  </si>
  <si>
    <t>CONJUNTO VEDACAO ELASTICA</t>
  </si>
  <si>
    <t>ARO EM METAL PARA BASQUETE</t>
  </si>
  <si>
    <t>PARAFUSO PARA MADEIRA DE 80MM</t>
  </si>
  <si>
    <t>PARAFUSO COM ROSCA SOBERBA 8X110MM</t>
  </si>
  <si>
    <t>PARAFUSO S-8</t>
  </si>
  <si>
    <t>BUCHA PLASTICA COM PARAFUSO - 8MM</t>
  </si>
  <si>
    <t>BUCHA PLASTICA 8MM</t>
  </si>
  <si>
    <t>PARAFUSO CROMADO P/FIXACAO SANITARIOS</t>
  </si>
  <si>
    <t>PARAFUSO CROMADO D = 4 MM</t>
  </si>
  <si>
    <t>PORCA SEXTAVADA 1/4"</t>
  </si>
  <si>
    <t>PREGO - PRECO MEDIO DAS BITOLAS</t>
  </si>
  <si>
    <t>PREGO 12X12</t>
  </si>
  <si>
    <t>PREGO 15X15</t>
  </si>
  <si>
    <t>PREGO 18X27</t>
  </si>
  <si>
    <t>PREGO 18X30</t>
  </si>
  <si>
    <t>PREGO 18X27 GALVANIZADO</t>
  </si>
  <si>
    <t>PARAFUSO PARA BUCHA S-5</t>
  </si>
  <si>
    <t>PARAFUSO PARA BUCHA PLASTICA N.7</t>
  </si>
  <si>
    <t>ELEMENTOS DE FIXACAO - CONTINUACAO</t>
  </si>
  <si>
    <t>CONJUNTO FIXACAO P/ TELHA DE ALUMINIO TRAPEZOIDAL</t>
  </si>
  <si>
    <t>PARAFUSO GALV. C/PORCA E ARRUELA 16MM X 200MM</t>
  </si>
  <si>
    <t>BUCHA DE NYLON N.º8 REF.: TEL-5308</t>
  </si>
  <si>
    <t>PARAFUSO COM BUCHA S8</t>
  </si>
  <si>
    <t>CONJUNTO P/ FIXAÇÃO TELHA ALUMINIO ONDULADA</t>
  </si>
  <si>
    <t>PARAFUSO DE MAQ FERRO GALVANIZADO D= 16 X 100MM</t>
  </si>
  <si>
    <t>PARAFUSO AUTOATARRACHANTE DIM 4.2X32MM REF TEL5333</t>
  </si>
  <si>
    <t>BUCHA DE NYLON N.º6 REF.: TEL-5306</t>
  </si>
  <si>
    <t>ELEMENTOS DE FIXAÇÃO - CONTINUAÇÃO</t>
  </si>
  <si>
    <t>CONJ PARAFUSO, PORCA E ARRUELA LATAO 1/2 X 2"</t>
  </si>
  <si>
    <t>ARAMES</t>
  </si>
  <si>
    <t>ARAME GALVANIZADO N.10 BWG</t>
  </si>
  <si>
    <t>ARAME GALVANIZADO N.12 BWG</t>
  </si>
  <si>
    <t>ARAME GALVANIZADO N.14 BWG</t>
  </si>
  <si>
    <t>ARAME GALVANIZADO N.16 BWG</t>
  </si>
  <si>
    <t>ARAME GALVANIZADO N.18 BWG</t>
  </si>
  <si>
    <t>ARAME RECOZIDO N.18 BWG</t>
  </si>
  <si>
    <t>ARAME GALVANIZADO N.14 AWG</t>
  </si>
  <si>
    <t>ARAME FARPADO GALVANIZAD FIO 16BWG</t>
  </si>
  <si>
    <t>FECHAMENTOS EXTERNOS</t>
  </si>
  <si>
    <t>MOURAO CONCRETO CURVO SECAO "T" H=3,20M</t>
  </si>
  <si>
    <t>TELA DE ARAME GALVANIZADO DE 1" FIO N.10 BWG</t>
  </si>
  <si>
    <t>FECHAMENTOS EXTERNOS (CONT.)</t>
  </si>
  <si>
    <t>TELA MOSQUITEIRO EM NYLON MALHA 14 ABERTURA 1,5MM</t>
  </si>
  <si>
    <t>DIVERSOS</t>
  </si>
  <si>
    <t>BOMBEAMENTO DE CONCRETO</t>
  </si>
  <si>
    <t>TABULEIRO MARMORE BRANCO E GRANITO PRETO 40X40CM</t>
  </si>
  <si>
    <t>DESMOLDANTE PARA FORMAS</t>
  </si>
  <si>
    <t>MOLDURA CANTONEIRA ALUMINIO PERFIL L 3/4"X3/4X1/8"</t>
  </si>
  <si>
    <t>JUNTA PLASTICA DE 17 X 3 MM</t>
  </si>
  <si>
    <t>CABO ACO GALV. SM 6X7-AF 6,4MM (1/4")</t>
  </si>
  <si>
    <t>COLA PARA FORMICA</t>
  </si>
  <si>
    <t>DIVERSOS (CONTINUACAO)</t>
  </si>
  <si>
    <t>FILETE EM ISOPOR 2X1CM</t>
  </si>
  <si>
    <t>DUREPOX (250G)</t>
  </si>
  <si>
    <t>PARAF. INOX SEXT. M6X45MM, BUCHA N.8, ARRUELA 1/4"</t>
  </si>
  <si>
    <t>FIXADOR UNIV SPDA ESTANH TEL-5024 P/CABO 16 A 70MM</t>
  </si>
  <si>
    <t>INSUMOS DE ACABAMENTOS - CIVIL</t>
  </si>
  <si>
    <t>ESQUADRIAS DE MADEIRA - ANGELIM PEDRA</t>
  </si>
  <si>
    <t>ALIZAR / GUARNICAO EM MAD DE LEI 5.0 X 1.5 CM</t>
  </si>
  <si>
    <t>MARCO MAD LEI 15X3CM BAT 0.90X2.10M ANGELIM PEDRA</t>
  </si>
  <si>
    <t>MARCO MAD LEI 15X3CM BAT 0.60X2.10M ANGELIM PEDRA</t>
  </si>
  <si>
    <t>MARCO MAD LEI 15X3CM BAT 0.70X2.10M ANGELIM PEDRA</t>
  </si>
  <si>
    <t>MARCO MAD LEI 15X3CM BAT 0.80X2.10M ANGELIM PEDRA</t>
  </si>
  <si>
    <t>MARCO EM MADEIRA DE LEI 15 X 3 CM</t>
  </si>
  <si>
    <t>ESQUADRIAS DE MADEIRA (CONT.)</t>
  </si>
  <si>
    <t>ALIZAR / GUARNICAO EM MAD DE LEI 7X1.5CM</t>
  </si>
  <si>
    <t>ALIZAR / GUARNICAO EM MAD DE LEI 5X2.5CM</t>
  </si>
  <si>
    <t>CAIXILHO MAD LEI 9X3CM P/ JANELA - ANGELIM PEDRA</t>
  </si>
  <si>
    <t>ESQUADRIAS METÁLICAS (CONT.)</t>
  </si>
  <si>
    <t>FERRAGENS PARA ESQUADRIAS</t>
  </si>
  <si>
    <t>FECHADURA COMPLETA PARA PORTA INTERNA</t>
  </si>
  <si>
    <t>TARGETA FIO REDONDO 3"</t>
  </si>
  <si>
    <t>TARGETA FIO REDONDO 2"</t>
  </si>
  <si>
    <t>FECHADURA ALAVANCA E CHAVE YALE</t>
  </si>
  <si>
    <t>FECHADURA DE SEGURANCA ALIANCA MARCA REFERENCIA</t>
  </si>
  <si>
    <t>CADEADO 40MM</t>
  </si>
  <si>
    <t>CADEADO 30 MM</t>
  </si>
  <si>
    <t>PORTA CADEADO PARA CADEADO DE 30MM</t>
  </si>
  <si>
    <t>PORTA CADEADO PARA CADEADO DE 40MM</t>
  </si>
  <si>
    <t>FECHADURA TIPO "LIVRE-OCUPADO"</t>
  </si>
  <si>
    <t>DOBRADICA DE FERRO ZINCADO DE 3" X 2 1/2"</t>
  </si>
  <si>
    <t>FERRAGENS PARA ESQUADRIAS (CONT.)</t>
  </si>
  <si>
    <t>TRINCO CHATO EM AÇO CROMADO DE EMBUTIR 20CM</t>
  </si>
  <si>
    <t>BASCULA LINHA 25 ALUMINIO ANOD NATURAL</t>
  </si>
  <si>
    <t>FECHADURA COM MAÇANETA TIPO BOLA E CHAVE YALE</t>
  </si>
  <si>
    <t>FECHADURA DE SOBREPOR TIPO CAIXAO E CHAVE COMUM</t>
  </si>
  <si>
    <t>FECH COM MAÇANETA TIPO ALAVANCA E CHAVE TIPO COMUM</t>
  </si>
  <si>
    <t>REVESTIMENTOS (CERÂMICA E SIMILARES)</t>
  </si>
  <si>
    <t>AZULEJO BRANCO 15X15CM</t>
  </si>
  <si>
    <t>REVESTIMENTOS (CERÂMICA E SIMILARES) - CONT.</t>
  </si>
  <si>
    <t>CERAMICA 10X10 CM COR BRANCA OU AREIA</t>
  </si>
  <si>
    <t>PASTILHA CERÂMICA 5X5CM COR BRANCA</t>
  </si>
  <si>
    <t>CERAMICA 10X10CM REF. CAMBURI BRANCO</t>
  </si>
  <si>
    <t>REVESTIMENTOS (PEDRAS NATURAIS)</t>
  </si>
  <si>
    <t>MARMORE BRANCO P/BANCADA ESP. 3 CM</t>
  </si>
  <si>
    <t>GRANITO CINZA ANDORINHA POLIDO ESP. 2CM P/ BANCAD</t>
  </si>
  <si>
    <t>REVESTIMENTOS (MADEIRA, PLÁSTICOS, ETC)</t>
  </si>
  <si>
    <t>CHAPA LISA DE FIBROCIMENTO ESP.10MM</t>
  </si>
  <si>
    <t>REVESTIMENTOS (ELEMENTOS DE ARREMATE)</t>
  </si>
  <si>
    <t>CANTONEIRA DE ALUMINIO SEXTAVADA P/ ACABAMENTO</t>
  </si>
  <si>
    <t>MOLDURA EM MADEIRA DE LEI DE 7.0 X 2.5 CM</t>
  </si>
  <si>
    <t>PEITORIL GRANITO CINZA ANDORINHA LARG.15CM,ESP.3CM</t>
  </si>
  <si>
    <t>PORTA GIZ DIM. 6 X 3 CM</t>
  </si>
  <si>
    <t>PEITORIL MARMORE BRANCO, LARG. 40 CM</t>
  </si>
  <si>
    <t>FORROS</t>
  </si>
  <si>
    <t>FORRO DE GESSO COLOCADO, ACABAMENTO TIPO LISO</t>
  </si>
  <si>
    <t>FORROS (CONTINUAÇÃO)</t>
  </si>
  <si>
    <t>FORRO PVC FRISADO L= 20CM ESP.10MM, COLOCADO</t>
  </si>
  <si>
    <t>PISOS (CERÂMICA E SIMILARES)</t>
  </si>
  <si>
    <t>XADREZ (PO CORANTE TIPO XADREZ MARCA DE REF.)</t>
  </si>
  <si>
    <t>PISOS (CERÂMICA E SIMILARES) - CONT.</t>
  </si>
  <si>
    <t>PISO CERAMICO 45X45CM PEI5 CARGO PLUS GRAY ELIANE</t>
  </si>
  <si>
    <t>PISOS CERAMICOS E GRANITO</t>
  </si>
  <si>
    <t>JUNTA DE DILATACAO PLASTICA</t>
  </si>
  <si>
    <t>PORCELANATO POLIDO PANNA PLUS PO 50X50CM</t>
  </si>
  <si>
    <t>PORCELANATO POL ACET 60X60CM CIMENTO CINZA BOLD</t>
  </si>
  <si>
    <t>PISOS (MADEIRA, PLÁSTICOS, ETC)</t>
  </si>
  <si>
    <t>AGREGADO DE ALTA RESISTENCIA PARA PISOS</t>
  </si>
  <si>
    <t>PISO VIN PAVIFLEX CHROMA CONCEPT 30X30CM - ESP.2MM</t>
  </si>
  <si>
    <t>PISOS (MADEIRA, PLÁSTICOS, ETC) - CONT.</t>
  </si>
  <si>
    <t>PISO EMBORRAC PASTILHADO COR PRETA PLURIGOMA/EQUIV</t>
  </si>
  <si>
    <t>PISOS (ELEMENTOS DE ARREMATE)</t>
  </si>
  <si>
    <t>RODAPE DE PEROBA DE 1.5X7CM</t>
  </si>
  <si>
    <t>SOLEIRA GRANITO CINZA ANDORINHA ESP = 3CM, L= 3CM</t>
  </si>
  <si>
    <t>JUNTA PLASTICA "I" 27MM PARA PISOS</t>
  </si>
  <si>
    <t>RODA-PAREDE EM MADEIRA DE LEI DE 10.0 X 2.5 CM</t>
  </si>
  <si>
    <t>SOLEIRA GRANITO CINZA ANDORINHA ESP=2CM,L=15CM</t>
  </si>
  <si>
    <t>RODA-PAREDE EM MADEIRA DE LEI 20.0 X 1.5 CM</t>
  </si>
  <si>
    <t>PISOS (ELEMENTOS DE ARREMATE) - CONT.</t>
  </si>
  <si>
    <t>RODAPE MARMORE BRANCO H=7CM</t>
  </si>
  <si>
    <t>BLOCO CONCRETO TIPO PAVI-S ESP.8CM,35MPA(48UND/M2)</t>
  </si>
  <si>
    <t>BLOCO CONCRETO TIPO PAVI-S ESP.10CM - 35MPA</t>
  </si>
  <si>
    <t>BLOCO CONCRETO PAVI-S ESP. 6CM 35 MPA (48UN/M2)</t>
  </si>
  <si>
    <t>TINTAS (CONTINUACAO)</t>
  </si>
  <si>
    <t>VIDROS E ACESSORIOS</t>
  </si>
  <si>
    <t>VIDRO TRANSPARENTE LISO ESP.4MM,COLOCADO</t>
  </si>
  <si>
    <t>VIDRO MINI-BOREAL ESP.4MM, COLOCADO</t>
  </si>
  <si>
    <t>MASSA PARA VIDRO</t>
  </si>
  <si>
    <t>ESPELHO PRATA ESPESSURA 4 MM</t>
  </si>
  <si>
    <t>BOTAO FRANCES P/FIXACAO DE ESPELHOS, CROMADO</t>
  </si>
  <si>
    <t>VIDROS E ACESSORIOS (CONTINUAÇÃO)</t>
  </si>
  <si>
    <t>VIDRO ARAMADO ESP. 6MM, COLOCADO</t>
  </si>
  <si>
    <t>TINTAS (CONT.)</t>
  </si>
  <si>
    <t>ESMALTE SINTETICO</t>
  </si>
  <si>
    <t>TINTA LATEX PVA</t>
  </si>
  <si>
    <t>TINTA A BASE DE EMULSAO ACRILICA (PARA PISOS)</t>
  </si>
  <si>
    <t>SELADOR ACRILICO</t>
  </si>
  <si>
    <t>SOLVENTE PARA TINTA A BASE DE EPOXI</t>
  </si>
  <si>
    <t>TINTA PARA PISOS</t>
  </si>
  <si>
    <t>TINTA ESMALTE SINT. BRILHANTE COR BRANCA</t>
  </si>
  <si>
    <t>VERNIZES E OUTROS MATERIAIS PARA PINTURA</t>
  </si>
  <si>
    <t>AGUARRAZ MINERAL</t>
  </si>
  <si>
    <t>CAL EM PO PARA PINTURA</t>
  </si>
  <si>
    <t>FUNDO BRANCO FOSCO NIVELADOR P/ MADEIRAS</t>
  </si>
  <si>
    <t>LIQUIDO SELADOR PARA PINTURA LATEX PVA</t>
  </si>
  <si>
    <t>MASSA ACRILICA</t>
  </si>
  <si>
    <t>MASSA A BASE DE PVA</t>
  </si>
  <si>
    <t>OLEO DE LINHACA</t>
  </si>
  <si>
    <t>PRIMER A BASE DE EPOXI</t>
  </si>
  <si>
    <t>SILICONE - HIDROFUGANTE</t>
  </si>
  <si>
    <t>TRINCHA 2"</t>
  </si>
  <si>
    <t>VERNIZ ACRILICO PARA CONCRETO</t>
  </si>
  <si>
    <t>ZARCAO</t>
  </si>
  <si>
    <t>REMOVEDOR</t>
  </si>
  <si>
    <t>IMUNIZANTE PARA MADEIRA</t>
  </si>
  <si>
    <t>VERNIZ FOSCO FILTRO SOLAR LINHA PREMIUM</t>
  </si>
  <si>
    <t>VERNIZ POLIURETANO BRILHANTE LINHA PREMIUM</t>
  </si>
  <si>
    <t>GRAMA EM PLACAS TIPO ESMERALDA</t>
  </si>
  <si>
    <t>TERRA VEGETAL</t>
  </si>
  <si>
    <t>ACIDO MURIATICO</t>
  </si>
  <si>
    <t>MASSA PLASTICA</t>
  </si>
  <si>
    <t>QUADRO DE GIZ/PINCEL LAMINADO MELAMINICO 3.95X1.29</t>
  </si>
  <si>
    <t>PINTURA DE LETRAS EM PAREDE DIM.20X30 CM</t>
  </si>
  <si>
    <t>ESTRADO DE MADEIRA PADRÃO CASA GAS CONF PROJETO</t>
  </si>
  <si>
    <t>TRAVE P/ FUT SALAO 3,00X2,00M C/ RECUO FG D=3"</t>
  </si>
  <si>
    <t>POSTE VOLEIBOL FG D=2 1/2" C/ CARRETILHA E TAMPAO</t>
  </si>
  <si>
    <t>DIVERSOS (CONTINUAÇÃO)</t>
  </si>
  <si>
    <t>REDE COM MALHA GROSSA PARA TRAVE DE FUTEBOL SALAO</t>
  </si>
  <si>
    <t>CESTA PARA ARO DE BASQUETE</t>
  </si>
  <si>
    <t>REDE VOLEIBOL MALHA GROSSA, LONA SUP. E INFERIOR</t>
  </si>
  <si>
    <t>CAIXA DE PRE-MOLDADO P/ AR CONDICIONADO 18.000 BTU</t>
  </si>
  <si>
    <t>QUADRO QUADRICULABRANCO P/ PINCEL DIM 3.00 X 1.50M</t>
  </si>
  <si>
    <t>INSUMOS DE ELETRICA</t>
  </si>
  <si>
    <t>POSTES</t>
  </si>
  <si>
    <t>POSTE CIRC.CONCRETO ALT.MONT.11M/300KG,PAD ESCELSA</t>
  </si>
  <si>
    <t>POSTE CIRCULAR DE CONCRETO 11M/600KG</t>
  </si>
  <si>
    <t>POSTE (CONT)</t>
  </si>
  <si>
    <t>REDUÇÃO CONCÊNT ELETROC PERF "U" 200X150MM,ABA100</t>
  </si>
  <si>
    <t>REDUÇÃO CONCÊNT ELETROC PERF "U" 300X150MM,ABA100</t>
  </si>
  <si>
    <t>REDUÇÃO CONCÊNT ELETROC PERF "U" 400X150MM,ABA100</t>
  </si>
  <si>
    <t>SUPORTE ANGULAR P/ELETROCALHA DE 400X100MM</t>
  </si>
  <si>
    <t>PARA RAIOS E ACESSORIOS</t>
  </si>
  <si>
    <t>CURVA 90º BARRA CHATA ALUM 7/8"X1/8"X300MM TEL 778</t>
  </si>
  <si>
    <t>ISOLADORES E ESPACADORES</t>
  </si>
  <si>
    <t>CONECTOR PORCELANA 3P P/FIO 10MM2</t>
  </si>
  <si>
    <t>CONECTOR PORCELANA 3P P/FIO 6MM2</t>
  </si>
  <si>
    <t>CONECTOR PORCELANA 3P P/ FIO 4MM2</t>
  </si>
  <si>
    <t>LUMINARIAS - CONT</t>
  </si>
  <si>
    <t>TRANSFORMADORES</t>
  </si>
  <si>
    <t>PARA-RAIOS - ACESSORIOS</t>
  </si>
  <si>
    <t>QUADROS E CAIXAS ENTRADA/MEDIÇÃO</t>
  </si>
  <si>
    <t>CX PASS MET Nº6 "TELEBRAS" 120X120X15CM CH GALV</t>
  </si>
  <si>
    <t>CHAVE BLINDADA 600V-200A C/ FUSIVEL NH160A</t>
  </si>
  <si>
    <t>CONJ CX MEDIDOR POLIFASICO P-980-005+CX DISJ P-940-003</t>
  </si>
  <si>
    <t>QUADROS E CAIXAS (CONTINUAÇÃO)</t>
  </si>
  <si>
    <t>CAIXA PVC 3" X 3" TIGREFLEX - SEXTAVADA</t>
  </si>
  <si>
    <t>QUADRO DIST EMB MET 3F 56/40 CIRC DIN/UL - 225A</t>
  </si>
  <si>
    <t>CAIXA PASSAG. CH 18 C/TAMPA PARAF. 400X400X120MM</t>
  </si>
  <si>
    <t>ELETRODUTOS (AÇO ESMALTADO E CONEXÕES)</t>
  </si>
  <si>
    <t>ELETRODUTO DE FERRO GALVANIZADO 6"</t>
  </si>
  <si>
    <t>ELETRODUTO DE FERRO GALVANIZADO 4"</t>
  </si>
  <si>
    <t>ELETRODUTO DE FERRO GALVANIZADO 3"</t>
  </si>
  <si>
    <t>REDUÇÃO DE FERRO GALVANIZADO Ø 50X32MM (2X1 1/4")</t>
  </si>
  <si>
    <t>CAIXAS DE PASSAGEM E ECONDULETES (CONTINUAÇÃO)</t>
  </si>
  <si>
    <t>ELETRODUTOS (PVC RIGIDO E CONEXÕES)</t>
  </si>
  <si>
    <t>CURVA DE PVC RIGIDO PARA ELETRODUTO DE 3/4"</t>
  </si>
  <si>
    <t>LUVA DE PVC RIGIDO PARA ELETRODUTO 3/4"</t>
  </si>
  <si>
    <t>ELETRODUTO CONDULETE PVC 3/4" APARENTE TIGRE/SIM.</t>
  </si>
  <si>
    <t>NIPLE PVC PARA ELETRODUTO 3"</t>
  </si>
  <si>
    <t>CANALETA SISTEMA X PIAL LEGRAND OU SIMILAR</t>
  </si>
  <si>
    <t>ELETRODUTO CONDULETE PVC 1" APARENTE TIGRE E EQUIV</t>
  </si>
  <si>
    <t>ELETRODUTO DE PVC RIGIDO 6"</t>
  </si>
  <si>
    <t>ACABAMENTO PARA CANALETA SISTEMA X PIAL - FINA</t>
  </si>
  <si>
    <t>ELETRODUTO FLEXIVEL CORRUGADO 3/4" PVC TIGREFLEX</t>
  </si>
  <si>
    <t>ELETRODUTO FLEXIVEL CORRUGADO 1" PVC TIGREFLEX</t>
  </si>
  <si>
    <t>ELETRODUTOS (PVC RIGIDO E CONEXÕES) - CONTINUAÇÃO</t>
  </si>
  <si>
    <t>DUTO CORRUGADO DE PEAD COR PRETA 6"</t>
  </si>
  <si>
    <t>DUTO CORRUGADO DE PEAD COR PRETA 1 1/2"</t>
  </si>
  <si>
    <t>DUTO CORRUGADO DE PEAD COR PRETA 2"</t>
  </si>
  <si>
    <t>DUTO CORRUGADO DE PEAD COR PRETA 4"</t>
  </si>
  <si>
    <t>ELETRODUTOS (PVC RIG/FLEX E CONEXOES - CONT</t>
  </si>
  <si>
    <t>DUTO CORRUGADO DE PEAD COR PRETA 3"</t>
  </si>
  <si>
    <t>DUTO CORRUGADO DE PEAD COR PRETA 1 1/4"</t>
  </si>
  <si>
    <t>FIOS E CABOS</t>
  </si>
  <si>
    <t>CABO FLEX ISOL. TERMOPLAST. 750V - 1,5 MM2 - 70º</t>
  </si>
  <si>
    <t>CABO FLEX ISOL. TERMOPLAST. 750V - 2,50 MM2 - 70º</t>
  </si>
  <si>
    <t>CABO FLEX ISOL. TERMOPLAST. 750V - 4,00 MM2 - 70º</t>
  </si>
  <si>
    <t>CABO FLEX ISOL. TERMOPLAST. 750V - 6,00 MM2 - 70º</t>
  </si>
  <si>
    <t>CABO FLEX ISOL. TERMOPLAST. 0,6/1KV - 95MM2 - 70º</t>
  </si>
  <si>
    <t>CABO FLEX ISOL. TERMOPLAST. 750V - 16MM2 - 70º</t>
  </si>
  <si>
    <t>CABO FLEX ISOL. TERMOPLAST. 750V - 25MM2 - 70º</t>
  </si>
  <si>
    <t>CABO FLEX ISOL. TERMOPLAST. 0,6/1KV - 185MM2 - 70º</t>
  </si>
  <si>
    <t>CABO FLEX ISOL. TERMOPLAST. 0,6/1KV - 16MM2 - 70º</t>
  </si>
  <si>
    <t>FIOS E CABOS (CONTINUAÇÃO)</t>
  </si>
  <si>
    <t>CABO COBRE UNIPOLAR 25 MM2 ISOLAMENTO 15KV</t>
  </si>
  <si>
    <t>CABO UTP 4 PARES CAT 5E</t>
  </si>
  <si>
    <t>CABO FLEX ISOL. TERMOPLAST. 0,6/1KV - 70MM2 - 70º</t>
  </si>
  <si>
    <t>CABO ISOLADO 750V - 4 X 4.0MM2</t>
  </si>
  <si>
    <t>CABO ISOLADO PVC - 4 X 16.0MM2</t>
  </si>
  <si>
    <t>CABO FLEX ISOL. TERMOPLAST. 0,6/1KV - 25MM2 - 70º</t>
  </si>
  <si>
    <t>CABO FLEX ISOL. TERMOPLAST. 0,6/1KV - 35MM2 - 70º</t>
  </si>
  <si>
    <t>CABO FLEX ISOL. TERMOPLAST. 0,6/1KV - 6,0MM2 - 70º</t>
  </si>
  <si>
    <t>CABO FLEX ISOL. TERMOPLAST. 0,6/1KV - 10MM2 - 70º</t>
  </si>
  <si>
    <t>CABO FLEX ISOL. TERMOPLAST. 0,6/1KV - 50MM2 - 70º</t>
  </si>
  <si>
    <t>CABO FLEX ISOL. TERMOPLAST. 750V - 10MM2 - 70º</t>
  </si>
  <si>
    <t>CABO FLEX ISOL. TERMOPLAST. 0,6/1KV - 240MM2 - 70º</t>
  </si>
  <si>
    <t>CABO FLEX ISOL. TERMOPLAST. 0,6/1KV - 150MM2 - 70º</t>
  </si>
  <si>
    <t>CABO DE COBRE UNIPOLAR 35 MM2 COM ISOLAMENTO 15KV</t>
  </si>
  <si>
    <t>CABO FLEX ISOL. TERMOPLAST. 0,6/1KV - 2,5MM2 - 70º</t>
  </si>
  <si>
    <t>CABO FLEX ISOL. TERMOPLAST. 0,6/1KV - 4,0MM2 - 70º</t>
  </si>
  <si>
    <t>CABO FLEX ISOL. TERMOPLAST. 0,6/1KV - 120MM2 - 70º</t>
  </si>
  <si>
    <t>FIO DE COBRE RECOZIDO Nº 6 P/ AMARRAÇÃO</t>
  </si>
  <si>
    <t>CABO FLEX ISOL. TERMOPLAST. 0,6/1KV - 300MM2 - 70º</t>
  </si>
  <si>
    <t>FIOS E CABOS (CONT)</t>
  </si>
  <si>
    <t>CABO COAXIAL P/ TV 67 OHMS</t>
  </si>
  <si>
    <t>CHAVES</t>
  </si>
  <si>
    <t>CHAVE BLINDADA 600V 160A C/ TERMINAIS P/CABO 70MM2</t>
  </si>
  <si>
    <t>CHAVE BLINDADA TRIPOLAR 600V/200A</t>
  </si>
  <si>
    <t>CHAVE BLINDADA TRIPOLAR 600V/400A</t>
  </si>
  <si>
    <t>CHAVE TRIPOLAR BLINDADA 600V/400A-FUSIVEL NH 350A</t>
  </si>
  <si>
    <t>CHAVE BLINDADA TRIPOLAR 600V-300A C/3 FU-NH 250A</t>
  </si>
  <si>
    <t>CHAVES (CONTINUAÇÃO)</t>
  </si>
  <si>
    <t>CHAVE MAGNETICA TRIPOLAR 25A</t>
  </si>
  <si>
    <t>CHAVE BLINDADA TRIPOLAR 600V/125A</t>
  </si>
  <si>
    <t>CHAVE BLINDADA TRIPOLAR 800A C/FUSIVEL NH 2X300 A</t>
  </si>
  <si>
    <t>CHAVE BLINDADA TRIPOLAR 600V/800A</t>
  </si>
  <si>
    <t>PRENSA CABOS PARA ELETRODUTO 3/4"</t>
  </si>
  <si>
    <t>CONJ CX MEDIDOR MONOF P-980-009+CX DISJ P-940-003</t>
  </si>
  <si>
    <t>CAIXA MED POLIF P-980-009 CARGA ATE 41000W ESCELSA (CJ)</t>
  </si>
  <si>
    <t>CAIXA MED POLIF P-980-009 CARGA- 41000A57000W ESCE (CJ)</t>
  </si>
  <si>
    <t>CAIXA MED POLIF P-980-010 CARGA-57000A75000W ESCE (CJ)</t>
  </si>
  <si>
    <t>BASES E FUSIVEIS</t>
  </si>
  <si>
    <t>FUSIVEL NH - 01 RETARDADO, IN=100A</t>
  </si>
  <si>
    <t>FUSIVEL NH - 01 RETARDADO, IN=160A</t>
  </si>
  <si>
    <t>FUSIVEL NH 01 RETARDADO IN 125 A</t>
  </si>
  <si>
    <t>FUSÍVEL NH-02 RETARDADO, IN=300A</t>
  </si>
  <si>
    <t>BASES E FUSIVEIS (CONTINUACAO)</t>
  </si>
  <si>
    <t>FUSÍVEL NH-02 RETARDADO, IN=250A</t>
  </si>
  <si>
    <t>FUSÍVEL NH-02 RETARDADO, IN=355A</t>
  </si>
  <si>
    <t>DISJUNTORES (CONTINUAÇÃO)</t>
  </si>
  <si>
    <t>DISJ TERMOMAG TRIP CX MOLD 400A 65KA 600VCA</t>
  </si>
  <si>
    <t>DISJUNTORES</t>
  </si>
  <si>
    <t>DISJUNTOR NORMA NEMA MONOPOLAR 10A</t>
  </si>
  <si>
    <t>DISJUNTOR NORMA NEMA MONOPOLAR 25A</t>
  </si>
  <si>
    <t>DISJUNTOR NORMA NEMA TRIPOLAR 25A</t>
  </si>
  <si>
    <t>DISJUNTOR NORMA NEMA MONOPOLAR 15A</t>
  </si>
  <si>
    <t>MINI DISJUNTOR TRIPOLAR 90A CURVA C 5KA 220/127V</t>
  </si>
  <si>
    <t>DISJUNTOR NORMA NEMA TRIPOLAR 30A</t>
  </si>
  <si>
    <t>DISJUNTOR NORMA NEMA TRIPOLAR 35A</t>
  </si>
  <si>
    <t>MINI DISJUNTOR MONOPOLAR 16A CURVA C 5KA 220/127V</t>
  </si>
  <si>
    <t>MINI DISJUNTOR MONOPOLAR 20A CURVA C 5KA 220/127V</t>
  </si>
  <si>
    <t>MINI DISJUNTOR MONOPOLAR 25A CURVA C 5KA 220/127V</t>
  </si>
  <si>
    <t>MINI DISJUNTOR MONOPOLAR 32A CURVA C 5KA 220/127V</t>
  </si>
  <si>
    <t>MINI DISJUNTOR MONOPOLAR 40A CURVA C 5KA 220/127V</t>
  </si>
  <si>
    <t>MINI DISJUNTOR BIPOLAR 16A CURVA C 5KA 220/127V</t>
  </si>
  <si>
    <t>MINI DISJUNTOR BIPOLAR 20A CURVA C 5KA 220/127V</t>
  </si>
  <si>
    <t>MINI DISJUNTOR BIPOLAR 25A CURVA C 5KA 220/127V</t>
  </si>
  <si>
    <t>MINI DISJUNTOR BIPOLAR 32A CURVA C 5KA 220/127V</t>
  </si>
  <si>
    <t>MINI DISJUNTOR BIPOLAR 40A CURVA C 5KA 220/127V</t>
  </si>
  <si>
    <t>MINI DISJUNTOR BIPOLAR 50A CURVA C 5KA 220/127V</t>
  </si>
  <si>
    <t>MINI DISJUNTOR TRIPOLAR 16A CURVA C 5KA 220/127V</t>
  </si>
  <si>
    <t>MINI DISJUNTOR TRIPOLAR 20A CURVA C 5KA 220/127V</t>
  </si>
  <si>
    <t>MINI DISJUNTOR TRIPOLAR 25A CURVA C 5KA 220/127V</t>
  </si>
  <si>
    <t>MINI DISJUNTOR TRIPOLAR 32A CURVA C 5KA 220/127V</t>
  </si>
  <si>
    <t>MINI DISJUNTOR TRIPOLAR 40A CURVA C 5KA 220/127V</t>
  </si>
  <si>
    <t>MINI DISJUNTOR TRIPOLAR 50A CURVA C 5KA 220/127V</t>
  </si>
  <si>
    <t>MINI DISJUNTOR TRIPOLAR 70A CURVA C 5KA 220/127V</t>
  </si>
  <si>
    <t>MINI DISJUNTOR TRIPOLAR 80A CURVA C 5KA 220/127V</t>
  </si>
  <si>
    <t>MINI DISJUNTOR TRIPOLAR 63A CURVA C 5KA 220/127V</t>
  </si>
  <si>
    <t>MINI DISJUNTOR MONOPOLAR 10A CURVA C 5KA 220/127V</t>
  </si>
  <si>
    <t>MINI DISJUNTOR MONOPOLAR 63A CURVA C 5KA 220/127V</t>
  </si>
  <si>
    <t>MINI DISJUNTOR MONOPOLAR 50A CURVA C 5KA 220/127V</t>
  </si>
  <si>
    <t>MINI DISJUNTOR TRIPOLAR 125A CURVA C 15KA 220/127V</t>
  </si>
  <si>
    <t>DISJUNTOR 3P CX MOLDADA 200A - 50KA/240V 25KA/415V</t>
  </si>
  <si>
    <t>DISJUNTOR TERMOMAG.TIPO TED,3POLOS,175A,GE/SIMILAR</t>
  </si>
  <si>
    <t>MINI DISJUNTOR MONOPOLAR 70A CURVA C 5KA 220/127V</t>
  </si>
  <si>
    <t>MINI DISJUNTOR MONOPOLAR 80A CURVA C 5KA 220/127V</t>
  </si>
  <si>
    <t>MINI DISJUNTOR BIPOLAR 63A CURVA C 5KA 220/127V</t>
  </si>
  <si>
    <t>MINI DISJUNTOR BIPOLAR 70A CURVA C 5KA 220/127V</t>
  </si>
  <si>
    <t>DISJUNTORES (CONTINUACAO)</t>
  </si>
  <si>
    <t>MINI DISJUNTOR BIPOLAR 80A CURVA C 5KA 220/127V</t>
  </si>
  <si>
    <t>CAIXAS DE PASSAGEM E CONDULETES</t>
  </si>
  <si>
    <t>CAIXA PASSAG. CH 18 C/TAMPA PARAF. 150X150X80MM</t>
  </si>
  <si>
    <t>CAIXA PASSAG. CH 18 C/TAMPA PARAF. 200X200X100MM</t>
  </si>
  <si>
    <t>CAIXA PASSAG. CH 18 C/TAMPA PARAF. 300X300X120MM</t>
  </si>
  <si>
    <t>CAIXA METALICA DA GOMES DIM. 20 X 20 X 15 CM</t>
  </si>
  <si>
    <t>CAIXAS DE PASSAGEM E CONDULETES (CONTINUAÇÃO)</t>
  </si>
  <si>
    <t>APARELHOS ELÉTRICOS</t>
  </si>
  <si>
    <t>BEBEDOURO P/ DEFIC. REF. BDF 300 - IBBL</t>
  </si>
  <si>
    <t>INTERRUPTORES, TOMADAS E ESPELHOS</t>
  </si>
  <si>
    <t>TOMADA DE 3 POLOS 20A 250V S/ ESPELHO</t>
  </si>
  <si>
    <t>ESPELHO 4X2", LINHA BRANCA</t>
  </si>
  <si>
    <t>ESPELHO 4X4", LINHA BRANCA</t>
  </si>
  <si>
    <t>LUMINÁRIAS (CALHAS, PROJETORES, CONJUNTOS)</t>
  </si>
  <si>
    <t>RELE FOTOELETRICO MAG. MOD. RM10A / 220V</t>
  </si>
  <si>
    <t>ARANDELA COM DIFUSOR EM VIDRO 25CM</t>
  </si>
  <si>
    <t>PROJ. RETANGULAR PL 400 MA TECNOWATT</t>
  </si>
  <si>
    <t>LÂMPADAS</t>
  </si>
  <si>
    <t>LAMPADA VAPOR DE MERCURIO 400W/220V PHILIPS/SIM.</t>
  </si>
  <si>
    <t>LAMPADA INCANDESCENTE 60W</t>
  </si>
  <si>
    <t>LAMPADA MISTA DE 160 W</t>
  </si>
  <si>
    <t>LAMPADA INCANDESCENTE 100 W</t>
  </si>
  <si>
    <t>LAMPADA FLUORESCENTE TUBULAR 20W</t>
  </si>
  <si>
    <t>LAMPADA FLUORESCENTE TUBULAR 40W</t>
  </si>
  <si>
    <t>LUMINÁRIAS (CONT.)</t>
  </si>
  <si>
    <t>PLAFONIER COM GLOBO PLÁSTICO 9X4"</t>
  </si>
  <si>
    <t>SUPORTE PARA UMA LUMINARIA TIPO PETALA - SL1</t>
  </si>
  <si>
    <t>LUMINARIAS (CONT)</t>
  </si>
  <si>
    <t>LUMINARIAS (CONT )</t>
  </si>
  <si>
    <t>APARELHOS ELETRICOS</t>
  </si>
  <si>
    <t>CAMPAINHA TIMBRE PIAL COD. 41277 OU SIMILAR</t>
  </si>
  <si>
    <t>CAMPAINHA TIPO PRATO PIAL COD. 41418</t>
  </si>
  <si>
    <t>BOMBA CENTR MONOFASICA 110/220V 1/2CV REF: CAM W4C</t>
  </si>
  <si>
    <t>CHUVEIRO ELÉTRICO EM PVC - TIPO DUCHA</t>
  </si>
  <si>
    <t>BOMBA CENTRIFUGA TRIFASICA 2 CV - CAM W14</t>
  </si>
  <si>
    <t>APARELHOS ELETRICOS - CONTINUAÇÃO</t>
  </si>
  <si>
    <t>BOMBA CENTR MONOFASICA 110/220V 1 CV REF: CAM W10</t>
  </si>
  <si>
    <t>BOMBA CENTR MONOFASICA 110/220V 3/4CV REF: CAM W10</t>
  </si>
  <si>
    <t>CHUVEIRO PRESSMATIC ANT VANDALISMO 17125006</t>
  </si>
  <si>
    <t>APARELHOS ELÉTRICOS - CONTINUAÇÃO</t>
  </si>
  <si>
    <t>DISP PROT CONTR SURTOS DPS BIPOLAR 275VCA COR 40KA</t>
  </si>
  <si>
    <t>CAIXA POLIPROPILENO EQUIP 180X150X90MM TEL 902</t>
  </si>
  <si>
    <t>PARA-RAIOS E ACESSORIOS</t>
  </si>
  <si>
    <t>CAIXA INSPECAO DO TERRA,PVC,DIÂM.30CM,TAMPA FERRO</t>
  </si>
  <si>
    <t>CONECTOR DE UMA DESCIDA PARA CABO 35MM2</t>
  </si>
  <si>
    <t>CAPTOR C/ ROSCA ACO INOX Ø 3/4" X 350MM, TEL-036</t>
  </si>
  <si>
    <t>ABRACADEIRA TIPO CHUMBADOR P/ ELETRODUTO 2"</t>
  </si>
  <si>
    <t>CONECTOR DE PRESSAO P/CABO DE COBRE DE 35 MM2</t>
  </si>
  <si>
    <t>SUPORTE ISOLADOR P/APLICACAO EM QUINAS DE 90 GRAUS</t>
  </si>
  <si>
    <t>SUPORTE ISOLADOR C/ROLDANA P/APARAFUSAR C/CHAPA</t>
  </si>
  <si>
    <t>SUPORTE ISOLADOR REFORCADO P/APARAFUSAR C/CHAPA</t>
  </si>
  <si>
    <t>FIXADOR TIPO ÕMEGA LATAO FURO 5.5MM P/ CABO 35MM2</t>
  </si>
  <si>
    <t>ELETROFERRAGENS</t>
  </si>
  <si>
    <t>TERMINAL COMPRESSÃO COBRE ESTANHADO 50MM2 TEL 5150</t>
  </si>
  <si>
    <t>TAMPA DE ENCAIXE P/ ELETROCALHA CH18, 400MM</t>
  </si>
  <si>
    <t>TAMPA DE ENCAIXE P/ ELETROCALHA CH18, 300MM</t>
  </si>
  <si>
    <t>TAMPA DE ENCAIXE P/ ELETROCALHA CH18, 150MM</t>
  </si>
  <si>
    <t>BATERIA SELADA 12V 60AH</t>
  </si>
  <si>
    <t>TAMPA REFORCADA EM FºFº C/ ESCOTILHA - TEL-536</t>
  </si>
  <si>
    <t>ELETROFERRAGENS (BUCHAS.ARRUELAS. BRACADEIRAS)</t>
  </si>
  <si>
    <t>PARAFUSO CAB QUADRADA ACO GALV 1020 16X300MM</t>
  </si>
  <si>
    <t>TERMINAL CABO-BARRA EM LATÃO 2 X # 240 MM2</t>
  </si>
  <si>
    <t>ABRACADEIRA TIPO "U" P/ FIXACAO ELETRODUTO 3/4"</t>
  </si>
  <si>
    <t>CABECOTE DE ENTRADA 1" EM ALUMINIO FUNDIDO</t>
  </si>
  <si>
    <t>CONJ PARAFUSO, PORCA E ARRUELA LATAO 3/16 X 1"</t>
  </si>
  <si>
    <t>CONJ PARAFUSO, PORCA E ARRUELA LATAO 1/4 X 1"</t>
  </si>
  <si>
    <t>CONJ PARAFUSO, PORCA E ARRUELA LATAO 5/16 X 11/4"</t>
  </si>
  <si>
    <t>CONJ PARAFUSO, PORCA E ARRUELA LATAO 3/8 X 11/2"</t>
  </si>
  <si>
    <t>TAMPA DE ENCAIXE P/ ELETROCALHA CH18, 200MM</t>
  </si>
  <si>
    <t>PARA-RAIOS E ACESSORIOS (CONT.)</t>
  </si>
  <si>
    <t>CAPTOR C/ ROSCA LATAO CROM Ø 3/4" X 250MM, TEL-010</t>
  </si>
  <si>
    <t>PARAFUSO M6X45MM, TEL-5346</t>
  </si>
  <si>
    <t>CORDOALHA CHATA FLEX. 100X25MM 2 FUROS TEL 5701</t>
  </si>
  <si>
    <t>ALICATE Z-201</t>
  </si>
  <si>
    <t>CAIXA ACO EQUIP POT 380X320X175MM - TEL-903</t>
  </si>
  <si>
    <t>BARRA CHATA AÇO GALV. FOGO 7/8"X1/8"(3M) TEL-761</t>
  </si>
  <si>
    <t>TERMINAL CABO-BARRA EM LATÃO # 150 MM2</t>
  </si>
  <si>
    <t>VERGALHAO DE ACO C/ ROSCA 1/4" P/ ELETROCALHA</t>
  </si>
  <si>
    <t>DIVERSOS - CONTINUAÇÃO</t>
  </si>
  <si>
    <t>PARAFUSO CAB QUADRADA ACO GALV 1020 16 X 200 MM</t>
  </si>
  <si>
    <t>SAIDA HORIZONTAL P/ ELETRODUTO 3/4"</t>
  </si>
  <si>
    <t>TERMINAL CABO-BARRA EM LATÃO # 240 MM2</t>
  </si>
  <si>
    <t>PORCA QUADRADA DIAM. 16MM</t>
  </si>
  <si>
    <t>TERMINAL CABO-BARRA EM LATÃO # 300 MM2</t>
  </si>
  <si>
    <t>REATOR AFP INT. LÂMPADA VAPOR SÓDIO 400W/220V</t>
  </si>
  <si>
    <t>CENTRAL DE ALARME ENDERECAVEL 4 LACOS ATE 256 ENDERECOS</t>
  </si>
  <si>
    <t>INSUMOS ELETRICA CONTINUACAO</t>
  </si>
  <si>
    <t>TERMINAL CABO-BARRA EM LATÃO # 10 MM2</t>
  </si>
  <si>
    <t>TERMINAL CABO-BARRA EM LATÃO # 25 MM2</t>
  </si>
  <si>
    <t>TERMINAL CABO-BARRA EM LATÃO # 35 MM2</t>
  </si>
  <si>
    <t>SUSPENSAO VERTICAL PARA ELETROCALHA 200X100 MM</t>
  </si>
  <si>
    <t>SUPORTE ANGULAR P/ELETROCALHA DE 30X10CM</t>
  </si>
  <si>
    <t>ELETROFERRAGENS (DIVERSOS)</t>
  </si>
  <si>
    <t>CONECTOR SPLIT BOLT 35MM2 - ACAB. NATURAL TEL 5015</t>
  </si>
  <si>
    <t>SAIDA HORIZONTAL P/ELETRODUTO Ø 1"</t>
  </si>
  <si>
    <t>CURSOR P/FITA WALSIWA ERAFLEX</t>
  </si>
  <si>
    <t>PARAFUSO CAB ABAULADA ACO GALV 1020 16X45MM</t>
  </si>
  <si>
    <t>PARAFUSO CAB ABAULADA ACO GALV 1020 16 X 125MM</t>
  </si>
  <si>
    <t>PORCA QUADRADA PARA PARAFUSO M16</t>
  </si>
  <si>
    <t>FITA ISOLANTE NR 33 - 19MM X 20M</t>
  </si>
  <si>
    <t>BOCAL PORCELANA C/ ROSCA P/ LAMPADA INCANDESCENTE</t>
  </si>
  <si>
    <t>SELA PARA CRUZETA DE MADEIRA</t>
  </si>
  <si>
    <t>CABECOTE DE ALUMINIO FUNDIDO 3"</t>
  </si>
  <si>
    <t>CABECOTE DE ALUMINIO FUNDIDO 3/4"</t>
  </si>
  <si>
    <t>CINTA CIRCULAR ACO GALVANIZADO 300MM</t>
  </si>
  <si>
    <t>CABECOTE DE ALUMINIO FUNDIDO 1 1/2"</t>
  </si>
  <si>
    <t>CABECOTE DE ALUMINIO FUNDIDO 1 1/4"</t>
  </si>
  <si>
    <t>SOQUETE ANTI-VIBRATORIO P/LAMP.FLUOR.PANAM/SIMILAR</t>
  </si>
  <si>
    <t>ARRUELA QUADRADA 36MM DE FURO 18MM</t>
  </si>
  <si>
    <t>OLHAL DE FERRO GALVANIZADO C/ PARAFUSO 16X200MM</t>
  </si>
  <si>
    <t>CABECOTE DE ALUMINIO FUNDIDO 4"</t>
  </si>
  <si>
    <t>NIPLE PVC DUPLO 4"</t>
  </si>
  <si>
    <t>ARMACAO SECUNDARIA 1 ESTRIBO C/HASTE 16X150MM</t>
  </si>
  <si>
    <t>CABECOTE DE ALUMINIO FUNDIDO 6"</t>
  </si>
  <si>
    <t>NIPLE PVC DUPLO 6"</t>
  </si>
  <si>
    <t>ELETROC CH16 PERFURADA 300X100MM S/TAMPA</t>
  </si>
  <si>
    <t>PINO DE CRUZETA 19MM P/ISOLADOR DE DISTRIBUICAO</t>
  </si>
  <si>
    <t>TERMINAL CABO-BARRA EM LATÃO # 6 MM2</t>
  </si>
  <si>
    <t>TERMINAL CABO-BARRA EM LATÃO # 16 MM2</t>
  </si>
  <si>
    <t>TERMINAL CABO-BARRA EM LATÃO # 50 MM2</t>
  </si>
  <si>
    <t>TERMINAL CABO-BARRA EM LATÃO # 70 MM2</t>
  </si>
  <si>
    <t>TERMINAL CABO-BARRA EM LATÃO # 95 MM2</t>
  </si>
  <si>
    <t>TERMINAL CABO-BARRA EM LATÃO # 120 MM2</t>
  </si>
  <si>
    <t>TERMINAL CABO-BARRA EM LATÃO # 185 MM2</t>
  </si>
  <si>
    <t>TERMINAL CABO-BARRA EM LATÃO 2 X # 185 MM2</t>
  </si>
  <si>
    <t>ARRUELA LISA EM LATAO 1/4"</t>
  </si>
  <si>
    <t>ACIONADOR MANUAL DE ALARME ENDERECAVEL TP QUEBRA VIDRO</t>
  </si>
  <si>
    <t>CINTA CIRCULAR ACO GALVANIZADO 200MM</t>
  </si>
  <si>
    <t>DIVERSOS (CONT.)</t>
  </si>
  <si>
    <t>TERMINAL CABO-BARRA EM LATAO 2X # 300MM2</t>
  </si>
  <si>
    <t>INSUMOS DE REDE LOGICA / TELEFONIA/ CFTV/ SOM</t>
  </si>
  <si>
    <t>CABOS E CONEXOES</t>
  </si>
  <si>
    <t>CONECTOR RJ45 MACHO - PARA REDE DE DADOS</t>
  </si>
  <si>
    <t>PRENSA CABOS PARA ELETRODUTO 1/2"</t>
  </si>
  <si>
    <t>PRENSA CABOS PARA ELETRODUTO 1"</t>
  </si>
  <si>
    <t>TOMADA TELEFONE COM CONECTOR RJ11</t>
  </si>
  <si>
    <t>TOMADA COAXIAL 75 OHMS PARA TV C/ ESPELHO 4X2"</t>
  </si>
  <si>
    <t>TERMINAL COMPRESSÃO COBRE ESTANHADO 35MM TEL 5135</t>
  </si>
  <si>
    <t>INSUMOS DE HIDRAULICA</t>
  </si>
  <si>
    <t>TUBOS (CONCRETO)</t>
  </si>
  <si>
    <t>TUBO DE CONCRETO SIMPLES DIAM. 30CM - PS1</t>
  </si>
  <si>
    <t>TUBO DE CONCRETO SIMPLES DIAM. 20CM - PS1</t>
  </si>
  <si>
    <t>TUBOS (CONCRETO-CONT.)</t>
  </si>
  <si>
    <t>BUJAO DE ACO GALVANIZADO 3"</t>
  </si>
  <si>
    <t>BUJAO DE ACO GALVANIZADO 4"</t>
  </si>
  <si>
    <t>TUBOS (AÇO GALVANIZADO E CONEXÕES)</t>
  </si>
  <si>
    <t>LUVA DE REDUCAO ACO GALV 4X2 1/2"</t>
  </si>
  <si>
    <t>TUBOS (FERRO FUNDIDO E CONEXÕES)</t>
  </si>
  <si>
    <t>TUBO DE FERRO FUNDIDO DE 150MM</t>
  </si>
  <si>
    <t>TUBOS (PVC RÍGIDO E CONEXÕES)</t>
  </si>
  <si>
    <t>ADAPTADOR PVC SOLD.FLANGES LIVRES P/CX.AGUA 20MM</t>
  </si>
  <si>
    <t>ADAPTADOR PVC SOLD.FLANGES LIVRES P/CX.AGUA 25MM</t>
  </si>
  <si>
    <t>ADAPTADOR PVC SOLD.FLANGES LIVRES P/CX.AGUA 32MM</t>
  </si>
  <si>
    <t>ADAPTADOR PVC SOLD.FLANGES LIVRES P/CX.AGUA 40MM</t>
  </si>
  <si>
    <t>ADAPTADOR PVC SOLD.FLANGES LIVRES P/CX.AGUA 50MM</t>
  </si>
  <si>
    <t>ADAPTADOR PVC SOLDAVEL PARA REGISTRO 25MM X 3/4"</t>
  </si>
  <si>
    <t>ADAPTADOR PVC SOLDAVEL PARA REGISTRO 32MM X 1"</t>
  </si>
  <si>
    <t>ADAPTADOR PVC SOLDAVEL PARA REGISTRO 50MM X 1 1/2"</t>
  </si>
  <si>
    <t>BUCHA DE REDUCAO PVC SOLDAVEL LONGA 32X25MM</t>
  </si>
  <si>
    <t>BUCHA DE REDUCAO PVC SOLDAVEL LONGA 50X32MM</t>
  </si>
  <si>
    <t>JOELHO DE REDUCAO 90 PVC SOLDAVEL DE 32X25MM</t>
  </si>
  <si>
    <t>TUBOS (PVC RÍGIDO E CONEXÕES) - CONT.</t>
  </si>
  <si>
    <t>JOELHO 90 PVC SOLD/ROSCA REDUCAO 25X3/4"</t>
  </si>
  <si>
    <t>JOELHO DE REDUCAO 90 PVC SOLD/ROSCA DE 25X1/2"</t>
  </si>
  <si>
    <t>LUVA PVC SOLDAVEL/ROSCA DE 25X3/4"</t>
  </si>
  <si>
    <t>TUBOS (PVC RIGIDO TP ESGOTO)</t>
  </si>
  <si>
    <t>TUBO PVC CORRUGADO PERFURADO 100MM RIGIDO</t>
  </si>
  <si>
    <t>CURVA 90° CURTA PVC ESGOTO 40MM</t>
  </si>
  <si>
    <t>CURVA 90° CURTA PVC ESGOTO 100MM</t>
  </si>
  <si>
    <t>CURVA 90° LONGA PVC ESGOTO 100 MM</t>
  </si>
  <si>
    <t>JOELHO 90 C/VISITA PVC ESG 100X50MM</t>
  </si>
  <si>
    <t>PLUG PVC ESGOTO DE 100MM</t>
  </si>
  <si>
    <t>TE PVC REDUCAO ESGOTO DE 150X100MM</t>
  </si>
  <si>
    <t>TUBOS (PVC RIGIDO SOLDAVEL E ESGOTO COM CONEXOES)</t>
  </si>
  <si>
    <t>JOELHO 90 DE PVC SOLDAVEL DE 25MM</t>
  </si>
  <si>
    <t>JOELHO 90 DE PVC SOLDAVEL DE 32MM</t>
  </si>
  <si>
    <t>JOELHO 90 DE PVC SOLDAVEL DE 50MM</t>
  </si>
  <si>
    <t>TE DE PVC SOLDAVEL DE 25MM</t>
  </si>
  <si>
    <t>TE DE PVC SOLDAVEL DE 32MM</t>
  </si>
  <si>
    <t>JOELHO 45 DE PVC P/ ESGOTO DE 40MM</t>
  </si>
  <si>
    <t>JOELHO 90 DE PVC P/ ESGOTO DE 40MM</t>
  </si>
  <si>
    <t>JOELHO 90 DE PVC P/ ESGOTO DE 75MM</t>
  </si>
  <si>
    <t>JOELHO 90 DE PVC P/ ESGOTO DE 100MM</t>
  </si>
  <si>
    <t>TE 90° PVC RIGIDO P/ ESGOTO DE 40MM (1 1/2")</t>
  </si>
  <si>
    <t>TE 90° PVC RIGIDO P/ ESGOTO DE 100MM (4")</t>
  </si>
  <si>
    <t>TUBO DE PVC DE 1 1/2" P/ DESCARGA</t>
  </si>
  <si>
    <t>LUVA DE PVC SOLDAVEL DE 25MM</t>
  </si>
  <si>
    <t>JOELHO 45 DE PVC P/ ESGOTO DE 150MM</t>
  </si>
  <si>
    <t>TE DE PVC SOLDAVEL DE 32X25MM</t>
  </si>
  <si>
    <t>JOELHO 45 DE PVC SOLDAVEL DE 25MM</t>
  </si>
  <si>
    <t>TUBOS (PVC RIGIDO E CONEXOES - CONT.)</t>
  </si>
  <si>
    <t>ANEL DE BORRACHA P/TUBO PVC 150MM (6")</t>
  </si>
  <si>
    <t>TUBOS (PVC RIGIDO E CONEXOES-ROSCAVEL)</t>
  </si>
  <si>
    <t>TUBO PVC RIGIDO ROSCAVEL DE 3/4"</t>
  </si>
  <si>
    <t>TUBO PVC RIGIDO ROSCAVEL DE 1"</t>
  </si>
  <si>
    <t>LUVA PVC ROSCAVEL DE 3/4"</t>
  </si>
  <si>
    <t>LUVA PVC ROSCAVEL DE 1"</t>
  </si>
  <si>
    <t>JOELHO 90 PVC ROSCAVEL C/ BUCHA DE LATAO 3/4"</t>
  </si>
  <si>
    <t>TUBOS (PVC E CONEXOES - CONT.)</t>
  </si>
  <si>
    <t>BACIA SANITÁRIA CONVENCIONAL RAVENA P9, DECA</t>
  </si>
  <si>
    <t>REGISTROS</t>
  </si>
  <si>
    <t>REGISTRO DE PRESSAO CROMADO 1/2"</t>
  </si>
  <si>
    <t>REGISTRO DE PRESSAO CROMADO 3/4"</t>
  </si>
  <si>
    <t>REGISTRO DE PRESSAO BRUTO 3/4"</t>
  </si>
  <si>
    <t>REGISTRO DE ESFERA C/ BORBOLETA 3/4" BR 33 TIGRE</t>
  </si>
  <si>
    <t>REGISTRO PRESSAO BRUTO 1/2"</t>
  </si>
  <si>
    <t>VÁLVULAS</t>
  </si>
  <si>
    <t>VALVULA DE SAIDA PARA LAVATORIO CROMADA 1"</t>
  </si>
  <si>
    <t>VALVULA DE SAIDA P/MICTORIO CROMADA (11/2")</t>
  </si>
  <si>
    <t>VALVULA DE PVC 2" C/ UNHO</t>
  </si>
  <si>
    <t>VALVULA DE PVC 1" C/ UNHO</t>
  </si>
  <si>
    <t>VALVULA DE DESCARGA 1 1/2" C/ ACABAMENTO CROMADO</t>
  </si>
  <si>
    <t>VALVULA DE DESCARGA COM REGISTRO 1 1/2" S/ ACABAM.</t>
  </si>
  <si>
    <t>VALVULA RETENCAO HORIZONTAL BRONZE - 80MM (3")</t>
  </si>
  <si>
    <t>VALVULA RETENCAO VERTICAL BRONZE - 32MM (1 1/4")</t>
  </si>
  <si>
    <t>VALVULA RETENCAO VERTICAL BRONZE - 20 MM 3/4"</t>
  </si>
  <si>
    <t>VALVULA RETENCAO VERTICAL BRONZE - 15MM (1/2")</t>
  </si>
  <si>
    <t>VALVULA RETENCAO VERTICAL BRONZE - 40MM (11/2")</t>
  </si>
  <si>
    <t>VALVULA RETENCAO VERTICAL BRONZE - 50MM (2")</t>
  </si>
  <si>
    <t>VALVULA RETENCAO VERTICAL BRONZE - 65MM (21/2")</t>
  </si>
  <si>
    <t>VALVULA RETENCAO VERTICAL BRONZE - 80MM (3")</t>
  </si>
  <si>
    <t>VALVULA DE RETENCAO VERTICAL BRONZE - 25MM (1")</t>
  </si>
  <si>
    <t>VALVULA EM PVC P/ LAVAT PADRAO POPULAR 1" C/ UNHO</t>
  </si>
  <si>
    <t>VALVULA DE DESCARGA COM CANOPLA CROMADA 11/4"</t>
  </si>
  <si>
    <t>VÁLVULAS (CONTINUAÇÃO)</t>
  </si>
  <si>
    <t>VÁLVULA ESFERA NPT CLASSE 300 Ø 3/4"</t>
  </si>
  <si>
    <t>SIFÕES / ENGATES</t>
  </si>
  <si>
    <t>SIFAO METALICO TIPO COPO 1X1 1/2"</t>
  </si>
  <si>
    <t>SIFAO CROMADO 2"</t>
  </si>
  <si>
    <t>SIFAO DE PVC RIGIDO TIPO COPO 1" X 1 1/2"</t>
  </si>
  <si>
    <t>SIFAO DE PVC DIAMETRO 2"</t>
  </si>
  <si>
    <t>SIFAO PVC PADRAO POPULAR P/ LAVATÓRIO 1"X1 1/2"</t>
  </si>
  <si>
    <t>ENGATE FLEXIVEL METAL CROMADO ESTEVES</t>
  </si>
  <si>
    <t>ANEL DE CERA PARA BACIA SANITARIA</t>
  </si>
  <si>
    <t>CAIXAS DE DESCARGA E RESERVATORIOS</t>
  </si>
  <si>
    <t>RESERVATORIO DE POLIETILENO 1.000 L C/ TAMPA</t>
  </si>
  <si>
    <t>RESERVATORIO DE POLIETILENO 5.000 L C/ TAMPA</t>
  </si>
  <si>
    <t>RESERVATORIO DE POLIETILENO 1.500 L C/ TAMPA</t>
  </si>
  <si>
    <t>RESERVATORIO DE POLIETILENO 500 L C/ TAMPA</t>
  </si>
  <si>
    <t>RESERVATORIO DE POLIETILENO 310 L C/ TAMPA</t>
  </si>
  <si>
    <t>RESERVATORIO DE POLIETILENO 3.000 L C/ TAMPA</t>
  </si>
  <si>
    <t>RESERVATORIO DE POLIETILENO 2.000 L C/ TAMPA</t>
  </si>
  <si>
    <t>RESERVATORIO DE POLIETILENO 15.000 L C/ TAMPA</t>
  </si>
  <si>
    <t>APARELHOS SANITÁRIOS E SIMILARES</t>
  </si>
  <si>
    <t>BACIA SIF. LOUCA DECA LINHA RAVENA REF. P.909</t>
  </si>
  <si>
    <t>BACIA SIFONADA DE LOUCA BRANCA</t>
  </si>
  <si>
    <t>CABIDE DE LOUCA BRANCA COM 2 GANCHOS</t>
  </si>
  <si>
    <t>LAVATORIO DE LOUCA BRANCA COM COLUNA</t>
  </si>
  <si>
    <t>LAVATORIO DE LOUCA BRANCA SEM COLUNA</t>
  </si>
  <si>
    <t>MICTORIO COLETIVO ACO INOX, AISI 304 N.18 - L=30CM</t>
  </si>
  <si>
    <t>MICTORIO DE LOUCA BRANCA</t>
  </si>
  <si>
    <t>PIA DE ACO INOXIDAVEL COM CUBA SIMPLES 1.50X0.58M</t>
  </si>
  <si>
    <t>PAPELEIRA DE LOUCA BRANCA 15X15CM</t>
  </si>
  <si>
    <t>SABONETEIRA DE LOUCA BRANCA 7.5X15CM</t>
  </si>
  <si>
    <t>SABONETEIRA DE LOUCA BRANCA SEM ALCA 15X15CM</t>
  </si>
  <si>
    <t>TANQUE SIMPLES 85 LTS ACO INOX, AISI 304 - TS Nº 2</t>
  </si>
  <si>
    <t>TANQUE SIMPLES 45 LTS ACO INOX, AISI 304 - TS Nº 1</t>
  </si>
  <si>
    <t>CABIDE DE LOUCA BRANCA COM 1 GANCHO</t>
  </si>
  <si>
    <t>CHUVEIRO DE PVC C/ BRACO</t>
  </si>
  <si>
    <t>BACIA SIFONADA INFANTIL DE LOUCA BRANCA</t>
  </si>
  <si>
    <t>ESCOVARIO AÇO INOX, AISI 304 Nº 18 - (17X43X23CM)</t>
  </si>
  <si>
    <t>LAVATORIO EM ACO INOX, LIGA AISI 304 N.1</t>
  </si>
  <si>
    <t>MICTORIO ACO INOX LIGA AISI 304 N.18 C/VALVULA</t>
  </si>
  <si>
    <t>TANQUE DUPLO 90 LTS ACO INOX AISI 304 TD Nº 1</t>
  </si>
  <si>
    <t>BEBEDOURO EM ACO INOX, AISI 304 CH18 DIM. 45X275CM</t>
  </si>
  <si>
    <t>CUBA EM ACO INOX P/ PANELOES, AISI 304 CH 22</t>
  </si>
  <si>
    <t>PIA EM ACO INOX C/ 2 CUBAS NO. 1 0.60 X 2.50 M</t>
  </si>
  <si>
    <t>BEBEDOURO ACO INOX COLETIVO N.18 - L= 0.45 M</t>
  </si>
  <si>
    <t>TANQUE DUPLO EM MARMORITE - DIM. 100X60 CM</t>
  </si>
  <si>
    <t>PIA EM MARMORITE P/COZINHA DIM. 1.20 X 0.60 M</t>
  </si>
  <si>
    <t>CABIDE 1 GANCHO REF.08 ACAB. CROMADO</t>
  </si>
  <si>
    <t>CANOPLA PARA VALVULA DE DESCARGA</t>
  </si>
  <si>
    <t>CUBA LOUCA BRANCA OVAL DE EMBUTIR REF. L37</t>
  </si>
  <si>
    <t>BACIA DE LOUÇA BRANCA LINHA APIA</t>
  </si>
  <si>
    <t>LAV. LOUÇA BRANCA S/ COLUNA LINHA COLIBRI</t>
  </si>
  <si>
    <t>TANQUE MARMORITE COM 1 BOJO DIM. 60X50CM</t>
  </si>
  <si>
    <t>PIA ACO INOXI 01 CUBA N. 1 DIM. 0.60 X 1.80M</t>
  </si>
  <si>
    <t>PIA ACO INOXI 02 CUBAS N. 2 DIM. 0.60 X 2.10M</t>
  </si>
  <si>
    <t>LAVATORIO BRANCO COM COLUNA BRANCO PADRAO POPULAR</t>
  </si>
  <si>
    <t>LAVATORIO DE CANTO BRANCO REF. L101</t>
  </si>
  <si>
    <t>CUBA AÇO INOX RETANG. SIMPLES REF.301 MARCA STRAKE</t>
  </si>
  <si>
    <t>LAVATORIO DE CANTO BRANCO COLECAO MASTER - L76</t>
  </si>
  <si>
    <t>BACIA SIF. LOUCA BRANCA VOGUE PLUS CONFORT - P51</t>
  </si>
  <si>
    <t>METAIS SANITÁRIOS</t>
  </si>
  <si>
    <t>TORNEIRA PARA TANQUE</t>
  </si>
  <si>
    <t>TORNEIRA DE PRESSAO CROMADA P/LAVATORIO 1/2"</t>
  </si>
  <si>
    <t>TUBO DE LIGACAO CROMADO COM CANOPLA</t>
  </si>
  <si>
    <t>TORNEIRA DE JARDIM CROMADA 3/4" OU 1/2"</t>
  </si>
  <si>
    <t>TORNEIRA DE PRESSAO EM PVC P/ PIA 1/2"</t>
  </si>
  <si>
    <t>DUCHA MANUAL ACQUA JET C/ REG.PRESSÃO REF. C 2195</t>
  </si>
  <si>
    <t>TORNEIRA PARA PIA CROMADA 1/2" FABRIMAR OU SIMILAR</t>
  </si>
  <si>
    <t>TORNEIRA EM PVC PARA LAVATORIO</t>
  </si>
  <si>
    <t>TORNEIRA DE PRESSAO CROMADA PARA TANQUE DE 1/2"</t>
  </si>
  <si>
    <t>TORNEIRA PRESSÃO CROMADA USO GERAL 3/4"</t>
  </si>
  <si>
    <t>VALVULA DESC ANTI-VANDALISMO P/ MICTORIO DOCOL/EQU</t>
  </si>
  <si>
    <t>LAVATÓRIO COM COLUNA BRANCA CONFORT L51+CS1V</t>
  </si>
  <si>
    <t>TUBO LIGACAO MICTORIO ANTIVAND 00132606 DOCOL/EQU</t>
  </si>
  <si>
    <t>APARELHOS E EQUIPAMENTOS</t>
  </si>
  <si>
    <t>CHUVEIRO CROMADO COM DESVIADOR FLEXIVEL 1975C</t>
  </si>
  <si>
    <t>MICTORIO LOUCA BRANCA C/ SIFÃO INTEGRADO M712</t>
  </si>
  <si>
    <t>EQUIPAMENTOS DE PROTEÇÃO CONTRA INCÊNDIO</t>
  </si>
  <si>
    <t>EXTINTOR GAS CARBONICO CO2 5 BC -6 KG</t>
  </si>
  <si>
    <t>CAIXA DE ACO 40X60X40CM P/HIDRANTE DE RECALQUE</t>
  </si>
  <si>
    <t>ADAPTADOR LATAO ROSCA P/ ENGATE RAPIDO 63X63MM</t>
  </si>
  <si>
    <t>SUPORTE PARA EXTINTOR</t>
  </si>
  <si>
    <t>EXTINTOR AP 2A (10 LITROS)</t>
  </si>
  <si>
    <t>EXTINTOR PORTATIL PO QUIMICO SECO ABC- 4KG</t>
  </si>
  <si>
    <t>EXTINTOR PORTATIL PO QUIMICO SECO ABC- 6KG</t>
  </si>
  <si>
    <t>REGISTRO GLOBO ANGULAR 45º DE 63MM</t>
  </si>
  <si>
    <t>MANGUEIRA DE 63MM X 20 M C/ ENGATE STORZ</t>
  </si>
  <si>
    <t>REGISTRO GLOBO ANGULAR 90 DE 63MM</t>
  </si>
  <si>
    <t>TAMPAO COM CORRENTE PARA REGISTRO GLOBO ANGULAR</t>
  </si>
  <si>
    <t>CHAVE P/ CONEXOES TIPO STORZ DN 1 1/2X 2 1/2"</t>
  </si>
  <si>
    <t>MANGUEIRA DE INCENDIO 63MM X 15 M C/ ENGATE STORZ</t>
  </si>
  <si>
    <t>SINALIZ DE EMERGENCIA (SAIDA) ACRILICA AUTONOMA</t>
  </si>
  <si>
    <t>ESGUICHO EM LATAO REGULAVEL 2.1/2"</t>
  </si>
  <si>
    <t>RALOS, CAIXAS E GRELHAS</t>
  </si>
  <si>
    <t>RALO SIFONADO EM PVC 100X40MM COM GRELHA EM PVC</t>
  </si>
  <si>
    <t>RALO SECO PVC 10 CM, COM GRELHA EM PVC</t>
  </si>
  <si>
    <t>CAIXA SIFONADA PVC 150X150X50MM,COM GRELHA EM PVC</t>
  </si>
  <si>
    <t>TAMPA P/ CAIXA SIFONADA EM PVC 15X15CM</t>
  </si>
  <si>
    <t>RALO SIFONADO 10X10CM C/ GRELHA QUADRADA PVC</t>
  </si>
  <si>
    <t>RALO SIFONADO EM PVC 100X40MM, C/ GRELHA CROMADA</t>
  </si>
  <si>
    <t>RALO SECO PVC 10CM, C/ GRELHA CROMADA</t>
  </si>
  <si>
    <t>RALO SIFONADO 100X40MM C/GRELHA PVC,AKROS MAR.REF.</t>
  </si>
  <si>
    <t>RALOS, CAIXAS E GRELHAS (CONT)</t>
  </si>
  <si>
    <t>TAMPA PVC PARA RALO 100X100MM</t>
  </si>
  <si>
    <t>CAPTAÇÃO ÁGUAS PLUVIAIS</t>
  </si>
  <si>
    <t>CHAPA GALVANIZADA Nº 26 DESENV 30 CM</t>
  </si>
  <si>
    <t>SUPORTE PARA CALHA</t>
  </si>
  <si>
    <t>CALHA EM CHAPA DE ACO GALVANIZADO N. 20 40X25X25CM</t>
  </si>
  <si>
    <t>CAPTACAO AGUAS PLUVIAIS (CONTINUACAO)</t>
  </si>
  <si>
    <t>TAMPA FERRO FUNDIDO ARTICULADA (60X40) CM</t>
  </si>
  <si>
    <t>FITA PERFURADA WALSYWA 19MM X 30M</t>
  </si>
  <si>
    <t>CAIXA TERMOPLASTICA P/ HIDROMETRO DN 3/4" P/PAREDE</t>
  </si>
  <si>
    <t>FILTRO ANAER.ANEL CONCR.DIAM 1M,H=2.0M,C/ VISITA</t>
  </si>
  <si>
    <t>LAVATORIO C/ COLUNA RAVENA DECA L91/C9 BRANCO</t>
  </si>
  <si>
    <t>BOLSA DE BORRACHA Ø 1.1/2" P/ BACIA SANIT.</t>
  </si>
  <si>
    <t>ENGATES DE PVC</t>
  </si>
  <si>
    <t>ENGATES CROMADOS</t>
  </si>
  <si>
    <t>ASSENTO DE PLASTICO PARA VASO SANITARIO</t>
  </si>
  <si>
    <t>FITA DE VEDACAO 18MM X 50M</t>
  </si>
  <si>
    <t>ADESIVO PARA TUBO DE PVC RIGIDO</t>
  </si>
  <si>
    <t>SOLUCAO LIMPADORA PARA PVC RIGIDO</t>
  </si>
  <si>
    <t>TORNEIRA DE BOIA EM LATAO(BOIA PLAST)DN 20MM (3/4)</t>
  </si>
  <si>
    <t>FILTRO ANAEROBIO ANEIS CONCR. DIAM.1.20M, H=2.00M</t>
  </si>
  <si>
    <t>FOSSA ANEIS PRE-MOLDADOS DIAM. 2M,H=2M,TAMPA 60CM</t>
  </si>
  <si>
    <t>FILTRO ANAER. ANEIS CONCR.DIAM. 2M,H=2M,TAMPA 60CM</t>
  </si>
  <si>
    <t>CAVALETE PARA PADRAO DE ENTRADA D=3/4"</t>
  </si>
  <si>
    <t>ENGATE N.3 EM PVC CIPLA OU SIMILAR</t>
  </si>
  <si>
    <t>ENGATE DE PVC 1/2"X40MM, LUCONI MARCA DE REF.</t>
  </si>
  <si>
    <t>FOSSA ANÉIS CONCR. D=1.20M, H=2.0M C/VISITA 60 CM</t>
  </si>
  <si>
    <t>AUTOMATICO DE BOIA 2 FUNCOES 25A</t>
  </si>
  <si>
    <t>TAMPA PLASTICA PARA BACIA SIFONADA INFANTIL</t>
  </si>
  <si>
    <t>TAMPA PRE-MOLDADA DIAMETRO 1.5M</t>
  </si>
  <si>
    <t>TUBOS E CONEXÕES FºFº TK P/ INST. BOMBAS (EE)</t>
  </si>
  <si>
    <t>REPARO DE VÁLVULA DE DESCARGA</t>
  </si>
  <si>
    <t>CORRIMAO EM TUBO FG,DIAM 3",COM CHUMB.A CADA 1.5 M</t>
  </si>
  <si>
    <t>ALCAPAO DE MADEIRA DE LEI 60X60CM</t>
  </si>
  <si>
    <t>MOLDE P/ SOLDA EXOTERMICA TIPO HCL 5/8" 50-5</t>
  </si>
  <si>
    <t>PÇ</t>
  </si>
  <si>
    <t>ADESIVO 60X60CM COM IMPRESSAO DIGITAL "LOGO IOPES"</t>
  </si>
  <si>
    <t>FITA PERF NIQUELADA P/ EQUALIZ ROLO 3M 20X0.8MM 7F</t>
  </si>
  <si>
    <t>PO EXOTERMICO IGNICAO C/ PALITO CARTUCHO 115</t>
  </si>
  <si>
    <t>PLACA P/ INAUGURACAO OBRA EM ALUM POLIDO 40X50CM</t>
  </si>
  <si>
    <t>SUPORTE "Y" WALSYWA P/ FIXACAO DE ELETRODUTOS TETO</t>
  </si>
  <si>
    <t>DETECTOR OPTICO ENDERECAVEL 24V</t>
  </si>
  <si>
    <t>DIVERSOS CONTINUACAO</t>
  </si>
  <si>
    <t>TIJOLO ESMERIL 76,2X76,2X50,8 MM</t>
  </si>
  <si>
    <t>SIRENE ELETRONICA MEDIA TP CORNETA</t>
  </si>
  <si>
    <t>INSUMOS DE ELETRICA (CONT.)</t>
  </si>
  <si>
    <t>PARA RAIOS E ACESSORIOS (CONT)</t>
  </si>
  <si>
    <t>MASTRO SIMPLES FG DE 1 1/2"X3M</t>
  </si>
  <si>
    <t>INSUMOS ACABAMENTOS - CIVIL</t>
  </si>
  <si>
    <t>REVESTIMENTOS CERAMICOS (PAREDES)</t>
  </si>
  <si>
    <t>ESQUADRIAS METALICAS</t>
  </si>
  <si>
    <t>PORTA CORTA FOGO COM BARRA ANTIPANICO 1.00 X 2.10</t>
  </si>
  <si>
    <t>ROD. FEDERAL - CONSTRUCAO</t>
  </si>
  <si>
    <t>CONTINUACAO - CONSTRUCAO DE ESTRADAS</t>
  </si>
  <si>
    <t>OFICINA</t>
  </si>
  <si>
    <t>COMBUSTIVEL</t>
  </si>
  <si>
    <t>GASOLINA COMUM</t>
  </si>
  <si>
    <t>CINTO DE SEGURANCA</t>
  </si>
  <si>
    <t>UNIFORME DE BRIM (CALCA / CAMISA)</t>
  </si>
  <si>
    <t>CAPA DE CHUVA</t>
  </si>
  <si>
    <t>VESTE DE SEGURANCA (COLETE REFLETIVO)</t>
  </si>
  <si>
    <t>BOTA DE SEGURANÇA</t>
  </si>
  <si>
    <t>OCULOS DE PROTECAO</t>
  </si>
  <si>
    <t>LUVA DE RASPA</t>
  </si>
  <si>
    <t>MASCARA DE AR</t>
  </si>
  <si>
    <t>FERRAMENTAS</t>
  </si>
  <si>
    <t>FERRAMENTAS MANUAIS E ACESSORIOS</t>
  </si>
  <si>
    <t>PICARETA COM CABO</t>
  </si>
  <si>
    <t>PA DE PEDREIRO C/ CABO</t>
  </si>
  <si>
    <t>ENXADA COM CABO</t>
  </si>
  <si>
    <t>SERROTE DE 26"</t>
  </si>
  <si>
    <t>MARTELO 27CM COM CABO</t>
  </si>
  <si>
    <t>NIVEL DE PEDREIRO 12"</t>
  </si>
  <si>
    <t>ALICATE UNIVERSAL 8"</t>
  </si>
  <si>
    <t>MARRETA 5KG C/ CABO</t>
  </si>
  <si>
    <t>CHAVE AJUSTAVEL INGLESA "GRIFO" 10"</t>
  </si>
  <si>
    <t>JOGO DE CHAVE DE FENDA</t>
  </si>
  <si>
    <t>CAVADEIRA DE BRAÇO</t>
  </si>
  <si>
    <t>SERRA TICO TICO</t>
  </si>
  <si>
    <t>SERRA DE DISCO (CIRCULAR)</t>
  </si>
  <si>
    <t>CARRINHO DE MAO</t>
  </si>
  <si>
    <t>INSUMOS MÃO DE OBRA - MENSALISTA</t>
  </si>
  <si>
    <t>MÃO DE OBRA (SALÁRIOS-MENSAL)</t>
  </si>
  <si>
    <t>ESTAGIÁRIO 4 HORAS-UFES (INCL.L SOCIAIS DE 5%)</t>
  </si>
  <si>
    <t>MS</t>
  </si>
  <si>
    <t>INSUMOS IOPES</t>
  </si>
  <si>
    <t>INSUMOS DIVERSOS SEDU</t>
  </si>
  <si>
    <t>PORTA MAD. MEXICANA C/VISOR P/ VERNIZ 0.80X2.10M</t>
  </si>
  <si>
    <t>PORTA MAD. MEXICANA 2F C/VISOR VERNIZ 1.60X2.10M</t>
  </si>
  <si>
    <t>PORTA MAD. MEXICANA C/VISOR P/ VERNIZ 0.60X2.10</t>
  </si>
  <si>
    <t>PORTA MAD. MEXICANA C/VISOR P/ VERNIZ 0.70X2.10</t>
  </si>
  <si>
    <t>PORTA MAD. MEXICANA C/VISOR P/ VERNIZ 0.90X2.10</t>
  </si>
  <si>
    <t>INSUMOS SINAPI</t>
  </si>
  <si>
    <t>INSUMOS PRECO SINAPI</t>
  </si>
  <si>
    <t>Categoria: Equipamento</t>
  </si>
  <si>
    <t>Preço Improd.</t>
  </si>
  <si>
    <t>INSUMOS - EQUIPAMENTOS (EQUIPAMENTOS NOVOS)</t>
  </si>
  <si>
    <t>EQUIPAMENTOS - CUSTO HORARIO</t>
  </si>
  <si>
    <t>RETROESCAVADEIRA MASSEY FERGUSON MF-86HF (E011)</t>
  </si>
  <si>
    <t>BETONEIRA 320 L (E301)</t>
  </si>
  <si>
    <t>VIBRADOR DE IMERSAO ELETRICO 2HP (E306)</t>
  </si>
  <si>
    <t>CAMINHAO CARR MBENZ L1620/51 C/GUIND. 6T X M(E434)</t>
  </si>
  <si>
    <t>CAMINHAO TANQUE MB L1620/51 6.000 L (1.0) E406</t>
  </si>
  <si>
    <t>EQUIPAMENTOS (CUSTO HORARIO - CONT)</t>
  </si>
  <si>
    <t>TEODOLITO C/ PRECISAO +/- 6 SEGUNDOS (SINAPI 7247)</t>
  </si>
  <si>
    <t>NIVEL OTICO C/ PRECISAO +/- 0,7MM (SINAPI 7252)</t>
  </si>
  <si>
    <t>KOMBI STANDER A GASOLINA (PREÇO DE AQUISICAO)</t>
  </si>
  <si>
    <t>EQUIPAMENTOS - CUSTO HORARIO (CONT)</t>
  </si>
  <si>
    <t>GOL 1.0 TOTAL FLEX 4 PORTAS BASICO GASOLINA (PRECO AQUIS)</t>
  </si>
  <si>
    <t>EQUIPAMENTOS ROD. FEDERAL CONSERVACAO</t>
  </si>
  <si>
    <t>CARREG. DE PNEUS CASE W-20 1,33M3 (1.0) (E016)</t>
  </si>
  <si>
    <t>CAMINHAO BASC M BENZ LK1620 6 M3 (10,5T) - (E403)</t>
  </si>
  <si>
    <t>COMPACTADOR MANUAL MOTOR DIESEL POT.5HP (E906)</t>
  </si>
  <si>
    <t>DEMOLIÇÕES E RETIRADAS</t>
  </si>
  <si>
    <t>Demolição de piso cimentado inclusive lastro de concreto</t>
  </si>
  <si>
    <t>Demolição de piso revestido com cerâmica</t>
  </si>
  <si>
    <t>Demolição de piso revestido com cerâmica inclusive lastro de concreto</t>
  </si>
  <si>
    <t>Demolição de piso revestido com tacos de madeira</t>
  </si>
  <si>
    <t>Demolição de piso de tábuas</t>
  </si>
  <si>
    <t>Demolição de revestimento com azulejos</t>
  </si>
  <si>
    <t>Demolição de revestimento com lambris de madeira</t>
  </si>
  <si>
    <t>Retirada de revestimento antigo em reboco</t>
  </si>
  <si>
    <t>Demolição de alvenaria</t>
  </si>
  <si>
    <t>m3</t>
  </si>
  <si>
    <t>Demolição manual de concreto simples (EMOP 05.001.001)</t>
  </si>
  <si>
    <t>Retirada manual de pavimento em paralelepípedos, incluindo empilhamento para reaproveitamento</t>
  </si>
  <si>
    <t>Retirada manual de blocos pré-moldados de concreto (Blokret), inclusive empilhamento para reaproveitamento</t>
  </si>
  <si>
    <t>Retirada de portas e janelas de madeira, inclusive batentes</t>
  </si>
  <si>
    <t>Retirada de esquadrias metálicas</t>
  </si>
  <si>
    <t>Retirada de meio-fio de concreto</t>
  </si>
  <si>
    <t>Remoção de pintura antiga a óleo ou esmalte</t>
  </si>
  <si>
    <t>Demolição manual de concreto armado (EMOP 05.001.033)</t>
  </si>
  <si>
    <t>Demolição de piso cimentado, exclusive lastro de concreto</t>
  </si>
  <si>
    <t>Retirada de bandeira de porta</t>
  </si>
  <si>
    <t>Demolição de elementos vazados cerâmicos ou de concreto</t>
  </si>
  <si>
    <t>Retirada de aparelhos sanitários</t>
  </si>
  <si>
    <t>Retirada de grades, gradis, alambrados, cercas e portões</t>
  </si>
  <si>
    <t>Retirada de bancada de pia</t>
  </si>
  <si>
    <t>Retirada de tanque de cimento</t>
  </si>
  <si>
    <t>Demolição de forro de madeira, sem reaproveitamento</t>
  </si>
  <si>
    <t>Retirada de poste de aço de 4 a 6 m</t>
  </si>
  <si>
    <t>Retirada de pintura antiga a base de PVA</t>
  </si>
  <si>
    <t>Demolição de laje pré-moldada de concreto</t>
  </si>
  <si>
    <t>Apicoamento de superfície com revestimento em argamassa</t>
  </si>
  <si>
    <t>Retirada de divisórias com reaproveitamento</t>
  </si>
  <si>
    <t>Retirada de pontos elétricos (luminárias, interruptores e tomadas)</t>
  </si>
  <si>
    <t>Retirada de vidros quebrados</t>
  </si>
  <si>
    <t>Retirada de rodapé em argamassa de cimento e areia</t>
  </si>
  <si>
    <t>Lixamento de parede com pintura antiga PVA para recebimento de nova camada de tinta</t>
  </si>
  <si>
    <t>Remoção de engradamento de madeira de cobertura para reaproveitamento</t>
  </si>
  <si>
    <t>Remoção de telhas cerâmica, tipo francesa, inclusive cumeeira</t>
  </si>
  <si>
    <t>Remoção de telhas cerâmicas, tipo colonial, inclusive cumeeiras</t>
  </si>
  <si>
    <t>Remoção de telha ondulada de fibrocimento, inclusive cumeeira</t>
  </si>
  <si>
    <t>Retirada de rodapé de madeira ou cerâmica</t>
  </si>
  <si>
    <t>Demolição de piso granilite</t>
  </si>
  <si>
    <t>Retirada de caixas/quadros elétricos</t>
  </si>
  <si>
    <t>Retirada de quadro de giz (1.29 x 3.95m)</t>
  </si>
  <si>
    <t>Remoção de cobertura em telha metálica, exclusive estrutura</t>
  </si>
  <si>
    <t>Demolição de divisória de granito</t>
  </si>
  <si>
    <t>Retirada de alizar de madeira</t>
  </si>
  <si>
    <t>Retirada de cobertura em telhas Canalete 49</t>
  </si>
  <si>
    <t>Demolição de alvenaria, com reaproveitamento</t>
  </si>
  <si>
    <t>Remoção de forro em eucatex, sem aproveitamento do material</t>
  </si>
  <si>
    <t>Remoção de pintura antiga a base de óleo ou esmalte sobre esquadrias</t>
  </si>
  <si>
    <t>Remoção de revestimento de pisos com forração textil</t>
  </si>
  <si>
    <t>Retirada de torneiras e registros</t>
  </si>
  <si>
    <t>Retirada de cobertura em telha canalete 90</t>
  </si>
  <si>
    <t>Demolição de estrutura de madeira para telhado</t>
  </si>
  <si>
    <t>Retirada de estrutura em madeira do telhado</t>
  </si>
  <si>
    <t>Retirada de marco de madeira</t>
  </si>
  <si>
    <t>Retirada de disjuntor</t>
  </si>
  <si>
    <t>Demolição de piso, soleira, peitoris e escadas em mármore ou granito, exclusive regularização</t>
  </si>
  <si>
    <t>Retirada de roda parede em madeira</t>
  </si>
  <si>
    <t>Retirada de piso de borracha</t>
  </si>
  <si>
    <t>LIMPEZA DO TERRENO</t>
  </si>
  <si>
    <t>Corte de capoeira fina, a foice (manual)</t>
  </si>
  <si>
    <t>Raspagem e limpeza do terreno (manual)</t>
  </si>
  <si>
    <t>Corte e destocamento de árvores com diâmetro de até 15 cm</t>
  </si>
  <si>
    <t>Corte e destocamento de árvores com diâmetro superior a 30 cm</t>
  </si>
  <si>
    <t>LOCAÇÃO</t>
  </si>
  <si>
    <t>Locação de obra com gabarito de madeira</t>
  </si>
  <si>
    <t>Equipe topográfica para serviços simples de locação e nivelamento (incluindo equipamento, transporte e profissionais nivel médio)</t>
  </si>
  <si>
    <t>INSTALAÇÃO DO CANTEIRO DE OBRAS</t>
  </si>
  <si>
    <t>TAPUMES, BARRACÕES E COBERTURAS</t>
  </si>
  <si>
    <t>Locação de andaime metálico para trabalho em fachada de edifíco (aluguel de 1 m² por 1 mês) inclusive frete, montagem e desmontagem</t>
  </si>
  <si>
    <t>Locação de andaime metálico para fachada - tipo torre (aluguel mensal)</t>
  </si>
  <si>
    <t>Fornecimento e instalação de proteção para andaime fachadeiro considerando plataforma, rodapé e guarda-corpo em madeira, inclusive entelamento, conforme NR-18 (medido por m2 de fachada)</t>
  </si>
  <si>
    <t>INSTALAÇÃO DO CANTEIRO DE OBRAS (UTILIZAÇÃO 1 VEZ), PROJETO PADRÃO LABOR - NR.18 (OBRAS COM PRAZO DE EXECUÇÃO SUPERIOR A 12 MESES)</t>
  </si>
  <si>
    <t>Barracão para escritório com sanitário área de 14.50 m2, de chapa de compens. 12mm e pontalete 8x8cm, piso cimentado e cobertura de telha de fibroc. 6mm, incl. ponto de luz e cx. de inspeção, conf. projeto (1 utilização)</t>
  </si>
  <si>
    <t>Barracão para almoxarifado área de 10.90m2, de chapa de compensado de 12mm e pontalete 8x8cm, piso cimentado e cobertura de telhas de fibrocimento de 6mm, incl. ponto de luz, conf. projeto (1 utilização)</t>
  </si>
  <si>
    <t>Barracão para depósito de cimento área de 10.90m2, de chapa de compensado 12mm e pontaletes 8x8cm, piso cimentado e cobertura de telhas de fibrocimento de 6mm, inclusive ponto de luz, conf. projeto (1 utilização)</t>
  </si>
  <si>
    <t>Refeitório com paredes de chapa de compens. 12mm e pontaletes 8x8cm, piso ciment. e cob. de telhas fibroc. 6mm, incl. ponto de luz e cx. de inspeção (cons. 1.21 m2/func./turno), conf. projeto (1 utilização)</t>
  </si>
  <si>
    <t>Unidade de sanitário e vestiário p/ até 20 func. área de 18.15m2, paredes de chapa compens. 12mm e pontalete 8x8cm, piso cimentado, cobert. telha fibroc. 6mm, incl. instalação de luz e cx. de inspeção, conf. projeto (1 utilização)</t>
  </si>
  <si>
    <t>Unidade de sanitário e vestiário de 20 a 40 func. área 25.40m2, paredes de chapa compens. 12mm e pontalete 8x8cm, piso cimentado, cobert. telha fibroc. 6mm, incl. inst. de luz e cx. de inspeção, conf. projeto (1 utilização)</t>
  </si>
  <si>
    <t>Unidade de sanitário e vestiário de 40 a 60 func. área 33.90m2, paredes de chapa compens. 12mm e pontalete 8x8cm, piso cimentado, cobert. telha fibroc. 6mm, incl. inst. de luz e cx. de inspeção, conf. projeto (1 utilização)</t>
  </si>
  <si>
    <t>Galpão para serraria e carpintaria área 12.00m2, em peça de madeira 8x8cm e contraventamento de 5x7cm, cobertura de telha de fibroc. de 6mm, inclusive ponto e cabo de alimentação da máquina, conf. projeto (1 utilização)</t>
  </si>
  <si>
    <t>Galpão para corte e armação com área de 6.00m2, em peças de madeira 8x8cm e contraventamento de 5x7cm, cobertura de telhas de fibroc. de 6mm, inclusive ponto e cabo de alimentação da máquina, conf. projeto (1 utilização)</t>
  </si>
  <si>
    <t>Rede de luz, incl. padrão entrada de energia trifás., cabo de ligação até barracões, quadro de distrib., disj. e chave de força (quando necessário), cons. 20m entre padrão entrada e QDG, conf. projeto (1 utilização)</t>
  </si>
  <si>
    <t>Rede de esgoto, contendo fossa e filtro, inclusive tubos e conexões de ligação entre caixas, considerando distância de 25m, conforme projeto (1 utilização)</t>
  </si>
  <si>
    <t>INSTALAÇÃO DO CANTEIRO DE OBRAS (UTILIZAÇÃO 2 VEZES), PROJETO PADRÃO LABOR - NR.18 (OBRAS COM PRAZO DE EXECUÇÃO DE 6 A 12 MESES)</t>
  </si>
  <si>
    <t>Barracão para escritório com sanitário área 14.50m2, de chapa de compens. 12mm e pontalete 8x8cm, piso cimentado e cobertura de telha de fibroc. 6mm, incl. ponto de luz e cx. de inspeção, conf. projeto (2 utilizações)</t>
  </si>
  <si>
    <t>Barracão para almoxarifado área de 10.90m2, de chapa de compensado 12mm e pontaletes 8x8cm, piso cimentado e cobertura de telha de fibrocimento de 6mm, inclusive ponto de luz, conf. projeto (2 utilizações)</t>
  </si>
  <si>
    <t>Barracão para depósito de cimento área de 10.90m2, de chapa de compensado 12mm e pontaletes 8x8cm, piso cimentado e cobertura de telhas de fibrocimento de 6mm, inclusive ponto de luz, conf. projeto (2 utilizações)</t>
  </si>
  <si>
    <t>Refeitório com paredes de chapa de compens. 12mm e pontaletes 8x8cm, piso ciment. e cobert. de telhas fibroc. 6mm, incl. ponto de luz e cx. de inspeção (cons. 1.21m2/func./turno), conf. projeto (2 utilização)</t>
  </si>
  <si>
    <t>Unidade de sanitário e vestiário para até 20 func. área 18.15m2, paredes de chapa compens. 12mm e pontalete 8x8cm, piso cimentado, cobert. telha fibroc. 6mm, incl. inst. de luz e cx. de inspeção, conf. projeto (2 utilizações)</t>
  </si>
  <si>
    <t>Unidade de sanitário e vestiário de 20 a 40 func. área 25.40m2, paredes de chapa compens. 12mm e pontalete 8x8cm, piso cimentado, cobert. telha fibroc. 6mm, incl. inst. de luz e cx. de inspeção, conf. projeto (2 utilizações)</t>
  </si>
  <si>
    <t>Unidade de sanitário e vestiário de 40 a 60 func. área 33.90m2, paredes de chapa compens. 12mm e pontalete 8x8cm, piso cimentado, cobert. telha fibroc. 6mm, incl. inst. de luz e cx. de inspeção, conf. projeto (2 utilizações)</t>
  </si>
  <si>
    <t>Galpão para serraria e carpintaria área 12.00m2, em peças de madeira 8x8cm e contraventamento de 5x7cm, cobertura de telhas de fibroc. de 6mm, inclusive ponto e cabo de alimentação da máquina, conf. projeto (2 utilizações)</t>
  </si>
  <si>
    <t>Galpão para corte e armação com área de 6.00m2, de peças de madeira 8x8cm e contraventamento de 5x7cm, cobertura de telhas de fibroc. de 6mm, inclusive ponto e cabo de alimentação da máquina, conf. projeto (2 utilizações)</t>
  </si>
  <si>
    <t>ESCAVAÇÕES</t>
  </si>
  <si>
    <t>Escavação manual em material de 1a. categoria, até 1.50 m de profundidade</t>
  </si>
  <si>
    <t>Escavação manual em material de 2a. categoria, até 1.50 m de profundidade</t>
  </si>
  <si>
    <t>Escavação mecânica em material de 1a. categoria</t>
  </si>
  <si>
    <t>Escavação mecânica em material de 2a. categoria</t>
  </si>
  <si>
    <t>Apiloamento do fundo de vala com maço de 30 a 60kg</t>
  </si>
  <si>
    <t>REATERRO E COMPACTAÇÃO</t>
  </si>
  <si>
    <t>Reaterro apiloado de cavas de fundação, em camadas de 20 cm</t>
  </si>
  <si>
    <t>Material para aterro - areia limpa (fornecimento já considerado 15% de empolamento)</t>
  </si>
  <si>
    <t>Lastro de brita 3 e 4, apiloado manualmente</t>
  </si>
  <si>
    <t>Lastro de areia</t>
  </si>
  <si>
    <t>Aterro com areia em áreas de calçada, inclusive fornecimento e adensamento</t>
  </si>
  <si>
    <t>Aterro compactado utilizando compactador de placa vibratória com reaproveitamento do material</t>
  </si>
  <si>
    <t>Reaterro de valas, exclusive compactação</t>
  </si>
  <si>
    <t>TRANSPORTES</t>
  </si>
  <si>
    <t>Índice de preço para remoção de entulho decorrente da execução de obras (Classe A CONAMA - NBR 10.004 - Classe II-B), incluindo aluguel da caçamba, carga, transporte e descarga em área licenciada</t>
  </si>
  <si>
    <t>Transporte de material encosta acima, serviço inteiramente manual, a 10m de distância, considerados ao longo da encosta, inclusive carga e descarga (txdam)</t>
  </si>
  <si>
    <t>Transporte de material encosta abaixo, serviço inteiramente manual, a 10m de distância, considerados ao longo da encosta, inclusive carga e descarga (txdam)</t>
  </si>
  <si>
    <t>ESTRUTURAS</t>
  </si>
  <si>
    <t>INFRA-ESTRUTURA (FUNDAÇÃO)</t>
  </si>
  <si>
    <t>Fornecimento, preparo e aplicação de concreto ciclópico Fck=15MPa com 30% de pedra de mão</t>
  </si>
  <si>
    <t>Fôrma de tábua de madeira de 2.5 x 30.0 cm para fundações, levando-se em conta a utilização 5 vezes (incluido o material, corte, montagem, escoramento e desforma)</t>
  </si>
  <si>
    <t>Fornecimento, preparo e aplicação de concreto Fck = 30 MPa (com brita 1 e 2) - (5% de perdas já incluído no custo)</t>
  </si>
  <si>
    <t>Fornecimento, preparo e aplicação de concreto magro com consumo mínimo de cimento de 250 kg/m3 (brita 1 e 2) - (5% de perdas já incluído no custo)</t>
  </si>
  <si>
    <t>Fornecimento, preparo e aplicação de concreto Fck=15 MPa (brita 1 e 2) - (5% de perdas já incluído no custo)</t>
  </si>
  <si>
    <t>Fornecimento, preparo e aplicação de concreto Fck=20 MPa (brita 1 e 2) - (5% de perdas já incluído no custo)</t>
  </si>
  <si>
    <t>Fornecimento, preparo e aplicação de concreto Fck=25 MPa (brita 1 e 2) - (5% de perdas já incluído no custo)</t>
  </si>
  <si>
    <t>Fôrma de chapa compensada resinada 12mm, levando-se em conta a utilização 3 vezes (incluido o material, corte, montagem, escoramento e desfôrma)</t>
  </si>
  <si>
    <t>Fornecimento e aplicação de concreto USINADO Fck=20 MPa - considerando lançamento MANUAL para INFRA-ESTRUTURA (5% de perdas já incluído no custo)</t>
  </si>
  <si>
    <t>Fornecimento e aplicação de concreto USINADO Fck=25 MPa - considerando lançamento MANUAL para INFRA-ESTRUTURA (5% de perdas já incluído no custo)</t>
  </si>
  <si>
    <t>Fornecimento, dobragem e colocação em fôrma, de armadura CA-50 A média, diâmetro de 6.3 a 10.0 mm</t>
  </si>
  <si>
    <t>kg</t>
  </si>
  <si>
    <t>Fornecimento, dobragem e colocação em fôrma, de armadura CA-50 A grossa diâmetro de 12.5 a 25.0 mm (1/2 a 1")</t>
  </si>
  <si>
    <t>Fornecimento, dobragem e colocação em fôrma, de armadura CA-60 B fina, diâmetro de 4.0 a 7.0mm</t>
  </si>
  <si>
    <t>Fôrma de tábua de madeira de 2.5x30.0cm, levando-se em conta utilização 1 vez (incluindo o material, corte, montagem, escoramento e desforma)</t>
  </si>
  <si>
    <t>Fôrma de tábua de madeira de 2.5x30.0cm, levando-se em conta utilização 3 vezes (incluindo o material, corte, montagem, escoramento e desforma)</t>
  </si>
  <si>
    <t>Fornecimento e aplicação de concreto USINADO Fck=30 MPa - considerando lançamento MANUAL para INFRA-ESTRUTURA (5% de perdas já incluído no custo)</t>
  </si>
  <si>
    <t>SUPER-ESTRUTURA</t>
  </si>
  <si>
    <t>Fornecimento e aplicação de concreto USINADO Fck=20 MPa - considerando BOMBEAMENTO (5% de perdas já incluído no custo) (6% de taxa p/concr.bombeavel)</t>
  </si>
  <si>
    <t>Fornecimento e aplicação de concreto USINADO Fck=25 MPa - considerando BOMBEAMENTO (5% de perdas já incluído no custo) (6% de taxa p/concr.bombeavel)</t>
  </si>
  <si>
    <t>Fornecimento e aplicação de concreto USINADO Fck=30 MPa - considerando BOMBEAMENTO (5% de perdas já incluído no custo) (6% de taxa p/ concr. bombeavel)</t>
  </si>
  <si>
    <t>Fornecimento, dobragem e colocação em fôrma, de armadura CA-50 A grossa, diâmetro de 12.5 a 25.0mm</t>
  </si>
  <si>
    <t>Fôrma em chapa de madeira compensada plastificada 12mm para estrutura em geral, 5 reaproveitamentos, reforçada com sarrafos de madeira 2.5x10cm (incl material, corte, montagem, escoras em eucalipto e desforma)</t>
  </si>
  <si>
    <t>Forma de chapas madeira compensada resinada, esp. 12mm, levando-se em conta a utilização 3 vezes, reforçadas com sarrafos de madeira de 2.5 x 10.0cm (incl material, corte, montagem, escoras em eucalipto e desforma)</t>
  </si>
  <si>
    <t>ESTRUTURAS DE CONCRETO APARENTE</t>
  </si>
  <si>
    <t>Fôrma com chapa compensada plastificada esp. 12mm, utização 5 vezes</t>
  </si>
  <si>
    <t>LAJES PRÉ-MOLDADAS</t>
  </si>
  <si>
    <t>Execução de junta de dilatação 2 x 2 cm considerando 1cm de aplicação de isopor e 1cm de aplicação de mastique elástico do tipo sikaflex 1a ou equivalente</t>
  </si>
  <si>
    <t>RECUPERAÇÃO DE ESTRUTURAS</t>
  </si>
  <si>
    <t>Fornecimento e lançamento de concreto para grouteamento com adição de pedrisco (50% em peso), utilizando Sikagrout ou produto equivalente, exclusive forma</t>
  </si>
  <si>
    <t>Revestimento externo com argamassa corretiva tipo Sika Monotop 622 BR ou equivalente, esp. 5mm</t>
  </si>
  <si>
    <t>MURO DE ARRIMO (Conc. ciclópico 15MPa c/ 30% de pedra de mão, c/ forn., preparo e aplicação de concreto, forma de tábua pinho-reap.5 vezes, exclusive escav. e reaterro) seções tipicas nas seguintes dimensões:</t>
  </si>
  <si>
    <t>PAREDES E PAINÉIS</t>
  </si>
  <si>
    <t>PLACAS E PAINÉIS DIVISÓRIOS</t>
  </si>
  <si>
    <t>VERGAS/CONTRAVERGA</t>
  </si>
  <si>
    <t>ALVENARIA ESTRUTURAL</t>
  </si>
  <si>
    <t>ALVENARIA DE VEDAÇÃO EMPREGANDO ARGAMASSA DE CIMENTO, CAL E AREIA</t>
  </si>
  <si>
    <t>ESQUADRIAS DE MADEIRA</t>
  </si>
  <si>
    <t>MARCOS E ALIZARES</t>
  </si>
  <si>
    <t>FERRAGENS</t>
  </si>
  <si>
    <t>PORTA EM MADEIRA DE LEI TIPO ANGELIM PEDRA OU EQUIV.C/ENCHIMENTO EM MADEIRA 1A.QUALIDADE ESP. 30MM P/ PINTURA, INCLUSIVE ALIZARES, DOBRADIÇAS E FECHADURA EXTERNA, EXCLUSIVE MARCO</t>
  </si>
  <si>
    <t>PORTA EM VENEZIANA, EM MADEIRA DE LEI, ESP. 30MM, INCL. DOBRADIÇAS, EXCLUSIVE ALIZAR, MARCO E FECHADURA</t>
  </si>
  <si>
    <t>PORTA EM MADEIRA DE LEI TIPO ANGELIM PEDRA OU EQUIV. C/ ENCHIMENTO EM MADEIRA DE 1ª QUALIDADE ESP 30MM, COM VISOR DE VIDRO, INCL. ALIZARES, DOBRADIÇAS E FECHADURAS EXT EM LATÃO CROMADO LAFONTE/EQUIV , EXCL. MARCO, NAS DIMENSÕES:</t>
  </si>
  <si>
    <t>REVISÕES E REPAROS</t>
  </si>
  <si>
    <t>PORTA EM MADEIRA DE LEI COM ENCHIMENTO EM MADEIRA DE 1ª QUALIDADE, ESP. 30MM, PARA PINTURA, INCL. ALIZARES, DOBRADIÇAS, FECHADURA TIPO "LIVRE/OCUPADO" EXCLUSIVE MARCO</t>
  </si>
  <si>
    <t>Tela de proteção de arame galvanizado 1/2" fio 12, com quadro em tubo de ferro galvanizado 1 1/2" e cantoneira de ferro 1/2" x 1/2" x1/8", conforme detalhe em projeto</t>
  </si>
  <si>
    <t>Portão de ferro de abrir em barra chata, inclusive chumbamento</t>
  </si>
  <si>
    <t>Grade de ferro em barra chata, inclusive chumbamento</t>
  </si>
  <si>
    <t>Portão de ferro de correr em barra chata, inclusive chumbamento</t>
  </si>
  <si>
    <t>Portão de ferro de abrir em barra chata, chapa e tubo, inclusive chumbamento</t>
  </si>
  <si>
    <t>ESQUADRIAS METÁLICAS (M2)</t>
  </si>
  <si>
    <t>Janela de correr para vidro em alumínio anodizado cor natural, linha 25, completa, incl. puxador com tranca, alizar, caixilho e contramarco, exclusive vidro</t>
  </si>
  <si>
    <t>Báscula para vidro em alumínio anodizado cor natural, linha 25, completa, com tranca, caixilho, alizar e contramarco, exclusive vidro</t>
  </si>
  <si>
    <t>Janela tipo maxim-ar para vidro em alumínio anodizado natural, linha 25, completa, incl. puxador com tranca, caixilho, alizar e contramarco, exclusive vidro</t>
  </si>
  <si>
    <t>Porta de abrir tipo veneziana em alumínio anodizado, linha 25, completa, incl. puxador com tranca, caixilho, alizar e contramarco</t>
  </si>
  <si>
    <t>Guichê/gradil em perfil L 1" e perfil T 3/4" em ferro, inclusive pintura em esmalte sintético, marca de referência SUVINIL</t>
  </si>
  <si>
    <t>Escovamento com escova de aço em esquadrias de ferro</t>
  </si>
  <si>
    <t>VIDROS E ESPELHOS</t>
  </si>
  <si>
    <t>VIDROS PARA ESQUADRIAS</t>
  </si>
  <si>
    <t>Vidro plano transparente liso, com 4 mm de espessura</t>
  </si>
  <si>
    <t>Vidro fantasia mini-boreal, com 4 mm de espessura</t>
  </si>
  <si>
    <t>Vidro aramado esp. 6mm, colocado</t>
  </si>
  <si>
    <t>ESPELHOS</t>
  </si>
  <si>
    <t>Espelho para banheiros espessura 4 mm, incluindo chapa compensada 10 mm, moldura de alumínio em perfil L 3/4", fixado com parafusos cromados</t>
  </si>
  <si>
    <t>Espelho espessura 4 mm, incluindo chapa compensada 6mm, moldura de peça de madeira 7x2.5cm fixada com parafuso e bucha conforme detalhe em projeto</t>
  </si>
  <si>
    <t>Espelho prata esp. 4 mm sobre caixa de compensado colado revestido com fórmica e fixado com parafuso cromado e bucha, dim. 1,80 x 0,40m, conforme detalhe em projeto</t>
  </si>
  <si>
    <t>ESTRUTURA PARA TELHADO</t>
  </si>
  <si>
    <t>Estrutura de madeira de lei tipo Paraju ou equivalente para cobertura de telha de fibrocimento canalete 49/90, inclusive tratamento com cupinicida, exclusive telhas</t>
  </si>
  <si>
    <t>Cobertura nova de telhas onduladas de fibrocimento 6.0mm, inclusive cumeeiras e acessórios de fixação</t>
  </si>
  <si>
    <t>Cobertura nova de telhas onduladas de fibrocimento 8.0mm, inclusive cumeeiras e acessórios de fixação</t>
  </si>
  <si>
    <t>Cobertura nova de telhas de alumínio trapezoidal, H = 8 cm, esp. 0.5mm, inclusive acessórios de fixação</t>
  </si>
  <si>
    <t>Cobertura nova de telhas cerâmicas tipo capa e canal inclusive cumeeira (telhas compradas na praça de Vitória, posto obra) (área de projeção horizontal; incl. 35%)</t>
  </si>
  <si>
    <t>Cobertura nova de telhas cerâmicas tipo capa e canal inclusive cumeeiras (telhas compradas na fábrica, posto obra)</t>
  </si>
  <si>
    <t>Cumeeira para cobertura em telha cerâmica tipo capa e canal</t>
  </si>
  <si>
    <t>Cumeeira para cobertura em telhas onduladas de fibrocimento 6.0mm</t>
  </si>
  <si>
    <t>Cobertura em telha ondulada de alumínio, esp. 0.5mm, inclusive acessórios de fixação</t>
  </si>
  <si>
    <t>Rufo de chapa metálica nº 26 com largura de 30 cm</t>
  </si>
  <si>
    <t>Calha de concreto armado Fck=15 MPa em "U" nas dimensões de 38 x 56 cm conforme detalhes em projeto</t>
  </si>
  <si>
    <t>Calha em chapa galvanizada com largura de 40 cm</t>
  </si>
  <si>
    <t>Rufo de chapa de alumínio esp. 0.5mm, largura de 30cm</t>
  </si>
  <si>
    <t>PLATIBANDA</t>
  </si>
  <si>
    <t>Platibanda de alvenaria de bloco cerâmico 10x20x20cm, assentado com argamassa de cimento, cal hidratada CH1 e areia no traço 1:0,5:8, amarrada com pilaretes em conc. arm. a cada 2m (H=1.0m), excl. revest.</t>
  </si>
  <si>
    <t>Recolocação de engradamento de madeira para telhado com telha cerâmica, com pontaletes, terças, caibros e ripas, exclusive fornecimento</t>
  </si>
  <si>
    <t>Recolocação de estrutura de madeira para telhado com telha ondulada de fibrocimento ou telha ecológica tipo onduline, com pontaletes e caibros, exclusive fornecimento</t>
  </si>
  <si>
    <t>Recolocação de telha ondulada de fibrocimento 6mm, excl. cumeeira</t>
  </si>
  <si>
    <t>Remoção, lavagem com escova de aço e recolocação de telhas cerâmicas</t>
  </si>
  <si>
    <t>Limpeza de calhas e coletores (serviço realizado por servente)</t>
  </si>
  <si>
    <t>IMPERMEABILIZAÇÃO DE CAIXAS DE ÁGUA</t>
  </si>
  <si>
    <t>Impermeabilização nas seguintes etapas: chapisco traço 1:2 c/ sika 1 ou equivalente, revest. duplo c/ argamassa de cimento e areia traço 1:3 c/ sika 1 ou equivalente, em 2x15 mm e acab. argamassa 1:1</t>
  </si>
  <si>
    <t>IMPERMEABILIZAÇÃO CALHAS, LAJES DESCOBERTAS, BALDRAMES, PAREDES E JARDINEIRAS</t>
  </si>
  <si>
    <t>Impermeabilização com argamassa de igol 2 - marca de referência Sika</t>
  </si>
  <si>
    <t>Pintura impermeabilizante com igolflex ou equivalente a 3 demãos</t>
  </si>
  <si>
    <t>Impermeabilização, empregando argamassa de cimento e areia sem peneirar no traço 1:3 com aditivo impermeabilizado tipo sika 1 ou equivalente, espessura de 2 cm</t>
  </si>
  <si>
    <t>IMPERMEABILIZAÇÃO DE FOSSAS E FILTROS</t>
  </si>
  <si>
    <t>Impermeabilização nas seguintes etapas: chapisco traço 1:2 c/ sika 1 prop. 1:10 ou equiv., revest. duplo c/ argamassa de cimento e areia traço 1:3 c/ sika 1 prop. 1:12 ou equivalente, esp. 2x15 mm e acab. argamassa 1:2</t>
  </si>
  <si>
    <t>TETOS E FORROS</t>
  </si>
  <si>
    <t>REVESTIMENTO COM ARGAMASSA</t>
  </si>
  <si>
    <t>Chapisco com argamassa de cimento e areia média ou grossa lavada no traço 1:3, espessura 5 mm</t>
  </si>
  <si>
    <t>REBAIXAMENTOS</t>
  </si>
  <si>
    <t>Forro de gesso acabamento tipo liso</t>
  </si>
  <si>
    <t>REVESTIMENTO EMPREGANDO ARGAMASSA DE CIMENTO, CAL E AREIA</t>
  </si>
  <si>
    <t>Emboço de argamassa de cimento, cal hidratada CH1 e areia lavada traço 1:0.5:6, espessura 20 mm</t>
  </si>
  <si>
    <t>Reboco tipo paulista de argamassa de cimento, cal hidratada CH1 e areia lavada traço 1:0.5:6, espessura 25 mm</t>
  </si>
  <si>
    <t>Recolocação de forro de madeira, com aproveitamento do material</t>
  </si>
  <si>
    <t>REVESTIMENTO DE PAREDES</t>
  </si>
  <si>
    <t>Chapisco de argamassa de cimento e areia média ou grossa lavada, no traço 1:3, espessura 5 mm</t>
  </si>
  <si>
    <t>Azulejo branco 15 x 15 cm, juntas a prumo, assentado com argamassa de cimento colante, inclusive rejuntamento com cimento branco, marcas de referência Eliane, Cecrisa ou Portobello</t>
  </si>
  <si>
    <t>Roda-parede de madeira de lei tipo Paraju ou equivalente, de 10 x 2.5cm, fixado com parafuso e bucha plástica n° 8</t>
  </si>
  <si>
    <t>Roda-parede de madeira de lei tipo Paraju ou equivalente, de 20 X 1.5cm fixado com parafuso e bucha plástica n° 7</t>
  </si>
  <si>
    <t>Acabamento de alumínio com perfil de canto para arremate das paredes</t>
  </si>
  <si>
    <t>Acabamento de perfil "U" em alumínio anodizado fosco 1/2"</t>
  </si>
  <si>
    <t>Pastilha cerâmica branca 5 x 5 cm, assentada com argamassa de cimento colante e rejunte pré-fabricado, marcas de referência Atlas, Jatobá, NGK ou equivalentwe</t>
  </si>
  <si>
    <t>Assentamento de revestimento cerâmico com cimento colante, excl. rejuntamento e cerâmica</t>
  </si>
  <si>
    <t>Roda parede em granito cinza andorinha 7x2cm, com acabamento abaulado nos dois lados</t>
  </si>
  <si>
    <t>Assentamento e rejuntamento de piso em porcelanato (dimensões superiores a 30x30cm) utilizando dupla colagem de argamassa colante para porcelanato tipo ACII/ACIII, exclusive fornecimento do porcelanato e do rejunte</t>
  </si>
  <si>
    <t>Emboço de argamassa de cimento, cal hidratada CH1 e areia média ou grossa lavada no traço 1:0.5:6, espessura 20 mm</t>
  </si>
  <si>
    <t>Reboco de argamassa de cimento, cal hidratada CH1 e areia média ou grossa lavada no traço 1:0.5:6, espessura 5mm</t>
  </si>
  <si>
    <t>Reboco tipo paulista de argamassa de cimento, cal hidratada CH1 e areia média ou grossa lavada no traço 1:0.5:6, espessura 25 mm</t>
  </si>
  <si>
    <t>Reboco de argamassa de cimento, cal hidratada CH1 e areia média ou grossa lavada no traço 1:0.5:6, com impermeabilizante para revestimentos (caixas, fossas, filtros, cisternas, etc...)</t>
  </si>
  <si>
    <t>Chapisco de argamassa de cimento e areia média ou grossa lavada no traço 1:3, espessura 5mm, com utilização de impermeabilizante</t>
  </si>
  <si>
    <t>PISOS INTERNOS E EXTERNOS</t>
  </si>
  <si>
    <t>LASTRO DE CONTRAPISO</t>
  </si>
  <si>
    <t>Regularização de base p/ revestimento cerâmico, com argamassa de cimento e areia no traço 1:5, espessura 5cm</t>
  </si>
  <si>
    <t>Lastro regularizado e impermeabilizado de concreto não estrutural, espessura de 8 cm</t>
  </si>
  <si>
    <t>Lastro regularizado de concreto não estrutural, espessura de 8 cm</t>
  </si>
  <si>
    <t>Lastro impermeabilizado de concreto não estrutural, espessura de 6 cm</t>
  </si>
  <si>
    <t>Lastro de concreto não estrutural, espessura de 6 cm</t>
  </si>
  <si>
    <t>Lastro impermeabilizado de concreto não estrutural, espessura de 8cm</t>
  </si>
  <si>
    <t>Piso cimentado liso com 1.5 cm de espessura, de argamassa de cimento e areia no traço 1:3 e juntas plásticas em quadros de 1 m</t>
  </si>
  <si>
    <t>Piso de tábuas corridas de Peroba de 15cm sobre caibros de 5x6cm espaçados de 50cm, fixados com argamassa de cimento e areia no traço 1:5</t>
  </si>
  <si>
    <t>Junta plástica 17 x 3 mm, para pisos corridos, inclusive fornecimento e colocação</t>
  </si>
  <si>
    <t>Piso de cimentado camurçado executado com argamassa de cimento e areia no traço 1:3, esp. 3.0cm</t>
  </si>
  <si>
    <t>Piso cimentado liso com 1.5 cm de espessura, em argamassa de cimento e areia no traço 1:3 e juntas plásticas em quadros de 1 m colorido com corante tipo Xadrez ou equivalente</t>
  </si>
  <si>
    <t>Fornecimento e instalação de Piso Paviflex dim. 30x30cm, esp. 2mm linha Chroma Concept ref. Fademac ou equivalente</t>
  </si>
  <si>
    <t>Revestimento de piso com placas de borracha plurigoma preto pastilhado ou equivalente, inclusive arremate</t>
  </si>
  <si>
    <t>Assentamento de piso cerâmico, com utilização de cimento colante, excl. rejuntamento e cerâmica</t>
  </si>
  <si>
    <t>Rejuntamento de piso cerâmico, usando cimento branco, para juntas de no máximo 3mm de espessura</t>
  </si>
  <si>
    <t>Rejuntamento empregando argamassa para rejunte, esp. 5mm</t>
  </si>
  <si>
    <t>Assentamento e rejuntamento de piso em porcelanato (dimensões superiores a 30x30cm) utilizando dupla colagem de argamassa colante para porcelanato tipo ACIII, exclusive fornecimento do porcelanato e do rejunte</t>
  </si>
  <si>
    <t>Piso argamassa alta resistência tipo granilite ou equiv de qualidade comprovada, esp de 10mm, com juntas plástica em quadros de 1m, na cor natural, com acabamento anti-derrapante mecanizado, inclusive regularização e=3.0cm</t>
  </si>
  <si>
    <t>Piso argamassa alta resistência tipo granilite ou equiv de qualidade comprovada, esp de 10mm, com juntas plástica em quadros de 1m, na cor natural, com acabamento polido mecanizado, inclusive regularização e=3.0cm</t>
  </si>
  <si>
    <t>Piso cerâmico esmaltado, PEI 5, acabamento semibrilho, dim. 45x45cm, ref. de cor CARGO PLUS WHITE Eliane/equiv. assentado com argamassa de cimento colante, inclusive rejuntamento</t>
  </si>
  <si>
    <t>DEGRAUS, RODAPÉS, SOLEIRAS E PEITORIS</t>
  </si>
  <si>
    <t>Rodapé de argamassa de cimento e areia no traço 1:3, altura de 7 cm e espessura de 2 cm</t>
  </si>
  <si>
    <t>Rodapé de madeira de lei 7.0 x 1.5 cm, fixado com parafuso e bucha plástica n° 7</t>
  </si>
  <si>
    <t>Peitoril de mármore branco com largura 40 cm e esp. 3cm</t>
  </si>
  <si>
    <t>Soleira de granito esp. 2 cm e largura de 15 cm</t>
  </si>
  <si>
    <t>Soleira de granito cinza, espessura 3 cm e largura de 3 cm, conforme detalhe em projeto</t>
  </si>
  <si>
    <t>Peitoril de granito cinza polido, 15 cm, esp. 3cm</t>
  </si>
  <si>
    <t>Rodapé em cerâmica PEI-3, h = 7cm, assentado com argamassa de cimento, cal e areia, incl. rejuntamento com cimento branco</t>
  </si>
  <si>
    <t>Rodapé de granito cinza esp. 2cm, h=7cm, assentado com argamassa de cimento, cal hidratada CH1 e areia no traço 1:0,5:8, incl. rejuntamento com cimento branco</t>
  </si>
  <si>
    <t>Rodapé de argamassa de alta resistência tipo granilite ou equivalente de qualidade comprovada, altura de 10 cm e espessura de 10 mm, com cantos boleados, executado com cimento e granitina grana N.1, inclusive polimento</t>
  </si>
  <si>
    <t>Soleira de argamassa de alta resistência tipo granilite ou equivalente de qualidade comprovada, largura de 15cm, executado com cimento e granitina grana N.1</t>
  </si>
  <si>
    <t>Recomposição de piso cimentado, com argamassa de cimento e areia no traço 1:3, com 2 cm de espessura, incl. lastro</t>
  </si>
  <si>
    <t>INSTALAÇÕES HIDRO-SANITÁRIAS</t>
  </si>
  <si>
    <t>SUMIDOUROS, FOSSAS SÉPTICAS E FILTROS ANAERÓBIOS</t>
  </si>
  <si>
    <t>Fossa séptica de anéis pré-moldados de concreto, diâmetro 1.20 m, altura útil de 1.70m, completa, incluindo tampa c/visita de 60cm, concreto p/fundo esp.10 cm, e tubo para ligação ao filtro</t>
  </si>
  <si>
    <t>Filtro anaeróbio de anéis pré-moldados de concreto, diâmetro de 1.20m, altura útil de 1.80m, completo, incl. tampa c/visita de 60 cm, concreto p/fundo esp.10cm e tubulação de saída de esgoto</t>
  </si>
  <si>
    <t>Fossa séptica de anéis pré-moldados de concreto, diâmetro 2.00 m, Hútil 2.0m completa, incluindo tampa c/visita de 60cm, concreto p/ fundo esp.10 cm, tubo de limpeza e escavação, conf. detalhe em projeto</t>
  </si>
  <si>
    <t>Filtro anaeróbio de anéis pré-moldados de concreto, diâm. 2.0m, Hútil 2.0m, compl., incl. tampa c/visita 60cm, concreto p/ fundo esp. 10cm, escavação, brita 4 e tubulação de saída esgoto 150mm, conf. proj.</t>
  </si>
  <si>
    <t>ENTRADA DE ÁGUA</t>
  </si>
  <si>
    <t>Mureta p/ cavalete (Padrão 1B - CESAN) de alv. blocos cerâmicos 10x20x20cm deitados, dimensões 0.80x1.0x0.20m, para instalação de caixa termoplastica, incl revest. em reboco e lastro concreto esp.10cm, exclusive caixa e cavalete</t>
  </si>
  <si>
    <t>PONTOS HIDRO-SANITÁRIOS</t>
  </si>
  <si>
    <t>Ponto de água fria (lavatório, tanque, pia de cozinha, etc...)</t>
  </si>
  <si>
    <t>pt</t>
  </si>
  <si>
    <t>Ponto com registro de pressão (chuveiro, caixa de descarga, etc...)</t>
  </si>
  <si>
    <t>Ponto de torneira de jardim (para praças)</t>
  </si>
  <si>
    <t>Ponto de válvula de descarga, inclusive válvula (sem acabamento)</t>
  </si>
  <si>
    <t>Ponto para esgoto primário (vaso sanitário)</t>
  </si>
  <si>
    <t>Ponto para esgoto secundário (pia, lavatório, mictório, tanque, bidê, etc...)</t>
  </si>
  <si>
    <t>Ponto para caixa sifonada, inclusive caixa sifonada pvc 150x150x50mm com grelha em pvc</t>
  </si>
  <si>
    <t>Ponto para ralo sifonado, inclusive ralo sifonado 100 x 40 mm c/ grelha em pvc</t>
  </si>
  <si>
    <t>Ponto para ralo seco, inclusive ralo pvc 10 cm com grelha em pvc</t>
  </si>
  <si>
    <t>Ponto para caixa sifonada, inclusive caixa sifonada pvc 150x150x50mm com grelha em aço inox</t>
  </si>
  <si>
    <t>Ponto para ralo sifonado, inclusive ralo sifonado 100 x 40 mm c/ grelha em açõ inox</t>
  </si>
  <si>
    <t>Ponto de válvula de descarga, inclusive válvula de descarga de 50mm (1 1/2"), com acabamento para válvula de descarga Benefit, marca de referência Docol ou equivalente Mod. 00184906</t>
  </si>
  <si>
    <t>Ponto p/ válvula (mictório) inclusive válvula com acabamento marca de referência Pressmatic Docol, Mod. 17015106 e tubo de ligação p/mictório antivandalismo Pressmatic Mod. 00132606 marca de ref. Docol ou equivalente</t>
  </si>
  <si>
    <t>TUBULAÇÃO DE LIGAÇÃO DE CAIXAS</t>
  </si>
  <si>
    <t>Tubo PVC rígido para esgoto no diâmetro de 100mm incluindo escavação e aterro com areia</t>
  </si>
  <si>
    <t>Tubo PVC rígido para esgoto no diâmetro de 150mm incluindo escavação e aterro com areia</t>
  </si>
  <si>
    <t>Tubo PVC rígido para esgoto no diâmetro de 200mm incluindo escavação e aterro com areia</t>
  </si>
  <si>
    <t>Tubo PVC rígido para esgoto no diâmetro de 75 mm incluindo escavação e aterro com areia</t>
  </si>
  <si>
    <t>CAIXAS EMPREGANDO ARGAMASSA DE CIMENTO, CAL E AREIA</t>
  </si>
  <si>
    <t>Caixas de inspeção de alv. blocos concreto 9x19x39cm, dim, 60x60cm e Hmáx = 1m, com tampa de conc. esp. 5cm, lastro de conc. esp. 10cm, revest intern. c/ chapisco e reboco impermeabilizado, incl. escavação, reaterro e enchimento</t>
  </si>
  <si>
    <t>Caixa de areia de alvenaria de blocos de concreto 9x19x39cm, dim. 60x60cm e Hmáx=1m, c/ tampa em concreto esp. 5cm, lastro concreto esp. 10cm, revestida intern. c/ chapisco e reboco impermeabilizante, incl. escavação e reaterro</t>
  </si>
  <si>
    <t>Caixa sifonada especial de alv. bloco conc.9x19x39cm, dim 60x60cm e Hmáx=1m, c/ tampa em concreto esp.5cm, lastro conc.esp.10cm, revest. intern. c/chap. e reb. impermeab. escav, reaterro e curva curta c/ visita e plug em pvc 100mm</t>
  </si>
  <si>
    <t>Caixa de gordura de alv. bloco concreto 9x19x39cm, dim.60x60cm e Hmáx=1m, com tampa em concreto esp.5cm, lastro concreto esp.10cm, revestida intern. c/ chapisco e reboco impermeab, escavação, reaterro e parede interna em concreto</t>
  </si>
  <si>
    <t>Caixa retentora de matéria sólida de alv. bloco conc.9x19x39cm, dim 60x60cm e Hmáx=1m, c/ tampa conc. esp.5cm, lastro conc. esp.10cm, revest. internamente c/ chap, reb. impermeab., escavação, reaterro e parede int. em concreto</t>
  </si>
  <si>
    <t>Caixas de inspeção de alv. blocos concreto 9x19x39cm, dim.100x60cm e Hmáx = 1m, com tampa de conc. esp. 5cm, lastro de conc. esp. 10cm, revest intern. c/ chapisco e reboco impermeabilizado, incl. escavação, reaterro e enchimento</t>
  </si>
  <si>
    <t>Caixa de gordura simples de alv. bloco concr.9x19x39cm, dim.80x60cm e Hmáx=1m, com tampa em concr.esp.5cm, lastro concr.esp.10cm, revestida intern. c/ chapisco e reboco impermeab, escavação, reaterro e parede interna em concr.</t>
  </si>
  <si>
    <t>Caixa de gordura especial de alv. bloco concr. 9x19x39cm, dim.60x60cm e Hmáx=1m, com tampa em concr.esp.5cm, lastro concr.esp.10cm, revestida intern. c/ chapisco e reboco impermeab, escavação, reaterro e parede interna em concr.</t>
  </si>
  <si>
    <t>Grelha largura 20 cm de ferro redondo de 1/2" a cada 3 cm, contorno com barra de ferro de 3/4" x 1/8" e caixilho de cantoneira de 1" x 3/16"</t>
  </si>
  <si>
    <t>Caixa de inspeção em alv. bloco concreto 9x19x39cm, dim. 60x60cm e Hmáx=1m, c/ tampa de ferro fundido 40x40cm, lastro de concreto esp.10cm, revest. interno c/ chapisco e reboco impermeabiliz, incl. escavação, reaterro e enchimento</t>
  </si>
  <si>
    <t>Caixa de areia em alv. de bloco de concreto 9x19x39, dim. 60x60cm e Hmáx=1m, c/ tampa em ferro fundido, lastro de concreto esp. 10cm, revest. int. c/ chapisco e reboco impermeabilizado, incl. escavação e reaterro</t>
  </si>
  <si>
    <t>Caixa sifonada especial em alv. bloco concr. 9x19x39cm, dim. 60x60cm e Hmáx=1m. c/ tampa em ferro fundido, lastro conc. esp.10cm, revest. int. c/ chap. e reboco imperm., incl. esc, reaterro e curva curta c/ visita e plug pvc 100mm</t>
  </si>
  <si>
    <t>Caixa de gordura em alv. bloco 9x19x39cm, dim. 60x60cm e Hmáx=1.0m, c/ tampa de ferro fundido, lastro concr. esp. 10cm, revest. intern. c/ chapisco e reboco impermeab., escavação, reaterro e parede int. em concreto</t>
  </si>
  <si>
    <t>Caixa retentora de mat. sólida em alv. bloco conc.9x19x39cm, dim.60x60cm e Hmáx=1m, c/ tampa de ferro fund., lastro conc. esp.10cm, revest. int. c/ chap. e reb. impermeab., esc. reaterro e parede int. em concreto</t>
  </si>
  <si>
    <t>REDE DE ÁGUA FRIA - TUBOS METÁLICOS</t>
  </si>
  <si>
    <t>REDE DE ÁGUA FRIA - TUBOS SOLDÁVEIS DE PVC</t>
  </si>
  <si>
    <t>REDE DE ÁGUA FRIA - CONEXÕES SOLDÁVEIS DE PVC</t>
  </si>
  <si>
    <t>REDE DE ESGOTO - TUBOS DE PVC</t>
  </si>
  <si>
    <t>CAIXAS DE PVC / EQUIPAMENTOS</t>
  </si>
  <si>
    <t>Reparo para válvula de descarga, completo</t>
  </si>
  <si>
    <t>Sifão em PVC para pia de cozinha ou lavatório 1x11/2"</t>
  </si>
  <si>
    <t>Sifão em PVC para tanque 2"</t>
  </si>
  <si>
    <t>Ralo sifonado em PVC 100x100mm, com grelha PVC</t>
  </si>
  <si>
    <t>Ralo seco em PVC 100x100mm, com grelha em PVC</t>
  </si>
  <si>
    <t>Caixa sifonada em PVC, diâm. 150mm, com grelha e porta grelha quadrados, em aço inox</t>
  </si>
  <si>
    <t>Caixa seca em PVC, diâm. 100mm, com grelha e porta grelha quadrados, em aço inox</t>
  </si>
  <si>
    <t>Tampa para caixa sifonada, em PVC, de 150x150mm</t>
  </si>
  <si>
    <t>Tampa para caixa sifonada, em aço inox, de 150x150mm</t>
  </si>
  <si>
    <t>Tampa para ralo, em PVC, de 100x100mm</t>
  </si>
  <si>
    <t>Tampa para ralo, em aço inox, de 100x100mm</t>
  </si>
  <si>
    <t>Engate flexível de PVC para lavatório</t>
  </si>
  <si>
    <t>Torneira de bóia de PVC, diâm. 3/4" (20mm)</t>
  </si>
  <si>
    <t>Torneira de bóia de PVC, diâm. 1" (25mm)</t>
  </si>
  <si>
    <t>Torneira de bóia de PVC, diâm. 11/4" (32mm)</t>
  </si>
  <si>
    <t>ABERTURA E FECHAMENTO DE RASGOS (inclusive preparo e aplicação de argamassa)</t>
  </si>
  <si>
    <t>Abertura e fechamento de rasgos em alvenaria, para passagem de tubulações, diâm. 1/2" a 1"</t>
  </si>
  <si>
    <t>Abertura e fechamento de rasgos em alvenaria, para passagem de tubulações, diâm. 11/4" a 2"</t>
  </si>
  <si>
    <t>Abertura e fechamento de rasgos em alvenaria, para passagem de tubulações, diâm. 21/2 a 4"</t>
  </si>
  <si>
    <t>Abertura e fechamento de rasgos em concreto, para passagem de tubulações, diâm. 1/2" a 1"</t>
  </si>
  <si>
    <t>Abertura e fechamento de rasgos em concreto, para passagem de tubulações, diâm. 11/4" a 2"</t>
  </si>
  <si>
    <t>Abertura e fechamento de rasgos em concreto, para passagem de tubulações, diâm. 2 1/2"a 4"</t>
  </si>
  <si>
    <t>Revisões e reparos em torneiras e registros</t>
  </si>
  <si>
    <t>Revisões e reparos em caixas de descarga</t>
  </si>
  <si>
    <t>Revisões e reparos em torneiras de bóia</t>
  </si>
  <si>
    <t>Fornecimento de durepox para reparos (250g)</t>
  </si>
  <si>
    <t>INSTALAÇÕES ELÉTRICAS</t>
  </si>
  <si>
    <t>PADRÃO DE ENTRADA</t>
  </si>
  <si>
    <t>Mureta de medição utilizando arg. cimento, cal e areia, dimensões 1100x2000x200mm, com pilares e cintas, revestido com chapisco e reboco, inclusive pintura emassamento e pintura acrílica a três demãos, exclusive cobertura</t>
  </si>
  <si>
    <t>Mureta de medição utilizando arg. cimento, cal e areia, dimensões 1500x2200x400mm, revestido com chapisco e reboco, inclusive pintura emassamento, pintura acrílica a três demãos e cobertura em telha cerâmica</t>
  </si>
  <si>
    <t>QUADRO DE DISTRIBUIÇÃO</t>
  </si>
  <si>
    <t>Quadro de distribuição de energia, de embutir, com 18 divisões modulares, com barramento</t>
  </si>
  <si>
    <t>Quadro de distribuição de energia, de embutir, com 24 divisões modulares, com barramento</t>
  </si>
  <si>
    <t>Quadro de distribuição de energia, de embutir, com 32 divisões modulares, com barramento</t>
  </si>
  <si>
    <t>Caixa de distribuição 20x20x15 cm</t>
  </si>
  <si>
    <t>Quadro de distribuição de energia, de embutir, com 12 divisões modulares, sem barramento</t>
  </si>
  <si>
    <t>Quadro distrib. energia, embutido ou semi embutido, capac. p/ 34 disj. DIN, c/barram trif. 150A barra. neutro e terra, fab. em chapa de aço 12 USG com porta, espelho, trinco com fechad ch yale, Ref. QDETG II-34DIN-CEMAR ou equiv.</t>
  </si>
  <si>
    <t>Quadro distrib. energia, embutido ou semi embutido, capac. p/ 44 disj. DIN, c/barram trif. 150A barra. neutro e terra, fab. em chapa de aço 12 USG com porta, espelho, trinco com fechad ch yale, Ref. QDETG II-44DIN-CEMAR ou equiv.</t>
  </si>
  <si>
    <t>Quadro distrib. energia, embutido ou semi embutido, capac. p/ 56 disj. DIN, c/barram trif. 225A barra. neutro e terra, fab. em chapa de aço 12 USG com porta, espelho, trinco com fechad ch</t>
  </si>
  <si>
    <t>CAIXAS DE PASSAGEM</t>
  </si>
  <si>
    <t>Caixa para medidor polifásico carga até 41000W inclusive caixa para disjuntor polifásico até 100A</t>
  </si>
  <si>
    <t>Caixa de aterramento de concreto simples, nas dimensões de 30x30x25cm, com revest. int. em chapisco e reboco, tampa de concreto esp.5cm e lastro de brita esp. 5 cm, incl. haste 5/8"x2400mm</t>
  </si>
  <si>
    <t>Caixa de passagem de alvenaria de blocos de concreto 9x19x39cm, dimensões de 30x30x50cm, com revestimento interno em chapisco e reboco, tampa de concreto esp.5cm e lastro de brita 5 cm</t>
  </si>
  <si>
    <t>Caixa de passagem de alvenaria de blocos de concreto 9x19x39cm, dimensões de 40x40x50cm, com revestimento interno em chapisco e reboco, tampa de concreto esp.5cm e lastro de brita 5 cm</t>
  </si>
  <si>
    <t>Caixa de passagem de alvenaria de blocos de concreto 9x19x39cm, dimensões de 50x50x50cm, com revestimento interno em chapisco e reboco, tampa de concreto esp.5cm e lastro de brita 5 cm</t>
  </si>
  <si>
    <t>Conjunto caixa termoplástica para Medidor Padrão ESCELSA Monofáfico com tampa transparente em policarbonato P-980-009 inclusive caixa para disjuntor monof P-940-003 Padrão Escelsa</t>
  </si>
  <si>
    <t>Caixa de embutir marca de referência Tigreflex, 4x2"</t>
  </si>
  <si>
    <t>Caixa de embutir marca de referência Tigreflex, 4x4"</t>
  </si>
  <si>
    <t>Caixa de passagem 150x150x80mm, chapa 18, com tampa parafusada</t>
  </si>
  <si>
    <t>Caixa de passagem 200x200x100mm, chapa 18, com tampa parafusada</t>
  </si>
  <si>
    <t>Caixa de passagem 300x300x120mm, chapa 18, com tampa parafusada</t>
  </si>
  <si>
    <t>Caixa de passagem 400x400x120mm, chapa 18, com tampa parafusada</t>
  </si>
  <si>
    <t>Caixa sextavada em PVC de 3x3x1 1/2", marca de referência Tigreflex</t>
  </si>
  <si>
    <t>ENVELOPAMENTO DE ELETRODUTOS</t>
  </si>
  <si>
    <t>Envelopamento de concreto simples com consumo mínimo de cimento de 250kg/m3, inclusive escavação para profundidade mínima do eletroduto de 50 cm, de 25 x 25 cm, para 1 eletroduto</t>
  </si>
  <si>
    <t>Envelopamento de concreto simples com consumo mínimo de cimento de 250kg/m3, inclusive escavação para profundidade mínima do eletroduto de 50 cm, de 25 x 30 cm, para 2 eletrodutos</t>
  </si>
  <si>
    <t>Envelopamento de concreto simples com consumo mínimo de cimento de 250kg/m3, inclusive escavação para profundidade mínima do eletroduto de 50cm, de 60 x 30 cm, para 3 eletrodutos</t>
  </si>
  <si>
    <t>Envelopamento de concreto simples com consumo mínimo de cimento de 250kg/m3, inclusive escavação para profundidade mínima do eletroduto de 50cm, de 45 x 45 cm, para 3 eletrodutos</t>
  </si>
  <si>
    <t>INSTALAÇÕES APARENTES</t>
  </si>
  <si>
    <t>Canaleta sistema X da Pial ou equivalente, inclusive conexões</t>
  </si>
  <si>
    <t>Eletrocalha perfurada em chapa de aço galvanizado nº16, 150x50mm, sem tampa</t>
  </si>
  <si>
    <t>Eletrocalha perfurada em chapa de aço galvanizado nº16, 200x100mm, sem tampa</t>
  </si>
  <si>
    <t>Eletrocalha perfurada em chapa de aço galvanizado nº16, 300x100mm, sem tampa</t>
  </si>
  <si>
    <t>Eletrocalha perfurada em chapa de aço galvanizado nº16, 400x100mm, sem tampa</t>
  </si>
  <si>
    <t>Redução concêntrica para eletrocalha perfurada, tipo "U", 200x150mm, aba 100</t>
  </si>
  <si>
    <t>Redução concêntrica para eletrocalha perfurada, tipo "U", 300x150mm, aba 100</t>
  </si>
  <si>
    <t>Redução concêntrica para eletrocalha perfurada, tipo "U", 400x150mm, aba 100</t>
  </si>
  <si>
    <t>Saída horizontal para eletroduto de 3/4"</t>
  </si>
  <si>
    <t>Saída horizontal para eletroduto de 1"</t>
  </si>
  <si>
    <t>Saída horizontal para eletroduto de 2"</t>
  </si>
  <si>
    <t>Tampa de encaixe para eletrocalha em chapa de aço galvanizada 18, dim. 150mm</t>
  </si>
  <si>
    <t>Tampa de encaixe para eletrocalha em chapa de aço galvanizada 18, dim. 200mm</t>
  </si>
  <si>
    <t>Tampa de encaixe para eletrocalha em chapa de aço galvanizada 18, dim. 300mm</t>
  </si>
  <si>
    <t>Tampa de encaixe para eletrocalha em chapa de aço galvanizada 18, dim. 400mm</t>
  </si>
  <si>
    <t>Junção simples para eletrocalha metálica 200x100mm, galvanizada, ref. Mega MG 2760 ou equivalente</t>
  </si>
  <si>
    <t>Junção simples para eletrocalha metálica 300x100mm, galvanizada, ref. Mega MG 2760 ou equivalente</t>
  </si>
  <si>
    <t>TÊ horizontal 90º para eletrocalha metálica 200x100mm, galvanizada, ref. MEGA MG 2570 ou equivalente</t>
  </si>
  <si>
    <t>TÊ horizontal 90º para eletrocalha metálica 300x100mm, galvanizada, ref. MEGA MG 2570 ou equivalente</t>
  </si>
  <si>
    <t>Curva horizontal 90º para eletrocalha metálica, 200x100mm, galvanizada, ref. MEGA MG 2510</t>
  </si>
  <si>
    <t>Curva horizontal 90º para eletrocalha metálica, 300x100mm, galvanizada, ref. MEGA MG 2510</t>
  </si>
  <si>
    <t>Suporte de fixação de eletroduto no teto, através de fita metálica perfurada (Walsiwa) ou equiv (1,30m), cursor (1 und), h=60cm, suporte "Y" (1 und), parafuso e bucha S8 (1 und)</t>
  </si>
  <si>
    <t>Suporte de fixação de eletrocalha de 200x100mm, na parede, através de suporte tipo mão francesa simples (1 und), parafuso e bucha S8 (2und)</t>
  </si>
  <si>
    <t>Suporte de fixação de eletrocalha de 300x100mm, na parede, através de suporte tipo mão francesa reforçada (1 und), parafuso e bucha S8 (2 und)</t>
  </si>
  <si>
    <t>Suporte de fixação de eletrocalha de 400x100mm, na parede, através de suporte tipo mão francesa reforçada (1 und), parafuso e bucha S8 (2 und)</t>
  </si>
  <si>
    <t>Suporte de fixação de eletrocalha de 200x100mm, no teto, através de gancho vertical (1 und), porca sextavada e arruela 1/4" (4 und), vergalhão rosca total 1/4" (h=60cm), cantoneira ZZ (1 und) e parafuso e bucha S8 (2 und)</t>
  </si>
  <si>
    <t>COMPOSIÇÕES INTERMEDIÁRIAS P/ ELETRICA</t>
  </si>
  <si>
    <t>Arame galvanizado 12 BWG (0.048 kg/m)</t>
  </si>
  <si>
    <t>Cabeçote de alumínio de 3/4"</t>
  </si>
  <si>
    <t>Canaleta sistema X Pial ou equivalente, inclusive conecções, 20x10x2200 mm, cod. 30801</t>
  </si>
  <si>
    <t>Fita isolante em rolo de 19mm x 20 m, número 33 Scoth ou equivalente</t>
  </si>
  <si>
    <t>Receptáculo (bocal) de louça para lâmpada incandescente</t>
  </si>
  <si>
    <t>Lâmpada fluorescente 40 W</t>
  </si>
  <si>
    <t>Arame de aço 14 BWG para guia</t>
  </si>
  <si>
    <t>Lâmpada fluorescente de 20W</t>
  </si>
  <si>
    <t>Soquete para lâmpada fluorescente</t>
  </si>
  <si>
    <t>CAIXAS DE PASSAGEM EMPREGANDO ARGAMASSA DE CIMENTO, CAL E AREIA</t>
  </si>
  <si>
    <t>Caixa de passagem de alvenaria de blocos cerâmicos 10 furos 10x20x20cm dimensões de 25x25x25cm, com revestimento interno em chapisco e reboco, tampa de concreto esp.5cm e lastro de brita 5 cm</t>
  </si>
  <si>
    <t>Caixa de passagem de alvenaria de blocos cerâmicos 10 furos 10x20x20cm dimensões de 50x50x50cm, com revestimento interno em chapisco e reboco, tampa de concreto esp.5cm e lastro de brita 5 cm</t>
  </si>
  <si>
    <t>Caixa de passagem de alvenaria de blocos cerâmicos 10 furos 10x20x20cm, dimensão de 30x30x30cm, com revestimento interno em chapisco e reboco, tampa de concreto esp. 5cm e lastro de brita 5cm</t>
  </si>
  <si>
    <t>Caixa de inspeção de alvenaria de blocos cerâmicos 10 furos 10x20x20cm dimensões de 30x30x60cm, com revestimento interno em chapisco e reboco, tampa de concreto esp.5cm e lastro de brita 5 cm</t>
  </si>
  <si>
    <t>Caixa de passagem de alvenaria de blocos de concreto 9x19x39cm, dimensões de 80x80x80m, com revestimento interno em chapisco e reboco tampa de concreto esp. 5cm e lastro de brita 5cm</t>
  </si>
  <si>
    <t>Caixa de passagem de alvenaria de blocos de concreto 9x19x39cm, dimensões de 1.00x1.00x1.00m, com revestimento interno em chapisco e reboco tampa de concreto esp. 5cm e lastro de brita 5cm</t>
  </si>
  <si>
    <t>ELETRODUTOS E CONEXÕES</t>
  </si>
  <si>
    <t>Cabeçote de alumínio de 1 1/4"</t>
  </si>
  <si>
    <t>Cabeçote de alumínio de 1 1/2"</t>
  </si>
  <si>
    <t>Haste de terra tipo COPPERWELD - 5/8" x 2.40m</t>
  </si>
  <si>
    <t>Sapatilha</t>
  </si>
  <si>
    <t>Bucha e arruela de alumínio fundido diâmetro 20mm (3/4")</t>
  </si>
  <si>
    <t>Bucha e arruela de alumínio fundido diâmetro 25mm (1")</t>
  </si>
  <si>
    <t>Bucha e arruela de alumínio fundido diâmetro 40mm (1 1/2")</t>
  </si>
  <si>
    <t>Bucha e arruela de alumínio fundido diâmetro 80mm (3")</t>
  </si>
  <si>
    <t>Parafuso de máquina de ferro galvanizado diâmetro 16mm</t>
  </si>
  <si>
    <t>Abertura e fechamento de rasgos em alvenaria, para passagem de eletrodutos diâm. 1/2" a 1"</t>
  </si>
  <si>
    <t>Abertura e fechamento de rasgos em alvenaria, para passagem de eletroduto diâm. 1 1/4"a 2"</t>
  </si>
  <si>
    <t>Abertura e fechamento de rasgos em alvenaria, para passagem de eletroduto diâm. 2 1/2" a 4"</t>
  </si>
  <si>
    <t>Abertura e fechamento de rasgos em concreto, para passagem de eletroduto diâm. 1/2" a 1"</t>
  </si>
  <si>
    <t>Abertura e fechamento de rasgos em concreto, para passagem de eletroduto diâm. 1 1/4" a 2"</t>
  </si>
  <si>
    <t>Abertura e fechamento de rasgos em concreto, para passagem de eletroduto diâm. 2 1/2" a 4"</t>
  </si>
  <si>
    <t>PADRAO DE ENTRADA DE ENERGIA - NORTEC-01 - ESCELSA</t>
  </si>
  <si>
    <t>Subestação ext. aérea trifás. 75KVA, completa, c/ quadros de medição, transf. a óleo, chave geral tripolar, poste e acessórios, conf. NOR-TEC-01 da Escelsa, incl. mureta rev. c/ arg. cimento, cal hidrat. CH1 e areia traço 1:0.5:6</t>
  </si>
  <si>
    <t>Subestação ext. aérea trifás. 112.5KVA, completa, c/ quadros de medição, transf. a óleo, chave geral trip., poste e acessórios, conf. NOR-TEC-01 da Escelsa, incl. mureta rev. c/ arg. cimento, cal hidrat. CH1 e areia traço 1:0.5:6</t>
  </si>
  <si>
    <t>Subestação ext. aérea trifás. 150KVA, completa, c/ quadros de medição, transf. a óleo, chave geral trip., poste e acessórios, conf. NOR-TEC-01 da Escelsa, incl. mureta rev. c/ arg. cimento, cal hidrat. CH1 e areia traço 1:0.5:6</t>
  </si>
  <si>
    <t>Subestação ext. aérea trifás. 225KVA, completa, c/ quadros de medição, transf. a óleo, chave geral trip., poste e acessórios, conf. NOR-TEC-01 da Escelsa, incl. mureta rev. c/ arg. cimento, cal hidrat. CH1 e areia traço 1:0.5:6</t>
  </si>
  <si>
    <t>PONTOS ELETRICOS REVISAO NR-10</t>
  </si>
  <si>
    <t>Ponto padrão de poste para iluminação externa - considerando eletroduto PVC rígido de 3/4" inclusive conexões (7.7m) e fio isolado PVC de 2.5mm2 (25.2.0m)</t>
  </si>
  <si>
    <t>Ponto padrão de tomada de piso - considerando eletroduto PVC rígido de 3/4" inclusive conexões (5.0m), fio isolado PVC de 2.5mm2 (18.0m) e caixa alumínio silício 4x4" (1 und)</t>
  </si>
  <si>
    <t>QUADROS DE DISTRIBUIÇÃO COM BARRAMENTO, TRINCO E FECHADURA</t>
  </si>
  <si>
    <t>Quadro distrib. energia, embutido ou semi embutido, capac. p/ 16 disj. DIN, c/barram trif. 100A barra. neutro e terra, fab. em chapa de aço 12 USG com porta, espelho, trinco com fechad ch yale, Ref. QDTN II-16DIN-CEMAR ou equiv.</t>
  </si>
  <si>
    <t>Quadro distrib. energia, embutido ou semi embutido, capac. p/ 28 disj. DIN, c/barram trif. 100A barra. neutro e terra, fab. em chapa de aço 12 USG com porta, espelho, trinco com fechad ch yale, Ref. QDTN II-28DIN-CEMAR ou equiv.</t>
  </si>
  <si>
    <t>Quadro distrib. energia, embutido ou semi embutido, capac. p/ 34 disj. DIN, c/barram trif. 100A barra. neutro e terra, fab. em chapa de aço 12 USG com porta, espelho, trinco com fechad ch yale, Ref. QDTN II-34DIN-CEMAR ou equiv</t>
  </si>
  <si>
    <t>Quadro distrib. energia, embutido ou semi embutido, capac. p/ 44 disj. DIN, c/barram trif. 100A barra. neutro e terra, fab. em chapa de aço 12 USG com porta, espelho, trinco com fechad ch yale, Ref. QDTN II-44DIN-CEMAR ou equiv</t>
  </si>
  <si>
    <t>Quadro distrib. energia, embutido ou semi embutido, capac. p/ 54 disj. DIN, c/barram trif. 100A barra. neutro e terra, fab. em chapa de aço 12 USG com porta, espelho, trinco com fechad ch yale, Ref. QDTN II-54DIN-CEMAR</t>
  </si>
  <si>
    <t>TERMINAIS, CONECTORES E ABRAÇADEIRAS</t>
  </si>
  <si>
    <t>OUTRAS INSTALAÇÕES</t>
  </si>
  <si>
    <t>INSTALAÇÃO DE TELEFONE</t>
  </si>
  <si>
    <t>Caixa de telefone em chapa de aço padrão TELEBRAS N. 6, 1200x1200x150 mm, com fundo de madeira</t>
  </si>
  <si>
    <t>Aterramento com haste de terra 5/8"x2.40m, cabo de cobre nú 6mm2 em caixa de concreto de dimensões internas de 30x30x30cm</t>
  </si>
  <si>
    <t>Caixa de telefone em chapa de aço padrão TELEBRAS do tipo CIE-2 200x200x120mm</t>
  </si>
  <si>
    <t>Caixa de telefone em chapa de aço padrão TELEBRAS do tipo CIE-4 600x600x120 mm</t>
  </si>
  <si>
    <t>Caixa para telefone padrão TELEMAR, dim. 1070 x 520 x 500 mm, com tampa de ferro tipo R2, assentada com argamassa de cimento, cal e areia</t>
  </si>
  <si>
    <t>Cabo telefônico CI, diâmetro do condutor 50mm, 30 pares</t>
  </si>
  <si>
    <t>Tomada para telefone com conector RJ 11</t>
  </si>
  <si>
    <t>INSTALAÇÃO DE GÁS</t>
  </si>
  <si>
    <t>INSTALAÇÃO DE PÁRA-RAIO</t>
  </si>
  <si>
    <t>Aterramento com haste terra 5/8" x 2.40, cabo de cobre nu 6mm2, inclusive caixa de concreto 30 x 30 cm</t>
  </si>
  <si>
    <t>Pára-raios tipo franklim incluindo base de fixação, conjunto de contraventagem c/abraçadeira p/3 estais em tubo e demais acessórios c/exceção do cabo de cobre de descida e suportes isoladores</t>
  </si>
  <si>
    <t>Condutor de cobre nú, seção de 35mm2, inclusive suportes isoladores e acessórios de fixação, conforme projeto</t>
  </si>
  <si>
    <t>Cabo condutor de cobre eletrolítico nu, tempera meio dura, encordoamento classe 2, para aterramento, diam. 50mm2</t>
  </si>
  <si>
    <t>Conector de medição em latão com 2 parafusos para cabos de 16 a 50 mm2, ref. TEL-562, Termotécnica ou equivalente</t>
  </si>
  <si>
    <t>Kit completo para solda Exotérmica (Molde HCL 5/8" Ref: TEL905611 / Cartucho n° 115 Ref: TEL 909115 / Alicate Z 201 Ref: TEL 998201), marca de referência Termotécnica ou equivalente</t>
  </si>
  <si>
    <t>Fixador universal latão estanhado p/ cabos 16 a 70 mm2 ref. 5024, incl. parafuso sextavado M6x45mm, arruela lisa 1/4", bucha nº8, vedação dos furos c/ poliuretano ref. 5905, marca de ref. Termotécnica ou equivalente</t>
  </si>
  <si>
    <t>Mastro simples 3mx1.1/2", uma descida, incl. base de fixação, captor, conj.de contraventagem c/abraçadeira p/3 estais em tubo e demais acessórios, excl. cabo de cobre de descida e suportes isoladores, ref.Termotécnica ou equiv.</t>
  </si>
  <si>
    <t>Mastro telescópico 5mx2", uma descida, incl. base de fixação, captor, conj.de contraventagem c/abraçadeira p/3 estais em tubo e demais acessórios excl. cabo de cobre de descida e suportes isoladores, ref. Termotécnica ou equiv.</t>
  </si>
  <si>
    <t>Caixa de inspeção em PVC, diâmetro 300 mm, ref TEL-552, marca de referência Termotécnica ou equivalente, inclusive escavação e reaterro</t>
  </si>
  <si>
    <t>Cabo de cobre nú 50mm2, ref. TEL 5750, marca de referência Termotécnica ou equivalente</t>
  </si>
  <si>
    <t>Cabo de cobre nú 35mm2, ref. TEL 5735, marca de referência Termotécnica ou equivalente</t>
  </si>
  <si>
    <t>Presilha de latão ref. 744, inclusive parafuso fenda DN 4,2x32mm e bucha nylon DN 6mm e vedação dos furos com poliuretano ref. 5905, marca de ref. Termotécnica ou equivalente</t>
  </si>
  <si>
    <t>Tampa reforçada em ferro fundido com escotilha TEL 536, inclusive assentamento, marca de referência Termotécnica ou equivalente</t>
  </si>
  <si>
    <t>Abraçadeira tipo "D" com cunha, diâmetro 1", ref. TEL-095, marca de referência Termotécnica ou equivalente</t>
  </si>
  <si>
    <t>Tampão para eletroduto 1", ref. TEL-5533, marca de referência Termotécnica ou equivalente</t>
  </si>
  <si>
    <t>Caixa de equalização de potenciais para uso interno e externo com cinco (5) terminais para aterramento (BEP), em polipropileno, ref. TEL-902, marca de referência Termotécnica ou equivalente</t>
  </si>
  <si>
    <t>Caixa de equalização de potenciais para uso interno e externo com nove (9) terminais para aterramento (BEP), em aço, com flange inferior e vedação na porta, ref. TEL-903, marca de referência Termotécnica ou equivalente</t>
  </si>
  <si>
    <t>Barra chata em alumínio 7/8"x1/8" (70mm²), com furos diâmetro 7 mm ref. TEL-771, marca de referência Termotécnica ou equivalente</t>
  </si>
  <si>
    <t>Barra chata em aço galvanizado a fogo 7/8"x1/8" (70mm²), com furos diâm. 7mm ref. TEL-761, marca de referência Termotécnica ou equivalente</t>
  </si>
  <si>
    <t>Terminal estanhado de 1 compressão 1 furo, 35mm², ref. TEL-5135, marca de referência Termotécnica ou equivalente</t>
  </si>
  <si>
    <t>Curva 90º de barra chata em alumínio 7/8"x1/8"x300mm, 70mm², ref. TEL-778, marca de referência Termotécnica ou equivalente</t>
  </si>
  <si>
    <t>Fixador ômega em latão ref. 733, inclusive parafuso fenda DN 4,2x32mm, bucha nylon DN 6mm e vedação dos furos com poliuretano ref. 5905, marca de ref. Termotécnica ou equivalente</t>
  </si>
  <si>
    <t>Cordoalha flexível 25x100 mm, com dois furos, diâmetro 11 mm, ref. TEL-5701, marca de referência Termotécnica ou equivalente</t>
  </si>
  <si>
    <t>Fita perfurada em latão niquelado 20mm x 0,8mm, para equalização de potenciais, ref. TEL-750, marca de referência Termotécnica ou equivalente</t>
  </si>
  <si>
    <t>Cabo de cobre nú 50 mm2, ref. TEL-5750, marca de referência Termotécnica ou equivalente, inclusive abertura e fechamento de vala para cabo dimensões 50x20cm</t>
  </si>
  <si>
    <t>Terminal estanhado de 1 compressão 1 furo, 50mm², ref. TEL-5150, marca de referência Termotécnica ou equivalente</t>
  </si>
  <si>
    <t>INSTALAÇÃO DE INCÊNDIO</t>
  </si>
  <si>
    <t>Ponto para seta indicativa de saída, incl. seta em acrílico, com fonte alimentadora própria que assegure um funcionamento mínimo de 1h, para quando ocorrer falta de energia elétrica na rede pública, conforme projeto</t>
  </si>
  <si>
    <t>Ponto para iluminação de emergência completo, inclusive bloco autônomo de iluminação 2x9W com tomada universal</t>
  </si>
  <si>
    <t>DEPÓSITO DE GÁS</t>
  </si>
  <si>
    <t>Chapisco com argamassa de cimento e areia média ou grossa sem peneirar no traço 1:3, espessura 5 mm</t>
  </si>
  <si>
    <t>Fornecimento, preparo e aplicação de concreto armado Fck=15 MPa, inclusive forma, armação e desforma para lajes maciças</t>
  </si>
  <si>
    <t>Pintura com tinta látex PVA Suvinil, Coral ou Metalatex, inclusive selador em paredes internas e forros a três demãos</t>
  </si>
  <si>
    <t>Pintura com tinta acrílica Suvinil, Coral ou Metalatex, inclusive selador acrílico, em paredes externas a três demãos</t>
  </si>
  <si>
    <t>Estrado de madeira de lei tipo Paraju ou equivalente conforme detalhe em projeto</t>
  </si>
  <si>
    <t>Alvenaria de blocos de concreto 9x19x39 c/ resist. min comp. 2.5MPa, assentado c/ argamassa de cimento, cal hidratada CH1 e areia traço 1:0,5:8, esp.juntas 10mm e esp. paredes, sem revestimento, 9cm</t>
  </si>
  <si>
    <t>Reboco tipo paulista com argamassa de cimento, cal hidratada CH1 e areia no traço 1:0,5:6, espessura 25mm</t>
  </si>
  <si>
    <t>Tela em arame galvanizado de 1"e fio 10 para ventilação de casa de gás, chumbada com argamassa de cimento, cal e areia</t>
  </si>
  <si>
    <t>Porta de correr de chapa galvanizada nº 14 - pintura com esmalte sintetico acetinado sobre zarcão, com tela quebra chama em malha 2 a 5mm</t>
  </si>
  <si>
    <t>Lastro regularizado e impermeabilizado de concreto não estrutural, esp. de 8cm</t>
  </si>
  <si>
    <t>Fornecimento, preparo e aplicação de concreto Fck = 15MPa (brita 1 e 2) - (5% de perdas)</t>
  </si>
  <si>
    <t>Pintura com tinta esmalte sintético Suvinil, Coral ou Metalatex a duas demãos, inclusive fundo anti corrosivo a uma demão, em metal</t>
  </si>
  <si>
    <t>Conector RJ 45 macho</t>
  </si>
  <si>
    <t>APARELHOS HIDRO-SANITÁRIOS</t>
  </si>
  <si>
    <t>LOUÇAS</t>
  </si>
  <si>
    <t>Bancada de mármore esp. 3cm</t>
  </si>
  <si>
    <t>Bancada de granito com espessura de 2 cm</t>
  </si>
  <si>
    <t>Laje armada espessura de 3cm p/ enchimento de fundo de bancada inox</t>
  </si>
  <si>
    <t>Bancada e tanque para panelões em granito cinza andorinha, esp. 2cm, dim. 0.80x1.10m, base de concreto e apoio em alvenaria, frontão h=10cm, incl. válvula e sifão, exclusive torneira, conf. det. projeto</t>
  </si>
  <si>
    <t>TORNEIRAS, REGISTROS, VÁLVULAS E METAIS</t>
  </si>
  <si>
    <t>Registro de pressão com canopla cromada diam. 15mm (1/2"), marcas de referência Fabrimar, Deca ou Docol</t>
  </si>
  <si>
    <t>Registro de pressão com canopla cromada diam. 20mm (3/4"), marcas de referência Fabrimar, Deca ou Docol</t>
  </si>
  <si>
    <t>Registro de gaveta com canopla cromada diam. 15mm (1/2"), marcas de referência Fabrimar, Deca ou Docol</t>
  </si>
  <si>
    <t>Registro de gaveta com canopla cromada, diam. 20mm (3/4"), marcas de referência Fabrimar, Deca ou Docol</t>
  </si>
  <si>
    <t>Registro de gaveta com canopla cromada diam. 25mm (1"), marcas de referência Fabrimar, Deca ou Docol</t>
  </si>
  <si>
    <t>Registro de gaveta com canopla cromada diam 32mm (11/4"), marcas de referência Fabrimar, Deca ou Docol</t>
  </si>
  <si>
    <t>OUTROS APARELHOS</t>
  </si>
  <si>
    <t>Lavatório de aço inox, liga AISI 304, N° 18, marcas de referência Fisher, Metalpress ou Mekal, inclusive apoio de concreto, argamassa de apoio e assentamento, válvula e sifão cromados, exclusive torneira, conf. projeto</t>
  </si>
  <si>
    <t>Escovário de aço inox, liga AISI 304, N° 18, marcas de referência Fischer, Metalpress ou Mekal, inclusive apoio de concreto, argamassa de apoio e assentamento, válvula e sifão cromados, exclusive torneira, conf. projeto</t>
  </si>
  <si>
    <t>Tanque de aço inox nº 2, marcas de referência Fisher, Metalpress ou Mekal, inclusive válvula de metal e sifão</t>
  </si>
  <si>
    <t>Bebedouro de aço inox, marcas de referência Fisher, Metalpress ou Mekal, inclusive válvula, sifão cromado e torneiras, exclusive alvenaria, dim. 0.45x2.75 m, conforme detalhe em projeto</t>
  </si>
  <si>
    <t>Mictório coletivo de aço inox, liga AISI-304 n.18, marcas de referência Fisher, Metalpress ou Mekal, dimensões 1.80x0.30m, com tubo espargidor</t>
  </si>
  <si>
    <t>Cuba de aço inox n° 1(dim.460x300x150)mm, marcas de referência Franke, Strake, tramontina, inclusive válvula de metal 31/2" e sifão cromado 1 x 1/2", excl. torneira</t>
  </si>
  <si>
    <t>Tanque simples de aço inox Fischer, mod. TQ1-S AISI 304, ou equivalente nas marcas Metalpress ou Mekal, inclusive válvula de metal 1 1/4" e sifão cromado 2", excl. torneira</t>
  </si>
  <si>
    <t>Cuba p/ panelões de aço inox 80x60x40 cm, marcas de referência Fisher, Metalpress ou Mekal, inclusive válvula metal 1 1/4" e sifão cromado 1 x 1 1/2", excl. torneira</t>
  </si>
  <si>
    <t>Tanque duplo de aço inox AISI 304, marcas de referência Fisher (mod TQI-D) Metalpress ou Mekal, inclusive válvulas de metal 1 1/4" e sifão cromado 2", excl. torneiras</t>
  </si>
  <si>
    <t>Ducha manual Acqua jet , linha Aquarius, com registro ref.C 2195, marcas de referência Fabrimar, Deca ou Docol</t>
  </si>
  <si>
    <t>Cabide simples de um gancho, linha Versailles, ref. 08, acabamento cromado, da Moldenox, Docol ou Deca</t>
  </si>
  <si>
    <t>Cuba em aço inox nº 02(dim.560x340x150)mm, marcas de referência Franke, Strake, tramontina, inclusive válvula de metal 31/2" e sifão cromado 1 x 1/2", excl. torneira</t>
  </si>
  <si>
    <t>Pia em aço inox com 01 cuba nº 1, dimensões de 0.60 x 1.50m, inclusive válvula tipo americana, exclusive sifão</t>
  </si>
  <si>
    <t>Pia em aço inox com 02 cubas nº 1, dimensões 0.60 x 2.50, inclusive válvula tipo americana, exclusive sifão</t>
  </si>
  <si>
    <t>Pia em aço inox com 01 cuba nº 1, dimensões de 0.60 x 1.80m, inclusive válvula americana, exclusive sifão</t>
  </si>
  <si>
    <t>Pia em aço inox com 02 cubas nº 2, dimensões de 0.60 x 2.10m, inclusive válvula americana, exclusive sifão</t>
  </si>
  <si>
    <t>Assento plástico para vaso sanitário, marcas de referência Deca, Celite ou Ideal Standard</t>
  </si>
  <si>
    <t>Chuveiro frio de PVC, marcas de referência Atlas, Cipla ou Akros</t>
  </si>
  <si>
    <t>Mictório de aço inox, marcas de referência Fisher, Metalpress ou Mekal, com 30 cm de largura e comp. variável, inclusive válvula tipo americana, engate flexível cromado, válvula de descarga, sifão cromado e conjunto de fixação</t>
  </si>
  <si>
    <t>Bebedouro em aço inox coletivo, marcas de referência Fisher, Metalpress ou Mekal, inclusive base de apoio em concreto e fechamento em alvenaria revestida com azulejo, inclusive válvula e sifão, exclusive torneiras</t>
  </si>
  <si>
    <t>LUMINÁRIAS</t>
  </si>
  <si>
    <t>INTERRUPTORES E TOMADAS</t>
  </si>
  <si>
    <t>Interruptor de uma tecla simples 10A/250V, com placa 4x2"</t>
  </si>
  <si>
    <t>Interruptor de duas teclas simples 10A/250V, com placa 4x2"</t>
  </si>
  <si>
    <t>Interruptor pulsador de campainha 10A/250V, com placa 4x2"</t>
  </si>
  <si>
    <t>Tomada de 3 polos 20A/250V, com placa 4x2"</t>
  </si>
  <si>
    <t>Interruptor de três teclas simples 10 A/250 V e duas teclas simples 10A/250V, com placa 4x4"</t>
  </si>
  <si>
    <t>Interruptor de três teclas simples 10A/250V, c/ placa 4x2"</t>
  </si>
  <si>
    <t>Espelho para caixa estampada 4 x 2"</t>
  </si>
  <si>
    <t>Espelho para caixa estampada 4 x 4"</t>
  </si>
  <si>
    <t>Tomada coaxial 75 ohms para TV</t>
  </si>
  <si>
    <t>BOMBAS</t>
  </si>
  <si>
    <t>Bomba centrífuga monofásica 1/2 CV</t>
  </si>
  <si>
    <t>Bomba centrífuga monofásica 3/4 CV</t>
  </si>
  <si>
    <t>Bomba centrifuga trifásica 2CV</t>
  </si>
  <si>
    <t>Bomba elétrica centrífuga monofásica 1 CV</t>
  </si>
  <si>
    <t>VENTILADORES</t>
  </si>
  <si>
    <t>Ventilador de teto base madeira sem alojamento para luminária, ref. Tron ou equivalente, com comando de interruptor simples, sem dimer para regulagem de velocidade</t>
  </si>
  <si>
    <t>Campainha tipo timbre Pial, cod. 412.77 ou equivalente</t>
  </si>
  <si>
    <t>Campainha tipo prato Pial, cod. 414.18</t>
  </si>
  <si>
    <t>Chuveiro elétrico tipo ducha Lorenzet ou Corona</t>
  </si>
  <si>
    <t>SOBRE PAREDES E FORROS</t>
  </si>
  <si>
    <t>Emassamento de paredes e forros, com duas demãos de massa à base de óleo, marcas de referência Suvinil, Coral ou Metalatex</t>
  </si>
  <si>
    <t>Pintura com nata de cimento sobre superfície áspera a três demãos</t>
  </si>
  <si>
    <t>SOBRE CONCRETO OU BLOCOS CERÂMICOS APARENTES</t>
  </si>
  <si>
    <t>SOBRE MADEIRA</t>
  </si>
  <si>
    <t>SOBRE METAL</t>
  </si>
  <si>
    <t>Pintura de superfície metálica com uma demão de primer Epoxi e duas demãos de tinta à base de Epoxi</t>
  </si>
  <si>
    <t>SOBRE ELEMENTOS ESPECIAIS</t>
  </si>
  <si>
    <t>SOBRE PISOS</t>
  </si>
  <si>
    <t>SERVIÇOS COMPLEMENTARES EXTERNOS</t>
  </si>
  <si>
    <t>Alambrado c/ tela losangular de arame fio 12 malha 2" revest. em PVC com tubo de ferro galvanizado vertical de 2 1/2" e horizontal de 1" incl. portão, pintados com esmalte sobre fundo anticorrosivo</t>
  </si>
  <si>
    <t>Cerca de madeira com ripas de 7 x 2 cm, altura de 1.50 m e caibro de 8 x 8 cm em madeira de lei espaçados a cada 2.0 m</t>
  </si>
  <si>
    <t>Muro de arrimo de concreto ciclópico com aterro na parte posterior, inclusive forma de madeira e dreno de brita</t>
  </si>
  <si>
    <t>Cerca H=2.30cm, c/tela losang. arame fio 12 malha 2" revest. em PVC com mourão curvo de concreto H=3,20m, secção T, fixado emsolo, a cada 3m, c/3 fios de arame farpado na parte curva, incl 3 fios tensores, chumbadores e sapata de 40x40x50cm</t>
  </si>
  <si>
    <t>Muro de alvenaria de blocos cerâmicos 10x20x20cm, c/ pilares a cada 2 m, esp. 10cm e h=2.5m, revestido com chapisco, reboco e pintura acrílica a 2 demãos, incl. pilares, cintas e sapatas, empregando arg. cimento cal e areia</t>
  </si>
  <si>
    <t>Alambrado sobre muro existente, executado em tela fio 12 malha 3", com 02 fios tensores, fixados em tubos de FG 11/2" colocados a cada 3m (h do alambrado =1,5m), inlcusive chumbamento no muro</t>
  </si>
  <si>
    <t>Cerca com mourão de concreto reto H=2.5, base quadrada 10x10cm, fixado em solo a cada 3.0m, com 10 fios de arame galvanizado liso nº 10</t>
  </si>
  <si>
    <t>Gradil H = 1.90m padrão SEDU em tudo de FG 2" e barra chata de 11/2"x1/4", para fixação sobre mureta conforme projeto, exclusive a mureta.</t>
  </si>
  <si>
    <t>Gradil H = 1.90m padrão SEDU em tubo de FG 31/2" e barra chata de 2"x1/4" para fixação sobre mureta conforme projeto, exclusive a mureta.</t>
  </si>
  <si>
    <t>Canaleta no piso em concreto simples com dimensões internas de 20 x 10 cm e grelha em ferro diam. 1/2" a cada 3 cm fixados em cantoneira de 3/4" x 1/8" apoiada sobre requadro em cantoneira de 1" x 3/16"</t>
  </si>
  <si>
    <t>Fornecimento de grama tipo esmeralda em placas com espessura de 0.06 m, exclusive plantio</t>
  </si>
  <si>
    <t>Fornecimento e espalhamento de areia média lavada</t>
  </si>
  <si>
    <t>Fornecimento e espalhamento de brita 1 ou 2</t>
  </si>
  <si>
    <t>Fornecimento e espalhamento de terra vegetal</t>
  </si>
  <si>
    <t>Fornecimento e espalhamento de pó de pedra</t>
  </si>
  <si>
    <t>Fornecimento e plantio de grama em placas tipo esmeralda, inclusive fornecimento de terra vegetal</t>
  </si>
  <si>
    <t>TRATAMENTO, CONSERVAÇÃO E LIMPEZA</t>
  </si>
  <si>
    <t>Limpeza geral de obras (quadras, praças e jardins)</t>
  </si>
  <si>
    <t>Banco de concreto aparente com tampo de 40x40x5 cm e base de 20x20x36 cm para mesa de jogos, conforme detalhe em projeto</t>
  </si>
  <si>
    <t>Mesa de concreto aparente com tampo de 60x60x5 cm, base de 30x30x75 cm e tabuleiro 40x40cm embutido no concreto, feito com pastilhas de mármore branco e granito preto de 5x5x2cm conf. projeto</t>
  </si>
  <si>
    <t>Caixa pré-moldada de concreto para aparelho de ar condicionado de 18.000 BTU</t>
  </si>
  <si>
    <t>Banco de concreto armado aparente com apoios de alvenaria assentada com argamassa de cimento, cal e areia, largura de 0,50m e espessura de 0,05m</t>
  </si>
  <si>
    <t>Poço c/ anéis pré-moldados diam. 1.5m e profundidade de 7m, inclusive fornecimento</t>
  </si>
  <si>
    <t>Bicicletário em tubo de ferro galvanizado 1" e ferro liso 1/2", inclusive pintura, conforme projeto padrão SEDU</t>
  </si>
  <si>
    <t>Placa para inauguração de obra em alumínio polido e=4mm, dimensões 40 x 50 cm, gravação em baixo relevo, inclusive pintura e fixação</t>
  </si>
  <si>
    <t>QUADRA DE ESPORTES (Ver nota 9 da planilha)</t>
  </si>
  <si>
    <t>Piso quadra poliesp. fck=25MPa, esp.=10 cm, armado c/ tela Q138, concret camada única bombeável c/ brita n. 1, acab. sup. c/ rotoalisador, juntas c/ corte serra diamant. preench. c/ mastique, base 5cm solo brita 30% e resina endur</t>
  </si>
  <si>
    <t>Pintura à base de epoxi, marcas de referência Suvinil, Coral ou Novacor, em faixas com largura de 5cm, para demarcação de quadras de esportes</t>
  </si>
  <si>
    <t>Pintura com tinta à base de resinas acrílicas, marcas de referencia Suvinil, Coral ou Novacor, sobre piso de concreto a duas demãos</t>
  </si>
  <si>
    <t>Rede para voleibol com malha grossa, faixas de lona superior e inferior</t>
  </si>
  <si>
    <t>Suporte para tabela de basquete de concreto armado Fck = 15MPa, inclusive forma, armação, lançamento e desforma</t>
  </si>
  <si>
    <t>Trave para futebol de salão de tubo de ferro galvanizado 3", com recuo, removível, dimensões oficiais 3x2m</t>
  </si>
  <si>
    <t>Conjunto de poste de voleibol de tubo de ferro galvanizado 3"e parte móvel de 21/2", inclusive carretilha, furo com tubo de ferro galvanizado de 31/2"e tampão de furo</t>
  </si>
  <si>
    <t>Tabela de basquete de madeira, com aro, inclusive colocação</t>
  </si>
  <si>
    <t>Alambrado com tela fio 12, malha de 1", tubos de ferro galvanizado verticais de 2" e tubos de ferro galvanizado horizontais de 1" soldados nas partes superior e inferior, inclusive portão</t>
  </si>
  <si>
    <t>Rede para futebol de salão</t>
  </si>
  <si>
    <t>Preparo, regularização e compactação do terreno (compactador manual) para execução de piso de quadra</t>
  </si>
  <si>
    <t>Mureta em alvenaria de blocos cerâmicos 10x20x20cmm, h=0.60cm, para fechamento de quadra, com pilaretes de travamento em concreto armado a cada 3m, inclusive chapisco</t>
  </si>
  <si>
    <t>Parede em alvenaria de bloco cerâmico 10x20x20cm, h=2m, para proteção de fundo de gol (quadra poliesportiva), com pilares em concreto armado a cada 3m para travamento, inclusive chapisco</t>
  </si>
  <si>
    <t>Goivete nas dimensões 2x1 executado sobre alvenaria chapiscada e rebocada</t>
  </si>
  <si>
    <t>Forn e assent de telhas de liga de alumínio e zinco (galvalume), ondulada, esp. mínima 0.43mm, alt. mínima de onda 17mm, sobrep. lateral de uma onda e longit. 200mm c/ mínimo de 3 apoios, assent. c/ utiliz. de fitas anti-corrosiva</t>
  </si>
  <si>
    <t>Pintura a base de epoxi, marcas de referência Suvinil, Coral ou Novacor, em faixas largura de 8cm para demarcação de quadra de esportes</t>
  </si>
  <si>
    <t>Recuperação de piso de quadra com demolição parcial do concreto e aplicação de granilite, inclusive regularização</t>
  </si>
  <si>
    <t>Alambrado com tela losangular de arame fio 12, malha 2" revestido em PVC com tubo de ferro galvanizado vertical de 21/2" e horizontal de 1", inclusive portão, pintados com esmalte sobre fundo anti corrosivo</t>
  </si>
  <si>
    <t>SERVIÇOS COMPLEMENTARES INTERNOS</t>
  </si>
  <si>
    <t>QUADROS DE GIZ / AVISO</t>
  </si>
  <si>
    <t>Quadro de avisos de fórmica lisa brilhante</t>
  </si>
  <si>
    <t>Quadro mural de azulejo extra 15 x 15 cm e moldura de madeira de lei de 7.0 x 2.5 cm nas dimensões de 2.09 x 1.04 m</t>
  </si>
  <si>
    <t>ARMÁRIOS E PRATELEIRAS</t>
  </si>
  <si>
    <t>Prateleiras em granito cinza andorinha, esp. 2cm</t>
  </si>
  <si>
    <t>DIVERSOS INTERNOS</t>
  </si>
  <si>
    <t>Guarda corpo de tubo de ferro galvanizado, diâm. 3" e 2", h=0.8 m inclusive pintura a óleo ou esmalte</t>
  </si>
  <si>
    <t>Banco de concreto armado aparente Fck=15 MPa, com apoios de concreto, largura de 45cm, espessura de 7cm e altura de 45cm</t>
  </si>
  <si>
    <t>Alçapão de visita ao barrilete de chapa de madeira de lei medindo 60x60cm, inclusive dobradiça, marco, alizar e fechadura, emassamento e pintura</t>
  </si>
  <si>
    <t>Proteção para caixa de descarga em malha de ferro 3/4" fio 12, perfil "L" 1" e barra chata 3/4" x 1/8", conf. detalhe</t>
  </si>
  <si>
    <t>Corrimão em tubo de ferro galvanizado diam. 2" com chumbadores a cada 1.5m</t>
  </si>
  <si>
    <t>APOIO</t>
  </si>
  <si>
    <t>Locação de veículo tipo Gol 1.000 a gasolina ou equivalente, com até 1 (um) ano de uso, em bom estado de conservação com:</t>
  </si>
  <si>
    <t>SERVIÇOS GERAIS</t>
  </si>
  <si>
    <t>ENCARGOS COMPLEMENTARES - EQUIPAMENTOS DE PROTEÇÃO INDIVIDUAL</t>
  </si>
  <si>
    <t>Capacete de obra</t>
  </si>
  <si>
    <t>Uniforme de obra (Calça e camisa)</t>
  </si>
  <si>
    <t>Veste de segurança</t>
  </si>
  <si>
    <t>Bota de segurança (par)</t>
  </si>
  <si>
    <t>Óculos de proteção</t>
  </si>
  <si>
    <t>Luva de raspa (par)</t>
  </si>
  <si>
    <t>Capa de chuva</t>
  </si>
  <si>
    <t>Máscara de ar</t>
  </si>
  <si>
    <t>Cinto de segurança</t>
  </si>
  <si>
    <t>ENCARGOS COMPLEMENTARES - FERRAMENTAS MANUAIS</t>
  </si>
  <si>
    <t>Picareta com cabo</t>
  </si>
  <si>
    <t>Pá de pedreiro com cabo</t>
  </si>
  <si>
    <t>Enxada com cabo</t>
  </si>
  <si>
    <t>Serrote 26"</t>
  </si>
  <si>
    <t>Martelo com cabo</t>
  </si>
  <si>
    <t>Nivel de pedreiro</t>
  </si>
  <si>
    <t>Alicate universal</t>
  </si>
  <si>
    <t>Marreta 5 Kg com cabo</t>
  </si>
  <si>
    <t>Chave de grifo 10"</t>
  </si>
  <si>
    <t>Jogo de chave de fenda</t>
  </si>
  <si>
    <t>Cavadeira de braço</t>
  </si>
  <si>
    <t>Serra Tico-tico</t>
  </si>
  <si>
    <t>Serra de disco (circular)</t>
  </si>
  <si>
    <t>Carrinho de mão</t>
  </si>
  <si>
    <t>ms</t>
  </si>
  <si>
    <t>LEIS SOCIAIS</t>
  </si>
  <si>
    <t>TABELA DE INSUMOS</t>
  </si>
  <si>
    <t>Unidade</t>
  </si>
  <si>
    <t>Preço 1Q (R$)</t>
  </si>
  <si>
    <t>Preço Med (R$)</t>
  </si>
  <si>
    <t>Preço 3Q (R$)</t>
  </si>
  <si>
    <t>MES</t>
  </si>
  <si>
    <t>T</t>
  </si>
  <si>
    <t>SC25KG</t>
  </si>
  <si>
    <t>VALOR COM BDI (R$)</t>
  </si>
  <si>
    <t>CHP</t>
  </si>
  <si>
    <t>GRADE DE DISCO CONTROLE REMOTO REBOCÁVEL, COM 24 DISCOS 24 X 6 MM COM PNEUS PARA TRANSPORTE - CHP DIURNO. AF_06/2014</t>
  </si>
  <si>
    <t>MOTONIVELADORA POTÊNCIA BÁSICA LÍQUIDA (PRIMEIRA MARCHA) 125 HP, PESO BRUTO 13032 KG, LARGURA DA LÂMINA DE 3,7 M - CHP DIURNO. AF_06/2014</t>
  </si>
  <si>
    <t>PROJETOR DE ARGAMASSA, CAPACIDADE DE PROJEÇÃO 1,5 M3/H, ALCANCE DE 30 ATÉ 60 M, MOTOR ELÉTRICO POTÊNCIA 7,5 HP - CHP DIURNO. AF_06/2014</t>
  </si>
  <si>
    <t>TRATOR DE PNEUS, POTÊNCIA 85 CV, TRAÇÃO 4X4, PESO COM LASTRO DE 4.675 KG - CHP DIURNO. AF_06/2014</t>
  </si>
  <si>
    <t>RECICLADORA DE ASFALTO A FRIO SOBRE RODAS, LARGURA FRESAGEM DE 2,0 M, POTÊNCIA 422 HP - CHP DIURNO. AF_11/2014</t>
  </si>
  <si>
    <t>BATE-ESTACAS POR GRAVIDADE, POTÊNCIA DE 160 HP, PESO DO MARTELO ATÉ 3 TONELADAS - CHP DIURNO. AF_11/2014</t>
  </si>
  <si>
    <t>PERFURATRIZ MANUAL, TORQUE MÁXIMO 83 N.M, POTÊNCIA 5 CV, COM DIÂMETRO MÁXIMO 4" - CHP DIURNO. AF_06/2015</t>
  </si>
  <si>
    <t>PERFURATRIZ SOBRE ESTEIRA, TORQUE MÁXIMO 600 KGF, PESO MÉDIO 1000 KG, POTÊNCIA 20 HP, DIÂMETRO MÁXIMO 10" - CHP DIURNO. AF_06/2015</t>
  </si>
  <si>
    <t>COMPRESSOR DE AR REBOCÁVEL, VAZÃO 89 PCM, PRESSÃO EFETIVA DE TRABALHO 102 PSI, MOTOR DIESEL, POTÊNCIA 20 CV - CHP DIURNO. AF_06/2015</t>
  </si>
  <si>
    <t>CHI</t>
  </si>
  <si>
    <t>MOTONIVELADORA POTÊNCIA BÁSICA LÍQUIDA (PRIMEIRA MARCHA) 125 HP, PESO BRUTO 13032 KG, LARGURA DA LÂMINA DE 3,7 M - CHI DIURNO. AF_06/2014</t>
  </si>
  <si>
    <t>PROJETOR DE ARGAMASSA, CAPACIDADE DE PROJEÇÃO 1,5 M3/H, ALCANCE DE 30 ATÉ 60 M, MOTOR ELÉTRICO POTÊNCIA 7,5 HP - CHI DIURNO. AF_06/2014</t>
  </si>
  <si>
    <t>TRATOR DE PNEUS, POTÊNCIA 85 CV, TRAÇÃO 4X4, PESO COM LASTRO DE 4.675 KG - CHI DIURNO. AF_06/2014</t>
  </si>
  <si>
    <t>BATE-ESTACAS POR GRAVIDADE, POTÊNCIA DE 160 HP, PESO DO MARTELO ATÉ 3 TONELADAS - CHI DIURNO. AF_11/2014</t>
  </si>
  <si>
    <t>RECICLADORA DE ASFALTO A FRIO SOBRE RODAS, LARGURA FRESAGEM DE 2,0 M, POTÊNCIA 422 HP - CHI DIURNO. AF_11/2014</t>
  </si>
  <si>
    <t>PERFURATRIZ MANUAL, TORQUE MÁXIMO 83 N.M, POTÊNCIA 5 CV, COM DIÂMETRO MÁXIMO 4" - CHI DIURNO. AF_06/2015</t>
  </si>
  <si>
    <t>PERFURATRIZ SOBRE ESTEIRA, TORQUE MÁXIMO 600 KGF, PESO MÉDIO 1000 KG, POTÊNCIA 20 HP, DIÂMETRO MÁXIMO 10" - CHI DIURNO. AF_06/2015</t>
  </si>
  <si>
    <t>COMPRESSOR DE AR REBOCÁVEL, VAZÃO 89 PCM, PRESSÃO EFETIVA DE TRABALHO 102 PSI, MOTOR DIESEL, POTÊNCIA 20 CV - CHI DIURNO. AF_06/2015</t>
  </si>
  <si>
    <t>TRATOR DE PNEUS, POTÊNCIA 85 CV, TRAÇÃO 4X4, PESO COM LASTRO DE 4.675 KG - MANUTENÇÃO. AF_06/2014</t>
  </si>
  <si>
    <t>TRATOR DE PNEUS, POTÊNCIA 85 CV, TRAÇÃO 4X4, PESO COM LASTRO DE 4.675 KG - MATERIAIS NA OPERAÇÃO. AF_06/2014</t>
  </si>
  <si>
    <t>MOTONIVELADORA POTÊNCIA BÁSICA LÍQUIDA (PRIMEIRA MARCHA) 125 HP, PESO BRUTO 13032 KG, LARGURA DA LÂMINA DE 3,7 M - MANUTENÇÃO. AF_06/2014</t>
  </si>
  <si>
    <t>PROJETOR DE ARGAMASSA, CAPACIDADE DE PROJEÇÃO 1,5 M3/H, ALCANCE DE 30 ATÉ 60 M, MOTOR ELÉTRICO POTÊNCIA 7,5 HP - DEPRECIAÇÃO. AF_06/2014</t>
  </si>
  <si>
    <t>PROJETOR DE ARGAMASSA, CAPACIDADE DE PROJEÇÃO 1,5 M3/H, ALCANCE DE 30 ATÉ 60 M, MOTOR ELÉTRICO POTÊNCIA 7,5 HP - JUROS. AF_06/2014</t>
  </si>
  <si>
    <t>PROJETOR DE ARGAMASSA, CAPACIDADE DE PROJEÇÃO 1,5 M3/H, ALCANCE DE 30 ATÉ 60 M, MOTOR ELÉTRICO POTÊNCIA 7,5 HP - MANUTENÇÃO. AF_06/2014</t>
  </si>
  <si>
    <t>TRATOR DE PNEUS, POTÊNCIA 85 CV, TRAÇÃO 4X4, PESO COM LASTRO DE 4.675 KG - DEPRECIAÇÃO. AF_06/2014</t>
  </si>
  <si>
    <t>TRATOR DE PNEUS, POTÊNCIA 85 CV, TRAÇÃO 4X4, PESO COM LASTRO DE 4.675 KG - JUROS. AF_06/2014</t>
  </si>
  <si>
    <t>BATE-ESTACAS POR GRAVIDADE, POTÊNCIA DE 160 HP, PESO DO MARTELO ATÉ 3 TONELADAS - DEPRECIAÇÃO. AF_11/2014</t>
  </si>
  <si>
    <t>BATE-ESTACAS POR GRAVIDADE, POTÊNCIA DE 160 HP, PESO DO MARTELO ATÉ 3 TONELADAS - JUROS. AF_11/2014</t>
  </si>
  <si>
    <t>BATE-ESTACAS POR GRAVIDADE, POTÊNCIA DE 160 HP, PESO DO MARTELO ATÉ 3 TONELADAS - MANUTENÇÃO. AF_11/2014</t>
  </si>
  <si>
    <t>BATE-ESTACAS POR GRAVIDADE, POTÊNCIA DE 160 HP, PESO DO MARTELO ATÉ 3 TONELADAS - MATERIAIS NA OPERAÇÃO. AF_11/2014</t>
  </si>
  <si>
    <t>MOTONIVELADORA POTÊNCIA BÁSICA LÍQUIDA (PRIMEIRA MARCHA) 125 HP, PESO BRUTO 13032 KG, LARGURA DA LÂMINA DE 3,7 M - DEPRECIAÇÃO. AF_06/2014</t>
  </si>
  <si>
    <t>MOTONIVELADORA POTÊNCIA BÁSICA LÍQUIDA (PRIMEIRA MARCHA) 125 HP, PESO BRUTO 13032 KG, LARGURA DA LÂMINA DE 3,7 M - JUROS. AF_06/2014</t>
  </si>
  <si>
    <t>RECICLADORA DE ASFALTO A FRIO SOBRE RODAS, LARGURA FRESAGEM DE 2,0 M, POTÊNCIA 422 HP - DEPRECIAÇÃO. AF_11/2014</t>
  </si>
  <si>
    <t>RECICLADORA DE ASFALTO A FRIO SOBRE RODAS, LARGURA FRESAGEM DE 2,0 M, POTÊNCIA 422 HP - JUROS. AF_11/2014</t>
  </si>
  <si>
    <t>RECICLADORA DE ASFALTO A FRIO SOBRE RODAS, LARGURA FRESAGEM DE 2,0 M, POTÊNCIA 422 HP - MANUTENÇÃO. AF_11/2014</t>
  </si>
  <si>
    <t>RECICLADORA DE ASFALTO A FRIO SOBRE RODAS, LARGURA FRESAGEM DE 2,0 M, POTÊNCIA 422 HP - MATERIAIS NA OPERAÇÃO. AF_11/2014</t>
  </si>
  <si>
    <t>PERFURATRIZ MANUAL, TORQUE MÁXIMO 83 N.M, POTÊNCIA 5 CV, COM DIÂMETRO MÁXIMO 4" - DEPRECIAÇÃO. AF_06/2015</t>
  </si>
  <si>
    <t>PERFURATRIZ MANUAL, TORQUE MÁXIMO 83 N.M, POTÊNCIA 5 CV, COM DIÂMETRO MÁXIMO 4" - JUROS. AF_06/2015</t>
  </si>
  <si>
    <t>PERFURATRIZ MANUAL, TORQUE MÁXIMO 83 N.M, POTÊNCIA 5 CV, COM DIÂMETRO MÁXIMO 4" - MANUTENÇÃO. AF_06/2015</t>
  </si>
  <si>
    <t>PERFURATRIZ MANUAL, TORQUE MÁXIMO 83 N.M, POTÊNCIA 5 CV, COM DIÂMETRO MÁXIMO 4" - MATERIAIS NA OPERAÇÃO. AF_06/2015</t>
  </si>
  <si>
    <t>PERFURATRIZ SOBRE ESTEIRA, TORQUE MÁXIMO 600 KGF, PESO MÉDIO 1000 KG, POTÊNCIA 20 HP, DIÂMETRO MÁXIMO 10" - DEPRECIAÇÃO. AF_06/2015</t>
  </si>
  <si>
    <t>PERFURATRIZ SOBRE ESTEIRA, TORQUE MÁXIMO 600 KGF, PESO MÉDIO 1000 KG, POTÊNCIA 20 HP, DIÂMETRO MÁXIMO 10" - JUROS. AF_06/2015</t>
  </si>
  <si>
    <t>PERFURATRIZ SOBRE ESTEIRA, TORQUE MÁXIMO 600 KGF, PESO MÉDIO 1000 KG, POTÊNCIA 20 HP, DIÂMETRO MÁXIMO 10" - MANUTENÇÃO. AF_06/2015</t>
  </si>
  <si>
    <t>COMPRESSOR DE AR REBOCÁVEL, VAZÃO 89 PCM, PRESSÃO EFETIVA DE TRABALHO 102 PSI, MOTOR DIESEL, POTÊNCIA 20 CV - DEPRECIAÇÃO. AF_06/2015</t>
  </si>
  <si>
    <t>COMPRESSOR DE AR REBOCÁVEL, VAZÃO 89 PCM, PRESSÃO EFETIVA DE TRABALHO 102 PSI, MOTOR DIESEL, POTÊNCIA 20 CV - JUROS. AF_06/2015</t>
  </si>
  <si>
    <t>COMPRESSOR DE AR REBOCÁVEL, VAZÃO 89 PCM, PRESSÃO EFETIVA DE TRABALHO 102 PSI, MOTOR DIESEL, POTÊNCIA 20 CV - MANUTENÇÃO. AF_06/2015</t>
  </si>
  <si>
    <t>RASGO EM ALVENARIA PARA RAMAIS/ DISTRIBUIÇÃO COM DIAMETROS MENORES OU IGUAIS A 40 MM. AF_05/2015</t>
  </si>
  <si>
    <t>TXKM</t>
  </si>
  <si>
    <t>M3XKM</t>
  </si>
  <si>
    <t>APLICAÇÃO MANUAL DE PINTURA COM TINTA LÁTEX PVA EM TETO, DUAS DEMÃOS. AF_06/2014</t>
  </si>
  <si>
    <t>APLICAÇÃO MANUAL DE PINTURA COM TINTA LÁTEX ACRÍLICA EM PAREDES, DUAS DEMÃOS. AF_06/2014</t>
  </si>
  <si>
    <t>TOTAL GERAL</t>
  </si>
  <si>
    <t>Item</t>
  </si>
  <si>
    <t>Especificação do Serviço</t>
  </si>
  <si>
    <t>Aterro manual para regularização do terreno em areia, inclusive adensamento hidráulico e fornecimento do material (máximo de 100m3)</t>
  </si>
  <si>
    <t>Aterro manual para regularização do terreno em argila, inclusive adensamento manual e fornecimento do material (máximo de 100m3)</t>
  </si>
  <si>
    <t>PORTA EM MADEIRA DE LEI TIPO ANGELIM PEDRA/EQUIV, ESP. 30MM C/ ACAB. LISO P/ PINTURA, INCL. FECHADURA TIPO "LIVRE/OCUPADO" E FERRAGENS P/ FIXAÇÃO EM GRANITO, EXCLUSIVE MARCO</t>
  </si>
  <si>
    <t>CHAVES, FUSIVEIS E DISJUNTORES</t>
  </si>
  <si>
    <t>Cerca com tela fio 16 malha losangular de 2", fixadas c/ grampos em pontaletes de madeira de lei 8x8cm espaçados de 1.5m, com bases concretadas e com três fios tensores de arame galvanizado n.12</t>
  </si>
  <si>
    <t>Cerca com cinco fios de arame liso n. 12 fixados com grampos em pontaletes de madeira de lei de 8 x 8cm a cada 2.0 m e altura livre de 1.6 m</t>
  </si>
  <si>
    <t>DOBRADICA EM LATAO CROMADO 3 X 2.1/2" C/ PARAFUSO</t>
  </si>
  <si>
    <t>CUBA ACO INOX RETANG. SIMPLES REF.302 MARCA STRAKE</t>
  </si>
  <si>
    <t>TAMPA ACO INOX ROTATIVA P/ CAIXA SIFONADA 150X150MM</t>
  </si>
  <si>
    <t>TAMPA ACO INOX ROTATIVA PARA RALO 100X100MM</t>
  </si>
  <si>
    <t>CX SIF MONTADA C/ GRELHA E PORTA GRELHA QUADRADO INOX 150X150X50MM</t>
  </si>
  <si>
    <t>% SINAPI</t>
  </si>
  <si>
    <t>TOTAL DOS GRUPO (A+B+C+D)</t>
  </si>
  <si>
    <t>MEMÓRIA</t>
  </si>
  <si>
    <t>PARAFUSO SEXTAVADO COM PORCA E ARRUELA 3/8" X 11/2" - ZINCADO</t>
  </si>
  <si>
    <t>TUBO ACO GALV NBR5590 CL PESADA 20 MM (3/4) - GAS</t>
  </si>
  <si>
    <t>BACIA LOUÇA BRANCA DECA VOGUE PLUS REF. P 510</t>
  </si>
  <si>
    <t>DIVERSOS (CONT)</t>
  </si>
  <si>
    <t>TORNEIRA BOIA HASTE METALICA BALAO PLASTICO - 3/4"</t>
  </si>
  <si>
    <t>Reservatório de poliestileno de 500L, incl. suporte em madeira de 7x12cm e 5x7cm, elevado de 4m, conf. projeto (1 utilização)</t>
  </si>
  <si>
    <t>Reservatório de poliestileno de 1000 L, incl. suporte em madeira de 7x12cm e 8x7cm, elevado de 4m, conf. projeto (1 utilização)</t>
  </si>
  <si>
    <t>Reservatório de poliestileno de 500 L, incl. suporte em madeira de 7x12cm e 5x7cm, elevado de 4m, conforme projeto (2 utilizações)</t>
  </si>
  <si>
    <t>Reservatório de poliestileno de 1000 L, inclusive suporte em madeira de 7x12cm e 5x7cm, elevado de 4m, conforme projeto (2 utilizações)</t>
  </si>
  <si>
    <t xml:space="preserve">PLANILHA ORÇAMENTÁRIA </t>
  </si>
  <si>
    <t>TINTA LATEX ACRILICA FOSCA</t>
  </si>
  <si>
    <t>BASE EM ACO GALV P/ MASTROS 2" - 4 FUROS Ø8MM TEL-074</t>
  </si>
  <si>
    <t>BASE EM ACO GALV P/ MASTROS 1.1/2" - 4 FUROS Ø8MM TEL-064</t>
  </si>
  <si>
    <t>TAMPAO PARA ELETRODUTO 1", REF. TEL-5533</t>
  </si>
  <si>
    <t>CAIXA DE INSPECAO DE PVC Ø300X300MM - TEL-552</t>
  </si>
  <si>
    <t>MAO FRANCESA REFORCADA P/ ELETROCALHA 300MM</t>
  </si>
  <si>
    <t>CONECTOR DE MEDICAO EM LATAO C/ 2 PARAFUSOS TEL-562</t>
  </si>
  <si>
    <t>ADAPTADOR PVC SOLD.FLANGES LIVRES P/CX.AGUA 60MM</t>
  </si>
  <si>
    <t>ADAPTADOR PVC SOLD.FLANGES LIVRES P/CX.AGUA 75MM</t>
  </si>
  <si>
    <t>ALUGUEL MENSAL CONTAINER P/ ALMOX 6.00X2.40X2.40M</t>
  </si>
  <si>
    <t>MOBILIZAÇÃO E DESMOB. CONTEINER P/BARRACÃO DE OBRA</t>
  </si>
  <si>
    <t>TAMPA DE FERRO FUNDIDO 40X40CM C/ INSCR - TRAFEGO LEVE</t>
  </si>
  <si>
    <t>ALUGUEL MENSAL CONTAINER VESTIARIO 6.0X2.40X2.40M</t>
  </si>
  <si>
    <t>ALUGUEL CONTAINER REFEITORIO 6X2.40X2.40M</t>
  </si>
  <si>
    <t>ALUGUEL CONTAINER SANITARIO COLET 6X2.40X2.40M</t>
  </si>
  <si>
    <t>ALUGUEL CONTAINER ESCR+BANH 6X2.40X2.40M P+2J+1PT AR</t>
  </si>
  <si>
    <t>ALUGUEL CONTAINER ESCRITORIO SEM WC (6X2.40X2.40)M</t>
  </si>
  <si>
    <t>CAPACETE DE OBRA COM CARNEIRA</t>
  </si>
  <si>
    <t>Aluguel mensal container para escritório, sem banheiro, dim. 6.00x2.40m, incl. porta, 2 janelas, abert p/ ar cond., 2 pt iluminação, 2 tomadas elét. e 1 tomada telef. Isolamento térmico (teto e paredes), piso em comp. Naval, cert. NR18, incl. laudo descontaminação.</t>
  </si>
  <si>
    <t>Mobilização e desmobilização de conteiner locado para barracão de obra</t>
  </si>
  <si>
    <t>Aluguel mensal container para escritório, dim. 6.00x2.40m, c/ banheiro (vaso+lavat+chuveiro e básc), incl. porta, 2 janelas, abert p/ ar cond., 2 pt iluminação, 2 tom. elét. e 1 tom.telef. Isolam.térmico(teto e paredes), piso em comp. Naval, cert. NR18, incl. laudo descontaminação.</t>
  </si>
  <si>
    <t>Aluguel mensal container para refeitorio, incl. porta, 2 janelas, abert p/ ar cond., 2 pt iluminação, 2 tomadas elét. e 1 tomada telef. Isolamento térmico (paredes e teto), piso em comp. Naval pintado, cert. NR18, incl. laudo descontaminação.</t>
  </si>
  <si>
    <t>Aluguel mensal container para vestiário, incl. porta, venezianas de circulação, 1 pt iluminação, Isolamento térmico (teto), piso em comp. Naval pintado, cert. NR18, incl. laudo descontaminação.</t>
  </si>
  <si>
    <t>Aluguel mensal container sanitário, incl porta, básc, 2 ptos luz, 1 pto aterram., 3vasos, 3lavatórios, calha mictório, 6 chuveiros (1 eletrico), torn.,registros, piso comp. Naval pintado, cert NR18 e laudo descontaminação</t>
  </si>
  <si>
    <t>Aluguel mensal container para almoxarifado, incl. porta, 2 janelas, 1 pt iluminação, Isolamento térmico (teto), piso em comp. Naval pintado, cert. NR18, incl. laudo descontaminação.</t>
  </si>
  <si>
    <t>Ponto de válvula de descarga, inclusive válvula e acabamento anti-vandalismo cromado referência Docol, Fabrimar e Deca</t>
  </si>
  <si>
    <t>Reservatório de polietileno de 500 L, inclusive adaptadores com flanges de PVC e torneira de bóia de 3/4"</t>
  </si>
  <si>
    <t>Reservatório de polietileno de 5.000 L, inclusive peça de madeira 6 x 16 cm para apoio, exclusive flanges e torneira de bóia</t>
  </si>
  <si>
    <t>Reservatório de polietileno de 1000l, inclusive peça de madeira 6x16cm para apoio, exclusive flanges e torneira de bóia</t>
  </si>
  <si>
    <t>Reservatório de polietileno de 15.000l, inclusive peça de madeira 5 x 16cm para apoio, exclusive flanges e torneiras de boia</t>
  </si>
  <si>
    <t>ADM</t>
  </si>
  <si>
    <t>LS (Mês):</t>
  </si>
  <si>
    <t>Funcionário</t>
  </si>
  <si>
    <t>Qnt Meses</t>
  </si>
  <si>
    <t>Memória de Cálculo Administração da Obra</t>
  </si>
  <si>
    <t>PECA EM MADEIRA DE LEI 7X12CM (BRUTA)</t>
  </si>
  <si>
    <t>PECA EM MADEIRA DE LEI 2X1 CM (BRUTA)</t>
  </si>
  <si>
    <t>RODA PAREDE GRAN CINZA AND 7X2CM ACAB 2 LADOS</t>
  </si>
  <si>
    <t>LADRILHO HIDRAULICO RANHURADO 20X20CM COLORIDO</t>
  </si>
  <si>
    <t>LADRILHO HIDRÁULICO PASTILHADO 20X20CM COLORIDO</t>
  </si>
  <si>
    <t>ABRACADEIRA GUIA P/ MASTRO SIMPLES P/ 1 DESCIDA 1.1/2" - TEL-320</t>
  </si>
  <si>
    <t>ISOLADOR DE PINO POLIMERICO 15KV - ROSCA 25MM</t>
  </si>
  <si>
    <t>QUADRO DISTR TRIFASICO QDETG UX 34 MOD (2X17) 150A CEMAR</t>
  </si>
  <si>
    <t>CONJ ESTAIAMENTO TIPO RIGIDO 1,5M CADA ESTAIS X 1.1/2" - TEL 440</t>
  </si>
  <si>
    <t>ABRACADEIRA GUIA MASTRO REFORCADA P/ 1 DESCIDA 1.1/2" - TEL-340</t>
  </si>
  <si>
    <t>ABRACADEIRA GUIA P/ MASTRO SIMPLES P/1 DESCIDA 2"</t>
  </si>
  <si>
    <t>CONECTOR MEDICAO EM BRONZE C/ 4 PARAFUSOS TEL-560</t>
  </si>
  <si>
    <t>ABRACADEIRA GUIA P/ MASTRO REFORCADA P/ 1 DESCIDA 2" - TEL-350</t>
  </si>
  <si>
    <t>ABRACADEIRA GUIA P/ MASTRO SIMPLES P/ 1 DESCIDA 2" - TEL-330</t>
  </si>
  <si>
    <t>ISOLADOR PORCELANA TIPO ROLDANA 80X80 MM P/ 2 CABOS - MARROM</t>
  </si>
  <si>
    <t>ABRACADEIRA TIPO D COM CUNHA P/ ELETRODUTO Ø 1" - TEL-095</t>
  </si>
  <si>
    <t>ABRACADEIRA TIPO COPO 1" C/ PARAFUSO/BUCHA</t>
  </si>
  <si>
    <t>NIPLE DUPLO ACO GALVANIZADO BSP Ø 4" (100MM)</t>
  </si>
  <si>
    <t>CONJ ESTAIAMENTO TIPO RIGIDO 2M CADA ESTAIS X 2" - TEL-453</t>
  </si>
  <si>
    <t>MASTRO TELESCOPICO C/ REDUCAO P/ 3/4" 5M - TEL-480</t>
  </si>
  <si>
    <t>NIPLE DUPLO ACO GALVANIZADO BSP Ø 2.1/2" (65MM)</t>
  </si>
  <si>
    <t>TORN. CROMADA 1/2" LINHA PRATIKA REF.1157-P FABRIMAR</t>
  </si>
  <si>
    <t>Estrutura de madeira de lei tipo Paraju, peroba mica, angelim pedra ou equivalente para telhado de telha cerâmica tipo capa e canal, com pontaletes, terças, caibros e ripas, inclusive tratamento com cupinicida, exclusive telhas</t>
  </si>
  <si>
    <t>Estrutura de madeira de lei tipo Paraju, peroba mica, angelim pedra ou equivalente para telhado de telha ondulada de fibrocimento esp. 6mm, com pontaletes e caibros, inclusive tratamento com cupinicida, exclusive telhas</t>
  </si>
  <si>
    <t>Estrutura de madeira de lei tipo Paraju, peroba mica, angelim pedra ou equivalente para telhado de telhas cerâmicas tipo capa e canal c/ tesouras, pilares, vigas, terças, caibros e ripas, incl. trat. c/cupinicida, exclusive telhas</t>
  </si>
  <si>
    <t>Estrutura de madeira de lei Paraju, peroba mica, angelim pedra ou equivalente para telhado de telha cerâmica tipo francesa, com pontaletes, terças, caibros e ripas, inclusive tratamento com cupunicida, exclusive telhas</t>
  </si>
  <si>
    <t>CR</t>
  </si>
  <si>
    <t>ESCAVADEIRA HIDRÁULICA SOBRE ESTEIRAS, CAÇAMBA 0,80 M3, PESO OPERACIONAL 17 T, POTENCIA BRUTA 111 HP - CHP DIURNO. AF_06/2014</t>
  </si>
  <si>
    <t>CAMINHÃO BASCULANTE 6 M3, PESO BRUTO TOTAL 16.000 KG, CARGA ÚTIL MÁXIMA 13.071 KG, DISTÂNCIA ENTRE EIXOS 4,80 M, POTÊNCIA 230 CV INCLUSIVE CAÇAMBA METÁLICA - CHP DIURNO. AF_06/2014</t>
  </si>
  <si>
    <t>VASSOURA MECÂNICA REBOCÁVEL COM ESCOVA CILÍNDRICA, LARGURA ÚTIL DE VARRIMENTO DE 2,44 M - CHP DIURNO. AF_06/2014</t>
  </si>
  <si>
    <t>TRATOR DE ESTEIRAS, POTÊNCIA 170 HP, PESO OPERACIONAL 19 T, CAÇAMBA 5,2 M3 - CHP DIURNO. AF_06/2014</t>
  </si>
  <si>
    <t>TRATOR DE ESTEIRAS, POTÊNCIA 347 HP, PESO OPERACIONAL 38,5 T, COM LÂMINA 8,70 M3 - CHP DIURNO. AF_06/2014</t>
  </si>
  <si>
    <t>ROLO COMPACTADOR VIBRATÓRIO REBOCÁVEL, CILINDRO DE AÇO LISO, POTÊNCIA DE TRAÇÃO DE 65 CV, PESO 4,7 T, IMPACTO DINÂMICO 18,3 T, LARGURA DE TRABALHO 1,67 M - CHP DIURNO. AF_02/2016</t>
  </si>
  <si>
    <t>ROLO COMPACTADOR VIBRATÓRIO TANDEM AÇO LISO, POTÊNCIA 58 HP, PESO SEM/COM LASTRO 6,5 / 9,4 T, LARGURA DE TRABALHO 1,2 M - CHP DIURNO. AF_06/2014</t>
  </si>
  <si>
    <t>ROLO COMPACTADOR VIBRATÓRIO PÉ DE CARNEIRO, OPERADO POR CONTROLE REMOTO, POTÊNCIA 12,5 KW, PESO OPERACIONAL 1,675 T, LARGURA DE TRABALHO 0,85 M - CHP DIURNO. AF_02/2016</t>
  </si>
  <si>
    <t>GRADE DE DISCO REBOCÁVEL COM 20 DISCOS 24" X 6 MM COM PNEUS PARA TRANSPORTE - CHP DIURNO. AF_06/2014</t>
  </si>
  <si>
    <t>GUINDAUTO HIDRÁULICO, CAPACIDADE MÁXIMA DE CARGA 6200 KG, MOMENTO MÁXIMO DE CARGA 11,7 TM, ALCANCE MÁXIMO HORIZONTAL 9,70 M, INCLUSIVE CAMINHÃO TOCO PBT 16.000 KG, POTÊNCIA DE 189 CV - CHP DIURNO. AF_06/2014</t>
  </si>
  <si>
    <t>PÁ CARREGADEIRA SOBRE RODAS, POTÊNCIA LÍQUIDA 128 HP, CAPACIDADE DA CAÇAMBA 1,7 A 2,8 M3, PESO OPERACIONAL 11632 KG - CHP DIURNO. AF_06/2014</t>
  </si>
  <si>
    <t>PÁ CARREGADEIRA SOBRE RODAS, POTÊNCIA 197 HP, CAPACIDADE DA CAÇAMBA 2,5 A 3,5 M3, PESO OPERACIONAL 18338 KG - CHP DIURNO. AF_06/2014</t>
  </si>
  <si>
    <t>MOTOBOMBA TRASH (PARA ÁGUA SUJA) AUTO ESCORVANTE, MOTOR GASOLINA DE 6,41 HP, DIÂMETROS DE SUCÇÃO X RECALQUE: 3" X 3", HM/Q = 10 MCA / 60 M3/H A 23 MCA / 0 M3/H - CHP DIURNO. AF_10/2014</t>
  </si>
  <si>
    <t>ROLO COMPACTADOR PE DE CARNEIRO VIBRATORIO, POTENCIA 125 HP, PESO OPERACIONAL SEM/COM LASTRO 11,95 / 13,30 T, IMPACTO DINAMICO 38,5 / 22,5 T, LARGURA DE TRABALHO 2,15 M - CHP DIURNO. AF_06/2014</t>
  </si>
  <si>
    <t>CAMINHÃO BASCULANTE 6 M3 TOCO, PESO BRUTO TOTAL 16.000 KG, CARGA ÚTIL MÁXIMA 11.130 KG, DISTÂNCIA ENTRE EIXOS 5,36 M, POTÊNCIA 185 CV, INCLUSIVE CAÇAMBA METÁLICA - CHP DIURNO. AF_06/2014</t>
  </si>
  <si>
    <t>GRUPO DE SOLDAGEM COM GERADOR A DIESEL 60 CV PARA SOLDA ELÉTRICA, SOBRE 04 RODAS, COM MOTOR 4 CILINDROS 600 A - CHP DIURNO. AF_02/2016</t>
  </si>
  <si>
    <t>PROJETOR DE ARGAMASSA, CAPACIDADE DE PROJEÇÃO 2 M3/H, ALCANCE ATÉ 50 M, MOTOR ELÉTRICO POTÊNCIA 7,5 HP - CHP DIURNO. AF_06/2014</t>
  </si>
  <si>
    <t>TRATOR DE ESTEIRAS, POTÊNCIA 125 HP, PESO OPERACIONAL 12,9 T, COM LÂMINA 2,7 M3 - CHP DIURNO. AF_10/2014</t>
  </si>
  <si>
    <t>ESCAVADEIRA HIDRÁULICA SOBRE ESTEIRAS, CAÇAMBA 1,20 M3, PESO OPERACIONAL 21 T, POTÊNCIA BRUTA 155 HP - CHP DIURNO. AF_06/2014</t>
  </si>
  <si>
    <t>TRATOR DE ESTEIRAS, POTÊNCIA 100 HP, PESO OPERACIONAL 9,4 T, COM LÂMINA 2,19 M3 - CHP DIURNO. AF_06/2014</t>
  </si>
  <si>
    <t>FRESADORA DE ASFALTO A FRIO SOBRE RODAS, LARGURA FRESAGEM DE 1,0 M, POTÊNCIA 208 HP - CHP DIURNO. AF_11/2014</t>
  </si>
  <si>
    <t>FRESADORA DE ASFALTO A FRIO SOBRE RODAS, LARGURA FRESAGEM DE 2,0 M, POTÊNCIA 550 HP - CHP DIURNO. AF_11/2014</t>
  </si>
  <si>
    <t>VIBRADOR DE IMERSÃO, DIÂMETRO DE PONTEIRA 45MM, MOTOR ELÉTRICO TRIFÁSICO POTÊNCIA DE 2 CV - CHP DIURNO. AF_06/2015</t>
  </si>
  <si>
    <t>BOMBA TRIPLEX, PARA INJEÇÃO DE NATA DE CIMENTO, VAZÃO MÁXIMA DE 100 LITROS/MINUTO, PRESSÃO MÁXIMA DE 70 BAR - CHP DIURNO. AF_06/2015</t>
  </si>
  <si>
    <t>PERFURATRIZ COM TORRE METÁLICA PARA EXECUÇÃO DE ESTACA HÉLICE CONTÍNUA, PROFUNDIDADE MÁXIMA DE 30 M, DIÂMETRO MÁXIMO DE 800 MM, POTÊNCIA INSTALADA DE 268 HP, MESA ROTATIVA COM TORQUE MÁXIMO DE 170 KNM - CHP DIURNO. AF_06/2015</t>
  </si>
  <si>
    <t>MINICARREGADEIRA SOBRE RODAS, POTÊNCIA LÍQUIDA DE 47 HP, CAPACIDADE NOMINAL DE OPERAÇÃO DE 646 KG - CHP DIURNO. AF_06/2015</t>
  </si>
  <si>
    <t>COMPRESSOR DE AR REBOCAVEL, VAZÃO 250 PCM, PRESSAO DE TRABALHO 102 PSI, MOTOR A DIESEL POTÊNCIA 81 CV - CHP DIURNO. AF_06/2015</t>
  </si>
  <si>
    <t>COMPRESSOR DE AR REBOCAVEL, VAZÃO 400 PCM, PRESSAO DE TRABALHO 102 PSI, MOTOR A DIESEL POTÊNCIA 110 CV - CHP DIURNO. AF_06/2015</t>
  </si>
  <si>
    <t>PLACA VIBRATÓRIA REVERSÍVEL COM MOTOR 4 TEMPOS A GASOLINA, FORÇA CENTRÍFUGA DE 25 KN (2500 KGF), POTÊNCIA 5,5 CV - CHP DIURNO. AF_08/2015</t>
  </si>
  <si>
    <t>CAMINHÃO BASCULANTE 10 M3, TRUCADO CABINE SIMPLES, PESO BRUTO TOTAL 23.000 KG, CARGA ÚTIL MÁXIMA 15.935 KG, DISTÂNCIA ENTRE EIXOS 4,80 M, POTÊNCIA 230 CV INCLUSIVE CAÇAMBA METÁLICA - CHP DIURNO. AF_06/2014</t>
  </si>
  <si>
    <t>COMPACTADOR DE SOLOS DE PERCUSSÃO (SOQUETE) COM MOTOR A GASOLINA 4 TEMPOS, POTÊNCIA 4 CV - CHP DIURNO. AF_08/2015</t>
  </si>
  <si>
    <t>GUINDAUTO HIDRÁULICO, CAPACIDADE MÁXIMA DE CARGA 6500 KG, MOMENTO MÁXIMO DE CARGA 5,8 TM, ALCANCE MÁXIMO HORIZONTAL 7,60 M, INCLUSIVE CAMINHÃO TOCO PBT 9.700 KG, POTÊNCIA DE 160 CV - CHP DIURNO. AF_08/2015</t>
  </si>
  <si>
    <t>CAMINHÃO DE TRANSPORTE DE MATERIAL ASFÁLTICO 30.000 L, COM CAVALO MECÂNICO DE CAPACIDADE MÁXIMA DE TRAÇÃO COMBINADO DE 66.000 KG, POTÊNCIA 360 CV, INCLUSIVE TANQUE DE ASFALTO COM SERPENTINA - CHP DIURNO. AF_08/2015</t>
  </si>
  <si>
    <t>SERRA CIRCULAR DE BANCADA COM MOTOR ELÉTRICO POTÊNCIA DE 5HP, COM COIFA PARA DISCO 10" - CHP DIURNO. AF_08/2015</t>
  </si>
  <si>
    <t>DISTRIBUIDOR DE AGREGADOS REBOCAVEL, CAPACIDADE 1,9 M³, LARGURA DE TRABALHO 3,66 M - CHP DIURNO. AF_11/2015</t>
  </si>
  <si>
    <t>CAMINHONETE COM MOTOR A DIESEL, POTÊNCIA 180 CV, CABINE DUPLA, 4X4 - CHP DIURNO. AF_11/2015</t>
  </si>
  <si>
    <t>CAMINHÃO DE TRANSPORTE DE MATERIAL ASFÁLTICO 20.000 L, COM CAVALO MECÂNICO DE CAPACIDADE MÁXIMA DE TRAÇÃO COMBINADO DE 45.000 KG, POTÊNCIA 330 CV, INCLUSIVE TANQUE DE ASFALTO COM MAÇARICO - CHP DIURNO. AF_12/2015</t>
  </si>
  <si>
    <t>MÁQUINA EXTRUSORA DE CONCRETO PARA GUIAS E SARJETAS, MOTOR A DIESEL, POTÊNCIA 14 CV - CHP DIURNO. AF_12/2015</t>
  </si>
  <si>
    <t>MARTELO PERFURADOR PNEUMÁTICO MANUAL, HASTE 25 X 75 MM, 21 KG - CHP DIURNO. AF_12/2015</t>
  </si>
  <si>
    <t>PERFURATRIZ COM TORRE METÁLICA PARA EXECUÇÃO DE ESTACA HÉLICE CONTÍNUA, PROFUNDIDADE MÁXIMA DE 32 M, DIÂMETRO MÁXIMO DE 1000 MM, POTÊNCIA INSTALADA DE 350 HP, MESA ROTATIVA COM TORQUE MÁXIMO DE 263 KNM - CHP DIURNO. AF_01/2016</t>
  </si>
  <si>
    <t>ESCAVADEIRA HIDRÁULICA SOBRE ESTEIRAS, CAÇAMBA 0,80 M3, PESO OPERACIONAL 17 T, POTENCIA BRUTA 111 HP - CHI DIURNO. AF_06/2014</t>
  </si>
  <si>
    <t>VASSOURA MECÂNICA REBOCÁVEL COM ESCOVA CILÍNDRICA, LARGURA ÚTIL DE VARRIMENTO DE 2,44 M - CHI DIURNO. AF_06/2014</t>
  </si>
  <si>
    <t>TRATOR DE ESTEIRAS, POTÊNCIA 170 HP, PESO OPERACIONAL 19 T, CAÇAMBA 5,2 M3 - CHI DIURNO. AF_06/2014</t>
  </si>
  <si>
    <t>TRATOR DE ESTEIRAS, POTÊNCIA 347 HP, PESO OPERACIONAL 38,5 T, COM LÂMINA 8,70 M3 - CHI DIURNO. AF_06/2014</t>
  </si>
  <si>
    <t>ROLO COMPACTADOR VIBRATÓRIO REBOCÁVEL, CILINDRO DE AÇO LISO, POTÊNCIA DE TRAÇÃO DE 65 CV, PESO 4,7 T, IMPACTO DINÂMICO 18,3 T, LARGURA DE TRABALHO 1,67 M - CHI DIURNO. AF_02/2016</t>
  </si>
  <si>
    <t>ROLO COMPACTADOR VIBRATÓRIO TANDEM AÇO LISO, POTÊNCIA 58 HP, PESO SEM/COM LASTRO 6,5 / 9,4 T, LARGURA DE TRABALHO 1,2 M - CHI DIURNO. AF_06/2014</t>
  </si>
  <si>
    <t>ROLO COMPACTADOR VIBRATÓRIO PÉ DE CARNEIRO, OPERADO POR CONTROLE REMOTO, POTÊNCIA 12,5 KW, PESO OPERACIONAL 1,675 T, LARGURA DE TRABALHO 0,85 M - CHI DIURNO. AF_02/2016</t>
  </si>
  <si>
    <t>GRADE DE DISCO REBOCÁVEL COM 20 DISCOS 24" X 6 MM COM PNEUS PARA TRANSPORTE - CHI DIURNO. AF_06/2014</t>
  </si>
  <si>
    <t>GUINDAUTO HIDRÁULICO, CAPACIDADE MÁXIMA DE CARGA 6200 KG, MOMENTO MÁXIMO DE CARGA 11,7 TM, ALCANCE MÁXIMO HORIZONTAL 9,70 M, INCLUSIVE CAMINHÃO TOCO PBT 16.000 KG, POTÊNCIA DE 189 CV - CHI DIURNO. AF_06/2014</t>
  </si>
  <si>
    <t>PÁ CARREGADEIRA SOBRE RODAS, POTÊNCIA LÍQUIDA 128 HP, CAPACIDADE DA CAÇAMBA 1,7 A 2,8 M3, PESO OPERACIONAL 11632 KG - CHI DIURNO. AF_06/2014</t>
  </si>
  <si>
    <t>PÁ CARREGADEIRA SOBRE RODAS, POTÊNCIA 197 HP, CAPACIDADE DA CAÇAMBA 2,5 A 3,5 M3, PESO OPERACIONAL 18338 KG - CHI DIURNO. AF_06/2014</t>
  </si>
  <si>
    <t>CAMINHÃO BASCULANTE 6 M3, PESO BRUTO TOTAL 16.000 KG, CARGA ÚTIL MÁXIMA 13.071 KG, DISTÂNCIA ENTRE EIXOS 4,80 M, POTÊNCIA 230 CV INCLUSIVE CAÇAMBA METÁLICA - CHI DIURNO. AF_06/2014</t>
  </si>
  <si>
    <t>MOTOBOMBA TRASH (PARA ÁGUA SUJA) AUTO ESCORVANTE, MOTOR GASOLINA DE 6,41 HP, DIÂMETROS DE SUCÇÃO X RECALQUE: 3" X 3", HM/Q = 10 MCA / 60 M3/H A 23 MCA / 0 M3/H - CHI DIURNO. AF_10/2014</t>
  </si>
  <si>
    <t>ROLO COMPACTADOR PE DE CARNEIRO VIBRATORIO, POTENCIA 125 HP, PESO OPERACIONAL SEM/COM LASTRO 11,95 / 13,30 T, IMPACTO DINAMICO 38,5 / 22,5 T, LARGURA DE TRABALHO 2,15 M - CHI DIURNO. AF_06/2014</t>
  </si>
  <si>
    <t>CAMINHÃO BASCULANTE 6 M3 TOCO, PESO BRUTO TOTAL 16.000 KG, CARGA ÚTIL MÁXIMA 11.130 KG, DISTÂNCIA ENTRE EIXOS 5,36 M, POTÊNCIA 185 CV, INCLUSIVE CAÇAMBA METÁLICA - CHI DIURNO. AF_06/2014</t>
  </si>
  <si>
    <t>GRUPO GERADOR ESTACIONÁRIO, MOTOR DIESEL POTÊNCIA 170 KVA - CHI DIURNO. AF_02/2016</t>
  </si>
  <si>
    <t>GRUPO DE SOLDAGEM COM GERADOR A DIESEL 60 CV PARA SOLDA ELÉTRICA, SOBRE 04 RODAS, COM MOTOR 4 CILINDROS 600 A - CHI DIURNO. AF_02/2016</t>
  </si>
  <si>
    <t>PROJETOR DE ARGAMASSA, CAPACIDADE DE PROJEÇÃO 2 M3/H, ALCANCE ATÉ 50 M, MOTOR ELÉTRICO POTÊNCIA 7,5 HP - CHI DIURNO. AF_06/2014</t>
  </si>
  <si>
    <t>TRATOR DE ESTEIRAS, POTÊNCIA 125 HP, PESO OPERACIONAL 12,9 T, COM LÂMINA 2,7 M3 - CHI DIURNO. AF_10/2014</t>
  </si>
  <si>
    <t>ESCAVADEIRA HIDRÁULICA SOBRE ESTEIRAS, CAÇAMBA 1,20 M3, PESO OPERACIONAL 21 T, POTÊNCIA BRUTA 155 HP - CHI DIURNO. AF_06/2014</t>
  </si>
  <si>
    <t>TRATOR DE ESTEIRAS, POTÊNCIA 100 HP, PESO OPERACIONAL 9,4 T, COM LÂMINA 2,19 M3 - CHI DIURNO. AF_06/2014</t>
  </si>
  <si>
    <t>FRESADORA DE ASFALTO A FRIO SOBRE RODAS, LARGURA FRESAGEM DE 1,0 M, POTÊNCIA 208 HP - CHI DIURNO. AF_11/2014</t>
  </si>
  <si>
    <t>FRESADORA DE ASFALTO A FRIO SOBRE RODAS, LARGURA FRESAGEM DE 2,0 M, POTÊNCIA 550 HP - CHI DIURNO. AF_11/2014</t>
  </si>
  <si>
    <t>VIBRADOR DE IMERSÃO, DIÂMETRO DE PONTEIRA 45MM, MOTOR ELÉTRICO TRIFÁSICO POTÊNCIA DE 2 CV - CHI DIURNO. AF_06/2015</t>
  </si>
  <si>
    <t>BOMBA TRIPLEX, PARA INJEÇÃO DE NATA DE CIMENTO, VAZÃO MÁXIMA DE 100 LITROS/MINUTO, PRESSÃO MÁXIMA DE 70 BAR - CHI DIURNO. AF_06/2015</t>
  </si>
  <si>
    <t>PERFURATRIZ COM TORRE METÁLICA PARA EXECUÇÃO DE ESTACA HÉLICE CONTÍNUA, PROFUNDIDADE MÁXIMA DE 30 M, DIÂMETRO MÁXIMO DE 800 MM, POTÊNCIA INSTALADA DE 268 HP, MESA ROTATIVA COM TORQUE MÁXIMO DE 170 KNM - CHI DIURNO. AF_06/2015</t>
  </si>
  <si>
    <t>MINICARREGADEIRA SOBRE RODAS, POTÊNCIA LÍQUIDA DE 47 HP, CAPACIDADE NOMINAL DE OPERAÇÃO DE 646 KG - CHI DIURNO. AF_06/2015</t>
  </si>
  <si>
    <t>COMPRESSOR DE AR REBOCAVEL, VAZÃO 250 PCM, PRESSAO DE TRABALHO 102 PSI, MOTOR A DIESEL POTÊNCIA 81 CV - CHI DIURNO. AF_06/2015</t>
  </si>
  <si>
    <t>COMPRESSOR DE AR REBOCAVEL, VAZÃO 400 PCM, PRESSAO DE TRABALHO 102 PSI, MOTOR A DIESEL POTÊNCIA 110 CV - CHI DIURNO. AF_06/2015</t>
  </si>
  <si>
    <t>PLACA VIBRATÓRIA REVERSÍVEL COM MOTOR 4 TEMPOS A GASOLINA, FORÇA CENTRÍFUGA DE 25 KN (2500 KGF), POTÊNCIA 5,5 CV - CHI DIURNO. AF_08/2015</t>
  </si>
  <si>
    <t>CAMINHÃO BASCULANTE 10 M3, TRUCADO CABINE SIMPLES, PESO BRUTO TOTAL 23.000 KG, CARGA ÚTIL MÁXIMA 15.935 KG, DISTÂNCIA ENTRE EIXOS 4,80 M, POTÊNCIA 230 CV INCLUSIVE CAÇAMBA METÁLICA - CHI DIURNO. AF_06/2014</t>
  </si>
  <si>
    <t>COMPACTADOR DE SOLOS DE PERCUSSÃO (SOQUETE) COM MOTOR A GASOLINA 4 TEMPOS, POTÊNCIA 4 CV - CHI DIURNO. AF_08/2015</t>
  </si>
  <si>
    <t>GUINDAUTO HIDRÁULICO, CAPACIDADE MÁXIMA DE CARGA 6500 KG, MOMENTO MÁXIMO DE CARGA 5,8 TM, ALCANCE MÁXIMO HORIZONTAL 7,60 M, INCLUSIVE CAMINHÃO TOCO PBT 9.700 KG, POTÊNCIA DE 160 CV - CHI DIURNO. AF_08/2015</t>
  </si>
  <si>
    <t>CAMINHÃO DE TRANSPORTE DE MATERIAL ASFÁLTICO 30.000 L, COM CAVALO MECÂNICO DE CAPACIDADE MÁXIMA DE TRAÇÃO COMBINADO DE 66.000 KG, POTÊNCIA 360 CV, INCLUSIVE TANQUE DE ASFALTO COM SERPENTINA - CHI DIURNO. AF_08/2015</t>
  </si>
  <si>
    <t>SERRA CIRCULAR DE BANCADA COM MOTOR ELÉTRICO POTÊNCIA DE 5HP, COM COIFA PARA DISCO 10" - CHI DIURNO. AF_08/2015</t>
  </si>
  <si>
    <t>DISTRIBUIDOR DE AGREGADOS REBOCAVEL, CAPACIDADE 1,9 M³, LARGURA DE TRABALHO 3,66 M - CHI DIURNO. AF_11/2015</t>
  </si>
  <si>
    <t>CAMINHONETE COM MOTOR A DIESEL, POTÊNCIA 180 CV, CABINE DUPLA, 4X4 - CHI DIURNO. AF_11/2015</t>
  </si>
  <si>
    <t>CAMINHÃO DE TRANSPORTE DE MATERIAL ASFÁLTICO 20.000 L, COM CAVALO MECÂNICO DE CAPACIDADE MÁXIMA DE TRAÇÃO COMBINADO DE 45.000 KG, POTÊNCIA 330 CV, INCLUSIVE TANQUE DE ASFALTO COM MAÇARICO - CHI DIURNO. AF_12/2015</t>
  </si>
  <si>
    <t>MÁQUINA EXTRUSORA DE CONCRETO PARA GUIAS E SARJETAS, MOTOR A DIESEL, POTÊNCIA 14 CV - CHI DIURNO. AF_12/2015</t>
  </si>
  <si>
    <t>MARTELO PERFURADOR PNEUMÁTICO MANUAL, HASTE 25 X 75 MM, 21 KG - CHI DIURNO. AF_12/2015</t>
  </si>
  <si>
    <t>PERFURATRIZ COM TORRE METÁLICA PARA EXECUÇÃO DE ESTACA HÉLICE CONTÍNUA, PROFUNDIDADE MÁXIMA DE 32 M, DIÂMETRO MÁXIMO DE 1000 MM, POTÊNCIA INSTALADA DE 350 HP, MESA ROTATIVA COM TORQUE MÁXIMO DE 263 KNM - CHI DIURNO. AF_01/2016</t>
  </si>
  <si>
    <t>ESCAVADEIRA HIDRÁULICA SOBRE ESTEIRAS, CAÇAMBA 0,80 M3, PESO OPERACIONAL 17 T, POTENCIA BRUTA 111 HP - DEPRECIAÇÃO. AF_06/2014</t>
  </si>
  <si>
    <t>ESCAVADEIRA HIDRÁULICA SOBRE ESTEIRAS, CAÇAMBA 0,80 M3, PESO OPERACIONAL 17 T, POTENCIA BRUTA 111 HP - JUROS. AF_06/2014</t>
  </si>
  <si>
    <t>ESCAVADEIRA HIDRÁULICA SOBRE ESTEIRAS, CAÇAMBA 0,80 M3, PESO OPERACIONAL 17 T, POTENCIA BRUTA 111 HP - MANUTENÇÃO. AF_06/2014</t>
  </si>
  <si>
    <t>ESCAVADEIRA HIDRÁULICA SOBRE ESTEIRAS, CAÇAMBA 0,80 M3, PESO OPERACIONAL 17 T, POTENCIA BRUTA 111 HP - MATERIAIS NA OPERAÇÃO. AF_06/2014</t>
  </si>
  <si>
    <t>CAMINHÃO BASCULANTE 6 M3, PESO BRUTO TOTAL 16.000 KG, CARGA ÚTIL MÁXIMA 13.071 KG, DISTÂNCIA ENTRE EIXOS 4,80 M, POTÊNCIA 230 CV INCLUSIVE CAÇAMBA METÁLICA - MANUTENÇÃO. AF_06/2014</t>
  </si>
  <si>
    <t>TRATOR DE ESTEIRAS, POTÊNCIA 170 HP, PESO OPERACIONAL 19 T, CAÇAMBA 5,2 M3 - MATERIAIS NA OPERAÇÃO. AF_06/2014</t>
  </si>
  <si>
    <t>TRATOR DE ESTEIRAS, POTÊNCIA 347 HP, PESO OPERACIONAL 38,5 T, COM LÂMINA 8,70 M3 - MATERIAIS NA OPERAÇÃO. AF_06/2014</t>
  </si>
  <si>
    <t>TRATOR DE ESTEIRAS, POTÊNCIA 100 HP, PESO OPERACIONAL 9,4 T, COM LÂMINA 2,19 M3 - MANUTENÇÃO. AF_06/2014</t>
  </si>
  <si>
    <t>ROLO COMPACTADOR VIBRATÓRIO REBOCÁVEL, CILINDRO DE AÇO LISO, POTÊNCIA DE TRAÇÃO DE 65 CV, PESO 4,7 T, IMPACTO DINÂMICO 18,3 T, LARGURA DE TRABALHO 1,67 M - MANUTENÇÃO. AF_02/2016</t>
  </si>
  <si>
    <t>ROLO COMPACTADOR VIBRATÓRIO TANDEM AÇO LISO, POTÊNCIA 58 HP, PESO SEM/COM LASTRO 6,5 / 9,4 T, LARGURA DE TRABALHO 1,2 M - MANUTENÇÃO. AF_06/2014</t>
  </si>
  <si>
    <t>ROLO COMPACTADOR VIBRATÓRIO TANDEM AÇO LISO, POTÊNCIA 58 HP, PESO SEM/COM LASTRO 6,5 / 9,4 T, LARGURA DE TRABALHO 1,2 M - MATERIAIS NA OPERAÇÃO. AF_06/2014</t>
  </si>
  <si>
    <t>ROLO COMPACTADOR VIBRATÓRIO PÉ DE CARNEIRO, OPERADO POR CONTROLE REMOTO, POTÊNCIA 12,5 KW, PESO OPERACIONAL 1,675 T, LARGURA DE TRABALHO 0,85 M - DEPRECIAÇÃO. AF_02/2016</t>
  </si>
  <si>
    <t>ROLO COMPACTADOR VIBRATÓRIO PÉ DE CARNEIRO, OPERADO POR CONTROLE REMOTO, POTÊNCIA 12,5 KW, PESO OPERACIONAL 1,675 T, LARGURA DE TRABALHO 0,85 M - MANUTENÇÃO. AF_02/2016</t>
  </si>
  <si>
    <t>PÁ CARREGADEIRA SOBRE RODAS, POTÊNCIA 197 HP, CAPACIDADE DA CAÇAMBA 2,5 A 3,5 M3, PESO OPERACIONAL 18338 KG - MATERIAIS NA OPERAÇÃO. AF_06/2014</t>
  </si>
  <si>
    <t>MOTOBOMBA TRASH (PARA ÁGUA SUJA) AUTO ESCORVANTE, MOTOR GASOLINA DE 6,41 HP, DIÂMETROS DE SUCÇÃO X RECALQUE: 3" X 3", HM/Q = 10 MCA / 60 M3/H A 23 MCA / 0 M3/H - DEPRECIAÇÃO. AF_10/2014</t>
  </si>
  <si>
    <t>MOTOBOMBA TRASH (PARA ÁGUA SUJA) AUTO ESCORVANTE, MOTOR GASOLINA DE 6,41 HP, DIÂMETROS DE SUCÇÃO X RECALQUE: 3" X 3", HM/Q = 10 MCA / 60 M3/H A 23 MCA / 0 M3/H - JUROS. AF_10/2014</t>
  </si>
  <si>
    <t>MOTOBOMBA TRASH (PARA ÁGUA SUJA) AUTO ESCORVANTE, MOTOR GASOLINA DE 6,41 HP, DIÂMETROS DE SUCÇÃO X RECALQUE: 3" X 3", HM/Q = 10 MCA / 60 M3/H A 23 MCA / 0 M3/H - MANUTENÇÃO. AF_10/2014</t>
  </si>
  <si>
    <t>MOTOBOMBA TRASH (PARA ÁGUA SUJA) AUTO ESCORVANTE, MOTOR GASOLINA DE 6,41 HP, DIÂMETROS DE SUCÇÃO X RECALQUE: 3" X 3", HM/Q = 10 MCA / 60 M3/H A 23 MCA / 0 M3/H - MATERIAIS NA OPERAÇÃO. AF_10/2014</t>
  </si>
  <si>
    <t>ROLO COMPACTADOR PE DE CARNEIRO VIBRATORIO, POTENCIA 125 HP, PESO OPERACIONAL SEM/COM LASTRO 11,95 / 13,30 T, IMPACTO DINAMICO 38,5 / 22,5 T, LARGURA DE TRABALHO 2,15 M - DEPRECIAÇÃO. AF_06/2014</t>
  </si>
  <si>
    <t>ROLO COMPACTADOR PE DE CARNEIRO VIBRATORIO, POTENCIA 125 HP, PESO OPERACIONAL SEM/COM LASTRO 11,95 / 13,30 T, IMPACTO DINAMICO 38,5 / 22,5 T, LARGURA DE TRABALHO 2,15 M - JUROS. AF_06/2014</t>
  </si>
  <si>
    <t>ROLO COMPACTADOR PE DE CARNEIRO VIBRATORIO, POTENCIA 125 HP, PESO OPERACIONAL SEM/COM LASTRO 11,95 / 13,30 T, IMPACTO DINAMICO 38,5 / 22,5 T, LARGURA DE TRABALHO 2,15 M - MANUTENÇÃO. AF_06/2014</t>
  </si>
  <si>
    <t>ROLO COMPACTADOR PE DE CARNEIRO VIBRATORIO, POTENCIA 125 HP, PESO OPERACIONAL SEM/COM LASTRO 11,95 / 13,30 T, IMPACTO DINAMICO 38,5 / 22,5 T, LARGURA DE TRABALHO 2,15 M - MATERIAIS NA OPERAÇÃO. AF_06/2014</t>
  </si>
  <si>
    <t>CAMINHÃO BASCULANTE 6 M3 TOCO, PESO BRUTO TOTAL 16.000 KG, CARGA ÚTIL MÁXIMA 11.130 KG, DISTÂNCIA ENTRE EIXOS 5,36 M, POTÊNCIA 185 CV, INCLUSIVE CAÇAMBA METÁLICA - DEPRECIAÇÃO. AF_06/2014</t>
  </si>
  <si>
    <t>CAMINHÃO BASCULANTE 6 M3 TOCO, PESO BRUTO TOTAL 16.000 KG, CARGA ÚTIL MÁXIMA 11.130 KG, DISTÂNCIA ENTRE EIXOS 5,36 M, POTÊNCIA 185 CV, INCLUSIVE CAÇAMBA METÁLICA - JUROS. AF_06/2014</t>
  </si>
  <si>
    <t>CAMINHÃO BASCULANTE 6 M3 TOCO, PESO BRUTO TOTAL 16.000 KG, CARGA ÚTIL MÁXIMA 11.130 KG, DISTÂNCIA ENTRE EIXOS 5,36 M, POTÊNCIA 185 CV, INCLUSIVE CAÇAMBA METÁLICA - MANUTENÇÃO. AF_06/2014</t>
  </si>
  <si>
    <t>CAMINHÃO BASCULANTE 6 M3 TOCO, PESO BRUTO TOTAL 16.000 KG, CARGA ÚTIL MÁXIMA 11.130 KG, DISTÂNCIA ENTRE EIXOS 5,36 M, POTÊNCIA 185 CV, INCLUSIVE CAÇAMBA METÁLICA - MATERIAIS NA OPERAÇÃO. AF_06/2014</t>
  </si>
  <si>
    <t>CAMINHÃO BASCULANTE 6 M3, PESO BRUTO TOTAL 16.000 KG, CARGA ÚTIL MÁXIMA 13.071 KG, DISTÂNCIA ENTRE EIXOS 4,80 M, POTÊNCIA 230 CV INCLUSIVE CAÇAMBA METÁLICA - MATERIAIS NA OPERAÇÃO. AF_06/2014</t>
  </si>
  <si>
    <t>VASSOURA MECÂNICA REBOCÁVEL COM ESCOVA CILÍNDRICA, LARGURA ÚTIL DE VARRIMENTO DE 2,44 M - MANUTENÇÃO. AF_06/2014</t>
  </si>
  <si>
    <t>TRATOR DE ESTEIRAS, POTÊNCIA 170 HP, PESO OPERACIONAL 19 T, CAÇAMBA 5,2 M3 - MANUTENÇÃO. AF_06/2014</t>
  </si>
  <si>
    <t>TRATOR DE ESTEIRAS, POTÊNCIA 347 HP, PESO OPERACIONAL 38,5 T, COM LÂMINA 8,70 M3 - MANUTENÇÃO. AF_06/2014</t>
  </si>
  <si>
    <t>TRATOR DE ESTEIRAS, POTÊNCIA 100 HP, PESO OPERACIONAL 9,4 T, COM LÂMINA 2,19 M3 - MATERIAIS NA OPERAÇÃO. AF_06/2014</t>
  </si>
  <si>
    <t>ROLO COMPACTADOR VIBRATÓRIO REBOCÁVEL, CILINDRO DE AÇO LISO, POTÊNCIA DE TRAÇÃO DE 65 CV, PESO 4,7 T, IMPACTO DINÂMICO 18,3 T, LARGURA DE TRABALHO 1,67 M - DEPRECIAÇÃO. AF_02/2016</t>
  </si>
  <si>
    <t>GRADE DE DISCO REBOCÁVEL COM 20 DISCOS 24" X 6 MM COM PNEUS PARA TRANSPORTE - DEPRECIAÇÃO. AF_06/2014</t>
  </si>
  <si>
    <t>GRADE DE DISCO REBOCÁVEL COM 20 DISCOS 24" X 6 MM COM PNEUS PARA TRANSPORTE - MANUTENÇÃO. AF_06/2014</t>
  </si>
  <si>
    <t>MOTONIVELADORA POTÊNCIA BÁSICA LÍQUIDA (PRIMEIRA MARCHA) 125 HP, PESO BRUTO 13032 KG, LARGURA DA LÂMINA DE 3,7 M - MATERIAIS NA OPERAÇÃO. AF_06/2014</t>
  </si>
  <si>
    <t>PÁ CARREGADEIRA SOBRE RODAS, POTÊNCIA LÍQUIDA 128 HP, CAPACIDADE DA CAÇAMBA 1,7 A 2,8 M3, PESO OPERACIONAL 11632 KG - MANUTENÇÃO. AF_06/2014</t>
  </si>
  <si>
    <t>PÁ CARREGADEIRA SOBRE RODAS, POTÊNCIA 197 HP, CAPACIDADE DA CAÇAMBA 2,5 A 3,5 M3, PESO OPERACIONAL 18338 KG - MANUTENÇÃO. AF_06/2014</t>
  </si>
  <si>
    <t>GRUPO GERADOR ESTACIONÁRIO, MOTOR DIESEL POTÊNCIA 170 KVA - DEPRECIAÇÃO. AF_02/2016</t>
  </si>
  <si>
    <t>GRUPO GERADOR ESTACIONÁRIO, MOTOR DIESEL POTÊNCIA 170 KVA - MANUTENÇÃO. AF_02/2016</t>
  </si>
  <si>
    <t>GRUPO GERADOR ESTACIONÁRIO, MOTOR DIESEL POTÊNCIA 170 KVA - MATERIAIS NA OPERAÇÃO. AF_02/2016</t>
  </si>
  <si>
    <t>GRUPO DE SOLDAGEM COM GERADOR A DIESEL 60 CV PARA SOLDA ELÉTRICA, SOBRE 04 RODAS, COM MOTOR 4 CILINDROS 600 A - DEPRECIAÇÃO. AF_02/2016</t>
  </si>
  <si>
    <t>GRUPO DE SOLDAGEM COM GERADOR A DIESEL 60 CV PARA SOLDA ELÉTRICA, SOBRE 04 RODAS, COM MOTOR 4 CILINDROS 600 A - MANUTENÇÃO. AF_02/2016</t>
  </si>
  <si>
    <t>GRUPO DE SOLDAGEM COM GERADOR A DIESEL 60 CV PARA SOLDA ELÉTRICA, SOBRE 04 RODAS, COM MOTOR 4 CILINDROS 600 A - MATERIAIS NA OPERAÇÃO. AF_02/2016</t>
  </si>
  <si>
    <t>GRUPO DE SOLDAGEM COM GERADOR A DIESEL 60 CV PARA SOLDA ELÉTRICA, SOBRE 04 RODAS, COM MOTOR 4 CILINDROS 600 A - JUROS. AF_02/2016</t>
  </si>
  <si>
    <t>GRADE DE DISCO REBOCÁVEL COM 20 DISCOS 24" X 6 MM COM PNEUS PARA TRANSPORTE - JUROS. AF_06/2014</t>
  </si>
  <si>
    <t>PROJETOR DE ARGAMASSA, CAPACIDADE DE PROJEÇÃO 1,5 M3/H, ALCANCE DE 30 ATÉ 60 M, MOTOR ELÉTRICO POTÊNCIA 7,5 HP - MATERIAIS NA OPERAÇÃO. AF_06/2014</t>
  </si>
  <si>
    <t>PROJETOR DE ARGAMASSA, CAPACIDADE DE PROJEÇÃO 2 M3/H, ALCANCE ATÉ 50 M, MOTOR ELÉTRICO POTÊNCIA 7,5 HP - DEPRECIAÇÃO. AF_06/2014</t>
  </si>
  <si>
    <t>PROJETOR DE ARGAMASSA, CAPACIDADE DE PROJEÇÃO 2 M3/H, ALCANCE ATÉ 50 M, MOTOR ELÉTRICO POTÊNCIA 7,5 HP - JUROS. AF_06/2014</t>
  </si>
  <si>
    <t>PROJETOR DE ARGAMASSA, CAPACIDADE DE PROJEÇÃO 2 M3/H, ALCANCE ATÉ 50 M, MOTOR ELÉTRICO POTÊNCIA 7,5 HP - MANUTENÇÃO. AF_06/2014</t>
  </si>
  <si>
    <t>PROJETOR DE ARGAMASSA, CAPACIDADE DE PROJEÇÃO 2 M3/H, ALCANCE ATÉ 50 M, MOTOR ELÉTRICO POTÊNCIA 7,5 HP - MATERIAIS NA OPERAÇÃO. AF_06/2014</t>
  </si>
  <si>
    <t>TRATOR DE ESTEIRAS, POTÊNCIA 125 HP, PESO OPERACIONAL 12,9 T, COM LÂMINA 2,7 M3 - DEPRECIAÇÃO. AF_10/2014</t>
  </si>
  <si>
    <t>TRATOR DE ESTEIRAS, POTÊNCIA 125 HP, PESO OPERACIONAL 12,9 T, COM LÂMINA 2,7 M3 - JUROS. AF_10/2014</t>
  </si>
  <si>
    <t>TRATOR DE ESTEIRAS, POTÊNCIA 125 HP, PESO OPERACIONAL 12,9 T, COM LÂMINA 2,7 M3 - MANUTENÇÃO. AF_10/2014</t>
  </si>
  <si>
    <t>TRATOR DE ESTEIRAS, POTÊNCIA 125 HP, PESO OPERACIONAL 12,9 T, COM LÂMINA 2,7 M3 - MATERIAIS NA OPERAÇÃO. AF_10/2014</t>
  </si>
  <si>
    <t>ESCAVADEIRA HIDRÁULICA SOBRE ESTEIRAS, CAÇAMBA 1,20 M3, PESO OPERACIONAL 21 T, POTÊNCIA BRUTA 155 HP - DEPRECIAÇÃO. AF_06/2014</t>
  </si>
  <si>
    <t>ESCAVADEIRA HIDRÁULICA SOBRE ESTEIRAS, CAÇAMBA 1,20 M3, PESO OPERACIONAL 21 T, POTÊNCIA BRUTA 155 HP - JUROS. AF_06/2014</t>
  </si>
  <si>
    <t>ESCAVADEIRA HIDRÁULICA SOBRE ESTEIRAS, CAÇAMBA 1,20 M3, PESO OPERACIONAL 21 T, POTÊNCIA BRUTA 155 HP - MANUTENÇÃO. AF_06/2014</t>
  </si>
  <si>
    <t>ESCAVADEIRA HIDRÁULICA SOBRE ESTEIRAS, CAÇAMBA 1,20 M3, PESO OPERACIONAL 21 T, POTÊNCIA BRUTA 155 HP - MATERIAIS NA OPERAÇÃO. AF_06/2014</t>
  </si>
  <si>
    <t>TRATOR DE ESTEIRAS, POTÊNCIA 347 HP, PESO OPERACIONAL 38,5 T, COM LÂMINA 8,70 M3 - DEPRECIAÇÃO. AF_06/2014</t>
  </si>
  <si>
    <t>TRATOR DE ESTEIRAS, POTÊNCIA 347 HP, PESO OPERACIONAL 38,5 T, COM LÂMINA 8,70 M3 - JUROS. AF_06/2014</t>
  </si>
  <si>
    <t>VASSOURA MECÂNICA REBOCÁVEL COM ESCOVA CILÍNDRICA, LARGURA ÚTIL DE VARRIMENTO DE 2,44 M - DEPRECIAÇÃO. AF_06/2014</t>
  </si>
  <si>
    <t>VASSOURA MECÂNICA REBOCÁVEL COM ESCOVA CILÍNDRICA, LARGURA ÚTIL DE VARRIMENTO DE 2,44 M - JUROS. AF_06/2014</t>
  </si>
  <si>
    <t>TRATOR DE ESTEIRAS, POTÊNCIA 170 HP, PESO OPERACIONAL 19 T, CAÇAMBA 5,2 M3 - DEPRECIAÇÃO. AF_06/2014</t>
  </si>
  <si>
    <t>TRATOR DE ESTEIRAS, POTÊNCIA 170 HP, PESO OPERACIONAL 19 T, CAÇAMBA 5,2 M3 - JUROS. AF_06/2014</t>
  </si>
  <si>
    <t>TRATOR DE ESTEIRAS, POTÊNCIA 100 HP, PESO OPERACIONAL 9,4 T, COM LÂMINA 2,19 M3 - DEPRECIAÇÃO. AF_06/2014</t>
  </si>
  <si>
    <t>TRATOR DE ESTEIRAS, POTÊNCIA 100 HP, PESO OPERACIONAL 9,4 T, COM LÂMINA 2,19 M3 - JUROS. AF_06/2014</t>
  </si>
  <si>
    <t>PÁ CARREGADEIRA SOBRE RODAS, POTÊNCIA LÍQUIDA 128 HP, CAPACIDADE DA CAÇAMBA 1,7 A 2,8 M3, PESO OPERACIONAL 11632 KG - DEPRECIAÇÃO. AF_06/2014</t>
  </si>
  <si>
    <t>PÁ CARREGADEIRA SOBRE RODAS, POTÊNCIA LÍQUIDA 128 HP, CAPACIDADE DA CAÇAMBA 1,7 A 2,8 M3, PESO OPERACIONAL 11632 KG - JUROS. AF_06/2014</t>
  </si>
  <si>
    <t>PÁ CARREGADEIRA SOBRE RODAS, POTÊNCIA 197 HP, CAPACIDADE DA CAÇAMBA 2,5 A 3,5 M3, PESO OPERACIONAL 18338 KG - DEPRECIAÇÃO. AF_06/2014</t>
  </si>
  <si>
    <t>PÁ CARREGADEIRA SOBRE RODAS, POTÊNCIA 197 HP, CAPACIDADE DA CAÇAMBA 2,5 A 3,5 M3, PESO OPERACIONAL 18338 KG - JUROS. AF_06/2014</t>
  </si>
  <si>
    <t>FRESADORA DE ASFALTO A FRIO SOBRE RODAS, LARGURA FRESAGEM DE 1,0 M, POTÊNCIA 208 HP - DEPRECIAÇÃO. AF_11/2014</t>
  </si>
  <si>
    <t>FRESADORA DE ASFALTO A FRIO SOBRE RODAS, LARGURA FRESAGEM DE 1,0 M, POTÊNCIA 208 HP - JUROS. AF_11/2014</t>
  </si>
  <si>
    <t>FRESADORA DE ASFALTO A FRIO SOBRE RODAS, LARGURA FRESAGEM DE 1,0 M, POTÊNCIA 208 HP - MANUTENÇÃO. AF_11/2014</t>
  </si>
  <si>
    <t>FRESADORA DE ASFALTO A FRIO SOBRE RODAS, LARGURA FRESAGEM DE 1,0 M, POTÊNCIA 208 HP - MATERIAIS NA OPERAÇÃO. AF_11/2014</t>
  </si>
  <si>
    <t>FRESADORA DE ASFALTO A FRIO SOBRE RODAS, LARGURA FRESAGEM DE 2,0 M, POTÊNCIA 550 HP - DEPRECIAÇÃO. AF_11/2014</t>
  </si>
  <si>
    <t>FRESADORA DE ASFALTO A FRIO SOBRE RODAS, LARGURA FRESAGEM DE 2,0 M, POTÊNCIA 550 HP - JUROS. AF_11/2014</t>
  </si>
  <si>
    <t>FRESADORA DE ASFALTO A FRIO SOBRE RODAS, LARGURA FRESAGEM DE 2,0 M, POTÊNCIA 550 HP - MANUTENÇÃO. AF_11/2014</t>
  </si>
  <si>
    <t>FRESADORA DE ASFALTO A FRIO SOBRE RODAS, LARGURA FRESAGEM DE 2,0 M, POTÊNCIA 550 HP - MATERIAIS NA OPERAÇÃO. AF_11/2014</t>
  </si>
  <si>
    <t>GUINDAUTO HIDRÁULICO, CAPACIDADE MÁXIMA DE CARGA 6200 KG, MOMENTO MÁXIMO DE CARGA 11,7 TM, ALCANCE MÁXIMO HORIZONTAL 9,70 M, INCLUSIVE CAMINHÃO TOCO PBT 16.000 KG, POTÊNCIA DE 189 CV - DEPRECIAÇÃO. AF_06/2014</t>
  </si>
  <si>
    <t>GUINDAUTO HIDRÁULICO, CAPACIDADE MÁXIMA DE CARGA 6200 KG, MOMENTO MÁXIMO DE CARGA 11,7 TM, ALCANCE MÁXIMO HORIZONTAL 9,70 M, INCLUSIVE CAMINHÃO TOCO PBT 16.000 KG, POTÊNCIA DE 189 CV - JUROS. AF_06/2014</t>
  </si>
  <si>
    <t>GUINDAUTO HIDRÁULICO, CAPACIDADE MÁXIMA DE CARGA 6200 KG, MOMENTO MÁXIMO DE CARGA 11,7 TM, ALCANCE MÁXIMO HORIZONTAL 9,70 M, INCLUSIVE CAMINHÃO TOCO PBT 16.000 KG, POTÊNCIA DE 189 CV - MANUTENÇÃO. AF_06/2014</t>
  </si>
  <si>
    <t>ROLO COMPACTADOR VIBRATÓRIO TANDEM AÇO LISO, POTÊNCIA 58 HP, PESO SEM/COM LASTRO 6,5 / 9,4 T, LARGURA DE TRABALHO 1,2 M - DEPRECIAÇÃO. AF_06/2014</t>
  </si>
  <si>
    <t>ROLO COMPACTADOR VIBRATÓRIO TANDEM AÇO LISO, POTÊNCIA 58 HP, PESO SEM/COM LASTRO 6,5 / 9,4 T, LARGURA DE TRABALHO 1,2 M - JUROS. AF_06/2014</t>
  </si>
  <si>
    <t>VIBRADOR DE IMERSÃO, DIÂMETRO DE PONTEIRA 45MM, MOTOR ELÉTRICO TRIFÁSICO POTÊNCIA DE 2 CV - DEPRECIAÇÃO. AF_06/2015</t>
  </si>
  <si>
    <t>VIBRADOR DE IMERSÃO, DIÂMETRO DE PONTEIRA 45MM, MOTOR ELÉTRICO TRIFÁSICO POTÊNCIA DE 2 CV - JUROS. AF_06/2015</t>
  </si>
  <si>
    <t>VIBRADOR DE IMERSÃO, DIÂMETRO DE PONTEIRA 45MM, MOTOR ELÉTRICO TRIFÁSICO POTÊNCIA DE 2 CV - MANUTENÇÃO. AF_06/2015</t>
  </si>
  <si>
    <t>VIBRADOR DE IMERSÃO, DIÂMETRO DE PONTEIRA 45MM, MOTOR ELÉTRICO TRIFÁSICO POTÊNCIA DE 2 CV - MATERIAIS NA OPERAÇÃO. AF_06/2015</t>
  </si>
  <si>
    <t>PERFURATRIZ SOBRE ESTEIRA, TORQUE MÁXIMO 600 KGF, PESO MÉDIO 1000 KG, POTÊNCIA 20 HP, DIÂMETRO MÁXIMO 10" - MATERIAIS NA OPERAÇÃO. AF_06/2015</t>
  </si>
  <si>
    <t>BOMBA TRIPLEX, PARA INJEÇÃO DE NATA DE CIMENTO, VAZÃO MÁXIMA DE 100 LITROS/MINUTO, PRESSÃO MÁXIMA DE 70 BAR - DEPRECIAÇÃO. AF_06/2015</t>
  </si>
  <si>
    <t>BOMBA TRIPLEX, PARA INJEÇÃO DE NATA DE CIMENTO, VAZÃO MÁXIMA DE 100 LITROS/MINUTO, PRESSÃO MÁXIMA DE 70 BAR - JUROS. AF_06/2015</t>
  </si>
  <si>
    <t>BOMBA TRIPLEX, PARA INJEÇÃO DE NATA DE CIMENTO, VAZÃO MÁXIMA DE 100 LITROS/MINUTO, PRESSÃO MÁXIMA DE 70 BAR - MANUTENÇÃO. AF_06/2015</t>
  </si>
  <si>
    <t>BOMBA TRIPLEX, PARA INJEÇÃO DE NATA DE CIMENTO, VAZÃO MÁXIMA DE 100 LITROS/MINUTO, PRESSÃO MÁXIMA DE 70 BAR - MATERIAIS NA OPERAÇÃO. AF_06/2015</t>
  </si>
  <si>
    <t>BOMBA DE PROJEÇÃO DE CONCRETO SECO, POTÊNCIA 10 CV, VAZÃO 3 M3/H - DEPRECIAÇÃO. AF_06/2015</t>
  </si>
  <si>
    <t>BOMBA DE PROJEÇÃO DE CONCRETO SECO, POTÊNCIA 10 CV, VAZÃO 3 M3/H - JUROS. AF_06/2015</t>
  </si>
  <si>
    <t>BOMBA DE PROJEÇÃO DE CONCRETO SECO, POTÊNCIA 10 CV, VAZÃO 3 M3/H - MANUTENÇÃO. AF_06/2015</t>
  </si>
  <si>
    <t>BOMBA DE PROJEÇÃO DE CONCRETO SECO, POTÊNCIA 10 CV, VAZÃO 3 M3/H - MATERIAIS NA OPERAÇÃO. AF_06/2015</t>
  </si>
  <si>
    <t>BOMBA DE PROJEÇÃO DE CONCRETO SECO, POTÊNCIA 10 CV, VAZÃO 6 M3/H - DEPRECIAÇÃO. AF_06/2015</t>
  </si>
  <si>
    <t>BOMBA DE PROJEÇÃO DE CONCRETO SECO, POTÊNCIA 10 CV, VAZÃO 6 M3/H - JUROS. AF_06/2015</t>
  </si>
  <si>
    <t>BOMBA DE PROJEÇÃO DE CONCRETO SECO, POTÊNCIA 10 CV, VAZÃO 6 M3/H - MANUTENÇÃO. AF_06/2015</t>
  </si>
  <si>
    <t>BOMBA DE PROJEÇÃO DE CONCRETO SECO, POTÊNCIA 10 CV, VAZÃO 6 M3/H - MATERIAIS NA OPERAÇÃO. AF_06/2015</t>
  </si>
  <si>
    <t>PERFURATRIZ COM TORRE METÁLICA PARA EXECUÇÃO DE ESTACA HÉLICE CONTÍNUA, PROFUNDIDADE MÁXIMA DE 30 M, DIÂMETRO MÁXIMO DE 800 MM, POTÊNCIA INSTALADA DE 268 HP, MESA ROTATIVA COM TORQUE MÁXIMO DE 170 KNM - DEPRECIAÇÃO. AF_06/2015</t>
  </si>
  <si>
    <t>PERFURATRIZ COM TORRE METÁLICA PARA EXECUÇÃO DE ESTACA HÉLICE CONTÍNUA, PROFUNDIDADE MÁXIMA DE 30 M, DIÂMETRO MÁXIMO DE 800 MM, POTÊNCIA INSTALADA DE 268 HP, MESA ROTATIVA COM TORQUE MÁXIMO DE 170 KNM - MANUTENÇÃO. AF_06/2015</t>
  </si>
  <si>
    <t>PERFURATRIZ COM TORRE METÁLICA PARA EXECUÇÃO DE ESTACA HÉLICE CONTÍNUA, PROFUNDIDADE MÁXIMA DE 30 M, DIÂMETRO MÁXIMO DE 800 MM, POTÊNCIA INSTALADA DE 268 HP, MESA ROTATIVA COM TORQUE MÁXIMO DE 170 KNM - MATERIAIS NA OPERAÇÃO. AF_06/2015</t>
  </si>
  <si>
    <t>MINICARREGADEIRA SOBRE RODAS, POTÊNCIA LÍQUIDA DE 47 HP, CAPACIDADE NOMINAL DE OPERAÇÃO DE 646 KG - DEPRECIAÇÃO. AF_06/2015</t>
  </si>
  <si>
    <t>MINICARREGADEIRA SOBRE RODAS, POTÊNCIA LÍQUIDA DE 47 HP, CAPACIDADE NOMINAL DE OPERAÇÃO DE 646 KG - JUROS. AF_06/2015</t>
  </si>
  <si>
    <t>MINICARREGADEIRA SOBRE RODAS, POTÊNCIA LÍQUIDA DE 47 HP, CAPACIDADE NOMINAL DE OPERAÇÃO DE 646 KG - MANUTENÇÃO. AF_06/2015</t>
  </si>
  <si>
    <t>MINICARREGADEIRA SOBRE RODAS, POTÊNCIA LÍQUIDA DE 47 HP, CAPACIDADE NOMINAL DE OPERAÇÃO DE 646 KG - MATERIAIS NA OPERAÇÃO. AF_06/2015</t>
  </si>
  <si>
    <t>COMPRESSOR DE AR REBOCÁVEL, VAZÃO 89 PCM, PRESSÃO EFETIVA DE TRABALHO 102 PSI, MOTOR DIESEL, POTÊNCIA 20 CV - MATERIAIS NA OPERAÇÃO. AF_06/2015</t>
  </si>
  <si>
    <t>COMPRESSOR DE AR REBOCAVEL, VAZÃO 250 PCM, PRESSAO DE TRABALHO 102 PSI, MOTOR A DIESEL POTÊNCIA 81 CV - DEPRECIAÇÃO. AF_06/2015</t>
  </si>
  <si>
    <t>COMPRESSOR DE AR REBOCAVEL, VAZÃO 250 PCM, PRESSAO DE TRABALHO 102 PSI, MOTOR A DIESEL POTÊNCIA 81 CV - JUROS. AF_06/2015</t>
  </si>
  <si>
    <t>COMPRESSOR DE AR REBOCAVEL, VAZÃO 250 PCM, PRESSAO DE TRABALHO 102 PSI, MOTOR A DIESEL POTÊNCIA 81 CV - MANUTENÇÃO. AF_06/2015</t>
  </si>
  <si>
    <t>COMPRESSOR DE AR REBOCAVEL, VAZÃO 250 PCM, PRESSAO DE TRABALHO 102 PSI, MOTOR A DIESEL POTÊNCIA 81 CV - MATERIAIS NA OPERAÇÃO. AF_06/2015</t>
  </si>
  <si>
    <t>COMPRESSOR DE AR REBOCAVEL, VAZÃO 400 PCM, PRESSAO DE TRABALHO 102 PSI, MOTOR A DIESEL POTÊNCIA 110 CV - DEPRECIAÇÃO. AF_06/2015</t>
  </si>
  <si>
    <t>COMPRESSOR DE AR REBOCAVEL, VAZÃO 400 PCM, PRESSAO DE TRABALHO 102 PSI, MOTOR A DIESEL POTÊNCIA 110 CV - JUROS. AF_06/2015</t>
  </si>
  <si>
    <t>COMPRESSOR DE AR REBOCAVEL, VAZÃO 400 PCM, PRESSAO DE TRABALHO 102 PSI, MOTOR A DIESEL POTÊNCIA 110 CV - MANUTENÇÃO. AF_06/2015</t>
  </si>
  <si>
    <t>COMPRESSOR DE AR REBOCAVEL, VAZÃO 400 PCM, PRESSAO DE TRABALHO 102 PSI, MOTOR A DIESEL POTÊNCIA 110 CV - MATERIAIS NA OPERAÇÃO. AF_06/2015</t>
  </si>
  <si>
    <t>PLACA VIBRATÓRIA REVERSÍVEL COM MOTOR 4 TEMPOS A GASOLINA, FORÇA CENTRÍFUGA DE 25 KN (2500 KGF), POTÊNCIA 5,5 CV - DEPRECIAÇÃO. AF_08/2015</t>
  </si>
  <si>
    <t>PLACA VIBRATÓRIA REVERSÍVEL COM MOTOR 4 TEMPOS A GASOLINA, FORÇA CENTRÍFUGA DE 25 KN (2500 KGF), POTÊNCIA 5,5 CV - JUROS. AF_08/2015</t>
  </si>
  <si>
    <t>PLACA VIBRATÓRIA REVERSÍVEL COM MOTOR 4 TEMPOS A GASOLINA, FORÇA CENTRÍFUGA DE 25 KN (2500 KGF), POTÊNCIA 5,5 CV - MANUTENÇÃO. AF_08/2015</t>
  </si>
  <si>
    <t>PLACA VIBRATÓRIA REVERSÍVEL COM MOTOR 4 TEMPOS A GASOLINA, FORÇA CENTRÍFUGA DE 25 KN (2500 KGF), POTÊNCIA 5,5 CV - MATERIAIS NA OPERAÇÃO. AF_08/2015</t>
  </si>
  <si>
    <t>CAMINHÃO BASCULANTE 6 M3, PESO BRUTO TOTAL 16.000 KG, CARGA ÚTIL MÁXIMA 13.071 KG, DISTÂNCIA ENTRE EIXOS 4,80 M, POTÊNCIA 230 CV INCLUSIVE CAÇAMBA METÁLICA - DEPRECIAÇÃO. AF_06/2014</t>
  </si>
  <si>
    <t>CAMINHÃO BASCULANTE 6 M3, PESO BRUTO TOTAL 16.000 KG, CARGA ÚTIL MÁXIMA 13.071 KG, DISTÂNCIA ENTRE EIXOS 4,80 M, POTÊNCIA 230 CV INCLUSIVE CAÇAMBA METÁLICA - JUROS. AF_06/2014</t>
  </si>
  <si>
    <t>CAMINHÃO BASCULANTE 6 M3, PESO BRUTO TOTAL 16.000 KG, CARGA ÚTIL MÁXIMA 13.071 KG, DISTÂNCIA ENTRE EIXOS 4,80 M, POTÊNCIA 230 CV INCLUSIVE CAÇAMBA METÁLICA - IMPOSTOS E SEGUROS. AF_06/2014</t>
  </si>
  <si>
    <t>CAMINHÃO BASCULANTE 10 M3, TRUCADO CABINE SIMPLES, PESO BRUTO TOTAL 23.000 KG, CARGA ÚTIL MÁXIMA 15.935 KG, DISTÂNCIA ENTRE EIXOS 4,80 M, POTÊNCIA 230 CV INCLUSIVE CAÇAMBA METÁLICA - DEPRECIAÇÃO. AF_06/2014</t>
  </si>
  <si>
    <t>CAMINHÃO BASCULANTE 10 M3, TRUCADO CABINE SIMPLES, PESO BRUTO TOTAL 23.000 KG, CARGA ÚTIL MÁXIMA 15.935 KG, DISTÂNCIA ENTRE EIXOS 4,80 M, POTÊNCIA 230 CV INCLUSIVE CAÇAMBA METÁLICA - JUROS. AF_06/2014</t>
  </si>
  <si>
    <t>CAMINHÃO BASCULANTE 10 M3, TRUCADO CABINE SIMPLES, PESO BRUTO TOTAL 23.000 KG, CARGA ÚTIL MÁXIMA 15.935 KG, DISTÂNCIA ENTRE EIXOS 4,80 M, POTÊNCIA 230 CV INCLUSIVE CAÇAMBA METÁLICA - IMPOSTOS E SEGUROS. AF_06/2014</t>
  </si>
  <si>
    <t>CAMINHÃO BASCULANTE 10 M3, TRUCADO CABINE SIMPLES, PESO BRUTO TOTAL 23.000 KG, CARGA ÚTIL MÁXIMA 15.935 KG, DISTÂNCIA ENTRE EIXOS 4,80 M, POTÊNCIA 230 CV INCLUSIVE CAÇAMBA METÁLICA - MANUTENÇÃO. AF_06/2014</t>
  </si>
  <si>
    <t>CAMINHÃO BASCULANTE 10 M3, TRUCADO CABINE SIMPLES, PESO BRUTO TOTAL 23.000 KG, CARGA ÚTIL MÁXIMA 15.935 KG, DISTÂNCIA ENTRE EIXOS 4,80 M, POTÊNCIA 230 CV INCLUSIVE CAÇAMBA METÁLICA - MATERIAIS NA OPERAÇÃO. AF_06/2014</t>
  </si>
  <si>
    <t>CAMINHÃO BASCULANTE 6 M3 TOCO, PESO BRUTO TOTAL 16.000 KG, CARGA ÚTIL MÁXIMA 11.130 KG, DISTÂNCIA ENTRE EIXOS 5,36 M, POTÊNCIA 185 CV, INCLUSIVE CAÇAMBA METÁLICA - IMPOSTOS E SEGUROS. AF_06/2014</t>
  </si>
  <si>
    <t>GUINDAUTO HIDRÁULICO, CAPACIDADE MÁXIMA DE CARGA 6200 KG, MOMENTO MÁXIMO DE CARGA 11,7 TM, ALCANCE MÁXIMO HORIZONTAL 9,70 M, INCLUSIVE CAMINHÃO TOCO PBT 16.000 KG, POTÊNCIA DE 189 CV - IMPOSTOS E SEGUROS. AF_08/2015</t>
  </si>
  <si>
    <t>GUINDAUTO HIDRÁULICO, CAPACIDADE MÁXIMA DE CARGA 6200 KG, MOMENTO MÁXIMO DE CARGA 11,7 TM, ALCANCE MÁXIMO HORIZONTAL 9,70 M, INCLUSIVE CAMINHÃO TOCO PBT 16.000 KG, POTÊNCIA DE 189 CV - MATERIAIS NA OPERAÇÃO. AF_08/2015</t>
  </si>
  <si>
    <t>COMPACTADOR DE SOLOS DE PERCUSSÃO (SOQUETE) COM MOTOR A GASOLINA 4 TEMPOS, POTÊNCIA 4 CV - DEPRECIAÇÃO. AF_08/2015</t>
  </si>
  <si>
    <t>COMPACTADOR DE SOLOS DE PERCUSSÃO (SOQUETE) COM MOTOR A GASOLINA 4 TEMPOS, POTÊNCIA 4 CV - JUROS. AF_08/2015</t>
  </si>
  <si>
    <t>COMPACTADOR DE SOLOS DE PERCUSSÃO (SOQUETE) COM MOTOR A GASOLINA 4 TEMPOS, POTÊNCIA 4 CV - MANUTENÇÃO. AF_08/2015</t>
  </si>
  <si>
    <t>COMPACTADOR DE SOLOS DE PERCUSSÃO (SOQUETE) COM MOTOR A GASOLINA 4 TEMPOS, POTÊNCIA 4 CV - MATERIAIS NA OPERAÇÃO. AF_08/2015</t>
  </si>
  <si>
    <t>GUINDAUTO HIDRÁULICO, CAPACIDADE MÁXIMA DE CARGA 6500 KG, MOMENTO MÁXIMO DE CARGA 5,8 TM, ALCANCE MÁXIMO HORIZONTAL 7,60 M, INCLUSIVE CAMINHÃO TOCO PBT 9.700 KG, POTÊNCIA DE 160 CV - DEPRECIAÇÃO. AF_08/2015</t>
  </si>
  <si>
    <t>GUINDAUTO HIDRÁULICO, CAPACIDADE MÁXIMA DE CARGA 6500 KG, MOMENTO MÁXIMO DE CARGA 5,8 TM, ALCANCE MÁXIMO HORIZONTAL 7,60 M, INCLUSIVE CAMINHÃO TOCO PBT 9.700 KG, POTÊNCIA DE 160 CV - JUROS. AF_08/2015</t>
  </si>
  <si>
    <t>GUINDAUTO HIDRÁULICO, CAPACIDADE MÁXIMA DE CARGA 6500 KG, MOMENTO MÁXIMO DE CARGA 5,8 TM, ALCANCE MÁXIMO HORIZONTAL 7,60 M, INCLUSIVE CAMINHÃO TOCO PBT 9.700 KG, POTÊNCIA DE 160 CV - IMPOSTOS E SEGUROS. AF_08/2015</t>
  </si>
  <si>
    <t>GUINDAUTO HIDRÁULICO, CAPACIDADE MÁXIMA DE CARGA 6500 KG, MOMENTO MÁXIMO DE CARGA 5,8 TM, ALCANCE MÁXIMO HORIZONTAL 7,60 M, INCLUSIVE CAMINHÃO TOCO PBT 9.700 KG, POTÊNCIA DE 160 CV - MANUTENÇÃO. AF_08/2015</t>
  </si>
  <si>
    <t>GUINDAUTO HIDRÁULICO, CAPACIDADE MÁXIMA DE CARGA 6500 KG, MOMENTO MÁXIMO DE CARGA 5,8 TM, ALCANCE MÁXIMO HORIZONTAL 7,60 M, INCLUSIVE CAMINHÃO TOCO PBT 9.700 KG, POTÊNCIA DE 160 CV - MATERIAIS NA OPERAÇÃO. AF_08/2015</t>
  </si>
  <si>
    <t>CAMINHÃO DE TRANSPORTE DE MATERIAL ASFÁLTICO 30.000 L, COM CAVALO MECÂNICO DE CAPACIDADE MÁXIMA DE TRAÇÃO COMBINADO DE 66.000 KG, POTÊNCIA 360 CV, INCLUSIVE TANQUE DE ASFALTO COM SERPENTINA - DEPRECIAÇÃO. AF_08/2015</t>
  </si>
  <si>
    <t>CAMINHÃO DE TRANSPORTE DE MATERIAL ASFÁLTICO 30.000 L, COM CAVALO MECÂNICO DE CAPACIDADE MÁXIMA DE TRAÇÃO COMBINADO DE 66.000 KG, POTÊNCIA 360 CV, INCLUSIVE TANQUE DE ASFALTO COM SERPENTINA - JUROS. AF_08/2015</t>
  </si>
  <si>
    <t>CAMINHÃO DE TRANSPORTE DE MATERIAL ASFÁLTICO 30.000 L, COM CAVALO MECÂNICO DE CAPACIDADE MÁXIMA DE TRAÇÃO COMBINADO DE 66.000 KG, POTÊNCIA 360 CV, INCLUSIVE TANQUE DE ASFALTO COM SERPENTINA - IMPOSTOS E SEGUROS. AF_08/2015</t>
  </si>
  <si>
    <t>CAMINHÃO DE TRANSPORTE DE MATERIAL ASFÁLTICO 30.000 L, COM CAVALO MECÂNICO DE CAPACIDADE MÁXIMA DE TRAÇÃO COMBINADO DE 66.000 KG, POTÊNCIA 360 CV, INCLUSIVE TANQUE DE ASFALTO COM SERPENTINA - MANUTENÇÃO. AF_08/2015</t>
  </si>
  <si>
    <t>CAMINHÃO DE TRANSPORTE DE MATERIAL ASFÁLTICO 30.000 L, COM CAVALO MECÂNICO DE CAPACIDADE MÁXIMA DE TRAÇÃO COMBINADO DE 66.000 KG, POTÊNCIA 360 CV, INCLUSIVE TANQUE DE ASFALTO COM SERPENTINA - MATERIAIS NA OPERAÇÃO. AF_08/2015</t>
  </si>
  <si>
    <t>SERRA CIRCULAR DE BANCADA COM MOTOR ELÉTRICO POTÊNCIA DE 5HP, COM COIFA PARA DISCO 10" - DEPRECIAÇÃO. AF_08/2015</t>
  </si>
  <si>
    <t>SERRA CIRCULAR DE BANCADA COM MOTOR ELÉTRICO POTÊNCIA DE 5HP, COM COIFA PARA DISCO 10" - JUROS. AF_08/2015</t>
  </si>
  <si>
    <t>SERRA CIRCULAR DE BANCADA COM MOTOR ELÉTRICO POTÊNCIA DE 5HP, COM COIFA PARA DISCO 10" - MANUTENÇÃO. AF_08/2015</t>
  </si>
  <si>
    <t>SERRA CIRCULAR DE BANCADA COM MOTOR ELÉTRICO POTÊNCIA DE 5HP, COM COIFA PARA DISCO 10" - MATERIAIS NA OPERAÇÃO. AF_08/2015</t>
  </si>
  <si>
    <t>DISTRIBUIDOR DE AGREGADOS REBOCAVEL, CAPACIDADE 1,9 M³, LARGURA DE TRABALHO 3,66 M - DEPRECIAÇÃO. AF_11/2015</t>
  </si>
  <si>
    <t>DISTRIBUIDOR DE AGREGADOS REBOCAVEL, CAPACIDADE 1,9 M³, LARGURA DE TRABALHO 3,66 M - JUROS. AF_11/2015</t>
  </si>
  <si>
    <t>DISTRIBUIDOR DE AGREGADOS REBOCAVEL, CAPACIDADE 1,9 M³, LARGURA DE TRABALHO 3,66 M - MANUTENÇÃO. AF_11/2015</t>
  </si>
  <si>
    <t>CAMINHONETE COM MOTOR A DIESEL, POTÊNCIA 180 CV, CABINE DUPLA, 4X4 - DEPRECIAÇÃO. AF_11/2015</t>
  </si>
  <si>
    <t>CAMINHONETE COM MOTOR A DIESEL, POTÊNCIA 180 CV, CABINE DUPLA, 4X4 - JUROS. AF_11/2015</t>
  </si>
  <si>
    <t>CAMINHONETE COM MOTOR A DIESEL, POTÊNCIA 180 CV, CABINE DUPLA, 4X4 - IMPOSTOS E SEGUROS. AF_11/2015</t>
  </si>
  <si>
    <t>CAMINHONETE COM MOTOR A DIESEL, POTÊNCIA 180 CV, CABINE DUPLA, 4X4 - MANUTENÇÃO. AF_11/2015</t>
  </si>
  <si>
    <t>CAMINHONETE COM MOTOR A DIESEL, POTÊNCIA 180 CV, CABINE DUPLA, 4X4 - MATERIAIS NA OPERAÇÃO. AF_11/2015</t>
  </si>
  <si>
    <t>CAMINHÃO DE TRANSPORTE DE MATERIAL ASFÁLTICO 20.000 L, COM CAVALO MECÂNICO DE CAPACIDADE MÁXIMA DE TRAÇÃO COMBINADO DE 45.000 KG, POTÊNCIA 330 CV, INCLUSIVE TANQUE DE ASFALTO COM MAÇARICO - DEPRECIAÇÃO. AF_12/2015</t>
  </si>
  <si>
    <t>CAMINHÃO DE TRANSPORTE DE MATERIAL ASFÁLTICO 20.000 L, COM CAVALO MECÂNICO DE CAPACIDADE MÁXIMA DE TRAÇÃO COMBINADO DE 45.000 KG, POTÊNCIA 330 CV, INCLUSIVE TANQUE DE ASFALTO COM MAÇARICO - JUROS. AF_12/2015</t>
  </si>
  <si>
    <t>CAMINHÃO DE TRANSPORTE DE MATERIAL ASFÁLTICO 20.000 L, COM CAVALO MECÂNICO DE CAPACIDADE MÁXIMA DE TRAÇÃO COMBINADO DE 45.000 KG, POTÊNCIA 330 CV, INCLUSIVE TANQUE DE ASFALTO COM MAÇARICO - MANUTENÇÃO. AF_12/2015</t>
  </si>
  <si>
    <t>CAMINHÃO DE TRANSPORTE DE MATERIAL ASFÁLTICO 20.000 L, COM CAVALO MECÂNICO DE CAPACIDADE MÁXIMA DE TRAÇÃO COMBINADO DE 45.000 KG, POTÊNCIA 330 CV, INCLUSIVE TANQUE DE ASFALTO COM MAÇARICO - MATERIAIS NA OPERAÇÃO. AF_12/2015</t>
  </si>
  <si>
    <t>MÁQUINA EXTRUSORA DE CONCRETO PARA GUIAS E SARJETAS, MOTOR A DIESEL, POTÊNCIA 14 CV - DEPRECIAÇÃO. AF_12/2015</t>
  </si>
  <si>
    <t>MÁQUINA EXTRUSORA DE CONCRETO PARA GUIAS E SARJETAS, MOTOR A DIESEL, POTÊNCIA 14 CV - JUROS. AF_12/2015</t>
  </si>
  <si>
    <t>MÁQUINA EXTRUSORA DE CONCRETO PARA GUIAS E SARJETAS, MOTOR A DIESEL, POTÊNCIA 14 CV - MANUTENÇÃO. AF_12/2015</t>
  </si>
  <si>
    <t>MÁQUINA EXTRUSORA DE CONCRETO PARA GUIAS E SARJETAS, MOTOR A DIESEL, POTÊNCIA 14 CV - MATERIAIS NA OPERAÇÃO. AF_12/2015</t>
  </si>
  <si>
    <t>MARTELO PERFURADOR PNEUMÁTICO MANUAL, HASTE 25 X 75 MM, 21 KG - DEPRECIAÇÃO. AF_12/2015</t>
  </si>
  <si>
    <t>MARTELO PERFURADOR PNEUMÁTICO MANUAL, HASTE 25 X 75 MM, 21 KG - MANUTENÇÃO. AF_12/2015</t>
  </si>
  <si>
    <t>PERFURATRIZ COM TORRE METÁLICA PARA EXECUÇÃO DE ESTACA HÉLICE CONTÍNUA, PROFUNDIDADE MÁXIMA DE 32 M, DIÂMETRO MÁXIMO DE 1000 MM, POTÊNCIA INSTALADA DE 350 HP, MESA ROTATIVA COM TORQUE MÁXIMO DE 263 KNM - DEPRECIAÇÃO. AF_01/2016</t>
  </si>
  <si>
    <t>PERFURATRIZ COM TORRE METÁLICA PARA EXECUÇÃO DE ESTACA HÉLICE CONTÍNUA, PROFUNDIDADE MÁXIMA DE 32 M, DIÂMETRO MÁXIMO DE 1000 MM, POTÊNCIA INSTALADA DE 350 HP, MESA ROTATIVA COM TORQUE MÁXIMO DE 263 KNM - MANUTENÇÃO. AF_01/2016</t>
  </si>
  <si>
    <t>GRUPO GERADOR ESTACIONÁRIO, MOTOR DIESEL POTÊNCIA 170 KVA - JUROS. AF_02/2016</t>
  </si>
  <si>
    <t>ROLO COMPACTADOR VIBRATÓRIO REBOCÁVEL, CILINDRO DE AÇO LISO, POTÊNCIA DE TRAÇÃO DE 65 CV, PESO 4,7 T, IMPACTO DINÂMICO 18,3 T, LARGURA DE TRABALHO 1,67 M - JUROS. AF_02/2016</t>
  </si>
  <si>
    <t>ROLO COMPACTADOR VIBRATÓRIO PÉ DE CARNEIRO, OPERADO POR CONTROLE REMOTO, POTÊNCIA 12,5 KW, PESO OPERACIONAL 1,675 T, LARGURA DE TRABALHO 0,85 M - JUROS. AF_02/2016</t>
  </si>
  <si>
    <t>ROLO COMPACTADOR VIBRATÓRIO PÉ DE CARNEIRO, OPERADO POR CONTROLE REMOTO, POTÊNCIA 12,5 KW, PESO OPERACIONAL 1,675 T, LARGURA DE TRABALHO 0,85 M - MATERIAIS NA OPERAÇÃO. AF_02/2016</t>
  </si>
  <si>
    <t>PORTA DE MADEIRA PARA PINTURA, SEMI-OCA (LEVE OU MÉDIA), 60X210CM, ESPESSURA DE 3,5CM, INCLUSO DOBRADIÇAS - FORNECIMENTO E INSTALAÇÃO. AF_08/2015</t>
  </si>
  <si>
    <t>PORTA DE MADEIRA PARA PINTURA, SEMI-OCA (LEVE OU MÉDIA), 70X210CM, ESPESSURA DE 3,5CM, INCLUSO DOBRADIÇAS - FORNECIMENTO E INSTALAÇÃO. AF_08/2015</t>
  </si>
  <si>
    <t>PORTA DE MADEIRA PARA PINTURA, SEMI-OCA (LEVE OU MÉDIA), 80X210CM, ESPESSURA DE 3,5CM, INCLUSO DOBRADIÇAS - FORNECIMENTO E INSTALAÇÃO. AF_08/2015</t>
  </si>
  <si>
    <t>CUBA DE EMBUTIR OVAL EM LOUÇA BRANCA, 35 X 50CM OU EQUIVALENTE - FORNECIMENTO E INSTALAÇÃO. AF_12/2013</t>
  </si>
  <si>
    <t>RASGO EM CONTRAPISO PARA RAMAIS/ DISTRIBUIÇÃO COM DIÂMETROS MAIORES QUE 40 MM E MENORES OU IGUAIS A 75 MM. AF_05/2015</t>
  </si>
  <si>
    <t>RASGO EM CONTRAPISO PARA RAMAIS/ DISTRIBUIÇÃO COM DIÂMETROS MAIORES QUE 75 MM. AF_05/2015</t>
  </si>
  <si>
    <t>TRANSPORTE DE ENTULHO COM CAMINHÃO BASCULANTE 6 M3, RODOVIA PAVIMENTADA, DMT ATE 0,5 KM</t>
  </si>
  <si>
    <t>ALVENARIA DE VEDAÇÃO DE BLOCOS CERÂMICOS FURADOS NA VERTICAL DE 14X19X39CM (ESPESSURA 14CM) DE PAREDES COM ÁREA LÍQUIDA MENOR QUE 6M² COM VÃOS E ARGAMASSA DE ASSENTAMENTO COM PREPARO EM BETONEIRA. AF_06/2014</t>
  </si>
  <si>
    <t>APLICAÇÃO E LIXAMENTO DE MASSA LÁTEX EM PAREDES, DUAS DEMÃOS. AF_06/2014</t>
  </si>
  <si>
    <t>PISO DE BORRACHA PASTILHADO, ESPESSURA 7MM, ASSENTADO COM ARGAMASSA TRACO 1:3 (CIMENTO E AREIA)</t>
  </si>
  <si>
    <t>PISO EM GRANILITE, MARMORITE OU GRANITINA ESPESSURA 8 MM, INCLUSO JUNTAS DE DILATACAO PLASTICAS</t>
  </si>
  <si>
    <t>AUXILIAR DE ENCANADOR OU BOMBEIRO HIDRÁULICO COM ENCARGOS COMPLEMENTARES</t>
  </si>
  <si>
    <t>CAVOUQUEIRO OU OPERADOR PERFURATRIZ/ROMPEDOR COM ENCARGOS COMPLEMENTARES</t>
  </si>
  <si>
    <t>OPERADOR DE USINA DE ASFALTO, DE SOLOS OU DE CONCRETO COM ENCARGOS COMPLEMENTARES</t>
  </si>
  <si>
    <t>SOLDADOR A (PARA SOLDA A SER TESTADA COM RAIOS "X") COM ENCARGOS COMPLEMENTARES</t>
  </si>
  <si>
    <t>OPERADOR DE BETONEIRA ESTACIONÁRIA/MISTURADOR COM ENCARGOS COMPLEMENTARES</t>
  </si>
  <si>
    <t>Preço Unitário
BDI = 30,90%</t>
  </si>
  <si>
    <t>Preço Unitário
BDI = 0,00%</t>
  </si>
  <si>
    <r>
      <t>LS:</t>
    </r>
    <r>
      <rPr>
        <sz val="10"/>
        <rFont val="Arial"/>
        <family val="2"/>
      </rPr>
      <t xml:space="preserve"> 89,54%</t>
    </r>
  </si>
  <si>
    <r>
      <t xml:space="preserve">LS: </t>
    </r>
    <r>
      <rPr>
        <sz val="10"/>
        <rFont val="Arial"/>
        <family val="2"/>
      </rPr>
      <t>89,54%</t>
    </r>
  </si>
  <si>
    <t xml:space="preserve">PREÇO 
UNIT (R$) - 
C/ BDI </t>
  </si>
  <si>
    <t>CAL HIDRATADO P/ ARGAMASSA CH III</t>
  </si>
  <si>
    <t>CIMENTO PORTLAND CP III - 40</t>
  </si>
  <si>
    <t>ARGAM COLANTE FLEXIVEL AC III P/ ASSENT. PORCELANATO E PEDRAS (GRANITO E MÁRMORE)</t>
  </si>
  <si>
    <t>FORMICA BRANCA ACABAMENTO FROST 0,80MM</t>
  </si>
  <si>
    <t>CHAPA COMPENSADO NAVAL ESP. 15 MM, DIM. 2.20 X 1.60 M</t>
  </si>
  <si>
    <t>CHAPA COMPENSADA RESINADA ESP. 6MM</t>
  </si>
  <si>
    <t>CHAPA COMPENSADA RESINADA ESP. 10MM</t>
  </si>
  <si>
    <t>CHAPA COMPENSADA RESINADA ESP. 12MM</t>
  </si>
  <si>
    <t>CHAPA COMPENSADA PLASTIFICADA ESP. 12MM</t>
  </si>
  <si>
    <t>RIPA EM MADEIRA (MATERIAL DE 3ª) 5X2CM PINUS OU EQUIVALENTE</t>
  </si>
  <si>
    <t>BLOCO CERÂMICO 10 FUROS 09X19X19CM - PRAÇA VITÓRIA</t>
  </si>
  <si>
    <t>BLOCO CERÂMICO 10 FUROS 09X19X19CM - DA FABRICA</t>
  </si>
  <si>
    <t>COBOGO DE CONCRETO TIPO RETO 20 X 20 X 10 CM - 4 FUROS</t>
  </si>
  <si>
    <t>COBOGO DE CONCRETO TIPO RETO 10 X 40 X 40CM - 9 FUROS</t>
  </si>
  <si>
    <t>IMPERMEABILIZANTE PRETO FLEXIVEL IGOLFLEX OU EQUIVALENTE</t>
  </si>
  <si>
    <t>IMPERMEABILIZANTE ASFALTICO DISPERSO EM AGUA IGOL 2 - SIKA OU EQUIVALENTE</t>
  </si>
  <si>
    <t>PARAFUSO COM BUCHA S-10</t>
  </si>
  <si>
    <t>BARRA CHATA DE FERRO ASTM A-36 1/4" X 2"</t>
  </si>
  <si>
    <t>ARRUELA LISA ACO INOX 1/4" - TEL-5303</t>
  </si>
  <si>
    <t>TELA ARAME GALV. MALHA # 2" LOSANGULAR - FIO N.16 BWG</t>
  </si>
  <si>
    <t>TELA DE ARAME GALV. MALHA # 2" LOSANGULAR - FIO N.12 BWG - REVEST EM PVC</t>
  </si>
  <si>
    <t>TELA ARAME GALV. MALHA # 3" LOSANGULAR - FIO N. 12 BWG - REVEST EM PVC</t>
  </si>
  <si>
    <t>TELA ARAME GALV. MALHA # 1" QUADRADA - FIO N.12 BWG</t>
  </si>
  <si>
    <t>TELA ARAME GALV CORRUGADA "QUEBRA CHAMA" MALHA 3MM QUADRADA</t>
  </si>
  <si>
    <t>TELA MOSQUITEIRO ARAME GALV. MALHA # 18 FIO 32 QUADRADA</t>
  </si>
  <si>
    <t>TELA ARAME GALV. MALHA # 1/2" QUADRADA - FIO N.12 BWG</t>
  </si>
  <si>
    <t>TELA ARAME GALV. MALHA # 3/4" QUADRADA - FIO N.12 BWG</t>
  </si>
  <si>
    <t>BARRA CHATA DE FERRO ASTM A-36 3/16" X 1"</t>
  </si>
  <si>
    <t>BARRA CHATA DE FERRO ASTM A-36 1/4" X 1"</t>
  </si>
  <si>
    <t>SELANTE A BASE DE POLIURETANO SIKAFLEX UNIVERSAL OU EQUIVALENTE (CARTUCHO COM 300ML)</t>
  </si>
  <si>
    <t>FECHADURA PARA PORTAO</t>
  </si>
  <si>
    <t>FERRAGENS P/ ESQUADRIAS (CONT)</t>
  </si>
  <si>
    <t>PORTA CADEADO E CADEADO 40MM</t>
  </si>
  <si>
    <t>PISO CERAMICO 45X45 CM CARGO PLUS WHITE ELIANE - PEI 5</t>
  </si>
  <si>
    <t>FERRAGENS PARA ESQUADRIAS (CONTINUAÇÃO)</t>
  </si>
  <si>
    <t>GONZO DIAM 1" (MACHO/FEMEA) PARA PORTÃO (DE SOBREPOR)</t>
  </si>
  <si>
    <t>RODAPE GRANITO CINZA ANDORINHA ESP. 2CM H=7CM ACAB. RETO</t>
  </si>
  <si>
    <t>LIXA P/ FERRO Nº 100 K-246 225X275MM - NORTON OU EQUIVALENTE</t>
  </si>
  <si>
    <t>LIXA PARA MADEIRA/MASSA Nº 150</t>
  </si>
  <si>
    <t>PLACA DE OBRA - ADESIVADA COM IMPRESSÃO DIGITAL</t>
  </si>
  <si>
    <t>CAIXA PARA TRANSFORMADOR DE CORRENTE (TC) ATE 112,5KVA - 200:5A</t>
  </si>
  <si>
    <t>CURVA 90º DE FERRO GALVANIZADO 3"</t>
  </si>
  <si>
    <t>ELETRODUTO DE PVC RIGIDO 1/2" - ROSCAVEL SEM LUVA</t>
  </si>
  <si>
    <t>ELETRODUTO DE PVC RIGIDO 3/4" - ROSCAVEL SEM LUVA</t>
  </si>
  <si>
    <t>ELETRODUTO DE PVC RIGIDO 1" - ROSCAVEL SEM LUVA</t>
  </si>
  <si>
    <t>ELETRODUTO DE PVC RIGIDO 1 1/4" - ROSCAVEL SEM LUVA</t>
  </si>
  <si>
    <t>ELETRODUTO DE PVC RIGIDO 1 1/2" - ROSCAVEL SEM LUVA</t>
  </si>
  <si>
    <t>ELETRODUTO DE PVC RIGIDO 2" - ROSCAVEL SEM LUVA</t>
  </si>
  <si>
    <t>ELETRODUTO DE PVC RIGIDO 3" - ROSCAVEL SEM LUVA</t>
  </si>
  <si>
    <t>ELETRODUTO DE PVC RIGIDO 4" - ROSCAVEL SEM LUVA</t>
  </si>
  <si>
    <t>JUNCAO SIMPLES LONGA P/ ELETROCALHA 300X100 MM</t>
  </si>
  <si>
    <t>JUNCAO SIMPLES CURTA P/ ELETROCALHA 200X100 MM</t>
  </si>
  <si>
    <t>CAIXA PASSAG. CH 18 C/TAMPA PARAF. 100X100X80MM</t>
  </si>
  <si>
    <t>CAIXA C/TAMPA DO TIPO CIE-2 20X20X12 CM (TELEFONE) (DE EMBUTIR)</t>
  </si>
  <si>
    <t>CAIXA C/TAMPA DO TIPO CIE-4 60X60X12 CM (TELEFONE) (DE EMBUTIR)</t>
  </si>
  <si>
    <t>LUMINARIA FLUOR. COMERCIAL CHANFRADA 2X20W COMPLETA C/LAMPADA E REATOR - EMBRUTIR/SOBREPOR</t>
  </si>
  <si>
    <t>LUMINARIA FLUOR. COMERCIAL CHANFRADA 2X40W COMPLETA C/LAMPADA E REATOR - EMBRUTIR/SOBREPOR</t>
  </si>
  <si>
    <t>LUMINARIA FLUOR. COMERCIAL CHANFRADA 4X20W COMPLETA C/LAMPADA E REATOR - EMBRUTIR/SOBREPOR</t>
  </si>
  <si>
    <t>LUMINARIA FLUOR. COMERCIAL CHANFRADA 4X40W COMPLETA C/LAMPADA E REATOR - EMBRUTIR/SOBREPOR</t>
  </si>
  <si>
    <t>LUMINARIA FLUOR. COMERCIAL CHANFRADA 1X20W COMPLETA C/LAMPADA E REATOR - EMBRUTIR/SOBREPOR</t>
  </si>
  <si>
    <t>LUMINARIA FLUOR. COMERCIAL CHANFRADA 1X40W COMPLETA C/LAMPADA E REATOR - EMBRUTIR/SOBREPOR</t>
  </si>
  <si>
    <t>LUMINARIA FLUOR. COMERCIAL CHANFRADA 2X40W COMPLETA C/LAMPADA E REATOR - EMBRUTIR/SOBREPOR - COM DIFUSOR</t>
  </si>
  <si>
    <t>LUMINARIA FLUOR. COMERCIAL CHANFRADA 3X40W COMPLETA C/LAMPADA E REATOR - EMBRUTIR/SOBREPOR</t>
  </si>
  <si>
    <t>LAMPADA VS 400W/220V MOD. SON PHILLIPS/SIMILAR - OVOIDE</t>
  </si>
  <si>
    <t>BLOCO AUT. ILUM. EMERG. P/ ACLARAMENTO E/OU BALIZAMENTO 2X9W - AUT. 2 HORAS</t>
  </si>
  <si>
    <t>ARANDELA PROVA DE TEMPO 45º EM ALUM SILICIO, ACAB EPOXI CINZA (E-27) - VISOR POLICARB. C/ GRADE</t>
  </si>
  <si>
    <t>PARA-RAIOS POLIMERICO 12KV - 10KA COM SUPORTE</t>
  </si>
  <si>
    <t>MAO FRANCESA REFORCADA P/ ELETROCALHA 400MM</t>
  </si>
  <si>
    <t>ELETROCALHA STANDARD PERFURADA S/ TAMPA 150X50MM - CH16</t>
  </si>
  <si>
    <t>ABRACADEIRA ACO GALV TIPO U DIAM. 1.1/2"</t>
  </si>
  <si>
    <t>ELETROCALHA STANDARD PERFURADA S/ TAMPA 200X100MM - CH16</t>
  </si>
  <si>
    <t>ELETROCALHA STANDARD PERFURADA S/ TAMPA 400X100MM - CH16</t>
  </si>
  <si>
    <t>VENTILADOR DE TETO COMERCIAL C/ ALETAS DE MADEIRA S/ LUMIN., INCL. COMANDO</t>
  </si>
  <si>
    <t>TE HORIZONTAL 90º PERFURADA C/ TAMPA 200X100MM - CH16</t>
  </si>
  <si>
    <t>TE HORIZONTAL 90º PERFURADA C/ TAMPA 300X100MM - CH16</t>
  </si>
  <si>
    <t>CURVA HORIZONTAL 90º PERFURADA 200X100MM - CH16</t>
  </si>
  <si>
    <t>CURVA HORIZONTAL 90º PERFURADA 300X100MM - CH16</t>
  </si>
  <si>
    <t>SAPATILHA PARA CABO DE AÇO</t>
  </si>
  <si>
    <t>MAO FRANCESA 38X38MM SIMPLES P/ ELETROCALHA 200MM</t>
  </si>
  <si>
    <t>REGISTRO DE GAVETA BRUTO 15MM - 1/2"</t>
  </si>
  <si>
    <t>REGISTRO DE GAVETA BRUTO 20MM - 3/4"</t>
  </si>
  <si>
    <t>REGISTRO DE GAVETA BRUTO 25MM - 1"</t>
  </si>
  <si>
    <t>REGISTRO DE GAVETA BRUTO 32MM - 1.1/4"</t>
  </si>
  <si>
    <t>REGISTRO DE GAVETA BRUTO 40MM - 1.1/2"</t>
  </si>
  <si>
    <t>REGISTRO DE GAVETA BRUTO 50MM - 2"</t>
  </si>
  <si>
    <t>REGISTRO DE GAVETA BRUTO 65MM - 2.1/2"</t>
  </si>
  <si>
    <t>REGISTRO DE GAVETA BRUTO 80MM - 3"</t>
  </si>
  <si>
    <t>REGISTRO DE GAVETA CROMADO 1/2" COM CANOPLA</t>
  </si>
  <si>
    <t>REGISTRO DE GAVETA CROMADO 3/4" COM CANOPLA</t>
  </si>
  <si>
    <t>REGISTRO DE GAVETA CROMADO 1" COM CANOPLA</t>
  </si>
  <si>
    <t>REGISTRO DE GAVETA CROMADO 1 1/2" COM CANOPLA</t>
  </si>
  <si>
    <t>REGISTRO DE GAVETA CROMADO 1 1/4" COM CANOPLA</t>
  </si>
  <si>
    <t>SIFAO METAL CROMADO P/ LAVATORIO 1" X 1 1/2"</t>
  </si>
  <si>
    <t>SIFAO ACO INOX CROMADO P/ LAVATORIO 1 1/4"</t>
  </si>
  <si>
    <t>CAP 3/4 NPT - GALVANIZADO 300 LBS</t>
  </si>
  <si>
    <t>VALVULA DE RETENCAO MEIA LUVA 7/16" NS X 1/2" NPT</t>
  </si>
  <si>
    <t>PIGTAIL POL MX7/16 NS(24) - P45 - 0,50M</t>
  </si>
  <si>
    <t>TE NPT 3/4"- GALVANIZADO 300 LBS</t>
  </si>
  <si>
    <t>CAIXA DESCARGA PLASTICA SOBREPOR BRANCA 6/9 LITROS</t>
  </si>
  <si>
    <t>ACAB. ANTIVAND. REF. 01505006 P/ VALVULA DESCARGA</t>
  </si>
  <si>
    <t>FILTRO AQUALAR CURTO AP200 AQUALAR/EQUIV C/ REFIL(VELA)</t>
  </si>
  <si>
    <t>ACAB. VALV. DESC. PRESSMATIC BENEFIT 00184906 DOCOL</t>
  </si>
  <si>
    <t>CHAPA DE ACO GALVANIZADO Nº 16 (ESP. 1,55MM)</t>
  </si>
  <si>
    <t>CHAPA DE ACO GALVANIZADA Nº 14 (ESP. 1,95MM)</t>
  </si>
  <si>
    <t>LUBRIFICANTE PARA TUBO DE PVC E FERRO FUNDIDO</t>
  </si>
  <si>
    <t>ANEL PRE-MOLDADO DE CONCRETO Ø 1.50 M - H= 0,50M</t>
  </si>
  <si>
    <t>BARRA CHATA DE FERRO ASTM A-36 1/4" X 1.1/4"</t>
  </si>
  <si>
    <t>JATEAMENTO PADRÃO SA 2 1/2</t>
  </si>
  <si>
    <t>REDE EM CORDA DE NYLON P/PROTECAO QUADRA ESPORTES MALHA 10X10CM</t>
  </si>
  <si>
    <t>TRINCO REDONDO VERTICAL FERRO GALVANIZADO 15CM</t>
  </si>
  <si>
    <t>GALVANIZAÇÃO ELETROLITICA</t>
  </si>
  <si>
    <t>INSUMOS DE MANUTENCAO - SERRALHERIA</t>
  </si>
  <si>
    <t>BARRA CHATA DE FERRO ASTM A-36 1/8" X 3/4"</t>
  </si>
  <si>
    <t>BARRA CHATA DE FERRO ASTM A-36 1/4" X 1.1/2"</t>
  </si>
  <si>
    <t>BARRA DE FERRO REDONDA LISA SAE-1020 Ø 1/2"</t>
  </si>
  <si>
    <t>BARRA DE FERRO REDONDA LISA SAE-1020 Ø 5/8"</t>
  </si>
  <si>
    <t>BARRA DE FERRO REDONDA LISA SAE-1020 Ø 3/8"</t>
  </si>
  <si>
    <t>BARRA DE FERRO REDONDA LISA SAE-1020 Ø 5/16"</t>
  </si>
  <si>
    <t>PERFIL METALICO "T" 3/4 X 1/8"</t>
  </si>
  <si>
    <t>INSUMOS DE MANUTENÇAO SERRALHERIA (CONT)</t>
  </si>
  <si>
    <t>PERFIL METALICO "U" 200 X 50 X 3,8MM</t>
  </si>
  <si>
    <t>PERFIL 2L LAMINADO 38,10 X 38,10 X 3,18 X 200MM</t>
  </si>
  <si>
    <t>PERFIL "U" ENRIJECIDO 200 X 75 X 25 X 2,65MM (7,92KG/M)</t>
  </si>
  <si>
    <t>SOLO BRITA</t>
  </si>
  <si>
    <t>MÃO DE OBRA (SALARIO MENSAL)</t>
  </si>
  <si>
    <t>MAQUINA ELETRICA P/ POLIMENTO PISO - REF TAB SINAPI</t>
  </si>
  <si>
    <t>MAQ. CORTAR ASFALTO/CONCRETO - REF TABELA SINAPI</t>
  </si>
  <si>
    <t>Preço Prod.</t>
  </si>
  <si>
    <t>Grade de tela tipo mosquiteiro de arame galvanizado #18, fio 32, inclusive, requadro em cantoneira de ferro 1/8"x1/2"x1/2"</t>
  </si>
  <si>
    <t>Automático de bóia, duas funções 25A</t>
  </si>
  <si>
    <t>Automático de bóia, 2 funções 25A</t>
  </si>
  <si>
    <t>Caixa de descarga plástica de sobrepor 6/9 litros, ref. ASTRA, AKROS ou equivalente</t>
  </si>
  <si>
    <t>Rede de proteção em nylon malha 10x10 cm para proteção de quadra de esportes</t>
  </si>
  <si>
    <t>Estrut. metálica p/ quadra poliesp. coberta constituída por perfis formados a frio, aço estrutural ASTM A-570 G33 (terças) ASTM A-36 (demais perfis) c/ o sistema de trat. e pint conf descrito em notas da planilha</t>
  </si>
  <si>
    <t xml:space="preserve">H     </t>
  </si>
  <si>
    <t xml:space="preserve">C </t>
  </si>
  <si>
    <t xml:space="preserve">UN    </t>
  </si>
  <si>
    <t xml:space="preserve">M2    </t>
  </si>
  <si>
    <t>AS</t>
  </si>
  <si>
    <t xml:space="preserve">M3    </t>
  </si>
  <si>
    <t xml:space="preserve">M     </t>
  </si>
  <si>
    <t xml:space="preserve">KG    </t>
  </si>
  <si>
    <t xml:space="preserve">L     </t>
  </si>
  <si>
    <t xml:space="preserve">MES   </t>
  </si>
  <si>
    <t xml:space="preserve">DM3   </t>
  </si>
  <si>
    <t xml:space="preserve">PAR   </t>
  </si>
  <si>
    <t xml:space="preserve">JG    </t>
  </si>
  <si>
    <t xml:space="preserve">MIL   </t>
  </si>
  <si>
    <t xml:space="preserve">T     </t>
  </si>
  <si>
    <t xml:space="preserve">CJ    </t>
  </si>
  <si>
    <t xml:space="preserve">100M  </t>
  </si>
  <si>
    <t xml:space="preserve">KW/H  </t>
  </si>
  <si>
    <t xml:space="preserve">CENTO </t>
  </si>
  <si>
    <t xml:space="preserve">GL    </t>
  </si>
  <si>
    <t xml:space="preserve">310ML </t>
  </si>
  <si>
    <t>74209/1</t>
  </si>
  <si>
    <t>PLACA DE OBRA EM CHAPA DE ACO GALVANIZADO</t>
  </si>
  <si>
    <t>73847/1</t>
  </si>
  <si>
    <t>ALUGUEL CONTAINER/ESCRIT INCL INST ELET LARG=2,20 COMP=6,20M          ALT=2,50M CHAPA ACO C/NERV TRAPEZ FORRO C/ISOL TERMO/ACUSTICO         CHASSIS REFORC PISO COMPENS NAVAL EXC TRANSP/CARGA/DESCARGA</t>
  </si>
  <si>
    <t>RETROESCAVADEIRA SOBRE RODAS COM CARREGADEIRA, TRAÇÃO 4X4, POTÊNCIA LÍQ. 88 HP, CAÇAMBA CARREG. CAP. MÍN. 1 M3, CAÇAMBA RETRO CAP. 0,26 M3, PESO OPERACIONAL MÍN. 6.674 KG, PROFUNDIDADE ESCAVAÇÃO MÁX. 4,37 M - CHP DIURNO. AF_06/2014</t>
  </si>
  <si>
    <t>RETROESCAVADEIRA SOBRE RODAS COM CARREGADEIRA, TRAÇÃO 4X2, POTÊNCIA LÍQ. 79 HP, CAÇAMBA CARREG. CAP. MÍN. 1 M3, CAÇAMBA RETRO CAP. 0,20 M3, PESO OPERACIONAL MÍN. 6.570 KG, PROFUNDIDADE ESCAVAÇÃO MÁX. 4,37 M - CHP DIURNO. AF_06/2014</t>
  </si>
  <si>
    <t>ROLO COMPACTADOR VIBRATÓRIO DE UM CILINDRO AÇO LISO, POTÊNCIA 80 HP, PESO OPERACIONAL MÁXIMO 8,1 T, IMPACTO DINÂMICO 16,15 / 9,5 T, LARGURA DE TRABALHO 1,68 M - CHP DIURNO. AF_06/2014</t>
  </si>
  <si>
    <t>MARTELETE OU ROMPEDOR PNEUMÁTICO MANUAL, 28 KG, COM SILENCIADOR - CHP DIURNO. AF_07/2016</t>
  </si>
  <si>
    <t>USINA DE CONCRETO FIXA, CAPACIDADE NOMINAL DE 90 A 120 M3/H, SEM SILO - CHP DIURNO. AF_07/2016</t>
  </si>
  <si>
    <t>CAMINHÃO TOCO, PBT 16.000 KG, CARGA ÚTIL MÁX. 10.685 KG, DIST. ENTRE EIXOS 4,8 M, POTÊNCIA 189 CV, INCLUSIVE CARROCERIA FIXA ABERTA DE MADEIRA P/ TRANSPORTE GERAL DE CARGA SECA, DIMEN. APROX. 2,5 X 7,00 X 0,50 M - CHP DIURNO. AF_06/2014</t>
  </si>
  <si>
    <t>VIBROACABADORA DE ASFALTO SOBRE ESTEIRAS, LARGURA DE PAVIMENTAÇÃO 1,90 M A 5,30 M, POTÊNCIA 105 HP CAPACIDADE 450 T/H - CHP DIURNO. AF_11/2014</t>
  </si>
  <si>
    <t>TRATOR DE PNEUS, POTÊNCIA 122 CV, TRAÇÃO 4X4, PESO COM LASTRO DE 4.510 KG - CHP DIURNO. AF_06/2014</t>
  </si>
  <si>
    <t>TRATOR DE ESTEIRAS, POTÊNCIA 150 HP, PESO OPERACIONAL 16,7 T, COM RODA MOTRIZ ELEVADA E LÂMINA 3,18 M3 - CHP DIURNO. AF_06/2014</t>
  </si>
  <si>
    <t>RETROESCAVADEIRA SOBRE RODAS COM CARREGADEIRA, TRAÇÃO 4X4, POTÊNCIA LÍQ. 72 HP, CAÇAMBA CARREG. CAP. MÍN. 0,79 M3, CAÇAMBA RETRO CAP. 0,18 M3, PESO OPERACIONAL MÍN. 7.140 KG, PROFUNDIDADE ESCAVAÇÃO MÁX. 4,50 M - CHP DIURNO. AF_06/2014</t>
  </si>
  <si>
    <t>USINA DE LAMA ASFÁLTICA, PROD 30 A 50 T/H, SILO DE AGREGADO 7 M3, RESERVATÓRIOS PARA EMULSÃO E ÁGUA DE 2,3 M3 CADA, MISTURADOR TIPO PUG MILL A SER MONTADO SOBRE CAMINHÃO - CHP DIURNO. AF_10/2014</t>
  </si>
  <si>
    <t>CAMINHÃO TOCO, PESO BRUTO TOTAL 14.300 KG, CARGA ÚTIL MÁXIMA 9590 KG, DISTÂNCIA ENTRE EIXOS 4,76 M, POTÊNCIA 185 CV (NÃO INCLUI CARROCERIA) - CHP DIURNO. AF_06/2014</t>
  </si>
  <si>
    <t>CAMINHÃO TOCO, PESO BRUTO TOTAL 16.000 KG, CARGA ÚTIL MÁXIMA DE 10.685 KG, DISTÂNCIA ENTRE EIXOS 4,80 M, POTÊNCIA 189 CV EXCLUSIVE CARROCERIA - CHP DIURNO. AF_06/2014</t>
  </si>
  <si>
    <t>CAMINHÃO PIPA 10.000 L TRUCADO, PESO BRUTO TOTAL 23.000 KG, CARGA ÚTIL MÁXIMA 15.935 KG, DISTÂNCIA ENTRE EIXOS 4,8 M, POTÊNCIA 230 CV, INCLUSIVE TANQUE DE AÇO PARA TRANSPORTE DE ÁGUA - CHP DIURNO. AF_06/2014</t>
  </si>
  <si>
    <t>ESPARGIDOR DE ASFALTO PRESSURIZADO COM TANQUE DE 2500 L, REBOCÁVEL COM MOTOR A GASOLINA POTÊNCIA 3,4 HP - CHP DIURNO. AF_07/2014</t>
  </si>
  <si>
    <t>COMPRESSOR DE AR REBOCÁVEL, VAZÃO 189 PCM, PRESSÃO EFETIVA DE TRABALHO 102 PSI, MOTOR DIESEL, POTÊNCIA 63 CV - CHP DIURNO. AF_06/2015</t>
  </si>
  <si>
    <t>CAMINHÃO PIPA 6.000 L, PESO BRUTO TOTAL 13.000 KG, DISTÂNCIA ENTRE EIXOS 4,80 M, POTÊNCIA 189 CV INCLUSIVE TANQUE DE AÇO PARA TRANSPORTE DE ÁGUA, CAPACIDADE 6 M3 - CHP DIURNO. AF_06/2014</t>
  </si>
  <si>
    <t>ROLO COMPACTADOR DE PNEUS ESTÁTICO, PRESSÃO VARIÁVEL, POTÊNCIA 111 HP, PESO SEM/COM LASTRO 9,5 / 26 T, LARGURA DE TRABALHO 1,90 M - CHP DIURNO. AF_07/2014</t>
  </si>
  <si>
    <t>GRUPO GERADOR ESTACIONÁRIO, MOTOR DIESEL POTÊNCIA 170 KVA - CHP DIURNO. AF_02/2016</t>
  </si>
  <si>
    <t>ROLO COMPACTADOR VIBRATÓRIO PÉ DE CARNEIRO PARA SOLOS, POTÊNCIA 80 HP, PESO OPERACIONAL SEM/COM LASTRO 7,4 / 8,8 T, LARGURA DE TRABALHO 1,68 M - CHP DIURNO. AF_02/2016</t>
  </si>
  <si>
    <t>CAMINHÃO TOCO, PBT 14.300 KG, CARGA ÚTIL MÁX. 9.710 KG, DIST. ENTRE EIXOS 3,56 M, POTÊNCIA 185 CV, INCLUSIVE CARROCERIA FIXA ABERTA DE MADEIRA P/ TRANSPORTE GERAL DE CARGA SECA, DIMEN. APROX. 2,50 X 6,50 X 0,50 M - CHP DIURNO. AF_06/2014</t>
  </si>
  <si>
    <t>MOTOBOMBA CENTRÍFUGA, MOTOR A GASOLINA, POTÊNCIA 5,42 HP, BOCAIS 1 1/2" X 1", DIÂMETRO ROTOR 143 MM HM/Q = 6 MCA / 16,8 M3/H A 38 MCA / 6,6 M3/H - CHP DIURNO. AF_06/2014</t>
  </si>
  <si>
    <t>VIBROACABADORA DE ASFALTO SOBRE ESTEIRAS, LARGURA DE PAVIMENTAÇÃO 2,13 M A 4,55 M, POTÊNCIA 100 HP CAPACIDADE 400 T/H - CHP DIURNO. AF_11/2014</t>
  </si>
  <si>
    <t>GUINDASTE HIDRÁULICO AUTOPROPELIDO, COM LANÇA TELESCÓPICA 28,80 M, CAPACIDADE MÁXIMA 30 T, POTÊNCIA 97 KW, TRAÇÃO 4 X 4 - CHP DIURNO. AF_11/2014</t>
  </si>
  <si>
    <t>CAMINHÃO BASCULANTE 14 M3, COM CAVALO MECÂNICO DE CAPACIDADE MÁXIMA DE TRAÇÃO COMBINADO DE 36000 KG, POTÊNCIA 286 CV, INCLUSIVE SEMIREBOQUE COM CAÇAMBA METÁLICA - CHP DIURNO. AF_12/2014</t>
  </si>
  <si>
    <t>CAMINHÃO BASCULANTE 18 M3, COM CAVALO MECÂNICO DE CAPACIDADE MÁXIMA DE TRAÇÃO COMBINADO DE 45000 KG, POTÊNCIA 330 CV, INCLUSIVE SEMIREBOQUE COM CAÇAMBA METÁLICA - CHP DIURNO. AF_12/2014</t>
  </si>
  <si>
    <t>MISTURADOR DUPLO HORIZONTAL DE ALTA TURBULÊNCIA, CAPACIDADE / VOLUME 2 X 500 LITROS, MOTORES ELÉTRICOS MÍNIMO 5 CV CADA, PARA NATA CIMENTO, ARGAMASSA E OUTROS - CHP DIURNO. AF_06/2015</t>
  </si>
  <si>
    <t>BOMBA CENTRÍFUGA MONOESTÁGIO COM MOTOR ELÉTRICO MONOFÁSICO, POTÊNCIA 15 HP, DIÂMETRO DO ROTOR 173 MM, HM/Q = 30 MCA / 90 M3/H A 45 MCA / 55 M3/H - CHP DIURNO. AF_06/2015</t>
  </si>
  <si>
    <t>BOMBA DE PROJEÇÃO DE CONCRETO SECO, POTÊNCIA 10 CV, VAZÃO 3 M3/H - CHP DIURNO. AF_06/2015</t>
  </si>
  <si>
    <t>BOMBA DE PROJEÇÃO DE CONCRETO SECO, POTÊNCIA 10 CV, VAZÃO 6 M3/H - CHP DIURNO. AF_06/2015</t>
  </si>
  <si>
    <t>PERFURATRIZ HIDRÁULICA SOBRE CAMINHÃO COM TRADO CURTO ACOPLADO, PROFUNDIDADE MÁXIMA DE 20 M, DIÂMETRO MÁXIMO DE 1500 MM, POTÊNCIA INSTALADA DE 137 HP, MESA ROTATIVA COM TORQUE MÁXIMO DE 30 KNM - CHP DIURNO. AF_06/2015</t>
  </si>
  <si>
    <t>COMPRESSOR DE AR REBOCÁVEL, VAZÃO 748 PCM, PRESSÃO EFETIVA DE TRABALHO 102 PSI, MOTOR DIESEL, POTÊNCIA 210 CV - CHP DIURNO. AF_06/2015</t>
  </si>
  <si>
    <t>CAMINHÃO TRUCADO (C/ TERCEIRO EIXO) ELETRÔNICO - POTÊNCIA 231CV - PBT = 22000KG - DIST. ENTRE EIXOS 5170 MM - INCLUI CARROCERIA FIXA ABERTA DE MADEIRA - CHP DIURNO. AF_06/2015</t>
  </si>
  <si>
    <t>CORTADORA DE PISO COM MOTOR 4 TEMPOS A GASOLINA, POTÊNCIA DE 13 HP, COM DISCO DE CORTE DIAMANTADO SEGMENTADO PARA CONCRETO, DIÂMETRO DE 350 MM, FURO DE 1" (14 X 1") - CHP DIURNO. AF_08/2015</t>
  </si>
  <si>
    <t>CAMINHONETE CABINE SIMPLES COM MOTOR 1.6 FLEX, CÂMBIO MANUAL, POTÊNCIA 101/104 CV, 2 PORTAS - CHP DIURNO. AF_11/2015</t>
  </si>
  <si>
    <t>BETONEIRA CAPACIDADE NOMINAL 400 L, CAPACIDADE DE MISTURA 310 L, MOTOR A GASOLINA POTÊNCIA 5,5 HP, SEM CARREGADOR - CHP DIURNO. AF_02/2016</t>
  </si>
  <si>
    <t>GUINCHO ELÉTRICO DE COLUNA, CAPACIDADE 400 KG, COM MOTO FREIO, MOTOR TRIFÁSICO DE 1,25 CV - CHP DIURNO. AF_03/2016</t>
  </si>
  <si>
    <t>GUINDASTE HIDRÁULICO AUTOPROPELIDO, COM LANÇA TELESCÓPICA 40 M, CAPACIDADE MÁXIMA 60 T, POTÊNCIA 260 KW - CHP DIURNO. AF_03/2016</t>
  </si>
  <si>
    <t>GUINDAUTO HIDRÁULICO, CAPACIDADE MÁXIMA DE CARGA 3300 KG, MOMENTO MÁXIMO DE CARGA 5,8 TM, ALCANCE MÁXIMO HORIZONTAL 7,60 M, INCLUSIVE CAMINHÃO TOCO PBT 16.000 KG, POTÊNCIA DE 189 CV - CHP DIURNO. AF_03/2016</t>
  </si>
  <si>
    <t>GERADOR PORTÁTIL MONOFÁSICO, POTÊNCIA 5500 VA, MOTOR A GASOLINA, POTÊNCIA DO MOTOR 13 CV - CHP DIURNO. AF_03/2016</t>
  </si>
  <si>
    <t>GRUPO GERADOR REBOCÁVEL, POTÊNCIA 66 KVA, MOTOR A DIESEL - CHP DIURNO. AF_03/2016</t>
  </si>
  <si>
    <t>GRUPO GERADOR ESTACIONÁRIO, POTÊNCIA 150 KVA, MOTOR A DIESEL- CHP DIURNO. AF_03/2016</t>
  </si>
  <si>
    <t>USINA MISTURADORA DE SOLOS, CAPACIDADE DE 200 A 500 TON/H, POTENCIA 75KW - CHP DIURNO. AF_07/2016</t>
  </si>
  <si>
    <t>DISTRIBUIDOR DE AGREGADOS AUTOPROPELIDO, CAP 3 M3, A DIESEL, POTÊNCIA 176CV - CHP DIURNO. AF_07/2016</t>
  </si>
  <si>
    <t>MÁQUINA DEMARCADORA DE FAIXA DE TRÁFEGO À FRIO, AUTOPROPELIDA, POTÊNCIA 38 HP - CHP DIURNO. AF_07/2016</t>
  </si>
  <si>
    <t>TALHA MANUAL DE CORRENTE, CAPACIDADE DE 2 TON. COM ELEVAÇÃO DE 3 M - CHP DIURNO. AF_07/2016</t>
  </si>
  <si>
    <t>MARTELO DEMOLIDOR PNEUMÁTICO MANUAL, 32 KG - CHP DIURNO. AF_09/2016</t>
  </si>
  <si>
    <t>COMPACTADOR DE SOLOS DE PERCUSÃO (SOQUETE) COM MOTOR A GASOLINA, POTÊNCIA 3 CV - CHP DIURNO. AF_09/2016</t>
  </si>
  <si>
    <t>RÉGUA VIBRATÓRIA DUPLA PARA CONCRETO, PESO DE 60KG, COMPRIMENTO 4 M, COM MOTOR A GASOLINA, POTÊNCIA 5,5 HP - CHP DIURNO. AF_09/2016</t>
  </si>
  <si>
    <t>PERFURATRIZ PNEUMATICA MANUAL DE PESO MEDIO, MARTELETE, 18KG, COMPRIMENTO MÁXIMO DE CURSO DE 6 M, DIAMETRO DO PISTAO DE 5,5 CM - CHP DIURNO. AF_11/2016</t>
  </si>
  <si>
    <t>ROLO COMPACTADOR VIBRATORIO TANDEM, ACO LISO, POTENCIA 125 HP, PESO SEM/COM LASTRO 10,20/11,65 T, LARGURA DE TRABALHO 1,73 M - CHP DIURNO. AF_11/2016</t>
  </si>
  <si>
    <t>PERFURATRIZ MANUAL, TORQUE MAXIMO 55 KGF.M, POTENCIA 5 CV, COM DIAMETRO MAXIMO 8 1/2" - CHP DIURNO. AF_11/2016</t>
  </si>
  <si>
    <t>ESCAVADEIRA HIDRAULICA SOBRE ESTEIRA, EQUIPADA COM CLAMSHELL, COM CAPACIDADE DA CAÇAMBA ENTRE 1,20 E 1,50 M3, PESO OPERACIONAL ENTRE 20,00 E 22,00 TON, POTENCIA LIQUIDA ENTRE 150 E 160 HP - CHP DIURNO. AF_11/2016</t>
  </si>
  <si>
    <t>GRUPO GERADOR COM CARENAGEM, MOTOR DIESEL POTÊNCIA STANDART ENTRE 250 E 260 KVA - CHP DIURNO. AF_12/2016</t>
  </si>
  <si>
    <t>TRATOR DE PNEUS COM POTÊNCIA DE 122 CV, TRAÇÃO 4X4, COM VASSOURA MECÂNICA ACOPLADA - CHP DIURNO. AF_02/2017</t>
  </si>
  <si>
    <t>TRATOR DE PNEUS COM POTÊNCIA DE 122 CV, TRAÇÃO 4X4, COM GRADE DE DISCOS ACOPLADA - CHP DIURNO. AF_02/2017</t>
  </si>
  <si>
    <t>TRATOR DE PNEUS COM POTÊNCIA DE 85 CV, TRAÇÃO 4X4, COM GRADE DE DISCOS ACOPLADA - CHP DIURNO. AF_02/2017</t>
  </si>
  <si>
    <t>CAMINHÃO BASCULANTE 10 M3, TRUCADO, POTÊNCIA 230 CV, INCLUSIVE CAÇAMBA METÁLICA, COM DISTRIBUIDOR DE AGREGADOS ACOPLADO - CHP DIURNO. AF_02/2017</t>
  </si>
  <si>
    <t>TRATOR DE PNEUS COM POTÊNCIA DE 85 CV, TRAÇÃO 4X4, COM VASSOURA MECÂNICA ACOPLADA - CHP DIURNO. AF_03/2017</t>
  </si>
  <si>
    <t>MINICARREGADEIRA SOBRE RODAS POTENCIA 47HP CAPACIDADE OPERACAO 646 KG, COM VASSOURA MECÂNICA ACOPLADA - CHP DIURNO. AF_03/2017</t>
  </si>
  <si>
    <t>RETROESCAVADEIRA SOBRE RODAS COM CARREGADEIRA, TRAÇÃO 4X4, POTÊNCIA LÍQ. 88 HP, CAÇAMBA CARREG. CAP. MÍN. 1 M3, CAÇAMBA RETRO CAP. 0,26 M3, PESO OPERACIONAL MÍN. 6.674 KG, PROFUNDIDADE ESCAVAÇÃO MÁX. 4,37 M - CHI DIURNO. AF_06/2014</t>
  </si>
  <si>
    <t>RETROESCAVADEIRA SOBRE RODAS COM CARREGADEIRA, TRAÇÃO 4X2, POTÊNCIA LÍQ. 79 HP, CAÇAMBA CARREG. CAP. MÍN. 1 M3, CAÇAMBA RETRO CAP. 0,20 M3, PESO OPERACIONAL MÍN. 6.570 KG, PROFUNDIDADE ESCAVAÇÃO MÁX. 4,37 M - CHI DIURNO. AF_06/2014</t>
  </si>
  <si>
    <t>ROLO COMPACTADOR VIBRATÓRIO DE UM CILINDRO AÇO LISO, POTÊNCIA 80 HP, PESO OPERACIONAL MÁXIMO 8,1 T, IMPACTO DINÂMICO 16,15 / 9,5 T, LARGURA DE TRABALHO 1,68 M - CHI DIURNO. AF_06/2014</t>
  </si>
  <si>
    <t>MOTOBOMBA CENTRÍFUGA, MOTOR A GASOLINA, POTÊNCIA 5,42 HP, BOCAIS 1 1/2" X 1", DIÂMETRO ROTOR 143 MM HM/Q = 6 MCA / 16,8 M3/H A 38 MCA / 6,6 M3/H - CHI DIURNO. AF_06/2014</t>
  </si>
  <si>
    <t>CAMINHÃO TOCO, PBT 16.000 KG, CARGA ÚTIL MÁX. 10.685 KG, DIST. ENTRE EIXOS 4,8 M, POTÊNCIA 189 CV, INCLUSIVE CARROCERIA FIXA ABERTA DE MADEIRA P/ TRANSPORTE GERAL DE CARGA SECA, DIMEN. APROX. 2,5 X 7,00 X 0,50 M - CHI DIURNO. AF_06/2014</t>
  </si>
  <si>
    <t>USINA DE CONCRETO FIXA, CAPACIDADE NOMINAL DE 90 A 120 M3/H, SEM SILO - CHI DIURNO. AF_07/2016</t>
  </si>
  <si>
    <t>VIBROACABADORA DE ASFALTO SOBRE ESTEIRAS, LARGURA DE PAVIMENTAÇÃO 1,90 M A 5,30 M, POTÊNCIA 105 HP CAPACIDADE 450 T/H - CHI DIURNO. AF_11/2014</t>
  </si>
  <si>
    <t>TRATOR DE PNEUS, POTÊNCIA 122 CV, TRAÇÃO 4X4, PESO COM LASTRO DE 4.510 KG - CHI DIURNO. AF_06/2014</t>
  </si>
  <si>
    <t>TRATOR DE ESTEIRAS, POTÊNCIA 150 HP, PESO OPERACIONAL 16,7 T, COM RODA MOTRIZ ELEVADA E LÂMINA 3,18 M3 - CHI DIURNO. AF_06/2014</t>
  </si>
  <si>
    <t>RETROESCAVADEIRA SOBRE RODAS COM CARREGADEIRA, TRAÇÃO 4X4, POTÊNCIA LÍQ. 72 HP, CAÇAMBA CARREG. CAP. MÍN. 0,79 M3, CAÇAMBA RETRO CAP. 0,18 M3, PESO OPERACIONAL MÍN. 7.140 KG, PROFUNDIDADE ESCAVAÇÃO MÁX. 4,50 M - CHI DIURNO. AF_06/2014</t>
  </si>
  <si>
    <t>USINA DE LAMA ASFÁLTICA, PROD 30 A 50 T/H, SILO DE AGREGADO 7 M3, RESERVATÓRIOS PARA EMULSÃO E ÁGUA DE 2,3 M3 CADA, MISTURADOR TIPO PUG MILL A SER MONTADO SOBRE CAMINHÃO - CHI DIURNO. AF_10/2014</t>
  </si>
  <si>
    <t>CAMINHÃO TOCO, PESO BRUTO TOTAL 14.300 KG, CARGA ÚTIL MÁXIMA 9590 KG, DISTÂNCIA ENTRE EIXOS 4,76 M, POTÊNCIA 185 CV (NÃO INCLUI CARROCERIA) - CHI DIURNO. AF_06/2014</t>
  </si>
  <si>
    <t>CAMINHÃO TOCO, PESO BRUTO TOTAL 16.000 KG, CARGA ÚTIL MÁXIMA DE 10.685 KG, DISTÂNCIA ENTRE EIXOS 4,80 M, POTÊNCIA 189 CV EXCLUSIVE CARROCERIA - CHI DIURNO. AF_06/2014</t>
  </si>
  <si>
    <t>CAMINHÃO PIPA 10.000 L TRUCADO, PESO BRUTO TOTAL 23.000 KG, CARGA ÚTIL MÁXIMA 15.935 KG, DISTÂNCIA ENTRE EIXOS 4,8 M, POTÊNCIA 230 CV, INCLUSIVE TANQUE DE AÇO PARA TRANSPORTE DE ÁGUA - CHI DIURNO. AF_06/2014</t>
  </si>
  <si>
    <t>ESPARGIDOR DE ASFALTO PRESSURIZADO COM TANQUE DE 2500 L, REBOCÁVEL COM MOTOR A GASOLINA POTÊNCIA 3,4 HP - CHI DIURNO. AF_07/2014</t>
  </si>
  <si>
    <t>MARTELETE OU ROMPEDOR PNEUMÁTICO MANUAL, 28 KG, COM SILENCIADOR - CHI DIURNO. AF_07/2016</t>
  </si>
  <si>
    <t>COMPRESSOR DE AR REBOCÁVEL, VAZÃO 189 PCM, PRESSÃO EFETIVA DE TRABALHO 102 PSI, MOTOR DIESEL, POTÊNCIA 63 CV - CHI DIURNO. AF_06/2015</t>
  </si>
  <si>
    <t>CAMINHÃO PIPA 6.000 L, PESO BRUTO TOTAL 13.000 KG, DISTÂNCIA ENTRE EIXOS 4,80 M, POTÊNCIA 189 CV INCLUSIVE TANQUE DE AÇO PARA TRANSPORTE DE ÁGUA, CAPACIDADE 6 M3 - CHI DIURNO. AF_06/2014</t>
  </si>
  <si>
    <t>ROLO COMPACTADOR DE PNEUS ESTÁTICO, PRESSÃO VARIÁVEL, POTÊNCIA 111 HP, PESO SEM/COM LASTRO 9,5 / 26 T, LARGURA DE TRABALHO 1,90 M - CHI DIURNO. AF_07/2014</t>
  </si>
  <si>
    <t>VIBROACABADORA DE ASFALTO SOBRE ESTEIRAS, LARGURA DE PAVIMENTAÇÃO 2,13 M A 4,55 M, POTÊNCIA 100 HP, CAPACIDADE 400 T/H - CHI DIURNO. AF_11/2014</t>
  </si>
  <si>
    <t>GUINDASTE HIDRÁULICO AUTOPROPELIDO, COM LANÇA TELESCÓPICA 28,80 M, CAPACIDADE MÁXIMA 30 T, POTÊNCIA 97 KW, TRAÇÃO 4 X 4 - CHI DIURNO. AF_11/2014</t>
  </si>
  <si>
    <t>CAMINHÃO BASCULANTE 14 M3, COM CAVALO MECÂNICO DE CAPACIDADE MÁXIMA DE TRAÇÃO COMBINADO DE 36000 KG, POTÊNCIA 286 CV, INCLUSIVE SEMIREBOQUE COM CAÇAMBA METÁLICA - CHI DIURNO. AF_12/2014</t>
  </si>
  <si>
    <t>CAMINHÃO BASCULANTE 18 M3, COM CAVALO MECÂNICO DE CAPACIDADE MÁXIMA DE TRAÇÃO COMBINADO DE 45000 KG, POTÊNCIA 330 CV, INCLUSIVE SEMIREBOQUE COM CAÇAMBA METÁLICA - CHI DIURNO. AF_12/2014</t>
  </si>
  <si>
    <t>MISTURADOR DUPLO HORIZONTAL DE ALTA TURBULÊNCIA, CAPACIDADE / VOLUME 2 X 500 LITROS, MOTORES ELÉTRICOS MÍNIMO 5 CV CADA, PARA NATA CIMENTO, ARGAMASSA E OUTROS - CHI DIURNO. AF_06/2015</t>
  </si>
  <si>
    <t>BOMBA CENTRÍFUGA MONOESTÁGIO COM MOTOR ELÉTRICO MONOFÁSICO, POTÊNCIA 15 HP, DIÂMETRO DO ROTOR 173 MM, HM/Q = 30 MCA / 90 M3/H A 45 MCA / 55 M3/H - CHI DIURNO. AF_06/2015</t>
  </si>
  <si>
    <t>BOMBA DE PROJEÇÃO DE CONCRETO SECO, POTÊNCIA 10 CV, VAZÃO 3 M3/H - CHI DIURNO. AF_06/2015</t>
  </si>
  <si>
    <t>BOMBA DE PROJEÇÃO DE CONCRETO SECO, POTÊNCIA 10 CV, VAZÃO 6 M3/H - CHI DIURNO. AF_06/2015</t>
  </si>
  <si>
    <t>PERFURATRIZ HIDRÁULICA SOBRE CAMINHÃO COM TRADO CURTO ACOPLADO, PROFUNDIDADE MÁXIMA DE 20 M, DIÂMETRO MÁXIMO DE 1500 MM, POTÊNCIA INSTALADA DE 137 HP, MESA ROTATIVA COM TORQUE MÁXIMO DE 30 KNM - CHI DIURNO. AF_06/2015</t>
  </si>
  <si>
    <t>COMPRESSOR DE AR REBOCÁVEL, VAZÃO 748 PCM, PRESSÃO EFETIVA DE TRABALHO 102 PSI, MOTOR DIESEL, POTÊNCIA 210 CV - CHI DIURNO. AF_06/2015</t>
  </si>
  <si>
    <t>CAMINHÃO TRUCADO (C/ TERCEIRO EIXO) ELETRÔNICO - POTÊNCIA 231CV - PBT = 22000KG - DIST. ENTRE EIXOS 5170 MM - INCLUI CARROCERIA FIXA ABERTA DE MADEIRA - CHI DIURNO. AF_06/2015</t>
  </si>
  <si>
    <t>CORTADORA DE PISO COM MOTOR 4 TEMPOS A GASOLINA, POTÊNCIA DE 13 HP, COM DISCO DE CORTE DIAMANTADO SEGMENTADO PARA CONCRETO, DIÂMETRO DE 350 MM, FURO DE 1" (14 X 1") - CHI DIURNO. AF_08/2015</t>
  </si>
  <si>
    <t>CAMINHÃO TOCO, PBT 14.300 KG, CARGA ÚTIL MÁX. 9.710 KG, DIST. ENTRE EIXOS 3,56 M, POTÊNCIA 185 CV, INCLUSIVE CARROCERIA FIXA ABERTA DE MADEIRA P/ TRANSPORTE GERAL DE CARGA SECA, DIMEN. APROX. 2,50 X 6,50 X 0,50 M - CHI DIURNO. AF_06/2014</t>
  </si>
  <si>
    <t>CAMINHONETE CABINE SIMPLES COM MOTOR 1.6 FLEX, CÂMBIO MANUAL, POTÊNCIA 101/104 CV, 2 PORTAS - CHI DIURNO. AF_11/2015</t>
  </si>
  <si>
    <t>BETONEIRA CAPACIDADE NOMINAL 400 L, CAPACIDADE DE MISTURA 310 L, MOTOR A GASOLINA POTÊNCIA 5,5 HP, SEM CARREGADOR - CHI DIURNO. AF_02/2016</t>
  </si>
  <si>
    <t>ROLO COMPACTADOR VIBRATÓRIO PÉ DE CARNEIRO PARA SOLOS, POTÊNCIA 80 HP, PESO OPERACIONAL SEM/COM LASTRO 7,4 / 8,8 T, LARGURA DE TRABALHO 1,68 M - CHI DIURNO. AF_02/2016</t>
  </si>
  <si>
    <t>GUINCHO ELÉTRICO DE COLUNA, CAPACIDADE 400 KG, COM MOTO FREIO, MOTOR TRIFÁSICO DE 1,25 CV - CHI DIURNO. AF_03/2016</t>
  </si>
  <si>
    <t>GUINDASTE HIDRÁULICO AUTOPROPELIDO, COM LANÇA TELESCÓPICA 40 M, CAPACIDADE MÁXIMA 60 T, POTÊNCIA 260 KW - CHI DIURNO. AF_03/2016</t>
  </si>
  <si>
    <t>GUINDAUTO HIDRÁULICO, CAPACIDADE MÁXIMA DE CARGA 3300 KG, MOMENTO MÁXIMO DE CARGA 5,8 TM, ALCANCE MÁXIMO HORIZONTAL 7,60 M, INCLUSIVE CAMINHÃO TOCO PBT 16.000 KG, POTÊNCIA DE 189 CV - CHI DIURNO. AF_03/2016</t>
  </si>
  <si>
    <t>GERADOR PORTÁTIL MONOFÁSICO, POTÊNCIA 5500 VA, MOTOR A GASOLINA, POTÊNCIA DO MOTOR 13 CV - CHI DIURNO. AF_03/2016</t>
  </si>
  <si>
    <t>GRUPO GERADOR REBOCÁVEL, POTÊNCIA 66 KVA, MOTOR A DIESEL - CHI DIURNO. AF_03/2016</t>
  </si>
  <si>
    <t>GRUPO GERADOR ESTACIONÁRIO, POTÊNCIA 150 KVA, MOTOR A DIESEL- CHI DIURNO. AF_03/2016</t>
  </si>
  <si>
    <t>USINA MISTURADORA DE SOLOS, CAPACIDADE DE 200 A 500 TON/H, POTENCIA 75KW - CHI DIURNO. AF_07/2016</t>
  </si>
  <si>
    <t>DISTRIBUIDOR DE AGREGADOS AUTOPROPELIDO, CAP 3 M3, A DIESEL, POTÊNCIA 176CV - CHI DIURNO. AF_07/2016</t>
  </si>
  <si>
    <t>TALHA MANUAL DE CORRENTE, CAPACIDADE DE 2 TON. COM ELEVAÇÃO DE 3 M - CHI DIURNO. AF_07/2016</t>
  </si>
  <si>
    <t>MARTELO DEMOLIDOR PNEUMÁTICO MANUAL, 32 KG - CHI DIURNO. AF_09/2016</t>
  </si>
  <si>
    <t>COMPACTADOR DE SOLOS DE PERCUSÃO (SOQUETE) COM MOTOR A GASOLINA, POTÊNCIA 3 CV - CHI DIURNO. AF_09/2016</t>
  </si>
  <si>
    <t>RÉGUA VIBRATÓRIA DUPLA PARA CONCRETO, PESO DE 60KG, COMPRIMENTO 4 M, COM MOTOR A GASOLINA, POTÊNCIA 5,5 HP - CHI DIURNO. AF_09/2016</t>
  </si>
  <si>
    <t>PERFURATRIZ PNEUMATICA MANUAL DE PESO MEDIO, MARTELETE, 18KG, COMPRIMENTO MÁXIMO DE CURSO DE 6 M, DIAMETRO DO PISTAO DE 5,5 CM - CHI DIURNO. AF_11/2016</t>
  </si>
  <si>
    <t>ROLO COMPACTADOR VIBRATORIO TANDEM, ACO LISO, POTENCIA 125 HP, PESO SEM/COM LASTRO 10,20/11,65 T, LARGURA DE TRABALHO 1,73 M - CHI DIURNO. AF_11/2016</t>
  </si>
  <si>
    <t>PERFURATRIZ MANUAL, TORQUE MAXIMO 55 KGF.M, POTENCIA 5 CV, COM DIAMETRO MAXIMO 8 1/2" - CHI DIURNO. AF_11/2016</t>
  </si>
  <si>
    <t>ESCAVADEIRA HIDRAULICA SOBRE ESTEIRA, EQUIPADA COM CLAMSHELL, COM CAPACIDADE DA CAÇAMBA ENTRE 1,20 E 1,50 M3, PESO OPERACIONAL ENTRE 20,00 E 22,00 TON, POTENCIA LIQUIDA ENTRE 150 E 160 HP - CHI DIURNO. AF_11/2016</t>
  </si>
  <si>
    <t>GRUPO GERADOR COM CARENAGEM, MOTOR DIESEL POTÊNCIA STANDART ENTRE 250 E 260 KVA - CHI DIURNO. AF_12/2016</t>
  </si>
  <si>
    <t>TRATOR DE PNEUS COM POTÊNCIA DE 122 CV, TRAÇÃO 4X4, COM VASSOURA MECÂNICA ACOPLADA - CHI DIURNO. AF_02/2017</t>
  </si>
  <si>
    <t>TRATOR DE PNEUS COM POTÊNCIA DE 122 CV, TRAÇÃO 4X4, COM GRADE DE DISCOS ACOPLADA - CHI DIURNO. AF_02/2017</t>
  </si>
  <si>
    <t>TRATOR DE PNEUS COM POTÊNCIA DE 85 CV, TRAÇÃO 4X4, COM GRADE DE DISCOS ACOPLADA - CHI DIURNO. AF_02/2017</t>
  </si>
  <si>
    <t>CAMINHÃO BASCULANTE 10 M3, TRUCADO, POTÊNCIA 230 CV, INCLUSIVE CAÇAMBA METÁLICA, COM DISTRIBUIDOR DE AGREGADOS ACOPLADO - CHI DIURNO. AF_02/2017</t>
  </si>
  <si>
    <t>TRATOR DE PNEUS COM POTÊNCIA DE 85 CV, TRAÇÃO 4X4, COM VASSOURA MECÂNICA ACOPLADA - CHI DIURNO. AF_02/2017</t>
  </si>
  <si>
    <t>MINICARREGADEIRA SOBRE RODAS POTENCIA 47HP CAPACIDADE OPERACAO 646 KG, COM VASSOURA MECÂNICA ACOPLADA - CHI DIURNO. AF_03/2017</t>
  </si>
  <si>
    <t>MÁQUINA DEMARCADORA DE FAIXA DE TRÁFEGO À FRIO, AUTOPROPELIDA, POTÊNCIA 38 HP - CHI DIURNO. AF_07/2016</t>
  </si>
  <si>
    <t>ROLO COMPACTADOR VIBRATÓRIO PÉ DE CARNEIRO PARA SOLOS, POTÊNCIA 80 HP, PESO OPERACIONAL SEM/COM LASTRO 7,4 / 8,8 T, LARGURA DE TRABALHO 1,68 M - MANUTENÇÃO. AF_02/2016</t>
  </si>
  <si>
    <t>RETROESCAVADEIRA SOBRE RODAS COM CARREGADEIRA, TRAÇÃO 4X4, POTÊNCIA LÍQ. 88 HP, CAÇAMBA CARREG. CAP. MÍN. 1 M3, CAÇAMBA RETRO CAP. 0,26 M3, PESO OPERACIONAL MÍN. 6.674 KG, PROFUNDIDADE ESCAVAÇÃO MÁX. 4,37 M - MANUTENÇÃO. AF_06/2014</t>
  </si>
  <si>
    <t>RETROESCAVADEIRA SOBRE RODAS COM CARREGADEIRA, TRAÇÃO 4X2, POTÊNCIA LÍQ. 79 HP, CAÇAMBA CARREG. CAP. MÍN. 1 M3, CAÇAMBA RETRO CAP. 0,20 M3, PESO OPERACIONAL MÍN. 6.570 KG, PROFUNDIDADE ESCAVAÇÃO MÁX. 4,37 M - MANUTENÇÃO. AF_06/2014</t>
  </si>
  <si>
    <t>RETROESCAVADEIRA SOBRE RODAS COM CARREGADEIRA, TRAÇÃO 4X2, POTÊNCIA LÍQ. 79 HP, CAÇAMBA CARREG. CAP. MÍN. 1 M3, CAÇAMBA RETRO CAP. 0,20 M3, PESO OPERACIONAL MÍN. 6.570 KG, PROFUNDIDADE ESCAVAÇÃO MÁX. 4,37 M - MATERIAIS NA OPERAÇÃO. AF_06/2014</t>
  </si>
  <si>
    <t>ROLO COMPACTADOR VIBRATÓRIO DE UM CILINDRO AÇO LISO, POTÊNCIA 80 HP, PESO OPERACIONAL MÁXIMO 8,1 T, IMPACTO DINÂMICO 16,15 / 9,5 T, LARGURA DE TRABALHO 1,68 M - MANUTENÇÃO. AF_06/2014</t>
  </si>
  <si>
    <t>MOTOBOMBA CENTRÍFUGA, MOTOR A GASOLINA, POTÊNCIA 5,42 HP, BOCAIS 1 1/2" X 1", DIÂMETRO ROTOR 143 MM HM/Q = 6 MCA / 16,8 M3/H A 38 MCA / 6,6 M3/H - MANUTENÇÃO. AF_06/2014</t>
  </si>
  <si>
    <t>MOTOBOMBA CENTRÍFUGA, MOTOR A GASOLINA, POTÊNCIA 5,42 HP, BOCAIS 1 1/2" X 1", DIÂMETRO ROTOR 143 MM HM/Q = 6 MCA / 16,8 M3/H A 38 MCA / 6,6 M3/H - MATERIAIS NA OPERAÇÃO. AF_06/2014</t>
  </si>
  <si>
    <t>USINA DE CONCRETO FIXA, CAPACIDADE NOMINAL DE 90 A 120 M3/H, SEM SILO - MATERIAIS NA OPERAÇÃO. AF_07/2016</t>
  </si>
  <si>
    <t>CAMINHÃO TOCO, PBT 16.000 KG, CARGA ÚTIL MÁX. 10.685 KG, DIST. ENTRE EIXOS 4,8 M, POTÊNCIA 189 CV, INCLUSIVE CARROCERIA FIXA ABERTA DE MADEIRA P/ TRANSPORTE GERAL DE CARGA SECA, DIMEN. APROX. 2,5 X 7,00 X 0,50 M - MANUTENÇÃO. AF_06/2014</t>
  </si>
  <si>
    <t>USINA MISTURADORA DE SOLOS, CAPACIDADE DE 200 A 500 TON/H, POTENCIA 75KW - MANUTENÇÃO. AF_07/2016</t>
  </si>
  <si>
    <t>VIBROACABADORA DE ASFALTO SOBRE ESTEIRAS, LARGURA DE PAVIMENTAÇÃO 1,90 M A 5,30 M, POTÊNCIA 105 HP CAPACIDADE 450 T/H - MANUTENÇÃO. AF_11/2014</t>
  </si>
  <si>
    <t>VIBROACABADORA DE ASFALTO SOBRE ESTEIRAS, LARGURA DE PAVIMENTAÇÃO 1,90 M A 5,30 M, POTÊNCIA 105 HP CAPACIDADE 450 T/H - MATERIAIS NA OPERAÇÃO. AF_11/2014</t>
  </si>
  <si>
    <t>TRATOR DE ESTEIRAS, POTÊNCIA 150 HP, PESO OPERACIONAL 16,7 T, COM RODA MOTRIZ ELEVADA E LÂMINA 3,18 M3 - MATERIAIS NA OPERAÇÃO. AF_06/2014</t>
  </si>
  <si>
    <t>RETROESCAVADEIRA SOBRE RODAS COM CARREGADEIRA, TRAÇÃO 4X4, POTÊNCIA LÍQ. 72 HP, CAÇAMBA CARREG. CAP. MÍN. 0,79 M3, CAÇAMBA RETRO CAP. 0,18 M3, PESO OPERACIONAL MÍN. 7.140 KG, PROFUNDIDADE ESCAVAÇÃO MÁX. 4,50 M - MANUTENÇÃO. AF_06/2014</t>
  </si>
  <si>
    <t>RETROESCAVADEIRA SOBRE RODAS COM CARREGADEIRA, TRAÇÃO 4X4, POTÊNCIA LÍQ. 72 HP, CAÇAMBA CARREG. CAP. MÍN. 0,79 M3, CAÇAMBA RETRO CAP. 0,18 M3, PESO OPERACIONAL MÍN. 7.140 KG, PROFUNDIDADE ESCAVAÇÃO MÁX. 4,50 M - MATERIAIS NA OPERAÇÃO. AF_06/2014</t>
  </si>
  <si>
    <t>USINA DE LAMA ASFÁLTICA, PROD 30 A 50 T/H, SILO DE AGREGADO 7 M3, RESERVATÓRIOS PARA EMULSÃO E ÁGUA DE 2,3 M3 CADA, MISTURADOR TIPO PUG MILL A SER MONTADO SOBRE CAMINHÃO - MANUTENÇÃO. AF_10/2014</t>
  </si>
  <si>
    <t>USINA DE LAMA ASFÁLTICA, PROD 30 A 50 T/H, SILO DE AGREGADO 7 M3, RESERVATÓRIOS PARA EMULSÃO E ÁGUA DE 2,3 M3 CADA, MISTURADOR TIPO PUG MILL A SER MONTADO SOBRE CAMINHÃO - MATERIAIS NA OPERAÇÃO. AF_10/2014</t>
  </si>
  <si>
    <t>CAMINHÃO PIPA 6.000 L, PESO BRUTO TOTAL 13.000 KG, DISTÂNCIA ENTRE EIXOS 4,80 M, POTÊNCIA 189 CV INCLUSIVE TANQUE DE AÇO PARA TRANSPORTE DE ÁGUA, CAPACIDADE 6 M3 - MATERIAIS NA OPERAÇÃO. AF_06/2014</t>
  </si>
  <si>
    <t>CAMINHÃO TOCO, PESO BRUTO TOTAL 14.300 KG, CARGA ÚTIL MÁXIMA 9590 KG, DISTÂNCIA ENTRE EIXOS 4,76 M, POTÊNCIA 185 CV (NÃO INCLUI CARROCERIA) - MANUTENÇÃO. AF_06/2014</t>
  </si>
  <si>
    <t>CAMINHÃO TOCO, PESO BRUTO TOTAL 16.000 KG, CARGA ÚTIL MÁXIMA DE 10.685 KG, DISTÂNCIA ENTRE EIXOS 4,80 M, POTÊNCIA 189 CV EXCLUSIVE CARROCERIA - MANUTENÇÃO. AF_06/2014</t>
  </si>
  <si>
    <t>CAMINHÃO PIPA 10.000 L TRUCADO, PESO BRUTO TOTAL 23.000 KG, CARGA ÚTIL MÁXIMA 15.935 KG, DISTÂNCIA ENTRE EIXOS 4,8 M, POTÊNCIA 230 CV, INCLUSIVE TANQUE DE AÇO PARA TRANSPORTE DE ÁGUA - MANUTENÇÃO. AF_06/2014</t>
  </si>
  <si>
    <t>ESPARGIDOR DE ASFALTO PRESSURIZADO COM TANQUE DE 2500 L, REBOCÁVEL COM MOTOR A GASOLINA POTÊNCIA 3,4 HP - MANUTENÇÃO. AF_07/2014</t>
  </si>
  <si>
    <t>ESPARGIDOR DE ASFALTO PRESSURIZADO COM TANQUE DE 2500 L, REBOCÁVEL COM MOTOR A GASOLINA POTÊNCIA 3,4 HP - MATERIAIS NA OPERAÇÃO. AF_07/2014</t>
  </si>
  <si>
    <t>COMPRESSOR DE AR REBOCÁVEL, VAZÃO 189 PCM, PRESSÃO EFETIVA DE TRABALHO 102 PSI, MOTOR DIESEL, POTÊNCIA 63 CV - MANUTENÇÃO. AF_06/2015</t>
  </si>
  <si>
    <t>ROLO COMPACTADOR DE PNEUS ESTÁTICO, PRESSÃO VARIÁVEL, POTÊNCIA 111 HP, PESO SEM/COM LASTRO 9,5 / 26 T, LARGURA DE TRABALHO 1,90 M - DEPRECIAÇÃO. AF_07/2014</t>
  </si>
  <si>
    <t>ROLO COMPACTADOR DE PNEUS ESTÁTICO, PRESSÃO VARIÁVEL, POTÊNCIA 111 HP, PESO SEM/COM LASTRO 9,5 / 26 T, LARGURA DE TRABALHO 1,90 M - JUROS. AF_07/2014</t>
  </si>
  <si>
    <t>ROLO COMPACTADOR DE PNEUS ESTÁTICO, PRESSÃO VARIÁVEL, POTÊNCIA 111 HP, PESO SEM/COM LASTRO 9,5 / 26 T, LARGURA DE TRABALHO 1,90 M - MANUTENÇÃO. AF_07/2014</t>
  </si>
  <si>
    <t>TRATOR DE PNEUS, POTÊNCIA 122 CV, TRAÇÃO 4X4, PESO COM LASTRO DE 4.510 KG - DEPRECIAÇÃO. AF_06/2014</t>
  </si>
  <si>
    <t>TRATOR DE PNEUS, POTÊNCIA 122 CV, TRAÇÃO 4X4, PESO COM LASTRO DE 4.510 KG - JUROS. AF_06/2014</t>
  </si>
  <si>
    <t>TRATOR DE PNEUS, POTÊNCIA 122 CV, TRAÇÃO 4X4, PESO COM LASTRO DE 4.510 KG - MANUTENÇÃO. AF_06/2014</t>
  </si>
  <si>
    <t>TRATOR DE PNEUS, POTÊNCIA 122 CV, TRAÇÃO 4X4, PESO COM LASTRO DE 4.510 KG - MATERIAIS NA OPERAÇÃO. AF_06/2014</t>
  </si>
  <si>
    <t>RETROESCAVADEIRA SOBRE RODAS COM CARREGADEIRA, TRAÇÃO 4X4, POTÊNCIA LÍQ. 88 HP, CAÇAMBA CARREG. CAP. MÍN. 1 M3, CAÇAMBA RETRO CAP. 0,26 M3, PESO OPERACIONAL MÍN. 6.674 KG, PROFUNDIDADE ESCAVAÇÃO MÁX. 4,37 M - MATERIAIS NA OPERAÇÃO. AF_06/2014</t>
  </si>
  <si>
    <t>ROLO COMPACTADOR VIBRATÓRIO DE UM CILINDRO AÇO LISO, POTÊNCIA 80 HP, PESO OPERACIONAL MÁXIMO 8,1 T, IMPACTO DINÂMICO 16,15 / 9,5 T, LARGURA DE TRABALHO 1,68 M - MATERIAIS NA OPERAÇÃO. AF_06/2014</t>
  </si>
  <si>
    <t>USINA DE CONCRETO FIXA, CAPACIDADE NOMINAL DE 90 A 120 M3/H, SEM SILO - MANUTENÇÃO. AF_07/2016</t>
  </si>
  <si>
    <t>CAMINHÃO TOCO, PBT 16.000 KG, CARGA ÚTIL MÁX. 10.685 KG, DIST. ENTRE EIXOS 4,8 M, POTÊNCIA 189 CV, INCLUSIVE CARROCERIA FIXA ABERTA DE MADEIRA P/ TRANSPORTE GERAL DE CARGA SECA, DIMEN. APROX. 2,5 X 7,00 X 0,50 M - MATERIAIS NA OPERAÇÃO. AF_06/2014</t>
  </si>
  <si>
    <t>TRATOR DE ESTEIRAS, POTÊNCIA 150 HP, PESO OPERACIONAL 16,7 T, COM RODA MOTRIZ ELEVADA E LÂMINA 3,18 M3 - MANUTENÇÃO. AF_06/2014</t>
  </si>
  <si>
    <t>CAMINHÃO TOCO, PESO BRUTO TOTAL 14.300 KG, CARGA ÚTIL MÁXIMA 9590 KG, DISTÂNCIA ENTRE EIXOS 4,76 M, POTÊNCIA 185 CV (NÃO INCLUI CARROCERIA) - MATERIAIS NA OPERAÇÃO. AF_06/2014</t>
  </si>
  <si>
    <t>CAMINHÃO TOCO, PESO BRUTO TOTAL 16.000 KG, CARGA ÚTIL MÁXIMA DE 10.685 KG, DISTÂNCIA ENTRE EIXOS 4,80 M, POTÊNCIA 189 CV EXCLUSIVE CARROCERIA - MATERIAIS NA OPERAÇÃO. AF_06/2014</t>
  </si>
  <si>
    <t>CAMINHÃO PIPA 10.000 L TRUCADO, PESO BRUTO TOTAL 23.000 KG, CARGA ÚTIL MÁXIMA 15.935 KG, DISTÂNCIA ENTRE EIXOS 4,8 M, POTÊNCIA 230 CV, INCLUSIVE TANQUE DE AÇO PARA TRANSPORTE DE ÁGUA - MATERIAIS NA OPERAÇÃO. AF_06/2014</t>
  </si>
  <si>
    <t>PÁ CARREGADEIRA SOBRE RODAS, POTÊNCIA LÍQUIDA 128 HP, CAPACIDADE DA CAÇAMBA 1,7 A 2,8 M3, PESO OPERACIONAL 11632 KG - MATERIAIS NA OPERAÇÃO. AF_06/2014</t>
  </si>
  <si>
    <t>MARTELETE OU ROMPEDOR PNEUMÁTICO MANUAL, 28 KG, COM SILENCIADOR - MANUTENÇÃO. AF_07/2016</t>
  </si>
  <si>
    <t>COMPRESSOR DE AR REBOCÁVEL, VAZÃO 189 PCM, PRESSÃO EFETIVA DE TRABALHO 102 PSI, MOTOR DIESEL, POTÊNCIA 63 CV - MATERIAIS NA OPERAÇÃO. AF_06/2015</t>
  </si>
  <si>
    <t>CAMINHÃO PIPA 6.000 L, PESO BRUTO TOTAL 13.000 KG, DISTÂNCIA ENTRE EIXOS 4,80 M, POTÊNCIA 189 CV INCLUSIVE TANQUE DE AÇO PARA TRANSPORTE DE ÁGUA, CAPACIDADE 6 M3 - MANUTENÇÃO. AF_06/2014</t>
  </si>
  <si>
    <t>ROLO COMPACTADOR DE PNEUS ESTÁTICO, PRESSÃO VARIÁVEL, POTÊNCIA 111 HP, PESO SEM/COM LASTRO 9,5 / 26 T, LARGURA DE TRABALHO 1,90 M - MATERIAIS NA OPERAÇÃO. AF_07/2014</t>
  </si>
  <si>
    <t>ROLO COMPACTADOR VIBRATÓRIO PÉ DE CARNEIRO PARA SOLOS, POTÊNCIA 80 HP, PESO OPERACIONAL SEM/COM LASTRO 7,4 / 8,8 T, LARGURA DE TRABALHO 1,68 M - DEPRECIAÇÃO. AF_02/2016</t>
  </si>
  <si>
    <t>ROLO COMPACTADOR VIBRATÓRIO PÉ DE CARNEIRO PARA SOLOS, POTÊNCIA 80 HP, PESO OPERACIONAL SEM/COM LASTRO 7,4 / 8,8 T, LARGURA DE TRABALHO 1,68 M - JUROS. AF_02/2016</t>
  </si>
  <si>
    <t>ROLO COMPACTADOR VIBRATÓRIO PÉ DE CARNEIRO PARA SOLOS, POTÊNCIA 80 HP, PESO OPERACIONAL SEM/COM LASTRO 7,4 / 8,8 T, LARGURA DE TRABALHO 1,68 M - MATERIAIS NA OPERAÇÃO. AF_02/2016</t>
  </si>
  <si>
    <t>CAMINHÃO TOCO, PBT 14.300 KG, CARGA ÚTIL MÁX. 9.710 KG, DIST. ENTRE EIXOS 3,56 M, POTÊNCIA 185 CV, INCLUSIVE CARROCERIA FIXA ABERTA DE MADEIRA P/ TRANSPORTE GERAL DE CARGA SECA, DIMEN. APROX. 2,50 X 6,50 X 0,50 M - MANUTENÇÃO. AF_06/2014</t>
  </si>
  <si>
    <t>CAMINHÃO TOCO, PBT 14.300 KG, CARGA ÚTIL MÁX. 9.710 KG, DIST. ENTRE EIXOS 3,56 M, POTÊNCIA 185 CV, INCLUSIVE CARROCERIA FIXA ABERTA DE MADEIRA P/ TRANSPORTE GERAL DE CARGA SECA, DIMEN. APROX. 2,50 X 6,50 X 0,50 M - MATERIAIS NA OPERAÇÃO. AF_06/2014</t>
  </si>
  <si>
    <t>ESPARGIDOR DE ASFALTO PRESSURIZADO, TANQUE 6 M3 COM ISOLAÇÃO TÉRMICA, AQUECIDO COM 2 MAÇARICOS, COM BARRA ESPARGIDORA 3,60 M, MONTADO SOBRE CAMINHÃO  TOCO, PBT 14.300 KG, POTÊNCIA 185 CV - MANUTENÇÃO. AF_08/2015</t>
  </si>
  <si>
    <t>ESPARGIDOR DE ASFALTO PRESSURIZADO COM TANQUE DE 2500 L, REBOCÁVEL COM MOTOR A GASOLINA POTÊNCIA 3,4 HP - DEPRECIAÇÃO. AF_07/2014</t>
  </si>
  <si>
    <t>ESPARGIDOR DE ASFALTO PRESSURIZADO COM TANQUE DE 2500 L, REBOCÁVEL COM MOTOR A GASOLINA POTÊNCIA 3,4 HP - JUROS. AF_07/2014</t>
  </si>
  <si>
    <t>USINA DE LAMA ASFÁLTICA, PROD 30 A 50 T/H, SILO DE AGREGADO 7 M3, RESERVATÓRIOS PARA EMULSÃO E ÁGUA DE 2,3 M3 CADA, MISTURADOR TIPO PUG MILL A SER MONTADO SOBRE CAMINHÃO - DEPRECIAÇÃO. AF_10/2014</t>
  </si>
  <si>
    <t>USINA DE LAMA ASFÁLTICA, PROD 30 A 50 T/H, SILO DE AGREGADO 7 M3, RESERVATÓRIOS PARA EMULSÃO E ÁGUA DE 2,3 M3 CADA, MISTURADOR TIPO PUG MILL A SER MONTADO SOBRE CAMINHÃO - JUROS. AF_10/2014</t>
  </si>
  <si>
    <t>MOTOBOMBA CENTRÍFUGA, MOTOR A GASOLINA, POTÊNCIA 5,42 HP, BOCAIS 1 1/2" X 1", DIÂMETRO ROTOR 143 MM HM/Q = 6 MCA / 16,8 M3/H A 38 MCA / 6,6 M3/H - DEPRECIAÇÃO. AF_06/2014</t>
  </si>
  <si>
    <t>MOTOBOMBA CENTRÍFUGA, MOTOR A GASOLINA, POTÊNCIA 5,42 HP, BOCAIS 1 1/2" X 1", DIÂMETRO ROTOR 143 MM HM/Q = 6 MCA / 16,8 M3/H A 38 MCA / 6,6 M3/H - JUROS. AF_06/2014</t>
  </si>
  <si>
    <t>RETROESCAVADEIRA SOBRE RODAS COM CARREGADEIRA, TRAÇÃO 4X4, POTÊNCIA LÍQ. 88 HP, CAÇAMBA CARREG. CAP. MÍN. 1 M3, CAÇAMBA RETRO CAP. 0,26 M3, PESO OPERACIONAL MÍN. 6.674 KG, PROFUNDIDADE ESCAVAÇÃO MÁX. 4,37 M - DEPRECIAÇÃO. AF_06/2014</t>
  </si>
  <si>
    <t>RETROESCAVADEIRA SOBRE RODAS COM CARREGADEIRA, TRAÇÃO 4X4, POTÊNCIA LÍQ. 88 HP, CAÇAMBA CARREG. CAP. MÍN. 1 M3, CAÇAMBA RETRO CAP. 0,26 M3, PESO OPERACIONAL MÍN. 6.674 KG, PROFUNDIDADE ESCAVAÇÃO MÁX. 4,37 M - JUROS. AF_06/2014</t>
  </si>
  <si>
    <t>RETROESCAVADEIRA SOBRE RODAS COM CARREGADEIRA, TRAÇÃO 4X2, POTÊNCIA LÍQ. 79 HP, CAÇAMBA CARREG. CAP. MÍN. 1 M3, CAÇAMBA RETRO CAP. 0,20 M3, PESO OPERACIONAL MÍN. 6.570 KG, PROFUNDIDADE ESCAVAÇÃO MÁX. 4,37 M - DEPRECIAÇÃO. AF_06/2014</t>
  </si>
  <si>
    <t>RETROESCAVADEIRA SOBRE RODAS COM CARREGADEIRA, TRAÇÃO 4X2, POTÊNCIA LÍQ. 79 HP, CAÇAMBA CARREG. CAP. MÍN. 1 M3, CAÇAMBA RETRO CAP. 0,20 M3, PESO OPERACIONAL MÍN. 6.570 KG, PROFUNDIDADE ESCAVAÇÃO MÁX. 4,37 M - JUROS. AF_06/2014</t>
  </si>
  <si>
    <t>TRATOR DE ESTEIRAS, POTÊNCIA 150 HP, PESO OPERACIONAL 16,7 T, COM RODA MOTRIZ ELEVADA E LÂMINA 3,18 M3 - DEPRECIAÇÃO. AF_06/2014</t>
  </si>
  <si>
    <t>TRATOR DE ESTEIRAS, POTÊNCIA 150 HP, PESO OPERACIONAL 16,7 T, COM RODA MOTRIZ ELEVADA E LÂMINA 3,18 M3 - JUROS. AF_06/2014</t>
  </si>
  <si>
    <t>RETROESCAVADEIRA SOBRE RODAS COM CARREGADEIRA, TRAÇÃO 4X4, POTÊNCIA LÍQ. 72 HP, CAÇAMBA CARREG. CAP. MÍN. 0,79 M3, CAÇAMBA RETRO CAP. 0,18 M3, PESO OPERACIONAL MÍN. 7.140 KG, PROFUNDIDADE ESCAVAÇÃO MÁX. 4,50 M - DEPRECIAÇÃO. AF_06/2014</t>
  </si>
  <si>
    <t>RETROESCAVADEIRA SOBRE RODAS COM CARREGADEIRA, TRAÇÃO 4X4, POTÊNCIA LÍQ. 72 HP, CAÇAMBA CARREG. CAP. MÍN. 0,79 M3, CAÇAMBA RETRO CAP. 0,18 M3, PESO OPERACIONAL MÍN. 7.140 KG, PROFUNDIDADE ESCAVAÇÃO MÁX. 4,50 M - JUROS. AF_06/2014</t>
  </si>
  <si>
    <t>ROLO COMPACTADOR VIBRATÓRIO DE UM CILINDRO AÇO LISO, POTÊNCIA 80 HP, PESO OPERACIONAL MÁXIMO 8,1 T, IMPACTO DINÂMICO 16,15 / 9,5 T, LARGURA DE TRABALHO 1,68 M - DEPRECIAÇÃO. AF_06/2014</t>
  </si>
  <si>
    <t>ROLO COMPACTADOR VIBRATÓRIO DE UM CILINDRO AÇO LISO, POTÊNCIA 80 HP, PESO OPERACIONAL MÁXIMO 8,1 T, IMPACTO DINÂMICO 16,15 / 9,5 T, LARGURA DE TRABALHO 1,68 M - JUROS. AF_06/2014</t>
  </si>
  <si>
    <t>VIBROACABADORA DE ASFALTO SOBRE ESTEIRAS, LARGURA DE PAVIMENTAÇÃO 1,90 M A 5,30 M, POTÊNCIA 105 HP CAPACIDADE 450 T/H - DEPRECIAÇÃO. AF_11/2014</t>
  </si>
  <si>
    <t>VIBROACABADORA DE ASFALTO SOBRE ESTEIRAS, LARGURA DE PAVIMENTAÇÃO 1,90 M A 5,30 M, POTÊNCIA 105 HP CAPACIDADE 450 T/H - JUROS. AF_11/2014</t>
  </si>
  <si>
    <t>VIBROACABADORA DE ASFALTO SOBRE ESTEIRAS, LARGURA DE PAVIMENTAÇÃO 2,13 M A 4,55 M, POTÊNCIA 100 HP, CAPACIDADE 400 T/H - DEPRECIAÇÃO. AF_11/2014</t>
  </si>
  <si>
    <t>VIBROACABADORA DE ASFALTO SOBRE ESTEIRAS, LARGURA DE PAVIMENTAÇÃO 2,13 M A 4,55 M, POTÊNCIA 100 HP, CAPACIDADE 400 T/H - JUROS. AF_11/2014</t>
  </si>
  <si>
    <t>VIBROACABADORA DE ASFALTO SOBRE ESTEIRAS, LARGURA DE PAVIMENTAÇÃO 2,13 M A 4,55 M, POTÊNCIA 100 HP, CAPACIDADE 400 T/H - MANUTENÇÃO. AF_11/2014</t>
  </si>
  <si>
    <t>VIBROACABADORA DE ASFALTO SOBRE ESTEIRAS, LARGURA DE PAVIMENTAÇÃO 2,13 M A 4,55 M, POTÊNCIA 100 HP, CAPACIDADE 400 T/H - MATERIAIS NA OPERAÇÃO. AF_11/2014</t>
  </si>
  <si>
    <t>CAMINHÃO TOCO, PBT 16.000 KG, CARGA ÚTIL MÁX. 10.685 KG, DIST. ENTRE EIXOS 4,8 M, POTÊNCIA 189 CV, INCLUSIVE CARROCERIA FIXA ABERTA DE MADEIRA P/ TRANSPORTE GERAL DE CARGA SECA, DIMEN. APROX. 2,5 X 7,00 X 0,50 M - DEPRECIAÇÃO. AF_06/2014</t>
  </si>
  <si>
    <t>CAMINHÃO TOCO, PBT 16.000 KG, CARGA ÚTIL MÁX. 10.685 KG, DIST. ENTRE EIXOS 4,8 M, POTÊNCIA 189 CV, INCLUSIVE CARROCERIA FIXA ABERTA DE MADEIRA P/ TRANSPORTE GERAL DE CARGA SECA, DIMEN. APROX. 2,5 X 7,00 X 0,50 M - JUROS. AF_06/2014</t>
  </si>
  <si>
    <t>CAMINHÃO TOCO, PBT 16.000 KG, CARGA ÚTIL MÁX. 10.685 KG, DIST. ENTRE EIXOS 4,8 M, POTÊNCIA 189 CV, INCLUSIVE CARROCERIA FIXA ABERTA DE MADEIRA P/ TRANSPORTE GERAL DE CARGA SECA, DIMEN. APROX. 2,5 X 7,00 X 0,50 M - IMPOSTOS E SEGUROS. AF_06/2014</t>
  </si>
  <si>
    <t>GUINDASTE HIDRÁULICO AUTOPROPELIDO, COM LANÇA TELESCÓPICA 28,80 M, CAPACIDADE MÁXIMA 30 T, POTÊNCIA 97 KW, TRAÇÃO 4 X 4 - DEPRECIAÇÃO. AF_11/2014</t>
  </si>
  <si>
    <t>GUINDASTE HIDRÁULICO AUTOPROPELIDO, COM LANÇA TELESCÓPICA 28,80 M, CAPACIDADE MÁXIMA 30 T, POTÊNCIA 97 KW, TRAÇÃO 4 X 4 - JUROS. AF_11/2014</t>
  </si>
  <si>
    <t>GUINDASTE HIDRÁULICO AUTOPROPELIDO, COM LANÇA TELESCÓPICA 28,80 M, CAPACIDADE MÁXIMA 30 T, POTÊNCIA 97 KW, TRAÇÃO 4 X 4 - IMPOSTOS E SEGUROS. AF_11/2014</t>
  </si>
  <si>
    <t>GUINDASTE HIDRÁULICO AUTOPROPELIDO, COM LANÇA TELESCÓPICA 28,80 M, CAPACIDADE MÁXIMA 30 T, POTÊNCIA 97 KW, TRAÇÃO 4 X 4 - MANUTENÇÃO. AF_11/2014</t>
  </si>
  <si>
    <t>GUINDASTE HIDRÁULICO AUTOPROPELIDO, COM LANÇA TELESCÓPICA 28,80 M, CAPACIDADE MÁXIMA 30 T, POTÊNCIA 97 KW, TRAÇÃO 4 X 4 - MATERIAIS NA OPERAÇÃO. AF_11/2014</t>
  </si>
  <si>
    <t>CAMINHÃO BASCULANTE 14 M3, COM CAVALO MECÂNICO DE CAPACIDADE MÁXIMA DE TRAÇÃO COMBINADO DE 36000 KG, POTÊNCIA 286 CV, INCLUSIVE SEMIREBOQUE COM CAÇAMBA METÁLICA - DEPRECIAÇÃO. AF_12/2014</t>
  </si>
  <si>
    <t>CAMINHÃO BASCULANTE 14 M3, COM CAVALO MECÂNICO DE CAPACIDADE MÁXIMA DE TRAÇÃO COMBINADO DE 36000 KG, POTÊNCIA 286 CV, INCLUSIVE SEMIREBOQUE COM CAÇAMBA METÁLICA - JUROS. AF_12/2014</t>
  </si>
  <si>
    <t>CAMINHÃO BASCULANTE 14 M3, COM CAVALO MECÂNICO DE CAPACIDADE MÁXIMA DE TRAÇÃO COMBINADO DE 36000 KG, POTÊNCIA 286 CV, INCLUSIVE SEMIREBOQUE COM CAÇAMBA METÁLICA - IMPOSTOS E SEGUROS. AF_12/2014</t>
  </si>
  <si>
    <t>CAMINHÃO BASCULANTE 14 M3, COM CAVALO MECÂNICO DE CAPACIDADE MÁXIMA DE TRAÇÃO COMBINADO DE 36000 KG, POTÊNCIA 286 CV, INCLUSIVE SEMIREBOQUE COM CAÇAMBA METÁLICA - MANUTENÇÃO. AF_12/2014</t>
  </si>
  <si>
    <t>CAMINHÃO BASCULANTE 14 M3, COM CAVALO MECÂNICO DE CAPACIDADE MÁXIMA DE TRAÇÃO COMBINADO DE 36000 KG, POTÊNCIA 286 CV, INCLUSIVE SEMIREBOQUE COM CAÇAMBA METÁLICA - MATERIAIS NA OPERAÇÃO. AF_12/2014</t>
  </si>
  <si>
    <t>CAMINHÃO BASCULANTE 18 M3, COM CAVALO MECÂNICO DE CAPACIDADE MÁXIMA DE TRAÇÃO COMBINADO DE 45000 KG, POTÊNCIA 330 CV, INCLUSIVE SEMIREBOQUE COM CAÇAMBA METÁLICA - DEPRECIAÇÃO. AF_12/2014</t>
  </si>
  <si>
    <t>CAMINHÃO BASCULANTE 18 M3, COM CAVALO MECÂNICO DE CAPACIDADE MÁXIMA DE TRAÇÃO COMBINADO DE 45000 KG, POTÊNCIA 330 CV, INCLUSIVE SEMIREBOQUE COM CAÇAMBA METÁLICA - JUROS. AF_12/2014</t>
  </si>
  <si>
    <t>CAMINHÃO BASCULANTE 18 M3, COM CAVALO MECÂNICO DE CAPACIDADE MÁXIMA DE TRAÇÃO COMBINADO DE 45000 KG, POTÊNCIA 330 CV, INCLUSIVE SEMIREBOQUE COM CAÇAMBA METÁLICA - IMPOSTOS E SEGUROS. AF_12/2014</t>
  </si>
  <si>
    <t>CAMINHÃO BASCULANTE 18 M3, COM CAVALO MECÂNICO DE CAPACIDADE MÁXIMA DE TRAÇÃO COMBINADO DE 45000 KG, POTÊNCIA 330 CV, INCLUSIVE SEMIREBOQUE COM CAÇAMBA METÁLICA - MANUTENÇÃO. AF_12/2014</t>
  </si>
  <si>
    <t>CAMINHÃO BASCULANTE 18 M3, COM CAVALO MECÂNICO DE CAPACIDADE MÁXIMA DE TRAÇÃO COMBINADO DE 45000 KG, POTÊNCIA 330 CV, INCLUSIVE SEMIREBOQUE COM CAÇAMBA METÁLICA - MATERIAIS NA OPERAÇÃO. AF_12/2014</t>
  </si>
  <si>
    <t>MISTURADOR DUPLO HORIZONTAL DE ALTA TURBULÊNCIA, CAPACIDADE / VOLUME 2 X 500 LITROS, MOTORES ELÉTRICOS MÍNIMO 5 CV CADA, PARA NATA CIMENTO, ARGAMASSA E OUTROS - DEPRECIAÇÃO. AF_06/2015</t>
  </si>
  <si>
    <t>MISTURADOR DUPLO HORIZONTAL DE ALTA TURBULÊNCIA, CAPACIDADE / VOLUME 2 X 500 LITROS, MOTORES ELÉTRICOS MÍNIMO 5 CV CADA, PARA NATA CIMENTO, ARGAMASSA E OUTROS - JUROS. AF_06/2015</t>
  </si>
  <si>
    <t>MISTURADOR DUPLO HORIZONTAL DE ALTA TURBULÊNCIA, CAPACIDADE / VOLUME 2 X 500 LITROS, MOTORES ELÉTRICOS MÍNIMO 5 CV CADA, PARA NATA CIMENTO, ARGAMASSA E OUTROS - MANUTENÇÃO. AF_06/2015</t>
  </si>
  <si>
    <t>MISTURADOR DUPLO HORIZONTAL DE ALTA TURBULÊNCIA, CAPACIDADE / VOLUME 2 X 500 LITROS, MOTORES ELÉTRICOS MÍNIMO 5 CV CADA, PARA NATA CIMENTO, ARGAMASSA E OUTROS - MATERIAIS NA OPERAÇÃO. AF_06/2015</t>
  </si>
  <si>
    <t>BOMBA CENTRÍFUGA MONOESTÁGIO COM MOTOR ELÉTRICO MONOFÁSICO, POTÊNCIA 15 HP, DIÂMETRO DO ROTOR 173 MM, HM/Q = 30 MCA / 90 M3/H A 45 MCA / 55 M3/H - DEPRECIAÇÃO. AF_06/2015</t>
  </si>
  <si>
    <t>BOMBA CENTRÍFUGA MONOESTÁGIO COM MOTOR ELÉTRICO MONOFÁSICO, POTÊNCIA 15 HP, DIÂMETRO DO ROTOR 173 MM, HM/Q = 30 MCA / 90 M3/H A 45 MCA / 55 M3/H - JUROS. AF_06/2015</t>
  </si>
  <si>
    <t>BOMBA CENTRÍFUGA MONOESTÁGIO COM MOTOR ELÉTRICO MONOFÁSICO, POTÊNCIA 15 HP, DIÂMETRO DO ROTOR 173 MM, HM/Q = 30 MCA / 90 M3/H A 45 MCA / 55 M3/H - MANUTENÇÃO. AF_06/2015</t>
  </si>
  <si>
    <t>BOMBA CENTRÍFUGA MONOESTÁGIO COM MOTOR ELÉTRICO MONOFÁSICO, POTÊNCIA 15 HP, DIÂMETRO DO ROTOR 173 MM, HM/Q = 30 MCA / 90 M3/H A 45 MCA / 55 M3/H - MATERIAIS NA OPERAÇÃO. AF_06/2015</t>
  </si>
  <si>
    <t>PERFURATRIZ COM TORRE METÁLICA PARA EXECUÇÃO DE ESTACA HÉLICE CONTÍNUA, PROFUNDIDADE MÁXIMA DE 30 M, DIÂMETRO MÁXIMO DE 800 MM, POTÊNCIA INSTALADA DE 268 HP, MESA ROTATIVA COM TORQUE MÁXIMO DE 170 KNM - JUROS. AF_06/2015</t>
  </si>
  <si>
    <t>PERFURATRIZ HIDRÁULICA SOBRE CAMINHÃO COM TRADO CURTO ACOPLADO, PROFUNDIDADE MÁXIMA DE 20 M, DIÂMETRO MÁXIMO DE 1500 MM, POTÊNCIA INSTALADA DE 137 HP, MESA ROTATIVA COM TORQUE MÁXIMO DE 30 KNM - DEPRECIAÇÃO. AF_06/2015</t>
  </si>
  <si>
    <t>PERFURATRIZ HIDRÁULICA SOBRE CAMINHÃO COM TRADO CURTO ACOPLADO, PROFUNDIDADE MÁXIMA DE 20 M, DIÂMETRO MÁXIMO DE 1500 MM, POTÊNCIA INSTALADA DE 137 HP, MESA ROTATIVA COM TORQUE MÁXIMO DE 30 KNM - JUROS. AF_06/2015</t>
  </si>
  <si>
    <t>PERFURATRIZ HIDRÁULICA SOBRE CAMINHÃO COM TRADO CURTO ACOPLADO, PROFUNDIDADE MÁXIMA DE 20 M, DIÂMETRO MÁXIMO DE 1500 MM, POTÊNCIA INSTALADA DE 137 HP, MESA ROTATIVA COM TORQUE MÁXIMO DE 30 KNM - MANUTENÇÃO. AF_06/2015</t>
  </si>
  <si>
    <t>PERFURATRIZ HIDRÁULICA SOBRE CAMINHÃO COM TRADO CURTO ACOPLADO, PROFUNDIDADE MÁXIMA DE 20 M, DIÂMETRO MÁXIMO DE 1500 MM, POTÊNCIA INSTALADA DE 137 HP, MESA ROTATIVA COM TORQUE MÁXIMO DE 30 KNM - MATERIAIS NA OPERAÇÃO. AF_06/2015</t>
  </si>
  <si>
    <t>COMPRESSOR DE AR REBOCÁVEL, VAZÃO 189 PCM, PRESSÃO EFETIVA DE TRABALHO 102 PSI, MOTOR DIESEL, POTÊNCIA 63 CV - DEPRECIAÇÃO. AF_06/2015</t>
  </si>
  <si>
    <t>COMPRESSOR DE AR REBOCÁVEL, VAZÃO 189 PCM, PRESSÃO EFETIVA DE TRABALHO 102 PSI, MOTOR DIESEL, POTÊNCIA 63 CV - JUROS. AF_06/2015</t>
  </si>
  <si>
    <t>COMPRESSOR DE AR REBOCÁVEL, VAZÃO 748 PCM, PRESSÃO EFETIVA DE TRABALHO 102 PSI, MOTOR DIESEL, POTÊNCIA 210 CV - DEPRECIAÇÃO. AF_06/2015</t>
  </si>
  <si>
    <t>COMPRESSOR DE AR REBOCÁVEL, VAZÃO 748 PCM, PRESSÃO EFETIVA DE TRABALHO 102 PSI, MOTOR DIESEL, POTÊNCIA 210 CV - JUROS. AF_06/2015</t>
  </si>
  <si>
    <t>COMPRESSOR DE AR REBOCÁVEL, VAZÃO 748 PCM, PRESSÃO EFETIVA DE TRABALHO 102 PSI, MOTOR DIESEL, POTÊNCIA 210 CV - MANUTENÇÃO. AF_06/2015</t>
  </si>
  <si>
    <t>COMPRESSOR DE AR REBOCÁVEL, VAZÃO 748 PCM, PRESSÃO EFETIVA DE TRABALHO 102 PSI, MOTOR DIESEL, POTÊNCIA 210 CV - MATERIAIS NA OPERAÇÃO. AF_06/2015</t>
  </si>
  <si>
    <t>PERFURATRIZ HIDRÁULICA SOBRE CAMINHÃO COM TRADO CURTO ACOPLADO, PROFUNDIDADE MÁXIMA DE 20 M, DIÂMETRO MÁXIMO DE 1500 MM, POTÊNCIA INSTALADA DE 137 HP, MESA ROTATIVA COM TORQUE MÁXIMO DE 30 KNM - IMPOSTOS E SEGUROS. AF_06/2015</t>
  </si>
  <si>
    <t>CAMINHÃO TRUCADO (C/ TERCEIRO EIXO) ELETRÔNICO - POTÊNCIA 231CV - PBT = 22000KG - DIST. ENTRE EIXOS 5170 MM - INCLUI CARROCERIA FIXA ABERTA DE MADEIRA - DEPRECIAÇÃO. AF_06/2015</t>
  </si>
  <si>
    <t>CAMINHÃO TRUCADO (C/ TERCEIRO EIXO) ELETRÔNICO - POTÊNCIA 231CV - PBT = 22000KG - DIST. ENTRE EIXOS 5170 MM - INCLUI CARROCERIA FIXA ABERTA DE MADEIRA - JUROS. AF_06/2015</t>
  </si>
  <si>
    <t>CAMINHÃO TRUCADO (C/ TERCEIRO EIXO) ELETRÔNICO - POTÊNCIA 231CV - PBT = 22000KG - DIST. ENTRE EIXOS 5170 MM - INCLUI CARROCERIA FIXA ABERTA DE MADEIRA - IMPOSTOS E SEGUROS. AF_06/2015</t>
  </si>
  <si>
    <t>CAMINHÃO TRUCADO (C/ TERCEIRO EIXO) ELETRÔNICO - POTÊNCIA 231CV - PBT = 22000KG - DIST. ENTRE EIXOS 5170 MM - INCLUI CARROCERIA FIXA ABERTA DE MADEIRA - MANUTENÇÃO. AF_06/2015</t>
  </si>
  <si>
    <t>CAMINHÃO TRUCADO (C/ TERCEIRO EIXO) ELETRÔNICO - POTÊNCIA 231CV - PBT = 22000KG - DIST. ENTRE EIXOS 5170 MM - INCLUI CARROCERIA FIXA ABERTA DE MADEIRA - MATERIAIS NA OPERAÇÃO. AF_06/2015</t>
  </si>
  <si>
    <t>CORTADORA DE PISO COM MOTOR 4 TEMPOS A GASOLINA, POTÊNCIA DE 13 HP, COM DISCO DE CORTE DIAMANTADO SEGMENTADO PARA CONCRETO, DIÂMETRO DE 350 MM, FURO DE 1" (14 X 1") - DEPRECIAÇÃO. AF_08/2015</t>
  </si>
  <si>
    <t>CORTADORA DE PISO COM MOTOR 4 TEMPOS A GASOLINA, POTÊNCIA DE 13 HP, COM DISCO DE CORTE DIAMANTADO SEGMENTADO PARA CONCRETO, DIÂMETRO DE 350 MM, FURO DE 1" (14 X 1") - JUROS. AF_08/2015</t>
  </si>
  <si>
    <t>CORTADORA DE PISO COM MOTOR 4 TEMPOS A GASOLINA, POTÊNCIA DE 13 HP, COM DISCO DE CORTE DIAMANTADO SEGMENTADO PARA CONCRETO, DIÂMETRO DE 350 MM, FURO DE 1" (14 X 1") - MANUTENÇÃO. AF_08/2015</t>
  </si>
  <si>
    <t>CORTADORA DE PISO COM MOTOR 4 TEMPOS A GASOLINA, POTÊNCIA DE 13 HP, COM DISCO DE CORTE DIAMANTADO SEGMENTADO PARA CONCRETO, DIÂMETRO DE 350 MM, FURO DE 1" (14 X 1") - MATERIAIS NA OPERAÇÃO. AF_08/2015</t>
  </si>
  <si>
    <t>CAMINHÃO TOCO, PESO BRUTO TOTAL 14.300 KG, CARGA ÚTIL MÁXIMA 9590 KG, DISTÂNCIA ENTRE EIXOS 4,76 M, POTÊNCIA 185 CV (NÃO INCLUI CARROCERIA) - DEPRECIAÇÃO. AF_06/2014</t>
  </si>
  <si>
    <t>CAMINHÃO TOCO, PESO BRUTO TOTAL 14.300 KG, CARGA ÚTIL MÁXIMA 9590 KG, DISTÂNCIA ENTRE EIXOS 4,76 M, POTÊNCIA 185 CV (NÃO INCLUI CARROCERIA) - JUROS. AF_06/2014</t>
  </si>
  <si>
    <t>CAMINHÃO TOCO, PESO BRUTO TOTAL 14.300 KG, CARGA ÚTIL MÁXIMA 9590 KG, DISTÂNCIA ENTRE EIXOS 4,76 M, POTÊNCIA 185 CV (NÃO INCLUI CARROCERIA) - IMPOSTOS E SEGUROS. AF_06/2014</t>
  </si>
  <si>
    <t>CAMINHÃO PIPA 6.000 L, PESO BRUTO TOTAL 13.000 KG, DISTÂNCIA ENTRE EIXOS 4,80 M, POTÊNCIA 189 CV INCLUSIVE TANQUE DE AÇO PARA TRANSPORTE DE ÁGUA, CAPACIDADE 6 M3 - DEPRECIAÇÃO. AF_06/2014</t>
  </si>
  <si>
    <t>CAMINHÃO PIPA 6.000 L, PESO BRUTO TOTAL 13.000 KG, DISTÂNCIA ENTRE EIXOS 4,80 M, POTÊNCIA 189 CV INCLUSIVE TANQUE DE AÇO PARA TRANSPORTE DE ÁGUA, CAPACIDADE 6 M3 - JUROS. AF_06/2014</t>
  </si>
  <si>
    <t>CAMINHÃO PIPA 6.000 L, PESO BRUTO TOTAL 13.000 KG, DISTÂNCIA ENTRE EIXOS 4,80 M, POTÊNCIA 189 CV INCLUSIVE TANQUE DE AÇO PARA TRANSPORTE DE ÁGUA, CAPACIDADE 6 M3 - IMPOSTOS E SEGUROS. AF_06/2014</t>
  </si>
  <si>
    <t>CAMINHÃO TOCO, PESO BRUTO TOTAL 16.000 KG, CARGA ÚTIL MÁXIMA DE 10.685 KG, DISTÂNCIA ENTRE EIXOS 4,80 M, POTÊNCIA 189 CV EXCLUSIVE CARROCERIA - DEPRECIAÇÃO. AF_06/2014</t>
  </si>
  <si>
    <t>CAMINHÃO TOCO, PESO BRUTO TOTAL 16.000 KG, CARGA ÚTIL MÁXIMA DE 10.685 KG, DISTÂNCIA ENTRE EIXOS 4,80 M, POTÊNCIA 189 CV EXCLUSIVE CARROCERIA - JUROS. AF_06/2014</t>
  </si>
  <si>
    <t>CAMINHÃO TOCO, PESO BRUTO TOTAL 16.000 KG, CARGA ÚTIL MÁXIMA DE 10.685 KG, DISTÂNCIA ENTRE EIXOS 4,80 M, POTÊNCIA 189 CV EXCLUSIVE CARROCERIA - IMPOSTOS E SEGUROS. AF_06/2014</t>
  </si>
  <si>
    <t>CAMINHÃO TOCO, PBT 14.300 KG, CARGA ÚTIL MÁX. 9.710 KG, DIST. ENTRE EIXOS 3,56 M, POTÊNCIA 185 CV, INCLUSIVE CARROCERIA FIXA ABERTA DE MADEIRA P/ TRANSPORTE GERAL DE CARGA SECA, DIMEN. APROX. 2,50 X 6,50 X 0,50 M - DEPRECIAÇÃO. AF_06/2014</t>
  </si>
  <si>
    <t>CAMINHÃO TOCO, PBT 14.300 KG, CARGA ÚTIL MÁX. 9.710 KG, DIST. ENTRE EIXOS 3,56 M, POTÊNCIA 185 CV, INCLUSIVE CARROCERIA FIXA ABERTA DE MADEIRA P/ TRANSPORTE GERAL DE CARGA SECA, DIMEN. APROX. 2,50 X 6,50 X 0,50 M - JUROS. AF_06/2014</t>
  </si>
  <si>
    <t>CAMINHÃO TOCO, PBT 14.300 KG, CARGA ÚTIL MÁX. 9.710 KG, DIST. ENTRE EIXOS 3,56 M, POTÊNCIA 185 CV, INCLUSIVE CARROCERIA FIXA ABERTA DE MADEIRA P/ TRANSPORTE GERAL DE CARGA SECA, DIMEN. APROX. 2,50 X 6,50 X 0,50 M - IMPOSTOS E SEGUROS. AF_06/2014</t>
  </si>
  <si>
    <t>CAMINHÃO PIPA 10.000 L TRUCADO, PESO BRUTO TOTAL 23.000 KG, CARGA ÚTIL MÁXIMA 15.935 KG, DISTÂNCIA ENTRE EIXOS 4,8 M, POTÊNCIA 230 CV, INCLUSIVE TANQUE DE AÇO PARA TRANSPORTE DE ÁGUA - DEPRECIAÇÃO. AF_06/2014</t>
  </si>
  <si>
    <t>CAMINHÃO PIPA 10.000 L TRUCADO, PESO BRUTO TOTAL 23.000 KG, CARGA ÚTIL MÁXIMA 15.935 KG, DISTÂNCIA ENTRE EIXOS 4,8 M, POTÊNCIA 230 CV, INCLUSIVE TANQUE DE AÇO PARA TRANSPORTE DE ÁGUA - JUROS. AF_06/2014</t>
  </si>
  <si>
    <t>CAMINHÃO PIPA 10.000 L TRUCADO, PESO BRUTO TOTAL 23.000 KG, CARGA ÚTIL MÁXIMA 15.935 KG, DISTÂNCIA ENTRE EIXOS 4,8 M, POTÊNCIA 230 CV, INCLUSIVE TANQUE DE AÇO PARA TRANSPORTE DE ÁGUA - IMPOSTOS E SEGUROS. AF_06/2014</t>
  </si>
  <si>
    <t>CAMINHONETE CABINE SIMPLES COM MOTOR 1.6 FLEX, CÂMBIO MANUAL, POTÊNCIA 101/104 CV, 2 PORTAS - DEPRECIAÇÃO. AF_11/2015</t>
  </si>
  <si>
    <t>CAMINHONETE CABINE SIMPLES COM MOTOR 1.6 FLEX, CÂMBIO MANUAL, POTÊNCIA 101/104 CV, 2 PORTAS - JUROS. AF_11/2015</t>
  </si>
  <si>
    <t>CAMINHONETE CABINE SIMPLES COM MOTOR 1.6 FLEX, CÂMBIO MANUAL, POTÊNCIA 101/104 CV, 2 PORTAS - IMPOSTOS E SEGUROS. AF_11/2015</t>
  </si>
  <si>
    <t>CAMINHONETE CABINE SIMPLES COM MOTOR 1.6 FLEX, CÂMBIO MANUAL, POTÊNCIA 101/104 CV, 2 PORTAS - MANUTENÇÃO. AF_11/2015</t>
  </si>
  <si>
    <t>CAMINHONETE CABINE SIMPLES COM MOTOR 1.6 FLEX, CÂMBIO MANUAL, POTÊNCIA 101/104 CV, 2 PORTAS - MATERIAIS NA OPERAÇÃO. AF_11/2015</t>
  </si>
  <si>
    <t>CAMINHÃO DE TRANSPORTE DE MATERIAL ASFÁLTICO 20.000 L, COM CAVALO MECÂNICO DE CAPACIDADE MÁXIMA DE TRAÇÃO COMBINADO DE 45.000 KG, POTÊNCIA 330 CV, INCLUSIVE TANQUE DE ASFALTO COM MAÇARICO - IMPOSTOS E SEGUROS. AF_12/2015</t>
  </si>
  <si>
    <t>MARTELO PERFURADOR PNEUMÁTICO MANUAL, HASTE 25 X 75 MM, 21 KG - JUROS. AF_12/2015</t>
  </si>
  <si>
    <t>PERFURATRIZ COM TORRE METÁLICA PARA EXECUÇÃO DE ESTACA HÉLICE CONTÍNUA, PROFUNDIDADE MÁXIMA DE 32 M, DIÂMETRO MÁXIMO DE 1000 MM, POTÊNCIA INSTALADA DE 350 HP, MESA ROTATIVA COM TORQUE MÁXIMO DE 263 KNM - JUROS. AF_01/2016</t>
  </si>
  <si>
    <t>GUINCHO ELÉTRICO DE COLUNA, CAPACIDADE 400 KG, COM MOTO FREIO, MOTOR TRIFÁSICO DE 1,25 CV - DEPRECIAÇÃO. AF_03/2016</t>
  </si>
  <si>
    <t>GUINCHO ELÉTRICO DE COLUNA, CAPACIDADE 400 KG, COM MOTO FREIO, MOTOR TRIFÁSICO DE 1,25 CV - JUROS. AF_03/2016</t>
  </si>
  <si>
    <t>GUINCHO ELÉTRICO DE COLUNA, CAPACIDADE 400 KG, COM MOTO FREIO, MOTOR TRIFÁSICO DE 1,25 CV - MANUTENÇÃO. AF_03/2016</t>
  </si>
  <si>
    <t>GUINCHO ELÉTRICO DE COLUNA, CAPACIDADE 400 KG, COM MOTO FREIO, MOTOR TRIFÁSICO DE 1,25 CV - MATERIAIS NA OPERAÇÃO. AF_03/2016</t>
  </si>
  <si>
    <t>GUINDASTE HIDRÁULICO AUTOPROPELIDO, COM LANÇA TELESCÓPICA 40 M, CAPACIDADE MÁXIMA 60 T, POTÊNCIA 260 KW - DEPRECIAÇÃO. AF_03/2016</t>
  </si>
  <si>
    <t>GUINDASTE HIDRÁULICO AUTOPROPELIDO, COM LANÇA TELESCÓPICA 40 M, CAPACIDADE MÁXIMA 60 T, POTÊNCIA 260 KW - JUROS. AF_03/2016</t>
  </si>
  <si>
    <t>GUINDASTE HIDRÁULICO AUTOPROPELIDO, COM LANÇA TELESCÓPICA 40 M, CAPACIDADE MÁXIMA 60 T, POTÊNCIA 260 KW - MANUTENÇÃO. AF_03/2016</t>
  </si>
  <si>
    <t>GUINDASTE HIDRÁULICO AUTOPROPELIDO, COM LANÇA TELESCÓPICA 40 M, CAPACIDADE MÁXIMA 60 T, POTÊNCIA 260 KW - MATERIAIS NA OPERAÇÃO. AF_03/2016</t>
  </si>
  <si>
    <t>GUINDASTE HIDRÁULICO AUTOPROPELIDO, COM LANÇA TELESCÓPICA 40 M, CAPACIDADE MÁXIMA 60 T, POTÊNCIA 260 KW - IMPOSTOS E SEGUROS. AF_03/2016</t>
  </si>
  <si>
    <t>GUINDAUTO HIDRÁULICO, CAPACIDADE MÁXIMA DE CARGA 3300 KG, MOMENTO MÁXIMO DE CARGA 5,8 TM, ALCANCE MÁXIMO HORIZONTAL 7,60 M, INCLUSIVE CAMINHÃO TOCO PBT 16.000 KG, POTÊNCIA DE 189 CV - DEPRECIAÇÃO. AF_03/2016</t>
  </si>
  <si>
    <t>GUINDAUTO HIDRÁULICO, CAPACIDADE MÁXIMA DE CARGA 3300 KG, MOMENTO MÁXIMO DE CARGA 5,8 TM, ALCANCE MÁXIMO HORIZONTAL 7,60 M, INCLUSIVE CAMINHÃO TOCO PBT 16.000 KG, POTÊNCIA DE 189 CV - JUROS. AF_03/2016</t>
  </si>
  <si>
    <t>GUINDAUTO HIDRÁULICO, CAPACIDADE MÁXIMA DE CARGA 3300 KG, MOMENTO MÁXIMO DE CARGA 5,8 TM, ALCANCE MÁXIMO HORIZONTAL 7,60 M, INCLUSIVE CAMINHÃO TOCO PBT 16.000 KG, POTÊNCIA DE 189 CV - MANUTENÇÃO. AF_03/2016</t>
  </si>
  <si>
    <t>GUINDAUTO HIDRÁULICO, CAPACIDADE MÁXIMA DE CARGA 3300 KG, MOMENTO MÁXIMO DE CARGA 5,8 TM, ALCANCE MÁXIMO HORIZONTAL 7,60 M, INCLUSIVE CAMINHÃO TOCO PBT 16.000 KG, POTÊNCIA DE 189 CV - MATERIAIS NA OPERAÇÃO. AF_03/2016</t>
  </si>
  <si>
    <t>GERADOR PORTÁTIL MONOFÁSICO, POTÊNCIA 5500 VA, MOTOR A GASOLINA, POTÊNCIA DO MOTOR 13 CV - DEPRECIAÇÃO. AF_03/2016</t>
  </si>
  <si>
    <t>GERADOR PORTÁTIL MONOFÁSICO, POTÊNCIA 5500 VA, MOTOR A GASOLINA, POTÊNCIA DO MOTOR 13 CV - JUROS. AF_03/2016</t>
  </si>
  <si>
    <t>GERADOR PORTÁTIL MONOFÁSICO, POTÊNCIA 5500 VA, MOTOR A GASOLINA, POTÊNCIA DO MOTOR 13 CV - MANUTENÇÃO. AF_03/2016</t>
  </si>
  <si>
    <t>GERADOR PORTÁTIL MONOFÁSICO, POTÊNCIA 5500 VA, MOTOR A GASOLINA, POTÊNCIA DO MOTOR 13 CV - MATERIAIS NA OPERAÇÃO. AF_03/2016</t>
  </si>
  <si>
    <t>GRUPO GERADOR REBOCÁVEL, POTÊNCIA 66 KVA, MOTOR A DIESEL - DEPRECIAÇÃO. AF_03/2016</t>
  </si>
  <si>
    <t>GRUPO GERADOR REBOCÁVEL, POTÊNCIA 66 KVA, MOTOR A DIESEL - JUROS. AF_03/2016</t>
  </si>
  <si>
    <t>GRUPO GERADOR REBOCÁVEL, POTÊNCIA 66 KVA, MOTOR A DIESEL - MANUTENÇÃO. AF_03/2016</t>
  </si>
  <si>
    <t>GRUPO GERADOR REBOCÁVEL, POTÊNCIA 66 KVA, MOTOR A DIESEL - MATERIAIS NA OPERAÇÃO. AF_03/2016</t>
  </si>
  <si>
    <t>GRUPO GERADOR ESTACIONÁRIO, POTÊNCIA 150 KVA, MOTOR A DIESEL- DEPRECIAÇÃO. AF_03/2016</t>
  </si>
  <si>
    <t>GRUPO GERADOR ESTACIONÁRIO, POTÊNCIA 150 KVA, MOTOR A DIESEL- JUROS. AF_03/2016</t>
  </si>
  <si>
    <t>GRUPO GERADOR ESTACIONÁRIO, POTÊNCIA 150 KVA, MOTOR A DIESEL- MANUTENÇÃO. AF_03/2016</t>
  </si>
  <si>
    <t>GRUPO GERADOR ESTACIONÁRIO, POTÊNCIA 150 KVA, MOTOR A DIESEL- MATERIAIS NA OPERAÇÃO. AF_03/2016</t>
  </si>
  <si>
    <t>MARTELETE OU ROMPEDOR PNEUMÁTICO MANUAL, 28 KG, COM SILENCIADOR - DEPRECIAÇÃO. AF_07/2016</t>
  </si>
  <si>
    <t>MARTELETE OU ROMPEDOR PNEUMÁTICO MANUAL, 28 KG, COM SILENCIADOR - JUROS. AF_07/2016</t>
  </si>
  <si>
    <t>USINA DE CONCRETO FIXA, CAPACIDADE NOMINAL DE 90 A 120 M3/H, SEM SILO - DEPRECIAÇÃO. AF_07/2016</t>
  </si>
  <si>
    <t>USINA DE CONCRETO FIXA, CAPACIDADE NOMINAL DE 90 A 120 M3/H, SEM SILO - JUROS. AF_07/2016</t>
  </si>
  <si>
    <t>USINA MISTURADORA DE SOLOS, CAPACIDADE DE 200 A 500 TON/H, POTENCIA 75KW - DEPRECIAÇÃO. AF_07/2016</t>
  </si>
  <si>
    <t>USINA MISTURADORA DE SOLOS, CAPACIDADE DE 200 A 500 TON/H, POTENCIA 75KW - JUROS. AF_07/2016</t>
  </si>
  <si>
    <t>USINA MISTURADORA DE SOLOS, CAPACIDADE DE 200 A 500 TON/H, POTENCIA 75KW - MATERIAIS NA OPERAÇÃO. AF_07/2016</t>
  </si>
  <si>
    <t>DISTRIBUIDOR DE AGREGADOS AUTOPROPELIDO, CAP 3 M3, A DIESEL, POTÊNCIA 176CV - DEPRECIAÇÃO. AF_07/2016</t>
  </si>
  <si>
    <t>DISTRIBUIDOR DE AGREGADOS AUTOPROPELIDO, C/AP 3 M3, A DIESEL, POTÊNCIA 176CV - JUROS. AF_07/2016</t>
  </si>
  <si>
    <t>DISTRIBUIDOR DE AGREGADOS AUTOPROPELIDO, CAP 3 M3, A DIESEL, POTÊNCIA 176CV - MANUTENÇÃO. AF_07/2016</t>
  </si>
  <si>
    <t>MÁQUINA DEMARCADORA DE FAIXA DE TRÁFEGO À FRIO, AUTOPROPELIDA, POTÊNCIA 38 HP - DEPRECIAÇÃO. AF_07/2016</t>
  </si>
  <si>
    <t>MÁQUINA DEMARCADORA DE FAIXA DE TRÁFEGO À FRIO, AUTOPROPELIDA, POTÊNCIA 38 HP - JUROS. AF_07/2016</t>
  </si>
  <si>
    <t>MÁQUINA DEMARCADORA DE FAIXA DE TRÁFEGO À FRIO, AUTOPROPELIDA, POTÊNCIA 38 HP - MANUTENÇÃO. AF_07/2016</t>
  </si>
  <si>
    <t>MÁQUINA DEMARCADORA DE FAIXA DE TRÁFEGO À FRIO, AUTOPROPELIDA, POTÊNCIA 38 HP - MATERIAIS NA OPERAÇÃO. AF_07/2016</t>
  </si>
  <si>
    <t>TALHA MANUAL DE CORRENTE, CAPACIDADE DE 2 TON. COM ELEVAÇÃO DE 3 M - DEPRECIAÇÃO. AF_07/2016</t>
  </si>
  <si>
    <t>TALHA MANUAL DE CORRENTE, CAPACIDADE DE 2 TON. COM ELEVAÇÃO DE 3 M - JUROS. AF_07/2016</t>
  </si>
  <si>
    <t>TALHA MANUAL DE CORRENTE, CAPACIDADE DE 2 TON. COM ELEVAÇÃO DE 3 M - MANUTENÇÃO. AF_07/2016</t>
  </si>
  <si>
    <t>MARTELO DEMOLIDOR PNEUMÁTICO MANUAL, 32 KG - DEPRECIAÇÃO. AF_09/2016</t>
  </si>
  <si>
    <t>MARTELO DEMOLIDOR PNEUMÁTICO MANUAL, 32 KG - JUROS. AF_09/2016</t>
  </si>
  <si>
    <t>MARTELO DEMOLIDOR PNEUMÁTICO MANUAL, 32 KG - MANUTENÇÃO. AF_09/2016</t>
  </si>
  <si>
    <t>COMPACTADOR DE SOLOS DE PERCUSÃO (SOQUETE) COM MOTOR A GASOLINA, POTÊNCIA 3 CV - DEPRECIAÇÃO. AF_09/2016</t>
  </si>
  <si>
    <t>COMPACTADOR DE SOLOS DE PERCUSÃO (SOQUETE) COM MOTOR A GASOLINA, POTÊNCIA 3 CV - JUROS. AF_09/2016</t>
  </si>
  <si>
    <t>COMPACTADOR DE SOLOS DE PERCUSÃO (SOQUETE) COM MOTOR A GASOLINA, POTÊNCIA 3 CV - MANUTENÇÃO. AF_09/2016</t>
  </si>
  <si>
    <t>COMPACTADOR DE SOLOS DE PERCUSÃO (SOQUETE) COM MOTOR A GASOLINA, POTÊNCIA 3 CV - MATERIAIS NA OPERAÇÃO. AF_09/2016</t>
  </si>
  <si>
    <t>RÉGUA VIBRATÓRIA DUPLA PARA CONCRETO, PESO DE 60KG, COMPRIMENTO 4 M, COM MOTOR A GASOLINA, POTÊNCIA 5,5 HP - DEPRECIAÇÃO. AF_09/2016</t>
  </si>
  <si>
    <t>RÉGUA VIBRATÓRIA DUPLA PARA CONCRETO, PESO DE 60KG, COMPRIMENTO 4 M, COM MOTOR A GASOLINA, POTÊNCIA 5,5 HP - JUROS. AF_09/2016</t>
  </si>
  <si>
    <t>RÉGUA VIBRATÓRIA DUPLA PARA CONCRETO, PESO DE 60KG, COMPRIMENTO 4 M, COM MOTOR A GASOLINA, POTÊNCIA 5,5 HP - MANUTENÇÃO. AF_09/2016</t>
  </si>
  <si>
    <t>PERFURATRIZ PNEUMATICA MANUAL DE PESO MEDIO, MARTELETE, 18KG, COMPRIMENTO MÁXIMO DE CURSO DE 6 M, DIAMETRO DO PISTAO DE 5,5 CM - DEPRECIAÇÃO. AF_11/2016</t>
  </si>
  <si>
    <t>PERFURATRIZ PNEUMATICA MANUAL DE PESO MEDIO, MARTELETE, 18KG, COMPRIMENTO MÁXIMO DE CURSO DE 6 M, DIAMETRO DO PISTAO DE 5,5 CM - JUROS. AF_11/2016</t>
  </si>
  <si>
    <t>PERFURATRIZ PNEUMATICA MANUAL DE PESO MEDIO, MARTELETE, 18KG, COMPRIMENTO MÁXIMO DE CURSO DE 6 M, DIAMETRO DO PISTAO DE 5,5 CM - MANUTENÇÃO. AF_11/2016</t>
  </si>
  <si>
    <t>ROLO COMPACTADOR VIBRATORIO TANDEM, ACO LISO, POTENCIA 125 HP, PESO SEM/COM LASTRO 10,20/11,65 T, LARGURA DE TRABALHO 1,73 M - DEPRECIAÇÃO. AF_11/2016</t>
  </si>
  <si>
    <t>ROLO COMPACTADOR VIBRATORIO TANDEM, ACO LISO, POTENCIA 125 HP, PESO SEM/COM LASTRO 10,20/11,65 T, LARGURA DE TRABALHO 1,73 M - JUROS. AF_11/2016</t>
  </si>
  <si>
    <t>ROLO COMPACTADOR VIBRATORIO TANDEM, ACO LISO, POTENCIA 125 HP, PESO SEM/COM LASTRO 10,20/11,65 T, LARGURA DE TRABALHO 1,73 M - MANUTENÇÃO. AF_11/2016</t>
  </si>
  <si>
    <t>ROLO COMPACTADOR VIBRATORIO TANDEM, ACO LISO, POTENCIA 125 HP, PESO SEM/COM LASTRO 10,20/11,65 T, LARGURA DE TRABALHO 1,73 M - MATERIAIS NA OPERAÇÃO. AF_11/2016</t>
  </si>
  <si>
    <t>PERFURATRIZ MANUAL, TORQUE MAXIMO 55 KGF.M, POTENCIA 5 CV, COM DIAMETRO MAXIMO 8 1/2" - DEPRECIAÇÃO. AF_11/2016</t>
  </si>
  <si>
    <t>PERFURATRIZ MANUAL, TORQUE MAXIMO 55 KGF.M, POTENCIA 5 CV, COM DIAMETRO MAXIMO 8 1/2" - JUROS. AF_11/2016</t>
  </si>
  <si>
    <t>PERFURATRIZ MANUAL, TORQUE MAXIMO 55 KGF.M, POTENCIA 5 CV, COM DIAMETRO MAXIMO 8 1/2" - MANUTENÇÃO. AF_11/2016</t>
  </si>
  <si>
    <t>PERFURATRIZ MANUAL, TORQUE MAXIMO 55 KGF.M, POTENCIA 5 CV, COM DIAMETRO MAXIMO 8 1/2" - MATERIAIS NA OPERAÇÃO. AF_11/2016</t>
  </si>
  <si>
    <t>ESCAVADEIRA HIDRAULICA SOBRE ESTEIRA, EQUIPADA COM CLAMSHELL, COM CAPACIDADE DA CAÇAMBA ENTRE 1,20 E 1,50 M3, PESO OPERACIONAL ENTRE 20,00 E 22,00 TON, POTENCIA LIQUIDA ENTRE 150 E 160 HP - DEPRECIAÇÃO. AF_11/2016</t>
  </si>
  <si>
    <t>ESCAVADEIRA HIDRAULICA SOBRE ESTEIRA, EQUIPADA COM CLAMSHELL, COM CAPACIDADE DA CAÇAMBA ENTRE 1,20 E 1,50 M3, PESO OPERACIONAL ENTRE 20,00 E 22,00 TON, POTENCIA LIQUIDA ENTRE 150 E 160 HP - JUROS. AF_11/2016</t>
  </si>
  <si>
    <t>ESCAVADEIRA HIDRAULICA SOBRE ESTEIRA, EQUIPADA COM CLAMSHELL, COM CAPACIDADE DA CAÇAMBA ENTRE 1,20 E 1,50 M3, PESO OPERACIONAL ENTRE 20,00 E 22,00 TON, POTENCIA LIQUIDA ENTRE 150 E 160 HP - MANUTENÇÃO. AF_11/2016</t>
  </si>
  <si>
    <t>ESCAVADEIRA HIDRAULICA SOBRE ESTEIRA, EQUIPADA COM CLAMSHELL, COM CAPACIDADE DA CAÇAMBA ENTRE 1,20 E 1,50 M3, PESO OPERACIONAL ENTRE 20,00 E 22,00 TON, POTENCIA LIQUIDA ENTRE 150 E 160 HP - MATERIAIS NA OPERAÇÃO. AF_11/2016</t>
  </si>
  <si>
    <t>GRUPO GERADOR COM CARENAGEM, MOTOR DIESEL POTÊNCIA STANDART ENTRE 250 E 260 KVA - JUROS. AF_12/2016</t>
  </si>
  <si>
    <t>GRUPO GERADOR COM CARENAGEM, MOTOR DIESEL POTÊNCIA STANDART ENTRE 250 E 260 KVA - MANUTENÇÃO. AF_12/2016</t>
  </si>
  <si>
    <t>GRUPO GERADOR COM CARENAGEM, MOTOR DIESEL POTÊNCIA STANDART ENTRE 250 E 260 KVA - MATERIAIS NA OPERAÇÃO. AF_12/2016</t>
  </si>
  <si>
    <t>GRUPO GERADOR COM CARENAGEM, MOTOR DIESEL POTÊNCIA STANDART ENTRE 250 E 260 KVA - DEPRECIAÇÃO. AF_12/2016</t>
  </si>
  <si>
    <t>TRATOR DE PNEUS COM POTÊNCIA DE 122 CV, TRAÇÃO 4X4, COM VASSOURA MECÂNICA ACOPLADA - DEPRECIAÇÃO. AF_02/2017</t>
  </si>
  <si>
    <t>TRATOR DE PNEUS COM POTÊNCIA DE 122 CV, TRAÇÃO 4X4, COM VASSOURA MECÂNICA ACOPLADA - JUROS. AF_02/2017</t>
  </si>
  <si>
    <t>TRATOR DE PNEUS COM POTÊNCIA DE 122 CV, TRAÇÃO 4X4, COM VASSOURA MECÂNICA ACOPLADA - MANUTENÇÃO. AF_02/2017</t>
  </si>
  <si>
    <t>TRATOR DE PNEUS COM POTÊNCIA DE 122 CV, TRAÇÃO 4X4, COM VASSOURA MECÂNICA ACOPLADA - MATERIAIS NA OPERAÇÃO. AF_02/2017</t>
  </si>
  <si>
    <t>TRATOR DE PNEUS COM POTÊNCIA DE 122 CV, TRAÇÃO 4X4, COM GRADE DE DISCOS ACOPLADA - DEPRECIAÇÃO. AF_02/2017</t>
  </si>
  <si>
    <t>TRATOR DE PNEUS COM POTÊNCIA DE 122 CV, TRAÇÃO 4X4, COM GRADE DE DISCOS ACOPLADA - JUROS. AF_02/2017</t>
  </si>
  <si>
    <t>TRATOR DE PNEUS COM POTÊNCIA DE 122 CV, TRAÇÃO 4X4, COM GRADE DE DISCOS ACOPLADA - MANUTENÇÃO. AF_02/2017</t>
  </si>
  <si>
    <t>TRATOR DE PNEUS COM POTÊNCIA DE 122 CV, TRAÇÃO 4X4, COM GRADE DE DISCOS ACOPLADA - MATERIAIS NA OPERAÇÃO. AF_02/2017</t>
  </si>
  <si>
    <t>TRATOR DE PNEUS COM POTÊNCIA DE 85 CV, TRAÇÃO 4X4, COM GRADE DE DISCOS ACOPLADA - DEPRECIAÇÃO. AF_02/2017</t>
  </si>
  <si>
    <t>TRATOR DE PNEUS COM POTÊNCIA DE 85 CV, TRAÇÃO 4X4, COM GRADE DE DISCOS ACOPLADA - JUROS. AF_02/2017</t>
  </si>
  <si>
    <t>TRATOR DE PNEUS COM POTÊNCIA DE 85 CV, TRAÇÃO 4X4, COM GRADE DE DISCOS ACOPLADA - MANUTENÇÃO. AF_02/2017</t>
  </si>
  <si>
    <t>TRATOR DE PNEUS COM POTÊNCIA DE 85 CV, TRAÇÃO 4X4, COM GRADE DE DISCOS ACOPLADA - MATERIAIS NA OPERAÇÃO. AF_02/2017</t>
  </si>
  <si>
    <t>CAMINHÃO BASCULANTE 10 M3, TRUCADO, POTÊNCIA 230 CV, INCLUSIVE CAÇAMBA METÁLICA, COM DISTRIBUIDOR DE AGREGADOS ACOPLADO - DEPRECIAÇÃO. AF_02/2017</t>
  </si>
  <si>
    <t>CAMINHÃO BASCULANTE 10 M3, TRUCADO, POTÊNCIA 230 CV, INCLUSIVE CAÇAMBA METÁLICA, COM DISTRIBUIDOR DE AGREGADOS ACOPLADO - JUROS. AF_02/2017</t>
  </si>
  <si>
    <t>CAMINHÃO BASCULANTE 10 M3, TRUCADO, POTÊNCIA 230 CV, INCLUSIVE CAÇAMBA METÁLICA, COM DISTRIBUIDOR DE AGREGADOS ACOPLADO - IMPOSTOS E SEGUROS. AF_02/2017</t>
  </si>
  <si>
    <t>CAMINHÃO BASCULANTE 10 M3, TRUCADO, POTÊNCIA 230 CV, INCLUSIVE CAÇAMBA METÁLICA, COM DISTRIBUIDOR DE AGREGADOS ACOPLADO - MANUTENÇÃO. AF_02/2017</t>
  </si>
  <si>
    <t>CAMINHÃO BASCULANTE 10 M3, TRUCADO, POTÊNCIA 230 CV, INCLUSIVE CAÇAMBA METÁLICA, COM DISTRIBUIDOR DE AGREGADOS ACOPLADO - MATERIAIS NA OPERAÇÃO. AF_02/2017</t>
  </si>
  <si>
    <t>TRATOR DE PNEUS COM POTÊNCIA DE 85 CV, TRAÇÃO 4X4, COM VASSOURA MECÂNICA ACOPLADA - DEPRECIAÇÃO. AF_03/2017</t>
  </si>
  <si>
    <t>MINICARREGADEIRA SOBRE RODAS POTENCIA 47HP CAPACIDADE OPERACAO 646 KG, COM VASSOURA MECÂNICA ACOPLADA - DEPRECIAÇÃO. AF_03/2017</t>
  </si>
  <si>
    <t>TRATOR DE PNEUS COM POTÊNCIA DE 85 CV, TRAÇÃO 4X4, COM VASSOURA MECÂNICA ACOPLADA - JUROS. AF_03/2017</t>
  </si>
  <si>
    <t>TRATOR DE PNEUS COM POTÊNCIA DE 85 CV, TRAÇÃO 4X4, COM VASSOURA MECÂNICA ACOPLADA - MANUTENÇÃO. AF_03/2017</t>
  </si>
  <si>
    <t>TRATOR DE PNEUS COM POTÊNCIA DE 85 CV, TRAÇÃO 4X4, COM VASSOURA MECÂNICA ACOPLADA - MATERIAIS NA OPERAÇÃO. AF_03/2017</t>
  </si>
  <si>
    <t>MINICARREGADEIRA SOBRE RODAS POTENCIA 47HP CAPACIDADE OPERACAO 646 KG, COM VASSOURA MECÂNICA ACOPLADA - JUROS. AF_03/2017</t>
  </si>
  <si>
    <t>MINICARREGADEIRA SOBRE RODAS POTENCIA 47HP CAPACIDADE OPERACAO 646 KG, COM VASSOURA MECÂNICA ACOPLADA - MANUTENÇÃO. AF_03/2017</t>
  </si>
  <si>
    <t>MINICARREGADEIRA SOBRE RODAS POTENCIA 47HP CAPACIDADE OPERACAO 646 KG, COM VASSOURA MECÂNICA ACOPLADA - MATERIAIS NA OPERAÇÃO. AF_03/2017</t>
  </si>
  <si>
    <t>PERFURATRIZ ROTATIVA SOBRE ESTEIRA, TORQUE MAXIMO 2500 KGM, POTENCIA 110 HP, MOTOR DIESEL - MATERIAIS NA OPERAÇÃO. AF_05/2017</t>
  </si>
  <si>
    <t>FORNECIMENTO E INSTALACAO DE MANTA BIDIM RT - 14</t>
  </si>
  <si>
    <t>GUARDA-CORPO COM CORRIMAO EM TUBO DE ACO GALVANIZADO 1 1/2"</t>
  </si>
  <si>
    <t>ESPELHO CRISTAL, ESPESSURA 4MM, COM PARAFUSOS DE FIXACAO, SEM MOLDURA</t>
  </si>
  <si>
    <t>PONTO DE TOMADA RESIDENCIAL INCLUINDO TOMADA 10A/250V, CAIXA ELÉTRICA, ELETRODUTO, CABO, RASGO, QUEBRA E CHUMBAMENTO. AF_01/2016</t>
  </si>
  <si>
    <t>PONTO DE TOMADA RESIDENCIAL INCLUINDO TOMADA 20A/250V, CAIXA ELÉTRICA, ELETRODUTO, CABO, RASGO, QUEBRA E CHUMBAMENTO. AF_01/2016</t>
  </si>
  <si>
    <t>TUBO, PVC, SOLDÁVEL, DN 25MM, INSTALADO EM RAMAL OU SUB-RAMAL DE ÁGUA - FORNECIMENTO E INSTALAÇÃO. AF_12/2014</t>
  </si>
  <si>
    <t>TUBO, PVC, SOLDÁVEL, DN 32MM, INSTALADO EM RAMAL OU SUB-RAMAL DE ÁGUA - FORNECIMENTO E INSTALAÇÃO. AF_12/2014</t>
  </si>
  <si>
    <t>TUBO PVC, SERIE NORMAL, ESGOTO PREDIAL, DN 40 MM, FORNECIDO E INSTALADO EM RAMAL DE DESCARGA OU RAMAL DE ESGOTO SANITÁRIO. AF_12/2014</t>
  </si>
  <si>
    <t>TUBO PVC, SERIE NORMAL, ESGOTO PREDIAL, DN 75 MM, FORNECIDO E INSTALADO EM RAMAL DE DESCARGA OU RAMAL DE ESGOTO SANITÁRIO. AF_12/2014</t>
  </si>
  <si>
    <t>JOELHO 90 GRAUS COM BUCHA DE LATÃO, PVC, SOLDÁVEL, DN 25MM, X 3/4 INSTALADO EM RAMAL OU SUB-RAMAL DE ÁGUA - FORNECIMENTO E INSTALAÇÃO. AF_12/2014</t>
  </si>
  <si>
    <t>LUVA DE CORRER, PVC, SOLDÁVEL, DN 25MM, INSTALADO EM RAMAL OU SUB-RAMAL DE ÁGUA - FORNECIMENTO E INSTALAÇÃO. AF_12/2014</t>
  </si>
  <si>
    <t>LUVA DE CORRER, CPVC, SOLDÁVEL, DN 22MM, INSTALADO EM RAMAL DE DISTRIBUIÇÃO DE ÁGUA   FORNECIMENTO E INSTALAÇÃO. AF_12/2014</t>
  </si>
  <si>
    <t>74234/1</t>
  </si>
  <si>
    <t>MICTORIO SIFONADO DE LOUCA BRANCA COM PERTENCES, COM REGISTRO DE PRESSAO 1/2" COM CANOPLA CROMADA ACABAMENTO SIMPLES E CONJUNTO PARA FIXACAO  - FORNECIMENTO E INSTALACAO</t>
  </si>
  <si>
    <t>SABONETEIRA PLASTICA TIPO DISPENSER PARA SABONETE LIQUIDO COM RESERVATORIO 800 A 1500 ML, INCLUSO FIXAÇÃO. AF_10/2016</t>
  </si>
  <si>
    <t>CARGA MANUAL DE ENTULHO EM CAMINHAO BASCULANTE 6 M3</t>
  </si>
  <si>
    <t>DIVISORIA EM GRANITO BRANCO POLIDO, ESP = 3CM, ASSENTADO COM ARGAMASSA TRACO 1:4, ARREMATE EM CIMENTO BRANCO, EXCLUSIVE FERRAGENS</t>
  </si>
  <si>
    <t>APLICAÇÃO DE FUNDO SELADOR LÁTEX PVA EM TETO, UMA DEMÃO. AF_06/2014</t>
  </si>
  <si>
    <t>APLICAÇÃO DE FUNDO SELADOR ACRÍLICO EM PAREDES, UMA DEMÃO. AF_06/2014</t>
  </si>
  <si>
    <t>APLICAÇÃO E LIXAMENTO DE MASSA LÁTEX EM TETO, DUAS DEMÃOS. AF_06/2014</t>
  </si>
  <si>
    <t>74145/1</t>
  </si>
  <si>
    <t>PINTURA ESMALTE FOSCO, DUAS DEMAOS, SOBRE SUPERFICIE METALICA, INCLUSO UMA DEMAO DE FUNDO ANTICORROSIVO. UTILIZACAO DE REVOLVER ( AR-COMPRIMIDO).</t>
  </si>
  <si>
    <t>REVESTIMENTO CERÂMICO PARA PISO COM PLACAS TIPO ESMALTADA EXTRA DE DIMENSÕES 35X35 CM APLICADA EM AMBIENTES DE ÁREA ENTRE 5 M2 E 10 M2. AF_06/2014</t>
  </si>
  <si>
    <t>CHAPISCO APLICADO EM ALVENARIAS E ESTRUTURAS DE CONCRETO INTERNAS, COM ROLO PARA TEXTURA ACRÍLICA.  ARGAMASSA TRAÇO 1:4 E EMULSÃO POLIMÉRICA (ADESIVO) COM PREPARO EM BETONEIRA 400L. AF_06/2014</t>
  </si>
  <si>
    <t>EMBOÇO, PARA RECEBIMENTO DE CERÂMICA, EM ARGAMASSA TRAÇO 1:2:8, PREPARO MECÂNICO COM BETONEIRA 400L, APLICADO MANUALMENTE EM FACES INTERNAS DE PAREDES, PARA AMBIENTE COM ÁREA MENOR QUE 5M2, ESPESSURA DE 20MM, COM EXECUÇÃO DE TALISCAS. AF_06/2014</t>
  </si>
  <si>
    <t>MASSA ÚNICA, PARA RECEBIMENTO DE PINTURA, EM ARGAMASSA TRAÇO 1:2:8, PREPARO MECÂNICO COM BETONEIRA 400L, APLICADA MANUALMENTE EM FACES INTERNAS DE PAREDES, ESPESSURA DE 20MM, COM EXECUÇÃO DE TALISCAS. AF_06/2014</t>
  </si>
  <si>
    <t>REVESTIMENTO CERÂMICO PARA PAREDES INTERNAS COM PLACAS TIPO ESMALTADA EXTRA  DE DIMENSÕES 33X45 CM APLICADAS EM AMBIENTES DE ÁREA MENOR QUE 5 M² NA ALTURA INTEIRA DAS PAREDES. AF_06/2014</t>
  </si>
  <si>
    <t>FORRO EM PLACAS DE GESSO, PARA AMBIENTES COMERCIAIS. AF_05/2017_P</t>
  </si>
  <si>
    <t>ACABAMENTOS PARA FORRO (MOLDURA DE GESSO). AF_05/2017</t>
  </si>
  <si>
    <t>PENEIRAMENTO DE AREIA COM PENEIRA ELÉTRICA. AF_11/2015</t>
  </si>
  <si>
    <t>PENEIRAMENTO DE AREIA COM PENEIRA MANUAL. AF_11/2015</t>
  </si>
  <si>
    <t>ENSACAMENTO DE AREIA. AF_11/2015</t>
  </si>
  <si>
    <t>SERVIÇOS TÉCNICOS ESPECIALIZADOS PARA ACOMPANHAMENTO DE EXECUÇÃO DE FUNDAÇÕES PROFUNDAS E ESTRUTURAS DE CONTENÇÃO</t>
  </si>
  <si>
    <t>AJUDANTE DE ARMADOR COM ENCARGOS COMPLEMENTARES</t>
  </si>
  <si>
    <t>AJUDANTE DE CARPINTEIRO COM ENCARGOS COMPLEMENTARES</t>
  </si>
  <si>
    <t>AJUDANTE DE ESTRUTURA METÁLICA COM ENCARGOS COMPLEMENTARES</t>
  </si>
  <si>
    <t>AJUDANTE DE OPERAÇÃO EM GERAL COM ENCARGOS COMPLEMENTARES</t>
  </si>
  <si>
    <t>AJUDANTE DE PEDREIRO COM ENCARGOS COMPLEMENTARES</t>
  </si>
  <si>
    <t>AJUDANTE ESPECIALIZADO COM ENCARGOS COMPLEMENTARES</t>
  </si>
  <si>
    <t>ARMADOR COM ENCARGOS COMPLEMENTARES</t>
  </si>
  <si>
    <t>ASSENTADOR DE TUBOS COM ENCARGOS COMPLEMENTARES</t>
  </si>
  <si>
    <t>AUXILIAR DE ELETRICISTA COM ENCARGOS COMPLEMENTARES</t>
  </si>
  <si>
    <t>AUXILIAR DE LABORATÓRIO COM ENCARGOS COMPLEMENTARES</t>
  </si>
  <si>
    <t>AUXILIAR DE MECÂNICO COM ENCARGOS COMPLEMENTARES</t>
  </si>
  <si>
    <t>AUXILIAR DE SERRALHEIRO COM ENCARGOS COMPLEMENTARES</t>
  </si>
  <si>
    <t>AUXILIAR DE SERVIÇOS GERAIS COM ENCARGOS COMPLEMENTARES</t>
  </si>
  <si>
    <t>AUXILIAR DE TOPÓGRAFO COM ENCARGOS COMPLEMENTARES</t>
  </si>
  <si>
    <t>AUXILIAR TÉCNICO DE ENGENHARIA COM ENCARGOS COMPLEMENTARES</t>
  </si>
  <si>
    <t>AZULEJISTA OU LADRILHISTA COM ENCARGOS COMPLEMENTARES</t>
  </si>
  <si>
    <t>BLASTER, DINAMITADOR OU CABO DE FOGO COM ENCARGOS COMPLEMENTARES</t>
  </si>
  <si>
    <t>CALCETEIRO COM ENCARGOS COMPLEMENTARES</t>
  </si>
  <si>
    <t>CARPINTEIRO DE ESQUADRIA COM ENCARGOS COMPLEMENTARES</t>
  </si>
  <si>
    <t>CARPINTEIRO DE FORMAS COM ENCARGOS COMPLEMENTARES</t>
  </si>
  <si>
    <t>ELETRICISTA COM ENCARGOS COMPLEMENTARES</t>
  </si>
  <si>
    <t>ELETROTÉCNICO COM ENCARGOS COMPLEMENTARES</t>
  </si>
  <si>
    <t>ENCANADOR OU BOMBEIRO HIDRÁULICO COM ENCARGOS COMPLEMENTARES</t>
  </si>
  <si>
    <t>GESSEIRO COM ENCARGOS COMPLEMENTARES</t>
  </si>
  <si>
    <t>IMPERMEABILIZADOR COM ENCARGOS COMPLEMENTARES</t>
  </si>
  <si>
    <t>MACARIQUEIRO COM ENCARGOS COMPLEMENTARES</t>
  </si>
  <si>
    <t>MARCENEIRO COM ENCARGOS COMPLEMENTARES</t>
  </si>
  <si>
    <t>MARMORISTA/GRANITEIRO COM ENCARGOS COMPLEMENTARES</t>
  </si>
  <si>
    <t>MECÃNICO DE EQUIPAMENTOS PESADOS COM ENCARGOS COMPLEMENTARES</t>
  </si>
  <si>
    <t>MONTADOR (TUBO AÇO/EQUIPAMENTOS) COM ENCARGOS COMPLEMENTARES</t>
  </si>
  <si>
    <t>MONTADOR DE ESTRUTURA METÁLICA COM ENCARGOS COMPLEMENTARES</t>
  </si>
  <si>
    <t>MONTADOR ELETROMECÃNICO COM ENCARGOS COMPLEMENTARES</t>
  </si>
  <si>
    <t>MOTORISTA DE BASCULANTE COM ENCARGOS COMPLEMENTARES</t>
  </si>
  <si>
    <t>MOTORISTA DE CAMINHÃO COM ENCARGOS COMPLEMENTARES</t>
  </si>
  <si>
    <t>MOTORISTA DE CAMINHÃO E CARRETA COM ENCARGOS COMPLEMENTARES</t>
  </si>
  <si>
    <t>MOTORISTA OPERADOR DE MUNCK COM ENCARGOS COMPLEMENTARES</t>
  </si>
  <si>
    <t>NIVELADOR COM ENCARGOS COMPLEMENTARES</t>
  </si>
  <si>
    <t>OPERADOR DE BETONEIRA (CAMINHÃO) COM ENCARGOS COMPLEMENTARES</t>
  </si>
  <si>
    <t>OPERADOR DE COMPRESSOR OU COMPRESSORISTA COM ENCARGOS COMPLEMENTARES</t>
  </si>
  <si>
    <t>OPERADOR DE DEMARCADORA DE FAIXAS COM ENCARGOS COMPLEMENTARES</t>
  </si>
  <si>
    <t>OPERADOR DE ESCAVADEIRA COM ENCARGOS COMPLEMENTARES</t>
  </si>
  <si>
    <t>OPERADOR DE GUINCHO COM ENCARGOS COMPLEMENTARES</t>
  </si>
  <si>
    <t>OPERADOR DE GUINDASTE COM ENCARGOS COMPLEMENTARES</t>
  </si>
  <si>
    <t>OPERADOR DE MÁQUINAS E EQUIPAMENTOS COM ENCARGOS COMPLEMENTARES</t>
  </si>
  <si>
    <t>OPERADOR DE MARTELETE OU MARTELETEIRO COM ENCARGOS COMPLEMENTARES</t>
  </si>
  <si>
    <t>OPERADOR DE MOTO-ESCREIPER COM ENCARGOS COMPLEMENTARES</t>
  </si>
  <si>
    <t>OPERADOR DE MOTONIVELADORA COM ENCARGOS COMPLEMENTARES</t>
  </si>
  <si>
    <t>OPERADOR DE PÁ CARREGADEIRA COM ENCARGOS COMPLEMENTARES</t>
  </si>
  <si>
    <t>OPERADOR DE PAVIMENTADORA COM ENCARGOS COMPLEMENTARES</t>
  </si>
  <si>
    <t>OPERADOR DE ROLO COMPACTADOR COM ENCARGOS COMPLEMENTARES</t>
  </si>
  <si>
    <t>OPERADOR JATO DE AREIA OU JATISTA COM ENCARGOS COMPLEMENTARES</t>
  </si>
  <si>
    <t>OPERADOR PARA BATE ESTACAS COM ENCARGOS COMPLEMENTARES</t>
  </si>
  <si>
    <t>PASTILHEIRO COM ENCARGOS COMPLEMENTARES</t>
  </si>
  <si>
    <t>PEDREIRO COM ENCARGOS COMPLEMENTARES</t>
  </si>
  <si>
    <t>PINTOR COM ENCARGOS COMPLEMENTARES</t>
  </si>
  <si>
    <t>PINTOR DE LETREIROS COM ENCARGOS COMPLEMENTARES</t>
  </si>
  <si>
    <t>PINTOR PARA TINTA EPÓXI COM ENCARGOS COMPLEMENTARES</t>
  </si>
  <si>
    <t>POCEIRO COM ENCARGOS COMPLEMENTARES</t>
  </si>
  <si>
    <t>RASTELEIRO COM ENCARGOS COMPLEMENTARES</t>
  </si>
  <si>
    <t>SERRALHEIRO COM ENCARGOS COMPLEMENTARES</t>
  </si>
  <si>
    <t>SERVENTE COM ENCARGOS COMPLEMENTARES</t>
  </si>
  <si>
    <t>SOLDADOR COM ENCARGOS COMPLEMENTARES</t>
  </si>
  <si>
    <t>TÉCNICO DE LABORATÓRIO COM ENCARGOS COMPLEMENTARES</t>
  </si>
  <si>
    <t>TÉCNICO DE SONDAGEM COM ENCARGOS COMPLEMENTARES</t>
  </si>
  <si>
    <t>TELHADISTA COM ENCARGOS COMPLEMENTARES</t>
  </si>
  <si>
    <t>TRATORISTA COM ENCARGOS COMPLEMENTARES</t>
  </si>
  <si>
    <t>VIDRACEIRO COM ENCARGOS COMPLEMENTARES</t>
  </si>
  <si>
    <t>JARDINEIRO COM ENCARGOS COMPLEMENTARES</t>
  </si>
  <si>
    <t>ALMOXARIFE COM ENCARGOS COMPLEMENTARES</t>
  </si>
  <si>
    <t>APONTADOR OU APROPRIADOR COM ENCARGOS COMPLEMENTARES</t>
  </si>
  <si>
    <t>ARQUITETO DE OBRA JUNIOR COM ENCARGOS COMPLEMENTARES</t>
  </si>
  <si>
    <t>ARQUITETO DE OBRA PLENO COM ENCARGOS COMPLEMENTARES</t>
  </si>
  <si>
    <t>ARQUITETO DE OBRA SENIOR COM ENCARGOS COMPLEMENTARES</t>
  </si>
  <si>
    <t>AUXILIAR DE ESCRITORIO COM ENCARGOS COMPLEMENTARES</t>
  </si>
  <si>
    <t>DESENHISTA PROJETISTA COM ENCARGOS COMPLEMENTARES</t>
  </si>
  <si>
    <t>ENCARREGADO GERAL COM ENCARGOS COMPLEMENTARES</t>
  </si>
  <si>
    <t>ENGENHEIRO CIVIL DE OBRA JUNIOR COM ENCARGOS COMPLEMENTARES</t>
  </si>
  <si>
    <t>ENGENHEIRO CIVIL DE OBRA PLENO COM ENCARGOS COMPLEMENTARES</t>
  </si>
  <si>
    <t>ENGENHEIRO CIVIL DE OBRA SENIOR COM ENCARGOS COMPLEMENTARES</t>
  </si>
  <si>
    <t>MESTRE DE OBRAS COM ENCARGOS COMPLEMENTARES</t>
  </si>
  <si>
    <t>TOPOGRAFO COM ENCARGOS COMPLEMENTARES</t>
  </si>
  <si>
    <t>MOTORISTA DE CAMINHAO COM ENCARGOS COMPLEMENTARES</t>
  </si>
  <si>
    <t>ARQUITETO JUNIOR COM ENCARGOS COMPLEMENTARES</t>
  </si>
  <si>
    <t>ARQUITETO PLENO COM ENCARGOS COMPLEMENTARES</t>
  </si>
  <si>
    <t>ARQUITETO SENIOR COM ENCARGOS COMPLEMENTARES</t>
  </si>
  <si>
    <t>ENCARREGADO GERAL DE OBRAS COM ENCARGOS COMPLEMENTARES</t>
  </si>
  <si>
    <t>CURSO DE CAPACITAÇÃO PARA AJUDANTE DE ARMADOR (ENCARGOS COMPLEMENTARES) - HORISTA</t>
  </si>
  <si>
    <t>CURSO DE CAPACITAÇÃO PARA AJUDANTE DE CARPINTEIRO (ENCARGOS COMPLEMENTARES) - HORISTA</t>
  </si>
  <si>
    <t>CURSO DE CAPACITAÇÃO PARA AJUDANTE DE ESTRUTURA METÁLICA (ENCARGOS COMPLEMENTARES) - HORISTA</t>
  </si>
  <si>
    <t>CURSO DE CAPACITAÇÃO PARA AJUDANTE DE OPERAÇÃO EM GERAL (ENCARGOS COMPLEMENTARES) - HORISTA</t>
  </si>
  <si>
    <t>CURSO DE CAPACITAÇÃO PARA AJUDANTE DE PEDREIRO (ENCARGOS COMPLEMENTARES) - HORISTA</t>
  </si>
  <si>
    <t>CURSO DE CAPACITAÇÃO PARA AJUDANTE ESPECIALIZADO (ENCARGOS COMPLEMENTARES) - HORISTA</t>
  </si>
  <si>
    <t>CURSO DE CAPACITAÇÃO PARA ARMADOR (ENCARGOS COMPLEMENTARES) - HORISTA</t>
  </si>
  <si>
    <t>CURSO DE CAPACITAÇÃO PARA ASSENTADOR DE TUBOS (ENCARGOS COMPLEMENTARES) - HORISTA</t>
  </si>
  <si>
    <t>CURSO DE CAPACITAÇÃO PARA AUXILIAR DE ELETRICISTA (ENCARGOS COMPLEMENTARES) - HORISTA</t>
  </si>
  <si>
    <t>CURSO DE CAPACITAÇÃO PARA AUXILIAR DE ENCANADOR OU BOMBEIRO HIDRÁULICO (ENCARGOS COMPLEMENTARES) - HORISTA</t>
  </si>
  <si>
    <t>CURSO DE CAPACITAÇÃO PARA AUXILIAR DE LABORATÓRIO (ENCARGOS COMPLEMENTARES) - HORISTA</t>
  </si>
  <si>
    <t>CURSO DE CAPACITAÇÃO PARA AUXILIAR DE MECÂNICO (ENCARGOS COMPLEMENTARES) - HORISTA</t>
  </si>
  <si>
    <t>CURSO DE CAPACITAÇÃO PARA AUXILIAR DE SERRALHEIRO (ENCARGOS COMPLEMENTARES) - HORISTA</t>
  </si>
  <si>
    <t>CURSO DE CAPACITAÇÃO PARA AUXILIAR DE SERVIÇOS GERAIS (ENCARGOS COMPLEMENTARES) - HORISTA</t>
  </si>
  <si>
    <t>CURSO DE CAPACITAÇÃO PARA AUXILIAR DE TOPÓGRAFO (ENCARGOS COMPLEMENTARES) - HORISTA</t>
  </si>
  <si>
    <t>CURSO DE CAPACITAÇÃO PARA AUXILIAR TÉCNICO DE ENGENHARIA (ENCARGOS COMPLEMENTARES) - HORISTA</t>
  </si>
  <si>
    <t>CURSO DE CAPACITAÇÃO PARA AZULEJISTA OU LADRILHISTA (ENCARGOS COMPLEMENTARES) - HORISTA</t>
  </si>
  <si>
    <t>CURSO DE CAPACITAÇÃO PARA BLASTER, DINAMITADOR OU CABO DE FOGO (ENCARGOS COMPLEMENTARES) - HORISTA</t>
  </si>
  <si>
    <t>CURSO DE CAPACITAÇÃO PARA CALCETEIRO (ENCARGOS COMPLEMENTARES) - HORISTA</t>
  </si>
  <si>
    <t>CURSO DE CAPACITAÇÃO PARA CARPINTEIRO DE ESQUADRIA (ENCARGOS COMPLEMENTARES) - HORISTA</t>
  </si>
  <si>
    <t>CURSO DE CAPACITAÇÃO PARA CARPINTEIRO DE FÔRMAS (ENCARGOS COMPLEMENTARES) - HORISTA</t>
  </si>
  <si>
    <t>CURSO DE CAPACITAÇÃO PARA CAVOUQUEIRO OU OPERADOR PERFURATRIZ/ROMPEDOR (ENCARGOS COMPLEMENTARES) - HORISTA</t>
  </si>
  <si>
    <t>CURSO DE CAPACITAÇÃO PARA ELETRICISTA (ENCARGOS COMPLEMENTARES) - HORISTA</t>
  </si>
  <si>
    <t>CURSO DE CAPACITAÇÃO PARA ELETROTÉCNICO (ENCARGOS COMPLEMENTARES) - HORISTA</t>
  </si>
  <si>
    <t>CURSO DE CAPACITAÇÃO PARA ENCANADOR OU BOMBEIRO HIDRÁULICO (ENCARGOS COMPLEMENTARES) - HORISTA</t>
  </si>
  <si>
    <t>CURSO DE CAPACITAÇÃO PARA GESSEIRO (ENCARGOS COMPLEMENTARES) - HORISTA</t>
  </si>
  <si>
    <t>CURSO DE CAPACITAÇÃO PARA IMPERMEABILIZADOR (ENCARGOS COMPLEMENTARES) - HORISTA</t>
  </si>
  <si>
    <t>CURSO DE CAPACITAÇÃO PARA MAÇARIQUEIRO (ENCARGOS COMPLEMENTARES) - HORISTA</t>
  </si>
  <si>
    <t>CURSO DE CAPACITAÇÃO PARA MARCENEIRO (ENCARGOS COMPLEMENTARES) - HORISTA</t>
  </si>
  <si>
    <t>CURSO DE CAPACITAÇÃO PARA MARMORISTA/GRANITEIRO (ENCARGOS COMPLEMENTARES) - HORISTA</t>
  </si>
  <si>
    <t>CURSO DE CAPACITAÇÃO PARA MECÂNICO DE EQUIPAMENTOS PESADOS (ENCARGOS COMPLEMENTARES) - HORISTA</t>
  </si>
  <si>
    <t>CURSO DE CAPACITAÇÃO PARA MONTADOR  DE TUBO AÇO/EQUIPAMENTOS (ENCARGOS COMPLEMENTARES) - HORISTA</t>
  </si>
  <si>
    <t>CURSO DE CAPACITAÇÃO PARA MONTADOR DE ESTRUTURA METÁLICA (ENCARGOS COMPLEMENTARES) - HORISTA</t>
  </si>
  <si>
    <t>CURSO DE CAPACITAÇÃO PARA MONTADOR ELETROMECÂNICO (ENCARGOS COMPLEMENTARES) - HORISTA</t>
  </si>
  <si>
    <t>CURSO DE CAPACITAÇÃO PARA MOTORISTA DE BASCULANTE (ENCARGOS COMPLEMENTARES) - HORISTA</t>
  </si>
  <si>
    <t>CURSO DE CAPACITAÇÃO PARA MOTORISTA DE CAMINHÃO (ENCARGOS COMPLEMENTARES) - HORISTA</t>
  </si>
  <si>
    <t>CURSO DE CAPACITAÇÃO PARA MOTORISTA DE CAMINHÃO E CARRETA (ENCARGOS COMPLEMENTARES) - HORISTA</t>
  </si>
  <si>
    <t>CURSO DE CAPACITAÇÃO PARA MOTORISTA DE VEÍCULO LEVE (ENCARGOS COMPLEMENTARES) - HORISTA</t>
  </si>
  <si>
    <t>CURSO DE CAPACITAÇÃO PARA MOTORISTA OPERADOR DE MUNCK (ENCARGOS COMPLEMENTARES) - HORISTA</t>
  </si>
  <si>
    <t>CURSO DE CAPACITAÇÃO PARA NIVELADOR (ENCARGOS COMPLEMENTARES) - HORISTA</t>
  </si>
  <si>
    <t>CURSO DE CAPACITAÇÃO PARA OPERADOR DE BETONEIRA (CAMINHÃO) (ENCARGOS COMPLEMENTARES) - HORISTA</t>
  </si>
  <si>
    <t>CURSO DE CAPACITAÇÃO PARA OPERADOR DE COMPRESSOR OU COMPRESSORISTA (ENCARGOS COMPLEMENTARES) - HORISTA</t>
  </si>
  <si>
    <t>CURSO DE CAPACITAÇÃO PARA OPERADOR DE DEMARCADORA DE FAIXAS (ENCARGOS COMPLEMENTARES) - HORISTA</t>
  </si>
  <si>
    <t>CURSO DE CAPACITAÇÃO PARA OPERADOR DE ESCAVADEIRA (ENCARGOS COMPLEMENTARES) - HORISTA</t>
  </si>
  <si>
    <t>CURSO DE CAPACITAÇÃO PARA OPERADOR DE GUINCHO (ENCARGOS COMPLEMENTARES) - HORISTA</t>
  </si>
  <si>
    <t>CURSO DE CAPACITAÇÃO PARA OPERADOR DE GUINDASTE (ENCARGOS COMPLEMENTARES) - HORISTA</t>
  </si>
  <si>
    <t>CURSO DE CAPACITAÇÃO PARA OPERADOR DE MÁQUINAS E EQUIPAMENTOS (ENCARGOS COMPLEMENTARES) - HORISTA</t>
  </si>
  <si>
    <t>CURSO DE CAPACITAÇÃO PARA OPERADOR DE MARTELETE OU MARTELETEIRO (ENCARGOS COMPLEMENTARES) - HORISTA</t>
  </si>
  <si>
    <t>CURSO DE CAPACITAÇÃO PARA OPERADOR DE MOTO-ESCREIPER (ENCARGOS COMPLEMENTARES) - HORISTA</t>
  </si>
  <si>
    <t>CURSO DE CAPACITAÇÃO PARA OPERADOR DE MOTONIVELADORA (ENCARGOS COMPLEMENTARES) - HORISTA</t>
  </si>
  <si>
    <t>CURSO DE CAPACITAÇÃO PARA OPERADOR DE PÁ CARREGADEIRA (ENCARGOS COMPLEMENTARES) - HORISTA</t>
  </si>
  <si>
    <t>CURSO DE CAPACITAÇÃO PARA OPERADOR DE PAVIMENTADORA (ENCARGOS COMPLEMENTARES) - HORISTA</t>
  </si>
  <si>
    <t>CURSO DE CAPACITAÇÃO PARA OPERADOR DE ROLO COMPACTADOR (ENCARGOS COMPLEMENTARES) - HORISTA</t>
  </si>
  <si>
    <t>CURSO DE CAPACITAÇÃO PARA OPERADOR DE USINA DE ASFALTO, DE SOLOS OU DE CONCRETO (ENCARGOS COMPLEMENTARES) - HORISTA</t>
  </si>
  <si>
    <t>CURSO DE CAPACITAÇÃO PARA OPERADOR JATO DE AREIA OU JATISTA (ENCARGOS COMPLEMENTARES) - HORISTA</t>
  </si>
  <si>
    <t>CURSO DE CAPACITAÇÃO PARA OPERADOR PARA BATE ESTACAS (ENCARGOS COMPLEMENTARES) - HORISTA</t>
  </si>
  <si>
    <t>CURSO DE CAPACITAÇÃO PARA PASTILHEIRO (ENCARGOS COMPLEMENTARES) - HORISTA</t>
  </si>
  <si>
    <t>CURSO DE CAPACITAÇÃO PARA PEDREIRO (ENCARGOS COMPLEMENTARES) - HORISTA</t>
  </si>
  <si>
    <t>CURSO DE CAPACITAÇÃO PARA PINTOR (ENCARGOS COMPLEMENTARES) - HORISTA</t>
  </si>
  <si>
    <t>CURSO DE CAPACITAÇÃO PARA PINTOR DE LETREIROS (ENCARGOS COMPLEMENTARES) - HORISTA</t>
  </si>
  <si>
    <t>CURSO DE CAPACITAÇÃO PARA PINTOR PARA TINTA EPÓXI (ENCARGOS COMPLEMENTARES) - HORISTA</t>
  </si>
  <si>
    <t>CURSO DE CAPACITAÇÃO PARA POCEIRO (ENCARGOS COMPLEMENTARES) - HORISTA</t>
  </si>
  <si>
    <t>CURSO DE CAPACITAÇÃO PARA RASTELEIRO (ENCARGOS COMPLEMENTARES) - HORISTA</t>
  </si>
  <si>
    <t>CURSO DE CAPACITAÇÃO PARA SERRALHEIRO (ENCARGOS COMPLEMENTARES) - HORISTA</t>
  </si>
  <si>
    <t>CURSO DE CAPACITAÇÃO PARA SERVENTE (ENCARGOS COMPLEMENTARES) - HORISTA</t>
  </si>
  <si>
    <t>CURSO DE CAPACITAÇÃO PARA SOLDADOR (ENCARGOS COMPLEMENTARES) - HORISTA</t>
  </si>
  <si>
    <t>CURSO DE CAPACITAÇÃO PARA SOLDADOR A (PARA SOLDA A SER TESTADA COM RAIOS  X ) (ENCARGOS COMPLEMENTARES) - HORISTA</t>
  </si>
  <si>
    <t>CURSO DE CAPACITAÇÃO PARA TÉCNICO DE LABORATÓRIO (ENCARGOS COMPLEMENTARES) - HORISTA</t>
  </si>
  <si>
    <t>CURSO DE CAPACITAÇÃO PARA TÉCNICO DE SONDAGEM (ENCARGOS COMPLEMENTARES) - HORISTA</t>
  </si>
  <si>
    <t>CURSO DE CAPACITAÇÃO PARA TELHADISTA (ENCARGOS COMPLEMENTARES) - HORISTA</t>
  </si>
  <si>
    <t>CURSO DE CAPACITAÇÃO PARA TRATORISTA (ENCARGOS COMPLEMENTARES) - HORISTA</t>
  </si>
  <si>
    <t>CURSO DE CAPACITAÇÃO PARA VIDRACEIRO (ENCARGOS COMPLEMENTARES) - HORISTA</t>
  </si>
  <si>
    <t>CURSO DE CAPACITAÇÃO PARA OPERADOR DE BETONEIRA ESTACIONÁRIA/MISTURADOR (ENCARGOS COMPLEMENTARES) - HORISTA</t>
  </si>
  <si>
    <t>CURSO DE CAPACITAÇÃO PARA JARDINEIRO (ENCARGOS COMPLEMENTARES) - HORISTA</t>
  </si>
  <si>
    <t>CURSO DE CAPACITAÇÃO PARA ALMOXARIFE (ENCARGOS COMPLEMENTARES) - HORISTA</t>
  </si>
  <si>
    <t>CURSO DE CAPACITAÇÃO PARA APONTADOR OU APROPRIADOR (ENCARGOS COMPLEMENTARES) - HORISTA</t>
  </si>
  <si>
    <t>CURSO DE CAPACITAÇÃO PARA ARQUITETO DE OBRA JÚNIOR (ENCARGOS COMPLEMENTARES) - HORISTA</t>
  </si>
  <si>
    <t>CURSO DE CAPACITAÇÃO PARA ARQUITETO DE OBRA PLENO (ENCARGOS COMPLEMENTARES) - HORISTA</t>
  </si>
  <si>
    <t>CURSO DE CAPACITAÇÃO PARA ARQUITETO DE OBRA SÊNIOR (ENCARGOS COMPLEMENTARES) - HORISTA</t>
  </si>
  <si>
    <t>CURSO DE CAPACITAÇÃO PARA AUXILIAR DE ESCRITÓRIO (ENCARGOS COMPLEMENTARES) - HORISTA</t>
  </si>
  <si>
    <t>CURSO DE CAPACITAÇÃO PARA DESENHISTA PROJETISTA (ENCARGOS COMPLEMENTARES) - HORISTA</t>
  </si>
  <si>
    <t>CURSO DE CAPACITAÇÃO PARA ENCARREGADO GERAL (ENCARGOS COMPLEMENTARES) - HORISTA</t>
  </si>
  <si>
    <t>CURSO DE CAPACITAÇÃO PARA ENGENHEIRO CIVIL DE OBRA JÚNIOR (ENCARGOS COMPLEMENTARES) - HORISTA</t>
  </si>
  <si>
    <t>CURSO DE CAPACITAÇÃO PARA ENGENHEIRO CIVIL DE OBRA PLENO (ENCARGOS COMPLEMENTARES) - HORISTA</t>
  </si>
  <si>
    <t>CURSO DE CAPACITAÇÃO PARA ENGENHEIRO CIVIL DE OBRA SÊNIOR (ENCARGOS COMPLEMENTARES) - HORISTA</t>
  </si>
  <si>
    <t>CURSO DE CAPACITAÇÃO PARA MESTRE DE OBRAS (ENCARGOS COMPLEMENTARES) - HORISTA</t>
  </si>
  <si>
    <t>CURSO DE CAPACITAÇÃO PARA TOPÓGRAFO (ENCARGOS COMPLEMENTARES) - HORISTA</t>
  </si>
  <si>
    <t>CURSO DE CAPACITAÇÃO  PARA MOTORISTA DE CAMINHÃO (ENCARGOS COMPLEMENTARES) - MENSALISTA</t>
  </si>
  <si>
    <t>CURSO DE CAPACITAÇÃO PARA DESENHISTA PROJETISTA (ENCARGOS COMPLEMENTARES) - MENSALISTA</t>
  </si>
  <si>
    <t>CURSO DE CAPACITAÇÃO PARA ALMOXARIFE (ENCARGOS COMPLEMENTARES) - MENSALISTA</t>
  </si>
  <si>
    <t>CURSO DE CAPACITAÇÃO PARA APONTADOR OU APROPRIADOR (ENCARGOS COMPLEMENTARES) - MENSALISTA</t>
  </si>
  <si>
    <t>CURSO DE CAPACITAÇÃO PARA ENGENHEIRO CIVIL DE OBRA JÚNIOR (ENCARGOS COMPLEMENTARES) - MENSALISTA</t>
  </si>
  <si>
    <t>CURSO DE CAPACITAÇÃO PARA AUXILIAR DE ESCRITÓRIO (ENCARGOS COMPLEMENTARES) - MENSALISTA</t>
  </si>
  <si>
    <t>CURSO DE CAPACITAÇÃO PARA ENGENHEIRO CIVIL DE OBRA PLENO (ENCARGOS COMPLEMENTARES) - MENSALISTA</t>
  </si>
  <si>
    <t>CURSO DE CAPACITAÇÃO PARA ENGENHEIRO CIVIL DE OBRA SÊNIOR (ENCARGOS COMPLEMENTARES) - MENSALISTA</t>
  </si>
  <si>
    <t>CURSO DE CAPACITAÇÃO PARA ARQUITETO JÚNIOR (ENCARGOS COMPLEMENTARES) - MENSALISTA</t>
  </si>
  <si>
    <t>CURSO DE CAPACITAÇÃO PARA ARQUITETO PLENO (ENCARGOS COMPLEMENTARES) - MENSALISTA</t>
  </si>
  <si>
    <t>CURSO DE CAPACITAÇÃO PARA ARQUITETO SÊNIOR (ENCARGOS COMPLEMENTARES) - MENSALISTA</t>
  </si>
  <si>
    <t>CURSO DE CAPACITAÇÃO PARA ENCARREGADO GERAL DE OBRAS (ENCARGOS COMPLEMENTARES) - MENSALISTA</t>
  </si>
  <si>
    <t>CURSO DE CAPACITAÇÃO PARA MESTRE DE OBRAS (ENCARGOS COMPLEMENTARES) - MENSALISTA</t>
  </si>
  <si>
    <t>CURSO DE CAPACITAÇÃO PARA TOPÓGRAFO (ENCARGOS COMPLEMENTARES) - MENSALISTA</t>
  </si>
  <si>
    <t>_______________________________________</t>
  </si>
  <si>
    <t>HID- 028</t>
  </si>
  <si>
    <t>REVESTIMENTO CERÂMICO PARA PISO, 24 X 11,6 CM, E=9MM, LINHA DECK PISCINA, PLACA EXTRUDADA, MARCA DE REF. GAIL COR NATURAL AMENDOA FLASH 1275, FORMATO 1009 OU SIMILAR, APLICADO COM ARGAMASSA INDUSTRIALIZADA AC-III, REJUNTADO, EXCLUSIVE REGULARIZAÇÃO DE BASE OU EMBOÇO</t>
  </si>
  <si>
    <t>07.01.01</t>
  </si>
  <si>
    <t>Local</t>
  </si>
  <si>
    <t>Coef</t>
  </si>
  <si>
    <t>05.01.01</t>
  </si>
  <si>
    <t xml:space="preserve"> % Mensal</t>
  </si>
  <si>
    <t>TOTAL GERAL COM BDI DE 27,64%</t>
  </si>
  <si>
    <t>IOPES</t>
  </si>
  <si>
    <t>EQUIPE DE OBRA, INCLUINDO ENGENHEIRO PLENO E ENCARREGADO DE OBRAS</t>
  </si>
  <si>
    <t>ADM-001</t>
  </si>
  <si>
    <t>Coef. Real Total</t>
  </si>
  <si>
    <t>Coef de medição</t>
  </si>
  <si>
    <t>97141</t>
  </si>
  <si>
    <t>6,14</t>
  </si>
  <si>
    <t>97142</t>
  </si>
  <si>
    <t>97143</t>
  </si>
  <si>
    <t>97144</t>
  </si>
  <si>
    <t>97145</t>
  </si>
  <si>
    <t>97146</t>
  </si>
  <si>
    <t>97147</t>
  </si>
  <si>
    <t>97148</t>
  </si>
  <si>
    <t>97149</t>
  </si>
  <si>
    <t>97150</t>
  </si>
  <si>
    <t>97151</t>
  </si>
  <si>
    <t>97152</t>
  </si>
  <si>
    <t>97153</t>
  </si>
  <si>
    <t>97154</t>
  </si>
  <si>
    <t>97155</t>
  </si>
  <si>
    <t>97156</t>
  </si>
  <si>
    <t>97157</t>
  </si>
  <si>
    <t>3,74</t>
  </si>
  <si>
    <t>97158</t>
  </si>
  <si>
    <t>4,18</t>
  </si>
  <si>
    <t>97159</t>
  </si>
  <si>
    <t>97160</t>
  </si>
  <si>
    <t>97161</t>
  </si>
  <si>
    <t>97162</t>
  </si>
  <si>
    <t>8,60</t>
  </si>
  <si>
    <t>97163</t>
  </si>
  <si>
    <t>97164</t>
  </si>
  <si>
    <t>97165</t>
  </si>
  <si>
    <t>11,97</t>
  </si>
  <si>
    <t>97166</t>
  </si>
  <si>
    <t>97167</t>
  </si>
  <si>
    <t>97168</t>
  </si>
  <si>
    <t>97169</t>
  </si>
  <si>
    <t>97170</t>
  </si>
  <si>
    <t>97171</t>
  </si>
  <si>
    <t>97172</t>
  </si>
  <si>
    <t>97173</t>
  </si>
  <si>
    <t>97174</t>
  </si>
  <si>
    <t>97175</t>
  </si>
  <si>
    <t>97176</t>
  </si>
  <si>
    <t>97177</t>
  </si>
  <si>
    <t>97178</t>
  </si>
  <si>
    <t>97179</t>
  </si>
  <si>
    <t>97180</t>
  </si>
  <si>
    <t>97181</t>
  </si>
  <si>
    <t>97182</t>
  </si>
  <si>
    <t>97183</t>
  </si>
  <si>
    <t>97184</t>
  </si>
  <si>
    <t>97185</t>
  </si>
  <si>
    <t>97186</t>
  </si>
  <si>
    <t>97187</t>
  </si>
  <si>
    <t>97188</t>
  </si>
  <si>
    <t>97189</t>
  </si>
  <si>
    <t>97190</t>
  </si>
  <si>
    <t>97191</t>
  </si>
  <si>
    <t>97192</t>
  </si>
  <si>
    <t>90694</t>
  </si>
  <si>
    <t>90695</t>
  </si>
  <si>
    <t>90696</t>
  </si>
  <si>
    <t>90697</t>
  </si>
  <si>
    <t>90698</t>
  </si>
  <si>
    <t>90699</t>
  </si>
  <si>
    <t>90700</t>
  </si>
  <si>
    <t>90701</t>
  </si>
  <si>
    <t>90702</t>
  </si>
  <si>
    <t>90703</t>
  </si>
  <si>
    <t>90704</t>
  </si>
  <si>
    <t>90705</t>
  </si>
  <si>
    <t>90706</t>
  </si>
  <si>
    <t>90708</t>
  </si>
  <si>
    <t>90724</t>
  </si>
  <si>
    <t>90725</t>
  </si>
  <si>
    <t>90726</t>
  </si>
  <si>
    <t>90727</t>
  </si>
  <si>
    <t>90728</t>
  </si>
  <si>
    <t>90729</t>
  </si>
  <si>
    <t>90730</t>
  </si>
  <si>
    <t>90731</t>
  </si>
  <si>
    <t>90732</t>
  </si>
  <si>
    <t>90733</t>
  </si>
  <si>
    <t>2,18</t>
  </si>
  <si>
    <t>90734</t>
  </si>
  <si>
    <t>90735</t>
  </si>
  <si>
    <t>90736</t>
  </si>
  <si>
    <t>90737</t>
  </si>
  <si>
    <t>4,12</t>
  </si>
  <si>
    <t>90738</t>
  </si>
  <si>
    <t>4,61</t>
  </si>
  <si>
    <t>90739</t>
  </si>
  <si>
    <t>90740</t>
  </si>
  <si>
    <t>4,85</t>
  </si>
  <si>
    <t>90741</t>
  </si>
  <si>
    <t>5,34</t>
  </si>
  <si>
    <t>90742</t>
  </si>
  <si>
    <t>90743</t>
  </si>
  <si>
    <t>90744</t>
  </si>
  <si>
    <t>90745</t>
  </si>
  <si>
    <t>90746</t>
  </si>
  <si>
    <t>90747</t>
  </si>
  <si>
    <t>4,87</t>
  </si>
  <si>
    <t>7,06</t>
  </si>
  <si>
    <t>8,04</t>
  </si>
  <si>
    <t>8,52</t>
  </si>
  <si>
    <t>94869</t>
  </si>
  <si>
    <t>94870</t>
  </si>
  <si>
    <t>0,72</t>
  </si>
  <si>
    <t>94871</t>
  </si>
  <si>
    <t>94872</t>
  </si>
  <si>
    <t>1,26</t>
  </si>
  <si>
    <t>94875</t>
  </si>
  <si>
    <t>94876</t>
  </si>
  <si>
    <t>94878</t>
  </si>
  <si>
    <t>94879</t>
  </si>
  <si>
    <t>94880</t>
  </si>
  <si>
    <t>94881</t>
  </si>
  <si>
    <t>94882</t>
  </si>
  <si>
    <t>94884</t>
  </si>
  <si>
    <t>1,60</t>
  </si>
  <si>
    <t>97121</t>
  </si>
  <si>
    <t>1,61</t>
  </si>
  <si>
    <t>97122</t>
  </si>
  <si>
    <t>97123</t>
  </si>
  <si>
    <t>2,84</t>
  </si>
  <si>
    <t>97124</t>
  </si>
  <si>
    <t>0,70</t>
  </si>
  <si>
    <t>97125</t>
  </si>
  <si>
    <t>1,00</t>
  </si>
  <si>
    <t>97126</t>
  </si>
  <si>
    <t>1,27</t>
  </si>
  <si>
    <t>92833</t>
  </si>
  <si>
    <t>92834</t>
  </si>
  <si>
    <t>92835</t>
  </si>
  <si>
    <t>92836</t>
  </si>
  <si>
    <t>92837</t>
  </si>
  <si>
    <t>92838</t>
  </si>
  <si>
    <t>92839</t>
  </si>
  <si>
    <t>92840</t>
  </si>
  <si>
    <t>92841</t>
  </si>
  <si>
    <t>92842</t>
  </si>
  <si>
    <t>92844</t>
  </si>
  <si>
    <t>92846</t>
  </si>
  <si>
    <t>92847</t>
  </si>
  <si>
    <t>92848</t>
  </si>
  <si>
    <t>92849</t>
  </si>
  <si>
    <t>92850</t>
  </si>
  <si>
    <t>92851</t>
  </si>
  <si>
    <t>92852</t>
  </si>
  <si>
    <t>92853</t>
  </si>
  <si>
    <t>92854</t>
  </si>
  <si>
    <t>92855</t>
  </si>
  <si>
    <t>92856</t>
  </si>
  <si>
    <t>92857</t>
  </si>
  <si>
    <t>92858</t>
  </si>
  <si>
    <t>92860</t>
  </si>
  <si>
    <t>92862</t>
  </si>
  <si>
    <t>92863</t>
  </si>
  <si>
    <t>92864</t>
  </si>
  <si>
    <t>92210</t>
  </si>
  <si>
    <t>92211</t>
  </si>
  <si>
    <t>92212</t>
  </si>
  <si>
    <t>92213</t>
  </si>
  <si>
    <t>92214</t>
  </si>
  <si>
    <t>92215</t>
  </si>
  <si>
    <t>92216</t>
  </si>
  <si>
    <t>92219</t>
  </si>
  <si>
    <t>92220</t>
  </si>
  <si>
    <t>92221</t>
  </si>
  <si>
    <t>92222</t>
  </si>
  <si>
    <t>92223</t>
  </si>
  <si>
    <t>92224</t>
  </si>
  <si>
    <t>92226</t>
  </si>
  <si>
    <t>92808</t>
  </si>
  <si>
    <t>92809</t>
  </si>
  <si>
    <t>92810</t>
  </si>
  <si>
    <t>92811</t>
  </si>
  <si>
    <t>92812</t>
  </si>
  <si>
    <t>92813</t>
  </si>
  <si>
    <t>92814</t>
  </si>
  <si>
    <t>92815</t>
  </si>
  <si>
    <t>92816</t>
  </si>
  <si>
    <t>92817</t>
  </si>
  <si>
    <t>92818</t>
  </si>
  <si>
    <t>92819</t>
  </si>
  <si>
    <t>92820</t>
  </si>
  <si>
    <t>92821</t>
  </si>
  <si>
    <t>92822</t>
  </si>
  <si>
    <t>92824</t>
  </si>
  <si>
    <t>92825</t>
  </si>
  <si>
    <t>92826</t>
  </si>
  <si>
    <t>92827</t>
  </si>
  <si>
    <t>92828</t>
  </si>
  <si>
    <t>92829</t>
  </si>
  <si>
    <t>92830</t>
  </si>
  <si>
    <t>92831</t>
  </si>
  <si>
    <t>92832</t>
  </si>
  <si>
    <t>95565</t>
  </si>
  <si>
    <t>95566</t>
  </si>
  <si>
    <t>95567</t>
  </si>
  <si>
    <t>95568</t>
  </si>
  <si>
    <t>95569</t>
  </si>
  <si>
    <t>95570</t>
  </si>
  <si>
    <t>95571</t>
  </si>
  <si>
    <t>95572</t>
  </si>
  <si>
    <t>0,69</t>
  </si>
  <si>
    <t>97127</t>
  </si>
  <si>
    <t>97128</t>
  </si>
  <si>
    <t>97129</t>
  </si>
  <si>
    <t>9,45</t>
  </si>
  <si>
    <t>97130</t>
  </si>
  <si>
    <t>97131</t>
  </si>
  <si>
    <t>97132</t>
  </si>
  <si>
    <t>97133</t>
  </si>
  <si>
    <t>97134</t>
  </si>
  <si>
    <t>1,83</t>
  </si>
  <si>
    <t>97135</t>
  </si>
  <si>
    <t>97136</t>
  </si>
  <si>
    <t>4,72</t>
  </si>
  <si>
    <t>97137</t>
  </si>
  <si>
    <t>97138</t>
  </si>
  <si>
    <t>6,48</t>
  </si>
  <si>
    <t>97139</t>
  </si>
  <si>
    <t>97140</t>
  </si>
  <si>
    <t>5631</t>
  </si>
  <si>
    <t>5678</t>
  </si>
  <si>
    <t>5680</t>
  </si>
  <si>
    <t>5684</t>
  </si>
  <si>
    <t>5689</t>
  </si>
  <si>
    <t>5795</t>
  </si>
  <si>
    <t>5811</t>
  </si>
  <si>
    <t>5823</t>
  </si>
  <si>
    <t>5824</t>
  </si>
  <si>
    <t>5835</t>
  </si>
  <si>
    <t>5839</t>
  </si>
  <si>
    <t>5843</t>
  </si>
  <si>
    <t>5847</t>
  </si>
  <si>
    <t>5851</t>
  </si>
  <si>
    <t>5855</t>
  </si>
  <si>
    <t>5863</t>
  </si>
  <si>
    <t>10,57</t>
  </si>
  <si>
    <t>5867</t>
  </si>
  <si>
    <t>5875</t>
  </si>
  <si>
    <t>5879</t>
  </si>
  <si>
    <t>5882</t>
  </si>
  <si>
    <t>5890</t>
  </si>
  <si>
    <t>5894</t>
  </si>
  <si>
    <t>5901</t>
  </si>
  <si>
    <t>5909</t>
  </si>
  <si>
    <t>20,17</t>
  </si>
  <si>
    <t>5921</t>
  </si>
  <si>
    <t>5928</t>
  </si>
  <si>
    <t>5932</t>
  </si>
  <si>
    <t>5940</t>
  </si>
  <si>
    <t>5944</t>
  </si>
  <si>
    <t>5953</t>
  </si>
  <si>
    <t>6259</t>
  </si>
  <si>
    <t>6879</t>
  </si>
  <si>
    <t>7030</t>
  </si>
  <si>
    <t>7042</t>
  </si>
  <si>
    <t>7049</t>
  </si>
  <si>
    <t>67826</t>
  </si>
  <si>
    <t>73417</t>
  </si>
  <si>
    <t>73436</t>
  </si>
  <si>
    <t>73467</t>
  </si>
  <si>
    <t>73536</t>
  </si>
  <si>
    <t>83362</t>
  </si>
  <si>
    <t>83765</t>
  </si>
  <si>
    <t>87445</t>
  </si>
  <si>
    <t>88386</t>
  </si>
  <si>
    <t>88393</t>
  </si>
  <si>
    <t>88399</t>
  </si>
  <si>
    <t>1,95</t>
  </si>
  <si>
    <t>88418</t>
  </si>
  <si>
    <t>88433</t>
  </si>
  <si>
    <t>11,11</t>
  </si>
  <si>
    <t>88830</t>
  </si>
  <si>
    <t>0,94</t>
  </si>
  <si>
    <t>88843</t>
  </si>
  <si>
    <t>88907</t>
  </si>
  <si>
    <t>89021</t>
  </si>
  <si>
    <t>1,29</t>
  </si>
  <si>
    <t>89028</t>
  </si>
  <si>
    <t>89032</t>
  </si>
  <si>
    <t>89035</t>
  </si>
  <si>
    <t>89225</t>
  </si>
  <si>
    <t>2,71</t>
  </si>
  <si>
    <t>89234</t>
  </si>
  <si>
    <t>89242</t>
  </si>
  <si>
    <t>89250</t>
  </si>
  <si>
    <t>89257</t>
  </si>
  <si>
    <t>89272</t>
  </si>
  <si>
    <t>89278</t>
  </si>
  <si>
    <t>89843</t>
  </si>
  <si>
    <t>89876</t>
  </si>
  <si>
    <t>89883</t>
  </si>
  <si>
    <t>90586</t>
  </si>
  <si>
    <t>1,03</t>
  </si>
  <si>
    <t>90625</t>
  </si>
  <si>
    <t>90631</t>
  </si>
  <si>
    <t>90637</t>
  </si>
  <si>
    <t>90643</t>
  </si>
  <si>
    <t>12,60</t>
  </si>
  <si>
    <t>90650</t>
  </si>
  <si>
    <t>90656</t>
  </si>
  <si>
    <t>90662</t>
  </si>
  <si>
    <t>8,34</t>
  </si>
  <si>
    <t>90668</t>
  </si>
  <si>
    <t>90674</t>
  </si>
  <si>
    <t>90680</t>
  </si>
  <si>
    <t>90686</t>
  </si>
  <si>
    <t>90692</t>
  </si>
  <si>
    <t>90964</t>
  </si>
  <si>
    <t>90972</t>
  </si>
  <si>
    <t>90979</t>
  </si>
  <si>
    <t>90999</t>
  </si>
  <si>
    <t>91031</t>
  </si>
  <si>
    <t>91277</t>
  </si>
  <si>
    <t>91283</t>
  </si>
  <si>
    <t>91386</t>
  </si>
  <si>
    <t>91533</t>
  </si>
  <si>
    <t>91634</t>
  </si>
  <si>
    <t>91645</t>
  </si>
  <si>
    <t>91692</t>
  </si>
  <si>
    <t>92043</t>
  </si>
  <si>
    <t>92106</t>
  </si>
  <si>
    <t>92112</t>
  </si>
  <si>
    <t>92118</t>
  </si>
  <si>
    <t>0,13</t>
  </si>
  <si>
    <t>92138</t>
  </si>
  <si>
    <t>92145</t>
  </si>
  <si>
    <t>92242</t>
  </si>
  <si>
    <t>92716</t>
  </si>
  <si>
    <t>14,38</t>
  </si>
  <si>
    <t>92960</t>
  </si>
  <si>
    <t>92966</t>
  </si>
  <si>
    <t>93224</t>
  </si>
  <si>
    <t>93233</t>
  </si>
  <si>
    <t>93272</t>
  </si>
  <si>
    <t>93281</t>
  </si>
  <si>
    <t>93287</t>
  </si>
  <si>
    <t>93402</t>
  </si>
  <si>
    <t>93408</t>
  </si>
  <si>
    <t>93415</t>
  </si>
  <si>
    <t>93421</t>
  </si>
  <si>
    <t>93427</t>
  </si>
  <si>
    <t>93433</t>
  </si>
  <si>
    <t>93439</t>
  </si>
  <si>
    <t>95121</t>
  </si>
  <si>
    <t>95127</t>
  </si>
  <si>
    <t>95133</t>
  </si>
  <si>
    <t>95139</t>
  </si>
  <si>
    <t>0,03</t>
  </si>
  <si>
    <t>95212</t>
  </si>
  <si>
    <t>95258</t>
  </si>
  <si>
    <t>95264</t>
  </si>
  <si>
    <t>95270</t>
  </si>
  <si>
    <t>95276</t>
  </si>
  <si>
    <t>1,96</t>
  </si>
  <si>
    <t>95282</t>
  </si>
  <si>
    <t>95620</t>
  </si>
  <si>
    <t>95631</t>
  </si>
  <si>
    <t>95702</t>
  </si>
  <si>
    <t>95708</t>
  </si>
  <si>
    <t>95720</t>
  </si>
  <si>
    <t>95872</t>
  </si>
  <si>
    <t>96013</t>
  </si>
  <si>
    <t>96020</t>
  </si>
  <si>
    <t>96028</t>
  </si>
  <si>
    <t>96035</t>
  </si>
  <si>
    <t>96157</t>
  </si>
  <si>
    <t>96158</t>
  </si>
  <si>
    <t>96245</t>
  </si>
  <si>
    <t>0,80</t>
  </si>
  <si>
    <t>96463</t>
  </si>
  <si>
    <t>5632</t>
  </si>
  <si>
    <t>5679</t>
  </si>
  <si>
    <t>5681</t>
  </si>
  <si>
    <t>5685</t>
  </si>
  <si>
    <t>5690</t>
  </si>
  <si>
    <t>5806</t>
  </si>
  <si>
    <t>0,17</t>
  </si>
  <si>
    <t>5826</t>
  </si>
  <si>
    <t>28,18</t>
  </si>
  <si>
    <t>5829</t>
  </si>
  <si>
    <t>5837</t>
  </si>
  <si>
    <t>5841</t>
  </si>
  <si>
    <t>5845</t>
  </si>
  <si>
    <t>5849</t>
  </si>
  <si>
    <t>5853</t>
  </si>
  <si>
    <t>5857</t>
  </si>
  <si>
    <t>5865</t>
  </si>
  <si>
    <t>5869</t>
  </si>
  <si>
    <t>5877</t>
  </si>
  <si>
    <t>5881</t>
  </si>
  <si>
    <t>5884</t>
  </si>
  <si>
    <t>5892</t>
  </si>
  <si>
    <t>5896</t>
  </si>
  <si>
    <t>5903</t>
  </si>
  <si>
    <t>5911</t>
  </si>
  <si>
    <t>5923</t>
  </si>
  <si>
    <t>1,48</t>
  </si>
  <si>
    <t>5930</t>
  </si>
  <si>
    <t>5934</t>
  </si>
  <si>
    <t>5942</t>
  </si>
  <si>
    <t>5946</t>
  </si>
  <si>
    <t>5952</t>
  </si>
  <si>
    <t>5954</t>
  </si>
  <si>
    <t>2,42</t>
  </si>
  <si>
    <t>5961</t>
  </si>
  <si>
    <t>6260</t>
  </si>
  <si>
    <t>6880</t>
  </si>
  <si>
    <t>7031</t>
  </si>
  <si>
    <t>7043</t>
  </si>
  <si>
    <t>0,22</t>
  </si>
  <si>
    <t>7050</t>
  </si>
  <si>
    <t>67827</t>
  </si>
  <si>
    <t>73395</t>
  </si>
  <si>
    <t>83766</t>
  </si>
  <si>
    <t>87446</t>
  </si>
  <si>
    <t>0,29</t>
  </si>
  <si>
    <t>88392</t>
  </si>
  <si>
    <t>0,57</t>
  </si>
  <si>
    <t>88398</t>
  </si>
  <si>
    <t>88404</t>
  </si>
  <si>
    <t>88430</t>
  </si>
  <si>
    <t>3,56</t>
  </si>
  <si>
    <t>88438</t>
  </si>
  <si>
    <t>4,71</t>
  </si>
  <si>
    <t>88831</t>
  </si>
  <si>
    <t>0,21</t>
  </si>
  <si>
    <t>88844</t>
  </si>
  <si>
    <t>88908</t>
  </si>
  <si>
    <t>89022</t>
  </si>
  <si>
    <t>89027</t>
  </si>
  <si>
    <t>89031</t>
  </si>
  <si>
    <t>89036</t>
  </si>
  <si>
    <t>89218</t>
  </si>
  <si>
    <t>89226</t>
  </si>
  <si>
    <t>89235</t>
  </si>
  <si>
    <t>89243</t>
  </si>
  <si>
    <t>89251</t>
  </si>
  <si>
    <t>89258</t>
  </si>
  <si>
    <t>89273</t>
  </si>
  <si>
    <t>89279</t>
  </si>
  <si>
    <t>89877</t>
  </si>
  <si>
    <t>89884</t>
  </si>
  <si>
    <t>90587</t>
  </si>
  <si>
    <t>0,28</t>
  </si>
  <si>
    <t>90626</t>
  </si>
  <si>
    <t>1,77</t>
  </si>
  <si>
    <t>90632</t>
  </si>
  <si>
    <t>90638</t>
  </si>
  <si>
    <t>2,73</t>
  </si>
  <si>
    <t>90644</t>
  </si>
  <si>
    <t>4,09</t>
  </si>
  <si>
    <t>90651</t>
  </si>
  <si>
    <t>0,62</t>
  </si>
  <si>
    <t>90657</t>
  </si>
  <si>
    <t>90663</t>
  </si>
  <si>
    <t>2,85</t>
  </si>
  <si>
    <t>90669</t>
  </si>
  <si>
    <t>90675</t>
  </si>
  <si>
    <t>90681</t>
  </si>
  <si>
    <t>90687</t>
  </si>
  <si>
    <t>90693</t>
  </si>
  <si>
    <t>90965</t>
  </si>
  <si>
    <t>90973</t>
  </si>
  <si>
    <t>90982</t>
  </si>
  <si>
    <t>91001</t>
  </si>
  <si>
    <t>91032</t>
  </si>
  <si>
    <t>91278</t>
  </si>
  <si>
    <t>91285</t>
  </si>
  <si>
    <t>91387</t>
  </si>
  <si>
    <t>91395</t>
  </si>
  <si>
    <t>91486</t>
  </si>
  <si>
    <t>91534</t>
  </si>
  <si>
    <t>91635</t>
  </si>
  <si>
    <t>91646</t>
  </si>
  <si>
    <t>91693</t>
  </si>
  <si>
    <t>92044</t>
  </si>
  <si>
    <t>92107</t>
  </si>
  <si>
    <t>92113</t>
  </si>
  <si>
    <t>0,63</t>
  </si>
  <si>
    <t>92119</t>
  </si>
  <si>
    <t>0,06</t>
  </si>
  <si>
    <t>92139</t>
  </si>
  <si>
    <t>92146</t>
  </si>
  <si>
    <t>92243</t>
  </si>
  <si>
    <t>92717</t>
  </si>
  <si>
    <t>92961</t>
  </si>
  <si>
    <t>92967</t>
  </si>
  <si>
    <t>93225</t>
  </si>
  <si>
    <t>93234</t>
  </si>
  <si>
    <t>0,27</t>
  </si>
  <si>
    <t>93244</t>
  </si>
  <si>
    <t>93274</t>
  </si>
  <si>
    <t>93282</t>
  </si>
  <si>
    <t>93288</t>
  </si>
  <si>
    <t>93403</t>
  </si>
  <si>
    <t>93409</t>
  </si>
  <si>
    <t>93416</t>
  </si>
  <si>
    <t>0,20</t>
  </si>
  <si>
    <t>93422</t>
  </si>
  <si>
    <t>2,63</t>
  </si>
  <si>
    <t>93428</t>
  </si>
  <si>
    <t>93434</t>
  </si>
  <si>
    <t>93440</t>
  </si>
  <si>
    <t>95122</t>
  </si>
  <si>
    <t>95128</t>
  </si>
  <si>
    <t>95140</t>
  </si>
  <si>
    <t>0,02</t>
  </si>
  <si>
    <t>95213</t>
  </si>
  <si>
    <t>95259</t>
  </si>
  <si>
    <t>95265</t>
  </si>
  <si>
    <t>95271</t>
  </si>
  <si>
    <t>0,49</t>
  </si>
  <si>
    <t>95277</t>
  </si>
  <si>
    <t>95283</t>
  </si>
  <si>
    <t>0,53</t>
  </si>
  <si>
    <t>95621</t>
  </si>
  <si>
    <t>95632</t>
  </si>
  <si>
    <t>95703</t>
  </si>
  <si>
    <t>95709</t>
  </si>
  <si>
    <t>95721</t>
  </si>
  <si>
    <t>95873</t>
  </si>
  <si>
    <t>5,97</t>
  </si>
  <si>
    <t>96014</t>
  </si>
  <si>
    <t>96021</t>
  </si>
  <si>
    <t>96029</t>
  </si>
  <si>
    <t>96036</t>
  </si>
  <si>
    <t>96155</t>
  </si>
  <si>
    <t>96156</t>
  </si>
  <si>
    <t>96159</t>
  </si>
  <si>
    <t>96246</t>
  </si>
  <si>
    <t>0,11</t>
  </si>
  <si>
    <t>96464</t>
  </si>
  <si>
    <t>5089</t>
  </si>
  <si>
    <t>5627</t>
  </si>
  <si>
    <t>5628</t>
  </si>
  <si>
    <t>5629</t>
  </si>
  <si>
    <t>5630</t>
  </si>
  <si>
    <t>5658</t>
  </si>
  <si>
    <t>5664</t>
  </si>
  <si>
    <t>5667</t>
  </si>
  <si>
    <t>5668</t>
  </si>
  <si>
    <t>5674</t>
  </si>
  <si>
    <t>17,45</t>
  </si>
  <si>
    <t>5692</t>
  </si>
  <si>
    <t>0,16</t>
  </si>
  <si>
    <t>5693</t>
  </si>
  <si>
    <t>5695</t>
  </si>
  <si>
    <t>5703</t>
  </si>
  <si>
    <t>5705</t>
  </si>
  <si>
    <t>5707</t>
  </si>
  <si>
    <t>5710</t>
  </si>
  <si>
    <t>5711</t>
  </si>
  <si>
    <t>5714</t>
  </si>
  <si>
    <t>5715</t>
  </si>
  <si>
    <t>5718</t>
  </si>
  <si>
    <t>5721</t>
  </si>
  <si>
    <t>5722</t>
  </si>
  <si>
    <t>5724</t>
  </si>
  <si>
    <t>5727</t>
  </si>
  <si>
    <t>5729</t>
  </si>
  <si>
    <t>5730</t>
  </si>
  <si>
    <t>5735</t>
  </si>
  <si>
    <t>5736</t>
  </si>
  <si>
    <t>5738</t>
  </si>
  <si>
    <t>5739</t>
  </si>
  <si>
    <t>5741</t>
  </si>
  <si>
    <t>5742</t>
  </si>
  <si>
    <t>5747</t>
  </si>
  <si>
    <t>5751</t>
  </si>
  <si>
    <t>5754</t>
  </si>
  <si>
    <t>11,61</t>
  </si>
  <si>
    <t>5763</t>
  </si>
  <si>
    <t>5765</t>
  </si>
  <si>
    <t>1,69</t>
  </si>
  <si>
    <t>5766</t>
  </si>
  <si>
    <t>2,06</t>
  </si>
  <si>
    <t>5779</t>
  </si>
  <si>
    <t>5787</t>
  </si>
  <si>
    <t>5797</t>
  </si>
  <si>
    <t>2,40</t>
  </si>
  <si>
    <t>5800</t>
  </si>
  <si>
    <t>0,19</t>
  </si>
  <si>
    <t>7032</t>
  </si>
  <si>
    <t>2,28</t>
  </si>
  <si>
    <t>7033</t>
  </si>
  <si>
    <t>7034</t>
  </si>
  <si>
    <t>7035</t>
  </si>
  <si>
    <t>7038</t>
  </si>
  <si>
    <t>21,79</t>
  </si>
  <si>
    <t>7039</t>
  </si>
  <si>
    <t>5,72</t>
  </si>
  <si>
    <t>7040</t>
  </si>
  <si>
    <t>7044</t>
  </si>
  <si>
    <t>0,18</t>
  </si>
  <si>
    <t>7045</t>
  </si>
  <si>
    <t>0,04</t>
  </si>
  <si>
    <t>7046</t>
  </si>
  <si>
    <t>7047</t>
  </si>
  <si>
    <t>7051</t>
  </si>
  <si>
    <t>7052</t>
  </si>
  <si>
    <t>7053</t>
  </si>
  <si>
    <t>7054</t>
  </si>
  <si>
    <t>7058</t>
  </si>
  <si>
    <t>9,91</t>
  </si>
  <si>
    <t>7059</t>
  </si>
  <si>
    <t>3,46</t>
  </si>
  <si>
    <t>7060</t>
  </si>
  <si>
    <t>7061</t>
  </si>
  <si>
    <t>7063</t>
  </si>
  <si>
    <t>8,47</t>
  </si>
  <si>
    <t>7064</t>
  </si>
  <si>
    <t>7065</t>
  </si>
  <si>
    <t>7066</t>
  </si>
  <si>
    <t>53786</t>
  </si>
  <si>
    <t>53788</t>
  </si>
  <si>
    <t>53792</t>
  </si>
  <si>
    <t>53794</t>
  </si>
  <si>
    <t>35,00</t>
  </si>
  <si>
    <t>53797</t>
  </si>
  <si>
    <t>53804</t>
  </si>
  <si>
    <t>2,16</t>
  </si>
  <si>
    <t>53806</t>
  </si>
  <si>
    <t>53810</t>
  </si>
  <si>
    <t>53814</t>
  </si>
  <si>
    <t>53817</t>
  </si>
  <si>
    <t>53818</t>
  </si>
  <si>
    <t>4,21</t>
  </si>
  <si>
    <t>53827</t>
  </si>
  <si>
    <t>53829</t>
  </si>
  <si>
    <t>53831</t>
  </si>
  <si>
    <t>53840</t>
  </si>
  <si>
    <t>53841</t>
  </si>
  <si>
    <t>0,81</t>
  </si>
  <si>
    <t>53849</t>
  </si>
  <si>
    <t>53857</t>
  </si>
  <si>
    <t>53858</t>
  </si>
  <si>
    <t>53861</t>
  </si>
  <si>
    <t>53863</t>
  </si>
  <si>
    <t>1,36</t>
  </si>
  <si>
    <t>53865</t>
  </si>
  <si>
    <t>53866</t>
  </si>
  <si>
    <t>53882</t>
  </si>
  <si>
    <t>55263</t>
  </si>
  <si>
    <t>73303</t>
  </si>
  <si>
    <t>3,12</t>
  </si>
  <si>
    <t>73307</t>
  </si>
  <si>
    <t>2,79</t>
  </si>
  <si>
    <t>73309</t>
  </si>
  <si>
    <t>73311</t>
  </si>
  <si>
    <t>73313</t>
  </si>
  <si>
    <t>3,80</t>
  </si>
  <si>
    <t>73315</t>
  </si>
  <si>
    <t>73335</t>
  </si>
  <si>
    <t>73340</t>
  </si>
  <si>
    <t>83361</t>
  </si>
  <si>
    <t>83761</t>
  </si>
  <si>
    <t>83762</t>
  </si>
  <si>
    <t>83763</t>
  </si>
  <si>
    <t>83764</t>
  </si>
  <si>
    <t>1,50</t>
  </si>
  <si>
    <t>87026</t>
  </si>
  <si>
    <t>87441</t>
  </si>
  <si>
    <t>0,24</t>
  </si>
  <si>
    <t>87442</t>
  </si>
  <si>
    <t>0,05</t>
  </si>
  <si>
    <t>87443</t>
  </si>
  <si>
    <t>87444</t>
  </si>
  <si>
    <t>2,23</t>
  </si>
  <si>
    <t>88387</t>
  </si>
  <si>
    <t>88389</t>
  </si>
  <si>
    <t>0,10</t>
  </si>
  <si>
    <t>88390</t>
  </si>
  <si>
    <t>88391</t>
  </si>
  <si>
    <t>88394</t>
  </si>
  <si>
    <t>0,56</t>
  </si>
  <si>
    <t>88395</t>
  </si>
  <si>
    <t>0,12</t>
  </si>
  <si>
    <t>88396</t>
  </si>
  <si>
    <t>88397</t>
  </si>
  <si>
    <t>88400</t>
  </si>
  <si>
    <t>0,44</t>
  </si>
  <si>
    <t>88401</t>
  </si>
  <si>
    <t>88402</t>
  </si>
  <si>
    <t>0,55</t>
  </si>
  <si>
    <t>88403</t>
  </si>
  <si>
    <t>0,86</t>
  </si>
  <si>
    <t>88419</t>
  </si>
  <si>
    <t>2,91</t>
  </si>
  <si>
    <t>88422</t>
  </si>
  <si>
    <t>0,65</t>
  </si>
  <si>
    <t>88425</t>
  </si>
  <si>
    <t>88427</t>
  </si>
  <si>
    <t>88434</t>
  </si>
  <si>
    <t>88435</t>
  </si>
  <si>
    <t>88436</t>
  </si>
  <si>
    <t>88437</t>
  </si>
  <si>
    <t>88569</t>
  </si>
  <si>
    <t>88570</t>
  </si>
  <si>
    <t>88826</t>
  </si>
  <si>
    <t>88827</t>
  </si>
  <si>
    <t>88828</t>
  </si>
  <si>
    <t>88829</t>
  </si>
  <si>
    <t>5,74</t>
  </si>
  <si>
    <t>88839</t>
  </si>
  <si>
    <t>88840</t>
  </si>
  <si>
    <t>7,27</t>
  </si>
  <si>
    <t>88841</t>
  </si>
  <si>
    <t>88842</t>
  </si>
  <si>
    <t>88847</t>
  </si>
  <si>
    <t>88848</t>
  </si>
  <si>
    <t>88853</t>
  </si>
  <si>
    <t>0,14</t>
  </si>
  <si>
    <t>88854</t>
  </si>
  <si>
    <t>88855</t>
  </si>
  <si>
    <t>88856</t>
  </si>
  <si>
    <t>0,39</t>
  </si>
  <si>
    <t>88857</t>
  </si>
  <si>
    <t>88858</t>
  </si>
  <si>
    <t>3,32</t>
  </si>
  <si>
    <t>88859</t>
  </si>
  <si>
    <t>11,48</t>
  </si>
  <si>
    <t>88860</t>
  </si>
  <si>
    <t>88900</t>
  </si>
  <si>
    <t>88902</t>
  </si>
  <si>
    <t>88903</t>
  </si>
  <si>
    <t>88904</t>
  </si>
  <si>
    <t>89009</t>
  </si>
  <si>
    <t>89010</t>
  </si>
  <si>
    <t>9,01</t>
  </si>
  <si>
    <t>89011</t>
  </si>
  <si>
    <t>89012</t>
  </si>
  <si>
    <t>89013</t>
  </si>
  <si>
    <t>89014</t>
  </si>
  <si>
    <t>89015</t>
  </si>
  <si>
    <t>1,73</t>
  </si>
  <si>
    <t>89016</t>
  </si>
  <si>
    <t>89017</t>
  </si>
  <si>
    <t>89018</t>
  </si>
  <si>
    <t>89019</t>
  </si>
  <si>
    <t>89020</t>
  </si>
  <si>
    <t>89023</t>
  </si>
  <si>
    <t>89024</t>
  </si>
  <si>
    <t>0,74</t>
  </si>
  <si>
    <t>89025</t>
  </si>
  <si>
    <t>3,48</t>
  </si>
  <si>
    <t>89026</t>
  </si>
  <si>
    <t>89029</t>
  </si>
  <si>
    <t>89030</t>
  </si>
  <si>
    <t>6,95</t>
  </si>
  <si>
    <t>89033</t>
  </si>
  <si>
    <t>89034</t>
  </si>
  <si>
    <t>1,63</t>
  </si>
  <si>
    <t>89128</t>
  </si>
  <si>
    <t>89129</t>
  </si>
  <si>
    <t>89130</t>
  </si>
  <si>
    <t>89131</t>
  </si>
  <si>
    <t>89210</t>
  </si>
  <si>
    <t>13,94</t>
  </si>
  <si>
    <t>89211</t>
  </si>
  <si>
    <t>89212</t>
  </si>
  <si>
    <t>89213</t>
  </si>
  <si>
    <t>89214</t>
  </si>
  <si>
    <t>89215</t>
  </si>
  <si>
    <t>89221</t>
  </si>
  <si>
    <t>89222</t>
  </si>
  <si>
    <t>89223</t>
  </si>
  <si>
    <t>89224</t>
  </si>
  <si>
    <t>89228</t>
  </si>
  <si>
    <t>89229</t>
  </si>
  <si>
    <t>7,84</t>
  </si>
  <si>
    <t>89230</t>
  </si>
  <si>
    <t>89231</t>
  </si>
  <si>
    <t>89232</t>
  </si>
  <si>
    <t>89233</t>
  </si>
  <si>
    <t>89236</t>
  </si>
  <si>
    <t>89237</t>
  </si>
  <si>
    <t>89238</t>
  </si>
  <si>
    <t>89239</t>
  </si>
  <si>
    <t>89240</t>
  </si>
  <si>
    <t>89241</t>
  </si>
  <si>
    <t>89246</t>
  </si>
  <si>
    <t>89247</t>
  </si>
  <si>
    <t>89248</t>
  </si>
  <si>
    <t>89249</t>
  </si>
  <si>
    <t>89253</t>
  </si>
  <si>
    <t>89254</t>
  </si>
  <si>
    <t>89255</t>
  </si>
  <si>
    <t>89256</t>
  </si>
  <si>
    <t>89259</t>
  </si>
  <si>
    <t>89260</t>
  </si>
  <si>
    <t>89262</t>
  </si>
  <si>
    <t>89264</t>
  </si>
  <si>
    <t>6,53</t>
  </si>
  <si>
    <t>89265</t>
  </si>
  <si>
    <t>89266</t>
  </si>
  <si>
    <t>0,52</t>
  </si>
  <si>
    <t>89267</t>
  </si>
  <si>
    <t>89268</t>
  </si>
  <si>
    <t>7,90</t>
  </si>
  <si>
    <t>89269</t>
  </si>
  <si>
    <t>89270</t>
  </si>
  <si>
    <t>89271</t>
  </si>
  <si>
    <t>89274</t>
  </si>
  <si>
    <t>89275</t>
  </si>
  <si>
    <t>89276</t>
  </si>
  <si>
    <t>89277</t>
  </si>
  <si>
    <t>4,46</t>
  </si>
  <si>
    <t>89280</t>
  </si>
  <si>
    <t>89281</t>
  </si>
  <si>
    <t>89870</t>
  </si>
  <si>
    <t>89871</t>
  </si>
  <si>
    <t>5,93</t>
  </si>
  <si>
    <t>89872</t>
  </si>
  <si>
    <t>1,22</t>
  </si>
  <si>
    <t>89873</t>
  </si>
  <si>
    <t>89874</t>
  </si>
  <si>
    <t>89878</t>
  </si>
  <si>
    <t>89879</t>
  </si>
  <si>
    <t>89880</t>
  </si>
  <si>
    <t>89881</t>
  </si>
  <si>
    <t>89882</t>
  </si>
  <si>
    <t>90582</t>
  </si>
  <si>
    <t>0,23</t>
  </si>
  <si>
    <t>90583</t>
  </si>
  <si>
    <t>90584</t>
  </si>
  <si>
    <t>90585</t>
  </si>
  <si>
    <t>90621</t>
  </si>
  <si>
    <t>1,45</t>
  </si>
  <si>
    <t>90622</t>
  </si>
  <si>
    <t>0,32</t>
  </si>
  <si>
    <t>90623</t>
  </si>
  <si>
    <t>1,81</t>
  </si>
  <si>
    <t>90624</t>
  </si>
  <si>
    <t>90627</t>
  </si>
  <si>
    <t>90628</t>
  </si>
  <si>
    <t>6,25</t>
  </si>
  <si>
    <t>90629</t>
  </si>
  <si>
    <t>90630</t>
  </si>
  <si>
    <t>90633</t>
  </si>
  <si>
    <t>90634</t>
  </si>
  <si>
    <t>0,50</t>
  </si>
  <si>
    <t>90635</t>
  </si>
  <si>
    <t>90636</t>
  </si>
  <si>
    <t>90639</t>
  </si>
  <si>
    <t>90640</t>
  </si>
  <si>
    <t>90641</t>
  </si>
  <si>
    <t>3,65</t>
  </si>
  <si>
    <t>90642</t>
  </si>
  <si>
    <t>90646</t>
  </si>
  <si>
    <t>0,51</t>
  </si>
  <si>
    <t>90647</t>
  </si>
  <si>
    <t>90648</t>
  </si>
  <si>
    <t>90649</t>
  </si>
  <si>
    <t>90652</t>
  </si>
  <si>
    <t>90653</t>
  </si>
  <si>
    <t>90654</t>
  </si>
  <si>
    <t>2,38</t>
  </si>
  <si>
    <t>90655</t>
  </si>
  <si>
    <t>90658</t>
  </si>
  <si>
    <t>2,33</t>
  </si>
  <si>
    <t>90659</t>
  </si>
  <si>
    <t>90660</t>
  </si>
  <si>
    <t>90661</t>
  </si>
  <si>
    <t>90664</t>
  </si>
  <si>
    <t>90665</t>
  </si>
  <si>
    <t>90666</t>
  </si>
  <si>
    <t>90667</t>
  </si>
  <si>
    <t>90670</t>
  </si>
  <si>
    <t>90671</t>
  </si>
  <si>
    <t>90672</t>
  </si>
  <si>
    <t>90673</t>
  </si>
  <si>
    <t>90676</t>
  </si>
  <si>
    <t>90677</t>
  </si>
  <si>
    <t>90678</t>
  </si>
  <si>
    <t>90679</t>
  </si>
  <si>
    <t>90682</t>
  </si>
  <si>
    <t>90683</t>
  </si>
  <si>
    <t>90684</t>
  </si>
  <si>
    <t>90685</t>
  </si>
  <si>
    <t>90688</t>
  </si>
  <si>
    <t>90689</t>
  </si>
  <si>
    <t>90690</t>
  </si>
  <si>
    <t>90691</t>
  </si>
  <si>
    <t>90957</t>
  </si>
  <si>
    <t>1,92</t>
  </si>
  <si>
    <t>90958</t>
  </si>
  <si>
    <t>90960</t>
  </si>
  <si>
    <t>2,56</t>
  </si>
  <si>
    <t>90961</t>
  </si>
  <si>
    <t>0,67</t>
  </si>
  <si>
    <t>90962</t>
  </si>
  <si>
    <t>3,21</t>
  </si>
  <si>
    <t>90963</t>
  </si>
  <si>
    <t>90968</t>
  </si>
  <si>
    <t>90969</t>
  </si>
  <si>
    <t>90970</t>
  </si>
  <si>
    <t>3,22</t>
  </si>
  <si>
    <t>90971</t>
  </si>
  <si>
    <t>90975</t>
  </si>
  <si>
    <t>6,54</t>
  </si>
  <si>
    <t>90976</t>
  </si>
  <si>
    <t>1,71</t>
  </si>
  <si>
    <t>90977</t>
  </si>
  <si>
    <t>90978</t>
  </si>
  <si>
    <t>90992</t>
  </si>
  <si>
    <t>90993</t>
  </si>
  <si>
    <t>90994</t>
  </si>
  <si>
    <t>3,82</t>
  </si>
  <si>
    <t>90995</t>
  </si>
  <si>
    <t>91021</t>
  </si>
  <si>
    <t>3,02</t>
  </si>
  <si>
    <t>91026</t>
  </si>
  <si>
    <t>91027</t>
  </si>
  <si>
    <t>91028</t>
  </si>
  <si>
    <t>91029</t>
  </si>
  <si>
    <t>91030</t>
  </si>
  <si>
    <t>91273</t>
  </si>
  <si>
    <t>0,43</t>
  </si>
  <si>
    <t>91274</t>
  </si>
  <si>
    <t>91275</t>
  </si>
  <si>
    <t>91276</t>
  </si>
  <si>
    <t>91279</t>
  </si>
  <si>
    <t>91280</t>
  </si>
  <si>
    <t>91281</t>
  </si>
  <si>
    <t>0,58</t>
  </si>
  <si>
    <t>91282</t>
  </si>
  <si>
    <t>91354</t>
  </si>
  <si>
    <t>91355</t>
  </si>
  <si>
    <t>91356</t>
  </si>
  <si>
    <t>0,60</t>
  </si>
  <si>
    <t>91359</t>
  </si>
  <si>
    <t>91360</t>
  </si>
  <si>
    <t>3,25</t>
  </si>
  <si>
    <t>91361</t>
  </si>
  <si>
    <t>0,66</t>
  </si>
  <si>
    <t>91367</t>
  </si>
  <si>
    <t>91368</t>
  </si>
  <si>
    <t>91369</t>
  </si>
  <si>
    <t>91375</t>
  </si>
  <si>
    <t>91376</t>
  </si>
  <si>
    <t>2,47</t>
  </si>
  <si>
    <t>91377</t>
  </si>
  <si>
    <t>91380</t>
  </si>
  <si>
    <t>91381</t>
  </si>
  <si>
    <t>4,08</t>
  </si>
  <si>
    <t>91382</t>
  </si>
  <si>
    <t>0,84</t>
  </si>
  <si>
    <t>91383</t>
  </si>
  <si>
    <t>91384</t>
  </si>
  <si>
    <t>91390</t>
  </si>
  <si>
    <t>91391</t>
  </si>
  <si>
    <t>91392</t>
  </si>
  <si>
    <t>91396</t>
  </si>
  <si>
    <t>91397</t>
  </si>
  <si>
    <t>91398</t>
  </si>
  <si>
    <t>91402</t>
  </si>
  <si>
    <t>91466</t>
  </si>
  <si>
    <t>91467</t>
  </si>
  <si>
    <t>91468</t>
  </si>
  <si>
    <t>11,73</t>
  </si>
  <si>
    <t>91469</t>
  </si>
  <si>
    <t>91484</t>
  </si>
  <si>
    <t>91485</t>
  </si>
  <si>
    <t>91529</t>
  </si>
  <si>
    <t>91530</t>
  </si>
  <si>
    <t>91531</t>
  </si>
  <si>
    <t>0,79</t>
  </si>
  <si>
    <t>91532</t>
  </si>
  <si>
    <t>91629</t>
  </si>
  <si>
    <t>91630</t>
  </si>
  <si>
    <t>91631</t>
  </si>
  <si>
    <t>91632</t>
  </si>
  <si>
    <t>91633</t>
  </si>
  <si>
    <t>91640</t>
  </si>
  <si>
    <t>91641</t>
  </si>
  <si>
    <t>91642</t>
  </si>
  <si>
    <t>1,56</t>
  </si>
  <si>
    <t>91643</t>
  </si>
  <si>
    <t>91644</t>
  </si>
  <si>
    <t>91688</t>
  </si>
  <si>
    <t>91689</t>
  </si>
  <si>
    <t>0,01</t>
  </si>
  <si>
    <t>91690</t>
  </si>
  <si>
    <t>91691</t>
  </si>
  <si>
    <t>92040</t>
  </si>
  <si>
    <t>92041</t>
  </si>
  <si>
    <t>92042</t>
  </si>
  <si>
    <t>92101</t>
  </si>
  <si>
    <t>92102</t>
  </si>
  <si>
    <t>92103</t>
  </si>
  <si>
    <t>92104</t>
  </si>
  <si>
    <t>92105</t>
  </si>
  <si>
    <t>92108</t>
  </si>
  <si>
    <t>92109</t>
  </si>
  <si>
    <t>92110</t>
  </si>
  <si>
    <t>0,40</t>
  </si>
  <si>
    <t>92111</t>
  </si>
  <si>
    <t>92114</t>
  </si>
  <si>
    <t>92115</t>
  </si>
  <si>
    <t>92116</t>
  </si>
  <si>
    <t>0,07</t>
  </si>
  <si>
    <t>92133</t>
  </si>
  <si>
    <t>92134</t>
  </si>
  <si>
    <t>92135</t>
  </si>
  <si>
    <t>0,45</t>
  </si>
  <si>
    <t>92136</t>
  </si>
  <si>
    <t>92137</t>
  </si>
  <si>
    <t>92140</t>
  </si>
  <si>
    <t>2,20</t>
  </si>
  <si>
    <t>92141</t>
  </si>
  <si>
    <t>92142</t>
  </si>
  <si>
    <t>92143</t>
  </si>
  <si>
    <t>92144</t>
  </si>
  <si>
    <t>92237</t>
  </si>
  <si>
    <t>14,04</t>
  </si>
  <si>
    <t>92238</t>
  </si>
  <si>
    <t>92239</t>
  </si>
  <si>
    <t>92240</t>
  </si>
  <si>
    <t>92241</t>
  </si>
  <si>
    <t>92712</t>
  </si>
  <si>
    <t>92713</t>
  </si>
  <si>
    <t>92714</t>
  </si>
  <si>
    <t>92715</t>
  </si>
  <si>
    <t>92956</t>
  </si>
  <si>
    <t>92957</t>
  </si>
  <si>
    <t>92958</t>
  </si>
  <si>
    <t>3,93</t>
  </si>
  <si>
    <t>92959</t>
  </si>
  <si>
    <t>6,16</t>
  </si>
  <si>
    <t>92963</t>
  </si>
  <si>
    <t>1,12</t>
  </si>
  <si>
    <t>92964</t>
  </si>
  <si>
    <t>0,25</t>
  </si>
  <si>
    <t>92965</t>
  </si>
  <si>
    <t>1,40</t>
  </si>
  <si>
    <t>93220</t>
  </si>
  <si>
    <t>93221</t>
  </si>
  <si>
    <t>93222</t>
  </si>
  <si>
    <t>93223</t>
  </si>
  <si>
    <t>93229</t>
  </si>
  <si>
    <t>93230</t>
  </si>
  <si>
    <t>93231</t>
  </si>
  <si>
    <t>93232</t>
  </si>
  <si>
    <t>3,31</t>
  </si>
  <si>
    <t>93235</t>
  </si>
  <si>
    <t>93238</t>
  </si>
  <si>
    <t>1,10</t>
  </si>
  <si>
    <t>93239</t>
  </si>
  <si>
    <t>93240</t>
  </si>
  <si>
    <t>93267</t>
  </si>
  <si>
    <t>93269</t>
  </si>
  <si>
    <t>93270</t>
  </si>
  <si>
    <t>93271</t>
  </si>
  <si>
    <t>4,30</t>
  </si>
  <si>
    <t>93277</t>
  </si>
  <si>
    <t>93278</t>
  </si>
  <si>
    <t>93279</t>
  </si>
  <si>
    <t>93280</t>
  </si>
  <si>
    <t>0,35</t>
  </si>
  <si>
    <t>93283</t>
  </si>
  <si>
    <t>93284</t>
  </si>
  <si>
    <t>93285</t>
  </si>
  <si>
    <t>93286</t>
  </si>
  <si>
    <t>93296</t>
  </si>
  <si>
    <t>93397</t>
  </si>
  <si>
    <t>93398</t>
  </si>
  <si>
    <t>93399</t>
  </si>
  <si>
    <t>93400</t>
  </si>
  <si>
    <t>93401</t>
  </si>
  <si>
    <t>93404</t>
  </si>
  <si>
    <t>3,61</t>
  </si>
  <si>
    <t>93405</t>
  </si>
  <si>
    <t>93406</t>
  </si>
  <si>
    <t>4,52</t>
  </si>
  <si>
    <t>93407</t>
  </si>
  <si>
    <t>93411</t>
  </si>
  <si>
    <t>0,15</t>
  </si>
  <si>
    <t>93412</t>
  </si>
  <si>
    <t>93413</t>
  </si>
  <si>
    <t>93414</t>
  </si>
  <si>
    <t>93417</t>
  </si>
  <si>
    <t>93418</t>
  </si>
  <si>
    <t>93419</t>
  </si>
  <si>
    <t>1,75</t>
  </si>
  <si>
    <t>93420</t>
  </si>
  <si>
    <t>93423</t>
  </si>
  <si>
    <t>2,78</t>
  </si>
  <si>
    <t>93424</t>
  </si>
  <si>
    <t>0,95</t>
  </si>
  <si>
    <t>93425</t>
  </si>
  <si>
    <t>93426</t>
  </si>
  <si>
    <t>93429</t>
  </si>
  <si>
    <t>93430</t>
  </si>
  <si>
    <t>21,92</t>
  </si>
  <si>
    <t>93431</t>
  </si>
  <si>
    <t>93432</t>
  </si>
  <si>
    <t>93435</t>
  </si>
  <si>
    <t>93436</t>
  </si>
  <si>
    <t>93437</t>
  </si>
  <si>
    <t>6,49</t>
  </si>
  <si>
    <t>93438</t>
  </si>
  <si>
    <t>95114</t>
  </si>
  <si>
    <t>1,09</t>
  </si>
  <si>
    <t>95115</t>
  </si>
  <si>
    <t>95116</t>
  </si>
  <si>
    <t>31,99</t>
  </si>
  <si>
    <t>95117</t>
  </si>
  <si>
    <t>95118</t>
  </si>
  <si>
    <t>95119</t>
  </si>
  <si>
    <t>95120</t>
  </si>
  <si>
    <t>95123</t>
  </si>
  <si>
    <t>95124</t>
  </si>
  <si>
    <t>95125</t>
  </si>
  <si>
    <t>95126</t>
  </si>
  <si>
    <t>95129</t>
  </si>
  <si>
    <t>95130</t>
  </si>
  <si>
    <t>6,22</t>
  </si>
  <si>
    <t>95131</t>
  </si>
  <si>
    <t>95132</t>
  </si>
  <si>
    <t>16,98</t>
  </si>
  <si>
    <t>95136</t>
  </si>
  <si>
    <t>95137</t>
  </si>
  <si>
    <t>95138</t>
  </si>
  <si>
    <t>95208</t>
  </si>
  <si>
    <t>95209</t>
  </si>
  <si>
    <t>95210</t>
  </si>
  <si>
    <t>95211</t>
  </si>
  <si>
    <t>95217</t>
  </si>
  <si>
    <t>95255</t>
  </si>
  <si>
    <t>0,97</t>
  </si>
  <si>
    <t>95256</t>
  </si>
  <si>
    <t>95257</t>
  </si>
  <si>
    <t>95260</t>
  </si>
  <si>
    <t>95261</t>
  </si>
  <si>
    <t>95262</t>
  </si>
  <si>
    <t>95263</t>
  </si>
  <si>
    <t>95266</t>
  </si>
  <si>
    <t>0,41</t>
  </si>
  <si>
    <t>95267</t>
  </si>
  <si>
    <t>0,08</t>
  </si>
  <si>
    <t>95268</t>
  </si>
  <si>
    <t>95269</t>
  </si>
  <si>
    <t>95272</t>
  </si>
  <si>
    <t>95273</t>
  </si>
  <si>
    <t>0,09</t>
  </si>
  <si>
    <t>95274</t>
  </si>
  <si>
    <t>95275</t>
  </si>
  <si>
    <t>95278</t>
  </si>
  <si>
    <t>95279</t>
  </si>
  <si>
    <t>95280</t>
  </si>
  <si>
    <t>0,34</t>
  </si>
  <si>
    <t>95281</t>
  </si>
  <si>
    <t>95617</t>
  </si>
  <si>
    <t>95618</t>
  </si>
  <si>
    <t>95619</t>
  </si>
  <si>
    <t>95627</t>
  </si>
  <si>
    <t>20,86</t>
  </si>
  <si>
    <t>95628</t>
  </si>
  <si>
    <t>5,48</t>
  </si>
  <si>
    <t>95629</t>
  </si>
  <si>
    <t>26,11</t>
  </si>
  <si>
    <t>95630</t>
  </si>
  <si>
    <t>95698</t>
  </si>
  <si>
    <t>95699</t>
  </si>
  <si>
    <t>95700</t>
  </si>
  <si>
    <t>95701</t>
  </si>
  <si>
    <t>95704</t>
  </si>
  <si>
    <t>95705</t>
  </si>
  <si>
    <t>95706</t>
  </si>
  <si>
    <t>95707</t>
  </si>
  <si>
    <t>7,05</t>
  </si>
  <si>
    <t>95716</t>
  </si>
  <si>
    <t>95717</t>
  </si>
  <si>
    <t>95718</t>
  </si>
  <si>
    <t>95719</t>
  </si>
  <si>
    <t>95869</t>
  </si>
  <si>
    <t>95870</t>
  </si>
  <si>
    <t>95871</t>
  </si>
  <si>
    <t>95874</t>
  </si>
  <si>
    <t>4,45</t>
  </si>
  <si>
    <t>96008</t>
  </si>
  <si>
    <t>96009</t>
  </si>
  <si>
    <t>96011</t>
  </si>
  <si>
    <t>96012</t>
  </si>
  <si>
    <t>96015</t>
  </si>
  <si>
    <t>10,02</t>
  </si>
  <si>
    <t>96016</t>
  </si>
  <si>
    <t>96018</t>
  </si>
  <si>
    <t>96019</t>
  </si>
  <si>
    <t>96023</t>
  </si>
  <si>
    <t>96024</t>
  </si>
  <si>
    <t>96026</t>
  </si>
  <si>
    <t>8,49</t>
  </si>
  <si>
    <t>96027</t>
  </si>
  <si>
    <t>96030</t>
  </si>
  <si>
    <t>96031</t>
  </si>
  <si>
    <t>4,78</t>
  </si>
  <si>
    <t>96032</t>
  </si>
  <si>
    <t>0,98</t>
  </si>
  <si>
    <t>96033</t>
  </si>
  <si>
    <t>25,67</t>
  </si>
  <si>
    <t>96034</t>
  </si>
  <si>
    <t>96053</t>
  </si>
  <si>
    <t>96054</t>
  </si>
  <si>
    <t>12,87</t>
  </si>
  <si>
    <t>96055</t>
  </si>
  <si>
    <t>96056</t>
  </si>
  <si>
    <t>96057</t>
  </si>
  <si>
    <t>96060</t>
  </si>
  <si>
    <t>96061</t>
  </si>
  <si>
    <t>96062</t>
  </si>
  <si>
    <t>96241</t>
  </si>
  <si>
    <t>11,05</t>
  </si>
  <si>
    <t>96242</t>
  </si>
  <si>
    <t>96243</t>
  </si>
  <si>
    <t>13,81</t>
  </si>
  <si>
    <t>96244</t>
  </si>
  <si>
    <t>96301</t>
  </si>
  <si>
    <t>96457</t>
  </si>
  <si>
    <t>96458</t>
  </si>
  <si>
    <t>96459</t>
  </si>
  <si>
    <t>96460</t>
  </si>
  <si>
    <t>4,01</t>
  </si>
  <si>
    <t>1,70</t>
  </si>
  <si>
    <t>92259</t>
  </si>
  <si>
    <t>92260</t>
  </si>
  <si>
    <t>92261</t>
  </si>
  <si>
    <t>92262</t>
  </si>
  <si>
    <t>92539</t>
  </si>
  <si>
    <t>92540</t>
  </si>
  <si>
    <t>92541</t>
  </si>
  <si>
    <t>92542</t>
  </si>
  <si>
    <t>92543</t>
  </si>
  <si>
    <t>92544</t>
  </si>
  <si>
    <t>92545</t>
  </si>
  <si>
    <t>92546</t>
  </si>
  <si>
    <t>92547</t>
  </si>
  <si>
    <t>92548</t>
  </si>
  <si>
    <t>92549</t>
  </si>
  <si>
    <t>92550</t>
  </si>
  <si>
    <t>92551</t>
  </si>
  <si>
    <t>92552</t>
  </si>
  <si>
    <t>92553</t>
  </si>
  <si>
    <t>92554</t>
  </si>
  <si>
    <t>92555</t>
  </si>
  <si>
    <t>92556</t>
  </si>
  <si>
    <t>92557</t>
  </si>
  <si>
    <t>92558</t>
  </si>
  <si>
    <t>92559</t>
  </si>
  <si>
    <t>92560</t>
  </si>
  <si>
    <t>92561</t>
  </si>
  <si>
    <t>92562</t>
  </si>
  <si>
    <t>92563</t>
  </si>
  <si>
    <t>92564</t>
  </si>
  <si>
    <t>94189</t>
  </si>
  <si>
    <t>19,72</t>
  </si>
  <si>
    <t>94192</t>
  </si>
  <si>
    <t>94195</t>
  </si>
  <si>
    <t>94198</t>
  </si>
  <si>
    <t>94201</t>
  </si>
  <si>
    <t>94204</t>
  </si>
  <si>
    <t>94224</t>
  </si>
  <si>
    <t>94226</t>
  </si>
  <si>
    <t>6,04</t>
  </si>
  <si>
    <t>94232</t>
  </si>
  <si>
    <t>1,78</t>
  </si>
  <si>
    <t>94440</t>
  </si>
  <si>
    <t>94441</t>
  </si>
  <si>
    <t>94442</t>
  </si>
  <si>
    <t>94443</t>
  </si>
  <si>
    <t>94445</t>
  </si>
  <si>
    <t>94446</t>
  </si>
  <si>
    <t>94447</t>
  </si>
  <si>
    <t>94448</t>
  </si>
  <si>
    <t>94207</t>
  </si>
  <si>
    <t>94210</t>
  </si>
  <si>
    <t>94218</t>
  </si>
  <si>
    <t>94213</t>
  </si>
  <si>
    <t>94216</t>
  </si>
  <si>
    <t>94219</t>
  </si>
  <si>
    <t>94220</t>
  </si>
  <si>
    <t>94221</t>
  </si>
  <si>
    <t>94222</t>
  </si>
  <si>
    <t>94223</t>
  </si>
  <si>
    <t>94451</t>
  </si>
  <si>
    <t>94227</t>
  </si>
  <si>
    <t>94228</t>
  </si>
  <si>
    <t>94229</t>
  </si>
  <si>
    <t>94231</t>
  </si>
  <si>
    <t>94449</t>
  </si>
  <si>
    <t>92255</t>
  </si>
  <si>
    <t>92256</t>
  </si>
  <si>
    <t>92257</t>
  </si>
  <si>
    <t>92258</t>
  </si>
  <si>
    <t>92568</t>
  </si>
  <si>
    <t>92569</t>
  </si>
  <si>
    <t>92570</t>
  </si>
  <si>
    <t>92571</t>
  </si>
  <si>
    <t>92572</t>
  </si>
  <si>
    <t>92573</t>
  </si>
  <si>
    <t>92574</t>
  </si>
  <si>
    <t>92575</t>
  </si>
  <si>
    <t>92576</t>
  </si>
  <si>
    <t>9,37</t>
  </si>
  <si>
    <t>92577</t>
  </si>
  <si>
    <t>92578</t>
  </si>
  <si>
    <t>92579</t>
  </si>
  <si>
    <t>92580</t>
  </si>
  <si>
    <t>92581</t>
  </si>
  <si>
    <t>92582</t>
  </si>
  <si>
    <t>92584</t>
  </si>
  <si>
    <t>92586</t>
  </si>
  <si>
    <t>92588</t>
  </si>
  <si>
    <t>92590</t>
  </si>
  <si>
    <t>92592</t>
  </si>
  <si>
    <t>92594</t>
  </si>
  <si>
    <t>92596</t>
  </si>
  <si>
    <t>92598</t>
  </si>
  <si>
    <t>92600</t>
  </si>
  <si>
    <t>92602</t>
  </si>
  <si>
    <t>92604</t>
  </si>
  <si>
    <t>92606</t>
  </si>
  <si>
    <t>92608</t>
  </si>
  <si>
    <t>92610</t>
  </si>
  <si>
    <t>92612</t>
  </si>
  <si>
    <t>92614</t>
  </si>
  <si>
    <t>92616</t>
  </si>
  <si>
    <t>92618</t>
  </si>
  <si>
    <t>92620</t>
  </si>
  <si>
    <t>94444</t>
  </si>
  <si>
    <t>4,95</t>
  </si>
  <si>
    <t>5,77</t>
  </si>
  <si>
    <t>11,31</t>
  </si>
  <si>
    <t>83665</t>
  </si>
  <si>
    <t>7,46</t>
  </si>
  <si>
    <t>92743</t>
  </si>
  <si>
    <t>92744</t>
  </si>
  <si>
    <t>92745</t>
  </si>
  <si>
    <t>92746</t>
  </si>
  <si>
    <t>92747</t>
  </si>
  <si>
    <t>92748</t>
  </si>
  <si>
    <t>92749</t>
  </si>
  <si>
    <t>92750</t>
  </si>
  <si>
    <t>92751</t>
  </si>
  <si>
    <t>92752</t>
  </si>
  <si>
    <t>92753</t>
  </si>
  <si>
    <t>92754</t>
  </si>
  <si>
    <t>92755</t>
  </si>
  <si>
    <t>92756</t>
  </si>
  <si>
    <t>92757</t>
  </si>
  <si>
    <t>92758</t>
  </si>
  <si>
    <t>91069</t>
  </si>
  <si>
    <t>91070</t>
  </si>
  <si>
    <t>91071</t>
  </si>
  <si>
    <t>91072</t>
  </si>
  <si>
    <t>91073</t>
  </si>
  <si>
    <t>91074</t>
  </si>
  <si>
    <t>91075</t>
  </si>
  <si>
    <t>91076</t>
  </si>
  <si>
    <t>91077</t>
  </si>
  <si>
    <t>91078</t>
  </si>
  <si>
    <t>91079</t>
  </si>
  <si>
    <t>91080</t>
  </si>
  <si>
    <t>91081</t>
  </si>
  <si>
    <t>91082</t>
  </si>
  <si>
    <t>91083</t>
  </si>
  <si>
    <t>91084</t>
  </si>
  <si>
    <t>91086</t>
  </si>
  <si>
    <t>91087</t>
  </si>
  <si>
    <t>91088</t>
  </si>
  <si>
    <t>91089</t>
  </si>
  <si>
    <t>91090</t>
  </si>
  <si>
    <t>91091</t>
  </si>
  <si>
    <t>91092</t>
  </si>
  <si>
    <t>91093</t>
  </si>
  <si>
    <t>91094</t>
  </si>
  <si>
    <t>91095</t>
  </si>
  <si>
    <t>91096</t>
  </si>
  <si>
    <t>91097</t>
  </si>
  <si>
    <t>91098</t>
  </si>
  <si>
    <t>91099</t>
  </si>
  <si>
    <t>91100</t>
  </si>
  <si>
    <t>91101</t>
  </si>
  <si>
    <t>93957</t>
  </si>
  <si>
    <t>93959</t>
  </si>
  <si>
    <t>93961</t>
  </si>
  <si>
    <t>93967</t>
  </si>
  <si>
    <t>93969</t>
  </si>
  <si>
    <t>93971</t>
  </si>
  <si>
    <t>95108</t>
  </si>
  <si>
    <t>94263</t>
  </si>
  <si>
    <t>94264</t>
  </si>
  <si>
    <t>94265</t>
  </si>
  <si>
    <t>94266</t>
  </si>
  <si>
    <t>94267</t>
  </si>
  <si>
    <t>94268</t>
  </si>
  <si>
    <t>94269</t>
  </si>
  <si>
    <t>94270</t>
  </si>
  <si>
    <t>94271</t>
  </si>
  <si>
    <t>94272</t>
  </si>
  <si>
    <t>94273</t>
  </si>
  <si>
    <t>94274</t>
  </si>
  <si>
    <t>94275</t>
  </si>
  <si>
    <t>94276</t>
  </si>
  <si>
    <t>94281</t>
  </si>
  <si>
    <t>94282</t>
  </si>
  <si>
    <t>94283</t>
  </si>
  <si>
    <t>94284</t>
  </si>
  <si>
    <t>94285</t>
  </si>
  <si>
    <t>94286</t>
  </si>
  <si>
    <t>94287</t>
  </si>
  <si>
    <t>94288</t>
  </si>
  <si>
    <t>94289</t>
  </si>
  <si>
    <t>94290</t>
  </si>
  <si>
    <t>94291</t>
  </si>
  <si>
    <t>94292</t>
  </si>
  <si>
    <t>94293</t>
  </si>
  <si>
    <t>94294</t>
  </si>
  <si>
    <t>15,45</t>
  </si>
  <si>
    <t>11,82</t>
  </si>
  <si>
    <t>90801</t>
  </si>
  <si>
    <t>90806</t>
  </si>
  <si>
    <t>90820</t>
  </si>
  <si>
    <t>90821</t>
  </si>
  <si>
    <t>90822</t>
  </si>
  <si>
    <t>90823</t>
  </si>
  <si>
    <t>22,55</t>
  </si>
  <si>
    <t>90830</t>
  </si>
  <si>
    <t>90831</t>
  </si>
  <si>
    <t>90841</t>
  </si>
  <si>
    <t>90842</t>
  </si>
  <si>
    <t>90843</t>
  </si>
  <si>
    <t>90844</t>
  </si>
  <si>
    <t>90847</t>
  </si>
  <si>
    <t>90848</t>
  </si>
  <si>
    <t>90849</t>
  </si>
  <si>
    <t>90850</t>
  </si>
  <si>
    <t>91009</t>
  </si>
  <si>
    <t>91010</t>
  </si>
  <si>
    <t>91011</t>
  </si>
  <si>
    <t>91012</t>
  </si>
  <si>
    <t>91013</t>
  </si>
  <si>
    <t>91014</t>
  </si>
  <si>
    <t>91015</t>
  </si>
  <si>
    <t>91016</t>
  </si>
  <si>
    <t>91287</t>
  </si>
  <si>
    <t>91292</t>
  </si>
  <si>
    <t>91295</t>
  </si>
  <si>
    <t>91296</t>
  </si>
  <si>
    <t>91297</t>
  </si>
  <si>
    <t>91298</t>
  </si>
  <si>
    <t>91299</t>
  </si>
  <si>
    <t>91304</t>
  </si>
  <si>
    <t>91305</t>
  </si>
  <si>
    <t>91306</t>
  </si>
  <si>
    <t>91307</t>
  </si>
  <si>
    <t>91312</t>
  </si>
  <si>
    <t>91313</t>
  </si>
  <si>
    <t>91314</t>
  </si>
  <si>
    <t>91315</t>
  </si>
  <si>
    <t>91318</t>
  </si>
  <si>
    <t>91319</t>
  </si>
  <si>
    <t>91320</t>
  </si>
  <si>
    <t>91321</t>
  </si>
  <si>
    <t>91324</t>
  </si>
  <si>
    <t>91325</t>
  </si>
  <si>
    <t>91326</t>
  </si>
  <si>
    <t>91327</t>
  </si>
  <si>
    <t>91328</t>
  </si>
  <si>
    <t>91329</t>
  </si>
  <si>
    <t>91330</t>
  </si>
  <si>
    <t>91331</t>
  </si>
  <si>
    <t>91332</t>
  </si>
  <si>
    <t>91333</t>
  </si>
  <si>
    <t>91334</t>
  </si>
  <si>
    <t>91335</t>
  </si>
  <si>
    <t>91336</t>
  </si>
  <si>
    <t>91337</t>
  </si>
  <si>
    <t>94559</t>
  </si>
  <si>
    <t>94562</t>
  </si>
  <si>
    <t>84862</t>
  </si>
  <si>
    <t>90838</t>
  </si>
  <si>
    <t>91338</t>
  </si>
  <si>
    <t>91341</t>
  </si>
  <si>
    <t>94805</t>
  </si>
  <si>
    <t>94806</t>
  </si>
  <si>
    <t>94807</t>
  </si>
  <si>
    <t>85005</t>
  </si>
  <si>
    <t>94569</t>
  </si>
  <si>
    <t>94570</t>
  </si>
  <si>
    <t>94572</t>
  </si>
  <si>
    <t>94573</t>
  </si>
  <si>
    <t>95601</t>
  </si>
  <si>
    <t>95602</t>
  </si>
  <si>
    <t>95603</t>
  </si>
  <si>
    <t>95604</t>
  </si>
  <si>
    <t>95605</t>
  </si>
  <si>
    <t>95607</t>
  </si>
  <si>
    <t>95608</t>
  </si>
  <si>
    <t>95609</t>
  </si>
  <si>
    <t>5,53</t>
  </si>
  <si>
    <t>95240</t>
  </si>
  <si>
    <t>9,96</t>
  </si>
  <si>
    <t>95241</t>
  </si>
  <si>
    <t>96616</t>
  </si>
  <si>
    <t>96617</t>
  </si>
  <si>
    <t>10,48</t>
  </si>
  <si>
    <t>96619</t>
  </si>
  <si>
    <t>96620</t>
  </si>
  <si>
    <t>96621</t>
  </si>
  <si>
    <t>96622</t>
  </si>
  <si>
    <t>96623</t>
  </si>
  <si>
    <t>96624</t>
  </si>
  <si>
    <t>97082</t>
  </si>
  <si>
    <t>97083</t>
  </si>
  <si>
    <t>97084</t>
  </si>
  <si>
    <t>97086</t>
  </si>
  <si>
    <t>97096</t>
  </si>
  <si>
    <t>11,04</t>
  </si>
  <si>
    <t>11,62</t>
  </si>
  <si>
    <t>92263</t>
  </si>
  <si>
    <t>92264</t>
  </si>
  <si>
    <t>92265</t>
  </si>
  <si>
    <t>92266</t>
  </si>
  <si>
    <t>92267</t>
  </si>
  <si>
    <t>92268</t>
  </si>
  <si>
    <t>92269</t>
  </si>
  <si>
    <t>92270</t>
  </si>
  <si>
    <t>92271</t>
  </si>
  <si>
    <t>92272</t>
  </si>
  <si>
    <t>92273</t>
  </si>
  <si>
    <t>92409</t>
  </si>
  <si>
    <t>92411</t>
  </si>
  <si>
    <t>92413</t>
  </si>
  <si>
    <t>92415</t>
  </si>
  <si>
    <t>92417</t>
  </si>
  <si>
    <t>92419</t>
  </si>
  <si>
    <t>92421</t>
  </si>
  <si>
    <t>92423</t>
  </si>
  <si>
    <t>92425</t>
  </si>
  <si>
    <t>92427</t>
  </si>
  <si>
    <t>92429</t>
  </si>
  <si>
    <t>92431</t>
  </si>
  <si>
    <t>92433</t>
  </si>
  <si>
    <t>92435</t>
  </si>
  <si>
    <t>92437</t>
  </si>
  <si>
    <t>92439</t>
  </si>
  <si>
    <t>92441</t>
  </si>
  <si>
    <t>92443</t>
  </si>
  <si>
    <t>92445</t>
  </si>
  <si>
    <t>92446</t>
  </si>
  <si>
    <t>92447</t>
  </si>
  <si>
    <t>92448</t>
  </si>
  <si>
    <t>92449</t>
  </si>
  <si>
    <t>92450</t>
  </si>
  <si>
    <t>92451</t>
  </si>
  <si>
    <t>92452</t>
  </si>
  <si>
    <t>92453</t>
  </si>
  <si>
    <t>92454</t>
  </si>
  <si>
    <t>92455</t>
  </si>
  <si>
    <t>92456</t>
  </si>
  <si>
    <t>92457</t>
  </si>
  <si>
    <t>92458</t>
  </si>
  <si>
    <t>92459</t>
  </si>
  <si>
    <t>92460</t>
  </si>
  <si>
    <t>92461</t>
  </si>
  <si>
    <t>92462</t>
  </si>
  <si>
    <t>92463</t>
  </si>
  <si>
    <t>92464</t>
  </si>
  <si>
    <t>92465</t>
  </si>
  <si>
    <t>92466</t>
  </si>
  <si>
    <t>92467</t>
  </si>
  <si>
    <t>92468</t>
  </si>
  <si>
    <t>92469</t>
  </si>
  <si>
    <t>92470</t>
  </si>
  <si>
    <t>92471</t>
  </si>
  <si>
    <t>92472</t>
  </si>
  <si>
    <t>92473</t>
  </si>
  <si>
    <t>92474</t>
  </si>
  <si>
    <t>92475</t>
  </si>
  <si>
    <t>92476</t>
  </si>
  <si>
    <t>92477</t>
  </si>
  <si>
    <t>92478</t>
  </si>
  <si>
    <t>92479</t>
  </si>
  <si>
    <t>92480</t>
  </si>
  <si>
    <t>92482</t>
  </si>
  <si>
    <t>92484</t>
  </si>
  <si>
    <t>92486</t>
  </si>
  <si>
    <t>92488</t>
  </si>
  <si>
    <t>92490</t>
  </si>
  <si>
    <t>92492</t>
  </si>
  <si>
    <t>92494</t>
  </si>
  <si>
    <t>92496</t>
  </si>
  <si>
    <t>92498</t>
  </si>
  <si>
    <t>92500</t>
  </si>
  <si>
    <t>92502</t>
  </si>
  <si>
    <t>92504</t>
  </si>
  <si>
    <t>92506</t>
  </si>
  <si>
    <t>92508</t>
  </si>
  <si>
    <t>92510</t>
  </si>
  <si>
    <t>92512</t>
  </si>
  <si>
    <t>92514</t>
  </si>
  <si>
    <t>92515</t>
  </si>
  <si>
    <t>92518</t>
  </si>
  <si>
    <t>92520</t>
  </si>
  <si>
    <t>92522</t>
  </si>
  <si>
    <t>92524</t>
  </si>
  <si>
    <t>92526</t>
  </si>
  <si>
    <t>92528</t>
  </si>
  <si>
    <t>92530</t>
  </si>
  <si>
    <t>92532</t>
  </si>
  <si>
    <t>92534</t>
  </si>
  <si>
    <t>92536</t>
  </si>
  <si>
    <t>15,36</t>
  </si>
  <si>
    <t>92538</t>
  </si>
  <si>
    <t>96252</t>
  </si>
  <si>
    <t>96258</t>
  </si>
  <si>
    <t>96529</t>
  </si>
  <si>
    <t>96530</t>
  </si>
  <si>
    <t>96531</t>
  </si>
  <si>
    <t>96532</t>
  </si>
  <si>
    <t>96533</t>
  </si>
  <si>
    <t>96534</t>
  </si>
  <si>
    <t>96535</t>
  </si>
  <si>
    <t>96536</t>
  </si>
  <si>
    <t>96537</t>
  </si>
  <si>
    <t>96538</t>
  </si>
  <si>
    <t>96539</t>
  </si>
  <si>
    <t>96540</t>
  </si>
  <si>
    <t>96541</t>
  </si>
  <si>
    <t>96542</t>
  </si>
  <si>
    <t>96543</t>
  </si>
  <si>
    <t>89996</t>
  </si>
  <si>
    <t>5,98</t>
  </si>
  <si>
    <t>89997</t>
  </si>
  <si>
    <t>89998</t>
  </si>
  <si>
    <t>89999</t>
  </si>
  <si>
    <t>9,27</t>
  </si>
  <si>
    <t>90000</t>
  </si>
  <si>
    <t>6,98</t>
  </si>
  <si>
    <t>91593</t>
  </si>
  <si>
    <t>91594</t>
  </si>
  <si>
    <t>91595</t>
  </si>
  <si>
    <t>91596</t>
  </si>
  <si>
    <t>91597</t>
  </si>
  <si>
    <t>91598</t>
  </si>
  <si>
    <t>91599</t>
  </si>
  <si>
    <t>91600</t>
  </si>
  <si>
    <t>91601</t>
  </si>
  <si>
    <t>7,92</t>
  </si>
  <si>
    <t>91602</t>
  </si>
  <si>
    <t>91603</t>
  </si>
  <si>
    <t>92759</t>
  </si>
  <si>
    <t>92760</t>
  </si>
  <si>
    <t>92761</t>
  </si>
  <si>
    <t>7,79</t>
  </si>
  <si>
    <t>92762</t>
  </si>
  <si>
    <t>92763</t>
  </si>
  <si>
    <t>92764</t>
  </si>
  <si>
    <t>92765</t>
  </si>
  <si>
    <t>92766</t>
  </si>
  <si>
    <t>5,42</t>
  </si>
  <si>
    <t>92767</t>
  </si>
  <si>
    <t>92768</t>
  </si>
  <si>
    <t>92769</t>
  </si>
  <si>
    <t>92770</t>
  </si>
  <si>
    <t>92771</t>
  </si>
  <si>
    <t>92772</t>
  </si>
  <si>
    <t>92773</t>
  </si>
  <si>
    <t>92774</t>
  </si>
  <si>
    <t>7,26</t>
  </si>
  <si>
    <t>6,46</t>
  </si>
  <si>
    <t>5,35</t>
  </si>
  <si>
    <t>4,92</t>
  </si>
  <si>
    <t>92798</t>
  </si>
  <si>
    <t>92799</t>
  </si>
  <si>
    <t>92800</t>
  </si>
  <si>
    <t>5,68</t>
  </si>
  <si>
    <t>92801</t>
  </si>
  <si>
    <t>92802</t>
  </si>
  <si>
    <t>5,82</t>
  </si>
  <si>
    <t>92803</t>
  </si>
  <si>
    <t>4,84</t>
  </si>
  <si>
    <t>92804</t>
  </si>
  <si>
    <t>92805</t>
  </si>
  <si>
    <t>92806</t>
  </si>
  <si>
    <t>4,29</t>
  </si>
  <si>
    <t>92875</t>
  </si>
  <si>
    <t>92876</t>
  </si>
  <si>
    <t>92877</t>
  </si>
  <si>
    <t>92878</t>
  </si>
  <si>
    <t>92879</t>
  </si>
  <si>
    <t>92880</t>
  </si>
  <si>
    <t>92881</t>
  </si>
  <si>
    <t>92882</t>
  </si>
  <si>
    <t>92883</t>
  </si>
  <si>
    <t>92884</t>
  </si>
  <si>
    <t>6,09</t>
  </si>
  <si>
    <t>92885</t>
  </si>
  <si>
    <t>92886</t>
  </si>
  <si>
    <t>92887</t>
  </si>
  <si>
    <t>92888</t>
  </si>
  <si>
    <t>92915</t>
  </si>
  <si>
    <t>92916</t>
  </si>
  <si>
    <t>8,78</t>
  </si>
  <si>
    <t>92917</t>
  </si>
  <si>
    <t>92919</t>
  </si>
  <si>
    <t>92921</t>
  </si>
  <si>
    <t>92922</t>
  </si>
  <si>
    <t>5,57</t>
  </si>
  <si>
    <t>92923</t>
  </si>
  <si>
    <t>5,08</t>
  </si>
  <si>
    <t>92924</t>
  </si>
  <si>
    <t>95576</t>
  </si>
  <si>
    <t>95577</t>
  </si>
  <si>
    <t>95578</t>
  </si>
  <si>
    <t>95579</t>
  </si>
  <si>
    <t>95580</t>
  </si>
  <si>
    <t>95581</t>
  </si>
  <si>
    <t>5,73</t>
  </si>
  <si>
    <t>95583</t>
  </si>
  <si>
    <t>10,63</t>
  </si>
  <si>
    <t>95584</t>
  </si>
  <si>
    <t>6,83</t>
  </si>
  <si>
    <t>5,37</t>
  </si>
  <si>
    <t>95592</t>
  </si>
  <si>
    <t>95593</t>
  </si>
  <si>
    <t>95943</t>
  </si>
  <si>
    <t>95944</t>
  </si>
  <si>
    <t>95945</t>
  </si>
  <si>
    <t>9,85</t>
  </si>
  <si>
    <t>95946</t>
  </si>
  <si>
    <t>95947</t>
  </si>
  <si>
    <t>95948</t>
  </si>
  <si>
    <t>4,90</t>
  </si>
  <si>
    <t>96544</t>
  </si>
  <si>
    <t>96545</t>
  </si>
  <si>
    <t>96546</t>
  </si>
  <si>
    <t>7,34</t>
  </si>
  <si>
    <t>5,43</t>
  </si>
  <si>
    <t>89993</t>
  </si>
  <si>
    <t>89994</t>
  </si>
  <si>
    <t>89995</t>
  </si>
  <si>
    <t>90278</t>
  </si>
  <si>
    <t>90279</t>
  </si>
  <si>
    <t>90280</t>
  </si>
  <si>
    <t>90281</t>
  </si>
  <si>
    <t>90282</t>
  </si>
  <si>
    <t>90283</t>
  </si>
  <si>
    <t>90284</t>
  </si>
  <si>
    <t>90285</t>
  </si>
  <si>
    <t>94962</t>
  </si>
  <si>
    <t>94963</t>
  </si>
  <si>
    <t>94964</t>
  </si>
  <si>
    <t>94965</t>
  </si>
  <si>
    <t>94966</t>
  </si>
  <si>
    <t>94967</t>
  </si>
  <si>
    <t>94968</t>
  </si>
  <si>
    <t>94969</t>
  </si>
  <si>
    <t>94970</t>
  </si>
  <si>
    <t>94971</t>
  </si>
  <si>
    <t>94972</t>
  </si>
  <si>
    <t>94973</t>
  </si>
  <si>
    <t>94974</t>
  </si>
  <si>
    <t>94975</t>
  </si>
  <si>
    <t>96555</t>
  </si>
  <si>
    <t>96556</t>
  </si>
  <si>
    <t>96557</t>
  </si>
  <si>
    <t>96558</t>
  </si>
  <si>
    <t>93184</t>
  </si>
  <si>
    <t>18,05</t>
  </si>
  <si>
    <t>93187</t>
  </si>
  <si>
    <t>93191</t>
  </si>
  <si>
    <t>93194</t>
  </si>
  <si>
    <t>93197</t>
  </si>
  <si>
    <t>93199</t>
  </si>
  <si>
    <t>93200</t>
  </si>
  <si>
    <t>4,23</t>
  </si>
  <si>
    <t>93202</t>
  </si>
  <si>
    <t>93203</t>
  </si>
  <si>
    <t>93205</t>
  </si>
  <si>
    <t>24,36</t>
  </si>
  <si>
    <t>5,91</t>
  </si>
  <si>
    <t>11,52</t>
  </si>
  <si>
    <t>91831</t>
  </si>
  <si>
    <t>91834</t>
  </si>
  <si>
    <t>91836</t>
  </si>
  <si>
    <t>7,57</t>
  </si>
  <si>
    <t>6,36</t>
  </si>
  <si>
    <t>91852</t>
  </si>
  <si>
    <t>5,88</t>
  </si>
  <si>
    <t>91854</t>
  </si>
  <si>
    <t>6,51</t>
  </si>
  <si>
    <t>91856</t>
  </si>
  <si>
    <t>91862</t>
  </si>
  <si>
    <t>91863</t>
  </si>
  <si>
    <t>91864</t>
  </si>
  <si>
    <t>9,69</t>
  </si>
  <si>
    <t>91865</t>
  </si>
  <si>
    <t>91866</t>
  </si>
  <si>
    <t>91867</t>
  </si>
  <si>
    <t>91868</t>
  </si>
  <si>
    <t>91869</t>
  </si>
  <si>
    <t>91870</t>
  </si>
  <si>
    <t>7,52</t>
  </si>
  <si>
    <t>91871</t>
  </si>
  <si>
    <t>91872</t>
  </si>
  <si>
    <t>11,01</t>
  </si>
  <si>
    <t>91873</t>
  </si>
  <si>
    <t>93008</t>
  </si>
  <si>
    <t>93009</t>
  </si>
  <si>
    <t>93010</t>
  </si>
  <si>
    <t>93011</t>
  </si>
  <si>
    <t>93012</t>
  </si>
  <si>
    <t>95726</t>
  </si>
  <si>
    <t>95727</t>
  </si>
  <si>
    <t>4,79</t>
  </si>
  <si>
    <t>95728</t>
  </si>
  <si>
    <t>18,76</t>
  </si>
  <si>
    <t>8,75</t>
  </si>
  <si>
    <t>91874</t>
  </si>
  <si>
    <t>3,54</t>
  </si>
  <si>
    <t>91875</t>
  </si>
  <si>
    <t>91876</t>
  </si>
  <si>
    <t>91877</t>
  </si>
  <si>
    <t>91878</t>
  </si>
  <si>
    <t>91879</t>
  </si>
  <si>
    <t>91880</t>
  </si>
  <si>
    <t>91881</t>
  </si>
  <si>
    <t>91882</t>
  </si>
  <si>
    <t>91884</t>
  </si>
  <si>
    <t>91885</t>
  </si>
  <si>
    <t>91886</t>
  </si>
  <si>
    <t>91887</t>
  </si>
  <si>
    <t>6,39</t>
  </si>
  <si>
    <t>91889</t>
  </si>
  <si>
    <t>91890</t>
  </si>
  <si>
    <t>91892</t>
  </si>
  <si>
    <t>9,05</t>
  </si>
  <si>
    <t>91893</t>
  </si>
  <si>
    <t>91896</t>
  </si>
  <si>
    <t>91898</t>
  </si>
  <si>
    <t>91899</t>
  </si>
  <si>
    <t>91901</t>
  </si>
  <si>
    <t>7,68</t>
  </si>
  <si>
    <t>91902</t>
  </si>
  <si>
    <t>91904</t>
  </si>
  <si>
    <t>91905</t>
  </si>
  <si>
    <t>91908</t>
  </si>
  <si>
    <t>91910</t>
  </si>
  <si>
    <t>15,82</t>
  </si>
  <si>
    <t>91911</t>
  </si>
  <si>
    <t>91913</t>
  </si>
  <si>
    <t>9,40</t>
  </si>
  <si>
    <t>91914</t>
  </si>
  <si>
    <t>10,50</t>
  </si>
  <si>
    <t>91916</t>
  </si>
  <si>
    <t>91917</t>
  </si>
  <si>
    <t>91920</t>
  </si>
  <si>
    <t>91922</t>
  </si>
  <si>
    <t>93013</t>
  </si>
  <si>
    <t>93014</t>
  </si>
  <si>
    <t>93015</t>
  </si>
  <si>
    <t>93016</t>
  </si>
  <si>
    <t>93017</t>
  </si>
  <si>
    <t>93018</t>
  </si>
  <si>
    <t>93020</t>
  </si>
  <si>
    <t>93022</t>
  </si>
  <si>
    <t>93024</t>
  </si>
  <si>
    <t>93026</t>
  </si>
  <si>
    <t>4,14</t>
  </si>
  <si>
    <t>5,84</t>
  </si>
  <si>
    <t>10,60</t>
  </si>
  <si>
    <t>14,22</t>
  </si>
  <si>
    <t>7,99</t>
  </si>
  <si>
    <t>91924</t>
  </si>
  <si>
    <t>91925</t>
  </si>
  <si>
    <t>91926</t>
  </si>
  <si>
    <t>91927</t>
  </si>
  <si>
    <t>2,88</t>
  </si>
  <si>
    <t>91928</t>
  </si>
  <si>
    <t>91929</t>
  </si>
  <si>
    <t>91930</t>
  </si>
  <si>
    <t>91931</t>
  </si>
  <si>
    <t>91932</t>
  </si>
  <si>
    <t>91933</t>
  </si>
  <si>
    <t>91934</t>
  </si>
  <si>
    <t>91935</t>
  </si>
  <si>
    <t>12,76</t>
  </si>
  <si>
    <t>92979</t>
  </si>
  <si>
    <t>92980</t>
  </si>
  <si>
    <t>92981</t>
  </si>
  <si>
    <t>92982</t>
  </si>
  <si>
    <t>92984</t>
  </si>
  <si>
    <t>92986</t>
  </si>
  <si>
    <t>92988</t>
  </si>
  <si>
    <t>92990</t>
  </si>
  <si>
    <t>92992</t>
  </si>
  <si>
    <t>92994</t>
  </si>
  <si>
    <t>92996</t>
  </si>
  <si>
    <t>92998</t>
  </si>
  <si>
    <t>93000</t>
  </si>
  <si>
    <t>93002</t>
  </si>
  <si>
    <t>42,41</t>
  </si>
  <si>
    <t>91936</t>
  </si>
  <si>
    <t>9,43</t>
  </si>
  <si>
    <t>91937</t>
  </si>
  <si>
    <t>8,10</t>
  </si>
  <si>
    <t>91939</t>
  </si>
  <si>
    <t>91940</t>
  </si>
  <si>
    <t>91941</t>
  </si>
  <si>
    <t>91942</t>
  </si>
  <si>
    <t>91943</t>
  </si>
  <si>
    <t>91944</t>
  </si>
  <si>
    <t>9,63</t>
  </si>
  <si>
    <t>92865</t>
  </si>
  <si>
    <t>92866</t>
  </si>
  <si>
    <t>92867</t>
  </si>
  <si>
    <t>92868</t>
  </si>
  <si>
    <t>92869</t>
  </si>
  <si>
    <t>92870</t>
  </si>
  <si>
    <t>22,99</t>
  </si>
  <si>
    <t>92871</t>
  </si>
  <si>
    <t>92872</t>
  </si>
  <si>
    <t>7,56</t>
  </si>
  <si>
    <t>95777</t>
  </si>
  <si>
    <t>95778</t>
  </si>
  <si>
    <t>95779</t>
  </si>
  <si>
    <t>95780</t>
  </si>
  <si>
    <t>95781</t>
  </si>
  <si>
    <t>95782</t>
  </si>
  <si>
    <t>95785</t>
  </si>
  <si>
    <t>95787</t>
  </si>
  <si>
    <t>95789</t>
  </si>
  <si>
    <t>95791</t>
  </si>
  <si>
    <t>95795</t>
  </si>
  <si>
    <t>95796</t>
  </si>
  <si>
    <t>95797</t>
  </si>
  <si>
    <t>95801</t>
  </si>
  <si>
    <t>95802</t>
  </si>
  <si>
    <t>95803</t>
  </si>
  <si>
    <t>95804</t>
  </si>
  <si>
    <t>95805</t>
  </si>
  <si>
    <t>95806</t>
  </si>
  <si>
    <t>95807</t>
  </si>
  <si>
    <t>95808</t>
  </si>
  <si>
    <t>95809</t>
  </si>
  <si>
    <t>95810</t>
  </si>
  <si>
    <t>95811</t>
  </si>
  <si>
    <t>11,13</t>
  </si>
  <si>
    <t>95812</t>
  </si>
  <si>
    <t>95813</t>
  </si>
  <si>
    <t>95814</t>
  </si>
  <si>
    <t>95815</t>
  </si>
  <si>
    <t>95816</t>
  </si>
  <si>
    <t>95817</t>
  </si>
  <si>
    <t>95818</t>
  </si>
  <si>
    <t>93653</t>
  </si>
  <si>
    <t>93654</t>
  </si>
  <si>
    <t>93655</t>
  </si>
  <si>
    <t>11,63</t>
  </si>
  <si>
    <t>93656</t>
  </si>
  <si>
    <t>93657</t>
  </si>
  <si>
    <t>93658</t>
  </si>
  <si>
    <t>93659</t>
  </si>
  <si>
    <t>93660</t>
  </si>
  <si>
    <t>93661</t>
  </si>
  <si>
    <t>93662</t>
  </si>
  <si>
    <t>93663</t>
  </si>
  <si>
    <t>93664</t>
  </si>
  <si>
    <t>93665</t>
  </si>
  <si>
    <t>93666</t>
  </si>
  <si>
    <t>93667</t>
  </si>
  <si>
    <t>93668</t>
  </si>
  <si>
    <t>93669</t>
  </si>
  <si>
    <t>93670</t>
  </si>
  <si>
    <t>93671</t>
  </si>
  <si>
    <t>93672</t>
  </si>
  <si>
    <t>93673</t>
  </si>
  <si>
    <t>91945</t>
  </si>
  <si>
    <t>91946</t>
  </si>
  <si>
    <t>91947</t>
  </si>
  <si>
    <t>4,76</t>
  </si>
  <si>
    <t>91949</t>
  </si>
  <si>
    <t>91950</t>
  </si>
  <si>
    <t>8,63</t>
  </si>
  <si>
    <t>91951</t>
  </si>
  <si>
    <t>91952</t>
  </si>
  <si>
    <t>91953</t>
  </si>
  <si>
    <t>91954</t>
  </si>
  <si>
    <t>91955</t>
  </si>
  <si>
    <t>91956</t>
  </si>
  <si>
    <t>91957</t>
  </si>
  <si>
    <t>91958</t>
  </si>
  <si>
    <t>91959</t>
  </si>
  <si>
    <t>91960</t>
  </si>
  <si>
    <t>91961</t>
  </si>
  <si>
    <t>91962</t>
  </si>
  <si>
    <t>91963</t>
  </si>
  <si>
    <t>91964</t>
  </si>
  <si>
    <t>91965</t>
  </si>
  <si>
    <t>91966</t>
  </si>
  <si>
    <t>91967</t>
  </si>
  <si>
    <t>91968</t>
  </si>
  <si>
    <t>91969</t>
  </si>
  <si>
    <t>91970</t>
  </si>
  <si>
    <t>91971</t>
  </si>
  <si>
    <t>91972</t>
  </si>
  <si>
    <t>91973</t>
  </si>
  <si>
    <t>91974</t>
  </si>
  <si>
    <t>91975</t>
  </si>
  <si>
    <t>91976</t>
  </si>
  <si>
    <t>91977</t>
  </si>
  <si>
    <t>91978</t>
  </si>
  <si>
    <t>91979</t>
  </si>
  <si>
    <t>91980</t>
  </si>
  <si>
    <t>91981</t>
  </si>
  <si>
    <t>91982</t>
  </si>
  <si>
    <t>91983</t>
  </si>
  <si>
    <t>91984</t>
  </si>
  <si>
    <t>91985</t>
  </si>
  <si>
    <t>91986</t>
  </si>
  <si>
    <t>91987</t>
  </si>
  <si>
    <t>91988</t>
  </si>
  <si>
    <t>91989</t>
  </si>
  <si>
    <t>91990</t>
  </si>
  <si>
    <t>91991</t>
  </si>
  <si>
    <t>91992</t>
  </si>
  <si>
    <t>91993</t>
  </si>
  <si>
    <t>91994</t>
  </si>
  <si>
    <t>91995</t>
  </si>
  <si>
    <t>91996</t>
  </si>
  <si>
    <t>91997</t>
  </si>
  <si>
    <t>91998</t>
  </si>
  <si>
    <t>91999</t>
  </si>
  <si>
    <t>92000</t>
  </si>
  <si>
    <t>92001</t>
  </si>
  <si>
    <t>92002</t>
  </si>
  <si>
    <t>92003</t>
  </si>
  <si>
    <t>92004</t>
  </si>
  <si>
    <t>92005</t>
  </si>
  <si>
    <t>92006</t>
  </si>
  <si>
    <t>92007</t>
  </si>
  <si>
    <t>92008</t>
  </si>
  <si>
    <t>92009</t>
  </si>
  <si>
    <t>92010</t>
  </si>
  <si>
    <t>92011</t>
  </si>
  <si>
    <t>92012</t>
  </si>
  <si>
    <t>92013</t>
  </si>
  <si>
    <t>92014</t>
  </si>
  <si>
    <t>92015</t>
  </si>
  <si>
    <t>92016</t>
  </si>
  <si>
    <t>92017</t>
  </si>
  <si>
    <t>92018</t>
  </si>
  <si>
    <t>92019</t>
  </si>
  <si>
    <t>92020</t>
  </si>
  <si>
    <t>92021</t>
  </si>
  <si>
    <t>92022</t>
  </si>
  <si>
    <t>92023</t>
  </si>
  <si>
    <t>32,48</t>
  </si>
  <si>
    <t>92024</t>
  </si>
  <si>
    <t>92025</t>
  </si>
  <si>
    <t>92026</t>
  </si>
  <si>
    <t>92027</t>
  </si>
  <si>
    <t>92028</t>
  </si>
  <si>
    <t>92029</t>
  </si>
  <si>
    <t>92030</t>
  </si>
  <si>
    <t>92031</t>
  </si>
  <si>
    <t>92032</t>
  </si>
  <si>
    <t>92033</t>
  </si>
  <si>
    <t>92034</t>
  </si>
  <si>
    <t>92035</t>
  </si>
  <si>
    <t>13,33</t>
  </si>
  <si>
    <t>97595</t>
  </si>
  <si>
    <t>97596</t>
  </si>
  <si>
    <t>97597</t>
  </si>
  <si>
    <t>97598</t>
  </si>
  <si>
    <t>97599</t>
  </si>
  <si>
    <t>97609</t>
  </si>
  <si>
    <t>97610</t>
  </si>
  <si>
    <t>6,88</t>
  </si>
  <si>
    <t>27,92</t>
  </si>
  <si>
    <t>97605</t>
  </si>
  <si>
    <t>97607</t>
  </si>
  <si>
    <t>93128</t>
  </si>
  <si>
    <t>93141</t>
  </si>
  <si>
    <t>93143</t>
  </si>
  <si>
    <t>18,91</t>
  </si>
  <si>
    <t>96973</t>
  </si>
  <si>
    <t>96974</t>
  </si>
  <si>
    <t>96975</t>
  </si>
  <si>
    <t>96976</t>
  </si>
  <si>
    <t>96977</t>
  </si>
  <si>
    <t>96978</t>
  </si>
  <si>
    <t>33,17</t>
  </si>
  <si>
    <t>96979</t>
  </si>
  <si>
    <t>96984</t>
  </si>
  <si>
    <t>96985</t>
  </si>
  <si>
    <t>96986</t>
  </si>
  <si>
    <t>96987</t>
  </si>
  <si>
    <t>96988</t>
  </si>
  <si>
    <t>96989</t>
  </si>
  <si>
    <t>96765</t>
  </si>
  <si>
    <t>21,51</t>
  </si>
  <si>
    <t>7,20</t>
  </si>
  <si>
    <t>12,41</t>
  </si>
  <si>
    <t>1,53</t>
  </si>
  <si>
    <t>2,70</t>
  </si>
  <si>
    <t>89355</t>
  </si>
  <si>
    <t>89356</t>
  </si>
  <si>
    <t>89357</t>
  </si>
  <si>
    <t>89401</t>
  </si>
  <si>
    <t>89402</t>
  </si>
  <si>
    <t>89403</t>
  </si>
  <si>
    <t>10,68</t>
  </si>
  <si>
    <t>89446</t>
  </si>
  <si>
    <t>89447</t>
  </si>
  <si>
    <t>89448</t>
  </si>
  <si>
    <t>89449</t>
  </si>
  <si>
    <t>12,12</t>
  </si>
  <si>
    <t>89450</t>
  </si>
  <si>
    <t>18,50</t>
  </si>
  <si>
    <t>89451</t>
  </si>
  <si>
    <t>89452</t>
  </si>
  <si>
    <t>89508</t>
  </si>
  <si>
    <t>89509</t>
  </si>
  <si>
    <t>89511</t>
  </si>
  <si>
    <t>89512</t>
  </si>
  <si>
    <t>89576</t>
  </si>
  <si>
    <t>89578</t>
  </si>
  <si>
    <t>89580</t>
  </si>
  <si>
    <t>89633</t>
  </si>
  <si>
    <t>89634</t>
  </si>
  <si>
    <t>89635</t>
  </si>
  <si>
    <t>89636</t>
  </si>
  <si>
    <t>89711</t>
  </si>
  <si>
    <t>89712</t>
  </si>
  <si>
    <t>89713</t>
  </si>
  <si>
    <t>89714</t>
  </si>
  <si>
    <t>89716</t>
  </si>
  <si>
    <t>89717</t>
  </si>
  <si>
    <t>89770</t>
  </si>
  <si>
    <t>89771</t>
  </si>
  <si>
    <t>89773</t>
  </si>
  <si>
    <t>89775</t>
  </si>
  <si>
    <t>89798</t>
  </si>
  <si>
    <t>8,99</t>
  </si>
  <si>
    <t>89799</t>
  </si>
  <si>
    <t>89800</t>
  </si>
  <si>
    <t>89848</t>
  </si>
  <si>
    <t>89849</t>
  </si>
  <si>
    <t>89865</t>
  </si>
  <si>
    <t>9,24</t>
  </si>
  <si>
    <t>92275</t>
  </si>
  <si>
    <t>23,07</t>
  </si>
  <si>
    <t>92276</t>
  </si>
  <si>
    <t>92277</t>
  </si>
  <si>
    <t>92278</t>
  </si>
  <si>
    <t>92279</t>
  </si>
  <si>
    <t>92280</t>
  </si>
  <si>
    <t>92305</t>
  </si>
  <si>
    <t>92306</t>
  </si>
  <si>
    <t>92307</t>
  </si>
  <si>
    <t>92320</t>
  </si>
  <si>
    <t>92321</t>
  </si>
  <si>
    <t>92322</t>
  </si>
  <si>
    <t>92335</t>
  </si>
  <si>
    <t>92336</t>
  </si>
  <si>
    <t>92337</t>
  </si>
  <si>
    <t>92338</t>
  </si>
  <si>
    <t>92339</t>
  </si>
  <si>
    <t>92341</t>
  </si>
  <si>
    <t>92342</t>
  </si>
  <si>
    <t>92343</t>
  </si>
  <si>
    <t>92361</t>
  </si>
  <si>
    <t>92362</t>
  </si>
  <si>
    <t>92364</t>
  </si>
  <si>
    <t>92365</t>
  </si>
  <si>
    <t>92366</t>
  </si>
  <si>
    <t>92367</t>
  </si>
  <si>
    <t>92368</t>
  </si>
  <si>
    <t>92648</t>
  </si>
  <si>
    <t>92649</t>
  </si>
  <si>
    <t>92650</t>
  </si>
  <si>
    <t>92652</t>
  </si>
  <si>
    <t>92653</t>
  </si>
  <si>
    <t>92654</t>
  </si>
  <si>
    <t>92655</t>
  </si>
  <si>
    <t>92656</t>
  </si>
  <si>
    <t>92687</t>
  </si>
  <si>
    <t>92688</t>
  </si>
  <si>
    <t>92689</t>
  </si>
  <si>
    <t>92690</t>
  </si>
  <si>
    <t>94462</t>
  </si>
  <si>
    <t>94463</t>
  </si>
  <si>
    <t>94464</t>
  </si>
  <si>
    <t>94602</t>
  </si>
  <si>
    <t>94603</t>
  </si>
  <si>
    <t>94604</t>
  </si>
  <si>
    <t>94605</t>
  </si>
  <si>
    <t>94648</t>
  </si>
  <si>
    <t>7,24</t>
  </si>
  <si>
    <t>94649</t>
  </si>
  <si>
    <t>94650</t>
  </si>
  <si>
    <t>94651</t>
  </si>
  <si>
    <t>94652</t>
  </si>
  <si>
    <t>94653</t>
  </si>
  <si>
    <t>94654</t>
  </si>
  <si>
    <t>94655</t>
  </si>
  <si>
    <t>94716</t>
  </si>
  <si>
    <t>94717</t>
  </si>
  <si>
    <t>94718</t>
  </si>
  <si>
    <t>94719</t>
  </si>
  <si>
    <t>94720</t>
  </si>
  <si>
    <t>94721</t>
  </si>
  <si>
    <t>94722</t>
  </si>
  <si>
    <t>95697</t>
  </si>
  <si>
    <t>96635</t>
  </si>
  <si>
    <t>19,90</t>
  </si>
  <si>
    <t>96636</t>
  </si>
  <si>
    <t>96644</t>
  </si>
  <si>
    <t>96645</t>
  </si>
  <si>
    <t>96646</t>
  </si>
  <si>
    <t>96647</t>
  </si>
  <si>
    <t>96648</t>
  </si>
  <si>
    <t>20,60</t>
  </si>
  <si>
    <t>96649</t>
  </si>
  <si>
    <t>96668</t>
  </si>
  <si>
    <t>96669</t>
  </si>
  <si>
    <t>96670</t>
  </si>
  <si>
    <t>96671</t>
  </si>
  <si>
    <t>96672</t>
  </si>
  <si>
    <t>96673</t>
  </si>
  <si>
    <t>96674</t>
  </si>
  <si>
    <t>96675</t>
  </si>
  <si>
    <t>96676</t>
  </si>
  <si>
    <t>96677</t>
  </si>
  <si>
    <t>96678</t>
  </si>
  <si>
    <t>96679</t>
  </si>
  <si>
    <t>96680</t>
  </si>
  <si>
    <t>96681</t>
  </si>
  <si>
    <t>96682</t>
  </si>
  <si>
    <t>96683</t>
  </si>
  <si>
    <t>96718</t>
  </si>
  <si>
    <t>96719</t>
  </si>
  <si>
    <t>96720</t>
  </si>
  <si>
    <t>96721</t>
  </si>
  <si>
    <t>96722</t>
  </si>
  <si>
    <t>96723</t>
  </si>
  <si>
    <t>96724</t>
  </si>
  <si>
    <t>96725</t>
  </si>
  <si>
    <t>96726</t>
  </si>
  <si>
    <t>96727</t>
  </si>
  <si>
    <t>9,30</t>
  </si>
  <si>
    <t>96728</t>
  </si>
  <si>
    <t>10,91</t>
  </si>
  <si>
    <t>96729</t>
  </si>
  <si>
    <t>96730</t>
  </si>
  <si>
    <t>96731</t>
  </si>
  <si>
    <t>96732</t>
  </si>
  <si>
    <t>96733</t>
  </si>
  <si>
    <t>96734</t>
  </si>
  <si>
    <t>96735</t>
  </si>
  <si>
    <t>6,03</t>
  </si>
  <si>
    <t>7,65</t>
  </si>
  <si>
    <t>96798</t>
  </si>
  <si>
    <t>96799</t>
  </si>
  <si>
    <t>96800</t>
  </si>
  <si>
    <t>96801</t>
  </si>
  <si>
    <t>89358</t>
  </si>
  <si>
    <t>89359</t>
  </si>
  <si>
    <t>5,46</t>
  </si>
  <si>
    <t>89360</t>
  </si>
  <si>
    <t>89361</t>
  </si>
  <si>
    <t>6,24</t>
  </si>
  <si>
    <t>89362</t>
  </si>
  <si>
    <t>6,30</t>
  </si>
  <si>
    <t>89363</t>
  </si>
  <si>
    <t>89364</t>
  </si>
  <si>
    <t>89365</t>
  </si>
  <si>
    <t>7,38</t>
  </si>
  <si>
    <t>89366</t>
  </si>
  <si>
    <t>10,92</t>
  </si>
  <si>
    <t>89367</t>
  </si>
  <si>
    <t>89368</t>
  </si>
  <si>
    <t>9,64</t>
  </si>
  <si>
    <t>89369</t>
  </si>
  <si>
    <t>89370</t>
  </si>
  <si>
    <t>89371</t>
  </si>
  <si>
    <t>89372</t>
  </si>
  <si>
    <t>89373</t>
  </si>
  <si>
    <t>89374</t>
  </si>
  <si>
    <t>7,43</t>
  </si>
  <si>
    <t>89375</t>
  </si>
  <si>
    <t>89376</t>
  </si>
  <si>
    <t>89377</t>
  </si>
  <si>
    <t>89378</t>
  </si>
  <si>
    <t>89379</t>
  </si>
  <si>
    <t>89380</t>
  </si>
  <si>
    <t>89381</t>
  </si>
  <si>
    <t>9,38</t>
  </si>
  <si>
    <t>89382</t>
  </si>
  <si>
    <t>89383</t>
  </si>
  <si>
    <t>89384</t>
  </si>
  <si>
    <t>89385</t>
  </si>
  <si>
    <t>5,18</t>
  </si>
  <si>
    <t>89386</t>
  </si>
  <si>
    <t>89387</t>
  </si>
  <si>
    <t>89389</t>
  </si>
  <si>
    <t>89390</t>
  </si>
  <si>
    <t>89391</t>
  </si>
  <si>
    <t>89392</t>
  </si>
  <si>
    <t>89393</t>
  </si>
  <si>
    <t>89394</t>
  </si>
  <si>
    <t>89395</t>
  </si>
  <si>
    <t>89396</t>
  </si>
  <si>
    <t>89397</t>
  </si>
  <si>
    <t>89398</t>
  </si>
  <si>
    <t>11,80</t>
  </si>
  <si>
    <t>89399</t>
  </si>
  <si>
    <t>89400</t>
  </si>
  <si>
    <t>89404</t>
  </si>
  <si>
    <t>89405</t>
  </si>
  <si>
    <t>89406</t>
  </si>
  <si>
    <t>89407</t>
  </si>
  <si>
    <t>89408</t>
  </si>
  <si>
    <t>89409</t>
  </si>
  <si>
    <t>89410</t>
  </si>
  <si>
    <t>89411</t>
  </si>
  <si>
    <t>89412</t>
  </si>
  <si>
    <t>5,90</t>
  </si>
  <si>
    <t>89413</t>
  </si>
  <si>
    <t>89414</t>
  </si>
  <si>
    <t>89415</t>
  </si>
  <si>
    <t>89416</t>
  </si>
  <si>
    <t>89417</t>
  </si>
  <si>
    <t>89418</t>
  </si>
  <si>
    <t>89419</t>
  </si>
  <si>
    <t>3,26</t>
  </si>
  <si>
    <t>89421</t>
  </si>
  <si>
    <t>89423</t>
  </si>
  <si>
    <t>89424</t>
  </si>
  <si>
    <t>89425</t>
  </si>
  <si>
    <t>89426</t>
  </si>
  <si>
    <t>89427</t>
  </si>
  <si>
    <t>89428</t>
  </si>
  <si>
    <t>89429</t>
  </si>
  <si>
    <t>3,42</t>
  </si>
  <si>
    <t>89430</t>
  </si>
  <si>
    <t>89431</t>
  </si>
  <si>
    <t>89432</t>
  </si>
  <si>
    <t>89433</t>
  </si>
  <si>
    <t>89434</t>
  </si>
  <si>
    <t>6,85</t>
  </si>
  <si>
    <t>89435</t>
  </si>
  <si>
    <t>89436</t>
  </si>
  <si>
    <t>89437</t>
  </si>
  <si>
    <t>89438</t>
  </si>
  <si>
    <t>89439</t>
  </si>
  <si>
    <t>89440</t>
  </si>
  <si>
    <t>89442</t>
  </si>
  <si>
    <t>89443</t>
  </si>
  <si>
    <t>89444</t>
  </si>
  <si>
    <t>89445</t>
  </si>
  <si>
    <t>10,62</t>
  </si>
  <si>
    <t>89481</t>
  </si>
  <si>
    <t>89485</t>
  </si>
  <si>
    <t>89489</t>
  </si>
  <si>
    <t>89490</t>
  </si>
  <si>
    <t>89492</t>
  </si>
  <si>
    <t>89493</t>
  </si>
  <si>
    <t>89494</t>
  </si>
  <si>
    <t>7,51</t>
  </si>
  <si>
    <t>89496</t>
  </si>
  <si>
    <t>89497</t>
  </si>
  <si>
    <t>89498</t>
  </si>
  <si>
    <t>89499</t>
  </si>
  <si>
    <t>89500</t>
  </si>
  <si>
    <t>89501</t>
  </si>
  <si>
    <t>89502</t>
  </si>
  <si>
    <t>89503</t>
  </si>
  <si>
    <t>89504</t>
  </si>
  <si>
    <t>89505</t>
  </si>
  <si>
    <t>89506</t>
  </si>
  <si>
    <t>89507</t>
  </si>
  <si>
    <t>89510</t>
  </si>
  <si>
    <t>89513</t>
  </si>
  <si>
    <t>89514</t>
  </si>
  <si>
    <t>89515</t>
  </si>
  <si>
    <t>89516</t>
  </si>
  <si>
    <t>89517</t>
  </si>
  <si>
    <t>89518</t>
  </si>
  <si>
    <t>89519</t>
  </si>
  <si>
    <t>89520</t>
  </si>
  <si>
    <t>89521</t>
  </si>
  <si>
    <t>89522</t>
  </si>
  <si>
    <t>16,60</t>
  </si>
  <si>
    <t>89523</t>
  </si>
  <si>
    <t>89524</t>
  </si>
  <si>
    <t>89525</t>
  </si>
  <si>
    <t>89526</t>
  </si>
  <si>
    <t>89527</t>
  </si>
  <si>
    <t>89528</t>
  </si>
  <si>
    <t>89529</t>
  </si>
  <si>
    <t>89530</t>
  </si>
  <si>
    <t>89531</t>
  </si>
  <si>
    <t>89532</t>
  </si>
  <si>
    <t>89535</t>
  </si>
  <si>
    <t>89536</t>
  </si>
  <si>
    <t>89540</t>
  </si>
  <si>
    <t>89541</t>
  </si>
  <si>
    <t>89542</t>
  </si>
  <si>
    <t>89544</t>
  </si>
  <si>
    <t>89545</t>
  </si>
  <si>
    <t>89546</t>
  </si>
  <si>
    <t>89547</t>
  </si>
  <si>
    <t>11,14</t>
  </si>
  <si>
    <t>89548</t>
  </si>
  <si>
    <t>89549</t>
  </si>
  <si>
    <t>89550</t>
  </si>
  <si>
    <t>89551</t>
  </si>
  <si>
    <t>89552</t>
  </si>
  <si>
    <t>12,26</t>
  </si>
  <si>
    <t>89553</t>
  </si>
  <si>
    <t>3,96</t>
  </si>
  <si>
    <t>89554</t>
  </si>
  <si>
    <t>13,80</t>
  </si>
  <si>
    <t>89555</t>
  </si>
  <si>
    <t>89556</t>
  </si>
  <si>
    <t>19,51</t>
  </si>
  <si>
    <t>89557</t>
  </si>
  <si>
    <t>89558</t>
  </si>
  <si>
    <t>89559</t>
  </si>
  <si>
    <t>89561</t>
  </si>
  <si>
    <t>89562</t>
  </si>
  <si>
    <t>89563</t>
  </si>
  <si>
    <t>13,95</t>
  </si>
  <si>
    <t>89564</t>
  </si>
  <si>
    <t>89565</t>
  </si>
  <si>
    <t>89566</t>
  </si>
  <si>
    <t>89567</t>
  </si>
  <si>
    <t>89568</t>
  </si>
  <si>
    <t>89569</t>
  </si>
  <si>
    <t>89570</t>
  </si>
  <si>
    <t>89571</t>
  </si>
  <si>
    <t>89572</t>
  </si>
  <si>
    <t>89573</t>
  </si>
  <si>
    <t>89574</t>
  </si>
  <si>
    <t>89575</t>
  </si>
  <si>
    <t>7,60</t>
  </si>
  <si>
    <t>89577</t>
  </si>
  <si>
    <t>89579</t>
  </si>
  <si>
    <t>89581</t>
  </si>
  <si>
    <t>89582</t>
  </si>
  <si>
    <t>89583</t>
  </si>
  <si>
    <t>89584</t>
  </si>
  <si>
    <t>89585</t>
  </si>
  <si>
    <t>89587</t>
  </si>
  <si>
    <t>89590</t>
  </si>
  <si>
    <t>89591</t>
  </si>
  <si>
    <t>89592</t>
  </si>
  <si>
    <t>89593</t>
  </si>
  <si>
    <t>89594</t>
  </si>
  <si>
    <t>89595</t>
  </si>
  <si>
    <t>89596</t>
  </si>
  <si>
    <t>89597</t>
  </si>
  <si>
    <t>89598</t>
  </si>
  <si>
    <t>89599</t>
  </si>
  <si>
    <t>89600</t>
  </si>
  <si>
    <t>89605</t>
  </si>
  <si>
    <t>89609</t>
  </si>
  <si>
    <t>89610</t>
  </si>
  <si>
    <t>13,31</t>
  </si>
  <si>
    <t>89611</t>
  </si>
  <si>
    <t>89612</t>
  </si>
  <si>
    <t>89613</t>
  </si>
  <si>
    <t>89614</t>
  </si>
  <si>
    <t>89615</t>
  </si>
  <si>
    <t>89616</t>
  </si>
  <si>
    <t>89617</t>
  </si>
  <si>
    <t>89620</t>
  </si>
  <si>
    <t>89622</t>
  </si>
  <si>
    <t>89623</t>
  </si>
  <si>
    <t>89624</t>
  </si>
  <si>
    <t>89625</t>
  </si>
  <si>
    <t>14,39</t>
  </si>
  <si>
    <t>89626</t>
  </si>
  <si>
    <t>17,89</t>
  </si>
  <si>
    <t>89627</t>
  </si>
  <si>
    <t>89628</t>
  </si>
  <si>
    <t>89629</t>
  </si>
  <si>
    <t>89630</t>
  </si>
  <si>
    <t>89631</t>
  </si>
  <si>
    <t>89632</t>
  </si>
  <si>
    <t>89637</t>
  </si>
  <si>
    <t>6,57</t>
  </si>
  <si>
    <t>89638</t>
  </si>
  <si>
    <t>89639</t>
  </si>
  <si>
    <t>89641</t>
  </si>
  <si>
    <t>89642</t>
  </si>
  <si>
    <t>89643</t>
  </si>
  <si>
    <t>89645</t>
  </si>
  <si>
    <t>89646</t>
  </si>
  <si>
    <t>89647</t>
  </si>
  <si>
    <t>13,98</t>
  </si>
  <si>
    <t>89648</t>
  </si>
  <si>
    <t>15,46</t>
  </si>
  <si>
    <t>89649</t>
  </si>
  <si>
    <t>89650</t>
  </si>
  <si>
    <t>89651</t>
  </si>
  <si>
    <t>89652</t>
  </si>
  <si>
    <t>89653</t>
  </si>
  <si>
    <t>89654</t>
  </si>
  <si>
    <t>89655</t>
  </si>
  <si>
    <t>89656</t>
  </si>
  <si>
    <t>89657</t>
  </si>
  <si>
    <t>89658</t>
  </si>
  <si>
    <t>6,11</t>
  </si>
  <si>
    <t>89659</t>
  </si>
  <si>
    <t>89660</t>
  </si>
  <si>
    <t>89661</t>
  </si>
  <si>
    <t>89662</t>
  </si>
  <si>
    <t>89663</t>
  </si>
  <si>
    <t>89664</t>
  </si>
  <si>
    <t>89666</t>
  </si>
  <si>
    <t>89667</t>
  </si>
  <si>
    <t>89668</t>
  </si>
  <si>
    <t>21,42</t>
  </si>
  <si>
    <t>89669</t>
  </si>
  <si>
    <t>89670</t>
  </si>
  <si>
    <t>89671</t>
  </si>
  <si>
    <t>89672</t>
  </si>
  <si>
    <t>89673</t>
  </si>
  <si>
    <t>89674</t>
  </si>
  <si>
    <t>89675</t>
  </si>
  <si>
    <t>89676</t>
  </si>
  <si>
    <t>89677</t>
  </si>
  <si>
    <t>89678</t>
  </si>
  <si>
    <t>89679</t>
  </si>
  <si>
    <t>89680</t>
  </si>
  <si>
    <t>89681</t>
  </si>
  <si>
    <t>89682</t>
  </si>
  <si>
    <t>89684</t>
  </si>
  <si>
    <t>89685</t>
  </si>
  <si>
    <t>89686</t>
  </si>
  <si>
    <t>89687</t>
  </si>
  <si>
    <t>89689</t>
  </si>
  <si>
    <t>89690</t>
  </si>
  <si>
    <t>89691</t>
  </si>
  <si>
    <t>89692</t>
  </si>
  <si>
    <t>89693</t>
  </si>
  <si>
    <t>89694</t>
  </si>
  <si>
    <t>89695</t>
  </si>
  <si>
    <t>89696</t>
  </si>
  <si>
    <t>89697</t>
  </si>
  <si>
    <t>89698</t>
  </si>
  <si>
    <t>89699</t>
  </si>
  <si>
    <t>89700</t>
  </si>
  <si>
    <t>89701</t>
  </si>
  <si>
    <t>89702</t>
  </si>
  <si>
    <t>89703</t>
  </si>
  <si>
    <t>89704</t>
  </si>
  <si>
    <t>89705</t>
  </si>
  <si>
    <t>89706</t>
  </si>
  <si>
    <t>89718</t>
  </si>
  <si>
    <t>89719</t>
  </si>
  <si>
    <t>89720</t>
  </si>
  <si>
    <t>8,73</t>
  </si>
  <si>
    <t>89721</t>
  </si>
  <si>
    <t>89723</t>
  </si>
  <si>
    <t>89724</t>
  </si>
  <si>
    <t>89725</t>
  </si>
  <si>
    <t>89726</t>
  </si>
  <si>
    <t>89727</t>
  </si>
  <si>
    <t>89728</t>
  </si>
  <si>
    <t>89729</t>
  </si>
  <si>
    <t>89730</t>
  </si>
  <si>
    <t>89731</t>
  </si>
  <si>
    <t>89732</t>
  </si>
  <si>
    <t>8,06</t>
  </si>
  <si>
    <t>89733</t>
  </si>
  <si>
    <t>89734</t>
  </si>
  <si>
    <t>89735</t>
  </si>
  <si>
    <t>89736</t>
  </si>
  <si>
    <t>4,88</t>
  </si>
  <si>
    <t>89737</t>
  </si>
  <si>
    <t>89738</t>
  </si>
  <si>
    <t>89739</t>
  </si>
  <si>
    <t>89740</t>
  </si>
  <si>
    <t>89741</t>
  </si>
  <si>
    <t>89742</t>
  </si>
  <si>
    <t>89743</t>
  </si>
  <si>
    <t>89744</t>
  </si>
  <si>
    <t>89746</t>
  </si>
  <si>
    <t>89747</t>
  </si>
  <si>
    <t>89748</t>
  </si>
  <si>
    <t>89749</t>
  </si>
  <si>
    <t>89750</t>
  </si>
  <si>
    <t>89752</t>
  </si>
  <si>
    <t>89753</t>
  </si>
  <si>
    <t>89754</t>
  </si>
  <si>
    <t>89755</t>
  </si>
  <si>
    <t>89756</t>
  </si>
  <si>
    <t>13,17</t>
  </si>
  <si>
    <t>89757</t>
  </si>
  <si>
    <t>89758</t>
  </si>
  <si>
    <t>89759</t>
  </si>
  <si>
    <t>89760</t>
  </si>
  <si>
    <t>89761</t>
  </si>
  <si>
    <t>89762</t>
  </si>
  <si>
    <t>89763</t>
  </si>
  <si>
    <t>89764</t>
  </si>
  <si>
    <t>89765</t>
  </si>
  <si>
    <t>89767</t>
  </si>
  <si>
    <t>89768</t>
  </si>
  <si>
    <t>89769</t>
  </si>
  <si>
    <t>89772</t>
  </si>
  <si>
    <t>89774</t>
  </si>
  <si>
    <t>89776</t>
  </si>
  <si>
    <t>89777</t>
  </si>
  <si>
    <t>89778</t>
  </si>
  <si>
    <t>89779</t>
  </si>
  <si>
    <t>89780</t>
  </si>
  <si>
    <t>89781</t>
  </si>
  <si>
    <t>89782</t>
  </si>
  <si>
    <t>89783</t>
  </si>
  <si>
    <t>89784</t>
  </si>
  <si>
    <t>89785</t>
  </si>
  <si>
    <t>89786</t>
  </si>
  <si>
    <t>89787</t>
  </si>
  <si>
    <t>89788</t>
  </si>
  <si>
    <t>89789</t>
  </si>
  <si>
    <t>89790</t>
  </si>
  <si>
    <t>89791</t>
  </si>
  <si>
    <t>89792</t>
  </si>
  <si>
    <t>89793</t>
  </si>
  <si>
    <t>89794</t>
  </si>
  <si>
    <t>89795</t>
  </si>
  <si>
    <t>89796</t>
  </si>
  <si>
    <t>89797</t>
  </si>
  <si>
    <t>89801</t>
  </si>
  <si>
    <t>89802</t>
  </si>
  <si>
    <t>89803</t>
  </si>
  <si>
    <t>89804</t>
  </si>
  <si>
    <t>89805</t>
  </si>
  <si>
    <t>89806</t>
  </si>
  <si>
    <t>89807</t>
  </si>
  <si>
    <t>89808</t>
  </si>
  <si>
    <t>89809</t>
  </si>
  <si>
    <t>89810</t>
  </si>
  <si>
    <t>89811</t>
  </si>
  <si>
    <t>89812</t>
  </si>
  <si>
    <t>89813</t>
  </si>
  <si>
    <t>89814</t>
  </si>
  <si>
    <t>89815</t>
  </si>
  <si>
    <t>89816</t>
  </si>
  <si>
    <t>89817</t>
  </si>
  <si>
    <t>89818</t>
  </si>
  <si>
    <t>89819</t>
  </si>
  <si>
    <t>89821</t>
  </si>
  <si>
    <t>89822</t>
  </si>
  <si>
    <t>15,51</t>
  </si>
  <si>
    <t>89823</t>
  </si>
  <si>
    <t>89824</t>
  </si>
  <si>
    <t>89825</t>
  </si>
  <si>
    <t>89826</t>
  </si>
  <si>
    <t>89827</t>
  </si>
  <si>
    <t>10,66</t>
  </si>
  <si>
    <t>89828</t>
  </si>
  <si>
    <t>89829</t>
  </si>
  <si>
    <t>89830</t>
  </si>
  <si>
    <t>89831</t>
  </si>
  <si>
    <t>89832</t>
  </si>
  <si>
    <t>89833</t>
  </si>
  <si>
    <t>89834</t>
  </si>
  <si>
    <t>89835</t>
  </si>
  <si>
    <t>89836</t>
  </si>
  <si>
    <t>89837</t>
  </si>
  <si>
    <t>89838</t>
  </si>
  <si>
    <t>89839</t>
  </si>
  <si>
    <t>89840</t>
  </si>
  <si>
    <t>89841</t>
  </si>
  <si>
    <t>89842</t>
  </si>
  <si>
    <t>89844</t>
  </si>
  <si>
    <t>89845</t>
  </si>
  <si>
    <t>89846</t>
  </si>
  <si>
    <t>89847</t>
  </si>
  <si>
    <t>89850</t>
  </si>
  <si>
    <t>89851</t>
  </si>
  <si>
    <t>89852</t>
  </si>
  <si>
    <t>89853</t>
  </si>
  <si>
    <t>89854</t>
  </si>
  <si>
    <t>89855</t>
  </si>
  <si>
    <t>89856</t>
  </si>
  <si>
    <t>89857</t>
  </si>
  <si>
    <t>89860</t>
  </si>
  <si>
    <t>89861</t>
  </si>
  <si>
    <t>89866</t>
  </si>
  <si>
    <t>89867</t>
  </si>
  <si>
    <t>89868</t>
  </si>
  <si>
    <t>89869</t>
  </si>
  <si>
    <t>89979</t>
  </si>
  <si>
    <t>89981</t>
  </si>
  <si>
    <t>14,81</t>
  </si>
  <si>
    <t>90373</t>
  </si>
  <si>
    <t>90374</t>
  </si>
  <si>
    <t>6,23</t>
  </si>
  <si>
    <t>92287</t>
  </si>
  <si>
    <t>92288</t>
  </si>
  <si>
    <t>92289</t>
  </si>
  <si>
    <t>92290</t>
  </si>
  <si>
    <t>92291</t>
  </si>
  <si>
    <t>92292</t>
  </si>
  <si>
    <t>92293</t>
  </si>
  <si>
    <t>92294</t>
  </si>
  <si>
    <t>92295</t>
  </si>
  <si>
    <t>92296</t>
  </si>
  <si>
    <t>92297</t>
  </si>
  <si>
    <t>92298</t>
  </si>
  <si>
    <t>92299</t>
  </si>
  <si>
    <t>92300</t>
  </si>
  <si>
    <t>92301</t>
  </si>
  <si>
    <t>31,13</t>
  </si>
  <si>
    <t>92302</t>
  </si>
  <si>
    <t>92303</t>
  </si>
  <si>
    <t>92304</t>
  </si>
  <si>
    <t>92311</t>
  </si>
  <si>
    <t>92312</t>
  </si>
  <si>
    <t>92313</t>
  </si>
  <si>
    <t>92314</t>
  </si>
  <si>
    <t>92315</t>
  </si>
  <si>
    <t>92316</t>
  </si>
  <si>
    <t>92317</t>
  </si>
  <si>
    <t>10,46</t>
  </si>
  <si>
    <t>92318</t>
  </si>
  <si>
    <t>92319</t>
  </si>
  <si>
    <t>92326</t>
  </si>
  <si>
    <t>92327</t>
  </si>
  <si>
    <t>92328</t>
  </si>
  <si>
    <t>19,57</t>
  </si>
  <si>
    <t>92329</t>
  </si>
  <si>
    <t>92330</t>
  </si>
  <si>
    <t>92331</t>
  </si>
  <si>
    <t>92332</t>
  </si>
  <si>
    <t>92333</t>
  </si>
  <si>
    <t>92334</t>
  </si>
  <si>
    <t>92344</t>
  </si>
  <si>
    <t>92345</t>
  </si>
  <si>
    <t>92346</t>
  </si>
  <si>
    <t>92347</t>
  </si>
  <si>
    <t>92348</t>
  </si>
  <si>
    <t>92349</t>
  </si>
  <si>
    <t>92350</t>
  </si>
  <si>
    <t>92351</t>
  </si>
  <si>
    <t>92352</t>
  </si>
  <si>
    <t>92353</t>
  </si>
  <si>
    <t>92354</t>
  </si>
  <si>
    <t>92355</t>
  </si>
  <si>
    <t>92356</t>
  </si>
  <si>
    <t>92357</t>
  </si>
  <si>
    <t>92358</t>
  </si>
  <si>
    <t>92369</t>
  </si>
  <si>
    <t>92370</t>
  </si>
  <si>
    <t>92371</t>
  </si>
  <si>
    <t>92372</t>
  </si>
  <si>
    <t>92373</t>
  </si>
  <si>
    <t>92374</t>
  </si>
  <si>
    <t>92375</t>
  </si>
  <si>
    <t>92376</t>
  </si>
  <si>
    <t>92377</t>
  </si>
  <si>
    <t>92378</t>
  </si>
  <si>
    <t>92379</t>
  </si>
  <si>
    <t>92380</t>
  </si>
  <si>
    <t>92381</t>
  </si>
  <si>
    <t>92382</t>
  </si>
  <si>
    <t>92383</t>
  </si>
  <si>
    <t>92384</t>
  </si>
  <si>
    <t>92385</t>
  </si>
  <si>
    <t>92386</t>
  </si>
  <si>
    <t>92387</t>
  </si>
  <si>
    <t>92388</t>
  </si>
  <si>
    <t>92389</t>
  </si>
  <si>
    <t>92390</t>
  </si>
  <si>
    <t>92635</t>
  </si>
  <si>
    <t>92636</t>
  </si>
  <si>
    <t>92637</t>
  </si>
  <si>
    <t>92638</t>
  </si>
  <si>
    <t>92639</t>
  </si>
  <si>
    <t>92640</t>
  </si>
  <si>
    <t>92642</t>
  </si>
  <si>
    <t>92644</t>
  </si>
  <si>
    <t>92657</t>
  </si>
  <si>
    <t>92658</t>
  </si>
  <si>
    <t>92659</t>
  </si>
  <si>
    <t>92660</t>
  </si>
  <si>
    <t>92661</t>
  </si>
  <si>
    <t>92662</t>
  </si>
  <si>
    <t>92663</t>
  </si>
  <si>
    <t>92664</t>
  </si>
  <si>
    <t>92665</t>
  </si>
  <si>
    <t>92666</t>
  </si>
  <si>
    <t>92667</t>
  </si>
  <si>
    <t>92668</t>
  </si>
  <si>
    <t>92669</t>
  </si>
  <si>
    <t>92670</t>
  </si>
  <si>
    <t>92671</t>
  </si>
  <si>
    <t>92672</t>
  </si>
  <si>
    <t>92673</t>
  </si>
  <si>
    <t>92674</t>
  </si>
  <si>
    <t>92675</t>
  </si>
  <si>
    <t>92676</t>
  </si>
  <si>
    <t>92677</t>
  </si>
  <si>
    <t>92678</t>
  </si>
  <si>
    <t>92679</t>
  </si>
  <si>
    <t>92680</t>
  </si>
  <si>
    <t>92681</t>
  </si>
  <si>
    <t>92682</t>
  </si>
  <si>
    <t>92683</t>
  </si>
  <si>
    <t>92684</t>
  </si>
  <si>
    <t>92685</t>
  </si>
  <si>
    <t>92686</t>
  </si>
  <si>
    <t>92692</t>
  </si>
  <si>
    <t>92693</t>
  </si>
  <si>
    <t>92694</t>
  </si>
  <si>
    <t>92695</t>
  </si>
  <si>
    <t>92696</t>
  </si>
  <si>
    <t>92697</t>
  </si>
  <si>
    <t>92698</t>
  </si>
  <si>
    <t>92699</t>
  </si>
  <si>
    <t>92700</t>
  </si>
  <si>
    <t>92701</t>
  </si>
  <si>
    <t>92702</t>
  </si>
  <si>
    <t>92703</t>
  </si>
  <si>
    <t>92704</t>
  </si>
  <si>
    <t>92705</t>
  </si>
  <si>
    <t>92706</t>
  </si>
  <si>
    <t>92889</t>
  </si>
  <si>
    <t>92890</t>
  </si>
  <si>
    <t>92891</t>
  </si>
  <si>
    <t>92892</t>
  </si>
  <si>
    <t>92893</t>
  </si>
  <si>
    <t>92894</t>
  </si>
  <si>
    <t>92895</t>
  </si>
  <si>
    <t>92896</t>
  </si>
  <si>
    <t>92897</t>
  </si>
  <si>
    <t>92898</t>
  </si>
  <si>
    <t>92899</t>
  </si>
  <si>
    <t>92900</t>
  </si>
  <si>
    <t>92901</t>
  </si>
  <si>
    <t>92902</t>
  </si>
  <si>
    <t>92903</t>
  </si>
  <si>
    <t>92904</t>
  </si>
  <si>
    <t>92905</t>
  </si>
  <si>
    <t>92906</t>
  </si>
  <si>
    <t>92907</t>
  </si>
  <si>
    <t>92908</t>
  </si>
  <si>
    <t>92909</t>
  </si>
  <si>
    <t>92910</t>
  </si>
  <si>
    <t>92911</t>
  </si>
  <si>
    <t>92912</t>
  </si>
  <si>
    <t>92913</t>
  </si>
  <si>
    <t>92914</t>
  </si>
  <si>
    <t>92918</t>
  </si>
  <si>
    <t>92920</t>
  </si>
  <si>
    <t>92925</t>
  </si>
  <si>
    <t>92926</t>
  </si>
  <si>
    <t>92927</t>
  </si>
  <si>
    <t>92928</t>
  </si>
  <si>
    <t>92929</t>
  </si>
  <si>
    <t>92930</t>
  </si>
  <si>
    <t>92931</t>
  </si>
  <si>
    <t>92932</t>
  </si>
  <si>
    <t>92933</t>
  </si>
  <si>
    <t>92934</t>
  </si>
  <si>
    <t>92935</t>
  </si>
  <si>
    <t>92936</t>
  </si>
  <si>
    <t>92937</t>
  </si>
  <si>
    <t>92938</t>
  </si>
  <si>
    <t>92939</t>
  </si>
  <si>
    <t>92940</t>
  </si>
  <si>
    <t>92941</t>
  </si>
  <si>
    <t>92942</t>
  </si>
  <si>
    <t>92943</t>
  </si>
  <si>
    <t>92944</t>
  </si>
  <si>
    <t>92945</t>
  </si>
  <si>
    <t>92946</t>
  </si>
  <si>
    <t>92947</t>
  </si>
  <si>
    <t>92948</t>
  </si>
  <si>
    <t>92949</t>
  </si>
  <si>
    <t>92950</t>
  </si>
  <si>
    <t>92951</t>
  </si>
  <si>
    <t>92952</t>
  </si>
  <si>
    <t>92953</t>
  </si>
  <si>
    <t>93050</t>
  </si>
  <si>
    <t>93052</t>
  </si>
  <si>
    <t>93054</t>
  </si>
  <si>
    <t>93055</t>
  </si>
  <si>
    <t>93056</t>
  </si>
  <si>
    <t>93057</t>
  </si>
  <si>
    <t>93058</t>
  </si>
  <si>
    <t>93059</t>
  </si>
  <si>
    <t>93060</t>
  </si>
  <si>
    <t>93061</t>
  </si>
  <si>
    <t>93062</t>
  </si>
  <si>
    <t>93063</t>
  </si>
  <si>
    <t>93064</t>
  </si>
  <si>
    <t>93065</t>
  </si>
  <si>
    <t>93066</t>
  </si>
  <si>
    <t>93067</t>
  </si>
  <si>
    <t>93068</t>
  </si>
  <si>
    <t>93069</t>
  </si>
  <si>
    <t>93070</t>
  </si>
  <si>
    <t>93071</t>
  </si>
  <si>
    <t>93072</t>
  </si>
  <si>
    <t>93074</t>
  </si>
  <si>
    <t>93075</t>
  </si>
  <si>
    <t>11,18</t>
  </si>
  <si>
    <t>93076</t>
  </si>
  <si>
    <t>93077</t>
  </si>
  <si>
    <t>93078</t>
  </si>
  <si>
    <t>93079</t>
  </si>
  <si>
    <t>93080</t>
  </si>
  <si>
    <t>93081</t>
  </si>
  <si>
    <t>93082</t>
  </si>
  <si>
    <t>93083</t>
  </si>
  <si>
    <t>93084</t>
  </si>
  <si>
    <t>93085</t>
  </si>
  <si>
    <t>7,15</t>
  </si>
  <si>
    <t>93086</t>
  </si>
  <si>
    <t>93087</t>
  </si>
  <si>
    <t>93088</t>
  </si>
  <si>
    <t>93089</t>
  </si>
  <si>
    <t>93090</t>
  </si>
  <si>
    <t>93091</t>
  </si>
  <si>
    <t>93092</t>
  </si>
  <si>
    <t>93093</t>
  </si>
  <si>
    <t>93094</t>
  </si>
  <si>
    <t>93097</t>
  </si>
  <si>
    <t>93098</t>
  </si>
  <si>
    <t>93099</t>
  </si>
  <si>
    <t>93100</t>
  </si>
  <si>
    <t>93101</t>
  </si>
  <si>
    <t>93102</t>
  </si>
  <si>
    <t>93103</t>
  </si>
  <si>
    <t>93104</t>
  </si>
  <si>
    <t>93105</t>
  </si>
  <si>
    <t>93106</t>
  </si>
  <si>
    <t>93107</t>
  </si>
  <si>
    <t>93108</t>
  </si>
  <si>
    <t>93109</t>
  </si>
  <si>
    <t>93110</t>
  </si>
  <si>
    <t>93111</t>
  </si>
  <si>
    <t>93112</t>
  </si>
  <si>
    <t>93113</t>
  </si>
  <si>
    <t>93114</t>
  </si>
  <si>
    <t>93115</t>
  </si>
  <si>
    <t>93116</t>
  </si>
  <si>
    <t>93117</t>
  </si>
  <si>
    <t>93118</t>
  </si>
  <si>
    <t>93119</t>
  </si>
  <si>
    <t>93120</t>
  </si>
  <si>
    <t>93121</t>
  </si>
  <si>
    <t>93122</t>
  </si>
  <si>
    <t>93123</t>
  </si>
  <si>
    <t>93124</t>
  </si>
  <si>
    <t>93125</t>
  </si>
  <si>
    <t>93126</t>
  </si>
  <si>
    <t>93133</t>
  </si>
  <si>
    <t>94465</t>
  </si>
  <si>
    <t>94466</t>
  </si>
  <si>
    <t>94467</t>
  </si>
  <si>
    <t>94468</t>
  </si>
  <si>
    <t>94469</t>
  </si>
  <si>
    <t>94470</t>
  </si>
  <si>
    <t>94471</t>
  </si>
  <si>
    <t>94472</t>
  </si>
  <si>
    <t>94473</t>
  </si>
  <si>
    <t>94474</t>
  </si>
  <si>
    <t>94475</t>
  </si>
  <si>
    <t>94476</t>
  </si>
  <si>
    <t>94477</t>
  </si>
  <si>
    <t>94478</t>
  </si>
  <si>
    <t>94479</t>
  </si>
  <si>
    <t>94606</t>
  </si>
  <si>
    <t>94608</t>
  </si>
  <si>
    <t>94610</t>
  </si>
  <si>
    <t>94612</t>
  </si>
  <si>
    <t>94614</t>
  </si>
  <si>
    <t>94615</t>
  </si>
  <si>
    <t>94616</t>
  </si>
  <si>
    <t>94617</t>
  </si>
  <si>
    <t>94618</t>
  </si>
  <si>
    <t>94620</t>
  </si>
  <si>
    <t>94622</t>
  </si>
  <si>
    <t>94623</t>
  </si>
  <si>
    <t>94624</t>
  </si>
  <si>
    <t>94625</t>
  </si>
  <si>
    <t>94656</t>
  </si>
  <si>
    <t>94657</t>
  </si>
  <si>
    <t>4,31</t>
  </si>
  <si>
    <t>94658</t>
  </si>
  <si>
    <t>94659</t>
  </si>
  <si>
    <t>94660</t>
  </si>
  <si>
    <t>8,21</t>
  </si>
  <si>
    <t>94661</t>
  </si>
  <si>
    <t>94662</t>
  </si>
  <si>
    <t>94663</t>
  </si>
  <si>
    <t>94664</t>
  </si>
  <si>
    <t>18,28</t>
  </si>
  <si>
    <t>94665</t>
  </si>
  <si>
    <t>94666</t>
  </si>
  <si>
    <t>94667</t>
  </si>
  <si>
    <t>94668</t>
  </si>
  <si>
    <t>94669</t>
  </si>
  <si>
    <t>94670</t>
  </si>
  <si>
    <t>94671</t>
  </si>
  <si>
    <t>94672</t>
  </si>
  <si>
    <t>94673</t>
  </si>
  <si>
    <t>7,09</t>
  </si>
  <si>
    <t>94674</t>
  </si>
  <si>
    <t>6,50</t>
  </si>
  <si>
    <t>94675</t>
  </si>
  <si>
    <t>9,20</t>
  </si>
  <si>
    <t>94676</t>
  </si>
  <si>
    <t>94677</t>
  </si>
  <si>
    <t>94678</t>
  </si>
  <si>
    <t>94679</t>
  </si>
  <si>
    <t>94680</t>
  </si>
  <si>
    <t>94681</t>
  </si>
  <si>
    <t>94682</t>
  </si>
  <si>
    <t>94683</t>
  </si>
  <si>
    <t>94684</t>
  </si>
  <si>
    <t>94685</t>
  </si>
  <si>
    <t>94686</t>
  </si>
  <si>
    <t>94687</t>
  </si>
  <si>
    <t>94688</t>
  </si>
  <si>
    <t>94689</t>
  </si>
  <si>
    <t>94690</t>
  </si>
  <si>
    <t>94691</t>
  </si>
  <si>
    <t>94692</t>
  </si>
  <si>
    <t>16,48</t>
  </si>
  <si>
    <t>94693</t>
  </si>
  <si>
    <t>94694</t>
  </si>
  <si>
    <t>94695</t>
  </si>
  <si>
    <t>94696</t>
  </si>
  <si>
    <t>94697</t>
  </si>
  <si>
    <t>94698</t>
  </si>
  <si>
    <t>94699</t>
  </si>
  <si>
    <t>94700</t>
  </si>
  <si>
    <t>94701</t>
  </si>
  <si>
    <t>94702</t>
  </si>
  <si>
    <t>94703</t>
  </si>
  <si>
    <t>94704</t>
  </si>
  <si>
    <t>94705</t>
  </si>
  <si>
    <t>94706</t>
  </si>
  <si>
    <t>94707</t>
  </si>
  <si>
    <t>94713</t>
  </si>
  <si>
    <t>94714</t>
  </si>
  <si>
    <t>94715</t>
  </si>
  <si>
    <t>94724</t>
  </si>
  <si>
    <t>94725</t>
  </si>
  <si>
    <t>94726</t>
  </si>
  <si>
    <t>94727</t>
  </si>
  <si>
    <t>94728</t>
  </si>
  <si>
    <t>94729</t>
  </si>
  <si>
    <t>94730</t>
  </si>
  <si>
    <t>94731</t>
  </si>
  <si>
    <t>94733</t>
  </si>
  <si>
    <t>94737</t>
  </si>
  <si>
    <t>94740</t>
  </si>
  <si>
    <t>94741</t>
  </si>
  <si>
    <t>9,49</t>
  </si>
  <si>
    <t>94742</t>
  </si>
  <si>
    <t>94743</t>
  </si>
  <si>
    <t>94744</t>
  </si>
  <si>
    <t>94746</t>
  </si>
  <si>
    <t>94748</t>
  </si>
  <si>
    <t>94750</t>
  </si>
  <si>
    <t>94752</t>
  </si>
  <si>
    <t>94756</t>
  </si>
  <si>
    <t>9,67</t>
  </si>
  <si>
    <t>94757</t>
  </si>
  <si>
    <t>94758</t>
  </si>
  <si>
    <t>94759</t>
  </si>
  <si>
    <t>94760</t>
  </si>
  <si>
    <t>94761</t>
  </si>
  <si>
    <t>94762</t>
  </si>
  <si>
    <t>94783</t>
  </si>
  <si>
    <t>94863</t>
  </si>
  <si>
    <t>95237</t>
  </si>
  <si>
    <t>95693</t>
  </si>
  <si>
    <t>95694</t>
  </si>
  <si>
    <t>95695</t>
  </si>
  <si>
    <t>95696</t>
  </si>
  <si>
    <t>96637</t>
  </si>
  <si>
    <t>96638</t>
  </si>
  <si>
    <t>96639</t>
  </si>
  <si>
    <t>96640</t>
  </si>
  <si>
    <t>96641</t>
  </si>
  <si>
    <t>96642</t>
  </si>
  <si>
    <t>96643</t>
  </si>
  <si>
    <t>96650</t>
  </si>
  <si>
    <t>96651</t>
  </si>
  <si>
    <t>96652</t>
  </si>
  <si>
    <t>96653</t>
  </si>
  <si>
    <t>96654</t>
  </si>
  <si>
    <t>96655</t>
  </si>
  <si>
    <t>96656</t>
  </si>
  <si>
    <t>96657</t>
  </si>
  <si>
    <t>96658</t>
  </si>
  <si>
    <t>96659</t>
  </si>
  <si>
    <t>96660</t>
  </si>
  <si>
    <t>96661</t>
  </si>
  <si>
    <t>18,54</t>
  </si>
  <si>
    <t>96662</t>
  </si>
  <si>
    <t>96663</t>
  </si>
  <si>
    <t>96664</t>
  </si>
  <si>
    <t>96665</t>
  </si>
  <si>
    <t>96666</t>
  </si>
  <si>
    <t>96667</t>
  </si>
  <si>
    <t>96684</t>
  </si>
  <si>
    <t>3,17</t>
  </si>
  <si>
    <t>96685</t>
  </si>
  <si>
    <t>96686</t>
  </si>
  <si>
    <t>96687</t>
  </si>
  <si>
    <t>96688</t>
  </si>
  <si>
    <t>8,05</t>
  </si>
  <si>
    <t>96689</t>
  </si>
  <si>
    <t>7,72</t>
  </si>
  <si>
    <t>96690</t>
  </si>
  <si>
    <t>96691</t>
  </si>
  <si>
    <t>96692</t>
  </si>
  <si>
    <t>96693</t>
  </si>
  <si>
    <t>96694</t>
  </si>
  <si>
    <t>96695</t>
  </si>
  <si>
    <t>96696</t>
  </si>
  <si>
    <t>96697</t>
  </si>
  <si>
    <t>96698</t>
  </si>
  <si>
    <t>2,39</t>
  </si>
  <si>
    <t>96699</t>
  </si>
  <si>
    <t>96700</t>
  </si>
  <si>
    <t>96701</t>
  </si>
  <si>
    <t>96702</t>
  </si>
  <si>
    <t>3,43</t>
  </si>
  <si>
    <t>96703</t>
  </si>
  <si>
    <t>96704</t>
  </si>
  <si>
    <t>96705</t>
  </si>
  <si>
    <t>10,07</t>
  </si>
  <si>
    <t>96706</t>
  </si>
  <si>
    <t>96707</t>
  </si>
  <si>
    <t>96708</t>
  </si>
  <si>
    <t>96709</t>
  </si>
  <si>
    <t>96710</t>
  </si>
  <si>
    <t>96711</t>
  </si>
  <si>
    <t>96712</t>
  </si>
  <si>
    <t>96713</t>
  </si>
  <si>
    <t>96714</t>
  </si>
  <si>
    <t>96715</t>
  </si>
  <si>
    <t>96716</t>
  </si>
  <si>
    <t>96717</t>
  </si>
  <si>
    <t>96736</t>
  </si>
  <si>
    <t>96737</t>
  </si>
  <si>
    <t>96738</t>
  </si>
  <si>
    <t>96739</t>
  </si>
  <si>
    <t>5,44</t>
  </si>
  <si>
    <t>96740</t>
  </si>
  <si>
    <t>96741</t>
  </si>
  <si>
    <t>96742</t>
  </si>
  <si>
    <t>96743</t>
  </si>
  <si>
    <t>96744</t>
  </si>
  <si>
    <t>96745</t>
  </si>
  <si>
    <t>96746</t>
  </si>
  <si>
    <t>96747</t>
  </si>
  <si>
    <t>96748</t>
  </si>
  <si>
    <t>5,94</t>
  </si>
  <si>
    <t>96749</t>
  </si>
  <si>
    <t>96750</t>
  </si>
  <si>
    <t>96751</t>
  </si>
  <si>
    <t>96752</t>
  </si>
  <si>
    <t>96753</t>
  </si>
  <si>
    <t>96754</t>
  </si>
  <si>
    <t>96755</t>
  </si>
  <si>
    <t>96758</t>
  </si>
  <si>
    <t>96759</t>
  </si>
  <si>
    <t>96760</t>
  </si>
  <si>
    <t>96761</t>
  </si>
  <si>
    <t>96762</t>
  </si>
  <si>
    <t>96763</t>
  </si>
  <si>
    <t>96764</t>
  </si>
  <si>
    <t>96802</t>
  </si>
  <si>
    <t>96803</t>
  </si>
  <si>
    <t>96804</t>
  </si>
  <si>
    <t>96805</t>
  </si>
  <si>
    <t>96806</t>
  </si>
  <si>
    <t>96807</t>
  </si>
  <si>
    <t>96808</t>
  </si>
  <si>
    <t>96809</t>
  </si>
  <si>
    <t>96810</t>
  </si>
  <si>
    <t>96811</t>
  </si>
  <si>
    <t>96812</t>
  </si>
  <si>
    <t>96813</t>
  </si>
  <si>
    <t>96814</t>
  </si>
  <si>
    <t>96815</t>
  </si>
  <si>
    <t>96816</t>
  </si>
  <si>
    <t>96817</t>
  </si>
  <si>
    <t>96818</t>
  </si>
  <si>
    <t>16,02</t>
  </si>
  <si>
    <t>96819</t>
  </si>
  <si>
    <t>96820</t>
  </si>
  <si>
    <t>96821</t>
  </si>
  <si>
    <t>96822</t>
  </si>
  <si>
    <t>96823</t>
  </si>
  <si>
    <t>96824</t>
  </si>
  <si>
    <t>96826</t>
  </si>
  <si>
    <t>96827</t>
  </si>
  <si>
    <t>96828</t>
  </si>
  <si>
    <t>96829</t>
  </si>
  <si>
    <t>96830</t>
  </si>
  <si>
    <t>96832</t>
  </si>
  <si>
    <t>96833</t>
  </si>
  <si>
    <t>96834</t>
  </si>
  <si>
    <t>96836</t>
  </si>
  <si>
    <t>96837</t>
  </si>
  <si>
    <t>96838</t>
  </si>
  <si>
    <t>96839</t>
  </si>
  <si>
    <t>96840</t>
  </si>
  <si>
    <t>96841</t>
  </si>
  <si>
    <t>96842</t>
  </si>
  <si>
    <t>96843</t>
  </si>
  <si>
    <t>96844</t>
  </si>
  <si>
    <t>96845</t>
  </si>
  <si>
    <t>96846</t>
  </si>
  <si>
    <t>96847</t>
  </si>
  <si>
    <t>24,02</t>
  </si>
  <si>
    <t>96848</t>
  </si>
  <si>
    <t>96849</t>
  </si>
  <si>
    <t>96850</t>
  </si>
  <si>
    <t>96852</t>
  </si>
  <si>
    <t>96853</t>
  </si>
  <si>
    <t>96854</t>
  </si>
  <si>
    <t>96855</t>
  </si>
  <si>
    <t>96856</t>
  </si>
  <si>
    <t>96860</t>
  </si>
  <si>
    <t>96861</t>
  </si>
  <si>
    <t>96862</t>
  </si>
  <si>
    <t>96863</t>
  </si>
  <si>
    <t>96864</t>
  </si>
  <si>
    <t>96865</t>
  </si>
  <si>
    <t>96866</t>
  </si>
  <si>
    <t>96868</t>
  </si>
  <si>
    <t>96869</t>
  </si>
  <si>
    <t>96870</t>
  </si>
  <si>
    <t>96871</t>
  </si>
  <si>
    <t>96872</t>
  </si>
  <si>
    <t>96873</t>
  </si>
  <si>
    <t>96874</t>
  </si>
  <si>
    <t>96875</t>
  </si>
  <si>
    <t>96876</t>
  </si>
  <si>
    <t>96878</t>
  </si>
  <si>
    <t>96879</t>
  </si>
  <si>
    <t>96881</t>
  </si>
  <si>
    <t>89482</t>
  </si>
  <si>
    <t>89491</t>
  </si>
  <si>
    <t>89495</t>
  </si>
  <si>
    <t>89707</t>
  </si>
  <si>
    <t>89708</t>
  </si>
  <si>
    <t>89709</t>
  </si>
  <si>
    <t>89710</t>
  </si>
  <si>
    <t>86872</t>
  </si>
  <si>
    <t>86874</t>
  </si>
  <si>
    <t>86875</t>
  </si>
  <si>
    <t>86876</t>
  </si>
  <si>
    <t>86877</t>
  </si>
  <si>
    <t>86878</t>
  </si>
  <si>
    <t>86879</t>
  </si>
  <si>
    <t>86880</t>
  </si>
  <si>
    <t>86881</t>
  </si>
  <si>
    <t>86882</t>
  </si>
  <si>
    <t>86883</t>
  </si>
  <si>
    <t>86884</t>
  </si>
  <si>
    <t>86885</t>
  </si>
  <si>
    <t>86886</t>
  </si>
  <si>
    <t>86887</t>
  </si>
  <si>
    <t>86888</t>
  </si>
  <si>
    <t>86889</t>
  </si>
  <si>
    <t>86893</t>
  </si>
  <si>
    <t>86894</t>
  </si>
  <si>
    <t>86895</t>
  </si>
  <si>
    <t>86899</t>
  </si>
  <si>
    <t>86900</t>
  </si>
  <si>
    <t>86901</t>
  </si>
  <si>
    <t>86902</t>
  </si>
  <si>
    <t>86903</t>
  </si>
  <si>
    <t>86904</t>
  </si>
  <si>
    <t>86905</t>
  </si>
  <si>
    <t>86906</t>
  </si>
  <si>
    <t>86908</t>
  </si>
  <si>
    <t>86909</t>
  </si>
  <si>
    <t>86910</t>
  </si>
  <si>
    <t>86911</t>
  </si>
  <si>
    <t>86913</t>
  </si>
  <si>
    <t>86914</t>
  </si>
  <si>
    <t>86915</t>
  </si>
  <si>
    <t>86916</t>
  </si>
  <si>
    <t>86919</t>
  </si>
  <si>
    <t>86920</t>
  </si>
  <si>
    <t>86921</t>
  </si>
  <si>
    <t>86922</t>
  </si>
  <si>
    <t>86923</t>
  </si>
  <si>
    <t>86924</t>
  </si>
  <si>
    <t>86925</t>
  </si>
  <si>
    <t>86926</t>
  </si>
  <si>
    <t>86927</t>
  </si>
  <si>
    <t>86928</t>
  </si>
  <si>
    <t>86929</t>
  </si>
  <si>
    <t>86930</t>
  </si>
  <si>
    <t>86931</t>
  </si>
  <si>
    <t>86932</t>
  </si>
  <si>
    <t>86933</t>
  </si>
  <si>
    <t>86934</t>
  </si>
  <si>
    <t>86935</t>
  </si>
  <si>
    <t>86936</t>
  </si>
  <si>
    <t>86937</t>
  </si>
  <si>
    <t>86938</t>
  </si>
  <si>
    <t>86939</t>
  </si>
  <si>
    <t>86940</t>
  </si>
  <si>
    <t>86941</t>
  </si>
  <si>
    <t>86942</t>
  </si>
  <si>
    <t>86943</t>
  </si>
  <si>
    <t>86947</t>
  </si>
  <si>
    <t>93396</t>
  </si>
  <si>
    <t>93441</t>
  </si>
  <si>
    <t>93442</t>
  </si>
  <si>
    <t>95469</t>
  </si>
  <si>
    <t>95470</t>
  </si>
  <si>
    <t>95471</t>
  </si>
  <si>
    <t>95472</t>
  </si>
  <si>
    <t>95542</t>
  </si>
  <si>
    <t>95543</t>
  </si>
  <si>
    <t>95544</t>
  </si>
  <si>
    <t>95545</t>
  </si>
  <si>
    <t>95546</t>
  </si>
  <si>
    <t>95547</t>
  </si>
  <si>
    <t>89349</t>
  </si>
  <si>
    <t>89351</t>
  </si>
  <si>
    <t>89352</t>
  </si>
  <si>
    <t>89353</t>
  </si>
  <si>
    <t>89354</t>
  </si>
  <si>
    <t>89984</t>
  </si>
  <si>
    <t>89985</t>
  </si>
  <si>
    <t>89986</t>
  </si>
  <si>
    <t>89987</t>
  </si>
  <si>
    <t>90371</t>
  </si>
  <si>
    <t>94489</t>
  </si>
  <si>
    <t>94490</t>
  </si>
  <si>
    <t>94491</t>
  </si>
  <si>
    <t>94492</t>
  </si>
  <si>
    <t>94493</t>
  </si>
  <si>
    <t>94495</t>
  </si>
  <si>
    <t>94496</t>
  </si>
  <si>
    <t>94497</t>
  </si>
  <si>
    <t>94498</t>
  </si>
  <si>
    <t>94499</t>
  </si>
  <si>
    <t>94500</t>
  </si>
  <si>
    <t>94501</t>
  </si>
  <si>
    <t>94792</t>
  </si>
  <si>
    <t>94793</t>
  </si>
  <si>
    <t>94794</t>
  </si>
  <si>
    <t>94795</t>
  </si>
  <si>
    <t>94796</t>
  </si>
  <si>
    <t>94797</t>
  </si>
  <si>
    <t>94798</t>
  </si>
  <si>
    <t>94799</t>
  </si>
  <si>
    <t>94800</t>
  </si>
  <si>
    <t>95248</t>
  </si>
  <si>
    <t>95249</t>
  </si>
  <si>
    <t>95250</t>
  </si>
  <si>
    <t>95251</t>
  </si>
  <si>
    <t>95252</t>
  </si>
  <si>
    <t>95253</t>
  </si>
  <si>
    <t>95634</t>
  </si>
  <si>
    <t>95635</t>
  </si>
  <si>
    <t>95637</t>
  </si>
  <si>
    <t>95638</t>
  </si>
  <si>
    <t>95639</t>
  </si>
  <si>
    <t>95641</t>
  </si>
  <si>
    <t>95642</t>
  </si>
  <si>
    <t>95643</t>
  </si>
  <si>
    <t>95644</t>
  </si>
  <si>
    <t>95645</t>
  </si>
  <si>
    <t>95646</t>
  </si>
  <si>
    <t>95647</t>
  </si>
  <si>
    <t>95673</t>
  </si>
  <si>
    <t>95674</t>
  </si>
  <si>
    <t>95675</t>
  </si>
  <si>
    <t>95676</t>
  </si>
  <si>
    <t>97741</t>
  </si>
  <si>
    <t>90436</t>
  </si>
  <si>
    <t>90437</t>
  </si>
  <si>
    <t>90438</t>
  </si>
  <si>
    <t>90439</t>
  </si>
  <si>
    <t>90440</t>
  </si>
  <si>
    <t>90441</t>
  </si>
  <si>
    <t>90443</t>
  </si>
  <si>
    <t>90444</t>
  </si>
  <si>
    <t>90445</t>
  </si>
  <si>
    <t>90446</t>
  </si>
  <si>
    <t>90447</t>
  </si>
  <si>
    <t>90451</t>
  </si>
  <si>
    <t>90452</t>
  </si>
  <si>
    <t>90453</t>
  </si>
  <si>
    <t>1,97</t>
  </si>
  <si>
    <t>90454</t>
  </si>
  <si>
    <t>90455</t>
  </si>
  <si>
    <t>90456</t>
  </si>
  <si>
    <t>90457</t>
  </si>
  <si>
    <t>90458</t>
  </si>
  <si>
    <t>90459</t>
  </si>
  <si>
    <t>90460</t>
  </si>
  <si>
    <t>90461</t>
  </si>
  <si>
    <t>90462</t>
  </si>
  <si>
    <t>3,06</t>
  </si>
  <si>
    <t>90463</t>
  </si>
  <si>
    <t>90466</t>
  </si>
  <si>
    <t>90467</t>
  </si>
  <si>
    <t>90468</t>
  </si>
  <si>
    <t>90469</t>
  </si>
  <si>
    <t>90470</t>
  </si>
  <si>
    <t>91166</t>
  </si>
  <si>
    <t>91167</t>
  </si>
  <si>
    <t>91170</t>
  </si>
  <si>
    <t>91171</t>
  </si>
  <si>
    <t>91172</t>
  </si>
  <si>
    <t>91173</t>
  </si>
  <si>
    <t>91174</t>
  </si>
  <si>
    <t>91175</t>
  </si>
  <si>
    <t>91176</t>
  </si>
  <si>
    <t>91179</t>
  </si>
  <si>
    <t>91180</t>
  </si>
  <si>
    <t>91181</t>
  </si>
  <si>
    <t>91182</t>
  </si>
  <si>
    <t>91185</t>
  </si>
  <si>
    <t>91186</t>
  </si>
  <si>
    <t>91187</t>
  </si>
  <si>
    <t>91188</t>
  </si>
  <si>
    <t>91189</t>
  </si>
  <si>
    <t>91190</t>
  </si>
  <si>
    <t>91191</t>
  </si>
  <si>
    <t>91192</t>
  </si>
  <si>
    <t>91222</t>
  </si>
  <si>
    <t>94480</t>
  </si>
  <si>
    <t>94481</t>
  </si>
  <si>
    <t>94482</t>
  </si>
  <si>
    <t>94483</t>
  </si>
  <si>
    <t>95541</t>
  </si>
  <si>
    <t>96559</t>
  </si>
  <si>
    <t>96560</t>
  </si>
  <si>
    <t>96562</t>
  </si>
  <si>
    <t>96563</t>
  </si>
  <si>
    <t>1,41</t>
  </si>
  <si>
    <t>7,59</t>
  </si>
  <si>
    <t>5,75</t>
  </si>
  <si>
    <t>96520</t>
  </si>
  <si>
    <t>96521</t>
  </si>
  <si>
    <t>96522</t>
  </si>
  <si>
    <t>96523</t>
  </si>
  <si>
    <t>96524</t>
  </si>
  <si>
    <t>96525</t>
  </si>
  <si>
    <t>96526</t>
  </si>
  <si>
    <t>96527</t>
  </si>
  <si>
    <t>96528</t>
  </si>
  <si>
    <t>10,54</t>
  </si>
  <si>
    <t>90082</t>
  </si>
  <si>
    <t>90084</t>
  </si>
  <si>
    <t>90086</t>
  </si>
  <si>
    <t>90087</t>
  </si>
  <si>
    <t>6,12</t>
  </si>
  <si>
    <t>90090</t>
  </si>
  <si>
    <t>90091</t>
  </si>
  <si>
    <t>90092</t>
  </si>
  <si>
    <t>4,16</t>
  </si>
  <si>
    <t>90094</t>
  </si>
  <si>
    <t>90095</t>
  </si>
  <si>
    <t>90098</t>
  </si>
  <si>
    <t>90099</t>
  </si>
  <si>
    <t>90100</t>
  </si>
  <si>
    <t>90101</t>
  </si>
  <si>
    <t>90102</t>
  </si>
  <si>
    <t>90105</t>
  </si>
  <si>
    <t>90106</t>
  </si>
  <si>
    <t>90107</t>
  </si>
  <si>
    <t>90108</t>
  </si>
  <si>
    <t>93358</t>
  </si>
  <si>
    <t>94304</t>
  </si>
  <si>
    <t>94306</t>
  </si>
  <si>
    <t>94310</t>
  </si>
  <si>
    <t>94316</t>
  </si>
  <si>
    <t>94318</t>
  </si>
  <si>
    <t>94319</t>
  </si>
  <si>
    <t>94327</t>
  </si>
  <si>
    <t>94329</t>
  </si>
  <si>
    <t>94333</t>
  </si>
  <si>
    <t>94339</t>
  </si>
  <si>
    <t>94341</t>
  </si>
  <si>
    <t>94342</t>
  </si>
  <si>
    <t>96385</t>
  </si>
  <si>
    <t>96386</t>
  </si>
  <si>
    <t>14,24</t>
  </si>
  <si>
    <t>93367</t>
  </si>
  <si>
    <t>93368</t>
  </si>
  <si>
    <t>93369</t>
  </si>
  <si>
    <t>93372</t>
  </si>
  <si>
    <t>93373</t>
  </si>
  <si>
    <t>93378</t>
  </si>
  <si>
    <t>93379</t>
  </si>
  <si>
    <t>93380</t>
  </si>
  <si>
    <t>93381</t>
  </si>
  <si>
    <t>93382</t>
  </si>
  <si>
    <t>0,83</t>
  </si>
  <si>
    <t>2,46</t>
  </si>
  <si>
    <t>10,43</t>
  </si>
  <si>
    <t>1,23</t>
  </si>
  <si>
    <t>3,70</t>
  </si>
  <si>
    <t>72897</t>
  </si>
  <si>
    <t>72899</t>
  </si>
  <si>
    <t>1,37</t>
  </si>
  <si>
    <t>97912</t>
  </si>
  <si>
    <t>97913</t>
  </si>
  <si>
    <t>97914</t>
  </si>
  <si>
    <t>97915</t>
  </si>
  <si>
    <t>97916</t>
  </si>
  <si>
    <t>1,35</t>
  </si>
  <si>
    <t>97917</t>
  </si>
  <si>
    <t>97918</t>
  </si>
  <si>
    <t>97919</t>
  </si>
  <si>
    <t>4,37</t>
  </si>
  <si>
    <t>87485</t>
  </si>
  <si>
    <t>89282</t>
  </si>
  <si>
    <t>89283</t>
  </si>
  <si>
    <t>89290</t>
  </si>
  <si>
    <t>89291</t>
  </si>
  <si>
    <t>89298</t>
  </si>
  <si>
    <t>89299</t>
  </si>
  <si>
    <t>89306</t>
  </si>
  <si>
    <t>89307</t>
  </si>
  <si>
    <t>49,78</t>
  </si>
  <si>
    <t>89453</t>
  </si>
  <si>
    <t>89455</t>
  </si>
  <si>
    <t>89462</t>
  </si>
  <si>
    <t>89464</t>
  </si>
  <si>
    <t>89470</t>
  </si>
  <si>
    <t>89472</t>
  </si>
  <si>
    <t>89478</t>
  </si>
  <si>
    <t>89480</t>
  </si>
  <si>
    <t>13,68</t>
  </si>
  <si>
    <t>79627</t>
  </si>
  <si>
    <t>96358</t>
  </si>
  <si>
    <t>96359</t>
  </si>
  <si>
    <t>96360</t>
  </si>
  <si>
    <t>96361</t>
  </si>
  <si>
    <t>96362</t>
  </si>
  <si>
    <t>96363</t>
  </si>
  <si>
    <t>96364</t>
  </si>
  <si>
    <t>96365</t>
  </si>
  <si>
    <t>96366</t>
  </si>
  <si>
    <t>96367</t>
  </si>
  <si>
    <t>96368</t>
  </si>
  <si>
    <t>96369</t>
  </si>
  <si>
    <t>96370</t>
  </si>
  <si>
    <t>96371</t>
  </si>
  <si>
    <t>96373</t>
  </si>
  <si>
    <t>96374</t>
  </si>
  <si>
    <t>96388</t>
  </si>
  <si>
    <t>96389</t>
  </si>
  <si>
    <t>96390</t>
  </si>
  <si>
    <t>96391</t>
  </si>
  <si>
    <t>96392</t>
  </si>
  <si>
    <t>96396</t>
  </si>
  <si>
    <t>96397</t>
  </si>
  <si>
    <t>96398</t>
  </si>
  <si>
    <t>96399</t>
  </si>
  <si>
    <t>96400</t>
  </si>
  <si>
    <t>2,50</t>
  </si>
  <si>
    <t>1,19</t>
  </si>
  <si>
    <t>92391</t>
  </si>
  <si>
    <t>92392</t>
  </si>
  <si>
    <t>92393</t>
  </si>
  <si>
    <t>92394</t>
  </si>
  <si>
    <t>92395</t>
  </si>
  <si>
    <t>92396</t>
  </si>
  <si>
    <t>92397</t>
  </si>
  <si>
    <t>92398</t>
  </si>
  <si>
    <t>92400</t>
  </si>
  <si>
    <t>92402</t>
  </si>
  <si>
    <t>92403</t>
  </si>
  <si>
    <t>92404</t>
  </si>
  <si>
    <t>92406</t>
  </si>
  <si>
    <t>93679</t>
  </si>
  <si>
    <t>93680</t>
  </si>
  <si>
    <t>93681</t>
  </si>
  <si>
    <t>97114</t>
  </si>
  <si>
    <t>97115</t>
  </si>
  <si>
    <t>97120</t>
  </si>
  <si>
    <t>2,81</t>
  </si>
  <si>
    <t>6,21</t>
  </si>
  <si>
    <t>95995</t>
  </si>
  <si>
    <t>95996</t>
  </si>
  <si>
    <t>96001</t>
  </si>
  <si>
    <t>96393</t>
  </si>
  <si>
    <t>96394</t>
  </si>
  <si>
    <t>96395</t>
  </si>
  <si>
    <t>7,70</t>
  </si>
  <si>
    <t>8,37</t>
  </si>
  <si>
    <t>88411</t>
  </si>
  <si>
    <t>2,12</t>
  </si>
  <si>
    <t>88412</t>
  </si>
  <si>
    <t>88413</t>
  </si>
  <si>
    <t>88414</t>
  </si>
  <si>
    <t>88415</t>
  </si>
  <si>
    <t>2,27</t>
  </si>
  <si>
    <t>88416</t>
  </si>
  <si>
    <t>88417</t>
  </si>
  <si>
    <t>88420</t>
  </si>
  <si>
    <t>88421</t>
  </si>
  <si>
    <t>88423</t>
  </si>
  <si>
    <t>88424</t>
  </si>
  <si>
    <t>88426</t>
  </si>
  <si>
    <t>88428</t>
  </si>
  <si>
    <t>22,09</t>
  </si>
  <si>
    <t>88429</t>
  </si>
  <si>
    <t>88431</t>
  </si>
  <si>
    <t>88432</t>
  </si>
  <si>
    <t>88482</t>
  </si>
  <si>
    <t>2,69</t>
  </si>
  <si>
    <t>88484</t>
  </si>
  <si>
    <t>88485</t>
  </si>
  <si>
    <t>1,99</t>
  </si>
  <si>
    <t>88486</t>
  </si>
  <si>
    <t>88488</t>
  </si>
  <si>
    <t>88489</t>
  </si>
  <si>
    <t>88494</t>
  </si>
  <si>
    <t>14,66</t>
  </si>
  <si>
    <t>88495</t>
  </si>
  <si>
    <t>88496</t>
  </si>
  <si>
    <t>19,98</t>
  </si>
  <si>
    <t>88497</t>
  </si>
  <si>
    <t>95305</t>
  </si>
  <si>
    <t>95306</t>
  </si>
  <si>
    <t>95622</t>
  </si>
  <si>
    <t>95623</t>
  </si>
  <si>
    <t>95624</t>
  </si>
  <si>
    <t>95625</t>
  </si>
  <si>
    <t>95626</t>
  </si>
  <si>
    <t>96126</t>
  </si>
  <si>
    <t>96127</t>
  </si>
  <si>
    <t>96128</t>
  </si>
  <si>
    <t>96129</t>
  </si>
  <si>
    <t>96130</t>
  </si>
  <si>
    <t>96131</t>
  </si>
  <si>
    <t>96132</t>
  </si>
  <si>
    <t>96133</t>
  </si>
  <si>
    <t>96134</t>
  </si>
  <si>
    <t>96135</t>
  </si>
  <si>
    <t>5,49</t>
  </si>
  <si>
    <t>87246</t>
  </si>
  <si>
    <t>87247</t>
  </si>
  <si>
    <t>87248</t>
  </si>
  <si>
    <t>87249</t>
  </si>
  <si>
    <t>87250</t>
  </si>
  <si>
    <t>87251</t>
  </si>
  <si>
    <t>87255</t>
  </si>
  <si>
    <t>87256</t>
  </si>
  <si>
    <t>87257</t>
  </si>
  <si>
    <t>87261</t>
  </si>
  <si>
    <t>87262</t>
  </si>
  <si>
    <t>87263</t>
  </si>
  <si>
    <t>72188</t>
  </si>
  <si>
    <t>84191</t>
  </si>
  <si>
    <t>88648</t>
  </si>
  <si>
    <t>88649</t>
  </si>
  <si>
    <t>88650</t>
  </si>
  <si>
    <t>20,09</t>
  </si>
  <si>
    <t>94990</t>
  </si>
  <si>
    <t>94991</t>
  </si>
  <si>
    <t>94992</t>
  </si>
  <si>
    <t>94993</t>
  </si>
  <si>
    <t>94994</t>
  </si>
  <si>
    <t>94995</t>
  </si>
  <si>
    <t>87620</t>
  </si>
  <si>
    <t>87622</t>
  </si>
  <si>
    <t>87623</t>
  </si>
  <si>
    <t>87624</t>
  </si>
  <si>
    <t>87630</t>
  </si>
  <si>
    <t>87632</t>
  </si>
  <si>
    <t>87633</t>
  </si>
  <si>
    <t>87634</t>
  </si>
  <si>
    <t>87640</t>
  </si>
  <si>
    <t>87642</t>
  </si>
  <si>
    <t>87643</t>
  </si>
  <si>
    <t>87644</t>
  </si>
  <si>
    <t>87680</t>
  </si>
  <si>
    <t>22,18</t>
  </si>
  <si>
    <t>87682</t>
  </si>
  <si>
    <t>87683</t>
  </si>
  <si>
    <t>87684</t>
  </si>
  <si>
    <t>87690</t>
  </si>
  <si>
    <t>87692</t>
  </si>
  <si>
    <t>87693</t>
  </si>
  <si>
    <t>87694</t>
  </si>
  <si>
    <t>87700</t>
  </si>
  <si>
    <t>87702</t>
  </si>
  <si>
    <t>87703</t>
  </si>
  <si>
    <t>87704</t>
  </si>
  <si>
    <t>87735</t>
  </si>
  <si>
    <t>87737</t>
  </si>
  <si>
    <t>87738</t>
  </si>
  <si>
    <t>87739</t>
  </si>
  <si>
    <t>87745</t>
  </si>
  <si>
    <t>87747</t>
  </si>
  <si>
    <t>87748</t>
  </si>
  <si>
    <t>87749</t>
  </si>
  <si>
    <t>87755</t>
  </si>
  <si>
    <t>87757</t>
  </si>
  <si>
    <t>87758</t>
  </si>
  <si>
    <t>87759</t>
  </si>
  <si>
    <t>87765</t>
  </si>
  <si>
    <t>87767</t>
  </si>
  <si>
    <t>87768</t>
  </si>
  <si>
    <t>87769</t>
  </si>
  <si>
    <t>88470</t>
  </si>
  <si>
    <t>88471</t>
  </si>
  <si>
    <t>88472</t>
  </si>
  <si>
    <t>88476</t>
  </si>
  <si>
    <t>88477</t>
  </si>
  <si>
    <t>88478</t>
  </si>
  <si>
    <t>90930</t>
  </si>
  <si>
    <t>90932</t>
  </si>
  <si>
    <t>90933</t>
  </si>
  <si>
    <t>90934</t>
  </si>
  <si>
    <t>90940</t>
  </si>
  <si>
    <t>90942</t>
  </si>
  <si>
    <t>90943</t>
  </si>
  <si>
    <t>90944</t>
  </si>
  <si>
    <t>90950</t>
  </si>
  <si>
    <t>90952</t>
  </si>
  <si>
    <t>90953</t>
  </si>
  <si>
    <t>90954</t>
  </si>
  <si>
    <t>87874</t>
  </si>
  <si>
    <t>87878</t>
  </si>
  <si>
    <t>87879</t>
  </si>
  <si>
    <t>2,54</t>
  </si>
  <si>
    <t>87881</t>
  </si>
  <si>
    <t>87882</t>
  </si>
  <si>
    <t>87884</t>
  </si>
  <si>
    <t>87885</t>
  </si>
  <si>
    <t>87886</t>
  </si>
  <si>
    <t>87887</t>
  </si>
  <si>
    <t>87888</t>
  </si>
  <si>
    <t>87889</t>
  </si>
  <si>
    <t>87891</t>
  </si>
  <si>
    <t>87892</t>
  </si>
  <si>
    <t>87893</t>
  </si>
  <si>
    <t>4,64</t>
  </si>
  <si>
    <t>87894</t>
  </si>
  <si>
    <t>87896</t>
  </si>
  <si>
    <t>87897</t>
  </si>
  <si>
    <t>87899</t>
  </si>
  <si>
    <t>87900</t>
  </si>
  <si>
    <t>87902</t>
  </si>
  <si>
    <t>87903</t>
  </si>
  <si>
    <t>87904</t>
  </si>
  <si>
    <t>87905</t>
  </si>
  <si>
    <t>87907</t>
  </si>
  <si>
    <t>87908</t>
  </si>
  <si>
    <t>87910</t>
  </si>
  <si>
    <t>87911</t>
  </si>
  <si>
    <t>87411</t>
  </si>
  <si>
    <t>87412</t>
  </si>
  <si>
    <t>87413</t>
  </si>
  <si>
    <t>17,83</t>
  </si>
  <si>
    <t>87414</t>
  </si>
  <si>
    <t>87415</t>
  </si>
  <si>
    <t>87416</t>
  </si>
  <si>
    <t>87418</t>
  </si>
  <si>
    <t>87421</t>
  </si>
  <si>
    <t>87424</t>
  </si>
  <si>
    <t>87427</t>
  </si>
  <si>
    <t>87430</t>
  </si>
  <si>
    <t>87433</t>
  </si>
  <si>
    <t>87436</t>
  </si>
  <si>
    <t>87439</t>
  </si>
  <si>
    <t>87527</t>
  </si>
  <si>
    <t>87528</t>
  </si>
  <si>
    <t>87529</t>
  </si>
  <si>
    <t>87530</t>
  </si>
  <si>
    <t>87531</t>
  </si>
  <si>
    <t>87532</t>
  </si>
  <si>
    <t>87535</t>
  </si>
  <si>
    <t>87536</t>
  </si>
  <si>
    <t>87539</t>
  </si>
  <si>
    <t>87543</t>
  </si>
  <si>
    <t>87545</t>
  </si>
  <si>
    <t>17,40</t>
  </si>
  <si>
    <t>87546</t>
  </si>
  <si>
    <t>87547</t>
  </si>
  <si>
    <t>87548</t>
  </si>
  <si>
    <t>87549</t>
  </si>
  <si>
    <t>87550</t>
  </si>
  <si>
    <t>87553</t>
  </si>
  <si>
    <t>87554</t>
  </si>
  <si>
    <t>87557</t>
  </si>
  <si>
    <t>87561</t>
  </si>
  <si>
    <t>87775</t>
  </si>
  <si>
    <t>87777</t>
  </si>
  <si>
    <t>87778</t>
  </si>
  <si>
    <t>87779</t>
  </si>
  <si>
    <t>87781</t>
  </si>
  <si>
    <t>87783</t>
  </si>
  <si>
    <t>87784</t>
  </si>
  <si>
    <t>87786</t>
  </si>
  <si>
    <t>87787</t>
  </si>
  <si>
    <t>87788</t>
  </si>
  <si>
    <t>87791</t>
  </si>
  <si>
    <t>87792</t>
  </si>
  <si>
    <t>87794</t>
  </si>
  <si>
    <t>87795</t>
  </si>
  <si>
    <t>87797</t>
  </si>
  <si>
    <t>87799</t>
  </si>
  <si>
    <t>87800</t>
  </si>
  <si>
    <t>87801</t>
  </si>
  <si>
    <t>87803</t>
  </si>
  <si>
    <t>87804</t>
  </si>
  <si>
    <t>87805</t>
  </si>
  <si>
    <t>87807</t>
  </si>
  <si>
    <t>87808</t>
  </si>
  <si>
    <t>87809</t>
  </si>
  <si>
    <t>87811</t>
  </si>
  <si>
    <t>87812</t>
  </si>
  <si>
    <t>87813</t>
  </si>
  <si>
    <t>87815</t>
  </si>
  <si>
    <t>87816</t>
  </si>
  <si>
    <t>87817</t>
  </si>
  <si>
    <t>87819</t>
  </si>
  <si>
    <t>87820</t>
  </si>
  <si>
    <t>87821</t>
  </si>
  <si>
    <t>87823</t>
  </si>
  <si>
    <t>87824</t>
  </si>
  <si>
    <t>87825</t>
  </si>
  <si>
    <t>87827</t>
  </si>
  <si>
    <t>87828</t>
  </si>
  <si>
    <t>87829</t>
  </si>
  <si>
    <t>87831</t>
  </si>
  <si>
    <t>87832</t>
  </si>
  <si>
    <t>87838</t>
  </si>
  <si>
    <t>87839</t>
  </si>
  <si>
    <t>87840</t>
  </si>
  <si>
    <t>87841</t>
  </si>
  <si>
    <t>87850</t>
  </si>
  <si>
    <t>87851</t>
  </si>
  <si>
    <t>87852</t>
  </si>
  <si>
    <t>87853</t>
  </si>
  <si>
    <t>90406</t>
  </si>
  <si>
    <t>90408</t>
  </si>
  <si>
    <t>87244</t>
  </si>
  <si>
    <t>87245</t>
  </si>
  <si>
    <t>87265</t>
  </si>
  <si>
    <t>87267</t>
  </si>
  <si>
    <t>87269</t>
  </si>
  <si>
    <t>87271</t>
  </si>
  <si>
    <t>87272</t>
  </si>
  <si>
    <t>87273</t>
  </si>
  <si>
    <t>87275</t>
  </si>
  <si>
    <t>88788</t>
  </si>
  <si>
    <t>88789</t>
  </si>
  <si>
    <t>96112</t>
  </si>
  <si>
    <t>96122</t>
  </si>
  <si>
    <t>96109</t>
  </si>
  <si>
    <t>96110</t>
  </si>
  <si>
    <t>96113</t>
  </si>
  <si>
    <t>96114</t>
  </si>
  <si>
    <t>96120</t>
  </si>
  <si>
    <t>96123</t>
  </si>
  <si>
    <t>96111</t>
  </si>
  <si>
    <t>96116</t>
  </si>
  <si>
    <t>96121</t>
  </si>
  <si>
    <t>96485</t>
  </si>
  <si>
    <t>96486</t>
  </si>
  <si>
    <t>91515</t>
  </si>
  <si>
    <t>6,47</t>
  </si>
  <si>
    <t>91519</t>
  </si>
  <si>
    <t>91520</t>
  </si>
  <si>
    <t>91522</t>
  </si>
  <si>
    <t>91525</t>
  </si>
  <si>
    <t>87280</t>
  </si>
  <si>
    <t>87281</t>
  </si>
  <si>
    <t>87283</t>
  </si>
  <si>
    <t>87284</t>
  </si>
  <si>
    <t>87286</t>
  </si>
  <si>
    <t>87287</t>
  </si>
  <si>
    <t>87289</t>
  </si>
  <si>
    <t>87290</t>
  </si>
  <si>
    <t>87292</t>
  </si>
  <si>
    <t>87294</t>
  </si>
  <si>
    <t>87295</t>
  </si>
  <si>
    <t>87296</t>
  </si>
  <si>
    <t>87298</t>
  </si>
  <si>
    <t>87299</t>
  </si>
  <si>
    <t>87301</t>
  </si>
  <si>
    <t>87302</t>
  </si>
  <si>
    <t>87304</t>
  </si>
  <si>
    <t>87305</t>
  </si>
  <si>
    <t>87307</t>
  </si>
  <si>
    <t>87308</t>
  </si>
  <si>
    <t>87310</t>
  </si>
  <si>
    <t>87311</t>
  </si>
  <si>
    <t>87313</t>
  </si>
  <si>
    <t>87314</t>
  </si>
  <si>
    <t>87316</t>
  </si>
  <si>
    <t>87317</t>
  </si>
  <si>
    <t>87319</t>
  </si>
  <si>
    <t>87320</t>
  </si>
  <si>
    <t>87322</t>
  </si>
  <si>
    <t>87323</t>
  </si>
  <si>
    <t>87325</t>
  </si>
  <si>
    <t>87326</t>
  </si>
  <si>
    <t>87327</t>
  </si>
  <si>
    <t>87328</t>
  </si>
  <si>
    <t>87329</t>
  </si>
  <si>
    <t>87330</t>
  </si>
  <si>
    <t>87331</t>
  </si>
  <si>
    <t>87332</t>
  </si>
  <si>
    <t>87333</t>
  </si>
  <si>
    <t>87334</t>
  </si>
  <si>
    <t>87335</t>
  </si>
  <si>
    <t>87336</t>
  </si>
  <si>
    <t>87337</t>
  </si>
  <si>
    <t>87338</t>
  </si>
  <si>
    <t>87339</t>
  </si>
  <si>
    <t>87340</t>
  </si>
  <si>
    <t>87341</t>
  </si>
  <si>
    <t>87342</t>
  </si>
  <si>
    <t>87343</t>
  </si>
  <si>
    <t>87344</t>
  </si>
  <si>
    <t>87345</t>
  </si>
  <si>
    <t>87346</t>
  </si>
  <si>
    <t>87347</t>
  </si>
  <si>
    <t>87348</t>
  </si>
  <si>
    <t>87349</t>
  </si>
  <si>
    <t>87350</t>
  </si>
  <si>
    <t>87351</t>
  </si>
  <si>
    <t>87352</t>
  </si>
  <si>
    <t>87353</t>
  </si>
  <si>
    <t>87354</t>
  </si>
  <si>
    <t>87355</t>
  </si>
  <si>
    <t>87356</t>
  </si>
  <si>
    <t>87357</t>
  </si>
  <si>
    <t>87358</t>
  </si>
  <si>
    <t>87359</t>
  </si>
  <si>
    <t>87360</t>
  </si>
  <si>
    <t>87361</t>
  </si>
  <si>
    <t>87362</t>
  </si>
  <si>
    <t>87363</t>
  </si>
  <si>
    <t>87364</t>
  </si>
  <si>
    <t>87365</t>
  </si>
  <si>
    <t>87366</t>
  </si>
  <si>
    <t>87367</t>
  </si>
  <si>
    <t>87368</t>
  </si>
  <si>
    <t>87369</t>
  </si>
  <si>
    <t>87370</t>
  </si>
  <si>
    <t>87371</t>
  </si>
  <si>
    <t>87372</t>
  </si>
  <si>
    <t>87373</t>
  </si>
  <si>
    <t>87374</t>
  </si>
  <si>
    <t>87375</t>
  </si>
  <si>
    <t>87376</t>
  </si>
  <si>
    <t>87377</t>
  </si>
  <si>
    <t>87378</t>
  </si>
  <si>
    <t>87379</t>
  </si>
  <si>
    <t>87380</t>
  </si>
  <si>
    <t>87381</t>
  </si>
  <si>
    <t>87382</t>
  </si>
  <si>
    <t>87383</t>
  </si>
  <si>
    <t>87384</t>
  </si>
  <si>
    <t>87385</t>
  </si>
  <si>
    <t>87386</t>
  </si>
  <si>
    <t>87387</t>
  </si>
  <si>
    <t>87388</t>
  </si>
  <si>
    <t>87389</t>
  </si>
  <si>
    <t>87390</t>
  </si>
  <si>
    <t>87391</t>
  </si>
  <si>
    <t>87393</t>
  </si>
  <si>
    <t>87394</t>
  </si>
  <si>
    <t>87395</t>
  </si>
  <si>
    <t>87396</t>
  </si>
  <si>
    <t>87397</t>
  </si>
  <si>
    <t>87398</t>
  </si>
  <si>
    <t>87399</t>
  </si>
  <si>
    <t>87401</t>
  </si>
  <si>
    <t>87402</t>
  </si>
  <si>
    <t>87404</t>
  </si>
  <si>
    <t>87405</t>
  </si>
  <si>
    <t>87407</t>
  </si>
  <si>
    <t>87408</t>
  </si>
  <si>
    <t>87410</t>
  </si>
  <si>
    <t>88626</t>
  </si>
  <si>
    <t>88627</t>
  </si>
  <si>
    <t>88628</t>
  </si>
  <si>
    <t>88629</t>
  </si>
  <si>
    <t>88630</t>
  </si>
  <si>
    <t>88631</t>
  </si>
  <si>
    <t>88715</t>
  </si>
  <si>
    <t>0,30</t>
  </si>
  <si>
    <t>6,76</t>
  </si>
  <si>
    <t>8,11</t>
  </si>
  <si>
    <t>0,37</t>
  </si>
  <si>
    <t>92121</t>
  </si>
  <si>
    <t>92122</t>
  </si>
  <si>
    <t>92123</t>
  </si>
  <si>
    <t>0,33</t>
  </si>
  <si>
    <t>0,64</t>
  </si>
  <si>
    <t>0,46</t>
  </si>
  <si>
    <t>1,34</t>
  </si>
  <si>
    <t>1,74</t>
  </si>
  <si>
    <t>1,08</t>
  </si>
  <si>
    <t>2,04</t>
  </si>
  <si>
    <t>97013</t>
  </si>
  <si>
    <t>97014</t>
  </si>
  <si>
    <t>97015</t>
  </si>
  <si>
    <t>97016</t>
  </si>
  <si>
    <t>97017</t>
  </si>
  <si>
    <t>97018</t>
  </si>
  <si>
    <t>97031</t>
  </si>
  <si>
    <t>97032</t>
  </si>
  <si>
    <t>33,58</t>
  </si>
  <si>
    <t>97039</t>
  </si>
  <si>
    <t>97040</t>
  </si>
  <si>
    <t>97041</t>
  </si>
  <si>
    <t>97062</t>
  </si>
  <si>
    <t>97063</t>
  </si>
  <si>
    <t>97064</t>
  </si>
  <si>
    <t>97065</t>
  </si>
  <si>
    <t>97066</t>
  </si>
  <si>
    <t>97067</t>
  </si>
  <si>
    <t>97621</t>
  </si>
  <si>
    <t>97622</t>
  </si>
  <si>
    <t>97623</t>
  </si>
  <si>
    <t>97624</t>
  </si>
  <si>
    <t>97625</t>
  </si>
  <si>
    <t>DEMOLIÇÃO DE ALVENARIA PARA QUALQUER TIPO DE BLOCO, DE FORMA MECANIZADA, SEM REAPROVEITAMENTO. AF_12/2017</t>
  </si>
  <si>
    <t>97626</t>
  </si>
  <si>
    <t>97627</t>
  </si>
  <si>
    <t>97628</t>
  </si>
  <si>
    <t>97629</t>
  </si>
  <si>
    <t>DEMOLIÇÃO DE LAJES, DE FORMA MECANIZADA COM MARTELETE, SEM REAPROVEITAMENTO. AF_12/2017</t>
  </si>
  <si>
    <t>97631</t>
  </si>
  <si>
    <t>97632</t>
  </si>
  <si>
    <t>97633</t>
  </si>
  <si>
    <t>97634</t>
  </si>
  <si>
    <t>DEMOLIÇÃO DE REVESTIMENTO CERÂMICO, DE FORMA MECANIZADA COM MARTELETE, SEM REAPROVEITAMENTO. AF_12/2017</t>
  </si>
  <si>
    <t>97635</t>
  </si>
  <si>
    <t>97636</t>
  </si>
  <si>
    <t>97637</t>
  </si>
  <si>
    <t>97638</t>
  </si>
  <si>
    <t>97639</t>
  </si>
  <si>
    <t>12,93</t>
  </si>
  <si>
    <t>97640</t>
  </si>
  <si>
    <t>97641</t>
  </si>
  <si>
    <t>REMOÇÃO DE FORRO DE GESSO, DE FORMA MANUAL, SEM REAPROVEITAMENTO. AF_12/2017</t>
  </si>
  <si>
    <t>97642</t>
  </si>
  <si>
    <t>1,91</t>
  </si>
  <si>
    <t>97643</t>
  </si>
  <si>
    <t>97644</t>
  </si>
  <si>
    <t>97645</t>
  </si>
  <si>
    <t>REMOÇÃO DE JANELAS, DE FORMA MANUAL, SEM REAPROVEITAMENTO. AF_12/2017</t>
  </si>
  <si>
    <t>97647</t>
  </si>
  <si>
    <t>97648</t>
  </si>
  <si>
    <t>97649</t>
  </si>
  <si>
    <t>97650</t>
  </si>
  <si>
    <t>97651</t>
  </si>
  <si>
    <t>97652</t>
  </si>
  <si>
    <t>97653</t>
  </si>
  <si>
    <t>97654</t>
  </si>
  <si>
    <t>97655</t>
  </si>
  <si>
    <t>97656</t>
  </si>
  <si>
    <t>97657</t>
  </si>
  <si>
    <t>97658</t>
  </si>
  <si>
    <t>97659</t>
  </si>
  <si>
    <t>97660</t>
  </si>
  <si>
    <t>97661</t>
  </si>
  <si>
    <t>97662</t>
  </si>
  <si>
    <t>97663</t>
  </si>
  <si>
    <t>97664</t>
  </si>
  <si>
    <t>97665</t>
  </si>
  <si>
    <t>97666</t>
  </si>
  <si>
    <t>5,45</t>
  </si>
  <si>
    <t>1,24</t>
  </si>
  <si>
    <t>95967</t>
  </si>
  <si>
    <t>93588</t>
  </si>
  <si>
    <t>1,44</t>
  </si>
  <si>
    <t>93589</t>
  </si>
  <si>
    <t>93590</t>
  </si>
  <si>
    <t>93591</t>
  </si>
  <si>
    <t>1,30</t>
  </si>
  <si>
    <t>93592</t>
  </si>
  <si>
    <t>93593</t>
  </si>
  <si>
    <t>93594</t>
  </si>
  <si>
    <t>0,96</t>
  </si>
  <si>
    <t>93595</t>
  </si>
  <si>
    <t>93596</t>
  </si>
  <si>
    <t>93597</t>
  </si>
  <si>
    <t>93598</t>
  </si>
  <si>
    <t>93599</t>
  </si>
  <si>
    <t>95425</t>
  </si>
  <si>
    <t>95426</t>
  </si>
  <si>
    <t>95427</t>
  </si>
  <si>
    <t>95428</t>
  </si>
  <si>
    <t>95429</t>
  </si>
  <si>
    <t>95430</t>
  </si>
  <si>
    <t>95875</t>
  </si>
  <si>
    <t>95876</t>
  </si>
  <si>
    <t>95877</t>
  </si>
  <si>
    <t>95878</t>
  </si>
  <si>
    <t>95879</t>
  </si>
  <si>
    <t>95880</t>
  </si>
  <si>
    <t>1,68</t>
  </si>
  <si>
    <t>3,16</t>
  </si>
  <si>
    <t>0,89</t>
  </si>
  <si>
    <t>88238</t>
  </si>
  <si>
    <t>88239</t>
  </si>
  <si>
    <t>88240</t>
  </si>
  <si>
    <t>88241</t>
  </si>
  <si>
    <t>88242</t>
  </si>
  <si>
    <t>88243</t>
  </si>
  <si>
    <t>88245</t>
  </si>
  <si>
    <t>88246</t>
  </si>
  <si>
    <t>88247</t>
  </si>
  <si>
    <t>88248</t>
  </si>
  <si>
    <t>88249</t>
  </si>
  <si>
    <t>88250</t>
  </si>
  <si>
    <t>88251</t>
  </si>
  <si>
    <t>88252</t>
  </si>
  <si>
    <t>88253</t>
  </si>
  <si>
    <t>88255</t>
  </si>
  <si>
    <t>88256</t>
  </si>
  <si>
    <t>88257</t>
  </si>
  <si>
    <t>88260</t>
  </si>
  <si>
    <t>88261</t>
  </si>
  <si>
    <t>88262</t>
  </si>
  <si>
    <t>88263</t>
  </si>
  <si>
    <t>88264</t>
  </si>
  <si>
    <t>88266</t>
  </si>
  <si>
    <t>88267</t>
  </si>
  <si>
    <t>88269</t>
  </si>
  <si>
    <t>88270</t>
  </si>
  <si>
    <t>88272</t>
  </si>
  <si>
    <t>88273</t>
  </si>
  <si>
    <t>17,41</t>
  </si>
  <si>
    <t>88274</t>
  </si>
  <si>
    <t>88275</t>
  </si>
  <si>
    <t>88277</t>
  </si>
  <si>
    <t>88278</t>
  </si>
  <si>
    <t>88279</t>
  </si>
  <si>
    <t>88281</t>
  </si>
  <si>
    <t>88282</t>
  </si>
  <si>
    <t>88283</t>
  </si>
  <si>
    <t>88284</t>
  </si>
  <si>
    <t>88286</t>
  </si>
  <si>
    <t>88288</t>
  </si>
  <si>
    <t>88291</t>
  </si>
  <si>
    <t>88292</t>
  </si>
  <si>
    <t>88293</t>
  </si>
  <si>
    <t>88294</t>
  </si>
  <si>
    <t>88295</t>
  </si>
  <si>
    <t>88296</t>
  </si>
  <si>
    <t>88297</t>
  </si>
  <si>
    <t>88298</t>
  </si>
  <si>
    <t>88299</t>
  </si>
  <si>
    <t>88300</t>
  </si>
  <si>
    <t>88301</t>
  </si>
  <si>
    <t>88302</t>
  </si>
  <si>
    <t>88303</t>
  </si>
  <si>
    <t>88304</t>
  </si>
  <si>
    <t>88306</t>
  </si>
  <si>
    <t>14,75</t>
  </si>
  <si>
    <t>88307</t>
  </si>
  <si>
    <t>88308</t>
  </si>
  <si>
    <t>88309</t>
  </si>
  <si>
    <t>88310</t>
  </si>
  <si>
    <t>88311</t>
  </si>
  <si>
    <t>88312</t>
  </si>
  <si>
    <t>88313</t>
  </si>
  <si>
    <t>88314</t>
  </si>
  <si>
    <t>88315</t>
  </si>
  <si>
    <t>88316</t>
  </si>
  <si>
    <t>88317</t>
  </si>
  <si>
    <t>88318</t>
  </si>
  <si>
    <t>88321</t>
  </si>
  <si>
    <t>88322</t>
  </si>
  <si>
    <t>88323</t>
  </si>
  <si>
    <t>88324</t>
  </si>
  <si>
    <t>88325</t>
  </si>
  <si>
    <t>88377</t>
  </si>
  <si>
    <t>88441</t>
  </si>
  <si>
    <t>15,31</t>
  </si>
  <si>
    <t>90766</t>
  </si>
  <si>
    <t>90767</t>
  </si>
  <si>
    <t>90768</t>
  </si>
  <si>
    <t>90769</t>
  </si>
  <si>
    <t>90770</t>
  </si>
  <si>
    <t>90772</t>
  </si>
  <si>
    <t>90775</t>
  </si>
  <si>
    <t>90776</t>
  </si>
  <si>
    <t>90777</t>
  </si>
  <si>
    <t>90778</t>
  </si>
  <si>
    <t>90779</t>
  </si>
  <si>
    <t>90780</t>
  </si>
  <si>
    <t>90781</t>
  </si>
  <si>
    <t>93558</t>
  </si>
  <si>
    <t>93561</t>
  </si>
  <si>
    <t>93563</t>
  </si>
  <si>
    <t>93564</t>
  </si>
  <si>
    <t>93565</t>
  </si>
  <si>
    <t>93566</t>
  </si>
  <si>
    <t>93567</t>
  </si>
  <si>
    <t>93568</t>
  </si>
  <si>
    <t>93569</t>
  </si>
  <si>
    <t>93570</t>
  </si>
  <si>
    <t>93571</t>
  </si>
  <si>
    <t>93572</t>
  </si>
  <si>
    <t>94295</t>
  </si>
  <si>
    <t>94296</t>
  </si>
  <si>
    <t>95308</t>
  </si>
  <si>
    <t>95309</t>
  </si>
  <si>
    <t>95310</t>
  </si>
  <si>
    <t>95311</t>
  </si>
  <si>
    <t>95312</t>
  </si>
  <si>
    <t>95313</t>
  </si>
  <si>
    <t>95314</t>
  </si>
  <si>
    <t>95315</t>
  </si>
  <si>
    <t>95316</t>
  </si>
  <si>
    <t>95317</t>
  </si>
  <si>
    <t>95318</t>
  </si>
  <si>
    <t>95319</t>
  </si>
  <si>
    <t>95320</t>
  </si>
  <si>
    <t>95321</t>
  </si>
  <si>
    <t>95322</t>
  </si>
  <si>
    <t>95323</t>
  </si>
  <si>
    <t>95324</t>
  </si>
  <si>
    <t>95325</t>
  </si>
  <si>
    <t>95328</t>
  </si>
  <si>
    <t>95329</t>
  </si>
  <si>
    <t>95330</t>
  </si>
  <si>
    <t>95331</t>
  </si>
  <si>
    <t>95332</t>
  </si>
  <si>
    <t>95334</t>
  </si>
  <si>
    <t>95335</t>
  </si>
  <si>
    <t>95337</t>
  </si>
  <si>
    <t>95338</t>
  </si>
  <si>
    <t>95339</t>
  </si>
  <si>
    <t>95340</t>
  </si>
  <si>
    <t>95341</t>
  </si>
  <si>
    <t>95342</t>
  </si>
  <si>
    <t>95343</t>
  </si>
  <si>
    <t>95344</t>
  </si>
  <si>
    <t>95345</t>
  </si>
  <si>
    <t>95346</t>
  </si>
  <si>
    <t>95347</t>
  </si>
  <si>
    <t>95348</t>
  </si>
  <si>
    <t>95349</t>
  </si>
  <si>
    <t>95351</t>
  </si>
  <si>
    <t>95352</t>
  </si>
  <si>
    <t>95354</t>
  </si>
  <si>
    <t>95355</t>
  </si>
  <si>
    <t>95356</t>
  </si>
  <si>
    <t>95357</t>
  </si>
  <si>
    <t>95358</t>
  </si>
  <si>
    <t>95359</t>
  </si>
  <si>
    <t>95360</t>
  </si>
  <si>
    <t>95361</t>
  </si>
  <si>
    <t>95362</t>
  </si>
  <si>
    <t>95363</t>
  </si>
  <si>
    <t>95364</t>
  </si>
  <si>
    <t>95365</t>
  </si>
  <si>
    <t>95366</t>
  </si>
  <si>
    <t>95367</t>
  </si>
  <si>
    <t>95368</t>
  </si>
  <si>
    <t>95369</t>
  </si>
  <si>
    <t>95370</t>
  </si>
  <si>
    <t>95371</t>
  </si>
  <si>
    <t>95372</t>
  </si>
  <si>
    <t>95373</t>
  </si>
  <si>
    <t>95374</t>
  </si>
  <si>
    <t>95375</t>
  </si>
  <si>
    <t>95376</t>
  </si>
  <si>
    <t>95377</t>
  </si>
  <si>
    <t>95378</t>
  </si>
  <si>
    <t>95379</t>
  </si>
  <si>
    <t>95380</t>
  </si>
  <si>
    <t>95383</t>
  </si>
  <si>
    <t>95384</t>
  </si>
  <si>
    <t>95385</t>
  </si>
  <si>
    <t>95386</t>
  </si>
  <si>
    <t>95387</t>
  </si>
  <si>
    <t>95389</t>
  </si>
  <si>
    <t>95390</t>
  </si>
  <si>
    <t>95392</t>
  </si>
  <si>
    <t>95393</t>
  </si>
  <si>
    <t>95394</t>
  </si>
  <si>
    <t>95395</t>
  </si>
  <si>
    <t>95396</t>
  </si>
  <si>
    <t>95398</t>
  </si>
  <si>
    <t>95400</t>
  </si>
  <si>
    <t>95401</t>
  </si>
  <si>
    <t>95402</t>
  </si>
  <si>
    <t>95403</t>
  </si>
  <si>
    <t>95404</t>
  </si>
  <si>
    <t>95405</t>
  </si>
  <si>
    <t>95406</t>
  </si>
  <si>
    <t>2,21</t>
  </si>
  <si>
    <t>95408</t>
  </si>
  <si>
    <t>10,06</t>
  </si>
  <si>
    <t>95411</t>
  </si>
  <si>
    <t>95413</t>
  </si>
  <si>
    <t>8,22</t>
  </si>
  <si>
    <t>95414</t>
  </si>
  <si>
    <t>95415</t>
  </si>
  <si>
    <t>95416</t>
  </si>
  <si>
    <t>95417</t>
  </si>
  <si>
    <t>95418</t>
  </si>
  <si>
    <t>95419</t>
  </si>
  <si>
    <t>95420</t>
  </si>
  <si>
    <t>95421</t>
  </si>
  <si>
    <t>95422</t>
  </si>
  <si>
    <t>95423</t>
  </si>
  <si>
    <t>95424</t>
  </si>
  <si>
    <t>15,25</t>
  </si>
  <si>
    <t>1,25</t>
  </si>
  <si>
    <t>0,77</t>
  </si>
  <si>
    <t>1,80</t>
  </si>
  <si>
    <t>1,55</t>
  </si>
  <si>
    <t>2,41</t>
  </si>
  <si>
    <t>0,42</t>
  </si>
  <si>
    <t>3,77</t>
  </si>
  <si>
    <t>4,83</t>
  </si>
  <si>
    <t>2,26</t>
  </si>
  <si>
    <t>1,42</t>
  </si>
  <si>
    <t>3,36</t>
  </si>
  <si>
    <t>4,05</t>
  </si>
  <si>
    <t>13,63</t>
  </si>
  <si>
    <t>7,04</t>
  </si>
  <si>
    <t>20,00</t>
  </si>
  <si>
    <t>10,04</t>
  </si>
  <si>
    <t>1,65</t>
  </si>
  <si>
    <t>1,79</t>
  </si>
  <si>
    <t>2,67</t>
  </si>
  <si>
    <t>9,28</t>
  </si>
  <si>
    <t>0,26</t>
  </si>
  <si>
    <t>10,64</t>
  </si>
  <si>
    <t>1,58</t>
  </si>
  <si>
    <t>2,25</t>
  </si>
  <si>
    <t>4,13</t>
  </si>
  <si>
    <t>0,38</t>
  </si>
  <si>
    <t>12,39</t>
  </si>
  <si>
    <t>9,66</t>
  </si>
  <si>
    <t>1,33</t>
  </si>
  <si>
    <t>2,09</t>
  </si>
  <si>
    <t>2,10</t>
  </si>
  <si>
    <t>1,87</t>
  </si>
  <si>
    <t>1,88</t>
  </si>
  <si>
    <t>3,55</t>
  </si>
  <si>
    <t>8,12</t>
  </si>
  <si>
    <t>12,20</t>
  </si>
  <si>
    <t>9,58</t>
  </si>
  <si>
    <t>1,31</t>
  </si>
  <si>
    <t>12,43</t>
  </si>
  <si>
    <t>2,58</t>
  </si>
  <si>
    <t>1,94</t>
  </si>
  <si>
    <t>21,63</t>
  </si>
  <si>
    <t>21,15</t>
  </si>
  <si>
    <t>10,77</t>
  </si>
  <si>
    <t>2,76</t>
  </si>
  <si>
    <t>15,66</t>
  </si>
  <si>
    <t>7,54</t>
  </si>
  <si>
    <t>6,94</t>
  </si>
  <si>
    <t>1,67</t>
  </si>
  <si>
    <t>2,35</t>
  </si>
  <si>
    <t>0,92</t>
  </si>
  <si>
    <t>0,90</t>
  </si>
  <si>
    <t>13,93</t>
  </si>
  <si>
    <t>0,76</t>
  </si>
  <si>
    <t>4,53</t>
  </si>
  <si>
    <t>5,54</t>
  </si>
  <si>
    <t>2,07</t>
  </si>
  <si>
    <t>2,05</t>
  </si>
  <si>
    <t>8,26</t>
  </si>
  <si>
    <t>1,64</t>
  </si>
  <si>
    <t>9,89</t>
  </si>
  <si>
    <t>2,51</t>
  </si>
  <si>
    <t>13,05</t>
  </si>
  <si>
    <t>6,52</t>
  </si>
  <si>
    <t>8,77</t>
  </si>
  <si>
    <t>12,19</t>
  </si>
  <si>
    <t>16,63</t>
  </si>
  <si>
    <t>11,87</t>
  </si>
  <si>
    <t>5,71</t>
  </si>
  <si>
    <t>2,66</t>
  </si>
  <si>
    <t>19,59</t>
  </si>
  <si>
    <t>2,49</t>
  </si>
  <si>
    <t>15,47</t>
  </si>
  <si>
    <t>6,93</t>
  </si>
  <si>
    <t>14,15</t>
  </si>
  <si>
    <t>13,48</t>
  </si>
  <si>
    <t>5,65</t>
  </si>
  <si>
    <t>2,92</t>
  </si>
  <si>
    <t>1,66</t>
  </si>
  <si>
    <t>1,57</t>
  </si>
  <si>
    <t>3,08</t>
  </si>
  <si>
    <t>20,05</t>
  </si>
  <si>
    <t>1,59</t>
  </si>
  <si>
    <t>4,36</t>
  </si>
  <si>
    <t>11,72</t>
  </si>
  <si>
    <t>17,05</t>
  </si>
  <si>
    <t>6,90</t>
  </si>
  <si>
    <t>8,86</t>
  </si>
  <si>
    <t>11,29</t>
  </si>
  <si>
    <t>16,64</t>
  </si>
  <si>
    <t>2,52</t>
  </si>
  <si>
    <t>26,63</t>
  </si>
  <si>
    <t>15,43</t>
  </si>
  <si>
    <t>9,48</t>
  </si>
  <si>
    <t>20,52</t>
  </si>
  <si>
    <t>19,50</t>
  </si>
  <si>
    <t>8,55</t>
  </si>
  <si>
    <t>6,60</t>
  </si>
  <si>
    <t>9,04</t>
  </si>
  <si>
    <t>8,19</t>
  </si>
  <si>
    <t>16,51</t>
  </si>
  <si>
    <t>20,44</t>
  </si>
  <si>
    <t>2,34</t>
  </si>
  <si>
    <t>17,53</t>
  </si>
  <si>
    <t>12,29</t>
  </si>
  <si>
    <t>1,18</t>
  </si>
  <si>
    <t>8,70</t>
  </si>
  <si>
    <t>12,33</t>
  </si>
  <si>
    <t>17,90</t>
  </si>
  <si>
    <t>5,30</t>
  </si>
  <si>
    <t>1,02</t>
  </si>
  <si>
    <t>1,11</t>
  </si>
  <si>
    <t>1,28</t>
  </si>
  <si>
    <t>10,03</t>
  </si>
  <si>
    <t>9,76</t>
  </si>
  <si>
    <t>14,49</t>
  </si>
  <si>
    <t>7,86</t>
  </si>
  <si>
    <t>14,01</t>
  </si>
  <si>
    <t>21,23</t>
  </si>
  <si>
    <t>19,15</t>
  </si>
  <si>
    <t>10,44</t>
  </si>
  <si>
    <t>10,55</t>
  </si>
  <si>
    <t>9,88</t>
  </si>
  <si>
    <t>10,30</t>
  </si>
  <si>
    <t>6,71</t>
  </si>
  <si>
    <t>28,67</t>
  </si>
  <si>
    <t>21,88</t>
  </si>
  <si>
    <t>12,94</t>
  </si>
  <si>
    <t>9,94</t>
  </si>
  <si>
    <t>5,27</t>
  </si>
  <si>
    <t>6,28</t>
  </si>
  <si>
    <t>11,65</t>
  </si>
  <si>
    <t>3,45</t>
  </si>
  <si>
    <t>4,40</t>
  </si>
  <si>
    <t>10,41</t>
  </si>
  <si>
    <t>13,19</t>
  </si>
  <si>
    <t>2,11</t>
  </si>
  <si>
    <t>3,44</t>
  </si>
  <si>
    <t>4,94</t>
  </si>
  <si>
    <t>15,07</t>
  </si>
  <si>
    <t>15,54</t>
  </si>
  <si>
    <t>3,01</t>
  </si>
  <si>
    <t>1,05</t>
  </si>
  <si>
    <t>16,21</t>
  </si>
  <si>
    <t>24,10</t>
  </si>
  <si>
    <t>392.649,25</t>
  </si>
  <si>
    <t>527.982,35</t>
  </si>
  <si>
    <t>647.029,46</t>
  </si>
  <si>
    <t>700.000,00</t>
  </si>
  <si>
    <t>Equipe de obra, incluindo engenheiro pleno e encarregado de obras</t>
  </si>
  <si>
    <t>Caixa de ligação de alumínio silício, tipo CONDULETES,sem rosca, no formato B, inclusive tampa com vedação, diâmetro 3/4"</t>
  </si>
  <si>
    <t>Caixa de ligação de alumínio silício, tipo CONDULETES, sem rosca, no formato T, inclusive tampa com vedação, diâmetro 3/4"</t>
  </si>
  <si>
    <t>Caixa de ligação de alumínio silício, tipo CONDULETES, sem rosca, no formato LR, inclusive tampa com vedação, diâmetro 3/4"</t>
  </si>
  <si>
    <t>Caixa de ligação de alumínio silício, tipo CONDULETES, sem rosca, no formato X, inclusive tampa com vedação, diâmetro 3/4"</t>
  </si>
  <si>
    <t>06.01.02</t>
  </si>
  <si>
    <t>PREFEITURA MUNICIPAL DE VIANA</t>
  </si>
  <si>
    <t>03.01.02</t>
  </si>
  <si>
    <t>03.01.03</t>
  </si>
  <si>
    <t>01.01.06</t>
  </si>
  <si>
    <t>03.02</t>
  </si>
  <si>
    <t>03.02.01</t>
  </si>
  <si>
    <t>03.02.02</t>
  </si>
  <si>
    <t>03.02.03</t>
  </si>
  <si>
    <t>10,59</t>
  </si>
  <si>
    <t>55,97</t>
  </si>
  <si>
    <t>41,52</t>
  </si>
  <si>
    <t>2,31</t>
  </si>
  <si>
    <t>3,90</t>
  </si>
  <si>
    <t>20,92</t>
  </si>
  <si>
    <t>11,38</t>
  </si>
  <si>
    <t>13,97</t>
  </si>
  <si>
    <t>21,80</t>
  </si>
  <si>
    <t>15,77</t>
  </si>
  <si>
    <t>5,92</t>
  </si>
  <si>
    <t>5,11</t>
  </si>
  <si>
    <t>17,69</t>
  </si>
  <si>
    <t>10,75</t>
  </si>
  <si>
    <t>8,76</t>
  </si>
  <si>
    <t>9,32</t>
  </si>
  <si>
    <t>98261</t>
  </si>
  <si>
    <t>98262</t>
  </si>
  <si>
    <t>98263</t>
  </si>
  <si>
    <t>98264</t>
  </si>
  <si>
    <t>98265</t>
  </si>
  <si>
    <t>98266</t>
  </si>
  <si>
    <t>98267</t>
  </si>
  <si>
    <t>98268</t>
  </si>
  <si>
    <t>98269</t>
  </si>
  <si>
    <t>98270</t>
  </si>
  <si>
    <t>98271</t>
  </si>
  <si>
    <t>98272</t>
  </si>
  <si>
    <t>98273</t>
  </si>
  <si>
    <t>98274</t>
  </si>
  <si>
    <t>98275</t>
  </si>
  <si>
    <t>98276</t>
  </si>
  <si>
    <t>98277</t>
  </si>
  <si>
    <t>98278</t>
  </si>
  <si>
    <t>98279</t>
  </si>
  <si>
    <t>98280</t>
  </si>
  <si>
    <t>98281</t>
  </si>
  <si>
    <t>98282</t>
  </si>
  <si>
    <t>98283</t>
  </si>
  <si>
    <t>98284</t>
  </si>
  <si>
    <t>98285</t>
  </si>
  <si>
    <t>98286</t>
  </si>
  <si>
    <t>98287</t>
  </si>
  <si>
    <t>98288</t>
  </si>
  <si>
    <t>98289</t>
  </si>
  <si>
    <t>98290</t>
  </si>
  <si>
    <t>98291</t>
  </si>
  <si>
    <t>98292</t>
  </si>
  <si>
    <t>98293</t>
  </si>
  <si>
    <t>98400</t>
  </si>
  <si>
    <t>98401</t>
  </si>
  <si>
    <t>15,99</t>
  </si>
  <si>
    <t>98402</t>
  </si>
  <si>
    <t>98397</t>
  </si>
  <si>
    <t>98294</t>
  </si>
  <si>
    <t>98295</t>
  </si>
  <si>
    <t>98296</t>
  </si>
  <si>
    <t>98297</t>
  </si>
  <si>
    <t>98301</t>
  </si>
  <si>
    <t>98302</t>
  </si>
  <si>
    <t>98304</t>
  </si>
  <si>
    <t>98307</t>
  </si>
  <si>
    <t>98308</t>
  </si>
  <si>
    <t>23,23</t>
  </si>
  <si>
    <t>48,14</t>
  </si>
  <si>
    <t>13,71</t>
  </si>
  <si>
    <t>6,45</t>
  </si>
  <si>
    <t>14,12</t>
  </si>
  <si>
    <t>16,52</t>
  </si>
  <si>
    <t>9,10</t>
  </si>
  <si>
    <t>11,17</t>
  </si>
  <si>
    <t>11,21</t>
  </si>
  <si>
    <t>13,35</t>
  </si>
  <si>
    <t>13,04</t>
  </si>
  <si>
    <t>18,46</t>
  </si>
  <si>
    <t>14,40</t>
  </si>
  <si>
    <t>26,39</t>
  </si>
  <si>
    <t>36,25</t>
  </si>
  <si>
    <t>3,03</t>
  </si>
  <si>
    <t>9,71</t>
  </si>
  <si>
    <t>30,08</t>
  </si>
  <si>
    <t>17,63</t>
  </si>
  <si>
    <t>6,77</t>
  </si>
  <si>
    <t>1,90</t>
  </si>
  <si>
    <t>15,92</t>
  </si>
  <si>
    <t>0,78</t>
  </si>
  <si>
    <t>28,00</t>
  </si>
  <si>
    <t>26,53</t>
  </si>
  <si>
    <t>40,08</t>
  </si>
  <si>
    <t>8,03</t>
  </si>
  <si>
    <t>8,57</t>
  </si>
  <si>
    <t>2,01</t>
  </si>
  <si>
    <t>12,06</t>
  </si>
  <si>
    <t>3,41</t>
  </si>
  <si>
    <t>26,67</t>
  </si>
  <si>
    <t>29,15</t>
  </si>
  <si>
    <t>14,00</t>
  </si>
  <si>
    <t>12,30</t>
  </si>
  <si>
    <t>54,49</t>
  </si>
  <si>
    <t>Eletroduto aparente de PVC rígido roscável diâmetro 3/4", inclusive abraçadeira de fixação</t>
  </si>
  <si>
    <t>Eletroduto aparente de PVC rígido roscável diâmetro 1", inclusive abraçadeira de fixação</t>
  </si>
  <si>
    <t>Interruptor de uma tecla simples 10A/250V e uma tomada 3 polos 10A/250V, padrão brasileiro, NBR 14136, linha branca, com placa 4x2"</t>
  </si>
  <si>
    <t>Interruptor de duas teclas simples 10A/250V e uma tomada 3 polos universal 10A/250V, com placa 4x2"</t>
  </si>
  <si>
    <t>ARGAMASSA FINA PRE FABRICADA P/ ASSENT E REJUNTE DE PASTILHAS</t>
  </si>
  <si>
    <t>LAJE PRE-FABRICADA TRELIÇADA H=8CM - SOBRECARGA 200KG/M2 PARA FORRO - EXCLUSIVE CAPEAMENTO</t>
  </si>
  <si>
    <t>LAJE PRE-FABRICADA TRELIÇADA H= 8CM - SOBRECARGA 300 KG/M2 - PARA PISO - EXCLUSIVE CAPEAMENTO</t>
  </si>
  <si>
    <t>POSTE DT PADRAO TRIFASICO 16MM AEREO 63A H=7M/100DAN</t>
  </si>
  <si>
    <t>DISPOSITIVO INTERRUPTOR DR BIPOLAR 16 A 25A - 30 MA</t>
  </si>
  <si>
    <t>MINI DISJUNTOR MONOPOLAR 6A CURVA C 5KA 220/127V</t>
  </si>
  <si>
    <t>MINI DISJUNTOR MONOPOLAR 4A CURVA C 5KA 220/127V</t>
  </si>
  <si>
    <t>MINI DISJUNTOR MONOPOLAR 2A CURVA C 5KA 220/127V</t>
  </si>
  <si>
    <t>INTERRUPTOR (MODULO) 1 TECLA SIMPLES 10A/250V S/ ESPELHO</t>
  </si>
  <si>
    <t>INTERRUPTOR (MODULO) 1 TECLA PARALELO 10A/250V S/ ESPELHO</t>
  </si>
  <si>
    <t>INTERRUPTOR PULSADOR CAMPAINHA S/ ESPELHO (MODULO)</t>
  </si>
  <si>
    <t>TOMADA (MODULO) PAD BRAS 2 P+T 20A/250V NBR 14136 S/ ESPELH</t>
  </si>
  <si>
    <t>TOMADA (MODULO) PAD BRAS 2 P+T 10A/250V NBR 14136 S/ ESPELH</t>
  </si>
  <si>
    <t>BACIA LOUCA BRANCA COM CAIXA ACOPLADA</t>
  </si>
  <si>
    <t>CUBA LOUCA BRANCA DE EMBUTIR DIAM.36CM DECA L-41</t>
  </si>
  <si>
    <t>PLACA DE SINALIZAÇÃO DE EMERGÊNCIA DE ORIENTAÇÃO E SALVAMENTO , CONFORME ABNT NBR 13434/2004 E NT14/2010-ES</t>
  </si>
  <si>
    <t>03.01.04</t>
  </si>
  <si>
    <t>Fernanda Rodrigues da Silva</t>
  </si>
  <si>
    <t>Gestora de Infraestrutura</t>
  </si>
  <si>
    <t>02.01.02</t>
  </si>
  <si>
    <t>04.01.04</t>
  </si>
  <si>
    <t>ORSE</t>
  </si>
  <si>
    <t>Kg</t>
  </si>
  <si>
    <t>MÊS</t>
  </si>
  <si>
    <t>31,33</t>
  </si>
  <si>
    <t>7,44</t>
  </si>
  <si>
    <t>14,44</t>
  </si>
  <si>
    <t>20,46</t>
  </si>
  <si>
    <t>14,55</t>
  </si>
  <si>
    <t>18,15</t>
  </si>
  <si>
    <t>98441</t>
  </si>
  <si>
    <t>98443</t>
  </si>
  <si>
    <t>98445</t>
  </si>
  <si>
    <t>98446</t>
  </si>
  <si>
    <t>98447</t>
  </si>
  <si>
    <t>98448</t>
  </si>
  <si>
    <t>98449</t>
  </si>
  <si>
    <t>98451</t>
  </si>
  <si>
    <t>98453</t>
  </si>
  <si>
    <t>98454</t>
  </si>
  <si>
    <t>98455</t>
  </si>
  <si>
    <t>98456</t>
  </si>
  <si>
    <t>98458</t>
  </si>
  <si>
    <t>98459</t>
  </si>
  <si>
    <t>98460</t>
  </si>
  <si>
    <t>98461</t>
  </si>
  <si>
    <t>98462</t>
  </si>
  <si>
    <t>8,72</t>
  </si>
  <si>
    <t>0,91</t>
  </si>
  <si>
    <t>37,30</t>
  </si>
  <si>
    <t>37,53</t>
  </si>
  <si>
    <t>16,19</t>
  </si>
  <si>
    <t>8,74</t>
  </si>
  <si>
    <t>2,99</t>
  </si>
  <si>
    <t>6,78</t>
  </si>
  <si>
    <t>11,28</t>
  </si>
  <si>
    <t>12,85</t>
  </si>
  <si>
    <t>98760</t>
  </si>
  <si>
    <t>INVERSOR DE SOLDA MONOFÁSICO DE 160 A, POTÊNCIA DE 5400 W, TENSÃO DE 220 V, PARA SOLDA COM ELETRODOS DE 2,0 A 4,0 MM E PROCESSO TIG - DEPRECIAÇÃO. AF_06/2018</t>
  </si>
  <si>
    <t>98761</t>
  </si>
  <si>
    <t>INVERSOR DE SOLDA MONOFÁSICO DE 160 A, POTÊNCIA DE 5400 W, TENSÃO DE 220 V, PARA SOLDA COM ELETRODOS DE 2,0 A 4,0 MM E PROCESSO TIG - JUROS. AF_06/2018</t>
  </si>
  <si>
    <t>98762</t>
  </si>
  <si>
    <t>INVERSOR DE SOLDA MONOFÁSICO DE 160 A, POTÊNCIA DE 5400 W, TENSÃO DE 220 V, PARA SOLDA COM ELETRODOS DE 2,0 A 4,0 MM E PROCESSO TIG - MANUTENÇÃO. AF_06/2018</t>
  </si>
  <si>
    <t>98763</t>
  </si>
  <si>
    <t>INVERSOR DE SOLDA MONOFÁSICO DE 160 A, POTÊNCIA DE 5400 W, TENSÃO DE 220 V, PARA SOLDA COM ELETRODOS DE 2,0 A 4,0 MM E PROCESSO TIG - MATERIAIS NA OPERAÇÃO. AF_06/2018</t>
  </si>
  <si>
    <t>19,96</t>
  </si>
  <si>
    <t>97976</t>
  </si>
  <si>
    <t>97977</t>
  </si>
  <si>
    <t>97980</t>
  </si>
  <si>
    <t>97981</t>
  </si>
  <si>
    <t>97983</t>
  </si>
  <si>
    <t>97985</t>
  </si>
  <si>
    <t>97987</t>
  </si>
  <si>
    <t>97988</t>
  </si>
  <si>
    <t>97989</t>
  </si>
  <si>
    <t>97991</t>
  </si>
  <si>
    <t>97992</t>
  </si>
  <si>
    <t>97993</t>
  </si>
  <si>
    <t>97994</t>
  </si>
  <si>
    <t>97995</t>
  </si>
  <si>
    <t>97996</t>
  </si>
  <si>
    <t>97997</t>
  </si>
  <si>
    <t>97999</t>
  </si>
  <si>
    <t>98001</t>
  </si>
  <si>
    <t>98002</t>
  </si>
  <si>
    <t>98003</t>
  </si>
  <si>
    <t>98005</t>
  </si>
  <si>
    <t>98006</t>
  </si>
  <si>
    <t>98007</t>
  </si>
  <si>
    <t>98008</t>
  </si>
  <si>
    <t>98009</t>
  </si>
  <si>
    <t>98010</t>
  </si>
  <si>
    <t>98011</t>
  </si>
  <si>
    <t>98012</t>
  </si>
  <si>
    <t>98013</t>
  </si>
  <si>
    <t>98014</t>
  </si>
  <si>
    <t>98015</t>
  </si>
  <si>
    <t>98016</t>
  </si>
  <si>
    <t>98017</t>
  </si>
  <si>
    <t>98018</t>
  </si>
  <si>
    <t>98019</t>
  </si>
  <si>
    <t>98020</t>
  </si>
  <si>
    <t>98021</t>
  </si>
  <si>
    <t>98022</t>
  </si>
  <si>
    <t>98023</t>
  </si>
  <si>
    <t>98024</t>
  </si>
  <si>
    <t>98025</t>
  </si>
  <si>
    <t>98026</t>
  </si>
  <si>
    <t>98027</t>
  </si>
  <si>
    <t>98028</t>
  </si>
  <si>
    <t>98029</t>
  </si>
  <si>
    <t>98030</t>
  </si>
  <si>
    <t>98031</t>
  </si>
  <si>
    <t>98032</t>
  </si>
  <si>
    <t>98033</t>
  </si>
  <si>
    <t>98034</t>
  </si>
  <si>
    <t>98035</t>
  </si>
  <si>
    <t>98036</t>
  </si>
  <si>
    <t>98037</t>
  </si>
  <si>
    <t>98038</t>
  </si>
  <si>
    <t>98039</t>
  </si>
  <si>
    <t>98040</t>
  </si>
  <si>
    <t>98041</t>
  </si>
  <si>
    <t>98042</t>
  </si>
  <si>
    <t>98043</t>
  </si>
  <si>
    <t>98044</t>
  </si>
  <si>
    <t>98045</t>
  </si>
  <si>
    <t>98046</t>
  </si>
  <si>
    <t>98047</t>
  </si>
  <si>
    <t>98048</t>
  </si>
  <si>
    <t>98049</t>
  </si>
  <si>
    <t>98050</t>
  </si>
  <si>
    <t>98051</t>
  </si>
  <si>
    <t>98405</t>
  </si>
  <si>
    <t>98406</t>
  </si>
  <si>
    <t>98407</t>
  </si>
  <si>
    <t>98408</t>
  </si>
  <si>
    <t>98409</t>
  </si>
  <si>
    <t>21,74</t>
  </si>
  <si>
    <t>12,27</t>
  </si>
  <si>
    <t>18,45</t>
  </si>
  <si>
    <t>14,11</t>
  </si>
  <si>
    <t>16,68</t>
  </si>
  <si>
    <t>6,02</t>
  </si>
  <si>
    <t>5,21</t>
  </si>
  <si>
    <t>4,55</t>
  </si>
  <si>
    <t>4,75</t>
  </si>
  <si>
    <t>5,33</t>
  </si>
  <si>
    <t>23,93</t>
  </si>
  <si>
    <t>98576</t>
  </si>
  <si>
    <t>34,11</t>
  </si>
  <si>
    <t>97733</t>
  </si>
  <si>
    <t>97734</t>
  </si>
  <si>
    <t>97735</t>
  </si>
  <si>
    <t>97736</t>
  </si>
  <si>
    <t>97737</t>
  </si>
  <si>
    <t>97738</t>
  </si>
  <si>
    <t>97739</t>
  </si>
  <si>
    <t>97740</t>
  </si>
  <si>
    <t>98615</t>
  </si>
  <si>
    <t>CONTENÇÃO EM CORTINA COM ESTACAS ESPAÇADAS COM 30 CM DE DIÂMETRO E PROFUNDIDADE MENOR OU IGUAL A 10 M. AF_06/2018</t>
  </si>
  <si>
    <t>98616</t>
  </si>
  <si>
    <t>CONTENÇÃO EM CORTINA COM ESTACAS ESPAÇADAS COM 30 CM DE DIÂMETRO E PROFUNDIDADE MAIOR QUE 10 M E MENOR OU IGUAL A 15 M. AF_06/2018</t>
  </si>
  <si>
    <t>98617</t>
  </si>
  <si>
    <t>CONTENÇÃO EM CORTINA COM ESTACAS ESPAÇADAS COM 30 CM DE DIÂMETRO E PROFUNDIDADE MAIOR QUE 15 M. AF_06/2018</t>
  </si>
  <si>
    <t>98618</t>
  </si>
  <si>
    <t>CONTENÇÃO EM CORTINA COM ESTACAS ESPAÇADAS COM 40 CM DE DIÂMETRO E PROFUNDIDADE MENOR OU IGUAL A 10 M. AF_06/2018</t>
  </si>
  <si>
    <t>98619</t>
  </si>
  <si>
    <t>CONTENÇÃO EM CORTINA COM ESTACAS ESPAÇADAS COM 40 CM DE DIÂMETRO E PROFUNDIDADE MAIOR QUE 10 M E MENOR OU IGUAL A 15 M. AF_06/2018</t>
  </si>
  <si>
    <t>98620</t>
  </si>
  <si>
    <t>CONTENÇÃO EM CORTINA COM ESTACAS ESPAÇADAS COM 40 CM DE DIÂMETRO E PROFUNDIDADE MAIOR QUE 15 M. AF_06/2018</t>
  </si>
  <si>
    <t>98621</t>
  </si>
  <si>
    <t>CONTENÇÃO EM CORTINA COM ESTACAS ESPAÇADAS COM 50 CM DE DIÂMETRO E PROFUNDIDADE MENOR OU IGUAL A 10 M. AF_06/2018</t>
  </si>
  <si>
    <t>98622</t>
  </si>
  <si>
    <t>CONTENÇÃO EM CORTINA COM ESTACAS ESPAÇADAS COM 50 CM DE DIÂMETRO E PROFUNDIDADE MAIOR QUE 10 M E MENOR OU IGUAL A 15 M. AF_06/2018</t>
  </si>
  <si>
    <t>98623</t>
  </si>
  <si>
    <t>CONTENÇÃO EM CORTINA COM ESTACAS ESPAÇADAS COM 50 CM DE DIÂMETRO E PROFUNDIDADE MAIOR QUE 15 M. AF_06/2018</t>
  </si>
  <si>
    <t>98624</t>
  </si>
  <si>
    <t>CONTENÇÃO EM CORTINA COM ESTACAS ESPAÇADAS COM 60 CM DE DIÂMETRO E PROFUNDIDADE MENOR OU IGUAL A 10 M. AF_06/2018</t>
  </si>
  <si>
    <t>98625</t>
  </si>
  <si>
    <t>CONTENÇÃO EM CORTINA COM ESTACAS ESPAÇADAS COM 60 CM DE DIÂMETRO E PROFUNDIDADE MAIOR QUE 10 M E MENOR OU IGUAL A 15 M. AF_06/2018</t>
  </si>
  <si>
    <t>98626</t>
  </si>
  <si>
    <t>CONTENÇÃO EM CORTINA COM ESTACAS ESPAÇADAS COM 60 CM DE DIÂMETRO E PROFUNDIDADE MAIOR QUE 15 M. AF_06/2018</t>
  </si>
  <si>
    <t>98655</t>
  </si>
  <si>
    <t>EXECUÇÃO DE MURETA GUIA PARA CONTENÇÃO/ FUNDAÇÃO COM 30 CM DE ESPESSURA. AF_06/2018</t>
  </si>
  <si>
    <t>98656</t>
  </si>
  <si>
    <t>EXECUÇÃO DE MURETA GUIA PARA CONTENÇÃO/ FUNDAÇÃO COM 40 CM DE ESPESSURA. AF_06/2018</t>
  </si>
  <si>
    <t>98657</t>
  </si>
  <si>
    <t>EXECUÇÃO DE MURETA GUIA PARA CONTENÇÃO/ FUNDAÇÃO COM 50 CM DE ESPESSURA. AF_06/2018</t>
  </si>
  <si>
    <t>98658</t>
  </si>
  <si>
    <t>EXECUÇÃO DE MURETA GUIA PARA CONTENÇÃO/ FUNDAÇÃO COM 60 CM DE ESPESSURA. AF_06/2018</t>
  </si>
  <si>
    <t>98659</t>
  </si>
  <si>
    <t>EXECUÇÃO DE MURETA GUIA PARA CONTENÇÃO/ FUNDAÇÃO COM 80 CM DE ESPESSURA. AF_06/2018</t>
  </si>
  <si>
    <t>98562</t>
  </si>
  <si>
    <t>98555</t>
  </si>
  <si>
    <t>98556</t>
  </si>
  <si>
    <t>98558</t>
  </si>
  <si>
    <t>TRATAMENTO DE RALO OU PONTO EMERGENTE COM IMPERMEABILIZANTE SEMI-FLEXÍVEL REFORÇADO COM VEU DE POLIÉSTER (MAV). AF_06/2018</t>
  </si>
  <si>
    <t>98559</t>
  </si>
  <si>
    <t>98546</t>
  </si>
  <si>
    <t>98547</t>
  </si>
  <si>
    <t>98557</t>
  </si>
  <si>
    <t>98563</t>
  </si>
  <si>
    <t>98564</t>
  </si>
  <si>
    <t>98565</t>
  </si>
  <si>
    <t>98566</t>
  </si>
  <si>
    <t>98567</t>
  </si>
  <si>
    <t>98568</t>
  </si>
  <si>
    <t>98569</t>
  </si>
  <si>
    <t>98570</t>
  </si>
  <si>
    <t>98571</t>
  </si>
  <si>
    <t>98572</t>
  </si>
  <si>
    <t>98573</t>
  </si>
  <si>
    <t>21,40</t>
  </si>
  <si>
    <t>7,18</t>
  </si>
  <si>
    <t>6,32</t>
  </si>
  <si>
    <t>19,13</t>
  </si>
  <si>
    <t>22,64</t>
  </si>
  <si>
    <t>97886</t>
  </si>
  <si>
    <t>97887</t>
  </si>
  <si>
    <t>97888</t>
  </si>
  <si>
    <t>97889</t>
  </si>
  <si>
    <t>97890</t>
  </si>
  <si>
    <t>97891</t>
  </si>
  <si>
    <t>97892</t>
  </si>
  <si>
    <t>97893</t>
  </si>
  <si>
    <t>97894</t>
  </si>
  <si>
    <t>98463</t>
  </si>
  <si>
    <t>98593</t>
  </si>
  <si>
    <t>17,61</t>
  </si>
  <si>
    <t>97498</t>
  </si>
  <si>
    <t>97535</t>
  </si>
  <si>
    <t>97536</t>
  </si>
  <si>
    <t>11,08</t>
  </si>
  <si>
    <t>4,70</t>
  </si>
  <si>
    <t>11,66</t>
  </si>
  <si>
    <t>11,81</t>
  </si>
  <si>
    <t>6,80</t>
  </si>
  <si>
    <t>29,83</t>
  </si>
  <si>
    <t>13,56</t>
  </si>
  <si>
    <t>9,19</t>
  </si>
  <si>
    <t>17,84</t>
  </si>
  <si>
    <t>97430</t>
  </si>
  <si>
    <t>97431</t>
  </si>
  <si>
    <t>97432</t>
  </si>
  <si>
    <t>97433</t>
  </si>
  <si>
    <t>97434</t>
  </si>
  <si>
    <t>66,95</t>
  </si>
  <si>
    <t>97435</t>
  </si>
  <si>
    <t>97436</t>
  </si>
  <si>
    <t>97437</t>
  </si>
  <si>
    <t>97438</t>
  </si>
  <si>
    <t>97439</t>
  </si>
  <si>
    <t>97440</t>
  </si>
  <si>
    <t>97442</t>
  </si>
  <si>
    <t>97443</t>
  </si>
  <si>
    <t>97444</t>
  </si>
  <si>
    <t>97446</t>
  </si>
  <si>
    <t>97447</t>
  </si>
  <si>
    <t>97449</t>
  </si>
  <si>
    <t>97450</t>
  </si>
  <si>
    <t>97452</t>
  </si>
  <si>
    <t>97453</t>
  </si>
  <si>
    <t>97454</t>
  </si>
  <si>
    <t>97455</t>
  </si>
  <si>
    <t>97456</t>
  </si>
  <si>
    <t>97457</t>
  </si>
  <si>
    <t>97458</t>
  </si>
  <si>
    <t>97459</t>
  </si>
  <si>
    <t>97460</t>
  </si>
  <si>
    <t>97461</t>
  </si>
  <si>
    <t>97462</t>
  </si>
  <si>
    <t>97464</t>
  </si>
  <si>
    <t>97465</t>
  </si>
  <si>
    <t>97467</t>
  </si>
  <si>
    <t>97468</t>
  </si>
  <si>
    <t>97470</t>
  </si>
  <si>
    <t>97471</t>
  </si>
  <si>
    <t>97474</t>
  </si>
  <si>
    <t>97475</t>
  </si>
  <si>
    <t>97477</t>
  </si>
  <si>
    <t>97478</t>
  </si>
  <si>
    <t>97479</t>
  </si>
  <si>
    <t>97480</t>
  </si>
  <si>
    <t>97481</t>
  </si>
  <si>
    <t>97482</t>
  </si>
  <si>
    <t>97483</t>
  </si>
  <si>
    <t>97484</t>
  </si>
  <si>
    <t>97485</t>
  </si>
  <si>
    <t>97486</t>
  </si>
  <si>
    <t>97487</t>
  </si>
  <si>
    <t>97488</t>
  </si>
  <si>
    <t>97489</t>
  </si>
  <si>
    <t>97490</t>
  </si>
  <si>
    <t>97491</t>
  </si>
  <si>
    <t>97492</t>
  </si>
  <si>
    <t>97493</t>
  </si>
  <si>
    <t>97494</t>
  </si>
  <si>
    <t>97495</t>
  </si>
  <si>
    <t>97496</t>
  </si>
  <si>
    <t>97499</t>
  </si>
  <si>
    <t>97500</t>
  </si>
  <si>
    <t>97502</t>
  </si>
  <si>
    <t>97503</t>
  </si>
  <si>
    <t>97505</t>
  </si>
  <si>
    <t>97506</t>
  </si>
  <si>
    <t>97508</t>
  </si>
  <si>
    <t>97509</t>
  </si>
  <si>
    <t>97511</t>
  </si>
  <si>
    <t>97512</t>
  </si>
  <si>
    <t>97514</t>
  </si>
  <si>
    <t>97515</t>
  </si>
  <si>
    <t>97517</t>
  </si>
  <si>
    <t>97518</t>
  </si>
  <si>
    <t>97519</t>
  </si>
  <si>
    <t>97520</t>
  </si>
  <si>
    <t>97521</t>
  </si>
  <si>
    <t>97522</t>
  </si>
  <si>
    <t>97523</t>
  </si>
  <si>
    <t>97524</t>
  </si>
  <si>
    <t>97525</t>
  </si>
  <si>
    <t>97526</t>
  </si>
  <si>
    <t>97527</t>
  </si>
  <si>
    <t>97528</t>
  </si>
  <si>
    <t>97529</t>
  </si>
  <si>
    <t>97530</t>
  </si>
  <si>
    <t>97531</t>
  </si>
  <si>
    <t>97532</t>
  </si>
  <si>
    <t>97533</t>
  </si>
  <si>
    <t>97534</t>
  </si>
  <si>
    <t>97537</t>
  </si>
  <si>
    <t>97540</t>
  </si>
  <si>
    <t>97541</t>
  </si>
  <si>
    <t>97543</t>
  </si>
  <si>
    <t>97544</t>
  </si>
  <si>
    <t>97546</t>
  </si>
  <si>
    <t>97547</t>
  </si>
  <si>
    <t>97548</t>
  </si>
  <si>
    <t>97549</t>
  </si>
  <si>
    <t>97550</t>
  </si>
  <si>
    <t>97551</t>
  </si>
  <si>
    <t>97552</t>
  </si>
  <si>
    <t>97553</t>
  </si>
  <si>
    <t>97554</t>
  </si>
  <si>
    <t>98602</t>
  </si>
  <si>
    <t>97900</t>
  </si>
  <si>
    <t>97901</t>
  </si>
  <si>
    <t>97902</t>
  </si>
  <si>
    <t>97903</t>
  </si>
  <si>
    <t>97904</t>
  </si>
  <si>
    <t>97905</t>
  </si>
  <si>
    <t>97906</t>
  </si>
  <si>
    <t>97907</t>
  </si>
  <si>
    <t>97908</t>
  </si>
  <si>
    <t>98102</t>
  </si>
  <si>
    <t>98104</t>
  </si>
  <si>
    <t>98105</t>
  </si>
  <si>
    <t>98106</t>
  </si>
  <si>
    <t>98107</t>
  </si>
  <si>
    <t>98108</t>
  </si>
  <si>
    <t>98052</t>
  </si>
  <si>
    <t>98053</t>
  </si>
  <si>
    <t>98054</t>
  </si>
  <si>
    <t>98055</t>
  </si>
  <si>
    <t>98056</t>
  </si>
  <si>
    <t>98057</t>
  </si>
  <si>
    <t>98066</t>
  </si>
  <si>
    <t>98067</t>
  </si>
  <si>
    <t>98068</t>
  </si>
  <si>
    <t>98069</t>
  </si>
  <si>
    <t>98070</t>
  </si>
  <si>
    <t>98071</t>
  </si>
  <si>
    <t>98072</t>
  </si>
  <si>
    <t>98073</t>
  </si>
  <si>
    <t>98074</t>
  </si>
  <si>
    <t>98075</t>
  </si>
  <si>
    <t>98076</t>
  </si>
  <si>
    <t>98077</t>
  </si>
  <si>
    <t>98078</t>
  </si>
  <si>
    <t>98079</t>
  </si>
  <si>
    <t>98080</t>
  </si>
  <si>
    <t>98081</t>
  </si>
  <si>
    <t>98082</t>
  </si>
  <si>
    <t>98083</t>
  </si>
  <si>
    <t>98084</t>
  </si>
  <si>
    <t>98085</t>
  </si>
  <si>
    <t>98086</t>
  </si>
  <si>
    <t>98087</t>
  </si>
  <si>
    <t>98088</t>
  </si>
  <si>
    <t>98089</t>
  </si>
  <si>
    <t>98090</t>
  </si>
  <si>
    <t>98091</t>
  </si>
  <si>
    <t>98092</t>
  </si>
  <si>
    <t>98093</t>
  </si>
  <si>
    <t>98094</t>
  </si>
  <si>
    <t>98099</t>
  </si>
  <si>
    <t>98100</t>
  </si>
  <si>
    <t>98101</t>
  </si>
  <si>
    <t>98109</t>
  </si>
  <si>
    <t>98110</t>
  </si>
  <si>
    <t>98111</t>
  </si>
  <si>
    <t>19,52</t>
  </si>
  <si>
    <t>98114</t>
  </si>
  <si>
    <t>98115</t>
  </si>
  <si>
    <t>58,81</t>
  </si>
  <si>
    <t>31,91</t>
  </si>
  <si>
    <t>18,93</t>
  </si>
  <si>
    <t>20,14</t>
  </si>
  <si>
    <t>19,14</t>
  </si>
  <si>
    <t>14,30</t>
  </si>
  <si>
    <t>7,87</t>
  </si>
  <si>
    <t>15,37</t>
  </si>
  <si>
    <t>12,17</t>
  </si>
  <si>
    <t>71,96</t>
  </si>
  <si>
    <t>98671</t>
  </si>
  <si>
    <t>PISO EM GRANITO APLICADO EM AMBIENTES INTERNOS. AF_06/2018</t>
  </si>
  <si>
    <t>98672</t>
  </si>
  <si>
    <t>98679</t>
  </si>
  <si>
    <t>98680</t>
  </si>
  <si>
    <t>98681</t>
  </si>
  <si>
    <t>98682</t>
  </si>
  <si>
    <t>98685</t>
  </si>
  <si>
    <t>98686</t>
  </si>
  <si>
    <t>98688</t>
  </si>
  <si>
    <t>98689</t>
  </si>
  <si>
    <t>SOLEIRA EM GRANITO, LARGURA 15 CM, ESPESSURA 2,0 CM. AF_06/2018</t>
  </si>
  <si>
    <t>98695</t>
  </si>
  <si>
    <t>98697</t>
  </si>
  <si>
    <t>12,72</t>
  </si>
  <si>
    <t>97033</t>
  </si>
  <si>
    <t>97034</t>
  </si>
  <si>
    <t>97046</t>
  </si>
  <si>
    <t>97047</t>
  </si>
  <si>
    <t>97048</t>
  </si>
  <si>
    <t>1,86</t>
  </si>
  <si>
    <t>98509</t>
  </si>
  <si>
    <t>98510</t>
  </si>
  <si>
    <t>98511</t>
  </si>
  <si>
    <t>98516</t>
  </si>
  <si>
    <t>98519</t>
  </si>
  <si>
    <t>98520</t>
  </si>
  <si>
    <t>98521</t>
  </si>
  <si>
    <t>98522</t>
  </si>
  <si>
    <t>ALAMBRADO EM MOURÕES DE CONCRETO, COM TELA DE ARAME GALVANIZADO (INCLUSIVE MURETA EM CONCRETO). AF_05/2018</t>
  </si>
  <si>
    <t>98524</t>
  </si>
  <si>
    <t>98503</t>
  </si>
  <si>
    <t>98504</t>
  </si>
  <si>
    <t>98505</t>
  </si>
  <si>
    <t>98525</t>
  </si>
  <si>
    <t>98526</t>
  </si>
  <si>
    <t>98527</t>
  </si>
  <si>
    <t>98528</t>
  </si>
  <si>
    <t>98529</t>
  </si>
  <si>
    <t>98530</t>
  </si>
  <si>
    <t>98531</t>
  </si>
  <si>
    <t>98532</t>
  </si>
  <si>
    <t>98533</t>
  </si>
  <si>
    <t>98534</t>
  </si>
  <si>
    <t>98535</t>
  </si>
  <si>
    <t>15,88</t>
  </si>
  <si>
    <t>13,79</t>
  </si>
  <si>
    <t>9,56</t>
  </si>
  <si>
    <t>21,18</t>
  </si>
  <si>
    <t>3,51</t>
  </si>
  <si>
    <t>9,00</t>
  </si>
  <si>
    <t>17,58</t>
  </si>
  <si>
    <t>21,48</t>
  </si>
  <si>
    <t>19,47</t>
  </si>
  <si>
    <t>14,57</t>
  </si>
  <si>
    <t>14,96</t>
  </si>
  <si>
    <t>20,37</t>
  </si>
  <si>
    <t>8,46</t>
  </si>
  <si>
    <t>6,59</t>
  </si>
  <si>
    <t>23,13</t>
  </si>
  <si>
    <t>14,47</t>
  </si>
  <si>
    <t>14,48</t>
  </si>
  <si>
    <t>9,39</t>
  </si>
  <si>
    <t>CANTONEIRA FERRO CROMADO,PEQ. P/DIVISÓRIA GRANITO OU MARMORE ESP 3CM</t>
  </si>
  <si>
    <t>PARAFUSO FERRO CROMADO, ROSCA COM DUAS CABEÇAS P/ DIVISÓRIA</t>
  </si>
  <si>
    <t>DOBRADICA FERRO CROMADO P/PORTA DE DIVISORIA DE MARMORE OU GRANITO ESP 3CM</t>
  </si>
  <si>
    <t>BATENTE FERRO CROMADO P/PORTA DE DIVISORIA DE MARMORE OU GRANITO ESP 3CM</t>
  </si>
  <si>
    <t>ROLDANA CROMADA C/ PINO DIAM. Ø 3" CANAL TIPO "V" 2"</t>
  </si>
  <si>
    <t>MEIO FIO CONCRETO PRE-MOLD. 12X15X30CM</t>
  </si>
  <si>
    <t>MAO FRANCESA PLANA GALVANIZADA 32 X 726 MM</t>
  </si>
  <si>
    <t>LUMINARIA BETA E40 250/400 IP66/44 CT SR TECNOWATT OU EQUIVALENTE</t>
  </si>
  <si>
    <t>CRUZETA DE MADEIRA P/ POSTE 90 X 135 X 2400MM</t>
  </si>
  <si>
    <t>TERMINAL CABO-BARRA EM LATÃO # ATÉ 4 MM2</t>
  </si>
  <si>
    <t>MAO FRANCESA PLANA GALVANIZADA 32 X 710MM</t>
  </si>
  <si>
    <t>CRUZETA DE MADEIRA P/ POSTE 90 X 112,5 X 2400 MM</t>
  </si>
  <si>
    <t>SUPORTE P/ TRANSFORMADOR EM LIGA DE ALUMINIO P/ POSTE CONCRETO CIRCULAR - 225MM</t>
  </si>
  <si>
    <t>05.01.02</t>
  </si>
  <si>
    <t>07.01</t>
  </si>
  <si>
    <t>05.01.03</t>
  </si>
  <si>
    <t>05.01.04</t>
  </si>
  <si>
    <t>SUBTOTAL 04</t>
  </si>
  <si>
    <t>SUBTOTAL 05</t>
  </si>
  <si>
    <t>ALUGUEL MENSAL CONTAINER SANITÁRIO, INCL PORTA, BÁSC, 2 PTOS LUZ, 1 PTO ATERRAM., 3VASOS, 3LAVATÓRIOS, CALHA MICTÓRIO, 6 CHUVEIROS (1 ELETRICO), TORN.,REGISTROS, PISO COMP. NAVAL PINTADO, CERT NR18 E LAUDO DESCONTAMINAÇÃO</t>
  </si>
  <si>
    <t>RESERVATÓRIO DE POLIESTILENO DE 1000 L, INCL. SUPORTE EM MADEIRA DE 7X12CM E 8X7CM, ELEVADO DE 4M, CONF. PROJETO (1 UTILIZAÇÃO)</t>
  </si>
  <si>
    <t>REDE DE ÁGUA COM PADRÃO DE ENTRADA DÁGUA DIÂM. 3/4", CONF. ESPEC. CESAN, INCL. TUBOS E CONEXÕES PARA ALIMENTAÇÃO, DISTRIBUIÇÃO, EXTRAVASOR E LIMPEZA, CONS. O PADRÃO A 25M, CONF. PROJETO (1 UTILIZAÇÃO)</t>
  </si>
  <si>
    <t>MOBILIZAÇÃO E DESMOBILIZAÇÃO DE CONTEINER LOCADO PARA BARRACÃO DE OBRA</t>
  </si>
  <si>
    <t>03.01.05</t>
  </si>
  <si>
    <t>04.01.05</t>
  </si>
  <si>
    <t xml:space="preserve">UND </t>
  </si>
  <si>
    <t>ARQ-001</t>
  </si>
  <si>
    <t>ARQ-002</t>
  </si>
  <si>
    <t>ARQ-004</t>
  </si>
  <si>
    <t>05.02.01</t>
  </si>
  <si>
    <t>05.02.02</t>
  </si>
  <si>
    <t>05.02.03</t>
  </si>
  <si>
    <t>05.02.04</t>
  </si>
  <si>
    <t>06.01.03</t>
  </si>
  <si>
    <t>06.02.01</t>
  </si>
  <si>
    <t>06.02.02</t>
  </si>
  <si>
    <t>ARQ-005</t>
  </si>
  <si>
    <t>ARQ-006</t>
  </si>
  <si>
    <t>06.02.03</t>
  </si>
  <si>
    <t>06.01.04</t>
  </si>
  <si>
    <t>05.01.05</t>
  </si>
  <si>
    <t>06.01.05</t>
  </si>
  <si>
    <t>02.01.03</t>
  </si>
  <si>
    <t>03.01.06</t>
  </si>
  <si>
    <t>05.02.05</t>
  </si>
  <si>
    <r>
      <rPr>
        <sz val="7.5"/>
        <rFont val="Arial"/>
        <family val="2"/>
      </rPr>
      <t xml:space="preserve">Tabela de preços   : 216 - Referencial de Preços Janeiro 2018 com desoneração                                                                                  Data base: Janeiro/2018
</t>
    </r>
    <r>
      <rPr>
        <sz val="7.5"/>
        <rFont val="Arial"/>
        <family val="2"/>
      </rPr>
      <t>BDI                         : 29,63%</t>
    </r>
  </si>
  <si>
    <r>
      <rPr>
        <sz val="7"/>
        <rFont val="Arial"/>
        <family val="2"/>
      </rPr>
      <t>Grupo de serviço: TERRAPLENAGEM</t>
    </r>
  </si>
  <si>
    <r>
      <rPr>
        <b/>
        <sz val="7"/>
        <rFont val="Arial"/>
        <family val="2"/>
      </rPr>
      <t>Cód. Padrão</t>
    </r>
  </si>
  <si>
    <r>
      <rPr>
        <b/>
        <sz val="7"/>
        <rFont val="Arial"/>
        <family val="2"/>
      </rPr>
      <t>Descrição do serviço</t>
    </r>
  </si>
  <si>
    <r>
      <rPr>
        <b/>
        <sz val="7"/>
        <rFont val="Arial"/>
        <family val="2"/>
      </rPr>
      <t>Unidade</t>
    </r>
  </si>
  <si>
    <r>
      <rPr>
        <b/>
        <sz val="7"/>
        <rFont val="Arial"/>
        <family val="2"/>
      </rPr>
      <t>Preço unitário</t>
    </r>
  </si>
  <si>
    <r>
      <rPr>
        <b/>
        <sz val="7"/>
        <rFont val="Arial"/>
        <family val="2"/>
      </rPr>
      <t>Transporte</t>
    </r>
  </si>
  <si>
    <r>
      <rPr>
        <sz val="7"/>
        <rFont val="Arial"/>
        <family val="2"/>
      </rPr>
      <t>Capina manual inclusive limpeza</t>
    </r>
  </si>
  <si>
    <r>
      <rPr>
        <sz val="7"/>
        <rFont val="Arial"/>
        <family val="2"/>
      </rPr>
      <t>M2</t>
    </r>
  </si>
  <si>
    <r>
      <rPr>
        <sz val="7"/>
        <rFont val="Arial"/>
        <family val="2"/>
      </rPr>
      <t>Carga de escoria de aciaria de vagão ferroviário supervisionado</t>
    </r>
  </si>
  <si>
    <r>
      <rPr>
        <sz val="7"/>
        <rFont val="Arial"/>
        <family val="2"/>
      </rPr>
      <t>M3</t>
    </r>
  </si>
  <si>
    <r>
      <rPr>
        <sz val="7"/>
        <rFont val="Arial"/>
        <family val="2"/>
      </rPr>
      <t>Carga de material de 1ª categoria</t>
    </r>
  </si>
  <si>
    <r>
      <rPr>
        <sz val="7"/>
        <rFont val="Arial"/>
        <family val="2"/>
      </rPr>
      <t>Carga de material de 2ª categoria (solo, areia, brita, excl. rocha escavada)</t>
    </r>
  </si>
  <si>
    <r>
      <rPr>
        <sz val="7"/>
        <rFont val="Arial"/>
        <family val="2"/>
      </rPr>
      <t>Carga de material de 3ª categoria (rocha)</t>
    </r>
  </si>
  <si>
    <r>
      <rPr>
        <sz val="7"/>
        <rFont val="Arial"/>
        <family val="2"/>
      </rPr>
      <t>Compactação de aterros em rocha</t>
    </r>
  </si>
  <si>
    <r>
      <rPr>
        <sz val="7"/>
        <rFont val="Arial"/>
        <family val="2"/>
      </rPr>
      <t>Compactação de aterros 100% P.I.</t>
    </r>
  </si>
  <si>
    <r>
      <rPr>
        <sz val="7"/>
        <rFont val="Arial"/>
        <family val="2"/>
      </rPr>
      <t>Compactação de aterros 100% PN</t>
    </r>
  </si>
  <si>
    <r>
      <rPr>
        <sz val="7"/>
        <rFont val="Arial"/>
        <family val="2"/>
      </rPr>
      <t>Decapagem de pedreira, 1ª categoria, com escavadeira</t>
    </r>
  </si>
  <si>
    <r>
      <rPr>
        <sz val="7"/>
        <rFont val="Arial"/>
        <family val="2"/>
      </rPr>
      <t>Decapagem de pedreira, 1ª categoria, com trator de esteiras</t>
    </r>
  </si>
  <si>
    <r>
      <rPr>
        <sz val="7"/>
        <rFont val="Arial"/>
        <family val="2"/>
      </rPr>
      <t>Demolição de material de 3ª categoria com fio diamantado</t>
    </r>
  </si>
  <si>
    <r>
      <rPr>
        <sz val="7"/>
        <rFont val="Arial"/>
        <family val="2"/>
      </rPr>
      <t xml:space="preserve">Demolição de rocha a frio, até altura de 3,0m, com argamassa expansiva, inclusive remoção
</t>
    </r>
    <r>
      <rPr>
        <sz val="7"/>
        <rFont val="Arial"/>
        <family val="2"/>
      </rPr>
      <t>com escavadeira</t>
    </r>
  </si>
  <si>
    <r>
      <rPr>
        <sz val="7"/>
        <rFont val="Arial"/>
        <family val="2"/>
      </rPr>
      <t xml:space="preserve">Demolição de rocha a frio até 3 metros com utilização de argamassa expansiva, inclusive
</t>
    </r>
    <r>
      <rPr>
        <sz val="7"/>
        <rFont val="Arial"/>
        <family val="2"/>
      </rPr>
      <t>remoção com trator de esteiras</t>
    </r>
  </si>
  <si>
    <r>
      <rPr>
        <sz val="7"/>
        <rFont val="Arial"/>
        <family val="2"/>
      </rPr>
      <t>Desmonte de rocha</t>
    </r>
  </si>
  <si>
    <r>
      <rPr>
        <sz val="7"/>
        <rFont val="Arial"/>
        <family val="2"/>
      </rPr>
      <t>Destocamento de árvores com diâmetro  &gt; 30 cm, com trator de esteira</t>
    </r>
  </si>
  <si>
    <r>
      <rPr>
        <sz val="7"/>
        <rFont val="Arial"/>
        <family val="2"/>
      </rPr>
      <t>Ud</t>
    </r>
  </si>
  <si>
    <r>
      <rPr>
        <sz val="7"/>
        <rFont val="Arial"/>
        <family val="2"/>
      </rPr>
      <t>Destocamento de árvores com diâmetro de 15 a 30 cm, com trator de esteira</t>
    </r>
  </si>
  <si>
    <r>
      <rPr>
        <sz val="7"/>
        <rFont val="Arial"/>
        <family val="2"/>
      </rPr>
      <t>Escalonamento de taludes com escavadeira</t>
    </r>
  </si>
  <si>
    <r>
      <rPr>
        <sz val="7"/>
        <rFont val="Arial"/>
        <family val="2"/>
      </rPr>
      <t>Escalonamento de taludes, com trator de esteiras</t>
    </r>
  </si>
  <si>
    <r>
      <rPr>
        <sz val="7"/>
        <rFont val="Arial"/>
        <family val="2"/>
      </rPr>
      <t xml:space="preserve">Escavação, carga e transporte de material de 1ª cat. até 200 m com moto-escavo-
</t>
    </r>
    <r>
      <rPr>
        <sz val="7"/>
        <rFont val="Arial"/>
        <family val="2"/>
      </rPr>
      <t>transportador</t>
    </r>
  </si>
  <si>
    <r>
      <rPr>
        <sz val="7"/>
        <rFont val="Arial"/>
        <family val="2"/>
      </rPr>
      <t xml:space="preserve">Escavação, carga e transporte de material de 1ª cat. 1000 a 1200 m com moto-escavo-
</t>
    </r>
    <r>
      <rPr>
        <sz val="7"/>
        <rFont val="Arial"/>
        <family val="2"/>
      </rPr>
      <t>transportador</t>
    </r>
  </si>
  <si>
    <r>
      <rPr>
        <sz val="7"/>
        <rFont val="Arial"/>
        <family val="2"/>
      </rPr>
      <t xml:space="preserve">Escavação, carga e transporte de material de 1ª cat. 200 a 400 m com moto-escavo-
</t>
    </r>
    <r>
      <rPr>
        <sz val="7"/>
        <rFont val="Arial"/>
        <family val="2"/>
      </rPr>
      <t>transportador</t>
    </r>
  </si>
  <si>
    <r>
      <rPr>
        <sz val="7"/>
        <rFont val="Arial"/>
        <family val="2"/>
      </rPr>
      <t xml:space="preserve">Escavação, carga e transporte de material de 1ª cat. 400 a 600 m com moto-escavo-
</t>
    </r>
    <r>
      <rPr>
        <sz val="7"/>
        <rFont val="Arial"/>
        <family val="2"/>
      </rPr>
      <t>transportador</t>
    </r>
  </si>
  <si>
    <r>
      <rPr>
        <sz val="7"/>
        <rFont val="Arial"/>
        <family val="2"/>
      </rPr>
      <t xml:space="preserve">Escavação, carga e transporte de material de 1ª cat. 600 a 800 m com moto-escavo-
</t>
    </r>
    <r>
      <rPr>
        <sz val="7"/>
        <rFont val="Arial"/>
        <family val="2"/>
      </rPr>
      <t>transportador</t>
    </r>
  </si>
  <si>
    <r>
      <rPr>
        <sz val="7"/>
        <rFont val="Arial"/>
        <family val="2"/>
      </rPr>
      <t xml:space="preserve">Escavação, carga e transporte de material de 1ª cat. 800 a 1000 m com moto-escavo-
</t>
    </r>
    <r>
      <rPr>
        <sz val="7"/>
        <rFont val="Arial"/>
        <family val="2"/>
      </rPr>
      <t>transportador</t>
    </r>
  </si>
  <si>
    <r>
      <rPr>
        <sz val="7"/>
        <rFont val="Arial"/>
        <family val="2"/>
      </rPr>
      <t xml:space="preserve">Escavação, carga e transporte de material de 2ª cat. até 200 m com moto-escavo-
</t>
    </r>
    <r>
      <rPr>
        <sz val="7"/>
        <rFont val="Arial"/>
        <family val="2"/>
      </rPr>
      <t>transportador</t>
    </r>
  </si>
  <si>
    <r>
      <rPr>
        <sz val="7"/>
        <rFont val="Arial"/>
        <family val="2"/>
      </rPr>
      <t xml:space="preserve">Escavação, carga e transporte de material de 2ª cat. 1000 a 1200 m com moto-escavo-
</t>
    </r>
    <r>
      <rPr>
        <sz val="7"/>
        <rFont val="Arial"/>
        <family val="2"/>
      </rPr>
      <t>transportador</t>
    </r>
  </si>
  <si>
    <r>
      <rPr>
        <sz val="7"/>
        <rFont val="Arial"/>
        <family val="2"/>
      </rPr>
      <t xml:space="preserve">Escavação, carga e transporte de material de 2ª cat. 200 a 400 m com moto-escavo-
</t>
    </r>
    <r>
      <rPr>
        <sz val="7"/>
        <rFont val="Arial"/>
        <family val="2"/>
      </rPr>
      <t>transportador</t>
    </r>
  </si>
  <si>
    <r>
      <rPr>
        <sz val="7"/>
        <rFont val="Arial"/>
        <family val="2"/>
      </rPr>
      <t xml:space="preserve">Escavação, carga e transporte de material de 2ª cat. 400 a 600 m com moto-escavo-
</t>
    </r>
    <r>
      <rPr>
        <sz val="7"/>
        <rFont val="Arial"/>
        <family val="2"/>
      </rPr>
      <t>transportador</t>
    </r>
  </si>
  <si>
    <r>
      <rPr>
        <sz val="7"/>
        <rFont val="Arial"/>
        <family val="2"/>
      </rPr>
      <t xml:space="preserve">Escavação, carga e transporte de material de 2ª cat. 600 a 800 m com moto-escavo-
</t>
    </r>
    <r>
      <rPr>
        <sz val="7"/>
        <rFont val="Arial"/>
        <family val="2"/>
      </rPr>
      <t>transportador</t>
    </r>
  </si>
  <si>
    <r>
      <rPr>
        <sz val="7"/>
        <rFont val="Arial"/>
        <family val="2"/>
      </rPr>
      <t xml:space="preserve">Escavação, carga e transporte de material de 2ª cat. 800 a 1000 m com moto-escavo-
</t>
    </r>
    <r>
      <rPr>
        <sz val="7"/>
        <rFont val="Arial"/>
        <family val="2"/>
      </rPr>
      <t>transportador</t>
    </r>
  </si>
  <si>
    <r>
      <rPr>
        <sz val="7"/>
        <rFont val="Arial"/>
        <family val="2"/>
      </rPr>
      <t>Escavação e carga de material de barreira (remoção)</t>
    </r>
  </si>
  <si>
    <r>
      <rPr>
        <sz val="7"/>
        <rFont val="Arial"/>
        <family val="2"/>
      </rPr>
      <t>Escavação e carga de material de 1ª categoria com escavadeira</t>
    </r>
  </si>
  <si>
    <r>
      <rPr>
        <sz val="7"/>
        <rFont val="Arial"/>
        <family val="2"/>
      </rPr>
      <t>Escavação e carga de material de 1ª categoria, com trator de esteira e pá carregadeira</t>
    </r>
  </si>
  <si>
    <r>
      <rPr>
        <sz val="7"/>
        <rFont val="Arial"/>
        <family val="2"/>
      </rPr>
      <t>Escavação e carga de material de 2ª categoria com escavadeira</t>
    </r>
  </si>
  <si>
    <r>
      <rPr>
        <sz val="7"/>
        <rFont val="Arial"/>
        <family val="2"/>
      </rPr>
      <t>Escavação e carga de material de 2ª categoria, com trator de esteira e pá carregadeira</t>
    </r>
  </si>
  <si>
    <r>
      <rPr>
        <sz val="7"/>
        <rFont val="Arial"/>
        <family val="2"/>
      </rPr>
      <t>Escavação e carga de material de 3ª categoria (fogo controlado)</t>
    </r>
  </si>
  <si>
    <r>
      <rPr>
        <sz val="7"/>
        <rFont val="Arial"/>
        <family val="2"/>
      </rPr>
      <t>Escavação e carga de material de 3ª categoria (H bancada &gt;1,0 m)</t>
    </r>
  </si>
  <si>
    <r>
      <rPr>
        <sz val="7"/>
        <rFont val="Arial"/>
        <family val="2"/>
      </rPr>
      <t>Espalhamento / regularização / compactação de material em bota-fora</t>
    </r>
  </si>
  <si>
    <r>
      <rPr>
        <sz val="7"/>
        <rFont val="Arial"/>
        <family val="2"/>
      </rPr>
      <t>Espalhamento de material de 1ª categoria com motoniveladora</t>
    </r>
  </si>
  <si>
    <r>
      <rPr>
        <sz val="7"/>
        <rFont val="Arial"/>
        <family val="2"/>
      </rPr>
      <t>Espalhamento de material de 1ª categoria com trator de esteiras</t>
    </r>
  </si>
  <si>
    <r>
      <rPr>
        <sz val="7"/>
        <rFont val="Arial"/>
        <family val="2"/>
      </rPr>
      <t xml:space="preserve">Forro de regularização sobre plataforma de enrocamento para tráfego de caminhões, inclusive
</t>
    </r>
    <r>
      <rPr>
        <sz val="7"/>
        <rFont val="Arial"/>
        <family val="2"/>
      </rPr>
      <t>fornecimento do pó de pedra e da pedra demão</t>
    </r>
  </si>
  <si>
    <r>
      <rPr>
        <sz val="7"/>
        <rFont val="Arial"/>
        <family val="2"/>
      </rPr>
      <t>Fragmentação de rocha (fogacheamento)</t>
    </r>
  </si>
  <si>
    <r>
      <rPr>
        <sz val="7"/>
        <rFont val="Arial"/>
        <family val="2"/>
      </rPr>
      <t>Limpeza de acostamento</t>
    </r>
  </si>
  <si>
    <r>
      <rPr>
        <sz val="7"/>
        <rFont val="Arial"/>
        <family val="2"/>
      </rPr>
      <t xml:space="preserve">Limpeza, desmatamento e destocamento de árvores com diâmetro até 15 cm, com trator de
</t>
    </r>
    <r>
      <rPr>
        <sz val="7"/>
        <rFont val="Arial"/>
        <family val="2"/>
      </rPr>
      <t>esteira</t>
    </r>
  </si>
  <si>
    <r>
      <rPr>
        <sz val="7"/>
        <rFont val="Arial"/>
        <family val="2"/>
      </rPr>
      <t>Limpeza, desmatamento e destocamento de jazida com remoçao 15 cm solo orgânico</t>
    </r>
  </si>
  <si>
    <r>
      <rPr>
        <sz val="7"/>
        <rFont val="Arial"/>
        <family val="2"/>
      </rPr>
      <t xml:space="preserve">Limpeza e desmatamento em área alagada (pântano) com ferramentas manuais, inclusive
</t>
    </r>
    <r>
      <rPr>
        <sz val="7"/>
        <rFont val="Arial"/>
        <family val="2"/>
      </rPr>
      <t>moto serra</t>
    </r>
  </si>
  <si>
    <r>
      <rPr>
        <sz val="7"/>
        <rFont val="Arial"/>
        <family val="2"/>
      </rPr>
      <t>Pré-fissuramento de taludes de rocha</t>
    </r>
  </si>
  <si>
    <r>
      <rPr>
        <sz val="7"/>
        <rFont val="Arial"/>
        <family val="2"/>
      </rPr>
      <t>Remoção de solos moles, incluindo carregamento mecânico com escavadeira hidráulica</t>
    </r>
  </si>
  <si>
    <r>
      <rPr>
        <sz val="7"/>
        <rFont val="Arial"/>
        <family val="2"/>
      </rPr>
      <t xml:space="preserve">Roçada manual com roçadeira costal, ferramentas manuais, inclusive limpeza e remoção com
</t>
    </r>
    <r>
      <rPr>
        <sz val="7"/>
        <rFont val="Arial"/>
        <family val="2"/>
      </rPr>
      <t>retroescavadeira</t>
    </r>
  </si>
  <si>
    <r>
      <rPr>
        <sz val="7"/>
        <rFont val="Arial"/>
        <family val="2"/>
      </rPr>
      <t>Roçada manual com roçadeira costal, ferramentas manuais, inclusive limpeza manual</t>
    </r>
  </si>
  <si>
    <r>
      <rPr>
        <sz val="7"/>
        <rFont val="Arial"/>
        <family val="2"/>
      </rPr>
      <t>Roçada mecânica</t>
    </r>
  </si>
  <si>
    <r>
      <rPr>
        <sz val="7"/>
        <rFont val="Arial"/>
        <family val="2"/>
      </rPr>
      <t>Transporte horizontal com trator de lâmina de material de 1ª cat. DMTaté 50m</t>
    </r>
  </si>
  <si>
    <r>
      <rPr>
        <sz val="7"/>
        <rFont val="Arial"/>
        <family val="2"/>
      </rPr>
      <t>Grupo de serviço: PAVIMENTAÇÃO</t>
    </r>
  </si>
  <si>
    <r>
      <rPr>
        <sz val="7"/>
        <rFont val="Arial"/>
        <family val="2"/>
      </rPr>
      <t xml:space="preserve">Base com mistura de argila, areia e escória de aciaria, 30%,30%,40%, inclusive fornecim.
</t>
    </r>
    <r>
      <rPr>
        <sz val="7"/>
        <rFont val="Arial"/>
        <family val="2"/>
      </rPr>
      <t>transp.areia e escória, exclusive fornecim. transp. da argila</t>
    </r>
  </si>
  <si>
    <r>
      <rPr>
        <sz val="7"/>
        <rFont val="Arial"/>
        <family val="2"/>
      </rPr>
      <t>A incluir</t>
    </r>
  </si>
  <si>
    <r>
      <rPr>
        <sz val="7"/>
        <rFont val="Arial"/>
        <family val="2"/>
      </rPr>
      <t xml:space="preserve">Base com mistura de argila, areia e escória de aciaria, 50%,20%,30%, inclusive fornecim.e
</t>
    </r>
    <r>
      <rPr>
        <sz val="7"/>
        <rFont val="Arial"/>
        <family val="2"/>
      </rPr>
      <t>transp. areia e escória, exclusive fornecim. e transp.argila</t>
    </r>
  </si>
  <si>
    <r>
      <rPr>
        <sz val="7"/>
        <rFont val="Arial"/>
        <family val="2"/>
      </rPr>
      <t xml:space="preserve">Base com mistura de argila 30%, pó de pedra 30% e brita 40%, inclusive fornecimento e
</t>
    </r>
    <r>
      <rPr>
        <sz val="7"/>
        <rFont val="Arial"/>
        <family val="2"/>
      </rPr>
      <t>transporte do pó de pedra e da brita</t>
    </r>
  </si>
  <si>
    <r>
      <rPr>
        <sz val="7"/>
        <rFont val="Arial"/>
        <family val="2"/>
      </rPr>
      <t xml:space="preserve">Base com mistura de argila 70% e escória de aciaria 30%, inclusive fornecim. e transporte da
</t>
    </r>
    <r>
      <rPr>
        <sz val="7"/>
        <rFont val="Arial"/>
        <family val="2"/>
      </rPr>
      <t>escória, exclusive fornecimento e transporte da argila</t>
    </r>
  </si>
  <si>
    <r>
      <rPr>
        <sz val="7"/>
        <rFont val="Arial"/>
        <family val="2"/>
      </rPr>
      <t>Base com mistura de Saibro, Argila e Brita, 45%, 15% e 40%, exclusive transporte</t>
    </r>
  </si>
  <si>
    <r>
      <rPr>
        <sz val="7"/>
        <rFont val="Arial"/>
        <family val="2"/>
      </rPr>
      <t>Base com mistura de solo 80% e areia 20%, inclusive transporte da areia</t>
    </r>
  </si>
  <si>
    <r>
      <rPr>
        <sz val="7"/>
        <rFont val="Arial"/>
        <family val="2"/>
      </rPr>
      <t>Base de brita graduada, inclusive fornecimento e transporte da brita</t>
    </r>
  </si>
  <si>
    <r>
      <rPr>
        <sz val="7"/>
        <rFont val="Arial"/>
        <family val="2"/>
      </rPr>
      <t>Base de brita graduada, inclusive fornecimento, exclusive transporte da brita</t>
    </r>
  </si>
  <si>
    <r>
      <rPr>
        <sz val="7"/>
        <rFont val="Arial"/>
        <family val="2"/>
      </rPr>
      <t>Base de brita 1, inclusive fornecimento, exclusive transporte da brita</t>
    </r>
  </si>
  <si>
    <r>
      <rPr>
        <sz val="7"/>
        <rFont val="Arial"/>
        <family val="2"/>
      </rPr>
      <t>Base de escória de aciaria, inclusive fornecimento e transporte da escória</t>
    </r>
  </si>
  <si>
    <r>
      <rPr>
        <sz val="7"/>
        <rFont val="Arial"/>
        <family val="2"/>
      </rPr>
      <t xml:space="preserve">Base de escória/argila na proporção 80:20, inclusive aquisição e transporte da escória,
</t>
    </r>
    <r>
      <rPr>
        <sz val="7"/>
        <rFont val="Arial"/>
        <family val="2"/>
      </rPr>
      <t>exclusive argila</t>
    </r>
  </si>
  <si>
    <r>
      <rPr>
        <sz val="7"/>
        <rFont val="Arial"/>
        <family val="2"/>
      </rPr>
      <t xml:space="preserve">Base de escória/solo na proporção 75:25, inclusive fornecimento da escória, exceto
</t>
    </r>
    <r>
      <rPr>
        <sz val="7"/>
        <rFont val="Arial"/>
        <family val="2"/>
      </rPr>
      <t>fornecimento do solo e transporte do solo e escória</t>
    </r>
  </si>
  <si>
    <r>
      <rPr>
        <sz val="7"/>
        <rFont val="Arial"/>
        <family val="2"/>
      </rPr>
      <t xml:space="preserve">Base de solo brita, 20% em peso, inclusive fornecim. da brita, exclusive transporte da brita e
</t>
    </r>
    <r>
      <rPr>
        <sz val="7"/>
        <rFont val="Arial"/>
        <family val="2"/>
      </rPr>
      <t>do solo (100% P.IM)</t>
    </r>
  </si>
  <si>
    <r>
      <rPr>
        <sz val="7"/>
        <rFont val="Arial"/>
        <family val="2"/>
      </rPr>
      <t>Base de solo brita, 40% em peso, inclusive fornecimento, exclusive transporte da brita</t>
    </r>
  </si>
  <si>
    <r>
      <rPr>
        <sz val="7"/>
        <rFont val="Arial"/>
        <family val="2"/>
      </rPr>
      <t>Base de solo brita, 50% em peso, inclusive fornecimento, exclusive transporte da brita</t>
    </r>
  </si>
  <si>
    <r>
      <rPr>
        <sz val="7"/>
        <rFont val="Arial"/>
        <family val="2"/>
      </rPr>
      <t>Base de solo brita, 70% em peso, inclusive fornecimento, exclusive transporte da brita</t>
    </r>
  </si>
  <si>
    <r>
      <rPr>
        <sz val="7"/>
        <rFont val="Arial"/>
        <family val="2"/>
      </rPr>
      <t>Base de solo brita, 80% em peso, inclusive fornecimento e transporte da brita</t>
    </r>
  </si>
  <si>
    <r>
      <rPr>
        <sz val="7"/>
        <rFont val="Arial"/>
        <family val="2"/>
      </rPr>
      <t xml:space="preserve">Base estabilizada granulométricamente. com mistura de escória de aciaria 80% e argila exceto
</t>
    </r>
    <r>
      <rPr>
        <sz val="7"/>
        <rFont val="Arial"/>
        <family val="2"/>
      </rPr>
      <t>fornecimento da argila e transporte da argila e escória</t>
    </r>
  </si>
  <si>
    <r>
      <rPr>
        <sz val="7"/>
        <rFont val="Arial"/>
        <family val="2"/>
      </rPr>
      <t>Base solo brita, 20% em peso, inclusive fornecimento e transporte da brita</t>
    </r>
  </si>
  <si>
    <r>
      <rPr>
        <sz val="7"/>
        <rFont val="Arial"/>
        <family val="2"/>
      </rPr>
      <t>Base solo brita, 30% em peso, inclusive fornecimento e  transporte da brita</t>
    </r>
  </si>
  <si>
    <r>
      <rPr>
        <sz val="7"/>
        <rFont val="Arial"/>
        <family val="2"/>
      </rPr>
      <t>Base solo brita, 50% em peso, inclusive fornecimento e transporte da brita</t>
    </r>
  </si>
  <si>
    <r>
      <rPr>
        <sz val="7"/>
        <rFont val="Arial"/>
        <family val="2"/>
      </rPr>
      <t>Base solo brita, 70% em peso, inclusive fornecimento e transporte da brita</t>
    </r>
  </si>
  <si>
    <r>
      <rPr>
        <sz val="7"/>
        <rFont val="Arial"/>
        <family val="2"/>
      </rPr>
      <t>Base solo brita, 80% em peso, inclusive fornecimento, exclusive transporte da brita</t>
    </r>
  </si>
  <si>
    <r>
      <rPr>
        <sz val="7"/>
        <rFont val="Arial"/>
        <family val="2"/>
      </rPr>
      <t xml:space="preserve">Capa selante (emulsão e areia) exclusive fornecimento e transporte comercial da emulsão,
</t>
    </r>
    <r>
      <rPr>
        <sz val="7"/>
        <rFont val="Arial"/>
        <family val="2"/>
      </rPr>
      <t>inclusive transporte da areia</t>
    </r>
  </si>
  <si>
    <r>
      <rPr>
        <sz val="7"/>
        <rFont val="Arial"/>
        <family val="2"/>
      </rPr>
      <t>Capa selante (emulsão e areia) inclusive fornecimento e transporte comercial da emulsão</t>
    </r>
  </si>
  <si>
    <r>
      <rPr>
        <sz val="7"/>
        <rFont val="Arial"/>
        <family val="2"/>
      </rPr>
      <t xml:space="preserve">CBUQ (camada pronta - binder) exclusive fornecimento e transportes do CAP e massa,
</t>
    </r>
    <r>
      <rPr>
        <sz val="7"/>
        <rFont val="Arial"/>
        <family val="2"/>
      </rPr>
      <t>inclusive fornecimento e transporte da brita e pó de pedra</t>
    </r>
  </si>
  <si>
    <r>
      <rPr>
        <sz val="7"/>
        <rFont val="Arial"/>
        <family val="2"/>
      </rPr>
      <t>t</t>
    </r>
  </si>
  <si>
    <r>
      <rPr>
        <sz val="7"/>
        <rFont val="Arial"/>
        <family val="2"/>
      </rPr>
      <t xml:space="preserve">CBUQ (camada pronta - binder) inclusive fornecimento e transporte comercial do CAP,
</t>
    </r>
    <r>
      <rPr>
        <sz val="7"/>
        <rFont val="Arial"/>
        <family val="2"/>
      </rPr>
      <t>exclusive transporte da massa</t>
    </r>
  </si>
  <si>
    <r>
      <rPr>
        <sz val="7"/>
        <rFont val="Arial"/>
        <family val="2"/>
      </rPr>
      <t>CBUQ (camada pronta - capa) exclusive fornecimento e transportes do CAP e massa</t>
    </r>
  </si>
  <si>
    <r>
      <rPr>
        <sz val="7"/>
        <rFont val="Arial"/>
        <family val="2"/>
      </rPr>
      <t xml:space="preserve">CBUQ (camada pronta - capa) inclusive fornecimento e transporte comercial do CAP,
</t>
    </r>
    <r>
      <rPr>
        <sz val="7"/>
        <rFont val="Arial"/>
        <family val="2"/>
      </rPr>
      <t>exclusive transporte da massa</t>
    </r>
  </si>
  <si>
    <r>
      <rPr>
        <sz val="7"/>
        <rFont val="Arial"/>
        <family val="2"/>
      </rPr>
      <t xml:space="preserve">CBUQ (camada pronta Faixa "B" para revestimento) exclusive fornecimento do CAP e transp.
</t>
    </r>
    <r>
      <rPr>
        <sz val="7"/>
        <rFont val="Arial"/>
        <family val="2"/>
      </rPr>
      <t>de todos os materiais</t>
    </r>
  </si>
  <si>
    <r>
      <rPr>
        <sz val="7"/>
        <rFont val="Arial"/>
        <family val="2"/>
      </rPr>
      <t xml:space="preserve">CBUQ (camada pronta-faixa "C") , exclusive fornecimento do CAP e transporte de todos os
</t>
    </r>
    <r>
      <rPr>
        <sz val="7"/>
        <rFont val="Arial"/>
        <family val="2"/>
      </rPr>
      <t>materiais (traço padrão areia e brita)</t>
    </r>
  </si>
  <si>
    <r>
      <rPr>
        <sz val="7"/>
        <rFont val="Arial"/>
        <family val="2"/>
      </rPr>
      <t xml:space="preserve">CBUQ (camada pronta-faixa"C") exclusive fornecimento do CAP e transporte de todos os
</t>
    </r>
    <r>
      <rPr>
        <sz val="7"/>
        <rFont val="Arial"/>
        <family val="2"/>
      </rPr>
      <t>materiais</t>
    </r>
  </si>
  <si>
    <r>
      <rPr>
        <sz val="7"/>
        <rFont val="Arial"/>
        <family val="2"/>
      </rPr>
      <t>CBUQ (massa asfáltica) exclusive fornecimento e transporte comercial do CAP, (Usinagem)</t>
    </r>
  </si>
  <si>
    <r>
      <rPr>
        <sz val="7"/>
        <rFont val="Arial"/>
        <family val="2"/>
      </rPr>
      <t>CBUQ (massa asfáltica) inclusive fornecimento e transporte comercial do CAP (Usinagem)</t>
    </r>
  </si>
  <si>
    <r>
      <rPr>
        <sz val="7"/>
        <rFont val="Arial"/>
        <family val="2"/>
      </rPr>
      <t xml:space="preserve">CBUQ (massa asfáltica-faixa"C") exclusive fornecimento CAP e transporte de todos os
</t>
    </r>
    <r>
      <rPr>
        <sz val="7"/>
        <rFont val="Arial"/>
        <family val="2"/>
      </rPr>
      <t>materiais</t>
    </r>
  </si>
  <si>
    <r>
      <rPr>
        <sz val="7"/>
        <rFont val="Arial"/>
        <family val="2"/>
      </rPr>
      <t>CBUQ (massa fina - faixa"D") exclusive fornecimento do CAP e transp.de todos os materiais</t>
    </r>
  </si>
  <si>
    <r>
      <rPr>
        <sz val="7"/>
        <rFont val="Arial"/>
        <family val="2"/>
      </rPr>
      <t xml:space="preserve">CBUQ (massa fina-faixa"D"), exclusive fornecimento do CAP e transporte de todos os
</t>
    </r>
    <r>
      <rPr>
        <sz val="7"/>
        <rFont val="Arial"/>
        <family val="2"/>
      </rPr>
      <t>materiais (traço padrão areia e brita)</t>
    </r>
  </si>
  <si>
    <r>
      <rPr>
        <sz val="7"/>
        <rFont val="Arial"/>
        <family val="2"/>
      </rPr>
      <t>Demolição e remoção de pavimento asfáltico</t>
    </r>
  </si>
  <si>
    <r>
      <rPr>
        <sz val="7"/>
        <rFont val="Arial"/>
        <family val="2"/>
      </rPr>
      <t>Emulsão Asfáltica para Imprimação (EAI), fornecimento</t>
    </r>
  </si>
  <si>
    <r>
      <rPr>
        <sz val="7"/>
        <rFont val="Arial"/>
        <family val="2"/>
      </rPr>
      <t>Escarificação de base H = 0,10m e capa asfáltica</t>
    </r>
  </si>
  <si>
    <r>
      <rPr>
        <sz val="7"/>
        <rFont val="Arial"/>
        <family val="2"/>
      </rPr>
      <t>Escarificação e compactação de base (100% P.I.) H=0,20m</t>
    </r>
  </si>
  <si>
    <r>
      <rPr>
        <sz val="7"/>
        <rFont val="Arial"/>
        <family val="2"/>
      </rPr>
      <t>Estabilização granulométrica de solo s/ mistura 100% P.I.</t>
    </r>
  </si>
  <si>
    <r>
      <rPr>
        <sz val="7"/>
        <rFont val="Arial"/>
        <family val="2"/>
      </rPr>
      <t>Estabilização granulométrica de solo s/ mistura 100% P.M.</t>
    </r>
  </si>
  <si>
    <r>
      <rPr>
        <sz val="7"/>
        <rFont val="Arial"/>
        <family val="2"/>
      </rPr>
      <t xml:space="preserve">Estabilização granulométrica de solos c/ mistura de areia na pista 100%  P.M. (80%, 20%)
</t>
    </r>
    <r>
      <rPr>
        <sz val="7"/>
        <rFont val="Arial"/>
        <family val="2"/>
      </rPr>
      <t>exclusive transporte</t>
    </r>
  </si>
  <si>
    <r>
      <rPr>
        <sz val="7"/>
        <rFont val="Arial"/>
        <family val="2"/>
      </rPr>
      <t>Estabilização granulométrica de solos c/ mistura na pista 100 % P.I.</t>
    </r>
  </si>
  <si>
    <r>
      <rPr>
        <sz val="7"/>
        <rFont val="Arial"/>
        <family val="2"/>
      </rPr>
      <t>Estabilização granulométrica de solos c/ mistura na pista 100%  P.M.</t>
    </r>
  </si>
  <si>
    <r>
      <rPr>
        <sz val="7"/>
        <rFont val="Arial"/>
        <family val="2"/>
      </rPr>
      <t>Fresagem de pavimento asfáltico a frio, esp. até 15cm, exclusive transporte de materiais</t>
    </r>
  </si>
  <si>
    <r>
      <rPr>
        <sz val="7"/>
        <rFont val="Arial"/>
        <family val="2"/>
      </rPr>
      <t>Fresagem de pavimento asfáltico a frio, esp=5cm, exclusive transporte de materiais</t>
    </r>
  </si>
  <si>
    <r>
      <rPr>
        <sz val="7"/>
        <rFont val="Arial"/>
        <family val="2"/>
      </rPr>
      <t>Fresagem de pavimento asfáltico a frio, esp.=5cm inclusive transporte do material</t>
    </r>
  </si>
  <si>
    <r>
      <rPr>
        <sz val="7"/>
        <rFont val="Arial"/>
        <family val="2"/>
      </rPr>
      <t>Imprimação exclusive fornecimento e transporte comercial do material betuminoso</t>
    </r>
  </si>
  <si>
    <r>
      <rPr>
        <sz val="7"/>
        <rFont val="Arial"/>
        <family val="2"/>
      </rPr>
      <t>Imprimação inclusive fornecimento e transporte comercial do material betuminoso</t>
    </r>
  </si>
  <si>
    <r>
      <rPr>
        <sz val="7"/>
        <rFont val="Arial"/>
        <family val="2"/>
      </rPr>
      <t>Lama asfáltica (faixa I - ISSA) exclusive fornecimento e transporte comercial da emulsão</t>
    </r>
  </si>
  <si>
    <r>
      <rPr>
        <sz val="7"/>
        <rFont val="Arial"/>
        <family val="2"/>
      </rPr>
      <t>Lama asfáltica (faixa I - ISSA) inclusive fornecimento e transporte comercial da emulsão</t>
    </r>
  </si>
  <si>
    <r>
      <rPr>
        <sz val="7"/>
        <rFont val="Arial"/>
        <family val="2"/>
      </rPr>
      <t>Lama asfáltica (faixa II - ISSA) exclusive fornecimento e transporte comercial da emulsão</t>
    </r>
  </si>
  <si>
    <r>
      <rPr>
        <sz val="7"/>
        <rFont val="Arial"/>
        <family val="2"/>
      </rPr>
      <t>Lama asfáltica (faixa II - ISSA) inclusive fornecimento e transporte comercial da emulsão</t>
    </r>
  </si>
  <si>
    <r>
      <rPr>
        <sz val="7"/>
        <rFont val="Arial"/>
        <family val="2"/>
      </rPr>
      <t>Lama asfáltica (faixa III - ISSA) exclusive fornecimento e transporte comercial da emulsão</t>
    </r>
  </si>
  <si>
    <r>
      <rPr>
        <sz val="7"/>
        <rFont val="Arial"/>
        <family val="2"/>
      </rPr>
      <t>Lama asfáltica (faixa III - ISSA) inclusive fornecimento e transporte comercial da emulsão</t>
    </r>
  </si>
  <si>
    <r>
      <rPr>
        <sz val="7"/>
        <rFont val="Arial"/>
        <family val="2"/>
      </rPr>
      <t>Lama asfáltica (faixa IV - ISSA) exclusive fornecimento e transporte comercial da emulsão</t>
    </r>
  </si>
  <si>
    <r>
      <rPr>
        <sz val="7"/>
        <rFont val="Arial"/>
        <family val="2"/>
      </rPr>
      <t>Lama asfáltica (faixa IV - ISSA) inclusive fornecimento e transporte comercial da emulsão</t>
    </r>
  </si>
  <si>
    <r>
      <rPr>
        <sz val="7"/>
        <rFont val="Arial"/>
        <family val="2"/>
      </rPr>
      <t>Meio fio (assentamento), inclusive caiação</t>
    </r>
  </si>
  <si>
    <r>
      <rPr>
        <sz val="7"/>
        <rFont val="Arial"/>
        <family val="2"/>
      </rPr>
      <t>M</t>
    </r>
  </si>
  <si>
    <r>
      <rPr>
        <sz val="7"/>
        <rFont val="Arial"/>
        <family val="2"/>
      </rPr>
      <t>Meio fio (remoção e reassentamento),  inclusive caiação</t>
    </r>
  </si>
  <si>
    <r>
      <rPr>
        <sz val="7"/>
        <rFont val="Arial"/>
        <family val="2"/>
      </rPr>
      <t xml:space="preserve">Micro revestimento asfáltico à frio exclusive fornecimento e transporte comercial do material
</t>
    </r>
    <r>
      <rPr>
        <sz val="7"/>
        <rFont val="Arial"/>
        <family val="2"/>
      </rPr>
      <t>betuminoso</t>
    </r>
  </si>
  <si>
    <r>
      <rPr>
        <sz val="7"/>
        <rFont val="Arial"/>
        <family val="2"/>
      </rPr>
      <t xml:space="preserve">Micro revestimento asfáltico à frio exclusive fornecimento emulsão e transp. de todos os
</t>
    </r>
    <r>
      <rPr>
        <sz val="7"/>
        <rFont val="Arial"/>
        <family val="2"/>
      </rPr>
      <t>materiais</t>
    </r>
  </si>
  <si>
    <r>
      <rPr>
        <sz val="7"/>
        <rFont val="Arial"/>
        <family val="2"/>
      </rPr>
      <t xml:space="preserve">Micro revestimento asfáltico à frio inclusive fornecimento e transporte comercial do material
</t>
    </r>
    <r>
      <rPr>
        <sz val="7"/>
        <rFont val="Arial"/>
        <family val="2"/>
      </rPr>
      <t>betuminoso</t>
    </r>
  </si>
  <si>
    <r>
      <rPr>
        <sz val="7"/>
        <rFont val="Arial"/>
        <family val="2"/>
      </rPr>
      <t xml:space="preserve">Obturação de buracos c/ CBUQ exclusive fornecimento e transporte comercial dos materiais
</t>
    </r>
    <r>
      <rPr>
        <sz val="7"/>
        <rFont val="Arial"/>
        <family val="2"/>
      </rPr>
      <t>betuminosos</t>
    </r>
  </si>
  <si>
    <r>
      <rPr>
        <sz val="7"/>
        <rFont val="Arial"/>
        <family val="2"/>
      </rPr>
      <t xml:space="preserve">Obturação de buracos c/ CBUQ exclusive fornecimento e transporte dos materiais
</t>
    </r>
    <r>
      <rPr>
        <sz val="7"/>
        <rFont val="Arial"/>
        <family val="2"/>
      </rPr>
      <t>betuminosos</t>
    </r>
  </si>
  <si>
    <r>
      <rPr>
        <sz val="7"/>
        <rFont val="Arial"/>
        <family val="2"/>
      </rPr>
      <t xml:space="preserve">Obturação de buracos c/ CBUQ inclusive fornecimento e transporte comercial dos materiais
</t>
    </r>
    <r>
      <rPr>
        <sz val="7"/>
        <rFont val="Arial"/>
        <family val="2"/>
      </rPr>
      <t>betuminosos</t>
    </r>
  </si>
  <si>
    <r>
      <rPr>
        <sz val="7"/>
        <rFont val="Arial"/>
        <family val="2"/>
      </rPr>
      <t>Obturação de buracos c/ CBUQ inclusive fornecimento e transporte dos materiais betuminosos</t>
    </r>
  </si>
  <si>
    <r>
      <rPr>
        <sz val="7"/>
        <rFont val="Arial"/>
        <family val="2"/>
      </rPr>
      <t xml:space="preserve">Obturação de buracos c/ CBUQ-faixa "C", exclusive forn.do CAP e transporte de todos os
</t>
    </r>
    <r>
      <rPr>
        <sz val="7"/>
        <rFont val="Arial"/>
        <family val="2"/>
      </rPr>
      <t>materiais</t>
    </r>
  </si>
  <si>
    <r>
      <rPr>
        <sz val="7"/>
        <rFont val="Arial"/>
        <family val="2"/>
      </rPr>
      <t>Obturação de buracos c/ PMF exclusive fornecimento e transporte comercial da emulsão</t>
    </r>
  </si>
  <si>
    <r>
      <rPr>
        <sz val="7"/>
        <rFont val="Arial"/>
        <family val="2"/>
      </rPr>
      <t>Obturação de buracos c/ PMF exclusive fornecimento e transporte dos materiais betuminosos</t>
    </r>
  </si>
  <si>
    <r>
      <rPr>
        <sz val="7"/>
        <rFont val="Arial"/>
        <family val="2"/>
      </rPr>
      <t>Obturação de buracos c/ PMF inclusive fornecimento e transporte comercial da emulsão</t>
    </r>
  </si>
  <si>
    <r>
      <rPr>
        <sz val="7"/>
        <rFont val="Arial"/>
        <family val="2"/>
      </rPr>
      <t>Obturação de buracos c/ PMF inclusive fornecimento e transporte dos materiais betuminosos</t>
    </r>
  </si>
  <si>
    <r>
      <rPr>
        <sz val="7"/>
        <rFont val="Arial"/>
        <family val="2"/>
      </rPr>
      <t xml:space="preserve">Pavimentação com blocos de concreto  (35 MPa), esp.= 06 cm, sobre colchão areia esp.= 5
</t>
    </r>
    <r>
      <rPr>
        <sz val="7"/>
        <rFont val="Arial"/>
        <family val="2"/>
      </rPr>
      <t>cm, inclusive fornecimento e transporte dos blocos e areia</t>
    </r>
  </si>
  <si>
    <r>
      <rPr>
        <sz val="7"/>
        <rFont val="Arial"/>
        <family val="2"/>
      </rPr>
      <t xml:space="preserve">Pavimentação com blocos de concreto (35 MPa), esp. = 10 cm, sobre colchão areia esp.= 5cm
</t>
    </r>
    <r>
      <rPr>
        <sz val="7"/>
        <rFont val="Arial"/>
        <family val="2"/>
      </rPr>
      <t>, inclusive fornecimento e transporte dos blocos e areia</t>
    </r>
  </si>
  <si>
    <r>
      <rPr>
        <sz val="7"/>
        <rFont val="Arial"/>
        <family val="2"/>
      </rPr>
      <t xml:space="preserve">Pavimentação com blocos de concreto (35 MPa), esp.= 06cm, sobre colchão areia esp.=5cm,
</t>
    </r>
    <r>
      <rPr>
        <sz val="7"/>
        <rFont val="Arial"/>
        <family val="2"/>
      </rPr>
      <t>inclusive fornecim. do bloco e areia, exclus. transp.materiais</t>
    </r>
  </si>
  <si>
    <r>
      <rPr>
        <sz val="7"/>
        <rFont val="Arial"/>
        <family val="2"/>
      </rPr>
      <t xml:space="preserve">Pavimentação com blocos de concreto (35 MPa), esp.= 08 cm, colchão areia esp.= 5cm,
</t>
    </r>
    <r>
      <rPr>
        <sz val="7"/>
        <rFont val="Arial"/>
        <family val="2"/>
      </rPr>
      <t>inclusive fornecimento e transporte dos blocos e areia</t>
    </r>
  </si>
  <si>
    <r>
      <rPr>
        <sz val="7"/>
        <rFont val="Arial"/>
        <family val="2"/>
      </rPr>
      <t xml:space="preserve">Pavimentação com blocos de concreto (35 MPa) esp.=08 cm,colchão areia esp.=5cm,
</t>
    </r>
    <r>
      <rPr>
        <sz val="7"/>
        <rFont val="Arial"/>
        <family val="2"/>
      </rPr>
      <t>inclusive fornecim. do bloco e areia, exclusive transp. blocos e areia</t>
    </r>
  </si>
  <si>
    <r>
      <rPr>
        <sz val="7"/>
        <rFont val="Arial"/>
        <family val="2"/>
      </rPr>
      <t xml:space="preserve">Pavimentação com blocos de concreto (35MPa), esp.=10 cm, sobre colchão de areia esp.=
</t>
    </r>
    <r>
      <rPr>
        <sz val="7"/>
        <rFont val="Arial"/>
        <family val="2"/>
      </rPr>
      <t>5cm, inclusive fornecim. do bloco e areia , exclusive transportes</t>
    </r>
  </si>
  <si>
    <r>
      <rPr>
        <sz val="7"/>
        <rFont val="Arial"/>
        <family val="2"/>
      </rPr>
      <t xml:space="preserve">Pavimentação com paralelepípedo, sobre colchão areia esp.= 5cm, inclus. fornecimento e
</t>
    </r>
    <r>
      <rPr>
        <sz val="7"/>
        <rFont val="Arial"/>
        <family val="2"/>
      </rPr>
      <t>transport. da areia, exclus. fornecim. e transp. paralelepípedo</t>
    </r>
  </si>
  <si>
    <r>
      <rPr>
        <sz val="7"/>
        <rFont val="Arial"/>
        <family val="2"/>
      </rPr>
      <t xml:space="preserve">Pavimentação com paralelepípedo, sobre colchão areia esp.= 5cm, inclusive fornecimento e
</t>
    </r>
    <r>
      <rPr>
        <sz val="7"/>
        <rFont val="Arial"/>
        <family val="2"/>
      </rPr>
      <t>transporte do paralelepípedo e areia</t>
    </r>
  </si>
  <si>
    <r>
      <rPr>
        <sz val="7"/>
        <rFont val="Arial"/>
        <family val="2"/>
      </rPr>
      <t xml:space="preserve">Pavimentação com paralelepípedo, sobre colchão pó de pedra esp.= 5cm, inclusive
</t>
    </r>
    <r>
      <rPr>
        <sz val="7"/>
        <rFont val="Arial"/>
        <family val="2"/>
      </rPr>
      <t>fornecimento e transporte do paralelepípedo e pó de pedra</t>
    </r>
  </si>
  <si>
    <r>
      <rPr>
        <sz val="7"/>
        <rFont val="Arial"/>
        <family val="2"/>
      </rPr>
      <t xml:space="preserve">Pavimentação com pedra portuguesa, inclusive fornecimento e transporte da pedra
</t>
    </r>
    <r>
      <rPr>
        <sz val="7"/>
        <rFont val="Arial"/>
        <family val="2"/>
      </rPr>
      <t>portuguesa, cimento e areia</t>
    </r>
  </si>
  <si>
    <r>
      <rPr>
        <sz val="7"/>
        <rFont val="Arial"/>
        <family val="2"/>
      </rPr>
      <t>Pintura de ligação exclusive fornecimento e transporte comercial do material betuminoso</t>
    </r>
  </si>
  <si>
    <r>
      <rPr>
        <sz val="7"/>
        <rFont val="Arial"/>
        <family val="2"/>
      </rPr>
      <t>Pintura de ligação inclusive fornecimento e transporte comercial do material betuminoso</t>
    </r>
  </si>
  <si>
    <r>
      <rPr>
        <sz val="7"/>
        <rFont val="Arial"/>
        <family val="2"/>
      </rPr>
      <t>PMF camada pronta exclusive fornecimento  e transporte comercial da emulsão</t>
    </r>
  </si>
  <si>
    <r>
      <rPr>
        <sz val="7"/>
        <rFont val="Arial"/>
        <family val="2"/>
      </rPr>
      <t>PMF (massa asfáltica) exclusive fornecimento e transporte comercial da emulsão</t>
    </r>
  </si>
  <si>
    <r>
      <rPr>
        <sz val="7"/>
        <rFont val="Arial"/>
        <family val="2"/>
      </rPr>
      <t>PMF (massa asfáltica) inclusive fornecimento e transporte comercial da emulsão</t>
    </r>
  </si>
  <si>
    <r>
      <rPr>
        <sz val="7"/>
        <rFont val="Arial"/>
        <family val="2"/>
      </rPr>
      <t>Pó de pedra, fornecimento</t>
    </r>
  </si>
  <si>
    <r>
      <rPr>
        <sz val="7"/>
        <rFont val="Arial"/>
        <family val="2"/>
      </rPr>
      <t>Pó de pedra inclusive fornecimento, espalhamento e transporte</t>
    </r>
  </si>
  <si>
    <r>
      <rPr>
        <sz val="7"/>
        <rFont val="Arial"/>
        <family val="2"/>
      </rPr>
      <t>Produção de brita no canteiro, exclusive o desmonte e fragmentação de rocha</t>
    </r>
  </si>
  <si>
    <r>
      <rPr>
        <sz val="7"/>
        <rFont val="Arial"/>
        <family val="2"/>
      </rPr>
      <t>Produção de brita no canteiro, inclusive o desmonte  e fragmentação de rocha</t>
    </r>
  </si>
  <si>
    <r>
      <rPr>
        <sz val="7"/>
        <rFont val="Arial"/>
        <family val="2"/>
      </rPr>
      <t xml:space="preserve">Reciclagem de pavimento (base) c/ adição de 20% de brita1, 10% de brita 0 e 2% de cimento,
</t>
    </r>
    <r>
      <rPr>
        <sz val="7"/>
        <rFont val="Arial"/>
        <family val="2"/>
      </rPr>
      <t>inclusive fornecimento e transportes dos materiais</t>
    </r>
  </si>
  <si>
    <r>
      <rPr>
        <sz val="7"/>
        <rFont val="Arial"/>
        <family val="2"/>
      </rPr>
      <t xml:space="preserve">Reciclagem de pavimento (base) c/ adição de 20% de brita1, 10% de brita0 e 2% de cimento,
</t>
    </r>
    <r>
      <rPr>
        <sz val="7"/>
        <rFont val="Arial"/>
        <family val="2"/>
      </rPr>
      <t>inclusive fornecimento e transportes  dos materiais</t>
    </r>
  </si>
  <si>
    <r>
      <rPr>
        <sz val="7"/>
        <rFont val="Arial"/>
        <family val="2"/>
      </rPr>
      <t>Reciclagem de pavimento (Base existente + CBUQ) sem adição de materiais</t>
    </r>
  </si>
  <si>
    <r>
      <rPr>
        <sz val="7"/>
        <rFont val="Arial"/>
        <family val="2"/>
      </rPr>
      <t xml:space="preserve">Reciclagem de pavimento (Base existente + T.S.D.) c/ adição de 30% de brita, inclusive
</t>
    </r>
    <r>
      <rPr>
        <sz val="7"/>
        <rFont val="Arial"/>
        <family val="2"/>
      </rPr>
      <t>fornecimento e transporte da brita</t>
    </r>
  </si>
  <si>
    <r>
      <rPr>
        <sz val="7"/>
        <rFont val="Arial"/>
        <family val="2"/>
      </rPr>
      <t xml:space="preserve">Reciclagem de pavimento (Base existente + T.S.D.) c/ adição de 30% de brita, inclusive
</t>
    </r>
    <r>
      <rPr>
        <sz val="7"/>
        <rFont val="Arial"/>
        <family val="2"/>
      </rPr>
      <t>fornecimento, exclusive transporte da brita</t>
    </r>
  </si>
  <si>
    <r>
      <rPr>
        <sz val="7"/>
        <rFont val="Arial"/>
        <family val="2"/>
      </rPr>
      <t xml:space="preserve">Reciclagem de pavimento (Base existente + T.S.D.) com adição de 20% de brita, inclusive
</t>
    </r>
    <r>
      <rPr>
        <sz val="7"/>
        <rFont val="Arial"/>
        <family val="2"/>
      </rPr>
      <t>fornecimento e transporte da brita.</t>
    </r>
  </si>
  <si>
    <r>
      <rPr>
        <sz val="7"/>
        <rFont val="Arial"/>
        <family val="2"/>
      </rPr>
      <t xml:space="preserve">Reciclagem de pavimento (Base existente + T.S.D.) com adição de 3% de cimento, inclusive
</t>
    </r>
    <r>
      <rPr>
        <sz val="7"/>
        <rFont val="Arial"/>
        <family val="2"/>
      </rPr>
      <t>fornecimento e tarnsporte do cimento</t>
    </r>
  </si>
  <si>
    <r>
      <rPr>
        <sz val="7"/>
        <rFont val="Arial"/>
        <family val="2"/>
      </rPr>
      <t xml:space="preserve">Reciclagem de pavimento (Base existente + T.S.D.) com adição de 40% de brita, inclusive
</t>
    </r>
    <r>
      <rPr>
        <sz val="7"/>
        <rFont val="Arial"/>
        <family val="2"/>
      </rPr>
      <t>fornecimento e transporte da brita.</t>
    </r>
  </si>
  <si>
    <r>
      <rPr>
        <sz val="7"/>
        <rFont val="Arial"/>
        <family val="2"/>
      </rPr>
      <t>Reciclagem de pavimento (Base existente + T.S.D.) sem adição de materiais</t>
    </r>
  </si>
  <si>
    <r>
      <rPr>
        <sz val="7"/>
        <rFont val="Arial"/>
        <family val="2"/>
      </rPr>
      <t xml:space="preserve">Reciclagem de pavimento (Base existente+TSD) com adição de Ligante Betuminoso, inclusive
</t>
    </r>
    <r>
      <rPr>
        <sz val="7"/>
        <rFont val="Arial"/>
        <family val="2"/>
      </rPr>
      <t>fornecimento e transporte da emulsão</t>
    </r>
  </si>
  <si>
    <r>
      <rPr>
        <sz val="7"/>
        <rFont val="Arial"/>
        <family val="2"/>
      </rPr>
      <t xml:space="preserve">Reciclagem de pavimento com adição de 2% de cimento, inclusive fornecimento e transporte
</t>
    </r>
    <r>
      <rPr>
        <sz val="7"/>
        <rFont val="Arial"/>
        <family val="2"/>
      </rPr>
      <t>do cimento</t>
    </r>
  </si>
  <si>
    <r>
      <rPr>
        <sz val="7"/>
        <rFont val="Arial"/>
        <family val="2"/>
      </rPr>
      <t xml:space="preserve">Reciclagem de pavimento(Base existente + T.S.D.) com adição de 40% de brita, inclusive
</t>
    </r>
    <r>
      <rPr>
        <sz val="7"/>
        <rFont val="Arial"/>
        <family val="2"/>
      </rPr>
      <t>fornecimento, exclusive transporte da brita</t>
    </r>
  </si>
  <si>
    <r>
      <rPr>
        <sz val="7"/>
        <rFont val="Arial"/>
        <family val="2"/>
      </rPr>
      <t>Recuperação de base de acostamento exclusive transporte do material (solo)</t>
    </r>
  </si>
  <si>
    <r>
      <rPr>
        <sz val="7"/>
        <rFont val="Arial"/>
        <family val="2"/>
      </rPr>
      <t>Recuperação de base de acostamentos, inclusive fornecimento e transporte da brita</t>
    </r>
  </si>
  <si>
    <r>
      <rPr>
        <sz val="7"/>
        <rFont val="Arial"/>
        <family val="2"/>
      </rPr>
      <t xml:space="preserve">Reestabilização da base com adição de 50% de brita, inclusive fonecimento, exclusive
</t>
    </r>
    <r>
      <rPr>
        <sz val="7"/>
        <rFont val="Arial"/>
        <family val="2"/>
      </rPr>
      <t>transporte da brita</t>
    </r>
  </si>
  <si>
    <r>
      <rPr>
        <sz val="7"/>
        <rFont val="Arial"/>
        <family val="2"/>
      </rPr>
      <t xml:space="preserve">Reestabilização de base com adição de 50% de brita, inclusive fornecimento e transporte da
</t>
    </r>
    <r>
      <rPr>
        <sz val="7"/>
        <rFont val="Arial"/>
        <family val="2"/>
      </rPr>
      <t>brita</t>
    </r>
  </si>
  <si>
    <r>
      <rPr>
        <sz val="7"/>
        <rFont val="Arial"/>
        <family val="2"/>
      </rPr>
      <t>Reforço do sub leito 100% P.I.</t>
    </r>
  </si>
  <si>
    <r>
      <rPr>
        <sz val="7"/>
        <rFont val="Arial"/>
        <family val="2"/>
      </rPr>
      <t>Regularização e compactação do sub-leito (100% P.I.) H = 0,20 m</t>
    </r>
  </si>
  <si>
    <r>
      <rPr>
        <sz val="7"/>
        <rFont val="Arial"/>
        <family val="2"/>
      </rPr>
      <t>Remoção de capa asfáltica em TSS, TSD, ou TST exclusive transporte</t>
    </r>
  </si>
  <si>
    <r>
      <rPr>
        <sz val="7"/>
        <rFont val="Arial"/>
        <family val="2"/>
      </rPr>
      <t>Remoção de meio fio</t>
    </r>
  </si>
  <si>
    <r>
      <rPr>
        <sz val="7"/>
        <rFont val="Arial"/>
        <family val="2"/>
      </rPr>
      <t>Remoção de pavimentação poliédrica</t>
    </r>
  </si>
  <si>
    <r>
      <rPr>
        <sz val="7"/>
        <rFont val="Arial"/>
        <family val="2"/>
      </rPr>
      <t>Remoção e reassentamento de blocos de concreto, inclusive perdas</t>
    </r>
  </si>
  <si>
    <r>
      <rPr>
        <sz val="7"/>
        <rFont val="Arial"/>
        <family val="2"/>
      </rPr>
      <t xml:space="preserve">Remoção e reassentamento de paralelepípedos, inclusive perdas, colchão de areia e
</t>
    </r>
    <r>
      <rPr>
        <sz val="7"/>
        <rFont val="Arial"/>
        <family val="2"/>
      </rPr>
      <t>transportes de areia e paralelepípedo</t>
    </r>
  </si>
  <si>
    <r>
      <rPr>
        <sz val="7"/>
        <rFont val="Arial"/>
        <family val="2"/>
      </rPr>
      <t>Revestimento em estradas vicinais (saibro)</t>
    </r>
  </si>
  <si>
    <r>
      <rPr>
        <sz val="7"/>
        <rFont val="Arial"/>
        <family val="2"/>
      </rPr>
      <t>Revestimento primário, espalhamento e compactação (espessura até 0,15m)</t>
    </r>
  </si>
  <si>
    <r>
      <rPr>
        <sz val="7"/>
        <rFont val="Arial"/>
        <family val="2"/>
      </rPr>
      <t xml:space="preserve">Sub-base c/ mistura de argila 30%, pó de pedra 30% e brita 40%, inclusive fornecimento e
</t>
    </r>
    <r>
      <rPr>
        <sz val="7"/>
        <rFont val="Arial"/>
        <family val="2"/>
      </rPr>
      <t>transporte do pó de pedra e da brita</t>
    </r>
  </si>
  <si>
    <r>
      <rPr>
        <sz val="7"/>
        <rFont val="Arial"/>
        <family val="2"/>
      </rPr>
      <t>Sub-base c/ mistura de solo 80% e areia 20%, inclusive transporte da areia</t>
    </r>
  </si>
  <si>
    <r>
      <rPr>
        <sz val="7"/>
        <rFont val="Arial"/>
        <family val="2"/>
      </rPr>
      <t xml:space="preserve">Sub-base com mistura de argila 70% e escória de aciaria 30%, inclusive fornecim. e transporte
</t>
    </r>
    <r>
      <rPr>
        <sz val="7"/>
        <rFont val="Arial"/>
        <family val="2"/>
      </rPr>
      <t>da escória, exceto fornecimento e transporte da argila</t>
    </r>
  </si>
  <si>
    <r>
      <rPr>
        <sz val="7"/>
        <rFont val="Arial"/>
        <family val="2"/>
      </rPr>
      <t xml:space="preserve">Sub-base com solo/escória na proporção 70:30, inclusive fornecimento da escória, exceto
</t>
    </r>
    <r>
      <rPr>
        <sz val="7"/>
        <rFont val="Arial"/>
        <family val="2"/>
      </rPr>
      <t>fornecimento do solo e transporte do solo e escória</t>
    </r>
  </si>
  <si>
    <r>
      <rPr>
        <sz val="7"/>
        <rFont val="Arial"/>
        <family val="2"/>
      </rPr>
      <t>Sub-base de brita graduada, inclusive fornecimento e transporte da brita</t>
    </r>
  </si>
  <si>
    <r>
      <rPr>
        <sz val="7"/>
        <rFont val="Arial"/>
        <family val="2"/>
      </rPr>
      <t>Sub-base de brita graduada, inclusive fornecimento, exclusive transporte da brita</t>
    </r>
  </si>
  <si>
    <r>
      <rPr>
        <sz val="7"/>
        <rFont val="Arial"/>
        <family val="2"/>
      </rPr>
      <t>Sub-base de brita 1, inclusive fornecimento, exclusive transporte da brita</t>
    </r>
  </si>
  <si>
    <r>
      <rPr>
        <sz val="7"/>
        <rFont val="Arial"/>
        <family val="2"/>
      </rPr>
      <t>Sub-base de escória de aciaria, inclusive fornecimento e transporte da escória</t>
    </r>
  </si>
  <si>
    <r>
      <rPr>
        <sz val="7"/>
        <rFont val="Arial"/>
        <family val="2"/>
      </rPr>
      <t>Sub-base de solo brita, 50% em peso, inclusive fornecimento, exclusive transporte da brita</t>
    </r>
  </si>
  <si>
    <r>
      <rPr>
        <sz val="7"/>
        <rFont val="Arial"/>
        <family val="2"/>
      </rPr>
      <t>Sub-base solo brita, 20% em peso, inclusive fornecimento e transporte da brita.</t>
    </r>
  </si>
  <si>
    <r>
      <rPr>
        <sz val="7"/>
        <rFont val="Arial"/>
        <family val="2"/>
      </rPr>
      <t>Sub-base solo brita, 30% em peso, inclusive fornecimento e transporte da brita</t>
    </r>
  </si>
  <si>
    <r>
      <rPr>
        <sz val="7"/>
        <rFont val="Arial"/>
        <family val="2"/>
      </rPr>
      <t>Sub-base solo brita, 50% em peso, inclusive fornecimento e transporte da brita</t>
    </r>
  </si>
  <si>
    <r>
      <rPr>
        <sz val="7"/>
        <rFont val="Arial"/>
        <family val="2"/>
      </rPr>
      <t>Sub-base solo brita, 70% em peso, inclusive fornecimento e transporte da brita</t>
    </r>
  </si>
  <si>
    <r>
      <rPr>
        <sz val="7"/>
        <rFont val="Arial"/>
        <family val="2"/>
      </rPr>
      <t xml:space="preserve">T.S.B.D. com capa selante exclusive fornecimento e transporte comercial da emulsão,
</t>
    </r>
    <r>
      <rPr>
        <sz val="7"/>
        <rFont val="Arial"/>
        <family val="2"/>
      </rPr>
      <t>inclusive lavagem da brita e transporte da areia e brita</t>
    </r>
  </si>
  <si>
    <r>
      <rPr>
        <sz val="7"/>
        <rFont val="Arial"/>
        <family val="2"/>
      </rPr>
      <t xml:space="preserve">T.S.B.D. com capa selante, executado c/ Multidistribuidor exclus. forn. e transp. com. da
</t>
    </r>
    <r>
      <rPr>
        <sz val="7"/>
        <rFont val="Arial"/>
        <family val="2"/>
      </rPr>
      <t>emulsão, inclus. lavagem brita e transp. comerc.areia, brita</t>
    </r>
  </si>
  <si>
    <r>
      <rPr>
        <sz val="7"/>
        <rFont val="Arial"/>
        <family val="2"/>
      </rPr>
      <t xml:space="preserve">T.S.B.D. com capa selante executado c/ Multidistribuidor,inclus.fornec.areia/brita e lavagem
</t>
    </r>
    <r>
      <rPr>
        <sz val="7"/>
        <rFont val="Arial"/>
        <family val="2"/>
      </rPr>
      <t>brita, excl.fornec.da emulsão e trnasp.todos os materiais</t>
    </r>
  </si>
  <si>
    <r>
      <rPr>
        <sz val="7"/>
        <rFont val="Arial"/>
        <family val="2"/>
      </rPr>
      <t xml:space="preserve">T.S.B.D. com capa selante, executado com Multidistribuidor inclusive fornecimento, transporte
</t>
    </r>
    <r>
      <rPr>
        <sz val="7"/>
        <rFont val="Arial"/>
        <family val="2"/>
      </rPr>
      <t>comercial dos materiais e lavagem da brita</t>
    </r>
  </si>
  <si>
    <r>
      <rPr>
        <sz val="7"/>
        <rFont val="Arial"/>
        <family val="2"/>
      </rPr>
      <t xml:space="preserve">T.S.B.D. com capa selante inclusive fornecimento e transporte comercial dos materiais e
</t>
    </r>
    <r>
      <rPr>
        <sz val="7"/>
        <rFont val="Arial"/>
        <family val="2"/>
      </rPr>
      <t>lavagem da brita</t>
    </r>
  </si>
  <si>
    <r>
      <rPr>
        <sz val="7"/>
        <rFont val="Arial"/>
        <family val="2"/>
      </rPr>
      <t xml:space="preserve">T.S.B.D. sem capa selante,  inclusive fornecimento e transporte comercial dos materiais e
</t>
    </r>
    <r>
      <rPr>
        <sz val="7"/>
        <rFont val="Arial"/>
        <family val="2"/>
      </rPr>
      <t>lavagem de brita</t>
    </r>
  </si>
  <si>
    <r>
      <rPr>
        <sz val="7"/>
        <rFont val="Arial"/>
        <family val="2"/>
      </rPr>
      <t xml:space="preserve">T.S.B.D. sem capa selante exclusive fornecimento e transporte comercial da emulsão,
</t>
    </r>
    <r>
      <rPr>
        <sz val="7"/>
        <rFont val="Arial"/>
        <family val="2"/>
      </rPr>
      <t>inclusive lavagem e transporte comercial  da brita</t>
    </r>
  </si>
  <si>
    <r>
      <rPr>
        <sz val="7"/>
        <rFont val="Arial"/>
        <family val="2"/>
      </rPr>
      <t xml:space="preserve">T.S.B.D. sem capa selante, executado c/ Multidistribuidor exclusive fornec.e transp. comercial
</t>
    </r>
    <r>
      <rPr>
        <sz val="7"/>
        <rFont val="Arial"/>
        <family val="2"/>
      </rPr>
      <t>da emulsão, inclusive lavagem e transp. comerc.da brita</t>
    </r>
  </si>
  <si>
    <r>
      <rPr>
        <sz val="7"/>
        <rFont val="Arial"/>
        <family val="2"/>
      </rPr>
      <t xml:space="preserve">T.S.B.D. sem capa selante executado com Multidistribuidor excl. forn. da emulsão e transp.
</t>
    </r>
    <r>
      <rPr>
        <sz val="7"/>
        <rFont val="Arial"/>
        <family val="2"/>
      </rPr>
      <t>comerciais da emulsão e da brita, inclus. lavagem da brita</t>
    </r>
  </si>
  <si>
    <r>
      <rPr>
        <sz val="7"/>
        <rFont val="Arial"/>
        <family val="2"/>
      </rPr>
      <t xml:space="preserve">T.S.B.D. sem capa selante inclusive fornecimento e transporte comercial dos materiais e
</t>
    </r>
    <r>
      <rPr>
        <sz val="7"/>
        <rFont val="Arial"/>
        <family val="2"/>
      </rPr>
      <t>lavagem da brita</t>
    </r>
  </si>
  <si>
    <r>
      <rPr>
        <sz val="7"/>
        <rFont val="Arial"/>
        <family val="2"/>
      </rPr>
      <t xml:space="preserve">T.S.B.S. com capa selante exclusive fornecimento e transporte comercial da emulsão,
</t>
    </r>
    <r>
      <rPr>
        <sz val="7"/>
        <rFont val="Arial"/>
        <family val="2"/>
      </rPr>
      <t>inclusive lavagem e transporte comercial da brita</t>
    </r>
  </si>
  <si>
    <r>
      <rPr>
        <sz val="7"/>
        <rFont val="Arial"/>
        <family val="2"/>
      </rPr>
      <t xml:space="preserve">T.S.B.S. com capa selante inclusive fornecimento e transporte comercial dos materiais e
</t>
    </r>
    <r>
      <rPr>
        <sz val="7"/>
        <rFont val="Arial"/>
        <family val="2"/>
      </rPr>
      <t>lavagem da brita</t>
    </r>
  </si>
  <si>
    <r>
      <rPr>
        <sz val="7"/>
        <rFont val="Arial"/>
        <family val="2"/>
      </rPr>
      <t xml:space="preserve">T.S.B.S. exclusive fornecimento e transporte comercial do material betuminoso, inclusive
</t>
    </r>
    <r>
      <rPr>
        <sz val="7"/>
        <rFont val="Arial"/>
        <family val="2"/>
      </rPr>
      <t>fornecimento, transporte e lavagem da brita</t>
    </r>
  </si>
  <si>
    <r>
      <rPr>
        <sz val="7"/>
        <rFont val="Arial"/>
        <family val="2"/>
      </rPr>
      <t>T.S.B.S. inclusive fornecimento e transporte comercial dos materiais e lavagem da brita</t>
    </r>
  </si>
  <si>
    <r>
      <rPr>
        <sz val="7"/>
        <rFont val="Arial"/>
        <family val="2"/>
      </rPr>
      <t xml:space="preserve">Usinagem de concreto betuminoso usinado a quente (CBUQ), inclusive transporte comercial
</t>
    </r>
    <r>
      <rPr>
        <sz val="7"/>
        <rFont val="Arial"/>
        <family val="2"/>
      </rPr>
      <t>do oleo combustível</t>
    </r>
  </si>
  <si>
    <r>
      <rPr>
        <sz val="7"/>
        <rFont val="Arial"/>
        <family val="2"/>
      </rPr>
      <t>Usinagem de mistura de solo brita</t>
    </r>
  </si>
  <si>
    <r>
      <rPr>
        <sz val="7"/>
        <rFont val="Arial"/>
        <family val="2"/>
      </rPr>
      <t>Grupo de serviço: OBRAS DE ARTE CORRENTES E DRENAGEM</t>
    </r>
  </si>
  <si>
    <r>
      <rPr>
        <sz val="7"/>
        <rFont val="Arial"/>
        <family val="2"/>
      </rPr>
      <t>Aço CA-25, fornecimento, dobragem e colocação nas formas</t>
    </r>
  </si>
  <si>
    <r>
      <rPr>
        <sz val="7"/>
        <rFont val="Arial"/>
        <family val="2"/>
      </rPr>
      <t>kg</t>
    </r>
  </si>
  <si>
    <r>
      <rPr>
        <sz val="7"/>
        <rFont val="Arial"/>
        <family val="2"/>
      </rPr>
      <t>Aço CA-50, fornecimento, dobragem e colocação nas formas (preço médio das bitolas)</t>
    </r>
  </si>
  <si>
    <r>
      <rPr>
        <sz val="7"/>
        <rFont val="Arial"/>
        <family val="2"/>
      </rPr>
      <t xml:space="preserve">Aço CA-50 grossa, diâmetro de 12.5 a 25 mm, fornecimento, dobragem e colocação nas
</t>
    </r>
    <r>
      <rPr>
        <sz val="7"/>
        <rFont val="Arial"/>
        <family val="2"/>
      </rPr>
      <t>formas</t>
    </r>
  </si>
  <si>
    <r>
      <rPr>
        <sz val="7"/>
        <rFont val="Arial"/>
        <family val="2"/>
      </rPr>
      <t>Aço CA-50 média, diâmetro de 6.3 a 10 mm, fornecimento, dobragem e colocação nas formas</t>
    </r>
  </si>
  <si>
    <r>
      <rPr>
        <sz val="7"/>
        <rFont val="Arial"/>
        <family val="2"/>
      </rPr>
      <t>Aço CA-60 fina, diâmetro de 4.2 a 5.0 mm, fornecimento, dobragem e colocação nas formas</t>
    </r>
  </si>
  <si>
    <r>
      <rPr>
        <sz val="7"/>
        <rFont val="Arial"/>
        <family val="2"/>
      </rPr>
      <t>Aluguel mensal de escoramento tubular com tubos metálicos com até 10 metros de altura</t>
    </r>
  </si>
  <si>
    <r>
      <rPr>
        <sz val="7"/>
        <rFont val="Arial"/>
        <family val="2"/>
      </rPr>
      <t xml:space="preserve">Alvenaria de bloco (39 x 19 x 09) cm espessura 09 cm, inclusive transporte da areia, cimento e
</t>
    </r>
    <r>
      <rPr>
        <sz val="7"/>
        <rFont val="Arial"/>
        <family val="2"/>
      </rPr>
      <t>bloco</t>
    </r>
  </si>
  <si>
    <r>
      <rPr>
        <sz val="7"/>
        <rFont val="Arial"/>
        <family val="2"/>
      </rPr>
      <t xml:space="preserve">Alvenaria de bloco (39 x 19 x 19) cm espessura 19 cm, inclusive fornecimento e transporte do
</t>
    </r>
    <r>
      <rPr>
        <sz val="7"/>
        <rFont val="Arial"/>
        <family val="2"/>
      </rPr>
      <t>bloco, areia e cimento</t>
    </r>
  </si>
  <si>
    <r>
      <rPr>
        <sz val="7"/>
        <rFont val="Arial"/>
        <family val="2"/>
      </rPr>
      <t xml:space="preserve">Alvenaria de lajota (20 x 20 x 10) cm espessura 10 cm, inclusive transporte de areia, lajota e
</t>
    </r>
    <r>
      <rPr>
        <sz val="7"/>
        <rFont val="Arial"/>
        <family val="2"/>
      </rPr>
      <t>cimento</t>
    </r>
  </si>
  <si>
    <r>
      <rPr>
        <sz val="7"/>
        <rFont val="Arial"/>
        <family val="2"/>
      </rPr>
      <t xml:space="preserve">Alvenaria de pedra de mão argamassada (argamassa cimento areia 1:4), inclusive transporte
</t>
    </r>
    <r>
      <rPr>
        <sz val="7"/>
        <rFont val="Arial"/>
        <family val="2"/>
      </rPr>
      <t>da pedra</t>
    </r>
  </si>
  <si>
    <r>
      <rPr>
        <sz val="7"/>
        <rFont val="Arial"/>
        <family val="2"/>
      </rPr>
      <t>Alvenaria de pedra de mão (junta seca), inclusive transporte da pedra</t>
    </r>
  </si>
  <si>
    <r>
      <rPr>
        <sz val="7"/>
        <rFont val="Arial"/>
        <family val="2"/>
      </rPr>
      <t>Andaime de madeira para altura até 7 m, compreendendo montagem e desmontagem</t>
    </r>
  </si>
  <si>
    <r>
      <rPr>
        <sz val="7"/>
        <rFont val="Arial"/>
        <family val="2"/>
      </rPr>
      <t>Andaime suspenso em madeira, inclusive montagem e desmontagem</t>
    </r>
  </si>
  <si>
    <r>
      <rPr>
        <sz val="7"/>
        <rFont val="Arial"/>
        <family val="2"/>
      </rPr>
      <t>Apicoamento manual de superfície de concreto</t>
    </r>
  </si>
  <si>
    <r>
      <rPr>
        <sz val="7"/>
        <rFont val="Arial"/>
        <family val="2"/>
      </rPr>
      <t>Apiloamento manual</t>
    </r>
  </si>
  <si>
    <r>
      <rPr>
        <sz val="7"/>
        <rFont val="Arial"/>
        <family val="2"/>
      </rPr>
      <t>Argamassa cimento e areia traço 1:4, tudo incluído</t>
    </r>
  </si>
  <si>
    <r>
      <rPr>
        <sz val="7"/>
        <rFont val="Arial"/>
        <family val="2"/>
      </rPr>
      <t>Argamassa cimento (nata), inclusive transporte de cimento</t>
    </r>
  </si>
  <si>
    <r>
      <rPr>
        <sz val="7"/>
        <rFont val="Arial"/>
        <family val="2"/>
      </rPr>
      <t>Argamassa de cimento e areia, traço 1:4, consumo de cimento 400 kg/m³</t>
    </r>
  </si>
  <si>
    <r>
      <rPr>
        <sz val="7"/>
        <rFont val="Arial"/>
        <family val="2"/>
      </rPr>
      <t>Aterro com areia, exceto fornecimento da areia</t>
    </r>
  </si>
  <si>
    <r>
      <rPr>
        <sz val="7"/>
        <rFont val="Arial"/>
        <family val="2"/>
      </rPr>
      <t>Berço de concreto ciclópico para BDTC diâmetro 0,60 m</t>
    </r>
  </si>
  <si>
    <r>
      <rPr>
        <sz val="7"/>
        <rFont val="Arial"/>
        <family val="2"/>
      </rPr>
      <t>Berço de concreto ciclópico para BDTC diâmetro 0,80 m</t>
    </r>
  </si>
  <si>
    <r>
      <rPr>
        <sz val="7"/>
        <rFont val="Arial"/>
        <family val="2"/>
      </rPr>
      <t>Berço de concreto ciclópico para BDTC diâmetro 1,00 m</t>
    </r>
  </si>
  <si>
    <r>
      <rPr>
        <sz val="7"/>
        <rFont val="Arial"/>
        <family val="2"/>
      </rPr>
      <t>Berço de concreto ciclópico para BDTC diâmetro 1,20 m</t>
    </r>
  </si>
  <si>
    <r>
      <rPr>
        <sz val="7"/>
        <rFont val="Arial"/>
        <family val="2"/>
      </rPr>
      <t>Berço de concreto ciclópico para BDTC diâmetro 1,50 m</t>
    </r>
  </si>
  <si>
    <r>
      <rPr>
        <sz val="7"/>
        <rFont val="Arial"/>
        <family val="2"/>
      </rPr>
      <t>Berço de concreto ciclópico para BSTC diâmetro 0,40 m</t>
    </r>
  </si>
  <si>
    <r>
      <rPr>
        <sz val="7"/>
        <rFont val="Arial"/>
        <family val="2"/>
      </rPr>
      <t>Berço de concreto ciclópico para BSTC diâmetro 0,60 m</t>
    </r>
  </si>
  <si>
    <r>
      <rPr>
        <sz val="7"/>
        <rFont val="Arial"/>
        <family val="2"/>
      </rPr>
      <t>Berço de concreto ciclópico para BSTC diâmetro 0,80 m</t>
    </r>
  </si>
  <si>
    <r>
      <rPr>
        <sz val="7"/>
        <rFont val="Arial"/>
        <family val="2"/>
      </rPr>
      <t>Berço de concreto ciclópico para BSTC diâmetro 1,00 m</t>
    </r>
  </si>
  <si>
    <r>
      <rPr>
        <sz val="7"/>
        <rFont val="Arial"/>
        <family val="2"/>
      </rPr>
      <t>Berço de concreto ciclópico para BSTC diâmetro 1,20 m</t>
    </r>
  </si>
  <si>
    <r>
      <rPr>
        <sz val="7"/>
        <rFont val="Arial"/>
        <family val="2"/>
      </rPr>
      <t>Berço de concreto ciclópico para BSTC diâmetro 1,50 m</t>
    </r>
  </si>
  <si>
    <r>
      <rPr>
        <sz val="7"/>
        <rFont val="Arial"/>
        <family val="2"/>
      </rPr>
      <t>Berço de concreto ciclópico para BTTC diâmetro 0,60 m</t>
    </r>
  </si>
  <si>
    <r>
      <rPr>
        <sz val="7"/>
        <rFont val="Arial"/>
        <family val="2"/>
      </rPr>
      <t>Berço de concreto ciclópico para BTTC diâmetro 0,80 m</t>
    </r>
  </si>
  <si>
    <r>
      <rPr>
        <sz val="7"/>
        <rFont val="Arial"/>
        <family val="2"/>
      </rPr>
      <t>Berço de concreto ciclópico para BTTC diâmetro 1,00 m</t>
    </r>
  </si>
  <si>
    <r>
      <rPr>
        <sz val="7"/>
        <rFont val="Arial"/>
        <family val="2"/>
      </rPr>
      <t>Berço de concreto ciclópico para BTTC diâmetro 1,20 m</t>
    </r>
  </si>
  <si>
    <r>
      <rPr>
        <sz val="7"/>
        <rFont val="Arial"/>
        <family val="2"/>
      </rPr>
      <t>Berço de concreto ciclópico para BTTC diâmetro 1,50 m</t>
    </r>
  </si>
  <si>
    <r>
      <rPr>
        <sz val="7"/>
        <rFont val="Arial"/>
        <family val="2"/>
      </rPr>
      <t>Berço em brita para BSTC diâm. = 1,00 m</t>
    </r>
  </si>
  <si>
    <r>
      <rPr>
        <sz val="7"/>
        <rFont val="Arial"/>
        <family val="2"/>
      </rPr>
      <t>Berço em brita para BSTC diâm.=1,20 m</t>
    </r>
  </si>
  <si>
    <r>
      <rPr>
        <sz val="7"/>
        <rFont val="Arial"/>
        <family val="2"/>
      </rPr>
      <t>Berço em concreto ciclópico para BSTC diâm. = 0,30m</t>
    </r>
  </si>
  <si>
    <r>
      <rPr>
        <sz val="7"/>
        <rFont val="Arial"/>
        <family val="2"/>
      </rPr>
      <t>Boca de BDCC 1,50 x 1,50 m projeto DNIT</t>
    </r>
  </si>
  <si>
    <r>
      <rPr>
        <sz val="7"/>
        <rFont val="Arial"/>
        <family val="2"/>
      </rPr>
      <t>Boca de BDCC 2,50 x 2,00 m conforme projeto</t>
    </r>
  </si>
  <si>
    <r>
      <rPr>
        <sz val="7"/>
        <rFont val="Arial"/>
        <family val="2"/>
      </rPr>
      <t>Boca de BDCC 2,50 x 2,50 m projeto DNIT</t>
    </r>
  </si>
  <si>
    <r>
      <rPr>
        <sz val="7"/>
        <rFont val="Arial"/>
        <family val="2"/>
      </rPr>
      <t>Boca de BDCC 2,50 x 3,00 m projeto DNIT</t>
    </r>
  </si>
  <si>
    <r>
      <rPr>
        <sz val="7"/>
        <rFont val="Arial"/>
        <family val="2"/>
      </rPr>
      <t>Boca de BDCC 3,00 x 3,00 m projeto DNIT</t>
    </r>
  </si>
  <si>
    <r>
      <rPr>
        <sz val="7"/>
        <rFont val="Arial"/>
        <family val="2"/>
      </rPr>
      <t>Boca de BSCC 1,50 x 1,50 m projeto DNIT</t>
    </r>
  </si>
  <si>
    <r>
      <rPr>
        <sz val="7"/>
        <rFont val="Arial"/>
        <family val="2"/>
      </rPr>
      <t>Boca de BSCC 2,00 x 2,00 m projeto DNIT</t>
    </r>
  </si>
  <si>
    <r>
      <rPr>
        <sz val="7"/>
        <rFont val="Arial"/>
        <family val="2"/>
      </rPr>
      <t>Boca de BSCC 2,00 x 3,00 m projeto DNIT</t>
    </r>
  </si>
  <si>
    <r>
      <rPr>
        <sz val="7"/>
        <rFont val="Arial"/>
        <family val="2"/>
      </rPr>
      <t>Boca de BSCC 2,50 x 2,50 m projeto DNIT</t>
    </r>
  </si>
  <si>
    <r>
      <rPr>
        <sz val="7"/>
        <rFont val="Arial"/>
        <family val="2"/>
      </rPr>
      <t>Boca de BSCC 2,50 x 3,00 m projeto DNIT</t>
    </r>
  </si>
  <si>
    <r>
      <rPr>
        <sz val="7"/>
        <rFont val="Arial"/>
        <family val="2"/>
      </rPr>
      <t>Boca de BSCC 3,00 x 3,00 m projeto DNIT</t>
    </r>
  </si>
  <si>
    <r>
      <rPr>
        <sz val="7"/>
        <rFont val="Arial"/>
        <family val="2"/>
      </rPr>
      <t>Boca de BTCC 1,50 x 1,50 m projeto DNIT</t>
    </r>
  </si>
  <si>
    <r>
      <rPr>
        <sz val="7"/>
        <rFont val="Arial"/>
        <family val="2"/>
      </rPr>
      <t>Boca de BTCC 2,00 x 2,00 m projeto DNIT</t>
    </r>
  </si>
  <si>
    <r>
      <rPr>
        <sz val="7"/>
        <rFont val="Arial"/>
        <family val="2"/>
      </rPr>
      <t>Boca de BTCC 2,00 x 3,00 m projeto DNIT</t>
    </r>
  </si>
  <si>
    <r>
      <rPr>
        <sz val="7"/>
        <rFont val="Arial"/>
        <family val="2"/>
      </rPr>
      <t>Boca de BTCC 2,50 x 2,50 m projeto DNIT</t>
    </r>
  </si>
  <si>
    <r>
      <rPr>
        <sz val="7"/>
        <rFont val="Arial"/>
        <family val="2"/>
      </rPr>
      <t>Boca de BTCC 2,50 x 3,00 m projeto DNIT</t>
    </r>
  </si>
  <si>
    <r>
      <rPr>
        <sz val="7"/>
        <rFont val="Arial"/>
        <family val="2"/>
      </rPr>
      <t>Boca de BTCC 3,00 x 3,00 m projeto DNIT</t>
    </r>
  </si>
  <si>
    <r>
      <rPr>
        <sz val="7"/>
        <rFont val="Arial"/>
        <family val="2"/>
      </rPr>
      <t>Boca de concreto ciclópico para BDTC diâmetro 0,60 m</t>
    </r>
  </si>
  <si>
    <r>
      <rPr>
        <sz val="7"/>
        <rFont val="Arial"/>
        <family val="2"/>
      </rPr>
      <t>Boca de concreto ciclópico para BDTC diâmetro 0,80 m</t>
    </r>
  </si>
  <si>
    <r>
      <rPr>
        <sz val="7"/>
        <rFont val="Arial"/>
        <family val="2"/>
      </rPr>
      <t>Boca de concreto ciclópico para BDTC diâmetro 1,00 m</t>
    </r>
  </si>
  <si>
    <r>
      <rPr>
        <sz val="7"/>
        <rFont val="Arial"/>
        <family val="2"/>
      </rPr>
      <t>Boca de concreto ciclópico para BDTC diâmetro 1,20 m</t>
    </r>
  </si>
  <si>
    <r>
      <rPr>
        <sz val="7"/>
        <rFont val="Arial"/>
        <family val="2"/>
      </rPr>
      <t>Boca de concreto ciclópico para BDTC diâmetro 1,50 m</t>
    </r>
  </si>
  <si>
    <r>
      <rPr>
        <sz val="7"/>
        <rFont val="Arial"/>
        <family val="2"/>
      </rPr>
      <t>Boca de concreto ciclópico para BSTC diâmetro 0,40 m</t>
    </r>
  </si>
  <si>
    <r>
      <rPr>
        <sz val="7"/>
        <rFont val="Arial"/>
        <family val="2"/>
      </rPr>
      <t>Boca de concreto ciclópico para BSTC diâmetro 0,60 m</t>
    </r>
  </si>
  <si>
    <r>
      <rPr>
        <sz val="7"/>
        <rFont val="Arial"/>
        <family val="2"/>
      </rPr>
      <t>Boca de concreto ciclópico para BSTC diâmetro 0,80 m</t>
    </r>
  </si>
  <si>
    <r>
      <rPr>
        <sz val="7"/>
        <rFont val="Arial"/>
        <family val="2"/>
      </rPr>
      <t>Boca de concreto ciclópico para BSTC diâmetro 1,00 m</t>
    </r>
  </si>
  <si>
    <r>
      <rPr>
        <sz val="7"/>
        <rFont val="Arial"/>
        <family val="2"/>
      </rPr>
      <t>Boca de concreto ciclópico para BSTC diâmetro 1,20 m</t>
    </r>
  </si>
  <si>
    <r>
      <rPr>
        <sz val="7"/>
        <rFont val="Arial"/>
        <family val="2"/>
      </rPr>
      <t>Boca de concreto ciclópico para BSTC diâmetro 1,50 m</t>
    </r>
  </si>
  <si>
    <r>
      <rPr>
        <sz val="7"/>
        <rFont val="Arial"/>
        <family val="2"/>
      </rPr>
      <t>Boca de concreto ciclópico para BTTC diâmetro 0,60 m</t>
    </r>
  </si>
  <si>
    <r>
      <rPr>
        <sz val="7"/>
        <rFont val="Arial"/>
        <family val="2"/>
      </rPr>
      <t>Boca de concreto ciclópico para BTTC diâmetro 0,80 m</t>
    </r>
  </si>
  <si>
    <r>
      <rPr>
        <sz val="7"/>
        <rFont val="Arial"/>
        <family val="2"/>
      </rPr>
      <t>Boca de concreto ciclópico para BTTC diâmetro 1,00 m</t>
    </r>
  </si>
  <si>
    <r>
      <rPr>
        <sz val="7"/>
        <rFont val="Arial"/>
        <family val="2"/>
      </rPr>
      <t>Boca de concreto ciclópico para BTTC diâmetro 1,20 m</t>
    </r>
  </si>
  <si>
    <r>
      <rPr>
        <sz val="7"/>
        <rFont val="Arial"/>
        <family val="2"/>
      </rPr>
      <t>Boca de concreto ciclópico para BTTC diâmetro 1,50 m</t>
    </r>
  </si>
  <si>
    <r>
      <rPr>
        <sz val="7"/>
        <rFont val="Arial"/>
        <family val="2"/>
      </rPr>
      <t>Boca de lobo simples</t>
    </r>
  </si>
  <si>
    <r>
      <rPr>
        <sz val="7"/>
        <rFont val="Arial"/>
        <family val="2"/>
      </rPr>
      <t>Boca de saída de dreno profundo BSD-01</t>
    </r>
  </si>
  <si>
    <r>
      <rPr>
        <sz val="7"/>
        <rFont val="Arial"/>
        <family val="2"/>
      </rPr>
      <t xml:space="preserve">BSCC (pré-moldado) 1,50 x 1,50 x 1,00m CL 45t, inclusive transporte do Anel de Bueiro
</t>
    </r>
    <r>
      <rPr>
        <sz val="7"/>
        <rFont val="Arial"/>
        <family val="2"/>
      </rPr>
      <t>Celular Pré-moldado</t>
    </r>
  </si>
  <si>
    <r>
      <rPr>
        <sz val="7"/>
        <rFont val="Arial"/>
        <family val="2"/>
      </rPr>
      <t xml:space="preserve">BSCC (pré-moldado) 2,00 x 2,00 x 1,00m CL 45t, inclusive transporte de Anel de Bueiro
</t>
    </r>
    <r>
      <rPr>
        <sz val="7"/>
        <rFont val="Arial"/>
        <family val="2"/>
      </rPr>
      <t>Celular Pré-moldado</t>
    </r>
  </si>
  <si>
    <r>
      <rPr>
        <sz val="7"/>
        <rFont val="Arial"/>
        <family val="2"/>
      </rPr>
      <t xml:space="preserve">BSCC (pré-moldado) 2,50 x 2,50 x 1,00m CL 45t, inclusive transporte de Anel de Bueiro
</t>
    </r>
    <r>
      <rPr>
        <sz val="7"/>
        <rFont val="Arial"/>
        <family val="2"/>
      </rPr>
      <t>Celular Pré-moldado</t>
    </r>
  </si>
  <si>
    <r>
      <rPr>
        <sz val="7"/>
        <rFont val="Arial"/>
        <family val="2"/>
      </rPr>
      <t xml:space="preserve">BSCC (pré-moldado) 3,00 x 3,00 x 1,00m CL 45t, inclusive transporte de Anel de Bueiro
</t>
    </r>
    <r>
      <rPr>
        <sz val="7"/>
        <rFont val="Arial"/>
        <family val="2"/>
      </rPr>
      <t>Celular Pré-moldado</t>
    </r>
  </si>
  <si>
    <r>
      <rPr>
        <sz val="7"/>
        <rFont val="Arial"/>
        <family val="2"/>
      </rPr>
      <t xml:space="preserve">Bueiro Metálico BSTM - D = 3,00 m - T.L. com tratamento epóxi e = 2,7 mm - método não
</t>
    </r>
    <r>
      <rPr>
        <sz val="7"/>
        <rFont val="Arial"/>
        <family val="2"/>
      </rPr>
      <t>destrutivo</t>
    </r>
  </si>
  <si>
    <r>
      <rPr>
        <sz val="7"/>
        <rFont val="Arial"/>
        <family val="2"/>
      </rPr>
      <t xml:space="preserve">Bueiro Metálico BSTM - D=3,05m - MP-152 com tratamento epóxi e=2,7mm - método
</t>
    </r>
    <r>
      <rPr>
        <sz val="7"/>
        <rFont val="Arial"/>
        <family val="2"/>
      </rPr>
      <t>destrutivo, inclusive lastro de brita</t>
    </r>
  </si>
  <si>
    <r>
      <rPr>
        <sz val="7"/>
        <rFont val="Arial"/>
        <family val="2"/>
      </rPr>
      <t>Caiação de meio fios, sarjetas, etc</t>
    </r>
  </si>
  <si>
    <r>
      <rPr>
        <sz val="7"/>
        <rFont val="Arial"/>
        <family val="2"/>
      </rPr>
      <t>Caixa Boca de Lobo em bloco pré-moldado 1,20 x 1,20m</t>
    </r>
  </si>
  <si>
    <r>
      <rPr>
        <sz val="7"/>
        <rFont val="Arial"/>
        <family val="2"/>
      </rPr>
      <t>Caixa coletora concreto armado H= 2,00 m, inclusive escavação</t>
    </r>
  </si>
  <si>
    <r>
      <rPr>
        <sz val="7"/>
        <rFont val="Arial"/>
        <family val="2"/>
      </rPr>
      <t>Caixa coletora concreto armado H= 2,50 m, inclusive escavação</t>
    </r>
  </si>
  <si>
    <r>
      <rPr>
        <sz val="7"/>
        <rFont val="Arial"/>
        <family val="2"/>
      </rPr>
      <t>Caixa coletora em bloco pré-moldado para d=0,60m (1,00 x 1,00m)</t>
    </r>
  </si>
  <si>
    <r>
      <rPr>
        <sz val="7"/>
        <rFont val="Arial"/>
        <family val="2"/>
      </rPr>
      <t>Caixa de concreto para BSTC diâmetro 0,40 m H=1,60 m</t>
    </r>
  </si>
  <si>
    <r>
      <rPr>
        <sz val="7"/>
        <rFont val="Arial"/>
        <family val="2"/>
      </rPr>
      <t>Caixa de concreto para BSTC diâmetro 0,60 m H=2,00 m</t>
    </r>
  </si>
  <si>
    <r>
      <rPr>
        <sz val="7"/>
        <rFont val="Arial"/>
        <family val="2"/>
      </rPr>
      <t>Caixa de concreto para BSTC diâmetro 0,80 m H=2,50 m</t>
    </r>
  </si>
  <si>
    <r>
      <rPr>
        <sz val="7"/>
        <rFont val="Arial"/>
        <family val="2"/>
      </rPr>
      <t>Caixa de concreto para BSTC diâmetro 1,00 m H=3,00 m</t>
    </r>
  </si>
  <si>
    <r>
      <rPr>
        <sz val="7"/>
        <rFont val="Arial"/>
        <family val="2"/>
      </rPr>
      <t>Caixa de passagem para tubos de D=0,40 m H=1,10 m</t>
    </r>
  </si>
  <si>
    <r>
      <rPr>
        <sz val="7"/>
        <rFont val="Arial"/>
        <family val="2"/>
      </rPr>
      <t>Caixa de passagem (2,50 x 2,50m)</t>
    </r>
  </si>
  <si>
    <r>
      <rPr>
        <sz val="7"/>
        <rFont val="Arial"/>
        <family val="2"/>
      </rPr>
      <t>Caixa para rede de dutos, dimensões 100 x 100 x 100 cm</t>
    </r>
  </si>
  <si>
    <r>
      <rPr>
        <sz val="7"/>
        <rFont val="Arial"/>
        <family val="2"/>
      </rPr>
      <t>Caixa para rede de dutos, dimensões 60 x 60 x 60 cm</t>
    </r>
  </si>
  <si>
    <r>
      <rPr>
        <sz val="7"/>
        <rFont val="Arial"/>
        <family val="2"/>
      </rPr>
      <t>Caixa ralo de elementos pré-moldados em concreto (tudo incluído)</t>
    </r>
  </si>
  <si>
    <r>
      <rPr>
        <sz val="7"/>
        <rFont val="Arial"/>
        <family val="2"/>
      </rPr>
      <t>Canaleta com grelha DP-1, inclusive transporte da grelha</t>
    </r>
  </si>
  <si>
    <r>
      <rPr>
        <sz val="7"/>
        <rFont val="Arial"/>
        <family val="2"/>
      </rPr>
      <t>Canaleta de concreto, com forma retangular inclusive caiação - parede 12 cm</t>
    </r>
  </si>
  <si>
    <r>
      <rPr>
        <sz val="7"/>
        <rFont val="Arial"/>
        <family val="2"/>
      </rPr>
      <t>Canaleta de concreto retangular (0,130m³/m) inclusive caiação</t>
    </r>
  </si>
  <si>
    <r>
      <rPr>
        <sz val="7"/>
        <rFont val="Arial"/>
        <family val="2"/>
      </rPr>
      <t>Canaleta de concreto (0,130m³/m) forma trapezoidal inclusive caiação</t>
    </r>
  </si>
  <si>
    <r>
      <rPr>
        <sz val="7"/>
        <rFont val="Arial"/>
        <family val="2"/>
      </rPr>
      <t>Cerca de tela de arame galvanizado h = 1,20 m</t>
    </r>
  </si>
  <si>
    <r>
      <rPr>
        <sz val="7"/>
        <rFont val="Arial"/>
        <family val="2"/>
      </rPr>
      <t>Cerca de tela galvanizada fio 12 malha 3"x3", com altura de 1,80 m</t>
    </r>
  </si>
  <si>
    <r>
      <rPr>
        <sz val="7"/>
        <rFont val="Arial"/>
        <family val="2"/>
      </rPr>
      <t xml:space="preserve">Cerca em tela revestida em PVC com mourões de concreto, 10 x 10 x 2,40 m,  fornecimento e
</t>
    </r>
    <r>
      <rPr>
        <sz val="7"/>
        <rFont val="Arial"/>
        <family val="2"/>
      </rPr>
      <t>execução</t>
    </r>
  </si>
  <si>
    <r>
      <rPr>
        <sz val="7"/>
        <rFont val="Arial"/>
        <family val="2"/>
      </rPr>
      <t>Chapisco com argamassa de cimento e areia no traço 1:3</t>
    </r>
  </si>
  <si>
    <r>
      <rPr>
        <sz val="7"/>
        <rFont val="Arial"/>
        <family val="2"/>
      </rPr>
      <t>Chapisco com argamassa de cimento e pedrisco no traço 1:4</t>
    </r>
  </si>
  <si>
    <r>
      <rPr>
        <sz val="7"/>
        <rFont val="Arial"/>
        <family val="2"/>
      </rPr>
      <t>Colchão drenante de areia para fundação de aterros, exclusive o fornecimento de areia</t>
    </r>
  </si>
  <si>
    <r>
      <rPr>
        <sz val="7"/>
        <rFont val="Arial"/>
        <family val="2"/>
      </rPr>
      <t xml:space="preserve">Colchão drenante de areia para fundação de aterros, inclusive fornecimento e transporte da
</t>
    </r>
    <r>
      <rPr>
        <sz val="7"/>
        <rFont val="Arial"/>
        <family val="2"/>
      </rPr>
      <t>areia</t>
    </r>
  </si>
  <si>
    <r>
      <rPr>
        <sz val="7"/>
        <rFont val="Arial"/>
        <family val="2"/>
      </rPr>
      <t xml:space="preserve">Colchão drenante de brita 1 inclusive fornecimento, espalhamento, compactação e transporte
</t>
    </r>
    <r>
      <rPr>
        <sz val="7"/>
        <rFont val="Arial"/>
        <family val="2"/>
      </rPr>
      <t>da brita</t>
    </r>
  </si>
  <si>
    <r>
      <rPr>
        <sz val="7"/>
        <rFont val="Arial"/>
        <family val="2"/>
      </rPr>
      <t xml:space="preserve">Colchão drenante de brita 2 inclusive fornecimento, espalhamento, compactação e transporte
</t>
    </r>
    <r>
      <rPr>
        <sz val="7"/>
        <rFont val="Arial"/>
        <family val="2"/>
      </rPr>
      <t>da brita</t>
    </r>
  </si>
  <si>
    <r>
      <rPr>
        <sz val="7"/>
        <rFont val="Arial"/>
        <family val="2"/>
      </rPr>
      <t xml:space="preserve">Colchão drenante de brita 3 inclusive fornecimento, espalhamento, compactação e transporte
</t>
    </r>
    <r>
      <rPr>
        <sz val="7"/>
        <rFont val="Arial"/>
        <family val="2"/>
      </rPr>
      <t>da brita</t>
    </r>
  </si>
  <si>
    <r>
      <rPr>
        <sz val="7"/>
        <rFont val="Arial"/>
        <family val="2"/>
      </rPr>
      <t>Coleta drenante (1,00x1,00) m c/ geotêxtil não tecido RT 16kn/m,  inclusive transporte da brita</t>
    </r>
  </si>
  <si>
    <r>
      <rPr>
        <sz val="7"/>
        <rFont val="Arial"/>
        <family val="2"/>
      </rPr>
      <t xml:space="preserve">Concreto armado, dosado para resist. 20 Mpa,  incluindo 60kg aço CA-50A, mão de obra p/
</t>
    </r>
    <r>
      <rPr>
        <sz val="7"/>
        <rFont val="Arial"/>
        <family val="2"/>
      </rPr>
      <t>corte, dobragem e montagem, exclusive forma</t>
    </r>
  </si>
  <si>
    <r>
      <rPr>
        <sz val="7"/>
        <rFont val="Arial"/>
        <family val="2"/>
      </rPr>
      <t>Concreto ciclópico com 70% concreto 10,0 MPa e 30% de pedra de mão, tudo incluído</t>
    </r>
  </si>
  <si>
    <r>
      <rPr>
        <sz val="7"/>
        <rFont val="Arial"/>
        <family val="2"/>
      </rPr>
      <t>Concreto ciclópico com 70% concreto 15,0 MPa e 30% de pedra de mão, tudo incluído</t>
    </r>
  </si>
  <si>
    <r>
      <rPr>
        <sz val="7"/>
        <rFont val="Arial"/>
        <family val="2"/>
      </rPr>
      <t>Concreto ciclópico com 70% concreto 20,0 MPa e 30% de pedra de mão, tudo incluído</t>
    </r>
  </si>
  <si>
    <r>
      <rPr>
        <sz val="7"/>
        <rFont val="Arial"/>
        <family val="2"/>
      </rPr>
      <t>Concreto de regularização, tudo incluído</t>
    </r>
  </si>
  <si>
    <r>
      <rPr>
        <sz val="7"/>
        <rFont val="Arial"/>
        <family val="2"/>
      </rPr>
      <t>Concreto estrutural fck = 15,0 MPa, tudo incluído</t>
    </r>
  </si>
  <si>
    <r>
      <rPr>
        <sz val="7"/>
        <rFont val="Arial"/>
        <family val="2"/>
      </rPr>
      <t>Concreto estrutural fck = 20,0 MPa com plastificante, tudo incluído</t>
    </r>
  </si>
  <si>
    <r>
      <rPr>
        <sz val="7"/>
        <rFont val="Arial"/>
        <family val="2"/>
      </rPr>
      <t>Concreto estrutural fck = 20,0 MPa, tudo incluído</t>
    </r>
  </si>
  <si>
    <r>
      <rPr>
        <sz val="7"/>
        <rFont val="Arial"/>
        <family val="2"/>
      </rPr>
      <t>Concreto estrutural fck = 25,0 MPa com plastificante, tudo incluído</t>
    </r>
  </si>
  <si>
    <r>
      <rPr>
        <sz val="7"/>
        <rFont val="Arial"/>
        <family val="2"/>
      </rPr>
      <t xml:space="preserve">Concreto estrutural fck = 25,0 MPa, inclusive fornecimento e transporte do cimento, areia e
</t>
    </r>
    <r>
      <rPr>
        <sz val="7"/>
        <rFont val="Arial"/>
        <family val="2"/>
      </rPr>
      <t>pedra britada</t>
    </r>
  </si>
  <si>
    <r>
      <rPr>
        <sz val="7"/>
        <rFont val="Arial"/>
        <family val="2"/>
      </rPr>
      <t>Concreto estrutural fck = 30,0 MPa com micro-silica e Sikacrete BR ou equivalente</t>
    </r>
  </si>
  <si>
    <r>
      <rPr>
        <sz val="7"/>
        <rFont val="Arial"/>
        <family val="2"/>
      </rPr>
      <t>Concreto estrutural fck = 30,0 MPa com plastificante</t>
    </r>
  </si>
  <si>
    <r>
      <rPr>
        <sz val="7"/>
        <rFont val="Arial"/>
        <family val="2"/>
      </rPr>
      <t>Concreto estrutural fck = 30,0 MPa, tudo incluído</t>
    </r>
  </si>
  <si>
    <r>
      <rPr>
        <sz val="7"/>
        <rFont val="Arial"/>
        <family val="2"/>
      </rPr>
      <t>Concreto estrutural fck = 35,0 MPa com micro-silica e Sikacrete BR ou equivalente</t>
    </r>
  </si>
  <si>
    <r>
      <rPr>
        <sz val="7"/>
        <rFont val="Arial"/>
        <family val="2"/>
      </rPr>
      <t>Concreto submerso fck = 20,0 MPa, tudo incluído</t>
    </r>
  </si>
  <si>
    <r>
      <rPr>
        <sz val="7"/>
        <rFont val="Arial"/>
        <family val="2"/>
      </rPr>
      <t xml:space="preserve">Corpo BDTC (grota) diâmetro 0,60 m CA-1 MF exclusive escavação e reaterro, inclusive
</t>
    </r>
    <r>
      <rPr>
        <sz val="7"/>
        <rFont val="Arial"/>
        <family val="2"/>
      </rPr>
      <t>transporte do tubo</t>
    </r>
  </si>
  <si>
    <r>
      <rPr>
        <sz val="7"/>
        <rFont val="Arial"/>
        <family val="2"/>
      </rPr>
      <t xml:space="preserve">Corpo BDTC (grota) diâmetro 0,60 m CA-1 PB exclusive escavação e reaterro, inclusive
</t>
    </r>
    <r>
      <rPr>
        <sz val="7"/>
        <rFont val="Arial"/>
        <family val="2"/>
      </rPr>
      <t>transporte do tubo</t>
    </r>
  </si>
  <si>
    <r>
      <rPr>
        <sz val="7"/>
        <rFont val="Arial"/>
        <family val="2"/>
      </rPr>
      <t xml:space="preserve">Corpo BDTC (grota) diâmetro 0,60 m CA-2 MF exclusive escavação e reaterro, inclusive
</t>
    </r>
    <r>
      <rPr>
        <sz val="7"/>
        <rFont val="Arial"/>
        <family val="2"/>
      </rPr>
      <t>transporte do tubo</t>
    </r>
  </si>
  <si>
    <r>
      <rPr>
        <sz val="7"/>
        <rFont val="Arial"/>
        <family val="2"/>
      </rPr>
      <t xml:space="preserve">Corpo BDTC (grota) diâmetro 0,60 m CA-2 PB exclusive escavação e reaterro, inclusive
</t>
    </r>
    <r>
      <rPr>
        <sz val="7"/>
        <rFont val="Arial"/>
        <family val="2"/>
      </rPr>
      <t>transporte do tubo</t>
    </r>
  </si>
  <si>
    <r>
      <rPr>
        <sz val="7"/>
        <rFont val="Arial"/>
        <family val="2"/>
      </rPr>
      <t xml:space="preserve">Corpo BDTC (grota) diâmetro 0,80 m CA-1 MF exclusive escavação e reaterro, inclusive
</t>
    </r>
    <r>
      <rPr>
        <sz val="7"/>
        <rFont val="Arial"/>
        <family val="2"/>
      </rPr>
      <t>transporte do tubo</t>
    </r>
  </si>
  <si>
    <r>
      <rPr>
        <sz val="7"/>
        <rFont val="Arial"/>
        <family val="2"/>
      </rPr>
      <t xml:space="preserve">Corpo BDTC (grota) diâmetro 0,80 m CA-1 PB exclusive escavação e reaterro, inclusive
</t>
    </r>
    <r>
      <rPr>
        <sz val="7"/>
        <rFont val="Arial"/>
        <family val="2"/>
      </rPr>
      <t>transporte do tubo</t>
    </r>
  </si>
  <si>
    <r>
      <rPr>
        <sz val="7"/>
        <rFont val="Arial"/>
        <family val="2"/>
      </rPr>
      <t xml:space="preserve">Corpo BDTC (grota) diâmetro 0,80 m CA-2 MF exclusive escavação e reaterro, inclusive
</t>
    </r>
    <r>
      <rPr>
        <sz val="7"/>
        <rFont val="Arial"/>
        <family val="2"/>
      </rPr>
      <t>transporte do tubo</t>
    </r>
  </si>
  <si>
    <r>
      <rPr>
        <sz val="7"/>
        <rFont val="Arial"/>
        <family val="2"/>
      </rPr>
      <t xml:space="preserve">Corpo BDTC (grota) diâmetro 0,80 m CA-2 PB exclusive escavação e reaterro, inclusive
</t>
    </r>
    <r>
      <rPr>
        <sz val="7"/>
        <rFont val="Arial"/>
        <family val="2"/>
      </rPr>
      <t>transporte do tubo</t>
    </r>
  </si>
  <si>
    <r>
      <rPr>
        <sz val="7"/>
        <rFont val="Arial"/>
        <family val="2"/>
      </rPr>
      <t xml:space="preserve">Corpo BDTC (grota) diâmetro 1,00 m CA-1 MF exclusive escavação e reaterro, inclusive
</t>
    </r>
    <r>
      <rPr>
        <sz val="7"/>
        <rFont val="Arial"/>
        <family val="2"/>
      </rPr>
      <t>transporte do tubo</t>
    </r>
  </si>
  <si>
    <r>
      <rPr>
        <sz val="7"/>
        <rFont val="Arial"/>
        <family val="2"/>
      </rPr>
      <t xml:space="preserve">Corpo BDTC (grota) diâmetro 1,00 m CA-1 PB exclusive escavação e reaterro, inclusive
</t>
    </r>
    <r>
      <rPr>
        <sz val="7"/>
        <rFont val="Arial"/>
        <family val="2"/>
      </rPr>
      <t>transporte do tubo</t>
    </r>
  </si>
  <si>
    <r>
      <rPr>
        <sz val="7"/>
        <rFont val="Arial"/>
        <family val="2"/>
      </rPr>
      <t xml:space="preserve">Corpo BDTC (grota) diâmetro 1,00 m CA-2 MF exclusive escavação e reaterro, inclusive
</t>
    </r>
    <r>
      <rPr>
        <sz val="7"/>
        <rFont val="Arial"/>
        <family val="2"/>
      </rPr>
      <t>transporte do tubo</t>
    </r>
  </si>
  <si>
    <r>
      <rPr>
        <sz val="7"/>
        <rFont val="Arial"/>
        <family val="2"/>
      </rPr>
      <t xml:space="preserve">Corpo BDTC (grota) diâmetro 1,00 m CA-2 PB exclusive escavação e reaterro, inclusive
</t>
    </r>
    <r>
      <rPr>
        <sz val="7"/>
        <rFont val="Arial"/>
        <family val="2"/>
      </rPr>
      <t>transporte do tubo</t>
    </r>
  </si>
  <si>
    <r>
      <rPr>
        <sz val="7"/>
        <rFont val="Arial"/>
        <family val="2"/>
      </rPr>
      <t xml:space="preserve">Corpo BDTC (grota) diâmetro 1,00 m CA-3 MF exclusive escavação e reaterro, inclusive
</t>
    </r>
    <r>
      <rPr>
        <sz val="7"/>
        <rFont val="Arial"/>
        <family val="2"/>
      </rPr>
      <t>transporte do tubo</t>
    </r>
  </si>
  <si>
    <r>
      <rPr>
        <sz val="7"/>
        <rFont val="Arial"/>
        <family val="2"/>
      </rPr>
      <t xml:space="preserve">Corpo BDTC (grota) diâmetro 1,20 m CA-1 MF exclusive escavação e reaterro, inclusive
</t>
    </r>
    <r>
      <rPr>
        <sz val="7"/>
        <rFont val="Arial"/>
        <family val="2"/>
      </rPr>
      <t>transporte do tubo</t>
    </r>
  </si>
  <si>
    <r>
      <rPr>
        <sz val="7"/>
        <rFont val="Arial"/>
        <family val="2"/>
      </rPr>
      <t xml:space="preserve">Corpo BDTC (grota) diâmetro 1,20 m CA-1 PB exclusive escavação e reaterro, inclusive
</t>
    </r>
    <r>
      <rPr>
        <sz val="7"/>
        <rFont val="Arial"/>
        <family val="2"/>
      </rPr>
      <t>transporte do tubo</t>
    </r>
  </si>
  <si>
    <r>
      <rPr>
        <sz val="7"/>
        <rFont val="Arial"/>
        <family val="2"/>
      </rPr>
      <t xml:space="preserve">Corpo BDTC (grota) diâmetro 1,20 m CA-2 MF exclusive escavação e reaterro, inclusive
</t>
    </r>
    <r>
      <rPr>
        <sz val="7"/>
        <rFont val="Arial"/>
        <family val="2"/>
      </rPr>
      <t>transporte do tubo</t>
    </r>
  </si>
  <si>
    <r>
      <rPr>
        <sz val="7"/>
        <rFont val="Arial"/>
        <family val="2"/>
      </rPr>
      <t xml:space="preserve">Corpo BDTC (grota) diâmetro 1,20 m CA-2 PB exclusive escavação e reaterro, inclusive
</t>
    </r>
    <r>
      <rPr>
        <sz val="7"/>
        <rFont val="Arial"/>
        <family val="2"/>
      </rPr>
      <t>transporte do tubo</t>
    </r>
  </si>
  <si>
    <r>
      <rPr>
        <sz val="7"/>
        <rFont val="Arial"/>
        <family val="2"/>
      </rPr>
      <t xml:space="preserve">Corpo BDTC (grota) diâmetro 1,20 m CA-3 MF exclusive escavação e reaterro, inclusive
</t>
    </r>
    <r>
      <rPr>
        <sz val="7"/>
        <rFont val="Arial"/>
        <family val="2"/>
      </rPr>
      <t>transporte do tubo</t>
    </r>
  </si>
  <si>
    <r>
      <rPr>
        <sz val="7"/>
        <rFont val="Arial"/>
        <family val="2"/>
      </rPr>
      <t xml:space="preserve">Corpo BDTC (grota) diâmetro 1,50 m CA-1 MF exclusive escavação e reaterro, inclusive
</t>
    </r>
    <r>
      <rPr>
        <sz val="7"/>
        <rFont val="Arial"/>
        <family val="2"/>
      </rPr>
      <t>transporte do tubo</t>
    </r>
  </si>
  <si>
    <r>
      <rPr>
        <sz val="7"/>
        <rFont val="Arial"/>
        <family val="2"/>
      </rPr>
      <t xml:space="preserve">Corpo BDTC (grota) diâmetro 1,50 m CA-1 PB exclusive escavação e reaterro, inclusive
</t>
    </r>
    <r>
      <rPr>
        <sz val="7"/>
        <rFont val="Arial"/>
        <family val="2"/>
      </rPr>
      <t>transporte do tubo</t>
    </r>
  </si>
  <si>
    <r>
      <rPr>
        <sz val="7"/>
        <rFont val="Arial"/>
        <family val="2"/>
      </rPr>
      <t xml:space="preserve">Corpo BDTC (grota) diâmetro 1,50 m CA-2 MF exclusive escavação e reaterro, inclusive
</t>
    </r>
    <r>
      <rPr>
        <sz val="7"/>
        <rFont val="Arial"/>
        <family val="2"/>
      </rPr>
      <t>transporte do tubo</t>
    </r>
  </si>
  <si>
    <r>
      <rPr>
        <sz val="7"/>
        <rFont val="Arial"/>
        <family val="2"/>
      </rPr>
      <t xml:space="preserve">Corpo BDTC (grota) diâmetro 1,50 m CA-2 PB exclusive escavação e reaterro, inclusive
</t>
    </r>
    <r>
      <rPr>
        <sz val="7"/>
        <rFont val="Arial"/>
        <family val="2"/>
      </rPr>
      <t>transporte do tubo</t>
    </r>
  </si>
  <si>
    <r>
      <rPr>
        <sz val="7"/>
        <rFont val="Arial"/>
        <family val="2"/>
      </rPr>
      <t xml:space="preserve">Corpo BDTC (grota) diâmetro 1,50 m CA-3 MF exclusive escavação e reaterro, inclusive
</t>
    </r>
    <r>
      <rPr>
        <sz val="7"/>
        <rFont val="Arial"/>
        <family val="2"/>
      </rPr>
      <t>transporte do tubo</t>
    </r>
  </si>
  <si>
    <r>
      <rPr>
        <sz val="7"/>
        <rFont val="Arial"/>
        <family val="2"/>
      </rPr>
      <t>Corpo BSTC diâmetro 0,20 m C.S. MF inclusive escavação, reaterro e transporte do tubo</t>
    </r>
  </si>
  <si>
    <r>
      <rPr>
        <sz val="7"/>
        <rFont val="Arial"/>
        <family val="2"/>
      </rPr>
      <t>Corpo BSTC diâmetro 0,20 m C.S. PB inclusive escavação, reaterro e transporte do tubo</t>
    </r>
  </si>
  <si>
    <r>
      <rPr>
        <sz val="7"/>
        <rFont val="Arial"/>
        <family val="2"/>
      </rPr>
      <t>Corpo BSTC diâmetro 0,30 m C.S. MF inclusive escavação, reaterro e transporte do tubo</t>
    </r>
  </si>
  <si>
    <r>
      <rPr>
        <sz val="7"/>
        <rFont val="Arial"/>
        <family val="2"/>
      </rPr>
      <t>Corpo BSTC diâmetro 0,30 m C.S. PB inclusive escavação, reaterro e transporte do tubo</t>
    </r>
  </si>
  <si>
    <r>
      <rPr>
        <sz val="7"/>
        <rFont val="Arial"/>
        <family val="2"/>
      </rPr>
      <t>Corpo BSTC diâmetro 0,40 m C.S. MF inclusive escavação, reaterro e transporte do tubo</t>
    </r>
  </si>
  <si>
    <r>
      <rPr>
        <sz val="7"/>
        <rFont val="Arial"/>
        <family val="2"/>
      </rPr>
      <t>Corpo BSTC diâmetro 0,40 m C.S. PB inclusive escavação, reaterro e transporte do tubo</t>
    </r>
  </si>
  <si>
    <r>
      <rPr>
        <sz val="7"/>
        <rFont val="Arial"/>
        <family val="2"/>
      </rPr>
      <t>Corpo BSTC diâmetro 0,60 m C.S. MF inclusive escavação, reaterro e transporte do tubo</t>
    </r>
  </si>
  <si>
    <r>
      <rPr>
        <sz val="7"/>
        <rFont val="Arial"/>
        <family val="2"/>
      </rPr>
      <t>Corpo BSTC diâmetro 0,60 m C.S. PB inclusive escavação, reaterro e transporte do tubo</t>
    </r>
  </si>
  <si>
    <r>
      <rPr>
        <sz val="7"/>
        <rFont val="Arial"/>
        <family val="2"/>
      </rPr>
      <t xml:space="preserve">Corpo BSTC (greide) diâmetro 0,30 m CA-1 MF inclusive escavação, reaterro e transporte do
</t>
    </r>
    <r>
      <rPr>
        <sz val="7"/>
        <rFont val="Arial"/>
        <family val="2"/>
      </rPr>
      <t>tubo</t>
    </r>
  </si>
  <si>
    <r>
      <rPr>
        <sz val="7"/>
        <rFont val="Arial"/>
        <family val="2"/>
      </rPr>
      <t xml:space="preserve">Corpo BSTC (greide) diâmetro 0,40 m CA-1 MF inclusive escavação, reaterro e transporte do
</t>
    </r>
    <r>
      <rPr>
        <sz val="7"/>
        <rFont val="Arial"/>
        <family val="2"/>
      </rPr>
      <t>tubo</t>
    </r>
  </si>
  <si>
    <r>
      <rPr>
        <sz val="7"/>
        <rFont val="Arial"/>
        <family val="2"/>
      </rPr>
      <t xml:space="preserve">Corpo BSTC (greide) diâmetro 0,40 m CA-2 MF inclusive escavação, reaterro e transporte do
</t>
    </r>
    <r>
      <rPr>
        <sz val="7"/>
        <rFont val="Arial"/>
        <family val="2"/>
      </rPr>
      <t>tubo</t>
    </r>
  </si>
  <si>
    <r>
      <rPr>
        <sz val="7"/>
        <rFont val="Arial"/>
        <family val="2"/>
      </rPr>
      <t xml:space="preserve">Corpo BSTC (greide) diâmetro 0,60 m CA-1 MF inclusive escavação, reaterro e transporte do
</t>
    </r>
    <r>
      <rPr>
        <sz val="7"/>
        <rFont val="Arial"/>
        <family val="2"/>
      </rPr>
      <t>tubo</t>
    </r>
  </si>
  <si>
    <r>
      <rPr>
        <sz val="7"/>
        <rFont val="Arial"/>
        <family val="2"/>
      </rPr>
      <t xml:space="preserve">Corpo BSTC (greide) diâmetro 0,60 m CA-1 PB inclusive escavação, reaterro e transporte do
</t>
    </r>
    <r>
      <rPr>
        <sz val="7"/>
        <rFont val="Arial"/>
        <family val="2"/>
      </rPr>
      <t>tubo</t>
    </r>
  </si>
  <si>
    <r>
      <rPr>
        <sz val="7"/>
        <rFont val="Arial"/>
        <family val="2"/>
      </rPr>
      <t xml:space="preserve">Corpo BSTC (greide) diâmetro 0,60 m CA-2 MF inclusive escavação, reaterro e transporte do
</t>
    </r>
    <r>
      <rPr>
        <sz val="7"/>
        <rFont val="Arial"/>
        <family val="2"/>
      </rPr>
      <t>tubo</t>
    </r>
  </si>
  <si>
    <r>
      <rPr>
        <sz val="7"/>
        <rFont val="Arial"/>
        <family val="2"/>
      </rPr>
      <t xml:space="preserve">Corpo BSTC (greide) diâmetro 0,60 m CA-2 PB inclusive escavação, reaterro e transporte do
</t>
    </r>
    <r>
      <rPr>
        <sz val="7"/>
        <rFont val="Arial"/>
        <family val="2"/>
      </rPr>
      <t>tubo</t>
    </r>
  </si>
  <si>
    <r>
      <rPr>
        <sz val="7"/>
        <rFont val="Arial"/>
        <family val="2"/>
      </rPr>
      <t xml:space="preserve">Corpo BSTC (greide) diâmetro 0,80 m CA-1 MF inclusive escavação, reaterro e transporte do
</t>
    </r>
    <r>
      <rPr>
        <sz val="7"/>
        <rFont val="Arial"/>
        <family val="2"/>
      </rPr>
      <t>tubo</t>
    </r>
  </si>
  <si>
    <r>
      <rPr>
        <sz val="7"/>
        <rFont val="Arial"/>
        <family val="2"/>
      </rPr>
      <t xml:space="preserve">Corpo BSTC (greide) diâmetro 0,80 m CA-1 PB inclusive escavação, reaterro e transporte do
</t>
    </r>
    <r>
      <rPr>
        <sz val="7"/>
        <rFont val="Arial"/>
        <family val="2"/>
      </rPr>
      <t>tubo</t>
    </r>
  </si>
  <si>
    <r>
      <rPr>
        <sz val="7"/>
        <rFont val="Arial"/>
        <family val="2"/>
      </rPr>
      <t xml:space="preserve">Corpo BSTC (greide) diâmetro 0,80 m CA-2 MF inclusive escavação, reaterro e transporte do
</t>
    </r>
    <r>
      <rPr>
        <sz val="7"/>
        <rFont val="Arial"/>
        <family val="2"/>
      </rPr>
      <t>tubo</t>
    </r>
  </si>
  <si>
    <r>
      <rPr>
        <sz val="7"/>
        <rFont val="Arial"/>
        <family val="2"/>
      </rPr>
      <t xml:space="preserve">Corpo BSTC (greide) diâmetro 0,80 m CA-2 PB inclusive escavação, reaterro e transporte do
</t>
    </r>
    <r>
      <rPr>
        <sz val="7"/>
        <rFont val="Arial"/>
        <family val="2"/>
      </rPr>
      <t>tubo</t>
    </r>
  </si>
  <si>
    <r>
      <rPr>
        <sz val="7"/>
        <rFont val="Arial"/>
        <family val="2"/>
      </rPr>
      <t xml:space="preserve">Corpo BSTC (greide) diâmetro 1,00 m CA-1 MF inclusive escavação, reaterro e transporte do
</t>
    </r>
    <r>
      <rPr>
        <sz val="7"/>
        <rFont val="Arial"/>
        <family val="2"/>
      </rPr>
      <t>tubo</t>
    </r>
  </si>
  <si>
    <r>
      <rPr>
        <sz val="7"/>
        <rFont val="Arial"/>
        <family val="2"/>
      </rPr>
      <t xml:space="preserve">Corpo BSTC (greide) diâmetro 1,00 m CA-1 PB inclusive escavação, reaterro e transporte do
</t>
    </r>
    <r>
      <rPr>
        <sz val="7"/>
        <rFont val="Arial"/>
        <family val="2"/>
      </rPr>
      <t>tubo</t>
    </r>
  </si>
  <si>
    <r>
      <rPr>
        <sz val="7"/>
        <rFont val="Arial"/>
        <family val="2"/>
      </rPr>
      <t xml:space="preserve">Corpo BSTC (greide) diâmetro 1,00 m CA-2 MF inclusive escavação, reaterro e transporte do
</t>
    </r>
    <r>
      <rPr>
        <sz val="7"/>
        <rFont val="Arial"/>
        <family val="2"/>
      </rPr>
      <t>tubo</t>
    </r>
  </si>
  <si>
    <r>
      <rPr>
        <sz val="7"/>
        <rFont val="Arial"/>
        <family val="2"/>
      </rPr>
      <t xml:space="preserve">Corpo BSTC (greide) diâmetro 1,00 m CA-2 PB inclusive escavação, reaterro e transporte do
</t>
    </r>
    <r>
      <rPr>
        <sz val="7"/>
        <rFont val="Arial"/>
        <family val="2"/>
      </rPr>
      <t>tubo</t>
    </r>
  </si>
  <si>
    <r>
      <rPr>
        <sz val="7"/>
        <rFont val="Arial"/>
        <family val="2"/>
      </rPr>
      <t xml:space="preserve">Corpo BSTC (greide) diâmetro 1,20 m CA-1 MF inclusive escavação, reaterro e transporte do
</t>
    </r>
    <r>
      <rPr>
        <sz val="7"/>
        <rFont val="Arial"/>
        <family val="2"/>
      </rPr>
      <t>tubo</t>
    </r>
  </si>
  <si>
    <r>
      <rPr>
        <sz val="7"/>
        <rFont val="Arial"/>
        <family val="2"/>
      </rPr>
      <t xml:space="preserve">Corpo BSTC (greide) diâmetro 1,20 m CA-1 PB inclusive escavação, reaterro e transporte do
</t>
    </r>
    <r>
      <rPr>
        <sz val="7"/>
        <rFont val="Arial"/>
        <family val="2"/>
      </rPr>
      <t>tubo</t>
    </r>
  </si>
  <si>
    <r>
      <rPr>
        <sz val="7"/>
        <rFont val="Arial"/>
        <family val="2"/>
      </rPr>
      <t xml:space="preserve">Corpo BSTC (greide) diâmetro 1,20 m CA-2 MF inclusive escavação, reaterro e transporte do
</t>
    </r>
    <r>
      <rPr>
        <sz val="7"/>
        <rFont val="Arial"/>
        <family val="2"/>
      </rPr>
      <t>tubo</t>
    </r>
  </si>
  <si>
    <r>
      <rPr>
        <sz val="7"/>
        <rFont val="Arial"/>
        <family val="2"/>
      </rPr>
      <t xml:space="preserve">Corpo BSTC (greide) diâmetro 1,20 m CA-2 PB inclusive escavação, reaterro e transporte do
</t>
    </r>
    <r>
      <rPr>
        <sz val="7"/>
        <rFont val="Arial"/>
        <family val="2"/>
      </rPr>
      <t>tubo</t>
    </r>
  </si>
  <si>
    <r>
      <rPr>
        <sz val="7"/>
        <rFont val="Arial"/>
        <family val="2"/>
      </rPr>
      <t xml:space="preserve">Corpo BSTC (grota) diâmetro 0,60 m CA-1 MF exclusive escavação e reaterro, inclusive
</t>
    </r>
    <r>
      <rPr>
        <sz val="7"/>
        <rFont val="Arial"/>
        <family val="2"/>
      </rPr>
      <t>transporte do tubo</t>
    </r>
  </si>
  <si>
    <r>
      <rPr>
        <sz val="7"/>
        <rFont val="Arial"/>
        <family val="2"/>
      </rPr>
      <t xml:space="preserve">Corpo BSTC (grota) diâmetro 0,60 m CA-1 PB exclusive escavação e reaterro, inclusive
</t>
    </r>
    <r>
      <rPr>
        <sz val="7"/>
        <rFont val="Arial"/>
        <family val="2"/>
      </rPr>
      <t>transporte do tubo</t>
    </r>
  </si>
  <si>
    <r>
      <rPr>
        <sz val="7"/>
        <rFont val="Arial"/>
        <family val="2"/>
      </rPr>
      <t xml:space="preserve">Corpo BSTC (grota) diâmetro 0,60 m CA-2 MF exclusive escavação e reaterro, inclusive
</t>
    </r>
    <r>
      <rPr>
        <sz val="7"/>
        <rFont val="Arial"/>
        <family val="2"/>
      </rPr>
      <t>transporte do tubo</t>
    </r>
  </si>
  <si>
    <r>
      <rPr>
        <sz val="7"/>
        <rFont val="Arial"/>
        <family val="2"/>
      </rPr>
      <t xml:space="preserve">Corpo BSTC (grota) diâmetro 0,60 m CA-2 PB exclusive escavação e reaterro, inclusive
</t>
    </r>
    <r>
      <rPr>
        <sz val="7"/>
        <rFont val="Arial"/>
        <family val="2"/>
      </rPr>
      <t>transporte do tubo</t>
    </r>
  </si>
  <si>
    <r>
      <rPr>
        <sz val="7"/>
        <rFont val="Arial"/>
        <family val="2"/>
      </rPr>
      <t xml:space="preserve">Corpo BSTC (grota) diâmetro 0,80 m CA-1 MF exclusive escavação e reaterro, inclusive
</t>
    </r>
    <r>
      <rPr>
        <sz val="7"/>
        <rFont val="Arial"/>
        <family val="2"/>
      </rPr>
      <t>transporte do tubo</t>
    </r>
  </si>
  <si>
    <r>
      <rPr>
        <sz val="7"/>
        <rFont val="Arial"/>
        <family val="2"/>
      </rPr>
      <t xml:space="preserve">Corpo BSTC (grota) diâmetro 0,80 m CA-1 PB exclusive escavação e reaterro, inclusive
</t>
    </r>
    <r>
      <rPr>
        <sz val="7"/>
        <rFont val="Arial"/>
        <family val="2"/>
      </rPr>
      <t>transporte do tubo</t>
    </r>
  </si>
  <si>
    <r>
      <rPr>
        <sz val="7"/>
        <rFont val="Arial"/>
        <family val="2"/>
      </rPr>
      <t xml:space="preserve">Corpo BSTC (grota) diâmetro 0,80 m CA-2 MF exclusive escavação e reaterro, inclusive
</t>
    </r>
    <r>
      <rPr>
        <sz val="7"/>
        <rFont val="Arial"/>
        <family val="2"/>
      </rPr>
      <t>transporte do tubo</t>
    </r>
  </si>
  <si>
    <r>
      <rPr>
        <sz val="7"/>
        <rFont val="Arial"/>
        <family val="2"/>
      </rPr>
      <t xml:space="preserve">Corpo BSTC (grota) diâmetro 0,80 m CA-2 PB exclusive escavação e reaterro, inclusive
</t>
    </r>
    <r>
      <rPr>
        <sz val="7"/>
        <rFont val="Arial"/>
        <family val="2"/>
      </rPr>
      <t>transporte do tubo</t>
    </r>
  </si>
  <si>
    <r>
      <rPr>
        <sz val="7"/>
        <rFont val="Arial"/>
        <family val="2"/>
      </rPr>
      <t xml:space="preserve">Corpo BSTC (grota) diâmetro 1,00 m CA-1 MF exclusive escavação e reaterro, inclusive
</t>
    </r>
    <r>
      <rPr>
        <sz val="7"/>
        <rFont val="Arial"/>
        <family val="2"/>
      </rPr>
      <t>transporte do tubo</t>
    </r>
  </si>
  <si>
    <r>
      <rPr>
        <sz val="7"/>
        <rFont val="Arial"/>
        <family val="2"/>
      </rPr>
      <t xml:space="preserve">Corpo BSTC (grota) diâmetro 1,00 m CA-1 PB exclusive escavação e reaterro, inclusive
</t>
    </r>
    <r>
      <rPr>
        <sz val="7"/>
        <rFont val="Arial"/>
        <family val="2"/>
      </rPr>
      <t>transporte do tubo</t>
    </r>
  </si>
  <si>
    <r>
      <rPr>
        <sz val="7"/>
        <rFont val="Arial"/>
        <family val="2"/>
      </rPr>
      <t xml:space="preserve">Corpo BSTC (grota) diâmetro 1,00 m CA-2 MF exclusive escavação e reaterro, inclusive
</t>
    </r>
    <r>
      <rPr>
        <sz val="7"/>
        <rFont val="Arial"/>
        <family val="2"/>
      </rPr>
      <t>transporte do tubo</t>
    </r>
  </si>
  <si>
    <r>
      <rPr>
        <sz val="7"/>
        <rFont val="Arial"/>
        <family val="2"/>
      </rPr>
      <t xml:space="preserve">Corpo BSTC (grota) diâmetro 1,00 m CA-2 PB exclusive escavação e reaterro, inclusive
</t>
    </r>
    <r>
      <rPr>
        <sz val="7"/>
        <rFont val="Arial"/>
        <family val="2"/>
      </rPr>
      <t>transporte do tubo</t>
    </r>
  </si>
  <si>
    <r>
      <rPr>
        <sz val="7"/>
        <rFont val="Arial"/>
        <family val="2"/>
      </rPr>
      <t xml:space="preserve">Corpo BSTC (grota) diâmetro 1,00 m CA-3 MF exclusive escavação e reaterro, inclusive
</t>
    </r>
    <r>
      <rPr>
        <sz val="7"/>
        <rFont val="Arial"/>
        <family val="2"/>
      </rPr>
      <t>transporte do tubo</t>
    </r>
  </si>
  <si>
    <r>
      <rPr>
        <sz val="7"/>
        <rFont val="Arial"/>
        <family val="2"/>
      </rPr>
      <t xml:space="preserve">Corpo BSTC (grota) diâmetro 1,20 m CA-1 MF exclusive escavação e reaterro, inclusive
</t>
    </r>
    <r>
      <rPr>
        <sz val="7"/>
        <rFont val="Arial"/>
        <family val="2"/>
      </rPr>
      <t>transporte do tubo</t>
    </r>
  </si>
  <si>
    <r>
      <rPr>
        <sz val="7"/>
        <rFont val="Arial"/>
        <family val="2"/>
      </rPr>
      <t xml:space="preserve">Corpo BSTC (grota) diâmetro 1,20 m CA-1 PB exclusive escavação e reaterro, inclusive
</t>
    </r>
    <r>
      <rPr>
        <sz val="7"/>
        <rFont val="Arial"/>
        <family val="2"/>
      </rPr>
      <t>transporte do tubo</t>
    </r>
  </si>
  <si>
    <r>
      <rPr>
        <sz val="7"/>
        <rFont val="Arial"/>
        <family val="2"/>
      </rPr>
      <t xml:space="preserve">Corpo BSTC (grota) diâmetro 1,20 m CA-2 MF exclusive escavação e reaterro, inclusive
</t>
    </r>
    <r>
      <rPr>
        <sz val="7"/>
        <rFont val="Arial"/>
        <family val="2"/>
      </rPr>
      <t>transporte do tubo</t>
    </r>
  </si>
  <si>
    <r>
      <rPr>
        <sz val="7"/>
        <rFont val="Arial"/>
        <family val="2"/>
      </rPr>
      <t xml:space="preserve">Corpo BSTC (grota) diâmetro 1,20 m CA-2 PB exclusive escavação e reaterro, inclusive
</t>
    </r>
    <r>
      <rPr>
        <sz val="7"/>
        <rFont val="Arial"/>
        <family val="2"/>
      </rPr>
      <t>transporte do tubo</t>
    </r>
  </si>
  <si>
    <r>
      <rPr>
        <sz val="7"/>
        <rFont val="Arial"/>
        <family val="2"/>
      </rPr>
      <t xml:space="preserve">Corpo BSTC (grota) diâmetro 1,20 m CA-3 MF exclusive escavação e reaterro, inclusive
</t>
    </r>
    <r>
      <rPr>
        <sz val="7"/>
        <rFont val="Arial"/>
        <family val="2"/>
      </rPr>
      <t>transporte do tubo</t>
    </r>
  </si>
  <si>
    <r>
      <rPr>
        <sz val="7"/>
        <rFont val="Arial"/>
        <family val="2"/>
      </rPr>
      <t xml:space="preserve">Corpo BSTC (grota) diâmetro 1,50 m CA-1 MF exclusive escavação e reaterro, inclusive
</t>
    </r>
    <r>
      <rPr>
        <sz val="7"/>
        <rFont val="Arial"/>
        <family val="2"/>
      </rPr>
      <t>transporte do tubo</t>
    </r>
  </si>
  <si>
    <r>
      <rPr>
        <sz val="7"/>
        <rFont val="Arial"/>
        <family val="2"/>
      </rPr>
      <t xml:space="preserve">Corpo BSTC (grota) diâmetro 1,50 m CA-1 PB exclusive escavação e reaterro, inclusive
</t>
    </r>
    <r>
      <rPr>
        <sz val="7"/>
        <rFont val="Arial"/>
        <family val="2"/>
      </rPr>
      <t>transporte do tubo</t>
    </r>
  </si>
  <si>
    <r>
      <rPr>
        <sz val="7"/>
        <rFont val="Arial"/>
        <family val="2"/>
      </rPr>
      <t xml:space="preserve">Corpo BSTC (grota) diâmetro 1,50 m CA-2 MF exclusive escavação e reaterro, inclusive
</t>
    </r>
    <r>
      <rPr>
        <sz val="7"/>
        <rFont val="Arial"/>
        <family val="2"/>
      </rPr>
      <t>transporte do tubo</t>
    </r>
  </si>
  <si>
    <r>
      <rPr>
        <sz val="7"/>
        <rFont val="Arial"/>
        <family val="2"/>
      </rPr>
      <t xml:space="preserve">Corpo BSTC (grota) diâmetro 1,50 m CA-2 PB exclusive escavação e reaterro, inclusive
</t>
    </r>
    <r>
      <rPr>
        <sz val="7"/>
        <rFont val="Arial"/>
        <family val="2"/>
      </rPr>
      <t>transporte do tubo</t>
    </r>
  </si>
  <si>
    <r>
      <rPr>
        <sz val="7"/>
        <rFont val="Arial"/>
        <family val="2"/>
      </rPr>
      <t xml:space="preserve">Corpo BSTC (grota) diâmetro 1,50 m CA-3 MF exclusive escavação e reaterro, inclusive
</t>
    </r>
    <r>
      <rPr>
        <sz val="7"/>
        <rFont val="Arial"/>
        <family val="2"/>
      </rPr>
      <t>transporte do tubo</t>
    </r>
  </si>
  <si>
    <r>
      <rPr>
        <sz val="7"/>
        <rFont val="Arial"/>
        <family val="2"/>
      </rPr>
      <t xml:space="preserve">Corpo BTTC (grota) diâmetro 0,60 m CA-1 MF exclusive escavação e reaterro, inclusive
</t>
    </r>
    <r>
      <rPr>
        <sz val="7"/>
        <rFont val="Arial"/>
        <family val="2"/>
      </rPr>
      <t>transporte do tubo</t>
    </r>
  </si>
  <si>
    <r>
      <rPr>
        <sz val="7"/>
        <rFont val="Arial"/>
        <family val="2"/>
      </rPr>
      <t xml:space="preserve">Corpo BTTC (grota) diâmetro 0,60 m CA-1 PB exclusive escavação e reaterro, inclusive
</t>
    </r>
    <r>
      <rPr>
        <sz val="7"/>
        <rFont val="Arial"/>
        <family val="2"/>
      </rPr>
      <t>transporte do tubo</t>
    </r>
  </si>
  <si>
    <r>
      <rPr>
        <sz val="7"/>
        <rFont val="Arial"/>
        <family val="2"/>
      </rPr>
      <t xml:space="preserve">Corpo BTTC (grota) diâmetro 0,60 m CA-2 MF exclusive escavação e reaterro, inclusive
</t>
    </r>
    <r>
      <rPr>
        <sz val="7"/>
        <rFont val="Arial"/>
        <family val="2"/>
      </rPr>
      <t>transporte do tubo</t>
    </r>
  </si>
  <si>
    <r>
      <rPr>
        <sz val="7"/>
        <rFont val="Arial"/>
        <family val="2"/>
      </rPr>
      <t xml:space="preserve">Corpo BTTC (grota) diâmetro 0,60 m CA-2 PB exclusive escavação e reaterro, inclusive
</t>
    </r>
    <r>
      <rPr>
        <sz val="7"/>
        <rFont val="Arial"/>
        <family val="2"/>
      </rPr>
      <t>transporte do tubo</t>
    </r>
  </si>
  <si>
    <r>
      <rPr>
        <sz val="7"/>
        <rFont val="Arial"/>
        <family val="2"/>
      </rPr>
      <t xml:space="preserve">Corpo BTTC (grota) diâmetro 0,80 m CA-1 MF exclusive escavação e reaterro, inclusive
</t>
    </r>
    <r>
      <rPr>
        <sz val="7"/>
        <rFont val="Arial"/>
        <family val="2"/>
      </rPr>
      <t>transporte do tubo</t>
    </r>
  </si>
  <si>
    <r>
      <rPr>
        <sz val="7"/>
        <rFont val="Arial"/>
        <family val="2"/>
      </rPr>
      <t xml:space="preserve">Corpo BTTC (grota) diâmetro 0,80 m CA-1 PB exclusive escavação e reaterro, inclusive
</t>
    </r>
    <r>
      <rPr>
        <sz val="7"/>
        <rFont val="Arial"/>
        <family val="2"/>
      </rPr>
      <t>transporte do tubo</t>
    </r>
  </si>
  <si>
    <r>
      <rPr>
        <sz val="7"/>
        <rFont val="Arial"/>
        <family val="2"/>
      </rPr>
      <t xml:space="preserve">Corpo BTTC (grota) diâmetro 0,80 m CA-2 MF exclusive escavação e reaterro, inclusive
</t>
    </r>
    <r>
      <rPr>
        <sz val="7"/>
        <rFont val="Arial"/>
        <family val="2"/>
      </rPr>
      <t>transporte do tubo</t>
    </r>
  </si>
  <si>
    <r>
      <rPr>
        <sz val="7"/>
        <rFont val="Arial"/>
        <family val="2"/>
      </rPr>
      <t xml:space="preserve">Corpo BTTC (grota) diâmetro 0,80 m CA-2 PB exclusive escavação e reaterro, inclusive
</t>
    </r>
    <r>
      <rPr>
        <sz val="7"/>
        <rFont val="Arial"/>
        <family val="2"/>
      </rPr>
      <t>transporte do tubo</t>
    </r>
  </si>
  <si>
    <r>
      <rPr>
        <sz val="7"/>
        <rFont val="Arial"/>
        <family val="2"/>
      </rPr>
      <t xml:space="preserve">Corpo BTTC (grota) diâmetro 1,00 m CA-1 MF exclusive escavação e reaterro, inclusive
</t>
    </r>
    <r>
      <rPr>
        <sz val="7"/>
        <rFont val="Arial"/>
        <family val="2"/>
      </rPr>
      <t>transporte do tubo</t>
    </r>
  </si>
  <si>
    <r>
      <rPr>
        <sz val="7"/>
        <rFont val="Arial"/>
        <family val="2"/>
      </rPr>
      <t xml:space="preserve">Corpo BTTC (grota) diâmetro 1,00 m CA-1 PB exclusive escavação e reaterro, inclusive
</t>
    </r>
    <r>
      <rPr>
        <sz val="7"/>
        <rFont val="Arial"/>
        <family val="2"/>
      </rPr>
      <t>transporte do tubo</t>
    </r>
  </si>
  <si>
    <r>
      <rPr>
        <sz val="7"/>
        <rFont val="Arial"/>
        <family val="2"/>
      </rPr>
      <t xml:space="preserve">Corpo BTTC (grota) diâmetro 1,00 m CA-2 MF exclusive escavação e reaterro, inclusive
</t>
    </r>
    <r>
      <rPr>
        <sz val="7"/>
        <rFont val="Arial"/>
        <family val="2"/>
      </rPr>
      <t>transporte do tubo</t>
    </r>
  </si>
  <si>
    <r>
      <rPr>
        <sz val="7"/>
        <rFont val="Arial"/>
        <family val="2"/>
      </rPr>
      <t xml:space="preserve">Corpo BTTC (grota) diâmetro 1,00 m CA-2 PB exclusive escavação e reaterro, inclusive
</t>
    </r>
    <r>
      <rPr>
        <sz val="7"/>
        <rFont val="Arial"/>
        <family val="2"/>
      </rPr>
      <t>transporte do tubo</t>
    </r>
  </si>
  <si>
    <r>
      <rPr>
        <sz val="7"/>
        <rFont val="Arial"/>
        <family val="2"/>
      </rPr>
      <t xml:space="preserve">Corpo BTTC (grota) diâmetro 1,00 m CA-3 MF exclusive escavação e reaterro, inclusive
</t>
    </r>
    <r>
      <rPr>
        <sz val="7"/>
        <rFont val="Arial"/>
        <family val="2"/>
      </rPr>
      <t>transporte do tubo</t>
    </r>
  </si>
  <si>
    <r>
      <rPr>
        <sz val="7"/>
        <rFont val="Arial"/>
        <family val="2"/>
      </rPr>
      <t xml:space="preserve">Corpo BTTC (grota) diâmetro 1,20 m CA-1 MF exclusive escavação e reaterro, inclusive
</t>
    </r>
    <r>
      <rPr>
        <sz val="7"/>
        <rFont val="Arial"/>
        <family val="2"/>
      </rPr>
      <t>transporte do tubo</t>
    </r>
  </si>
  <si>
    <r>
      <rPr>
        <sz val="7"/>
        <rFont val="Arial"/>
        <family val="2"/>
      </rPr>
      <t xml:space="preserve">Corpo BTTC (grota) diâmetro 1,20 m CA-1 PB exclusive escavação e reaterro, inclusive
</t>
    </r>
    <r>
      <rPr>
        <sz val="7"/>
        <rFont val="Arial"/>
        <family val="2"/>
      </rPr>
      <t>transporte do tubo</t>
    </r>
  </si>
  <si>
    <r>
      <rPr>
        <sz val="7"/>
        <rFont val="Arial"/>
        <family val="2"/>
      </rPr>
      <t xml:space="preserve">Corpo BTTC (grota) diâmetro 1,20 m CA-2 MF exclusive escavação e reaterro, inclusive
</t>
    </r>
    <r>
      <rPr>
        <sz val="7"/>
        <rFont val="Arial"/>
        <family val="2"/>
      </rPr>
      <t>transporte do tubo</t>
    </r>
  </si>
  <si>
    <r>
      <rPr>
        <sz val="7"/>
        <rFont val="Arial"/>
        <family val="2"/>
      </rPr>
      <t xml:space="preserve">Corpo BTTC (grota) diâmetro 1,20 m CA-2 PB exclusive escavação e reaterro, inclusive
</t>
    </r>
    <r>
      <rPr>
        <sz val="7"/>
        <rFont val="Arial"/>
        <family val="2"/>
      </rPr>
      <t>transporte do tubo</t>
    </r>
  </si>
  <si>
    <r>
      <rPr>
        <sz val="7"/>
        <rFont val="Arial"/>
        <family val="2"/>
      </rPr>
      <t xml:space="preserve">Corpo BTTC (grota) diâmetro 1,20 m CA-3 MF exclusive escavação e reaterro, inclusive
</t>
    </r>
    <r>
      <rPr>
        <sz val="7"/>
        <rFont val="Arial"/>
        <family val="2"/>
      </rPr>
      <t>transporte do tubo</t>
    </r>
  </si>
  <si>
    <r>
      <rPr>
        <sz val="7"/>
        <rFont val="Arial"/>
        <family val="2"/>
      </rPr>
      <t xml:space="preserve">Corpo BTTC (grota) diâmetro 1,50 m CA-1 MF exclusive escavação e reaterro, inclusive
</t>
    </r>
    <r>
      <rPr>
        <sz val="7"/>
        <rFont val="Arial"/>
        <family val="2"/>
      </rPr>
      <t>transporte do tubo</t>
    </r>
  </si>
  <si>
    <r>
      <rPr>
        <sz val="7"/>
        <rFont val="Arial"/>
        <family val="2"/>
      </rPr>
      <t xml:space="preserve">Corpo BTTC (grota) diâmetro 1,50 m CA-1 PB exclusive escavação e reaterro, inclusive
</t>
    </r>
    <r>
      <rPr>
        <sz val="7"/>
        <rFont val="Arial"/>
        <family val="2"/>
      </rPr>
      <t>transporte do tubo</t>
    </r>
  </si>
  <si>
    <r>
      <rPr>
        <sz val="7"/>
        <rFont val="Arial"/>
        <family val="2"/>
      </rPr>
      <t xml:space="preserve">Corpo BTTC (grota) diâmetro 1,50 m CA-2 MF exclusive escavação e reaterro, inclusive
</t>
    </r>
    <r>
      <rPr>
        <sz val="7"/>
        <rFont val="Arial"/>
        <family val="2"/>
      </rPr>
      <t>transporte do tubo</t>
    </r>
  </si>
  <si>
    <r>
      <rPr>
        <sz val="7"/>
        <rFont val="Arial"/>
        <family val="2"/>
      </rPr>
      <t xml:space="preserve">Corpo BTTC (grota) diâmetro 1,50 m CA-2 PB exclusive escavação e reaterro, inclusive
</t>
    </r>
    <r>
      <rPr>
        <sz val="7"/>
        <rFont val="Arial"/>
        <family val="2"/>
      </rPr>
      <t>transporte do tubo</t>
    </r>
  </si>
  <si>
    <r>
      <rPr>
        <sz val="7"/>
        <rFont val="Arial"/>
        <family val="2"/>
      </rPr>
      <t xml:space="preserve">Corpo BTTC (grota) diâmetro 1,50 m CA-3 MF exclusive escavação e reaterro, inclusive
</t>
    </r>
    <r>
      <rPr>
        <sz val="7"/>
        <rFont val="Arial"/>
        <family val="2"/>
      </rPr>
      <t>transporte do tubo</t>
    </r>
  </si>
  <si>
    <r>
      <rPr>
        <sz val="7"/>
        <rFont val="Arial"/>
        <family val="2"/>
      </rPr>
      <t>Corpo de BDCC 1,50 x 1,50 m projeto DNIT para H &lt; = 2,50 m</t>
    </r>
  </si>
  <si>
    <r>
      <rPr>
        <sz val="7"/>
        <rFont val="Arial"/>
        <family val="2"/>
      </rPr>
      <t>Corpo de BDCC 1,50 x 1,50 m projeto DNIT para 2,50 &lt; H &lt; 5,00 m</t>
    </r>
  </si>
  <si>
    <r>
      <rPr>
        <sz val="7"/>
        <rFont val="Arial"/>
        <family val="2"/>
      </rPr>
      <t>Corpo de BDCC 2,00 x 1,20 m -  tudo incluido conforme projeto</t>
    </r>
  </si>
  <si>
    <r>
      <rPr>
        <sz val="7"/>
        <rFont val="Arial"/>
        <family val="2"/>
      </rPr>
      <t>Corpo de BDCC 2,00 x 2,00 m projeto DNIT para H &lt; = 2,50 m</t>
    </r>
  </si>
  <si>
    <r>
      <rPr>
        <sz val="7"/>
        <rFont val="Arial"/>
        <family val="2"/>
      </rPr>
      <t>Corpo de BDCC 2,00 x 2,00 m projeto DNIT para 2,50 &lt; H &lt;5,00 m</t>
    </r>
  </si>
  <si>
    <r>
      <rPr>
        <sz val="7"/>
        <rFont val="Arial"/>
        <family val="2"/>
      </rPr>
      <t>Corpo de BDCC 2,00 x 3,00 m projeto DNIT para H &lt; = 2,50 m</t>
    </r>
  </si>
  <si>
    <r>
      <rPr>
        <sz val="7"/>
        <rFont val="Arial"/>
        <family val="2"/>
      </rPr>
      <t>Corpo de BDCC 2,00 x 3,00 m projeto DNIT para 2,50 &lt; H &lt; 5,00 m</t>
    </r>
  </si>
  <si>
    <r>
      <rPr>
        <sz val="7"/>
        <rFont val="Arial"/>
        <family val="2"/>
      </rPr>
      <t>Corpo de BDCC 2,50 x 2,00 m - tudo incluído conforme projeto</t>
    </r>
  </si>
  <si>
    <r>
      <rPr>
        <sz val="7"/>
        <rFont val="Arial"/>
        <family val="2"/>
      </rPr>
      <t>Corpo de BDCC 2,50 x 2,50 m projeto DNIT para H &lt; = 2,50 m</t>
    </r>
  </si>
  <si>
    <r>
      <rPr>
        <sz val="7"/>
        <rFont val="Arial"/>
        <family val="2"/>
      </rPr>
      <t>Corpo de BDCC 2,50 x 2,50 m projeto DNIT para 2,50 &lt; H &lt; 5,00 m</t>
    </r>
  </si>
  <si>
    <r>
      <rPr>
        <sz val="7"/>
        <rFont val="Arial"/>
        <family val="2"/>
      </rPr>
      <t>Corpo de BDCC 2,50 x 3,00 m projeto DNIT para H &lt; = 2,50 m</t>
    </r>
  </si>
  <si>
    <r>
      <rPr>
        <sz val="7"/>
        <rFont val="Arial"/>
        <family val="2"/>
      </rPr>
      <t>Corpo de BDCC 2,50 x 3,00 m projeto DNIT para 2,50 &lt; H &lt; 5,00 m</t>
    </r>
  </si>
  <si>
    <r>
      <rPr>
        <sz val="7"/>
        <rFont val="Arial"/>
        <family val="2"/>
      </rPr>
      <t>Corpo de BDCC 3,00 x 3,00 m projeto DNIT para H &lt; = 2,50 m</t>
    </r>
  </si>
  <si>
    <r>
      <rPr>
        <sz val="7"/>
        <rFont val="Arial"/>
        <family val="2"/>
      </rPr>
      <t>Corpo de BDCC 3,00 x 3,00 m projeto DNIT para 2,50 &lt; H &lt; 5,00 m</t>
    </r>
  </si>
  <si>
    <r>
      <rPr>
        <sz val="7"/>
        <rFont val="Arial"/>
        <family val="2"/>
      </rPr>
      <t>Corpo de BSCC 1,50 x 1,50 m projeto DNIT para H &lt; = 2,50 m</t>
    </r>
  </si>
  <si>
    <r>
      <rPr>
        <sz val="7"/>
        <rFont val="Arial"/>
        <family val="2"/>
      </rPr>
      <t>Corpo de BSCC 1,50 x 1,50 m projeto DNIT para 2,50 &lt; H &lt; 5,00 m</t>
    </r>
  </si>
  <si>
    <r>
      <rPr>
        <sz val="7"/>
        <rFont val="Arial"/>
        <family val="2"/>
      </rPr>
      <t>Corpo de BSCC 2,00 x 2,00 m projeto DNIT para  5,00 &lt; H &lt; 7,50 m</t>
    </r>
  </si>
  <si>
    <r>
      <rPr>
        <sz val="7"/>
        <rFont val="Arial"/>
        <family val="2"/>
      </rPr>
      <t>Corpo de BSCC 2,00 x 2,00 m projeto DNIT para H &lt; = 2,50 m</t>
    </r>
  </si>
  <si>
    <r>
      <rPr>
        <sz val="7"/>
        <rFont val="Arial"/>
        <family val="2"/>
      </rPr>
      <t>Corpo de BSCC 2,00 x 2,00 m projeto DNIT para 2,50 &lt; H &lt; 5,00 m</t>
    </r>
  </si>
  <si>
    <r>
      <rPr>
        <sz val="7"/>
        <rFont val="Arial"/>
        <family val="2"/>
      </rPr>
      <t>Corpo de BSCC 2,00 x 3,00 m projeto DNIT para H &lt; = 2,50 m</t>
    </r>
  </si>
  <si>
    <r>
      <rPr>
        <sz val="7"/>
        <rFont val="Arial"/>
        <family val="2"/>
      </rPr>
      <t>Corpo de BSCC 2,00 x 3,00 m projeto DNIT para 2,50 &lt; H &lt; 5,00 m</t>
    </r>
  </si>
  <si>
    <r>
      <rPr>
        <sz val="7"/>
        <rFont val="Arial"/>
        <family val="2"/>
      </rPr>
      <t>Corpo de BSCC 2,50 x 2,50 m projeto DNIT para H &lt; = 2,50 m</t>
    </r>
  </si>
  <si>
    <r>
      <rPr>
        <sz val="7"/>
        <rFont val="Arial"/>
        <family val="2"/>
      </rPr>
      <t>Corpo de BSCC 2,50 x 2,50 m projeto DNIT para 2,50 &lt; H &lt; 5,00 m</t>
    </r>
  </si>
  <si>
    <r>
      <rPr>
        <sz val="7"/>
        <rFont val="Arial"/>
        <family val="2"/>
      </rPr>
      <t>Corpo de BSCC 2,50 x 3,00 m projeto DNIT para H &lt; = 2,50 m</t>
    </r>
  </si>
  <si>
    <r>
      <rPr>
        <sz val="7"/>
        <rFont val="Arial"/>
        <family val="2"/>
      </rPr>
      <t>Corpo de BSCC 2,50 x 3,00 m projeto DNIT para 2,50 &lt; H &lt; 5,00 m</t>
    </r>
  </si>
  <si>
    <r>
      <rPr>
        <sz val="7"/>
        <rFont val="Arial"/>
        <family val="2"/>
      </rPr>
      <t>Corpo de BSCC 3,00 x 3,00 m projeto DNIT para H &lt; = 2,50 m</t>
    </r>
  </si>
  <si>
    <r>
      <rPr>
        <sz val="7"/>
        <rFont val="Arial"/>
        <family val="2"/>
      </rPr>
      <t>Corpo de BSCC 3,00 x 3,00 m projeto DNIT para 2,50 &lt; H &lt; 5,00 m</t>
    </r>
  </si>
  <si>
    <r>
      <rPr>
        <sz val="7"/>
        <rFont val="Arial"/>
        <family val="2"/>
      </rPr>
      <t>Corpo de BTCC 1,50 x 1,50 m projeto DNIT para H &lt; = 2,50 m</t>
    </r>
  </si>
  <si>
    <r>
      <rPr>
        <sz val="7"/>
        <rFont val="Arial"/>
        <family val="2"/>
      </rPr>
      <t>Corpo de BTCC 1,50 x 1,50 m projeto DNIT para 2,50 &lt; H &lt; 5,00 m</t>
    </r>
  </si>
  <si>
    <r>
      <rPr>
        <sz val="7"/>
        <rFont val="Arial"/>
        <family val="2"/>
      </rPr>
      <t>Corpo de BTCC 2,00 x 2,00 m projeto DNIT para H &lt; = 2,50 m</t>
    </r>
  </si>
  <si>
    <r>
      <rPr>
        <sz val="7"/>
        <rFont val="Arial"/>
        <family val="2"/>
      </rPr>
      <t>Corpo de BTCC 2,00 x 2,00 m projeto DNIT para 2,50 &lt; H &lt; 5,00 m</t>
    </r>
  </si>
  <si>
    <r>
      <rPr>
        <sz val="7"/>
        <rFont val="Arial"/>
        <family val="2"/>
      </rPr>
      <t>Corpo de BTCC 2,00 x 3,00 m projeto DNIT para H &lt; = 2,50 m</t>
    </r>
  </si>
  <si>
    <r>
      <rPr>
        <sz val="7"/>
        <rFont val="Arial"/>
        <family val="2"/>
      </rPr>
      <t>Corpo de BTCC 2,00 x 3,00 m projeto DNIT para 2,50 &lt; H &lt; 5,00 m</t>
    </r>
  </si>
  <si>
    <r>
      <rPr>
        <sz val="7"/>
        <rFont val="Arial"/>
        <family val="2"/>
      </rPr>
      <t>Corpo de BTCC 2,50 x 2,50 m projeto DNIT para H &lt; = 2,50 m</t>
    </r>
  </si>
  <si>
    <r>
      <rPr>
        <sz val="7"/>
        <rFont val="Arial"/>
        <family val="2"/>
      </rPr>
      <t>Corpo de BTCC 2,50 x 2,50 m projeto DNIT para 2,50 &lt; H &lt; 5,00 m</t>
    </r>
  </si>
  <si>
    <r>
      <rPr>
        <sz val="7"/>
        <rFont val="Arial"/>
        <family val="2"/>
      </rPr>
      <t>Corpo de BTCC 2,50 x 3,00 m projeto DNIT para H &lt; = 2,50 m</t>
    </r>
  </si>
  <si>
    <r>
      <rPr>
        <sz val="7"/>
        <rFont val="Arial"/>
        <family val="2"/>
      </rPr>
      <t>Corpo de BTCC 2,50 x 3,00 m projeto DNIT para 2,50 &lt; H &lt; 5,00 m</t>
    </r>
  </si>
  <si>
    <r>
      <rPr>
        <sz val="7"/>
        <rFont val="Arial"/>
        <family val="2"/>
      </rPr>
      <t>Corpo de BTCC 3,00 x 3,00 m projeto DNIT para H &lt; = 2,50 m</t>
    </r>
  </si>
  <si>
    <r>
      <rPr>
        <sz val="7"/>
        <rFont val="Arial"/>
        <family val="2"/>
      </rPr>
      <t>Corpo de BTCC 3,00 x 3,00 m projeto DNIT para 2,50 &lt; H &lt; 5,00 m</t>
    </r>
  </si>
  <si>
    <r>
      <rPr>
        <sz val="7"/>
        <rFont val="Arial"/>
        <family val="2"/>
      </rPr>
      <t>Corta-rio (escavação mecânica em material de 1ª cat.) H = 1,50 a 3,00 m</t>
    </r>
  </si>
  <si>
    <r>
      <rPr>
        <sz val="7"/>
        <rFont val="Arial"/>
        <family val="2"/>
      </rPr>
      <t>Corta-rio (escavação mecânica em material de 2ª cat.) H = 1,50 a 3,00 m</t>
    </r>
  </si>
  <si>
    <r>
      <rPr>
        <sz val="7"/>
        <rFont val="Arial"/>
        <family val="2"/>
      </rPr>
      <t>Corta-rio (escavação mecânica em material de 3º cat.) H = 0,00 a 1,50 m</t>
    </r>
  </si>
  <si>
    <r>
      <rPr>
        <sz val="7"/>
        <rFont val="Arial"/>
        <family val="2"/>
      </rPr>
      <t>Corte e esmerilhamento de pontas de tubo de ferro fundido DN 500 a 200mm</t>
    </r>
  </si>
  <si>
    <r>
      <rPr>
        <sz val="7"/>
        <rFont val="Arial"/>
        <family val="2"/>
      </rPr>
      <t>Demolição manual de concreto simples ou ciclópico</t>
    </r>
  </si>
  <si>
    <r>
      <rPr>
        <sz val="7"/>
        <rFont val="Arial"/>
        <family val="2"/>
      </rPr>
      <t>Demolição mecânica de concreto</t>
    </r>
  </si>
  <si>
    <r>
      <rPr>
        <sz val="7"/>
        <rFont val="Arial"/>
        <family val="2"/>
      </rPr>
      <t>Descida d'água concreto armado (calha) c/ caiação (DSA-01A) canal</t>
    </r>
  </si>
  <si>
    <r>
      <rPr>
        <sz val="7"/>
        <rFont val="Arial"/>
        <family val="2"/>
      </rPr>
      <t>Descida d'água concreto armado (calha) c/ caiação (DSA-01A) dispersor</t>
    </r>
  </si>
  <si>
    <r>
      <rPr>
        <sz val="7"/>
        <rFont val="Arial"/>
        <family val="2"/>
      </rPr>
      <t>Descida d'água concreto armado (degraus) c/ caiação (DSA-03A) apoio</t>
    </r>
  </si>
  <si>
    <r>
      <rPr>
        <sz val="7"/>
        <rFont val="Arial"/>
        <family val="2"/>
      </rPr>
      <t>Descida d'água concreto armado (degraus) c/ caiação (DSA-03A) degrau</t>
    </r>
  </si>
  <si>
    <r>
      <rPr>
        <sz val="7"/>
        <rFont val="Arial"/>
        <family val="2"/>
      </rPr>
      <t>Descida d'água concreto armado (degraus) c/ caiação (DSA-03A) dispersor</t>
    </r>
  </si>
  <si>
    <r>
      <rPr>
        <sz val="7"/>
        <rFont val="Arial"/>
        <family val="2"/>
      </rPr>
      <t>Descida d'água concreto armado DP-1 (calha) c/ caiação</t>
    </r>
  </si>
  <si>
    <r>
      <rPr>
        <sz val="7"/>
        <rFont val="Arial"/>
        <family val="2"/>
      </rPr>
      <t>Descida d'água concreto armado DP-1 (degraus) c/ caiação</t>
    </r>
  </si>
  <si>
    <r>
      <rPr>
        <sz val="7"/>
        <rFont val="Arial"/>
        <family val="2"/>
      </rPr>
      <t>Descida d'água concreto simples (calha) c/ caiação (DSA-01) canal</t>
    </r>
  </si>
  <si>
    <r>
      <rPr>
        <sz val="7"/>
        <rFont val="Arial"/>
        <family val="2"/>
      </rPr>
      <t>Descida d'água concreto simples (calha) c/ caiação (DSA-01) dispersor</t>
    </r>
  </si>
  <si>
    <r>
      <rPr>
        <sz val="7"/>
        <rFont val="Arial"/>
        <family val="2"/>
      </rPr>
      <t>Descida d'água concreto simples (degraus) c/ caiação (DSA-03) apoio</t>
    </r>
  </si>
  <si>
    <r>
      <rPr>
        <sz val="7"/>
        <rFont val="Arial"/>
        <family val="2"/>
      </rPr>
      <t>Descida d'água concreto simples (degraus) c/ caiação (DSA-03) degrau</t>
    </r>
  </si>
  <si>
    <r>
      <rPr>
        <sz val="7"/>
        <rFont val="Arial"/>
        <family val="2"/>
      </rPr>
      <t>Descida d'água concreto simples (degraus) c/ caiação (DSA-03) dispersor</t>
    </r>
  </si>
  <si>
    <r>
      <rPr>
        <sz val="7"/>
        <rFont val="Arial"/>
        <family val="2"/>
      </rPr>
      <t>Deslocamento de cerca de tela galvanizada fio 12 malha 3" x 3"</t>
    </r>
  </si>
  <si>
    <r>
      <rPr>
        <sz val="7"/>
        <rFont val="Arial"/>
        <family val="2"/>
      </rPr>
      <t>Dissipador de energia aplicado a saída d'água tipo DP-1</t>
    </r>
  </si>
  <si>
    <r>
      <rPr>
        <sz val="7"/>
        <rFont val="Arial"/>
        <family val="2"/>
      </rPr>
      <t>Dissipador de energia aplicado a saída de bueiro/descida d'agua de aterro (DEB-01)</t>
    </r>
  </si>
  <si>
    <r>
      <rPr>
        <sz val="7"/>
        <rFont val="Arial"/>
        <family val="2"/>
      </rPr>
      <t>Dissipador de energia aplicado a saída de bueiro/descida d'água de aterro (DEB-02)</t>
    </r>
  </si>
  <si>
    <r>
      <rPr>
        <sz val="7"/>
        <rFont val="Arial"/>
        <family val="2"/>
      </rPr>
      <t>Dissipador de energia aplicado a saída de bueiro/descida d'água de aterro (DEB-03)</t>
    </r>
  </si>
  <si>
    <r>
      <rPr>
        <sz val="7"/>
        <rFont val="Arial"/>
        <family val="2"/>
      </rPr>
      <t>Dissipador de energia aplicado a saída de bueiro/descida d'água de aterro (DEB-04)</t>
    </r>
  </si>
  <si>
    <r>
      <rPr>
        <sz val="7"/>
        <rFont val="Arial"/>
        <family val="2"/>
      </rPr>
      <t>Dissipador de energia aplicado a saída de bueiro/descida d'água de aterro (DEB-05)</t>
    </r>
  </si>
  <si>
    <r>
      <rPr>
        <sz val="7"/>
        <rFont val="Arial"/>
        <family val="2"/>
      </rPr>
      <t>Dissipador de energia aplicado a saída de bueiro/descida d'água de aterro (DEB-06)</t>
    </r>
  </si>
  <si>
    <r>
      <rPr>
        <sz val="7"/>
        <rFont val="Arial"/>
        <family val="2"/>
      </rPr>
      <t>Dissipador de energia aplicado a saída de bueiro/descida d'água de aterro (DEB-07)</t>
    </r>
  </si>
  <si>
    <r>
      <rPr>
        <sz val="7"/>
        <rFont val="Arial"/>
        <family val="2"/>
      </rPr>
      <t>Dissipador de energia aplicado a saída de bueiro/descida d'água de aterro (DEB-08)</t>
    </r>
  </si>
  <si>
    <r>
      <rPr>
        <sz val="7"/>
        <rFont val="Arial"/>
        <family val="2"/>
      </rPr>
      <t>Dissipador de energia aplicado a saída de bueiro/descida d'água de aterro (DEB-09)</t>
    </r>
  </si>
  <si>
    <r>
      <rPr>
        <sz val="7"/>
        <rFont val="Arial"/>
        <family val="2"/>
      </rPr>
      <t>Dissipador de energia aplicado a saída de bueiro/descida d'água de aterro (DEB-10)</t>
    </r>
  </si>
  <si>
    <r>
      <rPr>
        <sz val="7"/>
        <rFont val="Arial"/>
        <family val="2"/>
      </rPr>
      <t>Dissipador de energia aplicado a saída de bueiro/descida d'água de aterro (DEB-12)</t>
    </r>
  </si>
  <si>
    <r>
      <rPr>
        <sz val="7"/>
        <rFont val="Arial"/>
        <family val="2"/>
      </rPr>
      <t>Dissipador de energia aplicado a saída de sarjeta/valeta (DES-01)</t>
    </r>
  </si>
  <si>
    <r>
      <rPr>
        <sz val="7"/>
        <rFont val="Arial"/>
        <family val="2"/>
      </rPr>
      <t>Dissipador de energia aplicado a saída de sarjeta/valeta (DES-02)</t>
    </r>
  </si>
  <si>
    <r>
      <rPr>
        <sz val="7"/>
        <rFont val="Arial"/>
        <family val="2"/>
      </rPr>
      <t>Dissipador de energia aplicado a saída de sarjeta/valeta (DES-03)</t>
    </r>
  </si>
  <si>
    <r>
      <rPr>
        <sz val="7"/>
        <rFont val="Arial"/>
        <family val="2"/>
      </rPr>
      <t xml:space="preserve">Dreno de alívio de pavimento (DP - DAP - 01),  com utilização de geotêxtil não tecido RT 07 kn
</t>
    </r>
    <r>
      <rPr>
        <sz val="7"/>
        <rFont val="Arial"/>
        <family val="2"/>
      </rPr>
      <t>/m, inclusive transporte da brita</t>
    </r>
  </si>
  <si>
    <r>
      <rPr>
        <sz val="7"/>
        <rFont val="Arial"/>
        <family val="2"/>
      </rPr>
      <t>Dreno de PVC  D = 100 mm</t>
    </r>
  </si>
  <si>
    <r>
      <rPr>
        <sz val="7"/>
        <rFont val="Arial"/>
        <family val="2"/>
      </rPr>
      <t>Dreno de PVC  D = 50 mm</t>
    </r>
  </si>
  <si>
    <r>
      <rPr>
        <sz val="7"/>
        <rFont val="Arial"/>
        <family val="2"/>
      </rPr>
      <t xml:space="preserve">Dreno Longitudinal tipo Trincheira Drenante, H = 0,90 m com tubo poroso tipo PEAD de diâm
</t>
    </r>
    <r>
      <rPr>
        <sz val="7"/>
        <rFont val="Arial"/>
        <family val="2"/>
      </rPr>
      <t>= 100 mm, incluindo esc. em mat. 1ª cat. e transporte do tubo</t>
    </r>
  </si>
  <si>
    <r>
      <rPr>
        <sz val="7"/>
        <rFont val="Arial"/>
        <family val="2"/>
      </rPr>
      <t xml:space="preserve">Dreno Longitudinal tipo Trincheira Drenante, H = 0,90 m com tubo poroso tipo PEAD de diâm
</t>
    </r>
    <r>
      <rPr>
        <sz val="7"/>
        <rFont val="Arial"/>
        <family val="2"/>
      </rPr>
      <t>= 100 mm, incluindo esc. mat. 3ª cat. e transporte do tubo</t>
    </r>
  </si>
  <si>
    <r>
      <rPr>
        <sz val="7"/>
        <rFont val="Arial"/>
        <family val="2"/>
      </rPr>
      <t xml:space="preserve">Dreno Longitudinal tipo Trincheira Drenante, H=0,40m c/ tubo poroso tipo PEAD d=65mm,
</t>
    </r>
    <r>
      <rPr>
        <sz val="7"/>
        <rFont val="Arial"/>
        <family val="2"/>
      </rPr>
      <t>inclus. esc. em mat. 1ª cat.e geotêxtil não tecido RT 07 kN/m</t>
    </r>
  </si>
  <si>
    <r>
      <rPr>
        <sz val="7"/>
        <rFont val="Arial"/>
        <family val="2"/>
      </rPr>
      <t>Dreno ou Barbacã em tubo PVC, diâmetro de 2"</t>
    </r>
  </si>
  <si>
    <r>
      <rPr>
        <sz val="7"/>
        <rFont val="Arial"/>
        <family val="2"/>
      </rPr>
      <t xml:space="preserve">Dreno profundo com enchimento de areia, escavação em material 1ª categoria, inclusive
</t>
    </r>
    <r>
      <rPr>
        <sz val="7"/>
        <rFont val="Arial"/>
        <family val="2"/>
      </rPr>
      <t>transporte da areia</t>
    </r>
  </si>
  <si>
    <r>
      <rPr>
        <sz val="7"/>
        <rFont val="Arial"/>
        <family val="2"/>
      </rPr>
      <t xml:space="preserve">Dreno profundo com enchimento de brita e areia (1:1) escavação em material 1ª categoria,
</t>
    </r>
    <r>
      <rPr>
        <sz val="7"/>
        <rFont val="Arial"/>
        <family val="2"/>
      </rPr>
      <t>inclusive transporte da areia e da brita</t>
    </r>
  </si>
  <si>
    <r>
      <rPr>
        <sz val="7"/>
        <rFont val="Arial"/>
        <family val="2"/>
      </rPr>
      <t xml:space="preserve">Dreno profundo com enchimento de brita e areia (1:1) escavação em material 2ª categoria,
</t>
    </r>
    <r>
      <rPr>
        <sz val="7"/>
        <rFont val="Arial"/>
        <family val="2"/>
      </rPr>
      <t>inclusive transporte da areia e da brita</t>
    </r>
  </si>
  <si>
    <r>
      <rPr>
        <sz val="7"/>
        <rFont val="Arial"/>
        <family val="2"/>
      </rPr>
      <t xml:space="preserve">Dreno profundo com enchimento de brita, escavação em material 1ª categoria,  inclusive
</t>
    </r>
    <r>
      <rPr>
        <sz val="7"/>
        <rFont val="Arial"/>
        <family val="2"/>
      </rPr>
      <t>transporte da brita</t>
    </r>
  </si>
  <si>
    <r>
      <rPr>
        <sz val="7"/>
        <rFont val="Arial"/>
        <family val="2"/>
      </rPr>
      <t xml:space="preserve">Dreno profundo com tubo poroso, D = 0,20 m com enchimento de brita e areia, escavação em
</t>
    </r>
    <r>
      <rPr>
        <sz val="7"/>
        <rFont val="Arial"/>
        <family val="2"/>
      </rPr>
      <t>material 2ª categoria, inclusive transp.da areia, brita, tubo</t>
    </r>
  </si>
  <si>
    <r>
      <rPr>
        <sz val="7"/>
        <rFont val="Arial"/>
        <family val="2"/>
      </rPr>
      <t xml:space="preserve">Dreno profundo com tubo poroso, D = 0,20 m com enchimento de brita, escavação em
</t>
    </r>
    <r>
      <rPr>
        <sz val="7"/>
        <rFont val="Arial"/>
        <family val="2"/>
      </rPr>
      <t>material 3ª categoria (DPR-01),  inclusive transporte da brita, tubo</t>
    </r>
  </si>
  <si>
    <r>
      <rPr>
        <sz val="7"/>
        <rFont val="Arial"/>
        <family val="2"/>
      </rPr>
      <t xml:space="preserve">Dreno profundo D = 0,10 m c/ enchim. brita, areia (1:1) escav. mat. 3º categ.incl. transp. areia,
</t>
    </r>
    <r>
      <rPr>
        <sz val="7"/>
        <rFont val="Arial"/>
        <family val="2"/>
      </rPr>
      <t>brita c/ geotêxtil não tecido res.long. mín 16kn/m</t>
    </r>
  </si>
  <si>
    <r>
      <rPr>
        <sz val="7"/>
        <rFont val="Arial"/>
        <family val="2"/>
      </rPr>
      <t xml:space="preserve">Dreno profundo D = 0,10 m c/enchim. brita e areia (1:1) escav.mat. 1º categ., inclus.transp.
</t>
    </r>
    <r>
      <rPr>
        <sz val="7"/>
        <rFont val="Arial"/>
        <family val="2"/>
      </rPr>
      <t>areia, brita,c/ geotêxtil não tecido res.long. mín 16 kn/m</t>
    </r>
  </si>
  <si>
    <r>
      <rPr>
        <sz val="7"/>
        <rFont val="Arial"/>
        <family val="2"/>
      </rPr>
      <t xml:space="preserve">Dreno profundo D = 0,20 m com enchimento de areia, escavação em material 1ª categoria (
</t>
    </r>
    <r>
      <rPr>
        <sz val="7"/>
        <rFont val="Arial"/>
        <family val="2"/>
      </rPr>
      <t>DPS-01), inclusive transporte da areia e do tubo</t>
    </r>
  </si>
  <si>
    <r>
      <rPr>
        <sz val="7"/>
        <rFont val="Arial"/>
        <family val="2"/>
      </rPr>
      <t xml:space="preserve">Dreno profundo D = 0,20 m com enchimento de brita e areia, escavação em material 1ª
</t>
    </r>
    <r>
      <rPr>
        <sz val="7"/>
        <rFont val="Arial"/>
        <family val="2"/>
      </rPr>
      <t>categoria, inclusive transporte da brita e da areia</t>
    </r>
  </si>
  <si>
    <r>
      <rPr>
        <sz val="7"/>
        <rFont val="Arial"/>
        <family val="2"/>
      </rPr>
      <t xml:space="preserve">Dreno profundo em solo com tubo PEAD perfur. D=100 mm, envolto por geotêxtil não tecido
</t>
    </r>
    <r>
      <rPr>
        <sz val="7"/>
        <rFont val="Arial"/>
        <family val="2"/>
      </rPr>
      <t>RT16 kn/m, preenchim. c/ brita, incl. transporte</t>
    </r>
  </si>
  <si>
    <r>
      <rPr>
        <sz val="7"/>
        <rFont val="Arial"/>
        <family val="2"/>
      </rPr>
      <t xml:space="preserve">Dreno profundo para corte em solo, com enchimento em brita revestido com geotextil não
</t>
    </r>
    <r>
      <rPr>
        <sz val="7"/>
        <rFont val="Arial"/>
        <family val="2"/>
      </rPr>
      <t>tecido RT 16 kn/m, inclusive transporte da brita</t>
    </r>
  </si>
  <si>
    <r>
      <rPr>
        <sz val="7"/>
        <rFont val="Arial"/>
        <family val="2"/>
      </rPr>
      <t xml:space="preserve">Dreno sub-horizontal D = 50 mm em PVC, com geotêxtil não tecido RT 16 kn/m, exclusive
</t>
    </r>
    <r>
      <rPr>
        <sz val="7"/>
        <rFont val="Arial"/>
        <family val="2"/>
      </rPr>
      <t>transportes</t>
    </r>
  </si>
  <si>
    <r>
      <rPr>
        <sz val="7"/>
        <rFont val="Arial"/>
        <family val="2"/>
      </rPr>
      <t xml:space="preserve">Dreno sub-horizontal D=50mm em PVC (escavação em alteração de rocha), inclusive geotêxtil
</t>
    </r>
    <r>
      <rPr>
        <sz val="7"/>
        <rFont val="Arial"/>
        <family val="2"/>
      </rPr>
      <t>não tecido RT 16 kn/m, exclusive transportes</t>
    </r>
  </si>
  <si>
    <r>
      <rPr>
        <sz val="7"/>
        <rFont val="Arial"/>
        <family val="2"/>
      </rPr>
      <t xml:space="preserve">Dreno sub-horizontal D=50mm em PVC (escavação em rocha sã), inlusive geotêxtil não tecido
</t>
    </r>
    <r>
      <rPr>
        <sz val="7"/>
        <rFont val="Arial"/>
        <family val="2"/>
      </rPr>
      <t>RT 16 kn/m, exclusive transportes</t>
    </r>
  </si>
  <si>
    <r>
      <rPr>
        <sz val="7"/>
        <rFont val="Arial"/>
        <family val="2"/>
      </rPr>
      <t xml:space="preserve">Dreno sub-superficial  rocha (h=0,55m) c/ tubo PEAD perfur. d=100mm, env. por geotêxtil16kn
</t>
    </r>
    <r>
      <rPr>
        <sz val="7"/>
        <rFont val="Arial"/>
        <family val="2"/>
      </rPr>
      <t>/m, preenc.c/ brita, inclus.transp. tubo, exclusive transp.brita</t>
    </r>
  </si>
  <si>
    <r>
      <rPr>
        <sz val="7"/>
        <rFont val="Arial"/>
        <family val="2"/>
      </rPr>
      <t>Dreno vertical D = 75 mm em PVC, com geotêxtil não tecido resistência longitudinal 16 kn/m</t>
    </r>
  </si>
  <si>
    <r>
      <rPr>
        <sz val="7"/>
        <rFont val="Arial"/>
        <family val="2"/>
      </rPr>
      <t xml:space="preserve">Eletroduto de ferro galvanizado DN 4", inclusive conexões, exclusive escavação e reaterro,
</t>
    </r>
    <r>
      <rPr>
        <sz val="7"/>
        <rFont val="Arial"/>
        <family val="2"/>
      </rPr>
      <t>fornecimento e assentamento</t>
    </r>
  </si>
  <si>
    <r>
      <rPr>
        <sz val="7"/>
        <rFont val="Arial"/>
        <family val="2"/>
      </rPr>
      <t>Eletroduto para rede de lógica, inclusive conexões</t>
    </r>
  </si>
  <si>
    <r>
      <rPr>
        <sz val="7"/>
        <rFont val="Arial"/>
        <family val="2"/>
      </rPr>
      <t>Eletroduto PVC diâmetro 75mm, fornecimento e assentamento</t>
    </r>
  </si>
  <si>
    <r>
      <rPr>
        <sz val="7"/>
        <rFont val="Arial"/>
        <family val="2"/>
      </rPr>
      <t>Eletroduto PVC rígido roscável diâm. 50mm, fornecimento e assentamento</t>
    </r>
  </si>
  <si>
    <r>
      <rPr>
        <sz val="7"/>
        <rFont val="Arial"/>
        <family val="2"/>
      </rPr>
      <t>Eletroduto tipo Kanaflex  diâmetro 1 1/4", fornecimento e assentamento</t>
    </r>
  </si>
  <si>
    <r>
      <rPr>
        <sz val="7"/>
        <rFont val="Arial"/>
        <family val="2"/>
      </rPr>
      <t>Eletroduto tipo Kanaflex diâmetro 1 1/2", fornecimento e assentamento</t>
    </r>
  </si>
  <si>
    <r>
      <rPr>
        <sz val="7"/>
        <rFont val="Arial"/>
        <family val="2"/>
      </rPr>
      <t>Eletroduto tipo Kanaflex diâmetro 2", fornecimento e assentamento</t>
    </r>
  </si>
  <si>
    <r>
      <rPr>
        <sz val="7"/>
        <rFont val="Arial"/>
        <family val="2"/>
      </rPr>
      <t>Eletroduto tipo Kanaflex diâmetro 4", fornecimento e assentamento</t>
    </r>
  </si>
  <si>
    <r>
      <rPr>
        <sz val="7"/>
        <rFont val="Arial"/>
        <family val="2"/>
      </rPr>
      <t xml:space="preserve">Enrocamento de pedra arrumada com pá carregadeira e escavadeira, inclusive fornecimento,
</t>
    </r>
    <r>
      <rPr>
        <sz val="7"/>
        <rFont val="Arial"/>
        <family val="2"/>
      </rPr>
      <t>exclusive transporte da pedra</t>
    </r>
  </si>
  <si>
    <r>
      <rPr>
        <sz val="7"/>
        <rFont val="Arial"/>
        <family val="2"/>
      </rPr>
      <t>Enrocamento de pedra de mão arrumada exclusive transporte</t>
    </r>
  </si>
  <si>
    <r>
      <rPr>
        <sz val="7"/>
        <rFont val="Arial"/>
        <family val="2"/>
      </rPr>
      <t xml:space="preserve">Enrocamento de pedra jogada exclusive fornecimento e transporte (utilização de material
</t>
    </r>
    <r>
      <rPr>
        <sz val="7"/>
        <rFont val="Arial"/>
        <family val="2"/>
      </rPr>
      <t>considerado em medição)</t>
    </r>
  </si>
  <si>
    <r>
      <rPr>
        <sz val="7"/>
        <rFont val="Arial"/>
        <family val="2"/>
      </rPr>
      <t>Enrocamento de pedra jogada exclusive o fornecimento e transporte da pedra</t>
    </r>
  </si>
  <si>
    <r>
      <rPr>
        <sz val="7"/>
        <rFont val="Arial"/>
        <family val="2"/>
      </rPr>
      <t>Enrocamento de pedra jogada inclusive fornecimento, exclusive transporte da pedra</t>
    </r>
  </si>
  <si>
    <r>
      <rPr>
        <sz val="7"/>
        <rFont val="Arial"/>
        <family val="2"/>
      </rPr>
      <t>Ensecadeira dupla de madeira esp.= 5 cm com 1 reaproveitamento</t>
    </r>
  </si>
  <si>
    <r>
      <rPr>
        <sz val="7"/>
        <rFont val="Arial"/>
        <family val="2"/>
      </rPr>
      <t>Ensecadeira dupla de madeira esp.= 5 cm sem reaproveitamento, tudo incluído</t>
    </r>
  </si>
  <si>
    <r>
      <rPr>
        <sz val="7"/>
        <rFont val="Arial"/>
        <family val="2"/>
      </rPr>
      <t xml:space="preserve">Ensecadeira simples de madeira esp.= 5 cm com 1 reaproveitamento, inclusive transporte das
</t>
    </r>
    <r>
      <rPr>
        <sz val="7"/>
        <rFont val="Arial"/>
        <family val="2"/>
      </rPr>
      <t>madeiras</t>
    </r>
  </si>
  <si>
    <r>
      <rPr>
        <sz val="7"/>
        <rFont val="Arial"/>
        <family val="2"/>
      </rPr>
      <t xml:space="preserve">Ensecadeira simples de madeira esp.= 5 cm sem reaproveitamento, inclusive transporte das
</t>
    </r>
    <r>
      <rPr>
        <sz val="7"/>
        <rFont val="Arial"/>
        <family val="2"/>
      </rPr>
      <t>madeiras</t>
    </r>
  </si>
  <si>
    <r>
      <rPr>
        <sz val="7"/>
        <rFont val="Arial"/>
        <family val="2"/>
      </rPr>
      <t>Entrada para descida d'agua DP-1 (calha/degraus) inclusive caiação</t>
    </r>
  </si>
  <si>
    <r>
      <rPr>
        <sz val="7"/>
        <rFont val="Arial"/>
        <family val="2"/>
      </rPr>
      <t>Entrada para descida d'água EDA-01</t>
    </r>
  </si>
  <si>
    <r>
      <rPr>
        <sz val="7"/>
        <rFont val="Arial"/>
        <family val="2"/>
      </rPr>
      <t>Entrada para descida d'água EDA-02</t>
    </r>
  </si>
  <si>
    <r>
      <rPr>
        <sz val="7"/>
        <rFont val="Arial"/>
        <family val="2"/>
      </rPr>
      <t>Escada de madeira executada sobre terreno inclinado, com 80 cm de largura mínima</t>
    </r>
  </si>
  <si>
    <r>
      <rPr>
        <sz val="7"/>
        <rFont val="Arial"/>
        <family val="2"/>
      </rPr>
      <t>Escavação manual em mat. 1ª cat. H= 0,00 a 1,50 m</t>
    </r>
  </si>
  <si>
    <r>
      <rPr>
        <sz val="7"/>
        <rFont val="Arial"/>
        <family val="2"/>
      </rPr>
      <t>Escavação manual em mat. 1ª cat. H= 0,00 a 1,50 m com esgotamento</t>
    </r>
  </si>
  <si>
    <r>
      <rPr>
        <sz val="7"/>
        <rFont val="Arial"/>
        <family val="2"/>
      </rPr>
      <t>Escavação manual em mat. 1ª cat. H= 1,50 a 3,00 m</t>
    </r>
  </si>
  <si>
    <r>
      <rPr>
        <sz val="7"/>
        <rFont val="Arial"/>
        <family val="2"/>
      </rPr>
      <t>Escavação manual em mat. 1ª cat. H= 1,50 a 3,00 m com esgotamento</t>
    </r>
  </si>
  <si>
    <r>
      <rPr>
        <sz val="7"/>
        <rFont val="Arial"/>
        <family val="2"/>
      </rPr>
      <t>Escavação manual em mat. 1ª cat. H= 3,00 a 4,50 m</t>
    </r>
  </si>
  <si>
    <r>
      <rPr>
        <sz val="7"/>
        <rFont val="Arial"/>
        <family val="2"/>
      </rPr>
      <t>Escavação manual em mat. 1ª cat. H= 3,00 a 4,50 m com esgotamento</t>
    </r>
  </si>
  <si>
    <r>
      <rPr>
        <sz val="7"/>
        <rFont val="Arial"/>
        <family val="2"/>
      </rPr>
      <t>Escavação manual em mat. 2ª cat. H= 0,00 a 1,50 m com esgotamento</t>
    </r>
  </si>
  <si>
    <r>
      <rPr>
        <sz val="7"/>
        <rFont val="Arial"/>
        <family val="2"/>
      </rPr>
      <t>Escavação manual em mat. 2ª cat. H= 0,00 a 1,50 m sem detonação</t>
    </r>
  </si>
  <si>
    <r>
      <rPr>
        <sz val="7"/>
        <rFont val="Arial"/>
        <family val="2"/>
      </rPr>
      <t>Escavação manual em mat. 2ª cat. H= 1,50 a 3,00 m com esgotamento</t>
    </r>
  </si>
  <si>
    <r>
      <rPr>
        <sz val="7"/>
        <rFont val="Arial"/>
        <family val="2"/>
      </rPr>
      <t>Escavação manual em mat. 2ª cat. H= 1,50 a 3,00 m sem detonação</t>
    </r>
  </si>
  <si>
    <r>
      <rPr>
        <sz val="7"/>
        <rFont val="Arial"/>
        <family val="2"/>
      </rPr>
      <t>Escavação manual em mat. 2ª cat. H= 3,00 a 4,50 m com esgotamento</t>
    </r>
  </si>
  <si>
    <r>
      <rPr>
        <sz val="7"/>
        <rFont val="Arial"/>
        <family val="2"/>
      </rPr>
      <t>Escavação manual em mat. 2ª cat. H= 3,00 a 4,50 m sem detonação</t>
    </r>
  </si>
  <si>
    <r>
      <rPr>
        <sz val="7"/>
        <rFont val="Arial"/>
        <family val="2"/>
      </rPr>
      <t>Escavação manual em mat. 3ª cat. H= 0,00 a 1,50 m, a fogo</t>
    </r>
  </si>
  <si>
    <r>
      <rPr>
        <sz val="7"/>
        <rFont val="Arial"/>
        <family val="2"/>
      </rPr>
      <t>Escavação manual furos, valetas mat. 1ª cat. H= 0,00 a 1,50 m (dim. reduz.)</t>
    </r>
  </si>
  <si>
    <r>
      <rPr>
        <sz val="7"/>
        <rFont val="Arial"/>
        <family val="2"/>
      </rPr>
      <t>Escavação manual furos, valetas mat. 2ª cat. H= 0,00 a 1,50 m sem detonação (dim. reduz.)</t>
    </r>
  </si>
  <si>
    <r>
      <rPr>
        <sz val="7"/>
        <rFont val="Arial"/>
        <family val="2"/>
      </rPr>
      <t xml:space="preserve">Escavação mecânica de valas em material de 1ª categoria, 3,00 a 4,50m, com esgotamento,
</t>
    </r>
    <r>
      <rPr>
        <sz val="7"/>
        <rFont val="Arial"/>
        <family val="2"/>
      </rPr>
      <t>carga do material, transporte do material para bota-fora</t>
    </r>
  </si>
  <si>
    <r>
      <rPr>
        <sz val="7"/>
        <rFont val="Arial"/>
        <family val="2"/>
      </rPr>
      <t xml:space="preserve">Escavação mecânica de valas em 1ª categoria, profundidade de 4,50 a 6,00m com
</t>
    </r>
    <r>
      <rPr>
        <sz val="7"/>
        <rFont val="Arial"/>
        <family val="2"/>
      </rPr>
      <t>esgotamento, transp. DMT=20km, descarga e espalhamento</t>
    </r>
  </si>
  <si>
    <r>
      <rPr>
        <sz val="7"/>
        <rFont val="Arial"/>
        <family val="2"/>
      </rPr>
      <t>Escavação mecânica em material de 1ª cat. H= 0,00 a 1,50 m</t>
    </r>
  </si>
  <si>
    <r>
      <rPr>
        <sz val="7"/>
        <rFont val="Arial"/>
        <family val="2"/>
      </rPr>
      <t>Escavação mecânica em material de 1ª cat. H= 0,00 a 1,50 m com esgotamento</t>
    </r>
  </si>
  <si>
    <r>
      <rPr>
        <sz val="7"/>
        <rFont val="Arial"/>
        <family val="2"/>
      </rPr>
      <t>Escavação mecânica em material de 1ª cat. H= 1,50 a 3,00 m</t>
    </r>
  </si>
  <si>
    <r>
      <rPr>
        <sz val="7"/>
        <rFont val="Arial"/>
        <family val="2"/>
      </rPr>
      <t>Escavação mecânica em material de 1ª cat. H= 1,50 a 3,00 m com esgotamento</t>
    </r>
  </si>
  <si>
    <r>
      <rPr>
        <sz val="7"/>
        <rFont val="Arial"/>
        <family val="2"/>
      </rPr>
      <t>Escavação mecânica em material de 1ª cat. H= 3,00 a 4,50 m</t>
    </r>
  </si>
  <si>
    <r>
      <rPr>
        <sz val="7"/>
        <rFont val="Arial"/>
        <family val="2"/>
      </rPr>
      <t>Escavação mecânica em material de 1º cat. H= 3,00 a 4,50 m com esgotamento</t>
    </r>
  </si>
  <si>
    <r>
      <rPr>
        <sz val="7"/>
        <rFont val="Arial"/>
        <family val="2"/>
      </rPr>
      <t>Escavação mecânica em material de 2ª cat. H= 0,00 a 1,50 m</t>
    </r>
  </si>
  <si>
    <r>
      <rPr>
        <sz val="7"/>
        <rFont val="Arial"/>
        <family val="2"/>
      </rPr>
      <t>Escavação mecânica em material de 2ª cat. H= 0,00 a 1,50 m com esgotamento</t>
    </r>
  </si>
  <si>
    <r>
      <rPr>
        <sz val="7"/>
        <rFont val="Arial"/>
        <family val="2"/>
      </rPr>
      <t>Escavação mecânica em material de 2ª cat. H= 1,50 a 3,00 m</t>
    </r>
  </si>
  <si>
    <r>
      <rPr>
        <sz val="7"/>
        <rFont val="Arial"/>
        <family val="2"/>
      </rPr>
      <t>Escavação mecânica em material de 2ª cat. H= 1,50 a 3,00 m com esgotamento</t>
    </r>
  </si>
  <si>
    <r>
      <rPr>
        <sz val="7"/>
        <rFont val="Arial"/>
        <family val="2"/>
      </rPr>
      <t>Escavação mecânica em material de 2ª cat. H= 3,00 a 4,50 m</t>
    </r>
  </si>
  <si>
    <r>
      <rPr>
        <sz val="7"/>
        <rFont val="Arial"/>
        <family val="2"/>
      </rPr>
      <t>Escavação mecânica em material de 2º cat. H= 3,00 a 4,50 m com esgotamento</t>
    </r>
  </si>
  <si>
    <r>
      <rPr>
        <sz val="7"/>
        <rFont val="Arial"/>
        <family val="2"/>
      </rPr>
      <t>Escavação mecânica em material de 3ª cat. H= 1,50 a 3,00 m com esgotamento</t>
    </r>
  </si>
  <si>
    <r>
      <rPr>
        <sz val="7"/>
        <rFont val="Arial"/>
        <family val="2"/>
      </rPr>
      <t>Escavação mecânica em material de 3ª cat. H= 3,00 a 4,50 m</t>
    </r>
  </si>
  <si>
    <r>
      <rPr>
        <sz val="7"/>
        <rFont val="Arial"/>
        <family val="2"/>
      </rPr>
      <t>Escavação mecânica em material de 3ª cat. H= 3,00 a 4,50 m com esgotamento</t>
    </r>
  </si>
  <si>
    <r>
      <rPr>
        <sz val="7"/>
        <rFont val="Arial"/>
        <family val="2"/>
      </rPr>
      <t>Escoramento de cavas e valas, inclusive fornecimento e transportes das madeiras</t>
    </r>
  </si>
  <si>
    <r>
      <rPr>
        <sz val="7"/>
        <rFont val="Arial"/>
        <family val="2"/>
      </rPr>
      <t xml:space="preserve">Escoramento e cimbramento (bueiro celular), inclusive fornecimento e transportes das
</t>
    </r>
    <r>
      <rPr>
        <sz val="7"/>
        <rFont val="Arial"/>
        <family val="2"/>
      </rPr>
      <t>madeiras</t>
    </r>
  </si>
  <si>
    <r>
      <rPr>
        <sz val="7"/>
        <rFont val="Arial"/>
        <family val="2"/>
      </rPr>
      <t xml:space="preserve">Esgotamento de escavações para rebaixamento do nível dágua nos serviços de bueiros,
</t>
    </r>
    <r>
      <rPr>
        <sz val="7"/>
        <rFont val="Arial"/>
        <family val="2"/>
      </rPr>
      <t>galerias e outros, com conj. moto bomba</t>
    </r>
  </si>
  <si>
    <r>
      <rPr>
        <sz val="7"/>
        <rFont val="Arial"/>
        <family val="2"/>
      </rPr>
      <t>Mes</t>
    </r>
  </si>
  <si>
    <r>
      <rPr>
        <sz val="7"/>
        <rFont val="Arial"/>
        <family val="2"/>
      </rPr>
      <t>Forma especial de madeira para meio fio, inclusive fornecimento e transporte das madeiras</t>
    </r>
  </si>
  <si>
    <r>
      <rPr>
        <sz val="7"/>
        <rFont val="Arial"/>
        <family val="2"/>
      </rPr>
      <t xml:space="preserve">Forma especial de madeira para sarjeta (gabarito), inclusive fornecimento e transporte da
</t>
    </r>
    <r>
      <rPr>
        <sz val="7"/>
        <rFont val="Arial"/>
        <family val="2"/>
      </rPr>
      <t>madeira</t>
    </r>
  </si>
  <si>
    <r>
      <rPr>
        <sz val="7"/>
        <rFont val="Arial"/>
        <family val="2"/>
      </rPr>
      <t>Forma metálica para meio fio</t>
    </r>
  </si>
  <si>
    <r>
      <rPr>
        <sz val="7"/>
        <rFont val="Arial"/>
        <family val="2"/>
      </rPr>
      <t xml:space="preserve">Formas planas de madeira com 01 (um) reaproveitamento, inclusive fornecimento e transporte
</t>
    </r>
    <r>
      <rPr>
        <sz val="7"/>
        <rFont val="Arial"/>
        <family val="2"/>
      </rPr>
      <t>das madeiras</t>
    </r>
  </si>
  <si>
    <r>
      <rPr>
        <sz val="7"/>
        <rFont val="Arial"/>
        <family val="2"/>
      </rPr>
      <t xml:space="preserve">Formas planas de madeira com 02 (dois) reaproveitamentos, inclusive fornecimento e
</t>
    </r>
    <r>
      <rPr>
        <sz val="7"/>
        <rFont val="Arial"/>
        <family val="2"/>
      </rPr>
      <t>transporte das madeiras</t>
    </r>
  </si>
  <si>
    <r>
      <rPr>
        <sz val="7"/>
        <rFont val="Arial"/>
        <family val="2"/>
      </rPr>
      <t xml:space="preserve">Formas planas de madeira com 04 (quatro) reaproveitamentos, inclusive fornecimento e
</t>
    </r>
    <r>
      <rPr>
        <sz val="7"/>
        <rFont val="Arial"/>
        <family val="2"/>
      </rPr>
      <t>transporte das madeiras</t>
    </r>
  </si>
  <si>
    <r>
      <rPr>
        <sz val="7"/>
        <rFont val="Arial"/>
        <family val="2"/>
      </rPr>
      <t xml:space="preserve">Formas planas de madeira sem reaproveitamento (forma perdida), inclusive fornecimento e
</t>
    </r>
    <r>
      <rPr>
        <sz val="7"/>
        <rFont val="Arial"/>
        <family val="2"/>
      </rPr>
      <t>transporte das madeiras</t>
    </r>
  </si>
  <si>
    <r>
      <rPr>
        <sz val="7"/>
        <rFont val="Arial"/>
        <family val="2"/>
      </rPr>
      <t xml:space="preserve">Gabião manta/colchão, malha hex 6x8mm Zn-Al/PVC, e=2,8mm,h=0,23m, inclus.aquis./
</t>
    </r>
    <r>
      <rPr>
        <sz val="7"/>
        <rFont val="Arial"/>
        <family val="2"/>
      </rPr>
      <t>assentam. pedra mão, exclus. transp. p/ revestim. canal</t>
    </r>
  </si>
  <si>
    <r>
      <rPr>
        <sz val="7"/>
        <rFont val="Arial"/>
        <family val="2"/>
      </rPr>
      <t xml:space="preserve">Gabiões com caixas galvanizadas  com utilização de geotêxtil não tecido RT 07 kN/m, inclus.
</t>
    </r>
    <r>
      <rPr>
        <sz val="7"/>
        <rFont val="Arial"/>
        <family val="2"/>
      </rPr>
      <t>transp. madeira e pedra mão</t>
    </r>
  </si>
  <si>
    <r>
      <rPr>
        <sz val="7"/>
        <rFont val="Arial"/>
        <family val="2"/>
      </rPr>
      <t>Gabiões com caixas galvanizadas, sem manta</t>
    </r>
  </si>
  <si>
    <r>
      <rPr>
        <sz val="7"/>
        <rFont val="Arial"/>
        <family val="2"/>
      </rPr>
      <t xml:space="preserve">Geogrelha com resistência londitudinal a tração 35 a 40 kN, resist. transversal a tração 30 kN,
</t>
    </r>
    <r>
      <rPr>
        <sz val="7"/>
        <rFont val="Arial"/>
        <family val="2"/>
      </rPr>
      <t>fornecimento e aplicação</t>
    </r>
  </si>
  <si>
    <r>
      <rPr>
        <sz val="7"/>
        <rFont val="Arial"/>
        <family val="2"/>
      </rPr>
      <t xml:space="preserve">Geogrelha com resistência londitudinal a tração 55 a 60 kN, resist. transversal a tração 30 kN,
</t>
    </r>
    <r>
      <rPr>
        <sz val="7"/>
        <rFont val="Arial"/>
        <family val="2"/>
      </rPr>
      <t>fornecimento e aplicação</t>
    </r>
  </si>
  <si>
    <r>
      <rPr>
        <sz val="7"/>
        <rFont val="Arial"/>
        <family val="2"/>
      </rPr>
      <t xml:space="preserve">Geogrelha com resistência longitudinal a tração 300 kN, resist. transversal a tração 30 kN,
</t>
    </r>
    <r>
      <rPr>
        <sz val="7"/>
        <rFont val="Arial"/>
        <family val="2"/>
      </rPr>
      <t>fornecimento e aplicação</t>
    </r>
  </si>
  <si>
    <r>
      <rPr>
        <sz val="7"/>
        <rFont val="Arial"/>
        <family val="2"/>
      </rPr>
      <t xml:space="preserve">Geogrelha com resistência longitudinal a tração 80 a 90 kN, resist. transversal a tração 30 kN,
</t>
    </r>
    <r>
      <rPr>
        <sz val="7"/>
        <rFont val="Arial"/>
        <family val="2"/>
      </rPr>
      <t>fornecimento e aplicação</t>
    </r>
  </si>
  <si>
    <r>
      <rPr>
        <sz val="7"/>
        <rFont val="Arial"/>
        <family val="2"/>
      </rPr>
      <t>Geogrelha monodirecional 200KN, fornecimento e assentamento</t>
    </r>
  </si>
  <si>
    <r>
      <rPr>
        <sz val="7"/>
        <rFont val="Arial"/>
        <family val="2"/>
      </rPr>
      <t xml:space="preserve">Geogrelha tecida bidirecional de polipropileno de alto módulo inicial c/ módulo de rigidez
</t>
    </r>
    <r>
      <rPr>
        <sz val="7"/>
        <rFont val="Arial"/>
        <family val="2"/>
      </rPr>
      <t>nominal = 400KN/m nas duas direções, fornecimento/aplicação</t>
    </r>
  </si>
  <si>
    <r>
      <rPr>
        <sz val="7"/>
        <rFont val="Arial"/>
        <family val="2"/>
      </rPr>
      <t>Lastro de brita, inclusive transporte da brita</t>
    </r>
  </si>
  <si>
    <r>
      <rPr>
        <sz val="7"/>
        <rFont val="Arial"/>
        <family val="2"/>
      </rPr>
      <t>Limpeza e apicoamento manual de superfície de rocha</t>
    </r>
  </si>
  <si>
    <r>
      <rPr>
        <sz val="7"/>
        <rFont val="Arial"/>
        <family val="2"/>
      </rPr>
      <t>Limpeza e desobstrução de BDTC e BDCC</t>
    </r>
  </si>
  <si>
    <r>
      <rPr>
        <sz val="7"/>
        <rFont val="Arial"/>
        <family val="2"/>
      </rPr>
      <t>Limpeza e desobstrução de BQTC</t>
    </r>
  </si>
  <si>
    <r>
      <rPr>
        <sz val="7"/>
        <rFont val="Arial"/>
        <family val="2"/>
      </rPr>
      <t>Limpeza e desobstrução de BSTC e BSCC</t>
    </r>
  </si>
  <si>
    <r>
      <rPr>
        <sz val="7"/>
        <rFont val="Arial"/>
        <family val="2"/>
      </rPr>
      <t>Limpeza e desobstrução de BTTC e BTCC</t>
    </r>
  </si>
  <si>
    <r>
      <rPr>
        <sz val="7"/>
        <rFont val="Arial"/>
        <family val="2"/>
      </rPr>
      <t>Limpeza e preparo de superfície de aço</t>
    </r>
  </si>
  <si>
    <r>
      <rPr>
        <sz val="7"/>
        <rFont val="Arial"/>
        <family val="2"/>
      </rPr>
      <t>Lona plástica preta para isolamento de concretagem sobre solo, fornecimento e colocação</t>
    </r>
  </si>
  <si>
    <r>
      <rPr>
        <sz val="7"/>
        <rFont val="Arial"/>
        <family val="2"/>
      </rPr>
      <t xml:space="preserve">Manta Geotêxtil  não tecida com resistência longitudinal a tração 10kN/m, fornecimento e
</t>
    </r>
    <r>
      <rPr>
        <sz val="7"/>
        <rFont val="Arial"/>
        <family val="2"/>
      </rPr>
      <t>aplicação</t>
    </r>
  </si>
  <si>
    <r>
      <rPr>
        <sz val="7"/>
        <rFont val="Arial"/>
        <family val="2"/>
      </rPr>
      <t>Manta Geotêxtil não tecida RT - 16 kn/m, fornecimento e aplicação</t>
    </r>
  </si>
  <si>
    <r>
      <rPr>
        <sz val="7"/>
        <rFont val="Arial"/>
        <family val="2"/>
      </rPr>
      <t>Meio fio de concreto DP-1, inclusive caiação</t>
    </r>
  </si>
  <si>
    <r>
      <rPr>
        <sz val="7"/>
        <rFont val="Arial"/>
        <family val="2"/>
      </rPr>
      <t>Meio fio de concreto MFC 01, inclusive caiação</t>
    </r>
  </si>
  <si>
    <r>
      <rPr>
        <sz val="7"/>
        <rFont val="Arial"/>
        <family val="2"/>
      </rPr>
      <t>Meio fio de concreto MFC 05, inclusive caiação</t>
    </r>
  </si>
  <si>
    <r>
      <rPr>
        <sz val="7"/>
        <rFont val="Arial"/>
        <family val="2"/>
      </rPr>
      <t>Meio fio de concreto pré-moldado (12 x 30 x 15) cm, inclusive caiação e transporte do meio fio</t>
    </r>
  </si>
  <si>
    <r>
      <rPr>
        <sz val="7"/>
        <rFont val="Arial"/>
        <family val="2"/>
      </rPr>
      <t>Meio fio sarjeta de concreto tipo DP-1 (0,035 m³/m) inclusive caiação</t>
    </r>
  </si>
  <si>
    <r>
      <rPr>
        <sz val="7"/>
        <rFont val="Arial"/>
        <family val="2"/>
      </rPr>
      <t xml:space="preserve">Montagem e desmontagem de escoramento tubular normal, em obras de arte na densidade de
</t>
    </r>
    <r>
      <rPr>
        <sz val="7"/>
        <rFont val="Arial"/>
        <family val="2"/>
      </rPr>
      <t>5m de tubo por m³ de escoramento</t>
    </r>
  </si>
  <si>
    <r>
      <rPr>
        <sz val="7"/>
        <rFont val="Arial"/>
        <family val="2"/>
      </rPr>
      <t>Mureta de corte em rocha</t>
    </r>
  </si>
  <si>
    <r>
      <rPr>
        <sz val="7"/>
        <rFont val="Arial"/>
        <family val="2"/>
      </rPr>
      <t>Muro com Terramesh System ou similar, altura H&lt;= 4,00 metros (4 cx 1x1x4m), tudo incluído</t>
    </r>
  </si>
  <si>
    <r>
      <rPr>
        <sz val="7"/>
        <rFont val="Arial"/>
        <family val="2"/>
      </rPr>
      <t xml:space="preserve">Muro com Terramesh System ou similar, altura 4,00 &lt; H &lt;= 5,00 metros (3 cx 1x1x4m e 4 cx 0,
</t>
    </r>
    <r>
      <rPr>
        <sz val="7"/>
        <rFont val="Arial"/>
        <family val="2"/>
      </rPr>
      <t>5x1x4m) , execução, tudo incluído</t>
    </r>
  </si>
  <si>
    <r>
      <rPr>
        <sz val="7"/>
        <rFont val="Arial"/>
        <family val="2"/>
      </rPr>
      <t xml:space="preserve">Muro com Terramesh System ou similar, altura 5,00 &lt; H &lt;= 6,00 metros (4 cx 1x1x4m e 4 cx 0,
</t>
    </r>
    <r>
      <rPr>
        <sz val="7"/>
        <rFont val="Arial"/>
        <family val="2"/>
      </rPr>
      <t>5x1x4m) , tudo incluído</t>
    </r>
  </si>
  <si>
    <r>
      <rPr>
        <sz val="7"/>
        <rFont val="Arial"/>
        <family val="2"/>
      </rPr>
      <t xml:space="preserve">Muro com Terramesh System ou similar, altura 6,00 &lt; H &lt;= 7,50 metros (3cx 1x1x4m, 2cx
</t>
    </r>
    <r>
      <rPr>
        <sz val="7"/>
        <rFont val="Arial"/>
        <family val="2"/>
      </rPr>
      <t>1x1x5 e 5cx 0,5x1x6m), tudo incluído</t>
    </r>
  </si>
  <si>
    <r>
      <rPr>
        <sz val="7"/>
        <rFont val="Arial"/>
        <family val="2"/>
      </rPr>
      <t xml:space="preserve">Muro com Terramesh System ou similar, altura 7,50 &lt; H &lt;= 9,00 metros (4 cx 1x1x4m, 2 cx
</t>
    </r>
    <r>
      <rPr>
        <sz val="7"/>
        <rFont val="Arial"/>
        <family val="2"/>
      </rPr>
      <t>1x1x5, 3 cx 0,5x1x6m e 3cx 0,5x1x7), tudo incluído</t>
    </r>
  </si>
  <si>
    <r>
      <rPr>
        <sz val="7"/>
        <rFont val="Arial"/>
        <family val="2"/>
      </rPr>
      <t xml:space="preserve">Muro de testa em concreto para saída de dreno profundo em rocha, inclusive transporte do
</t>
    </r>
    <r>
      <rPr>
        <sz val="7"/>
        <rFont val="Arial"/>
        <family val="2"/>
      </rPr>
      <t>tubo</t>
    </r>
  </si>
  <si>
    <r>
      <rPr>
        <sz val="7"/>
        <rFont val="Arial"/>
        <family val="2"/>
      </rPr>
      <t>Muro de testa em concreto para saída de dreno profundo em solo, inclusive transporte do tubo</t>
    </r>
  </si>
  <si>
    <r>
      <rPr>
        <sz val="7"/>
        <rFont val="Arial"/>
        <family val="2"/>
      </rPr>
      <t>Passagem d'água 1,10 x 1,00 - Canteiro</t>
    </r>
  </si>
  <si>
    <r>
      <rPr>
        <sz val="7"/>
        <rFont val="Arial"/>
        <family val="2"/>
      </rPr>
      <t>Pedra de mão para (concreto ciclópico ou alvenaria) rocha paga em medição</t>
    </r>
  </si>
  <si>
    <r>
      <rPr>
        <sz val="7"/>
        <rFont val="Arial"/>
        <family val="2"/>
      </rPr>
      <t xml:space="preserve">Perfuração rotativa inclinada, em rocha sã, com coroa de diamante, diâmetro N (75mm),
</t>
    </r>
    <r>
      <rPr>
        <sz val="7"/>
        <rFont val="Arial"/>
        <family val="2"/>
      </rPr>
      <t>inclusive deslocamento e posicionamento em cada furo.</t>
    </r>
  </si>
  <si>
    <r>
      <rPr>
        <sz val="7"/>
        <rFont val="Arial"/>
        <family val="2"/>
      </rPr>
      <t xml:space="preserve">Pescoço de poço de visita H=0,30 m, diâm. = 0,60 m, fornecimento, assentamento e
</t>
    </r>
    <r>
      <rPr>
        <sz val="7"/>
        <rFont val="Arial"/>
        <family val="2"/>
      </rPr>
      <t>transporte</t>
    </r>
  </si>
  <si>
    <r>
      <rPr>
        <sz val="7"/>
        <rFont val="Arial"/>
        <family val="2"/>
      </rPr>
      <t>Pintura com nata de cimento</t>
    </r>
  </si>
  <si>
    <r>
      <rPr>
        <sz val="7"/>
        <rFont val="Arial"/>
        <family val="2"/>
      </rPr>
      <t>Pintura interna ou externa sobre ferro, com tinta a base de resina de borracha clorada</t>
    </r>
  </si>
  <si>
    <r>
      <rPr>
        <sz val="7"/>
        <rFont val="Arial"/>
        <family val="2"/>
      </rPr>
      <t>Placas pré-moldadas para passeio</t>
    </r>
  </si>
  <si>
    <r>
      <rPr>
        <sz val="7"/>
        <rFont val="Arial"/>
        <family val="2"/>
      </rPr>
      <t>Plataforma ou passarela de pinho de 1ª ou similar, 1" x 12"</t>
    </r>
  </si>
  <si>
    <r>
      <rPr>
        <sz val="7"/>
        <rFont val="Arial"/>
        <family val="2"/>
      </rPr>
      <t>Poço de visita em bloco pré-moldado para d=0,30 e 0,40m (0,80x0,80m)</t>
    </r>
  </si>
  <si>
    <r>
      <rPr>
        <sz val="7"/>
        <rFont val="Arial"/>
        <family val="2"/>
      </rPr>
      <t>Poço de visita em bloco pré-moldado para d=0,60m (1,00x1,00m)</t>
    </r>
  </si>
  <si>
    <r>
      <rPr>
        <sz val="7"/>
        <rFont val="Arial"/>
        <family val="2"/>
      </rPr>
      <t>Poço de visita para BDTC diam. 1,00 m - tudo incluido</t>
    </r>
  </si>
  <si>
    <r>
      <rPr>
        <sz val="7"/>
        <rFont val="Arial"/>
        <family val="2"/>
      </rPr>
      <t>Poço de Visita para BSTC diâm. 0,40m em blocos de concreto</t>
    </r>
  </si>
  <si>
    <r>
      <rPr>
        <sz val="7"/>
        <rFont val="Arial"/>
        <family val="2"/>
      </rPr>
      <t>Poço de visita para BSTC diâm. 0,60m em blocos de concreto</t>
    </r>
  </si>
  <si>
    <r>
      <rPr>
        <sz val="7"/>
        <rFont val="Arial"/>
        <family val="2"/>
      </rPr>
      <t>Poço de visita para BSTC diâm. 0,80m em blocos de concreto</t>
    </r>
  </si>
  <si>
    <r>
      <rPr>
        <sz val="7"/>
        <rFont val="Arial"/>
        <family val="2"/>
      </rPr>
      <t>Poço de visita para BTTC diam. 1,20 m - tudo incluído</t>
    </r>
  </si>
  <si>
    <r>
      <rPr>
        <sz val="7"/>
        <rFont val="Arial"/>
        <family val="2"/>
      </rPr>
      <t xml:space="preserve">Poço de visita (tubo D=0,40 m) H=1,50 m com tampão F.F.A.P., inclusive escavação e
</t>
    </r>
    <r>
      <rPr>
        <sz val="7"/>
        <rFont val="Arial"/>
        <family val="2"/>
      </rPr>
      <t>transporte do tampão</t>
    </r>
  </si>
  <si>
    <r>
      <rPr>
        <sz val="7"/>
        <rFont val="Arial"/>
        <family val="2"/>
      </rPr>
      <t xml:space="preserve">Poço de visita (tubo D=0,60 m) H=1,70 m com tampão F.F.A.P., inclusive escavação e
</t>
    </r>
    <r>
      <rPr>
        <sz val="7"/>
        <rFont val="Arial"/>
        <family val="2"/>
      </rPr>
      <t>transporte do tampão</t>
    </r>
  </si>
  <si>
    <r>
      <rPr>
        <sz val="7"/>
        <rFont val="Arial"/>
        <family val="2"/>
      </rPr>
      <t xml:space="preserve">Poço de visita (tubo D=0,80 m) H=1,90 m com tampão F.F.A.P., inclusive escavação e
</t>
    </r>
    <r>
      <rPr>
        <sz val="7"/>
        <rFont val="Arial"/>
        <family val="2"/>
      </rPr>
      <t>transporte do tampão</t>
    </r>
  </si>
  <si>
    <r>
      <rPr>
        <sz val="7"/>
        <rFont val="Arial"/>
        <family val="2"/>
      </rPr>
      <t xml:space="preserve">Poço de visita (tubo D=1,00 m) H=2,10 m com tampão F.F.A.P., inclusive escavação e
</t>
    </r>
    <r>
      <rPr>
        <sz val="7"/>
        <rFont val="Arial"/>
        <family val="2"/>
      </rPr>
      <t>transporte do tampão</t>
    </r>
  </si>
  <si>
    <r>
      <rPr>
        <sz val="7"/>
        <rFont val="Arial"/>
        <family val="2"/>
      </rPr>
      <t xml:space="preserve">Preparo manual de talude, compreendendo acerto, raspagem eventual de até 0,30m de prof. e
</t>
    </r>
    <r>
      <rPr>
        <sz val="7"/>
        <rFont val="Arial"/>
        <family val="2"/>
      </rPr>
      <t>afastamento lateral</t>
    </r>
  </si>
  <si>
    <r>
      <rPr>
        <sz val="7"/>
        <rFont val="Arial"/>
        <family val="2"/>
      </rPr>
      <t xml:space="preserve">Preparo manual de terreno, compreendendo acerto raspagem até 25cm de profundidade e
</t>
    </r>
    <r>
      <rPr>
        <sz val="7"/>
        <rFont val="Arial"/>
        <family val="2"/>
      </rPr>
      <t>afastamento lateral do material excedente</t>
    </r>
  </si>
  <si>
    <r>
      <rPr>
        <sz val="7"/>
        <rFont val="Arial"/>
        <family val="2"/>
      </rPr>
      <t>Reaterro com areia, tudo incluído</t>
    </r>
  </si>
  <si>
    <r>
      <rPr>
        <sz val="7"/>
        <rFont val="Arial"/>
        <family val="2"/>
      </rPr>
      <t>Reaterro de cavas c/ compactação manual (apiloamento)</t>
    </r>
  </si>
  <si>
    <r>
      <rPr>
        <sz val="7"/>
        <rFont val="Arial"/>
        <family val="2"/>
      </rPr>
      <t>Reaterro de cavas c/ compactação manual (apiloamento) (dim. reduz.)</t>
    </r>
  </si>
  <si>
    <r>
      <rPr>
        <sz val="7"/>
        <rFont val="Arial"/>
        <family val="2"/>
      </rPr>
      <t>Reaterro de cavas c/ compactação mecânica (compactador manual)</t>
    </r>
  </si>
  <si>
    <r>
      <rPr>
        <sz val="7"/>
        <rFont val="Arial"/>
        <family val="2"/>
      </rPr>
      <t>Recuperação de poço de visita inclusive fornecimento tampão F.F.A.P.</t>
    </r>
  </si>
  <si>
    <r>
      <rPr>
        <sz val="7"/>
        <rFont val="Arial"/>
        <family val="2"/>
      </rPr>
      <t>Religação de rede de água em PVC DN 20mm, inclusive conexões</t>
    </r>
  </si>
  <si>
    <r>
      <rPr>
        <sz val="7"/>
        <rFont val="Arial"/>
        <family val="2"/>
      </rPr>
      <t>Religação de rede de água em PVC DN 25mm, incluisve conexões</t>
    </r>
  </si>
  <si>
    <r>
      <rPr>
        <sz val="7"/>
        <rFont val="Arial"/>
        <family val="2"/>
      </rPr>
      <t>Religação de rede de água em PVC DN 32mm, incluisve conexões</t>
    </r>
  </si>
  <si>
    <r>
      <rPr>
        <sz val="7"/>
        <rFont val="Arial"/>
        <family val="2"/>
      </rPr>
      <t>Religação de rede de água em PVC DN 75mm, inclusive conexões</t>
    </r>
  </si>
  <si>
    <r>
      <rPr>
        <sz val="7"/>
        <rFont val="Arial"/>
        <family val="2"/>
      </rPr>
      <t>Religação de rede de água em PVC PBA CL 15 DN 100mm, inclusive conexões</t>
    </r>
  </si>
  <si>
    <r>
      <rPr>
        <sz val="7"/>
        <rFont val="Arial"/>
        <family val="2"/>
      </rPr>
      <t>Remanejamento de ligação e religação de redes de esgoto</t>
    </r>
  </si>
  <si>
    <r>
      <rPr>
        <sz val="7"/>
        <rFont val="Arial"/>
        <family val="2"/>
      </rPr>
      <t>Remoção de bueiros existentes</t>
    </r>
  </si>
  <si>
    <r>
      <rPr>
        <sz val="7"/>
        <rFont val="Arial"/>
        <family val="2"/>
      </rPr>
      <t>Rip-rap c/ argamassa cimento areia 1:6, inclusive aquisição e transporte dos materiais</t>
    </r>
  </si>
  <si>
    <r>
      <rPr>
        <sz val="7"/>
        <rFont val="Arial"/>
        <family val="2"/>
      </rPr>
      <t>Rip-rap de areia inclusive escavação, transporte e fornecimento de materiais</t>
    </r>
  </si>
  <si>
    <r>
      <rPr>
        <sz val="7"/>
        <rFont val="Arial"/>
        <family val="2"/>
      </rPr>
      <t>Rip-rap de solo e cimento (Traço 1:15)</t>
    </r>
  </si>
  <si>
    <r>
      <rPr>
        <sz val="7"/>
        <rFont val="Arial"/>
        <family val="2"/>
      </rPr>
      <t>Saída d'água concreto armado DP-1 c/ caiação</t>
    </r>
  </si>
  <si>
    <r>
      <rPr>
        <sz val="7"/>
        <rFont val="Arial"/>
        <family val="2"/>
      </rPr>
      <t>Saída d'água concreto p/ aterro c/ caiação (SDA-01)</t>
    </r>
  </si>
  <si>
    <r>
      <rPr>
        <sz val="7"/>
        <rFont val="Arial"/>
        <family val="2"/>
      </rPr>
      <t>Saída d'água concreto p/ aterro c/ caiação (SDA-02)</t>
    </r>
  </si>
  <si>
    <r>
      <rPr>
        <sz val="7"/>
        <rFont val="Arial"/>
        <family val="2"/>
      </rPr>
      <t>Saída d'água concreto p/ corte c/ caiação (SDC-01)</t>
    </r>
  </si>
  <si>
    <r>
      <rPr>
        <sz val="7"/>
        <rFont val="Arial"/>
        <family val="2"/>
      </rPr>
      <t>Sarjeta de concreto DP-1 (0,081 m³/m) calha triangular, inclusive caiação</t>
    </r>
  </si>
  <si>
    <r>
      <rPr>
        <sz val="7"/>
        <rFont val="Arial"/>
        <family val="2"/>
      </rPr>
      <t>Sarjeta de concreto DP-2 (0,085 m³/m) calha triangular, inclusive caiação</t>
    </r>
  </si>
  <si>
    <r>
      <rPr>
        <sz val="7"/>
        <rFont val="Arial"/>
        <family val="2"/>
      </rPr>
      <t>Sarjeta de concreto SCA 40/10</t>
    </r>
  </si>
  <si>
    <r>
      <rPr>
        <sz val="7"/>
        <rFont val="Arial"/>
        <family val="2"/>
      </rPr>
      <t>Sarjeta de concreto (SCA 70/15) calha triangular, inclusive caiação</t>
    </r>
  </si>
  <si>
    <r>
      <rPr>
        <sz val="7"/>
        <rFont val="Arial"/>
        <family val="2"/>
      </rPr>
      <t>Sarjeta de concreto (SCA 90/10) calha triangular, inclusive caiação</t>
    </r>
  </si>
  <si>
    <r>
      <rPr>
        <sz val="7"/>
        <rFont val="Arial"/>
        <family val="2"/>
      </rPr>
      <t>Sarjeta de concreto SCC 40/15</t>
    </r>
  </si>
  <si>
    <r>
      <rPr>
        <sz val="7"/>
        <rFont val="Arial"/>
        <family val="2"/>
      </rPr>
      <t>Sarjeta de concreto (STC - 02) calha triangular em corte/aterro, inclusive caiação</t>
    </r>
  </si>
  <si>
    <r>
      <rPr>
        <sz val="7"/>
        <rFont val="Arial"/>
        <family val="2"/>
      </rPr>
      <t>Sarjeta de concreto (STC - 04) calha triangular de bancada em corte, inclusive caiação</t>
    </r>
  </si>
  <si>
    <r>
      <rPr>
        <sz val="7"/>
        <rFont val="Arial"/>
        <family val="2"/>
      </rPr>
      <t>Tampa de concreto em grelha, fornecimento, assentamento e transporte</t>
    </r>
  </si>
  <si>
    <r>
      <rPr>
        <sz val="7"/>
        <rFont val="Arial"/>
        <family val="2"/>
      </rPr>
      <t>Tampão F.F.A.P. com 100 kg, fornecimento, assentamento e transporte</t>
    </r>
  </si>
  <si>
    <r>
      <rPr>
        <sz val="7"/>
        <rFont val="Arial"/>
        <family val="2"/>
      </rPr>
      <t xml:space="preserve">Tapume de vedação e proteção, executado com chapas de compensado resinado com 6mm
</t>
    </r>
    <r>
      <rPr>
        <sz val="7"/>
        <rFont val="Arial"/>
        <family val="2"/>
      </rPr>
      <t>de espessura, exclusive pintura</t>
    </r>
  </si>
  <si>
    <r>
      <rPr>
        <sz val="7"/>
        <rFont val="Arial"/>
        <family val="2"/>
      </rPr>
      <t>Tela de aço soldada Telcon Q-138 ou similar, fornecimento e assentamento.</t>
    </r>
  </si>
  <si>
    <r>
      <rPr>
        <sz val="7"/>
        <rFont val="Arial"/>
        <family val="2"/>
      </rPr>
      <t>Tela de aço soldada Telcon Q-196 ou similar, fornecimento e assentamento.</t>
    </r>
  </si>
  <si>
    <r>
      <rPr>
        <sz val="7"/>
        <rFont val="Arial"/>
        <family val="2"/>
      </rPr>
      <t>Terminal de dreno de alívio de pavimento (DP - TDA - 01)</t>
    </r>
  </si>
  <si>
    <r>
      <rPr>
        <sz val="7"/>
        <rFont val="Arial"/>
        <family val="2"/>
      </rPr>
      <t>Transporte de materiais encosta abaixo, serviço manual, inclusive carga e descarga</t>
    </r>
  </si>
  <si>
    <r>
      <rPr>
        <sz val="7"/>
        <rFont val="Arial"/>
        <family val="2"/>
      </rPr>
      <t>t dam</t>
    </r>
  </si>
  <si>
    <r>
      <rPr>
        <sz val="7"/>
        <rFont val="Arial"/>
        <family val="2"/>
      </rPr>
      <t>Transporte de materiais encosta acima, serviço manual, inclusive carga e descarga</t>
    </r>
  </si>
  <si>
    <r>
      <rPr>
        <sz val="7"/>
        <rFont val="Arial"/>
        <family val="2"/>
      </rPr>
      <t>Tubo de PVC NBR 5648 diâmetro 75 mm, fornecimento e assentamento</t>
    </r>
  </si>
  <si>
    <r>
      <rPr>
        <sz val="7"/>
        <rFont val="Arial"/>
        <family val="2"/>
      </rPr>
      <t>Tubo de PVC rígido série R diâmetro 100 mm, fornecimento e assentamento</t>
    </r>
  </si>
  <si>
    <r>
      <rPr>
        <sz val="7"/>
        <rFont val="Arial"/>
        <family val="2"/>
      </rPr>
      <t>Tubo irrifort agropecuário diâmetro 32 mm, fornecimento e assentamento</t>
    </r>
  </si>
  <si>
    <r>
      <rPr>
        <sz val="7"/>
        <rFont val="Arial"/>
        <family val="2"/>
      </rPr>
      <t>Tubo para irrigação linha fixa PN40 50 mm, fornecimento e assentamento</t>
    </r>
  </si>
  <si>
    <r>
      <rPr>
        <sz val="7"/>
        <rFont val="Arial"/>
        <family val="2"/>
      </rPr>
      <t>Tubos de ferro fundido diâmetro 0,90 m, assentamento</t>
    </r>
  </si>
  <si>
    <r>
      <rPr>
        <sz val="7"/>
        <rFont val="Arial"/>
        <family val="2"/>
      </rPr>
      <t>Tubos para irrigação Linha fixa PN40, diâmetro 75 mm, fornecimento e assentamento</t>
    </r>
  </si>
  <si>
    <r>
      <rPr>
        <sz val="7"/>
        <rFont val="Arial"/>
        <family val="2"/>
      </rPr>
      <t>Valeta de pedra argamassada VPAR</t>
    </r>
  </si>
  <si>
    <r>
      <rPr>
        <sz val="7"/>
        <rFont val="Arial"/>
        <family val="2"/>
      </rPr>
      <t>Valeta de pedra jogada VPJ, inclusive transporte da pedra</t>
    </r>
  </si>
  <si>
    <r>
      <rPr>
        <sz val="7"/>
        <rFont val="Arial"/>
        <family val="2"/>
      </rPr>
      <t>Valeta de proteção de aterro enleivada (VPA-01 DNIT)</t>
    </r>
  </si>
  <si>
    <r>
      <rPr>
        <sz val="7"/>
        <rFont val="Arial"/>
        <family val="2"/>
      </rPr>
      <t>Valeta de proteção de aterro revestida em concreto (VPA-03 DNIT)</t>
    </r>
  </si>
  <si>
    <r>
      <rPr>
        <sz val="7"/>
        <rFont val="Arial"/>
        <family val="2"/>
      </rPr>
      <t>Valeta de proteção de aterro VPA 02 (revestida em concreto)</t>
    </r>
  </si>
  <si>
    <r>
      <rPr>
        <sz val="7"/>
        <rFont val="Arial"/>
        <family val="2"/>
      </rPr>
      <t>Valeta de proteção de aterro VPA-01 (escavação)</t>
    </r>
  </si>
  <si>
    <r>
      <rPr>
        <sz val="7"/>
        <rFont val="Arial"/>
        <family val="2"/>
      </rPr>
      <t>Valeta de proteção de corte - desobstrução e limpeza</t>
    </r>
  </si>
  <si>
    <r>
      <rPr>
        <sz val="7"/>
        <rFont val="Arial"/>
        <family val="2"/>
      </rPr>
      <t>Valeta de proteção de corte enleivada (VPC-01 DNIT)</t>
    </r>
  </si>
  <si>
    <r>
      <rPr>
        <sz val="7"/>
        <rFont val="Arial"/>
        <family val="2"/>
      </rPr>
      <t>Valeta de proteção de corte revestida em concreto VPC-03</t>
    </r>
  </si>
  <si>
    <r>
      <rPr>
        <sz val="7"/>
        <rFont val="Arial"/>
        <family val="2"/>
      </rPr>
      <t>Valeta de proteção de corte VPC-01 (escavação)</t>
    </r>
  </si>
  <si>
    <r>
      <rPr>
        <sz val="7"/>
        <rFont val="Arial"/>
        <family val="2"/>
      </rPr>
      <t>Valeta de proteção de corte VPC-02 (revestida em grama)</t>
    </r>
  </si>
  <si>
    <r>
      <rPr>
        <sz val="7"/>
        <rFont val="Arial"/>
        <family val="2"/>
      </rPr>
      <t>Grupo de serviço: MATERIAL BETUMINOSO</t>
    </r>
  </si>
  <si>
    <r>
      <rPr>
        <sz val="7"/>
        <rFont val="Arial"/>
        <family val="2"/>
      </rPr>
      <t>Bonificação de 15,28% sobre Materiais Betuminosos</t>
    </r>
  </si>
  <si>
    <r>
      <rPr>
        <sz val="7"/>
        <rFont val="Arial"/>
        <family val="2"/>
      </rPr>
      <t>%</t>
    </r>
  </si>
  <si>
    <r>
      <rPr>
        <sz val="7"/>
        <rFont val="Arial"/>
        <family val="2"/>
      </rPr>
      <t>CAP FLEX 60/85, fornecimento</t>
    </r>
  </si>
  <si>
    <r>
      <rPr>
        <sz val="7"/>
        <rFont val="Arial"/>
        <family val="2"/>
      </rPr>
      <t>CAP-50/70, fornecimento</t>
    </r>
  </si>
  <si>
    <r>
      <rPr>
        <sz val="7"/>
        <rFont val="Arial"/>
        <family val="2"/>
      </rPr>
      <t>CM-30, fornecimento</t>
    </r>
  </si>
  <si>
    <r>
      <rPr>
        <sz val="7"/>
        <rFont val="Arial"/>
        <family val="2"/>
      </rPr>
      <t>Dope, fornecimento</t>
    </r>
  </si>
  <si>
    <r>
      <rPr>
        <sz val="7"/>
        <rFont val="Arial"/>
        <family val="2"/>
      </rPr>
      <t>Emulsão RL-1C- FLEX (Emulflex RL-1C-E), fornecimento</t>
    </r>
  </si>
  <si>
    <r>
      <rPr>
        <sz val="7"/>
        <rFont val="Arial"/>
        <family val="2"/>
      </rPr>
      <t>Emulsão RM-1C, fornecimento</t>
    </r>
  </si>
  <si>
    <r>
      <rPr>
        <sz val="7"/>
        <rFont val="Arial"/>
        <family val="2"/>
      </rPr>
      <t>Emulsão RR-1C FLEX (Emulflex RR-1C-E,) fornecimento</t>
    </r>
  </si>
  <si>
    <r>
      <rPr>
        <sz val="7"/>
        <rFont val="Arial"/>
        <family val="2"/>
      </rPr>
      <t>Emulsão RR-1C, fornecimento</t>
    </r>
  </si>
  <si>
    <r>
      <rPr>
        <sz val="7"/>
        <rFont val="Arial"/>
        <family val="2"/>
      </rPr>
      <t>Emulsão RR-2C, fornecimento</t>
    </r>
  </si>
  <si>
    <r>
      <rPr>
        <sz val="7"/>
        <rFont val="Arial"/>
        <family val="2"/>
      </rPr>
      <t>Emulsão RR-2C-FLEX (Emulflex RR-2C-E), fornecimento</t>
    </r>
  </si>
  <si>
    <r>
      <rPr>
        <sz val="7"/>
        <rFont val="Arial"/>
        <family val="2"/>
      </rPr>
      <t>Grupo de serviço: OBRAS COMPLEMENTARES</t>
    </r>
  </si>
  <si>
    <r>
      <rPr>
        <sz val="7"/>
        <rFont val="Arial"/>
        <family val="2"/>
      </rPr>
      <t>Abrigo de Ônibus - Rodovia Rural - 3,40 m x 6,00 m</t>
    </r>
  </si>
  <si>
    <r>
      <rPr>
        <sz val="7"/>
        <rFont val="Arial"/>
        <family val="2"/>
      </rPr>
      <t>Abrigo de Ônibus Urbano - Padrão reduzido - 2,40 x 6,00 m</t>
    </r>
  </si>
  <si>
    <r>
      <rPr>
        <sz val="7"/>
        <rFont val="Arial"/>
        <family val="2"/>
      </rPr>
      <t xml:space="preserve">Alvenaria de tijolos cerâmicos maciços aparentes 5x10x20cm,assent.c/argam.de cimento,cal
</t>
    </r>
    <r>
      <rPr>
        <sz val="7"/>
        <rFont val="Arial"/>
        <family val="2"/>
      </rPr>
      <t>hidratada CH1 e areia no traço 1:0,5:8,juntas de 10mm e esp.</t>
    </r>
  </si>
  <si>
    <r>
      <rPr>
        <sz val="7"/>
        <rFont val="Arial"/>
        <family val="2"/>
      </rPr>
      <t>Braço galvanizado 101mm - projeção 4,70m, fornecimento e instalação</t>
    </r>
  </si>
  <si>
    <r>
      <rPr>
        <sz val="7"/>
        <rFont val="Arial"/>
        <family val="2"/>
      </rPr>
      <t>Cabo de cobre nú, seção 35 mm2, fornecimento e colocação</t>
    </r>
  </si>
  <si>
    <r>
      <rPr>
        <sz val="7"/>
        <rFont val="Arial"/>
        <family val="2"/>
      </rPr>
      <t>Cabo flexível 2 x 1,5 mm², fornecimento e instalação</t>
    </r>
  </si>
  <si>
    <r>
      <rPr>
        <sz val="7"/>
        <rFont val="Arial"/>
        <family val="2"/>
      </rPr>
      <t>Cabo flexível 2 x 2,5 mm², fornecimento e instalação</t>
    </r>
  </si>
  <si>
    <r>
      <rPr>
        <sz val="7"/>
        <rFont val="Arial"/>
        <family val="2"/>
      </rPr>
      <t>Cabo flexível 3 x 1,5 mm², fornecimento e instalação</t>
    </r>
  </si>
  <si>
    <r>
      <rPr>
        <sz val="7"/>
        <rFont val="Arial"/>
        <family val="2"/>
      </rPr>
      <t>Cabo flexível 4 x 1,5 mm², fornecimento e instalação</t>
    </r>
  </si>
  <si>
    <r>
      <rPr>
        <sz val="7"/>
        <rFont val="Arial"/>
        <family val="2"/>
      </rPr>
      <t>Caixa de passagem de concreto armado de 0,40 x 0,40 x 0,40m</t>
    </r>
  </si>
  <si>
    <r>
      <rPr>
        <sz val="7"/>
        <rFont val="Arial"/>
        <family val="2"/>
      </rPr>
      <t>Caixa de passagem de eletroduto de lógica</t>
    </r>
  </si>
  <si>
    <r>
      <rPr>
        <sz val="7"/>
        <rFont val="Arial"/>
        <family val="2"/>
      </rPr>
      <t>Calçada de concreto</t>
    </r>
  </si>
  <si>
    <r>
      <rPr>
        <sz val="7"/>
        <rFont val="Arial"/>
        <family val="2"/>
      </rPr>
      <t xml:space="preserve">Calçada de concreto fck=15 MP, camurçado c/ argam. cimento e areia 1:4, lastro de brita e 8
</t>
    </r>
    <r>
      <rPr>
        <sz val="7"/>
        <rFont val="Arial"/>
        <family val="2"/>
      </rPr>
      <t>cm de concreto, incl. preparo da caixa e transp. da brita</t>
    </r>
  </si>
  <si>
    <r>
      <rPr>
        <sz val="7"/>
        <rFont val="Arial"/>
        <family val="2"/>
      </rPr>
      <t xml:space="preserve">Cerca de arame farpado 4 fios com mourões  a cada 2,0 m, esticadores de madeira, a cada 20
</t>
    </r>
    <r>
      <rPr>
        <sz val="7"/>
        <rFont val="Arial"/>
        <family val="2"/>
      </rPr>
      <t>,0 m, inclusive transporte de mourão e arame farpado)</t>
    </r>
  </si>
  <si>
    <r>
      <rPr>
        <sz val="7"/>
        <rFont val="Arial"/>
        <family val="2"/>
      </rPr>
      <t xml:space="preserve">Cerca de arame farpado 4 fios com mourões a cada 1,0 m, esticadores de madeira, a cada 20,
</t>
    </r>
    <r>
      <rPr>
        <sz val="7"/>
        <rFont val="Arial"/>
        <family val="2"/>
      </rPr>
      <t>0 m, inclusive transporte de mourão e arame farpado</t>
    </r>
  </si>
  <si>
    <r>
      <rPr>
        <sz val="7"/>
        <rFont val="Arial"/>
        <family val="2"/>
      </rPr>
      <t xml:space="preserve">Cerca de arame farpado 4 fios com mourões, a cada 2,5 m, esticadores de madeira a cada 60,
</t>
    </r>
    <r>
      <rPr>
        <sz val="7"/>
        <rFont val="Arial"/>
        <family val="2"/>
      </rPr>
      <t>0m, inclusive transporte de arame farpado e mourão</t>
    </r>
  </si>
  <si>
    <r>
      <rPr>
        <sz val="7"/>
        <rFont val="Arial"/>
        <family val="2"/>
      </rPr>
      <t xml:space="preserve">Cerca de arame farpado 4 fios com mourões a cada 3,0 metros e sem esticadores, inclusive
</t>
    </r>
    <r>
      <rPr>
        <sz val="7"/>
        <rFont val="Arial"/>
        <family val="2"/>
      </rPr>
      <t>transporte de arame e mourão</t>
    </r>
  </si>
  <si>
    <r>
      <rPr>
        <sz val="7"/>
        <rFont val="Arial"/>
        <family val="2"/>
      </rPr>
      <t>Cerca de arame farpado 4 fios com postes cada 2,5 m, esticadores de concreto a cada 25,0 m</t>
    </r>
  </si>
  <si>
    <r>
      <rPr>
        <sz val="7"/>
        <rFont val="Arial"/>
        <family val="2"/>
      </rPr>
      <t>Cerca de arame farpado 8 fios com postes concreto 10 x 10 x 220 cm, a cada 1,5 m</t>
    </r>
  </si>
  <si>
    <r>
      <rPr>
        <sz val="7"/>
        <rFont val="Arial"/>
        <family val="2"/>
      </rPr>
      <t xml:space="preserve">Cerca de arame farpado 8 fios com postes triangulares 10 x 200 cm, a cada 2,5 m, mourão de
</t>
    </r>
    <r>
      <rPr>
        <sz val="7"/>
        <rFont val="Arial"/>
        <family val="2"/>
      </rPr>
      <t>concreto 10 x 10 x 220 cm, a cada 50,0 m</t>
    </r>
  </si>
  <si>
    <r>
      <rPr>
        <sz val="7"/>
        <rFont val="Arial"/>
        <family val="2"/>
      </rPr>
      <t xml:space="preserve">Cerca de arame farpado,4 fios ,mourões de madeira a cada 2,5 m e esticadores de concreto/
</t>
    </r>
    <r>
      <rPr>
        <sz val="7"/>
        <rFont val="Arial"/>
        <family val="2"/>
      </rPr>
      <t>madeira a cada 40m</t>
    </r>
  </si>
  <si>
    <r>
      <rPr>
        <sz val="7"/>
        <rFont val="Arial"/>
        <family val="2"/>
      </rPr>
      <t xml:space="preserve">Cerca de arame liso 4 fios com mourões cada 2,0 m, esticadores de madeira, a cada 20,0 m,
</t>
    </r>
    <r>
      <rPr>
        <sz val="7"/>
        <rFont val="Arial"/>
        <family val="2"/>
      </rPr>
      <t>inclusive transporte de mourão e arame liso</t>
    </r>
  </si>
  <si>
    <r>
      <rPr>
        <sz val="7"/>
        <rFont val="Arial"/>
        <family val="2"/>
      </rPr>
      <t>Concreto estrutural fck = 10,0 MPa, inclusive transportes areia, cimento e pedra britada</t>
    </r>
  </si>
  <si>
    <r>
      <rPr>
        <sz val="7"/>
        <rFont val="Arial"/>
        <family val="2"/>
      </rPr>
      <t>Corrimão em eucalipto tratado</t>
    </r>
  </si>
  <si>
    <r>
      <rPr>
        <sz val="7"/>
        <rFont val="Arial"/>
        <family val="2"/>
      </rPr>
      <t>Deslocamento de cerca de madeira com 4 fios de arame</t>
    </r>
  </si>
  <si>
    <r>
      <rPr>
        <sz val="7"/>
        <rFont val="Arial"/>
        <family val="2"/>
      </rPr>
      <t>Eletroduto de aço galv. 1 1/4" inclusive abertura e fechamento de rasgos em alvenaria, e luvas</t>
    </r>
  </si>
  <si>
    <r>
      <rPr>
        <sz val="7"/>
        <rFont val="Arial"/>
        <family val="2"/>
      </rPr>
      <t>Eletroduto de PVC diâmetro de 4", fornecimento e instalação</t>
    </r>
  </si>
  <si>
    <r>
      <rPr>
        <sz val="7"/>
        <rFont val="Arial"/>
        <family val="2"/>
      </rPr>
      <t>Estrutura de madeira para telha cerâmica ancorada em laje ou alvenaria</t>
    </r>
  </si>
  <si>
    <r>
      <rPr>
        <sz val="7"/>
        <rFont val="Arial"/>
        <family val="2"/>
      </rPr>
      <t>Fita isolante em rolo de 19 mm x 20 m, número 33 Scoth ou equivalente</t>
    </r>
  </si>
  <si>
    <r>
      <rPr>
        <sz val="7"/>
        <rFont val="Arial"/>
        <family val="2"/>
      </rPr>
      <t>Haste cobreada para aterramento diâmetro 5/8" x 2,4m ( fornecimento e instalação)</t>
    </r>
  </si>
  <si>
    <r>
      <rPr>
        <sz val="7"/>
        <rFont val="Arial"/>
        <family val="2"/>
      </rPr>
      <t>Isolador de Porcelana tipo roldana com rack 3 x 16, instalação</t>
    </r>
  </si>
  <si>
    <r>
      <rPr>
        <sz val="7"/>
        <rFont val="Arial"/>
        <family val="2"/>
      </rPr>
      <t>Ladrilho hidráulico (argamassa cimento e areia 1:4), fornecimento e assentamento</t>
    </r>
  </si>
  <si>
    <r>
      <rPr>
        <sz val="7"/>
        <rFont val="Arial"/>
        <family val="2"/>
      </rPr>
      <t>Mata-burro</t>
    </r>
  </si>
  <si>
    <r>
      <rPr>
        <sz val="7"/>
        <rFont val="Arial"/>
        <family val="2"/>
      </rPr>
      <t>Passagem de gado (boca)</t>
    </r>
  </si>
  <si>
    <r>
      <rPr>
        <sz val="7"/>
        <rFont val="Arial"/>
        <family val="2"/>
      </rPr>
      <t>Passagem de gado (sem guarda corpo)</t>
    </r>
  </si>
  <si>
    <r>
      <rPr>
        <sz val="7"/>
        <rFont val="Arial"/>
        <family val="2"/>
      </rPr>
      <t>Passeio em concreto, largura 2,00m, acabamento em ladrilho hidráulico podotátil (L=0,40m)</t>
    </r>
  </si>
  <si>
    <r>
      <rPr>
        <sz val="7"/>
        <rFont val="Arial"/>
        <family val="2"/>
      </rPr>
      <t xml:space="preserve">Passeio pavimentado em blocos de concreto esp.=6cm, colorido, resistência 35 MPa, colchão
</t>
    </r>
    <r>
      <rPr>
        <sz val="7"/>
        <rFont val="Arial"/>
        <family val="2"/>
      </rPr>
      <t>de areia 5cm, inclusive transporte dos blocos e da areia</t>
    </r>
  </si>
  <si>
    <r>
      <rPr>
        <sz val="7"/>
        <rFont val="Arial"/>
        <family val="2"/>
      </rPr>
      <t>Pavimentação com pedra de mão (pé de moleque) argamassada</t>
    </r>
  </si>
  <si>
    <r>
      <rPr>
        <sz val="7"/>
        <rFont val="Arial"/>
        <family val="2"/>
      </rPr>
      <t>Pintura com tinta a óleo em esquadria de ferros duas demãos</t>
    </r>
  </si>
  <si>
    <r>
      <rPr>
        <sz val="7"/>
        <rFont val="Arial"/>
        <family val="2"/>
      </rPr>
      <t>Pintura em estrutura metálica com tinta epoxídica  inclusive primer</t>
    </r>
  </si>
  <si>
    <r>
      <rPr>
        <sz val="7"/>
        <rFont val="Arial"/>
        <family val="2"/>
      </rPr>
      <t>Pintura em látex acrílica em parede externa, sem massa corrida, três demãos</t>
    </r>
  </si>
  <si>
    <r>
      <rPr>
        <sz val="7"/>
        <rFont val="Arial"/>
        <family val="2"/>
      </rPr>
      <t>Pintura logomarca DER-ES em mourões de concreto ( baixo relevo )</t>
    </r>
  </si>
  <si>
    <r>
      <rPr>
        <sz val="7"/>
        <rFont val="Arial"/>
        <family val="2"/>
      </rPr>
      <t xml:space="preserve">Porteira, confecção e colocação, inclusive fornecimento e transporte da madeira e chapa de
</t>
    </r>
    <r>
      <rPr>
        <sz val="7"/>
        <rFont val="Arial"/>
        <family val="2"/>
      </rPr>
      <t>aço</t>
    </r>
  </si>
  <si>
    <r>
      <rPr>
        <sz val="7"/>
        <rFont val="Arial"/>
        <family val="2"/>
      </rPr>
      <t>Poste galvanizado 101mm simples, fornecimento e instalação</t>
    </r>
  </si>
  <si>
    <r>
      <rPr>
        <sz val="7"/>
        <rFont val="Arial"/>
        <family val="2"/>
      </rPr>
      <t>Poste galvanizado 114 mm - 1boca, fornecimento e instalação</t>
    </r>
  </si>
  <si>
    <r>
      <rPr>
        <sz val="7"/>
        <rFont val="Arial"/>
        <family val="2"/>
      </rPr>
      <t>Poste galvanizado 114mm - 2 bocas, fornecimento e instalação</t>
    </r>
  </si>
  <si>
    <r>
      <rPr>
        <sz val="7"/>
        <rFont val="Arial"/>
        <family val="2"/>
      </rPr>
      <t>Rampa de pedestres, com piso em ladrilho hidráulico podotátil</t>
    </r>
  </si>
  <si>
    <r>
      <rPr>
        <sz val="7"/>
        <rFont val="Arial"/>
        <family val="2"/>
      </rPr>
      <t>Rampa em pedra de mão (pé de moleque) argamassada e travada</t>
    </r>
  </si>
  <si>
    <r>
      <rPr>
        <sz val="7"/>
        <rFont val="Arial"/>
        <family val="2"/>
      </rPr>
      <t>Remoção de camada vegetal</t>
    </r>
  </si>
  <si>
    <r>
      <rPr>
        <sz val="7"/>
        <rFont val="Arial"/>
        <family val="2"/>
      </rPr>
      <t>Retirada de Defensa Metálica</t>
    </r>
  </si>
  <si>
    <r>
      <rPr>
        <sz val="7"/>
        <rFont val="Arial"/>
        <family val="2"/>
      </rPr>
      <t>Retirada e recolocação de alambrado</t>
    </r>
  </si>
  <si>
    <r>
      <rPr>
        <sz val="7"/>
        <rFont val="Arial"/>
        <family val="2"/>
      </rPr>
      <t xml:space="preserve">Sistema cercamento tipo Gradil Nylofor 3DPintura Simples (preto, verde ou branco), #
</t>
    </r>
    <r>
      <rPr>
        <sz val="7"/>
        <rFont val="Arial"/>
        <family val="2"/>
      </rPr>
      <t>50x200m, fio 5,0mm, L=2,50m, H=2,03m, incl. forn./chumb. postes</t>
    </r>
  </si>
  <si>
    <r>
      <rPr>
        <sz val="7"/>
        <rFont val="Arial"/>
        <family val="2"/>
      </rPr>
      <t>Sumidouro cilíndrico pré-moldado diam. 2,00m com 5 anéis inclusive escavação</t>
    </r>
  </si>
  <si>
    <r>
      <rPr>
        <sz val="7"/>
        <rFont val="Arial"/>
        <family val="2"/>
      </rPr>
      <t>Suporte de concreto armado ( 15x15x280 ) com logomarca pintada em baixo relevo</t>
    </r>
  </si>
  <si>
    <r>
      <rPr>
        <sz val="7"/>
        <rFont val="Arial"/>
        <family val="2"/>
      </rPr>
      <t xml:space="preserve">Tela de aço galvanizado ,em malha hexagonal de dupla torção, tipo 8,0cm x 10,0cm, com fios
</t>
    </r>
    <r>
      <rPr>
        <sz val="7"/>
        <rFont val="Arial"/>
        <family val="2"/>
      </rPr>
      <t>de diâmetro 2,7mm, tudo incluído, fornecimento e execução</t>
    </r>
  </si>
  <si>
    <r>
      <rPr>
        <sz val="7"/>
        <rFont val="Arial"/>
        <family val="2"/>
      </rPr>
      <t>Grupo de serviço: SERVIÇOS AMBIENTAIS</t>
    </r>
  </si>
  <si>
    <r>
      <rPr>
        <sz val="7"/>
        <rFont val="Arial"/>
        <family val="2"/>
      </rPr>
      <t>Arborização para paisagismo ( mudas viveiro de espera) com altura maior que 150 cm</t>
    </r>
  </si>
  <si>
    <r>
      <rPr>
        <sz val="7"/>
        <rFont val="Arial"/>
        <family val="2"/>
      </rPr>
      <t>Arborização para paisagismo (mudas viveiro de espera) com altura até 150 cm</t>
    </r>
  </si>
  <si>
    <r>
      <rPr>
        <sz val="7"/>
        <rFont val="Arial"/>
        <family val="2"/>
      </rPr>
      <t xml:space="preserve">Barreira de Siltagem com escoras de eucalipto,  diâm. 0,10m e a altura 1,60m, espaçadas a
</t>
    </r>
    <r>
      <rPr>
        <sz val="7"/>
        <rFont val="Arial"/>
        <family val="2"/>
      </rPr>
      <t>cada 2,0 m, 1 reaproveitamento</t>
    </r>
  </si>
  <si>
    <r>
      <rPr>
        <sz val="7"/>
        <rFont val="Arial"/>
        <family val="2"/>
      </rPr>
      <t>Conformação manual de taludes</t>
    </r>
  </si>
  <si>
    <r>
      <rPr>
        <sz val="7"/>
        <rFont val="Arial"/>
        <family val="2"/>
      </rPr>
      <t>Grama  em placas em taludes com estacas de madeira, fornecimento e plantio</t>
    </r>
  </si>
  <si>
    <r>
      <rPr>
        <sz val="7"/>
        <rFont val="Arial"/>
        <family val="2"/>
      </rPr>
      <t>Grama em placas, fornecimento e plantio (sem fixação com estacas)</t>
    </r>
  </si>
  <si>
    <r>
      <rPr>
        <sz val="7"/>
        <rFont val="Arial"/>
        <family val="2"/>
      </rPr>
      <t>Gramínea em leiva, extração</t>
    </r>
  </si>
  <si>
    <r>
      <rPr>
        <sz val="7"/>
        <rFont val="Arial"/>
        <family val="2"/>
      </rPr>
      <t>Gramínea em leiva, extração, plantio e transporte</t>
    </r>
  </si>
  <si>
    <r>
      <rPr>
        <sz val="7"/>
        <rFont val="Arial"/>
        <family val="2"/>
      </rPr>
      <t>Gramíneas em sementes, fornecimento e plantio a lanço</t>
    </r>
  </si>
  <si>
    <r>
      <rPr>
        <sz val="7"/>
        <rFont val="Arial"/>
        <family val="2"/>
      </rPr>
      <t>Hidrossemeadura simples em taludes</t>
    </r>
  </si>
  <si>
    <r>
      <rPr>
        <sz val="7"/>
        <rFont val="Arial"/>
        <family val="2"/>
      </rPr>
      <t>Hidrossemeadura simples em terrenos planos</t>
    </r>
  </si>
  <si>
    <r>
      <rPr>
        <sz val="7"/>
        <rFont val="Arial"/>
        <family val="2"/>
      </rPr>
      <t xml:space="preserve">Recomposição de talude de corte com aterro de solo argiloso compactado, exclusive material
</t>
    </r>
    <r>
      <rPr>
        <sz val="7"/>
        <rFont val="Arial"/>
        <family val="2"/>
      </rPr>
      <t>de aterro</t>
    </r>
  </si>
  <si>
    <r>
      <rPr>
        <sz val="7"/>
        <rFont val="Arial"/>
        <family val="2"/>
      </rPr>
      <t>Reflorestamento com espécies nativas da mata atlântica, mudas em sacolas ou tubetes</t>
    </r>
  </si>
  <si>
    <r>
      <rPr>
        <sz val="7"/>
        <rFont val="Arial"/>
        <family val="2"/>
      </rPr>
      <t>Reunião de Comunicação Social inclusive material de consumo</t>
    </r>
  </si>
  <si>
    <r>
      <rPr>
        <sz val="7"/>
        <rFont val="Arial"/>
        <family val="2"/>
      </rPr>
      <t>Revestimento vegetal com grama em placas, inclusive transporte de grama</t>
    </r>
  </si>
  <si>
    <r>
      <rPr>
        <sz val="7"/>
        <rFont val="Arial"/>
        <family val="2"/>
      </rPr>
      <t>Revestimento vegetal por hidrossemeadura com manta de fibras vegetais</t>
    </r>
  </si>
  <si>
    <r>
      <rPr>
        <sz val="7"/>
        <rFont val="Arial"/>
        <family val="2"/>
      </rPr>
      <t>Roçada para manutenção de mudas</t>
    </r>
  </si>
  <si>
    <r>
      <rPr>
        <sz val="7"/>
        <rFont val="Arial"/>
        <family val="2"/>
      </rPr>
      <t>Grupo de serviço: SINALIZAÇÃO</t>
    </r>
  </si>
  <si>
    <r>
      <rPr>
        <sz val="7"/>
        <rFont val="Arial"/>
        <family val="2"/>
      </rPr>
      <t>Balizador de concreto ( fornecimento e assentamento )</t>
    </r>
  </si>
  <si>
    <r>
      <rPr>
        <sz val="7"/>
        <rFont val="Arial"/>
        <family val="2"/>
      </rPr>
      <t>Botoeira com sinal sonoro, fornecimento e instalação</t>
    </r>
  </si>
  <si>
    <r>
      <rPr>
        <sz val="7"/>
        <rFont val="Arial"/>
        <family val="2"/>
      </rPr>
      <t>Cabos para rede de dados (sincronismo) blindado 2 x 20 awg, fornecimento e instalação</t>
    </r>
  </si>
  <si>
    <r>
      <rPr>
        <sz val="7"/>
        <rFont val="Arial"/>
        <family val="2"/>
      </rPr>
      <t>Cones para sinalização, fornecimento e colocação</t>
    </r>
  </si>
  <si>
    <r>
      <rPr>
        <sz val="7"/>
        <rFont val="Arial"/>
        <family val="2"/>
      </rPr>
      <t>Controlador Eletrônico Microprocessado 4 fases, fornecimento e instalação</t>
    </r>
  </si>
  <si>
    <r>
      <rPr>
        <sz val="7"/>
        <rFont val="Arial"/>
        <family val="2"/>
      </rPr>
      <t>Controlador Eletrônico Microprocessado 6/6 fases, fornecimento e instalação</t>
    </r>
  </si>
  <si>
    <r>
      <rPr>
        <sz val="7"/>
        <rFont val="Arial"/>
        <family val="2"/>
      </rPr>
      <t>Defensa de concreto tipo New Jersey, fornecimento e colocação</t>
    </r>
  </si>
  <si>
    <r>
      <rPr>
        <sz val="7"/>
        <rFont val="Arial"/>
        <family val="2"/>
      </rPr>
      <t>Defensa metálica (1 lâmina com espessura = 3 mm), fornecimento e colocação</t>
    </r>
  </si>
  <si>
    <r>
      <rPr>
        <sz val="7"/>
        <rFont val="Arial"/>
        <family val="2"/>
      </rPr>
      <t xml:space="preserve">Defensa metálica (2 lâminas com espessuras = 3mm) inclusive acessórios, fornecimento e
</t>
    </r>
    <r>
      <rPr>
        <sz val="7"/>
        <rFont val="Arial"/>
        <family val="2"/>
      </rPr>
      <t>colocação</t>
    </r>
  </si>
  <si>
    <r>
      <rPr>
        <sz val="7"/>
        <rFont val="Arial"/>
        <family val="2"/>
      </rPr>
      <t>Elementos de madeira para sinalização - cavaletes</t>
    </r>
  </si>
  <si>
    <r>
      <rPr>
        <sz val="7"/>
        <rFont val="Arial"/>
        <family val="2"/>
      </rPr>
      <t xml:space="preserve">Grupo focal gradativo (semáforo com informação de tempo) com lâmpada LED, fornecimento
</t>
    </r>
    <r>
      <rPr>
        <sz val="7"/>
        <rFont val="Arial"/>
        <family val="2"/>
      </rPr>
      <t>e instalação</t>
    </r>
  </si>
  <si>
    <r>
      <rPr>
        <sz val="7"/>
        <rFont val="Arial"/>
        <family val="2"/>
      </rPr>
      <t>Grupo focal repetidor 2x200 mm com lâmpada LED, fornecimento e instalação</t>
    </r>
  </si>
  <si>
    <r>
      <rPr>
        <sz val="7"/>
        <rFont val="Arial"/>
        <family val="2"/>
      </rPr>
      <t>Grupo focal repetidor 3x200 mm com lâmpada LED, fornecimento e instalação</t>
    </r>
  </si>
  <si>
    <r>
      <rPr>
        <sz val="7"/>
        <rFont val="Arial"/>
        <family val="2"/>
      </rPr>
      <t>Grupo focal repetidor 3x300 mm com lâmpada LED, fornecimento e instalação</t>
    </r>
  </si>
  <si>
    <r>
      <rPr>
        <sz val="7"/>
        <rFont val="Arial"/>
        <family val="2"/>
      </rPr>
      <t>Ondulação transversal em CBUQ</t>
    </r>
  </si>
  <si>
    <r>
      <rPr>
        <sz val="7"/>
        <rFont val="Arial"/>
        <family val="2"/>
      </rPr>
      <t>Ondulação transversal em concreto</t>
    </r>
  </si>
  <si>
    <r>
      <rPr>
        <sz val="7"/>
        <rFont val="Arial"/>
        <family val="2"/>
      </rPr>
      <t>Pintura acrílica sobre capa asfáltica</t>
    </r>
  </si>
  <si>
    <r>
      <rPr>
        <sz val="7"/>
        <rFont val="Arial"/>
        <family val="2"/>
      </rPr>
      <t>Pintura de setas e zebrados em material termoplástico - 5 anos ( por extrusão)</t>
    </r>
  </si>
  <si>
    <r>
      <rPr>
        <sz val="7"/>
        <rFont val="Arial"/>
        <family val="2"/>
      </rPr>
      <t>Sinalização com chapa em alumínio revestida em película</t>
    </r>
  </si>
  <si>
    <r>
      <rPr>
        <sz val="7"/>
        <rFont val="Arial"/>
        <family val="2"/>
      </rPr>
      <t>Sinalização horizontal TMD=200, vida útil 2 a 3 anos, taxa=0,40 L/m²</t>
    </r>
  </si>
  <si>
    <r>
      <rPr>
        <sz val="7"/>
        <rFont val="Arial"/>
        <family val="2"/>
      </rPr>
      <t>Sinalização horizontal TMD=400, vida útil 2 a 3 anos, taxa=0,60 L/m²</t>
    </r>
  </si>
  <si>
    <r>
      <rPr>
        <sz val="7"/>
        <rFont val="Arial"/>
        <family val="2"/>
      </rPr>
      <t>Sinalização horizontal TMD=600, vida útil 2 a 3 anos, taxa=0,80 L/m²</t>
    </r>
  </si>
  <si>
    <r>
      <rPr>
        <sz val="7"/>
        <rFont val="Arial"/>
        <family val="2"/>
      </rPr>
      <t>Sinalização horizontal TMD=600, vida útil 3 anos, taxa=3,0 kg/m² material termoplástico )</t>
    </r>
  </si>
  <si>
    <r>
      <rPr>
        <sz val="7"/>
        <rFont val="Arial"/>
        <family val="2"/>
      </rPr>
      <t>Sinalização noturna ( fio com lâmpada e balde ), fornecimento e instalação</t>
    </r>
  </si>
  <si>
    <r>
      <rPr>
        <sz val="7"/>
        <rFont val="Arial"/>
        <family val="2"/>
      </rPr>
      <t>Sinalização vertical com chapa em esmalte sintético</t>
    </r>
  </si>
  <si>
    <r>
      <rPr>
        <sz val="7"/>
        <rFont val="Arial"/>
        <family val="2"/>
      </rPr>
      <t xml:space="preserve">Sinalização vertical com chapa em poliéster (e=2,3mm) reforçada com fibra de vidro, inclusive
</t>
    </r>
    <r>
      <rPr>
        <sz val="7"/>
        <rFont val="Arial"/>
        <family val="2"/>
      </rPr>
      <t>suporte de madeira</t>
    </r>
  </si>
  <si>
    <r>
      <rPr>
        <sz val="7"/>
        <rFont val="Arial"/>
        <family val="2"/>
      </rPr>
      <t>Sinalização vertical com chapa revestida em película, inclusive suporte em madeira</t>
    </r>
  </si>
  <si>
    <r>
      <rPr>
        <sz val="7"/>
        <rFont val="Arial"/>
        <family val="2"/>
      </rPr>
      <t>Sonorizador</t>
    </r>
  </si>
  <si>
    <r>
      <rPr>
        <sz val="7"/>
        <rFont val="Arial"/>
        <family val="2"/>
      </rPr>
      <t xml:space="preserve">Suporte de placa de sinalização vertical em madeira de 1ª qualidade, pintada, fornecimento e
</t>
    </r>
    <r>
      <rPr>
        <sz val="7"/>
        <rFont val="Arial"/>
        <family val="2"/>
      </rPr>
      <t>instalação</t>
    </r>
  </si>
  <si>
    <r>
      <rPr>
        <sz val="7"/>
        <rFont val="Arial"/>
        <family val="2"/>
      </rPr>
      <t>Tacha refletiva  monodirecional, fornecimento e aplicação</t>
    </r>
  </si>
  <si>
    <r>
      <rPr>
        <sz val="7"/>
        <rFont val="Arial"/>
        <family val="2"/>
      </rPr>
      <t>Tacha refletiva birrefletorizada, fornecimento e aplicação</t>
    </r>
  </si>
  <si>
    <r>
      <rPr>
        <sz val="7"/>
        <rFont val="Arial"/>
        <family val="2"/>
      </rPr>
      <t>Tachão refletivo  monodirecional, fornecimento e aplicação</t>
    </r>
  </si>
  <si>
    <r>
      <rPr>
        <sz val="7"/>
        <rFont val="Arial"/>
        <family val="2"/>
      </rPr>
      <t>Tachão refletivo birrefletorizado, fornecimento e aplicação</t>
    </r>
  </si>
  <si>
    <r>
      <rPr>
        <sz val="7"/>
        <rFont val="Arial"/>
        <family val="2"/>
      </rPr>
      <t>Tela de proteção de segurança de PVC cor laranja com suporte  para sinalização de obras</t>
    </r>
  </si>
  <si>
    <r>
      <rPr>
        <sz val="7"/>
        <rFont val="Arial"/>
        <family val="2"/>
      </rPr>
      <t>Grupo de serviço: SERVIÇOS DIVERSOS</t>
    </r>
  </si>
  <si>
    <r>
      <rPr>
        <sz val="7"/>
        <rFont val="Arial"/>
        <family val="2"/>
      </rPr>
      <t>Aluguel de automóvel VW/ Gol (flex) 1,6 ou equivalente, exclusive motorista e combustível</t>
    </r>
  </si>
  <si>
    <r>
      <rPr>
        <sz val="7"/>
        <rFont val="Arial"/>
        <family val="2"/>
      </rPr>
      <t>Aluguel mensal de automóvel utilitário inclusive combustível, exclusive motorista</t>
    </r>
  </si>
  <si>
    <r>
      <rPr>
        <sz val="7"/>
        <rFont val="Arial"/>
        <family val="2"/>
      </rPr>
      <t>Grupo de serviço: CONSERVAÇÃO CORRETIVA ROTINEIRA</t>
    </r>
  </si>
  <si>
    <r>
      <rPr>
        <sz val="7"/>
        <rFont val="Arial"/>
        <family val="2"/>
      </rPr>
      <t>Aplicação de jato de ar comprimido para limpeza de trincas</t>
    </r>
  </si>
  <si>
    <r>
      <rPr>
        <sz val="7"/>
        <rFont val="Arial"/>
        <family val="2"/>
      </rPr>
      <t>Arborização (mudas de árvores com altura até 1,50 m)</t>
    </r>
  </si>
  <si>
    <r>
      <rPr>
        <sz val="7"/>
        <rFont val="Arial"/>
        <family val="2"/>
      </rPr>
      <t>Base de solo estabilizada granulométricamente sem  mistura inclusive escavação e carga</t>
    </r>
  </si>
  <si>
    <r>
      <rPr>
        <sz val="7"/>
        <rFont val="Arial"/>
        <family val="2"/>
      </rPr>
      <t>Boca de bueiro tubular em concreto ciclópico inclusive escavação, tudo incluído</t>
    </r>
  </si>
  <si>
    <r>
      <rPr>
        <sz val="7"/>
        <rFont val="Arial"/>
        <family val="2"/>
      </rPr>
      <t>Caixa coletora em concreto fck=10,0 MPa inclusive escavação, tudo incluído</t>
    </r>
  </si>
  <si>
    <r>
      <rPr>
        <sz val="7"/>
        <rFont val="Arial"/>
        <family val="2"/>
      </rPr>
      <t>Capina manual inclusive, limpeza</t>
    </r>
  </si>
  <si>
    <r>
      <rPr>
        <sz val="7"/>
        <rFont val="Arial"/>
        <family val="2"/>
      </rPr>
      <t>Carga manual de material de limpeza de galerias urbanas</t>
    </r>
  </si>
  <si>
    <r>
      <rPr>
        <sz val="7"/>
        <rFont val="Arial"/>
        <family val="2"/>
      </rPr>
      <t>CBUQ - Usinagem, aquisição e transporte dos materiais</t>
    </r>
  </si>
  <si>
    <r>
      <rPr>
        <sz val="7"/>
        <rFont val="Arial"/>
        <family val="2"/>
      </rPr>
      <t>Cerca com mourões de madeira, inclusive escavação e transporte de mourão e arame farpado</t>
    </r>
  </si>
  <si>
    <r>
      <rPr>
        <sz val="7"/>
        <rFont val="Arial"/>
        <family val="2"/>
      </rPr>
      <t xml:space="preserve">Colchão drenante de brita 1, inclusive fornecimento, espalhamento, compactação e transporte
</t>
    </r>
    <r>
      <rPr>
        <sz val="7"/>
        <rFont val="Arial"/>
        <family val="2"/>
      </rPr>
      <t>da brita</t>
    </r>
  </si>
  <si>
    <r>
      <rPr>
        <sz val="7"/>
        <rFont val="Arial"/>
        <family val="2"/>
      </rPr>
      <t>Compactação de subleito</t>
    </r>
  </si>
  <si>
    <r>
      <rPr>
        <sz val="7"/>
        <rFont val="Arial"/>
        <family val="2"/>
      </rPr>
      <t>Conformação de taludes de corte</t>
    </r>
  </si>
  <si>
    <r>
      <rPr>
        <sz val="7"/>
        <rFont val="Arial"/>
        <family val="2"/>
      </rPr>
      <t>Corpo e berço de bueiro tubular, inclusive transporte do tubo</t>
    </r>
  </si>
  <si>
    <r>
      <rPr>
        <sz val="7"/>
        <rFont val="Arial"/>
        <family val="2"/>
      </rPr>
      <t>Desobstrução manual de valetas</t>
    </r>
  </si>
  <si>
    <r>
      <rPr>
        <sz val="7"/>
        <rFont val="Arial"/>
        <family val="2"/>
      </rPr>
      <t>Dreno profundo D=0,20 m com enchimento brita e areia, tudo incluído</t>
    </r>
  </si>
  <si>
    <r>
      <rPr>
        <sz val="7"/>
        <rFont val="Arial"/>
        <family val="2"/>
      </rPr>
      <t>Escavação, carga e transporte de material de 1º categoria</t>
    </r>
  </si>
  <si>
    <r>
      <rPr>
        <sz val="7"/>
        <rFont val="Arial"/>
        <family val="2"/>
      </rPr>
      <t>Fresagem de pavimento asfáltico à frio, inclusive transporte do material</t>
    </r>
  </si>
  <si>
    <r>
      <rPr>
        <sz val="7"/>
        <rFont val="Arial"/>
        <family val="2"/>
      </rPr>
      <t>Imprimação inclusive fornecimento e transporte do CM-30</t>
    </r>
  </si>
  <si>
    <r>
      <rPr>
        <sz val="7"/>
        <rFont val="Arial"/>
        <family val="2"/>
      </rPr>
      <t>Lama asfáltica (faixa I - ISSA) (tudo incluído)</t>
    </r>
  </si>
  <si>
    <r>
      <rPr>
        <sz val="7"/>
        <rFont val="Arial"/>
        <family val="2"/>
      </rPr>
      <t>Lama asfáltica (faixa II - ISSA) (tudo incluído)</t>
    </r>
  </si>
  <si>
    <r>
      <rPr>
        <sz val="7"/>
        <rFont val="Arial"/>
        <family val="2"/>
      </rPr>
      <t>Lama asfáltica (faixa III - ISSA) (tudo incluído)</t>
    </r>
  </si>
  <si>
    <r>
      <rPr>
        <sz val="7"/>
        <rFont val="Arial"/>
        <family val="2"/>
      </rPr>
      <t>Lama asfáltica (faixa IV - ISSA) (tudo incluído)</t>
    </r>
  </si>
  <si>
    <r>
      <rPr>
        <sz val="7"/>
        <rFont val="Arial"/>
        <family val="2"/>
      </rPr>
      <t>Limpeza de sarjeta e meio-fio</t>
    </r>
  </si>
  <si>
    <r>
      <rPr>
        <sz val="7"/>
        <rFont val="Arial"/>
        <family val="2"/>
      </rPr>
      <t>Limpeza e desobstrução de bueiros</t>
    </r>
  </si>
  <si>
    <r>
      <rPr>
        <sz val="7"/>
        <rFont val="Arial"/>
        <family val="2"/>
      </rPr>
      <t>Limpeza e desobstrução de caixa coletora</t>
    </r>
  </si>
  <si>
    <r>
      <rPr>
        <sz val="7"/>
        <rFont val="Arial"/>
        <family val="2"/>
      </rPr>
      <t xml:space="preserve">Limpeza e desobstrução de rede de drenagem, utilizando caminhão equipado com conjunto de
</t>
    </r>
    <r>
      <rPr>
        <sz val="7"/>
        <rFont val="Arial"/>
        <family val="2"/>
      </rPr>
      <t>alta pressão e sucção</t>
    </r>
  </si>
  <si>
    <r>
      <rPr>
        <sz val="7"/>
        <rFont val="Arial"/>
        <family val="2"/>
      </rPr>
      <t>Limpeza e pintura de guarda-corpo</t>
    </r>
  </si>
  <si>
    <r>
      <rPr>
        <sz val="7"/>
        <rFont val="Arial"/>
        <family val="2"/>
      </rPr>
      <t>Meio-fio pré-moldado em concreto, inclusive caiação e transporte do meio-fio</t>
    </r>
  </si>
  <si>
    <r>
      <rPr>
        <sz val="7"/>
        <rFont val="Arial"/>
        <family val="2"/>
      </rPr>
      <t>Obturação de buracos com CBUQ (tudo incluído)</t>
    </r>
  </si>
  <si>
    <r>
      <rPr>
        <sz val="7"/>
        <rFont val="Arial"/>
        <family val="2"/>
      </rPr>
      <t>Obturação de buracos com PMF (tudo incluído)</t>
    </r>
  </si>
  <si>
    <r>
      <rPr>
        <sz val="7"/>
        <rFont val="Arial"/>
        <family val="2"/>
      </rPr>
      <t>Obturação de buracos com PMF usinado pelo DER-ES (tudo incluído)</t>
    </r>
  </si>
  <si>
    <r>
      <rPr>
        <sz val="7"/>
        <rFont val="Arial"/>
        <family val="2"/>
      </rPr>
      <t>Pintura de dispositivos de drenagem</t>
    </r>
  </si>
  <si>
    <r>
      <rPr>
        <sz val="7"/>
        <rFont val="Arial"/>
        <family val="2"/>
      </rPr>
      <t>Pintura de ligação, inclusive fornecimento e transporte da emulsão</t>
    </r>
  </si>
  <si>
    <r>
      <rPr>
        <sz val="7"/>
        <rFont val="Arial"/>
        <family val="2"/>
      </rPr>
      <t>Pintura de pontes a base de cal</t>
    </r>
  </si>
  <si>
    <r>
      <rPr>
        <sz val="7"/>
        <rFont val="Arial"/>
        <family val="2"/>
      </rPr>
      <t>Placas de sinalização, assentamento</t>
    </r>
  </si>
  <si>
    <r>
      <rPr>
        <sz val="7"/>
        <rFont val="Arial"/>
        <family val="2"/>
      </rPr>
      <t>Placas de sinalização, inclusive materiais, substituição</t>
    </r>
  </si>
  <si>
    <r>
      <rPr>
        <sz val="7"/>
        <rFont val="Arial"/>
        <family val="2"/>
      </rPr>
      <t>PMF - Usinagem, aquisição e transportes dos materiais</t>
    </r>
  </si>
  <si>
    <r>
      <rPr>
        <sz val="7"/>
        <rFont val="Arial"/>
        <family val="2"/>
      </rPr>
      <t>Recomposição de revestimento c/ CBUQ - Inclusive fornecimento e transporte dos materiais</t>
    </r>
  </si>
  <si>
    <r>
      <rPr>
        <sz val="7"/>
        <rFont val="Arial"/>
        <family val="2"/>
      </rPr>
      <t>Recomposição de revestimento c/ PMF - Inclusive fornecimento e transporte dos materiais</t>
    </r>
  </si>
  <si>
    <r>
      <rPr>
        <sz val="7"/>
        <rFont val="Arial"/>
        <family val="2"/>
      </rPr>
      <t>Recomposição de revestimento primário (tudo incluído)</t>
    </r>
  </si>
  <si>
    <r>
      <rPr>
        <sz val="7"/>
        <rFont val="Arial"/>
        <family val="2"/>
      </rPr>
      <t>Recomposição mecânica de aterros</t>
    </r>
  </si>
  <si>
    <r>
      <rPr>
        <sz val="7"/>
        <rFont val="Arial"/>
        <family val="2"/>
      </rPr>
      <t>Reconformação mecânica de plataforma (patrolamento)</t>
    </r>
  </si>
  <si>
    <r>
      <rPr>
        <sz val="7"/>
        <rFont val="Arial"/>
        <family val="2"/>
      </rPr>
      <t>Remendo com massa asfáltica fria (tudo incluído)</t>
    </r>
  </si>
  <si>
    <r>
      <rPr>
        <sz val="7"/>
        <rFont val="Arial"/>
        <family val="2"/>
      </rPr>
      <t>Remendo com massa asfáltica fria usinada pelo DER-ES (tudo incluído)</t>
    </r>
  </si>
  <si>
    <r>
      <rPr>
        <sz val="7"/>
        <rFont val="Arial"/>
        <family val="2"/>
      </rPr>
      <t>Remendo com massa asfáltica quente (tudo incluído)</t>
    </r>
  </si>
  <si>
    <r>
      <rPr>
        <sz val="7"/>
        <rFont val="Arial"/>
        <family val="2"/>
      </rPr>
      <t>Remoção mecânica de barreiras</t>
    </r>
  </si>
  <si>
    <r>
      <rPr>
        <sz val="7"/>
        <rFont val="Arial"/>
        <family val="2"/>
      </rPr>
      <t>Reparo de bueiros celulares (inclusive boca)</t>
    </r>
  </si>
  <si>
    <r>
      <rPr>
        <sz val="7"/>
        <rFont val="Arial"/>
        <family val="2"/>
      </rPr>
      <t>Reparo de bueiros tubulares</t>
    </r>
  </si>
  <si>
    <r>
      <rPr>
        <sz val="7"/>
        <rFont val="Arial"/>
        <family val="2"/>
      </rPr>
      <t>Reparo de caixa  coletora</t>
    </r>
  </si>
  <si>
    <r>
      <rPr>
        <sz val="7"/>
        <rFont val="Arial"/>
        <family val="2"/>
      </rPr>
      <t xml:space="preserve">Reparo de cerca ( substituição de mourões, grampo e arame farpado), inclusive transportes de
</t>
    </r>
    <r>
      <rPr>
        <sz val="7"/>
        <rFont val="Arial"/>
        <family val="2"/>
      </rPr>
      <t>todos os materiais</t>
    </r>
  </si>
  <si>
    <r>
      <rPr>
        <sz val="7"/>
        <rFont val="Arial"/>
        <family val="2"/>
      </rPr>
      <t>Reparo de guarda-corpo</t>
    </r>
  </si>
  <si>
    <r>
      <rPr>
        <sz val="7"/>
        <rFont val="Arial"/>
        <family val="2"/>
      </rPr>
      <t>Reparo de meio-fio, inclusive caiação</t>
    </r>
  </si>
  <si>
    <r>
      <rPr>
        <sz val="7"/>
        <rFont val="Arial"/>
        <family val="2"/>
      </rPr>
      <t>Reparo de muros de arrimo</t>
    </r>
  </si>
  <si>
    <r>
      <rPr>
        <sz val="7"/>
        <rFont val="Arial"/>
        <family val="2"/>
      </rPr>
      <t>Reparo de sarjeta, inclusive caiação</t>
    </r>
  </si>
  <si>
    <r>
      <rPr>
        <sz val="7"/>
        <rFont val="Arial"/>
        <family val="2"/>
      </rPr>
      <t>Retirada de placas de sinalização</t>
    </r>
  </si>
  <si>
    <r>
      <rPr>
        <sz val="7"/>
        <rFont val="Arial"/>
        <family val="2"/>
      </rPr>
      <t xml:space="preserve">Roçada manual com roçadeira costal, ferramentas manuais, inclusive limpeza e remoção com
</t>
    </r>
    <r>
      <rPr>
        <sz val="7"/>
        <rFont val="Arial"/>
        <family val="2"/>
      </rPr>
      <t>retroescavadeira (conservação)</t>
    </r>
  </si>
  <si>
    <r>
      <rPr>
        <sz val="7"/>
        <rFont val="Arial"/>
        <family val="2"/>
      </rPr>
      <t xml:space="preserve">Roçada manual com roçadeira costal, ferramentas manuais, inclusive limpeza manual (
</t>
    </r>
    <r>
      <rPr>
        <sz val="7"/>
        <rFont val="Arial"/>
        <family val="2"/>
      </rPr>
      <t>conservação)</t>
    </r>
  </si>
  <si>
    <r>
      <rPr>
        <sz val="7"/>
        <rFont val="Arial"/>
        <family val="2"/>
      </rPr>
      <t>Roçada mecanizada</t>
    </r>
  </si>
  <si>
    <r>
      <rPr>
        <sz val="7"/>
        <rFont val="Arial"/>
        <family val="2"/>
      </rPr>
      <t>Sarjeta em concreto fck=10,0 MPa inclusive caiação, tudo incluído</t>
    </r>
  </si>
  <si>
    <r>
      <rPr>
        <sz val="7"/>
        <rFont val="Arial"/>
        <family val="2"/>
      </rPr>
      <t>Selagem de trincas, inclusive transporte de areia e emulsão</t>
    </r>
  </si>
  <si>
    <r>
      <rPr>
        <sz val="7"/>
        <rFont val="Arial"/>
        <family val="2"/>
      </rPr>
      <t>Sinalização horizontal - taxa 0,6 l/m², tudo incluído</t>
    </r>
  </si>
  <si>
    <r>
      <rPr>
        <sz val="7"/>
        <rFont val="Arial"/>
        <family val="2"/>
      </rPr>
      <t>Sinalização vertical, inclusive transporte de placa sinalização e madeira</t>
    </r>
  </si>
  <si>
    <r>
      <rPr>
        <sz val="7"/>
        <rFont val="Arial"/>
        <family val="2"/>
      </rPr>
      <t>Sub-base de solo estabilizada granulométricamente sem mistura inclusive escavação e carga</t>
    </r>
  </si>
  <si>
    <r>
      <rPr>
        <sz val="7"/>
        <rFont val="Arial"/>
        <family val="2"/>
      </rPr>
      <t>Tapa-panela, inclusive transporte de material de 1ª categoria</t>
    </r>
  </si>
  <si>
    <r>
      <rPr>
        <sz val="7"/>
        <rFont val="Arial"/>
        <family val="2"/>
      </rPr>
      <t>TSD - Tratamento superficial duplo incl. transporte dos materiais</t>
    </r>
  </si>
  <si>
    <r>
      <rPr>
        <sz val="7"/>
        <rFont val="Arial"/>
        <family val="2"/>
      </rPr>
      <t>Aluguel mensal de barco de alumínio 4,20 m com motor 15 HP (equipamentos)</t>
    </r>
  </si>
  <si>
    <r>
      <rPr>
        <sz val="7"/>
        <rFont val="Arial"/>
        <family val="2"/>
      </rPr>
      <t>Grupo de serviço: INFRA E MESO-ESTRUTURA</t>
    </r>
  </si>
  <si>
    <r>
      <rPr>
        <sz val="7"/>
        <rFont val="Arial"/>
        <family val="2"/>
      </rPr>
      <t>Arrasamento estaca concreto D = 0,80 m com martelete pneumático</t>
    </r>
  </si>
  <si>
    <r>
      <rPr>
        <sz val="7"/>
        <rFont val="Arial"/>
        <family val="2"/>
      </rPr>
      <t xml:space="preserve">Encamisamento metálico de estacas, diâmetro 380mm em chapa de 6.3mm, preenchido c/
</t>
    </r>
    <r>
      <rPr>
        <sz val="7"/>
        <rFont val="Arial"/>
        <family val="2"/>
      </rPr>
      <t>concreto auto adensável (20MPa)</t>
    </r>
  </si>
  <si>
    <r>
      <rPr>
        <sz val="7"/>
        <rFont val="Arial"/>
        <family val="2"/>
      </rPr>
      <t>Escoramento para blocos submersos, inclusive transporte da madeira</t>
    </r>
  </si>
  <si>
    <r>
      <rPr>
        <sz val="7"/>
        <rFont val="Arial"/>
        <family val="2"/>
      </rPr>
      <t>Estaca de eucalipto D= 0,20 m, fornecimento, transporte, cravação e perda</t>
    </r>
  </si>
  <si>
    <r>
      <rPr>
        <sz val="7"/>
        <rFont val="Arial"/>
        <family val="2"/>
      </rPr>
      <t>Estaca metálica dupla exclusive fornecimento de trilhos</t>
    </r>
  </si>
  <si>
    <r>
      <rPr>
        <sz val="7"/>
        <rFont val="Arial"/>
        <family val="2"/>
      </rPr>
      <t>Estaca metálica, fornecimento, transporte, perdas, solda, emenda, corte e cravação de TR- 68</t>
    </r>
  </si>
  <si>
    <r>
      <rPr>
        <sz val="7"/>
        <rFont val="Arial"/>
        <family val="2"/>
      </rPr>
      <t xml:space="preserve">Estaca metálica, fornecimento, transporte, perdas, solda, emenda, corte e cravação de trilho
</t>
    </r>
    <r>
      <rPr>
        <sz val="7"/>
        <rFont val="Arial"/>
        <family val="2"/>
      </rPr>
      <t>TR- 57</t>
    </r>
  </si>
  <si>
    <r>
      <rPr>
        <sz val="7"/>
        <rFont val="Arial"/>
        <family val="2"/>
      </rPr>
      <t xml:space="preserve">Estaca metálica, fornecimento, transporte, perdas, solda, emenda, corte e cravação de 2 TR-
</t>
    </r>
    <r>
      <rPr>
        <sz val="7"/>
        <rFont val="Arial"/>
        <family val="2"/>
      </rPr>
      <t>57</t>
    </r>
  </si>
  <si>
    <r>
      <rPr>
        <sz val="7"/>
        <rFont val="Arial"/>
        <family val="2"/>
      </rPr>
      <t xml:space="preserve">Estaca metálica, fornecimento, transporte, perdas, solda, emenda, corte e cravação de 2 TR-
</t>
    </r>
    <r>
      <rPr>
        <sz val="7"/>
        <rFont val="Arial"/>
        <family val="2"/>
      </rPr>
      <t>68</t>
    </r>
  </si>
  <si>
    <r>
      <rPr>
        <sz val="7"/>
        <rFont val="Arial"/>
        <family val="2"/>
      </rPr>
      <t>Estaca metálica simples exclusive fornecimento de trilhos</t>
    </r>
  </si>
  <si>
    <r>
      <rPr>
        <sz val="7"/>
        <rFont val="Arial"/>
        <family val="2"/>
      </rPr>
      <t xml:space="preserve">Estaca raiz perfurada em rocha, diâm. 310mm com injeção de arg. incl. fornecimento de todos
</t>
    </r>
    <r>
      <rPr>
        <sz val="7"/>
        <rFont val="Arial"/>
        <family val="2"/>
      </rPr>
      <t>materiais</t>
    </r>
  </si>
  <si>
    <r>
      <rPr>
        <sz val="7"/>
        <rFont val="Arial"/>
        <family val="2"/>
      </rPr>
      <t xml:space="preserve">Estaca raiz perfurada em solo, diâm. 410mm com injeção de arg. incl. fornecimento de todos
</t>
    </r>
    <r>
      <rPr>
        <sz val="7"/>
        <rFont val="Arial"/>
        <family val="2"/>
      </rPr>
      <t>materiais</t>
    </r>
  </si>
  <si>
    <r>
      <rPr>
        <sz val="7"/>
        <rFont val="Arial"/>
        <family val="2"/>
      </rPr>
      <t>Estaca tipo Franki D = 520 mm</t>
    </r>
  </si>
  <si>
    <r>
      <rPr>
        <sz val="7"/>
        <rFont val="Arial"/>
        <family val="2"/>
      </rPr>
      <t xml:space="preserve">Formas planas de madeira sem reaproveitamento (fundações), inclusive fornecimento e
</t>
    </r>
    <r>
      <rPr>
        <sz val="7"/>
        <rFont val="Arial"/>
        <family val="2"/>
      </rPr>
      <t>transporte das madeiras</t>
    </r>
  </si>
  <si>
    <r>
      <rPr>
        <sz val="7"/>
        <rFont val="Arial"/>
        <family val="2"/>
      </rPr>
      <t>Perfuração rotativa inclinada, em solo, com coroa de Widia, diâmetro 150mm</t>
    </r>
  </si>
  <si>
    <r>
      <rPr>
        <sz val="7"/>
        <rFont val="Arial"/>
        <family val="2"/>
      </rPr>
      <t>Perfuração rotativa inclinada, em solo, com coroa de Widia, diâmetro 75mm</t>
    </r>
  </si>
  <si>
    <r>
      <rPr>
        <sz val="7"/>
        <rFont val="Arial"/>
        <family val="2"/>
      </rPr>
      <t xml:space="preserve">Perfuração rotativa vertical, em solo, com coroa de Widia ou similar, diâmetro H(99mm),
</t>
    </r>
    <r>
      <rPr>
        <sz val="7"/>
        <rFont val="Arial"/>
        <family val="2"/>
      </rPr>
      <t>inclusive deslocamento e posicionamento em cada furo</t>
    </r>
  </si>
  <si>
    <r>
      <rPr>
        <sz val="7"/>
        <rFont val="Arial"/>
        <family val="2"/>
      </rPr>
      <t xml:space="preserve">Perfuração rotativa vertical, em solo, com coroa de Widia ou similar, diâmetro N(75mm),
</t>
    </r>
    <r>
      <rPr>
        <sz val="7"/>
        <rFont val="Arial"/>
        <family val="2"/>
      </rPr>
      <t>inclusive deslocamento e posicionamento em cada furo</t>
    </r>
  </si>
  <si>
    <r>
      <rPr>
        <sz val="7"/>
        <rFont val="Arial"/>
        <family val="2"/>
      </rPr>
      <t>Grupo de serviço: SUPER-ESTRUTURA</t>
    </r>
  </si>
  <si>
    <r>
      <rPr>
        <sz val="7"/>
        <rFont val="Arial"/>
        <family val="2"/>
      </rPr>
      <t xml:space="preserve">Passarela metálica p/ pontes rodoviárias com 1,0m de largura, piso em chapa xadez esp 1/4",
</t>
    </r>
    <r>
      <rPr>
        <sz val="7"/>
        <rFont val="Arial"/>
        <family val="2"/>
      </rPr>
      <t>em perfis laminados, inclusive pintura</t>
    </r>
  </si>
  <si>
    <r>
      <rPr>
        <sz val="7"/>
        <rFont val="Arial"/>
        <family val="2"/>
      </rPr>
      <t>Placas pré-moldadas para forma de tabuleiro de ponte</t>
    </r>
  </si>
  <si>
    <r>
      <rPr>
        <sz val="7"/>
        <rFont val="Arial"/>
        <family val="2"/>
      </rPr>
      <t>Remoção de superestrutura de pontes com auxilio de guindaste para 40 toneladas</t>
    </r>
  </si>
  <si>
    <r>
      <rPr>
        <sz val="7"/>
        <rFont val="Arial"/>
        <family val="2"/>
      </rPr>
      <t>T</t>
    </r>
  </si>
  <si>
    <r>
      <rPr>
        <sz val="7"/>
        <rFont val="Arial"/>
        <family val="2"/>
      </rPr>
      <t xml:space="preserve">Tabuleiro em vigas pré-moldadas CL.45, com ou sem laje entre vigas, vão de 10,00 m,
</t>
    </r>
    <r>
      <rPr>
        <sz val="7"/>
        <rFont val="Arial"/>
        <family val="2"/>
      </rPr>
      <t>inclusive descarga e assentamento das vigas</t>
    </r>
  </si>
  <si>
    <r>
      <rPr>
        <sz val="7"/>
        <rFont val="Arial"/>
        <family val="2"/>
      </rPr>
      <t xml:space="preserve">Tabuleiro em vigas pré-moldadas CL.45, com ou sem laje entre vigas, vão de 11,00 m,
</t>
    </r>
    <r>
      <rPr>
        <sz val="7"/>
        <rFont val="Arial"/>
        <family val="2"/>
      </rPr>
      <t>inclusive descarga e assentamento das vigas</t>
    </r>
  </si>
  <si>
    <r>
      <rPr>
        <sz val="7"/>
        <rFont val="Arial"/>
        <family val="2"/>
      </rPr>
      <t xml:space="preserve">Tabuleiro em vigas pré-moldadas CL.45, com ou sem laje entre vigas, vão de 12,00 m,
</t>
    </r>
    <r>
      <rPr>
        <sz val="7"/>
        <rFont val="Arial"/>
        <family val="2"/>
      </rPr>
      <t>inclusive descarga e assentamento das vigas</t>
    </r>
  </si>
  <si>
    <r>
      <rPr>
        <sz val="7"/>
        <rFont val="Arial"/>
        <family val="2"/>
      </rPr>
      <t xml:space="preserve">Tabuleiro em vigas pré-moldadas CL.45, com ou sem laje entre vigas, vão de 13,00 m,
</t>
    </r>
    <r>
      <rPr>
        <sz val="7"/>
        <rFont val="Arial"/>
        <family val="2"/>
      </rPr>
      <t>inclusive descarga e assentamento das vigas</t>
    </r>
  </si>
  <si>
    <r>
      <rPr>
        <sz val="7"/>
        <rFont val="Arial"/>
        <family val="2"/>
      </rPr>
      <t xml:space="preserve">Tabuleiro em vigas pré-moldadas CL.45, com ou sem laje entre vigas, vão de 15,00 m,
</t>
    </r>
    <r>
      <rPr>
        <sz val="7"/>
        <rFont val="Arial"/>
        <family val="2"/>
      </rPr>
      <t>inclusive descarga e assentamento das vigas</t>
    </r>
  </si>
  <si>
    <r>
      <rPr>
        <sz val="7"/>
        <rFont val="Arial"/>
        <family val="2"/>
      </rPr>
      <t xml:space="preserve">Tabuleiro em vigas pré-moldadas CL.45, com ou sem laje entre vigas, vão de 4,00 m, inclusive
</t>
    </r>
    <r>
      <rPr>
        <sz val="7"/>
        <rFont val="Arial"/>
        <family val="2"/>
      </rPr>
      <t>descarga e assentamento das vigas</t>
    </r>
  </si>
  <si>
    <r>
      <rPr>
        <sz val="7"/>
        <rFont val="Arial"/>
        <family val="2"/>
      </rPr>
      <t xml:space="preserve">Tabuleiro em vigas pré-moldadas CL.45, com ou sem laje entre vigas, vão de 5,00 m, inclusive
</t>
    </r>
    <r>
      <rPr>
        <sz val="7"/>
        <rFont val="Arial"/>
        <family val="2"/>
      </rPr>
      <t>descarga e assentamento das vigas</t>
    </r>
  </si>
  <si>
    <r>
      <rPr>
        <sz val="7"/>
        <rFont val="Arial"/>
        <family val="2"/>
      </rPr>
      <t xml:space="preserve">Tabuleiro em vigas pré-moldadas CL.45, com ou sem laje entre vigas, vão de 6,00 m, inclusive
</t>
    </r>
    <r>
      <rPr>
        <sz val="7"/>
        <rFont val="Arial"/>
        <family val="2"/>
      </rPr>
      <t>descarga e assentamento das vigas</t>
    </r>
  </si>
  <si>
    <r>
      <rPr>
        <sz val="7"/>
        <rFont val="Arial"/>
        <family val="2"/>
      </rPr>
      <t xml:space="preserve">Tabuleiro em vigas pré-moldadas CL.45, com ou sem laje entre vigas, vão de 7,00 m, inclusive
</t>
    </r>
    <r>
      <rPr>
        <sz val="7"/>
        <rFont val="Arial"/>
        <family val="2"/>
      </rPr>
      <t>descarga e assentamento das vigas</t>
    </r>
  </si>
  <si>
    <r>
      <rPr>
        <sz val="7"/>
        <rFont val="Arial"/>
        <family val="2"/>
      </rPr>
      <t xml:space="preserve">Tabuleiro em vigas pré-moldadas CL.45, com ou sem laje entre vigas, vão de 8,00 m, inclusive
</t>
    </r>
    <r>
      <rPr>
        <sz val="7"/>
        <rFont val="Arial"/>
        <family val="2"/>
      </rPr>
      <t>descarga e assentamento das vigas</t>
    </r>
  </si>
  <si>
    <r>
      <rPr>
        <sz val="7"/>
        <rFont val="Arial"/>
        <family val="2"/>
      </rPr>
      <t xml:space="preserve">Tabuleiro em vigas pré-moldadas CL.45, com ou sem laje entre vigas, vão de 9,00 m, inclusive
</t>
    </r>
    <r>
      <rPr>
        <sz val="7"/>
        <rFont val="Arial"/>
        <family val="2"/>
      </rPr>
      <t>descarga e assentamento das vigas</t>
    </r>
  </si>
  <si>
    <r>
      <rPr>
        <sz val="7"/>
        <rFont val="Arial"/>
        <family val="2"/>
      </rPr>
      <t xml:space="preserve">Tabuleiro em vigas pré-moldadas CL.45, com ou sem laje entre vigas, vão 14,00 m, inclusive
</t>
    </r>
    <r>
      <rPr>
        <sz val="7"/>
        <rFont val="Arial"/>
        <family val="2"/>
      </rPr>
      <t>descarga e assentamento das vigas</t>
    </r>
  </si>
  <si>
    <r>
      <rPr>
        <sz val="7"/>
        <rFont val="Arial"/>
        <family val="2"/>
      </rPr>
      <t>Grupo de serviço: OBRAS DE ARTE ESPECIAIS</t>
    </r>
  </si>
  <si>
    <r>
      <rPr>
        <sz val="7"/>
        <rFont val="Arial"/>
        <family val="2"/>
      </rPr>
      <t xml:space="preserve">Acabamento em concreto fresco (15,0 MPA), para pavimento, inclusive endurecedor químico
</t>
    </r>
    <r>
      <rPr>
        <sz val="7"/>
        <rFont val="Arial"/>
        <family val="2"/>
      </rPr>
      <t>de superfície</t>
    </r>
  </si>
  <si>
    <r>
      <rPr>
        <sz val="7"/>
        <rFont val="Arial"/>
        <family val="2"/>
      </rPr>
      <t>Acessório para tirante protendido de aço Rocsolo ou similar diâmetro 29,3 mm</t>
    </r>
  </si>
  <si>
    <r>
      <rPr>
        <sz val="7"/>
        <rFont val="Arial"/>
        <family val="2"/>
      </rPr>
      <t>Acessório para tirante protendido de aço ST 85/105</t>
    </r>
  </si>
  <si>
    <r>
      <rPr>
        <sz val="7"/>
        <rFont val="Arial"/>
        <family val="2"/>
      </rPr>
      <t xml:space="preserve">Aparelho de apoio de neoprene fretado, fornecimento e assentamento, inclusive grauteamento
</t>
    </r>
    <r>
      <rPr>
        <sz val="7"/>
        <rFont val="Arial"/>
        <family val="2"/>
      </rPr>
      <t>e transporte do neoprene</t>
    </r>
  </si>
  <si>
    <r>
      <rPr>
        <sz val="7"/>
        <rFont val="Arial"/>
        <family val="2"/>
      </rPr>
      <t>dm3</t>
    </r>
  </si>
  <si>
    <r>
      <rPr>
        <sz val="7"/>
        <rFont val="Arial"/>
        <family val="2"/>
      </rPr>
      <t xml:space="preserve">Cantoneiras (2 1/2" x 2 1/2" x 5/16") para extremidade de laje, fornecimento, montagem e
</t>
    </r>
    <r>
      <rPr>
        <sz val="7"/>
        <rFont val="Arial"/>
        <family val="2"/>
      </rPr>
      <t>pintura</t>
    </r>
  </si>
  <si>
    <r>
      <rPr>
        <sz val="7"/>
        <rFont val="Arial"/>
        <family val="2"/>
      </rPr>
      <t>Chapas de aço SAC 41 de 1/4" para passarelas, fornecimento, soldagem e montagem</t>
    </r>
  </si>
  <si>
    <r>
      <rPr>
        <sz val="7"/>
        <rFont val="Arial"/>
        <family val="2"/>
      </rPr>
      <t xml:space="preserve">Chumbador de aço de 25 mm, inclusive proteção anticorrosiva, exclusive a injeção e a
</t>
    </r>
    <r>
      <rPr>
        <sz val="7"/>
        <rFont val="Arial"/>
        <family val="2"/>
      </rPr>
      <t>perfuração</t>
    </r>
  </si>
  <si>
    <r>
      <rPr>
        <sz val="7"/>
        <rFont val="Arial"/>
        <family val="2"/>
      </rPr>
      <t xml:space="preserve">Colagem das mantas de borracha nos berços de apoio das placas, com Sikadur 32 ou
</t>
    </r>
    <r>
      <rPr>
        <sz val="7"/>
        <rFont val="Arial"/>
        <family val="2"/>
      </rPr>
      <t>equivalente, fornecimento e aplicação</t>
    </r>
  </si>
  <si>
    <r>
      <rPr>
        <sz val="7"/>
        <rFont val="Arial"/>
        <family val="2"/>
      </rPr>
      <t>Concreto projetado com cimento especial</t>
    </r>
  </si>
  <si>
    <r>
      <rPr>
        <sz val="7"/>
        <rFont val="Arial"/>
        <family val="2"/>
      </rPr>
      <t>Concreto projetado com cimento especial, inclusive aditivo de pega Sigunit STM-35 AF</t>
    </r>
  </si>
  <si>
    <r>
      <rPr>
        <sz val="7"/>
        <rFont val="Arial"/>
        <family val="2"/>
      </rPr>
      <t xml:space="preserve">Cone de ancoragem de cabo de aço com 12 cordoalhas de 1/2", inclusive protensão dos
</t>
    </r>
    <r>
      <rPr>
        <sz val="7"/>
        <rFont val="Arial"/>
        <family val="2"/>
      </rPr>
      <t>cabos</t>
    </r>
  </si>
  <si>
    <r>
      <rPr>
        <sz val="7"/>
        <rFont val="Arial"/>
        <family val="2"/>
      </rPr>
      <t>Conectores diâmetro 16mm (h=10cm), fornecimento e soldagem</t>
    </r>
  </si>
  <si>
    <r>
      <rPr>
        <sz val="7"/>
        <rFont val="Arial"/>
        <family val="2"/>
      </rPr>
      <t>Escoramento contínuo de cavas em estaca prancha de largura até 4000 mm</t>
    </r>
  </si>
  <si>
    <r>
      <rPr>
        <sz val="7"/>
        <rFont val="Arial"/>
        <family val="2"/>
      </rPr>
      <t xml:space="preserve">Escoramento de O.A.E. diretamente sobre o solo, inclusive fornecimento e transporte das
</t>
    </r>
    <r>
      <rPr>
        <sz val="7"/>
        <rFont val="Arial"/>
        <family val="2"/>
      </rPr>
      <t>madeiras</t>
    </r>
  </si>
  <si>
    <r>
      <rPr>
        <sz val="7"/>
        <rFont val="Arial"/>
        <family val="2"/>
      </rPr>
      <t xml:space="preserve">Escoramento e cimbramento (pontes e pontilhões), inclusive fornecimento e transporte das
</t>
    </r>
    <r>
      <rPr>
        <sz val="7"/>
        <rFont val="Arial"/>
        <family val="2"/>
      </rPr>
      <t>madeiras</t>
    </r>
  </si>
  <si>
    <r>
      <rPr>
        <sz val="7"/>
        <rFont val="Arial"/>
        <family val="2"/>
      </rPr>
      <t>Estrutura metálica provisória para macaqueamento de laje de ponte</t>
    </r>
  </si>
  <si>
    <r>
      <rPr>
        <sz val="7"/>
        <rFont val="Arial"/>
        <family val="2"/>
      </rPr>
      <t>Formas curvas de madeira sem reutilização, inclusive fornecimento e transporte das madeiras</t>
    </r>
  </si>
  <si>
    <r>
      <rPr>
        <sz val="7"/>
        <rFont val="Arial"/>
        <family val="2"/>
      </rPr>
      <t xml:space="preserve">Formas planas de madeira com 05 (cinco) utilizações (guarda-corpo de pontes), inclusive
</t>
    </r>
    <r>
      <rPr>
        <sz val="7"/>
        <rFont val="Arial"/>
        <family val="2"/>
      </rPr>
      <t>fornecimento e transportes das madeiras</t>
    </r>
  </si>
  <si>
    <r>
      <rPr>
        <sz val="7"/>
        <rFont val="Arial"/>
        <family val="2"/>
      </rPr>
      <t xml:space="preserve">Formas planas de madeirit meso e superestrutura com 1 reaproveitamento esp. = 14 mm,
</t>
    </r>
    <r>
      <rPr>
        <sz val="7"/>
        <rFont val="Arial"/>
        <family val="2"/>
      </rPr>
      <t>inclusive fornecimento e transporte das madeiras</t>
    </r>
  </si>
  <si>
    <r>
      <rPr>
        <sz val="7"/>
        <rFont val="Arial"/>
        <family val="2"/>
      </rPr>
      <t xml:space="preserve">Formas planas de madeirit meso e superestrutura com 1 reaproveitamento esp. = 17 mm,
</t>
    </r>
    <r>
      <rPr>
        <sz val="7"/>
        <rFont val="Arial"/>
        <family val="2"/>
      </rPr>
      <t>inclusive fornecimento e transporte das madeiras</t>
    </r>
  </si>
  <si>
    <r>
      <rPr>
        <sz val="7"/>
        <rFont val="Arial"/>
        <family val="2"/>
      </rPr>
      <t xml:space="preserve">Formas planas de madeirit meso e superestrutura com 2 reaproveitamentos esp. = 17 mm,
</t>
    </r>
    <r>
      <rPr>
        <sz val="7"/>
        <rFont val="Arial"/>
        <family val="2"/>
      </rPr>
      <t>inclusive fornecimento e transporte das madeiras</t>
    </r>
  </si>
  <si>
    <r>
      <rPr>
        <sz val="7"/>
        <rFont val="Arial"/>
        <family val="2"/>
      </rPr>
      <t xml:space="preserve">Formas planas de madeirit meso e superestrutura com 4 reaproveitamentos esp. = 17 mm,
</t>
    </r>
    <r>
      <rPr>
        <sz val="7"/>
        <rFont val="Arial"/>
        <family val="2"/>
      </rPr>
      <t>inclusive fornecimento e transporte das madeiras</t>
    </r>
  </si>
  <si>
    <r>
      <rPr>
        <sz val="7"/>
        <rFont val="Arial"/>
        <family val="2"/>
      </rPr>
      <t xml:space="preserve">Formas planas de madeirit meso e superestrutura sem reaproveitamento esp. = 10 mm,
</t>
    </r>
    <r>
      <rPr>
        <sz val="7"/>
        <rFont val="Arial"/>
        <family val="2"/>
      </rPr>
      <t>inclusive fornecimento e transporte das madeiras</t>
    </r>
  </si>
  <si>
    <r>
      <rPr>
        <sz val="7"/>
        <rFont val="Arial"/>
        <family val="2"/>
      </rPr>
      <t xml:space="preserve">Formas planas de madeirit meso e superestrutura sem reaproveitamento esp. = 14 mm,
</t>
    </r>
    <r>
      <rPr>
        <sz val="7"/>
        <rFont val="Arial"/>
        <family val="2"/>
      </rPr>
      <t>inclusive fornecimento e transporte das madeiras</t>
    </r>
  </si>
  <si>
    <r>
      <rPr>
        <sz val="7"/>
        <rFont val="Arial"/>
        <family val="2"/>
      </rPr>
      <t xml:space="preserve">Formas planas de madeirit meso e superestrutura sem reaproveitamento esp. = 17 mm,
</t>
    </r>
    <r>
      <rPr>
        <sz val="7"/>
        <rFont val="Arial"/>
        <family val="2"/>
      </rPr>
      <t>inclusive fornecimento e transporte das madeiras</t>
    </r>
  </si>
  <si>
    <r>
      <rPr>
        <sz val="7"/>
        <rFont val="Arial"/>
        <family val="2"/>
      </rPr>
      <t>Furação, fornecimento e fixação de grampos diam.16 mm com resina epoxi (prof. 50 cm)</t>
    </r>
  </si>
  <si>
    <r>
      <rPr>
        <sz val="7"/>
        <rFont val="Arial"/>
        <family val="2"/>
      </rPr>
      <t>Furação, fornecimento e fixação de grampos 10 mm com resina epoxi</t>
    </r>
  </si>
  <si>
    <r>
      <rPr>
        <sz val="7"/>
        <rFont val="Arial"/>
        <family val="2"/>
      </rPr>
      <t xml:space="preserve">Furação, fornecimento e fixação de grampos 12,5 mm com resina epoxi em vigas pré-
</t>
    </r>
    <r>
      <rPr>
        <sz val="7"/>
        <rFont val="Arial"/>
        <family val="2"/>
      </rPr>
      <t>moldadas</t>
    </r>
  </si>
  <si>
    <r>
      <rPr>
        <sz val="7"/>
        <rFont val="Arial"/>
        <family val="2"/>
      </rPr>
      <t>Guarda corpo em toras de eucalipto conf. projeto</t>
    </r>
  </si>
  <si>
    <r>
      <rPr>
        <sz val="7"/>
        <rFont val="Arial"/>
        <family val="2"/>
      </rPr>
      <t>Guarda corpo metálico</t>
    </r>
  </si>
  <si>
    <r>
      <rPr>
        <sz val="7"/>
        <rFont val="Arial"/>
        <family val="2"/>
      </rPr>
      <t>Guarda corpo padrão (tipo DNIT)</t>
    </r>
  </si>
  <si>
    <r>
      <rPr>
        <sz val="7"/>
        <rFont val="Arial"/>
        <family val="2"/>
      </rPr>
      <t>Hidrojateamento de superfícies de concreto</t>
    </r>
  </si>
  <si>
    <r>
      <rPr>
        <sz val="7"/>
        <rFont val="Arial"/>
        <family val="2"/>
      </rPr>
      <t>Hidrojateamento de superfícies metálicas</t>
    </r>
  </si>
  <si>
    <r>
      <rPr>
        <sz val="7"/>
        <rFont val="Arial"/>
        <family val="2"/>
      </rPr>
      <t>Injeção de calda de cimento para chumbamento de tirantes</t>
    </r>
  </si>
  <si>
    <r>
      <rPr>
        <sz val="7"/>
        <rFont val="Arial"/>
        <family val="2"/>
      </rPr>
      <t>SC</t>
    </r>
  </si>
  <si>
    <r>
      <rPr>
        <sz val="7"/>
        <rFont val="Arial"/>
        <family val="2"/>
      </rPr>
      <t>Injeção de epoxi em fissuras, inclusive preparo e montagem de bicos de injeção</t>
    </r>
  </si>
  <si>
    <r>
      <rPr>
        <sz val="7"/>
        <rFont val="Arial"/>
        <family val="2"/>
      </rPr>
      <t>Junta de cantoneira L de 4" x 4" x 3/8"</t>
    </r>
  </si>
  <si>
    <r>
      <rPr>
        <sz val="7"/>
        <rFont val="Arial"/>
        <family val="2"/>
      </rPr>
      <t xml:space="preserve">Junta de dilatação elástica pré-moldada p/ concreto, tipo fungenband em perfil O-12 de PVC
</t>
    </r>
    <r>
      <rPr>
        <sz val="7"/>
        <rFont val="Arial"/>
        <family val="2"/>
      </rPr>
      <t>alta densidade, Uniontech ou equival. fornecim./colocação</t>
    </r>
  </si>
  <si>
    <r>
      <rPr>
        <sz val="7"/>
        <rFont val="Arial"/>
        <family val="2"/>
      </rPr>
      <t xml:space="preserve">Junta perfil elastomérico de vedação p/pontes c/abertura média de 25mm ± 10 mm, inclus.
</t>
    </r>
    <r>
      <rPr>
        <sz val="7"/>
        <rFont val="Arial"/>
        <family val="2"/>
      </rPr>
      <t>lábios poliméricos-Marca Ref JEENE-JJ2540 VV (constr.)</t>
    </r>
  </si>
  <si>
    <r>
      <rPr>
        <sz val="7"/>
        <rFont val="Arial"/>
        <family val="2"/>
      </rPr>
      <t xml:space="preserve">Junta perfil elastomérico de vedação p/pontes c/abertura média de 50 mm ±  25 mm, inclus.
</t>
    </r>
    <r>
      <rPr>
        <sz val="7"/>
        <rFont val="Arial"/>
        <family val="2"/>
      </rPr>
      <t>lábios poliméricos-Marca Ref.JEENE mod.JJ-5070 (constr.)</t>
    </r>
  </si>
  <si>
    <r>
      <rPr>
        <sz val="7"/>
        <rFont val="Arial"/>
        <family val="2"/>
      </rPr>
      <t xml:space="preserve">Junta perfil elastomérico de vedação p/pontes c/abertura média de 50mm ± 25mm,inclus.
</t>
    </r>
    <r>
      <rPr>
        <sz val="7"/>
        <rFont val="Arial"/>
        <family val="2"/>
      </rPr>
      <t>lábios poliméricos-Marca Ref JEENE mod.JJ-5070 VV(substituição)</t>
    </r>
  </si>
  <si>
    <r>
      <rPr>
        <sz val="7"/>
        <rFont val="Arial"/>
        <family val="2"/>
      </rPr>
      <t>Perfuração de concreto</t>
    </r>
  </si>
  <si>
    <r>
      <rPr>
        <sz val="7"/>
        <rFont val="Arial"/>
        <family val="2"/>
      </rPr>
      <t>Perfuração de rocha para fixação de chumbadores</t>
    </r>
  </si>
  <si>
    <r>
      <rPr>
        <sz val="7"/>
        <rFont val="Arial"/>
        <family val="2"/>
      </rPr>
      <t>Pintura a cal em pontes (2 demãos)</t>
    </r>
  </si>
  <si>
    <r>
      <rPr>
        <sz val="7"/>
        <rFont val="Arial"/>
        <family val="2"/>
      </rPr>
      <t xml:space="preserve">Ponte provisoria para movimentação de equipamentos de execução de fundação composta de
</t>
    </r>
    <r>
      <rPr>
        <sz val="7"/>
        <rFont val="Arial"/>
        <family val="2"/>
      </rPr>
      <t>passadiço de madeira sobre estacas de madeira</t>
    </r>
  </si>
  <si>
    <r>
      <rPr>
        <sz val="7"/>
        <rFont val="Arial"/>
        <family val="2"/>
      </rPr>
      <t xml:space="preserve">Preparo e colocação de 12 cordoalhas de 1/2" (Aço CP-190 RB) nas formas, inclusive injeção
</t>
    </r>
    <r>
      <rPr>
        <sz val="7"/>
        <rFont val="Arial"/>
        <family val="2"/>
      </rPr>
      <t>de nata de cimento</t>
    </r>
  </si>
  <si>
    <r>
      <rPr>
        <sz val="7"/>
        <rFont val="Arial"/>
        <family val="2"/>
      </rPr>
      <t>Recuperação estrutural com uso de argamassa polimérica (espessura média=3,5cm)</t>
    </r>
  </si>
  <si>
    <r>
      <rPr>
        <sz val="7"/>
        <rFont val="Arial"/>
        <family val="2"/>
      </rPr>
      <t>Tirante de Aço CA-50, diâmetro de 25mm (1"), para comprimentos até 6m</t>
    </r>
  </si>
  <si>
    <r>
      <rPr>
        <sz val="7"/>
        <rFont val="Arial"/>
        <family val="2"/>
      </rPr>
      <t xml:space="preserve">Tirante de aço Rocsolo ou similar, diâmetro 29,3mm, incluindo fornecimento da barra e da
</t>
    </r>
    <r>
      <rPr>
        <sz val="7"/>
        <rFont val="Arial"/>
        <family val="2"/>
      </rPr>
      <t>bainha proteção anticorrosiva, preparo e colocação no furo</t>
    </r>
  </si>
  <si>
    <r>
      <rPr>
        <sz val="7"/>
        <rFont val="Arial"/>
        <family val="2"/>
      </rPr>
      <t xml:space="preserve">Tirante de aço ST 50/55, para carga trab. até 22 t, diam.32mm, incluindo fornecimento da
</t>
    </r>
    <r>
      <rPr>
        <sz val="7"/>
        <rFont val="Arial"/>
        <family val="2"/>
      </rPr>
      <t>bainha proteção anticorrosiva, preparo e colocação no furo.</t>
    </r>
  </si>
  <si>
    <r>
      <rPr>
        <sz val="7"/>
        <rFont val="Arial"/>
        <family val="2"/>
      </rPr>
      <t xml:space="preserve">Tirante de aço ST 85/105, diâmetro de 32 mm, incluindo fornecimento da barra e da bainha
</t>
    </r>
    <r>
      <rPr>
        <sz val="7"/>
        <rFont val="Arial"/>
        <family val="2"/>
      </rPr>
      <t>proteção anticorrosiva, preparo e colocação no furo</t>
    </r>
  </si>
  <si>
    <r>
      <rPr>
        <sz val="7"/>
        <rFont val="Arial"/>
        <family val="2"/>
      </rPr>
      <t>Tirante protendido em Aço GEWI 50/55 ou similar, diâmetro de 32mm</t>
    </r>
  </si>
  <si>
    <r>
      <rPr>
        <sz val="7"/>
        <rFont val="Arial"/>
        <family val="2"/>
      </rPr>
      <t>Grupo de serviço: MATERIAIS</t>
    </r>
  </si>
  <si>
    <r>
      <rPr>
        <sz val="7"/>
        <rFont val="Arial"/>
        <family val="2"/>
      </rPr>
      <t>Aquisição de solo de jazida comercial (saibreira)</t>
    </r>
  </si>
  <si>
    <r>
      <rPr>
        <sz val="7"/>
        <rFont val="Arial"/>
        <family val="2"/>
      </rPr>
      <t>Bonificação de 15,28% sobre aquisição de materiais</t>
    </r>
  </si>
  <si>
    <r>
      <rPr>
        <sz val="7"/>
        <rFont val="Arial"/>
        <family val="2"/>
      </rPr>
      <t>Grupo de serviço: TERRAPLENAGEM - VIAS URBANAS</t>
    </r>
  </si>
  <si>
    <r>
      <rPr>
        <sz val="7"/>
        <rFont val="Arial"/>
        <family val="2"/>
      </rPr>
      <t>Carga de material de 1ª categoria em Vias Urbanas</t>
    </r>
  </si>
  <si>
    <r>
      <rPr>
        <sz val="7"/>
        <rFont val="Arial"/>
        <family val="2"/>
      </rPr>
      <t>Carga de material de 2ª categoria (solo, areia, brita, excl. rocha escavada) em Vias Urbanas</t>
    </r>
  </si>
  <si>
    <r>
      <rPr>
        <sz val="7"/>
        <rFont val="Arial"/>
        <family val="2"/>
      </rPr>
      <t>Carga de material de 3ª categoria (rocha) em Vias Urbanas</t>
    </r>
  </si>
  <si>
    <r>
      <rPr>
        <sz val="7"/>
        <rFont val="Arial"/>
        <family val="2"/>
      </rPr>
      <t>Compactação de aterros 100% PI em Vias Urbanas</t>
    </r>
  </si>
  <si>
    <r>
      <rPr>
        <sz val="7"/>
        <rFont val="Arial"/>
        <family val="2"/>
      </rPr>
      <t>Compactação de aterros 100% PN em Vias Urbanas</t>
    </r>
  </si>
  <si>
    <r>
      <rPr>
        <sz val="7"/>
        <rFont val="Arial"/>
        <family val="2"/>
      </rPr>
      <t>Escalonamento de taludes com escavadeira em Vias Urbanas</t>
    </r>
  </si>
  <si>
    <r>
      <rPr>
        <sz val="7"/>
        <rFont val="Arial"/>
        <family val="2"/>
      </rPr>
      <t xml:space="preserve">Escavação a fogo em material de 3ª categoria, rocha viva, a céu aberto, perfuração a ar
</t>
    </r>
    <r>
      <rPr>
        <sz val="7"/>
        <rFont val="Arial"/>
        <family val="2"/>
      </rPr>
      <t>comprimido em Vias Urbanas</t>
    </r>
  </si>
  <si>
    <r>
      <rPr>
        <sz val="7"/>
        <rFont val="Arial"/>
        <family val="2"/>
      </rPr>
      <t>Escavação, carga de material de 3ª categoria (fogo controlado) em Vias Urbanas</t>
    </r>
  </si>
  <si>
    <r>
      <rPr>
        <sz val="7"/>
        <rFont val="Arial"/>
        <family val="2"/>
      </rPr>
      <t>Escavação e carga de material de barreira (remoção) em Vias Urbanas</t>
    </r>
  </si>
  <si>
    <r>
      <rPr>
        <sz val="7"/>
        <rFont val="Arial"/>
        <family val="2"/>
      </rPr>
      <t>Escavação e carga de material de 1ª categoria com escavadeira em Vias Urbanas</t>
    </r>
  </si>
  <si>
    <r>
      <rPr>
        <sz val="7"/>
        <rFont val="Arial"/>
        <family val="2"/>
      </rPr>
      <t>Escavação e carga de material de 2ª categoria com escavadeira em Vias Urbanas</t>
    </r>
  </si>
  <si>
    <r>
      <rPr>
        <sz val="7"/>
        <rFont val="Arial"/>
        <family val="2"/>
      </rPr>
      <t>Escavação e carga de material de 3ª categoria (H bancada &gt;1,0 m) em Vias Urbanas</t>
    </r>
  </si>
  <si>
    <r>
      <rPr>
        <sz val="7"/>
        <rFont val="Arial"/>
        <family val="2"/>
      </rPr>
      <t>Fragmentação de rocha (fogacheamento) em Vias Urbanas</t>
    </r>
  </si>
  <si>
    <r>
      <rPr>
        <sz val="7"/>
        <rFont val="Arial"/>
        <family val="2"/>
      </rPr>
      <t>Limpeza de acostamento em Vias Urbanas</t>
    </r>
  </si>
  <si>
    <r>
      <rPr>
        <sz val="7"/>
        <rFont val="Arial"/>
        <family val="2"/>
      </rPr>
      <t xml:space="preserve">Limpeza e desmatamento em área alagada (pântano) com ferr. man., incl. moto serra em Vias
</t>
    </r>
    <r>
      <rPr>
        <sz val="7"/>
        <rFont val="Arial"/>
        <family val="2"/>
      </rPr>
      <t>Urbanas</t>
    </r>
  </si>
  <si>
    <r>
      <rPr>
        <sz val="7"/>
        <rFont val="Arial"/>
        <family val="2"/>
      </rPr>
      <t>Pré-fissuramento de taludes de rocha em Vias Urbanas</t>
    </r>
  </si>
  <si>
    <r>
      <rPr>
        <sz val="7"/>
        <rFont val="Arial"/>
        <family val="2"/>
      </rPr>
      <t>Recomposição vegetal de jazidas, empréstimos e bota-fora em Vias Urbanas</t>
    </r>
  </si>
  <si>
    <r>
      <rPr>
        <sz val="7"/>
        <rFont val="Arial"/>
        <family val="2"/>
      </rPr>
      <t xml:space="preserve">Remoção de solos moles, incluindo carregamento mecânico com escavadeira hidráulica em
</t>
    </r>
    <r>
      <rPr>
        <sz val="7"/>
        <rFont val="Arial"/>
        <family val="2"/>
      </rPr>
      <t>Vias Urbanas</t>
    </r>
  </si>
  <si>
    <r>
      <rPr>
        <sz val="7"/>
        <rFont val="Arial"/>
        <family val="2"/>
      </rPr>
      <t xml:space="preserve">Transporte horizontal com trator de lâmina de material de 1ª cat. DMTaté 50m em Vias
</t>
    </r>
    <r>
      <rPr>
        <sz val="7"/>
        <rFont val="Arial"/>
        <family val="2"/>
      </rPr>
      <t>Urbanas</t>
    </r>
  </si>
  <si>
    <r>
      <rPr>
        <sz val="7"/>
        <rFont val="Arial"/>
        <family val="2"/>
      </rPr>
      <t>Grupo de serviço: PAVIMENTAÇÃO - VIAS URBANAS</t>
    </r>
  </si>
  <si>
    <r>
      <rPr>
        <sz val="7"/>
        <rFont val="Arial"/>
        <family val="2"/>
      </rPr>
      <t>Base de brita graduada, inclusive fornecimento, exclusive transporte da brita em Vias Urbanas</t>
    </r>
  </si>
  <si>
    <r>
      <rPr>
        <sz val="7"/>
        <rFont val="Arial"/>
        <family val="2"/>
      </rPr>
      <t>Base de brita 1, inclusive fornecimento, exclusive transporte da brita em Vias Urbanas</t>
    </r>
  </si>
  <si>
    <r>
      <rPr>
        <sz val="7"/>
        <rFont val="Arial"/>
        <family val="2"/>
      </rPr>
      <t xml:space="preserve">Base de solo brita, 50% em peso, inclusive fornecimento, exclusive transporte da brita em Vias
</t>
    </r>
    <r>
      <rPr>
        <sz val="7"/>
        <rFont val="Arial"/>
        <family val="2"/>
      </rPr>
      <t>Urbanas</t>
    </r>
  </si>
  <si>
    <r>
      <rPr>
        <sz val="7"/>
        <rFont val="Arial"/>
        <family val="2"/>
      </rPr>
      <t>Demolição e remoção de pavimento asfáltico em Vias Urbanas</t>
    </r>
  </si>
  <si>
    <r>
      <rPr>
        <sz val="7"/>
        <rFont val="Arial"/>
        <family val="2"/>
      </rPr>
      <t xml:space="preserve">Fresagem de pavimento asfáltico a frio, esp. até 15cm, exclusive transporte de materiais, em
</t>
    </r>
    <r>
      <rPr>
        <sz val="7"/>
        <rFont val="Arial"/>
        <family val="2"/>
      </rPr>
      <t>Vias Urbanas</t>
    </r>
  </si>
  <si>
    <r>
      <rPr>
        <sz val="7"/>
        <rFont val="Arial"/>
        <family val="2"/>
      </rPr>
      <t xml:space="preserve">Fresagem de pavimento asfáltico a frio, esp=5cm, exclusive transporte de materiais em Vias
</t>
    </r>
    <r>
      <rPr>
        <sz val="7"/>
        <rFont val="Arial"/>
        <family val="2"/>
      </rPr>
      <t>Urbanas</t>
    </r>
  </si>
  <si>
    <r>
      <rPr>
        <sz val="7"/>
        <rFont val="Arial"/>
        <family val="2"/>
      </rPr>
      <t xml:space="preserve">Imprimação exclusive fornecimento e transporte comercial do material betuminoso em Vias
</t>
    </r>
    <r>
      <rPr>
        <sz val="7"/>
        <rFont val="Arial"/>
        <family val="2"/>
      </rPr>
      <t>Urbanas</t>
    </r>
  </si>
  <si>
    <r>
      <rPr>
        <sz val="7"/>
        <rFont val="Arial"/>
        <family val="2"/>
      </rPr>
      <t xml:space="preserve">Imprimação inclusive fornecimento e transporte comercial do material betuminoso em Vias
</t>
    </r>
    <r>
      <rPr>
        <sz val="7"/>
        <rFont val="Arial"/>
        <family val="2"/>
      </rPr>
      <t>Urbanas</t>
    </r>
  </si>
  <si>
    <r>
      <rPr>
        <sz val="7"/>
        <rFont val="Arial"/>
        <family val="2"/>
      </rPr>
      <t xml:space="preserve">Micro revestimento asfáltico à frio inclusive fornecimento e transporte comercial do material
</t>
    </r>
    <r>
      <rPr>
        <sz val="7"/>
        <rFont val="Arial"/>
        <family val="2"/>
      </rPr>
      <t>betuminoso, em Vias Urbanas</t>
    </r>
  </si>
  <si>
    <r>
      <rPr>
        <sz val="7"/>
        <rFont val="Arial"/>
        <family val="2"/>
      </rPr>
      <t xml:space="preserve">Obturação de buracos c/ CBUQ inclusive fornecimento e transporte comercial dos materiais
</t>
    </r>
    <r>
      <rPr>
        <sz val="7"/>
        <rFont val="Arial"/>
        <family val="2"/>
      </rPr>
      <t>betuminosos em  Vias Urbanas</t>
    </r>
  </si>
  <si>
    <r>
      <rPr>
        <sz val="7"/>
        <rFont val="Arial"/>
        <family val="2"/>
      </rPr>
      <t xml:space="preserve">Obturação de buracos c/ CBUQ inclusive fornecimento e transporte dos materiais betuminosos
</t>
    </r>
    <r>
      <rPr>
        <sz val="7"/>
        <rFont val="Arial"/>
        <family val="2"/>
      </rPr>
      <t>em Vias Urbanas</t>
    </r>
  </si>
  <si>
    <r>
      <rPr>
        <sz val="7"/>
        <rFont val="Arial"/>
        <family val="2"/>
      </rPr>
      <t xml:space="preserve">Pavimentação com blocos de concreto (35 MPa), esp.=06cm, sobre colchão areia esp.=5cm,
</t>
    </r>
    <r>
      <rPr>
        <sz val="7"/>
        <rFont val="Arial"/>
        <family val="2"/>
      </rPr>
      <t>inclusive fornecim. e transporte  blocos e areia,  Vias Urbanas</t>
    </r>
  </si>
  <si>
    <r>
      <rPr>
        <sz val="7"/>
        <rFont val="Arial"/>
        <family val="2"/>
      </rPr>
      <t xml:space="preserve">Pavimentação com blocos de concreto (35 MPa), esp.=08cm, sobre colchão de areia 5cm,
</t>
    </r>
    <r>
      <rPr>
        <sz val="7"/>
        <rFont val="Arial"/>
        <family val="2"/>
      </rPr>
      <t>inclusive fornecim. e transporte blocos e areia, em Vias Urbanas</t>
    </r>
  </si>
  <si>
    <r>
      <rPr>
        <sz val="7"/>
        <rFont val="Arial"/>
        <family val="2"/>
      </rPr>
      <t xml:space="preserve">Pavimentação com blocos de concreto (35 MPa), esp.=10cm, sobre colchão de areia esp.=
</t>
    </r>
    <r>
      <rPr>
        <sz val="7"/>
        <rFont val="Arial"/>
        <family val="2"/>
      </rPr>
      <t>5cm, inclusive fornecim.e transporte  blocos e areia,Vias Urbanas</t>
    </r>
  </si>
  <si>
    <r>
      <rPr>
        <sz val="7"/>
        <rFont val="Arial"/>
        <family val="2"/>
      </rPr>
      <t xml:space="preserve">Pavimentação com paralelepípedo, colchão areia 5cm, inclusive fornecimento e transporte do
</t>
    </r>
    <r>
      <rPr>
        <sz val="7"/>
        <rFont val="Arial"/>
        <family val="2"/>
      </rPr>
      <t>paralelepípedo e areia, em Vias Urbanas</t>
    </r>
  </si>
  <si>
    <r>
      <rPr>
        <sz val="7"/>
        <rFont val="Arial"/>
        <family val="2"/>
      </rPr>
      <t xml:space="preserve">Pavimentação com paralelepípedo sobre colchão pó de pedra esp.=5cm, inclusive
</t>
    </r>
    <r>
      <rPr>
        <sz val="7"/>
        <rFont val="Arial"/>
        <family val="2"/>
      </rPr>
      <t>fornecimento e transporte do paralelepípedo e pó de pedra,  Vias Urbanas</t>
    </r>
  </si>
  <si>
    <r>
      <rPr>
        <sz val="7"/>
        <rFont val="Arial"/>
        <family val="2"/>
      </rPr>
      <t xml:space="preserve">Pavimentação com pedra portuguesa, inclusive fornecimento e transporte do cimento, areia e
</t>
    </r>
    <r>
      <rPr>
        <sz val="7"/>
        <rFont val="Arial"/>
        <family val="2"/>
      </rPr>
      <t>pedra portuguesa em Vias Urbanas</t>
    </r>
  </si>
  <si>
    <r>
      <rPr>
        <sz val="7"/>
        <rFont val="Arial"/>
        <family val="2"/>
      </rPr>
      <t xml:space="preserve">Pintura de ligação exclusive fornecimento e transporte comercial do material betuminoso em
</t>
    </r>
    <r>
      <rPr>
        <sz val="7"/>
        <rFont val="Arial"/>
        <family val="2"/>
      </rPr>
      <t>Vias Urbanas</t>
    </r>
  </si>
  <si>
    <r>
      <rPr>
        <sz val="7"/>
        <rFont val="Arial"/>
        <family val="2"/>
      </rPr>
      <t xml:space="preserve">Pintura de ligação inclusive fornecimento e transporte comercial do material betuminoso em
</t>
    </r>
    <r>
      <rPr>
        <sz val="7"/>
        <rFont val="Arial"/>
        <family val="2"/>
      </rPr>
      <t>Vias Urbanas</t>
    </r>
  </si>
  <si>
    <r>
      <rPr>
        <sz val="7"/>
        <rFont val="Arial"/>
        <family val="2"/>
      </rPr>
      <t>Remoção de capa asfáltica em TSS, TSD, ou TST exclusive transporte em Vias Urbanas</t>
    </r>
  </si>
  <si>
    <r>
      <rPr>
        <sz val="7"/>
        <rFont val="Arial"/>
        <family val="2"/>
      </rPr>
      <t>Remoção de meio fio em Vias Urbanas</t>
    </r>
  </si>
  <si>
    <r>
      <rPr>
        <sz val="7"/>
        <rFont val="Arial"/>
        <family val="2"/>
      </rPr>
      <t>Remoção de pavimentação poliédrica em Vias Urbanas</t>
    </r>
  </si>
  <si>
    <r>
      <rPr>
        <sz val="7"/>
        <rFont val="Arial"/>
        <family val="2"/>
      </rPr>
      <t>Remoção e reassentamento de blocos de concreto, inclusive perdas em Vias Urbanas</t>
    </r>
  </si>
  <si>
    <r>
      <rPr>
        <sz val="7"/>
        <rFont val="Arial"/>
        <family val="2"/>
      </rPr>
      <t>Remoção e reassentamento de paralelepípedos, inclusive perdas em Vias Urbanas</t>
    </r>
  </si>
  <si>
    <r>
      <rPr>
        <sz val="7"/>
        <rFont val="Arial"/>
        <family val="2"/>
      </rPr>
      <t>Sub-base de brita graduada, inclusive fornecimento e transporte da brita em Vias Urbanas</t>
    </r>
  </si>
  <si>
    <r>
      <rPr>
        <sz val="7"/>
        <rFont val="Arial"/>
        <family val="2"/>
      </rPr>
      <t>Sub-base de brita 1, inclusive fornecimento, exclusive transporte da brita em Vias Urbanas</t>
    </r>
  </si>
  <si>
    <r>
      <rPr>
        <sz val="7"/>
        <rFont val="Arial"/>
        <family val="2"/>
      </rPr>
      <t xml:space="preserve">Sub-base solo brita, 50% em peso, inclusive fornecimento e transporte da brita em Vias
</t>
    </r>
    <r>
      <rPr>
        <sz val="7"/>
        <rFont val="Arial"/>
        <family val="2"/>
      </rPr>
      <t>Urbanas</t>
    </r>
  </si>
  <si>
    <r>
      <rPr>
        <sz val="7"/>
        <rFont val="Arial"/>
        <family val="2"/>
      </rPr>
      <t xml:space="preserve">T.S.B.D. com capa selante, executado com Multidistribuidor inclusive fornecimento e
</t>
    </r>
    <r>
      <rPr>
        <sz val="7"/>
        <rFont val="Arial"/>
        <family val="2"/>
      </rPr>
      <t>transporte da emulsão, areia, brita e lavagem da brita -V. Urbanas</t>
    </r>
  </si>
  <si>
    <r>
      <rPr>
        <sz val="7"/>
        <rFont val="Arial"/>
        <family val="2"/>
      </rPr>
      <t xml:space="preserve">T.S.B.D. com capa selante inclusive fornec. areia/brita/emulsão, transporte comerc. emulsão e
</t>
    </r>
    <r>
      <rPr>
        <sz val="7"/>
        <rFont val="Arial"/>
        <family val="2"/>
      </rPr>
      <t>lavagem brita, exclus. transp. areia e brita - V.Urbana</t>
    </r>
  </si>
  <si>
    <r>
      <rPr>
        <sz val="7"/>
        <rFont val="Arial"/>
        <family val="2"/>
      </rPr>
      <t xml:space="preserve">T.S.B.D. com capa selante inclusive fornec.areia/brita/emulsão, transp.comercial emulsão e
</t>
    </r>
    <r>
      <rPr>
        <sz val="7"/>
        <rFont val="Arial"/>
        <family val="2"/>
      </rPr>
      <t>lavagem brita, exclus. transp. areia e brita- Vias Urbanas</t>
    </r>
  </si>
  <si>
    <r>
      <rPr>
        <sz val="7"/>
        <rFont val="Arial"/>
        <family val="2"/>
      </rPr>
      <t xml:space="preserve">T.S.B.D. sem capa selante,  inclusive fornecimento e transporte comercial do material
</t>
    </r>
    <r>
      <rPr>
        <sz val="7"/>
        <rFont val="Arial"/>
        <family val="2"/>
      </rPr>
      <t>betuminoso e lavagem da brita em Vias Urbanas</t>
    </r>
  </si>
  <si>
    <r>
      <rPr>
        <sz val="7"/>
        <rFont val="Arial"/>
        <family val="2"/>
      </rPr>
      <t xml:space="preserve">T.S.B.D. sem capa selante executado com Multidistribuidor excl. forn.e transp. com. da
</t>
    </r>
    <r>
      <rPr>
        <sz val="7"/>
        <rFont val="Arial"/>
        <family val="2"/>
      </rPr>
      <t>emulsão, inclus. fornecim., transp.e lavagem brita, V.Urbanas</t>
    </r>
  </si>
  <si>
    <r>
      <rPr>
        <sz val="7"/>
        <rFont val="Arial"/>
        <family val="2"/>
      </rPr>
      <t>Grupo de serviço: OBRAS DE ARTE CORRENTES E DRENAGEM - VIAS URBANAS</t>
    </r>
  </si>
  <si>
    <r>
      <rPr>
        <sz val="7"/>
        <rFont val="Arial"/>
        <family val="2"/>
      </rPr>
      <t xml:space="preserve">Alvenaria de bloco (39 x 19 x 09) cm espessura 09 cm em Vias Urbanas, inclusive transporte,
</t>
    </r>
    <r>
      <rPr>
        <sz val="7"/>
        <rFont val="Arial"/>
        <family val="2"/>
      </rPr>
      <t>areia, cimento e bloco</t>
    </r>
  </si>
  <si>
    <r>
      <rPr>
        <sz val="7"/>
        <rFont val="Arial"/>
        <family val="2"/>
      </rPr>
      <t>Alvenaria de bloco (39 x 19 x 19) cm espessura 19 cm em Vias Urbanas</t>
    </r>
  </si>
  <si>
    <r>
      <rPr>
        <sz val="7"/>
        <rFont val="Arial"/>
        <family val="2"/>
      </rPr>
      <t xml:space="preserve">Alvenaria de bloco (39 x 19 x 19) cm espessura 19 cm, inclusive transporte de areia, cimento e
</t>
    </r>
    <r>
      <rPr>
        <sz val="7"/>
        <rFont val="Arial"/>
        <family val="2"/>
      </rPr>
      <t>bloco em Vias Urbanas</t>
    </r>
  </si>
  <si>
    <r>
      <rPr>
        <sz val="7"/>
        <rFont val="Arial"/>
        <family val="2"/>
      </rPr>
      <t xml:space="preserve">Alvenaria de lajota (20 x 20 x 10) cm espessura 10 cm , inclusive transporte de areia, lajota e
</t>
    </r>
    <r>
      <rPr>
        <sz val="7"/>
        <rFont val="Arial"/>
        <family val="2"/>
      </rPr>
      <t>cimento, em Vias Urbanas</t>
    </r>
  </si>
  <si>
    <r>
      <rPr>
        <sz val="7"/>
        <rFont val="Arial"/>
        <family val="2"/>
      </rPr>
      <t>Alvenaria de pedra  de mão (junta seca), inclusive transporte da pedra em Vias Urbanas</t>
    </r>
  </si>
  <si>
    <r>
      <rPr>
        <sz val="7"/>
        <rFont val="Arial"/>
        <family val="2"/>
      </rPr>
      <t xml:space="preserve">Alvenaria de pedra de mão argamassada (argamassa cimento areia 1:4) inclusive transporte
</t>
    </r>
    <r>
      <rPr>
        <sz val="7"/>
        <rFont val="Arial"/>
        <family val="2"/>
      </rPr>
      <t>da pedra de mão, em Vias Urbanas</t>
    </r>
  </si>
  <si>
    <r>
      <rPr>
        <sz val="7"/>
        <rFont val="Arial"/>
        <family val="2"/>
      </rPr>
      <t xml:space="preserve">Andaime de madeira para altura até 7 m, compreendendo montagem e desmontagem em Vias
</t>
    </r>
    <r>
      <rPr>
        <sz val="7"/>
        <rFont val="Arial"/>
        <family val="2"/>
      </rPr>
      <t>Urbanas</t>
    </r>
  </si>
  <si>
    <r>
      <rPr>
        <sz val="7"/>
        <rFont val="Arial"/>
        <family val="2"/>
      </rPr>
      <t>Andaime suspenso em madeira, inclusive montagem e desmontagem em Vias Urbanas</t>
    </r>
  </si>
  <si>
    <r>
      <rPr>
        <sz val="7"/>
        <rFont val="Arial"/>
        <family val="2"/>
      </rPr>
      <t>Apicoamento manual de superfície de concreto em Vias Urbanas</t>
    </r>
  </si>
  <si>
    <r>
      <rPr>
        <sz val="7"/>
        <rFont val="Arial"/>
        <family val="2"/>
      </rPr>
      <t>Apiloamento manual em Vias Urbanas</t>
    </r>
  </si>
  <si>
    <r>
      <rPr>
        <sz val="7"/>
        <rFont val="Arial"/>
        <family val="2"/>
      </rPr>
      <t>Argamassa cimento e areia traço 1:4 em Vias Urbanas</t>
    </r>
  </si>
  <si>
    <r>
      <rPr>
        <sz val="7"/>
        <rFont val="Arial"/>
        <family val="2"/>
      </rPr>
      <t>Argamassa cimento (nata) em Vias Urbanas</t>
    </r>
  </si>
  <si>
    <r>
      <rPr>
        <sz val="7"/>
        <rFont val="Arial"/>
        <family val="2"/>
      </rPr>
      <t>Argamassa de cimento e areia, traço 1:4, consumo de cimento 400 kg/m³ em Vias Urbanas</t>
    </r>
  </si>
  <si>
    <r>
      <rPr>
        <sz val="7"/>
        <rFont val="Arial"/>
        <family val="2"/>
      </rPr>
      <t>Berço de concreto ciclópico para BDTC diâmetro 0,60 m em Via Urbanas</t>
    </r>
  </si>
  <si>
    <r>
      <rPr>
        <sz val="7"/>
        <rFont val="Arial"/>
        <family val="2"/>
      </rPr>
      <t>Berço em brita para BSTC diâm. = 0,30 m em Vias Urbanas</t>
    </r>
  </si>
  <si>
    <r>
      <rPr>
        <sz val="7"/>
        <rFont val="Arial"/>
        <family val="2"/>
      </rPr>
      <t>Berço em brita para BSTC diâm. = 0,40 m em Vias Urbanas</t>
    </r>
  </si>
  <si>
    <r>
      <rPr>
        <sz val="7"/>
        <rFont val="Arial"/>
        <family val="2"/>
      </rPr>
      <t>Berço em brita para BSTC diâm. = 0,60 m em Vias Urbanas</t>
    </r>
  </si>
  <si>
    <r>
      <rPr>
        <sz val="7"/>
        <rFont val="Arial"/>
        <family val="2"/>
      </rPr>
      <t>Berço em brita para BSTC diam. = 0,80 m em Vias Urbanas</t>
    </r>
  </si>
  <si>
    <r>
      <rPr>
        <sz val="7"/>
        <rFont val="Arial"/>
        <family val="2"/>
      </rPr>
      <t>Boca de BDCC 2,00 x 1,20m conforme projeto em Vias Urbanas</t>
    </r>
  </si>
  <si>
    <r>
      <rPr>
        <sz val="7"/>
        <rFont val="Arial"/>
        <family val="2"/>
      </rPr>
      <t>Boca de BDCC 2,00 x 2,50 m em Vias Urbanas</t>
    </r>
  </si>
  <si>
    <r>
      <rPr>
        <sz val="7"/>
        <rFont val="Arial"/>
        <family val="2"/>
      </rPr>
      <t>Boca de BSCC 2,50 x 2,50 m, projeto DNIT em Vias Urbanas</t>
    </r>
  </si>
  <si>
    <r>
      <rPr>
        <sz val="7"/>
        <rFont val="Arial"/>
        <family val="2"/>
      </rPr>
      <t>Boca de lobo simples em blocos pré-moldados CR(0,40 x 0,80 m) em Vias Urbanas</t>
    </r>
  </si>
  <si>
    <r>
      <rPr>
        <sz val="7"/>
        <rFont val="Arial"/>
        <family val="2"/>
      </rPr>
      <t xml:space="preserve">Bueiro Metálico BSTM - D= 3,00 m - T.L. com tratamento epóxi e=2,7 mm - método não
</t>
    </r>
    <r>
      <rPr>
        <sz val="7"/>
        <rFont val="Arial"/>
        <family val="2"/>
      </rPr>
      <t>destrutivo em Vias Urbanas</t>
    </r>
  </si>
  <si>
    <r>
      <rPr>
        <sz val="7"/>
        <rFont val="Arial"/>
        <family val="2"/>
      </rPr>
      <t xml:space="preserve">Bueiro Metálico BSTM - D=3,05m - MP-152 com tratamento epóxi e=2,7mm - método
</t>
    </r>
    <r>
      <rPr>
        <sz val="7"/>
        <rFont val="Arial"/>
        <family val="2"/>
      </rPr>
      <t>destrutivo, inclusive lastro de brita em Vias Urbanas</t>
    </r>
  </si>
  <si>
    <r>
      <rPr>
        <sz val="7"/>
        <rFont val="Arial"/>
        <family val="2"/>
      </rPr>
      <t>Caiação de meio fios, sarjetas, etc. em Vias Urbanas</t>
    </r>
  </si>
  <si>
    <r>
      <rPr>
        <sz val="7"/>
        <rFont val="Arial"/>
        <family val="2"/>
      </rPr>
      <t xml:space="preserve">Caixa Boca de Lobo em bloco pré-moldado de concreto para diâm.=1,00m (1,30 x 1,30m) em
</t>
    </r>
    <r>
      <rPr>
        <sz val="7"/>
        <rFont val="Arial"/>
        <family val="2"/>
      </rPr>
      <t>Vias Urbanas</t>
    </r>
  </si>
  <si>
    <r>
      <rPr>
        <sz val="7"/>
        <rFont val="Arial"/>
        <family val="2"/>
      </rPr>
      <t xml:space="preserve">Caixa Boca de Lobo em bloco pré-moldado para diâm. = 0,60m (1,00 x 1,00m) CBL2 (Vias
</t>
    </r>
    <r>
      <rPr>
        <sz val="7"/>
        <rFont val="Arial"/>
        <family val="2"/>
      </rPr>
      <t>Urbanas)</t>
    </r>
  </si>
  <si>
    <r>
      <rPr>
        <sz val="7"/>
        <rFont val="Arial"/>
        <family val="2"/>
      </rPr>
      <t>Caixa Boca de Lobo em bloco pré-moldado para diâm. = 0,80m (1,20 x 1,20m) (Vias Urbanas)</t>
    </r>
  </si>
  <si>
    <r>
      <rPr>
        <sz val="7"/>
        <rFont val="Arial"/>
        <family val="2"/>
      </rPr>
      <t>Caixa Boca de Lobo em bloco pré-moldado para diâm. = 1,20m(1,50 x 1,50m) (Vias Urbanas)</t>
    </r>
  </si>
  <si>
    <r>
      <rPr>
        <sz val="7"/>
        <rFont val="Arial"/>
        <family val="2"/>
      </rPr>
      <t xml:space="preserve">Caixa Boca de Lobo em bloco pré-moldado para diâm.= 0,30m e 0,40m (0,80 x 0,80m) (Vias
</t>
    </r>
    <r>
      <rPr>
        <sz val="7"/>
        <rFont val="Arial"/>
        <family val="2"/>
      </rPr>
      <t>Urbanas)</t>
    </r>
  </si>
  <si>
    <r>
      <rPr>
        <sz val="7"/>
        <rFont val="Arial"/>
        <family val="2"/>
      </rPr>
      <t>Caixa Boca de Lobo em bloco pré-moldado 1,20 x 1,20m em Vias Urbanas</t>
    </r>
  </si>
  <si>
    <r>
      <rPr>
        <sz val="7"/>
        <rFont val="Arial"/>
        <family val="2"/>
      </rPr>
      <t>Caixa coletora concreto armado H= 2,00m, inclusive escavação em Vias Urbanas</t>
    </r>
  </si>
  <si>
    <r>
      <rPr>
        <sz val="7"/>
        <rFont val="Arial"/>
        <family val="2"/>
      </rPr>
      <t>Caixa coletora concreto armado H= 2,50m, inclusive escavação em Vias Urbanas</t>
    </r>
  </si>
  <si>
    <r>
      <rPr>
        <sz val="7"/>
        <rFont val="Arial"/>
        <family val="2"/>
      </rPr>
      <t>Caixa coletora em bloco pré-moldado para d=0,60m (1,00 x 1,00m) em Vias Urbanas</t>
    </r>
  </si>
  <si>
    <r>
      <rPr>
        <sz val="7"/>
        <rFont val="Arial"/>
        <family val="2"/>
      </rPr>
      <t>Caixa coletora em bloco pré-moldado para d=0,80m (1,20 x 1,20m) em Vias Urbanas</t>
    </r>
  </si>
  <si>
    <r>
      <rPr>
        <sz val="7"/>
        <rFont val="Arial"/>
        <family val="2"/>
      </rPr>
      <t>Caixa de concreto para BSTC diâmetro 0,40 m H=1,60 m em Vias Urbanas</t>
    </r>
  </si>
  <si>
    <r>
      <rPr>
        <sz val="7"/>
        <rFont val="Arial"/>
        <family val="2"/>
      </rPr>
      <t>Caixa de concreto para BSTC diâmetro 0,60m H=2,00m em Vias Urbanas</t>
    </r>
  </si>
  <si>
    <r>
      <rPr>
        <sz val="7"/>
        <rFont val="Arial"/>
        <family val="2"/>
      </rPr>
      <t>Caixa de concreto para BSTC diâmetro 0,80m H=2,50m em Vias Urbanas</t>
    </r>
  </si>
  <si>
    <r>
      <rPr>
        <sz val="7"/>
        <rFont val="Arial"/>
        <family val="2"/>
      </rPr>
      <t>Caixa de concreto para BSTC diâmetro 1,00m H=3,00m em Vias Urbanas</t>
    </r>
  </si>
  <si>
    <r>
      <rPr>
        <sz val="7"/>
        <rFont val="Arial"/>
        <family val="2"/>
      </rPr>
      <t xml:space="preserve">Caixa de passagem em bloco pré-moldado para d=0,30 e 0,40m (0,80x0,80m) em Vias
</t>
    </r>
    <r>
      <rPr>
        <sz val="7"/>
        <rFont val="Arial"/>
        <family val="2"/>
      </rPr>
      <t>Urbanas</t>
    </r>
  </si>
  <si>
    <r>
      <rPr>
        <sz val="7"/>
        <rFont val="Arial"/>
        <family val="2"/>
      </rPr>
      <t>Caixa de passagem em bloco pré-moldado para d=0,60m (1,00x1,00m) em Vias Urbanas</t>
    </r>
  </si>
  <si>
    <r>
      <rPr>
        <sz val="7"/>
        <rFont val="Arial"/>
        <family val="2"/>
      </rPr>
      <t>Caixa de passagem em bloco pré-moldado para d=0,80m (1,20 x 1,20m) em Vias Urbanas</t>
    </r>
  </si>
  <si>
    <r>
      <rPr>
        <sz val="7"/>
        <rFont val="Arial"/>
        <family val="2"/>
      </rPr>
      <t>Caixa de passagem em bloco pré-moldado para d=1,00m (1,30 x 1,30m) em Vias Urbanas</t>
    </r>
  </si>
  <si>
    <r>
      <rPr>
        <sz val="7"/>
        <rFont val="Arial"/>
        <family val="2"/>
      </rPr>
      <t>Caixa de passagem em bloco pré-moldado para d=1,20m (1,50 x 1,50m) em Vias Urbanas</t>
    </r>
  </si>
  <si>
    <r>
      <rPr>
        <sz val="7"/>
        <rFont val="Arial"/>
        <family val="2"/>
      </rPr>
      <t>Caixa de passagem para tubos de D=0,40m H=1,10m em Vias Urbanas</t>
    </r>
  </si>
  <si>
    <r>
      <rPr>
        <sz val="7"/>
        <rFont val="Arial"/>
        <family val="2"/>
      </rPr>
      <t>Caixa de passagem para tubos de D=0,60m H=1,30m em Vias Urbanas</t>
    </r>
  </si>
  <si>
    <r>
      <rPr>
        <sz val="7"/>
        <rFont val="Arial"/>
        <family val="2"/>
      </rPr>
      <t>Caixa de passagem para tubos de D=0,80m H=1,50m em Vias Urbanas</t>
    </r>
  </si>
  <si>
    <r>
      <rPr>
        <sz val="7"/>
        <rFont val="Arial"/>
        <family val="2"/>
      </rPr>
      <t>Caixa de passagem para tubos de D=1,00m H=1,80m em Vias Urbanas</t>
    </r>
  </si>
  <si>
    <r>
      <rPr>
        <sz val="7"/>
        <rFont val="Arial"/>
        <family val="2"/>
      </rPr>
      <t>Caixa de passagem (2,50 x 2,50m) em Vias Urbanas</t>
    </r>
  </si>
  <si>
    <r>
      <rPr>
        <sz val="7"/>
        <rFont val="Arial"/>
        <family val="2"/>
      </rPr>
      <t>Caixa para rede de dutos dimensões 100 x100 x100 cm, em Vias Urbanas</t>
    </r>
  </si>
  <si>
    <r>
      <rPr>
        <sz val="7"/>
        <rFont val="Arial"/>
        <family val="2"/>
      </rPr>
      <t>Caixa para rede de dutos dimensões 60 x 60 x 60 cm, em Vias Urbanas</t>
    </r>
  </si>
  <si>
    <r>
      <rPr>
        <sz val="7"/>
        <rFont val="Arial"/>
        <family val="2"/>
      </rPr>
      <t>Caixa ralo com grelha de concreto em blocos pré-moldados - CRG - Vias Urbanas</t>
    </r>
  </si>
  <si>
    <r>
      <rPr>
        <sz val="7"/>
        <rFont val="Arial"/>
        <family val="2"/>
      </rPr>
      <t>Caixa ralo de elementos pré-moldados em concreto (tudo incluído) em Vias Urbanas</t>
    </r>
  </si>
  <si>
    <r>
      <rPr>
        <sz val="7"/>
        <rFont val="Arial"/>
        <family val="2"/>
      </rPr>
      <t>Caixa ralo em blocos pré-moldados e grelha articulada em FFA em Vias Urbanas</t>
    </r>
  </si>
  <si>
    <r>
      <rPr>
        <sz val="7"/>
        <rFont val="Arial"/>
        <family val="2"/>
      </rPr>
      <t>Canaleta com grelha DP-1, inclusive transporte da grelha em Vias Urbanas</t>
    </r>
  </si>
  <si>
    <r>
      <rPr>
        <sz val="7"/>
        <rFont val="Arial"/>
        <family val="2"/>
      </rPr>
      <t xml:space="preserve">Canaleta de concreto, com forma retangular inclusive caiação - parede 12 cm em Vias
</t>
    </r>
    <r>
      <rPr>
        <sz val="7"/>
        <rFont val="Arial"/>
        <family val="2"/>
      </rPr>
      <t>Urbanas</t>
    </r>
  </si>
  <si>
    <r>
      <rPr>
        <sz val="7"/>
        <rFont val="Arial"/>
        <family val="2"/>
      </rPr>
      <t>Canaleta de concreto retangular (0,130m³/m) inclusive caiação em Vias Urbanas</t>
    </r>
  </si>
  <si>
    <r>
      <rPr>
        <sz val="7"/>
        <rFont val="Arial"/>
        <family val="2"/>
      </rPr>
      <t>Canaleta de concreto (0,130m³/m) forma trapezoidal inclusive caiação em Vias Urbanas</t>
    </r>
  </si>
  <si>
    <r>
      <rPr>
        <sz val="7"/>
        <rFont val="Arial"/>
        <family val="2"/>
      </rPr>
      <t>Cerca de tela de arame galvanizado h=1,20m em Vias Urbanas</t>
    </r>
  </si>
  <si>
    <r>
      <rPr>
        <sz val="7"/>
        <rFont val="Arial"/>
        <family val="2"/>
      </rPr>
      <t xml:space="preserve">Cerca em tela revestida em PVC com mourões de concreto, fornecimento e execução em Vias
</t>
    </r>
    <r>
      <rPr>
        <sz val="7"/>
        <rFont val="Arial"/>
        <family val="2"/>
      </rPr>
      <t>Urbanas</t>
    </r>
  </si>
  <si>
    <r>
      <rPr>
        <sz val="7"/>
        <rFont val="Arial"/>
        <family val="2"/>
      </rPr>
      <t>Chapisco com argamassa de cimento e areia 1:3 em Vias Urbanas</t>
    </r>
  </si>
  <si>
    <r>
      <rPr>
        <sz val="7"/>
        <rFont val="Arial"/>
        <family val="2"/>
      </rPr>
      <t>Chapisco com argamassa de cimento e pedrisco 1:4 em Vias Urbanas</t>
    </r>
  </si>
  <si>
    <r>
      <rPr>
        <sz val="7"/>
        <rFont val="Arial"/>
        <family val="2"/>
      </rPr>
      <t xml:space="preserve">Colchão drenante de areia para fundação de aterros, exclusive o fornecimento de areia em
</t>
    </r>
    <r>
      <rPr>
        <sz val="7"/>
        <rFont val="Arial"/>
        <family val="2"/>
      </rPr>
      <t>Vias Urbanas</t>
    </r>
  </si>
  <si>
    <r>
      <rPr>
        <sz val="7"/>
        <rFont val="Arial"/>
        <family val="2"/>
      </rPr>
      <t xml:space="preserve">Colchão drenante de areia para fundação de aterros, inclusive fornecimento e transporte da
</t>
    </r>
    <r>
      <rPr>
        <sz val="7"/>
        <rFont val="Arial"/>
        <family val="2"/>
      </rPr>
      <t>areia em Vias Urbanas</t>
    </r>
  </si>
  <si>
    <r>
      <rPr>
        <sz val="7"/>
        <rFont val="Arial"/>
        <family val="2"/>
      </rPr>
      <t xml:space="preserve">Colchão drenante de brita 1 inclusive fornecimento, espalhamento, compactação e transporte
</t>
    </r>
    <r>
      <rPr>
        <sz val="7"/>
        <rFont val="Arial"/>
        <family val="2"/>
      </rPr>
      <t>da brita em Vias Urbanas</t>
    </r>
  </si>
  <si>
    <r>
      <rPr>
        <sz val="7"/>
        <rFont val="Arial"/>
        <family val="2"/>
      </rPr>
      <t xml:space="preserve">Colchão drenante de brita 2 inclusive fornecimento, espalhamento, compactação e transporte
</t>
    </r>
    <r>
      <rPr>
        <sz val="7"/>
        <rFont val="Arial"/>
        <family val="2"/>
      </rPr>
      <t>da brita em Vias Urbanas</t>
    </r>
  </si>
  <si>
    <r>
      <rPr>
        <sz val="7"/>
        <rFont val="Arial"/>
        <family val="2"/>
      </rPr>
      <t xml:space="preserve">Colchão drenante de brita 3 inclusive fornecimento, espalhamento, compactação e transporte
</t>
    </r>
    <r>
      <rPr>
        <sz val="7"/>
        <rFont val="Arial"/>
        <family val="2"/>
      </rPr>
      <t>da brita em Vias Urbanas</t>
    </r>
  </si>
  <si>
    <r>
      <rPr>
        <sz val="7"/>
        <rFont val="Arial"/>
        <family val="2"/>
      </rPr>
      <t xml:space="preserve">Coleta drenante (1,00x1,00) m c/ geotêxtil não tecido RT 16kn/m, inclusive transporte da brita
</t>
    </r>
    <r>
      <rPr>
        <sz val="7"/>
        <rFont val="Arial"/>
        <family val="2"/>
      </rPr>
      <t>em Vias Urbanas</t>
    </r>
  </si>
  <si>
    <r>
      <rPr>
        <sz val="7"/>
        <rFont val="Arial"/>
        <family val="2"/>
      </rPr>
      <t xml:space="preserve">Concreto armado, dosado para resist. 20 Mpa,  incluindo 60 kg aço CA-50 A, mão de obra p/
</t>
    </r>
    <r>
      <rPr>
        <sz val="7"/>
        <rFont val="Arial"/>
        <family val="2"/>
      </rPr>
      <t>corte, dobragem e montagem, exclusive forma em Vias Urbanas</t>
    </r>
  </si>
  <si>
    <r>
      <rPr>
        <sz val="7"/>
        <rFont val="Arial"/>
        <family val="2"/>
      </rPr>
      <t>Concreto de regularização em Vias Urbanas</t>
    </r>
  </si>
  <si>
    <r>
      <rPr>
        <sz val="7"/>
        <rFont val="Arial"/>
        <family val="2"/>
      </rPr>
      <t>Concreto estrutural fck = 20,0 MPa com plastificante em Vias Urbanas</t>
    </r>
  </si>
  <si>
    <r>
      <rPr>
        <sz val="7"/>
        <rFont val="Arial"/>
        <family val="2"/>
      </rPr>
      <t>Concreto estrutural fck = 20,0 MPa em Vias Urbanas</t>
    </r>
  </si>
  <si>
    <r>
      <rPr>
        <sz val="7"/>
        <rFont val="Arial"/>
        <family val="2"/>
      </rPr>
      <t>Concreto estrutural fck = 25,0 MPa com plastificante em Vias Urbanas</t>
    </r>
  </si>
  <si>
    <r>
      <rPr>
        <sz val="7"/>
        <rFont val="Arial"/>
        <family val="2"/>
      </rPr>
      <t>Concreto estrutural fck = 25,0 MPa em Vias Urbanas</t>
    </r>
  </si>
  <si>
    <r>
      <rPr>
        <sz val="7"/>
        <rFont val="Arial"/>
        <family val="2"/>
      </rPr>
      <t xml:space="preserve">Concreto estrutural fck = 30,0 MPa com micro-silica e Sikacrete BR ou equivalente em Vias
</t>
    </r>
    <r>
      <rPr>
        <sz val="7"/>
        <rFont val="Arial"/>
        <family val="2"/>
      </rPr>
      <t>Urbanas</t>
    </r>
  </si>
  <si>
    <r>
      <rPr>
        <sz val="7"/>
        <rFont val="Arial"/>
        <family val="2"/>
      </rPr>
      <t>Concreto estrutural fck = 30,0 MPa com plastificante em Vias Urbanas</t>
    </r>
  </si>
  <si>
    <r>
      <rPr>
        <sz val="7"/>
        <rFont val="Arial"/>
        <family val="2"/>
      </rPr>
      <t>Concreto estrutural fck = 30,0 MPa em Vias Urbanas</t>
    </r>
  </si>
  <si>
    <r>
      <rPr>
        <sz val="7"/>
        <rFont val="Arial"/>
        <family val="2"/>
      </rPr>
      <t xml:space="preserve">Concreto estrutural fck = 35,0 MPa com micro-silica e Sikacrete ou equivalente em Vias
</t>
    </r>
    <r>
      <rPr>
        <sz val="7"/>
        <rFont val="Arial"/>
        <family val="2"/>
      </rPr>
      <t>Urbanas</t>
    </r>
  </si>
  <si>
    <r>
      <rPr>
        <sz val="7"/>
        <rFont val="Arial"/>
        <family val="2"/>
      </rPr>
      <t>Concreto submerso fck = 20,0 MPa em Vias Urbanas</t>
    </r>
  </si>
  <si>
    <r>
      <rPr>
        <sz val="7"/>
        <rFont val="Arial"/>
        <family val="2"/>
      </rPr>
      <t xml:space="preserve">Corpo BDTC (grota) diâmetro 0,60 m CA-2 MF exclusive escavação e reaterro, inclusive
</t>
    </r>
    <r>
      <rPr>
        <sz val="7"/>
        <rFont val="Arial"/>
        <family val="2"/>
      </rPr>
      <t>transporte do tubo em Vias Urbanas</t>
    </r>
  </si>
  <si>
    <r>
      <rPr>
        <sz val="7"/>
        <rFont val="Arial"/>
        <family val="2"/>
      </rPr>
      <t xml:space="preserve">Corpo BDTC (grota) diâmetro 0,60 m CA-2 PB exclusive escavação e reaterro, inclusive
</t>
    </r>
    <r>
      <rPr>
        <sz val="7"/>
        <rFont val="Arial"/>
        <family val="2"/>
      </rPr>
      <t>transporte do tubo em Vias Urbanas</t>
    </r>
  </si>
  <si>
    <r>
      <rPr>
        <sz val="7"/>
        <rFont val="Arial"/>
        <family val="2"/>
      </rPr>
      <t xml:space="preserve">Corpo BDTC (grota) diâmetro 0,80 m CA-1 MF exclusive escavação e reaterro, inclusive
</t>
    </r>
    <r>
      <rPr>
        <sz val="7"/>
        <rFont val="Arial"/>
        <family val="2"/>
      </rPr>
      <t>transporte do tubo em Vias Urbanas</t>
    </r>
  </si>
  <si>
    <r>
      <rPr>
        <sz val="7"/>
        <rFont val="Arial"/>
        <family val="2"/>
      </rPr>
      <t xml:space="preserve">Corpo BDTC (grota) diâmetro 0,80 m CA-1 PB exclusive escavação e reaterro, inclusive
</t>
    </r>
    <r>
      <rPr>
        <sz val="7"/>
        <rFont val="Arial"/>
        <family val="2"/>
      </rPr>
      <t>transporte do tubo em Vias Urbanas</t>
    </r>
  </si>
  <si>
    <r>
      <rPr>
        <sz val="7"/>
        <rFont val="Arial"/>
        <family val="2"/>
      </rPr>
      <t xml:space="preserve">Corpo BDTC (grota) diâmetro 0,80 m CA-2 MF exclusive escavação e reaterro, inclusive
</t>
    </r>
    <r>
      <rPr>
        <sz val="7"/>
        <rFont val="Arial"/>
        <family val="2"/>
      </rPr>
      <t>transporte do tubo em Vias Urbanas</t>
    </r>
  </si>
  <si>
    <r>
      <rPr>
        <sz val="7"/>
        <rFont val="Arial"/>
        <family val="2"/>
      </rPr>
      <t xml:space="preserve">Corpo BDTC (grota) diâmetro 0,80 m CA-2 PB exclusive escavação e reaterro, inclusive
</t>
    </r>
    <r>
      <rPr>
        <sz val="7"/>
        <rFont val="Arial"/>
        <family val="2"/>
      </rPr>
      <t>transporte do tubo em Vias Urbanas</t>
    </r>
  </si>
  <si>
    <r>
      <rPr>
        <sz val="7"/>
        <rFont val="Arial"/>
        <family val="2"/>
      </rPr>
      <t xml:space="preserve">Corpo BDTC (grota) diâmetro 1,00 m CA-1 MF exclusive escavação e reaterro, inclusive
</t>
    </r>
    <r>
      <rPr>
        <sz val="7"/>
        <rFont val="Arial"/>
        <family val="2"/>
      </rPr>
      <t>transporte do tubo em Vias Urbanas</t>
    </r>
  </si>
  <si>
    <r>
      <rPr>
        <sz val="7"/>
        <rFont val="Arial"/>
        <family val="2"/>
      </rPr>
      <t xml:space="preserve">Corpo BDTC (grota) diâmetro 1,00 m CA-1 PB exclusive escavação e reaterro, inclusive
</t>
    </r>
    <r>
      <rPr>
        <sz val="7"/>
        <rFont val="Arial"/>
        <family val="2"/>
      </rPr>
      <t>transporte do tubo em Vias Urbanas</t>
    </r>
  </si>
  <si>
    <r>
      <rPr>
        <sz val="7"/>
        <rFont val="Arial"/>
        <family val="2"/>
      </rPr>
      <t xml:space="preserve">Corpo BDTC (grota) diâmetro 1,00 m CA-2 MF exclusive escavação e reaterro, inclusive
</t>
    </r>
    <r>
      <rPr>
        <sz val="7"/>
        <rFont val="Arial"/>
        <family val="2"/>
      </rPr>
      <t>transporte do tubo em Vias Urbanas</t>
    </r>
  </si>
  <si>
    <r>
      <rPr>
        <sz val="7"/>
        <rFont val="Arial"/>
        <family val="2"/>
      </rPr>
      <t xml:space="preserve">Corpo BDTC (grota) diâmetro 1,00 m CA-2 PB exclusive escavação e reaterro, inclusive
</t>
    </r>
    <r>
      <rPr>
        <sz val="7"/>
        <rFont val="Arial"/>
        <family val="2"/>
      </rPr>
      <t>transporte do tubo em Vias Urbanas</t>
    </r>
  </si>
  <si>
    <r>
      <rPr>
        <sz val="7"/>
        <rFont val="Arial"/>
        <family val="2"/>
      </rPr>
      <t xml:space="preserve">Corpo BDTC (grota) diâmetro 1,00 m CA-3 MF exclusive escavação e reaterro, inclusive
</t>
    </r>
    <r>
      <rPr>
        <sz val="7"/>
        <rFont val="Arial"/>
        <family val="2"/>
      </rPr>
      <t>transporte do tubo em Vias Urbanas</t>
    </r>
  </si>
  <si>
    <r>
      <rPr>
        <sz val="7"/>
        <rFont val="Arial"/>
        <family val="2"/>
      </rPr>
      <t xml:space="preserve">Corpo BDTC (grota) diâmetro 1,20 m CA-1 MF exclusive escavação e reaterro, inclusive
</t>
    </r>
    <r>
      <rPr>
        <sz val="7"/>
        <rFont val="Arial"/>
        <family val="2"/>
      </rPr>
      <t>transporte do tubo em Vias Urbanas</t>
    </r>
  </si>
  <si>
    <r>
      <rPr>
        <sz val="7"/>
        <rFont val="Arial"/>
        <family val="2"/>
      </rPr>
      <t xml:space="preserve">Corpo BDTC (grota) diâmetro 1,20 m CA-2 MF exclusive escavação e reaterro, inclusive
</t>
    </r>
    <r>
      <rPr>
        <sz val="7"/>
        <rFont val="Arial"/>
        <family val="2"/>
      </rPr>
      <t>transporte do tubo em Vias Urbanas</t>
    </r>
  </si>
  <si>
    <r>
      <rPr>
        <sz val="7"/>
        <rFont val="Arial"/>
        <family val="2"/>
      </rPr>
      <t xml:space="preserve">Corpo BDTC (grota) diâmetro 1,20 m CA-2 PB exclusive escavação e reaterro, inclusive
</t>
    </r>
    <r>
      <rPr>
        <sz val="7"/>
        <rFont val="Arial"/>
        <family val="2"/>
      </rPr>
      <t>transporte do tubo em Vias Urbanas</t>
    </r>
  </si>
  <si>
    <r>
      <rPr>
        <sz val="7"/>
        <rFont val="Arial"/>
        <family val="2"/>
      </rPr>
      <t xml:space="preserve">Corpo BDTC (grota) diâmetro 1,20 m CA-3 MF exclusive escavação e reaterro, inclusive
</t>
    </r>
    <r>
      <rPr>
        <sz val="7"/>
        <rFont val="Arial"/>
        <family val="2"/>
      </rPr>
      <t>transporte do tubo em Vias Urbanas</t>
    </r>
  </si>
  <si>
    <r>
      <rPr>
        <sz val="7"/>
        <rFont val="Arial"/>
        <family val="2"/>
      </rPr>
      <t xml:space="preserve">Corpo BDTC (grota) diâmetro 1,50 m CA-1 MF exclusive escavação e reaterro, inclusive
</t>
    </r>
    <r>
      <rPr>
        <sz val="7"/>
        <rFont val="Arial"/>
        <family val="2"/>
      </rPr>
      <t>transporte do tubo em Vias Urbanas</t>
    </r>
  </si>
  <si>
    <r>
      <rPr>
        <sz val="7"/>
        <rFont val="Arial"/>
        <family val="2"/>
      </rPr>
      <t xml:space="preserve">Corpo BDTC (grota) diâmetro 1,50 m CA-1 PB exclusive escavação e reaterro, inclusive
</t>
    </r>
    <r>
      <rPr>
        <sz val="7"/>
        <rFont val="Arial"/>
        <family val="2"/>
      </rPr>
      <t>transporte do tubo em Vias Urbanas</t>
    </r>
  </si>
  <si>
    <r>
      <rPr>
        <sz val="7"/>
        <rFont val="Arial"/>
        <family val="2"/>
      </rPr>
      <t xml:space="preserve">Corpo BDTC (grota) diâmetro 1,50 m CA-2 MF exclusive escavação e reaterro, inclusive
</t>
    </r>
    <r>
      <rPr>
        <sz val="7"/>
        <rFont val="Arial"/>
        <family val="2"/>
      </rPr>
      <t>transporte do tubo em Vias Urbanas</t>
    </r>
  </si>
  <si>
    <r>
      <rPr>
        <sz val="7"/>
        <rFont val="Arial"/>
        <family val="2"/>
      </rPr>
      <t xml:space="preserve">Corpo BDTC (grota) diâmetro 1,50 m CA-2 PB exclusive escavação e reaterro, inclusive
</t>
    </r>
    <r>
      <rPr>
        <sz val="7"/>
        <rFont val="Arial"/>
        <family val="2"/>
      </rPr>
      <t>transporte do tubo em Vias Urbanas</t>
    </r>
  </si>
  <si>
    <r>
      <rPr>
        <sz val="7"/>
        <rFont val="Arial"/>
        <family val="2"/>
      </rPr>
      <t xml:space="preserve">Corpo BDTC (grota) diâmetro 1,50 m CA-3 MF exclusive escavação e reaterro, inclusive
</t>
    </r>
    <r>
      <rPr>
        <sz val="7"/>
        <rFont val="Arial"/>
        <family val="2"/>
      </rPr>
      <t>transporte do tubo em Vias Urbanas</t>
    </r>
  </si>
  <si>
    <r>
      <rPr>
        <sz val="7"/>
        <rFont val="Arial"/>
        <family val="2"/>
      </rPr>
      <t xml:space="preserve">Corpo BSTC diâmetro 0,20 m C.S. MF inclusive escavação, reaterro e transporte do tubo em
</t>
    </r>
    <r>
      <rPr>
        <sz val="7"/>
        <rFont val="Arial"/>
        <family val="2"/>
      </rPr>
      <t>Vias Urbanas</t>
    </r>
  </si>
  <si>
    <r>
      <rPr>
        <sz val="7"/>
        <rFont val="Arial"/>
        <family val="2"/>
      </rPr>
      <t xml:space="preserve">Corpo BSTC diâmetro 0,20 m C.S. PB inclusive escavação, reaterro e transporte do tubo em
</t>
    </r>
    <r>
      <rPr>
        <sz val="7"/>
        <rFont val="Arial"/>
        <family val="2"/>
      </rPr>
      <t>Vias Urbanas</t>
    </r>
  </si>
  <si>
    <r>
      <rPr>
        <sz val="7"/>
        <rFont val="Arial"/>
        <family val="2"/>
      </rPr>
      <t xml:space="preserve">Corpo BSTC diâmetro 0,30 m C.S. MF inclusive escavação, reaterro e transporte do tubo em
</t>
    </r>
    <r>
      <rPr>
        <sz val="7"/>
        <rFont val="Arial"/>
        <family val="2"/>
      </rPr>
      <t>Vias Urbanas</t>
    </r>
  </si>
  <si>
    <r>
      <rPr>
        <sz val="7"/>
        <rFont val="Arial"/>
        <family val="2"/>
      </rPr>
      <t xml:space="preserve">Corpo BSTC diâmetro 0,30 m C.S. PB inclusive escavação, reaterro e transporte do tubo em
</t>
    </r>
    <r>
      <rPr>
        <sz val="7"/>
        <rFont val="Arial"/>
        <family val="2"/>
      </rPr>
      <t>Vias Urbanas</t>
    </r>
  </si>
  <si>
    <r>
      <rPr>
        <sz val="7"/>
        <rFont val="Arial"/>
        <family val="2"/>
      </rPr>
      <t xml:space="preserve">Corpo BSTC diâmetro 0,40 m C.S. MF inclusive escavação, reaterro e transporte do tubo em
</t>
    </r>
    <r>
      <rPr>
        <sz val="7"/>
        <rFont val="Arial"/>
        <family val="2"/>
      </rPr>
      <t>Vias Urbanas</t>
    </r>
  </si>
  <si>
    <r>
      <rPr>
        <sz val="7"/>
        <rFont val="Arial"/>
        <family val="2"/>
      </rPr>
      <t xml:space="preserve">Corpo BSTC diâmetro 0,40 m C.S. PB inclusive escavação, reaterro e transporte do tubo em
</t>
    </r>
    <r>
      <rPr>
        <sz val="7"/>
        <rFont val="Arial"/>
        <family val="2"/>
      </rPr>
      <t>Vias Urbanas</t>
    </r>
  </si>
  <si>
    <r>
      <rPr>
        <sz val="7"/>
        <rFont val="Arial"/>
        <family val="2"/>
      </rPr>
      <t xml:space="preserve">Corpo BSTC diâmetro 0,60 m C.S. MF inclusive escavação, reaterro e transporte do tubo em
</t>
    </r>
    <r>
      <rPr>
        <sz val="7"/>
        <rFont val="Arial"/>
        <family val="2"/>
      </rPr>
      <t>Vias Urbanas</t>
    </r>
  </si>
  <si>
    <r>
      <rPr>
        <sz val="7"/>
        <rFont val="Arial"/>
        <family val="2"/>
      </rPr>
      <t xml:space="preserve">Corpo BSTC diâmetro 0,60 m C.S. PB inclusive escavação, reaterro e transporte do tubo em
</t>
    </r>
    <r>
      <rPr>
        <sz val="7"/>
        <rFont val="Arial"/>
        <family val="2"/>
      </rPr>
      <t>Vias Urbanas</t>
    </r>
  </si>
  <si>
    <r>
      <rPr>
        <sz val="7"/>
        <rFont val="Arial"/>
        <family val="2"/>
      </rPr>
      <t xml:space="preserve">Corpo BSTC (greide) diâmetro 0,30 m CA-1 MF inclusive escavação, reaterro e transporte do
</t>
    </r>
    <r>
      <rPr>
        <sz val="7"/>
        <rFont val="Arial"/>
        <family val="2"/>
      </rPr>
      <t>tubo em Vias Urbanas</t>
    </r>
  </si>
  <si>
    <r>
      <rPr>
        <sz val="7"/>
        <rFont val="Arial"/>
        <family val="2"/>
      </rPr>
      <t xml:space="preserve">Corpo BSTC (greide) diâmetro 0,40 m CA-1 MF inclusive escavação, reaterro e transporte do
</t>
    </r>
    <r>
      <rPr>
        <sz val="7"/>
        <rFont val="Arial"/>
        <family val="2"/>
      </rPr>
      <t>tubo em Vias Urbanas</t>
    </r>
  </si>
  <si>
    <r>
      <rPr>
        <sz val="7"/>
        <rFont val="Arial"/>
        <family val="2"/>
      </rPr>
      <t xml:space="preserve">Corpo BSTC (greide) diâmetro 0,40 m CA-2 MF inclusive escavação, reaterro e transporte do
</t>
    </r>
    <r>
      <rPr>
        <sz val="7"/>
        <rFont val="Arial"/>
        <family val="2"/>
      </rPr>
      <t>tubo em Vias Urbanas</t>
    </r>
  </si>
  <si>
    <r>
      <rPr>
        <sz val="7"/>
        <rFont val="Arial"/>
        <family val="2"/>
      </rPr>
      <t xml:space="preserve">Corpo BSTC (greide) diâmetro 0,60 m CA-1 MF inclusive escavação, reaterro e transporte do
</t>
    </r>
    <r>
      <rPr>
        <sz val="7"/>
        <rFont val="Arial"/>
        <family val="2"/>
      </rPr>
      <t>tubo em Vias Urbanas</t>
    </r>
  </si>
  <si>
    <r>
      <rPr>
        <sz val="7"/>
        <rFont val="Arial"/>
        <family val="2"/>
      </rPr>
      <t xml:space="preserve">Corpo BSTC (greide) diâmetro 0,60 m CA-1 PB inclusive escavação, reaterro e transporte do
</t>
    </r>
    <r>
      <rPr>
        <sz val="7"/>
        <rFont val="Arial"/>
        <family val="2"/>
      </rPr>
      <t>tubo em Vias Urbanas</t>
    </r>
  </si>
  <si>
    <r>
      <rPr>
        <sz val="7"/>
        <rFont val="Arial"/>
        <family val="2"/>
      </rPr>
      <t xml:space="preserve">Corpo BSTC (greide) diâmetro 0,60 m CA-2 MF inclusive escavação, reaterro e transporte do
</t>
    </r>
    <r>
      <rPr>
        <sz val="7"/>
        <rFont val="Arial"/>
        <family val="2"/>
      </rPr>
      <t>tubo em Vias Urbanas</t>
    </r>
  </si>
  <si>
    <r>
      <rPr>
        <sz val="7"/>
        <rFont val="Arial"/>
        <family val="2"/>
      </rPr>
      <t xml:space="preserve">Corpo BSTC (greide) diâmetro 0,60 m CA-2 PB inclusive escavação, reaterro e transporte do
</t>
    </r>
    <r>
      <rPr>
        <sz val="7"/>
        <rFont val="Arial"/>
        <family val="2"/>
      </rPr>
      <t>tubo em Vias Urbanas</t>
    </r>
  </si>
  <si>
    <r>
      <rPr>
        <sz val="7"/>
        <rFont val="Arial"/>
        <family val="2"/>
      </rPr>
      <t xml:space="preserve">Corpo BSTC (greide) diâmetro 0,80 m CA-1 MF inclusive escavação, reaterro e transporte do
</t>
    </r>
    <r>
      <rPr>
        <sz val="7"/>
        <rFont val="Arial"/>
        <family val="2"/>
      </rPr>
      <t>tubo em Vias Urbanas</t>
    </r>
  </si>
  <si>
    <r>
      <rPr>
        <sz val="7"/>
        <rFont val="Arial"/>
        <family val="2"/>
      </rPr>
      <t xml:space="preserve">Corpo BSTC (greide) diâmetro 0,80 m CA-1 PB inclusive escavação, reaterro e transporte do
</t>
    </r>
    <r>
      <rPr>
        <sz val="7"/>
        <rFont val="Arial"/>
        <family val="2"/>
      </rPr>
      <t>tubo em Vias Urbanas</t>
    </r>
  </si>
  <si>
    <r>
      <rPr>
        <sz val="7"/>
        <rFont val="Arial"/>
        <family val="2"/>
      </rPr>
      <t xml:space="preserve">Corpo BSTC (greide) diâmetro 0,80 m CA-2 MF inclusive escavação, reaterro e transporte do
</t>
    </r>
    <r>
      <rPr>
        <sz val="7"/>
        <rFont val="Arial"/>
        <family val="2"/>
      </rPr>
      <t>tubo em Vias Urbanas</t>
    </r>
  </si>
  <si>
    <r>
      <rPr>
        <sz val="7"/>
        <rFont val="Arial"/>
        <family val="2"/>
      </rPr>
      <t xml:space="preserve">Corpo BSTC (greide) diâmetro 0,80 m CA-2 PB inclusive escavação, reaterro e transporte do
</t>
    </r>
    <r>
      <rPr>
        <sz val="7"/>
        <rFont val="Arial"/>
        <family val="2"/>
      </rPr>
      <t>tubo em Vias Urbanas</t>
    </r>
  </si>
  <si>
    <r>
      <rPr>
        <sz val="7"/>
        <rFont val="Arial"/>
        <family val="2"/>
      </rPr>
      <t xml:space="preserve">Corpo BSTC (greide) diâmetro 1,00 m CA-1 MF inclusive escavação, reaterro e transporte do
</t>
    </r>
    <r>
      <rPr>
        <sz val="7"/>
        <rFont val="Arial"/>
        <family val="2"/>
      </rPr>
      <t>tubo em Vias Urbanas</t>
    </r>
  </si>
  <si>
    <r>
      <rPr>
        <sz val="7"/>
        <rFont val="Arial"/>
        <family val="2"/>
      </rPr>
      <t xml:space="preserve">Corpo BSTC (greide) diâmetro 1,00 m CA-1 PB inclusive escavação, reaterro e transporte do
</t>
    </r>
    <r>
      <rPr>
        <sz val="7"/>
        <rFont val="Arial"/>
        <family val="2"/>
      </rPr>
      <t>tubo em Vias Urbanas</t>
    </r>
  </si>
  <si>
    <r>
      <rPr>
        <sz val="7"/>
        <rFont val="Arial"/>
        <family val="2"/>
      </rPr>
      <t xml:space="preserve">Corpo BSTC (greide) diâmetro 1,00 m CA-2 MF inclusive escavação, reaterro e transporte do
</t>
    </r>
    <r>
      <rPr>
        <sz val="7"/>
        <rFont val="Arial"/>
        <family val="2"/>
      </rPr>
      <t>tubo em Vias Urbanas</t>
    </r>
  </si>
  <si>
    <r>
      <rPr>
        <sz val="7"/>
        <rFont val="Arial"/>
        <family val="2"/>
      </rPr>
      <t xml:space="preserve">Corpo BSTC (greide) diâmetro 1,00 m CA-2 PB inclusive escavação, reaterro e transporte do
</t>
    </r>
    <r>
      <rPr>
        <sz val="7"/>
        <rFont val="Arial"/>
        <family val="2"/>
      </rPr>
      <t>tubo em Vias Urbanas</t>
    </r>
  </si>
  <si>
    <r>
      <rPr>
        <sz val="7"/>
        <rFont val="Arial"/>
        <family val="2"/>
      </rPr>
      <t xml:space="preserve">Corpo BSTC (greide) diâmetro 1,20 m CA-1 MF inclusive escavação, reaterro e transporte do
</t>
    </r>
    <r>
      <rPr>
        <sz val="7"/>
        <rFont val="Arial"/>
        <family val="2"/>
      </rPr>
      <t>tubo em Vias Urbanas</t>
    </r>
  </si>
  <si>
    <r>
      <rPr>
        <sz val="7"/>
        <rFont val="Arial"/>
        <family val="2"/>
      </rPr>
      <t xml:space="preserve">Corpo BSTC (greide) diâmetro 1,20 m CA-1 PB inclusive escavação, reaterro e transporte do
</t>
    </r>
    <r>
      <rPr>
        <sz val="7"/>
        <rFont val="Arial"/>
        <family val="2"/>
      </rPr>
      <t>tubo em Vias Urbanas</t>
    </r>
  </si>
  <si>
    <r>
      <rPr>
        <sz val="7"/>
        <rFont val="Arial"/>
        <family val="2"/>
      </rPr>
      <t xml:space="preserve">Corpo BSTC (greide) diâmetro 1,20 m CA-2 MF inclusive escavação, reaterro e transporte do
</t>
    </r>
    <r>
      <rPr>
        <sz val="7"/>
        <rFont val="Arial"/>
        <family val="2"/>
      </rPr>
      <t>tubo, em Vias Urbanas</t>
    </r>
  </si>
  <si>
    <r>
      <rPr>
        <sz val="7"/>
        <rFont val="Arial"/>
        <family val="2"/>
      </rPr>
      <t xml:space="preserve">Corpo BSTC (greide) diâmetro 1,20 m CA-2 PB inclusive escavação, reaterro e transporte do
</t>
    </r>
    <r>
      <rPr>
        <sz val="7"/>
        <rFont val="Arial"/>
        <family val="2"/>
      </rPr>
      <t>tubo em Vias Urbanas</t>
    </r>
  </si>
  <si>
    <r>
      <rPr>
        <sz val="7"/>
        <rFont val="Arial"/>
        <family val="2"/>
      </rPr>
      <t xml:space="preserve">Corpo BSTC (grota) diâmetro 0,60 m CA-1 MF exclusive escavação e reaterro, inclusive
</t>
    </r>
    <r>
      <rPr>
        <sz val="7"/>
        <rFont val="Arial"/>
        <family val="2"/>
      </rPr>
      <t>transporte do tubo em Vias Urbanas</t>
    </r>
  </si>
  <si>
    <r>
      <rPr>
        <sz val="7"/>
        <rFont val="Arial"/>
        <family val="2"/>
      </rPr>
      <t xml:space="preserve">Corpo BSTC (grota) diâmetro 0,60 m CA-1 PB exclusive escavação e reaterro, inclusive
</t>
    </r>
    <r>
      <rPr>
        <sz val="7"/>
        <rFont val="Arial"/>
        <family val="2"/>
      </rPr>
      <t>transporte do tubo em Vias Urbanas</t>
    </r>
  </si>
  <si>
    <r>
      <rPr>
        <sz val="7"/>
        <rFont val="Arial"/>
        <family val="2"/>
      </rPr>
      <t xml:space="preserve">Corpo BSTC (grota) diâmetro 0,60 m CA-2 MF exclusive escavação e reaterro, inclusive
</t>
    </r>
    <r>
      <rPr>
        <sz val="7"/>
        <rFont val="Arial"/>
        <family val="2"/>
      </rPr>
      <t>transporte do tubo em Vias Urbanas</t>
    </r>
  </si>
  <si>
    <r>
      <rPr>
        <sz val="7"/>
        <rFont val="Arial"/>
        <family val="2"/>
      </rPr>
      <t xml:space="preserve">Corpo BSTC (grota) diâmetro 0,60 m CA-2 PB exclusive escavação e reaterro, inclusive
</t>
    </r>
    <r>
      <rPr>
        <sz val="7"/>
        <rFont val="Arial"/>
        <family val="2"/>
      </rPr>
      <t>transporte do tubo em Vias Urbanas</t>
    </r>
  </si>
  <si>
    <r>
      <rPr>
        <sz val="7"/>
        <rFont val="Arial"/>
        <family val="2"/>
      </rPr>
      <t xml:space="preserve">Corpo BSTC (grota) diâmetro 0,80 m CA-1 MF exclusive escavação e reaterro, inclusive
</t>
    </r>
    <r>
      <rPr>
        <sz val="7"/>
        <rFont val="Arial"/>
        <family val="2"/>
      </rPr>
      <t>transporte do tubo em Vias Urbanas</t>
    </r>
  </si>
  <si>
    <r>
      <rPr>
        <sz val="7"/>
        <rFont val="Arial"/>
        <family val="2"/>
      </rPr>
      <t xml:space="preserve">Corpo BSTC (grota) diâmetro 0,80 m CA-1 PB exclusive escavação e reaterro, inclusive
</t>
    </r>
    <r>
      <rPr>
        <sz val="7"/>
        <rFont val="Arial"/>
        <family val="2"/>
      </rPr>
      <t>transporte do tubo em Vias Urbanas</t>
    </r>
  </si>
  <si>
    <r>
      <rPr>
        <sz val="7"/>
        <rFont val="Arial"/>
        <family val="2"/>
      </rPr>
      <t xml:space="preserve">Corpo BSTC (grota) diâmetro 0,80 m CA-2 MF exclusive escavação e reaterro, inclusive
</t>
    </r>
    <r>
      <rPr>
        <sz val="7"/>
        <rFont val="Arial"/>
        <family val="2"/>
      </rPr>
      <t>transporte do tubo em Vias Urbanas</t>
    </r>
  </si>
  <si>
    <r>
      <rPr>
        <sz val="7"/>
        <rFont val="Arial"/>
        <family val="2"/>
      </rPr>
      <t xml:space="preserve">Corpo BSTC (grota) diâmetro 0,80 m CA-2 PB exclusive escavação e reaterro, inclusive
</t>
    </r>
    <r>
      <rPr>
        <sz val="7"/>
        <rFont val="Arial"/>
        <family val="2"/>
      </rPr>
      <t>transporte do tubo em Vias Urbanas</t>
    </r>
  </si>
  <si>
    <r>
      <rPr>
        <sz val="7"/>
        <rFont val="Arial"/>
        <family val="2"/>
      </rPr>
      <t xml:space="preserve">Corpo BSTC (grota) diâmetro 1,00 m CA-1 MF exclusive escavação e reaterro, inclusive
</t>
    </r>
    <r>
      <rPr>
        <sz val="7"/>
        <rFont val="Arial"/>
        <family val="2"/>
      </rPr>
      <t>transporte do tubo em Vias Urbanas</t>
    </r>
  </si>
  <si>
    <r>
      <rPr>
        <sz val="7"/>
        <rFont val="Arial"/>
        <family val="2"/>
      </rPr>
      <t xml:space="preserve">Corpo BSTC (grota) diâmetro 1,00 m CA-1 PB exclusive escavação e reaterro, inclusive
</t>
    </r>
    <r>
      <rPr>
        <sz val="7"/>
        <rFont val="Arial"/>
        <family val="2"/>
      </rPr>
      <t>transporte do tubo em Vias Urbanas</t>
    </r>
  </si>
  <si>
    <r>
      <rPr>
        <sz val="7"/>
        <rFont val="Arial"/>
        <family val="2"/>
      </rPr>
      <t xml:space="preserve">Corpo BSTC (grota) diâmetro 1,00 m CA-2 MF exclusive escavação e reaterro, inclusive
</t>
    </r>
    <r>
      <rPr>
        <sz val="7"/>
        <rFont val="Arial"/>
        <family val="2"/>
      </rPr>
      <t>transporte do tubo em Vias Urbanas</t>
    </r>
  </si>
  <si>
    <r>
      <rPr>
        <sz val="7"/>
        <rFont val="Arial"/>
        <family val="2"/>
      </rPr>
      <t xml:space="preserve">Corpo BSTC (grota) diâmetro 1,00 m CA-2 PB exclusive escavação e reaterro, inclusive
</t>
    </r>
    <r>
      <rPr>
        <sz val="7"/>
        <rFont val="Arial"/>
        <family val="2"/>
      </rPr>
      <t>transporte do tubo em Vias Urbanas</t>
    </r>
  </si>
  <si>
    <r>
      <rPr>
        <sz val="7"/>
        <rFont val="Arial"/>
        <family val="2"/>
      </rPr>
      <t xml:space="preserve">Corpo BSTC (grota) diâmetro 1,00 m CA-3 MF exclusive escavação e reaterro, inclusive
</t>
    </r>
    <r>
      <rPr>
        <sz val="7"/>
        <rFont val="Arial"/>
        <family val="2"/>
      </rPr>
      <t>transporte do tubo em Vias Urbanas</t>
    </r>
  </si>
  <si>
    <r>
      <rPr>
        <sz val="7"/>
        <rFont val="Arial"/>
        <family val="2"/>
      </rPr>
      <t xml:space="preserve">Corpo BSTC (grota) diâmetro 1,20 m CA-1 MF exclusive escavação e reaterro, inclusive
</t>
    </r>
    <r>
      <rPr>
        <sz val="7"/>
        <rFont val="Arial"/>
        <family val="2"/>
      </rPr>
      <t>transporte do tubo em Vias Urbanas</t>
    </r>
  </si>
  <si>
    <r>
      <rPr>
        <sz val="7"/>
        <rFont val="Arial"/>
        <family val="2"/>
      </rPr>
      <t xml:space="preserve">Corpo BSTC (grota) diâmetro 1,20 m CA-1 PB exclusive escavação e reaterro, inclusive
</t>
    </r>
    <r>
      <rPr>
        <sz val="7"/>
        <rFont val="Arial"/>
        <family val="2"/>
      </rPr>
      <t>transporte do tubo em Vias Urbanas</t>
    </r>
  </si>
  <si>
    <r>
      <rPr>
        <sz val="7"/>
        <rFont val="Arial"/>
        <family val="2"/>
      </rPr>
      <t xml:space="preserve">Corpo BSTC (grota) diâmetro 1,20 m CA-2 MF exclusive escavação e reaterro, inclusive
</t>
    </r>
    <r>
      <rPr>
        <sz val="7"/>
        <rFont val="Arial"/>
        <family val="2"/>
      </rPr>
      <t>transporte do tubo em Vias Urbanas</t>
    </r>
  </si>
  <si>
    <r>
      <rPr>
        <sz val="7"/>
        <rFont val="Arial"/>
        <family val="2"/>
      </rPr>
      <t xml:space="preserve">Corpo BSTC (grota) diâmetro 1,20 m CA-2 PB exclusive escavação e reaterro, inclusive
</t>
    </r>
    <r>
      <rPr>
        <sz val="7"/>
        <rFont val="Arial"/>
        <family val="2"/>
      </rPr>
      <t>transporte do tubo em Vias Urbanas</t>
    </r>
  </si>
  <si>
    <r>
      <rPr>
        <sz val="7"/>
        <rFont val="Arial"/>
        <family val="2"/>
      </rPr>
      <t xml:space="preserve">Corpo BSTC (grota) diâmetro 1,20 m CA-3 MF exclusive escavação e reaterro, inclusive
</t>
    </r>
    <r>
      <rPr>
        <sz val="7"/>
        <rFont val="Arial"/>
        <family val="2"/>
      </rPr>
      <t>transporte do tubo em Vias Urbanas</t>
    </r>
  </si>
  <si>
    <r>
      <rPr>
        <sz val="7"/>
        <rFont val="Arial"/>
        <family val="2"/>
      </rPr>
      <t xml:space="preserve">Corpo BSTC (grota) diâmetro 1,50 m CA-1 MF exclusive escavação e reaterro, inclusive
</t>
    </r>
    <r>
      <rPr>
        <sz val="7"/>
        <rFont val="Arial"/>
        <family val="2"/>
      </rPr>
      <t>transporte do tubo em Vias Urbanas</t>
    </r>
  </si>
  <si>
    <r>
      <rPr>
        <sz val="7"/>
        <rFont val="Arial"/>
        <family val="2"/>
      </rPr>
      <t xml:space="preserve">Corpo BSTC (grota) diâmetro 1,50 m CA-1 PB exclusive escavação e reaterro, inclusive
</t>
    </r>
    <r>
      <rPr>
        <sz val="7"/>
        <rFont val="Arial"/>
        <family val="2"/>
      </rPr>
      <t>transporte do tubo em Vias Urbanas</t>
    </r>
  </si>
  <si>
    <r>
      <rPr>
        <sz val="7"/>
        <rFont val="Arial"/>
        <family val="2"/>
      </rPr>
      <t xml:space="preserve">Corpo BSTC (grota) diâmetro 1,50 m CA-2 MF exclusive escavação e reaterro, inclusive
</t>
    </r>
    <r>
      <rPr>
        <sz val="7"/>
        <rFont val="Arial"/>
        <family val="2"/>
      </rPr>
      <t>transporte do tubo em Vias Urbanas</t>
    </r>
  </si>
  <si>
    <r>
      <rPr>
        <sz val="7"/>
        <rFont val="Arial"/>
        <family val="2"/>
      </rPr>
      <t xml:space="preserve">Corpo BSTC (grota) diâmetro 1,50 m CA-2 PB exclusive escavação e reaterro, inclusive
</t>
    </r>
    <r>
      <rPr>
        <sz val="7"/>
        <rFont val="Arial"/>
        <family val="2"/>
      </rPr>
      <t>transporte do tubo em Vias Urbanas</t>
    </r>
  </si>
  <si>
    <r>
      <rPr>
        <sz val="7"/>
        <rFont val="Arial"/>
        <family val="2"/>
      </rPr>
      <t xml:space="preserve">Corpo BSTC (grota) diâmetro 1,50 m CA-3 MF exclusive escavação e reaterro, inclusive
</t>
    </r>
    <r>
      <rPr>
        <sz val="7"/>
        <rFont val="Arial"/>
        <family val="2"/>
      </rPr>
      <t>transporte do tubo em Vias Urbanas</t>
    </r>
  </si>
  <si>
    <r>
      <rPr>
        <sz val="7"/>
        <rFont val="Arial"/>
        <family val="2"/>
      </rPr>
      <t xml:space="preserve">Corpo BTTC (grota) diâmetro 0,60 m CA-1 MF exclusive escavação e reaterro, inclusive
</t>
    </r>
    <r>
      <rPr>
        <sz val="7"/>
        <rFont val="Arial"/>
        <family val="2"/>
      </rPr>
      <t>transporte do tubo em Vias Urbanas</t>
    </r>
  </si>
  <si>
    <r>
      <rPr>
        <sz val="7"/>
        <rFont val="Arial"/>
        <family val="2"/>
      </rPr>
      <t xml:space="preserve">Corpo BTTC (grota) diâmetro 0,60 m CA-1 PB exclusive escavação e reaterro, inclusive
</t>
    </r>
    <r>
      <rPr>
        <sz val="7"/>
        <rFont val="Arial"/>
        <family val="2"/>
      </rPr>
      <t>transporte do tubo em Vias Urbanas</t>
    </r>
  </si>
  <si>
    <r>
      <rPr>
        <sz val="7"/>
        <rFont val="Arial"/>
        <family val="2"/>
      </rPr>
      <t xml:space="preserve">Corpo BTTC (grota) diâmetro 0,60 m CA-2 MF exclusive escavação e reaterro, inclusive
</t>
    </r>
    <r>
      <rPr>
        <sz val="7"/>
        <rFont val="Arial"/>
        <family val="2"/>
      </rPr>
      <t>transporte do tubo em Vias Urbanas</t>
    </r>
  </si>
  <si>
    <r>
      <rPr>
        <sz val="7"/>
        <rFont val="Arial"/>
        <family val="2"/>
      </rPr>
      <t xml:space="preserve">Corpo BTTC (grota) diâmetro 0,60 m CA-2 PB exclusive escavação e reaterro, inclusive
</t>
    </r>
    <r>
      <rPr>
        <sz val="7"/>
        <rFont val="Arial"/>
        <family val="2"/>
      </rPr>
      <t>transporte do tubo em Vias Urbanas</t>
    </r>
  </si>
  <si>
    <r>
      <rPr>
        <sz val="7"/>
        <rFont val="Arial"/>
        <family val="2"/>
      </rPr>
      <t xml:space="preserve">Corpo BTTC (grota) diâmetro 0,80 m CA-1 MF exclusive escavação e reaterro, inclusive
</t>
    </r>
    <r>
      <rPr>
        <sz val="7"/>
        <rFont val="Arial"/>
        <family val="2"/>
      </rPr>
      <t>transporte do tubo em Vias Urbanas</t>
    </r>
  </si>
  <si>
    <r>
      <rPr>
        <sz val="7"/>
        <rFont val="Arial"/>
        <family val="2"/>
      </rPr>
      <t xml:space="preserve">Corpo BTTC (grota) diâmetro 0,80 m CA-1 PB exclusive escavação e reaterro, inclusive
</t>
    </r>
    <r>
      <rPr>
        <sz val="7"/>
        <rFont val="Arial"/>
        <family val="2"/>
      </rPr>
      <t>transporte do tubo em Vias Urbanas</t>
    </r>
  </si>
  <si>
    <r>
      <rPr>
        <sz val="7"/>
        <rFont val="Arial"/>
        <family val="2"/>
      </rPr>
      <t xml:space="preserve">Corpo BTTC (grota) diâmetro 0,80 m CA-2 MF exclusive escavação e reaterro, inclusive
</t>
    </r>
    <r>
      <rPr>
        <sz val="7"/>
        <rFont val="Arial"/>
        <family val="2"/>
      </rPr>
      <t>transporte do tubo em Vias Urbanas</t>
    </r>
  </si>
  <si>
    <r>
      <rPr>
        <sz val="7"/>
        <rFont val="Arial"/>
        <family val="2"/>
      </rPr>
      <t xml:space="preserve">Corpo BTTC (grota) diâmetro 0,80 m CA-2 PB exclusive escavação e reaterro, inclusive
</t>
    </r>
    <r>
      <rPr>
        <sz val="7"/>
        <rFont val="Arial"/>
        <family val="2"/>
      </rPr>
      <t>transporte do tubo em Vias Urbanas</t>
    </r>
  </si>
  <si>
    <r>
      <rPr>
        <sz val="7"/>
        <rFont val="Arial"/>
        <family val="2"/>
      </rPr>
      <t xml:space="preserve">Corpo BTTC (grota) diâmetro 1,00 m CA-1 MF exclusive escavação e reaterro, inclusive
</t>
    </r>
    <r>
      <rPr>
        <sz val="7"/>
        <rFont val="Arial"/>
        <family val="2"/>
      </rPr>
      <t>transporte do tubo em Vias Urbanas</t>
    </r>
  </si>
  <si>
    <r>
      <rPr>
        <sz val="7"/>
        <rFont val="Arial"/>
        <family val="2"/>
      </rPr>
      <t xml:space="preserve">Corpo BTTC (grota) diâmetro 1,00 m CA-1 PB exclusive escavação e reaterro, inclusive
</t>
    </r>
    <r>
      <rPr>
        <sz val="7"/>
        <rFont val="Arial"/>
        <family val="2"/>
      </rPr>
      <t>transporte do tubo em Vias Urbanas</t>
    </r>
  </si>
  <si>
    <r>
      <rPr>
        <sz val="7"/>
        <rFont val="Arial"/>
        <family val="2"/>
      </rPr>
      <t xml:space="preserve">Corpo BTTC (grota) diâmetro 1,00 m CA-2 MF exclusive escavação e reaterro, inclusive
</t>
    </r>
    <r>
      <rPr>
        <sz val="7"/>
        <rFont val="Arial"/>
        <family val="2"/>
      </rPr>
      <t>transporte do tubo em Vias Urbanas</t>
    </r>
  </si>
  <si>
    <r>
      <rPr>
        <sz val="7"/>
        <rFont val="Arial"/>
        <family val="2"/>
      </rPr>
      <t xml:space="preserve">Corpo BTTC (grota) diâmetro 1,00 m CA-2 PB exclusive escavação e reaterro, inclusive
</t>
    </r>
    <r>
      <rPr>
        <sz val="7"/>
        <rFont val="Arial"/>
        <family val="2"/>
      </rPr>
      <t>transporte do tubo em Vias Urbanas</t>
    </r>
  </si>
  <si>
    <r>
      <rPr>
        <sz val="7"/>
        <rFont val="Arial"/>
        <family val="2"/>
      </rPr>
      <t xml:space="preserve">Corpo BTTC (grota) diâmetro 1,00 m CA-3 MF exclusive escavação e reaterro, inclusive
</t>
    </r>
    <r>
      <rPr>
        <sz val="7"/>
        <rFont val="Arial"/>
        <family val="2"/>
      </rPr>
      <t>transporte do tubo em Vias Urbanas</t>
    </r>
  </si>
  <si>
    <r>
      <rPr>
        <sz val="7"/>
        <rFont val="Arial"/>
        <family val="2"/>
      </rPr>
      <t xml:space="preserve">Corpo BTTC (grota) diâmetro 1,20 m CA-1 MF exclusive escavação e reaterro, inclusive
</t>
    </r>
    <r>
      <rPr>
        <sz val="7"/>
        <rFont val="Arial"/>
        <family val="2"/>
      </rPr>
      <t>transporte do tubo em Vias Urbanas</t>
    </r>
  </si>
  <si>
    <r>
      <rPr>
        <sz val="7"/>
        <rFont val="Arial"/>
        <family val="2"/>
      </rPr>
      <t xml:space="preserve">Corpo BTTC (grota) diâmetro 1,20 m CA-1 PB exclusive escavação e reaterro, inclusive
</t>
    </r>
    <r>
      <rPr>
        <sz val="7"/>
        <rFont val="Arial"/>
        <family val="2"/>
      </rPr>
      <t>transporte do tubo em Vias Urbanas</t>
    </r>
  </si>
  <si>
    <r>
      <rPr>
        <sz val="7"/>
        <rFont val="Arial"/>
        <family val="2"/>
      </rPr>
      <t xml:space="preserve">Corpo BTTC (grota) diâmetro 1,20 m CA-2 MF exclusive escavação e reaterro, inclusive
</t>
    </r>
    <r>
      <rPr>
        <sz val="7"/>
        <rFont val="Arial"/>
        <family val="2"/>
      </rPr>
      <t>transporte do tubo em Vias Urbanas</t>
    </r>
  </si>
  <si>
    <r>
      <rPr>
        <sz val="7"/>
        <rFont val="Arial"/>
        <family val="2"/>
      </rPr>
      <t xml:space="preserve">Corpo BTTC (grota) diâmetro 1,20 m CA-2 PB exclusive escavação e reaterro, inclusive
</t>
    </r>
    <r>
      <rPr>
        <sz val="7"/>
        <rFont val="Arial"/>
        <family val="2"/>
      </rPr>
      <t>transporte do tubo em Vias Urbanas</t>
    </r>
  </si>
  <si>
    <r>
      <rPr>
        <sz val="7"/>
        <rFont val="Arial"/>
        <family val="2"/>
      </rPr>
      <t xml:space="preserve">Corpo BTTC (grota) diâmetro 1,20 m CA-3 MF exclusive escavação e reaterro, inclusive
</t>
    </r>
    <r>
      <rPr>
        <sz val="7"/>
        <rFont val="Arial"/>
        <family val="2"/>
      </rPr>
      <t>transporte do tubo em Vias Urbanas</t>
    </r>
  </si>
  <si>
    <r>
      <rPr>
        <sz val="7"/>
        <rFont val="Arial"/>
        <family val="2"/>
      </rPr>
      <t xml:space="preserve">Corpo BTTC (grota) diâmetro 1,50 m CA-1 MF exclusive escavação e reaterro, inclusive
</t>
    </r>
    <r>
      <rPr>
        <sz val="7"/>
        <rFont val="Arial"/>
        <family val="2"/>
      </rPr>
      <t>transporte do tubo em Vias Urbanas</t>
    </r>
  </si>
  <si>
    <r>
      <rPr>
        <sz val="7"/>
        <rFont val="Arial"/>
        <family val="2"/>
      </rPr>
      <t xml:space="preserve">Corpo BTTC (grota) diâmetro 1,50 m CA-1 PB exclusive escavação e reaterro, inclusive
</t>
    </r>
    <r>
      <rPr>
        <sz val="7"/>
        <rFont val="Arial"/>
        <family val="2"/>
      </rPr>
      <t>transporte do tubo em Vias Urbanas</t>
    </r>
  </si>
  <si>
    <r>
      <rPr>
        <sz val="7"/>
        <rFont val="Arial"/>
        <family val="2"/>
      </rPr>
      <t xml:space="preserve">Corpo BTTC (grota) diâmetro 1,50 m CA-2 MF exclusive escavação e reaterro, inclusive
</t>
    </r>
    <r>
      <rPr>
        <sz val="7"/>
        <rFont val="Arial"/>
        <family val="2"/>
      </rPr>
      <t>transporte do tubo em Vias Urbanas</t>
    </r>
  </si>
  <si>
    <r>
      <rPr>
        <sz val="7"/>
        <rFont val="Arial"/>
        <family val="2"/>
      </rPr>
      <t xml:space="preserve">Corpo BTTC (grota) diâmetro 1,50 m CA-2 PB exclusive escavação e reaterro, inclusive
</t>
    </r>
    <r>
      <rPr>
        <sz val="7"/>
        <rFont val="Arial"/>
        <family val="2"/>
      </rPr>
      <t>transporte do tubo em Vias Urbanas</t>
    </r>
  </si>
  <si>
    <r>
      <rPr>
        <sz val="7"/>
        <rFont val="Arial"/>
        <family val="2"/>
      </rPr>
      <t xml:space="preserve">Corpo BTTC (grota) diâmetro 1,50 m CA-3 MF exclusive escavação e reaterro, inclusive
</t>
    </r>
    <r>
      <rPr>
        <sz val="7"/>
        <rFont val="Arial"/>
        <family val="2"/>
      </rPr>
      <t>transporte do tubo em Vias Urbanas</t>
    </r>
  </si>
  <si>
    <r>
      <rPr>
        <sz val="7"/>
        <rFont val="Arial"/>
        <family val="2"/>
      </rPr>
      <t>Corpo de BDCC 1,00 x 1,00 m em Vias Urbanas</t>
    </r>
  </si>
  <si>
    <r>
      <rPr>
        <sz val="7"/>
        <rFont val="Arial"/>
        <family val="2"/>
      </rPr>
      <t>Corpo de BDCC 1,50 x 1,50 m projeto DNIT para H &lt; = 2,50 m em Vias Urbanas</t>
    </r>
  </si>
  <si>
    <r>
      <rPr>
        <sz val="7"/>
        <rFont val="Arial"/>
        <family val="2"/>
      </rPr>
      <t>Corpo de BDCC 1,50 x 1,50 m projeto DNIT para 2,50 &lt; H &lt; 5,00 m em Vias Urbanas</t>
    </r>
  </si>
  <si>
    <r>
      <rPr>
        <sz val="7"/>
        <rFont val="Arial"/>
        <family val="2"/>
      </rPr>
      <t>Corpo de BDCC 2,00 x 1,20 m -  tudo incluido conforme projeto em Vias Urbanas</t>
    </r>
  </si>
  <si>
    <r>
      <rPr>
        <sz val="7"/>
        <rFont val="Arial"/>
        <family val="2"/>
      </rPr>
      <t>Corpo de BDCC 2,00 x 2,00 m projeto DNIT para H &lt; = 2,50 m em Vias Urbanas</t>
    </r>
  </si>
  <si>
    <r>
      <rPr>
        <sz val="7"/>
        <rFont val="Arial"/>
        <family val="2"/>
      </rPr>
      <t>Corpo de BDCC 2,00 x 2,00 m projeto DNIT para 2,50 &lt; H &lt; 5,00 m em Vias Urbanas</t>
    </r>
  </si>
  <si>
    <r>
      <rPr>
        <sz val="7"/>
        <rFont val="Arial"/>
        <family val="2"/>
      </rPr>
      <t>Corpo de BDCC 2,00 x 2,50 m em Vias Urbanas</t>
    </r>
  </si>
  <si>
    <r>
      <rPr>
        <sz val="7"/>
        <rFont val="Arial"/>
        <family val="2"/>
      </rPr>
      <t>Corpo de BDCC 2,00 x 3,00 m projeto DNIT p/ 2,50 &lt; H &lt; 5,00 m em Vias Urbanas</t>
    </r>
  </si>
  <si>
    <r>
      <rPr>
        <sz val="7"/>
        <rFont val="Arial"/>
        <family val="2"/>
      </rPr>
      <t>Corpo de BDCC 2,00 x 3,00 m projeto DNIT para H &lt; = 2,50 m em Vias Urbanas</t>
    </r>
  </si>
  <si>
    <r>
      <rPr>
        <sz val="7"/>
        <rFont val="Arial"/>
        <family val="2"/>
      </rPr>
      <t>Corpo de BDCC 2,50 x 2,00m - tudo incluído conforme projeto em Vias Urbanas</t>
    </r>
  </si>
  <si>
    <r>
      <rPr>
        <sz val="7"/>
        <rFont val="Arial"/>
        <family val="2"/>
      </rPr>
      <t>Corpo de BDCC 2,50 x 2,50 m projeto DNIT p/ 2,50&lt; H &lt;5,00 m em Vias Urbanas</t>
    </r>
  </si>
  <si>
    <r>
      <rPr>
        <sz val="7"/>
        <rFont val="Arial"/>
        <family val="2"/>
      </rPr>
      <t>Corpo de BDCC 2,50 x 2,50 m projeto DNIT para H&lt;=2,50m em Vias Urbanas</t>
    </r>
  </si>
  <si>
    <r>
      <rPr>
        <sz val="7"/>
        <rFont val="Arial"/>
        <family val="2"/>
      </rPr>
      <t>Corpo de BDCC 2,50 x 3,00 m projeto DNIT p/ H &lt;= 2,50 m em Vias Urbanas</t>
    </r>
  </si>
  <si>
    <r>
      <rPr>
        <sz val="7"/>
        <rFont val="Arial"/>
        <family val="2"/>
      </rPr>
      <t>Corpo de BDCC 2,50 x 3,00 m projeto DNIT p/ 2,50 &lt; H &lt; 5,00 m em Vias Urbanas</t>
    </r>
  </si>
  <si>
    <r>
      <rPr>
        <sz val="7"/>
        <rFont val="Arial"/>
        <family val="2"/>
      </rPr>
      <t>Corpo de BDCC 3,00 x 3,00 m projeto DNIT p/ 2,50 &lt; H &lt; 5,00 m em Vias Urbanas</t>
    </r>
  </si>
  <si>
    <r>
      <rPr>
        <sz val="7"/>
        <rFont val="Arial"/>
        <family val="2"/>
      </rPr>
      <t>Corpo de BDCC 3,00 x 3,00 m projeto DNIT para  H &lt;= 2,50 m em Vias Urbanas</t>
    </r>
  </si>
  <si>
    <r>
      <rPr>
        <sz val="7"/>
        <rFont val="Arial"/>
        <family val="2"/>
      </rPr>
      <t>Corpo de BSCC 1,50 x 1,50 m projeto DNIT p/ H &lt;= 2,50 m em Vias Urbanas</t>
    </r>
  </si>
  <si>
    <r>
      <rPr>
        <sz val="7"/>
        <rFont val="Arial"/>
        <family val="2"/>
      </rPr>
      <t>Corpo de BSCC 1,50x1,50m projeto DNIT p/ 2,50&lt; H &lt;5,00m em Vias Urbanas</t>
    </r>
  </si>
  <si>
    <r>
      <rPr>
        <sz val="7"/>
        <rFont val="Arial"/>
        <family val="2"/>
      </rPr>
      <t>Corpo de BSCC 2,00 x 2,00m projeto DNIT para  5,00 &lt; H &lt; 7,50 m em Vias Urbanas</t>
    </r>
  </si>
  <si>
    <r>
      <rPr>
        <sz val="7"/>
        <rFont val="Arial"/>
        <family val="2"/>
      </rPr>
      <t>Corpo de BSCC 2,00x2,00m projeto DNIT p/ H&lt;=2,50m em Vias Urbanas</t>
    </r>
  </si>
  <si>
    <r>
      <rPr>
        <sz val="7"/>
        <rFont val="Arial"/>
        <family val="2"/>
      </rPr>
      <t>Corpo de BSCC 2,00x2,00m projeto DNIT p/ 2,50&lt; H &lt;5,00m em Vias Urbanas</t>
    </r>
  </si>
  <si>
    <r>
      <rPr>
        <sz val="7"/>
        <rFont val="Arial"/>
        <family val="2"/>
      </rPr>
      <t>Corpo de BSCC 2,00x3,00m projeto DNIT p/ H&lt;=2,50m em Vias Urbanas</t>
    </r>
  </si>
  <si>
    <r>
      <rPr>
        <sz val="7"/>
        <rFont val="Arial"/>
        <family val="2"/>
      </rPr>
      <t>Corpo de BSCC 2,00x3,00m projeto DNIT p/ 2,50&lt; H &lt;5,00m em Vias Urbanas</t>
    </r>
  </si>
  <si>
    <r>
      <rPr>
        <sz val="7"/>
        <rFont val="Arial"/>
        <family val="2"/>
      </rPr>
      <t>Corpo de BSCC 2,50 x 2,50 m, para H &lt; = 2,50 m em Vias Urbanas</t>
    </r>
  </si>
  <si>
    <r>
      <rPr>
        <sz val="7"/>
        <rFont val="Arial"/>
        <family val="2"/>
      </rPr>
      <t>Corpo de BSCC 2,50x2,50m projeto DNIT para 2,50&lt; H &lt;5,00m em Vias Urbanas</t>
    </r>
  </si>
  <si>
    <r>
      <rPr>
        <sz val="7"/>
        <rFont val="Arial"/>
        <family val="2"/>
      </rPr>
      <t>Corpo de BSCC 2,50x3,00m projeto DNIT para H&lt;=2,50m em Vias Urbanas</t>
    </r>
  </si>
  <si>
    <r>
      <rPr>
        <sz val="7"/>
        <rFont val="Arial"/>
        <family val="2"/>
      </rPr>
      <t>Corpo de BSCC 2,50x3,00m projeto DNIT para 2,50&lt; H &lt;5,00m em Vias Urbanas</t>
    </r>
  </si>
  <si>
    <r>
      <rPr>
        <sz val="7"/>
        <rFont val="Arial"/>
        <family val="2"/>
      </rPr>
      <t>Corpo de BSCC 3,00x1,50 para 2,50m&lt; H &lt; 5,00m , em Vias Urbanas</t>
    </r>
  </si>
  <si>
    <r>
      <rPr>
        <sz val="7"/>
        <rFont val="Arial"/>
        <family val="2"/>
      </rPr>
      <t>Corpo de BSCC 3,00x3,00m projeto DNIT para H&lt;=2,50m em Vias Urbanas</t>
    </r>
  </si>
  <si>
    <r>
      <rPr>
        <sz val="7"/>
        <rFont val="Arial"/>
        <family val="2"/>
      </rPr>
      <t>Corpo de BSCC 3,00x3,00m projeto DNIT para 2,50&lt; H &lt;5,00m em Vias Urbanas</t>
    </r>
  </si>
  <si>
    <r>
      <rPr>
        <sz val="7"/>
        <rFont val="Arial"/>
        <family val="2"/>
      </rPr>
      <t>Corpo de BTCC 1,50 x 1,50 m projeto DNIT para H &lt;= 2,50 m em Vias Urbanas</t>
    </r>
  </si>
  <si>
    <r>
      <rPr>
        <sz val="7"/>
        <rFont val="Arial"/>
        <family val="2"/>
      </rPr>
      <t>Corpo de BTCC 1,50 x 1,50 m projeto DNIT para 2,50 &lt; H &lt; 5,00 m em Vias Urbanas</t>
    </r>
  </si>
  <si>
    <r>
      <rPr>
        <sz val="7"/>
        <rFont val="Arial"/>
        <family val="2"/>
      </rPr>
      <t>Corpo de BTCC 2,00 x 2,00 m projeto DNIT para H &lt;= 2,50 m em Vias Urbanas</t>
    </r>
  </si>
  <si>
    <r>
      <rPr>
        <sz val="7"/>
        <rFont val="Arial"/>
        <family val="2"/>
      </rPr>
      <t>Corpo de BTCC 2,00 x 2,00 m projeto DNIT para 2,50 &lt; H &lt; 5,00 m em Vias Urbanas</t>
    </r>
  </si>
  <si>
    <r>
      <rPr>
        <sz val="7"/>
        <rFont val="Arial"/>
        <family val="2"/>
      </rPr>
      <t>Corpo de BTCC 2,00 x 3,00 m projeto DNIT para H &lt; = 2,50 m em Vias Urbanas</t>
    </r>
  </si>
  <si>
    <r>
      <rPr>
        <sz val="7"/>
        <rFont val="Arial"/>
        <family val="2"/>
      </rPr>
      <t>Corpo de BTCC 2,00 x 3,00 m projeto DNIT para 2,50 &lt; H &lt; 5,00 m em Vias Urbanas</t>
    </r>
  </si>
  <si>
    <r>
      <rPr>
        <sz val="7"/>
        <rFont val="Arial"/>
        <family val="2"/>
      </rPr>
      <t>Corpo de BTCC 2,50 x 2,50 m projeto DNIT para H &lt; = 2,50 m em Vias Urbanas</t>
    </r>
  </si>
  <si>
    <r>
      <rPr>
        <sz val="7"/>
        <rFont val="Arial"/>
        <family val="2"/>
      </rPr>
      <t>Corpo de BTCC 2,50 x 2,50 m projeto DNIT para 2,50 &lt; H &lt; 5,00 m em Vias Urbanas</t>
    </r>
  </si>
  <si>
    <r>
      <rPr>
        <sz val="7"/>
        <rFont val="Arial"/>
        <family val="2"/>
      </rPr>
      <t>Corpo de BTCC 2,50 x 3,00 m projeto DNIT para H &lt; = 2,50 m em Vias Urbanas</t>
    </r>
  </si>
  <si>
    <r>
      <rPr>
        <sz val="7"/>
        <rFont val="Arial"/>
        <family val="2"/>
      </rPr>
      <t>Corpo de BTCC 2,50 x 3,00 m projeto DNIT para H &lt; = 2,50 m em vias Urbanas</t>
    </r>
  </si>
  <si>
    <r>
      <rPr>
        <sz val="7"/>
        <rFont val="Arial"/>
        <family val="2"/>
      </rPr>
      <t>Corpo de BTCC 2,50 x 3,00 m projeto DNIT para 2,50 &lt; H &lt; 5,00 m em Vias Urbanas</t>
    </r>
  </si>
  <si>
    <r>
      <rPr>
        <sz val="7"/>
        <rFont val="Arial"/>
        <family val="2"/>
      </rPr>
      <t>Corpo de BTCC 3,00 x 3,00 m projeto DNIT para H &lt; = 2,50 m em Vias Urbanas</t>
    </r>
  </si>
  <si>
    <r>
      <rPr>
        <sz val="7"/>
        <rFont val="Arial"/>
        <family val="2"/>
      </rPr>
      <t>Corpo de BTCC 3,00 x 3,00 m projeto DNIT para 2,50 &lt; H &lt; 5,00 m em Vias Urbanas</t>
    </r>
  </si>
  <si>
    <r>
      <rPr>
        <sz val="7"/>
        <rFont val="Arial"/>
        <family val="2"/>
      </rPr>
      <t>Corta-rio (escavação mecânica em material de 1ª cat.) H=1,50 a 3,00 m em Vias Urbanas</t>
    </r>
  </si>
  <si>
    <r>
      <rPr>
        <sz val="7"/>
        <rFont val="Arial"/>
        <family val="2"/>
      </rPr>
      <t>Corta-rio (escavação mecânica em material de 2ª cat.) H=1,50 a 3,00m em Vias Urbanas</t>
    </r>
  </si>
  <si>
    <r>
      <rPr>
        <sz val="7"/>
        <rFont val="Arial"/>
        <family val="2"/>
      </rPr>
      <t>Corta-rio (escavação mecânica em material de 3º cat.) H=0,00 a 1,50m em Vias Urbanas</t>
    </r>
  </si>
  <si>
    <r>
      <rPr>
        <sz val="7"/>
        <rFont val="Arial"/>
        <family val="2"/>
      </rPr>
      <t xml:space="preserve">Corte e esmerilhamento de pontas de tubo de ferro fundido DN 500 a 200mm em Vias
</t>
    </r>
    <r>
      <rPr>
        <sz val="7"/>
        <rFont val="Arial"/>
        <family val="2"/>
      </rPr>
      <t>Urbanas</t>
    </r>
  </si>
  <si>
    <r>
      <rPr>
        <sz val="7"/>
        <rFont val="Arial"/>
        <family val="2"/>
      </rPr>
      <t xml:space="preserve">Curva 90° de PVC, junta elástica PBA, D=75mm, fornecimento e assentamento em Vias
</t>
    </r>
    <r>
      <rPr>
        <sz val="7"/>
        <rFont val="Arial"/>
        <family val="2"/>
      </rPr>
      <t>Urbanas</t>
    </r>
  </si>
  <si>
    <r>
      <rPr>
        <sz val="7"/>
        <rFont val="Arial"/>
        <family val="2"/>
      </rPr>
      <t>Demolição manual alvenaria tijolo furado assentado com argamassa em Vias Urbanas</t>
    </r>
  </si>
  <si>
    <r>
      <rPr>
        <sz val="7"/>
        <rFont val="Arial"/>
        <family val="2"/>
      </rPr>
      <t>Demolição manual de concreto armado em Vias Urbanas</t>
    </r>
  </si>
  <si>
    <r>
      <rPr>
        <sz val="7"/>
        <rFont val="Arial"/>
        <family val="2"/>
      </rPr>
      <t>Demolição manual de concreto simples ou ciclópico em Vias Urbanas</t>
    </r>
  </si>
  <si>
    <r>
      <rPr>
        <sz val="7"/>
        <rFont val="Arial"/>
        <family val="2"/>
      </rPr>
      <t>Demolição mecânica de concreto em Vias Urbanas</t>
    </r>
  </si>
  <si>
    <r>
      <rPr>
        <sz val="7"/>
        <rFont val="Arial"/>
        <family val="2"/>
      </rPr>
      <t>Descida d'água concreto simples (degraus) c/ caiação (DSA-03) apoio em Vias Urbanas</t>
    </r>
  </si>
  <si>
    <r>
      <rPr>
        <sz val="7"/>
        <rFont val="Arial"/>
        <family val="2"/>
      </rPr>
      <t>Deslocamento de cerca de tela galvanizada fio 12 malha 3" x 3", em Vias Urbanas</t>
    </r>
  </si>
  <si>
    <r>
      <rPr>
        <sz val="7"/>
        <rFont val="Arial"/>
        <family val="2"/>
      </rPr>
      <t xml:space="preserve">Dreno de alívio de pavimento (DP - DAP - 01), com tubo PVC d=50mm, geotêxtil não tecido
</t>
    </r>
    <r>
      <rPr>
        <sz val="7"/>
        <rFont val="Arial"/>
        <family val="2"/>
      </rPr>
      <t>RT 07 kN/m inclusive transporte da brita em Vias Urbanas</t>
    </r>
  </si>
  <si>
    <r>
      <rPr>
        <sz val="7"/>
        <rFont val="Arial"/>
        <family val="2"/>
      </rPr>
      <t>Dreno de PVC  D = 100 mm em Vias Urbanas</t>
    </r>
  </si>
  <si>
    <r>
      <rPr>
        <sz val="7"/>
        <rFont val="Arial"/>
        <family val="2"/>
      </rPr>
      <t>Dreno de PVC  D = 50 mm em Vias Urbanas</t>
    </r>
  </si>
  <si>
    <r>
      <rPr>
        <sz val="7"/>
        <rFont val="Arial"/>
        <family val="2"/>
      </rPr>
      <t>Dreno em PEAD perfurado diâm. = 100 mm,  inclusive transporte do tubo, em Vias Urbanas</t>
    </r>
  </si>
  <si>
    <r>
      <rPr>
        <sz val="7"/>
        <rFont val="Arial"/>
        <family val="2"/>
      </rPr>
      <t xml:space="preserve">Dreno Longitudinal tipo Trincheira Drenante, H = 0,90 m com tubo poroso tipo PEAD d =100
</t>
    </r>
    <r>
      <rPr>
        <sz val="7"/>
        <rFont val="Arial"/>
        <family val="2"/>
      </rPr>
      <t>mm, incluindo esc. mat. 3ª cat. e transporte do tubo em Vias Urbanas</t>
    </r>
  </si>
  <si>
    <r>
      <rPr>
        <sz val="7"/>
        <rFont val="Arial"/>
        <family val="2"/>
      </rPr>
      <t xml:space="preserve">Dreno Longitudinal tipo Trincheira Drenante, H = 0,90 m com tubo poroso tipo PEAD d=100
</t>
    </r>
    <r>
      <rPr>
        <sz val="7"/>
        <rFont val="Arial"/>
        <family val="2"/>
      </rPr>
      <t>mm, inclusive esc. em mat. 1ª cat. e transporte do tubo em Vias Urbanas</t>
    </r>
  </si>
  <si>
    <r>
      <rPr>
        <sz val="7"/>
        <rFont val="Arial"/>
        <family val="2"/>
      </rPr>
      <t xml:space="preserve">Dreno Longitudinal tipo Trincheira Drenante, H=0,40m c/tubo poroso PEAD d = 65 mm, incl.
</t>
    </r>
    <r>
      <rPr>
        <sz val="7"/>
        <rFont val="Arial"/>
        <family val="2"/>
      </rPr>
      <t>esc. mat. 1ª cat., geotêxtil não tecido RT 07kN/m, V. Urbanas</t>
    </r>
  </si>
  <si>
    <r>
      <rPr>
        <sz val="7"/>
        <rFont val="Arial"/>
        <family val="2"/>
      </rPr>
      <t>Dreno ou Barbacã em tubo PVC, diâmetro de 2" em Vias Urbanas</t>
    </r>
  </si>
  <si>
    <r>
      <rPr>
        <sz val="7"/>
        <rFont val="Arial"/>
        <family val="2"/>
      </rPr>
      <t xml:space="preserve">Dreno profundo com enchimento de areia, escavação em material 1ª categoria, inclusive
</t>
    </r>
    <r>
      <rPr>
        <sz val="7"/>
        <rFont val="Arial"/>
        <family val="2"/>
      </rPr>
      <t>transporte da areia, em vias Urbanas</t>
    </r>
  </si>
  <si>
    <r>
      <rPr>
        <sz val="7"/>
        <rFont val="Arial"/>
        <family val="2"/>
      </rPr>
      <t xml:space="preserve">Dreno profundo com enchimento de brita e areia (1:1) escavação em material 1ª categoria,
</t>
    </r>
    <r>
      <rPr>
        <sz val="7"/>
        <rFont val="Arial"/>
        <family val="2"/>
      </rPr>
      <t>inclusive transporte da areia e da brita em Vias Urbanas</t>
    </r>
  </si>
  <si>
    <r>
      <rPr>
        <sz val="7"/>
        <rFont val="Arial"/>
        <family val="2"/>
      </rPr>
      <t xml:space="preserve">Dreno profundo com enchimento de brita e areia (1:1) escavação em material 2ª categoria,
</t>
    </r>
    <r>
      <rPr>
        <sz val="7"/>
        <rFont val="Arial"/>
        <family val="2"/>
      </rPr>
      <t>inclusive transporte da areia e da brita em Vias Urbanas</t>
    </r>
  </si>
  <si>
    <r>
      <rPr>
        <sz val="7"/>
        <rFont val="Arial"/>
        <family val="2"/>
      </rPr>
      <t xml:space="preserve">Dreno profundo com enchimento de brita, escavação em material 1ª categoria,  inclusive
</t>
    </r>
    <r>
      <rPr>
        <sz val="7"/>
        <rFont val="Arial"/>
        <family val="2"/>
      </rPr>
      <t>transporte da brita em Vias Urbanas</t>
    </r>
  </si>
  <si>
    <r>
      <rPr>
        <sz val="7"/>
        <rFont val="Arial"/>
        <family val="2"/>
      </rPr>
      <t xml:space="preserve">Dreno profundo com tubo poroso, D=0,20 m com enchim. de brita, escav. material 3ª categoria
</t>
    </r>
    <r>
      <rPr>
        <sz val="7"/>
        <rFont val="Arial"/>
        <family val="2"/>
      </rPr>
      <t>(DPR-01),  inclus. transporte brita e  tubo,  Vias Urbanas</t>
    </r>
  </si>
  <si>
    <r>
      <rPr>
        <sz val="7"/>
        <rFont val="Arial"/>
        <family val="2"/>
      </rPr>
      <t xml:space="preserve">Dreno profundo D=0,20m com enchimento de areia, escavação em material 1ª categoria (DPS
</t>
    </r>
    <r>
      <rPr>
        <sz val="7"/>
        <rFont val="Arial"/>
        <family val="2"/>
      </rPr>
      <t>-01), inclusive transporte da areia e do tubo em Vias Urbanas</t>
    </r>
  </si>
  <si>
    <r>
      <rPr>
        <sz val="7"/>
        <rFont val="Arial"/>
        <family val="2"/>
      </rPr>
      <t xml:space="preserve">Dreno profundo D=0,20m com enchimento de brita e areia, escavação em material 1ª
</t>
    </r>
    <r>
      <rPr>
        <sz val="7"/>
        <rFont val="Arial"/>
        <family val="2"/>
      </rPr>
      <t>categoria, inclusive transporte da brita e da areia, em Vias Urbanas</t>
    </r>
  </si>
  <si>
    <r>
      <rPr>
        <sz val="7"/>
        <rFont val="Arial"/>
        <family val="2"/>
      </rPr>
      <t xml:space="preserve">Dreno profundo para corte em solo, com enchimento em brita revestido com geotêxtil não
</t>
    </r>
    <r>
      <rPr>
        <sz val="7"/>
        <rFont val="Arial"/>
        <family val="2"/>
      </rPr>
      <t>tecido RT-16, inclusive transporte da brita em Vias Urbanas</t>
    </r>
  </si>
  <si>
    <r>
      <rPr>
        <sz val="7"/>
        <rFont val="Arial"/>
        <family val="2"/>
      </rPr>
      <t xml:space="preserve">Dreno profundo solo c/tubo PEAD perfur. D=100mm envolto geotêxtil não tecido RT16kn,
</t>
    </r>
    <r>
      <rPr>
        <sz val="7"/>
        <rFont val="Arial"/>
        <family val="2"/>
      </rPr>
      <t>preench.c/brita, inclus.transp.tubo exclus transp.brita V Urbanas</t>
    </r>
  </si>
  <si>
    <r>
      <rPr>
        <sz val="7"/>
        <rFont val="Arial"/>
        <family val="2"/>
      </rPr>
      <t xml:space="preserve">Dreno sub-horizontal D = 50 mm em PVC inclus. escavação em alteração de rocha, geotêxtil
</t>
    </r>
    <r>
      <rPr>
        <sz val="7"/>
        <rFont val="Arial"/>
        <family val="2"/>
      </rPr>
      <t>não tecido RT-16 exclusive transp. em Vias Urbanas</t>
    </r>
  </si>
  <si>
    <r>
      <rPr>
        <sz val="7"/>
        <rFont val="Arial"/>
        <family val="2"/>
      </rPr>
      <t xml:space="preserve">Dreno sub-horizontal D = 50 mm em PVC inclus.escavação em rocha sã,  geotêxtil não tecido
</t>
    </r>
    <r>
      <rPr>
        <sz val="7"/>
        <rFont val="Arial"/>
        <family val="2"/>
      </rPr>
      <t>RT-16, exclusive transportes em Vias Urbanas</t>
    </r>
  </si>
  <si>
    <r>
      <rPr>
        <sz val="7"/>
        <rFont val="Arial"/>
        <family val="2"/>
      </rPr>
      <t xml:space="preserve">Dreno sub-horizontal D=50 mm inclusive geotêxtil não tecido RT 16 kn/m, em PVC, exclusive
</t>
    </r>
    <r>
      <rPr>
        <sz val="7"/>
        <rFont val="Arial"/>
        <family val="2"/>
      </rPr>
      <t>transportes em Vias Urbanas</t>
    </r>
  </si>
  <si>
    <r>
      <rPr>
        <sz val="7"/>
        <rFont val="Arial"/>
        <family val="2"/>
      </rPr>
      <t xml:space="preserve">Dreno sub-superficial rocha (h=0,55m) c/tubo PEAD perfur.d=100mm, env. geotêxtil RT-16,
</t>
    </r>
    <r>
      <rPr>
        <sz val="7"/>
        <rFont val="Arial"/>
        <family val="2"/>
      </rPr>
      <t>preenc.c/ brita, incl. transp. tubo, excl. transp brita-Vias Urb</t>
    </r>
  </si>
  <si>
    <r>
      <rPr>
        <sz val="7"/>
        <rFont val="Arial"/>
        <family val="2"/>
      </rPr>
      <t xml:space="preserve">Dreno vertical D = 75 mm em PVC, inclusive geotêxtil não tecido RT-16, exclusive transportes,
</t>
    </r>
    <r>
      <rPr>
        <sz val="7"/>
        <rFont val="Arial"/>
        <family val="2"/>
      </rPr>
      <t>em Vias Urbanas</t>
    </r>
  </si>
  <si>
    <r>
      <rPr>
        <sz val="7"/>
        <rFont val="Arial"/>
        <family val="2"/>
      </rPr>
      <t xml:space="preserve">Eletroduto de ferro galvanizado DN 4" , inclusive conexões, exclusive escavação e reaterro,
</t>
    </r>
    <r>
      <rPr>
        <sz val="7"/>
        <rFont val="Arial"/>
        <family val="2"/>
      </rPr>
      <t>fornecimento e assentamento, em Vias Urbanas</t>
    </r>
  </si>
  <si>
    <r>
      <rPr>
        <sz val="7"/>
        <rFont val="Arial"/>
        <family val="2"/>
      </rPr>
      <t>Eletroduto para rede de lógica, inclusive conexões, em Vias Urbanas</t>
    </r>
  </si>
  <si>
    <r>
      <rPr>
        <sz val="7"/>
        <rFont val="Arial"/>
        <family val="2"/>
      </rPr>
      <t>Eletroduto PVC diâmetro 75mm, fornecimento e assentamento em Vias Urbanas</t>
    </r>
  </si>
  <si>
    <r>
      <rPr>
        <sz val="7"/>
        <rFont val="Arial"/>
        <family val="2"/>
      </rPr>
      <t>Eletroduto PVC rígido roscável diâm. 50 mm, fornecimento e assentamento em Vias Urbanas</t>
    </r>
  </si>
  <si>
    <r>
      <rPr>
        <sz val="7"/>
        <rFont val="Arial"/>
        <family val="2"/>
      </rPr>
      <t>Eletroduto tipo Kanaflex  diâmetro 1 1/4", fornecimento e assentamento em Vias Urbanas</t>
    </r>
  </si>
  <si>
    <r>
      <rPr>
        <sz val="7"/>
        <rFont val="Arial"/>
        <family val="2"/>
      </rPr>
      <t>Eletroduto tipo Kanaflex diâmetro 1 1/2", fornecimento e assentamento em Vias Urbanas</t>
    </r>
  </si>
  <si>
    <r>
      <rPr>
        <sz val="7"/>
        <rFont val="Arial"/>
        <family val="2"/>
      </rPr>
      <t>Eletroduto tipo Kanaflex diâmetro 2", fornecimento e assentamento em Vias Urbanas</t>
    </r>
  </si>
  <si>
    <r>
      <rPr>
        <sz val="7"/>
        <rFont val="Arial"/>
        <family val="2"/>
      </rPr>
      <t>Eletroduto tipo Kanaflex diâmetro 4", fornecimento e assentamento em Vias Urbanas</t>
    </r>
  </si>
  <si>
    <r>
      <rPr>
        <sz val="7"/>
        <rFont val="Arial"/>
        <family val="2"/>
      </rPr>
      <t xml:space="preserve">Escada de madeira executada sobre terreno inclinado, com 80 cm de largura mínima em Vias
</t>
    </r>
    <r>
      <rPr>
        <sz val="7"/>
        <rFont val="Arial"/>
        <family val="2"/>
      </rPr>
      <t>Urbanas</t>
    </r>
  </si>
  <si>
    <r>
      <rPr>
        <sz val="7"/>
        <rFont val="Arial"/>
        <family val="2"/>
      </rPr>
      <t>Escavação manual em mat. 1ª cat. H= 0,00 a 1,50 m c/ esgotamento em Vias Urbanas</t>
    </r>
  </si>
  <si>
    <r>
      <rPr>
        <sz val="7"/>
        <rFont val="Arial"/>
        <family val="2"/>
      </rPr>
      <t>Escavação manual em mat. 1ª cat. H= 0,00 a 1,50 m em Vias Urbanas</t>
    </r>
  </si>
  <si>
    <r>
      <rPr>
        <sz val="7"/>
        <rFont val="Arial"/>
        <family val="2"/>
      </rPr>
      <t>Escavação manual em mat. 1ª cat. H= 1,50 a 3,00 m c/ esgotamento em Vias Urbanas</t>
    </r>
  </si>
  <si>
    <r>
      <rPr>
        <sz val="7"/>
        <rFont val="Arial"/>
        <family val="2"/>
      </rPr>
      <t>Escavação manual em mat. 1ª cat. H= 1,50 a 3,00 m em Vias Urbanas</t>
    </r>
  </si>
  <si>
    <r>
      <rPr>
        <sz val="7"/>
        <rFont val="Arial"/>
        <family val="2"/>
      </rPr>
      <t>Escavação manual em mat. 1ª cat. H= 3,00 a 4,50 m c/ esgotamento, em Vias Urbanas</t>
    </r>
  </si>
  <si>
    <r>
      <rPr>
        <sz val="7"/>
        <rFont val="Arial"/>
        <family val="2"/>
      </rPr>
      <t>Escavação manual em mat. 1ª cat. H= 3,00 a 4,50 m, em Vias Urbanas</t>
    </r>
  </si>
  <si>
    <r>
      <rPr>
        <sz val="7"/>
        <rFont val="Arial"/>
        <family val="2"/>
      </rPr>
      <t>Escavação manual em mat. 2ª cat. H= 0,00 a 1,50 m c/ esgotamento, em Vias Urbanas</t>
    </r>
  </si>
  <si>
    <r>
      <rPr>
        <sz val="7"/>
        <rFont val="Arial"/>
        <family val="2"/>
      </rPr>
      <t>Escavação manual em mat. 2ª cat. H= 0,00 a 1,50 m s/ detonação, em Vias Urbanas</t>
    </r>
  </si>
  <si>
    <r>
      <rPr>
        <sz val="7"/>
        <rFont val="Arial"/>
        <family val="2"/>
      </rPr>
      <t>Escavação manual em mat. 2ª cat. H= 1,50 a 3,00 m c/ esgotamento, em Vias Urbanas</t>
    </r>
  </si>
  <si>
    <r>
      <rPr>
        <sz val="7"/>
        <rFont val="Arial"/>
        <family val="2"/>
      </rPr>
      <t>Escavação manual em mat. 2ª cat. H= 1,50 a 3,00 m s/ detonação, em Vias Urbanas</t>
    </r>
  </si>
  <si>
    <r>
      <rPr>
        <sz val="7"/>
        <rFont val="Arial"/>
        <family val="2"/>
      </rPr>
      <t>Escavação manual em mat. 2ª cat. H= 3,00 a 4,50 m c/ esgotamento, em Vias Urbanas</t>
    </r>
  </si>
  <si>
    <r>
      <rPr>
        <sz val="7"/>
        <rFont val="Arial"/>
        <family val="2"/>
      </rPr>
      <t>Escavação manual em mat. 2ª cat. H= 3,00 a 4,50 m s/ detonação, em Vias Urbanas</t>
    </r>
  </si>
  <si>
    <r>
      <rPr>
        <sz val="7"/>
        <rFont val="Arial"/>
        <family val="2"/>
      </rPr>
      <t>Escavação manual em mat. 3ª cat. H= 0,00 a 1,50 m, a fogo, em Vias Urbanas</t>
    </r>
  </si>
  <si>
    <r>
      <rPr>
        <sz val="7"/>
        <rFont val="Arial"/>
        <family val="2"/>
      </rPr>
      <t>Escavação manual furos, valetas mat. 1ª cat. H= 0,00 a 1,50 m (dim. reduz.), em Vias Urbanas</t>
    </r>
  </si>
  <si>
    <r>
      <rPr>
        <sz val="7"/>
        <rFont val="Arial"/>
        <family val="2"/>
      </rPr>
      <t xml:space="preserve">Escavação manual furos, valetas mat. 2ª cat. H= 0,00 a 1,50 m s/detonação (dim. reduz.), em
</t>
    </r>
    <r>
      <rPr>
        <sz val="7"/>
        <rFont val="Arial"/>
        <family val="2"/>
      </rPr>
      <t>Vias Urbanas</t>
    </r>
  </si>
  <si>
    <r>
      <rPr>
        <sz val="7"/>
        <rFont val="Arial"/>
        <family val="2"/>
      </rPr>
      <t xml:space="preserve">Escavação mecânica de valas em material de 1ª categoria, 3,00 a 4,50 m, c/ esgotamento,
</t>
    </r>
    <r>
      <rPr>
        <sz val="7"/>
        <rFont val="Arial"/>
        <family val="2"/>
      </rPr>
      <t>carga do material, transp. material p/ bota-fora -Vias Urbanas</t>
    </r>
  </si>
  <si>
    <r>
      <rPr>
        <sz val="7"/>
        <rFont val="Arial"/>
        <family val="2"/>
      </rPr>
      <t xml:space="preserve">Escavação mecânica de valas em 1ª categoria, profundidade de 4,50 a 6,00 m com
</t>
    </r>
    <r>
      <rPr>
        <sz val="7"/>
        <rFont val="Arial"/>
        <family val="2"/>
      </rPr>
      <t>esgotamento, transp. DMT=20km, descarga e espalhamento, em Vias Urbanas</t>
    </r>
  </si>
  <si>
    <r>
      <rPr>
        <sz val="7"/>
        <rFont val="Arial"/>
        <family val="2"/>
      </rPr>
      <t xml:space="preserve">Escavação mecânica em material de 1ª cat. H= 0,00 a 1,50 m c/ esgotamento, em Vias
</t>
    </r>
    <r>
      <rPr>
        <sz val="7"/>
        <rFont val="Arial"/>
        <family val="2"/>
      </rPr>
      <t>Urbanas</t>
    </r>
  </si>
  <si>
    <r>
      <rPr>
        <sz val="7"/>
        <rFont val="Arial"/>
        <family val="2"/>
      </rPr>
      <t>Escavação mecânica em material de 1ª cat. H= 0,00 a 1,50 m, em Vias Urbanas</t>
    </r>
  </si>
  <si>
    <r>
      <rPr>
        <sz val="7"/>
        <rFont val="Arial"/>
        <family val="2"/>
      </rPr>
      <t xml:space="preserve">Escavação mecânica em material de 1ª cat. H= 1,50 a 3,00 m c/ esgotamento, em Vias
</t>
    </r>
    <r>
      <rPr>
        <sz val="7"/>
        <rFont val="Arial"/>
        <family val="2"/>
      </rPr>
      <t>Urbanas</t>
    </r>
  </si>
  <si>
    <r>
      <rPr>
        <sz val="7"/>
        <rFont val="Arial"/>
        <family val="2"/>
      </rPr>
      <t>Escavação mecânica em material de 1ª cat. H= 1,50 a 3,00 m, em Vias Urbanas</t>
    </r>
  </si>
  <si>
    <r>
      <rPr>
        <sz val="7"/>
        <rFont val="Arial"/>
        <family val="2"/>
      </rPr>
      <t xml:space="preserve">Escavação mecânica em material de 1º cat. H= 3,00 a 4,50 m c/ esgotamento, em Vias
</t>
    </r>
    <r>
      <rPr>
        <sz val="7"/>
        <rFont val="Arial"/>
        <family val="2"/>
      </rPr>
      <t>Urbanas</t>
    </r>
  </si>
  <si>
    <r>
      <rPr>
        <sz val="7"/>
        <rFont val="Arial"/>
        <family val="2"/>
      </rPr>
      <t>Escavação mecânica em material de 1ª cat. H= 3,00 a 4,50 m, em Vias Urbanas</t>
    </r>
  </si>
  <si>
    <r>
      <rPr>
        <sz val="7"/>
        <rFont val="Arial"/>
        <family val="2"/>
      </rPr>
      <t xml:space="preserve">Escavação mecânica em material de 2ª cat. H= 0,00 a 1,50 m c/ esgotamento, em Vias
</t>
    </r>
    <r>
      <rPr>
        <sz val="7"/>
        <rFont val="Arial"/>
        <family val="2"/>
      </rPr>
      <t>Urbanas</t>
    </r>
  </si>
  <si>
    <r>
      <rPr>
        <sz val="7"/>
        <rFont val="Arial"/>
        <family val="2"/>
      </rPr>
      <t>Escavação mecânica em material de 2ª cat. H= 0,00 a 1,50 m, em Vias Urbanas</t>
    </r>
  </si>
  <si>
    <r>
      <rPr>
        <sz val="7"/>
        <rFont val="Arial"/>
        <family val="2"/>
      </rPr>
      <t xml:space="preserve">Escavação mecânica em material de 2ª cat. H= 1,50 a 3,00 m c/ esgotamento, em Vias
</t>
    </r>
    <r>
      <rPr>
        <sz val="7"/>
        <rFont val="Arial"/>
        <family val="2"/>
      </rPr>
      <t>Urbanas</t>
    </r>
  </si>
  <si>
    <r>
      <rPr>
        <sz val="7"/>
        <rFont val="Arial"/>
        <family val="2"/>
      </rPr>
      <t>Escavação mecânica em material de 2ª cat. H= 1,50 a 3,00 m, em Vias Urbanas</t>
    </r>
  </si>
  <si>
    <r>
      <rPr>
        <sz val="7"/>
        <rFont val="Arial"/>
        <family val="2"/>
      </rPr>
      <t xml:space="preserve">Escavação mecânica em material de 2ª cat. H= 3,00 a 4,50 m c/ esgotamento, em Vias
</t>
    </r>
    <r>
      <rPr>
        <sz val="7"/>
        <rFont val="Arial"/>
        <family val="2"/>
      </rPr>
      <t>Urbanas</t>
    </r>
  </si>
  <si>
    <r>
      <rPr>
        <sz val="7"/>
        <rFont val="Arial"/>
        <family val="2"/>
      </rPr>
      <t xml:space="preserve">Escavação mecânica em material de 2º cat. H= 3,00 a 4,50 m c/ esgotamento em Vias
</t>
    </r>
    <r>
      <rPr>
        <sz val="7"/>
        <rFont val="Arial"/>
        <family val="2"/>
      </rPr>
      <t>Urbanas</t>
    </r>
  </si>
  <si>
    <r>
      <rPr>
        <sz val="7"/>
        <rFont val="Arial"/>
        <family val="2"/>
      </rPr>
      <t>Escavação mecânica em material de 2ª cat. H= 3,00 a 4,50 m, em Vias Urbanas</t>
    </r>
  </si>
  <si>
    <r>
      <rPr>
        <sz val="7"/>
        <rFont val="Arial"/>
        <family val="2"/>
      </rPr>
      <t xml:space="preserve">Escoramento de cavas e valas, inclusive fornecimento e transporte das madeiras, em Vias
</t>
    </r>
    <r>
      <rPr>
        <sz val="7"/>
        <rFont val="Arial"/>
        <family val="2"/>
      </rPr>
      <t>Urbanas</t>
    </r>
  </si>
  <si>
    <r>
      <rPr>
        <sz val="7"/>
        <rFont val="Arial"/>
        <family val="2"/>
      </rPr>
      <t xml:space="preserve">Escoramento e cimbramento (bueiro celular), inclusive fornecimento e transporte das madeiras
</t>
    </r>
    <r>
      <rPr>
        <sz val="7"/>
        <rFont val="Arial"/>
        <family val="2"/>
      </rPr>
      <t>,  em Vias Urbanas</t>
    </r>
  </si>
  <si>
    <r>
      <rPr>
        <sz val="7"/>
        <rFont val="Arial"/>
        <family val="2"/>
      </rPr>
      <t xml:space="preserve">Forma especial de madeira para meio fio, inclusive fornecimento e transporte das madeiras
</t>
    </r>
    <r>
      <rPr>
        <sz val="7"/>
        <rFont val="Arial"/>
        <family val="2"/>
      </rPr>
      <t>em Vias Urbanas</t>
    </r>
  </si>
  <si>
    <r>
      <rPr>
        <sz val="7"/>
        <rFont val="Arial"/>
        <family val="2"/>
      </rPr>
      <t xml:space="preserve">Forma especial de madeira para sarjeta (gabarito), inclusive fornecimento e transporte das
</t>
    </r>
    <r>
      <rPr>
        <sz val="7"/>
        <rFont val="Arial"/>
        <family val="2"/>
      </rPr>
      <t>madeiras, em Vias Urbanas</t>
    </r>
  </si>
  <si>
    <r>
      <rPr>
        <sz val="7"/>
        <rFont val="Arial"/>
        <family val="2"/>
      </rPr>
      <t>Forma metálica para meio fio, em Vias Urbanas</t>
    </r>
  </si>
  <si>
    <r>
      <rPr>
        <sz val="7"/>
        <rFont val="Arial"/>
        <family val="2"/>
      </rPr>
      <t xml:space="preserve">Formas planas de madeira com 01 (um) reaproveitamento, inclusive fornecimento e transporte
</t>
    </r>
    <r>
      <rPr>
        <sz val="7"/>
        <rFont val="Arial"/>
        <family val="2"/>
      </rPr>
      <t>das madeiras, em Vias Urbanas</t>
    </r>
  </si>
  <si>
    <r>
      <rPr>
        <sz val="7"/>
        <rFont val="Arial"/>
        <family val="2"/>
      </rPr>
      <t xml:space="preserve">Formas planas de madeira com 02 (dois) reaproveitamentos, inclusive fornecimento e
</t>
    </r>
    <r>
      <rPr>
        <sz val="7"/>
        <rFont val="Arial"/>
        <family val="2"/>
      </rPr>
      <t>transporte das madeiras, em Vias Urbanas</t>
    </r>
  </si>
  <si>
    <r>
      <rPr>
        <sz val="7"/>
        <rFont val="Arial"/>
        <family val="2"/>
      </rPr>
      <t xml:space="preserve">Formas planas de madeira com 04 (quatro) reaproveitamentos, inclusive fornecimento e
</t>
    </r>
    <r>
      <rPr>
        <sz val="7"/>
        <rFont val="Arial"/>
        <family val="2"/>
      </rPr>
      <t>transporte das madeiras, em Vias Urbanas</t>
    </r>
  </si>
  <si>
    <r>
      <rPr>
        <sz val="7"/>
        <rFont val="Arial"/>
        <family val="2"/>
      </rPr>
      <t xml:space="preserve">Formas planas de madeira sem reaproveitamento (forma perdida), inclusive fornecimento e
</t>
    </r>
    <r>
      <rPr>
        <sz val="7"/>
        <rFont val="Arial"/>
        <family val="2"/>
      </rPr>
      <t>transporte das madeiras em Vias Urbanas</t>
    </r>
  </si>
  <si>
    <r>
      <rPr>
        <sz val="7"/>
        <rFont val="Arial"/>
        <family val="2"/>
      </rPr>
      <t xml:space="preserve">Gabião manta/colchão, p/ revest. canal em malha hex 6x8mm Zn-Al/PVC, e=2,8mm,h=0,23m,
</t>
    </r>
    <r>
      <rPr>
        <sz val="7"/>
        <rFont val="Arial"/>
        <family val="2"/>
      </rPr>
      <t>inclus.aquis./assentam. pedra mão, exclus. transp., Vias Urbanas</t>
    </r>
  </si>
  <si>
    <r>
      <rPr>
        <sz val="7"/>
        <rFont val="Arial"/>
        <family val="2"/>
      </rPr>
      <t>Gabiões com caixas galvanizadas, sem manta, em Vias Urbanas</t>
    </r>
  </si>
  <si>
    <r>
      <rPr>
        <sz val="7"/>
        <rFont val="Arial"/>
        <family val="2"/>
      </rPr>
      <t>Geotêxtil não tecido RT-16 kn/m, fornecimento e aplicação em Vias Urbanas</t>
    </r>
  </si>
  <si>
    <r>
      <rPr>
        <sz val="7"/>
        <rFont val="Arial"/>
        <family val="2"/>
      </rPr>
      <t xml:space="preserve">Geotêxtil não-tecido com resistência longitudinal a tração 10kN/m, fornecimento e aplicação
</t>
    </r>
    <r>
      <rPr>
        <sz val="7"/>
        <rFont val="Arial"/>
        <family val="2"/>
      </rPr>
      <t>em Vias Urbanas</t>
    </r>
  </si>
  <si>
    <r>
      <rPr>
        <sz val="7"/>
        <rFont val="Arial"/>
        <family val="2"/>
      </rPr>
      <t>Lastro de brita, inclusive transporte da brita em Vias Urbanas</t>
    </r>
  </si>
  <si>
    <r>
      <rPr>
        <sz val="7"/>
        <rFont val="Arial"/>
        <family val="2"/>
      </rPr>
      <t>Limpeza e apicoamento manual de superfície de rocha em Vias Urbanas</t>
    </r>
  </si>
  <si>
    <r>
      <rPr>
        <sz val="7"/>
        <rFont val="Arial"/>
        <family val="2"/>
      </rPr>
      <t>Limpeza e desobstrução de BDTC e BDCC em Vias Urbanas</t>
    </r>
  </si>
  <si>
    <r>
      <rPr>
        <sz val="7"/>
        <rFont val="Arial"/>
        <family val="2"/>
      </rPr>
      <t>Limpeza e desobstrução de BQTC em Vias Urbanas</t>
    </r>
  </si>
  <si>
    <r>
      <rPr>
        <sz val="7"/>
        <rFont val="Arial"/>
        <family val="2"/>
      </rPr>
      <t>Limpeza e desobstrução de BSTC e BSCC em Vias Urbanas</t>
    </r>
  </si>
  <si>
    <r>
      <rPr>
        <sz val="7"/>
        <rFont val="Arial"/>
        <family val="2"/>
      </rPr>
      <t>Limpeza e desobstrução de BTTC e BTCC em Vias Urbanas</t>
    </r>
  </si>
  <si>
    <r>
      <rPr>
        <sz val="7"/>
        <rFont val="Arial"/>
        <family val="2"/>
      </rPr>
      <t>Limpeza e preparo de superfície de aço em Vias Urbanas</t>
    </r>
  </si>
  <si>
    <r>
      <rPr>
        <sz val="7"/>
        <rFont val="Arial"/>
        <family val="2"/>
      </rPr>
      <t xml:space="preserve">Meio fio de concreto pré-moldado (12 x 30 x 15) cm, inclusive caiação e transporte do meio fio
</t>
    </r>
    <r>
      <rPr>
        <sz val="7"/>
        <rFont val="Arial"/>
        <family val="2"/>
      </rPr>
      <t>em Vias Urbanas</t>
    </r>
  </si>
  <si>
    <r>
      <rPr>
        <sz val="7"/>
        <rFont val="Arial"/>
        <family val="2"/>
      </rPr>
      <t xml:space="preserve">Montagem e desmontagem de escoramento tubular normal, em obras de arte na densidade de
</t>
    </r>
    <r>
      <rPr>
        <sz val="7"/>
        <rFont val="Arial"/>
        <family val="2"/>
      </rPr>
      <t>5m de tubo por m³ de escoramento em Vias Urbanas</t>
    </r>
  </si>
  <si>
    <r>
      <rPr>
        <sz val="7"/>
        <rFont val="Arial"/>
        <family val="2"/>
      </rPr>
      <t xml:space="preserve">Muro de testa em concreto para saída de dreno profundo em rocha, inclusive transporte do
</t>
    </r>
    <r>
      <rPr>
        <sz val="7"/>
        <rFont val="Arial"/>
        <family val="2"/>
      </rPr>
      <t>tubo em Vias Urbanas</t>
    </r>
  </si>
  <si>
    <r>
      <rPr>
        <sz val="7"/>
        <rFont val="Arial"/>
        <family val="2"/>
      </rPr>
      <t>Pedra de mão p/ (concreto ciclópico ou alvenaria) rocha paga em medição em Vias Urbanas</t>
    </r>
  </si>
  <si>
    <r>
      <rPr>
        <sz val="7"/>
        <rFont val="Arial"/>
        <family val="2"/>
      </rPr>
      <t xml:space="preserve">Pescoço de poço de visita H=0,30m, diâm. = 0,60 m, fornecimento, assentamento e transporte
</t>
    </r>
    <r>
      <rPr>
        <sz val="7"/>
        <rFont val="Arial"/>
        <family val="2"/>
      </rPr>
      <t>em Vias Urbanas</t>
    </r>
  </si>
  <si>
    <r>
      <rPr>
        <sz val="7"/>
        <rFont val="Arial"/>
        <family val="2"/>
      </rPr>
      <t>Pintura com nata de cimento em Vias Urbanas</t>
    </r>
  </si>
  <si>
    <r>
      <rPr>
        <sz val="7"/>
        <rFont val="Arial"/>
        <family val="2"/>
      </rPr>
      <t xml:space="preserve">Pintura interna ou externa sobre ferro, com tinta a base de resina de borracha clorada em Vias
</t>
    </r>
    <r>
      <rPr>
        <sz val="7"/>
        <rFont val="Arial"/>
        <family val="2"/>
      </rPr>
      <t>Urbanas</t>
    </r>
  </si>
  <si>
    <r>
      <rPr>
        <sz val="7"/>
        <rFont val="Arial"/>
        <family val="2"/>
      </rPr>
      <t>Plataforma ou passarela de pinho de 1ª ou similar, 1" x 12", em Vias Urbanas</t>
    </r>
  </si>
  <si>
    <r>
      <rPr>
        <sz val="7"/>
        <rFont val="Arial"/>
        <family val="2"/>
      </rPr>
      <t>Poço de visita em bloco pré-moldado para d=0,30 e 0,40 m (0,80 x 0,8 0m), em Vias Urbanas</t>
    </r>
  </si>
  <si>
    <r>
      <rPr>
        <sz val="7"/>
        <rFont val="Arial"/>
        <family val="2"/>
      </rPr>
      <t>Poço de visita em bloco pré-moldado para d=0,60 m (1,00 x 1,00 m), em Vias Urbanas</t>
    </r>
  </si>
  <si>
    <r>
      <rPr>
        <sz val="7"/>
        <rFont val="Arial"/>
        <family val="2"/>
      </rPr>
      <t>Poço de visita em bloco pré-moldado para d=0,80m (1,20x1,20m), em Vias Urbanas</t>
    </r>
  </si>
  <si>
    <r>
      <rPr>
        <sz val="7"/>
        <rFont val="Arial"/>
        <family val="2"/>
      </rPr>
      <t>Poço de visita em bloco pré-moldado para d=1,00m (1,30x1,30m) (Vias Urbanas)</t>
    </r>
  </si>
  <si>
    <r>
      <rPr>
        <sz val="7"/>
        <rFont val="Arial"/>
        <family val="2"/>
      </rPr>
      <t>Poço de visita em bloco pré-moldado para d=1,20m (1,50x1,50m), em Vias Urbanas</t>
    </r>
  </si>
  <si>
    <r>
      <rPr>
        <sz val="7"/>
        <rFont val="Arial"/>
        <family val="2"/>
      </rPr>
      <t>Poço de Visita para BSTC diâm. 0,40 m em blocos de concreto, em Vias Urbanas</t>
    </r>
  </si>
  <si>
    <r>
      <rPr>
        <sz val="7"/>
        <rFont val="Arial"/>
        <family val="2"/>
      </rPr>
      <t>Poço de visita para BSTC diâm. 0,60 m em blocos de concreto, em Vias Urbanas</t>
    </r>
  </si>
  <si>
    <r>
      <rPr>
        <sz val="7"/>
        <rFont val="Arial"/>
        <family val="2"/>
      </rPr>
      <t>Poço de visita para BSTC diâm. 0,80 m em blocos de concreto, em Vias Urbanas</t>
    </r>
  </si>
  <si>
    <r>
      <rPr>
        <sz val="7"/>
        <rFont val="Arial"/>
        <family val="2"/>
      </rPr>
      <t xml:space="preserve">Poço de visita (tubo D=0,40 m) H=1,50 m com tampão F.F.A.P., inclusive escavação e
</t>
    </r>
    <r>
      <rPr>
        <sz val="7"/>
        <rFont val="Arial"/>
        <family val="2"/>
      </rPr>
      <t>transporte do tampão, em Vias Urbanas</t>
    </r>
  </si>
  <si>
    <r>
      <rPr>
        <sz val="7"/>
        <rFont val="Arial"/>
        <family val="2"/>
      </rPr>
      <t xml:space="preserve">Poço de visita (tubo D=0,60 m) H=1,70 m com tampão F.F.A.P., inclusive escavação e
</t>
    </r>
    <r>
      <rPr>
        <sz val="7"/>
        <rFont val="Arial"/>
        <family val="2"/>
      </rPr>
      <t>transporte do tampão, em Vias Urbanas</t>
    </r>
  </si>
  <si>
    <r>
      <rPr>
        <sz val="7"/>
        <rFont val="Arial"/>
        <family val="2"/>
      </rPr>
      <t xml:space="preserve">Poço de visita (tubo D=0,80 m) H=1,90 m com tampão F.F.A.P., inclusive escavação e
</t>
    </r>
    <r>
      <rPr>
        <sz val="7"/>
        <rFont val="Arial"/>
        <family val="2"/>
      </rPr>
      <t>transporte do tampão, em Vias Urbanas</t>
    </r>
  </si>
  <si>
    <r>
      <rPr>
        <sz val="7"/>
        <rFont val="Arial"/>
        <family val="2"/>
      </rPr>
      <t xml:space="preserve">Poço de visita (tubo D=1,00 m) H=2,10 m com tampão F.F.A.P., inclusive escavação e
</t>
    </r>
    <r>
      <rPr>
        <sz val="7"/>
        <rFont val="Arial"/>
        <family val="2"/>
      </rPr>
      <t>transporte do tampão, em Vias Urbanas</t>
    </r>
  </si>
  <si>
    <r>
      <rPr>
        <sz val="7"/>
        <rFont val="Arial"/>
        <family val="2"/>
      </rPr>
      <t xml:space="preserve">Preparo manual de talude, compreendendo acerto, raspagem eventual de até 0,30 m de prof.
</t>
    </r>
    <r>
      <rPr>
        <sz val="7"/>
        <rFont val="Arial"/>
        <family val="2"/>
      </rPr>
      <t>e afastamento lateral, em Vias Urbanas</t>
    </r>
  </si>
  <si>
    <r>
      <rPr>
        <sz val="7"/>
        <rFont val="Arial"/>
        <family val="2"/>
      </rPr>
      <t xml:space="preserve">Preparo manual de terreno, compreendendo acerto raspagem até 25 cm de profundidade e
</t>
    </r>
    <r>
      <rPr>
        <sz val="7"/>
        <rFont val="Arial"/>
        <family val="2"/>
      </rPr>
      <t>afastamento lateral do material excedente, em Vias Urbanas</t>
    </r>
  </si>
  <si>
    <r>
      <rPr>
        <sz val="7"/>
        <rFont val="Arial"/>
        <family val="2"/>
      </rPr>
      <t>Reaterro com areia, tudo incluído, em Vias Urbanas</t>
    </r>
  </si>
  <si>
    <r>
      <rPr>
        <sz val="7"/>
        <rFont val="Arial"/>
        <family val="2"/>
      </rPr>
      <t>Reaterro de cavas c/ compactação manual (apiloamento) (dim. reduz.), em Vias Urbanas</t>
    </r>
  </si>
  <si>
    <r>
      <rPr>
        <sz val="7"/>
        <rFont val="Arial"/>
        <family val="2"/>
      </rPr>
      <t>Reaterro de cavas c/ compactação manual (apiloamento) em Vias Urbanas</t>
    </r>
  </si>
  <si>
    <r>
      <rPr>
        <sz val="7"/>
        <rFont val="Arial"/>
        <family val="2"/>
      </rPr>
      <t>Reaterro de cavas c/ compactação mecânica (compactador manual), em Vias Urbanas</t>
    </r>
  </si>
  <si>
    <r>
      <rPr>
        <sz val="7"/>
        <rFont val="Arial"/>
        <family val="2"/>
      </rPr>
      <t>Recuperação de poço de visita inclusive fornecimento tampão F.F.A.P., em Vias Urbanas</t>
    </r>
  </si>
  <si>
    <r>
      <rPr>
        <sz val="7"/>
        <rFont val="Arial"/>
        <family val="2"/>
      </rPr>
      <t>Religação de rede de água em PVC DN 20 mm, inclusive conexões, em Vias Urbanas</t>
    </r>
  </si>
  <si>
    <r>
      <rPr>
        <sz val="7"/>
        <rFont val="Arial"/>
        <family val="2"/>
      </rPr>
      <t>Religação de rede de água em PVC DN 25 mm, inclusive conexões, em Vias Urbanas</t>
    </r>
  </si>
  <si>
    <r>
      <rPr>
        <sz val="7"/>
        <rFont val="Arial"/>
        <family val="2"/>
      </rPr>
      <t>Religação de rede de água em PVC DN 32 mm, inclusive conexões, em Vias Urbanas</t>
    </r>
  </si>
  <si>
    <r>
      <rPr>
        <sz val="7"/>
        <rFont val="Arial"/>
        <family val="2"/>
      </rPr>
      <t>Religação de rede de água em PVC DN 75 mm, inclusive conexões, em Vias Urbanas</t>
    </r>
  </si>
  <si>
    <r>
      <rPr>
        <sz val="7"/>
        <rFont val="Arial"/>
        <family val="2"/>
      </rPr>
      <t xml:space="preserve">Religação de rede de água em PVC PBA CL 15 DN 100 mm, inclusive conexões, em Vias
</t>
    </r>
    <r>
      <rPr>
        <sz val="7"/>
        <rFont val="Arial"/>
        <family val="2"/>
      </rPr>
      <t>Urbanas</t>
    </r>
  </si>
  <si>
    <r>
      <rPr>
        <sz val="7"/>
        <rFont val="Arial"/>
        <family val="2"/>
      </rPr>
      <t>Remanejamento de ligação e religação de redes de esgoto, em Vias Urbanas</t>
    </r>
  </si>
  <si>
    <r>
      <rPr>
        <sz val="7"/>
        <rFont val="Arial"/>
        <family val="2"/>
      </rPr>
      <t>Remoção de bueiros existentes, em Vias Urbanas</t>
    </r>
  </si>
  <si>
    <r>
      <rPr>
        <sz val="7"/>
        <rFont val="Arial"/>
        <family val="2"/>
      </rPr>
      <t xml:space="preserve">Rip-rap c/ argamassa cimento areia 1:6, inclusive aquisição e transporte dos materiais, em
</t>
    </r>
    <r>
      <rPr>
        <sz val="7"/>
        <rFont val="Arial"/>
        <family val="2"/>
      </rPr>
      <t>Vias Urbanas</t>
    </r>
  </si>
  <si>
    <r>
      <rPr>
        <sz val="7"/>
        <rFont val="Arial"/>
        <family val="2"/>
      </rPr>
      <t>Sarjeta de concreto DP-1 (0,081 m³/m) calha triangular, inclusive caiação, em Vias Urbanas</t>
    </r>
  </si>
  <si>
    <r>
      <rPr>
        <sz val="7"/>
        <rFont val="Arial"/>
        <family val="2"/>
      </rPr>
      <t>Sarjeta de concreto DP-2 (0,085 m³/m) calha triangular, inclusive caiação, em Vias Urbanas</t>
    </r>
  </si>
  <si>
    <r>
      <rPr>
        <sz val="7"/>
        <rFont val="Arial"/>
        <family val="2"/>
      </rPr>
      <t>Sarjeta de concreto SCA 40/10 - em Vias Urbanas</t>
    </r>
  </si>
  <si>
    <r>
      <rPr>
        <sz val="7"/>
        <rFont val="Arial"/>
        <family val="2"/>
      </rPr>
      <t>Sarjeta de concreto (SCA 70/15) calha triangular, inclusive caiação, em Vias Urbanas</t>
    </r>
  </si>
  <si>
    <r>
      <rPr>
        <sz val="7"/>
        <rFont val="Arial"/>
        <family val="2"/>
      </rPr>
      <t>Sarjeta de concreto (SCA 90/10) calha triangular, inclusive caiação, em Vias Urbanas</t>
    </r>
  </si>
  <si>
    <r>
      <rPr>
        <sz val="7"/>
        <rFont val="Arial"/>
        <family val="2"/>
      </rPr>
      <t xml:space="preserve">Sarjeta de concreto (STC - 02) calha triangular em corte/aterro, inclusive caiação, em Vias
</t>
    </r>
    <r>
      <rPr>
        <sz val="7"/>
        <rFont val="Arial"/>
        <family val="2"/>
      </rPr>
      <t>Urbanas</t>
    </r>
  </si>
  <si>
    <r>
      <rPr>
        <sz val="7"/>
        <rFont val="Arial"/>
        <family val="2"/>
      </rPr>
      <t xml:space="preserve">Sarjeta de concreto (STC - 04) calha triangular de bancada em corte, inclusive caiação, em
</t>
    </r>
    <r>
      <rPr>
        <sz val="7"/>
        <rFont val="Arial"/>
        <family val="2"/>
      </rPr>
      <t>Vias Urbanas</t>
    </r>
  </si>
  <si>
    <r>
      <rPr>
        <sz val="7"/>
        <rFont val="Arial"/>
        <family val="2"/>
      </rPr>
      <t>Tampa de concreto em grelha, fornecimento, assentamento e transporte, em Vias Urbanas</t>
    </r>
  </si>
  <si>
    <r>
      <rPr>
        <sz val="7"/>
        <rFont val="Arial"/>
        <family val="2"/>
      </rPr>
      <t>Tampão F.F.A.P. com 100 kg, fornecimento, assentamento e transporte em Vias Urbanas</t>
    </r>
  </si>
  <si>
    <r>
      <rPr>
        <sz val="7"/>
        <rFont val="Arial"/>
        <family val="2"/>
      </rPr>
      <t xml:space="preserve">Tapume de vedação e proteção, executado com chapas de compensado resinado com 6 mm
</t>
    </r>
    <r>
      <rPr>
        <sz val="7"/>
        <rFont val="Arial"/>
        <family val="2"/>
      </rPr>
      <t>de espessura, exclusive pintura, em Vias Urbanas</t>
    </r>
  </si>
  <si>
    <r>
      <rPr>
        <sz val="7"/>
        <rFont val="Arial"/>
        <family val="2"/>
      </rPr>
      <t>Tela de aço soldada Telcon Q-138 ou similar, fornecimento e assentamento em Vias Urbanas</t>
    </r>
  </si>
  <si>
    <r>
      <rPr>
        <sz val="7"/>
        <rFont val="Arial"/>
        <family val="2"/>
      </rPr>
      <t xml:space="preserve">Tela de proteção de segurança de PVC cor laranja com suporte  para sinalização de obras
</t>
    </r>
    <r>
      <rPr>
        <sz val="7"/>
        <rFont val="Arial"/>
        <family val="2"/>
      </rPr>
      <t>em Vias Urbanas</t>
    </r>
  </si>
  <si>
    <r>
      <rPr>
        <sz val="7"/>
        <rFont val="Arial"/>
        <family val="2"/>
      </rPr>
      <t>Terminal de dreno de alívio de pavimento (DP - TDA - 01) em Vias Urbanas</t>
    </r>
  </si>
  <si>
    <r>
      <rPr>
        <sz val="7"/>
        <rFont val="Arial"/>
        <family val="2"/>
      </rPr>
      <t xml:space="preserve">Transporte de materiais encosta abaixo, serviço manual, inclusive carga e descarga em Vias
</t>
    </r>
    <r>
      <rPr>
        <sz val="7"/>
        <rFont val="Arial"/>
        <family val="2"/>
      </rPr>
      <t>Urbanas</t>
    </r>
  </si>
  <si>
    <r>
      <rPr>
        <sz val="7"/>
        <rFont val="Arial"/>
        <family val="2"/>
      </rPr>
      <t xml:space="preserve">Transporte de materiais encosta acima, serviço manual, inclusive carga e descarga em Vias
</t>
    </r>
    <r>
      <rPr>
        <sz val="7"/>
        <rFont val="Arial"/>
        <family val="2"/>
      </rPr>
      <t>Urbanas</t>
    </r>
  </si>
  <si>
    <r>
      <rPr>
        <sz val="7"/>
        <rFont val="Arial"/>
        <family val="2"/>
      </rPr>
      <t xml:space="preserve">Transposição de segmento de sarjeta - TSS 01, inclusive transporte do tubo de concreto em
</t>
    </r>
    <r>
      <rPr>
        <sz val="7"/>
        <rFont val="Arial"/>
        <family val="2"/>
      </rPr>
      <t>Vias Urbanas</t>
    </r>
  </si>
  <si>
    <r>
      <rPr>
        <sz val="7"/>
        <rFont val="Arial"/>
        <family val="2"/>
      </rPr>
      <t xml:space="preserve">Trincheira drenante cega (0,50 x 1,70) m, com utilização de geotêxtil não tecido Rt-16 kn/m,
</t>
    </r>
    <r>
      <rPr>
        <sz val="7"/>
        <rFont val="Arial"/>
        <family val="2"/>
      </rPr>
      <t>inclusive transporte da brita em Vias Urbanas</t>
    </r>
  </si>
  <si>
    <r>
      <rPr>
        <sz val="7"/>
        <rFont val="Arial"/>
        <family val="2"/>
      </rPr>
      <t>Trincheira drenante em madeira em Vias Urbanas</t>
    </r>
  </si>
  <si>
    <r>
      <rPr>
        <sz val="7"/>
        <rFont val="Arial"/>
        <family val="2"/>
      </rPr>
      <t>Tubo de PVC NBR 5648 diâmetro 50 mm, fornecimento e assentamento em Vias Urbanas</t>
    </r>
  </si>
  <si>
    <r>
      <rPr>
        <sz val="7"/>
        <rFont val="Arial"/>
        <family val="2"/>
      </rPr>
      <t>Tubo de PVC NBR 5648 diâmetro 75 mm, fornecimento e assentamento em Vias Urbanas</t>
    </r>
  </si>
  <si>
    <r>
      <rPr>
        <sz val="7"/>
        <rFont val="Arial"/>
        <family val="2"/>
      </rPr>
      <t>Tubo de PVC rígido série R diâmetro 100 mm, fornecimento e assentamento em Vias Urbanas</t>
    </r>
  </si>
  <si>
    <r>
      <rPr>
        <sz val="7"/>
        <rFont val="Arial"/>
        <family val="2"/>
      </rPr>
      <t>Tubo irrifort agropecuário diâmetro 32 mm, fornecimento e assentamento em Vias Urbanas</t>
    </r>
  </si>
  <si>
    <r>
      <rPr>
        <sz val="7"/>
        <rFont val="Arial"/>
        <family val="2"/>
      </rPr>
      <t>Tubo para irrigação linha fixa PN40 50 mm, fornecimento e assentamento em Vias Urbanas</t>
    </r>
  </si>
  <si>
    <r>
      <rPr>
        <sz val="7"/>
        <rFont val="Arial"/>
        <family val="2"/>
      </rPr>
      <t>Tubos de ferro fundido diâmetro 0,90 m, assentamento em Vias Urbanas</t>
    </r>
  </si>
  <si>
    <r>
      <rPr>
        <sz val="7"/>
        <rFont val="Arial"/>
        <family val="2"/>
      </rPr>
      <t xml:space="preserve">Tubos para irrigação Linha fixa PN40, diâmetro 75 mm, fornecimento e assentamento em Vias
</t>
    </r>
    <r>
      <rPr>
        <sz val="7"/>
        <rFont val="Arial"/>
        <family val="2"/>
      </rPr>
      <t>Urbanas</t>
    </r>
  </si>
  <si>
    <r>
      <rPr>
        <sz val="7"/>
        <rFont val="Arial"/>
        <family val="2"/>
      </rPr>
      <t>Valeta de pedra argamassada VPAR em Vias Urbanas</t>
    </r>
  </si>
  <si>
    <r>
      <rPr>
        <sz val="7"/>
        <rFont val="Arial"/>
        <family val="2"/>
      </rPr>
      <t>Valeta de pedra jogada VPJ, inclusive transporte da pedra em Vias Urbanas</t>
    </r>
  </si>
  <si>
    <r>
      <rPr>
        <sz val="7"/>
        <rFont val="Arial"/>
        <family val="2"/>
      </rPr>
      <t>Valeta de proteção de corte - desobstrução e limpeza em Vias Urbanas</t>
    </r>
  </si>
  <si>
    <r>
      <rPr>
        <sz val="7"/>
        <rFont val="Arial"/>
        <family val="2"/>
      </rPr>
      <t>Grupo de serviço: INSTALAÇÃO DE CANTEIRO, MOBILIZAÇÃO E DESMOBILIZAÇ</t>
    </r>
  </si>
  <si>
    <r>
      <rPr>
        <sz val="7"/>
        <rFont val="Arial"/>
        <family val="2"/>
      </rPr>
      <t xml:space="preserve">Aluguel de container p/ escritório c/ ar condicionado e banheiro, isolam.térmico e acústico, 2
</t>
    </r>
    <r>
      <rPr>
        <sz val="7"/>
        <rFont val="Arial"/>
        <family val="2"/>
      </rPr>
      <t>luminárias, janela de vidro, tomada p/ comput. e telef.</t>
    </r>
  </si>
  <si>
    <r>
      <rPr>
        <sz val="7"/>
        <rFont val="Arial"/>
        <family val="2"/>
      </rPr>
      <t xml:space="preserve">Aluguel de container p/ escritório com ar condicionado, isolamento term/acust., 2 luminárias,
</t>
    </r>
    <r>
      <rPr>
        <sz val="7"/>
        <rFont val="Arial"/>
        <family val="2"/>
      </rPr>
      <t>janela de vidro, tomadas computador e telefone</t>
    </r>
  </si>
  <si>
    <r>
      <rPr>
        <sz val="7"/>
        <rFont val="Arial"/>
        <family val="2"/>
      </rPr>
      <t>Aluguel de container para almoxarifado</t>
    </r>
  </si>
  <si>
    <r>
      <rPr>
        <sz val="7"/>
        <rFont val="Arial"/>
        <family val="2"/>
      </rPr>
      <t xml:space="preserve">Aluguel de container tipo cozinha com isolamento térmico e acústico, 2 luminárias, piso
</t>
    </r>
    <r>
      <rPr>
        <sz val="7"/>
        <rFont val="Arial"/>
        <family val="2"/>
      </rPr>
      <t>especial e janela</t>
    </r>
  </si>
  <si>
    <r>
      <rPr>
        <sz val="7"/>
        <rFont val="Arial"/>
        <family val="2"/>
      </rPr>
      <t xml:space="preserve">Aluguel de container tipo refeitório simples, c/ 1 aparelho de ar condicionado, 2 luminárias e 2
</t>
    </r>
    <r>
      <rPr>
        <sz val="7"/>
        <rFont val="Arial"/>
        <family val="2"/>
      </rPr>
      <t>janelas de vidro</t>
    </r>
  </si>
  <si>
    <r>
      <rPr>
        <sz val="7"/>
        <rFont val="Arial"/>
        <family val="2"/>
      </rPr>
      <t xml:space="preserve">Aluguel de container tipo refeitório (2 unidades acopladas), c/ 2 aparelhos de ar condicionado,
</t>
    </r>
    <r>
      <rPr>
        <sz val="7"/>
        <rFont val="Arial"/>
        <family val="2"/>
      </rPr>
      <t>4 lumináriase 4 janelas de vidro</t>
    </r>
  </si>
  <si>
    <r>
      <rPr>
        <sz val="7"/>
        <rFont val="Arial"/>
        <family val="2"/>
      </rPr>
      <t xml:space="preserve">Aluguel de container tipo refeitório (3 unidades acopladas), c/ 3 aparelhos de ar condiocionado
</t>
    </r>
    <r>
      <rPr>
        <sz val="7"/>
        <rFont val="Arial"/>
        <family val="2"/>
      </rPr>
      <t>, 6 luminárias e 6 janelas de vidro</t>
    </r>
  </si>
  <si>
    <r>
      <rPr>
        <sz val="7"/>
        <rFont val="Arial"/>
        <family val="2"/>
      </rPr>
      <t xml:space="preserve">Aluguel de container tipo sanitário com 3 vasos sanitários, lavatório, mictório, 5 chuveiros, 2
</t>
    </r>
    <r>
      <rPr>
        <sz val="7"/>
        <rFont val="Arial"/>
        <family val="2"/>
      </rPr>
      <t>venezianas e piso especial</t>
    </r>
  </si>
  <si>
    <r>
      <rPr>
        <sz val="7"/>
        <rFont val="Arial"/>
        <family val="2"/>
      </rPr>
      <t>Aluguel de container tipo vestiário, 2 luminárias, piso especial e janela</t>
    </r>
  </si>
  <si>
    <r>
      <rPr>
        <sz val="7"/>
        <rFont val="Arial"/>
        <family val="2"/>
      </rPr>
      <t xml:space="preserve">Barracão com sanitário, em chapa compensada 12 mm e pont. 8x8cm, piso cimentado e
</t>
    </r>
    <r>
      <rPr>
        <sz val="7"/>
        <rFont val="Arial"/>
        <family val="2"/>
      </rPr>
      <t>cobertura em telha de fibroc. 6mm, incl. ponto de luz e cx. inspeção</t>
    </r>
  </si>
  <si>
    <r>
      <rPr>
        <sz val="7"/>
        <rFont val="Arial"/>
        <family val="2"/>
      </rPr>
      <t xml:space="preserve">Barracão em chapa compensada 12mm e pont. 8x8cm, piso cimentado e cobertura de telhas
</t>
    </r>
    <r>
      <rPr>
        <sz val="7"/>
        <rFont val="Arial"/>
        <family val="2"/>
      </rPr>
      <t>fibrocimento 6mm, incl. ponto de luz</t>
    </r>
  </si>
  <si>
    <r>
      <rPr>
        <sz val="7"/>
        <rFont val="Arial"/>
        <family val="2"/>
      </rPr>
      <t>Canaleta de concreto retangular com grelha em barra de aço</t>
    </r>
  </si>
  <si>
    <r>
      <rPr>
        <sz val="7"/>
        <rFont val="Arial"/>
        <family val="2"/>
      </rPr>
      <t xml:space="preserve">Cobertura nova de telhas onduladas de fibrocimento 6,0mm, inclusive cumeeiras e acessórios
</t>
    </r>
    <r>
      <rPr>
        <sz val="7"/>
        <rFont val="Arial"/>
        <family val="2"/>
      </rPr>
      <t>de fixação</t>
    </r>
  </si>
  <si>
    <r>
      <rPr>
        <sz val="7"/>
        <rFont val="Arial"/>
        <family val="2"/>
      </rPr>
      <t xml:space="preserve">Estrutura de madeira lei para telhado de telha ondulada de fibroc. esp. 6mm, c/ pontaletes e
</t>
    </r>
    <r>
      <rPr>
        <sz val="7"/>
        <rFont val="Arial"/>
        <family val="2"/>
      </rPr>
      <t>caibros, incl. com cupinicida, excl. telhas</t>
    </r>
  </si>
  <si>
    <r>
      <rPr>
        <sz val="7"/>
        <rFont val="Arial"/>
        <family val="2"/>
      </rPr>
      <t xml:space="preserve">Galpão em peças de madeira 8x8cm e contravent. de 5x7cm, cobertura de telhas de fibroc. de
</t>
    </r>
    <r>
      <rPr>
        <sz val="7"/>
        <rFont val="Arial"/>
        <family val="2"/>
      </rPr>
      <t>6mm, incl. ponto e cabo de alimentação da máquina</t>
    </r>
  </si>
  <si>
    <r>
      <rPr>
        <sz val="7"/>
        <rFont val="Arial"/>
        <family val="2"/>
      </rPr>
      <t>Mobilização e desmobilização de caminhão basculante (máximo)</t>
    </r>
  </si>
  <si>
    <r>
      <rPr>
        <sz val="7"/>
        <rFont val="Arial"/>
        <family val="2"/>
      </rPr>
      <t>h</t>
    </r>
  </si>
  <si>
    <r>
      <rPr>
        <sz val="7"/>
        <rFont val="Arial"/>
        <family val="2"/>
      </rPr>
      <t>Mobilização e desmobilização de caminhão carroceria (máximo)</t>
    </r>
  </si>
  <si>
    <r>
      <rPr>
        <sz val="7"/>
        <rFont val="Arial"/>
        <family val="2"/>
      </rPr>
      <t>Mobilização e desmobilização de caminhão tanque (6.000 L) (máximo)</t>
    </r>
  </si>
  <si>
    <r>
      <rPr>
        <sz val="7"/>
        <rFont val="Arial"/>
        <family val="2"/>
      </rPr>
      <t>Mobilização e desmobilização de container acima de 150 km</t>
    </r>
  </si>
  <si>
    <r>
      <rPr>
        <sz val="7"/>
        <rFont val="Arial"/>
        <family val="2"/>
      </rPr>
      <t>Mobilização e desmobilização de container até 50 km</t>
    </r>
  </si>
  <si>
    <r>
      <rPr>
        <sz val="7"/>
        <rFont val="Arial"/>
        <family val="2"/>
      </rPr>
      <t>Mobilização e desmobilização de container de 51 km até 150 km</t>
    </r>
  </si>
  <si>
    <r>
      <rPr>
        <sz val="7"/>
        <rFont val="Arial"/>
        <family val="2"/>
      </rPr>
      <t>Mobilização e desmobilização de equipamentos com carreta prancha (máximo)</t>
    </r>
  </si>
  <si>
    <r>
      <rPr>
        <sz val="7"/>
        <rFont val="Arial"/>
        <family val="2"/>
      </rPr>
      <t>Placa de obra nas dimensões de 3,0 x 6,0 m, padrão DER-ES</t>
    </r>
  </si>
  <si>
    <r>
      <rPr>
        <sz val="7"/>
        <rFont val="Arial"/>
        <family val="2"/>
      </rPr>
      <t xml:space="preserve">Rede de água c/ padrão de entrada d'água diâm. 3/4" conf. CESAN, incl. tubos e conexões p/
</t>
    </r>
    <r>
      <rPr>
        <sz val="7"/>
        <rFont val="Arial"/>
        <family val="2"/>
      </rPr>
      <t>aliment., distrib., extravas. e limp., cons. o padrão a 25m</t>
    </r>
  </si>
  <si>
    <r>
      <rPr>
        <sz val="7"/>
        <rFont val="Arial"/>
        <family val="2"/>
      </rPr>
      <t xml:space="preserve">Rede de esgoto, contendo fossa e filtro, incl. tubos e conexões de ligação entre caixas,
</t>
    </r>
    <r>
      <rPr>
        <sz val="7"/>
        <rFont val="Arial"/>
        <family val="2"/>
      </rPr>
      <t>considerando distância de 25m</t>
    </r>
  </si>
  <si>
    <r>
      <rPr>
        <sz val="7"/>
        <rFont val="Arial"/>
        <family val="2"/>
      </rPr>
      <t xml:space="preserve">Rede de luz, incl. padrão entr. energia trifás. cabo ligação até barracões, quadro distrib., disj. e
</t>
    </r>
    <r>
      <rPr>
        <sz val="7"/>
        <rFont val="Arial"/>
        <family val="2"/>
      </rPr>
      <t>chave de força, cons. 20m entre padrão entr.e QDG</t>
    </r>
  </si>
  <si>
    <r>
      <rPr>
        <sz val="7"/>
        <rFont val="Arial"/>
        <family val="2"/>
      </rPr>
      <t xml:space="preserve">Refeitório c/ paredes chapa de comp. 12mm e pont. 8x8cm, piso ciment. e cob. telhas fibroc.
</t>
    </r>
    <r>
      <rPr>
        <sz val="7"/>
        <rFont val="Arial"/>
        <family val="2"/>
      </rPr>
      <t>6mm, incl. ponto de luz e cx. de insp. (1,21m²/func/turno)</t>
    </r>
  </si>
  <si>
    <r>
      <rPr>
        <sz val="7"/>
        <rFont val="Arial"/>
        <family val="2"/>
      </rPr>
      <t>Reservatório de fibra de vidro de 1000 L, incl. suporte em madeira de 7x12cm, elevado de 4m</t>
    </r>
  </si>
  <si>
    <r>
      <rPr>
        <sz val="7"/>
        <rFont val="Arial"/>
        <family val="2"/>
      </rPr>
      <t xml:space="preserve">Sanitário e vestiário de 40/60 func., c/ 33,90m², paredes chapa compens. 12mm e pont. 8x8cm
</t>
    </r>
    <r>
      <rPr>
        <sz val="7"/>
        <rFont val="Arial"/>
        <family val="2"/>
      </rPr>
      <t>, piso ciment., cobert. telha fibroc., incl. luz e cx. insp</t>
    </r>
  </si>
  <si>
    <r>
      <rPr>
        <sz val="7"/>
        <rFont val="Arial"/>
        <family val="2"/>
      </rPr>
      <t>Sistema separador de água e óleo</t>
    </r>
  </si>
  <si>
    <r>
      <rPr>
        <sz val="7"/>
        <rFont val="Arial"/>
        <family val="2"/>
      </rPr>
      <t xml:space="preserve">Tapume madeira compensada resinada e= 12mm h=2,20m, estr. c/ mad reflorest., incl
</t>
    </r>
    <r>
      <rPr>
        <sz val="7"/>
        <rFont val="Arial"/>
        <family val="2"/>
      </rPr>
      <t>montagem e pintura esmalte sintético</t>
    </r>
  </si>
  <si>
    <r>
      <rPr>
        <sz val="7"/>
        <rFont val="Arial"/>
        <family val="2"/>
      </rPr>
      <t xml:space="preserve">Tapume Telha Metálica Ondulada 0,50mm Branca h=2,20m, incl. montagem estr. mad. 8"x8",
</t>
    </r>
    <r>
      <rPr>
        <sz val="7"/>
        <rFont val="Arial"/>
        <family val="2"/>
      </rPr>
      <t>incl. faixas pint. esmalte sintético c/ h=40cm (Reaproveitamento 2x)</t>
    </r>
  </si>
  <si>
    <r>
      <rPr>
        <sz val="7"/>
        <rFont val="Arial"/>
        <family val="2"/>
      </rPr>
      <t>Grupo de serviço: ADMINISTRAÇÃO LOCAL</t>
    </r>
  </si>
  <si>
    <r>
      <rPr>
        <sz val="7"/>
        <rFont val="Arial"/>
        <family val="2"/>
      </rPr>
      <t>Administração Local  (valor mensal a calcular de acordo com a obra)</t>
    </r>
  </si>
  <si>
    <r>
      <rPr>
        <sz val="7"/>
        <rFont val="Arial"/>
        <family val="2"/>
      </rPr>
      <t>vb</t>
    </r>
  </si>
  <si>
    <t>02.01.04</t>
  </si>
  <si>
    <t>02.01.05</t>
  </si>
  <si>
    <t>02.01.06</t>
  </si>
  <si>
    <t>02.01.07</t>
  </si>
  <si>
    <t>DEMOLIÇÃO DE PISO DE MADEIRA</t>
  </si>
  <si>
    <t>02.01.08</t>
  </si>
  <si>
    <t>03.01.07</t>
  </si>
  <si>
    <t>03.01.08</t>
  </si>
  <si>
    <t>03.02.04</t>
  </si>
  <si>
    <t xml:space="preserve">PISO LAMINADO DE MADEIRA, RÉGUA: 09X190X1200 MM, USO COMERCIAL, TRAFEGO INTENSO, MARCA DURAFLOOR PREMIUM OU SIMILAR, INCLUSIVE INSTALAÇÃO </t>
  </si>
  <si>
    <t>03.01.09</t>
  </si>
  <si>
    <t>03.01.10</t>
  </si>
  <si>
    <t xml:space="preserve">FORNECIMENTO E ASSENTAMENTO DE RIPAS MASSARANDUBA 5X1,5CM </t>
  </si>
  <si>
    <t>2,44</t>
  </si>
  <si>
    <t>3,29</t>
  </si>
  <si>
    <t>5,03</t>
  </si>
  <si>
    <t>14,99</t>
  </si>
  <si>
    <t>30,34</t>
  </si>
  <si>
    <t>12,53</t>
  </si>
  <si>
    <t>10,72</t>
  </si>
  <si>
    <t>16,69</t>
  </si>
  <si>
    <t>15,06</t>
  </si>
  <si>
    <t>5,50</t>
  </si>
  <si>
    <t>15,97</t>
  </si>
  <si>
    <t>1,93</t>
  </si>
  <si>
    <t>48,86</t>
  </si>
  <si>
    <t>15,78</t>
  </si>
  <si>
    <t>6,34</t>
  </si>
  <si>
    <t>26,43</t>
  </si>
  <si>
    <t>4,38</t>
  </si>
  <si>
    <t>7,02</t>
  </si>
  <si>
    <t>110,22</t>
  </si>
  <si>
    <t>34,08</t>
  </si>
  <si>
    <t>18,22</t>
  </si>
  <si>
    <t>18,04</t>
  </si>
  <si>
    <t>5,51</t>
  </si>
  <si>
    <t>9,80</t>
  </si>
  <si>
    <t>6,69</t>
  </si>
  <si>
    <t>19,79</t>
  </si>
  <si>
    <t>16,45</t>
  </si>
  <si>
    <t>3,13</t>
  </si>
  <si>
    <t>7,77</t>
  </si>
  <si>
    <t>22,49</t>
  </si>
  <si>
    <t>5,47</t>
  </si>
  <si>
    <t>55,47</t>
  </si>
  <si>
    <t>40,00</t>
  </si>
  <si>
    <t>41,50</t>
  </si>
  <si>
    <t>31,94</t>
  </si>
  <si>
    <t>20,34</t>
  </si>
  <si>
    <t>3,64</t>
  </si>
  <si>
    <t>13,54</t>
  </si>
  <si>
    <t>39,14</t>
  </si>
  <si>
    <t>13,36</t>
  </si>
  <si>
    <t>23,56</t>
  </si>
  <si>
    <t>37,40</t>
  </si>
  <si>
    <t>26,55</t>
  </si>
  <si>
    <t>9,14</t>
  </si>
  <si>
    <t>21,57</t>
  </si>
  <si>
    <t>18,33</t>
  </si>
  <si>
    <t>8,02</t>
  </si>
  <si>
    <t>8,79</t>
  </si>
  <si>
    <t>37,41</t>
  </si>
  <si>
    <t>12,47</t>
  </si>
  <si>
    <t>15,27</t>
  </si>
  <si>
    <t>17,24</t>
  </si>
  <si>
    <t>16,43</t>
  </si>
  <si>
    <t>15,61</t>
  </si>
  <si>
    <t>14,23</t>
  </si>
  <si>
    <t>15,67</t>
  </si>
  <si>
    <t>39,56</t>
  </si>
  <si>
    <t>26,16</t>
  </si>
  <si>
    <t>90,00</t>
  </si>
  <si>
    <t>3,28</t>
  </si>
  <si>
    <t>26,22</t>
  </si>
  <si>
    <t>11,84</t>
  </si>
  <si>
    <t>12,24</t>
  </si>
  <si>
    <t>13,03</t>
  </si>
  <si>
    <t>25,61</t>
  </si>
  <si>
    <t>14,83</t>
  </si>
  <si>
    <t>20,59</t>
  </si>
  <si>
    <t>23,04</t>
  </si>
  <si>
    <t>300,00</t>
  </si>
  <si>
    <t>17,07</t>
  </si>
  <si>
    <t>5,31</t>
  </si>
  <si>
    <t>45,32</t>
  </si>
  <si>
    <t>23,10</t>
  </si>
  <si>
    <t>98764</t>
  </si>
  <si>
    <t>INVERSOR DE SOLDA MONOFÁSICO DE 160 A, POTÊNCIA DE 5400 W, TENSÃO DE 220 V, PARA SOLDA COM ELETRODOS DE 2,0 A 4,0 MM E PROCESSO TIG - CHP DIURNO. AF_06/2018</t>
  </si>
  <si>
    <t>98765</t>
  </si>
  <si>
    <t>INVERSOR DE SOLDA MONOFÁSICO DE 160 A, POTÊNCIA DE 5400 W, TENSÃO DE 220 V, PARA SOLDA COM ELETRODOS DE 2,0 A 4,0 MM E PROCESSO TIG - CHI DIURNO. AF_06/2018</t>
  </si>
  <si>
    <t>12,74</t>
  </si>
  <si>
    <t>16,36</t>
  </si>
  <si>
    <t>9,07</t>
  </si>
  <si>
    <t>11,36</t>
  </si>
  <si>
    <t>30,60</t>
  </si>
  <si>
    <t>6,74</t>
  </si>
  <si>
    <t>93,10</t>
  </si>
  <si>
    <t>98746</t>
  </si>
  <si>
    <t>SOLDA DE TOPO EM CHAPA/PERFIL/TUBO DE AÇO CHANFRADO, ESPESSURA=1/4''. AF_06/2018</t>
  </si>
  <si>
    <t>98749</t>
  </si>
  <si>
    <t>SOLDA DE TOPO EM CHAPA/PERFIL/TUBO DE AÇO CHANFRADO, ESPESSURA=5/16''. AF_06/2018</t>
  </si>
  <si>
    <t>98750</t>
  </si>
  <si>
    <t>SOLDA DE TOPO EM CHAPA/PERFIL/TUBO DE AÇO CHANFRADO, ESPESSURA=3/8''. AF_06/2018</t>
  </si>
  <si>
    <t>98751</t>
  </si>
  <si>
    <t>SOLDA DE TOPO EM CHAPA/PERFIL/TUBO DE AÇO CHANFRADO, ESPESSURA=1/2''. AF_06/2018</t>
  </si>
  <si>
    <t>98752</t>
  </si>
  <si>
    <t>SOLDA DE TOPO EM CHAPA/PERFIL/TUBO DE AÇO CHANFRADO, ESPESSURA=5/8''. AF_06/2018</t>
  </si>
  <si>
    <t>98753</t>
  </si>
  <si>
    <t>SOLDA DE TOPO EM CHAPA/PERFIL/TUBO DE AÇO CHANFRADO, ESPESSURA=3/4''. AF_06/2018</t>
  </si>
  <si>
    <t>12,11</t>
  </si>
  <si>
    <t>13,14</t>
  </si>
  <si>
    <t>19,24</t>
  </si>
  <si>
    <t>20,93</t>
  </si>
  <si>
    <t>25,87</t>
  </si>
  <si>
    <t>17,36</t>
  </si>
  <si>
    <t>38,32</t>
  </si>
  <si>
    <t>27,29</t>
  </si>
  <si>
    <t>92281</t>
  </si>
  <si>
    <t>92282</t>
  </si>
  <si>
    <t>92283</t>
  </si>
  <si>
    <t>92284</t>
  </si>
  <si>
    <t>92285</t>
  </si>
  <si>
    <t>92286</t>
  </si>
  <si>
    <t>92308</t>
  </si>
  <si>
    <t>92309</t>
  </si>
  <si>
    <t>92310</t>
  </si>
  <si>
    <t>92323</t>
  </si>
  <si>
    <t>92324</t>
  </si>
  <si>
    <t>92325</t>
  </si>
  <si>
    <t>48,65</t>
  </si>
  <si>
    <t>37,24</t>
  </si>
  <si>
    <t>25,32</t>
  </si>
  <si>
    <t>97327</t>
  </si>
  <si>
    <t>97328</t>
  </si>
  <si>
    <t>97329</t>
  </si>
  <si>
    <t>97330</t>
  </si>
  <si>
    <t>97331</t>
  </si>
  <si>
    <t>97332</t>
  </si>
  <si>
    <t>97333</t>
  </si>
  <si>
    <t>97334</t>
  </si>
  <si>
    <t>97335</t>
  </si>
  <si>
    <t>97336</t>
  </si>
  <si>
    <t>97337</t>
  </si>
  <si>
    <t>97338</t>
  </si>
  <si>
    <t>97339</t>
  </si>
  <si>
    <t>97340</t>
  </si>
  <si>
    <t>3,78</t>
  </si>
  <si>
    <t>19,00</t>
  </si>
  <si>
    <t>18,03</t>
  </si>
  <si>
    <t>15,19</t>
  </si>
  <si>
    <t>70,13</t>
  </si>
  <si>
    <t>17,65</t>
  </si>
  <si>
    <t>1,62</t>
  </si>
  <si>
    <t>20,70</t>
  </si>
  <si>
    <t>21,86</t>
  </si>
  <si>
    <t>14,65</t>
  </si>
  <si>
    <t>99054</t>
  </si>
  <si>
    <t>33,07</t>
  </si>
  <si>
    <t>21,94</t>
  </si>
  <si>
    <t>9,74</t>
  </si>
  <si>
    <t>CHAPA COMPENSADO NAVAL ESP. 10MM</t>
  </si>
  <si>
    <t>PONTALETE DE MADEIRA BRUTA DE 3ª 8.0 X 8.0 CM</t>
  </si>
  <si>
    <t>PECA EM MADEIRA 7X5CM (BRUTA)</t>
  </si>
  <si>
    <t>MANTA ASFALTICA 3MM TIPO III - APP (AREIA/POLIESTER/POLIESTER) NBR 9952, INCL. ARG. REGULAR. E PROTECAO</t>
  </si>
  <si>
    <t>MANTA ASFALTICA 4MM TIPO III - APP (AREIA/POLIESTER/POLIESTER) NBR 9952, INCL. ARG. REGULAR. E PROTECAO</t>
  </si>
  <si>
    <t>CANTONEIRA ABAS IGUAIS DE FERRO ASTM A-36 - 1/8" X 1/2" X 1/2"</t>
  </si>
  <si>
    <t>CANTONEIRA ABAS IGUAIS DE FERRO ASTM A-36 - 1/8" X 3/4" X 3/4"</t>
  </si>
  <si>
    <t>PORTA EM COMPENSADO LISA LEVE COLMEIA ESP.35MM,0.7X2.1M P/PINT.</t>
  </si>
  <si>
    <t>PORTA MADEIRA DE LEI LISA MEDIA SARRAFEADA ESP 30 MM 0.6X2.1M P/ PINTURA</t>
  </si>
  <si>
    <t>PORTA MADEIRA DE LEI LISA MEDIA SARRAFEADA ESP 30 MM 0.7X2.1M P/ PINTURA</t>
  </si>
  <si>
    <t>PORTA MADEIRA DE LEI LISA MEDIA SARRAFEADA ESP 30 MM 0.8X2.1M P/ PINTURA</t>
  </si>
  <si>
    <t>PORTA MADEIRA DE LEI LISA MEDIA SARRAFEADA ESP 30 MM 0.9X2.1M P/ PINTURA</t>
  </si>
  <si>
    <t>PORTA MADEIRA DE LEI LISA MEDIA SARRAFEADA ESP 30MM P/ PINTURA 0.80 X 1.60 M</t>
  </si>
  <si>
    <t>PORTA MADEIRA DE LEI LISA MEDIA SARRAFEADA ESP 30MM P/ PINTURA 0.60 X 1.60M</t>
  </si>
  <si>
    <t>PORTA ABRIR VENEZIANA ALUM ANOD NATURAL LINHA 25/SUPREMA</t>
  </si>
  <si>
    <t>JANELA MAXIM-AR ALUMINIO ANOD. NATURAL LINHA 25/SUPREMA</t>
  </si>
  <si>
    <t>JANELA DE CORRER ALUMINIO ANOD. NATURAL LINHA 25/SUPREMA</t>
  </si>
  <si>
    <t>PORCELANTO NATURAL ACETINADO 60X60CM PLATINA NA</t>
  </si>
  <si>
    <t>CANTONEIRA ABAS IGUAIS DE FERRO ASTM A-36 - 1/8" X 1" X 1"</t>
  </si>
  <si>
    <t>CANTONEIRA ABAS IGUAIS DE FERRO ASTM A-36 - 3/16" X 1.1/2" X 1.1/2" GALV.</t>
  </si>
  <si>
    <t>BOMBA CENTR TRIFASICA 220/380V 5CV REF CAM 620 TJM</t>
  </si>
  <si>
    <t>CANTONEIRA ABAS IGUAIS DE FERRO ASTM A-36 - 3/16" X 1.1/2" X 1.1/2"</t>
  </si>
  <si>
    <t>CANTONEIRA ABAS IGUAIS DE FERRO ASTM A-36 - 3/16" X 1" X 1"</t>
  </si>
  <si>
    <t>CANTONEIRA ABAS IGUAIS DE FERRO ASTM A-36 - 3/16" X 1.1/4" X 1.1/4"</t>
  </si>
  <si>
    <t>REGULADOR PRESSAO PRIM EST SAIDA 150KPA INC VALVULA P/ 02 CILIDROS</t>
  </si>
  <si>
    <t>TORNEIRA JATO ESGUICHO EM ACO INOX DIAM. 3/8" - TAMANHO 15 CM P/ BEBEDOURO INDUSTRIAL</t>
  </si>
  <si>
    <t>CAIXA DE INCENDIO/ABRIGO PARA MANGUEIRA 60X90X17CM C/ TAMPA E SUPORTE</t>
  </si>
  <si>
    <t>CAIXA DE INCENDIO/ABRIGO PARA MANGUEIRA 80X90X17CM C/ TAMPA E SUPORTE</t>
  </si>
  <si>
    <t>CANTONEIRA ABAS IGUAIS DE FERRO ASTM A-36 - 1/4" X 1.1/4" X 1.1/4"</t>
  </si>
  <si>
    <t>MATERIAL DE CONSUMO I</t>
  </si>
  <si>
    <t>03.03.01</t>
  </si>
  <si>
    <t>03.03.02</t>
  </si>
  <si>
    <t>03.03.03</t>
  </si>
  <si>
    <t>03.03.04</t>
  </si>
  <si>
    <t>03.03.05</t>
  </si>
  <si>
    <r>
      <t xml:space="preserve">BDI: </t>
    </r>
    <r>
      <rPr>
        <sz val="10"/>
        <rFont val="Arial"/>
        <family val="2"/>
      </rPr>
      <t>27,64% - Serviços</t>
    </r>
    <r>
      <rPr>
        <b/>
        <sz val="10"/>
        <rFont val="Arial"/>
        <family val="2"/>
      </rPr>
      <t xml:space="preserve">
DATA BASE: </t>
    </r>
    <r>
      <rPr>
        <sz val="10"/>
        <rFont val="Arial"/>
        <family val="2"/>
      </rPr>
      <t>Setembro/2018</t>
    </r>
  </si>
  <si>
    <t>02.01.09</t>
  </si>
  <si>
    <t>REMOÇÃO DE CARPETE</t>
  </si>
  <si>
    <t>03.01.11</t>
  </si>
  <si>
    <t>FORNECIMENTO E INSTALAÇÃO DE CARPETE BERBER POINT 650 DA BEAULIEU E=6MM</t>
  </si>
  <si>
    <t xml:space="preserve">PORTA EM MADEIRA DE LEI PARA PINTURA, 160X210X3,5CM, 5CM, 2 FOLHAS, INCLUSO ADUELA 2A, ALIZAR 2A E DOBRADIÇAS </t>
  </si>
  <si>
    <t>PORTA DE VIDRO TEMPERADO, 02 FOLHAS, 1,60X2,10M, ESPESSURA 10MM, INCLUSIVE ACESSORIOS</t>
  </si>
  <si>
    <t>04.01.06</t>
  </si>
  <si>
    <t>05.02.06</t>
  </si>
  <si>
    <t>05.03.01</t>
  </si>
  <si>
    <t>05.03.02</t>
  </si>
  <si>
    <t>05.03.03</t>
  </si>
  <si>
    <t>05.03.04</t>
  </si>
  <si>
    <t>05.03.05</t>
  </si>
  <si>
    <t>05.03.06</t>
  </si>
  <si>
    <t>05.03.07</t>
  </si>
  <si>
    <t>VASO SANITÁRIO SIFONADO COM CAIXA ACOPLADA LOUÇA BRANCA - PADRÃO MÉDIO, INCLUSO ENGATE FLEXÍVEL EM METAL CROMADO, 1/2 X 40CM - FORNECIMENTO E INSTALAÇÃO.</t>
  </si>
  <si>
    <t>05.03.08</t>
  </si>
  <si>
    <t>LAVATÓRIO LOUÇA BRANCA SUSPENSO, 29,5 X 39CM OU EQUIVALENTE, PADRÃO POPULAR, INCLUSO SIFÃO FLEXÍVEL EM PVC, VÁLVULA E ENGATE FLEXÍVEL 30CM EM PLÁSTICO E TORNEIRA CROMADA DE MESA, PADRÃO POPULAR - FORNECIMENTO E INSTALAÇÃO.</t>
  </si>
  <si>
    <t>05.03.09</t>
  </si>
  <si>
    <t>05.03.10</t>
  </si>
  <si>
    <t>REGISTRO DE GAVETA BRUTO, LATÃO, ROSCÁVEL, 3/4", FORNECIDO E INSTALADO EM RAMAL DE ÁGUA.</t>
  </si>
  <si>
    <t>05.01.06</t>
  </si>
  <si>
    <t>TE, PVC, SOLDÁVEL, DN 20MM, INSTALADO EM RAMAL OU SUB-RAMAL DE ÁGUA - FORNECIMENTO E INSTALAÇÃO.</t>
  </si>
  <si>
    <t>05.01.07</t>
  </si>
  <si>
    <t>TE, PVC, SOLDÁVEL, DN 25MM, INSTALADO EM RAMAL OU SUB-RAMAL DE ÁGUA - FORNECIMENTO E INSTALAÇÃO.</t>
  </si>
  <si>
    <t>05.03.11</t>
  </si>
  <si>
    <t>05.03.12</t>
  </si>
  <si>
    <t>PAPELEIRA DE PAREDE EM METAL CROMADO SEM TAMPA, INCLUSO FIXAÇÃO.</t>
  </si>
  <si>
    <t>05.03.13</t>
  </si>
  <si>
    <t>05.03.14</t>
  </si>
  <si>
    <t>PORTA TOALHA INOX PARA PAPEL TOALHA EM ROLO</t>
  </si>
  <si>
    <t xml:space="preserve">VASO SANITARIO SIFONADO CONVENCIONAL PARA PCD SEM FURO FRONTAL COM  LOUÇA BRANCA SEM ASSENTO -  FORNECIMENTO E INSTALAÇÃO. </t>
  </si>
  <si>
    <t>05.03.15</t>
  </si>
  <si>
    <t>03.02.05</t>
  </si>
  <si>
    <t>FORNECIMENTO E ASSENTAMENTO DE  RODA BANCA EM GRANITO POLIDO</t>
  </si>
  <si>
    <t>03.02.06</t>
  </si>
  <si>
    <t>06.02.04</t>
  </si>
  <si>
    <t>06.02.05</t>
  </si>
  <si>
    <t>06.02.06</t>
  </si>
  <si>
    <t>LUMINÁRIA TIPO SPOT DE EMBUTIR MR16 G-LIGHT OU SIMILAR COM LÂMPADA DICRÓICA 50W</t>
  </si>
  <si>
    <t>0.0525</t>
  </si>
  <si>
    <t>LUMINÁRIA FLUORESCENTE TUBULAR 1 X 40 W / 127V, COMPLETA</t>
  </si>
  <si>
    <t>06.02.07</t>
  </si>
  <si>
    <t>06.02.08</t>
  </si>
  <si>
    <t xml:space="preserve">LUMINÁRIA TIPO PLAFON, DE SOBREPOR, COM 1 LÂMPADA LED - FORNECIMENTO E INSTALAÇÃO. </t>
  </si>
  <si>
    <t>06.02.09</t>
  </si>
  <si>
    <t>05.03.18</t>
  </si>
  <si>
    <t>05.02.07</t>
  </si>
  <si>
    <t>PORTA EM ALUMÍNIO DE ABRIR TIPO VENEZIANA COM GUARNIÇÃO, FIXAÇÃO COM PARAFUSOS - FORNECIMENTO E INSTALAÇÃO.</t>
  </si>
  <si>
    <t>GUARDA CORPO E CORRIMÃO EM TUBO FERRO GALVANIZADO, ALT=1,10M, COM BARRAS VERTICAIS A CADA 11CM (3/4") E BARRAS HORIZONTAIS (SUPERIOR, INTERMEDIÁRIAS (DUAS) E INFERIOR) DE 1.1/2", INCLUSIVE CURVA DE AÇO</t>
  </si>
  <si>
    <t>03.02.07</t>
  </si>
  <si>
    <t xml:space="preserve">BARRA DE APOIO, RETA, FIXA, EM AÇO INOX, L=40CM, D=1 1/2", JACKWAL OU SIMILAR </t>
  </si>
  <si>
    <t xml:space="preserve">BARRA DE APOIO, RETA, FIXA, EM AÇO INOX, L=70CM, D=1 1/2", JACKWAL OU SIMILAR </t>
  </si>
  <si>
    <t xml:space="preserve">BARRA DE APOIO, RETA, FIXA, EM AÇO INOX, L=80CM, D=1 1/2", JACKWAL OU SIMILAR </t>
  </si>
  <si>
    <t>0.8492</t>
  </si>
  <si>
    <t>05.03.16</t>
  </si>
  <si>
    <t>05.03.17</t>
  </si>
  <si>
    <t>TUBO PVC, SERIE NORMAL, ESGOTO PREDIAL, DN 100 MM, FORNECIDO E INSTALADO EM RAMAL DE DESCARGA OU RAMAL DE ESGOTO SANITÁRIO.</t>
  </si>
  <si>
    <t>CABO DE COBRE FLEXÍVEL ISOLADO, 2,5 MM², ANTI-CHAMA 0,6/1,0 KV, PARA CIRCUITOS TERMINAIS - FORNECIMENTO E INSTALAÇÃO.</t>
  </si>
  <si>
    <t>CABO DE COBRE FLEXÍVEL ISOLADO, 4 MM², ANTI-CHAMA 0,6/1,0 KV, PARA CIRCUITOS TERMINAIS - FORNECIMENTO E INSTALAÇÃO.</t>
  </si>
  <si>
    <t>FORNECIMENTO E INSTALAÇÃO DE FACHADA EM PELE DE VIDRO, LINHA CITTA DUE ALCOA, EM VIDRO LAMINADO 3+3 PRATA REFLETIVO MEDINDO 8,30X6,87M,C/06 MODULOS VERTICAL E 11 MODULOS HORIZONTAL. E 05 JANELAS MAXI MAR.</t>
  </si>
  <si>
    <t>04.01.07</t>
  </si>
  <si>
    <t>05.03.19</t>
  </si>
  <si>
    <t>CABO DE COBRE FLEXÍVEL ISOLADO, 1,5 MM², ANTI-CHAMA 0,6/1,0 KV, PARA CIRCUITOS TERMINAIS - FORNECIMENTO E INSTALAÇÃO.</t>
  </si>
  <si>
    <t>PONTO DE ILUMINAÇÃO RESIDENCIAL INCLUINDO INTERRUPTOR SIMPLES, CAIXA ELÉTRICA, ELETRODUTO, CABO, RASGO, QUEBRA E CHUMBAMENTO (EXCLUINDO LUMINÁRIA E LÂMPADA).</t>
  </si>
  <si>
    <t>FORNECIMENTO DE PERFIL "U" CHAPA DOBRADA PARA VIGA DE SUSTENTAÇÃO DA ESCADA</t>
  </si>
  <si>
    <t xml:space="preserve">CANTONEIRA DE AÇO PERFIL "L" EM ABAS IGUAIS 1"X1"X1/8" 
</t>
  </si>
  <si>
    <t>OBRA: REFORMA DO TEATRO MUNICIPAL</t>
  </si>
  <si>
    <t>06.02.10</t>
  </si>
  <si>
    <t>LUSTRE DE CRISTAL 28 LÂMPADAS</t>
  </si>
  <si>
    <t>01.01.07</t>
  </si>
  <si>
    <t>1 mês</t>
  </si>
  <si>
    <t>2 mês</t>
  </si>
  <si>
    <t>3 mês</t>
  </si>
  <si>
    <t>4 mês</t>
  </si>
  <si>
    <t>REDE DE LUZ, INCL. PADRÃO ENTRADA DE ENERGIA TRIFÁS., CABO DE LIGAÇÃO ATÉ BARRACÕES, QUADRO DE DISTRIB., DISJ. E CHAVE DE FORÇA (QUANDO NECESSÁRIO), CONS. 20M ENTRE PADRÃO ENTRADA E QDG, CONF. PROJETO (1 UTILIZAÇÃO)</t>
  </si>
  <si>
    <t>PONTO PARA RALO SIFONADO, INCLUSIVE RALO SIFONADO 100 X 40 MM C/ GRELHA EM AÇÕ INOX</t>
  </si>
  <si>
    <t>PONTO PARA CAIXA SIFONADA, INCLUSIVE CAIXA SIFONADA PVC 150X150X50MM COM GRELHA EM AÇO INOX</t>
  </si>
  <si>
    <t>BANCADA DE GRANITO COM ESPESSURA DE 2 CM</t>
  </si>
  <si>
    <t>TORNEIRA PARA LAVATÓRIO LINHA ANTI-VANDALISMO, MARCAS DE REFERÊNCIA FABRIMAR, DECA OU DOCOL</t>
  </si>
  <si>
    <t>CHUVEIRO COMPLETO, LINHA ANTI-VANDALISMO, MARCAS DE REFERÊNCIA FABRIMAR, DECA OU DOCOL</t>
  </si>
  <si>
    <t>PONTO P/ VÁLVULA (MICTÓRIO) INCLUSIVE VÁLVULA COM ACABAMENTO MARCA DE REFERÊNCIA PRESSMATIC DOCOL, MOD. 17015106 E TUBO DE LIGAÇÃO P/MICTÓRIO ANTIVANDALISMO PRESSMATIC MOD. 00132606 MARCA DE REF. DOCOL OU EQUIVALENTE</t>
  </si>
  <si>
    <t>DUCHA MANUAL ACQUA JET , LINHA AQUARIUS, COM REGISTRO REF.C 2195, MARCAS DE REFERÊNCIA FABRIMAR, DECA OU DOCOL</t>
  </si>
  <si>
    <t xml:space="preserve">CURVA ABC </t>
  </si>
  <si>
    <t>EMPRESA</t>
  </si>
  <si>
    <t xml:space="preserve">VALOR </t>
  </si>
  <si>
    <t>Madeira Madeira</t>
  </si>
  <si>
    <t>Mercado Livre</t>
  </si>
  <si>
    <t>Guaporé</t>
  </si>
  <si>
    <t>MÉDIA</t>
  </si>
  <si>
    <t xml:space="preserve">QUADRO RESUMO </t>
  </si>
  <si>
    <t>04.02</t>
  </si>
  <si>
    <t>04.02.01</t>
  </si>
  <si>
    <t>06.01</t>
  </si>
  <si>
    <t>08.01</t>
  </si>
  <si>
    <t>08</t>
  </si>
  <si>
    <t>09</t>
  </si>
  <si>
    <t>09.01</t>
  </si>
  <si>
    <t>09.01.01</t>
  </si>
  <si>
    <t>09.02</t>
  </si>
  <si>
    <t>09.02.01</t>
  </si>
  <si>
    <t>10.01</t>
  </si>
  <si>
    <t>11.01</t>
  </si>
  <si>
    <t>12.01</t>
  </si>
  <si>
    <t>12.02</t>
  </si>
  <si>
    <t>16.01</t>
  </si>
  <si>
    <t>19,46</t>
  </si>
  <si>
    <t>53,98</t>
  </si>
  <si>
    <t>0,93</t>
  </si>
  <si>
    <t>34,40</t>
  </si>
  <si>
    <t>82,42</t>
  </si>
  <si>
    <t>13,10</t>
  </si>
  <si>
    <t>26,59</t>
  </si>
  <si>
    <t>2,13</t>
  </si>
  <si>
    <t>4,47</t>
  </si>
  <si>
    <t>42,22</t>
  </si>
  <si>
    <t>46,11</t>
  </si>
  <si>
    <t>52,50</t>
  </si>
  <si>
    <t>35,63</t>
  </si>
  <si>
    <t>37,98</t>
  </si>
  <si>
    <t>17,59</t>
  </si>
  <si>
    <t>21,97</t>
  </si>
  <si>
    <t>37,59</t>
  </si>
  <si>
    <t>23,94</t>
  </si>
  <si>
    <t>28,85</t>
  </si>
  <si>
    <t>12,68</t>
  </si>
  <si>
    <t>7,08</t>
  </si>
  <si>
    <t>22,94</t>
  </si>
  <si>
    <t>34,47</t>
  </si>
  <si>
    <t>4,26</t>
  </si>
  <si>
    <t>14,56</t>
  </si>
  <si>
    <t>5,09</t>
  </si>
  <si>
    <t>1,04</t>
  </si>
  <si>
    <t>9,08</t>
  </si>
  <si>
    <t>29,19</t>
  </si>
  <si>
    <t>17,37</t>
  </si>
  <si>
    <t>99240</t>
  </si>
  <si>
    <t>99241</t>
  </si>
  <si>
    <t>99242</t>
  </si>
  <si>
    <t>99243</t>
  </si>
  <si>
    <t>99244</t>
  </si>
  <si>
    <t>99246</t>
  </si>
  <si>
    <t>99247</t>
  </si>
  <si>
    <t>99248</t>
  </si>
  <si>
    <t>99249</t>
  </si>
  <si>
    <t>99252</t>
  </si>
  <si>
    <t>99254</t>
  </si>
  <si>
    <t>99256</t>
  </si>
  <si>
    <t>99259</t>
  </si>
  <si>
    <t>99261</t>
  </si>
  <si>
    <t>99263</t>
  </si>
  <si>
    <t>99265</t>
  </si>
  <si>
    <t>99266</t>
  </si>
  <si>
    <t>99267</t>
  </si>
  <si>
    <t>99269</t>
  </si>
  <si>
    <t>99271</t>
  </si>
  <si>
    <t>99272</t>
  </si>
  <si>
    <t>99273</t>
  </si>
  <si>
    <t>99274</t>
  </si>
  <si>
    <t>99276</t>
  </si>
  <si>
    <t>99277</t>
  </si>
  <si>
    <t>99278</t>
  </si>
  <si>
    <t>99279</t>
  </si>
  <si>
    <t>99280</t>
  </si>
  <si>
    <t>99281</t>
  </si>
  <si>
    <t>99282</t>
  </si>
  <si>
    <t>99283</t>
  </si>
  <si>
    <t>99284</t>
  </si>
  <si>
    <t>99286</t>
  </si>
  <si>
    <t>99287</t>
  </si>
  <si>
    <t>99288</t>
  </si>
  <si>
    <t>99289</t>
  </si>
  <si>
    <t>99290</t>
  </si>
  <si>
    <t>99291</t>
  </si>
  <si>
    <t>99292</t>
  </si>
  <si>
    <t>99293</t>
  </si>
  <si>
    <t>99294</t>
  </si>
  <si>
    <t>99296</t>
  </si>
  <si>
    <t>99297</t>
  </si>
  <si>
    <t>99298</t>
  </si>
  <si>
    <t>99299</t>
  </si>
  <si>
    <t>99300</t>
  </si>
  <si>
    <t>99301</t>
  </si>
  <si>
    <t>99302</t>
  </si>
  <si>
    <t>99303</t>
  </si>
  <si>
    <t>99304</t>
  </si>
  <si>
    <t>99305</t>
  </si>
  <si>
    <t>99306</t>
  </si>
  <si>
    <t>99307</t>
  </si>
  <si>
    <t>99308</t>
  </si>
  <si>
    <t>99309</t>
  </si>
  <si>
    <t>99310</t>
  </si>
  <si>
    <t>99311</t>
  </si>
  <si>
    <t>99312</t>
  </si>
  <si>
    <t>99313</t>
  </si>
  <si>
    <t>99314</t>
  </si>
  <si>
    <t>99315</t>
  </si>
  <si>
    <t>99317</t>
  </si>
  <si>
    <t>99318</t>
  </si>
  <si>
    <t>99319</t>
  </si>
  <si>
    <t>99320</t>
  </si>
  <si>
    <t>99321</t>
  </si>
  <si>
    <t>99322</t>
  </si>
  <si>
    <t>99323</t>
  </si>
  <si>
    <t>99324</t>
  </si>
  <si>
    <t>99325</t>
  </si>
  <si>
    <t>99326</t>
  </si>
  <si>
    <t>99327</t>
  </si>
  <si>
    <t>18,96</t>
  </si>
  <si>
    <t>19,68</t>
  </si>
  <si>
    <t>54,36</t>
  </si>
  <si>
    <t>11,42</t>
  </si>
  <si>
    <t>15,50</t>
  </si>
  <si>
    <t>32,03</t>
  </si>
  <si>
    <t>30,79</t>
  </si>
  <si>
    <t>43,84</t>
  </si>
  <si>
    <t>25,15</t>
  </si>
  <si>
    <t>9,79</t>
  </si>
  <si>
    <t>5,06</t>
  </si>
  <si>
    <t>12,63</t>
  </si>
  <si>
    <t>23,95</t>
  </si>
  <si>
    <t>99235</t>
  </si>
  <si>
    <t>99431</t>
  </si>
  <si>
    <t>99432</t>
  </si>
  <si>
    <t>99433</t>
  </si>
  <si>
    <t>99434</t>
  </si>
  <si>
    <t>99435</t>
  </si>
  <si>
    <t>99436</t>
  </si>
  <si>
    <t>99437</t>
  </si>
  <si>
    <t>99438</t>
  </si>
  <si>
    <t>99439</t>
  </si>
  <si>
    <t>23,08</t>
  </si>
  <si>
    <t>25,80</t>
  </si>
  <si>
    <t>49,29</t>
  </si>
  <si>
    <t>12,75</t>
  </si>
  <si>
    <t>11,69</t>
  </si>
  <si>
    <t>8,87</t>
  </si>
  <si>
    <t>15,49</t>
  </si>
  <si>
    <t>19,61</t>
  </si>
  <si>
    <t>7,78</t>
  </si>
  <si>
    <t>20,07</t>
  </si>
  <si>
    <t>19,32</t>
  </si>
  <si>
    <t>23,68</t>
  </si>
  <si>
    <t>25,45</t>
  </si>
  <si>
    <t>17,10</t>
  </si>
  <si>
    <t>22,56</t>
  </si>
  <si>
    <t>26,68</t>
  </si>
  <si>
    <t>23,62</t>
  </si>
  <si>
    <t>3,73</t>
  </si>
  <si>
    <t>42,28</t>
  </si>
  <si>
    <t>11,57</t>
  </si>
  <si>
    <t>13,50</t>
  </si>
  <si>
    <t>9,15</t>
  </si>
  <si>
    <t>5,39</t>
  </si>
  <si>
    <t>24,81</t>
  </si>
  <si>
    <t>13,01</t>
  </si>
  <si>
    <t>19,35</t>
  </si>
  <si>
    <t>16,00</t>
  </si>
  <si>
    <t>12,46</t>
  </si>
  <si>
    <t>11,54</t>
  </si>
  <si>
    <t>13,53</t>
  </si>
  <si>
    <t>9,57</t>
  </si>
  <si>
    <t>17,12</t>
  </si>
  <si>
    <t>16,79</t>
  </si>
  <si>
    <t>4,02</t>
  </si>
  <si>
    <t>84,49</t>
  </si>
  <si>
    <t>33,50</t>
  </si>
  <si>
    <t>64,07</t>
  </si>
  <si>
    <t>21,12</t>
  </si>
  <si>
    <t>33,86</t>
  </si>
  <si>
    <t>9,51</t>
  </si>
  <si>
    <t>24,46</t>
  </si>
  <si>
    <t>15,84</t>
  </si>
  <si>
    <t>27,08</t>
  </si>
  <si>
    <t>17,21</t>
  </si>
  <si>
    <t>21,96</t>
  </si>
  <si>
    <t>11,32</t>
  </si>
  <si>
    <t>14,17</t>
  </si>
  <si>
    <t>13,44</t>
  </si>
  <si>
    <t>19,12</t>
  </si>
  <si>
    <t>20,69</t>
  </si>
  <si>
    <t>31,50</t>
  </si>
  <si>
    <t>33,69</t>
  </si>
  <si>
    <t>34,30</t>
  </si>
  <si>
    <t>99250</t>
  </si>
  <si>
    <t>99251</t>
  </si>
  <si>
    <t>99253</t>
  </si>
  <si>
    <t>99255</t>
  </si>
  <si>
    <t>99257</t>
  </si>
  <si>
    <t>99258</t>
  </si>
  <si>
    <t>99260</t>
  </si>
  <si>
    <t>99262</t>
  </si>
  <si>
    <t>99264</t>
  </si>
  <si>
    <t>99619</t>
  </si>
  <si>
    <t>99620</t>
  </si>
  <si>
    <t>99621</t>
  </si>
  <si>
    <t>99622</t>
  </si>
  <si>
    <t>99623</t>
  </si>
  <si>
    <t>99624</t>
  </si>
  <si>
    <t>99625</t>
  </si>
  <si>
    <t>99626</t>
  </si>
  <si>
    <t>99627</t>
  </si>
  <si>
    <t>99628</t>
  </si>
  <si>
    <t>99629</t>
  </si>
  <si>
    <t>99630</t>
  </si>
  <si>
    <t>99631</t>
  </si>
  <si>
    <t>99632</t>
  </si>
  <si>
    <t>99633</t>
  </si>
  <si>
    <t>99634</t>
  </si>
  <si>
    <t>99635</t>
  </si>
  <si>
    <t>20,58</t>
  </si>
  <si>
    <t>8,27</t>
  </si>
  <si>
    <t>13,92</t>
  </si>
  <si>
    <t>10,15</t>
  </si>
  <si>
    <t>5,29</t>
  </si>
  <si>
    <t>5,16</t>
  </si>
  <si>
    <t>11,26</t>
  </si>
  <si>
    <t>3,99</t>
  </si>
  <si>
    <t>35,85</t>
  </si>
  <si>
    <t>62,95</t>
  </si>
  <si>
    <t>14,90</t>
  </si>
  <si>
    <t>22,77</t>
  </si>
  <si>
    <t>16,40</t>
  </si>
  <si>
    <t>23,19</t>
  </si>
  <si>
    <t>15,30</t>
  </si>
  <si>
    <t>18,11</t>
  </si>
  <si>
    <t>11,49</t>
  </si>
  <si>
    <t>28,89</t>
  </si>
  <si>
    <t>33,88</t>
  </si>
  <si>
    <t>21,06</t>
  </si>
  <si>
    <t>15,14</t>
  </si>
  <si>
    <t>27,24</t>
  </si>
  <si>
    <t>99059</t>
  </si>
  <si>
    <t>99060</t>
  </si>
  <si>
    <t>99061</t>
  </si>
  <si>
    <t>99062</t>
  </si>
  <si>
    <t>99063</t>
  </si>
  <si>
    <t>25,63</t>
  </si>
  <si>
    <t>22,61</t>
  </si>
  <si>
    <t>26,60</t>
  </si>
  <si>
    <t>73,46</t>
  </si>
  <si>
    <t>3,37</t>
  </si>
  <si>
    <t>11,75</t>
  </si>
  <si>
    <t>37,50</t>
  </si>
  <si>
    <t>37,03</t>
  </si>
  <si>
    <t>23,46</t>
  </si>
  <si>
    <t>34,22</t>
  </si>
  <si>
    <t>13,02</t>
  </si>
  <si>
    <t>19,23</t>
  </si>
  <si>
    <t>47,29</t>
  </si>
  <si>
    <t>10,51</t>
  </si>
  <si>
    <t>58,89</t>
  </si>
  <si>
    <t>12,56</t>
  </si>
  <si>
    <t>14,89</t>
  </si>
  <si>
    <t>70,84</t>
  </si>
  <si>
    <t>32,82</t>
  </si>
  <si>
    <t>25,74</t>
  </si>
  <si>
    <t>29,99</t>
  </si>
  <si>
    <t>10,99</t>
  </si>
  <si>
    <t>3,07</t>
  </si>
  <si>
    <t>25,39</t>
  </si>
  <si>
    <t>17,44</t>
  </si>
  <si>
    <t>14,32</t>
  </si>
  <si>
    <t>28,29</t>
  </si>
  <si>
    <t>29,01</t>
  </si>
  <si>
    <t>31,88</t>
  </si>
  <si>
    <t>44,69</t>
  </si>
  <si>
    <t>61,90</t>
  </si>
  <si>
    <t>54,96</t>
  </si>
  <si>
    <t>21,83</t>
  </si>
  <si>
    <t>14,53</t>
  </si>
  <si>
    <t>28,72</t>
  </si>
  <si>
    <t>74,81</t>
  </si>
  <si>
    <t>15,15</t>
  </si>
  <si>
    <t>17,42</t>
  </si>
  <si>
    <t>29,91</t>
  </si>
  <si>
    <t>28,44</t>
  </si>
  <si>
    <t>M2XMES</t>
  </si>
  <si>
    <t xml:space="preserve">MXMES </t>
  </si>
  <si>
    <t>14,33</t>
  </si>
  <si>
    <t>13,59</t>
  </si>
  <si>
    <t>10,76</t>
  </si>
  <si>
    <t>25,65</t>
  </si>
  <si>
    <t>580.000,00</t>
  </si>
  <si>
    <t>10,73</t>
  </si>
  <si>
    <t>17,23</t>
  </si>
  <si>
    <t>73,65</t>
  </si>
  <si>
    <t>5,87</t>
  </si>
  <si>
    <t>16,95</t>
  </si>
  <si>
    <t>14,20</t>
  </si>
  <si>
    <t>20,24</t>
  </si>
  <si>
    <t>17,85</t>
  </si>
  <si>
    <t>17,39</t>
  </si>
  <si>
    <t>67,58</t>
  </si>
  <si>
    <t>28,99</t>
  </si>
  <si>
    <t>23,25</t>
  </si>
  <si>
    <t>16,08</t>
  </si>
  <si>
    <t>12,38</t>
  </si>
  <si>
    <t>41,40</t>
  </si>
  <si>
    <t>22,07</t>
  </si>
  <si>
    <t>10,58</t>
  </si>
  <si>
    <t>29,37</t>
  </si>
  <si>
    <t>75,33</t>
  </si>
  <si>
    <t>27,51</t>
  </si>
  <si>
    <t>16,20</t>
  </si>
  <si>
    <t>24,33</t>
  </si>
  <si>
    <t>6,33</t>
  </si>
  <si>
    <t>6,35</t>
  </si>
  <si>
    <t>36,24</t>
  </si>
  <si>
    <t>69,78</t>
  </si>
  <si>
    <t>15,02</t>
  </si>
  <si>
    <t>4,81</t>
  </si>
  <si>
    <t>6,63</t>
  </si>
  <si>
    <t>2,82</t>
  </si>
  <si>
    <t>122,59</t>
  </si>
  <si>
    <t>51,39</t>
  </si>
  <si>
    <t>24,08</t>
  </si>
  <si>
    <t>29,55</t>
  </si>
  <si>
    <t>1,07</t>
  </si>
  <si>
    <t>17,81</t>
  </si>
  <si>
    <t>98,48</t>
  </si>
  <si>
    <t>13,47</t>
  </si>
  <si>
    <t>25,06</t>
  </si>
  <si>
    <t>25,52</t>
  </si>
  <si>
    <t>20,19</t>
  </si>
  <si>
    <t>10,39</t>
  </si>
  <si>
    <t>32,11</t>
  </si>
  <si>
    <t>30,91</t>
  </si>
  <si>
    <t>94,00</t>
  </si>
  <si>
    <t>47,97</t>
  </si>
  <si>
    <t>14,41</t>
  </si>
  <si>
    <t>112,20</t>
  </si>
  <si>
    <t>91,33</t>
  </si>
  <si>
    <t>40,88</t>
  </si>
  <si>
    <t>20,45</t>
  </si>
  <si>
    <t>90788</t>
  </si>
  <si>
    <t>90789</t>
  </si>
  <si>
    <t>90790</t>
  </si>
  <si>
    <t>90791</t>
  </si>
  <si>
    <t>90793</t>
  </si>
  <si>
    <t>24,68</t>
  </si>
  <si>
    <t>17,98</t>
  </si>
  <si>
    <t>21,25</t>
  </si>
  <si>
    <t>20,95</t>
  </si>
  <si>
    <t>66,75</t>
  </si>
  <si>
    <t>22,46</t>
  </si>
  <si>
    <t>18,71</t>
  </si>
  <si>
    <t>113,30</t>
  </si>
  <si>
    <t>71,62</t>
  </si>
  <si>
    <t>67,14</t>
  </si>
  <si>
    <t>54,57</t>
  </si>
  <si>
    <t>25,10</t>
  </si>
  <si>
    <t>17,67</t>
  </si>
  <si>
    <t>17,08</t>
  </si>
  <si>
    <t>16,12</t>
  </si>
  <si>
    <t>8,56</t>
  </si>
  <si>
    <t>9,72</t>
  </si>
  <si>
    <t>8,62</t>
  </si>
  <si>
    <t>6,18</t>
  </si>
  <si>
    <t>10,70</t>
  </si>
  <si>
    <t>13,43</t>
  </si>
  <si>
    <t>27,05</t>
  </si>
  <si>
    <t>27,66</t>
  </si>
  <si>
    <t>91833</t>
  </si>
  <si>
    <t>5,64</t>
  </si>
  <si>
    <t>91835</t>
  </si>
  <si>
    <t>91837</t>
  </si>
  <si>
    <t>91839</t>
  </si>
  <si>
    <t>91840</t>
  </si>
  <si>
    <t>91841</t>
  </si>
  <si>
    <t>91843</t>
  </si>
  <si>
    <t>91845</t>
  </si>
  <si>
    <t>91847</t>
  </si>
  <si>
    <t>91849</t>
  </si>
  <si>
    <t>91850</t>
  </si>
  <si>
    <t>91851</t>
  </si>
  <si>
    <t>7,33</t>
  </si>
  <si>
    <t>91853</t>
  </si>
  <si>
    <t>91855</t>
  </si>
  <si>
    <t>91857</t>
  </si>
  <si>
    <t>91859</t>
  </si>
  <si>
    <t>91860</t>
  </si>
  <si>
    <t>91861</t>
  </si>
  <si>
    <t>34,80</t>
  </si>
  <si>
    <t>97667</t>
  </si>
  <si>
    <t>97668</t>
  </si>
  <si>
    <t>97669</t>
  </si>
  <si>
    <t>97670</t>
  </si>
  <si>
    <t>10,17</t>
  </si>
  <si>
    <t>30,65</t>
  </si>
  <si>
    <t>7,36</t>
  </si>
  <si>
    <t>91895</t>
  </si>
  <si>
    <t>11,27</t>
  </si>
  <si>
    <t>91907</t>
  </si>
  <si>
    <t>13,76</t>
  </si>
  <si>
    <t>91919</t>
  </si>
  <si>
    <t>97559</t>
  </si>
  <si>
    <t>97562</t>
  </si>
  <si>
    <t>97564</t>
  </si>
  <si>
    <t>9,98</t>
  </si>
  <si>
    <t>18,53</t>
  </si>
  <si>
    <t>19,05</t>
  </si>
  <si>
    <t>36,64</t>
  </si>
  <si>
    <t>23,53</t>
  </si>
  <si>
    <t>29,50</t>
  </si>
  <si>
    <t>42,16</t>
  </si>
  <si>
    <t>59,10</t>
  </si>
  <si>
    <t>35,74</t>
  </si>
  <si>
    <t>19,17</t>
  </si>
  <si>
    <t>26,10</t>
  </si>
  <si>
    <t>78,46</t>
  </si>
  <si>
    <t>16,29</t>
  </si>
  <si>
    <t>5,62</t>
  </si>
  <si>
    <t>15,87</t>
  </si>
  <si>
    <t>15,17</t>
  </si>
  <si>
    <t>22,47</t>
  </si>
  <si>
    <t>23,47</t>
  </si>
  <si>
    <t>42,34</t>
  </si>
  <si>
    <t>45,84</t>
  </si>
  <si>
    <t>82,30</t>
  </si>
  <si>
    <t>35,14</t>
  </si>
  <si>
    <t>65,69</t>
  </si>
  <si>
    <t>15,53</t>
  </si>
  <si>
    <t>24,24</t>
  </si>
  <si>
    <t>12,55</t>
  </si>
  <si>
    <t>14,14</t>
  </si>
  <si>
    <t>3,76</t>
  </si>
  <si>
    <t>36,37</t>
  </si>
  <si>
    <t>39,25</t>
  </si>
  <si>
    <t>39,67</t>
  </si>
  <si>
    <t>14,63</t>
  </si>
  <si>
    <t>14,79</t>
  </si>
  <si>
    <t>33,16</t>
  </si>
  <si>
    <t>52,63</t>
  </si>
  <si>
    <t>11,25</t>
  </si>
  <si>
    <t>11,24</t>
  </si>
  <si>
    <t>18,86</t>
  </si>
  <si>
    <t>28,77</t>
  </si>
  <si>
    <t>29,02</t>
  </si>
  <si>
    <t>4,17</t>
  </si>
  <si>
    <t>21,20</t>
  </si>
  <si>
    <t>13,37</t>
  </si>
  <si>
    <t>23,22</t>
  </si>
  <si>
    <t>24,35</t>
  </si>
  <si>
    <t>9,46</t>
  </si>
  <si>
    <t>74,48</t>
  </si>
  <si>
    <t>24,25</t>
  </si>
  <si>
    <t>18,10</t>
  </si>
  <si>
    <t>18,26</t>
  </si>
  <si>
    <t>22,93</t>
  </si>
  <si>
    <t>36,04</t>
  </si>
  <si>
    <t>15,65</t>
  </si>
  <si>
    <t>12,51</t>
  </si>
  <si>
    <t>33,21</t>
  </si>
  <si>
    <t>68,21</t>
  </si>
  <si>
    <t>63,74</t>
  </si>
  <si>
    <t>4,28</t>
  </si>
  <si>
    <t>11,91</t>
  </si>
  <si>
    <t>20,66</t>
  </si>
  <si>
    <t>31,79</t>
  </si>
  <si>
    <t>19,04</t>
  </si>
  <si>
    <t>19,56</t>
  </si>
  <si>
    <t>10,42</t>
  </si>
  <si>
    <t>16,46</t>
  </si>
  <si>
    <t>15,38</t>
  </si>
  <si>
    <t>23,60</t>
  </si>
  <si>
    <t>26,30</t>
  </si>
  <si>
    <t>34,27</t>
  </si>
  <si>
    <t>40,95</t>
  </si>
  <si>
    <t>17,18</t>
  </si>
  <si>
    <t>24,07</t>
  </si>
  <si>
    <t>28,53</t>
  </si>
  <si>
    <t>37,42</t>
  </si>
  <si>
    <t>37,73</t>
  </si>
  <si>
    <t>36,89</t>
  </si>
  <si>
    <t>133,64</t>
  </si>
  <si>
    <t>35,17</t>
  </si>
  <si>
    <t>26,89</t>
  </si>
  <si>
    <t>24,78</t>
  </si>
  <si>
    <t>9,12</t>
  </si>
  <si>
    <t>29,97</t>
  </si>
  <si>
    <t>49,90</t>
  </si>
  <si>
    <t>2,96</t>
  </si>
  <si>
    <t>70,32</t>
  </si>
  <si>
    <t>56,44</t>
  </si>
  <si>
    <t>44,41</t>
  </si>
  <si>
    <t>55,77</t>
  </si>
  <si>
    <t>55,99</t>
  </si>
  <si>
    <t>53,02</t>
  </si>
  <si>
    <t>60,55</t>
  </si>
  <si>
    <t>12,00</t>
  </si>
  <si>
    <t>16,97</t>
  </si>
  <si>
    <t>18,07</t>
  </si>
  <si>
    <t>20,29</t>
  </si>
  <si>
    <t>20,31</t>
  </si>
  <si>
    <t>15,70</t>
  </si>
  <si>
    <t>11,44</t>
  </si>
  <si>
    <t>29,25</t>
  </si>
  <si>
    <t>33,42</t>
  </si>
  <si>
    <t>29,86</t>
  </si>
  <si>
    <t>46,33</t>
  </si>
  <si>
    <t>50,57</t>
  </si>
  <si>
    <t>20,51</t>
  </si>
  <si>
    <t>34,97</t>
  </si>
  <si>
    <t>27,07</t>
  </si>
  <si>
    <t>61,39</t>
  </si>
  <si>
    <t>24,93</t>
  </si>
  <si>
    <t>56,72</t>
  </si>
  <si>
    <t>2,32</t>
  </si>
  <si>
    <t>16,23</t>
  </si>
  <si>
    <t>19,34</t>
  </si>
  <si>
    <t>26,40</t>
  </si>
  <si>
    <t>17,96</t>
  </si>
  <si>
    <t>24,51</t>
  </si>
  <si>
    <t>32,91</t>
  </si>
  <si>
    <t>106,61</t>
  </si>
  <si>
    <t>18,80</t>
  </si>
  <si>
    <t>17,99</t>
  </si>
  <si>
    <t>360,85</t>
  </si>
  <si>
    <t>28,33</t>
  </si>
  <si>
    <t>17,70</t>
  </si>
  <si>
    <t>12,66</t>
  </si>
  <si>
    <t>16,99</t>
  </si>
  <si>
    <t>28,09</t>
  </si>
  <si>
    <t>42,32</t>
  </si>
  <si>
    <t>23,35</t>
  </si>
  <si>
    <t>14,05</t>
  </si>
  <si>
    <t>9,86</t>
  </si>
  <si>
    <t>21,65</t>
  </si>
  <si>
    <t>1,16</t>
  </si>
  <si>
    <t>51,56</t>
  </si>
  <si>
    <t>11,12</t>
  </si>
  <si>
    <t>3,30</t>
  </si>
  <si>
    <t>7,14</t>
  </si>
  <si>
    <t>21,67</t>
  </si>
  <si>
    <t>21,99</t>
  </si>
  <si>
    <t>23,99</t>
  </si>
  <si>
    <t>23,03</t>
  </si>
  <si>
    <t>24,22</t>
  </si>
  <si>
    <t>29,94</t>
  </si>
  <si>
    <t>122,42</t>
  </si>
  <si>
    <t>30,68</t>
  </si>
  <si>
    <t>14,82</t>
  </si>
  <si>
    <t>18,69</t>
  </si>
  <si>
    <t>23,34</t>
  </si>
  <si>
    <t>65,93</t>
  </si>
  <si>
    <t>208,13</t>
  </si>
  <si>
    <t>457,29</t>
  </si>
  <si>
    <t>45,09</t>
  </si>
  <si>
    <t>19,36</t>
  </si>
  <si>
    <t>17,22</t>
  </si>
  <si>
    <t>61,34</t>
  </si>
  <si>
    <t>38,39</t>
  </si>
  <si>
    <t>4,32</t>
  </si>
  <si>
    <t>16,06</t>
  </si>
  <si>
    <t>40,94</t>
  </si>
  <si>
    <t>47,03</t>
  </si>
  <si>
    <t>16,55</t>
  </si>
  <si>
    <t>6,17</t>
  </si>
  <si>
    <t>37,96</t>
  </si>
  <si>
    <t>23,85</t>
  </si>
  <si>
    <t>33,14</t>
  </si>
  <si>
    <t>46,15</t>
  </si>
  <si>
    <t>32,90</t>
  </si>
  <si>
    <t>14,69</t>
  </si>
  <si>
    <t>2,19</t>
  </si>
  <si>
    <t>14,13</t>
  </si>
  <si>
    <t>61,58</t>
  </si>
  <si>
    <t>76,17</t>
  </si>
  <si>
    <t>105,44</t>
  </si>
  <si>
    <t>21,93</t>
  </si>
  <si>
    <t>291,87</t>
  </si>
  <si>
    <t>217,22</t>
  </si>
  <si>
    <t>149,47</t>
  </si>
  <si>
    <t>68,09</t>
  </si>
  <si>
    <t>40,16</t>
  </si>
  <si>
    <t>20,33</t>
  </si>
  <si>
    <t>35,71</t>
  </si>
  <si>
    <t>27,75</t>
  </si>
  <si>
    <t>48,33</t>
  </si>
  <si>
    <t>27,38</t>
  </si>
  <si>
    <t>53,30</t>
  </si>
  <si>
    <t>83,27</t>
  </si>
  <si>
    <t>36,26</t>
  </si>
  <si>
    <t>23,92</t>
  </si>
  <si>
    <t>19,83</t>
  </si>
  <si>
    <t>31,97</t>
  </si>
  <si>
    <t>154,28</t>
  </si>
  <si>
    <t>22,38</t>
  </si>
  <si>
    <t>84,64</t>
  </si>
  <si>
    <t>29,31</t>
  </si>
  <si>
    <t>101,26</t>
  </si>
  <si>
    <t>17,03</t>
  </si>
  <si>
    <t>85,09</t>
  </si>
  <si>
    <t>26,00</t>
  </si>
  <si>
    <t>43,50</t>
  </si>
  <si>
    <t>05.01</t>
  </si>
  <si>
    <t>05.02</t>
  </si>
  <si>
    <t>,</t>
  </si>
  <si>
    <t>09.03</t>
  </si>
  <si>
    <t>09.03.01</t>
  </si>
  <si>
    <t>09.03.02</t>
  </si>
  <si>
    <t>11.01.01</t>
  </si>
  <si>
    <t>08.01.01</t>
  </si>
  <si>
    <t>12.01.01</t>
  </si>
  <si>
    <t>12.02.01</t>
  </si>
  <si>
    <t>03.03</t>
  </si>
  <si>
    <t>02.01</t>
  </si>
  <si>
    <t>Padrão de entrada de energia elétrica, monofásico, entrada aérea, a 2 fios, carga instalada em muro de 3500 até 9000W - 220/127V</t>
  </si>
  <si>
    <t>Padrão de entrada de energia elétrica, bifásico, entrada aérea, a 3 fios, carga instalada em muro de 9001 até 15000W - 220/127V</t>
  </si>
  <si>
    <t>Padrão de entrada de energia elétrica, trifásico, entrada aérea, a 4 fios, carga instalada em muro de 15001 até 26000W - 220/127V</t>
  </si>
  <si>
    <t>Padrão de entrada de energia elétrica, trifásico, entrada aérea, a 4 fios, carga instalada em muro de 26001 até 34000W - 220/127V</t>
  </si>
  <si>
    <t>Padrão de entrada de energia elétrica, trifásico, entrada aérea, a 4 fios, carga instalada em muro de 34001 até 41000W - 220/127V</t>
  </si>
  <si>
    <t>Padrão de entrada de energia elétrica, trifásico, entrada aérea, a 4 fios, carga instalada em muro de 57001 até 75000W - 220/127V</t>
  </si>
  <si>
    <t>Padrão de entrada de energia elétrica, trifásico, entrada subterrânea, a 4 fios, carga instalada em muro de 57001 até 75000W - 220/127V, exclusive derivação de ramal de entrada subterrânea</t>
  </si>
  <si>
    <t>Bomba centrífuga trifásica 5CV, modelo 620 Dancor, ou equivalente</t>
  </si>
  <si>
    <t>Pintura sobre pisos, marcas de referência Novacor, Coral ou Suvinil, a duas demãos, Linha Premium</t>
  </si>
  <si>
    <t>Limpeza geral da obra (edificação)</t>
  </si>
  <si>
    <t>17,38</t>
  </si>
  <si>
    <t>46,56</t>
  </si>
  <si>
    <t>45,08</t>
  </si>
  <si>
    <t>188,22</t>
  </si>
  <si>
    <t>63,54</t>
  </si>
  <si>
    <t>65,28</t>
  </si>
  <si>
    <t>3,18</t>
  </si>
  <si>
    <t>11,88</t>
  </si>
  <si>
    <t>5,40</t>
  </si>
  <si>
    <t>14,67</t>
  </si>
  <si>
    <t>2,87</t>
  </si>
  <si>
    <t>15,00</t>
  </si>
  <si>
    <t>12,04</t>
  </si>
  <si>
    <t>15,21</t>
  </si>
  <si>
    <t>153,83</t>
  </si>
  <si>
    <t>18,87</t>
  </si>
  <si>
    <t>140,64</t>
  </si>
  <si>
    <t>13,89</t>
  </si>
  <si>
    <t>8,28</t>
  </si>
  <si>
    <t>46,26</t>
  </si>
  <si>
    <t>141,45</t>
  </si>
  <si>
    <t>101,80</t>
  </si>
  <si>
    <t>99833</t>
  </si>
  <si>
    <t>37,01</t>
  </si>
  <si>
    <t>17,50</t>
  </si>
  <si>
    <t>1,20</t>
  </si>
  <si>
    <t>48,10</t>
  </si>
  <si>
    <t>14,07</t>
  </si>
  <si>
    <t>39,39</t>
  </si>
  <si>
    <t>99834</t>
  </si>
  <si>
    <t>15,64</t>
  </si>
  <si>
    <t>94,69</t>
  </si>
  <si>
    <t>6,07</t>
  </si>
  <si>
    <t>1,39</t>
  </si>
  <si>
    <t>2,00</t>
  </si>
  <si>
    <t>9,31</t>
  </si>
  <si>
    <t>8,01</t>
  </si>
  <si>
    <t>25,48</t>
  </si>
  <si>
    <t>17,00</t>
  </si>
  <si>
    <t>21,09</t>
  </si>
  <si>
    <t>16,86</t>
  </si>
  <si>
    <t>10,05</t>
  </si>
  <si>
    <t>2,77</t>
  </si>
  <si>
    <t>15,39</t>
  </si>
  <si>
    <t>99829</t>
  </si>
  <si>
    <t>99830</t>
  </si>
  <si>
    <t>99831</t>
  </si>
  <si>
    <t>99832</t>
  </si>
  <si>
    <t>INSTALAÇÃO DE TESOURA (INTEIRA OU MEIA), BIAPOIADA, EM MADEIRA NÃO APARELHADA, PARA VÃOS MAIORES OU IGUAIS A 3,0 M E MENORES QUE 6,0 M, INCLUSO IÇAMENTO. AF_07/2019</t>
  </si>
  <si>
    <t>INSTALAÇÃO DE TESOURA (INTEIRA OU MEIA), BIAPOIADA, EM MADEIRA NÃO APARELHADA, PARA VÃOS MAIORES OU IGUAIS A 6,0 M E MENORES QUE 8,0 M, INCLUSO IÇAMENTO. AF_07/2019</t>
  </si>
  <si>
    <t>INSTALAÇÃO DE TESOURA (INTEIRA OU MEIA), BIAPOIADA, EM MADEIRA NÃO APARELHADA, PARA VÃOS MAIORES OU IGUAIS A 8,0 M E MENORES QUE 10,0 M, INCLUSO IÇAMENTO. AF_07/2019</t>
  </si>
  <si>
    <t>INSTALAÇÃO DE TESOURA (INTEIRA OU MEIA), BIAPOIADA, EM MADEIRA NÃO APARELHADA, PARA VÃOS MAIORES OU IGUAIS A 10,0 M E MENORES QUE 12,0 M, INCLUSO IÇAMENTO. AF_07/2019</t>
  </si>
  <si>
    <t>TRAMA DE MADEIRA COMPOSTA POR RIPAS, CAIBROS E TERÇAS PARA TELHADOS DE ATÉ 2 ÁGUAS PARA TELHA DE ENCAIXE DE CERÂMICA OU DE CONCRETO, INCLUSO TRANSPORTE VERTICAL. AF_07/2019</t>
  </si>
  <si>
    <t>TRAMA DE MADEIRA COMPOSTA POR RIPAS, CAIBROS E TERÇAS PARA TELHADOS DE MAIS QUE 2 ÁGUAS PARA TELHA DE ENCAIXE DE CERÂMICA OU DE CONCRETO, INCLUSO TRANSPORTE VERTICAL. AF_07/2019</t>
  </si>
  <si>
    <t>TRAMA DE MADEIRA COMPOSTA POR RIPAS, CAIBROS E TERÇAS PARA TELHADOS DE ATÉ 2 ÁGUAS PARA TELHA CERÂMICA CAPA-CANAL, INCLUSO TRANSPORTE VERTICAL. AF_07/2019</t>
  </si>
  <si>
    <t>TRAMA DE MADEIRA COMPOSTA POR RIPAS, CAIBROS E TERÇAS PARA TELHADOS DE MAIS QUE 2 ÁGUAS PARA TELHA CERÂMICA CAPA-CANAL, INCLUSO TRANSPORTE VERTICAL. AF_07/2019</t>
  </si>
  <si>
    <t>TRAMA DE MADEIRA COMPOSTA POR TERÇAS PARA TELHADOS DE ATÉ 2 ÁGUAS PARA TELHA ONDULADA DE FIBROCIMENTO, METÁLICA, PLÁSTICA OU TERMOACÚSTICA, INCLUSO TRANSPORTE VERTICAL. AF_07/2019</t>
  </si>
  <si>
    <t>TRAMA DE MADEIRA COMPOSTA POR TERÇAS PARA TELHADOS DE ATÉ 2 ÁGUAS PARA TELHA ESTRUTURAL DE FIBROCIMENTO, INCLUSO TRANSPORTE VERTICAL. AF_07/2019</t>
  </si>
  <si>
    <t>FABRICAÇÃO E INSTALAÇÃO DE TESOURA INTEIRA EM MADEIRA NÃO APARELHADA, VÃO DE 3 M, PARA TELHA CERÂMICA OU DE CONCRETO, INCLUSO IÇAMENTO. AF_07/2019</t>
  </si>
  <si>
    <t>FABRICAÇÃO E INSTALAÇÃO DE TESOURA INTEIRA EM MADEIRA NÃO APARELHADA, VÃO DE 4 M, PARA TELHA CERÂMICA OU DE CONCRETO, INCLUSO IÇAMENTO. AF_07/2019</t>
  </si>
  <si>
    <t>FABRICAÇÃO E INSTALAÇÃO DE TESOURA INTEIRA EM MADEIRA NÃO APARELHADA, VÃO DE 5 M, PARA TELHA CERÂMICA OU DE CONCRETO, INCLUSO IÇAMENTO. AF_07/2019</t>
  </si>
  <si>
    <t>FABRICAÇÃO E INSTALAÇÃO DE TESOURA INTEIRA EM MADEIRA NÃO APARELHADA, VÃO DE 6 M, PARA TELHA CERÂMICA OU DE CONCRETO, INCLUSO IÇAMENTO. AF_07/2019</t>
  </si>
  <si>
    <t>FABRICAÇÃO E INSTALAÇÃO DE TESOURA INTEIRA EM MADEIRA NÃO APARELHADA, VÃO DE 7 M, PARA TELHA CERÂMICA OU DE CONCRETO, INCLUSO IÇAMENTO. AF_07/2019</t>
  </si>
  <si>
    <t>FABRICAÇÃO E INSTALAÇÃO DE TESOURA INTEIRA EM MADEIRA NÃO APARELHADA, VÃO DE 8 M, PARA TELHA CERÂMICA OU DE CONCRETO, INCLUSO IÇAMENTO. AF_07/2019</t>
  </si>
  <si>
    <t>FABRICAÇÃO E INSTALAÇÃO DE TESOURA INTEIRA EM MADEIRA NÃO APARELHADA, VÃO DE 9 M, PARA TELHA CERÂMICA OU DE CONCRETO, INCLUSO IÇAMENTO. AF_07/2019</t>
  </si>
  <si>
    <t>FABRICAÇÃO E INSTALAÇÃO DE TESOURA INTEIRA EM MADEIRA NÃO APARELHADA, VÃO DE 10 M, PARA TELHA CERÂMICA OU DE CONCRETO, INCLUSO IÇAMENTO. AF_07/2019</t>
  </si>
  <si>
    <t>FABRICAÇÃO E INSTALAÇÃO DE TESOURA INTEIRA EM MADEIRA NÃO APARELHADA, VÃO DE 11 M, PARA TELHA CERÂMICA OU DE CONCRETO, INCLUSO IÇAMENTO. AF_07/2019</t>
  </si>
  <si>
    <t>FABRICAÇÃO E INSTALAÇÃO DE TESOURA INTEIRA EM MADEIRA NÃO APARELHADA, VÃO DE 12 M, PARA TELHA CERÂMICA OU DE CONCRETO, INCLUSO IÇAMENTO. AF_07/2019</t>
  </si>
  <si>
    <t>FABRICAÇÃO E INSTALAÇÃO DE TESOURA INTEIRA EM MADEIRA NÃO APARELHADA, VÃO DE 3 M, PARA TELHA ONDULADA DE FIBROCIMENTO, METÁLICA, PLÁSTICA OU TERMOACÚSTICA, INCLUSO IÇAMENTO. AF_07/2019</t>
  </si>
  <si>
    <t>FABRICAÇÃO E INSTALAÇÃO DE TESOURA INTEIRA EM MADEIRA NÃO APARELHADA, VÃO DE 4 M, PARA TELHA ONDULADA DE FIBROCIMENTO, METÁLICA, PLÁSTICA OU TERMOACÚSTICA, INCLUSO IÇAMENTO. AF_07/2019</t>
  </si>
  <si>
    <t>FABRICAÇÃO E INSTALAÇÃO DE TESOURA INTEIRA EM MADEIRA NÃO APARELHADA, VÃO DE 5 M, PARA TELHA ONDULADA DE FIBROCIMENTO, METÁLICA, PLÁSTICA OU TERMOACÚSTICA, INCLUSO IÇAMENTO. AF_07/2019</t>
  </si>
  <si>
    <t>FABRICAÇÃO E INSTALAÇÃO DE TESOURA INTEIRA EM MADEIRA NÃO APARELHADA, VÃO DE 6 M, PARA TELHA ONDULADA DE FIBROCIMENTO, METÁLICA, PLÁSTICA OU TERMOACÚSTICA, INCLUSO IÇAMENTO. AF_07/2019</t>
  </si>
  <si>
    <t>FABRICAÇÃO E INSTALAÇÃO DE TESOURA INTEIRA EM MADEIRA NÃO APARELHADA, VÃO DE 7 M, PARA TELHA ONDULADA DE FIBROCIMENTO, METÁLICA, PLÁSTICA OU TERMOACÚSTICA, INCLUSO IÇAMENTO. AF_07/2019</t>
  </si>
  <si>
    <t>FABRICAÇÃO E INSTALAÇÃO DE TESOURA INTEIRA EM MADEIRA NÃO APARELHADA, VÃO DE 8 M, PARA TELHA ONDULADA DE FIBROCIMENTO, METÁLICA, PLÁSTICA OU TERMOACÚSTICA, INCLUSO IÇAMENTO. AF_07/2019</t>
  </si>
  <si>
    <t>FABRICAÇÃO E INSTALAÇÃO DE TESOURA INTEIRA EM MADEIRA NÃO APARELHADA, VÃO DE 9 M, PARA TELHA ONDULADA DE FIBROCIMENTO, METÁLICA, PLÁSTICA OU TERMOACÚSTICA, INCLUSO IÇAMENTO. AF_07/2019</t>
  </si>
  <si>
    <t>FABRICAÇÃO E INSTALAÇÃO DE TESOURA INTEIRA EM MADEIRA NÃO APARELHADA, VÃO DE 10 M, PARA TELHA ONDULADA DE FIBROCIMENTO, METÁLICA, PLÁSTICA OU TERMOACÚSTICA, INCLUSO IÇAMENTO. AF_07/2019</t>
  </si>
  <si>
    <t>FABRICAÇÃO E INSTALAÇÃO DE TESOURA INTEIRA EM MADEIRA NÃO APARELHADA, VÃO DE 11 M, PARA TELHA ONDULADA DE FIBROCIMENTO, METÁLICA, PLÁSTICA OU TERMOACÚSTICA, INCLUSO IÇAMENTO. AF_07/2019</t>
  </si>
  <si>
    <t>FABRICAÇÃO E INSTALAÇÃO DE TESOURA INTEIRA EM MADEIRA NÃO APARELHADA, VÃO DE 12 M, PARA TELHA ONDULADA DE FIBROCIMENTO, METÁLICA, PLÁSTICA OU TERMOACÚSTICA, INCLUSO IÇAMENTO. AF_07/2019</t>
  </si>
  <si>
    <t>100379</t>
  </si>
  <si>
    <t>FABRICAÇÃO E INSTALAÇÃO DE PONTALETES DE MADEIRA NÃO APARELHADA PARA TELHADOS COM ATÉ 2 ÁGUAS E COM TELHA CERÂMICA OU DE CONCRETO EM EDIFÍCIO RESIDENCIAL TÉRREO, INCLUSO TRANSPORTE VERTICAL. AF_07/2019</t>
  </si>
  <si>
    <t>100380</t>
  </si>
  <si>
    <t>FABRICAÇÃO E INSTALAÇÃO DE PONTALETES DE MADEIRA NÃO APARELHADA PARA TELHADOS COM ATÉ 2 ÁGUAS E COM TELHA CERÂMICA OU DE CONCRETO EM EDIFÍCIO RESIDENCIAL DE MÚLTIPLOS PAVIMENTOS, INCLUSO TRANSPORTE VERTICAL. AF_07/2019</t>
  </si>
  <si>
    <t>100381</t>
  </si>
  <si>
    <t>FABRICAÇÃO E INSTALAÇÃO DE PONTALETES DE MADEIRA NÃO APARELHADA PARA TELHADOS COM ATÉ 2 ÁGUAS E COM TELHA CERÂMICA OU DE CONCRETO EM EDIFÍCIO INSTITUCIONAL TÉRREO, INCLUSO TRANSPORTE VERTICAL. AF_07/2019</t>
  </si>
  <si>
    <t>100383</t>
  </si>
  <si>
    <t>FABRICAÇÃO E INSTALAÇÃO DE PONTALETES DE MADEIRA NÃO APARELHADA PARA TELHADOS COM ATÉ 2 ÁGUAS E COM TELHA ONDULADA DE FIBROCIMENTO, ALUMÍNIO OU PLÁSTICA EM EDIFÍCIO RESIDENCIAL DE MÚLTIPLOS PAVIMENTOS, INCLUSO TRANSPORTE VERTICAL. AF_07/2019</t>
  </si>
  <si>
    <t>16,89</t>
  </si>
  <si>
    <t>100384</t>
  </si>
  <si>
    <t>FABRICAÇÃO E INSTALAÇÃO DE PONTALETES DE MADEIRA NÃO APARELHADA PARA TELHADOS COM ATÉ 2 ÁGUAS E COM TELHA ONDULADA DE FIBROCIMENTO, ALUMÍNIO OU PLÁSTICA EM EDIFÍCIO INSTITUCIONAL TÉRREO, INCLUSO TRANSPORTE VERTICAL. AF_07/2019</t>
  </si>
  <si>
    <t>100385</t>
  </si>
  <si>
    <t>FABRICAÇÃO E INSTALAÇÃO DE PONTALETES DE MADEIRA NÃO APARELHADA PARA TELHADOS COM MAIS QUE 2 ÁGUAS E COM TELHA CERÂMICA OU DE CONCRETO EM EDIFÍCIO RESIDENCIAL TÉRREO, INCLUSO TRANSPORTE VERTICAL. AF_07/2019</t>
  </si>
  <si>
    <t>100386</t>
  </si>
  <si>
    <t>FABRICAÇÃO E INSTALAÇÃO DE PONTALETES DE MADEIRA NÃO APARELHADA PARA TELHADOS COM MAIS QUE 2 ÁGUAS E COM TELHA CERÂMICA OU DE CONCRETO EM EDIFÍCIO RESIDENCIAL DE MÚLTIPLOS PAVIMENTOS. AF_07/2019</t>
  </si>
  <si>
    <t>100387</t>
  </si>
  <si>
    <t>FABRICAÇÃO E INSTALAÇÃO DE PONTALETES DE MADEIRA NÃO APARELHADA PARA TELHADOS COM MAIS QUE 2 ÁGUAS E COM TELHA CERÂMICA OU DE CONCRETO EM EDIFÍCIO INSTITUCIONAL TÉRREO, INCLUSO TRANSPORTE VERTICAL. AF_07/2019</t>
  </si>
  <si>
    <t>100388</t>
  </si>
  <si>
    <t>RETIRADA E RECOLOCAÇÃO DE RIPA EM TELHADOS DE ATÉ 2 ÁGUAS COM TELHA CERÂMICA OU DE CONCRETO DE ENCAIXE, INCLUSO TRANSPORTE VERTICAL. AF_07/2019</t>
  </si>
  <si>
    <t>100389</t>
  </si>
  <si>
    <t>RETIRADA E RECOLOCAÇÃO DE CAIBRO EM TELHADOS DE ATÉ 2 ÁGUAS COM TELHA CERÂMICA OU DE CONCRETO DE ENCAIXE, INCLUSO TRANSPORTE VERTICAL. AF_07/2019</t>
  </si>
  <si>
    <t>100390</t>
  </si>
  <si>
    <t>RETIRADA E RECOLOCAÇÃO DE RIPA EM TELHADOS DE MAIS DE 2 ÁGUAS COM TELHA CERÂMICA OU DE CONCRETO DE ENCAIXE, INCLUSO TRANSPORTE VERTICAL. AF_07/2019</t>
  </si>
  <si>
    <t>100391</t>
  </si>
  <si>
    <t>RETIRADA E RECOLOCAÇÃO DE CAIBRO EM TELHADOS DE MAIS DE 2 ÁGUAS COM TELHA CERÂMICA OU DE CONCRETO DE ENCAIXE, INCLUSO TRANSPORTE VERTICAL. AF_07/2019</t>
  </si>
  <si>
    <t>100392</t>
  </si>
  <si>
    <t>RETIRADA E RECOLOCAÇÃO DE RIPA EM TELHADOS DE ATÉ 2 ÁGUAS COM TELHA CERÂMICA CAPA-CANAL, INCLUSO TRANSPORTE VERTICAL. AF_07/2019</t>
  </si>
  <si>
    <t>100393</t>
  </si>
  <si>
    <t>RETIRADA E RECOLOCAÇÃO DE CAIBRO EM TELHADOS DE ATÉ 2 ÁGUAS COM TELHA CERÂMICA CAPA-CANAL, INCLUSO TRANSPORTE VERTICAL. AF_07/2019</t>
  </si>
  <si>
    <t>100394</t>
  </si>
  <si>
    <t>RETIRADA E RECOLOCAÇÃO DE RIPA EM TELHADOS DE MAIS DE 2 ÁGUAS COM TELHA CERÂMICA CAPA-CANAL, INCLUSO TRANSPORTE VERTICAL. AF_07/2019</t>
  </si>
  <si>
    <t>100395</t>
  </si>
  <si>
    <t>RETIRADA E RECOLOCAÇÃO DE CAIBRO EM TELHADOS DE MAIS DE 2 ÁGUAS COM TELHA CERÂMICA CAPA-CANAL, INCLUSO TRANSPORTE VERTICAL. AF_07/2019</t>
  </si>
  <si>
    <t>TELHAMENTO COM TELHA DE CONCRETO DE ENCAIXE, COM ATÉ 2 ÁGUAS, INCLUSO TRANSPORTE VERTICAL. AF_07/2019</t>
  </si>
  <si>
    <t>21,68</t>
  </si>
  <si>
    <t>TELHAMENTO COM TELHA DE CONCRETO DE ENCAIXE, COM MAIS DE 2 ÁGUAS, INCLUSO TRANSPORTE VERTICAL. AF_07/2019</t>
  </si>
  <si>
    <t>23,43</t>
  </si>
  <si>
    <t>TELHAMENTO COM TELHA CERÂMICA DE ENCAIXE, TIPO PORTUGUESA, COM ATÉ 2 ÁGUAS, INCLUSO TRANSPORTE VERTICAL. AF_07/2019</t>
  </si>
  <si>
    <t>TELHAMENTO COM TELHA CERÂMICA DE ENCAIXE, TIPO PORTUGUESA, COM MAIS DE 2 ÁGUAS, INCLUSO TRANSPORTE VERTICAL. AF_07/2019</t>
  </si>
  <si>
    <t>TELHAMENTO COM TELHA CERÂMICA CAPA-CANAL, TIPO COLONIAL, COM ATÉ 2 ÁGUAS, INCLUSO TRANSPORTE VERTICAL. AF_07/2019</t>
  </si>
  <si>
    <t>30,47</t>
  </si>
  <si>
    <t>TELHAMENTO COM TELHA CERÂMICA CAPA-CANAL, TIPO COLONIAL, COM MAIS DE 2 ÁGUAS, INCLUSO TRANSPORTE VERTICAL. AF_07/2019</t>
  </si>
  <si>
    <t>EMBOÇAMENTO COM ARGAMASSA TRAÇO 1:2:9 (CIMENTO, CAL E AREIA). AF_07/2019</t>
  </si>
  <si>
    <t>SUBCOBERTURA COM MANTA PLÁSTICA REVESTIDA POR PELÍCULA DE ALUMÍNO, INCLUSO TRANSPORTE VERTICAL. AF_07/2019</t>
  </si>
  <si>
    <t>AMARRAÇÃO DE TELHAS CERÂMICAS OU DE CONCRETO. AF_07/2019</t>
  </si>
  <si>
    <t>TELHAMENTO COM TELHA CERÂMICA DE ENCAIXE, TIPO FRANCESA, COM ATÉ 2 ÁGUAS, INCLUSO TRANSPORTE VERTICAL. AF_07/2019</t>
  </si>
  <si>
    <t>TELHAMENTO COM TELHA CERÂMICA DE ENCAIXE, TIPO FRANCESA, COM MAIS DE 2 ÁGUAS, INCLUSO TRANSPORTE VERTICAL. AF_07/2019</t>
  </si>
  <si>
    <t>TELHAMENTO COM TELHA CERÂMICA DE ENCAIXE, TIPO ROMANA, COM ATÉ 2 ÁGUAS, INCLUSO TRANSPORTE VERTICAL. AF_07/2019</t>
  </si>
  <si>
    <t>TELHAMENTO COM TELHA CERÂMICA DE ENCAIXE, TIPO ROMANA, COM MAIS DE 2 ÁGUAS, INCLUSO TRANSPORTE VERTICAL. AF_07/2019</t>
  </si>
  <si>
    <t>TELHAMENTO COM TELHA CERÂMICA CAPA-CANAL, TIPO PLAN, COM ATÉ 2 ÁGUAS, INCLUSO TRANSPORTE VERTICAL. AF_07/2019</t>
  </si>
  <si>
    <t>TELHAMENTO COM TELHA CERÂMICA CAPA-CANAL, TIPO PLAN, COM MAIS DE 2 ÁGUAS, INCLUSO TRANSPORTE VERTICAL. AF_07/2019</t>
  </si>
  <si>
    <t>TELHAMENTO COM TELHA CERÂMICA CAPA-CANAL, TIPO PAULISTA, COM ATÉ 2 ÁGUAS, INCLUSO TRANSPORTE VERTICAL. AF_07/2019</t>
  </si>
  <si>
    <t>TELHAMENTO COM TELHA CERÂMICA CAPA-CANAL, TIPO PAULISTA, COM MAIS DE 2 ÁGUAS, INCLUSO TRANSPORTE VERTICAL. AF_07/2019</t>
  </si>
  <si>
    <t>TELHAMENTO COM TELHA ONDULADA DE FIBROCIMENTO E = 6 MM, COM RECOBRIMENTO LATERAL DE 1/4 DE ONDA PARA TELHADO COM INCLINAÇÃO MAIOR QUE 10°, COM ATÉ 2 ÁGUAS, INCLUSO IÇAMENTO. AF_07/2019</t>
  </si>
  <si>
    <t>TELHAMENTO COM TELHA ONDULADA DE FIBROCIMENTO E = 6 MM, COM RECOBRIMENTO LATERAL DE 1 1/4 DE ONDA PARA TELHADO COM INCLINAÇÃO MÁXIMA DE 10°, COM ATÉ 2 ÁGUAS, INCLUSO IÇAMENTO. AF_07/2019</t>
  </si>
  <si>
    <t>TELHAMENTO COM TELHA DE AÇO/ALUMÍNIO E = 0,5 MM, COM ATÉ 2 ÁGUAS, INCLUSO IÇAMENTO. AF_07/2019</t>
  </si>
  <si>
    <t>40,60</t>
  </si>
  <si>
    <t>TELHAMENTO COM TELHA METÁLICA TERMOACÚSTICA E = 30 MM, COM ATÉ 2 ÁGUAS, INCLUSO IÇAMENTO. AF_07/2019</t>
  </si>
  <si>
    <t>CUMEEIRA E ESPIGÃO PARA TELHA CERÂMICA EMBOÇADA COM ARGAMASSA TRAÇO 1:2:9 (CIMENTO, CAL E AREIA), PARA TELHADOS COM MAIS DE 2 ÁGUAS, INCLUSO TRANSPORTE VERTICAL. AF_07/2019</t>
  </si>
  <si>
    <t>CUMEEIRA E ESPIGÃO PARA TELHA DE CONCRETO EMBOÇADA COM ARGAMASSA TRAÇO 1:2:9 (CIMENTO, CAL E AREIA), PARA TELHADOS COM MAIS DE 2 ÁGUAS, INCLUSO TRANSPORTE VERTICAL. AF_07/2019</t>
  </si>
  <si>
    <t>CUMEEIRA PARA TELHA CERÂMICA EMBOÇADA COM ARGAMASSA TRAÇO 1:2:9 (CIMENTO, CAL E AREIA) PARA TELHADOS COM ATÉ 2 ÁGUAS, INCLUSO TRANSPORTE VERTICAL. AF_07/2019</t>
  </si>
  <si>
    <t>CUMEEIRA PARA TELHA DE CONCRETO EMBOÇADA COM ARGAMASSA TRAÇO 1:2:9 (CIMENTO, CAL E AREIA) PARA TELHADOS COM ATÉ 2 ÁGUAS, INCLUSO TRANSPORTE VERTICAL. AF_07/2019</t>
  </si>
  <si>
    <t>27,48</t>
  </si>
  <si>
    <t>CUMEEIRA PARA TELHA DE FIBROCIMENTO ONDULADA E = 6 MM, INCLUSO ACESSÓRIOS DE FIXAÇÃO E IÇAMENTO. AF_07/2019</t>
  </si>
  <si>
    <t>CUMEEIRA PARA TELHA DE FIBROCIMENTO ESTRUTURAL E = 6 MM, INCLUSO ACESSÓRIOS DE FIXAÇÃO E IÇAMENTO. AF_07/2019</t>
  </si>
  <si>
    <t>100325</t>
  </si>
  <si>
    <t>CUMEEIRA SHED PARA TELHA ONDULADA DE FIBROCIMENTO, E = 6 MM, INCLUSO ACESSÓRIOS DE FIXAÇÃO E IÇAMENTO. AF_07/2019</t>
  </si>
  <si>
    <t>100327</t>
  </si>
  <si>
    <t>RUFO EXTERNO/INTERNO EM CHAPA DE AÇO GALVANIZADO NÚMERO 26, CORTE DE 33 CM, INCLUSO IÇAMENTO. AF_07/2019</t>
  </si>
  <si>
    <t>100328</t>
  </si>
  <si>
    <t>RETIRADA E RECOLOCAÇÃO DE  TELHA CERÂMICA DE ENCAIXE, COM ATÉ DUAS ÁGUAS, INCLUSO IÇAMENTO. AF_07/2019</t>
  </si>
  <si>
    <t>100329</t>
  </si>
  <si>
    <t>RETIRADA E RECOLOCAÇÃO DE  TELHA CERÂMICA DE ENCAIXE, COM MAIS DE DUAS ÁGUAS, INCLUSO IÇAMENTO. AF_07/2019</t>
  </si>
  <si>
    <t>100330</t>
  </si>
  <si>
    <t>RETIRADA E RECOLOCAÇÃO DE  TELHA CERÂMICA CAPA-CANAL, COM ATÉ DUAS ÁGUAS, INCLUSO IÇAMENTO. AF_07/2019</t>
  </si>
  <si>
    <t>100331</t>
  </si>
  <si>
    <t>RETIRADA E RECOLOCAÇÃO DE  TELHA CERÂMICA CAPA-CANAL, COM MAIS DE DUAS ÁGUAS, INCLUSO IÇAMENTO. AF_07/2019</t>
  </si>
  <si>
    <t>100434</t>
  </si>
  <si>
    <t>CALHA DE BEIRAL, SEMICIRCULAR DE PVC, DIAMETRO 125 MM, INCLUINDO CABECEIRAS, EMENDAS, BOCAIS, SUPORTES E VEDAÇÕES, EXCLUINDO CONDUTORES, INCLUSO TRANSPORTE VERTICAL. AF_07/2019</t>
  </si>
  <si>
    <t>100435</t>
  </si>
  <si>
    <t>RUFO EM FIBROCIMENTO PARA TELHA ONDULADA E = 6 MM, ABA DE 26 CM, INCLUSO TRANSPORTE VERTICAL, EXCETO CONTRARRUFO. AF_07/2019</t>
  </si>
  <si>
    <t>CALHA EM CHAPA DE AÇO GALVANIZADO NÚMERO 24, DESENVOLVIMENTO DE 33 CM, INCLUSO TRANSPORTE VERTICAL. AF_07/2019</t>
  </si>
  <si>
    <t>38,64</t>
  </si>
  <si>
    <t>CALHA EM CHAPA DE AÇO GALVANIZADO NÚMERO 24, DESENVOLVIMENTO DE 50 CM, INCLUSO TRANSPORTE VERTICAL. AF_07/2019</t>
  </si>
  <si>
    <t>CALHA EM CHAPA DE AÇO GALVANIZADO NÚMERO 24, DESENVOLVIMENTO DE 100 CM, INCLUSO TRANSPORTE VERTICAL. AF_07/2019</t>
  </si>
  <si>
    <t>RUFO EM CHAPA DE AÇO GALVANIZADO NÚMERO 24, CORTE DE 25 CM, INCLUSO TRANSPORTE VERTICAL. AF_07/2019</t>
  </si>
  <si>
    <t>TELHAMENTO COM TELHA ONDULADA DE FIBRA DE VIDRO E = 0,6 MM, PARA TELHADO COM INCLINAÇÃO MAIOR QUE 10°, COM ATÉ 2 ÁGUAS, INCLUSO IÇAMENTO. AF_07/2019</t>
  </si>
  <si>
    <t>INSTALAÇÃO DE TESOURA (INTEIRA OU MEIA), EM AÇO, PARA VÃOS MAIORES OU IGUAIS A 3,0 M E MENORES QUE 6,0 M, INCLUSO IÇAMENTO. AF_07/2019</t>
  </si>
  <si>
    <t>INSTALAÇÃO DE TESOURA (INTEIRA OU MEIA), EM AÇO, PARA VÃOS MAIORES OU IGUAIS A 6,0 M E MENORES QUE 8,0 M, INCLUSO IÇAMENTO. AF_07/2019</t>
  </si>
  <si>
    <t>INSTALAÇÃO DE TESOURA (INTEIRA OU MEIA), EM AÇO, PARA VÃOS MAIORES OU IGUAIS A 8,0 M E MENORES QUE 10,0 M, INCLUSO IÇAMENTO. AF_07/2019</t>
  </si>
  <si>
    <t>INSTALAÇÃO DE TESOURA (INTEIRA OU MEIA), EM AÇO, PARA VÃOS MAIORES OU IGUAIS A 10,0 M E MENORES QUE 12,0 M, INCLUSO IÇAMENTO. AF_07/2019</t>
  </si>
  <si>
    <t>TRAMA DE AÇO COMPOSTA POR RIPAS, CAIBROS E TERÇAS PARA TELHADOS DE ATÉ 2 ÁGUAS PARA TELHA DE ENCAIXE DE CERÂMICA OU DE CONCRETO, INCLUSO TRANSPORTE VERTICAL. AF_07/2019</t>
  </si>
  <si>
    <t>TRAMA DE AÇO COMPOSTA POR RIPAS E CAIBROS PARA TELHADOS DE ATÉ 2 ÁGUAS PARA TELHA DE ENCAIXE DE CERÂMICA OU DE CONCRETO, INCLUSO TRANSPORTE VERTICAL. AF_07/2019</t>
  </si>
  <si>
    <t>TRAMA DE AÇO COMPOSTA POR RIPAS PARA TELHADOS DE ATÉ 2 ÁGUAS PARA TELHA DE ENCAIXE DE CERÂMICA OU DE CONCRETO, INCLUSO TRANSPORTE VERTICAL. AF_07/2019</t>
  </si>
  <si>
    <t>TRAMA DE AÇO COMPOSTA POR RIPAS, CAIBROS E TERÇAS PARA TELHADOS DE MAIS DE 2 ÁGUAS PARA TELHA DE ENCAIXE DE CERÂMICA OU DE CONCRETO, INCLUSO TRANSPORTE VERTICAL. AF_07/2019</t>
  </si>
  <si>
    <t>TRAMA DE AÇO COMPOSTA POR RIPAS E CAIBROS PARA TELHADOS DE MAIS DE 2 ÁGUAS PARA TELHA DE ENCAIXE DE CERÂMICA OU DE CONCRETO, INCLUSO TRANSPORTE VERTICAL. AF_07/2019</t>
  </si>
  <si>
    <t>TRAMA DE AÇO COMPOSTA POR RIPAS PARA TELHADOS DE MAIS DE 2 ÁGUAS PARA TELHA DE ENCAIXE DE CERÂMICA OU DE CONCRETO, INCLUSO TRANSPORTE VERTICAL, INCLUSO TRANSPORTE VERTICAL. AF_07/2019</t>
  </si>
  <si>
    <t>TRAMA DE AÇO COMPOSTA POR RIPAS, CAIBROS E TERÇAS PARA TELHADOS DE ATÉ 2 ÁGUAS PARA TELHA CERÂMICA CAPA-CANAL, INCLUSO TRANSPORTE VERTICAL. AF_07/2019</t>
  </si>
  <si>
    <t>TRAMA DE AÇO COMPOSTA POR RIPAS E CAIBROS PARA TELHADOS DE ATÉ 2 ÁGUAS PARA TELHA CERÂMICA CAPA-CANAL, INCLUSO TRANSPORTE VERTICAL. AF_07/2019</t>
  </si>
  <si>
    <t>TRAMA DE AÇO COMPOSTA POR RIPAS PARA TELHADOS DE ATÉ 2 ÁGUAS PARA TELHA CERÂMICA CAPA-CANAL, INCLUSO TRANSPORTE VERTICAL. AF_07/2019</t>
  </si>
  <si>
    <t>TRAMA DE AÇO COMPOSTA POR RIPAS, CAIBROS E TERÇAS PARA TELHADOS DE MAIS DE 2 ÁGUAS PARA TELHA CERÂMICA CAPA-CANAL, INCLUSO TRANSPORTE VERTICAL. AF_07/2019</t>
  </si>
  <si>
    <t>TRAMA DE AÇO COMPOSTA POR RIPAS E CAIBROS PARA TELHADOS DE MAIS DE 2 ÁGUAS PARA TELHA CERÂMICA CAPA-CANAL, INCLUSO TRANSPORTE VERTICAL. AF_07/2019</t>
  </si>
  <si>
    <t>TRAMA DE AÇO COMPOSTA POR RIPAS PARA TELHADOS DE MAIS DE 2 ÁGUAS PARA TELHA CERÂMICA CAPA-CANAL, INCLUSO TRANSPORTE VERTICAL. AF_07/2019</t>
  </si>
  <si>
    <t>TRAMA DE AÇO COMPOSTA POR TERÇAS PARA TELHADOS DE ATÉ 2 ÁGUAS PARA TELHA ONDULADA DE FIBROCIMENTO, METÁLICA, PLÁSTICA OU TERMOACÚSTICA, INCLUSO TRANSPORTE VERTICAL. AF_07/2019</t>
  </si>
  <si>
    <t>34,32</t>
  </si>
  <si>
    <t>TRAMA DE AÇO COMPOSTA POR TERÇAS PARA TELHADOS DE ATÉ 2 ÁGUAS PARA TELHA ESTRUTURAL DE FIBROCIMENTO, INCLUSO TRANSPORTE VERTICAL. AF_07/2019</t>
  </si>
  <si>
    <t>100357</t>
  </si>
  <si>
    <t>FABRICAÇÃO E INSTALAÇÃO DE MEIA TESOURA DE MADEIRA NÃO APARELHADA, COM VÃO DE 3 M, PARA TELHA CERÂMICA OU DE CONCRETO, INCLUSO IÇAMENTO. AF_07/2019</t>
  </si>
  <si>
    <t>100358</t>
  </si>
  <si>
    <t>FABRICAÇÃO E INSTALAÇÃO DE MEIA TESOURA DE MADEIRA NÃO APARELHADA, COM VÃO DE 4 M, PARA TELHA CERÂMICA OU DE CONCRETO, INCLUSO IÇAMENTO. AF_07/2019</t>
  </si>
  <si>
    <t>100359</t>
  </si>
  <si>
    <t>FABRICAÇÃO E INSTALAÇÃO DE MEIA TESOURA DE MADEIRA NÃO APARELHADA, COM VÃO DE 5 M, PARA TELHA CERÂMICA OU DE CONCRETO, INCLUSO IÇAMENTO. AF_07/2019</t>
  </si>
  <si>
    <t>100360</t>
  </si>
  <si>
    <t>FABRICAÇÃO E INSTALAÇÃO DE MEIA TESOURA DE MADEIRA NÃO APARELHADA, COM VÃO DE 6 M, PARA TELHA CERÂMICA OU DE CONCRETO, INCLUSO IÇAMENTO. AF_07/2019</t>
  </si>
  <si>
    <t>100361</t>
  </si>
  <si>
    <t>FABRICAÇÃO E INSTALAÇÃO DE MEIA TESOURA DE MADEIRA NÃO APARELHADA, COM VÃO DE 7 M, PARA TELHA CERÂMICA OU DE CONCRETO, INCLUSO IÇAMENTO. AF_07/2019</t>
  </si>
  <si>
    <t>100362</t>
  </si>
  <si>
    <t>FABRICAÇÃO E INSTALAÇÃO DE MEIA TESOURA DE MADEIRA NÃO APARELHADA, COM VÃO DE 8 M, PARA TELHA CERÂMICA OU DE CONCRETO, INCLUSO IÇAMENTO. AF_07/2019</t>
  </si>
  <si>
    <t>100363</t>
  </si>
  <si>
    <t>FABRICAÇÃO E INSTALAÇÃO DE MEIA TESOURA DE MADEIRA NÃO APARELHADA, COM VÃO DE 9 M, PARA TELHA CERÂMICA OU DE CONCRETO, INCLUSO IÇAMENTO. AF_07/2019</t>
  </si>
  <si>
    <t>100364</t>
  </si>
  <si>
    <t>FABRICAÇÃO E INSTALAÇÃO DE MEIA TESOURA DE MADEIRA NÃO APARELHADA, COM VÃO DE 10 M, PARA TELHA CERÂMICA OU DE CONCRETO, INCLUSO IÇAMENTO. AF_07/2019</t>
  </si>
  <si>
    <t>100365</t>
  </si>
  <si>
    <t>FABRICAÇÃO E INSTALAÇÃO DE MEIA TESOURA DE MADEIRA NÃO APARELHADA, COM VÃO DE 11 M, PARA TELHA CERÂMICA OU DE CONCRETO, INCLUSO IÇAMENTO. AF_07/2019</t>
  </si>
  <si>
    <t>100366</t>
  </si>
  <si>
    <t>FABRICAÇÃO E INSTALAÇÃO DE MEIA TESOURA DE MADEIRA NÃO APARELHADA, COM VÃO DE 12 M, PARA TELHA CERÂMICA OU DE CONCRETO, INCLUSO IÇAMENTO. AF_07/2019</t>
  </si>
  <si>
    <t>100367</t>
  </si>
  <si>
    <t>FABRICAÇÃO E INSTALAÇÃO DE MEIA TESOURA DE MADEIRA NÃO APARELHADA, COM VÃO DE 3 M, PARA TELHA ONDULADA DE FIBROCIMENTO, ALUMÍNIO, PLÁSTICA OU TERMOACÚSTICA, INCLUSO IÇAMENTO. AF_07/2019</t>
  </si>
  <si>
    <t>100368</t>
  </si>
  <si>
    <t>FABRICAÇÃO E INSTALAÇÃO DE MEIA TESOURA DE MADEIRA NÃO APARELHADA, COM VÃO DE 4 M, PARA TELHA ONDULADA DE FIBROCIMENTO, ALUMÍNIO, PLÁSTICA OU TERMOACÚSTICA, INCLUSO IÇAMENTO. AF_07/2019</t>
  </si>
  <si>
    <t>100369</t>
  </si>
  <si>
    <t>FABRICAÇÃO E INSTALAÇÃO DE MEIA TESOURA DE MADEIRA NÃO APARELHADA, COM VÃO DE 5 M, PARA TELHA ONDULADA DE FIBROCIMENTO, ALUMÍNIO, PLÁSTICA OU TERMOACÚSTICA, INCLUSO IÇAMENTO. AF_07/2019</t>
  </si>
  <si>
    <t>100370</t>
  </si>
  <si>
    <t>FABRICAÇÃO E INSTALAÇÃO DE MEIA TESOURA DE MADEIRA NÃO APARELHADA, COM VÃO DE 6 M, PARA TELHA ONDULADA DE FIBROCIMENTO, ALUMÍNIO, PLÁSTICA OU TERMOACÚSTICA, INCLUSO IÇAMENTO. AF_07/2019</t>
  </si>
  <si>
    <t>100371</t>
  </si>
  <si>
    <t>FABRICAÇÃO E INSTALAÇÃO DE MEIA TESOURA DE MADEIRA NÃO APARELHADA, COM VÃO DE 7 M, PARA TELHA ONDULADA DE FIBROCIMENTO, ALUMÍNIO, PLÁSTICA OU TERMOACÚSTICA, INCLUSO IÇAMENTO. AF_07/2019</t>
  </si>
  <si>
    <t>100372</t>
  </si>
  <si>
    <t>FABRICAÇÃO E INSTALAÇÃO DE MEIA TESOURA DE MADEIRA NÃO APARELHADA, COM VÃO DE 8 M, PARA TELHA ONDULADA DE FIBROCIMENTO, ALUMÍNIO, PLÁSTICA OU TERMOACÚSTICA, INCLUSO IÇAMENTO. AF_07/2019</t>
  </si>
  <si>
    <t>100373</t>
  </si>
  <si>
    <t>FABRICAÇÃO E INSTALAÇÃO DE MEIA TESOURA DE MADEIRA NÃO APARELHADA, COM VÃO DE 9 M, PARA TELHA ONDULADA DE FIBROCIMENTO, ALUMÍNIO, PLÁSTICA OU TERMOACÚSTICA, INCLUSO IÇAMENTO. AF_07/2019</t>
  </si>
  <si>
    <t>100374</t>
  </si>
  <si>
    <t>FABRICAÇÃO E INSTALAÇÃO DE MEIA TESOURA DE MADEIRA NÃO APARELHADA, COM VÃO DE 10 M, PARA TELHA ONDULADA DE FIBROCIMENTO, ALUMÍNIO, PLÁSTICA OU TERMOACÚSTICA, INCLUSO IÇAMENTO. AF_07/2019</t>
  </si>
  <si>
    <t>100375</t>
  </si>
  <si>
    <t>FABRICAÇÃO E INSTALAÇÃO DE MEIA TESOURA DE MADEIRA NÃO APARELHADA, COM VÃO DE 11 M, PARA TELHA ONDULADA DE FIBROCIMENTO, ALUMÍNIO, PLÁSTICA OU TERMOACÚSTICA, INCLUSO IÇAMENTO. AF_07/2019</t>
  </si>
  <si>
    <t>100376</t>
  </si>
  <si>
    <t>FABRICAÇÃO E INSTALAÇÃO DE MEIA TESOURA DE MADEIRA NÃO APARELHADA, COM VÃO DE 12 M, PARA TELHA ONDULADA DE FIBROCIMENTO, ALUMÍNIO, PLÁSTICA OU TERMOACÚSTICA, INCLUSO IÇAMENTO. AF_07/2019</t>
  </si>
  <si>
    <t>100377</t>
  </si>
  <si>
    <t>100378</t>
  </si>
  <si>
    <t>100382</t>
  </si>
  <si>
    <t>FABRICAÇÃO E INSTALAÇÃO DE PONTALETES DE MADEIRA NÃO APARELHADA PARA TELHADOS COM ATÉ 2 ÁGUAS E COM TELHA ONDULADA DE FIBROCIMENTO, ALUMÍNIO OU PLÁSTICA EM EDIFÍCIO RESIDENCIAL TÉRREO, INCLUSO TRANSPORTE VERTICAL. AF_07/2019</t>
  </si>
  <si>
    <t>TELHAMENTO COM TELHA DE ENCAIXE, TIPO FRANCESA DE VIDRO, COM ATÉ 2 ÁGUAS, INCLUSO TRANSPORTE VERTICAL. AF_07/2019</t>
  </si>
  <si>
    <t>28,01</t>
  </si>
  <si>
    <t>78,42</t>
  </si>
  <si>
    <t>60,13</t>
  </si>
  <si>
    <t>8,90</t>
  </si>
  <si>
    <t>19,21</t>
  </si>
  <si>
    <t>111,24</t>
  </si>
  <si>
    <t>100341</t>
  </si>
  <si>
    <t>100342</t>
  </si>
  <si>
    <t>100343</t>
  </si>
  <si>
    <t>100344</t>
  </si>
  <si>
    <t>100345</t>
  </si>
  <si>
    <t>100346</t>
  </si>
  <si>
    <t>100347</t>
  </si>
  <si>
    <t>100348</t>
  </si>
  <si>
    <t>100349</t>
  </si>
  <si>
    <t>60,20</t>
  </si>
  <si>
    <t>41,53</t>
  </si>
  <si>
    <t>26,26</t>
  </si>
  <si>
    <t>16,05</t>
  </si>
  <si>
    <t>18,65</t>
  </si>
  <si>
    <t>34,81</t>
  </si>
  <si>
    <t>19,22</t>
  </si>
  <si>
    <t>21,00</t>
  </si>
  <si>
    <t>28,68</t>
  </si>
  <si>
    <t>18,00</t>
  </si>
  <si>
    <t>8,50</t>
  </si>
  <si>
    <t>50,99</t>
  </si>
  <si>
    <t>31,31</t>
  </si>
  <si>
    <t>99837</t>
  </si>
  <si>
    <t>99839</t>
  </si>
  <si>
    <t>99841</t>
  </si>
  <si>
    <t>99855</t>
  </si>
  <si>
    <t>99857</t>
  </si>
  <si>
    <t>99861</t>
  </si>
  <si>
    <t>GRADIL EM FERRO FIXADO EM VÃOS DE JANELAS, FORMADO POR BARRAS CHATAS DE 25X4,8 MM. AF_04/2019</t>
  </si>
  <si>
    <t>99862</t>
  </si>
  <si>
    <t>GRADIL EM ALUMÍNIO FIXADO EM VÃOS DE JANELAS, FORMADO POR TUBOS DE 3/4". AF_04/2019</t>
  </si>
  <si>
    <t>16,22</t>
  </si>
  <si>
    <t>40,37</t>
  </si>
  <si>
    <t>99,47</t>
  </si>
  <si>
    <t>57,47</t>
  </si>
  <si>
    <t>11,53</t>
  </si>
  <si>
    <t>100322</t>
  </si>
  <si>
    <t>100323</t>
  </si>
  <si>
    <t>100324</t>
  </si>
  <si>
    <t>46,50</t>
  </si>
  <si>
    <t>36,15</t>
  </si>
  <si>
    <t>104,77</t>
  </si>
  <si>
    <t>126,72</t>
  </si>
  <si>
    <t>58,03</t>
  </si>
  <si>
    <t>18,75</t>
  </si>
  <si>
    <t>175,00</t>
  </si>
  <si>
    <t>8,23</t>
  </si>
  <si>
    <t>7,16</t>
  </si>
  <si>
    <t>100066</t>
  </si>
  <si>
    <t>100067</t>
  </si>
  <si>
    <t>100068</t>
  </si>
  <si>
    <t>9,11</t>
  </si>
  <si>
    <t>357,91</t>
  </si>
  <si>
    <t>28,55</t>
  </si>
  <si>
    <t>27,84</t>
  </si>
  <si>
    <t>26,48</t>
  </si>
  <si>
    <t>61,50</t>
  </si>
  <si>
    <t>28,26</t>
  </si>
  <si>
    <t>43,32</t>
  </si>
  <si>
    <t>81,67</t>
  </si>
  <si>
    <t>10,19</t>
  </si>
  <si>
    <t>37,34</t>
  </si>
  <si>
    <t>6,01</t>
  </si>
  <si>
    <t>9,65</t>
  </si>
  <si>
    <t>10,96</t>
  </si>
  <si>
    <t>23,50</t>
  </si>
  <si>
    <t>10,94</t>
  </si>
  <si>
    <t>19,02</t>
  </si>
  <si>
    <t>42,12</t>
  </si>
  <si>
    <t>23,24</t>
  </si>
  <si>
    <t>12,98</t>
  </si>
  <si>
    <t>11,10</t>
  </si>
  <si>
    <t>55,02</t>
  </si>
  <si>
    <t>17,15</t>
  </si>
  <si>
    <t>54,02</t>
  </si>
  <si>
    <t>18,61</t>
  </si>
  <si>
    <t>34,88</t>
  </si>
  <si>
    <t>42,65</t>
  </si>
  <si>
    <t>21,19</t>
  </si>
  <si>
    <t>11,39</t>
  </si>
  <si>
    <t>10,08</t>
  </si>
  <si>
    <t>4,35</t>
  </si>
  <si>
    <t>50,03</t>
  </si>
  <si>
    <t>108,27</t>
  </si>
  <si>
    <t>6,86</t>
  </si>
  <si>
    <t>75,23</t>
  </si>
  <si>
    <t>58,85</t>
  </si>
  <si>
    <t>10,82</t>
  </si>
  <si>
    <t>25,29</t>
  </si>
  <si>
    <t>15,26</t>
  </si>
  <si>
    <t>33,05</t>
  </si>
  <si>
    <t>30,35</t>
  </si>
  <si>
    <t>31,95</t>
  </si>
  <si>
    <t>32,26</t>
  </si>
  <si>
    <t>99,88</t>
  </si>
  <si>
    <t>47,43</t>
  </si>
  <si>
    <t>45,44</t>
  </si>
  <si>
    <t>28,63</t>
  </si>
  <si>
    <t>44,11</t>
  </si>
  <si>
    <t>6,87</t>
  </si>
  <si>
    <t>12,59</t>
  </si>
  <si>
    <t>7,80</t>
  </si>
  <si>
    <t>9,42</t>
  </si>
  <si>
    <t>23,28</t>
  </si>
  <si>
    <t>30,98</t>
  </si>
  <si>
    <t>60,11</t>
  </si>
  <si>
    <t>14,35</t>
  </si>
  <si>
    <t>45,37</t>
  </si>
  <si>
    <t>13,49</t>
  </si>
  <si>
    <t>32,42</t>
  </si>
  <si>
    <t>89640</t>
  </si>
  <si>
    <t>89644</t>
  </si>
  <si>
    <t>15,86</t>
  </si>
  <si>
    <t>58,12</t>
  </si>
  <si>
    <t>34,36</t>
  </si>
  <si>
    <t>10,32</t>
  </si>
  <si>
    <t>14,45</t>
  </si>
  <si>
    <t>11,33</t>
  </si>
  <si>
    <t>19,94</t>
  </si>
  <si>
    <t>24,40</t>
  </si>
  <si>
    <t>36,96</t>
  </si>
  <si>
    <t>43,61</t>
  </si>
  <si>
    <t>58,48</t>
  </si>
  <si>
    <t>27,65</t>
  </si>
  <si>
    <t>15,71</t>
  </si>
  <si>
    <t>83,62</t>
  </si>
  <si>
    <t>100,77</t>
  </si>
  <si>
    <t>28,87</t>
  </si>
  <si>
    <t>53,29</t>
  </si>
  <si>
    <t>9,25</t>
  </si>
  <si>
    <t>19,63</t>
  </si>
  <si>
    <t>41,75</t>
  </si>
  <si>
    <t>18,38</t>
  </si>
  <si>
    <t>68,64</t>
  </si>
  <si>
    <t>22,19</t>
  </si>
  <si>
    <t>20,16</t>
  </si>
  <si>
    <t>16,18</t>
  </si>
  <si>
    <t>22,97</t>
  </si>
  <si>
    <t>16,74</t>
  </si>
  <si>
    <t>15,90</t>
  </si>
  <si>
    <t>16,32</t>
  </si>
  <si>
    <t>20,35</t>
  </si>
  <si>
    <t>87,10</t>
  </si>
  <si>
    <t>18,09</t>
  </si>
  <si>
    <t>244,44</t>
  </si>
  <si>
    <t>111,06</t>
  </si>
  <si>
    <t>41,20</t>
  </si>
  <si>
    <t>30,77</t>
  </si>
  <si>
    <t>21,54</t>
  </si>
  <si>
    <t>45,61</t>
  </si>
  <si>
    <t>14,70</t>
  </si>
  <si>
    <t>11,67</t>
  </si>
  <si>
    <t>11,47</t>
  </si>
  <si>
    <t>4,68</t>
  </si>
  <si>
    <t>5,99</t>
  </si>
  <si>
    <t>1,01</t>
  </si>
  <si>
    <t>55,62</t>
  </si>
  <si>
    <t>46,09</t>
  </si>
  <si>
    <t>46,45</t>
  </si>
  <si>
    <t>72,85</t>
  </si>
  <si>
    <t>49,95</t>
  </si>
  <si>
    <t>68,88</t>
  </si>
  <si>
    <t>27,46</t>
  </si>
  <si>
    <t>152,38</t>
  </si>
  <si>
    <t>14,52</t>
  </si>
  <si>
    <t>21,59</t>
  </si>
  <si>
    <t>15,96</t>
  </si>
  <si>
    <t>37,04</t>
  </si>
  <si>
    <t>40,65</t>
  </si>
  <si>
    <t>20,40</t>
  </si>
  <si>
    <t>31,54</t>
  </si>
  <si>
    <t>31,46</t>
  </si>
  <si>
    <t>3,38</t>
  </si>
  <si>
    <t>11,20</t>
  </si>
  <si>
    <t>25,47</t>
  </si>
  <si>
    <t>18,83</t>
  </si>
  <si>
    <t>16,07</t>
  </si>
  <si>
    <t>16,56</t>
  </si>
  <si>
    <t>52,02</t>
  </si>
  <si>
    <t>25,22</t>
  </si>
  <si>
    <t>33,51</t>
  </si>
  <si>
    <t>ARGAMASSA TRAÇO 1:7 (EM VOLUME DE CIMENTO E AREIA MÉDIA ÚMIDA) COM ADIÇÃO DE PLASTIFICANTE PARA EMBOÇO/MASSA ÚNICA/ASSENTAMENTO DE ALVENARIA DE VEDAÇÃO, PREPARO MECÂNICO COM BETONEIRA 400 L. AF_08/2019</t>
  </si>
  <si>
    <t>ARGAMASSA TRAÇO 1:7 (EM VOLUME DE CIMENTO E AREIA MÉDIA ÚMIDA) COM ADIÇÃO DE PLASTIFICANTE PARA EMBOÇO/MASSA ÚNICA/ASSENTAMENTO DE ALVENARIA DE VEDAÇÃO, PREPARO MECÂNICO COM BETONEIRA 600 L. AF_08/2019</t>
  </si>
  <si>
    <t>ARGAMASSA TRAÇO 1:6 (EM VOLUME DE CIMENTO E AREIA MÉDIA ÚMIDA) COM ADIÇÃO DE PLASTIFICANTE PARA EMBOÇO/MASSA ÚNICA/ASSENTAMENTO DE ALVENARIA DE VEDAÇÃO, PREPARO MECÂNICO COM BETONEIRA 400 L. AF_08/2019</t>
  </si>
  <si>
    <t>ARGAMASSA TRAÇO 1:6 (EM VOLUME DE CIMENTO E AREIA MÉDIA ÚMIDA) COM ADIÇÃO DE PLASTIFICANTE PARA EMBOÇO/MASSA ÚNICA/ASSENTAMENTO DE ALVENARIA DE VEDAÇÃO, PREPARO MECÂNICO COM BETONEIRA 600 L. AF_08/2019</t>
  </si>
  <si>
    <t>ARGAMASSA TRAÇO 1:1:6 (EM VOLUME DE CIMENTO, CAL E AREIA MÉDIA ÚMIDA) PARA EMBOÇO/MASSA ÚNICA/ASSENTAMENTO DE ALVENARIA DE VEDAÇÃO, PREPARO MECÂNICO COM BETONEIRA 400 L. AF_08/2019</t>
  </si>
  <si>
    <t>ARGAMASSA TRAÇO 1:1:6 (EM VOLUME DE CIMENTO, CAL E AREIA MÉDIA ÚMIDA) PARA EMBOÇO/MASSA ÚNICA/ASSENTAMENTO DE ALVENARIA DE VEDAÇÃO, PREPARO MECÂNICO COM BETONEIRA 600 L. AF_08/2019</t>
  </si>
  <si>
    <t>ARGAMASSA TRAÇO 1:1,5:7,5 (EM VOLUME DE CIMENTO, CAL E AREIA MÉDIA ÚMIDA) PARA EMBOÇO/MASSA ÚNICA/ASSENTAMENTO DE ALVENARIA DE VEDAÇÃO, PREPARO MECÂNICO COM BETONEIRA 400 L. AF_08/2019</t>
  </si>
  <si>
    <t>ARGAMASSA TRAÇO 1:1,5:7,5 (EM VOLUME DE CIMENTO, CAL E AREIA MÉDIA ÚMIDA) PARA EMBOÇO/MASSA ÚNICA/ASSENTAMENTO DE ALVENARIA DE VEDAÇÃO, PREPARO MECÂNICO COM BETONEIRA 600 L. AF_08/2019</t>
  </si>
  <si>
    <t>ARGAMASSA TRAÇO 1:2:8 (EM VOLUME DE CIMENTO, CAL E AREIA MÉDIA ÚMIDA) PARA EMBOÇO/MASSA ÚNICA/ASSENTAMENTO DE ALVENARIA DE VEDAÇÃO, PREPARO MECÂNICO COM BETONEIRA 400 L. AF_08/2019</t>
  </si>
  <si>
    <t>ARGAMASSA TRAÇO 1:2:9 (EM VOLUME DE CIMENTO, CAL E AREIA MÉDIA ÚMIDA) PARA EMBOÇO/MASSA ÚNICA/ASSENTAMENTO DE ALVENARIA DE VEDAÇÃO, PREPARO MECÂNICO COM BETONEIRA 600 L. AF_08/2019</t>
  </si>
  <si>
    <t>ARGAMASSA TRAÇO 1:3:12 (EM VOLUME DE CIMENTO, CAL E AREIA MÉDIA ÚMIDA) PARA EMBOÇO/MASSA ÚNICA/ASSENTAMENTO DE ALVENARIA DE VEDAÇÃO, PREPARO MECÂNICO COM BETONEIRA 400 L. AF_08/2019</t>
  </si>
  <si>
    <t>ARGAMASSA TRAÇO 1:3:12 (EM VOLUME DE CIMENTO, CAL E AREIA MÉDIA ÚMIDA) PARA EMBOÇO/MASSA ÚNICA/ASSENTAMENTO DE ALVENARIA DE VEDAÇÃO, PREPARO MECÂNICO COM BETONEIRA 600 L. AF_08/2019</t>
  </si>
  <si>
    <t>ARGAMASSA TRAÇO 1:3 (EM VOLUME DE CIMENTO E AREIA MÉDIA ÚMIDA) PARA CONTRAPISO, PREPARO MECÂNICO COM BETONEIRA 400 L. AF_08/2019</t>
  </si>
  <si>
    <t>ARGAMASSA TRAÇO 1:3 (EM VOLUME DE CIMENTO E AREIA MÉDIA ÚMIDA) PARA CONTRAPISO, PREPARO MECÂNICO COM BETONEIRA 600 L. AF_08/2019</t>
  </si>
  <si>
    <t>ARGAMASSA TRAÇO 1:4 (EM VOLUME DE CIMENTO E AREIA MÉDIA ÚMIDA) PARA CONTRAPISO, PREPARO MECÂNICO COM BETONEIRA 400 L. AF_08/2019</t>
  </si>
  <si>
    <t>ARGAMASSA TRAÇO 1:4 (EM VOLUME DE CIMENTO E AREIA MÉDIA ÚMIDA) PARA CONTRAPISO, PREPARO MECÂNICO COM BETONEIRA 600 L. AF_08/2019</t>
  </si>
  <si>
    <t>ARGAMASSA TRAÇO 1:5 (EM VOLUME DE CIMENTO E AREIA MÉDIA ÚMIDA) PARA CONTRAPISO, PREPARO MECÂNICO COM BETONEIRA 400 L. AF_08/2019</t>
  </si>
  <si>
    <t>ARGAMASSA TRAÇO 1:5 (EM VOLUME DE CIMENTO E AREIA MÉDIA ÚMIDA) PARA CONTRAPISO, PREPARO MECÂNICO COM BETONEIRA 600 L. AF_08/2019</t>
  </si>
  <si>
    <t>ARGAMASSA TRAÇO 1:6 (EM VOLUME DE CIMENTO E AREIA MÉDIA ÚMIDA) PARA CONTRAPISO, PREPARO MECÂNICO COM BETONEIRA 400 L. AF_08/2019</t>
  </si>
  <si>
    <t>ARGAMASSA TRAÇO 1:6 (EM VOLUME DE CIMENTO E AREIA MÉDIA ÚMIDA) PARA CONTRAPISO, PREPARO MECÂNICO COM BETONEIRA 600 L. AF_08/2019</t>
  </si>
  <si>
    <t>ARGAMASSA TRAÇO 1:5 (EM VOLUME DE CIMENTO E AREIA GROSSA ÚMIDA) PARA CHAPISCO CONVENCIONAL, PREPARO MECÂNICO COM BETONEIRA 400 L. AF_08/2019</t>
  </si>
  <si>
    <t>ARGAMASSA TRAÇO 1:5 (EM VOLUME DE CIMENTO E AREIA GROSSA ÚMIDA) PARA CHAPISCO CONVENCIONAL, PREPARO MECÂNICO COM BETONEIRA 600 L. AF_08/2019</t>
  </si>
  <si>
    <t>ARGAMASSA TRAÇO 1:3 (EM VOLUME DE CIMENTO E AREIA GROSSA ÚMIDA) PARA CHAPISCO CONVENCIONAL, PREPARO MECÂNICO COM BETONEIRA 400 L. AF_08/2019</t>
  </si>
  <si>
    <t>ARGAMASSA TRAÇO 1:3 (EM VOLUME DE CIMENTO E AREIA GROSSA ÚMIDA) PARA CHAPISCO CONVENCIONAL, PREPARO MECÂNICO COM BETONEIRA 600 L. AF_08/2019</t>
  </si>
  <si>
    <t>ARGAMASSA TRAÇO 1:4 (EM VOLUME DE CIMENTO E AREIA GROSSA ÚMIDA) PARA CHAPISCO CONVENCIONAL, PREPARO MECÂNICO COM BETONEIRA 400 L. AF_08/2019</t>
  </si>
  <si>
    <t>ARGAMASSA TRAÇO 1:4 (EM VOLUME DE CIMENTO E AREIA GROSSA ÚMIDA) PARA CHAPISCO CONVENCIONAL, PREPARO MECÂNICO COM BETONEIRA 600 L. AF_08/2019</t>
  </si>
  <si>
    <t>ARGAMASSA TRAÇO 1:5 (EM VOLUME DE CIMENTO E AREIA GROSSA ÚMIDA) COM ADIÇÃO DE EMULSÃO POLIMÉRICA PARA CHAPISCO ROLADO, PREPARO MECÂNICO COM BETONEIRA 400 L. AF_08/2019</t>
  </si>
  <si>
    <t>ARGAMASSA TRAÇO 1:5 (EM VOLUME DE CIMENTO E AREIA GROSSA ÚMIDA) COM ADIÇÃO DE EMULSÃO POLIMÉRICA PARA CHAPISCO ROLADO, PREPARO MECÂNICO COM BETONEIRA 600 L. AF_08/2019</t>
  </si>
  <si>
    <t>ARGAMASSA TRAÇO 1:3 (EM VOLUME DE CIMENTO E AREIA GROSSA ÚMIDA) COM ADIÇÃO DE EMULSÃO POLIMÉRICA PARA CHAPISCO ROLADO, PREPARO MECÂNICO COM BETONEIRA 400 L. AF_08/2019</t>
  </si>
  <si>
    <t>ARGAMASSA TRAÇO 1:3 (EM VOLUME DE CIMENTO E AREIA GROSSA ÚMIDA) COM ADIÇÃO DE EMULSÃO POLIMÉRICA PARA CHAPISCO ROLADO, PREPARO MECÂNICO COM BETONEIRA 600 L. AF_08/2019</t>
  </si>
  <si>
    <t>ARGAMASSA TRAÇO 1:4 (EM VOLUME DE CIMENTO E AREIA GROSSA ÚMIDA) COM ADIÇÃO DE EMULSÃO POLIMÉRICA PARA CHAPISCO ROLADO, PREPARO MECÂNICO COM BETONEIRA 400 L. AF_08/2019</t>
  </si>
  <si>
    <t>ARGAMASSA TRAÇO 1:4 (EM VOLUME DE CIMENTO E AREIA GROSSA ÚMIDA) COM ADIÇÃO DE EMULSÃO POLIMÉRICA PARA CHAPISCO ROLADO, PREPARO MECÂNICO COM BETONEIRA 600 L. AF_08/2019</t>
  </si>
  <si>
    <t>ARGAMASSA TRAÇO 1:7 (EM VOLUME DE CIMENTO E AREIA MÉDIA ÚMIDA) COM ADIÇÃO DE PLASTIFICANTE PARA EMBOÇO/MASSA ÚNICA/ASSENTAMENTO DE ALVENARIA DE VEDAÇÃO, PREPARO MECÂNICO COM MISTURADOR DE EIXO HORIZONTAL DE 300 KG. AF_08/2019</t>
  </si>
  <si>
    <t>ARGAMASSA TRAÇO 1:7 (EM VOLUME DE CIMENTO E AREIA MÉDIA ÚMIDA) COM ADIÇÃO DE PLASTIFICANTE PARA EMBOÇO/MASSA ÚNICA/ASSENTAMENTO DE ALVENARIA DE VEDAÇÃO, PREPARO MECÂNICO COM MISTURADOR DE EIXO HORIZONTAL DE 600 KG. AF_08/2019</t>
  </si>
  <si>
    <t>ARGAMASSA TRAÇO 1:6 (EM VOLUME DE CIMENTO E AREIA MÉDIA ÚMIDA) COM ADIÇÃO DE PLASTIFICANTE PARA EMBOÇO/MASSA ÚNICA/ASSENTAMENTO DE ALVENARIA DE VEDAÇÃO, PREPARO MECÂNICO COM MISTURADOR DE EIXO HORIZONTAL DE 300 KG. AF_08/2019</t>
  </si>
  <si>
    <t>ARGAMASSA TRAÇO 1:6 (EM VOLUME DE CIMENTO E AREIA MÉDIA ÚMIDA) COM ADIÇÃO DE PLASTIFICANTE PARA EMBOÇO/MASSA ÚNICA/ASSENTAMENTO DE ALVENARIA DE VEDAÇÃO, PREPARO MECÂNICO COM MISTURADOR DE EIXO HORIZONTAL DE 600 KG. AF_08/2019</t>
  </si>
  <si>
    <t>ARGAMASSA TRAÇO 1:1:6 (EM VOLUME DE CIMENTO, CAL E AREIA MÉDIA ÚMIDA) PARA EMBOÇO/MASSA ÚNICA/ASSENTAMENTO DE ALVENARIA DE VEDAÇÃO, PREPARO MECÂNICO COM MISTURADOR DE EIXO HORIZONTAL DE 300 KG. AF_08/2019</t>
  </si>
  <si>
    <t>ARGAMASSA TRAÇO 1:1:6 (EM VOLUME DE CIMENTO, CAL E AREIA MÉDIA ÚMIDA) PARA EMBOÇO/MASSA ÚNICA/ASSENTAMENTO DE ALVENARIA DE VEDAÇÃO, PREPARO MECÂNICO COM MISTURADOR DE EIXO HORIZONTAL DE 600 KG. AF_08/2019</t>
  </si>
  <si>
    <t>ARGAMASSA TRAÇO 1:1,5:7,5 (EM VOLUME DE CIMENTO, CAL E AREIA MÉDIA ÚMIDA) PARA EMBOÇO/MASSA ÚNICA/ASSENTAMENTO DE ALVENARIA DE VEDAÇÃO, PREPARO MECÂNICO COM MISTURADOR DE EIXO HORIZONTAL DE 300 KG. AF_08/2019</t>
  </si>
  <si>
    <t>ARGAMASSA TRAÇO 1:1,5:7,5 (EM VOLUME DE CIMENTO, CAL E AREIA MÉDIA ÚMIDA) PARA EMBOÇO/MASSA ÚNICA/ASSENTAMENTO DE ALVENARIA DE VEDAÇÃO, PREPARO MECÂNICO COM MISTURADOR DE EIXO HORIZONTAL DE 600 KG. AF_08/2019</t>
  </si>
  <si>
    <t>ARGAMASSA TRAÇO 1:2:8 (EM VOLUME DE CIMENTO, CAL E AREIA MÉDIA ÚMIDA) PARA EMBOÇO/MASSA ÚNICA/ASSENTAMENTO DE ALVENARIA DE VEDAÇÃO, PREPARO MECÂNICO COM MISTURADOR DE EIXO HORIZONTAL DE 300 KG. AF_08/2019</t>
  </si>
  <si>
    <t>ARGAMASSA TRAÇO 1:2:8 (EM VOLUME DE CIMENTO, CAL E AREIA MÉDIA ÚMIDA) PARA EMBOÇO/MASSA ÚNICA/ASSENTAMENTO DE ALVENARIA DE VEDAÇÃO, PREPARO MECÂNICO COM MISTURADOR DE EIXO HORIZONTAL DE 600 KG. AF_08/2019</t>
  </si>
  <si>
    <t>ARGAMASSA TRAÇO 1:2:9 (EM VOLUME DE CIMENTO, CAL E AREIA MÉDIA ÚMIDA) PARA EMBOÇO/MASSA ÚNICA/ASSENTAMENTO DE ALVENARIA DE VEDAÇÃO, PREPARO MECÂNICO COM MISTURADOR DE EIXO HORIZONTAL DE 300 KG. AF_08/2019</t>
  </si>
  <si>
    <t>ARGAMASSA TRAÇO 1:3:12 (EM VOLUME DE CIMENTO, CAL E AREIA MÉDIA ÚMIDA) PARA EMBOÇO/MASSA ÚNICA/ASSENTAMENTO DE ALVENARIA DE VEDAÇÃO, PREPARO MECÂNICO COM MISTURADOR DE EIXO HORIZONTAL DE 600 KG. AF_08/2019</t>
  </si>
  <si>
    <t>ARGAMASSA TRAÇO 1:3 (EM VOLUME DE CIMENTO E AREIA MÉDIA ÚMIDA) PARA CONTRAPISO, PREPARO MECÂNICO COM MISTURADOR DE EIXO HORIZONTAL DE 160 KG. AF_08/2019</t>
  </si>
  <si>
    <t>ARGAMASSA TRAÇO 1:3 (EM VOLUME DE CIMENTO E AREIA MÉDIA ÚMIDA) PARA CONTRAPISO, PREPARO MECÂNICO COM MISTURADOR DE EIXO HORIZONTAL DE 300 KG. AF_08/2019</t>
  </si>
  <si>
    <t>ARGAMASSA TRAÇO 1:3 (EM VOLUME DE CIMENTO E AREIA MÉDIA ÚMIDA) PARA CONTRAPISO, PREPARO MECÂNICO COM MISTURADOR DE EIXO HORIZONTAL DE 600 KG. AF_08/2019</t>
  </si>
  <si>
    <t>ARGAMASSA TRAÇO 1:4 (EM VOLUME DE CIMENTO E AREIA MÉDIA ÚMIDA) PARA CONTRAPISO, PREPARO MECÂNICO COM MISTURADOR DE EIXO HORIZONTAL DE 160 KG. AF_08/2019</t>
  </si>
  <si>
    <t>ARGAMASSA TRAÇO 1:4 (EM VOLUME DE CIMENTO E AREIA MÉDIA ÚMIDA) PARA CONTRAPISO, PREPARO MECÂNICO COM MISTURADOR DE EIXO HORIZONTAL DE 300 KG. AF_08/2019</t>
  </si>
  <si>
    <t>ARGAMASSA TRAÇO 1:4 (EM VOLUME DE CIMENTO E AREIA MÉDIA ÚMIDA) PARA CONTRAPISO, PREPARO MECÂNICO COM MISTURADOR DE EIXO HORIZONTAL DE 600 KG. AF_08/2019</t>
  </si>
  <si>
    <t>ARGAMASSA TRAÇO 1:5 (EM VOLUME DE CIMENTO E AREIA MÉDIA ÚMIDA) PARA CONTRAPISO, PREPARO MECÂNICO COM MISTURADOR DE EIXO HORIZONTAL DE 160 KG. AF_08/2019</t>
  </si>
  <si>
    <t>ARGAMASSA TRAÇO 1:5 (EM VOLUME DE CIMENTO E AREIA MÉDIA ÚMIDA) PARA CONTRAPISO, PREPARO MECÂNICO COM MISTURADOR DE EIXO HORIZONTAL DE 300 KG. AF_08/2019</t>
  </si>
  <si>
    <t>ARGAMASSA TRAÇO 1:5 (EM VOLUME DE CIMENTO E AREIA MÉDIA ÚMIDA) PARA CONTRAPISO, PREPARO MECÂNICO COM MISTURADOR DE EIXO HORIZONTAL DE 600 KG. AF_08/2019</t>
  </si>
  <si>
    <t>ARGAMASSA TRAÇO 1:6 (EM VOLUME DE CIMENTO E AREIA MÉDIA ÚMIDA) PARA CONTRAPISO, PREPARO MECÂNICO COM MISTURADOR DE EIXO HORIZONTAL DE 160 KG. AF_08/2019</t>
  </si>
  <si>
    <t>ARGAMASSA TRAÇO 1:6 (EM VOLUME DE CIMENTO E AREIA MÉDIA ÚMIDA) PARA CONTRAPISO, PREPARO MECÂNICO COM MISTURADOR DE EIXO HORIZONTAL DE 600 KG. AF_08/2019</t>
  </si>
  <si>
    <t>ARGAMASSA TRAÇO 1:5 (EM VOLUME DE CIMENTO E AREIA GROSSA ÚMIDA) PARA CHAPISCO CONVENCIONAL, PREPARO MECÂNICO COM MISTURADOR DE EIXO HORIZONTAL DE 300 KG. AF_08/2019</t>
  </si>
  <si>
    <t>ARGAMASSA TRAÇO 1:5 (EM VOLUME DE CIMENTO E AREIA GROSSA ÚMIDA) PARA CHAPISCO CONVENCIONAL, PREPARO MECÂNICO COM MISTURADOR DE EIXO HORIZONTAL DE 600 KG. AF_08/2019</t>
  </si>
  <si>
    <t>ARGAMASSA TRAÇO 1:3 (EM VOLUME DE CIMENTO E AREIA GROSSA ÚMIDA) PARA CHAPISCO CONVENCIONAL, PREPARO MECÂNICO COM MISTURADOR DE EIXO HORIZONTAL DE 160 KG. AF_08/2019</t>
  </si>
  <si>
    <t>ARGAMASSA TRAÇO 1:3 (EM VOLUME DE CIMENTO E AREIA GROSSA ÚMIDA) PARA CHAPISCO CONVENCIONAL, PREPARO MECÂNICO COM MISTURADOR DE EIXO HORIZONTAL DE 300 KG. AF_08/2019</t>
  </si>
  <si>
    <t>ARGAMASSA TRAÇO 1:3 (EM VOLUME DE CIMENTO E AREIA GROSSA ÚMIDA) PARA CHAPISCO CONVENCIONAL, PREPARO MECÂNICO COM MISTURADOR DE EIXO HORIZONTAL DE 600 KG. AF_08/2019</t>
  </si>
  <si>
    <t>ARGAMASSA TRAÇO 1:4 (EM VOLUME DE CIMENTO E AREIA GROSSA ÚMIDA) PARA CHAPISCO CONVENCIONAL, PREPARO MECÂNICO COM MISTURADOR DE EIXO HORIZONTAL DE 160 KG. AF_08/2019</t>
  </si>
  <si>
    <t>ARGAMASSA TRAÇO 1:4 (EM VOLUME DE CIMENTO E AREIA GROSSA ÚMIDA) PARA CHAPISCO CONVENCIONAL, PREPARO MECÂNICO COM MISTURADOR DE EIXO HORIZONTAL DE 300 KG. AF_08/2019</t>
  </si>
  <si>
    <t>ARGAMASSA TRAÇO 1:4 (EM VOLUME DE CIMENTO E AREIA GROSSA ÚMIDA) PARA CHAPISCO CONVENCIONAL, PREPARO MECÂNICO COM MISTURADOR DE EIXO HORIZONTAL DE 600 KG. AF_08/2019</t>
  </si>
  <si>
    <t>ARGAMASSA TRAÇO 1:5 (EM VOLUME DE CIMENTO E AREIA GROSSA ÚMIDA) COM ADIÇÃO DE EMULSÃO POLIMÉRICA PARA CHAPISCO ROLADO, PREPARO MECÂNICO COM MISTURADOR DE EIXO HORIZONTAL DE 300 KG. AF_08/2019</t>
  </si>
  <si>
    <t>ARGAMASSA TRAÇO 1:5 (EM VOLUME DE CIMENTO E AREIA GROSSA ÚMIDA) COM ADIÇÃO DE EMULSÃO POLIMÉRICA PARA CHAPISCO ROLADO, PREPARO MECÂNICO COM MISTURADOR DE EIXO HORIZONTAL DE 600 KG. AF_08/2019</t>
  </si>
  <si>
    <t>ARGAMASSA TRAÇO 1:3 (EM VOLUME DE CIMENTO E AREIA GROSSA ÚMIDA) COM ADIÇÃO DE EMULSÃO POLIMÉRICA PARA CHAPISCO ROLADO, PREPARO MECÂNICO COM MISTURADOR DE EIXO HORIZONTAL DE 160 KG. AF_08/2019</t>
  </si>
  <si>
    <t>ARGAMASSA TRAÇO 1:3 (EM VOLUME DE CIMENTO E AREIA GROSSA ÚMIDA) COM ADIÇÃO DE EMULSÃO POLIMÉRICA PARA CHAPISCO ROLADO, PREPARO MECÂNICO COM MISTURADOR DE EIXO HORIZONTAL DE 300 KG. AF_08/2019</t>
  </si>
  <si>
    <t>ARGAMASSA TRAÇO 1:3 (EM VOLUME DE CIMENTO E AREIA GROSSA ÚMIDA) COM ADIÇÃO DE EMULSÃO POLIMÉRICA PARA CHAPISCO ROLADO, PREPARO MECÂNICO COM MISTURADOR DE EIXO HORIZONTAL DE 600 KG. AF_08/2019</t>
  </si>
  <si>
    <t>ARGAMASSA TRAÇO 1:4 (EM VOLUME DE CIMENTO E AREIA GROSSA ÚMIDA) COM ADIÇÃO DE EMULSÃO POLIMÉRICA PARA CHAPISCO ROLADO, PREPARO MECÂNICO COM MISTURADOR DE EIXO HORIZONTAL DE 300 KG. AF_08/2019</t>
  </si>
  <si>
    <t>ARGAMASSA TRAÇO 1:4 (EM VOLUME DE CIMENTO E AREIA GROSSA ÚMIDA) COM ADIÇÃO DE EMULSÃO POLIMÉRICA PARA CHAPISCO ROLADO, PREPARO MECÂNICO COM MISTURADOR DE EIXO HORIZONTAL DE 600 KG. AF_08/2019</t>
  </si>
  <si>
    <t>ARGAMASSA TRAÇO 1:7 (EM VOLUME DE CIMENTO E AREIA MÉDIA ÚMIDA) COM ADIÇÃO DE PLASTIFICANTE PARA EMBOÇO/MASSA ÚNICA/ASSENTAMENTO DE ALVENARIA DE VEDAÇÃO, PREPARO MANUAL. AF_08/2019</t>
  </si>
  <si>
    <t>ARGAMASSA TRAÇO 1:6 (EM VOLUME DE CIMENTO E AREIA MÉDIA ÚMIDA) COM ADIÇÃO DE PLASTIFICANTE PARA EMBOÇO/MASSA ÚNICA/ASSENTAMENTO DE ALVENARIA DE VEDAÇÃO, PREPARO MANUAL. AF_08/2019</t>
  </si>
  <si>
    <t>ARGAMASSA TRAÇO 1:1:6 (EM VOLUME DE CIMENTO, CAL E AREIA MÉDIA ÚMIDA) PARA EMBOÇO/MASSA ÚNICA/ASSENTAMENTO DE ALVENARIA DE VEDAÇÃO, PREPARO MANUAL. AF_08/2019</t>
  </si>
  <si>
    <t>ARGAMASSA TRAÇO 1:1,5:7,5 (EM VOLUME DE CIMENTO, CAL E AREIA MÉDIA ÚMIDA) PARA EMBOÇO/MASSA ÚNICA/ASSENTAMENTO DE ALVENARIA DE VEDAÇÃO, PREPARO MANUAL. AF_08/2019</t>
  </si>
  <si>
    <t>ARGAMASSA TRAÇO 1:2:8 (EM VOLUME DE CIMENTO, CAL E AREIA MÉDIA ÚMIDA) PARA EMBOÇO/MASSA ÚNICA/ASSENTAMENTO DE ALVENARIA DE VEDAÇÃO, PREPARO MANUAL. AF_08/2019</t>
  </si>
  <si>
    <t>ARGAMASSA TRAÇO 1:2:9 (EM VOLUME DE CIMENTO, CAL E AREIA MÉDIA ÚMIDA) PARA EMBOÇO/MASSA ÚNICA/ASSENTAMENTO DE ALVENARIA DE VEDAÇÃO, PREPARO MANUAL. AF_08/2019</t>
  </si>
  <si>
    <t>ARGAMASSA TRAÇO 1:3:12 (EM VOLUME DE CIMENTO, CAL E AREIA MÉDIA ÚMIDA) PARA EMBOÇO/MASSA ÚNICA/ASSENTAMENTO DE ALVENARIA DE VEDAÇÃO, PREPARO MANUAL. AF_08/2019</t>
  </si>
  <si>
    <t>ARGAMASSA TRAÇO 1:3 (EM VOLUME DE CIMENTO E AREIA MÉDIA ÚMIDA) PARA CONTRAPISO, PREPARO MANUAL. AF_08/2019</t>
  </si>
  <si>
    <t>ARGAMASSA TRAÇO 1:4 (EM VOLUME DE CIMENTO E AREIA MÉDIA ÚMIDA) PARA CONTRAPISO, PREPARO MANUAL. AF_08/2019</t>
  </si>
  <si>
    <t>ARGAMASSA TRAÇO 1:5 (EM VOLUME DE CIMENTO E AREIA MÉDIA ÚMIDA) PARA CONTRAPISO, PREPARO MANUAL. AF_08/2019</t>
  </si>
  <si>
    <t>ARGAMASSA TRAÇO 1:6 (EM VOLUME DE CIMENTO E AREIA MÉDIA ÚMIDA) PARA CONTRAPISO, PREPARO MANUAL. AF_08/2019</t>
  </si>
  <si>
    <t>ARGAMASSA TRAÇO 1:5 (EM VOLUME DE CIMENTO E AREIA GROSSA ÚMIDA) PARA CHAPISCO CONVENCIONAL, PREPARO MANUAL. AF_08/2019</t>
  </si>
  <si>
    <t>ARGAMASSA TRAÇO 1:3 (EM VOLUME DE CIMENTO E AREIA GROSSA ÚMIDA) PARA CHAPISCO CONVENCIONAL, PREPARO MANUAL. AF_08/2019</t>
  </si>
  <si>
    <t>ARGAMASSA TRAÇO 1:4 (EM VOLUME DE CIMENTO E AREIA GROSSA ÚMIDA) PARA CHAPISCO CONVENCIONAL, PREPARO MANUAL. AF_08/2019</t>
  </si>
  <si>
    <t>ARGAMASSA TRAÇO 1:5 (EM VOLUME DE CIMENTO E AREIA GROSSA ÚMIDA) COM ADIÇÃO DE EMULSÃO POLIMÉRICA PARA CHAPISCO ROLADO, PREPARO MANUAL. AF_08/2019</t>
  </si>
  <si>
    <t>ARGAMASSA TRAÇO 1:3 (EM VOLUME DE CIMENTO E AREIA GROSSA ÚMIDA) COM ADIÇÃO DE EMULSÃO POLIMÉRICA PARA CHAPISCO ROLADO, PREPARO MANUAL. AF_08/2019</t>
  </si>
  <si>
    <t>ARGAMASSA TRAÇO 1:4 (EM VOLUME DE CIMENTO E AREIA GROSSA ÚMIDA) COM ADIÇÃO DE EMULSÃO POLIMÉRICA PARA CHAPISCO ROLADO, PREPARO MANUAL. AF_08/2019</t>
  </si>
  <si>
    <t>ARGAMASSA INDUSTRIALIZADA MULTIUSO PARA REVESTIMENTOS E ASSENTAMENTO DA ALVENARIA, PREPARO COM MISTURADOR DE EIXO HORIZONTAL DE 160 KG. AF_08/2019</t>
  </si>
  <si>
    <t>ARGAMASSA INDUSTRIALIZADA MULTIUSO PARA REVESTIMENTOS E ASSENTAMENTO DA ALVENARIA, PREPARO COM MISTURADOR DE EIXO HORIZONTAL DE 300 KG. AF_08/2019</t>
  </si>
  <si>
    <t>ARGAMASSA INDUSTRIALIZADA MULTIUSO PARA REVESTIMENTOS E ASSENTAMENTO DA ALVENARIA, PREPARO COM MISTURADOR DE EIXO HORIZONTAL DE 600 KG. AF_08/2019</t>
  </si>
  <si>
    <t>ARGAMASSA PRONTA PARA CONTRAPISO, PREPARO COM MISTURADOR DE EIXO HORIZONTAL DE 160 KG. AF_08/2019</t>
  </si>
  <si>
    <t>ARGAMASSA PRONTA PARA CONTRAPISO, PREPARO COM MISTURADOR DE EIXO HORIZONTAL DE 300 KG. AF_08/2019</t>
  </si>
  <si>
    <t>ARGAMASSA PRONTA PARA CONTRAPISO, PREPARO COM MISTURADOR DE EIXO HORIZONTAL DE 600 KG. AF_08/2019</t>
  </si>
  <si>
    <t>ARGAMASSA PARA REVESTIMENTO DECORATIVO MONOCAMADA (MONOCAPA), PREPARO COM MISTURADOR DE EIXO HORIZONTAL DE 160 KG. AF_08/2019</t>
  </si>
  <si>
    <t>ARGAMASSA PARA REVESTIMENTO DECORATIVO MONOCAMADA (MONOCAPA), PREPARO COM MISTURADOR DE EIXO HORIZONTAL DE 300 KG. AF_08/2019</t>
  </si>
  <si>
    <t>ARGAMASSA PARA REVESTIMENTO DECORATIVO MONOCAMADA (MONOCAPA), PREPARO COM MISTURADOR DE EIXO HORIZONTAL DE 600 KG. AF_08/2019</t>
  </si>
  <si>
    <t>ARGAMASSA INDUSTRIALIZADA PARA CHAPISCO ROLADO, PREPARO COM MISTURADOR DE EIXO HORIZONTAL DE 160 KG. AF_08/2019</t>
  </si>
  <si>
    <t>ARGAMASSA INDUSTRIALIZADA PARA CHAPISCO ROLADO, PREPARO COM MISTURADOR DE EIXO HORIZONTAL DE 300 KG. AF_08/2019</t>
  </si>
  <si>
    <t>ARGAMASSA INDUSTRIALIZADA PARA CHAPISCO ROLADO, PREPARO COM MISTURADOR DE EIXO HORIZONTAL DE 600 KG. AF_08/2019</t>
  </si>
  <si>
    <t>ARGAMASSA INDUSTRIALIZADA PARA CHAPISCO COLANTE, PREPARO COM MISTURADOR DE EIXO HORIZONTAL DE 160 KG. AF_08/2019</t>
  </si>
  <si>
    <t>ARGAMASSA INDUSTRIALIZADA PARA CHAPISCO COLANTE, PREPARO COM MISTURADOR DE EIXO HORIZONTAL DE 300 KG. AF_08/2019</t>
  </si>
  <si>
    <t>ARGAMASSA INDUSTRIALIZADA PARA CHAPISCO COLANTE, PREPARO COM MISTURADOR DE EIXO HORIZONTAL DE 600 KG. AF_08/2019</t>
  </si>
  <si>
    <t>ARGAMASSA INDUSTRIALIZADA MULTIUSO PARA REVESTIMENTOS E ASSENTAMENTO DA ALVENARIA, PREPARO MANUAL. AF_08/2019</t>
  </si>
  <si>
    <t>ARGAMASSA PRONTA PARA CONTRAPISO, PREPARO MANUAL. AF_08/2019</t>
  </si>
  <si>
    <t>ARGAMASSA INDUSTRIALIZADA PARA CHAPISCO ROLADO, PREPARO MANUAL. AF_08/2019</t>
  </si>
  <si>
    <t>ARGAMASSA INDUSTRIALIZADA PARA CHAPISCO COLANTE, PREPARO MANUAL. AF_08/2019</t>
  </si>
  <si>
    <t>ARGAMASSA PARA REVESTIMENTO DECORATIVO MONOCAMADA (MONOCAPA), MISTURA E PROJEÇÃO DE 1,5 M3/H DE ARGAMASSA. AF_08/2019</t>
  </si>
  <si>
    <t>ARGAMASSA INDUSTRIALIZADA PARA REVESTIMENTOS, MISTURA E PROJEÇÃO DE 1,5 M³/H DE ARGAMASSA. AF_08/2019</t>
  </si>
  <si>
    <t>ARGAMASSA À BASE DE GESSO, MISTURA E PROJEÇÃO DE 1,5 M³/H DE ARGAMASSA. AF_08/2019</t>
  </si>
  <si>
    <t>ARGAMASSA TRAÇO 1:0,5:4,5 (EM VOLUME DE CIMENTO, CAL E AREIA MÉDIA ÚMIDA), PREPARO MECÂNICO COM BETONEIRA 400 L. AF_08/2019</t>
  </si>
  <si>
    <t>ARGAMASSA TRAÇO 1:0,5:4,5 (EM VOLUME DE CIMENTO, CAL E AREIA MÉDIA ÚMIDA) PARA ASSENTAMENTO DE ALVENARIA, PREPARO MANUAL. AF_08/2019</t>
  </si>
  <si>
    <t>ARGAMASSA TRAÇO 1:3 (EM VOLUME DE CIMENTO E AREIA MÉDIA ÚMIDA), PREPARO MECÂNICO COM BETONEIRA 400 L. AF_08/2019</t>
  </si>
  <si>
    <t>ARGAMASSA TRAÇO 1:3 (EM VOLUME DE CIMENTO E AREIA MÉDIA ÚMIDA), PREPARO MANUAL. AF_08/2019</t>
  </si>
  <si>
    <t>ARGAMASSA TRAÇO 1:4 (EM VOLUME DE CIMENTO E AREIA MÉDIA ÚMIDA), PREPARO MANUAL. AF_08/2019</t>
  </si>
  <si>
    <t>ARGAMASSA TRAÇO 1:2:9 (EM VOLUME DE CIMENTO, CAL E AREIA MÉDIA ÚMIDA) PARA EMBOÇO/MASSA ÚNICA/ASSENTAMENTO DE ALVENARIA DE VEDAÇÃO, PREPARO MECÂNICO COM BETONEIRA 400 L. AF_08/2019</t>
  </si>
  <si>
    <t>100464</t>
  </si>
  <si>
    <t>ARGAMASSA TRAÇO 1:0,5:4,5  (EM VOLUME DE CIMENTO, CAL E AREIA MÉDIA ÚMIDA), PREPARO MECÂNICO COM MISTURADOR DE EIXO HORIZONTAL DE 160 KG. AF_08/2019</t>
  </si>
  <si>
    <t>100465</t>
  </si>
  <si>
    <t>ARGAMASSA TRAÇO 1:0,5:4,5  (EM VOLUME DE CIMENTO, CAL E AREIA MÉDIA ÚMIDA), PREPARO MECÂNICO COM MISTURADOR DE EIXO HORIZONTAL DE 300 KG. AF_08/2019</t>
  </si>
  <si>
    <t>100466</t>
  </si>
  <si>
    <t>ARGAMASSA TRAÇO 1:0,5:4,5  (EM VOLUME DE CIMENTO, CAL E AREIA MÉDIA ÚMIDA), PREPARO MECÂNICO COM MISTURADOR DE EIXO HORIZONTAL DE 600 KG. AF_08/2019</t>
  </si>
  <si>
    <t>100468</t>
  </si>
  <si>
    <t>ARGAMASSA TRAÇO 1:3 (EM VOLUME DE CIMENTO E AREIA MÉDIA ÚMIDA), PREPARO MECÂNICO COM MISTURADOR DE EIXO HORIZONTAL DE 160 KG. AF_08/2019</t>
  </si>
  <si>
    <t>100469</t>
  </si>
  <si>
    <t>ARGAMASSA TRAÇO 1:3 (EM VOLUME DE CIMENTO E AREIA MÉDIA ÚMIDA), PREPARO MECÂNICO COM MISTURADOR DE EIXO HORIZONTAL DE 300 KG. AF_08/2019</t>
  </si>
  <si>
    <t>100470</t>
  </si>
  <si>
    <t>ARGAMASSA TRAÇO 1:3 (EM VOLUME DE CIMENTO E AREIA MÉDIA ÚMIDA), PREPARO MECÂNICO COM MISTURADOR DE EIXO HORIZONTAL DE 600 KG. AF_08/2019</t>
  </si>
  <si>
    <t>100472</t>
  </si>
  <si>
    <t>ARGAMASSA TRAÇO 1:4 (EM VOLUME DE CIMENTO E AREIA MÉDIA ÚMIDA), PREPARO MECÂNICO COM MISTURADOR DE EIXO HORIZONTAL DE 160 KG. AF_08/2019</t>
  </si>
  <si>
    <t>100473</t>
  </si>
  <si>
    <t>ARGAMASSA TRAÇO 1:4 (EM VOLUME DE CIMENTO E AREIA MÉDIA ÚMIDA), PREPARO MECÂNICO COM MISTURADOR DE EIXO HORIZONTAL DE 300 KG. AF_08/2019</t>
  </si>
  <si>
    <t>100474</t>
  </si>
  <si>
    <t>ARGAMASSA TRAÇO 1:4 (EM VOLUME DE CIMENTO E AREIA MÉDIA ÚMIDA), PREPARO MECÂNICO COM MISTURADOR DE EIXO HORIZONTAL DE 600 KG. AF_08/2019</t>
  </si>
  <si>
    <t>100475</t>
  </si>
  <si>
    <t>ARGAMASSA TRAÇO 1:3 (EM VOLUME DE CIMENTO E AREIA MÉDIA ÚMIDA) COM ADIÇÃO DE IMPERMEABILIZANTE, PREPARO MECÂNICO COM BETONEIRA 400 L. AF_08/2019</t>
  </si>
  <si>
    <t>100477</t>
  </si>
  <si>
    <t>ARGAMASSA TRAÇO 1:3 (EM VOLUME DE CIMENTO E AREIA MÉDIA ÚMIDA) COM ADIÇÃO DE IMPERMEABILIZANTE, PREPARO MECÂNICO COM MISTURADOR DE EIXO HORIZONTAL DE 160 KG. AF_08/2019</t>
  </si>
  <si>
    <t>100478</t>
  </si>
  <si>
    <t>ARGAMASSA TRAÇO 1:3 (EM VOLUME DE CIMENTO E AREIA MÉDIA ÚMIDA) COM ADIÇÃO DE IMPERMEABILIZANTE, PREPARO MECÂNICO COM MISTURADOR DE EIXO HORIZONTAL DE 300 KG. AF_08/2019</t>
  </si>
  <si>
    <t>100479</t>
  </si>
  <si>
    <t>ARGAMASSA TRAÇO 1:3 (EM VOLUME DE CIMENTO E AREIA MÉDIA ÚMIDA) COM ADIÇÃO DE IMPERMEABILIZANTE, PREPARO MECÂNICO COM MISTURADOR DE EIXO HORIZONTAL DE 600 KG. AF_08/2019</t>
  </si>
  <si>
    <t>100480</t>
  </si>
  <si>
    <t>ARGAMASSA TRAÇO 1:3 (EM VOLUME DE CIMENTO E AREIA MÉDIA ÚMIDA) COM ADIÇÃO DE IMPERMEABILIZANTE, PREPARO MANUAL. AF_08/2019</t>
  </si>
  <si>
    <t>100481</t>
  </si>
  <si>
    <t>ARGAMASSA TRAÇO 1:4 (EM VOLUME DE CIMENTO E AREIA MÉDIA ÚMIDA) COM ADIÇÃO DE IMPERMEABILIZANTE, PREPARO MECÂNICO COM BETONEIRA 400 L. AF_08/2019</t>
  </si>
  <si>
    <t>100483</t>
  </si>
  <si>
    <t>ARGAMASSA TRAÇO 1:4 (EM VOLUME DE CIMENTO E AREIA MÉDIA ÚMIDA) COM ADIÇÃO DE IMPERMEABILIZANTE, PREPARO MECÂNICO COM MISTURADOR DE EIXO HORIZONTAL DE 160 KG. AF_08/2019</t>
  </si>
  <si>
    <t>100484</t>
  </si>
  <si>
    <t>ARGAMASSA TRAÇO 1:4 (EM VOLUME DE CIMENTO E AREIA MÉDIA ÚMIDA) COM ADIÇÃO DE IMPERMEABILIZANTE, PREPARO MECÂNICO COM MISTURADOR DE EIXO HORIZONTAL DE 300 KG. AF_08/2019</t>
  </si>
  <si>
    <t>100485</t>
  </si>
  <si>
    <t>ARGAMASSA TRAÇO 1:4 (EM VOLUME DE CIMENTO E AREIA MÉDIA ÚMIDA) COM ADIÇÃO DE IMPERMEABILIZANTE, PREPARO MECÂNICO COM MISTURADOR DE EIXO HORIZONTAL DE 600 KG. AF_08/2019</t>
  </si>
  <si>
    <t>100486</t>
  </si>
  <si>
    <t>ARGAMASSA TRAÇO 1:4 (EM VOLUME DE CIMENTO E AREIA MÉDIA ÚMIDA) COM ADIÇÃO DE IMPERMEABILIZANTE, PREPARO MANUAL. AF_08/2019</t>
  </si>
  <si>
    <t>100487</t>
  </si>
  <si>
    <t>ARGAMASSA TRAÇO 1:2:9 (EM VOLUME DE CIMENTO, CAL E AREIA MÉDIA ÚMIDA) PARA EMBOÇO/MASSA ÚNICA/ASSENTAMENTO DE ALVENARIA DE VEDAÇÃO, PREPARO MECÂNICO COM MISTURADOR DE EIXO HORIZONTAL DE 600 KG. AF_08/2019</t>
  </si>
  <si>
    <t>100488</t>
  </si>
  <si>
    <t>ARGAMASSA TRAÇO 1:0,5:4,5 (EM VOLUME DE CIMENTO, CAL E AREIA MÉDIA ÚMIDA), PREPARO MECÂNICO COM BETONEIRA 600 L. AF_08/2019</t>
  </si>
  <si>
    <t>100489</t>
  </si>
  <si>
    <t>ARGAMASSA TRAÇO 1:3 (EM VOLUME DE CIMENTO E AREIA MÉDIA ÚMIDA), PREPARO MECÂNICO COM BETONEIRA 600 L. AF_08/2019</t>
  </si>
  <si>
    <t>100490</t>
  </si>
  <si>
    <t>ARGAMASSA TRAÇO 1:4 (EM VOLUME DE CIMENTO E AREIA MÉDIA ÚMIDA), PREPARO MECÂNICO COM BETONEIRA 600 L. AF_08/2019</t>
  </si>
  <si>
    <t>100491</t>
  </si>
  <si>
    <t>ARGAMASSA TRAÇO 1:3 (EM VOLUME DE CIMENTO E AREIA MÉDIA ÚMIDA) COM ADIÇÃO DE IMPERMEABILIZANTE, PREPARO MECÂNICO COM BETONEIRA 600 L. AF_08/2019</t>
  </si>
  <si>
    <t>100492</t>
  </si>
  <si>
    <t>ARGAMASSA TRAÇO 1:4 (EM VOLUME DE CIMENTO E AREIA MÉDIA ÚMIDA) COM ADIÇÃO DE IMPERMEABILIZANTE, PREPARO MECÂNICO COM BETONEIRA 600 L. AF_08/2019</t>
  </si>
  <si>
    <t>34,07</t>
  </si>
  <si>
    <t>100195</t>
  </si>
  <si>
    <t>TRANSPORTE HORIZONTAL MANUAL, DE SACOS DE 50 KG (UNIDADE: KGXKM). AF_07/2019</t>
  </si>
  <si>
    <t>KGXKM</t>
  </si>
  <si>
    <t>100196</t>
  </si>
  <si>
    <t>TRANSPORTE HORIZONTAL MANUAL, DE SACOS DE 30 KG (UNIDADE: KGXKM). AF_07/2019</t>
  </si>
  <si>
    <t>100197</t>
  </si>
  <si>
    <t>TRANSPORTE HORIZONTAL MANUAL, DE SACOS DE 20 KG (UNIDADE: KGXKM). AF_07/2019</t>
  </si>
  <si>
    <t>100198</t>
  </si>
  <si>
    <t>TRANSPORTE HORIZONTAL COM CARRINHO PLATAFORMA, DE SACOS DE 50 KG (UNIDADE: KGXKM). AF_07/2019</t>
  </si>
  <si>
    <t>100199</t>
  </si>
  <si>
    <t>TRANSPORTE HORIZONTAL COM CARRINHO PLATAFORMA, DE SACOS DE 30 KG (UNIDADE: KGXKM). AF_07/2019</t>
  </si>
  <si>
    <t>100200</t>
  </si>
  <si>
    <t>TRANSPORTE HORIZONTAL COM CARRINHO PLATAFORMA, DE SACOS DE 20 KG (UNIDADE: KGXKM). AF_07/2019</t>
  </si>
  <si>
    <t>100201</t>
  </si>
  <si>
    <t>TRANSPORTE HORIZONTAL COM CARRINHO DE MÃO, DE SACOS DE 50 KG (UNIDADE: KGXKM). AF_07/2019</t>
  </si>
  <si>
    <t>100202</t>
  </si>
  <si>
    <t>TRANSPORTE HORIZONTAL COM CARRINHO DE MÃO, DE SACOS DE 30 KG (UNIDADE: KGXKM). AF_07/2019</t>
  </si>
  <si>
    <t>100203</t>
  </si>
  <si>
    <t>TRANSPORTE HORIZONTAL COM CARRINHO DE MÃO, DE SACOS DE 20 KG (UNIDADE: KGXKM). AF_07/2019</t>
  </si>
  <si>
    <t>100204</t>
  </si>
  <si>
    <t>TRANSPORTE HORIZONTAL COM MANIPULADOR TELESCÓPICO, DE PÁLETE DE SACOS (UNIDADE: KGXKM). AF_07/2019</t>
  </si>
  <si>
    <t>100205</t>
  </si>
  <si>
    <t>TRANSPORTE HORIZONTAL COM JERICA DE 60 L, DE MASSA/ GRANEL (UNIDADE: M3XKM). AF_07/2019</t>
  </si>
  <si>
    <t>100206</t>
  </si>
  <si>
    <t>TRANSPORTE HORIZONTAL COM JERICA DE 90 L, DE MASSA/ GRANEL (UNIDADE: M3XKM). AF_07/2019</t>
  </si>
  <si>
    <t>100207</t>
  </si>
  <si>
    <t>TRANSPORTE HORIZONTAL COM CARREGADEIRA, DE MASSA/ GRANEL (UNIDADE: M3XKM). AF_07/2019</t>
  </si>
  <si>
    <t>100208</t>
  </si>
  <si>
    <t>TRANSPORTE HORIZONTAL MANUAL, DE BLOCOS VAZADOS DE CONCRETO OU CERÂMICO DE 19X19X39CM (UNIDADE: BLOCOXKM). AF_07/2019</t>
  </si>
  <si>
    <t>UNXKM</t>
  </si>
  <si>
    <t>100209</t>
  </si>
  <si>
    <t>TRANSPORTE HORIZONTAL MANUAL, DE BLOCOS CERÂMICOS FURADOS NA HORIZONTAL DE 9X19X19CM (UNIDADE: BLOCOXKM). AF_07/2019</t>
  </si>
  <si>
    <t>100210</t>
  </si>
  <si>
    <t>TRANSPORTE HORIZONTAL COM CARRINHO DE MÃO, DE BLOCOS VAZADOS DE CONCRETO OU CERÂMICO DE 19X19X39CM (UNIDADE: BLOCOXKM). AF_07/2019</t>
  </si>
  <si>
    <t>100211</t>
  </si>
  <si>
    <t>TRANSPORTE HORIZONTAL COM CARRINHO DE MÃO, DE BLOCOS CERÂMICOS FURADOS NA HORIZONTAL DE 9X19X19CM (UNIDADE: BLOCOXKM). AF_07/2019</t>
  </si>
  <si>
    <t>100212</t>
  </si>
  <si>
    <t>TRANSPORTE HORIZONTAL COM CARRINHO PLATAFORMA, DE BLOCOS VAZADOS DE CONCRETO OU CERÂMICO DE 19X19X39CM (UNIDADE: BLOCOXKM). AF_07/2019</t>
  </si>
  <si>
    <t>100213</t>
  </si>
  <si>
    <t>TRANSPORTE HORIZONTAL COM CARRINHO PLATAFORMA, DE BLOCOS CERÂMICOS FURADOS NA HORIZONTAL DE 9X19X19CM (UNIDADE: BLOCOXKM). AF_07/2019</t>
  </si>
  <si>
    <t>100214</t>
  </si>
  <si>
    <t>TRANSPORTE HORIZONTAL COM CARRINHO MINI PÁLETES, DE BLOCOS VAZADOS DE CONCRETO DE 19X19X39CM (UNIDADE: BLOCOXKM). AF_07/2019</t>
  </si>
  <si>
    <t>100215</t>
  </si>
  <si>
    <t>TRANSPORTE HORIZONTAL COM CARRINHO MINI PÁLETES, DE BLOCOS CERÂMICOS FURADOS NA VERTICAL DE 19X19X39CM (UNIDADE: BLOCOXKM). AF_07/2019</t>
  </si>
  <si>
    <t>100216</t>
  </si>
  <si>
    <t>TRANSPORTE HORIZONTAL COM CARRINHO MINI PÁLETES, DE BLOCOS CERÂMICOS FURADOS NA HORIZONTAL DE 9X19X19CM (UNIDADE: BLOCOXKM). AF_07/2019</t>
  </si>
  <si>
    <t>100217</t>
  </si>
  <si>
    <t>TRANSPORTE HORIZONTAL COM MANIPULADOR TELESCÓPICO, DE BLOCOS VAZADOS DE CONCRETO DE 19X19X39CM (UNIDADE: BLOCOXKM). AF_07/2019</t>
  </si>
  <si>
    <t>100218</t>
  </si>
  <si>
    <t>TRANSPORTE HORIZONTAL COM MANIPULADOR TELESCÓPICO, DE BLOCOS CERÂMICOS FURADOS NA VERTICAL DE 19X19X39CM (UNIDADE: BLOCOXKM). AF_07/2019</t>
  </si>
  <si>
    <t>100219</t>
  </si>
  <si>
    <t>TRANSPORTE HORIZONTAL COM MANIPULADOR TELESCÓPICO, DE BLOCOS CERÂMICOS FURADOS NA HORIZONTAL DE 9X19X19CM (UNIDADE: BLOCOXKM). AF_07/2019</t>
  </si>
  <si>
    <t>100220</t>
  </si>
  <si>
    <t>TRANSPORTE HORIZONTAL MANUAL, DE CAIXA COM REVESTIMENTO CERÂMICO (UNIDADE: M2XKM). AF_07/2019</t>
  </si>
  <si>
    <t>M2XKM</t>
  </si>
  <si>
    <t>100221</t>
  </si>
  <si>
    <t>TRANSPORTE HORIZONTAL COM CARRINHO DE MÃO, DE CAIXA COM REVESTIMENTO CERÂMICO (UNIDADE: M2XKM). AF_07/2019</t>
  </si>
  <si>
    <t>100222</t>
  </si>
  <si>
    <t>TRANSPORTE HORIZONTAL COM CARRINHO PLATAFORMA, DE CAIXA COM REVESTIMENTO CERÂMICO (UNIDADE: M2XKM). AF_07/2019</t>
  </si>
  <si>
    <t>100223</t>
  </si>
  <si>
    <t>TRANSPORTE HORIZONTAL COM CARRINHO MINI PÁLETES, DE CAIXA COM REVESTIMENTO CERÂMICO (UNIDADE: M2XKM). AF_07/2019</t>
  </si>
  <si>
    <t>100224</t>
  </si>
  <si>
    <t>TRANSPORTE HORIZONTAL COM MANIPULADOR TELESCÓPICO, DE CAIXA COM REVESTIMENTO CERÂMICO (UNIDADE: M2XKM). AF_07/2019</t>
  </si>
  <si>
    <t>100225</t>
  </si>
  <si>
    <t>TRANSPORTE HORIZONTAL MANUAL, DE LATA DE 18 LITROS (UNIDADE: LXKM). AF_07/2019</t>
  </si>
  <si>
    <t>LXKM</t>
  </si>
  <si>
    <t>100226</t>
  </si>
  <si>
    <t>TRANSPORTE HORIZONTAL COM CARRINHO PLATAFORMA, DE LATA DE 18 LITROS (UNIDADE: LXKM). AF_07/2019</t>
  </si>
  <si>
    <t>100227</t>
  </si>
  <si>
    <t>TRANSPORTE HORIZONTAL COM CARRINHO RACIONAL, DE LATA DE 18 LITROS (UNIDADE: LXKM). AF_07/2019</t>
  </si>
  <si>
    <t>100228</t>
  </si>
  <si>
    <t>TRANSPORTE HORIZONTAL COM MANIPULADOR TELESCÓPICO, DE LATA DE 18 LITROS (UNIDADE: LXKM). AF_07/2019</t>
  </si>
  <si>
    <t>100229</t>
  </si>
  <si>
    <t>TRANSPORTE VERTICAL MANUAL, 1 PAVIMENTO, DE SACOS DE 50 KG (UNIDADE: KG). AF_07/2019</t>
  </si>
  <si>
    <t>100230</t>
  </si>
  <si>
    <t>TRANSPORTE VERTICAL MANUAL, 1 PAVIMENTO, DE SACOS DE 30 KG (UNIDADE: KG). AF_07/2019</t>
  </si>
  <si>
    <t>100231</t>
  </si>
  <si>
    <t>TRANSPORTE VERTICAL MANUAL, 1 PAVIMENTO, DE SACOS DE 20 KG (UNIDADE: KG). AF_07/2019</t>
  </si>
  <si>
    <t>100232</t>
  </si>
  <si>
    <t>TRANSPORTE VERTICAL MANUAL, 1 PAVIMENTO, DE BLOCOS VAZADOS DE CONCRETO OU CERÂMICO DE 19X19X39CM (UNIDADE: BLOCO). AF_07/2019</t>
  </si>
  <si>
    <t>100233</t>
  </si>
  <si>
    <t>TRANSPORTE VERTICAL MANUAL, 1 PAVIMENTO, DE BLOCOS CERÂMICOS FURADOS NA HORIZONTAL DE 9X19X19CM (UNIDADE: BLOCO). AF_07/2019</t>
  </si>
  <si>
    <t>100234</t>
  </si>
  <si>
    <t>TRANSPORTE VERTICAL MANUAL, 1 PAVIMENTO, DE CAIXA COM REVESTIMENTO CERÂMICO (UNIDADE: M2). AF_07/2019</t>
  </si>
  <si>
    <t>100235</t>
  </si>
  <si>
    <t>TRANSPORTE VERTICAL MANUAL, 1 PAVIMENTO, DE LATA DE 18 LITROS (UNIDADE: L). AF_07/2019</t>
  </si>
  <si>
    <t>100236</t>
  </si>
  <si>
    <t>TRANSPORTE HORIZONTAL MANUAL, DE TUBO DE PVC SOLDÁVEL COM DIÂMETRO MENOR OU IGUAL A 60 MM (UNIDADE: MXKM). AF_07/2019</t>
  </si>
  <si>
    <t>MXKM</t>
  </si>
  <si>
    <t>100237</t>
  </si>
  <si>
    <t>TRANSPORTE HORIZONTAL MANUAL, DE TUBO DE PVC SOLDÁVEL COM DIÂMETRO MAIOR QUE 60 MM E MENOR OU IGUAL A 85 MM (UNIDADE: MXKM). AF_07/2019</t>
  </si>
  <si>
    <t>100238</t>
  </si>
  <si>
    <t>TRANSPORTE HORIZONTAL MANUAL, DE TUBO DE CPVC COM DIÂMETRO MENOR OU IGUAL A 73 MM (UNIDADE: MXKM). AF_07/2019</t>
  </si>
  <si>
    <t>100239</t>
  </si>
  <si>
    <t>TRANSPORTE HORIZONTAL MANUAL, DE TUBO DE CPVC COM DIÂMETRO MAIOR QUE 73 MM E MENOR OU IGUAL A 89 MM (UNIDADE: MXKM). AF_07/2019</t>
  </si>
  <si>
    <t>100240</t>
  </si>
  <si>
    <t>TRANSPORTE HORIZONTAL MANUAL, DE TUBO DE PPR - PN12 OU PN25 - COM DIÂMETRO MENOR OU IGUAL A 50 MM (UNIDADE: MXKM). AF_07/2019</t>
  </si>
  <si>
    <t>100241</t>
  </si>
  <si>
    <t>TRANSPORTE HORIZONTAL MANUAL, DE TUBO DE PPR - PN12 OU PN25 - COM DIÂMETRO MAIOR QUE 50 MM E MENOR OU IGUAL A 75 MM (UNIDADE: MXKM). AF_07/2019</t>
  </si>
  <si>
    <t>100242</t>
  </si>
  <si>
    <t>TRANSPORTE HORIZONTAL MANUAL, DE TUBO DE PPR - PN12 OU PN25 - COM DIÂMETRO MAIOR QUE 75 MM E MENOR OU IGUAL A 110 MM (UNIDADE: MXKM). AF_07/2019</t>
  </si>
  <si>
    <t>100243</t>
  </si>
  <si>
    <t>TRANSPORTE HORIZONTAL MANUAL, DE TUBO DE COBRE - CLASSE E - COM DIÂMETRO MENOR OU IGUAL A 54 MM (UNIDADE: MXKM). AF_07/2019</t>
  </si>
  <si>
    <t>100244</t>
  </si>
  <si>
    <t>TRANSPORTE HORIZONTAL MANUAL, DE TUBO DE COBRE - CLASSE E - COM DIÂMETRO MAIOR QUE 54 MM E MENOR OU IGUAL A 79 MM (UNIDADE: MXKM). AF_07/2019</t>
  </si>
  <si>
    <t>100245</t>
  </si>
  <si>
    <t>TRANSPORTE HORIZONTAL MANUAL, DE TUBO DE COBRE - CLASSE E - COM DIÂMETRO MAIOR QUE 79 MM E MENOR OU IGUAL A 104 MM (UNIDADE: MXKM). AF_07/2019</t>
  </si>
  <si>
    <t>100246</t>
  </si>
  <si>
    <t>TRANSPORTE HORIZONTAL MANUAL, DE TUBO DE PVC SÉRIE NORMAL - ESGOTO PREDIAL, OU REFORÇADO PARA ESGOTO OU ÁGUAS PLUVIAIS PREDIAL, COM DIÂMETRO MENOR OU IGUAL A 75 MM (UNIDADE: MXKM). AF_07/2019</t>
  </si>
  <si>
    <t>100247</t>
  </si>
  <si>
    <t>TRANSPORTE HORIZONTAL MANUAL, DE TUBO DE PVC SÉRIE NORMAL - ESGOTO PREDIAL, OU REFORÇADO PARA ESGOTO OU ÁGUAS PLUVIAIS PREDIAL, COM DIÂMETRO MAIOR QUE 75 MM E MENOR OU IGUAL A 100 MM (UNIDADE: MXKM). AF_07/2019</t>
  </si>
  <si>
    <t>100248</t>
  </si>
  <si>
    <t>TRANSPORTE HORIZONTAL MANUAL, DE TUBO DE PVC SÉRIE NORMAL - ESGOTO PREDIAL, OU REFORÇADO PARA ESGOTO OU ÁGUAS PLUVIAIS PREDIAL, COM DIÂMETRO MAIOR QUE 100 MM E MENOR OU IGUAL A 150 MM (UNIDADE: MXKM). AF_07/2019</t>
  </si>
  <si>
    <t>100249</t>
  </si>
  <si>
    <t>TRANSPORTE HORIZONTAL MANUAL, DE TUBO DE AÇO CARBONO LEVE OU MÉDIO, PRETO OU GALVANIZADO, COM DIÂMETRO MENOR OU IGUAL A 20 MM (UNIDADE: MXKM). AF_07/2019</t>
  </si>
  <si>
    <t>100250</t>
  </si>
  <si>
    <t>TRANSPORTE HORIZONTAL MANUAL, DE TUBO DE AÇO CARBONO LEVE OU MÉDIO, PRETO OU GALVANIZADO, COM DIÂMETRO MAIOR QUE 20 MM E MENOR OU IGUAL A 32 MM (UNIDADE: MXKM). AF_07/2019</t>
  </si>
  <si>
    <t>100251</t>
  </si>
  <si>
    <t>TRANSPORTE HORIZONTAL MANUAL, DE TUBO DE AÇO CARBONO LEVE OU MÉDIO, PRETO OU GALVANIZADO, COM DIÂMETRO MAIOR QUE 32 MM E MENOR OU IGUAL A 65 MM (UNIDADE: MXKM). AF_07/2019</t>
  </si>
  <si>
    <t>100252</t>
  </si>
  <si>
    <t>TRANSPORTE HORIZONTAL MANUAL, DE TUBO DE AÇO CARBONO LEVE OU MÉDIO, PRETO OU GALVANIZADO, COM DIÂMETRO MAIOR QUE 65 MM E MENOR OU IGUAL A 90 MM (UNIDADE: MXKM). AF_07/2019</t>
  </si>
  <si>
    <t>100253</t>
  </si>
  <si>
    <t>TRANSPORTE HORIZONTAL MANUAL, DE TUBO DE AÇO CARBONO LEVE OU MÉDIO, PRETO OU GALVANIZADO, COM DIÂMETRO MAIOR QUE 90 MM E MENOR OU IGUAL A 125 MM (UNIDADE: MXKM). AF_07/2019</t>
  </si>
  <si>
    <t>100254</t>
  </si>
  <si>
    <t>TRANSPORTE HORIZONTAL MANUAL, DE TUBO DE AÇO CARBONO LEVE OU MÉDIO, PRETO OU GALVANIZADO, COM DIÂMETRO MAIOR QUE 125 MM E MENOR OU IGUAL A 150 MM (UNIDADE: MXKM). AF_07/2019</t>
  </si>
  <si>
    <t>100255</t>
  </si>
  <si>
    <t>TRANSPORTE HORIZONTAL MANUAL, DE TÁBUAS DE MADEIRA COM SEÇÃO TRANSVERSAL DE 2,5 X 25 CM E 2,5 X 30 CM (UNIDADE: MXKM). AF_07/2019</t>
  </si>
  <si>
    <t>100256</t>
  </si>
  <si>
    <t>TRANSPORTE HORIZONTAL MANUAL, DE CAIBROS DE MADEIRA COM SEÇÃO TRANSVERSAL DE 7,5 X 6 CM E 6 X 8 CM (UNIDADE: MXKM). AF_07/2019</t>
  </si>
  <si>
    <t>100257</t>
  </si>
  <si>
    <t>TRANSPORTE HORIZONTAL MANUAL, DE RIPAS DE MADEIRA COM SEÇÃO TRANSVERSAL DE 1 X 5 CM E 2 X 5 CM (UNIDADE: MXKM). AF_07/2019</t>
  </si>
  <si>
    <t>100258</t>
  </si>
  <si>
    <t>TRANSPORTE HORIZONTAL MANUAL, DE VIGAS DE MADEIRA COM SEÇÃO TRANSVERSAL DE 5 X 12 CM (UNIDADE: MXKM). AF_07/2019</t>
  </si>
  <si>
    <t>100259</t>
  </si>
  <si>
    <t>TRANSPORTE HORIZONTAL MANUAL, DE VIGAS DE MADEIRA COM SEÇÃO TRANSVERSAL DE 6 X 16 CM (UNIDADE: MXKM). AF_07/2019</t>
  </si>
  <si>
    <t>100260</t>
  </si>
  <si>
    <t>TRANSPORTE HORIZONTAL MANUAL, DE VERGALHÕES DE AÇO COM DIÂMETRO DE 5 MM (UNIDADE: KGXKM). AF_07/2019</t>
  </si>
  <si>
    <t>100261</t>
  </si>
  <si>
    <t>TRANSPORTE HORIZONTAL MANUAL, DE VERGALHÕES DE AÇO COM DIÂMETRO DE 6,3 MM (UNIDADE: KGXKM). AF_07/2019</t>
  </si>
  <si>
    <t>100262</t>
  </si>
  <si>
    <t>TRANSPORTE HORIZONTAL MANUAL, DE VERGALHÕES DE AÇO COM DIÂMETRO DE 8 MM (UNIDADE: KGXKM). AF_07/2019</t>
  </si>
  <si>
    <t>100263</t>
  </si>
  <si>
    <t>TRANSPORTE HORIZONTAL MANUAL, DE VERGALHÕES DE AÇO COM DIÂMETRO DE 10 MM; 12,5 MM; 16 MM; 20 MM; 25 MM OU 32 MM (UNIDADE: KGXKM). AF_07/2019</t>
  </si>
  <si>
    <t>100264</t>
  </si>
  <si>
    <t>TRANSPORTE HORIZONTAL MANUAL, DE JANELA (UNIDADE: M2XKM). AF_07/2019</t>
  </si>
  <si>
    <t>100265</t>
  </si>
  <si>
    <t>TRANSPORTE VERTICAL MANUAL, 1 PAVIMENTO, DE JANELA (UNIDADE: M2). AF_07/2019</t>
  </si>
  <si>
    <t>100266</t>
  </si>
  <si>
    <t>TRANSPORTE HORIZONTAL MANUAL, DE PORTA (UNIDADE: UNIDXKM). AF_07/2019</t>
  </si>
  <si>
    <t>100267</t>
  </si>
  <si>
    <t>TRANSPORTE VERTICAL MANUAL, 1 PAVIMENTO, DE PORTA (UNIDADE: UNID). AF_07/2019</t>
  </si>
  <si>
    <t>100268</t>
  </si>
  <si>
    <t>TRANSPORTE HORIZONTAL MANUAL, DE BANCADA DE MÁRMORE OU GRANITO PARA COZINHA/LAVATÓRIO OU MÁRMORE SINTÉTICO COM CUBA INTEGRADA (UNIDADE: UNIDXKM). AF_07/2019</t>
  </si>
  <si>
    <t>100269</t>
  </si>
  <si>
    <t>TRANSPORTE VERTICAL, BANCADA DE MÁRMORE OU GRANITO PARA COZINHA/LAVATÓRIO OU MÁRMORE SINTÉTICO COM CUBA INTEGRADA, MANUAL, 1 PAVIMENTO, (UNIDADE: UNID). AF_07/2019</t>
  </si>
  <si>
    <t>100270</t>
  </si>
  <si>
    <t>TRANSPORTE HORIZONTAL COM CARRINHO PLATAFORMA, DE BANCADA DE MÁRMORE OU GRANITO PARA COZINHA/LAVATÓRIO OU MÁRMORE SINTÉTICO COM CUBA INTEGRADA (UNIDADE: UNIDXKM). AF_07/2019</t>
  </si>
  <si>
    <t>100271</t>
  </si>
  <si>
    <t>TRANSPORTE HORIZONTAL MANUAL, DE VIDRO (UNIDADE: M2XKM). AF_07/2019</t>
  </si>
  <si>
    <t>100272</t>
  </si>
  <si>
    <t>TRANSPORTE VERTICAL MANUAL, 1 PAVIMENTO, DE VIDRO (UNIDADE: M2). AF_07/2019</t>
  </si>
  <si>
    <t>100273</t>
  </si>
  <si>
    <t>TRANSPORTE HORIZONTAL MANUAL, DE TELA DE AÇO (UNIDADE: KGXKM). AF_07/2019</t>
  </si>
  <si>
    <t>100274</t>
  </si>
  <si>
    <t>TRANSPORTE HORIZONTAL MANUAL, DE COMPENSADO DE MADEIRA (UNIDADE: M2XKM). AF_07/2019</t>
  </si>
  <si>
    <t>100275</t>
  </si>
  <si>
    <t>TRANSPORTE HORIZONTAL MANUAL, DE TELHA TERMOACÚSTICA OU TELHA DE AÇO ZINCADO (UNIDADE: M2XKM). AF_07/2019</t>
  </si>
  <si>
    <t>100276</t>
  </si>
  <si>
    <t>TRANSPORTE HORIZONTAL MANUAL, DE TELHA DE FIBROCIMENTO OU TELHA ESTRUTURAL DE FIBROCIMENTO, CANALETE 90 OU KALHETÃO (UNIDADE: M2XKM). AF_07/2019</t>
  </si>
  <si>
    <t>100277</t>
  </si>
  <si>
    <t>TRANSPORTE HORIZONTAL COM MANIPULADOR TELESCÓPICO, DE TELHAS TERMOACÚSTICAS, FIBROCIMENTO, AÇO ZINCADO, FIBROCIMENTO ESTRUTURAL, CANALETE 90 OU KALHETÃO (UNIDADE: M2XKM). AF_07/2019</t>
  </si>
  <si>
    <t>100278</t>
  </si>
  <si>
    <t>TRANSPORTE HORIZONTAL MANUAL, DE BACIA SANITÁRIA, CAIXA ACOPLADA, TANQUE OU PIA (UNIDADE: UNIDXKM). AF_07/2019</t>
  </si>
  <si>
    <t>100279</t>
  </si>
  <si>
    <t>TRANSPORTE VERTICAL MANUAL, 1 PAVIMENTO, DE BACIA SANITÁRIA, CAIXA ACOPLADA, TANQUE OU PIA (UNIDADE: UNID). AF_07/2019</t>
  </si>
  <si>
    <t>100280</t>
  </si>
  <si>
    <t>TRANSPORTE HORIZONTAL COM CARRINHO PLATAFORMA, DE BACIA SANITÁRIA, CAIXA ACOPLADA, TANQUE OU PIA (UNIDADE: UNIDXKM). AF_07/2019</t>
  </si>
  <si>
    <t>100281</t>
  </si>
  <si>
    <t>TRANSPORTE HORIZONTAL COM MANIPULADOR TELESCÓPICO, DE BACIA SANITÁRIA, CAIXA ACOPLADA, TANQUE OU PIA (UNIDADE: UNIDXKM). AF_07/2019</t>
  </si>
  <si>
    <t>100282</t>
  </si>
  <si>
    <t>TRANSPORTE HORIZONTAL MANUAL, DE TELHA DE CONCRETO OU CERÂMICA (UNIDADE: M2XKM). AF_07/2019</t>
  </si>
  <si>
    <t>100283</t>
  </si>
  <si>
    <t>TRANSPORTE HORIZONTAL COM CARRINHO PLATAFORMA, DE TELHA DE CONCRETO OU CERÂMICA (UNIDADE: M2XKM). AF_07/2019</t>
  </si>
  <si>
    <t>16,75</t>
  </si>
  <si>
    <t>100284</t>
  </si>
  <si>
    <t>TRANSPORTE HORIZONTAL COM MANIPULADOR TELESCÓPICO, DE TELHA DE CONCRETO OU CERÂMICA (UNIDADE: M2XKM). AF_07/2019</t>
  </si>
  <si>
    <t>100285</t>
  </si>
  <si>
    <t>TRANSPORTE HORIZONTAL MANUAL, DE BARRAMENTO BLINDADO (UNIDADE: MXKM). AF_07/2019</t>
  </si>
  <si>
    <t>100286</t>
  </si>
  <si>
    <t>TRANSPORTE HORIZONTAL COM CARRINHO PLATAFORMA, DE BARRAMENTO BLINDADO (UNIDADE: MXKM). AF_07/2019</t>
  </si>
  <si>
    <t>100287</t>
  </si>
  <si>
    <t>99802</t>
  </si>
  <si>
    <t>LIMPEZA DE PISO CERÂMICO OU PORCELANATO COM VASSOURA A SECO. AF_04/2019</t>
  </si>
  <si>
    <t>99803</t>
  </si>
  <si>
    <t>LIMPEZA DE PISO CERÂMICO OU PORCELANATO COM PANO ÚMIDO. AF_04/2019</t>
  </si>
  <si>
    <t>99805</t>
  </si>
  <si>
    <t>LIMPEZA DE PISO CERÂMICO OU COM PEDRAS RÚSTICAS UTILIZANDO ÁCIDO MURIÁTICO. AF_04/2019</t>
  </si>
  <si>
    <t>99806</t>
  </si>
  <si>
    <t>LIMPEZA DE REVESTIMENTO CERÂMICO EM PAREDE COM PANO ÚMIDO AF_04/2019</t>
  </si>
  <si>
    <t>99808</t>
  </si>
  <si>
    <t>LIMPEZA DE REVESTIMENTO CERÂMICO EM PAREDE UTILIZANDO ÁCIDO MURIÁTICO. AF_04/2019</t>
  </si>
  <si>
    <t>99809</t>
  </si>
  <si>
    <t>LIMPEZA DE PISO DE LADRILHO HIDRÁULICO COM PANO ÚMIDO. AF_04/2019</t>
  </si>
  <si>
    <t>99811</t>
  </si>
  <si>
    <t>LIMPEZA DE CONTRAPISO COM VASSOURA A SECO. AF_04/2019</t>
  </si>
  <si>
    <t>99812</t>
  </si>
  <si>
    <t>LIMPEZA DE LADRILHO HIDRÁULICO EM PAREDE COM PANO ÚMIDO. AF_04/2019</t>
  </si>
  <si>
    <t>99814</t>
  </si>
  <si>
    <t>LIMPEZA DE SUPERFÍCIE COM JATO DE ALTA PRESSÃO. AF_04/2019</t>
  </si>
  <si>
    <t>99822</t>
  </si>
  <si>
    <t>LIMPEZA DE PORTA DE MADEIRA. AF_04/2019</t>
  </si>
  <si>
    <t>99826</t>
  </si>
  <si>
    <t>LIMPEZA DE FORRO REMOVÍVEL COM PANO ÚMIDO. AF_04/2019</t>
  </si>
  <si>
    <t>12,44</t>
  </si>
  <si>
    <t>37,71</t>
  </si>
  <si>
    <t>185,45</t>
  </si>
  <si>
    <t>51,74</t>
  </si>
  <si>
    <t>15,69</t>
  </si>
  <si>
    <t>15,95</t>
  </si>
  <si>
    <t>18,41</t>
  </si>
  <si>
    <t>20,83</t>
  </si>
  <si>
    <t>20,85</t>
  </si>
  <si>
    <t>19,45</t>
  </si>
  <si>
    <t>26,15</t>
  </si>
  <si>
    <t>25,28</t>
  </si>
  <si>
    <t>24,42</t>
  </si>
  <si>
    <t>100288</t>
  </si>
  <si>
    <t>CURSO DE CAPACITAÇÃO PARA VIGIA DIURNO (ENCARGOS COMPLEMENTARES) - HORISTA</t>
  </si>
  <si>
    <t>100289</t>
  </si>
  <si>
    <t>VIGIA DIURNO COM ENCARGOS COMPLEMENTARES</t>
  </si>
  <si>
    <t>100291</t>
  </si>
  <si>
    <t>CURSO DE CAPACITAÇÃO PARA AJUDANTE DE PINTOR (ENCARGOS COMPLEMENTARES) - HORISTA</t>
  </si>
  <si>
    <t>100293</t>
  </si>
  <si>
    <t>CURSO DE CAPACITAÇÃO PARA AUXILIAR DE AZULEJISTA (ENCARGOS COMPLEMENTARES) - HORISTA</t>
  </si>
  <si>
    <t>100295</t>
  </si>
  <si>
    <t>CURSO DE CAPACITAÇÃO PARA MONTADOR DE ELETROELETRONICOS (ENCARGOS COMPLEMENTARES) - HORISTA</t>
  </si>
  <si>
    <t>100298</t>
  </si>
  <si>
    <t>CURSO DE CAPACITAÇÃO PARA MECÂNICO DE REFRIGERAÇÃO (ENCARGOS COMPLEMENTARES) - HORISTA</t>
  </si>
  <si>
    <t>100299</t>
  </si>
  <si>
    <t>CURSO DE CAPACITAÇÃO PARA TÉCNICO EM SEGURANÇA DO TRABALHO (ENCARGOS COMPLEMENTARES) - HORISTA</t>
  </si>
  <si>
    <t>100301</t>
  </si>
  <si>
    <t>AJUDANTE DE PINTOR COM ENCARGOS COMPLEMENTARES</t>
  </si>
  <si>
    <t>100303</t>
  </si>
  <si>
    <t>AUXILIAR DE AZULEJISTA COM ENCARGOS COMPLEMENTARES</t>
  </si>
  <si>
    <t>100307</t>
  </si>
  <si>
    <t>MONTADOR DE ELETROELETRÔNICOS COM ENCARGOS COMPLEMENTARES</t>
  </si>
  <si>
    <t>100308</t>
  </si>
  <si>
    <t>MECÂNICO DE REFRIGERAÇÃO COM ENCARGOS COMPLEMENTARES</t>
  </si>
  <si>
    <t>100309</t>
  </si>
  <si>
    <t>100315</t>
  </si>
  <si>
    <t>CURSO DE CAPACITAÇÃO PARA TÉCNICO EM SEGURANÇA DO TRABALHO (ENCARGOS COMPLEMENTARES) - MENSALISTA</t>
  </si>
  <si>
    <t>100321</t>
  </si>
  <si>
    <t>TÉCNICO EM SEGURANÇA DO TRABALHO COM ENCARGOS COMPLEMENTARES</t>
  </si>
  <si>
    <t>___________________________________________________</t>
  </si>
  <si>
    <t>________________________________________________________________</t>
  </si>
  <si>
    <t>SECRETARIA MUNICIPAL DE OBRAS</t>
  </si>
  <si>
    <t>MEMORIAL DE CÁLCULO</t>
  </si>
  <si>
    <t>Af=</t>
  </si>
  <si>
    <t>Area de forma</t>
  </si>
  <si>
    <t>Vtotal=</t>
  </si>
  <si>
    <t>Volume de concreto</t>
  </si>
  <si>
    <t>Vc.m.=</t>
  </si>
  <si>
    <t>Volume de concreto magro</t>
  </si>
  <si>
    <r>
      <rPr>
        <b/>
        <sz val="10"/>
        <rFont val="Arial"/>
        <family val="2"/>
      </rPr>
      <t>Obs.:</t>
    </r>
    <r>
      <rPr>
        <sz val="11"/>
        <color indexed="8"/>
        <rFont val="Calibri"/>
        <family val="2"/>
      </rPr>
      <t xml:space="preserve"> Nos casos em que a altura do pilarete não estiver especificada no projeto, considera-se</t>
    </r>
  </si>
  <si>
    <t>Vol esc. =</t>
  </si>
  <si>
    <t>Volume de escavação + (20cm de trabalhab.)</t>
  </si>
  <si>
    <t>SAPATAS</t>
  </si>
  <si>
    <t>QUANT</t>
  </si>
  <si>
    <t>a</t>
  </si>
  <si>
    <t>b</t>
  </si>
  <si>
    <t>c</t>
  </si>
  <si>
    <t>d</t>
  </si>
  <si>
    <t>h</t>
  </si>
  <si>
    <t>ho</t>
  </si>
  <si>
    <t>A</t>
  </si>
  <si>
    <t>Vp</t>
  </si>
  <si>
    <t>Vtp</t>
  </si>
  <si>
    <t>Vconc.total</t>
  </si>
  <si>
    <t>Af</t>
  </si>
  <si>
    <t>Vol esc.</t>
  </si>
  <si>
    <t>Vc.magro</t>
  </si>
  <si>
    <t>Reaterro</t>
  </si>
  <si>
    <t>Aço</t>
  </si>
  <si>
    <t>(m)</t>
  </si>
  <si>
    <t>(m²)</t>
  </si>
  <si>
    <t>(m³)</t>
  </si>
  <si>
    <t>(kg)</t>
  </si>
  <si>
    <t>S1</t>
  </si>
  <si>
    <t>S2</t>
  </si>
  <si>
    <t>S3</t>
  </si>
  <si>
    <t>S4</t>
  </si>
  <si>
    <t>S5</t>
  </si>
  <si>
    <t>S6</t>
  </si>
  <si>
    <t>S7</t>
  </si>
  <si>
    <t>S8</t>
  </si>
  <si>
    <t>S9</t>
  </si>
  <si>
    <t>S10</t>
  </si>
  <si>
    <t>S11</t>
  </si>
  <si>
    <t>S12</t>
  </si>
  <si>
    <t>S13</t>
  </si>
  <si>
    <t>S14</t>
  </si>
  <si>
    <t>S15</t>
  </si>
  <si>
    <t>S16</t>
  </si>
  <si>
    <t>S17</t>
  </si>
  <si>
    <t>S18</t>
  </si>
  <si>
    <t>S19</t>
  </si>
  <si>
    <t>S20</t>
  </si>
  <si>
    <t>S21</t>
  </si>
  <si>
    <t>S22</t>
  </si>
  <si>
    <t>S23</t>
  </si>
  <si>
    <t>S24</t>
  </si>
  <si>
    <t>L=</t>
  </si>
  <si>
    <t>Larg. Das vigas</t>
  </si>
  <si>
    <t>H=</t>
  </si>
  <si>
    <t>Alt. Das vigas externas</t>
  </si>
  <si>
    <t>h=</t>
  </si>
  <si>
    <t>Alt. Das vigas internas</t>
  </si>
  <si>
    <t>C=</t>
  </si>
  <si>
    <t>Comp. Das vigas</t>
  </si>
  <si>
    <t>Vc=</t>
  </si>
  <si>
    <t>Vol Esc.=</t>
  </si>
  <si>
    <t>Volume de escavação + 10cm</t>
  </si>
  <si>
    <t>C = Considerar os comprimentos das partes compreendidas entre pilares.</t>
  </si>
  <si>
    <t>Afint=</t>
  </si>
  <si>
    <t>Area de forma viga interna</t>
  </si>
  <si>
    <t>Afext=</t>
  </si>
  <si>
    <t>Area de forma viga externa</t>
  </si>
  <si>
    <t>CINTAS</t>
  </si>
  <si>
    <t>Vc</t>
  </si>
  <si>
    <t>Af1</t>
  </si>
  <si>
    <t>Af2</t>
  </si>
  <si>
    <t>Vol. Esc.</t>
  </si>
  <si>
    <t>VIGAS</t>
  </si>
  <si>
    <t>Afint</t>
  </si>
  <si>
    <t>Afext</t>
  </si>
  <si>
    <t>C1</t>
  </si>
  <si>
    <t>V1</t>
  </si>
  <si>
    <t>C2</t>
  </si>
  <si>
    <t>V2</t>
  </si>
  <si>
    <t>C3</t>
  </si>
  <si>
    <t>V3</t>
  </si>
  <si>
    <t>C4</t>
  </si>
  <si>
    <t>V4</t>
  </si>
  <si>
    <t>C5</t>
  </si>
  <si>
    <t>V5</t>
  </si>
  <si>
    <t>C6</t>
  </si>
  <si>
    <t>V6</t>
  </si>
  <si>
    <t>C7</t>
  </si>
  <si>
    <t>V7</t>
  </si>
  <si>
    <t>C8</t>
  </si>
  <si>
    <t>V8</t>
  </si>
  <si>
    <t>C9</t>
  </si>
  <si>
    <t>V9</t>
  </si>
  <si>
    <t>C10</t>
  </si>
  <si>
    <t>V10</t>
  </si>
  <si>
    <t>C11</t>
  </si>
  <si>
    <t>V11</t>
  </si>
  <si>
    <t>C12</t>
  </si>
  <si>
    <t>V12</t>
  </si>
  <si>
    <t>C13</t>
  </si>
  <si>
    <t>V13</t>
  </si>
  <si>
    <t>C14</t>
  </si>
  <si>
    <t>V14</t>
  </si>
  <si>
    <t>C15</t>
  </si>
  <si>
    <t>V15</t>
  </si>
  <si>
    <t>C16</t>
  </si>
  <si>
    <t>V16</t>
  </si>
  <si>
    <t>C17</t>
  </si>
  <si>
    <t>V17</t>
  </si>
  <si>
    <t>C18</t>
  </si>
  <si>
    <t>V18</t>
  </si>
  <si>
    <t>C19</t>
  </si>
  <si>
    <t>V19</t>
  </si>
  <si>
    <t>C20</t>
  </si>
  <si>
    <t>V20</t>
  </si>
  <si>
    <t>C21</t>
  </si>
  <si>
    <t>V21</t>
  </si>
  <si>
    <t>C22</t>
  </si>
  <si>
    <t>V22</t>
  </si>
  <si>
    <t>C23</t>
  </si>
  <si>
    <t>V23</t>
  </si>
  <si>
    <t>C24</t>
  </si>
  <si>
    <t>V24</t>
  </si>
  <si>
    <t>C25</t>
  </si>
  <si>
    <t>V25</t>
  </si>
  <si>
    <t>C26</t>
  </si>
  <si>
    <t>V26</t>
  </si>
  <si>
    <t>C27</t>
  </si>
  <si>
    <t>V27</t>
  </si>
  <si>
    <t>C28</t>
  </si>
  <si>
    <t>V28</t>
  </si>
  <si>
    <t>CAIXA D'ÁGUA</t>
  </si>
  <si>
    <t>PILARETES</t>
  </si>
  <si>
    <t>B</t>
  </si>
  <si>
    <t>PILAR</t>
  </si>
  <si>
    <t>(kg²)</t>
  </si>
  <si>
    <t>P1</t>
  </si>
  <si>
    <t>P2</t>
  </si>
  <si>
    <t>P3</t>
  </si>
  <si>
    <t>P4</t>
  </si>
  <si>
    <t>P5</t>
  </si>
  <si>
    <t>P6</t>
  </si>
  <si>
    <t>P7</t>
  </si>
  <si>
    <t>P8</t>
  </si>
  <si>
    <t>P9</t>
  </si>
  <si>
    <t>P10</t>
  </si>
  <si>
    <t>P11</t>
  </si>
  <si>
    <t>P12</t>
  </si>
  <si>
    <t>P13</t>
  </si>
  <si>
    <t>P14</t>
  </si>
  <si>
    <t>P15</t>
  </si>
  <si>
    <t>P16</t>
  </si>
  <si>
    <t>P17</t>
  </si>
  <si>
    <t>P18</t>
  </si>
  <si>
    <t>P19</t>
  </si>
  <si>
    <t>P20</t>
  </si>
  <si>
    <t>P21</t>
  </si>
  <si>
    <t>P22</t>
  </si>
  <si>
    <t>P23</t>
  </si>
  <si>
    <t>P24</t>
  </si>
  <si>
    <t>__________________________________________</t>
  </si>
  <si>
    <t>GLEICIANE DO CARMO BAGA</t>
  </si>
  <si>
    <t>DEPARTAMENTO DE ORÇAMENTO</t>
  </si>
  <si>
    <t>US CANAÃ</t>
  </si>
  <si>
    <t>S25</t>
  </si>
  <si>
    <t>S26</t>
  </si>
  <si>
    <t>S27</t>
  </si>
  <si>
    <t>S28</t>
  </si>
  <si>
    <t>S29</t>
  </si>
  <si>
    <t>S30</t>
  </si>
  <si>
    <t>S31</t>
  </si>
  <si>
    <t>PAVIMENTO TÉRREO</t>
  </si>
  <si>
    <t xml:space="preserve">PRIMEIRO PAVIMENTO </t>
  </si>
  <si>
    <t>P25</t>
  </si>
  <si>
    <t>P26</t>
  </si>
  <si>
    <t>P27</t>
  </si>
  <si>
    <t>P28</t>
  </si>
  <si>
    <t>P29</t>
  </si>
  <si>
    <t>P30</t>
  </si>
  <si>
    <t>P31</t>
  </si>
  <si>
    <t>P32</t>
  </si>
  <si>
    <t>P33</t>
  </si>
  <si>
    <t>P34</t>
  </si>
  <si>
    <t>P35</t>
  </si>
  <si>
    <t>P36</t>
  </si>
  <si>
    <t>P37</t>
  </si>
  <si>
    <t>P38</t>
  </si>
  <si>
    <t>P39</t>
  </si>
  <si>
    <t>P40</t>
  </si>
  <si>
    <t>P41</t>
  </si>
  <si>
    <t>P42</t>
  </si>
  <si>
    <t>P43</t>
  </si>
  <si>
    <t>P44</t>
  </si>
  <si>
    <t>P45</t>
  </si>
  <si>
    <t>P46</t>
  </si>
  <si>
    <t>P47</t>
  </si>
  <si>
    <t>P48</t>
  </si>
  <si>
    <t>US CANAÃ ESCADA</t>
  </si>
  <si>
    <t>24,47</t>
  </si>
  <si>
    <t>117,74</t>
  </si>
  <si>
    <t>87,85</t>
  </si>
  <si>
    <t>7,55</t>
  </si>
  <si>
    <t>131,86</t>
  </si>
  <si>
    <t>92,68</t>
  </si>
  <si>
    <t>10,38</t>
  </si>
  <si>
    <t>59,52</t>
  </si>
  <si>
    <t>15,73</t>
  </si>
  <si>
    <t>32,77</t>
  </si>
  <si>
    <t>161,84</t>
  </si>
  <si>
    <t>39,40</t>
  </si>
  <si>
    <t>26,23</t>
  </si>
  <si>
    <t>117,38</t>
  </si>
  <si>
    <t>50,22</t>
  </si>
  <si>
    <t>56,16</t>
  </si>
  <si>
    <t>68,28</t>
  </si>
  <si>
    <t>41,92</t>
  </si>
  <si>
    <t>FABRICAÇÃO E INSTALAÇÃO DE TESOURA (INTEIRA OU MEIA) EM AÇO, VÃOS MAIORES OU IGUAIS A 3,0 M E MENORES OU IGUAL A 6,0 M, INCLUSO IÇAMENTO. AF_07/2019</t>
  </si>
  <si>
    <t>FABRICAÇÃO E INSTALAÇÃO DE TESOURA (INTEIRA OU MEIA) EM AÇO, VÃOS MAIORES QUE 6,0 M E MENORES QUE 12,0 M, INCLUSO IÇAMENTO. AF_07/2019</t>
  </si>
  <si>
    <t>98,41</t>
  </si>
  <si>
    <t>19,27</t>
  </si>
  <si>
    <t>129,44</t>
  </si>
  <si>
    <t>8,44</t>
  </si>
  <si>
    <t>55,20</t>
  </si>
  <si>
    <t>32,65</t>
  </si>
  <si>
    <t>42,93</t>
  </si>
  <si>
    <t>25,86</t>
  </si>
  <si>
    <t>14,76</t>
  </si>
  <si>
    <t>41,93</t>
  </si>
  <si>
    <t>39,20</t>
  </si>
  <si>
    <t>44,00</t>
  </si>
  <si>
    <t>6,06</t>
  </si>
  <si>
    <t>16,42</t>
  </si>
  <si>
    <t>5,80</t>
  </si>
  <si>
    <t>21,98</t>
  </si>
  <si>
    <t>31,30</t>
  </si>
  <si>
    <t>53,16</t>
  </si>
  <si>
    <t>54,07</t>
  </si>
  <si>
    <t>45,73</t>
  </si>
  <si>
    <t>37,95</t>
  </si>
  <si>
    <t>49,25</t>
  </si>
  <si>
    <t>48,20</t>
  </si>
  <si>
    <t>41,32</t>
  </si>
  <si>
    <t>40,97</t>
  </si>
  <si>
    <t>34,65</t>
  </si>
  <si>
    <t>100578</t>
  </si>
  <si>
    <t>ASSENTAMENTO DE POSTE DE CONCRETO COM COMPRIMENTO NOMINAL DE 9 M, CARGA NOMINAL MENOR OU IGUAL A 1000 DAN, ENGASTAMENTO SIMPLES COM 1,5 M DE SOLO (NÃO INCLUI FORNECIMENTO). AF_11/2019</t>
  </si>
  <si>
    <t>100579</t>
  </si>
  <si>
    <t>ASSENTAMENTO DE POSTE DE CONCRETO COM COMPRIMENTO NOMINAL DE 10 M, CARGA NOMINAL MENOR OU IGUAL A 1000 DAN, ENGASTAMENTO SIMPLES COM 1,6 M DE SOLO (NÃO INCLUI FORNECIMENTO). AF_11/2019</t>
  </si>
  <si>
    <t>100580</t>
  </si>
  <si>
    <t>ASSENTAMENTO DE POSTE DE CONCRETO COM COMPRIMENTO NOMINAL DE 10 M, CARGA NOMINAL MAIOR QUE 1000 DAN, ENGASTAMENTO SIMPLES COM 1,6 M DE SOLO (NÃO INCLUI FORNECIMENTO). AF_11/2019</t>
  </si>
  <si>
    <t>100581</t>
  </si>
  <si>
    <t>ASSENTAMENTO DE POSTE DE CONCRETO COM COMPRIMENTO NOMINAL DE 10,5 M, CARGA NOMINAL MENOR OU IGUAL A 1000 DAN, ENGASTAMENTO SIMPLES COM 1,65 M DE SOLO (NÃO INCLUI FORNECIMENTO). AF_11/2019</t>
  </si>
  <si>
    <t>100582</t>
  </si>
  <si>
    <t>ASSENTAMENTO DE POSTE DE CONCRETO COM COMPRIMENTO NOMINAL DE 10,5 M, CARGA NOMINAL MAIOR QUE 1000 DAN, ENGASTAMENTO SIMPLES COM 1,65 M DE SOLO (NÃO INCLUI FORNECIMENTO). AF_11/2019</t>
  </si>
  <si>
    <t>100583</t>
  </si>
  <si>
    <t>ASSENTAMENTO DE POSTE DE CONCRETO COM COMPRIMENTO NOMINAL DE 11 M, CARGA NOMINAL MENOR OU IGUAL A 1000 DAN, ENGASTAMENTO SIMPLES COM 1,7 M DE SOLO (NÃO INCLUI FORNECIMENTO). AF_11/2019</t>
  </si>
  <si>
    <t>100584</t>
  </si>
  <si>
    <t>ASSENTAMENTO DE POSTE DE CONCRETO COM COMPRIMENTO NOMINAL DE 11 M, CARGA NOMINAL MAIOR QUE 1000 DAN, ENGASTAMENTO SIMPLES COM 1,7 M DE SOLO (NÃO INCLUI FORNECIMENTO). AF_11/2019</t>
  </si>
  <si>
    <t>100585</t>
  </si>
  <si>
    <t>ASSENTAMENTO DE POSTE DE CONCRETO COM COMPRIMENTO NOMINAL DE 12 M, CARGA NOMINAL MENOR OU IGUAL A 1000 DAN, ENGASTAMENTO SIMPLES COM 1,8 M DE SOLO (NÃO INCLUI FORNECIMENTO). AF_11/2019</t>
  </si>
  <si>
    <t>100586</t>
  </si>
  <si>
    <t>ASSENTAMENTO DE POSTE DE CONCRETO COM COMPRIMENTO NOMINAL DE 12 M, CARGA NOMINAL MAIOR QUE 1000 DAN, ENGASTAMENTO SIMPLES COM 1,8 M DE SOLO (NÃO INCLUI FORNECIMENTO). AF_11/2019</t>
  </si>
  <si>
    <t>100587</t>
  </si>
  <si>
    <t>ASSENTAMENTO DE POSTE DE CONCRETO COM COMPRIMENTO NOMINAL DE 13 M, CARGA NOMINAL MENOR OU IGUAL A 1000 DAN, ENGASTAMENTO SIMPLES COM 1,9 M DE SOLO (NÃO INCLUI FORNECIMENTO). AF_11/2019</t>
  </si>
  <si>
    <t>100588</t>
  </si>
  <si>
    <t>ASSENTAMENTO DE POSTE DE CONCRETO COM COMPRIMENTO NOMINAL DE 13 M, CARGA NOMINAL MAIOR QUE 1000 DAN, ENGASTAMENTO SIMPLES COM 1,9 M DE SOLO (NÃO INCLUI FORNECIMENTO). AF_11/2019</t>
  </si>
  <si>
    <t>100589</t>
  </si>
  <si>
    <t>ASSENTAMENTO DE POSTE DE CONCRETO COM COMPRIMENTO NOMINAL DE 13,5 M, CARGA NOMINAL MENOR OU IGUAL A 1000 DAN, ENGASTAMENTO SIMPLES COM 1,95 M DE SOLO (NÃO INCLUI FORNECIMENTO). AF_11/2019</t>
  </si>
  <si>
    <t>100590</t>
  </si>
  <si>
    <t>ASSENTAMENTO DE POSTE DE CONCRETO COM COMPRIMENTO NOMINAL DE 13,5 M, CARGA NOMINAL MAIOR QUE 1000 DAN, ENGASTAMENTO SIMPLES COM 1,95 M DE SOLO (NÃO INCLUI FORNECIMENTO). AF_11/2019</t>
  </si>
  <si>
    <t>100591</t>
  </si>
  <si>
    <t>ASSENTAMENTO DE POSTE DE CONCRETO COM COMPRIMENTO NOMINAL DE 14 M, CARGA NOMINAL MENOR OU IGUAL A 1000 DAN, ENGASTAMENTO SIMPLES COM 2 M DE SOLO (NÃO INCLUI FORNECIMENTO). AF_11/2019</t>
  </si>
  <si>
    <t>100592</t>
  </si>
  <si>
    <t>ASSENTAMENTO DE POSTE DE CONCRETO COM COMPRIMENTO NOMINAL DE 14 M, CARGA NOMINAL MAIOR QUE 1000 DAN, ENGASTAMENTO SIMPLES COM 2 M DE SOLO (NÃO INCLUI FORNECIMENTO). AF_11/2019</t>
  </si>
  <si>
    <t>100593</t>
  </si>
  <si>
    <t>ASSENTAMENTO DE POSTE DE CONCRETO COM COMPRIMENTO NOMINAL DE 15 M, CARGA NOMINAL MENOR OU IGUAL A 1000 DAN, ENGASTAMENTO SIMPLES COM 2,1 M DE SOLO (NÃO INCLUI FORNECIMENTO). AF_11/2019</t>
  </si>
  <si>
    <t>100594</t>
  </si>
  <si>
    <t>ASSENTAMENTO DE POSTE DE CONCRETO COM COMPRIMENTO NOMINAL DE 15 M, CARGA NOMINAL MAIOR QUE 1000 DAN, ENGASTAMENTO SIMPLES COM 2,1 M DE SOLO (NÃO INCLUI FORNECIMENTO). AF_11/2019</t>
  </si>
  <si>
    <t>100595</t>
  </si>
  <si>
    <t>ASSENTAMENTO DE POSTE DE CONCRETO COM COMPRIMENTO NOMINAL DE 18 M, CARGA NOMINAL MENOR OU IGUAL A 1000 DAN, ENGASTAMENTO SIMPLES COM 2,4 M DE SOLO (NÃO INCLUI FORNECIMENTO). AF_11/2019</t>
  </si>
  <si>
    <t>100596</t>
  </si>
  <si>
    <t>ASSENTAMENTO DE POSTE DE CONCRETO COM COMPRIMENTO NOMINAL DE 18 M, CARGA NOMINAL MAIOR QUE 1000 DAN, ENGASTAMENTO SIMPLES COM 2,4 M DE SOLO (NÃO INCLUI FORNECIMENTO). AF_11/2019</t>
  </si>
  <si>
    <t>100597</t>
  </si>
  <si>
    <t>ASSENTAMENTO DE POSTE DE CONCRETO COM COMPRIMENTO NOMINAL DE 20 M, CARGA NOMINAL MENOR OU IGUAL A 1000 DAN, ENGASTAMENTO SIMPLES COM 2,6 M DE SOLO (NÃO INCLUI FORNECIMENTO). AF_11/2019</t>
  </si>
  <si>
    <t>100598</t>
  </si>
  <si>
    <t>ASSENTAMENTO DE POSTE DE CONCRETO COM COMPRIMENTO NOMINAL DE 20 M, CARGA NOMINAL MAIOR QUE 1000, ENGASTAMENTO SIMPLES COM 2,6 M DE SOLO (NÃO INCLUI FORNECIMENTO). AF_11/2019</t>
  </si>
  <si>
    <t>100599</t>
  </si>
  <si>
    <t>ASSENTAMENTO DE POSTE DE CONCRETO COM COMPRIMENTO NOMINAL DE 9 M, CARGA NOMINAL DE 150 DAN, ENGASTAMENTO BASE CONCRETADA COM 1 M DE CONCRETO E 0,5 M DE SOLO (NÃO INCLUI FORNECIMENTO). AF_11/2019</t>
  </si>
  <si>
    <t>100600</t>
  </si>
  <si>
    <t>ASSENTAMENTO DE POSTE DE CONCRETO COM COMPRIMENTO NOMINAL DE 9 M, CARGA NOMINAL DE 300 DAN, ENGASTAMENTO BASE CONCRETADA COM 1 M DE CONCRETO E 0,5 M DE SOLO (NÃO INCLUI FORNECIMENTO). AF_11/2019</t>
  </si>
  <si>
    <t>100601</t>
  </si>
  <si>
    <t>ASSENTAMENTO DE POSTE DE CONCRETO COM COMPRIMENTO NOMINAL DE 9 M, CARGA NOMINAL DE 400 DAN, ENGASTAMENTO BASE CONCRETADA COM 1 M DE CONCRETO E 0,5 M DE SOLO (NÃO INCLUI FORNECIMENTO). AF_11/2019</t>
  </si>
  <si>
    <t>100602</t>
  </si>
  <si>
    <t>ASSENTAMENTO DE POSTE DE CONCRETO COM COMPRIMENTO NOMINAL DE 9 M, CARGA NOMINAL DE 600 DAN, ENGASTAMENTO BASE CONCRETADA COM 1 M DE CONCRETO E 0,5 M DE SOLO (NÃO INCLUI FORNECIMENTO). AF_11/2019</t>
  </si>
  <si>
    <t>100603</t>
  </si>
  <si>
    <t>ASSENTAMENTO DE POSTE DE CONCRETO COM COMPRIMENTO NOMINAL DE 9 M, CARGA NOMINAL DE 1000 DAN, ENGASTAMENTO BASE CONCRETADA COM 1 M DE CONCRETO E 0,5 M DE SOLO (NÃO INCLUI FORNECIMENTO). AF_11/2019</t>
  </si>
  <si>
    <t>100604</t>
  </si>
  <si>
    <t>ASSENTAMENTO DE POSTE DE CONCRETO COM COMPRIMENTO NOMINAL DE 10 M, CARGA NOMINAL DE 300 DAN, ENGASTAMENTO BASE CONCRETADA COM 1 M DE CONCRETO E 0,6 M DE SOLO (NÃO INCLUI FORNECIMENTO). AF_11/2019</t>
  </si>
  <si>
    <t>100605</t>
  </si>
  <si>
    <t>ASSENTAMENTO DE POSTE DE CONCRETO COM COMPRIMENTO NOMINAL DE 10 M, CARGA NOMINAL DE 600 DAN, ENGASTAMENTO BASE CONCRETADA COM 1 M DE CONCRETO E 0,6 M DE SOLO (NÃO INCLUI FORNECIMENTO). AF_11/2019</t>
  </si>
  <si>
    <t>100606</t>
  </si>
  <si>
    <t>ASSENTAMENTO DE POSTE DE CONCRETO COM COMPRIMENTO NOMINAL DE 10 M, CARGA NOMINAL DE 1000 DAN, ENGASTAMENTO BASE CONCRETADA COM 1 M DE CONCRETO E 0,6 M DE SOLO (NÃO INCLUI FORNECIMENTO). AF_11/2019</t>
  </si>
  <si>
    <t>100607</t>
  </si>
  <si>
    <t>ASSENTAMENTO DE POSTE DE CONCRETO COM COMPRIMENTO NOMINAL DE 10,5 M, CARGA NOMINAL DE 300 DAN, ENGASTAMENTO BASE CONCRETADA COM 1 M DE CONCRETO E 0,65 M DE SOLO (NÃO INCLUI FORNECIMENTO). AF_11/2019</t>
  </si>
  <si>
    <t>100608</t>
  </si>
  <si>
    <t>ASSENTAMENTO DE POSTE DE CONCRETO COM COMPRIMENTO NOMINAL DE 10,5 M, CARGA NOMINAL DE 600 DAN, ENGASTAMENTO BASE CONCRETADA COM 1 M DE CONCRETO E 0,65 M DE SOLO (NÃO INCLUI FORNECIMENTO). AF_11/2019</t>
  </si>
  <si>
    <t>100609</t>
  </si>
  <si>
    <t>ASSENTAMENTO DE POSTE DE CONCRETO COM COMPRIMENTO NOMINAL DE 10,5 M, CARGA NOMINAL DE 1000 DAN, ENGASTAMENTO BASE CONCRETADA COM 1 M DE CONCRETO E 0,65 M DE SOLO (NÃO INCLUI FORNECIMENTO). AF_11/2019</t>
  </si>
  <si>
    <t>100610</t>
  </si>
  <si>
    <t>ASSENTAMENTO DE POSTE DE CONCRETO COM COMPRIMENTO NOMINAL DE 11 M, CARGA NOMINAL DE 300 DAN, ENGASTAMENTO BASE CONCRETADA COM 1 M DE CONCRETO E 0,7 M DE SOLO (NÃO INCLUI FORNECIMENTO). AF_11/2019</t>
  </si>
  <si>
    <t>100611</t>
  </si>
  <si>
    <t>ASSENTAMENTO DE POSTE DE CONCRETO COM COMPRIMENTO NOMINAL DE 11 M, CARGA NOMINAL DE 400 DAN, ENGASTAMENTO BASE CONCRETADA COM 1 M DE CONCRETO E 0,7 M DE SOLO (NÃO INCLUI FORNECIMENTO). AF_11/2019</t>
  </si>
  <si>
    <t>100612</t>
  </si>
  <si>
    <t>ASSENTAMENTO DE POSTE DE CONCRETO COM COMPRIMENTO NOMINAL DE 11 M, CARGA NOMINAL DE 600 DAN, ENGASTAMENTO BASE CONCRETADA COM 1 M DE CONCRETO E 0,7 M DE SOLO (NÃO INCLUI FORNECIMENTO). AF_11/2019</t>
  </si>
  <si>
    <t>100613</t>
  </si>
  <si>
    <t>ASSENTAMENTO DE POSTE DE CONCRETO COM COMPRIMENTO NOMINAL DE 11 M, CARGA NOMINAL DE 1000 DAN, ENGASTAMENTO BASE CONCRETADA COM 1 M DE CONCRETO E 0,7 M DE SOLO (NÃO INCLUI FORNECIMENTO). AF_11/2019</t>
  </si>
  <si>
    <t>100614</t>
  </si>
  <si>
    <t>ASSENTAMENTO DE POSTE DE CONCRETO COM COMPRIMENTO NOMINAL DE 12 M, CARGA NOMINAL DE 400 DAN, ENGASTAMENTO BASE CONCRETADA COM 1 M DE CONCRETO E 0,8 M DE SOLO (NÃO INCLUI FORNECIMENTO). AF_11/2019</t>
  </si>
  <si>
    <t>100615</t>
  </si>
  <si>
    <t>ASSENTAMENTO DE POSTE DE CONCRETO COM COMPRIMENTO NOMINAL DE 12 M, CARGA NOMINAL DE 600 DAN, ENGASTAMENTO BASE CONCRETADA COM 1 M DE CONCRETO E 0,8 M DE SOLO (NÃO INCLUI FORNECIMENTO). AF_11/2019</t>
  </si>
  <si>
    <t>100616</t>
  </si>
  <si>
    <t>ASSENTAMENTO DE POSTE DE CONCRETO COM COMPRIMENTO NOMINAL DE 12 M, CARGA NOMINAL DE 1000 DAN, ENGASTAMENTO BASE CONCRETADA COM 1 M DE CONCRETO E 0,8 M DE SOLO (NÃO INCLUI FORNECIMENTO). AF_11/2019</t>
  </si>
  <si>
    <t>100617</t>
  </si>
  <si>
    <t>ASSENTAMENTO DE POSTE DE CONCRETO COM COMPRIMENTO NOMINAL DE 13 M, CARGA NOMINAL DE 600 DAN, ENGASTAMENTO BASE CONCRETADA COM 1 M DE CONCRETO E 0,9 M DE SOLO (NÃO INCLUI FORNECIMENTO). AF_11/2019</t>
  </si>
  <si>
    <t>100618</t>
  </si>
  <si>
    <t>ASSENTAMENTO DE POSTE DE CONCRETO COM COMPRIMENTO NOMINAL DE 13 M, CARGA NOMINAL DE 1000 DAN, ENGASTAMENTO BASE CONCRETADA COM 1 M DE CONCRETO E 0,9 M DE SOLO - SOMENTE INSTALAÇÃO, SEM FORNECIMENTO. AF_11/2019</t>
  </si>
  <si>
    <t>100619</t>
  </si>
  <si>
    <t>POSTE DECORATIVO PARA JARDIM EM AÇO TUBULAR, H = *2,5* M, SEM LUMINÁRIA - FORNECIMENTO E INSTALAÇÃO. AF_11/2019</t>
  </si>
  <si>
    <t>100620</t>
  </si>
  <si>
    <t>POSTE DE AÇO CONICO CONTÍNUO CURVO SIMPLES, FLANGEADO, H=9M, INCLUSIVE LUMINÁRIA, SEM LÂMPADA - FORNECIMENTO E INSTALACAO. AF_11/2019</t>
  </si>
  <si>
    <t>100621</t>
  </si>
  <si>
    <t>POSTE DE AÇO CONICO CONTÍNUO CURVO DUPLO, FLANGEADO, H=9M, INCLUSIVE LUMINÁRIAS, SEM LÂMPADAS - FORNECIMENTO E INSTALACAO. AF_11/2019</t>
  </si>
  <si>
    <t>100622</t>
  </si>
  <si>
    <t>POSTE DE AÇO CONICO CONTÍNUO CURVO SIMPLES, ENGASTADO, H=9M, INCLUSIVE LUMINÁRIA, SEM LÂMPADA - FORNECIMENTO E INSTALACAO. AF_11/2019</t>
  </si>
  <si>
    <t>100623</t>
  </si>
  <si>
    <t>POSTE DE AÇO CONICO CONTÍNUO CURVO DUPLO, ENGASTADO, H=9M, INCLUSIVE LUMINÁRIAS, SEM LÂMPADAS - FORNECIMENTO E INSTALACAO. AF_11/2019</t>
  </si>
  <si>
    <t>CABO TELEFÔNICO CCI-50 1 PAR, INSTALADO EM ENTRADA DE EDIFICAÇÃO - FORNECIMENTO E INSTALAÇÃO. AF_11/2019</t>
  </si>
  <si>
    <t>CABO TELEFÔNICO CCI-50 2 PARES, SEM BLINDAGEM, INSTALADO EM ENTRADA DE EDIFICAÇÃO - FORNECIMENTO E INSTALAÇÃO. AF_11/2019</t>
  </si>
  <si>
    <t>CABO TELEFÔNICO CCI-50 3 PARES, SEM BLINDAGEM, INSTALADO EM ENTRADA DE EDIFICAÇÃO - FORNECIMENTO E INSTALAÇÃO. AF_11/2019</t>
  </si>
  <si>
    <t>CABO TELEFÔNICO CCI-50 4 PARES, SEM BLINDAGEM, INSTALADO EM ENTRADA DE EDIFICAÇÃO - FORNECIMENTO E INSTALAÇÃO. AF_11/2019</t>
  </si>
  <si>
    <t>CABO TELEFÔNICO CCI-50 5 PARES, SEM BLINDAGEM, INSTALADO EM ENTRADA DE EDIFICAÇÃO - FORNECIMENTO E INSTALAÇÃO. AF_11/2019</t>
  </si>
  <si>
    <t>CABO TELEFÔNICO CCI-50 6 PARES, SEM BLINDAGEM, INSTALADO EM ENTRADA DE EDIFICAÇÃO - FORNECIMENTO E INSTALAÇÃO. AF_11/2019</t>
  </si>
  <si>
    <t>CABO TELEFÔNICO CI-50 10 PARES INSTALADO EM ENTRADA DE EDIFICAÇÃO - FORNECIMENTO E INSTALAÇÃO. AF_11/2019</t>
  </si>
  <si>
    <t>CABO TELEFÔNICO CI-50 20 PARES INSTALADO EM ENTRADA DE EDIFICAÇÃO - FORNECIMENTO E INSTALAÇÃO. AF_11/2019</t>
  </si>
  <si>
    <t>CABO TELEFÔNICO CI-50 30 PARES INSTALADO EM ENTRADA DE EDIFICAÇÃO - FORNECIMENTO E INSTALAÇÃO. AF_11/2019</t>
  </si>
  <si>
    <t>CABO TELEFÔNICO CI-50 50 PARES INSTALADO EM ENTRADA DE EDIFICAÇÃO - FORNECIMENTO E INSTALAÇÃO. AF_11/2019</t>
  </si>
  <si>
    <t>CABO TELEFÔNICO CI-50 75 PARES INSTALADO EM ENTRADA DE EDIFICAÇÃO - FORNECIMENTO E INSTALAÇÃO. AF_11/2019</t>
  </si>
  <si>
    <t>CABO TELEFÔNICO CI-50 200 PARES INSTALADO EM ENTRADA DE EDIFICAÇÃO - FORNECIMENTO E INSTALAÇÃO. AF_11/2019</t>
  </si>
  <si>
    <t>CABO TELEFÔNICO CCI-50 4 PARES, SEM BLINDAGEM, INSTALADO EM PRUMADA - FORNECIMENTO E INSTALAÇÃO. AF_11/2019</t>
  </si>
  <si>
    <t>CABO TELEFÔNICO CCI-50 5 PARES, SEM BLINDAGEM, INSTALADO EM PRUMADA - FORNECIMENTO E INSTALAÇÃO. AF_11/2019</t>
  </si>
  <si>
    <t>CABO TELEFÔNICO CCI-50 6 PARES, SEM BLINDAGEM, INSTALADO EM PRUMADA - FORNECIMENTO E INSTALAÇÃO. AF_11/2019</t>
  </si>
  <si>
    <t>CABO TELEFÔNICO CI-50 10 PARES INSTALADO EM PRUMADA - FORNECIMENTO E INSTALAÇÃO. AF_11/2019</t>
  </si>
  <si>
    <t>CABO TELEFÔNICO CI-50 20 PARES INSTALADO EM PRUMADA - FORNECIMENTO E INSTALAÇÃO. AF_11/2019</t>
  </si>
  <si>
    <t>CABO TELEFÔNICO CI-50 30 PARES INSTALADO EM PRUMADA - FORNECIMENTO E INSTALAÇÃO. AF_11/2019</t>
  </si>
  <si>
    <t>CABO TELEFÔNICO CI-50 50 PARES INSTALADO EM PRUMADA - FORNECIMENTO E INSTALAÇÃO. AF_11/2019</t>
  </si>
  <si>
    <t>CABO TELEFÔNICO CCI-50 1 PAR, SEM BLINDAGEM, INSTALADO EM DISTRIBUIÇÃO DE EDIFICAÇÃO RESIDENCIAL - FORNECIMENTO E INSTALAÇÃO. AF_11/2019</t>
  </si>
  <si>
    <t>CABO TELEFÔNICO CCI-50 2 PARES, SEM BLINDAGEM, INSTALADO EM DISTRIBUIÇÃO DE EDIFICAÇÃO RESIDENCIAL - FORNECIMENTO E INSTALAÇÃO. AF_11/2019</t>
  </si>
  <si>
    <t>CABO TELEFÔNICO CCI-50 3 PARES, SEM BLINDAGEM, INSTALADO EM DISTRIBUIÇÃO DE EDIFICAÇÃO RESIDENCIAL - FORNECIMENTO E INSTALAÇÃO. AF_11/2019</t>
  </si>
  <si>
    <t>CABO TELEFÔNICO CCI-50 4 PARES, SEM BLINDAGEM, INSTALADO EM DISTRIBUIÇÃO DE EDIFICAÇÃO RESIDENCIAL - FORNECIMENTO E INSTALAÇÃO. AF_11/2019</t>
  </si>
  <si>
    <t>CABO TELEFÔNICO CCI-50 5 PARES, SEM BLINDAGEM, INSTALADO EM DISTRIBUIÇÃO DE EDIFICAÇÃO RESIDENCIAL - FORNECIMENTO E INSTALAÇÃO. AF_11/2019</t>
  </si>
  <si>
    <t>CABO TELEFÔNICO CCI-50 6 PARES, SEM BLINDAGEM, INSTALADO EM DISTRIBUIÇÃO DE EDIFICAÇÃO RESIDENCIAL - FORNECIMENTO E INSTALAÇÃO. AF_11/2019</t>
  </si>
  <si>
    <t>CABO TELEFÔNICO CI-50 10 PARES INSTALADO EM DISTRIBUIÇÃO DE EDIFICAÇÃO RESIDENCIAL - FORNECIMENTO E INSTALAÇÃO. AF_11/2019</t>
  </si>
  <si>
    <t>CABO TELEFÔNICO CCI-50 1 PAR, SEM BLINDAGEM, INSTALADO EM DISTRIBUIÇÃO DE EDIFICAÇÃO INSTITUCIONAL - FORNECIMENTO E INSTALAÇÃO. AF_11/2019</t>
  </si>
  <si>
    <t>CABO TELEFÔNICO CCI-50 2 PARES, SEM BLINDAGEM, INSTALADO EM DISTRIBUIÇÃO DE EDIFICAÇÃO INSTITUCIONAL - FORNECIMENTO E INSTALAÇÃO. AF_11/2019</t>
  </si>
  <si>
    <t>CABO TELEFÔNICO CCI-50 3 PARES, SEM BLINDAGEM, INSTALADO EM DISTRIBUIÇÃO DE EDIFICAÇÃO INSTITUCIONAL - FORNECIMENTO E INSTALAÇÃO. AF_11/2019</t>
  </si>
  <si>
    <t>CABO TELEFÔNICO CCI-50 4 PARES, SEM BLINDAGEM, INSTALADO EM DISTRIBUIÇÃO DE EDIFICAÇÃO INSTITUCIONAL - FORNECIMENTO E INSTALAÇÃO. AF_11/2019</t>
  </si>
  <si>
    <t>CABO TELEFÔNICO CCI-50 5 PARES, SEM BLINDAGEM, INSTALADO EM DISTRIBUIÇÃO DE EDIFICAÇÃO INSTITUCIONAL - FORNECIMENTO E INSTALAÇÃO. AF_11/2019</t>
  </si>
  <si>
    <t>CABO TELEFÔNICO CCI-50 6 PARES, SEM BLINDAGEM, INSTALADO EM DISTRIBUIÇÃO DE EDIFICAÇÃO INSTITUCIONAL - FORNECIMENTO E INSTALAÇÃO. AF_11/2019</t>
  </si>
  <si>
    <t>CABO TELEFÔNICO CI-50 10 PARES INSTALADO EM DISTRIBUIÇÃO DE EDIFICAÇÃO INSTITUCIONAL - FORNECIMENTO E INSTALAÇÃO. AF_11/2019</t>
  </si>
  <si>
    <t>CABO TELEFÔNICO CTP-APL-50 10 PARES INSTALADO EM ENTRADA DE EDIFICAÇÃO - FORNECIMENTO E INSTALAÇÃO. AF_11/2019</t>
  </si>
  <si>
    <t>CABO TELEFÔNICO CTP-APL-50 20 PARES INSTALADO EM ENTRADA DE EDIFICAÇÃO - FORNECIMENTO E INSTALAÇÃO. AF_11/2019</t>
  </si>
  <si>
    <t>CABO TELEFÔNICO CTP-APL-50 30 PARES INSTALADO EM ENTRADA DE EDIFICAÇÃO - FORNECIMENTO E INSTALAÇÃO. AF_11/2019</t>
  </si>
  <si>
    <t>100556</t>
  </si>
  <si>
    <t>CAIXA DE PASSAGEM PARA TELEFONE 15X15X10CM (SOBREPOR), FORNECIMENTO E INSTALACAO. AF_11/2019</t>
  </si>
  <si>
    <t>100557</t>
  </si>
  <si>
    <t>CAIXA DE PASSAGEM PARA TELEFONE 80X80X15CM (SOBREPOR) FORNECIMENTO E INSTALACAO. AF_11/2019</t>
  </si>
  <si>
    <t>100560</t>
  </si>
  <si>
    <t>QUADRO DE DISTRIBUIÇÃO PARA TELEFONE N.2, 20X20X12CM EM CHAPA METALICA, DE EMBUTIR, SEM ACESSORIOS, PADRÃO TELEBRAS, FORNECIMENTO E INSTALAÇÃO. AF_11/2019</t>
  </si>
  <si>
    <t>100561</t>
  </si>
  <si>
    <t>QUADRO DE DISTRIBUICAO PARA TELEFONE N.3, 40X40X12CM EM CHAPA METALICA, DE EMBUTIR, SEM ACESSORIOS, PADRAO TELEBRAS, FORNECIMENTO E INSTALAÇÃO. AF_11/2019</t>
  </si>
  <si>
    <t>100562</t>
  </si>
  <si>
    <t>QUADRO DE DISTRIBUICAO PARA TELEFONE N.4, 60X60X12CM EM CHAPA METALICA, DE EMBUTIR, SEM ACESSORIOS, PADRAO TELEBRAS, FORNECIMENTO E INSTALAÇÃO. AF_11/2019</t>
  </si>
  <si>
    <t>100563</t>
  </si>
  <si>
    <t>QUADRO DE DISTRIBUIÇÃO PARA TELEFONE N.5, 80X80X12CM EM CHAPA METALICA, SEM ACESSORIOS, PADRAO TELEBRAS, FORNECIMENTO E INSTALAÇÃO. AF_11/2019</t>
  </si>
  <si>
    <t>CABO ELETRÔNICO CATEGORIA 5E, INSTALADO EM EDIFICAÇÃO RESIDENCIAL - FORNECIMENTO E INSTALAÇÃO. AF_11/2019</t>
  </si>
  <si>
    <t>CABO ELETRÔNICO CATEGORIA 5E, INSTALADO EM EDIFICAÇÃO INSTITUCIONAL - FORNECIMENTO E INSTALAÇÃO. AF_11/2019</t>
  </si>
  <si>
    <t>CABO ELETRÔNICO CATEGORIA 6, INSTALADO EM EDIFICAÇÃO RESIDENCIAL - FORNECIMENTO E INSTALAÇÃO. AF_11/2019</t>
  </si>
  <si>
    <t>CABO ELETRÔNICO CATEGORIA 6, INSTALADO EM EDIFICAÇÃO INSTITUCIONAL - FORNECIMENTO E INSTALAÇÃO. AF_11/2019</t>
  </si>
  <si>
    <t>PATCH PANEL 24 PORTAS, CATEGORIA 5E - FORNECIMENTO E INSTALAÇÃO. AF_11/2019</t>
  </si>
  <si>
    <t>PATCH PANEL 24 PORTAS, CATEGORIA 6 - FORNECIMENTO E INSTALAÇÃO. AF_11/2019</t>
  </si>
  <si>
    <t>PATCH PANEL 48 PORTAS, CATEGORIA 6 - FORNECIMENTO E INSTALAÇÃO. AF_11/2019</t>
  </si>
  <si>
    <t>TOMADA DE REDE RJ45 - FORNECIMENTO E INSTALAÇÃO. AF_11/2019</t>
  </si>
  <si>
    <t>38,71</t>
  </si>
  <si>
    <t>TOMADA PARA TELEFONE RJ11 - FORNECIMENTO E INSTALAÇÃO. AF_11/2019</t>
  </si>
  <si>
    <t>PATCH PANEL 48 PORTAS, CATEGORIA 5E - FORNECIMENTO E INSTALAÇÃO. AF_11/2019</t>
  </si>
  <si>
    <t>21,56</t>
  </si>
  <si>
    <t>6,84</t>
  </si>
  <si>
    <t>52,71</t>
  </si>
  <si>
    <t>38,13</t>
  </si>
  <si>
    <t>9,36</t>
  </si>
  <si>
    <t>26,28</t>
  </si>
  <si>
    <t>21,47</t>
  </si>
  <si>
    <t>36,19</t>
  </si>
  <si>
    <t>5,25</t>
  </si>
  <si>
    <t>9,33</t>
  </si>
  <si>
    <t>10,83</t>
  </si>
  <si>
    <t>12,08</t>
  </si>
  <si>
    <t>23,72</t>
  </si>
  <si>
    <t>20,21</t>
  </si>
  <si>
    <t>28,54</t>
  </si>
  <si>
    <t>51,79</t>
  </si>
  <si>
    <t>10,18</t>
  </si>
  <si>
    <t>14,97</t>
  </si>
  <si>
    <t>27,73</t>
  </si>
  <si>
    <t>61,28</t>
  </si>
  <si>
    <t>11,68</t>
  </si>
  <si>
    <t>9,62</t>
  </si>
  <si>
    <t>5,14</t>
  </si>
  <si>
    <t>19,93</t>
  </si>
  <si>
    <t>48,31</t>
  </si>
  <si>
    <t>60,00</t>
  </si>
  <si>
    <t>37,83</t>
  </si>
  <si>
    <t>97,84</t>
  </si>
  <si>
    <t>59,40</t>
  </si>
  <si>
    <t>75,85</t>
  </si>
  <si>
    <t>35,76</t>
  </si>
  <si>
    <t>59,82</t>
  </si>
  <si>
    <t>117,71</t>
  </si>
  <si>
    <t>233,54</t>
  </si>
  <si>
    <t>158,03</t>
  </si>
  <si>
    <t>37,13</t>
  </si>
  <si>
    <t>18,56</t>
  </si>
  <si>
    <t>126,92</t>
  </si>
  <si>
    <t>12,58</t>
  </si>
  <si>
    <t>20,63</t>
  </si>
  <si>
    <t>36,07</t>
  </si>
  <si>
    <t>52,77</t>
  </si>
  <si>
    <t>58,02</t>
  </si>
  <si>
    <t>78,36</t>
  </si>
  <si>
    <t>35,06</t>
  </si>
  <si>
    <t>19,38</t>
  </si>
  <si>
    <t>233,72</t>
  </si>
  <si>
    <t>224,00</t>
  </si>
  <si>
    <t>84,94</t>
  </si>
  <si>
    <t>77,89</t>
  </si>
  <si>
    <t>44,39</t>
  </si>
  <si>
    <t>10,56</t>
  </si>
  <si>
    <t>34,00</t>
  </si>
  <si>
    <t>55,04</t>
  </si>
  <si>
    <t>52,44</t>
  </si>
  <si>
    <t>41,57</t>
  </si>
  <si>
    <t>90,48</t>
  </si>
  <si>
    <t>100576</t>
  </si>
  <si>
    <t>100577</t>
  </si>
  <si>
    <t>100564</t>
  </si>
  <si>
    <t>100565</t>
  </si>
  <si>
    <t>100566</t>
  </si>
  <si>
    <t>100567</t>
  </si>
  <si>
    <t>100568</t>
  </si>
  <si>
    <t>100569</t>
  </si>
  <si>
    <t>100570</t>
  </si>
  <si>
    <t>100571</t>
  </si>
  <si>
    <t>100572</t>
  </si>
  <si>
    <t>100573</t>
  </si>
  <si>
    <t>100574</t>
  </si>
  <si>
    <t>100575</t>
  </si>
  <si>
    <t>17,80</t>
  </si>
  <si>
    <t>EXECUÇÃO DE PAVIMENTO COM APLICAÇÃO DE CONCRETO ASFÁLTICO, CAMADA DE ROLAMENTO - EXCLUSIVE CARGA E TRANSPORTE. AF_11/2019</t>
  </si>
  <si>
    <t>EXECUÇÃO DE PAVIMENTO COM APLICAÇÃO DE CONCRETO ASFÁLTICO, CAMADA DE BINDER - EXCLUSIVE CARGA E TRANSPORTE. AF_11/2019</t>
  </si>
  <si>
    <t>FRESAGEM DE PAVIMENTO ASFÁLTICO (PROFUNDIDADE ATÉ 5,0 CM) - EXCLUSIVE TRANSPORTE. AF_11/2019</t>
  </si>
  <si>
    <t>26,85</t>
  </si>
  <si>
    <t>36,48</t>
  </si>
  <si>
    <t>6,40</t>
  </si>
  <si>
    <t>26,66</t>
  </si>
  <si>
    <t>142,11</t>
  </si>
  <si>
    <t>35,62</t>
  </si>
  <si>
    <t>72,72</t>
  </si>
  <si>
    <t>62,90</t>
  </si>
  <si>
    <t>56,67</t>
  </si>
  <si>
    <t>36,53</t>
  </si>
  <si>
    <t>48,26</t>
  </si>
  <si>
    <t>23,01</t>
  </si>
  <si>
    <t>21,45</t>
  </si>
  <si>
    <t>12,25</t>
  </si>
  <si>
    <t>29,30</t>
  </si>
  <si>
    <t>26,98</t>
  </si>
  <si>
    <t>28,66</t>
  </si>
  <si>
    <t>24,21</t>
  </si>
  <si>
    <t>106,40</t>
  </si>
  <si>
    <t>100533</t>
  </si>
  <si>
    <t>TECNICO DE EDIFICACOES COM ENCARGOS COMPLEMENTARES</t>
  </si>
  <si>
    <t>100534</t>
  </si>
  <si>
    <t>100535</t>
  </si>
  <si>
    <t>CURSO DE CAPACITAÇÃO PARA TECNICO DE EDIFICACOES (ENCARGOS COMPLEMENTARES) - HORISTA</t>
  </si>
  <si>
    <t>100536</t>
  </si>
  <si>
    <t>CURSO DE CAPACITAÇÃO PARA TECNICO DE EDIFICACOES (ENCARGOS COMPLEMENTARES) - MENSALISTA</t>
  </si>
  <si>
    <t>TUBO DE PVC PARA REDE COLETORA DE ESGOTO DE PAREDE MACIÇA, DN 100 MM, JUNTA ELÁSTICA - FORNECIMENTO E ASSENTAMENTO. AF_01/2021</t>
  </si>
  <si>
    <t>TUBO DE PVC PARA REDE COLETORA DE ESGOTO DE PAREDE MACIÇA, DN 150 MM, JUNTA ELÁSTICA  - FORNECIMENTO E ASSENTAMENTO. AF_01/2021</t>
  </si>
  <si>
    <t>TUBO DE PVC PARA REDE COLETORA DE ESGOTO DE PAREDE MACIÇA, DN 200 MM, JUNTA ELÁSTICA - FORNECIMENTO E ASSENTAMENTO. AF_01/2021</t>
  </si>
  <si>
    <t>TUBO DE PVC PARA REDE COLETORA DE ESGOTO DE PAREDE MACIÇA, DN 250 MM, JUNTA ELÁSTICA  - FORNECIMENTO E ASSENTAMENTO. AF_01/2021</t>
  </si>
  <si>
    <t>TUBO DE PVC PARA REDE COLETORA DE ESGOTO DE PAREDE MACIÇA, DN 300 MM, JUNTA ELÁSTICA,  FORNECIMENTO E ASSENTAMENTO. AF_01/2021</t>
  </si>
  <si>
    <t>TUBO DE PVC PARA REDE COLETORA DE ESGOTO DE PAREDE MACIÇA, DN 350 MM, JUNTA ELÁSTICA  - FORNECIMENTO E ASSENTAMENTO. AF_01/2021</t>
  </si>
  <si>
    <t>TUBO DE PVC PARA REDE COLETORA DE ESGOTO DE PAREDE MACIÇA, DN 400 MM, JUNTA ELÁSTICA  FORNECIMENTO E ASSENTAMENTO. AF_01/2021</t>
  </si>
  <si>
    <t>TUBO DE PVC CORRUGADO DE DUPLA PAREDE PARA REDE COLETORA DE ESGOTO, DN 150 MM, JUNTA ELÁSTICA - FORNECIMENTO E ASSENTAMENTO. AF_01/2021</t>
  </si>
  <si>
    <t>TUBO DE PVC CORRUGADO DE DUPLA PAREDE PARA REDE COLETORA DE ESGOTO, DN 200 MM, JUNTA ELÁSTICA - FORNECIMENTO E ASSENTAMENTO. AF_01/2021</t>
  </si>
  <si>
    <t>TUBO DE PVC CORRUGADO DE DUPLA PAREDE PARA REDE COLETORA DE ESGOTO, DN 250 MM, JUNTA ELÁSTICA - FORNECIMENTO E ASSENTAMENTO. AF_01/2021</t>
  </si>
  <si>
    <t>TUBO DE PVC CORRUGADO DE DUPLA PAREDE PARA REDE COLETORA DE ESGOTO, DN 300 MM, JUNTA ELÁSTICA - FORNECIMENTO E ASSENTAMENTO. AF_01/2021</t>
  </si>
  <si>
    <t>TUBO DE PVC CORRUGADO DE DUPLA PAREDE PARA REDE COLETORA DE ESGOTO, DN 350 MM, JUNTA ELÁSTICA - FORNECIMENTO E ASSENTAMENTO. AF_01/2021</t>
  </si>
  <si>
    <t>TUBO DE PVC CORRUGADO DE DUPLA PAREDE PARA REDE COLETORA DE ESGOTO, DN 400 MM, JUNTA ELÁSTICA - FORNECIMENTO E ASSENTAMENTO. AF_01/2021</t>
  </si>
  <si>
    <t>TUBO DE PEAD CORRUGADO DE DUPLA PAREDE PARA REDE COLETORA DE ESGOTO, DN 600 MM, JUNTA ELÁSTICA INTEGRADA - FORNECIMENTO E ASSENTAMENTO. AF_01/2021</t>
  </si>
  <si>
    <t>JUNTA ARGAMASSADA ENTRE TUBO DN 100 MM E O POÇO DE VISITA/ CAIXA DE CONCRETO OU ALVENARIA EM REDES DE ESGOTO. AF_01/2021</t>
  </si>
  <si>
    <t>JUNTA ARGAMASSADA ENTRE TUBO DN 150 MM E O POÇO DE VISITA/ CAIXA DE CONCRETO OU ALVENARIA EM REDES DE ESGOTO. AF_01/2021</t>
  </si>
  <si>
    <t>JUNTA ARGAMASSADA ENTRE TUBO DN 200 MM E O POÇO/ CAIXA DE CONCRETO OU ALVENARIA EM REDES DE ESGOTO. AF_01/2021</t>
  </si>
  <si>
    <t>JUNTA ARGAMASSADA ENTRE TUBO DN 250 MM E O POÇO DE VISITA/ CAIXA DE CONCRETO OU ALVENARIA EM REDES DE ESGOTO. AF_01/2021</t>
  </si>
  <si>
    <t>JUNTA ARGAMASSADA ENTRE TUBO DN 300 MM E O POÇO DE VISITA/ CAIXA DE CONCRETO OU ALVENARIA EM REDES DE ESGOTO. AF_01/2021</t>
  </si>
  <si>
    <t>JUNTA ARGAMASSADA ENTRE TUBO DN 350 MM E O POÇO DE VISITA/ CAIXA DE CONCRETO OU ALVENARIA EM REDES DE ESGOTO. AF_01/2021</t>
  </si>
  <si>
    <t>JUNTA ARGAMASSADA ENTRE TUBO DN 400 MM E O POÇO DE VISITA/ CAIXA DE CONCRETO OU ALVENARIA EM REDES DE ESGOTO. AF_01/2021</t>
  </si>
  <si>
    <t>JUNTA ARGAMASSADA ENTRE TUBO DN 450 MM E O POÇO DE VISITA/ CAIXA DE CONCRETO OU ALVENARIA EM REDES DE ESGOTO. AF_01/2021</t>
  </si>
  <si>
    <t>JUNTA ARGAMASSADA ENTRE TUBO DN 600 MM E O POÇO DE VISITA/ CAIXA DE CONCRETO OU ALVENARIA EM REDES DE ESGOTO. AF_01/2021</t>
  </si>
  <si>
    <t>ASSENTAMENTO DE TUBO DE PVC PARA REDE COLETORA DE ESGOTO DE PAREDE MACIÇA, DN 100 MM, JUNTA ELÁSTICA (NÃO INCLUI FORNECIMENTO). AF_01/2021</t>
  </si>
  <si>
    <t>ASSENTAMENTO DE TUBO DE PVC PARA REDE COLETORA DE ESGOTO DE PAREDE MACIÇA, DN 150 MM, JUNTA ELÁSTICA,  (NÃO INCLUI FORNECIMENTO). AF_01/2021</t>
  </si>
  <si>
    <t>ASSENTAMENTO DE TUBO DE PVC PARA REDE COLETORA DE ESGOTO DE PAREDE MACIÇA, DN 200 MM, JUNTA ELÁSTICA (NÃO INCLUI FORNECIMENTO). AF_01/2021</t>
  </si>
  <si>
    <t>ASSENTAMENTO DE TUBO DE PVC PARA REDE COLETORA DE ESGOTO DE PAREDE MACIÇA, DN 250 MM, JUNTA ELÁSTICA (NÃO INCLUI FORNECIMENTO). AF_01/2021</t>
  </si>
  <si>
    <t>ASSENTAMENTO DE TUBO DE PVC PARA REDE COLETORA DE ESGOTO DE PAREDE MACIÇA, DN 300 MM, JUNTA ELÁSTICA  (NÃO INCLUI FORNECIMENTO). AF_01/2021</t>
  </si>
  <si>
    <t>ASSENTAMENTO DE TUBO DE PVC PARA REDE COLETORA DE ESGOTO DE PAREDE MACIÇA, DN 350 MM, JUNTA ELÁSTICA (NÃO INCLUI FORNECIMENTO). AF_01/2021</t>
  </si>
  <si>
    <t>ASSENTAMENTO DE TUBO DE PVC PARA REDE COLETORA DE ESGOTO DE PAREDE MACIÇA, DN 400 MM, JUNTA ELÁSTICA (NÃO INCLUI FORNECIMENTO). AF_01/2021</t>
  </si>
  <si>
    <t>ASSENTAMENTO DE TUBO DE PVC CORRUGADO DE DUPLA PAREDE PARA REDE COLETORA DE ESGOTO, DN 150 MM, JUNTA ELÁSTICA (NÃO INCLUI FORNECIMENTO). AF_01/2021</t>
  </si>
  <si>
    <t>ASSENTAMENTO DE TUBO DE PVC CORRUGADO DE DUPLA PAREDE PARA REDE COLETORA DE ESGOTO, DN 200 MM, JUNTA ELÁSTICA (NÃO INCLUI FORNECIMENTO). AF_01/2021</t>
  </si>
  <si>
    <t>ASSENTAMENTO DE TUBO DE PVC CORRUGADO DE DUPLA PAREDE PARA REDE COLETORA DE ESGOTO, DN 250 MM, JUNTA ELÁSTICA (NÃO INCLUI FORNECIMENTO). AF_01/2021</t>
  </si>
  <si>
    <t>ASSENTAMENTO DE TUBO DE PVC CORRUGADO DE DUPLA PAREDE PARA REDE COLETORA DE ESGOTO, DN 300 MM, JUNTA ELÁSTICA (NÃO INCLUI FORNECIMENTO). AF_01/2021</t>
  </si>
  <si>
    <t>ASSENTAMENTO DE TUBO DE PVC CORRUGADO DE DUPLA PAREDE PARA REDE COLETORA DE ESGOTO, DN 350 MM, JUNTA ELÁSTICA (NÃO INCLUI FORNECIMENTO). AF_01/2021</t>
  </si>
  <si>
    <t>ASSENTAMENTO DE TUBO DE PVC CORRUGADO DE DUPLA PAREDE PARA REDE COLETORA DE ESGOTO, DN 400 MM, JUNTA ELÁSTICA  (NÃO INCLUI FORNECIMENTO). AF_01/2021</t>
  </si>
  <si>
    <t>ASSENTAMENTO DE TUBO DE PEAD CORRUGADO DE DUPLA PAREDE PARA REDE COLETORA DE ESGOTO, DN 450 MM, JUNTA ELÁSTICA INTEGRADA (NÃO INCLUI FORNECIMENTO). AF_01/2021</t>
  </si>
  <si>
    <t>ASSENTAMENTO DE TUBO DE PEAD CORRUGADO DE DUPLA PAREDE PARA REDE COLETORA DE ESGOTO, DN 600 MM, JUNTA ELÁSTICA INTEGRADA (NÃO INCLUI FORNECIMENTO). AF_01/2021</t>
  </si>
  <si>
    <t>TUBO DE PEAD CORRUGADO DE DUPLA PAREDE PARA REDE COLETORA DE ESGOTO, DN 250 MM, JUNTA ELÁSTICA INTEGRADA - FORNECIMENTO E ASSENTAMENTO. AF_01/2021</t>
  </si>
  <si>
    <t>ASSENTAMENTO DE TUBO DE PEAD CORRUGADO DE DUPLA PAREDE PARA REDE COLETORA DE ESGOTO, DN 250 MM, JUNTA ELÁSTICA INTEGRADA (NÃO INCLUI FORNECIMENTO). AF_01/2021</t>
  </si>
  <si>
    <t>TUBO DE PEAD CORRUGADO DE DUPLA PAREDE PARA REDE COLETORA DE ESGOTO, DN 300 MM, JUNTA ELÁSTICA INTEGRADA - FORNECIMENTO E ASSENTAMENTO. AF_01/2021</t>
  </si>
  <si>
    <t>ASSENTAMENTO DE TUBO DE PEAD CORRUGADO DE DUPLA PAREDE PARA REDE COLETORA DE ESGOTO, DN 300 MM, JUNTA ELÁSTICA INTEGRADA  (NÃO INCLUI FORNECIMENTO). AF_01/2021</t>
  </si>
  <si>
    <t>TUBO DE PEAD CORRUGADO DE DUPLA PAREDE PARA REDE COLETORA DE ESGOTO, DN 800 MM, JUNTA ELÁSTICA INTEGRADA - FORNECIMENTO E ASSENTAMENTO. AF_01/2021</t>
  </si>
  <si>
    <t>ASSENTAMENTO DE TUBO DE PEAD CORRUGADO DE DUPLA PAREDE PARA REDE COLETORA DE ESGOTO, DN 800 MM, JUNTA ELÁSTICA INTEGRADA  (NÃO INCLUI FORNECIMENTO). AF_01/2021</t>
  </si>
  <si>
    <t>ASSENTAMENTO DE TUBO DE PEAD CORRUGADO DE DUPLA PAREDE PARA REDE COLETORA DE ESGOTO, DN 900 MM, JUNTA ELÁSTICA INTEGRADA (NÃO INCLUI FORNECIMENTO). AF_01/2021</t>
  </si>
  <si>
    <t>TUBO DE PEAD CORRUGADO DE DUPLA PAREDE PARA REDE COLETORA DE ESGOTO, DN 1000 MM, JUNTA ELÁSTICA INTEGRADA - FORNECIMENTO E ASSENTAMENTO. AF_01/2021</t>
  </si>
  <si>
    <t>ASSENTAMENTO DE TUBO DE PEAD CORRUGADO DE DUPLA PAREDE PARA REDE COLETORA DE ESGOTO, DN 1000 MM, JUNTA ELÁSTICA INTEGRADA (NÃO INCLUI FORNECIMENTO). AF_01/2021</t>
  </si>
  <si>
    <t>TUBO DE PEAD CORRUGADO DE DUPLA PAREDE PARA REDE COLETORA DE ESGOTO, DN 1200 MM, JUNTA ELÁSTICA INTEGRADA - FORNECIMENTO E ASSENTAMENTO. AF_01/2021</t>
  </si>
  <si>
    <t>ASSENTAMENTO DE TUBO DE PEAD CORRUGADO DE DUPLA PAREDE PARA REDE COLETORA DE ESGOTO, DN 1200 MM, JUNTA ELÁSTICA INTEGRADA (NÃO INCLUI FORNECIMENTO). AF_01/2021</t>
  </si>
  <si>
    <t>ASSENTAMENTO DE TUBO DE PEAD CORRUGADO DE DUPLA PAREDE PARA REDE COLETORA DE ESGOTO, DN 1500 MM, JUNTA ELÁSTICA INTEGRADA (NÃO INCLUI FORNECIMENTO). AF_01/2021</t>
  </si>
  <si>
    <t>3,10</t>
  </si>
  <si>
    <t>102264</t>
  </si>
  <si>
    <t>TUBO DE PVC BRANCO PARA REDE COLETORA DE ESGOTO CONDOMINIAL DE PAREDE MACIÇA, DN 100 MM, JUNTA ELÁSTICA - FORNECIMENTO E ASSENTAMENTO. AF_01/2021</t>
  </si>
  <si>
    <t>102265</t>
  </si>
  <si>
    <t>JUNTA ARGAMASSADA ENTRE TUBO DN 800 MM E O POÇO DE VISITA/ CAIXA DE CONCRETO OU ALVENARIA EM REDES DE ESGOTO. AF_01/2021</t>
  </si>
  <si>
    <t>102266</t>
  </si>
  <si>
    <t>JUNTA ARGAMASSADA ENTRE TUBO DN 900 MM E O POÇO DE VISITA/ CAIXA DE CONCRETO OU ALVENARIA EM REDES DE ESGOTO. AF_01/2021</t>
  </si>
  <si>
    <t>102267</t>
  </si>
  <si>
    <t>JUNTA ARGAMASSADA ENTRE TUBO DN 1000 MM E O POÇO DE VISITA/ CAIXA DE CONCRETO OU ALVENARIA EM REDES DE ESGOTO. AF_01/2021</t>
  </si>
  <si>
    <t>102268</t>
  </si>
  <si>
    <t>JUNTA ARGAMASSADA ENTRE TUBO DN 1200 MM E O POÇO DE VISITA/ CAIXA DE CONCRETO OU ALVENARIA EM REDES DE ESGOTO. AF_01/2021</t>
  </si>
  <si>
    <t>102269</t>
  </si>
  <si>
    <t>JUNTA ARGAMASSADA ENTRE TUBO DN 1500 MM E O POÇO DE VISITA/ CAIXA DE CONCRETO OU ALVENARIA EM REDES DE ESGOTO. AF_01/2021</t>
  </si>
  <si>
    <t>92843</t>
  </si>
  <si>
    <t>92845</t>
  </si>
  <si>
    <t>92859</t>
  </si>
  <si>
    <t>92861</t>
  </si>
  <si>
    <t>538,21</t>
  </si>
  <si>
    <t>20,96</t>
  </si>
  <si>
    <t>113,53</t>
  </si>
  <si>
    <t>162,15</t>
  </si>
  <si>
    <t>137,99</t>
  </si>
  <si>
    <t>154,62</t>
  </si>
  <si>
    <t>23,76</t>
  </si>
  <si>
    <t>142,21</t>
  </si>
  <si>
    <t>100641</t>
  </si>
  <si>
    <t>USINA DE MISTURA ASFÁLTICA À QUENTE, TIPO CONTRA FLUXO, PROD 100 A 140 TON/HORA - CHP DIURNO. AF_12/2019</t>
  </si>
  <si>
    <t>100647</t>
  </si>
  <si>
    <t>USINA DE ASFALTO, TIPO GRAVIMÉTRICA, PROD 150 TON/HORA - CHP DIURNO. AF_12/2019</t>
  </si>
  <si>
    <t>102275</t>
  </si>
  <si>
    <t>MARTELO DEMOLIDOR ELÉTRICO, COM POTÊNCIA DE 2.000 W, 1.000 IMPACTOS POR MINUTO, PESO DE 30 KG - CHP DIURNO. AF_01/2021</t>
  </si>
  <si>
    <t>66,17</t>
  </si>
  <si>
    <t>41,41</t>
  </si>
  <si>
    <t>46,59</t>
  </si>
  <si>
    <t>58,98</t>
  </si>
  <si>
    <t>31,83</t>
  </si>
  <si>
    <t>56,12</t>
  </si>
  <si>
    <t>66,11</t>
  </si>
  <si>
    <t>50,82</t>
  </si>
  <si>
    <t>23,09</t>
  </si>
  <si>
    <t>64,32</t>
  </si>
  <si>
    <t>56,38</t>
  </si>
  <si>
    <t>100642</t>
  </si>
  <si>
    <t>USINA DE MISTURA ASFÁLTICA À QUENTE, TIPO CONTRA FLUXO, PROD 100 A 140 TON/HORA - CHI DIURNO. AF_12/2019</t>
  </si>
  <si>
    <t>100648</t>
  </si>
  <si>
    <t>USINA DE ASFALTO, TIPO GRAVIMÉTRICA, PROD 150 TON/HORA - CHI DIURNO. AF_12/2019</t>
  </si>
  <si>
    <t>102274</t>
  </si>
  <si>
    <t>MARTELO DEMOLIDOR ELÉTRICO, COM POTÊNCIA DE 2.000 W, 1.000 IMPACTOS POR MINUTO, PESO DE 30 KG -  CHI DIURNO. AF_01/2021</t>
  </si>
  <si>
    <t>28,11</t>
  </si>
  <si>
    <t>3,83</t>
  </si>
  <si>
    <t>22,48</t>
  </si>
  <si>
    <t>36,41</t>
  </si>
  <si>
    <t>45,03</t>
  </si>
  <si>
    <t>16,50</t>
  </si>
  <si>
    <t>43,96</t>
  </si>
  <si>
    <t>17,72</t>
  </si>
  <si>
    <t>11,77</t>
  </si>
  <si>
    <t>13,96</t>
  </si>
  <si>
    <t>115,74</t>
  </si>
  <si>
    <t>106,80</t>
  </si>
  <si>
    <t>41,71</t>
  </si>
  <si>
    <t>18,37</t>
  </si>
  <si>
    <t>33,09</t>
  </si>
  <si>
    <t>100637</t>
  </si>
  <si>
    <t>USINA DE MISTURA ASFÁLTICA À QUENTE, TIPO CONTRA FLUXO, PROD 100 A 140 TON/HORA - DEPRECIAÇÃO. AF_12/2019</t>
  </si>
  <si>
    <t>100638</t>
  </si>
  <si>
    <t>USINA DE MISTURA ASFÁLTICA À QUENTE, TIPO CONTRA FLUXO, PROD 100 A 140 TON/HORA - JUROS. AF_12/2019</t>
  </si>
  <si>
    <t>100639</t>
  </si>
  <si>
    <t>USINA DE MISTURA ASFÁLTICA À QUENTE, TIPO CONTRA FLUXO, PROD 100 A 140 TON/HORA - MANUTENÇÃO. AF_12/2019</t>
  </si>
  <si>
    <t>100640</t>
  </si>
  <si>
    <t>USINA DE MISTURA ASFÁLTICA À QUENTE, TIPO CONTRA FLUXO, PROD 100 A 140 TON/HORA - MATERIAIS NA OPERAÇÃO. AF_12/2019</t>
  </si>
  <si>
    <t>100643</t>
  </si>
  <si>
    <t>USINA DE ASFALTO, TIPO GRAVIMÉTRICA, PROD 150 TON/HORA - DEPRECIAÇÃO. AF_12/2019</t>
  </si>
  <si>
    <t>100644</t>
  </si>
  <si>
    <t>USINA DE ASFALTO, TIPO GRAVIMÉTRICA, PROD 150 TON/HORA - JUROS. AF_12/2019</t>
  </si>
  <si>
    <t>100645</t>
  </si>
  <si>
    <t>USINA DE ASFALTO, TIPO GRAVIMÉTRICA, PROD 150 TON/HORA - MANUTENÇÃO. AF_12/2019</t>
  </si>
  <si>
    <t>100646</t>
  </si>
  <si>
    <t>USINA DE ASFALTO, TIPO GRAVIMÉTRICA, PROD 150 TON/HORA - MATERIAIS NA OPERAÇÃO. AF_12/2019</t>
  </si>
  <si>
    <t>102270</t>
  </si>
  <si>
    <t>MARTELO DEMOLIDOR ELÉTRICO, COM POTÊNCIA DE 2.000 W, 1.000 IMPACTOS POR MINUTO, PESO DE 30 KG - DEPRECIAÇÃO. AF_01/2021</t>
  </si>
  <si>
    <t>102271</t>
  </si>
  <si>
    <t>MARTELO DEMOLIDOR ELÉTRICO, COM POTÊNCIA DE 2.000 W, 1.000 IMPACTOS POR MINUTO, PESO DE 30 KG - JUROS. AF_01/2021</t>
  </si>
  <si>
    <t>102272</t>
  </si>
  <si>
    <t>MARTELO DEMOLIDOR ELÉTRICO, COM POTÊNCIA DE 2.000 W, 1.000 IMPACTOS POR MINUTO, PESO DE 30 KG - MANUTENÇÃO. AF_01/2021</t>
  </si>
  <si>
    <t>102273</t>
  </si>
  <si>
    <t>MARTELO DEMOLIDOR ELÉTRICO, COM POTÊNCIA DE 2.000 W, 1.000 IMPACTOS POR MINUTO, PESO DE 30 KG - MATERIAIS NA OPERAÇÃO. AF_01/2021</t>
  </si>
  <si>
    <t>83,22</t>
  </si>
  <si>
    <t>24,14</t>
  </si>
  <si>
    <t>27,87</t>
  </si>
  <si>
    <t>44,93</t>
  </si>
  <si>
    <t>121,36</t>
  </si>
  <si>
    <t>126,50</t>
  </si>
  <si>
    <t>139,15</t>
  </si>
  <si>
    <t>97933</t>
  </si>
  <si>
    <t>CAIXA COM GRELHA SIMPLES RETANGULAR, EM CONCRETO PRÉ-MOLDADO, DIMENSÕES INTERNAS: 0,6X1,0X1,0 M. AF_12/2020</t>
  </si>
  <si>
    <t>97934</t>
  </si>
  <si>
    <t>97935</t>
  </si>
  <si>
    <t>CAIXA PARA BOCA DE LOBO SIMPLES RETANGULAR, EM CONCRETO PRÉ-MOLDADO, DIMENSÕES INTERNAS: 0,6X1,0X1,2 M. AF_12/2020</t>
  </si>
  <si>
    <t>97936</t>
  </si>
  <si>
    <t>CAIXA PARA BOCA DE LOBO DUPLA RETANGULAR, EM CONCRETO PRÉ-MOLDADO, DIMENSÕES INTERNAS: 0,6X2,2X1,2 M. AF_12/2020</t>
  </si>
  <si>
    <t>97947</t>
  </si>
  <si>
    <t>CAIXA COM GRELHA SIMPLES RETANGULAR, EM ALVENARIA COM TIJOLOS CERÂMICOS MACIÇOS, DIMENSÕES INTERNAS: 0,5X1X1 M. AF_12/2020</t>
  </si>
  <si>
    <t>97948</t>
  </si>
  <si>
    <t>CAIXA COM GRELHA DUPLA RETANGULAR, EM ALVENARIA COM TIJOLOS CERÂMICOS MACIÇOS, DIMENSÕES INTERNAS: 0,5X2,2X1 M. AF_12/2020</t>
  </si>
  <si>
    <t>97949</t>
  </si>
  <si>
    <t>CAIXA PARA BOCA DE LOBO SIMPLES RETANGULAR, EM ALVENARIA COM TIJOLOS CERÂMICOS MACIÇOS, DIMENSÕES INTERNAS: 0,6X1X1,2 M. AF_12/2020</t>
  </si>
  <si>
    <t>97950</t>
  </si>
  <si>
    <t>CAIXA PARA BOCA DE LOBO DUPLA RETANGULAR, EM ALVENARIA COM TIJOLOS CERÂMICOS MACIÇOS, DIMENSÕES INTERNAS: 0,6X2,2X1,2 M. AF_12/2020</t>
  </si>
  <si>
    <t>97951</t>
  </si>
  <si>
    <t>CAIXA PARA BOCA DE LOBO COMBINADA COM GRELHA RETANGULAR, EM ALVENARIA COM TIJOLOS CERÂMICOS MACIÇOS, DIMENSÕES INTERNAS: 1,3X1X1,2 M. AF_12/2020</t>
  </si>
  <si>
    <t>97952</t>
  </si>
  <si>
    <t>CAIXA PARA BOCA DE LOBO DUPLA COMBINADA COM GRELHA RETANGULAR, EM ALVENARIA COM TIJOLOS CERÂMICOS MACIÇOS, DIMENSÕES INTERNAS: 1,3X2,2X1,2 M. AF_12/2020</t>
  </si>
  <si>
    <t>97953</t>
  </si>
  <si>
    <t>CAIXA COM GRELHA SIMPLES RETANGULAR, EM ALVENARIA COM BLOCOS DE CONCRETO, DIMENSÕES INTERNAS: 0,5X1X1 M. AF_12/2020</t>
  </si>
  <si>
    <t>97955</t>
  </si>
  <si>
    <t>CAIXA COM GRELHA DUPLA RETANGULAR, EM ALVENARIA COM BLOCOS DE CONCRETO, DIMENSÕES INTERNAS: 0,5X2,2X1 M. AF_12/2020</t>
  </si>
  <si>
    <t>97956</t>
  </si>
  <si>
    <t>CAIXA PARA BOCA DE LOBO SIMPLES RETANGULAR, EM ALVENARIA COM BLOCOS DE CONCRETO, DIMENSÕES INTERNAS: 0,6X1X1,2 M. AF_12/2020</t>
  </si>
  <si>
    <t>97957</t>
  </si>
  <si>
    <t>CAIXA PARA BOCA DE LOBO DUPLA RETANGULAR, EM ALVENARIA COM BLOCOS DE CONCRETO, DIMENSÕES INTERNAS: 0,6X2,2X1,2 M. AF_12/2020</t>
  </si>
  <si>
    <t>97961</t>
  </si>
  <si>
    <t>CAIXA PARA BOCA DE LOBO COMBINADA COM GRELHA RETANGULAR, EM ALVENARIA COM BLOCOS DE CONCRETO, DIMENSÕES INTERNAS: 1,3X1X1,2 M. AF_12/2020</t>
  </si>
  <si>
    <t>97973</t>
  </si>
  <si>
    <t>CAIXA PARA BOCA DE LOBO DUPLA COMBINADA COM GRELHA RETANGULAR, EM ALVENARIA COM BLOCOS DE CONCRETO, DIMENSÕES INTERNAS: 1,3X2,2X1,2 M. AF_12/2020</t>
  </si>
  <si>
    <t>97974</t>
  </si>
  <si>
    <t>97975</t>
  </si>
  <si>
    <t>97978</t>
  </si>
  <si>
    <t>ACRÉSCIMO PARA POÇO DE VISITA CIRCULAR PARA ESGOTO, EM ALVENARIA COM TIJOLOS CERÂMICOS MACIÇOS, DIÂMETRO INTERNO = 0,8 M. AF_12/2020</t>
  </si>
  <si>
    <t>ACRÉSCIMO PARA POÇO DE VISITA CIRCULAR PARA ESGOTO, EM CONCRETO PRÉ-MOLDADO, DIÂMETRO INTERNO = 1 M. AF_12/2020</t>
  </si>
  <si>
    <t>ACRÉSCIMO PARA POÇO DE VISITA CIRCULAR PARA  ESGOTO, EM ALVENARIA COM TIJOLOS CERÂMICOS MACIÇOS, DIÂMETRO INTERNO = 1 M. AF_12/2020</t>
  </si>
  <si>
    <t>ACRÉSCIMO PARA POÇO DE VISITA CIRCULAR PARA ESGOTO, EM CONCRETO PRÉ-MOLDADO, DIÂMETRO INTERNO = 1,2 M. AF_12/2020</t>
  </si>
  <si>
    <t>ACRÉSCIMO PARA POÇO DE VISITA CIRCULAR PARA ESGOTO, EM ALVENARIA COM TIJOLOS CERÂMICOS MACIÇOS, DIÂMETRO INTERNO = 1,2 M. AF_12/2020</t>
  </si>
  <si>
    <t>ACRÉSCIMO PARA POÇO DE VISITA CIRCULAR PARA  ESGOTO, EM CONCRETO PRÉ-MOLDADO, DIÂMETRO INTERNO = 1,5 M. AF_12/2020</t>
  </si>
  <si>
    <t>ACRÉSCIMO PARA POÇO DE VISITA CIRCULAR PARA  ESGOTO, EM ALVENARIA COM TIJOLOS CERÂMICOS MACIÇOS, DIÂMETRO INTERNO = 1,5 M. AF_12/2020</t>
  </si>
  <si>
    <t>ACRÉSCIMO PARA POÇO DE VISITA RETANGULAR PARA ESGOTO, EM ALVENARIA COM BLOCOS DE CONCRETO, DIMENSÕES INTERNAS = 1X1 M. AF_12/2020</t>
  </si>
  <si>
    <t>ACRÉSCIMO PARA POÇO DE VISITA RETANGULAR PARA ESGOTO, EM ALVENARIA COM BLOCOS DE CONCRETO, DIMENSÕES INTERNAS = 1X1,5 M. AF_12/2020</t>
  </si>
  <si>
    <t>ACRÉSCIMO PARA POÇO DE VISITA RETANGULAR PARA ESGOTO, EM ALVENARIA COM BLOCOS DE CONCRETO, DIMENSÕES INTERNAS = 1X2 M. AF_12/2020</t>
  </si>
  <si>
    <t>ACRÉSCIMO PARA POÇO DE VISITA RETANGULAR PARA ESGOTO, EM ALVENARIA COM BLOCOS DE CONCRETO, DIMENSÕES INTERNAS = 1X2,5 M. AF_12/2020</t>
  </si>
  <si>
    <t>ACRÉSCIMO PARA POÇO DE VISITA RETANGULAR PARA ESGOTO, EM ALVENARIA COM BLOCOS DE CONCRETO, DIMENSÕES INTERNAS = 1X3 M. AF_12/2020</t>
  </si>
  <si>
    <t>ACRÉSCIMO PARA POÇO DE VISITA RETANGULAR PARA ESGOTO, EM ALVENARIA COM BLOCOS DE CONCRETO, DIMENSÕES INTERNAS = 1X3,5 M. AF_12/2020</t>
  </si>
  <si>
    <t>ACRÉSCIMO PARA POÇO DE VISITA RETANGULAR PARA ESGOTO, EM ALVENARIA COM BLOCOS DE CONCRETO, DIMENSÕES INTERNAS = 1X4 M. AF_12/2020</t>
  </si>
  <si>
    <t>ACRÉSCIMO PARA POÇO DE VISITA RETANGULAR PARA ESGOTO, EM ALVENARIA COM BLOCOS DE CONCRETO, DIMENSÕES INTERNAS = 1,5X1,5 M. AF_12/2020</t>
  </si>
  <si>
    <t>ACRÉSCIMO PARA POÇO DE VISITA RETANGULAR PARA ESGOTO, EM ALVENARIA COM BLOCOS DE CONCRETO, DIMENSÕES INTERNAS = 1,5X2 M. AF_12/2020</t>
  </si>
  <si>
    <t>ACRÉSCIMO PARA POÇO DE VISITA RETANGULAR PARA ESGOTO, EM ALVENARIA COM BLOCOS DE CONCRETO, DIMENSÕES INTERNAS = 1,5X2,5 M. AF_12/2020</t>
  </si>
  <si>
    <t>ACRÉSCIMO PARA POÇO DE VISITA RETANGULAR PARA ESGOTO, EM ALVENARIA COM BLOCOS DE CONCRETO, DIMENSÕES INTERNAS = 1,5X3 M. AF_12/2020</t>
  </si>
  <si>
    <t>ACRÉSCIMO PARA POÇO DE VISITA RETANGULAR PARA ESGOTO, EM ALVENARIA COM BLOCOS DE CONCRETO, DIMENSÕES INTERNAS = 1,5X3,5 M. AF_12/2020</t>
  </si>
  <si>
    <t>ACRÉSCIMO PARA POÇO DE VISITA RETANGULAR PARA ESGOTO, EM ALVENARIA COM BLOCOS DE CONCRETO, DIMENSÕES INTERNAS = 1,5X4 M. AF_12/2020</t>
  </si>
  <si>
    <t>ACRÉSCIMO PARA POÇO DE VISITA RETANGULAR PARA ESGOTO, EM ALVENARIA COM BLOCOS DE CONCRETO, DIMENSÕES INTERNAS = 2X2 M. AF_12/2020</t>
  </si>
  <si>
    <t>ACRÉSCIMO PARA POÇO DE VISITA RETANGULAR PARA ESGOTO, EM ALVENARIA COM BLOCOS DE CONCRETO, DIMENSÕES INTERNAS = 2X2,5 M. AF_12/2020</t>
  </si>
  <si>
    <t>ACRÉSCIMO PARA POÇO DE VISITA RETANGULAR PARA ESGOTO, EM ALVENARIA COM BLOCOS DE CONCRETO, DIMENSÕES INTERNAS = 2X3 M. AF_12/2020</t>
  </si>
  <si>
    <t>ACRÉSCIMO PARA POÇO DE VISITA RETANGULAR PARA ESGOTO, EM ALVENARIA COM BLOCOS DE CONCRETO, DIMENSÕES INTERNAS = 2X3,5 M. AF_12/2020</t>
  </si>
  <si>
    <t>ACRÉSCIMO PARA POÇO DE VISITA RETANGULAR PARA ESGOTO, EM ALVENARIA COM BLOCOS DE CONCRETO, DIMENSÕES INTERNAS = 2X4 M. AF_12/2020</t>
  </si>
  <si>
    <t>ACRÉSCIMO PARA POÇO DE VISITA RETANGULAR PARA ESGOTO, EM ALVENARIA COM BLOCOS DE CONCRETO, DIMENSÕES INTERNAS = 2,5X2,5 M. AF_12/2020</t>
  </si>
  <si>
    <t>ACRÉSCIMO PARA POÇO DE VISITA RETANGULAR PARA ESGOTO, EM ALVENARIA COM BLOCOS DE CONCRETO, DIMENSÕES INTERNAS = 2,5X3 M. AF_12/2020</t>
  </si>
  <si>
    <t>ACRÉSCIMO PARA POÇO DE VISITA RETANGULAR PARA ESGOTO, EM ALVENARIA COM BLOCOS DE CONCRETO, DIMENSÕES INTERNAS = 2,5X3,5 M. AF_12/2020</t>
  </si>
  <si>
    <t>ACRÉSCIMO PARA POÇO DE VISITA RETANGULAR PARA ESGOTO, EM ALVENARIA COM BLOCOS DE CONCRETO, DIMENSÕES INTERNAS = 2,5X4 M. AF_12/2020</t>
  </si>
  <si>
    <t>ACRÉSCIMO PARA POÇO DE VISITA RETANGULAR PARA ESGOTO, EM ALVENARIA COM BLOCOS DE CONCRETO, DIMENSÕES INTERNAS = 3X3 M. AF_12/2020</t>
  </si>
  <si>
    <t>ACRÉSCIMO PARA POÇO DE VISITA RETANGULAR PARA ESGOTO, EM ALVENARIA COM BLOCOS DE CONCRETO, DIMENSÕES INTERNAS = 3X3,5 M. AF_12/2020</t>
  </si>
  <si>
    <t>ACRÉSCIMO PARA POÇO DE VISITA RETANGULAR PARA ESGOTO, EM ALVENARIA COM BLOCOS DE CONCRETO, DIMENSÕES INTERNAS = 3X4 M. AF_12/2020</t>
  </si>
  <si>
    <t>ACRÉSCIMO PARA POÇO DE VISITA RETANGULAR PARA ESGOTO, EM ALVENARIA COM BLOCOS DE CONCRETO, DIMENSÕES INTERNAS = 3,5X3,5 M. AF_12/2020</t>
  </si>
  <si>
    <t>ACRÉSCIMO PARA POÇO DE VISITA RETANGULAR PARA ESGOTO, EM ALVENARIA COM BLOCOS DE CONCRETO, DIMENSÕES INTERNAS = 3,5X4 M. AF_12/2020</t>
  </si>
  <si>
    <t>ACRÉSCIMO PARA POÇO DE VISITA RETANGULAR PARA ESGOTO, EM ALVENARIA COM BLOCOS DE CONCRETO, DIMENSÕES INTERNAS = 4X4 M. AF_12/2020</t>
  </si>
  <si>
    <t>CHAMINÉ CIRCULAR PARA POÇO DE VISITA PARA ESGOTO, EM CONCRETO PRÉ-MOLDADO, DIÂMETRO INTERNO = 0,6 M. AF_12/2020</t>
  </si>
  <si>
    <t>CHAMINÉ CIRCULAR PARA POÇO DE VISITA PARA ESGOTO, EM ALVENARIA COM TIJOLOS CERÂMICOS MACIÇOS, DIÂMETRO INTERNO = 0,6 M. AF_12/2020</t>
  </si>
  <si>
    <t>ACRÉSCIMO PARA POÇO DE VISITA CIRCULAR PARA ESGOTO, EM CONCRETO PRÉ-MOLDADO, DIÂMETRO INTERNO = 0,8 M. AF_12/2020</t>
  </si>
  <si>
    <t>98410</t>
  </si>
  <si>
    <t>ACRÉSCIMO PARA POÇO DE VISITA CIRCULAR PARA DRENAGEM, EM CONCRETO PRÉ-MOLDADO, DIÂMETRO INTERNO = 1,2 M. AF_12/2020</t>
  </si>
  <si>
    <t>ACRÉSCIMO PARA POÇO DE VISITA RETANGULAR PARA DRENAGEM, EM ALVENARIA COM BLOCOS DE CONCRETO, DIMENSÕES INTERNAS = 1,5X1,5 M. AF_12/2020</t>
  </si>
  <si>
    <t>ACRÉSCIMO PARA POÇO DE VISITA CIRCULAR PARA DRENAGEM, EM ALVENARIA COM TIJOLOS CERÂMICOS MACIÇOS, DIÂMETRO INTERNO = 1,2 M. AF_12/2020</t>
  </si>
  <si>
    <t>ACRÉSCIMO PARA POÇO DE VISITA CIRCULAR PARA DRENAGEM, EM CONCRETO PRÉ-MOLDADO, DIÂMETRO INTERNO = 1,5 M. AF_12/2020</t>
  </si>
  <si>
    <t>ACRÉSCIMO PARA POÇO DE VISITA RETANGULAR PARA DRENAGEM, EM ALVENARIA COM BLOCOS DE CONCRETO, DIMENSÕES INTERNAS = 1,5X2 M. AF_12/2020</t>
  </si>
  <si>
    <t>ACRÉSCIMO PARA POÇO DE VISITA CIRCULAR PARA DRENAGEM, EM ALVENARIA COM TIJOLOS CERÂMICOS MACIÇOS, DIÂMETRO INTERNO = 1,5 M. AF_12/2020</t>
  </si>
  <si>
    <t>ACRÉSCIMO PARA POÇO DE VISITA RETANGULAR PARA DRENAGEM, EM ALVENARIA COM BLOCOS DE CONCRETO, DIMENSÕES INTERNAS = 1X1 M. AF_12/2020</t>
  </si>
  <si>
    <t>ACRÉSCIMO PARA POÇO DE VISITA RETANGULAR PARA DRENAGEM, EM ALVENARIA COM BLOCOS DE CONCRETO, DIMENSÕES INTERNAS = 1X1,5 M. AF_12/2020</t>
  </si>
  <si>
    <t>ACRÉSCIMO PARA POÇO DE VISITA RETANGULAR PARA DRENAGEM, EM ALVENARIA COM BLOCOS DE CONCRETO, DIMENSÕES INTERNAS = 1,5X2,5 M. AF_12/2020</t>
  </si>
  <si>
    <t>ACRÉSCIMO PARA POÇO DE VISITA RETANGULAR PARA DRENAGEM, EM ALVENARIA COM BLOCOS DE CONCRETO, DIMENSÕES INTERNAS = 1X2 M. AF_12/2020</t>
  </si>
  <si>
    <t>99268</t>
  </si>
  <si>
    <t>ACRÉSCIMO PARA POÇO DE VISITA RETANGULAR PARA DRENAGEM, EM ALVENARIA COM BLOCOS DE CONCRETO, DIMENSÕES INTERNAS = 1X2,5 M. AF_12/2020</t>
  </si>
  <si>
    <t>99270</t>
  </si>
  <si>
    <t>99275</t>
  </si>
  <si>
    <t>ACRÉSCIMO PARA POÇO DE VISITA RETANGULAR PARA DRENAGEM, EM ALVENARIA COM BLOCOS DE CONCRETO, DIMENSÕES INTERNAS = 1,5X3 M. AF_12/2020</t>
  </si>
  <si>
    <t>ACRÉSCIMO PARA POÇO DE VISITA RETANGULAR PARA DRENAGEM, EM ALVENARIA COM BLOCOS DE CONCRETO, DIMENSÕES INTERNAS = 1X3 M. AF_12/2020</t>
  </si>
  <si>
    <t>ACRÉSCIMO PARA POÇO DE VISITA CIRCULAR PARA DRENAGEM, EM CONCRETO PRÉ-MOLDADO, DIÂMETRO INTERNO = 0,8 M. AF_12/2020</t>
  </si>
  <si>
    <t>ACRÉSCIMO PARA POÇO DE VISITA RETANGULAR PARA DRENAGEM, EM ALVENARIA COM BLOCOS DE CONCRETO, DIMENSÕES INTERNAS = 1X3,5 M. AF_12/2020</t>
  </si>
  <si>
    <t>ACRÉSCIMO PARA POÇO DE VISITA RETANGULAR PARA DRENAGEM, EM ALVENARIA COM BLOCOS DE CONCRETO, DIMENSÕES INTERNAS = 2,5X2,5 M. AF_12/2020</t>
  </si>
  <si>
    <t>ACRÉSCIMO PARA POÇO DE VISITA CIRCULAR PARA DRENAGEM, EM ALVENARIA COM TIJOLOS CERÂMICOS MACIÇOS, DIÂMETRO INTERNO = 0,8 M. AF_12/2020</t>
  </si>
  <si>
    <t>99285</t>
  </si>
  <si>
    <t>ACRÉSCIMO PARA POÇO DE VISITA CIRCULAR PARA DRENAGEM, EM CONCRETO PRÉ-MOLDADO, DIÂMETRO INTERNO = 1 M. AF_12/2020</t>
  </si>
  <si>
    <t>ACRÉSCIMO PARA POÇO DE VISITA RETANGULAR PARA DRENAGEM, EM ALVENARIA COM BLOCOS DE CONCRETO, DIMENSÕES INTERNAS = 1X4 M. AF_12/2020</t>
  </si>
  <si>
    <t>ACRÉSCIMO PARA POÇO DE VISITA RETANGULAR PARA DRENAGEM, EM ALVENARIA COM BLOCOS DE CONCRETO, DIMENSÕES INTERNAS = 1,5X3,5 M. AF_12/2020</t>
  </si>
  <si>
    <t>ACRÉSCIMO PARA POÇO DE VISITA CIRCULAR PARA DRENAGEM, EM ALVENARIA COM TIJOLOS CERÂMICOS MACIÇOS, DIÂMETRO INTERNO = 1 M. AF_12/2020</t>
  </si>
  <si>
    <t>ACRÉSCIMO PARA POÇO DE VISITA RETANGULAR PARA DRENAGEM, EM ALVENARIA COM BLOCOS DE CONCRETO, DIMENSÕES INTERNAS = 2,5X3 M. AF_12/2020</t>
  </si>
  <si>
    <t>ACRÉSCIMO PARA POÇO DE VISITA RETANGULAR PARA DRENAGEM, EM ALVENARIA COM BLOCOS DE CONCRETO, DIMENSÕES INTERNAS = 1,5X4 M. AF_12/2020</t>
  </si>
  <si>
    <t>ACRÉSCIMO PARA POÇO DE VISITA RETANGULAR PARA DRENAGEM, EM ALVENARIA COM BLOCOS DE CONCRETO, DIMENSÕES INTERNAS = 2,5X3,5 M. AF_12/2020</t>
  </si>
  <si>
    <t>ACRÉSCIMO PARA POÇO DE VISITA RETANGULAR PARA DRENAGEM, EM ALVENARIA COM BLOCOS DE CONCRETO, DIMENSÕES INTERNAS = 2,5X4 M. AF_12/2020</t>
  </si>
  <si>
    <t>ACRÉSCIMO PARA POÇO DE VISITA RETANGULAR PARA DRENAGEM, EM ALVENARIA COM BLOCOS DE CONCRETO, DIMENSÕES INTERNAS = 3X3 M. AF_12/2020</t>
  </si>
  <si>
    <t>ACRÉSCIMO PARA POÇO DE VISITA RETANGULAR PARA DRENAGEM, EM ALVENARIA COM BLOCOS DE CONCRETO, DIMENSÕES INTERNAS = 3X3,5 M. AF_12/2020</t>
  </si>
  <si>
    <t>ACRÉSCIMO PARA POÇO DE VISITA RETANGULAR PARA DRENAGEM, EM ALVENARIA COM BLOCOS DE CONCRETO, DIMENSÕES INTERNAS = 2X2 M. AF_12/2020</t>
  </si>
  <si>
    <t>ACRÉSCIMO PARA POÇO DE VISITA RETANGULAR PARA DRENAGEM, EM ALVENARIA COM BLOCOS DE CONCRETO, DIMENSÕES INTERNAS = 3X4 M. AF_12/2020</t>
  </si>
  <si>
    <t>ACRÉSCIMO PARA POÇO DE VISITA RETANGULAR PARA DRENAGEM, EM ALVENARIA COM BLOCOS DE CONCRETO, DIMENSÕES INTERNAS = 3,5X3,5 M. AF_12/2020</t>
  </si>
  <si>
    <t>ACRÉSCIMO PARA POÇO DE VISITA RETANGULAR PARA DRENAGEM, EM ALVENARIA COM BLOCOS DE CONCRETO, DIMENSÕES INTERNAS = 3,5X4 M. AF_12/2020</t>
  </si>
  <si>
    <t>ACRÉSCIMO PARA POÇO DE VISITA RETANGULAR PARA DRENAGEM, EM ALVENARIA COM BLOCOS DE CONCRETO, DIMENSÕES INTERNAS = 2X2,5 M. AF_12/2020</t>
  </si>
  <si>
    <t>CHAMINÉ CIRCULAR PARA POÇO DE VISITA PARA DRENAGEM, EM CONCRETO PRÉ-MOLDADO, DIÂMETRO INTERNO = 0,6 M. AF_12/2020</t>
  </si>
  <si>
    <t>CHAMINÉ CIRCULAR PARA POÇO DE VISITA PARA DRENAGEM, EM ALVENARIA COM TIJOLOS CERÂMICOS MACIÇOS, DIÂMETRO INTERNO = 0,6 M. AF_12/2020</t>
  </si>
  <si>
    <t>ACRÉSCIMO PARA POÇO DE VISITA RETANGULAR PARA DRENAGEM, EM ALVENARIA COM BLOCOS DE CONCRETO, DIMENSÕES INTERNAS = 2X3 M. AF_12/2020</t>
  </si>
  <si>
    <t>ACRÉSCIMO PARA POÇO DE VISITA RETANGULAR PARA DRENAGEM, EM ALVENARIA COM BLOCOS DE CONCRETO, DIMENSÕES INTERNAS = 2X3,5 M. AF_12/2020</t>
  </si>
  <si>
    <t>ACRÉSCIMO PARA POÇO DE VISITA RETANGULAR PARA DRENAGEM, EM ALVENARIA COM BLOCOS DE CONCRETO, DIMENSÕES INTERNAS = 2X4 M. AF_12/2020</t>
  </si>
  <si>
    <t>ACRÉSCIMO PARA POÇO DE VISITA RETANGULAR PARA DRENAGEM, EM ALVENARIA COM BLOCOS DE CONCRETO, DIMENSÕES INTERNAS = 4X4 M. AF_12/2020</t>
  </si>
  <si>
    <t>101800</t>
  </si>
  <si>
    <t>CAIXA COM GRELHA RETANGULAR DE FERRO FUNDIDO, EM ALVENARIA COM TIJOLOS CERÂMICOS MACIÇOS, DIMENSÕES INTERNAS: 0,30 X 1,00 X 1,00. AF_12/2020</t>
  </si>
  <si>
    <t>101801</t>
  </si>
  <si>
    <t>CAIXA COM GRELHA RETANGULAR DE FERRO FUNDIDO, EM ALVENARIA COM BLOCOS DE CONCRETO, DIMENSÕES INTERNAS: 0,30 X 1,00 X 1,00. AF_12/2020</t>
  </si>
  <si>
    <t>101806</t>
  </si>
  <si>
    <t>101807</t>
  </si>
  <si>
    <t>361,98</t>
  </si>
  <si>
    <t>101808</t>
  </si>
  <si>
    <t>101809</t>
  </si>
  <si>
    <t>102139</t>
  </si>
  <si>
    <t>102141</t>
  </si>
  <si>
    <t>102142</t>
  </si>
  <si>
    <t>102457</t>
  </si>
  <si>
    <t>58,61</t>
  </si>
  <si>
    <t>94277</t>
  </si>
  <si>
    <t>94278</t>
  </si>
  <si>
    <t>94279</t>
  </si>
  <si>
    <t>94280</t>
  </si>
  <si>
    <t>55,86</t>
  </si>
  <si>
    <t>101570</t>
  </si>
  <si>
    <t>ESCORAMENTO DE VALA, TIPO PONTALETEAMENTO, COM PROFUNDIDADE DE 0 A 1,5 M, LARGURA MENOR QUE 1,5 M. AF_08/2020</t>
  </si>
  <si>
    <t>101571</t>
  </si>
  <si>
    <t>ESCORAMENTO DE VALA, TIPO PONTALETEAMENTO, COM PROFUNDIDADE DE 0 A 1,5 M, LARGURA MAIOR OU IGUAL A 1,5 M E MENOR QUE 2,5 M. AF_08/2020</t>
  </si>
  <si>
    <t>101572</t>
  </si>
  <si>
    <t>ESCORAMENTO DE VALA, TIPO PONTALETEAMENTO, COM PROFUNDIDADE DE 1,5 A 3,0 M, LARGURA MENOR QUE 1,5 M. AF_08/2020</t>
  </si>
  <si>
    <t>101573</t>
  </si>
  <si>
    <t>ESCORAMENTO DE VALA, TIPO PONTALETEAMENTO, COM PROFUNDIDADE DE 1,5 A 3,0 M, LARGURA MAIOR OU IGUAL A 1,5 M E MENOR QUE 2,5 M. AF_08/2020</t>
  </si>
  <si>
    <t>101574</t>
  </si>
  <si>
    <t>ESCORAMENTO DE VALA, TIPO PONTALETEAMENTO, COM PROFUNDIDADE DE 3,0 A 4,5 M, LARGURA MENOR QUE 1,5 M. AF_08/2020</t>
  </si>
  <si>
    <t>101575</t>
  </si>
  <si>
    <t>ESCORAMENTO DE VALA, TIPO PONTALETEAMENTO, COM PROFUNDIDADE DE 3,0 A 4,5 M, LARGURA MAIOR OU IGUAL A 1,5 M E MENOR QUE 2,5 M. AF_08/2020</t>
  </si>
  <si>
    <t>101576</t>
  </si>
  <si>
    <t>ESCORAMENTO DE VALA, TIPO DESCONTÍNUO, COM PROFUNDIDADE DE 0 A 1,5 M, LARGURA MENOR QUE 1,5 M. AF_08/2020</t>
  </si>
  <si>
    <t>101577</t>
  </si>
  <si>
    <t>ESCORAMENTO DE VALA, TIPO DESCONTÍNUO, COM PROFUNDIDADE DE 0 A 1,5 M, LARGURA MAIOR OU IGUAL A 1,5 M E MENOR QUE 2,5 M. AF_08/2020</t>
  </si>
  <si>
    <t>101578</t>
  </si>
  <si>
    <t>ESCORAMENTO DE VALA, TIPO DESCONTÍNUO, COM PROFUNDIDADE DE 1,5 M A 3,0 M, LARGURA MENOR QUE 1,5 M. AF_08/2020</t>
  </si>
  <si>
    <t>101579</t>
  </si>
  <si>
    <t>ESCORAMENTO DE VALA, TIPO DESCONTÍNUO, COM PROFUNDIDADE DE 1,5 A 3,0 M, LARGURA MAIOR OU IGUAL A 1,5 M E MENOR QUE 2,5 M. AF_08/2020</t>
  </si>
  <si>
    <t>101580</t>
  </si>
  <si>
    <t>ESCORAMENTO DE VALA, TIPO DESCONTÍNUO, COM PROFUNDIDADE DE 3,0 A 4,5 M, LARGURA MENOR QUE 1,5 M. AF_08/2020</t>
  </si>
  <si>
    <t>101581</t>
  </si>
  <si>
    <t>ESCORAMENTO DE VALA, TIPO DESCONTÍNUO, COM PROFUNDIDADE DE 3,0 A 4,5 M, LARGURA MAIOR OU IGUAL A 1,5 E MENOR QUE 2,5 M. AF_08/2020</t>
  </si>
  <si>
    <t>101582</t>
  </si>
  <si>
    <t>ESCORAMENTO DE VALA, TIPO CONTÍNUO, COM PROFUNDIDADE DE 0 A 1,5 M, LARGURA MENOR QUE 1,5 M. AF_08/2020</t>
  </si>
  <si>
    <t>101583</t>
  </si>
  <si>
    <t>ESCORAMENTO DE VALA, TIPO CONTÍNUO, COM PROFUNDIDADE DE 0 A 1,5 M, LARGURA MAIOR OU IGUAL A 1,5 M E MENOR QUE 2,5 M. AF_08/2020</t>
  </si>
  <si>
    <t>101584</t>
  </si>
  <si>
    <t>ESCORAMENTO DE VALA, TIPO CONTÍNUO, COM PROFUNDIDADE DE 1,5 M A 3,0 M, LARGURA MENOR QUE 1,5 M. AF_08/2020</t>
  </si>
  <si>
    <t>101585</t>
  </si>
  <si>
    <t>ESCORAMENTO DE VALA, TIPO CONTÍNUO, COM PROFUNDIDADE DE 1,5 A 3,0 M, LARGURA MAIOR OU IGUAL A 1,5 M E MENOR QUE 2,5 M. AF_08/2020</t>
  </si>
  <si>
    <t>101586</t>
  </si>
  <si>
    <t>ESCORAMENTO DE VALA, TIPO CONTÍNUO, COM PROFUNDIDADE DE 3,0 A 4,5 M, LARGURA MENOR QUE 1,5 M. AF_08/2020</t>
  </si>
  <si>
    <t>101587</t>
  </si>
  <si>
    <t>ESCORAMENTO DE VALA, TIPO CONTÍNUO, COM PROFUNDIDADE DE 3,0 A 4,5 M, LARGURA MAIOR OU IGUAL A 1,5 E MENOR QUE 2,5 M. AF_08/2020</t>
  </si>
  <si>
    <t>101588</t>
  </si>
  <si>
    <t>ESCORAMENTO DE VALA, TIPO CONTÍNUO COM PERFIL METÁLICO "U", COM PROFUNDIDADE DE 0 A 1,5 M, LARGURA MENOR QUE 1,5 M. AF_08/2020</t>
  </si>
  <si>
    <t>101589</t>
  </si>
  <si>
    <t>ESCORAMENTO DE VALA,TIPO CONTÍNUO COM PERFIL METÁLICO "U", COM PROFUNDIDADE DE 0 A 1,5 M, LARGURA MAIOR OU IGUAL A 1,5 E MENOR QUE 2,5 M. AF_08/2020</t>
  </si>
  <si>
    <t>101590</t>
  </si>
  <si>
    <t>ESCORAMENTO DE VALA, TIPO CONTÍNUO COM PERFIL METÁLICO "U", COM PROFUNDIDADE DE 1,5 A 3,0 M, LARGURA MENOR QUE 1,5 M. AF_08/2020</t>
  </si>
  <si>
    <t>101591</t>
  </si>
  <si>
    <t>ESCORAMENTO DE VALA, TIPO CONTÍNUO COM PERFIL METÁLICO "U", COM PROFUNDIDADE DE 1,5 A 3,0 M, LARGURA MAIOR OU IGUAL 1,5 M E MENOR QUE 2,5 M. AF_08/2020</t>
  </si>
  <si>
    <t>101592</t>
  </si>
  <si>
    <t>ESCORAMENTO DE VALA, TIPO CONTÍNUO COM PERFIL METÁLICO "U", COM PROFUNDIDADE DE 3,0 A 4,5 M, LARGURA MENOR QUE 1,5 M. AF_08/2020</t>
  </si>
  <si>
    <t>38,85</t>
  </si>
  <si>
    <t>101593</t>
  </si>
  <si>
    <t>ESCORAMENTO DE VALA, TIPO CONTÍNUO COM PERFIL METÁLICO "U", COM PROFUNDIDADE DE 3,0 A 4,5 M, LARGURA MAIOR OU IGUAL A 1,5 M E MENOR QUE 2,5 M. AF_08/2020</t>
  </si>
  <si>
    <t>101600</t>
  </si>
  <si>
    <t>ESCORAMENTO DE VALA, TIPO BLINDAGEM, COM PROFUNDIDADE DE 0 A 1,5 M, LARGURA MENOR QUE 1,5 M - EXECUÇÃO, NÃO INCLUI MATERIAL. AF_08/2020</t>
  </si>
  <si>
    <t>101601</t>
  </si>
  <si>
    <t>ESCORAMENTO DE VALA, TIPO BLINDAGEM COM PROFUNDIDADE DE 0 A 1,5 M, LARGURA MAIOR OU IGUAL A 1,5 M E MENOR QUE 2,5 M - EXECUÇÃO, NÃO INCLUI MATERIAL. AF_08/2020</t>
  </si>
  <si>
    <t>101602</t>
  </si>
  <si>
    <t>ESCORAMENTO DE VALA, TIPO BLINDAGEM, COM PROFUNDIDADE DE 1,5 A 3,0 M, LARGURA MENOR QUE 1,5 M - EXECUÇÃO, NÃO INCLUI MATERIAL. AF_08/2020</t>
  </si>
  <si>
    <t>101603</t>
  </si>
  <si>
    <t>ESCORAMENTO DE VALA, TIPO BLINDAGEM, COM PROFUNDIDADE DE 1,5 A 3,0 M, LARGURA MAIOR OU IGUAL A 1,5 M E MENOR QUE 2,5 M - EXECUÇÃO, NÃO INCLUI MATERIAL. AF_08/2020</t>
  </si>
  <si>
    <t>101604</t>
  </si>
  <si>
    <t>ESCORAMENTO DE VALA, TIPO BLINDAGEM, COM PROFUNDIDADE DE 3,0 A 4,5 M, LARGURA MENOR QUE 1,5 M - EXECUÇÃO, NÃO INCLUI MATERIAL. AF_08/2020</t>
  </si>
  <si>
    <t>101605</t>
  </si>
  <si>
    <t>ESCORAMENTO DE VALA, TIPO BLINDAGEM, COM PROFUNDIDADE DE 3,0 A 4,5 M, LARGURA MAIOR OU IGUAL A 1,5 M E MENOR QUE 2,5 M - EXECUÇÃO, NÃO INCLUI MATERIAL. AF_08/2020</t>
  </si>
  <si>
    <t>KIT DE PORTA-PRONTA DE MADEIRA EM ACABAMENTO MELAMÍNICO BRANCO, FOLHA LEVE OU MÉDIA, 60X210CM, EXCLUSIVE FECHADURA, FIXAÇÃO COM PREENCHIMENTO PARCIAL DE ESPUMA EXPANSIVA - FORNECIMENTO E INSTALAÇÃO. AF_12/2019</t>
  </si>
  <si>
    <t>KIT DE PORTA-PRONTA DE MADEIRA EM ACABAMENTO MELAMÍNICO BRANCO, FOLHA LEVE OU MÉDIA, 70X210CM, EXCLUSIVE FECHADURA, FIXAÇÃO COM PREENCHIMENTO PARCIAL DE ESPUMA EXPANSIVA - FORNECIMENTO E INSTALAÇÃO. AF_12/2019</t>
  </si>
  <si>
    <t>KIT DE PORTA-PRONTA DE MADEIRA EM ACABAMENTO MELAMÍNICO BRANCO, FOLHA LEVE OU MÉDIA, 80X210CM, EXCLUSIVE FECHADURA, FIXAÇÃO COM PREENCHIMENTO PARCIAL DE ESPUMA EXPANSIVA - FORNECIMENTO E INSTALAÇÃO. AF_12/2019</t>
  </si>
  <si>
    <t>KIT DE PORTA-PRONTA DE MADEIRA EM ACABAMENTO MELAMÍNICO BRANCO, FOLHA PESADA OU SUPERPESADA, 80X210CM, FIXAÇÃO COM PREENCHIMENTO PARCIAL DE ESPUMA EXPANSIVA - FORNECIMENTO E INSTALAÇÃO. AF_12/2019</t>
  </si>
  <si>
    <t>KIT DE PORTA-PRONTA DE MADEIRA EM ACABAMENTO MELAMÍNICO BRANCO, FOLHA PESADA OU SUPERPESADA, 90X210CM, FIXAÇÃO COM PREENCHIMENTO TOTAL DE ESPUMA EXPANSIVA - FORNECIMENTO E INSTALAÇÃO. AF_12/2019</t>
  </si>
  <si>
    <t>90794</t>
  </si>
  <si>
    <t>KIT DE PORTA-PRONTA DE MADEIRA EM ACABAMENTO MELAMÍNICO BRANCO, FOLHA LEVE OU MÉDIA, E BATENTE METÁLICO, 60X210CM, FIXAÇÃO COM ARGAMASSA - FORNECIMENTO E INSTALAÇÃO. AF_12/2019</t>
  </si>
  <si>
    <t>90795</t>
  </si>
  <si>
    <t>KIT DE PORTA-PRONTA DE MADEIRA EM ACABAMENTO MELAMÍNICO BRANCO, FOLHA LEVE OU MÉDIA, E BATENTE METÁLICO, 70X210CM, FIXAÇÃO COM ARGAMASSA - FORNECIMENTO E INSTALAÇÃO. AF_12/2019</t>
  </si>
  <si>
    <t>90796</t>
  </si>
  <si>
    <t>KIT DE PORTA-PRONTA DE MADEIRA EM ACABAMENTO MELAMÍNICO BRANCO, FOLHA LEVE OU MÉDIA, E BATENTE METÁLICO, 80X210CM, FIXAÇÃO COM ARGAMASSA - FORNECIMENTO E INSTALAÇÃO. AF_12/2019</t>
  </si>
  <si>
    <t>90797</t>
  </si>
  <si>
    <t>KIT DE PORTA-PRONTA DE MADEIRA EM ACABAMENTO MELAMÍNICO BRANCO, FOLHA LEVE OU MÉDIA, E BATENTE METÁLICO, 90X210CM, FIXAÇÃO COM ARGAMASSA - FORNECIMENTO E INSTALAÇÃO. AF_12/2019</t>
  </si>
  <si>
    <t>90798</t>
  </si>
  <si>
    <t>KIT DE PORTA-PRONTA DE MADEIRA EM ACABAMENTO MELAMÍNICO BRANCO, FOLHA PESADA OU SUPERPESADA, E BATENTE METÁLICO, 80X210CM, FIXAÇÃO COM ARGAMASSA - FORNECIMENTO E INSTALAÇÃO. AF_12/2019</t>
  </si>
  <si>
    <t>90799</t>
  </si>
  <si>
    <t>KIT DE PORTA-PRONTA DE MADEIRA EM ACABAMENTO MELAMÍNICO BRANCO, FOLHA PESADA OU SUPERPESADA, E BATENTE METÁLICO, 90X210CM, FIXAÇÃO COM ARGAMASSA - FORNECIMENTO E INSTALAÇÃO. AF_12/2019</t>
  </si>
  <si>
    <t>BATENTE PARA PORTA DE MADEIRA, PADRÃO MÉDIO - FORNECIMENTO E MONTAGEM. AF_12/2019</t>
  </si>
  <si>
    <t>PORTA DE MADEIRA PARA PINTURA, SEMI-OCA (LEVE OU MÉDIA), 60X210CM, ESPESSURA DE 3,5CM, INCLUSO DOBRADIÇAS - FORNECIMENTO E INSTALAÇÃO. AF_12/2019</t>
  </si>
  <si>
    <t>PORTA DE MADEIRA PARA PINTURA, SEMI-OCA (LEVE OU MÉDIA), 70X210CM, ESPESSURA DE 3,5CM, INCLUSO DOBRADIÇAS - FORNECIMENTO E INSTALAÇÃO. AF_12/2019</t>
  </si>
  <si>
    <t>PORTA DE MADEIRA PARA PINTURA, SEMI-OCA (LEVE OU MÉDIA), 80X210CM, ESPESSURA DE 3,5CM, INCLUSO DOBRADIÇAS - FORNECIMENTO E INSTALAÇÃO. AF_12/2019</t>
  </si>
  <si>
    <t>PORTA DE MADEIRA PARA PINTURA, SEMI-OCA (LEVE OU MÉDIA), 90X210CM, ESPESSURA DE 3,5CM, INCLUSO DOBRADIÇAS - FORNECIMENTO E INSTALAÇÃO. AF_12/2019</t>
  </si>
  <si>
    <t>90824</t>
  </si>
  <si>
    <t>PORTA DE MADEIRA PARA PINTURA, SEMI-OCA (PESADA OU SUPERPESADA), 80X210CM, ESPESSURA DE 3,5CM, INCLUSO DOBRADIÇAS - FORNECIMENTO E INSTALAÇÃO. AF_12/2019</t>
  </si>
  <si>
    <t>90825</t>
  </si>
  <si>
    <t>PORTA DE MADEIRA, MACIÇA (PESADA OU SUPERPESADA), 90X210CM, ESPESSURA DE 3,5CM, INCLUSO DOBRADIÇAS - FORNECIMENTO E INSTALAÇÃO. AF_12/2019</t>
  </si>
  <si>
    <t>FECHADURA DE EMBUTIR COM CILINDRO, EXTERNA, COMPLETA, ACABAMENTO PADRÃO MÉDIO, INCLUSO EXECUÇÃO DE FURO - FORNECIMENTO E INSTALAÇÃO. AF_12/2019</t>
  </si>
  <si>
    <t>FECHADURA DE EMBUTIR PARA PORTA DE BANHEIRO, COMPLETA, ACABAMENTO PADRÃO MÉDIO, INCLUSO EXECUÇÃO DE FURO - FORNECIMENTO E INSTALAÇÃO. AF_12/2019</t>
  </si>
  <si>
    <t>KIT DE PORTA DE MADEIRA PARA PINTURA, SEMI-OCA (LEVE OU MÉDIA), PADRÃO MÉDIO, 60X210CM, ESPESSURA DE 3,5CM, ITENS INCLUSOS: DOBRADIÇAS, MONTAGEM E INSTALAÇÃO DO BATENTE, FECHADURA COM EXECUÇÃO DO FURO - FORNECIMENTO E INSTALAÇÃO. AF_12/2019</t>
  </si>
  <si>
    <t>KIT DE PORTA DE MADEIRA PARA PINTURA, SEMI-OCA (LEVE OU MÉDIA), PADRÃO MÉDIO, 70X210CM, ESPESSURA DE 3,5CM, ITENS INCLUSOS: DOBRADIÇAS, MONTAGEM E INSTALAÇÃO DO BATENTE, FECHADURA COM EXECUÇÃO DO FURO - FORNECIMENTO E INSTALAÇÃO. AF_12/2019</t>
  </si>
  <si>
    <t>KIT DE PORTA DE MADEIRA PARA PINTURA, SEMI-OCA (LEVE OU MÉDIA), PADRÃO MÉDIO, 80X210CM, ESPESSURA DE 3,5CM, ITENS INCLUSOS: DOBRADIÇAS, MONTAGEM E INSTALAÇÃO DO BATENTE, FECHADURA COM EXECUÇÃO DO FURO - FORNECIMENTO E INSTALAÇÃO. AF_12/2019</t>
  </si>
  <si>
    <t>KIT DE PORTA DE MADEIRA PARA PINTURA, SEMI-OCA (LEVE OU MÉDIA), PADRÃO MÉDIO, 90X210CM, ESPESSURA DE 3,5CM, ITENS INCLUSOS: DOBRADIÇAS, MONTAGEM E INSTALAÇÃO DO BATENTE, FECHADURA COM EXECUÇÃO DO FURO - FORNECIMENTO E INSTALAÇÃO. AF_12/2019</t>
  </si>
  <si>
    <t>90845</t>
  </si>
  <si>
    <t>KIT DE PORTA DE MADEIRA PARA PINTURA, SEMI-OCA (PESADA OU SUPERPESADA), PADRÃO MÉDIO, 80X210CM, ESPESSURA DE 3,5CM, ITENS INCLUSOS: DOBRADIÇAS, MONTAGEM E INSTALAÇÃO DO BATENTE, FECHADURA COM EXECUÇÃO DO FURO - FORNECIMENTO E INSTALAÇÃO. AF_12/2019</t>
  </si>
  <si>
    <t>90846</t>
  </si>
  <si>
    <t>KIT DE PORTA DE MADEIRA PARA PINTURA, SEMI-OCA (PESADA OU SUPERPESADA), PADRÃO MÉDIO, 90X210CM, ESPESSURA DE 3,5CM, ITENS INCLUSOS: DOBRADIÇAS, MONTAGEM E INSTALAÇÃO DO BATENTE, FECHADURA COM EXECUÇÃO DO FURO - FORNECIMENTO E INSTALAÇÃO. AF_12/2019</t>
  </si>
  <si>
    <t>KIT DE PORTA DE MADEIRA PARA PINTURA, SEMI-OCA (LEVE OU MÉDIA), PADRÃO MÉDIO, 60X210CM, ESPESSURA DE 3,5CM, ITENS INCLUSOS: DOBRADIÇAS, MONTAGEM E INSTALAÇÃO DO BATENTE, SEM FECHADURA - FORNECIMENTO E INSTALAÇÃO. AF_12/2019</t>
  </si>
  <si>
    <t>KIT DE PORTA DE MADEIRA PARA PINTURA, SEMI-OCA (LEVE OU MÉDIA), PADRÃO MÉDIO, 70X210CM, ESPESSURA DE 3,5CM, ITENS INCLUSOS: DOBRADIÇAS, MONTAGEM E INSTALAÇÃO DO BATENTE, SEM FECHADURA - FORNECIMENTO E INSTALAÇÃO. AF_12/2019</t>
  </si>
  <si>
    <t>KIT DE PORTA DE MADEIRA PARA PINTURA, SEMI-OCA (LEVE OU MÉDIA), PADRÃO MÉDIO, 80X210CM, ESPESSURA DE 3,5CM, ITENS INCLUSOS: DOBRADIÇAS, MONTAGEM E INSTALAÇÃO DO BATENTE, SEM FECHADURA - FORNECIMENTO E INSTALAÇÃO. AF_12/2019</t>
  </si>
  <si>
    <t>KIT DE PORTA DE MADEIRA PARA PINTURA, SEMI-OCA (LEVE OU MÉDIA), PADRÃO MÉDIO, 90X210CM, ESPESSURA DE 3,5CM, ITENS INCLUSOS: DOBRADIÇAS, MONTAGEM E INSTALAÇÃO DO BATENTE, SEM FECHADURA - FORNECIMENTO E INSTALAÇÃO. AF_12/2019</t>
  </si>
  <si>
    <t>90851</t>
  </si>
  <si>
    <t>KIT DE PORTA DE MADEIRA PARA PINTURA, SEMI-OCA (PESADA OU SUPERPESADA), PADRÃO MÉDIO, 80X210CM, ESPESSURA DE 3,5CM, ITENS INCLUSOS: DOBRADIÇAS, MONTAGEM E INSTALAÇÃO DO BATENTE, SEM FECHADURA - FORNECIMENTO E INSTALAÇÃO. AF_12/2019</t>
  </si>
  <si>
    <t>90852</t>
  </si>
  <si>
    <t>KIT DE PORTA DE MADEIRA PARA PINTURA, SEMI-OCA (PESADA OU SUPERPESADA), PADRÃO MÉDIO, 90X210CM, ESPESSURA DE 3,5CM, ITENS INCLUSOS: DOBRADIÇAS, MONTAGEM E INSTALAÇÃO DO BATENTE, SEM FECHADURA - FORNECIMENTO E INSTALAÇÃO. AF_12/2019</t>
  </si>
  <si>
    <t>PORTA DE MADEIRA PARA VERNIZ, SEMI-OCA (LEVE OU MÉDIA), 60X210CM, ESPESSURA DE 3,5CM, INCLUSO DOBRADIÇAS - FORNECIMENTO E INSTALAÇÃO. AF_12/2019</t>
  </si>
  <si>
    <t>PORTA DE MADEIRA PARA VERNIZ, SEMI-OCA (LEVE OU MÉDIA), 70X210CM, ESPESSURA DE 3,5CM, INCLUSO DOBRADIÇAS - FORNECIMENTO E INSTALAÇÃO. AF_12/2019</t>
  </si>
  <si>
    <t>PORTA DE MADEIRA PARA VERNIZ, SEMI-OCA (LEVE OU MÉDIA), 80X210CM, ESPESSURA DE 3,5CM, INCLUSO DOBRADIÇAS - FORNECIMENTO E INSTALAÇÃO. AF_12/2019</t>
  </si>
  <si>
    <t>PORTA DE MADEIRA PARA VERNIZ, SEMI-OCA (LEVE OU MÉDIA), 90X210CM, ESPESSURA DE 3,5CM, INCLUSO DOBRADIÇAS - FORNECIMENTO E INSTALAÇÃO. AF_12/2019</t>
  </si>
  <si>
    <t>KIT DE PORTA DE MADEIRA PARA VERNIZ, SEMI-OCA (LEVE OU MÉDIA), PADRÃO MÉDIO, 60X210CM, ESPESSURA DE 3,5CM, ITENS INCLUSOS: DOBRADIÇAS, MONTAGEM E INSTALAÇÃO DO BATENTE, SEM FECHADURA - FORNECIMENTO E INSTALAÇÃO. AF_12/2019</t>
  </si>
  <si>
    <t>KIT DE PORTA DE MADEIRA PARA VERNIZ, SEMI-OCA (LEVE OU MÉDIA), PADRÃO MÉDIO, 70X210CM, ESPESSURA DE 3,5CM, ITENS INCLUSOS: DOBRADIÇAS, MONTAGEM E INSTALAÇÃO DO BATENTE, SEM FECHADURA - FORNECIMENTO E INSTALAÇÃO. AF_12/2019</t>
  </si>
  <si>
    <t>KIT DE PORTA DE MADEIRA PARA VERNIZ, SEMI-OCA (LEVE OU MÉDIA), PADRÃO MÉDIO, 80X210CM, ESPESSURA DE 3,5CM, ITENS INCLUSOS: DOBRADIÇAS, MONTAGEM E INSTALAÇÃO DO BATENTE, SEM FECHADURA - FORNECIMENTO E INSTALAÇÃO. AF_12/2019</t>
  </si>
  <si>
    <t>KIT DE PORTA DE MADEIRA PARA VERNIZ, SEMI-OCA (LEVE OU MÉDIA), PADRÃO MÉDIO, 90X210CM, ESPESSURA DE 3,5CM, ITENS INCLUSOS: DOBRADIÇAS, MONTAGEM E INSTALAÇÃO DO BATENTE, SEM FECHADURA - FORNECIMENTO E INSTALAÇÃO. AF_12/2019</t>
  </si>
  <si>
    <t>BATENTE PARA PORTA DE MADEIRA, PADRÃO POPULAR - FORNECIMENTO E MONTAGEM. AF_12/2019</t>
  </si>
  <si>
    <t>PORTA DE MADEIRA FRISADA, SEMI-OCA (LEVE OU MÉDIA), 60X210CM, ESPESSURA DE 3CM, INCLUSO DOBRADIÇAS - FORNECIMENTO E INSTALAÇÃO. AF_12/2019</t>
  </si>
  <si>
    <t>PORTA DE MADEIRA FRISADA, SEMI-OCA (LEVE OU MÉDIA), 70X210CM, ESPESSURA DE 3CM, INCLUSO DOBRADIÇAS - FORNECIMENTO E INSTALAÇÃO. AF_12/2019</t>
  </si>
  <si>
    <t>PORTA DE MADEIRA FRISADA, SEMI-OCA (LEVE OU MÉDIA), 80X210CM, ESPESSURA DE 3,5CM, INCLUSO DOBRADIÇAS - FORNECIMENTO E INSTALAÇÃO. AF_12/2019</t>
  </si>
  <si>
    <t>PORTA DE MADEIRA TIPO VENEZIANA, 80X210CM, ESPESSURA DE 3CM, INCLUSO DOBRADIÇAS - FORNECIMENTO E INSTALAÇÃO. AF_12/2019</t>
  </si>
  <si>
    <t>PORTA DE MADEIRA, TIPO MEXICANA, MACIÇA (PESADA OU SUPERPESADA), 80X210CM, ESPESSURA DE 3,5CM, INCLUSO DOBRADIÇAS - FORNECIMENTO E INSTALAÇÃO. AF_12/2019</t>
  </si>
  <si>
    <t>FECHADURA DE EMBUTIR COM CILINDRO, EXTERNA, COMPLETA, ACABAMENTO PADRÃO POPULAR, INCLUSO EXECUÇÃO DE FURO - FORNECIMENTO E INSTALAÇÃO. AF_12/2019</t>
  </si>
  <si>
    <t>FECHADURA DE EMBUTIR PARA PORTA DE BANHEIRO, COMPLETA, ACABAMENTO PADRÃO POPULAR, INCLUSO EXECUÇÃO DE FURO - FORNECIMENTO E INSTALAÇÃO. AF_12/2019</t>
  </si>
  <si>
    <t>FECHADURA DE EMBUTIR PARA PORTAS INTERNAS, COMPLETA, ACABAMENTO PADRÃO MÉDIO, COM EXECUÇÃO DE FURO - FORNECIMENTO E INSTALAÇÃO. AF_12/2019</t>
  </si>
  <si>
    <t>FECHADURA DE EMBUTIR PARA PORTAS INTERNAS, COMPLETA, ACABAMENTO PADRÃO POPULAR, COM EXECUÇÃO DE FURO - FORNECIMENTO E INSTALAÇÃO. AF_12/2019</t>
  </si>
  <si>
    <t>KIT DE PORTA DE MADEIRA PARA PINTURA, SEMI-OCA (LEVE OU MÉDIA), PADRÃO POPULAR, 60X210CM, ESPESSURA DE 3,5CM, ITENS INCLUSOS: DOBRADIÇAS, MONTAGEM E INSTALAÇÃO DO BATENTE, FECHADURA COM EXECUÇÃO DO FURO - FORNECIMENTO E INSTALAÇÃO. AF_12/2019</t>
  </si>
  <si>
    <t>KIT DE PORTA DE MADEIRA PARA PINTURA, SEMI-OCA (LEVE OU MÉDIA), PADRÃO POPULAR, 70X210CM, ESPESSURA DE 3,5CM, ITENS INCLUSOS: DOBRADIÇAS, MONTAGEM E INSTALAÇÃO DO BATENTE, FECHADURA COM EXECUÇÃO DO FURO - FORNECIMENTO E INSTALAÇÃO. AF_12/2019</t>
  </si>
  <si>
    <t>KIT DE PORTA DE MADEIRA PARA PINTURA, SEMI-OCA (LEVE OU MÉDIA), PADRÃO POPULAR, 80X210CM, ESPESSURA DE 3,5CM, ITENS INCLUSOS: DOBRADIÇAS, MONTAGEM E INSTALAÇÃO DO BATENTE, FECHADURA COM EXECUÇÃO DO FURO - FORNECIMENTO E INSTALAÇÃO. AF_12/2019</t>
  </si>
  <si>
    <t>KIT DE PORTA DE MADEIRA PARA PINTURA, SEMI-OCA (LEVE OU MÉDIA), PADRÃO POPULAR, 90X210CM, ESPESSURA DE 3,5CM, ITENS INCLUSOS: DOBRADIÇAS, MONTAGEM E INSTALAÇÃO DO BATENTE, FECHADURA COM EXECUÇÃO DO FURO - FORNECIMENTO E INSTALAÇÃO. AF_12/2019</t>
  </si>
  <si>
    <t>91316</t>
  </si>
  <si>
    <t>KIT DE PORTA DE MADEIRA PARA PINTURA, SEMI-OCA (PESADA OU SUPERPESADA), PADRÃO POPULAR, 80X210CM, ESPESSURA DE 3,5CM, ITENS INCLUSOS: DOBRADIÇAS, MONTAGEM E INSTALAÇÃO DO BATENTE, FECHADURA COM EXECUÇÃO DO FURO - FORNECIMENTO E INSTALAÇÃO. AF_12/2019</t>
  </si>
  <si>
    <t>91317</t>
  </si>
  <si>
    <t>KIT DE PORTA DE MADEIRA PARA PINTURA, SEMI-OCA (PESADA OU SUPERPESADA), PADRÃO POPULAR, 90X210CM, ESPESSURA DE 3,5CM, ITENS INCLUSOS: DOBRADIÇAS, MONTAGEM E INSTALAÇÃO DO BATENTE, FECHADURA COM EXECUÇÃO DO FURO - FORNECIMENTO E INSTALAÇÃO. AF_12/2019</t>
  </si>
  <si>
    <t>KIT DE PORTA DE MADEIRA PARA PINTURA, SEMI-OCA (LEVE OU MÉDIA), PADRÃO POPULAR, 60X210CM, ESPESSURA DE 3,5CM, ITENS INCLUSOS: DOBRADIÇAS, MONTAGEM E INSTALAÇÃO DO BATENTE, SEM FECHADURA - FORNECIMENTO E INSTALAÇÃO. AF_12/2019</t>
  </si>
  <si>
    <t>KIT DE PORTA DE MADEIRA PARA PINTURA, SEMI-OCA (LEVE OU MÉDIA), PADRÃO POPULAR, 70X210CM, ESPESSURA DE 3,5CM, ITENS INCLUSOS: DOBRADIÇAS, MONTAGEM E INSTALAÇÃO DO BATENTE, SEM FECHADURA - FORNECIMENTO E INSTALAÇÃO. AF_12/2019</t>
  </si>
  <si>
    <t>KIT DE PORTA DE MADEIRA PARA PINTURA, SEMI-OCA (LEVE OU MÉDIA), PADRÃO POPULAR, 80X210CM, ESPESSURA DE 3,5CM, ITENS INCLUSOS: DOBRADIÇAS, MONTAGEM E INSTALAÇÃO DO BATENTE, SEM FECHADURA - FORNECIMENTO E INSTALAÇÃO. AF_12/2019</t>
  </si>
  <si>
    <t>KIT DE PORTA DE MADEIRA PARA PINTURA, SEMI-OCA (LEVE OU MÉDIA), PADRÃO POPULAR, 90X210CM, ESPESSURA DE 3,5CM, ITENS INCLUSOS: DOBRADIÇAS, MONTAGEM E INSTALAÇÃO DO BATENTE, SEM FECHADURA - FORNECIMENTO E INSTALAÇÃO. AF_12/2019</t>
  </si>
  <si>
    <t>91322</t>
  </si>
  <si>
    <t>KIT DE PORTA DE MADEIRA PARA PINTURA, SEMI-OCA (PESADA OU SUPERPESADA), PADRÃO POPULAR, 80X210CM, ESPESSURA DE 3,5CM, ITENS INCLUSOS: DOBRADIÇAS, MONTAGEM E INSTALAÇÃO DO BATENTE, SEM FECHADURA - FORNECIMENTO E INSTALAÇÃO. AF_12/2019</t>
  </si>
  <si>
    <t>91323</t>
  </si>
  <si>
    <t>KIT DE PORTA DE MADEIRA PARA PINTURA, SEMI-OCA (PESADA OU SUPERPESADA), PADRÃO POPULAR, 90X210CM, ESPESSURA DE 3,5CM, ITENS INCLUSOS: DOBRADIÇAS, MONTAGEM E INSTALAÇÃO DO BATENTE, SEM FECHADURA - FORNECIMENTO E INSTALAÇÃO. AF_12/2019</t>
  </si>
  <si>
    <t>KIT DE PORTA DE MADEIRA PARA VERNIZ, SEMI-OCA (LEVE OU MÉDIA), PADRÃO POPULAR, 60X210CM, ESPESSURA DE 3,5CM, ITENS INCLUSOS: DOBRADIÇAS, MONTAGEM E INSTALAÇÃO DO BATENTE, SEM FECHADURA - FORNECIMENTO E INSTALAÇÃO. AF_12/2019</t>
  </si>
  <si>
    <t>KIT DE PORTA DE MADEIRA PARA VERNIZ, SEMI-OCA (LEVE OU MÉDIA), PADRÃO POPULAR, 70X210CM, ESPESSURA DE 3,5CM, ITENS INCLUSOS: DOBRADIÇAS, MONTAGEM E INSTALAÇÃO DO BATENTE, SEM FECHADURA - FORNECIMENTO E INSTALAÇÃO. AF_12/2019</t>
  </si>
  <si>
    <t>KIT DE PORTA DE MADEIRA PARA VERNIZ, SEMI-OCA (LEVE OU MÉDIA), PADRÃO POPULAR, 80X210CM, ESPESSURA DE 3,5CM, ITENS INCLUSOS: DOBRADIÇAS, MONTAGEM E INSTALAÇÃO DO BATENTE, SEM FECHADURA - FORNECIMENTO E INSTALAÇÃO. AF_12/2019</t>
  </si>
  <si>
    <t>KIT DE PORTA DE MADEIRA PARA VERNIZ, SEMI-OCA (LEVE OU MÉDIA), PADRÃO POPULAR, 90X210CM, ESPESSURA DE 3,5CM, ITENS INCLUSOS: DOBRADIÇAS, MONTAGEM E INSTALAÇÃO DO BATENTE, SEM FECHADURA - FORNECIMENTO E INSTALAÇÃO. AF_12/2019</t>
  </si>
  <si>
    <t>KIT DE PORTA DE MADEIRA FRISADA, SEMI-OCA (LEVE OU MÉDIA), PADRÃO MÉDIO 60X210CM, ESPESSURA DE 3CM, ITENS INCLUSOS: DOBRADIÇAS, MONTAGEM E INSTALAÇÃO DO BATENTE, SEM FECHADURA - FORNECIMENTO E INSTALAÇÃO. AF_12/2019</t>
  </si>
  <si>
    <t>KIT DE PORTA DE MADEIRA FRISADA, SEMI-OCA (LEVE OU MÉDIA), PADRÃO POPULAR, 60X210CM, ESPESSURA DE 3CM, ITENS INCLUSOS: DOBRADIÇAS, MONTAGEM E INSTALAÇÃO DO BATENTE, SEM FECHADURA - FORNECIMENTO E INSTALAÇÃO. AF_12/2019</t>
  </si>
  <si>
    <t>KIT DE PORTA DE MADEIRA FRISADA, SEMI-OCA (LEVE OU MÉDIA), PADRÃO MÉDIO, 70X210CM, ESPESSURA DE 3CM, ITENS INCLUSOS: DOBRADIÇAS, MONTAGEM E INSTALAÇÃO DO BATENTE, SEM FECHADURA - FORNECIMENTO E INSTALAÇÃO. AF_12/2019</t>
  </si>
  <si>
    <t>KIT DE PORTA DE MADEIRA FRISADA, SEMI-OCA (LEVE OU MÉDIA), PADRÃO POPULAR, 70X210CM, ESPESSURA DE 3CM, ITENS INCLUSOS: DOBRADIÇAS, MONTAGEM E INSTALAÇÃO DO BATENTE, SEM FECHADURA - FORNECIMENTO E INSTALAÇÃO. AF_12/2019</t>
  </si>
  <si>
    <t>KIT DE PORTA DE MADEIRA FRISADA, SEMI-OCA (LEVE OU MÉDIA), PADRÃO MÉDIO, 80X210CM, ESPESSURA DE 3,5CM, ITENS INCLUSOS: DOBRADIÇAS, MONTAGEM E INSTALAÇÃO DO BATENTE, SEM FECHADURA - FORNECIMENTO E INSTALAÇÃO. AF_12/2019</t>
  </si>
  <si>
    <t>KIT DE PORTA DE MADEIRA FRISADA, SEMI-OCA (LEVE OU MÉDIA), PADRÃO POPULAR, 80X210CM, ESPESSURA DE 3,5CM, ITENS INCLUSOS: DOBRADIÇAS, MONTAGEM E INSTALAÇÃO DO BATENTE, SEM FECHADURA - FORNECIMENTO E INSTALAÇÃO. AF_12/2019</t>
  </si>
  <si>
    <t>KIT DE PORTA DE MADEIRA TIPO VENEZIANA, PADRÃO MÉDIO, 80X210CM, ESPESSURA DE 3CM, ITENS INCLUSOS: DOBRADIÇAS, MONTAGEM E INSTALAÇÃO DO BATENTE, SEM FECHADURA - FORNECIMENTO E INSTALAÇÃO. AF_12/2019</t>
  </si>
  <si>
    <t>KIT DE PORTA DE MADEIRA TIPO VENEZIANA, PADRÃO POPULAR, 80X210CM, ESPESSURA DE 3CM, ITENS INCLUSOS: DOBRADIÇAS, MONTAGEM E INSTALAÇÃO DO BATENTE, SEM FECHADURA - FORNECIMENTO E INSTALAÇÃO. AF_12/2019</t>
  </si>
  <si>
    <t>KIT DE PORTA DE MADEIRA TIPO MEXICANA, MACIÇA (PESADA OU SUPERPESADA), PADRÃO MÉDIO, 80X210CM, ESPESSURA DE 3CM, ITENS INCLUSOS: DOBRADIÇAS, MONTAGEM E INSTALAÇÃO DO BATENTE, SEM FECHADURA - FORNECIMENTO E INSTALAÇÃO. AF_12/2019</t>
  </si>
  <si>
    <t>KIT DE PORTA DE MADEIRA TIPO MEXICANA, MACIÇA (PESADA OU SUPERPESADA), PADRÃO POPULAR, 80X210CM, ESPESSURA DE 3CM, ITENS INCLUSOS: DOBRADIÇAS, MONTAGEM E INSTALAÇÃO DO BATENTE, SEM FECHADURA - FORNECIMENTO E INSTALAÇÃO. AF_12/2019</t>
  </si>
  <si>
    <t>100659</t>
  </si>
  <si>
    <t>ALIZAR DE 5X1,5CM PARA PORTA FIXADO COM PREGOS, PADRÃO MÉDIO - FORNECIMENTO E INSTALAÇÃO. AF_12/2019</t>
  </si>
  <si>
    <t>100660</t>
  </si>
  <si>
    <t>ALIZAR DE 5X1,5CM PARA PORTA FIXADO COM PREGOS, PADRÃO POPULAR - FORNECIMENTO E INSTALAÇÃO. AF_12/2019</t>
  </si>
  <si>
    <t>100675</t>
  </si>
  <si>
    <t>KIT DE PORTA-PRONTA DE MADEIRA EM ACABAMENTO MELAMÍNICO BRANCO, FOLHA LEVE OU MÉDIA, 90X210, EXCLUSIVE FECHADURA, FIXAÇÃO COM PREENCHIMENTO TOTAL DE ESPUMA EXPANSIVA - FORNECIMENTO E INSTALAÇÃO. AF_12/2019</t>
  </si>
  <si>
    <t>100676</t>
  </si>
  <si>
    <t>BATENTE PARA PORTA COM BANDEIRA, FIXAÇÃO COM PARAFUSO E BUCHA. AF_12/2019</t>
  </si>
  <si>
    <t>100678</t>
  </si>
  <si>
    <t>KIT DE PORTA DE MADEIRA PARA VERNIZ, SEMI-OCA (LEVE OU MÉDIA), PADRÃO MÉDIO, 60X210CM, ESPESSURA DE 3,5CM, ITENS INCLUSOS: DOBRADIÇAS, MONTAGEM E INSTALAÇÃO DE BATENTE, FECHADURA COM EXECUÇÃO DO FURO - FORNECIMENTO E INSTALAÇÃO. AF_12/2019</t>
  </si>
  <si>
    <t>100679</t>
  </si>
  <si>
    <t>KIT DE PORTA DE MADEIRA PARA VERNIZ, SEMI-OCA (LEVE OU MÉDIA), PADRÃO POPULAR, 60X210CM, ESPESSURA DE 3,5CM, ITENS INCLUSOS: DOBRADIÇAS, MONTAGEM E INSTALAÇÃO DE BATENTE, FECHADURA COM EXECUÇÃO DO FURO - FORNECIMENTO E INSTALAÇÃO. AF_12/2019</t>
  </si>
  <si>
    <t>100680</t>
  </si>
  <si>
    <t>KIT DE PORTA DE MADEIRA PARA VERNIZ, SEMI-OCA (LEVE OU MÉDIA), PADRÃO MÉDIO, 70X210CM, ESPESSURA DE 3,5CM, ITENS INCLUSOS: DOBRADIÇAS, MONTAGEM E INSTALAÇÃO DE BATENTE, FECHADURA COM EXECUÇÃO DO FURO - FORNECIMENTO E INSTALAÇÃO. AF_12/2019</t>
  </si>
  <si>
    <t>100681</t>
  </si>
  <si>
    <t>KIT DE PORTA DE MADEIRA FRISADA, SEMI-OCA (LEVE OU MÉDIA), PADRÃO MÉDIO, 70X210CM, ESPESSURA DE 3CM, ITENS INCLUSOS: DOBRADIÇAS, MONTAGEM E INSTALAÇÃO DE BATENTE, FECHADURA COM EXECUÇÃO DO FURO - FORNECIMENTO E INSTALAÇÃO. AF_12/2019</t>
  </si>
  <si>
    <t>100682</t>
  </si>
  <si>
    <t>KIT DE PORTA DE MADEIRA FRISADA, SEMI-OCA (LEVE OU MÉDIA), PADRÃO POPULAR, 70X210CM, ESPESSURA DE 3CM, ITENS INCLUSOS: DOBRADIÇAS, MONTAGEM E INSTALAÇÃO DE BATENTE, FECHADURA COM EXECUÇÃO DO FURO - FORNECIMENTO E INSTALAÇÃO. AF_12/2019</t>
  </si>
  <si>
    <t>100683</t>
  </si>
  <si>
    <t>KIT DE PORTA DE MADEIRA PARA VERNIZ, SEMI-OCA (LEVE OU MÉDIA), PADRÃO MÉDIO, 80X210CM, ESPESSURA DE 3,5CM, ITENS INCLUSOS: DOBRADIÇAS, MONTAGEM E INSTALAÇÃO DE BATENTE, FECHADURA COM EXECUÇÃO DO FURO - FORNECIMENTO E INSTALAÇÃO. AF_12/2019</t>
  </si>
  <si>
    <t>100684</t>
  </si>
  <si>
    <t>KIT DE PORTA DE MADEIRA PARA VERNIZ, SEMI-OCA (LEVE OU MÉDIA), PADRÃO POPULAR, 80X210CM, ESPESSURA DE 3,5CM, ITENS INCLUSOS: DOBRADIÇAS, MONTAGEM E INSTALAÇÃO DE BATENTE, FECHADURA COM EXECUÇÃO DO FURO - FORNECIMENTO E INSTALAÇÃO. AF_12/2019</t>
  </si>
  <si>
    <t>100685</t>
  </si>
  <si>
    <t>KIT DE PORTA DE MADEIRA PARA VERNIZ, SEMI-OCA (LEVE OU MÉDIA), PADRÃO MÉDIO, 90X210CM, ESPESSURA DE 3,5CM, ITENS INCLUSOS: DOBRADIÇAS, MONTAGEM E INSTALAÇÃO DE BATENTE, FECHADURA COM EXECUÇÃO DO FURO - FORNECIMENTO E INSTALAÇÃO. AF_12/2019</t>
  </si>
  <si>
    <t>100686</t>
  </si>
  <si>
    <t>KIT DE PORTA DE MADEIRA PARA VERNIZ, SEMI-OCA (LEVE OU MÉDIA), PADRÃO POPULAR, 90X210CM, ESPESSURA DE 3CM, ITENS INCLUSOS: DOBRADIÇAS, MONTAGEM E INSTALAÇÃO DE BATENTE, FECHADURA COM EXECUÇÃO DO FURO - FORNECIMENTO E INSTALAÇÃO. AF_12/2019</t>
  </si>
  <si>
    <t>100687</t>
  </si>
  <si>
    <t>KIT DE PORTA DE MADEIRA FRISADA, SEMI-OCA (LEVE OU MÉDIA), PADRÃO MÉDIO, 60X210CM, ESPESSURA DE 3,5CM, ITENS INCLUSOS: DOBRADIÇAS, MONTAGEM E INSTALAÇÃO DE BATENTE, FECHADURA COM EXECUÇÃO DO FURO - FORNECIMENTO E INSTALAÇÃO. AF_12/2019</t>
  </si>
  <si>
    <t>100688</t>
  </si>
  <si>
    <t>KIT DE PORTA DE MADEIRA FRISADA, SEMI-OCA (LEVE OU MÉDIA), PADRÃO POPULAR, 60X210CM, ESPESSURA DE 3CM, ITENS INCLUSOS: DOBRADIÇAS, MONTAGEM E INSTALAÇÃO DE BATENTE, FECHADURA COM EXECUÇÃO DO FURO - FORNECIMENTO E INSTALAÇÃO. AF_12/2019</t>
  </si>
  <si>
    <t>100689</t>
  </si>
  <si>
    <t>KIT DE PORTA DE MADEIRA FRISADA, SEMI-OCA (LEVE OU MÉDIA), PADRÃO MÉDIO, 80X210CM, ESPESSURA DE 3,5CM, ITENS INCLUSOS: DOBRADIÇAS, MONTAGEM E INSTALAÇÃO DE BATENTE, FECHADURA COM EXECUÇÃO DO FURO - FORNECIMENTO E INSTALAÇÃO. AF_12/2019</t>
  </si>
  <si>
    <t>100690</t>
  </si>
  <si>
    <t>KIT DE PORTA DE MADEIRA FRISADA, SEMI-OCA (LEVE OU MÉDIA), PADRÃO POPULAR, 80X210CM, ESPESSURA DE 3,5CM, ITENS INCLUSOS: DOBRADIÇAS, MONTAGEM E INSTALAÇÃO DE BATENTE, FECHADURA COM EXECUÇÃO DO FURO - FORNECIMENTO E INSTALAÇÃO. AF_12/2019</t>
  </si>
  <si>
    <t>100691</t>
  </si>
  <si>
    <t>KIT DE PORTA DE MADEIRA TIPO VENEZIANA, 80X210CM (ESPESSURA DE 3CM), PADRÃO MÉDIO, ITENS INCLUSOS: DOBRADIÇAS, MONTAGEM E INSTALAÇÃO DE BATENTE, FECHADURA COM EXECUÇÃO DO FURO - FORNECIMENTO E INSTALAÇÃO. AF_12/2019</t>
  </si>
  <si>
    <t>100692</t>
  </si>
  <si>
    <t>KIT DE PORTA DE MADEIRA TIPO VENEZIANA, 80X210CM (ESPESSURA DE 3CM), PADRÃO POPULAR, ITENS INCLUSOS: DOBRADIÇAS, MONTAGEM E INSTALAÇÃO DE BATENTE, FECHADURA COM EXECUÇÃO DO FURO - FORNECIMENTO E INSTALAÇÃO. AF_12/2019</t>
  </si>
  <si>
    <t>100693</t>
  </si>
  <si>
    <t>KIT DE PORTA DE MADEIRA TIPO MEXICANA, MACIÇA (PESADA OU SUPERPESADA), PADRÃO MÉDIO, 80X210CM, ESPESSURA DE 3,5CM, ITENS INCLUSOS: DOBRADIÇAS, MONTAGEM E INSTALAÇÃO DE BATENTE, FECHADURA COM EXECUÇÃO DO FURO - FORNECIMENTO E INSTALAÇÃO. AF_12/2019</t>
  </si>
  <si>
    <t>100694</t>
  </si>
  <si>
    <t>KIT DE PORTA DE MADEIRA TIPO MEXICANA, MACIÇA (PESADA OU SUPERPESADA), PADRÃO POPULAR, 80X210CM, ESPESSURA DE 3,5CM, ITENS INCLUSOS: DOBRADIÇAS, MONTAGEM E INSTALAÇÃO DE BATENTE, FECHADURA COM EXECUÇÃO DO FURO - FORNECIMENTO E INSTALAÇÃO. AF_12/2019</t>
  </si>
  <si>
    <t>100695</t>
  </si>
  <si>
    <t>RECOLOCAÇÃO DE FOLHAS DE PORTA DE MADEIRA LEVE OU MÉDIA DE 60CM DE LARGURA, CONSIDERANDO REAPROVEITAMENTO DO MATERIAL. AF_12/2019</t>
  </si>
  <si>
    <t>100696</t>
  </si>
  <si>
    <t>RECOLOCAÇÃO DE FOLHAS DE PORTA DE MADEIRA LEVE OU MÉDIA DE 70CM DE LARGURA, CONSIDERANDO REAPROVEITAMENTO DO MATERIAL. AF_12/2019</t>
  </si>
  <si>
    <t>100697</t>
  </si>
  <si>
    <t>RECOLOCAÇÃO DE FOLHAS DE PORTA DE MADEIRA LEVE OU MÉDIA DE 80CM DE LARGURA, CONSIDERANDO REAPROVEITAMENTO DO MATERIAL. AF_12/2019</t>
  </si>
  <si>
    <t>100698</t>
  </si>
  <si>
    <t>RECOLOCAÇÃO DE FOLHAS DE PORTA DE MADEIRA LEVE OU MÉDIA DE 90CM DE LARGURA, CONSIDERANDO REAPROVEITAMENTO DO MATERIAL. AF_12/2019</t>
  </si>
  <si>
    <t>100699</t>
  </si>
  <si>
    <t>RECOLOCAÇÃO DE FOLHAS DE PORTA DE MADEIRA PESADA OU SUPERPESADA DE 80CM DE LARGURA, CONSIDERANDO REAPROVEITAMENTO DO MATERIAL. AF_12/2019</t>
  </si>
  <si>
    <t>100700</t>
  </si>
  <si>
    <t>PORTA DE MADEIRA COMPENSADA LISA PARA PINTURA, 120X210X3,5CM, 2 FOLHAS, INCLUSO ADUELA 2A, ALIZAR 2A E DOBRADIÇAS. AF_12/2019</t>
  </si>
  <si>
    <t>100712</t>
  </si>
  <si>
    <t>KIT DE PORTA DE MADEIRA PARA VERNIZ, SEMI-OCA (LEVE OU MÉDIA), PADRÃO POPULAR, 70X210CM, ESPESSURA DE 3,5CM, ITENS INCLUSOS: DOBRADIÇAS, MONTAGEM E INSTALAÇÃO DE BATENTE, FECHADURA COM EXECUÇÃO DO FURO - FORNECIMENTO E INSTALAÇÃO. AF_12/2019</t>
  </si>
  <si>
    <t>100665</t>
  </si>
  <si>
    <t>100666</t>
  </si>
  <si>
    <t>100667</t>
  </si>
  <si>
    <t>100668</t>
  </si>
  <si>
    <t>100669</t>
  </si>
  <si>
    <t>100670</t>
  </si>
  <si>
    <t>100671</t>
  </si>
  <si>
    <t>100672</t>
  </si>
  <si>
    <t>100701</t>
  </si>
  <si>
    <t>PORTA DE FERRO, DE ABRIR, TIPO GRADE COM CHAPA, COM GUARNIÇÕES. AF_12/2019</t>
  </si>
  <si>
    <t>94587</t>
  </si>
  <si>
    <t>85,84</t>
  </si>
  <si>
    <t>94588</t>
  </si>
  <si>
    <t>PORTA CORTA-FOGO 90X210X4CM - FORNECIMENTO E INSTALAÇÃO. AF_12/2019</t>
  </si>
  <si>
    <t>PORTA DE ALUMÍNIO DE ABRIR COM LAMBRI, COM GUARNIÇÃO, FIXAÇÃO COM PARAFUSOS - FORNECIMENTO E INSTALAÇÃO. AF_12/2019</t>
  </si>
  <si>
    <t>PORTA EM ALUMÍNIO DE ABRIR TIPO VENEZIANA COM GUARNIÇÃO, FIXAÇÃO COM PARAFUSOS - FORNECIMENTO E INSTALAÇÃO. AF_12/2019</t>
  </si>
  <si>
    <t>PORTA DE ALUMÍNIO DE ABRIR PARA VIDRO SEM GUARNIÇÃO, 87X210CM, FIXAÇÃO COM PARAFUSOS, INCLUSIVE VIDROS - FORNECIMENTO E INSTALAÇÃO. AF_12/2019</t>
  </si>
  <si>
    <t>PORTA EM AÇO DE ABRIR PARA VIDRO SEM GUARNIÇÃO, 87X210CM, FIXAÇÃO COM PARAFUSOS, EXCLUSIVE VIDROS - FORNECIMENTO E INSTALAÇÃO. AF_12/2019</t>
  </si>
  <si>
    <t>PORTA EM AÇO DE ABRIR TIPO VENEZIANA SEM GUARNIÇÃO, 87X210CM, FIXAÇÃO COM PARAFUSOS - FORNECIMENTO E INSTALAÇÃO. AF_12/2019</t>
  </si>
  <si>
    <t>100702</t>
  </si>
  <si>
    <t>PORTA DE CORRER DE ALUMÍNIO, COM DUAS FOLHAS PARA VIDRO, INCLUSO VIDRO LISO INCOLOR, FECHADURA E PUXADOR, SEM ALIZAR. AF_12/2019</t>
  </si>
  <si>
    <t>102188</t>
  </si>
  <si>
    <t>MOLA HIDRAULICA DE PISO PARA PORTA DE VIDRO TEMPERADO. AF_01/2021</t>
  </si>
  <si>
    <t>102189</t>
  </si>
  <si>
    <t>JOGO DE FERRAGENS CROMADAS PARA PORTA DE VIDRO TEMPERADO, UMA FOLHA COMPOSTO DE DOBRADICAS SUPERIOR E INFERIOR, TRINCO, FECHADURA, CONTRA FECHADURA COM CAPUCHINHO SEM MOLA E PUXADOR. AF_01/2021</t>
  </si>
  <si>
    <t>100703</t>
  </si>
  <si>
    <t>PUXADOR CENTRAL PARA ESQUADRIA DE MADEIRA. AF_12/2019</t>
  </si>
  <si>
    <t>100704</t>
  </si>
  <si>
    <t>PORTA CADEADO ZINCADO OXIDADO PRETO COM CADEADO DE AÇO INOX, LARGURA DE *50* MM. AF_12/2019</t>
  </si>
  <si>
    <t>100705</t>
  </si>
  <si>
    <t>TARJETA TIPO LIVRE/OCUPADO PARA PORTA DE BANHEIRO. AF_12/2019</t>
  </si>
  <si>
    <t>100706</t>
  </si>
  <si>
    <t>CREMONA EM LATÃO CROMADO OU POLIDO, COMPLETA. AF_12/2019</t>
  </si>
  <si>
    <t>100707</t>
  </si>
  <si>
    <t>FECHO DE EMBUTIR TIPO UNHA 22CM. AF_12/2019</t>
  </si>
  <si>
    <t>100708</t>
  </si>
  <si>
    <t>FECHO DE EMBUTIR TIPO UNHA 40CM. AF_12/2019</t>
  </si>
  <si>
    <t>100709</t>
  </si>
  <si>
    <t>DOBRADIÇA EM AÇO/FERRO, 3" X 21/2", E=1,9 A 2MM, SEN ANEL, CROMADO OU ZINCADO, TAMPA BOLA, COM PARAFUSOS. AF_12/2019</t>
  </si>
  <si>
    <t>100710</t>
  </si>
  <si>
    <t>DOBRADIÇA TIPO VAI E VEM EM LATÃO POLIDO 3". AF_12/2019</t>
  </si>
  <si>
    <t>73,63</t>
  </si>
  <si>
    <t>102151</t>
  </si>
  <si>
    <t>INSTALAÇÃO DE VIDRO LISO INCOLOR, E = 3 MM, EM ESQUADRIA DE MADEIRA, FIXADO COM BAGUETE. AF_01/2021</t>
  </si>
  <si>
    <t>178,44</t>
  </si>
  <si>
    <t>102152</t>
  </si>
  <si>
    <t>INSTALAÇÃO DE VIDRO LISO, E = 4 MM, EM ESQUADRIA DE MADEIRA, FIXADO COM BAGUETE. AF_01/2021</t>
  </si>
  <si>
    <t>102153</t>
  </si>
  <si>
    <t>INSTALAÇÃO DE VIDRO LISO FUME, E = 4 MM, EM ESQUADRIA DE MADEIRA, FIXADO COM BAGUETE. AF_01/2021</t>
  </si>
  <si>
    <t>102154</t>
  </si>
  <si>
    <t>INSTALAÇÃO DE VIDRO LISO INCOLOR, E = 5 MM, EM ESQUADRIA DE MADEIRA, FIXADO COM BAGUETE. AF_01/2021</t>
  </si>
  <si>
    <t>102155</t>
  </si>
  <si>
    <t>INSTALAÇÃO DE VIDRO LISO FUME, E = 5 MM, EM ESQUADRIA DE MADEIRA, FIXADO COM BAGUETE. AF_01/2021</t>
  </si>
  <si>
    <t>102156</t>
  </si>
  <si>
    <t>INSTALAÇÃO DE VIDRO LISO INCOLOR, E = 6 MM, EM ESQUADRIA DE MADEIRA, FIXADO COM BAGUETE. AF_01/2021</t>
  </si>
  <si>
    <t>102157</t>
  </si>
  <si>
    <t>INSTALAÇÃO DE VIDRO LISO FUME, E = 6 MM, EM ESQUADRIA DE MADEIRA, FIXADO COM BAGUETE. AF_01/2021</t>
  </si>
  <si>
    <t>102158</t>
  </si>
  <si>
    <t>INSTALAÇÃO DE VIDRO LISO INCOLOR, E = 8 MM, EM ESQUADRIA DE MADEIRA, FIXADO COM BAGUETE. AF_01/2021</t>
  </si>
  <si>
    <t>102159</t>
  </si>
  <si>
    <t>INSTALAÇÃO DE VIDRO LISO INCOLOR, E = 10 MM, EM ESQUADRIA DE MADEIRA, FIXADO COM BAGUETE. AF_01/2021</t>
  </si>
  <si>
    <t>102160</t>
  </si>
  <si>
    <t>INSTALAÇÃO DE VIDRO IMPRESSO, E = 4 MM, EM ESQUADRIA DE MADEIRA, FIXADO COM BAGUETE. AF_01/2021</t>
  </si>
  <si>
    <t>102161</t>
  </si>
  <si>
    <t>102162</t>
  </si>
  <si>
    <t>102163</t>
  </si>
  <si>
    <t>102164</t>
  </si>
  <si>
    <t>102165</t>
  </si>
  <si>
    <t>102166</t>
  </si>
  <si>
    <t>102167</t>
  </si>
  <si>
    <t>102168</t>
  </si>
  <si>
    <t>102169</t>
  </si>
  <si>
    <t>102170</t>
  </si>
  <si>
    <t>102171</t>
  </si>
  <si>
    <t>102172</t>
  </si>
  <si>
    <t>102176</t>
  </si>
  <si>
    <t>102177</t>
  </si>
  <si>
    <t>102178</t>
  </si>
  <si>
    <t>102179</t>
  </si>
  <si>
    <t>102180</t>
  </si>
  <si>
    <t>102181</t>
  </si>
  <si>
    <t>102182</t>
  </si>
  <si>
    <t>PORTA PIVOTANTE DE VIDRO TEMPERADO, 90X210 CM, ESPESSURA 10 MM, INCLUSIVE ACESSÓRIOS. AF_01/2021</t>
  </si>
  <si>
    <t>102183</t>
  </si>
  <si>
    <t>PORTA PIVOTANTE DE VIDRO TEMPERADO, 2 FOLHAS DE 90X210 CM, ESPESSURA DE 10MM, INCLUSIVE ACESSÓRIOS. AF_01/2021</t>
  </si>
  <si>
    <t>102184</t>
  </si>
  <si>
    <t>PORTA DE ABRIR COM MOLA HIDRÁULICA, EM VIDRO TEMPERADO, 90X210 CM, ESPESSURA 10 MM, INCLUSIVE ACESSÓRIOS. AF_01/2021</t>
  </si>
  <si>
    <t>102185</t>
  </si>
  <si>
    <t>PORTA DE ABRIR COM MOLA HIDRÁULICA, EM VIDRO TEMPERADO, 2 FOLHAS DE 90X210 CM, ESPESSURA DD 10MM, INCLUSIVE ACESSÓRIOS. AF_01/2021</t>
  </si>
  <si>
    <t>102190</t>
  </si>
  <si>
    <t>REMOÇÃO DE VIDRO LISO COMUM DE ESQUADRIA COM BAGUETE DE MADEIRA. AF_01/2021</t>
  </si>
  <si>
    <t>102191</t>
  </si>
  <si>
    <t>REMOÇÃO DE VIDRO LISO COMUM DE ESQUADRIA COM BAGUETE DE ALUMÍNIO OU PVC. AF_01/2021</t>
  </si>
  <si>
    <t>102192</t>
  </si>
  <si>
    <t>REMOÇÃO DE VIDRO TEMPERADO FIXADO EM PERFIL U. AF_01/2021</t>
  </si>
  <si>
    <t>100674</t>
  </si>
  <si>
    <t>101096</t>
  </si>
  <si>
    <t>101097</t>
  </si>
  <si>
    <t>101098</t>
  </si>
  <si>
    <t>101099</t>
  </si>
  <si>
    <t>101100</t>
  </si>
  <si>
    <t>101101</t>
  </si>
  <si>
    <t>101102</t>
  </si>
  <si>
    <t>101103</t>
  </si>
  <si>
    <t>101104</t>
  </si>
  <si>
    <t>101105</t>
  </si>
  <si>
    <t>101106</t>
  </si>
  <si>
    <t>101107</t>
  </si>
  <si>
    <t>101108</t>
  </si>
  <si>
    <t>101109</t>
  </si>
  <si>
    <t>101110</t>
  </si>
  <si>
    <t>101111</t>
  </si>
  <si>
    <t>101112</t>
  </si>
  <si>
    <t>ALARGAMENTO DE BASE DE TUBULÃO A CÉU ABERTO, ESCAVAÇÃO MANUAL, CONCRETO FEITO EM OBRA E LANÇADO COM JERICA. AF_05/2020</t>
  </si>
  <si>
    <t>101113</t>
  </si>
  <si>
    <t>ARRASAMENTO MECANICO DE ESTACA DE CONCRETO ARMADO, DIAMETROS DE ATÉ 40 CM. AF_05/2021</t>
  </si>
  <si>
    <t>ARRASAMENTO MECANICO DE ESTACA DE CONCRETO ARMADO, DIAMETROS DE 41 CM A 60 CM. AF_05/2021</t>
  </si>
  <si>
    <t>ARRASAMENTO MECANICO DE ESTACA DE CONCRETO ARMADO, DIAMETROS DE 61 CM A 80 CM. AF_05/2021</t>
  </si>
  <si>
    <t>ARRASAMENTO MECANICO DE ESTACA DE CONCRETO ARMADO, DIAMETROS DE 81 CM A 100 CM. AF_05/2021</t>
  </si>
  <si>
    <t>ARRASAMENTO MECANICO DE ESTACA DE CONCRETO ARMADO, DIAMETROS DE 101 CM A 150 CM. AF_05/2021</t>
  </si>
  <si>
    <t>ARRASAMENTO MECÂNICO DE ESTACA METÁLICA, PERFIL LAMINADO TIPO  H - FAMÍLIA 250. AF_05/2021</t>
  </si>
  <si>
    <t>ARRASAMENTO MECÂNICO DE ESTACA METÁLICA, PERFIL LAMINADO TIPO  H - FAMÍLIA 310. AF_05/2021</t>
  </si>
  <si>
    <t>100651</t>
  </si>
  <si>
    <t>100652</t>
  </si>
  <si>
    <t>100653</t>
  </si>
  <si>
    <t>100654</t>
  </si>
  <si>
    <t>100655</t>
  </si>
  <si>
    <t>100656</t>
  </si>
  <si>
    <t>ESTACA PRÉ-MOLDADA DE CONCRETO, SEÇÃO QUADRADA, CAPACIDADE DE 25 TONELADAS, INCLUSO EMENDA (EXCLUSIVE MOBILIZAÇÃO E DESMOBILIZAÇÃO). AF_12/2019</t>
  </si>
  <si>
    <t>100657</t>
  </si>
  <si>
    <t>ESTACA PRÉ-MOLDADA DE CONCRETO SEÇÃO QUADRADA, CAPACIDADE DE 50 TONELADAS, INCLUSO EMENDA (EXCLUSIVE MOBILIZAÇÃO E DESMOBILIZAÇÃO). AF_12/2019</t>
  </si>
  <si>
    <t>100658</t>
  </si>
  <si>
    <t>ESTACA PRÉ-MOLDADA DE CONCRETO CENTRIFUGADO, SEÇÃO CIRCULAR, CAPACIDADE DE 100 TONELADAS, INCLUSO EMENDA (EXCLUSIVE MOBILIZAÇÃO E DESMOBILIZAÇÃO). AF_12/2019</t>
  </si>
  <si>
    <t>100889</t>
  </si>
  <si>
    <t>ESTACA METÁLICA PARA FUNDAÇÃO, UTILIZANDO PERFIL LAMINADO HP250X62 (EXCLUSIVE MOBILIZAÇÃO E DESMOBILIZAÇÃO). AF_01/2020</t>
  </si>
  <si>
    <t>100890</t>
  </si>
  <si>
    <t>ESTACA METÁLICA PARA FUNDAÇÃO, UTILIZANDO PERFIL LAMINADO HP310X79 (EXCLUSIVE MOBILIZAÇÃO E DESMOBILIZAÇÃO). AF_01/2020</t>
  </si>
  <si>
    <t>100892</t>
  </si>
  <si>
    <t>ESTACA METÁLICA PARA CONTENÇÃO, UTILIZANDO PERFIL LAMINADO W250X32,7 (EXCLUSIVE MOBILIZAÇÃO E DESMOBILIZAÇÃO). AF_01/2020</t>
  </si>
  <si>
    <t>100893</t>
  </si>
  <si>
    <t>ESTACA METÁLICA PARA CONTENÇÃO, UTILIZANDO PERFIL LAMINADO W250X38,5 (EXCLUSIVE MOBILIZAÇÃO E DESMOBILIZAÇÃO). AF_01/2020</t>
  </si>
  <si>
    <t>100894</t>
  </si>
  <si>
    <t>ESTACA METÁLICA PARA CONTENÇÃO, UTILIZANDO PERFIL LAMINADO W250X44,8 (EXCLUSIVE MOBILIZAÇÃO E DESMOBILIZAÇÃO). AF_01/2020</t>
  </si>
  <si>
    <t>100896</t>
  </si>
  <si>
    <t>100897</t>
  </si>
  <si>
    <t>100898</t>
  </si>
  <si>
    <t>100899</t>
  </si>
  <si>
    <t>100900</t>
  </si>
  <si>
    <t>101173</t>
  </si>
  <si>
    <t>ESTACA BROCA DE CONCRETO, DIÂMETRO DE 20CM, ESCAVAÇÃO MANUAL COM TRADO CONCHA, COM ARMADURA DE ARRANQUE. AF_05/2020</t>
  </si>
  <si>
    <t>101174</t>
  </si>
  <si>
    <t>ESTACA BROCA DE CONCRETO, DIÂMETRO DE 25CM, ESCAVAÇÃO MANUAL COM TRADO CONCHA, COM ARMADURA DE ARRANQUE. AF_05/2020</t>
  </si>
  <si>
    <t>101175</t>
  </si>
  <si>
    <t>ESTACA BROCA DE CONCRETO, DIÂMETRO DE 30CM, ESCAVAÇÃO MANUAL COM TRADO CONCHA, COM ARMADURA DE ARRANQUE. AF_05/2020</t>
  </si>
  <si>
    <t>101176</t>
  </si>
  <si>
    <t>102521</t>
  </si>
  <si>
    <t>ARRASAMENTO MECÂNICO DE ESTACA BARRETE DE CONCRETO ARMADO, SEÇÃO DE 0,40 X 2,50 M. AF_05/2021</t>
  </si>
  <si>
    <t>102522</t>
  </si>
  <si>
    <t>ARRASAMENTO MECÂNICO DE ESTACA BARRETE DE CONCRETO ARMADO, SEÇÃO DE 0,60 X 2,50 M. AF_05/2021</t>
  </si>
  <si>
    <t>102523</t>
  </si>
  <si>
    <t>ARRASAMENTO MECÂNICO DE ESTACA BARRETE DE CONCRETO ARMADO, SEÇÃO DE 0,80 X 2,50 M. AF_05/2021</t>
  </si>
  <si>
    <t>97087</t>
  </si>
  <si>
    <t>97088</t>
  </si>
  <si>
    <t>97089</t>
  </si>
  <si>
    <t>97090</t>
  </si>
  <si>
    <t>97091</t>
  </si>
  <si>
    <t>97092</t>
  </si>
  <si>
    <t>97093</t>
  </si>
  <si>
    <t>97097</t>
  </si>
  <si>
    <t>31,38</t>
  </si>
  <si>
    <t>97101</t>
  </si>
  <si>
    <t>97102</t>
  </si>
  <si>
    <t>97103</t>
  </si>
  <si>
    <t>FABRICAÇÃO DE FÔRMA PARA PILARES E ESTRUTURAS SIMILARES, EM CHAPA DE MADEIRA COMPENSADA RESINADA, E = 17 MM. AF_09/2020</t>
  </si>
  <si>
    <t>FABRICAÇÃO DE FÔRMA PARA PILARES E ESTRUTURAS SIMILARES, EM CHAPA DE MADEIRA COMPENSADA PLASTIFICADA, E = 18 MM. AF_09/2020</t>
  </si>
  <si>
    <t>FABRICAÇÃO DE FÔRMA PARA VIGAS, EM CHAPA DE MADEIRA COMPENSADA RESINADA, E = 17 MM. AF_09/2020</t>
  </si>
  <si>
    <t>FABRICAÇÃO DE FÔRMA PARA VIGAS, EM CHAPA DE MADEIRA COMPENSADA PLASTIFICADA, E = 18 MM. AF_09/2020</t>
  </si>
  <si>
    <t>FABRICAÇÃO DE FÔRMA PARA LAJES, EM CHAPA DE MADEIRA COMPENSADA RESINADA, E = 17 MM. AF_09/2020</t>
  </si>
  <si>
    <t>FABRICAÇÃO DE FÔRMA PARA LAJES, EM CHAPA DE MADEIRA COMPENSADA PLASTIFICADA, E = 18 MM. AF_09/2020</t>
  </si>
  <si>
    <t>FABRICAÇÃO DE FÔRMA PARA PILARES E ESTRUTURAS SIMILARES, EM MADEIRA SERRADA, E=25 MM. AF_09/2020</t>
  </si>
  <si>
    <t>FABRICAÇÃO DE FÔRMA PARA VIGAS, COM MADEIRA SERRADA, E = 25 MM. AF_09/2020</t>
  </si>
  <si>
    <t>FABRICAÇÃO DE FÔRMA PARA LAJES, EM MADEIRA SERRADA, E=25 MM. AF_09/2020</t>
  </si>
  <si>
    <t>FABRICAÇÃO DE ESCORAS DE VIGA DO TIPO GARFO, EM MADEIRA. AF_09/2020</t>
  </si>
  <si>
    <t>FABRICAÇÃO DE ESCORAS DO TIPO PONTALETE, EM MADEIRA, PARA PÉ-DIREITO SIMPLES. AF_09/2020</t>
  </si>
  <si>
    <t>MONTAGEM E DESMONTAGEM DE FÔRMA DE PILARES RETANGULARES E ESTRUTURAS SIMILARES, PÉ-DIREITO SIMPLES, EM MADEIRA SERRADA, 1 UTILIZAÇÃO. AF_09/2020</t>
  </si>
  <si>
    <t>MONTAGEM E DESMONTAGEM DE FÔRMA DE PILARES RETANGULARES E ESTRUTURAS SIMILARES, PÉ-DIREITO SIMPLES, EM MADEIRA SERRADA, 2 UTILIZAÇÕES. AF_09/2020</t>
  </si>
  <si>
    <t>MONTAGEM E DESMONTAGEM DE FÔRMA DE PILARES RETANGULARES E ESTRUTURAS SIMILARES, PÉ-DIREITO SIMPLES, EM MADEIRA SERRADA, 4 UTILIZAÇÕES. AF_09/2020</t>
  </si>
  <si>
    <t>MONTAGEM E DESMONTAGEM DE FÔRMA DE PILARES RETANGULARES E ESTRUTURAS SIMILARES, PÉ-DIREITO SIMPLES, EM CHAPA DE MADEIRA COMPENSADA RESINADA, 2 UTILIZAÇÕES. AF_09/2020</t>
  </si>
  <si>
    <t>MONTAGEM E DESMONTAGEM DE FÔRMA DE PILARES RETANGULARES E ESTRUTURAS SIMILARES, PÉ-DIREITO DUPLO, EM CHAPA DE MADEIRA COMPENSADA RESINADA, 2 UTILIZAÇÕES. AF_09/2020</t>
  </si>
  <si>
    <t>MONTAGEM E DESMONTAGEM DE FÔRMA DE PILARES RETANGULARES E ESTRUTURAS SIMILARES, PÉ-DIREITO SIMPLES, EM CHAPA DE MADEIRA COMPENSADA RESINADA, 4 UTILIZAÇÕES. AF_09/2020</t>
  </si>
  <si>
    <t>MONTAGEM E DESMONTAGEM DE FÔRMA DE PILARES RETANGULARES E ESTRUTURAS SIMILARES, PÉ-DIREITO DUPLO, EM CHAPA DE MADEIRA COMPENSADA RESINADA, 4 UTILIZAÇÕES. AF_09/2020</t>
  </si>
  <si>
    <t>MONTAGEM E DESMONTAGEM DE FÔRMA DE PILARES RETANGULARES E ESTRUTURAS SIMILARES, PÉ-DIREITO SIMPLES, EM CHAPA DE MADEIRA COMPENSADA RESINADA, 6 UTILIZAÇÕES. AF_09/2020</t>
  </si>
  <si>
    <t>MONTAGEM E DESMONTAGEM DE FÔRMA DE PILARES RETANGULARES E ESTRUTURAS SIMILARES, PÉ-DIREITO DUPLO, EM CHAPA DE MADEIRA COMPENSADA RESINADA, 6 UTILIZAÇÕES. AF_09/2020</t>
  </si>
  <si>
    <t>MONTAGEM E DESMONTAGEM DE FÔRMA DE PILARES RETANGULARES E ESTRUTURAS SIMILARES, PÉ-DIREITO SIMPLES, EM CHAPA DE MADEIRA COMPENSADA RESINADA, 8 UTILIZAÇÕES. AF_09/2020</t>
  </si>
  <si>
    <t>MONTAGEM E DESMONTAGEM DE FÔRMA DE PILARES RETANGULARES E ESTRUTURAS SIMILARES, PÉ-DIREITO DUPLO, EM CHAPA DE MADEIRA COMPENSADA RESINADA, 8 UTILIZAÇÕES. AF_09/2020</t>
  </si>
  <si>
    <t>MONTAGEM E DESMONTAGEM DE FÔRMA DE PILARES RETANGULARES E ESTRUTURAS SIMILARES, PÉ-DIREITO SIMPLES, EM CHAPA DE MADEIRA COMPENSADA PLASTIFICADA, 10 UTILIZAÇÕES. AF_09/2020</t>
  </si>
  <si>
    <t>MONTAGEM E DESMONTAGEM DE FÔRMA DE PILARES RETANGULARES E ESTRUTURAS SIMILARES, PÉ-DIREITO DUPLO, EM CHAPA DE MADEIRA COMPENSADA PLASTIFICADA, 10 UTILIZAÇÕES. AF_09/2020</t>
  </si>
  <si>
    <t>MONTAGEM E DESMONTAGEM DE FÔRMA DE PILARES RETANGULARES E ESTRUTURAS SIMILARES, PÉ-DIREITO SIMPLES, EM CHAPA DE MADEIRA COMPENSADA PLASTIFICADA, 12 UTILIZAÇÕES. AF_09/2020</t>
  </si>
  <si>
    <t>MONTAGEM E DESMONTAGEM DE FÔRMA DE PILARES RETANGULARES E ESTRUTURAS SIMILARES, PÉ-DIREITO DUPLO, EM CHAPA DE MADEIRA COMPENSADA PLASTIFICADA, 12 UTILIZAÇÕES. AF_09/2020</t>
  </si>
  <si>
    <t>MONTAGEM E DESMONTAGEM DE FÔRMA DE PILARES RETANGULARES E ESTRUTURAS SIMILARES, PÉ-DIREITO SIMPLES, EM CHAPA DE MADEIRA COMPENSADA PLASTIFICADA, 14 UTILIZAÇÕES. AF_09/2020</t>
  </si>
  <si>
    <t>MONTAGEM E DESMONTAGEM DE FÔRMA DE PILARES RETANGULARES E ESTRUTURAS SIMILARES, PÉ-DIREITO DUPLO, EM CHAPA DE MADEIRA COMPENSADA PLASTIFICADA, 14 UTILIZAÇÕES. AF_09/2020</t>
  </si>
  <si>
    <t>MONTAGEM E DESMONTAGEM DE FÔRMA DE PILARES RETANGULARES E ESTRUTURAS SIMILARES, PÉ-DIREITO SIMPLES, EM CHAPA DE MADEIRA COMPENSADA PLASTIFICADA, 18 UTILIZAÇÕES. AF_09/2020</t>
  </si>
  <si>
    <t>MONTAGEM E DESMONTAGEM DE FÔRMA DE PILARES RETANGULARES E ESTRUTURAS SIMILARES, PÉ-DIREITO DUPLO, EM CHAPA DE MADEIRA COMPENSADA PLASTIFICADA, 18 UTILIZAÇÕES. AF_09/2020</t>
  </si>
  <si>
    <t>44,89</t>
  </si>
  <si>
    <t>MONTAGEM E DESMONTAGEM DE FÔRMA DE VIGA, ESCORAMENTO COM PONTALETE DE MADEIRA, PÉ-DIREITO SIMPLES, EM MADEIRA SERRADA, 1 UTILIZAÇÃO. AF_09/2020</t>
  </si>
  <si>
    <t>MONTAGEM E DESMONTAGEM DE FÔRMA DE VIGA, ESCORAMENTO COM PONTALETE DE MADEIRA, PÉ-DIREITO SIMPLES, EM MADEIRA SERRADA, 2 UTILIZAÇÕES. AF_09/2020</t>
  </si>
  <si>
    <t>MONTAGEM E DESMONTAGEM DE FÔRMA DE VIGA, ESCORAMENTO COM PONTALETE DE MADEIRA, PÉ-DIREITO SIMPLES, EM MADEIRA SERRADA, 4 UTILIZAÇÕES. AF_09/2020</t>
  </si>
  <si>
    <t>144,44</t>
  </si>
  <si>
    <t>MONTAGEM E DESMONTAGEM DE FÔRMA DE VIGA, ESCORAMENTO COM GARFO DE MADEIRA, PÉ-DIREITO DUPLO, EM CHAPA DE MADEIRA RESINADA, 2 UTILIZAÇÕES. AF_09/2020</t>
  </si>
  <si>
    <t>MONTAGEM E DESMONTAGEM DE FÔRMA DE VIGA, ESCORAMENTO METÁLICO, PÉ-DIREITO DUPLO, EM CHAPA DE MADEIRA RESINADA, 2 UTILIZAÇÕES. AF_09/2020</t>
  </si>
  <si>
    <t>MONTAGEM E DESMONTAGEM DE FÔRMA DE VIGA, ESCORAMENTO COM GARFO DE MADEIRA, PÉ-DIREITO SIMPLES, EM CHAPA DE MADEIRA RESINADA, 2 UTILIZAÇÕES. AF_09/2020</t>
  </si>
  <si>
    <t>143,60</t>
  </si>
  <si>
    <t>MONTAGEM E DESMONTAGEM DE FÔRMA DE VIGA, ESCORAMENTO METÁLICO, PÉ-DIREITO SIMPLES, EM CHAPA DE MADEIRA RESINADA, 2 UTILIZAÇÕES. AF_09/2020</t>
  </si>
  <si>
    <t>MONTAGEM E DESMONTAGEM DE FÔRMA DE VIGA, ESCORAMENTO COM GARFO DE MADEIRA, PÉ-DIREITO DUPLO, EM CHAPA DE MADEIRA RESINADA, 4 UTILIZAÇÕES. AF_09/2020</t>
  </si>
  <si>
    <t>MONTAGEM E DESMONTAGEM DE FÔRMA DE VIGA, ESCORAMENTO METÁLICO, PÉ-DIREITO DUPLO, EM CHAPA DE MADEIRA RESINADA, 4 UTILIZAÇÕES. AF_09/2020</t>
  </si>
  <si>
    <t>MONTAGEM E DESMONTAGEM DE FÔRMA DE VIGA, ESCORAMENTO COM GARFO DE MADEIRA, PÉ-DIREITO SIMPLES, EM CHAPA DE MADEIRA RESINADA, 4 UTILIZAÇÕES. AF_09/2020</t>
  </si>
  <si>
    <t>MONTAGEM E DESMONTAGEM DE FÔRMA DE VIGA, ESCORAMENTO METÁLICO, PÉ-DIREITO SIMPLES, EM CHAPA DE MADEIRA RESINADA, 4 UTILIZAÇÕES. AF_09/2020</t>
  </si>
  <si>
    <t>MONTAGEM E DESMONTAGEM DE FÔRMA DE VIGA, ESCORAMENTO COM GARFO DE MADEIRA, PÉ-DIREITO DUPLO, EM CHAPA DE MADEIRA RESINADA, 6 UTILIZAÇÕES. AF_09/2020</t>
  </si>
  <si>
    <t>MONTAGEM E DESMONTAGEM DE FÔRMA DE VIGA, ESCORAMENTO COM GARFO DE MADEIRA, PÉ-DIREITO SIMPLES, EM CHAPA DE MADEIRA RESINADA, 6 UTILIZAÇÕES. AF_09/2020</t>
  </si>
  <si>
    <t>MONTAGEM E DESMONTAGEM DE FÔRMA DE VIGA, ESCORAMENTO METÁLICO, PÉ-DIREITO SIMPLES, EM CHAPA DE MADEIRA RESINADA, 6 UTILIZAÇÕES. AF_09/2020</t>
  </si>
  <si>
    <t>MONTAGEM E DESMONTAGEM DE FÔRMA DE VIGA, ESCORAMENTO COM GARFO DE MADEIRA, PÉ-DIREITO DUPLO, EM CHAPA DE MADEIRA RESINADA, 8 UTILIZAÇÕES. AF_09/2020</t>
  </si>
  <si>
    <t>MONTAGEM E DESMONTAGEM DE FÔRMA DE VIGA, ESCORAMENTO METÁLICO, PÉ-DIREITO DUPLO, EM CHAPA DE MADEIRA RESINADA, 8 UTILIZAÇÕES. AF_09/2020</t>
  </si>
  <si>
    <t>MONTAGEM E DESMONTAGEM DE FÔRMA DE VIGA, ESCORAMENTO COM GARFO DE MADEIRA, PÉ-DIREITO SIMPLES, EM CHAPA DE MADEIRA RESINADA, 8 UTILIZAÇÕES. AF_09/2020</t>
  </si>
  <si>
    <t>MONTAGEM E DESMONTAGEM DE FÔRMA DE VIGA, ESCORAMENTO METÁLICO, PÉ-DIREITO SIMPLES, EM CHAPA DE MADEIRA RESINADA, 8 UTILIZAÇÕES. AF_09/2020</t>
  </si>
  <si>
    <t>MONTAGEM E DESMONTAGEM DE FÔRMA DE VIGA, ESCORAMENTO COM GARFO DE MADEIRA, PÉ-DIREITO DUPLO, EM CHAPA DE MADEIRA PLASTIFICADA, 10 UTILIZAÇÕES. AF_09/2020</t>
  </si>
  <si>
    <t>MONTAGEM E DESMONTAGEM DE FÔRMA DE VIGA, ESCORAMENTO METÁLICO, PÉ-DIREITO DUPLO, EM CHAPA DE MADEIRA PLASTIFICADA, 10 UTILIZAÇÕES. AF_09/2020</t>
  </si>
  <si>
    <t>MONTAGEM E DESMONTAGEM DE FÔRMA DE VIGA, ESCORAMENTO COM GARFO DE MADEIRA, PÉ-DIREITO SIMPLES, EM CHAPA DE MADEIRA PLASTIFICADA, 10 UTILIZAÇÕES. AF_09/2020</t>
  </si>
  <si>
    <t>MONTAGEM E DESMONTAGEM DE FÔRMA DE VIGA, ESCORAMENTO METÁLICO, PÉ-DIREITO SIMPLES, EM CHAPA DE MADEIRA PLASTIFICADA, 10 UTILIZAÇÕES. AF_09/2020</t>
  </si>
  <si>
    <t>MONTAGEM E DESMONTAGEM DE FÔRMA DE VIGA, ESCORAMENTO COM GARFO DE MADEIRA, PÉ-DIREITO DUPLO, EM CHAPA DE MADEIRA PLASTIFICADA, 12 UTILIZAÇÕES. AF_09/2020</t>
  </si>
  <si>
    <t>MONTAGEM E DESMONTAGEM DE FÔRMA DE VIGA, ESCORAMENTO METÁLICO, PÉ-DIREITO DUPLO, EM CHAPA DE MADEIRA PLASTIFICADA, 12 UTILIZAÇÕES. AF_09/2020</t>
  </si>
  <si>
    <t>MONTAGEM E DESMONTAGEM DE FÔRMA DE VIGA, ESCORAMENTO COM GARFO DE MADEIRA, PÉ-DIREITO SIMPLES, EM CHAPA DE MADEIRA PLASTIFICADA, 12 UTILIZAÇÕES. AF_09/2020</t>
  </si>
  <si>
    <t>MONTAGEM E DESMONTAGEM DE FÔRMA DE VIGA, ESCORAMENTO METÁLICO, PÉ-DIREITO SIMPLES, EM CHAPA DE MADEIRA PLASTIFICADA, 12 UTILIZAÇÕES. AF_09/2020</t>
  </si>
  <si>
    <t>MONTAGEM E DESMONTAGEM DE FÔRMA DE VIGA, ESCORAMENTO COM GARFO DE MADEIRA, PÉ-DIREITO DUPLO, EM CHAPA DE MADEIRA PLASTIFICADA, 14 UTILIZAÇÕES. AF_09/2020</t>
  </si>
  <si>
    <t>MONTAGEM E DESMONTAGEM DE FÔRMA DE VIGA, ESCORAMENTO METÁLICO, PÉ-DIREITO DUPLO, EM CHAPA DE MADEIRA PLASTIFICADA, 14 UTILIZAÇÕES. AF_09/2020</t>
  </si>
  <si>
    <t>MONTAGEM E DESMONTAGEM DE FÔRMA DE VIGA, ESCORAMENTO COM GARFO DE MADEIRA, PÉ-DIREITO SIMPLES, EM CHAPA DE MADEIRA PLASTIFICADA, 14 UTILIZAÇÕES. AF_09/2020</t>
  </si>
  <si>
    <t>MONTAGEM E DESMONTAGEM DE FÔRMA DE VIGA, ESCORAMENTO METÁLICO, PÉ-DIREITO SIMPLES, EM CHAPA DE MADEIRA PLASTIFICADA, 14 UTILIZAÇÕES. AF_09/2020</t>
  </si>
  <si>
    <t>MONTAGEM E DESMONTAGEM DE FÔRMA DE VIGA, ESCORAMENTO COM GARFO DE MADEIRA, PÉ-DIREITO DUPLO, EM CHAPA DE MADEIRA PLASTIFICADA, 18 UTILIZAÇÕES. AF_09/2020</t>
  </si>
  <si>
    <t>MONTAGEM E DESMONTAGEM DE FÔRMA DE VIGA, ESCORAMENTO METÁLICO, PÉ-DIREITO DUPLO, EM CHAPA DE MADEIRA PLASTIFICADA, 18 UTILIZAÇÕES. AF_09/2020</t>
  </si>
  <si>
    <t>MONTAGEM E DESMONTAGEM DE FÔRMA DE VIGA, ESCORAMENTO COM GARFO DE MADEIRA, PÉ-DIREITO SIMPLES, EM CHAPA DE MADEIRA PLASTIFICADA, 18 UTILIZAÇÕES. AF_09/2020</t>
  </si>
  <si>
    <t>MONTAGEM E DESMONTAGEM DE FÔRMA DE VIGA, ESCORAMENTO METÁLICO, PÉ-DIREITO SIMPLES, EM CHAPA DE MADEIRA PLASTIFICADA, 18 UTILIZAÇÕES. AF_09/2020</t>
  </si>
  <si>
    <t>MONTAGEM E DESMONTAGEM DE FÔRMA DE LAJE MACIÇA, PÉ-DIREITO SIMPLES, EM MADEIRA SERRADA, 1 UTILIZAÇÃO. AF_09/2020</t>
  </si>
  <si>
    <t>MONTAGEM E DESMONTAGEM DE FÔRMA DE LAJE MACIÇA, PÉ-DIREITO SIMPLES, EM MADEIRA SERRADA, 2 UTILIZAÇÕES. AF_09/2020</t>
  </si>
  <si>
    <t>MONTAGEM E DESMONTAGEM DE FÔRMA DE LAJE MACIÇA, PÉ-DIREITO SIMPLES, EM MADEIRA SERRADA, 4 UTILIZAÇÕES. AF_09/2020</t>
  </si>
  <si>
    <t>MONTAGEM E DESMONTAGEM DE FÔRMA DE LAJE NERVURADA COM CUBETA E ASSOALHO, PÉ-DIREITO DUPLO, EM CHAPA DE MADEIRA COMPENSADA RESINADA, 8 UTILIZAÇÕES. AF_09/2020</t>
  </si>
  <si>
    <t>MONTAGEM E DESMONTAGEM DE FÔRMA DE LAJE NERVURADA COM CUBETA E ASSOALHO, PÉ-DIREITO SIMPLES, EM CHAPA DE MADEIRA COMPENSADA RESINADA, 8 UTILIZAÇÕES. AF_09/2020</t>
  </si>
  <si>
    <t>MONTAGEM E DESMONTAGEM DE FÔRMA DE LAJE NERVURADA COM CUBETA E ASSOALHO, PÉ-DIREITO DUPLO, EM CHAPA DE MADEIRA COMPENSADA RESINADA, 10 UTILIZAÇÕES. AF_09/2020</t>
  </si>
  <si>
    <t>MONTAGEM E DESMONTAGEM DE FÔRMA DE LAJE NERVURADA COM CUBETA E ASSOALHO, PÉ-DIREITO SIMPLES, EM CHAPA DE MADEIRA COMPENSADA RESINADA, 10 UTILIZAÇÕES. AF_09/2020</t>
  </si>
  <si>
    <t>MONTAGEM E DESMONTAGEM DE FÔRMA DE LAJE NERVURADA COM CUBETA E ASSOALHO, PÉ-DIREITO DUPLO, EM CHAPA DE MADEIRA COMPENSADA RESINADA, 12 UTILIZAÇÕES. AF_09/2020</t>
  </si>
  <si>
    <t>MONTAGEM E DESMONTAGEM DE FÔRMA DE LAJE NERVURADA COM CUBETA E ASSOALHO, PÉ-DIREITO SIMPLES, EM CHAPA DE MADEIRA COMPENSADA RESINADA, 12 UTILIZAÇÕES. AF_09/2020</t>
  </si>
  <si>
    <t>MONTAGEM E DESMONTAGEM DE FÔRMA DE LAJE NERVURADA COM CUBETA E ASSOALHO, PÉ-DIREITO DUPLO, EM CHAPA DE MADEIRA COMPENSADA RESINADA, 14 UTILIZAÇÕES. AF_09/2020</t>
  </si>
  <si>
    <t>MONTAGEM E DESMONTAGEM DE FÔRMA DE LAJE NERVURADA COM CUBETA E ASSOALHO, PÉ-DIREITO SIMPLES, EM CHAPA DE MADEIRA COMPENSADA RESINADA, 14 UTILIZAÇÕES. AF_09/2020</t>
  </si>
  <si>
    <t>MONTAGEM E DESMONTAGEM DE FÔRMA DE LAJE NERVURADA COM CUBETA E ASSOALHO, PÉ-DIREITO DUPLO, EM CHAPA DE MADEIRA COMPENSADA RESINADA, 18 UTILIZAÇÕES. AF_09/2020</t>
  </si>
  <si>
    <t>MONTAGEM E DESMONTAGEM DE FÔRMA DE LAJE NERVURADA COM CUBETA E ASSOALHO, PÉ-DIREITO SIMPLES, EM CHAPA DE MADEIRA COMPENSADA RESINADA, 18 UTILIZAÇÕES. AF_09/2020</t>
  </si>
  <si>
    <t>MONTAGEM E DESMONTAGEM DE FÔRMA DE LAJE MACIÇA, PÉ-DIREITO DUPLO, EM CHAPA DE MADEIRA COMPENSADA RESINADA, 2 UTILIZAÇÕES. AF_09/2020</t>
  </si>
  <si>
    <t>MONTAGEM E DESMONTAGEM DE FÔRMA DE LAJE MACIÇA, PÉ-DIREITO SIMPLES, EM CHAPA DE MADEIRA COMPENSADA RESINADA, 2 UTILIZAÇÕES. AF_09/2020</t>
  </si>
  <si>
    <t>39,10</t>
  </si>
  <si>
    <t>MONTAGEM E DESMONTAGEM DE FÔRMA DE LAJE MACIÇA, PÉ-DIREITO DUPLO, EM CHAPA DE MADEIRA COMPENSADA RESINADA, 4 UTILIZAÇÕES. AF_09/2020</t>
  </si>
  <si>
    <t>MONTAGEM E DESMONTAGEM DE FÔRMA DE LAJE MACIÇA, PÉ-DIREITO SIMPLES, EM CHAPA DE MADEIRA COMPENSADA RESINADA, 4 UTILIZAÇÕES. AF_09/2020</t>
  </si>
  <si>
    <t>MONTAGEM E DESMONTAGEM DE FÔRMA DE LAJE MACIÇA, PÉ-DIREITO DUPLO, EM CHAPA DE MADEIRA COMPENSADA RESINADA, 6 UTILIZAÇÕES. AF_09/2020</t>
  </si>
  <si>
    <t>MONTAGEM E DESMONTAGEM DE FÔRMA DE LAJE MACIÇA, PÉ-DIREITO SIMPLES, EM CHAPA DE MADEIRA COMPENSADA RESINADA, 6 UTILIZAÇÕES. AF_09/2020</t>
  </si>
  <si>
    <t>MONTAGEM E DESMONTAGEM DE FÔRMA DE LAJE MACIÇA, PÉ-DIREITO DUPLO, EM CHAPA DE MADEIRA COMPENSADA RESINADA, 8 UTILIZAÇÕES. AF_09/2020</t>
  </si>
  <si>
    <t>MONTAGEM E DESMONTAGEM DE FÔRMA DE LAJE MACIÇA, PÉ-DIREITO SIMPLES, EM CHAPA DE MADEIRA COMPENSADA RESINADA, 8 UTILIZAÇÕES. AF_09/2020</t>
  </si>
  <si>
    <t>MONTAGEM E DESMONTAGEM DE FÔRMA DE LAJE MACIÇA, PÉ-DIREITO SIMPLES, EM CHAPA DE MADEIRA COMPENSADA PLASTIFICADA, 10 UTILIZAÇÕES. AF_09/2020</t>
  </si>
  <si>
    <t>MONTAGEM E DESMONTAGEM DE FÔRMA DE LAJE MACIÇA, PÉ-DIREITO DUPLO, EM CHAPA DE MADEIRA COMPENSADA PLASTIFICADA, 12 UTILIZAÇÕES. AF_09/2020</t>
  </si>
  <si>
    <t>MONTAGEM E DESMONTAGEM DE FÔRMA DE LAJE MACIÇA, PÉ-DIREITO SIMPLES, EM CHAPA DE MADEIRA COMPENSADA PLASTIFICADA, 12 UTILIZAÇÕES. AF_09/2020</t>
  </si>
  <si>
    <t>MONTAGEM E DESMONTAGEM DE FÔRMA DE LAJE MACIÇA, PÉ-DIREITO DUPLO, EM CHAPA DE MADEIRA COMPENSADA PLASTIFICADA, 14 UTILIZAÇÕES. AF_09/2020</t>
  </si>
  <si>
    <t>MONTAGEM E DESMONTAGEM DE FÔRMA DE LAJE MACIÇA, PÉ-DIREITO SIMPLES, EM CHAPA DE MADEIRA COMPENSADA PLASTIFICADA, 14 UTILIZAÇÕES. AF_09/2020</t>
  </si>
  <si>
    <t>MONTAGEM E DESMONTAGEM DE FÔRMA DE LAJE MACIÇA, PÉ-DIREITO DUPLO, EM CHAPA DE MADEIRA COMPENSADA PLASTIFICADA, 18 UTILIZAÇÕES. AF_09/2020</t>
  </si>
  <si>
    <t>MONTAGEM E DESMONTAGEM DE FÔRMA DE LAJE MACIÇA, PÉ-DIREITO SIMPLES, EM CHAPA DE MADEIRA COMPENSADA PLASTIFICADA, 18 UTILIZAÇÕES. AF_09/2020</t>
  </si>
  <si>
    <t>101791</t>
  </si>
  <si>
    <t>FABRICAÇÃO DE ESCORAS DO TIPO PONTALETE, EM MADEIRA, PARA PÉ-DIREITO DUPLO. AF_09/2020</t>
  </si>
  <si>
    <t>101792</t>
  </si>
  <si>
    <t>ESCORAMENTO DE FÔRMAS DE LAJE EM MADEIRA NÃO APARELHADA, PÉ-DIREITO SIMPLES, INCLUSO TRAVAMENTO, 4 UTILIZAÇÕES. AF_09/2020</t>
  </si>
  <si>
    <t>101793</t>
  </si>
  <si>
    <t>ESCORAMENTO DE FÔRMAS DE LAJE EM MADEIRA NÃO APARELHADA, PÉ-DIREITO DUPLO, INCLUSO TRAVAMENTO, 4 UTILIZAÇÕES. AF_09/2020</t>
  </si>
  <si>
    <t>101969</t>
  </si>
  <si>
    <t>FABRICAÇÃO DE FÔRMA PARA ESCADAS, COM 2 LANCES EM "U" E LAJE PLANA, EM CHAPA DE MADEIRA COMPENSADA PLASTIFICADA, E=18 MM. AF_11/2020</t>
  </si>
  <si>
    <t>101971</t>
  </si>
  <si>
    <t>FABRICAÇÃO DE FÔRMA PARA ESCADAS, COM 2 LANCES EM "U" E LAJE PLANA, EM CHAPA DE MADEIRA COMPENSADA RESINADA, E= 17 MM. AF_11/2020</t>
  </si>
  <si>
    <t>101973</t>
  </si>
  <si>
    <t>FABRICAÇÃO DE FÔRMA PARA ESCADAS, COM 2 LANCES EM "U" E LAJE PLANA, EM MADEIRA SERRADA, E=25 MM. AF_11/2020</t>
  </si>
  <si>
    <t>101974</t>
  </si>
  <si>
    <t>MONTAGEM E DESMONTAGEM DE FÔRMA PARA ESCADAS, COM 2 LANCES EM "U" E LAJE PLANA, EM MADEIRA SERRADA, 1 UTILIZAÇÃO. AF_11/2020</t>
  </si>
  <si>
    <t>101975</t>
  </si>
  <si>
    <t>MONTAGEM E DESMONTAGEM DE FÔRMA PARA ESCADAS, COM 2 LANCES EM "U"  E LAJE PLANA, EM MADEIRA SERRADA, 2 UTILIZAÇÕES. AF_11/2020</t>
  </si>
  <si>
    <t>101977</t>
  </si>
  <si>
    <t>MONTAGEM E DESMONTAGEM DE FÔRMA PARA ESCADAS, COM 2 LANCES EM "U" E LAJE PLANA, EM CHAPA DE MADEIRA COMPENSADA RESINADA, 2 UTILIZAÇÕES. AF_11/2020</t>
  </si>
  <si>
    <t>101980</t>
  </si>
  <si>
    <t>MONTAGEM E DESMONTAGEM DE FÔRMA PARA ESCADAS, COM 2 LANCES EM "U" E LAJE PLANA, EM CHAPA DE MADEIRA COMPENSADA RESINADA, 4 UTILIZAÇÕES. AF_11/2020</t>
  </si>
  <si>
    <t>101981</t>
  </si>
  <si>
    <t>MONTAGEM E DESMONTAGEM DE FÔRMA PARA ESCADAS, COM 2 LANCES EM "U" E LAJE PLANA, EM CHAPA DE MADEIRA COMPENSADA PLASTIFICADA, 6 UTILIZAÇÕES. AF_11/2020</t>
  </si>
  <si>
    <t>101982</t>
  </si>
  <si>
    <t>MONTAGEM E DESMONTAGEM DE FÔRMA PARA ESCADAS, COM 2 LANCES EM "U" E LAJE PLANA, EM CHAPA DE MADEIRA COMPENSADA PLASTIFICADA, 8 UTILIZAÇÕES. AF_11/2020</t>
  </si>
  <si>
    <t>101983</t>
  </si>
  <si>
    <t>MONTAGEM E DESMONTAGEM DE FÔRMA PARA ESCADAS, COM 2 LANCES EM "U" E LAJE PLANA, EM CHAPA DE MADEIRA COMPENSADA PLASTIFICADA, 10 UTILIZAÇÕES. AF_11/2020</t>
  </si>
  <si>
    <t>101985</t>
  </si>
  <si>
    <t>FABRICAÇÃO DE FÔRMA PARA ESCADAS, COM 2 LANCES EM "U" E LAJE CASCATA, EM CHAPA DE MADEIRA COMPENSADA PLASTIFICADA, E=18 MM. AF_11/2020</t>
  </si>
  <si>
    <t>101986</t>
  </si>
  <si>
    <t>FABRICAÇÃO DE FÔRMA PARA ESCADAS, COM 2 LANCES EM "U" E LAJE CASCATA, EM CHAPA DE MADEIRA COMPENSADA RESINADA, E= 17 MM. AF_11/2020</t>
  </si>
  <si>
    <t>101987</t>
  </si>
  <si>
    <t>FABRICAÇÃO DE FÔRMA PARA ESCADAS, COM 2 LANCES EM "U" E LAJE CASCATA, EM MADEIRA SERRADA, E=25 MM. AF_11/2020</t>
  </si>
  <si>
    <t>101988</t>
  </si>
  <si>
    <t>FABRICAÇÃO DE FÔRMA PARA ESCADAS, COM 2 LANCES EM "L" E LAJE PLANA, EM CHAPA DE MADEIRA COMPENSADA PLASTIFICADA, E=18 MM. AF_11/2020</t>
  </si>
  <si>
    <t>101989</t>
  </si>
  <si>
    <t>FABRICAÇÃO DE FÔRMA PARA ESCADAS, COM 2 LANCES EM "L" E LAJE PLANA, EM CHAPA DE MADEIRA COMPENSADA RESINADA, E= 17 MM. AF_11/2020</t>
  </si>
  <si>
    <t>101990</t>
  </si>
  <si>
    <t>FABRICAÇÃO DE FÔRMA PARA ESCADAS, COM 2 LANCES EM "L" E LAJE PLANA, EM MADEIRA SERRADA, E=25 MM. AF_11/2020</t>
  </si>
  <si>
    <t>101991</t>
  </si>
  <si>
    <t>FABRICAÇÃO DE FÔRMA PARA ESCADAS, COM 2 LANCES EM "L" E LAJE CASCATA, EM CHAPA DE MADEIRA COMPENSADA PLASTIFICADA, E=18 MM. AF_11/2020</t>
  </si>
  <si>
    <t>101992</t>
  </si>
  <si>
    <t>FABRICAÇÃO DE FÔRMA PARA ESCADAS, COM 2 LANCES EM "L" E LAJE CASCATA, EM CHAPA DE MADEIRA COMPENSADA RESINADA, E= 17 MM. AF_11/2020</t>
  </si>
  <si>
    <t>101993</t>
  </si>
  <si>
    <t>FABRICAÇÃO DE FÔRMA PARA ESCADAS, COM 2 LANCES EM "L" E LAJE CASCATA, EM MADEIRA SERRADA, E=25 MM. AF_11/2020</t>
  </si>
  <si>
    <t>101994</t>
  </si>
  <si>
    <t>FABRICAÇÃO DE FÔRMA PARA ESCADAS, COM 1 LANCE E LAJE PLANA, EM CHAPA DE MADEIRA COMPENSADA PLASTIFICADA, E=18 MM. AF_11/2020</t>
  </si>
  <si>
    <t>101995</t>
  </si>
  <si>
    <t>FABRICAÇÃO DE FÔRMA PARA ESCADAS, COM 1 LANCE E LAJE PLANA, EM CHAPA DE MADEIRA COMPENSADA RESINADA, E= 17 MM. AF_11/2020</t>
  </si>
  <si>
    <t>101996</t>
  </si>
  <si>
    <t>FABRICAÇÃO DE FÔRMA PARA ESCADAS, COM 1 LANCE E LAJE PLANA, EM MADEIRA SERRADA, E=25 MM. AF_11/2020</t>
  </si>
  <si>
    <t>101997</t>
  </si>
  <si>
    <t>FABRICAÇÃO DE FÔRMA PARA ESCADAS, COM 1 LANCE E LAJE CASCATA, EM CHAPA DE MADEIRA COMPENSADA PLASTIFICADA, E=18 MM. AF_11/2020</t>
  </si>
  <si>
    <t>101998</t>
  </si>
  <si>
    <t>FABRICAÇÃO DE FÔRMA PARA ESCADAS, COM 1 LANCE E LAJE CASCATA, EM CHAPA DE MADEIRA COMPENSADA RESINADA, E= 17 MM. AF_11/2020</t>
  </si>
  <si>
    <t>101999</t>
  </si>
  <si>
    <t>FABRICAÇÃO DE FÔRMA PARA ESCADAS, COM 1 LANCE E LAJE CASCATA, EM MADEIRA SERRADA, E=25 MM. AF_11/2020</t>
  </si>
  <si>
    <t>102000</t>
  </si>
  <si>
    <t>MONTAGEM E DESMONTAGEM DE FÔRMA PARA ESCADAS, COM 2 LANCES EM "U" E LAJE CASCATA, EM MADEIRA SERRADA, 1 UTILIZAÇÃO. AF_11/2020</t>
  </si>
  <si>
    <t>102001</t>
  </si>
  <si>
    <t>MONTAGEM E DESMONTAGEM DE FÔRMA PARA ESCADAS, COM 2 LANCES EM "U" E LAJE CASCATA, EM MADEIRA SERRADA, 2 UTILIZAÇÕES. AF_11/2020</t>
  </si>
  <si>
    <t>102002</t>
  </si>
  <si>
    <t>MONTAGEM E DESMONTAGEM DE FÔRMA PARA ESCADAS, COM 2 LANCES EM "U" E LAJE CASCATA, EM CHAPA DE MADEIRA COMPENSADA RESINADA, 2 UTILIZAÇÕES. AF_11/2020</t>
  </si>
  <si>
    <t>102003</t>
  </si>
  <si>
    <t>MONTAGEM E DESMONTAGEM DE FÔRMA PARA ESCADAS, COM 2 LANCES EM "U" E LAJE CASCATA, EM CHAPA DE MADEIRA COMPENSADA RESINADA, 4 UTILIZAÇÕES. AF_11/2020</t>
  </si>
  <si>
    <t>102004</t>
  </si>
  <si>
    <t>MONTAGEM E DESMONTAGEM DE FÔRMA PARA ESCADAS, COM 2 LANCES EM "U" E LAJE CASCATA, EM CHAPA DE MADEIRA COMPENSADA PLASTIFICADA, 6 UTILIZAÇÕES. AF_11/2020</t>
  </si>
  <si>
    <t>102005</t>
  </si>
  <si>
    <t>MONTAGEM E DESMONTAGEM DE FÔRMA PARA ESCADAS, COM 2 LANCES EM "U" E LAJE CASCATA, EM CHAPA DE MADEIRA COMPENSADA PLASTIFICADA, 8 UTILIZAÇÕES. AF_11/2020</t>
  </si>
  <si>
    <t>102006</t>
  </si>
  <si>
    <t>MONTAGEM E DESMONTAGEM DE FÔRMA PARA ESCADAS, COM 2 LANCES EM "U" E LAJE CASCATA, EM CHAPA DE MADEIRA COMPENSADA PLASTIFICADA, 10 UTILIZAÇÕES. AF_11/2020</t>
  </si>
  <si>
    <t>102007</t>
  </si>
  <si>
    <t>MONTAGEM E DESMONTAGEM DE FÔRMA PARA ESCADAS, COM 2 LANCES EM "L" E LAJE PLANA, EM MADEIRA SERRADA, 1 UTILIZAÇÃO. AF_11/2020</t>
  </si>
  <si>
    <t>102008</t>
  </si>
  <si>
    <t>MONTAGEM E DESMONTAGEM DE FÔRMA PARA ESCADAS, COM 2 LANCES EM "L" E LAJE PLANA, EM MADEIRA SERRADA, 2 UTILIZAÇÕES. AF_11/2020</t>
  </si>
  <si>
    <t>102009</t>
  </si>
  <si>
    <t>MONTAGEM E DESMONTAGEM DE FÔRMA PARA ESCADAS, COM 2 LANCES EM "L" E LAJE PLANA, EM CHAPA DE MADEIRA COMPENSADA RESINADA, 2 UTILIZAÇÕES. AF_11/2020</t>
  </si>
  <si>
    <t>102010</t>
  </si>
  <si>
    <t>MONTAGEM E DESMONTAGEM DE FÔRMA PARA ESCADAS, COM 2 LANCES EM "L" E LAJE PLANA, EM CHAPA DE MADEIRA COMPENSADA RESINADA, 4 UTILIZAÇÕES. AF_11/2020</t>
  </si>
  <si>
    <t>102011</t>
  </si>
  <si>
    <t>MONTAGEM E DESMONTAGEM DE FÔRMA PARA ESCADAS, COM 2 LANCES EM "L" E LAJE PLANA, EM CHAPA DE MADEIRA COMPENSADA PLASTIFICADA, 6 UTILIZAÇÕES. AF_11/2020</t>
  </si>
  <si>
    <t>102012</t>
  </si>
  <si>
    <t>MONTAGEM E DESMONTAGEM DE FÔRMA PARA ESCADAS, COM 2 LANCES EM "L" E LAJE PLANA, EM CHAPA DE MADEIRA COMPENSADA PLASTIFICADA, 8 UTILIZAÇÕES. AF_11/2020</t>
  </si>
  <si>
    <t>102013</t>
  </si>
  <si>
    <t>MONTAGEM E DESMONTAGEM DE FÔRMA PARA ESCADAS, COM 2 LANCES EM "L" E LAJE PLANA, EM CHAPA DE MADEIRA COMPENSADA PLASTIFICADA, 10 UTILIZAÇÕES. AF_11/2020</t>
  </si>
  <si>
    <t>102014</t>
  </si>
  <si>
    <t>MONTAGEM E DESMONTAGEM DE FÔRMA PARA ESCADAS, COM 2 LANCES EM "L" E LAJE CASCATA, EM MADEIRA SERRADA, 1 UTILIZAÇÃO. AF_11/2020</t>
  </si>
  <si>
    <t>102015</t>
  </si>
  <si>
    <t>MONTAGEM E DESMONTAGEM DE FÔRMA PARA ESCADAS, COM 2 LANCES EM "L" E LAJE CASCATA, EM MADEIRA SERRADA, 2 UTILIZAÇÕES. AF_11/2020</t>
  </si>
  <si>
    <t>102016</t>
  </si>
  <si>
    <t>MONTAGEM E DESMONTAGEM DE FÔRMA PARA ESCADAS, COM 2 LANCES EM "L" E LAJE CASCATA, EM CHAPA DE MADEIRA COMPENSADA RESINADA, 2 UTILIZAÇÕES. AF_11/2020</t>
  </si>
  <si>
    <t>102017</t>
  </si>
  <si>
    <t>MONTAGEM E DESMONTAGEM DE FÔRMA PARA ESCADAS, COM 2 LANCES EM "L" E LAJE CASCATA, EM CHAPA DE MADEIRA COMPENSADA RESINADA, 4 UTILIZAÇÕES. AF_11/2020</t>
  </si>
  <si>
    <t>102036</t>
  </si>
  <si>
    <t>MONTAGEM E DESMONTAGEM DE FÔRMA PARA ESCADAS, COM 2 LANCES EM "L" E LAJE CASCATA, EM CHAPA DE MADEIRA COMPENSADA PLASTIFICADA, 6 UTILIZAÇÕES. AF_11/2020</t>
  </si>
  <si>
    <t>102037</t>
  </si>
  <si>
    <t>MONTAGEM E DESMONTAGEM DE FÔRMA PARA ESCADAS, COM 2 LANCES EM "L" E LAJE CASCATA, EM CHAPA DE MADEIRA COMPENSADA PLASTIFICADA, 8 UTILIZAÇÕES. AF_11/2020</t>
  </si>
  <si>
    <t>151,39</t>
  </si>
  <si>
    <t>102038</t>
  </si>
  <si>
    <t>MONTAGEM E DESMONTAGEM DE FÔRMA PARA ESCADAS, COM 2 LANCES EM "L" E LAJE CASCATA, EM CHAPA DE MADEIRA COMPENSADA PLASTIFICADA, 10 UTILIZAÇÕES. AF_11/2020</t>
  </si>
  <si>
    <t>102039</t>
  </si>
  <si>
    <t>MONTAGEM E DESMONTAGEM DE FÔRMA PARA ESCADAS, COM 1 LANCE E LAJE PLANA, EM MADEIRA SERRADA, 1 UTILIZAÇÃO. AF_11/2020</t>
  </si>
  <si>
    <t>102040</t>
  </si>
  <si>
    <t>MONTAGEM E DESMONTAGEM DE FÔRMA PARA ESCADAS, COM 1 LANCE E LAJE PLANA, EM MADEIRA SERRADA, 2 UTILIZAÇÕES. AF_11/2020</t>
  </si>
  <si>
    <t>102041</t>
  </si>
  <si>
    <t>MONTAGEM E DESMONTAGEM DE FÔRMA PARA ESCADAS, COM 1 LANCE E LAJE PLANA, EM CHAPA DE MADEIRA COMPENSADA RESINADA, 2 UTILIZAÇÕES. AF_11/2020</t>
  </si>
  <si>
    <t>102042</t>
  </si>
  <si>
    <t>MONTAGEM E DESMONTAGEM DE FÔRMA PARA ESCADAS, COM 1 LANCE E LAJE PLANA, EM CHAPA DE MADEIRA COMPENSADA RESINADA, 4 UTILIZAÇÕES. AF_11/2020</t>
  </si>
  <si>
    <t>102043</t>
  </si>
  <si>
    <t>MONTAGEM E DESMONTAGEM DE FÔRMA PARA ESCADAS, COM 1 LANCE E LAJE PLANA, EM CHAPA DE MADEIRA COMPENSADA PLASTIFICADA, 6 UTILIZAÇÕES. AF_11/2020</t>
  </si>
  <si>
    <t>102044</t>
  </si>
  <si>
    <t>MONTAGEM E DESMONTAGEM DE FÔRMA PARA ESCADAS, COM 1 LANCE E LAJE PLANA, EM CHAPA DE MADEIRA COMPENSADA PLASTIFICADA, 8 UTILIZAÇÕES. AF_11/2020</t>
  </si>
  <si>
    <t>102045</t>
  </si>
  <si>
    <t>MONTAGEM E DESMONTAGEM DE FÔRMA PARA ESCADAS, COM 1 LANCE E LAJE PLANA, EM CHAPA DE MADEIRA COMPENSADA PLASTIFICADA, 10 UTILIZAÇÕES. AF_11/2020</t>
  </si>
  <si>
    <t>102046</t>
  </si>
  <si>
    <t>MONTAGEM E DESMONTAGEM DE FÔRMA PARA ESCADAS, COM 1 LANCE E LAJE CASCATA, EM MADEIRA SERRADA, 1 UTILIZAÇÃO. AF_11/2020</t>
  </si>
  <si>
    <t>102047</t>
  </si>
  <si>
    <t>MONTAGEM E DESMONTAGEM DE FÔRMA PARA ESCADAS, COM 1 LANCE E LAJE CASCATA, EM MADEIRA SERRADA, 2 UTILIZAÇÕES. AF_11/2020</t>
  </si>
  <si>
    <t>102048</t>
  </si>
  <si>
    <t>MONTAGEM E DESMONTAGEM DE FÔRMA PARA ESCADAS, COM 1 LANCE E LAJE CASCATA, EM CHAPA DE MADEIRA COMPENSADA RESINADA, 2 UTILIZAÇÕES. AF_11/2020</t>
  </si>
  <si>
    <t>102049</t>
  </si>
  <si>
    <t>MONTAGEM E DESMONTAGEM DE FÔRMA PARA ESCADAS, COM 1 LANCE E LAJE CASCATA, EM CHAPA DE MADEIRA COMPENSADA RESINADA, 4 UTILIZAÇÕES. AF_11/2020</t>
  </si>
  <si>
    <t>102050</t>
  </si>
  <si>
    <t>MONTAGEM E DESMONTAGEM DE FÔRMA PARA ESCADAS, COM 1 LANCE E LAJE CASCATA, EM CHAPA DE MADEIRA COMPENSADA PLASTIFICADA, 6 UTILIZAÇÕES. AF_11/2020</t>
  </si>
  <si>
    <t>102051</t>
  </si>
  <si>
    <t>MONTAGEM E DESMONTAGEM DE FÔRMA PARA ESCADAS, COM 1 LANCE E LAJE CASCATA, EM CHAPA DE MADEIRA COMPENSADA PLASTIFICADA, 8 UTILIZAÇÕES. AF_11/2020</t>
  </si>
  <si>
    <t>102052</t>
  </si>
  <si>
    <t>MONTAGEM E DESMONTAGEM DE FÔRMA PARA ESCADAS, COM 1 LANCE E LAJE CASCATA, EM CHAPA DE MADEIRA COMPENSADA PLASTIFICADA, 10 UTILIZAÇÕES. AF_11/2020</t>
  </si>
  <si>
    <t>102059</t>
  </si>
  <si>
    <t>MONTAGEM E DESMONTAGEM DE FÔRMA PARA ESCADA DUPLA COM 2 LANCES EM "X" E LAJE PLANA, EM MADEIRA SERRADA, 1 UTILIZAÇÃO. AF_11/2020</t>
  </si>
  <si>
    <t>102060</t>
  </si>
  <si>
    <t>MONTAGEM E DESMONTAGEM DE FÔRMA PARA ESCADA DUPLA COM 2 LANCES EM "X" E LAJE PLANA, EM MADEIRA SERRADA, 2 UTILIZAÇÕES. AF_11/2020</t>
  </si>
  <si>
    <t>102061</t>
  </si>
  <si>
    <t>MONTAGEM E DESMONTAGEM DE FÔRMA PARA ESCADA DUPLA COM 2 LANCES EM "X" E LAJE PLANA, EM CHAPA DE MADEIRA COMPENSADA RESINADA, 2 UTILIZAÇÕES. AF_11/2020</t>
  </si>
  <si>
    <t>102062</t>
  </si>
  <si>
    <t>MONTAGEM E DESMONTAGEM DE FÔRMA PARA ESCADA DUPLA COM 2 LANCES EM "X" E LAJE PLANA, EM CHAPA DE MADEIRA COMPENSADA RESINADA, 4 UTILIZAÇÕES. AF_11/2020</t>
  </si>
  <si>
    <t>102063</t>
  </si>
  <si>
    <t>MONTAGEM E DESMONTAGEM DE FÔRMA PARA ESCADA DUPLA COM 2 LANCES EM "X" E LAJE PLANA, EM CHAPA DE MADEIRA COMPENSADA PLASTIFICADA, 6 UTILIZAÇÕES. AF_11/2020</t>
  </si>
  <si>
    <t>102064</t>
  </si>
  <si>
    <t>MONTAGEM E DESMONTAGEM DE FÔRMA PARA ESCADA DUPLA COM 2 LANCES EM "X" E LAJE PLANA, EM CHAPA DE MADEIRA COMPENSADA PLASTIFICADA, 8 UTILIZAÇÕES. AF_11/2020</t>
  </si>
  <si>
    <t>102065</t>
  </si>
  <si>
    <t>MONTAGEM E DESMONTAGEM DE FÔRMA PARA ESCADA DUPLA COM 2 LANCES EM "X" E LAJE PLANA, EM CHAPA DE MADEIRA COMPENSADA PLASTIFICADA, 10 UTILIZAÇÕES. AF_11/2020</t>
  </si>
  <si>
    <t>102066</t>
  </si>
  <si>
    <t>MONTAGEM E DESMONTAGEM DE FÔRMA PARA ESCADA DUPLA COM 2 LANCES EM "X" E LAJE CASCATA, EM MADEIRA SERRADA, 1 UTILIZAÇÃO. AF_11/2020</t>
  </si>
  <si>
    <t>102067</t>
  </si>
  <si>
    <t>MONTAGEM E DESMONTAGEM DE FÔRMA PARA ESCADA DUPLA COM 2 LANCES EM "X" E LAJE CASCATA, EM MADEIRA SERRADA, 2 UTILIZAÇÕES. AF_11/2020</t>
  </si>
  <si>
    <t>102068</t>
  </si>
  <si>
    <t>MONTAGEM E DESMONTAGEM DE FÔRMA PARA ESCADA DUPLA COM 2 LANCES EM "X" E LAJE CASCATA, EM CHAPA DE MADEIRA COMPENSADA RESINADA, 2 UTILIZAÇÕES. AF_11/2020</t>
  </si>
  <si>
    <t>102069</t>
  </si>
  <si>
    <t>MONTAGEM E DESMONTAGEM DE FÔRMA PARA ESCADA DUPLA COM 2 LANCES EM "X" E LAJE CASCATA, EM CHAPA DE MADEIRA COMPENSADA RESINADA, 4 UTILIZAÇÕES. AF_11/2020</t>
  </si>
  <si>
    <t>102070</t>
  </si>
  <si>
    <t>MONTAGEM E DESMONTAGEM DE FÔRMA PARA ESCADA DUPLA COM 2 LANCES EM "X" E LAJE CASCATA, EM CHAPA DE MADEIRA COMPENSADA PLASTIFICADA, 6 UTILIZAÇÕES. AF_11/2020</t>
  </si>
  <si>
    <t>102071</t>
  </si>
  <si>
    <t>MONTAGEM E DESMONTAGEM DE FÔRMA PARA ESCADA DUPLA COM 2 LANCES EM "X" E LAJE CASCATA, EM CHAPA DE MADEIRA COMPENSADA PLASTIFICADA, 8 UTILIZAÇÕES. AF_11/2020</t>
  </si>
  <si>
    <t>102072</t>
  </si>
  <si>
    <t>MONTAGEM E DESMONTAGEM DE FÔRMA PARA ESCADA DUPLA COM 2 LANCES EM "X" E LAJE CASCATA, EM CHAPA DE MADEIRA COMPENSADA PLASTIFICADA, 10 UTILIZAÇÕES. AF_11/2020</t>
  </si>
  <si>
    <t>102073</t>
  </si>
  <si>
    <t>102074</t>
  </si>
  <si>
    <t>102075</t>
  </si>
  <si>
    <t>102076</t>
  </si>
  <si>
    <t>102077</t>
  </si>
  <si>
    <t>102078</t>
  </si>
  <si>
    <t>102079</t>
  </si>
  <si>
    <t>102080</t>
  </si>
  <si>
    <t>102086</t>
  </si>
  <si>
    <t>FABRICAÇÃO DE FÔRMA PARA ESCADA DUPLA COM 2 LANCES EM "X" E LAJE PLANA, EM CHAPA DE MADEIRA COMPENSADA PLASTIFICADA, E=18 MM. AF_11/2020</t>
  </si>
  <si>
    <t>102087</t>
  </si>
  <si>
    <t>FABRICAÇÃO DE FÔRMA PARA ESCADA DUPLA COM 2 LANCES EM "X" E LAJE PLANA, EM CHAPA DE MADEIRA COMPENSADA RESINADA, E= 17 MM. AF_11/2020</t>
  </si>
  <si>
    <t>102088</t>
  </si>
  <si>
    <t>102089</t>
  </si>
  <si>
    <t>FABRICAÇÃO DE FÔRMA PARA ESCADA DUPLA COM 2 LANCES EM "X" E LAJE CASCATA, EM CHAPA DE MADEIRA COMPENSADA PLASTIFICADA, E=18 MM. AF_11/2020</t>
  </si>
  <si>
    <t>102090</t>
  </si>
  <si>
    <t>FABRICAÇÃO DE FÔRMA PARA ESCADA DUPLA COM 2 LANCES EM "X" E LAJE CASCATA, EM CHAPA DE MADEIRA COMPENSADA RESINADA, E= 17 MM. AF_11/2020</t>
  </si>
  <si>
    <t>102091</t>
  </si>
  <si>
    <t>18,39</t>
  </si>
  <si>
    <t>95448</t>
  </si>
  <si>
    <t>95582</t>
  </si>
  <si>
    <t>13,29</t>
  </si>
  <si>
    <t>ARMAÇÃO DE ESCADA, DE UMA ESTRUTURA CONVENCIONAL DE CONCRETO ARMADO UTILIZANDO AÇO CA-60 DE 5,0 MM - MONTAGEM. AF_11/2020</t>
  </si>
  <si>
    <t>ARMAÇÃO DE ESCADA, DE UMA ESTRUTURA CONVENCIONAL DE CONCRETO ARMADO UTILIZANDO AÇO CA-50 DE 6,3 MM - MONTAGEM. AF_11/2020</t>
  </si>
  <si>
    <t>ARMAÇÃO DE ESCADA, DE UMA ESTRUTURA CONVENCIONAL DE CONCRETO ARMADO UTILIZANDO AÇO CA-50 DE 8,0 MM - MONTAGEM. AF_11/2020</t>
  </si>
  <si>
    <t>ARMAÇÃO DE ESCADA, DE UMA ESTRUTURA CONVENCIONAL DE CONCRETO ARMADO UTILIZANDO AÇO CA-50 DE 10,0 MM - MONTAGEM. AF_11/2020</t>
  </si>
  <si>
    <t>ARMAÇÃO DE ESCADA, DE UMA ESTRUTURA CONVENCIONAL DE CONCRETO ARMADO UTILIZANDO AÇO CA-50 DE 12,5 MM - MONTAGEM. AF_11/2020</t>
  </si>
  <si>
    <t>ARMAÇÃO DE ESCADA, DE UMA ESTRUTURA CONVENCIONAL DE CONCRETO ARMADO UTILIZANDO AÇO CA-50 DE 16,0 MM - MONTAGEM. AF_11/2020</t>
  </si>
  <si>
    <t>100064</t>
  </si>
  <si>
    <t>CONCRETO MAGRO PARA LASTRO, TRAÇO 1:4,5:4,5 (EM MASSA SECA DE CIMENTO/ AREIA MÉDIA/ BRITA 1) - PREPARO MECÂNICO COM BETONEIRA 400 L. AF_05/2021</t>
  </si>
  <si>
    <t>CONCRETO FCK = 15MPA, TRAÇO 1:3,4:3,5 (EM MASSA SECA DE CIMENTO/ AREIA MÉDIA/ BRITA 1) - PREPARO MECÂNICO COM BETONEIRA 400 L. AF_05/2021</t>
  </si>
  <si>
    <t>CONCRETO FCK = 20MPA, TRAÇO 1:2,7:3 (EM MASSA SECA DE CIMENTO/ AREIA MÉDIA/ BRITA 1) - PREPARO MECÂNICO COM BETONEIRA 400 L. AF_05/2021</t>
  </si>
  <si>
    <t>CONCRETO FCK = 25MPA, TRAÇO 1:2,3:2,7 (EM MASSA SECA DE CIMENTO/ AREIA MÉDIA/ BRITA 1) - PREPARO MECÂNICO COM BETONEIRA 400 L. AF_05/2021</t>
  </si>
  <si>
    <t>CONCRETO FCK = 30MPA, TRAÇO 1:2,1:2,5 (EM MASSA SECA DE CIMENTO/ AREIA MÉDIA/ BRITA 1) - PREPARO MECÂNICO COM BETONEIRA 400 L. AF_05/2021</t>
  </si>
  <si>
    <t>CONCRETO FCK = 40MPA, TRAÇO 1:1,6:1,9 (EM MASSA SECA DE CIMENTO/ AREIA MÉDIA/ BRITA 1) - PREPARO MECÂNICO COM BETONEIRA 400 L. AF_05/2021</t>
  </si>
  <si>
    <t>CONCRETO MAGRO PARA LASTRO, TRAÇO 1:4,5:4,5 (EM MASSA SECA DE CIMENTO/ AREIA MÉDIA/ BRITA 1) - PREPARO MECÂNICO COM BETONEIRA 600 L. AF_05/2021</t>
  </si>
  <si>
    <t>CONCRETO FCK = 15MPA, TRAÇO 1:3,4:3,5 (EM MASSA SECA DE CIMENTO/ AREIA MÉDIA/ BRITA 1) - PREPARO MECÂNICO COM BETONEIRA 600 L. AF_05/2021</t>
  </si>
  <si>
    <t>CONCRETO FCK = 20MPA, TRAÇO 1:2,7:3 (EM MASSA SECA DE CIMENTO/ AREIA MÉDIA/ BRITA 1) - PREPARO MECÂNICO COM BETONEIRA 600 L. AF_05/2021</t>
  </si>
  <si>
    <t>CONCRETO FCK = 25MPA, TRAÇO 1:2,3:2,7 (EM MASSA SECA DE CIMENTO/ AREIA MÉDIA/ BRITA 1) - PREPARO MECÂNICO COM BETONEIRA 600 L. AF_05/2021</t>
  </si>
  <si>
    <t>CONCRETO FCK = 30MPA, TRAÇO 1:2,1:2,5 (EM MASSA SECA DE CIMENTO/ AREIA MÉDIA/ BRITA 1) - PREPARO MECÂNICO COM BETONEIRA 600 L. AF_05/2021</t>
  </si>
  <si>
    <t>CONCRETO FCK = 40MPA, TRAÇO 1:1,6:1,9 (EM MASSA SECA DE CIMENTO/ AREIA MÉDIA/ BRITA 1) - PREPARO MECÂNICO COM BETONEIRA 600 L. AF_05/2021</t>
  </si>
  <si>
    <t>CONCRETO MAGRO PARA LASTRO, TRAÇO 1:4,5:4,5 (EM MASSA SECA DE CIMENTO/ AREIA MÉDIA/ BRITA 1) - PREPARO MANUAL. AF_05/2021</t>
  </si>
  <si>
    <t>CONCRETO FCK = 15MPA, TRAÇO 1:3,4:3,5 (EM MASSA SECA DE CIMENTO/ AREIA MÉDIA/ BRITA 1) - PREPARO MANUAL. AF_05/2021</t>
  </si>
  <si>
    <t>102473</t>
  </si>
  <si>
    <t>CONCRETO MAGRO PARA LASTRO, TRAÇO 1:4,5:4,5 (EM MASSA SECA DE CIMENTO/ AREIA MÉDIA/ SEIXO ROLADO) - PREPARO MECÂNICO COM BETONEIRA 400 L. AF_05/2021</t>
  </si>
  <si>
    <t>102474</t>
  </si>
  <si>
    <t>CONCRETO FCK = 15MPA, TRAÇO 1:3,4:3,4 (EM MASSA SECA DE CIMENTO/ AREIA MÉDIA/ SEIXO ROLADO) - PREPARO MECÂNICO COM BETONEIRA 400 L. AF_05/2021</t>
  </si>
  <si>
    <t>102475</t>
  </si>
  <si>
    <t>CONCRETO FCK = 20MPA, TRAÇO 1:2,6:2,9 (EM MASSA SECA DE CIMENTO/ AREIA MÉDIA/ SEIXO ROLADO) - PREPARO MECÂNICO COM BETONEIRA 400 L. AF_05/2021</t>
  </si>
  <si>
    <t>102476</t>
  </si>
  <si>
    <t>CONCRETO FCK = 25MPA, TRAÇO 1:2,2:2,5 (EM MASSA SECA DE CIMENTO/ AREIA MÉDIA/ SEIXO ROLADO) - PREPARO MECÂNICO COM BETONEIRA 400 L. AF_05/2021</t>
  </si>
  <si>
    <t>102477</t>
  </si>
  <si>
    <t>CONCRETO FCK = 30MPA, TRAÇO 1:1,9:2,3 (EM MASSA SECA DE CIMENTO/ AREIA MÉDIA/ SEIXO ROLADO) - PREPARO MECÂNICO COM BETONEIRA 400 L. AF_05/2021</t>
  </si>
  <si>
    <t>102478</t>
  </si>
  <si>
    <t>CONCRETO FCK = 40MPA, TRAÇO 1:1,4:1,8 (EM MASSA SECA DE CIMENTO/ AREIA MÉDIA/ SEIXO ROLADO) - PREPARO MECÂNICO COM BETONEIRA 400 L. AF_05/2021</t>
  </si>
  <si>
    <t>102479</t>
  </si>
  <si>
    <t>CONCRETO MAGRO PARA LASTRO, TRAÇO 1:4,5:4,5 (EM MASSA SECA DE CIMENTO/ AREIA MÉDIA/ SEIXO ROLADO) - PREPARO MECÂNICO COM BETONEIRA 600 L. AF_05/2021</t>
  </si>
  <si>
    <t>102480</t>
  </si>
  <si>
    <t>CONCRETO FCK = 15MPA, TRAÇO 1:3,4:3,4 (EM MASSA SECA DE CIMENTO/ AREIA MÉDIA/ SEIXO ROLADO) - PREPARO MECÂNICO COM BETONEIRA 600 L. AF_05/2021</t>
  </si>
  <si>
    <t>102481</t>
  </si>
  <si>
    <t>CONCRETO FCK = 20MPA, TRAÇO 1:2,6:2,9 (EM MASSA SECA DE CIMENTO/ AREIA MÉDIA/ SEIXO ROLADO) - PREPARO MECÂNICO COM BETONEIRA 600 L. AF_05/2021</t>
  </si>
  <si>
    <t>102482</t>
  </si>
  <si>
    <t>CONCRETO FCK = 25MPA, TRAÇO 1:2,2:2,5 (EM MASSA SECA DE CIMENTO/ AREIA MÉDIA/ SEIXO ROLADO) - PREPARO MECÂNICO COM BETONEIRA 600 L. AF_05/2021</t>
  </si>
  <si>
    <t>102483</t>
  </si>
  <si>
    <t>CONCRETO FCK = 30MPA, TRAÇO 1:1,9:2,3 (EM MASSA SECA DE CIMENTO/ AREIA MÉDIA/ SEIXO ROLADO) - PREPARO MECÂNICO COM BETONEIRA 600 L. AF_05/2021</t>
  </si>
  <si>
    <t>102484</t>
  </si>
  <si>
    <t>CONCRETO FCK = 40MPA, TRAÇO 1:1,4:1,8 (EM MASSA SECA DE CIMENTO/ AREIA MÉDIA/ SEIXO ROLADO) - PREPARO MECÂNICO COM BETONEIRA 600 L. AF_05/2021</t>
  </si>
  <si>
    <t>102485</t>
  </si>
  <si>
    <t>CONCRETO MAGRO PARA LASTRO, TRAÇO 1:4,5:4,5 (EM MASSA SECA DE CIMENTO/ AREIA MÉDIA/ SEIXO ROLADO) - PREPARO MANUAL. AF_05/2021</t>
  </si>
  <si>
    <t>102486</t>
  </si>
  <si>
    <t>CONCRETO FCK = 15MPA, TRAÇO 1:3,4:3,4 (EM MASSA SECA DE CIMENTO/ AREIA MÉDIA/ SEIXO ROLADO) - PREPARO MANUAL. AF_05/2021</t>
  </si>
  <si>
    <t>102487</t>
  </si>
  <si>
    <t>CONCRETO CICLÓPICO FCK = 15MPA, 30% PEDRA DE MÃO EM VOLUME REAL, INCLUSIVE LANÇAMENTO. AF_05/2021</t>
  </si>
  <si>
    <t>101963</t>
  </si>
  <si>
    <t>101964</t>
  </si>
  <si>
    <t>101165</t>
  </si>
  <si>
    <t>ALVENARIA DE EMBASAMENTO COM BLOCO ESTRUTURAL DE CONCRETO, DE 14X19X29CM E ARGAMASSA DE ASSENTAMENTO COM PREPARO EM BETONEIRA. AF_05/2020</t>
  </si>
  <si>
    <t>101166</t>
  </si>
  <si>
    <t>ALVENARIA DE EMBASAMENTO COM BLOCO ESTRUTURAL DE CERÂMICA, DE 14X19X29CM E ARGAMASSA DE ASSENTAMENTO COM PREPARO EM BETONEIRA. AF_05/2020</t>
  </si>
  <si>
    <t>34,03</t>
  </si>
  <si>
    <t>83,56</t>
  </si>
  <si>
    <t>100763</t>
  </si>
  <si>
    <t>100764</t>
  </si>
  <si>
    <t>100765</t>
  </si>
  <si>
    <t>100766</t>
  </si>
  <si>
    <t>100767</t>
  </si>
  <si>
    <t>100768</t>
  </si>
  <si>
    <t>100769</t>
  </si>
  <si>
    <t>100770</t>
  </si>
  <si>
    <t>100771</t>
  </si>
  <si>
    <t>100772</t>
  </si>
  <si>
    <t>100773</t>
  </si>
  <si>
    <t>100774</t>
  </si>
  <si>
    <t>100775</t>
  </si>
  <si>
    <t>100776</t>
  </si>
  <si>
    <t>100777</t>
  </si>
  <si>
    <t>100778</t>
  </si>
  <si>
    <t>98553</t>
  </si>
  <si>
    <t>98554</t>
  </si>
  <si>
    <t>29,52</t>
  </si>
  <si>
    <t>101884</t>
  </si>
  <si>
    <t>CABO DE COBRE ISOLADO, 10 MM², ANTI-CHAMA 450/750 V, INSTALADO EM ELETROCALHA OU PERFILADO - FORNECIMENTO E INSTALAÇÃO. AF_10/2020</t>
  </si>
  <si>
    <t>101885</t>
  </si>
  <si>
    <t>CABO DE COBRE ISOLADO, 10 MM², ANTI-CHAMA 0,6/1 KV, INSTALADO EM ELETROCALHA OU PERFILADO - FORNECIMENTO E INSTALAÇÃO. AF_10/2020</t>
  </si>
  <si>
    <t>101886</t>
  </si>
  <si>
    <t>CABO DE COBRE ISOLADO, 16 MM², ANTI-CHAMA 450/750 V, INSTALADO EM ELETROCALHA OU PERFILADO - FORNECIMENTO E INSTALAÇÃO. AF_10/2020</t>
  </si>
  <si>
    <t>101887</t>
  </si>
  <si>
    <t>CABO DE COBRE ISOLADO, 16 MM², ANTI-CHAMA 0,6/1 KV, INSTALADO EM ELETROCALHA OU PERFILADO - FORNECIMENTO E INSTALAÇÃO. AF_10/2020</t>
  </si>
  <si>
    <t>101888</t>
  </si>
  <si>
    <t>CABO DE COBRE ISOLADO, 25 MM², ANTI-CHAMA 450/750 V, INSTALADO EM ELETROCALHA OU PERFILADO - FORNECIMENTO E INSTALAÇÃO. AF_10/2020</t>
  </si>
  <si>
    <t>23,58</t>
  </si>
  <si>
    <t>101889</t>
  </si>
  <si>
    <t>CABO DE COBRE ISOLADO, 25 MM², ANTI-CHAMA 0,6/1 KV, INSTALADO EM ELETROCALHA OU PERFILADO - FORNECIMENTO E INSTALAÇÃO. AF_10/2020</t>
  </si>
  <si>
    <t>24,27</t>
  </si>
  <si>
    <t>29,41</t>
  </si>
  <si>
    <t>25,89</t>
  </si>
  <si>
    <t>97881</t>
  </si>
  <si>
    <t>CAIXA ENTERRADA ELÉTRICA RETANGULAR, EM CONCRETO PRÉ-MOLDADO, FUNDO COM BRITA, DIMENSÕES INTERNAS: 0,3X0,3X0,3 M. AF_12/2020</t>
  </si>
  <si>
    <t>97882</t>
  </si>
  <si>
    <t>CAIXA ENTERRADA ELÉTRICA RETANGULAR, EM CONCRETO PRÉ-MOLDADO, FUNDO COM BRITA, DIMENSÕES INTERNAS: 0,4X0,4X0,4 M. AF_12/2020</t>
  </si>
  <si>
    <t>97883</t>
  </si>
  <si>
    <t>CAIXA ENTERRADA ELÉTRICA RETANGULAR, EM CONCRETO PRÉ-MOLDADO, FUNDO COM BRITA, DIMENSÕES INTERNAS: 0,6X0,6X0,5 M. AF_12/2020</t>
  </si>
  <si>
    <t>97884</t>
  </si>
  <si>
    <t>CAIXA ENTERRADA ELÉTRICA RETANGULAR, EM CONCRETO PRÉ-MOLDADO, FUNDO COM BRITA, DIMENSÕES INTERNAS: 0,8X0,8X0,5 M. AF_12/2020</t>
  </si>
  <si>
    <t>97885</t>
  </si>
  <si>
    <t>CAIXA ENTERRADA ELÉTRICA RETANGULAR, EM CONCRETO PRÉ-MOLDADO, FUNDO COM BRITA, DIMENSÕES INTERNAS: 1X1X0,5 M. AF_12/2020</t>
  </si>
  <si>
    <t>CAIXA ENTERRADA ELÉTRICA RETANGULAR, EM ALVENARIA COM TIJOLOS CERÂMICOS MACIÇOS, FUNDO COM BRITA, DIMENSÕES INTERNAS: 0,3X0,3X0,3 M. AF_12/2020</t>
  </si>
  <si>
    <t>CAIXA ENTERRADA ELÉTRICA RETANGULAR, EM ALVENARIA COM TIJOLOS CERÂMICOS MACIÇOS, FUNDO COM BRITA, DIMENSÕES INTERNAS: 0,4X0,4X0,4 M. AF_12/2020</t>
  </si>
  <si>
    <t>CAIXA ENTERRADA ELÉTRICA RETANGULAR, EM ALVENARIA COM TIJOLOS CERÂMICOS MACIÇOS, FUNDO COM BRITA, DIMENSÕES INTERNAS: 0,6X0,6X0,6 M. AF_12/2020</t>
  </si>
  <si>
    <t>CAIXA ENTERRADA ELÉTRICA RETANGULAR, EM ALVENARIA COM TIJOLOS CERÂMICOS MACIÇOS, FUNDO COM BRITA, DIMENSÕES INTERNAS: 0,8X0,8X0,6 M. AF_12/2020</t>
  </si>
  <si>
    <t>CAIXA ENTERRADA ELÉTRICA RETANGULAR, EM ALVENARIA COM TIJOLOS CERÂMICOS MACIÇOS, FUNDO COM BRITA, DIMENSÕES INTERNAS: 1X1X0,6 M. AF_12/2020</t>
  </si>
  <si>
    <t>CAIXA ENTERRADA ELÉTRICA RETANGULAR, EM ALVENARIA COM BLOCOS DE CONCRETO, FUNDO COM BRITA, DIMENSÕES INTERNAS: 0,4X0,4X0,4 M. AF_12/2020</t>
  </si>
  <si>
    <t>CAIXA ENTERRADA ELÉTRICA RETANGULAR, EM ALVENARIA COM BLOCOS DE CONCRETO, FUNDO COM BRITA, DIMENSÕES INTERNAS: 0,6X0,6X0,6 M. AF_12/2020</t>
  </si>
  <si>
    <t>CAIXA ENTERRADA ELÉTRICA RETANGULAR, EM ALVENARIA COM BLOCOS DE CONCRETO, FUNDO COM BRITA, DIMENSÕES INTERNAS: 0,8X0,8X0,6 M. AF_12/2020</t>
  </si>
  <si>
    <t>CAIXA ENTERRADA ELÉTRICA RETANGULAR, EM ALVENARIA COM BLOCOS DE CONCRETO, FUNDO COM BRITA, DIMENSÕES INTERNAS: 1X1X0,6 M. AF_12/2020</t>
  </si>
  <si>
    <t>DISJUNTOR MONOPOLAR TIPO DIN, CORRENTE NOMINAL DE 10A - FORNECIMENTO E INSTALAÇÃO. AF_10/2020</t>
  </si>
  <si>
    <t>DISJUNTOR MONOPOLAR TIPO DIN, CORRENTE NOMINAL DE 16A - FORNECIMENTO E INSTALAÇÃO. AF_10/2020</t>
  </si>
  <si>
    <t>DISJUNTOR MONOPOLAR TIPO DIN, CORRENTE NOMINAL DE 20A - FORNECIMENTO E INSTALAÇÃO. AF_10/2020</t>
  </si>
  <si>
    <t>DISJUNTOR MONOPOLAR TIPO DIN, CORRENTE NOMINAL DE 25A - FORNECIMENTO E INSTALAÇÃO. AF_10/2020</t>
  </si>
  <si>
    <t>DISJUNTOR MONOPOLAR TIPO DIN, CORRENTE NOMINAL DE 32A - FORNECIMENTO E INSTALAÇÃO. AF_10/2020</t>
  </si>
  <si>
    <t>DISJUNTOR MONOPOLAR TIPO DIN, CORRENTE NOMINAL DE 40A - FORNECIMENTO E INSTALAÇÃO. AF_10/2020</t>
  </si>
  <si>
    <t>DISJUNTOR MONOPOLAR TIPO DIN, CORRENTE NOMINAL DE 50A - FORNECIMENTO E INSTALAÇÃO. AF_10/2020</t>
  </si>
  <si>
    <t>DISJUNTOR BIPOLAR TIPO DIN, CORRENTE NOMINAL DE 10A - FORNECIMENTO E INSTALAÇÃO. AF_10/2020</t>
  </si>
  <si>
    <t>DISJUNTOR BIPOLAR TIPO DIN, CORRENTE NOMINAL DE 16A - FORNECIMENTO E INSTALAÇÃO. AF_10/2020</t>
  </si>
  <si>
    <t>DISJUNTOR BIPOLAR TIPO DIN, CORRENTE NOMINAL DE 20A - FORNECIMENTO E INSTALAÇÃO. AF_10/2020</t>
  </si>
  <si>
    <t>DISJUNTOR BIPOLAR TIPO DIN, CORRENTE NOMINAL DE 25A - FORNECIMENTO E INSTALAÇÃO. AF_10/2020</t>
  </si>
  <si>
    <t>DISJUNTOR BIPOLAR TIPO DIN, CORRENTE NOMINAL DE 32A - FORNECIMENTO E INSTALAÇÃO. AF_10/2020</t>
  </si>
  <si>
    <t>DISJUNTOR BIPOLAR TIPO DIN, CORRENTE NOMINAL DE 40A - FORNECIMENTO E INSTALAÇÃO. AF_10/2020</t>
  </si>
  <si>
    <t>DISJUNTOR BIPOLAR TIPO DIN, CORRENTE NOMINAL DE 50A - FORNECIMENTO E INSTALAÇÃO. AF_10/2020</t>
  </si>
  <si>
    <t>DISJUNTOR TRIPOLAR TIPO DIN, CORRENTE NOMINAL DE 10A - FORNECIMENTO E INSTALAÇÃO. AF_10/2020</t>
  </si>
  <si>
    <t>DISJUNTOR TRIPOLAR TIPO DIN, CORRENTE NOMINAL DE 16A - FORNECIMENTO E INSTALAÇÃO. AF_10/2020</t>
  </si>
  <si>
    <t>DISJUNTOR TRIPOLAR TIPO DIN, CORRENTE NOMINAL DE 20A - FORNECIMENTO E INSTALAÇÃO. AF_10/2020</t>
  </si>
  <si>
    <t>DISJUNTOR TRIPOLAR TIPO DIN, CORRENTE NOMINAL DE 25A - FORNECIMENTO E INSTALAÇÃO. AF_10/2020</t>
  </si>
  <si>
    <t>DISJUNTOR TRIPOLAR TIPO DIN, CORRENTE NOMINAL DE 32A - FORNECIMENTO E INSTALAÇÃO. AF_10/2020</t>
  </si>
  <si>
    <t>DISJUNTOR TRIPOLAR TIPO DIN, CORRENTE NOMINAL DE 40A - FORNECIMENTO E INSTALAÇÃO. AF_10/2020</t>
  </si>
  <si>
    <t>DISJUNTOR TRIPOLAR TIPO DIN, CORRENTE NOMINAL DE 50A - FORNECIMENTO E INSTALAÇÃO. AF_10/2020</t>
  </si>
  <si>
    <t>97359</t>
  </si>
  <si>
    <t>QUADRO DE MEDIÇÃO GERAL DE ENERGIA COM 8 MEDIDORES - FORNECIMENTO E INSTALAÇÃO. AF_10/2020</t>
  </si>
  <si>
    <t>97360</t>
  </si>
  <si>
    <t>QUADRO DE MEDIÇÃO GERAL DE ENERGIA COM 12 MEDIDORES - FORNECIMENTO E INSTALAÇÃO. AF_10/2020</t>
  </si>
  <si>
    <t>97361</t>
  </si>
  <si>
    <t>QUADRO DE MEDIÇÃO GERAL DE ENERGIA COM 16 MEDIDORES - FORNECIMENTO E INSTALAÇÃO. AF_10/2020</t>
  </si>
  <si>
    <t>97362</t>
  </si>
  <si>
    <t>QUADRO DE MEDIÇÃO GERAL DE ENERGIA PARA BARRAMENTO BLINDADO COM 4 MEDIDORES - FORNECIMENTO E INSTALAÇÃO. AF_10/2020</t>
  </si>
  <si>
    <t>101875</t>
  </si>
  <si>
    <t>QUADRO DE DISTRIBUIÇÃO DE ENERGIA EM CHAPA DE AÇO GALVANIZADO, DE EMBUTIR, COM BARRAMENTO TRIFÁSICO, PARA 12 DISJUNTORES DIN 100A - FORNECIMENTO E INSTALAÇÃO. AF_10/2020</t>
  </si>
  <si>
    <t>101876</t>
  </si>
  <si>
    <t>QUADRO DE DISTRIBUIÇÃO DE ENERGIA EM PVC, DE EMBUTIR, SEM BARRAMENTO, PARA 6 DISJUNTORES - FORNECIMENTO E INSTALAÇÃO. AF_10/2020</t>
  </si>
  <si>
    <t>101877</t>
  </si>
  <si>
    <t>QUADRO DE DISTRIBUIÇÃO DE ENERGIA EM PVC, DE EMBUTIR, SEM BARRAMENTO, PARA 3 DISJUNTORES - FORNECIMENTO E INSTALAÇÃO. AF_10/2020</t>
  </si>
  <si>
    <t>101878</t>
  </si>
  <si>
    <t>QUADRO DE DISTRIBUIÇÃO DE ENERGIA EM CHAPA DE AÇO GALVANIZADO, DE SOBREPOR, COM BARRAMENTO TRIFÁSICO, PARA 18 DISJUNTORES DIN 100A - FORNECIMENTO E INSTALAÇÃO. AF_10/2020</t>
  </si>
  <si>
    <t>101879</t>
  </si>
  <si>
    <t>QUADRO DE DISTRIBUIÇÃO DE ENERGIA EM CHAPA DE AÇO GALVANIZADO, DE EMBUTIR, COM BARRAMENTO TRIFÁSICO, PARA 24 DISJUNTORES DIN 100A - FORNECIMENTO E INSTALAÇÃO. AF_10/2020</t>
  </si>
  <si>
    <t>101880</t>
  </si>
  <si>
    <t>QUADRO DE DISTRIBUIÇÃO DE ENERGIA EM CHAPA DE AÇO GALVANIZADO, DE EMBUTIR, COM BARRAMENTO TRIFÁSICO, PARA 30 DISJUNTORES DIN 150A - FORNECIMENTO E INSTALAÇÃO. AF_10/2020</t>
  </si>
  <si>
    <t>101881</t>
  </si>
  <si>
    <t>QUADRO DE DISTRIBUIÇÃO DE ENERGIA EM CHAPA DE AÇO GALVANIZADO, DE EMBUTIR, COM BARRAMENTO TRIFÁSICO, PARA 40 DISJUNTORES DIN 100A - FORNECIMENTO E INSTALAÇÃO. AF_10/2020</t>
  </si>
  <si>
    <t>101882</t>
  </si>
  <si>
    <t>QUADRO DE DISTRIBUIÇÃO DE ENERGIA EM CHAPA DE AÇO GALVANIZADO, DE EMBUTIR, COM BARRAMENTO TRIFÁSICO, PARA 30 DISJUNTORES DIN 225A - FORNECIMENTO E INSTALAÇÃO. AF_10/2020</t>
  </si>
  <si>
    <t>101883</t>
  </si>
  <si>
    <t>QUADRO DE DISTRIBUIÇÃO DE ENERGIA EM CHAPA DE AÇO GALVANIZADO, DE EMBUTIR, COM BARRAMENTO TRIFÁSICO, PARA 18 DISJUNTORES DIN 100A - FORNECIMENTO E INSTALAÇÃO. AF_10/2020</t>
  </si>
  <si>
    <t>101890</t>
  </si>
  <si>
    <t>DISJUNTOR MONOPOLAR TIPO NEMA, CORRENTE NOMINAL DE 10 ATÉ 30A - FORNECIMENTO E INSTALAÇÃO. AF_10/2020</t>
  </si>
  <si>
    <t>14,09</t>
  </si>
  <si>
    <t>101891</t>
  </si>
  <si>
    <t>DISJUNTOR MONOPOLAR TIPO NEMA, CORRENTE NOMINAL DE 35 ATÉ 50A - FORNECIMENTO E INSTALAÇÃO. AF_10/2020</t>
  </si>
  <si>
    <t>101892</t>
  </si>
  <si>
    <t>DISJUNTOR BIPOLAR TIPO NEMA, CORRENTE NOMINAL DE 10 ATÉ 50A - FORNECIMENTO E INSTALAÇÃO. AF_10/2020</t>
  </si>
  <si>
    <t>101893</t>
  </si>
  <si>
    <t>DISJUNTOR TRIPOLAR TIPO NEMA, CORRENTE NOMINAL DE 10 ATÉ 50A - FORNECIMENTO E INSTALAÇÃO. AF_10/2020</t>
  </si>
  <si>
    <t>101894</t>
  </si>
  <si>
    <t>DISJUNTOR TRIPOLAR TIPO NEMA, CORRENTE NOMINAL DE 60 ATÉ 100A - FORNECIMENTO E INSTALAÇÃO. AF_10/2020</t>
  </si>
  <si>
    <t>101895</t>
  </si>
  <si>
    <t>DISJUNTOR TERMOMAGNÉTICO TRIPOLAR , CORRENTE NOMINAL DE 125A - FORNECIMENTO E INSTALAÇÃO. AF_10/2020</t>
  </si>
  <si>
    <t>101896</t>
  </si>
  <si>
    <t>DISJUNTOR TERMOMAGNÉTICO TRIPOLAR , CORRENTE NOMINAL DE 200A - FORNECIMENTO E INSTALAÇÃO. AF_10/2020</t>
  </si>
  <si>
    <t>101897</t>
  </si>
  <si>
    <t>DISJUNTOR TERMOMAGNÉTICO TRIPOLAR , CORRENTE NOMINAL DE 250A - FORNECIMENTO E INSTALAÇÃO. AF_10/2020</t>
  </si>
  <si>
    <t>101898</t>
  </si>
  <si>
    <t>DISJUNTOR TERMOMAGNÉTICO TRIPOLAR , CORRENTE NOMINAL DE 400A - FORNECIMENTO E INSTALAÇÃO. AF_10/2020</t>
  </si>
  <si>
    <t>101899</t>
  </si>
  <si>
    <t>DISJUNTOR TERMOMAGNÉTICO TRIPOLAR , CORRENTE NOMINAL DE 600A - FORNECIMENTO E INSTALAÇÃO. AF_10/2020</t>
  </si>
  <si>
    <t>101900</t>
  </si>
  <si>
    <t>DISJUNTOR BAIXA TENSÃO TRIPOLAR A SECO  800A/600V - FORNECIMENTO E INSTALAÇÃO. AF_10/2020</t>
  </si>
  <si>
    <t>101901</t>
  </si>
  <si>
    <t>CONTATOR TRIPOLAR I NOMINAL 12A - FORNECIMENTO E INSTALAÇÃO. AF_10/2020</t>
  </si>
  <si>
    <t>101902</t>
  </si>
  <si>
    <t>CONTATOR TRIPOLAR I NOMINAL 22A - FORNECIMENTO E INSTALAÇÃO. AF_10/2020</t>
  </si>
  <si>
    <t>101903</t>
  </si>
  <si>
    <t>CONTATOR TRIPOLAR I NOMINAL 38A - FORNECIMENTO E INSTALAÇÃO. AF_10/2020</t>
  </si>
  <si>
    <t>101904</t>
  </si>
  <si>
    <t>CONTATOR TRIPOLAR I NOMIMAL 95A - FORNECIMENTO E INSTALAÇÃO. AF_10/2020</t>
  </si>
  <si>
    <t>101938</t>
  </si>
  <si>
    <t>CAIXA DE PROTEÇÃO PARA MEDIDOR MONOFÁSICO DE EMBUTIR - FORNECIMENTO E INSTALAÇÃO. AF_10/2020</t>
  </si>
  <si>
    <t>101946</t>
  </si>
  <si>
    <t>QUADRO DE MEDIÇÃO GERAL DE ENERGIA PARA 1 MEDIDOR DE SOBREPOR - FORNECIMENTO E INSTALAÇÃO. AF_10/2020</t>
  </si>
  <si>
    <t>78,16</t>
  </si>
  <si>
    <t>34,86</t>
  </si>
  <si>
    <t>20,08</t>
  </si>
  <si>
    <t>29,26</t>
  </si>
  <si>
    <t>61,53</t>
  </si>
  <si>
    <t>61,32</t>
  </si>
  <si>
    <t>63,43</t>
  </si>
  <si>
    <t>100902</t>
  </si>
  <si>
    <t>100903</t>
  </si>
  <si>
    <t>69,93</t>
  </si>
  <si>
    <t>101489</t>
  </si>
  <si>
    <t>101490</t>
  </si>
  <si>
    <t>101491</t>
  </si>
  <si>
    <t>101492</t>
  </si>
  <si>
    <t>101493</t>
  </si>
  <si>
    <t>101494</t>
  </si>
  <si>
    <t>101495</t>
  </si>
  <si>
    <t>101496</t>
  </si>
  <si>
    <t>101497</t>
  </si>
  <si>
    <t>101498</t>
  </si>
  <si>
    <t>101499</t>
  </si>
  <si>
    <t>101500</t>
  </si>
  <si>
    <t>101501</t>
  </si>
  <si>
    <t>101502</t>
  </si>
  <si>
    <t>101503</t>
  </si>
  <si>
    <t>101504</t>
  </si>
  <si>
    <t>101505</t>
  </si>
  <si>
    <t>101506</t>
  </si>
  <si>
    <t>101507</t>
  </si>
  <si>
    <t>101508</t>
  </si>
  <si>
    <t>101509</t>
  </si>
  <si>
    <t>101510</t>
  </si>
  <si>
    <t>101511</t>
  </si>
  <si>
    <t>101512</t>
  </si>
  <si>
    <t>101513</t>
  </si>
  <si>
    <t>101514</t>
  </si>
  <si>
    <t>101515</t>
  </si>
  <si>
    <t>101516</t>
  </si>
  <si>
    <t>101517</t>
  </si>
  <si>
    <t>101518</t>
  </si>
  <si>
    <t>101519</t>
  </si>
  <si>
    <t>101520</t>
  </si>
  <si>
    <t>101521</t>
  </si>
  <si>
    <t>101522</t>
  </si>
  <si>
    <t>101523</t>
  </si>
  <si>
    <t>101524</t>
  </si>
  <si>
    <t>101525</t>
  </si>
  <si>
    <t>101526</t>
  </si>
  <si>
    <t>101527</t>
  </si>
  <si>
    <t>101528</t>
  </si>
  <si>
    <t>101529</t>
  </si>
  <si>
    <t>101530</t>
  </si>
  <si>
    <t>101531</t>
  </si>
  <si>
    <t>101532</t>
  </si>
  <si>
    <t>101533</t>
  </si>
  <si>
    <t>101534</t>
  </si>
  <si>
    <t>101535</t>
  </si>
  <si>
    <t>101536</t>
  </si>
  <si>
    <t>101537</t>
  </si>
  <si>
    <t>APARELHO SINALIZADOR DE SAÍDA DE GARAGEM, COM CÉLULA FOTOELÉTRICA - FORNECIMENTO E INSTALAÇÃO. AF_07/2020</t>
  </si>
  <si>
    <t>142,80</t>
  </si>
  <si>
    <t>101538</t>
  </si>
  <si>
    <t>ARMAÇÃO SECUNDÁRIA, COM 1 ESTRIBO E 1 ISOLADOR - FORNECIMENTO E INSTALAÇÃO. AF_07/2020</t>
  </si>
  <si>
    <t>101539</t>
  </si>
  <si>
    <t>ARMAÇÃO SECUNDÁRIA, COM 2 ESTRIBOS E 2 ISOLADORES - FORNECIMENTO E INSTALAÇÃO. AF_07/2020</t>
  </si>
  <si>
    <t>101540</t>
  </si>
  <si>
    <t>ARMAÇÃO SECUNDÁRIA, COM 3 ESTRIBOS E 3 ISOLADORES - FORNECIMENTO E INSTALAÇÃO. AF_07/2020</t>
  </si>
  <si>
    <t>101541</t>
  </si>
  <si>
    <t>ARMAÇÃO SECUNDÁRIA, COM 4 ESTRIBOS E 4 ISOLADORES - FORNECIMENTO E INSTALAÇÃO. AF_07/2020</t>
  </si>
  <si>
    <t>101542</t>
  </si>
  <si>
    <t>ARMAÇÃO SECUNDÁRIA, COM 1 ESTRIBO, SEM ISOLADOR - FORNECIMENTO E INSTALAÇÃO. AF_07/2020</t>
  </si>
  <si>
    <t>101543</t>
  </si>
  <si>
    <t>ARMAÇÃO SECUNDÁRIA, COM 2 ESTRIBOS, SEM ISOLADOR - FORNECIMENTO E INSTALAÇÃO. AF_07/2020</t>
  </si>
  <si>
    <t>101544</t>
  </si>
  <si>
    <t>ARMAÇÃO SECUNDÁRIA, COM 3 ESTRIBOS, SEM ISOLADOR - FORNECIMENTO E INSTALAÇÃO. AF_07/2020</t>
  </si>
  <si>
    <t>101545</t>
  </si>
  <si>
    <t>ARMAÇÃO SECUNDÁRIA, COM 4 ESTRIBOS, SEM ISOLADOR - FORNECIMENTO E INSTALAÇÃO. AF_07/2020</t>
  </si>
  <si>
    <t>101546</t>
  </si>
  <si>
    <t>ISOLADOR, TIPO PINO, PARA TENSÃO 15 KV - FORNECIMENTO E INSTALAÇÃO. AF_07/2020</t>
  </si>
  <si>
    <t>101547</t>
  </si>
  <si>
    <t>ISOLADOR, TIPO DISCO, PARA TENSÃO 15 KV - FORNECIMENTO E INSTALAÇÃO. AF_07/2020</t>
  </si>
  <si>
    <t>101548</t>
  </si>
  <si>
    <t>ISOLADOR, TIPO ROLDANA, PARA BAIXA TENSÃO - FORNECIMENTO E INSTALAÇÃO. AF_07/2020</t>
  </si>
  <si>
    <t>101549</t>
  </si>
  <si>
    <t>GRAMPO PARALELO METÁLICO, PARA REDES AÉREAS DE DISTRIBUIÇÃO DE ENERGIA ELÉTRICA DE BAIXA TENSÃO - FORNECIMENTO E INSTALAÇÃO. AF_07/2020</t>
  </si>
  <si>
    <t>101553</t>
  </si>
  <si>
    <t>ALÇA PREFORMADA DE DISTRIBUIÇÃO, EM  AÇO GALVANIZADO, AWG 1 - FORNECIMENTO E INSTALAÇÃO. AF_07/2020</t>
  </si>
  <si>
    <t>101554</t>
  </si>
  <si>
    <t>ALÇA PREFORMADA DE DISTRIBUIÇÃO, EM  AÇO GALVANIZADO, AWG 2 - FORNECIMENTO E INSTALAÇÃO. AF_07/2020</t>
  </si>
  <si>
    <t>101555</t>
  </si>
  <si>
    <t>ALÇA PREFORMADA DE DISTRIBUIÇÃO, EM  AÇO GALVANIZADO, AWG 4 - FORNECIMENTO E INSTALAÇÃO. AF_07/2020</t>
  </si>
  <si>
    <t>101556</t>
  </si>
  <si>
    <t>ALÇA PREFORMADA DE DISTRIBUIÇÃO, EM  AÇO GALVANIZADO, AWG 6 - FORNECIMENTO E INSTALAÇÃO. AF_07/2020</t>
  </si>
  <si>
    <t>101560</t>
  </si>
  <si>
    <t>CABO DE COBRE FLEXÍVEL ISOLADO, 10 MM², 0,6/1,0 KV, PARA REDE AÉREA DE DISTRIBUIÇÃO DE ENERGIA ELÉTRICA DE BAIXA TENSÃO - FORNECIMENTO E INSTALAÇÃO. AF_07/2020</t>
  </si>
  <si>
    <t>101561</t>
  </si>
  <si>
    <t>CABO DE COBRE FLEXÍVEL ISOLADO, 16 MM², 0,6/1,0 KV, PARA REDE AÉREA DE DISTRIBUIÇÃO DE ENERGIA ELÉTRICA DE BAIXA TENSÃO - FORNECIMENTO E INSTALAÇÃO. AF_07/2020</t>
  </si>
  <si>
    <t>101562</t>
  </si>
  <si>
    <t>CABO DE COBRE FLEXÍVEL ISOLADO, 25 MM², 0,6/1,0 KV, PARA REDE AÉREA DE DISTRIBUIÇÃO DE ENERGIA ELÉTRICA DE BAIXA TENSÃO - FORNECIMENTO E INSTALAÇÃO. AF_07/2020</t>
  </si>
  <si>
    <t>101563</t>
  </si>
  <si>
    <t>CABO DE COBRE FLEXÍVEL ISOLADO, 35 MM², 0,6/1,0 KV, PARA REDE AÉREA DE DISTRIBUIÇÃO DE ENERGIA ELÉTRICA DE BAIXA TENSÃO - FORNECIMENTO E INSTALAÇÃO. AF_07/2020</t>
  </si>
  <si>
    <t>101564</t>
  </si>
  <si>
    <t>CABO DE COBRE FLEXÍVEL ISOLADO, 50 MM², 0,6/1,0 KV, PARA REDE AÉREA DE DISTRIBUIÇÃO DE ENERGIA ELÉTRICA DE BAIXA TENSÃO - FORNECIMENTO E INSTALAÇÃO. AF_07/2020</t>
  </si>
  <si>
    <t>101565</t>
  </si>
  <si>
    <t>CABO DE COBRE FLEXÍVEL ISOLADO, 70 MM², 0,6/1,0 KV, PARA REDE AÉREA DE DISTRIBUIÇÃO DE ENERGIA ELÉTRICA DE BAIXA TENSÃO - FORNECIMENTO E INSTALAÇÃO. AF_07/2020</t>
  </si>
  <si>
    <t>101567</t>
  </si>
  <si>
    <t>CABO DE COBRE FLEXÍVEL ISOLADO, 95 MM², 0,6/1,0 KV, PARA REDE AÉREA DE DISTRIBUIÇÃO DE ENERGIA ELÉTRICA DE BAIXA TENSÃO - FORNECIMENTO E INSTALAÇÃO. AF_07/2020</t>
  </si>
  <si>
    <t>101568</t>
  </si>
  <si>
    <t>CABO DE COBRE FLEXÍVEL ISOLADO, 120 MM², 0,6/1,0 KV, PARA REDE AÉREA DE DISTRIBUIÇÃO DE ENERGIA ELÉTRICA DE BAIXA TENSÃO - FORNECIMENTO E INSTALAÇÃO. AF_07/2020</t>
  </si>
  <si>
    <t>101630</t>
  </si>
  <si>
    <t>SUBSTITUIÇÃO DE REATOR PARA ILUMINAÇÃO PÚBLICA (NÃO INCLUI FORNECIMENTO). AF_08/2020</t>
  </si>
  <si>
    <t>101632</t>
  </si>
  <si>
    <t>RELÉ FOTOELÉTRICO PARA COMANDO DE ILUMINAÇÃO EXTERNA 1000 W - FORNECIMENTO E INSTALAÇÃO. AF_08/2020</t>
  </si>
  <si>
    <t>101633</t>
  </si>
  <si>
    <t>SUBSTITUIÇÃO DE RELÉ FOTOELÉTRICO PARA COMANDO DE ILUMINAÇÃO EXTERNA 1000 W - FORNECIMENTO E INSTALAÇÃO. AF_08/2020</t>
  </si>
  <si>
    <t>101636</t>
  </si>
  <si>
    <t>BRAÇO PARA ILUMINAÇÃO PÚBLICA, EM TUBO DE AÇO GALVANIZADO, COMPRIMENTO DE 1,50 M, PARA FIXAÇÃO EM POSTE DE CONCRETO - FORNECIMENTO E INSTALAÇÃO. AF_08/2020</t>
  </si>
  <si>
    <t>101637</t>
  </si>
  <si>
    <t>BRAÇO PARA ILUMINAÇÃO PÚBLICA, EM TUBO DE AÇO GALVANIZADO, COMPRIMENTO DE 1,50 M, PARA FIXAÇÃO EM POSTE METÁLICO - FORNECIMENTO E INSTALAÇÃO. AF_08/2020</t>
  </si>
  <si>
    <t>47,20</t>
  </si>
  <si>
    <t>101651</t>
  </si>
  <si>
    <t>SUBSTITUIÇÃO DE LÂMPADA PARA ILUMINAÇÃO PÚBLICA (NÃO INCLUI FORNECIMENTO). AF_08/2020</t>
  </si>
  <si>
    <t>101653</t>
  </si>
  <si>
    <t>LUMINÁRIA ABERTA PARA ILUMINAÇÃO PÚBLICA, PARA LÂMPADA VAPOR DE MERCÚRIO ATÉ 400 W E MISTA ATÉ 500 W, COM BRAÇO EM TUBO DE AÇO GALV 1", COMPRIMENTO DE 1,50 M, PARA POSTE DE CONCRETO - FORNECIMENTO E INSTALAÇÃO (EXCLUSIVE LÂMPADA E REATOR). AF_08/2020</t>
  </si>
  <si>
    <t>101654</t>
  </si>
  <si>
    <t>LUMINÁRIA DE LED PARA ILUMINAÇÃO PÚBLICA, DE 33 W ATÉ 50 W - FORNECIMENTO E INSTALAÇÃO. AF_08/2020</t>
  </si>
  <si>
    <t>101655</t>
  </si>
  <si>
    <t>LUMINÁRIA DE LED PARA ILUMINAÇÃO PÚBLICA, DE 51 W ATÉ 67 W - FORNECIMENTO E INSTALAÇÃO. AF_08/2020</t>
  </si>
  <si>
    <t>101656</t>
  </si>
  <si>
    <t>LUMINÁRIA DE LED PARA ILUMINAÇÃO PÚBLICA, DE 68 W ATÉ 97 W - FORNECIMENTO E INSTALAÇÃO. AF_08/2020</t>
  </si>
  <si>
    <t>101657</t>
  </si>
  <si>
    <t>LUMINÁRIA DE LED PARA ILUMINAÇÃO PÚBLICA, DE 98 W ATÉ 137 W - FORNECIMENTO E INSTALAÇÃO. AF_08/2020</t>
  </si>
  <si>
    <t>101658</t>
  </si>
  <si>
    <t>LUMINÁRIA DE LED PARA ILUMINAÇÃO PÚBLICA, DE 138 W ATÉ 180 W - FORNECIMENTO E INSTALAÇÃO. AF_08/2020</t>
  </si>
  <si>
    <t>101659</t>
  </si>
  <si>
    <t>LUMINÁRIA DE LED PARA ILUMINAÇÃO PÚBLICA, DE 181 W ATÉ 239 W - FORNECIMENTO E INSTALAÇÃO. AF_08/2020</t>
  </si>
  <si>
    <t>101660</t>
  </si>
  <si>
    <t>LUMINÁRIA DE LED PARA ILUMINAÇÃO PÚBLICA, DE 240 W ATÉ 350 W - FORNECIMENTO E INSTALAÇÃO. AF_08/2020</t>
  </si>
  <si>
    <t>101661</t>
  </si>
  <si>
    <t>SUBSTITUIÇÃO DE LUMINÁRIA DE VAPOR DE MERCÚRIO/VAPOR DE SÓDIO POR LUMINÁRIA DE LED PARA ILUMINAÇÃO PÚBLICA (NÃO INCLUI FORNECIMENTO). AF_08/2020</t>
  </si>
  <si>
    <t>85,56</t>
  </si>
  <si>
    <t>101663</t>
  </si>
  <si>
    <t>ABRAÇADEIRA DE FIXAÇÃO DE BRAÇOS DE LUMINÁRIAS DE 2" - FORNECIMENTO E INSTALAÇÃO. AF_08/2020</t>
  </si>
  <si>
    <t>101664</t>
  </si>
  <si>
    <t>ABRAÇADEIRA DE FIXAÇÃO DE BRAÇOS DE LUMINÁRIAS DE 3" - FORNECIMENTO E INSTALAÇÃO. AF_08/2020</t>
  </si>
  <si>
    <t>101665</t>
  </si>
  <si>
    <t>ABRAÇADEIRA DE FIXAÇÃO DE BRAÇOS DE LUMINÁRIAS DE 4" - FORNECIMENTO E INSTALAÇÃO. AF_08/2020</t>
  </si>
  <si>
    <t>102102</t>
  </si>
  <si>
    <t>TRANSFORMADOR DE DISTRIBUIÇÃO, 30 KVA, TRIFÁSICO, 60 HZ, CLASSE 15 KV, IMERSO EM ÓLEO MINERAL, INSTALAÇÃO EM POSTE (NÃO INCLUSO SUPORTE) - FORNECIMENTO E INSTALAÇÃO. AF_12/2020</t>
  </si>
  <si>
    <t>102103</t>
  </si>
  <si>
    <t>TRANSFORMADOR DE DISTRIBUIÇÃO, 45 KVA, TRIFÁSICO, 60 HZ, CLASSE 15 KV, IMERSO EM ÓLEO MINERAL, INSTALAÇÃO EM POSTE (NÃO INCLUSO SUPORTE) - FORNECIMENTO E INSTALAÇÃO. AF_12/2020</t>
  </si>
  <si>
    <t>102104</t>
  </si>
  <si>
    <t>TRANSFORMADOR DE DISTRIBUIÇÃO, 75 KVA, TRIFÁSICO, 60 HZ, CLASSE 15 KV, IMERSO EM ÓLEO MINERAL, INSTALAÇÃO EM POSTE (NÃO INCLUSO SUPORTE) - FORNECIMENTO E INSTALAÇÃO. AF_12/2020</t>
  </si>
  <si>
    <t>102105</t>
  </si>
  <si>
    <t>TRANSFORMADOR DE DISTRIBUIÇÃO, 112,5 KVA, TRIFÁSICO, 60 HZ, CLASSE 15 KV, IMERSO EM ÓLEO MINERAL, INSTALAÇÃO EM POSTE (NÃO INCLUSO SUPORTE) - FORNECIMENTO E INSTALAÇÃO. AF_12/2020</t>
  </si>
  <si>
    <t>102106</t>
  </si>
  <si>
    <t>TRANSFORMADOR DE DISTRIBUIÇÃO, 150 KVA, TRIFÁSICO, 60 HZ, CLASSE 15 KV, IMERSO EM ÓLEO MINERAL, INSTALAÇÃO EM POSTE (NÃO INCLUSO SUPORTE) - FORNECIMENTO E INSTALAÇÃO. AF_12/2020</t>
  </si>
  <si>
    <t>102107</t>
  </si>
  <si>
    <t>TRANSFORMADOR DE DISTRIBUIÇÃO, 225 KVA, TRIFÁSICO, 60 HZ, CLASSE 15 KV, IMERSO EM ÓLEO MINERAL, INSTALAÇÃO EM POSTE (NÃO INCLUSO SUPORTE) - FORNECIMENTO E INSTALAÇÃO. AF_12/2020</t>
  </si>
  <si>
    <t>102108</t>
  </si>
  <si>
    <t>TRANSFORMADOR DE DISTRIBUIÇÃO, 300 KVA, TRIFÁSICO, 60 HZ, CLASSE 15 KV, IMERSO EM ÓLEO MINERAL, INSTALAÇÃO EM POSTE (NÃO INCLUSO SUPORTE) - FORNECIMENTO E INSTALAÇÃO. AF_12/2020</t>
  </si>
  <si>
    <t>102109</t>
  </si>
  <si>
    <t>SUPORTE PARA TRANSFORMADOR EM POSTE DE CONCRETO CIRCULAR - FORNECIMENTO E INSTALAÇÃO. AF_12/2020</t>
  </si>
  <si>
    <t>102110</t>
  </si>
  <si>
    <t>SUPORTE PARA TRANSFORMADOR EM POSTE DE CONCRETO DUPLO T - FORNECIMENTO E INSTALAÇÃO. AF_12/2020</t>
  </si>
  <si>
    <t>ABRIGO PARA HIDRANTE, 90X60X17CM, COM REGISTRO GLOBO ANGULAR 45 GRAUS 2 1/2", ADAPTADOR STORZ 2 1/2", MANGUEIRA DE INCÊNDIO 20M, REDUÇÃO 2 1/2" X 1 1/2" E ESGUICHO EM LATÃO 1 1/2" - FORNECIMENTO E INSTALAÇÃO. AF_10/2020</t>
  </si>
  <si>
    <t>101905</t>
  </si>
  <si>
    <t>101906</t>
  </si>
  <si>
    <t>101907</t>
  </si>
  <si>
    <t>101908</t>
  </si>
  <si>
    <t>101909</t>
  </si>
  <si>
    <t>101910</t>
  </si>
  <si>
    <t>101911</t>
  </si>
  <si>
    <t>101912</t>
  </si>
  <si>
    <t>ABRIGO PARA HIDRANTE, 75X45X17CM, COM REGISTRO GLOBO ANGULAR 45 GRAUS 2 1/2", ADAPTADOR STORZ 2 1/2", MANGUEIRA DE INCÊNDIO 15M 2 1/2" E ESGUICHO EM LATÃO 2 1/2" - FORNECIMENTO E INSTALAÇÃO. AF_10/2020</t>
  </si>
  <si>
    <t>101913</t>
  </si>
  <si>
    <t>CAIXA DE INCÊNDIO 45X75X17CM - FORNECIMENTO E INSTALAÇÃO. AF_10/2020</t>
  </si>
  <si>
    <t>101914</t>
  </si>
  <si>
    <t>CAIXA DE INCÊNDIO 60X90X17CM - FORNECIMENTO E INSTALAÇÃO. AF_10/2020</t>
  </si>
  <si>
    <t>101915</t>
  </si>
  <si>
    <t>CONJUNTO DE MANGUEIRA PARA COMBATE A INCÊNDIO EM FIBRA DE POLIESTER PURA, COM 1.1/2", REVESTIDA INTERNAMENTE, COMPRIMENTO DE 15M - FORNECIMENTO E INSTALAÇÃO. AF_10/2020</t>
  </si>
  <si>
    <t>101916</t>
  </si>
  <si>
    <t>HIDRANTE SUBTERRÂNEO PREDIAL (COM CURVA LONGA E CAIXA), DN 75 MM - FORNECIMENTO E INSTALAÇÃO. AF_10/2020</t>
  </si>
  <si>
    <t>101917</t>
  </si>
  <si>
    <t>MANÔMETRO 0 A 200 PSI (0 A 14 KGF/CM2), D = 50MM - FORNECIMENTO E INSTALAÇÃO. AF_10/2020</t>
  </si>
  <si>
    <t>16,96</t>
  </si>
  <si>
    <t>101795</t>
  </si>
  <si>
    <t>CAIXA ENTERRADA PARA INSTALAÇÕES TELEFÔNICAS TIPO R1, EM ALVENARIA COM BLOCOS DE CONCRETO, DIMENSÕES INTERNAS: 0,35X0,60X0,60 M, EXCLUINDO TAMPÃO. AF_12/2020</t>
  </si>
  <si>
    <t>101798</t>
  </si>
  <si>
    <t>TAMPA PARA CAIXA TIPO R1, EM FERRO FUNDIDO, DIMENSÕES INTERNAS: 0,40 X 0,60 M - FORNECIMENTO E INSTALAÇÃO. AF_12/2020</t>
  </si>
  <si>
    <t>101799</t>
  </si>
  <si>
    <t>TAMPA PARA CAIXA TIPO R2 E R3, EM FERRO FUNDIDO, DIMENSÕES INTERNAS: 0,55 X 1,10 M - FORNECIMENTO E INSTALAÇÃO. AF_12/2020</t>
  </si>
  <si>
    <t>101936</t>
  </si>
  <si>
    <t>101937</t>
  </si>
  <si>
    <t>113,89</t>
  </si>
  <si>
    <t>117,69</t>
  </si>
  <si>
    <t>TUBO DE AÇO GALVANIZADO COM COSTURA, CLASSE MÉDIA, CONEXÃO RANHURADA, DN 50 (2"), INSTALADO EM PRUMADAS - FORNECIMENTO E INSTALAÇÃO. AF_10/2020</t>
  </si>
  <si>
    <t>TUBO DE AÇO GALVANIZADO COM COSTURA, CLASSE MÉDIA, CONEXÃO RANHURADA, DN 65 (2 1/2"), INSTALADO EM PRUMADAS - FORNECIMENTO E INSTALAÇÃO. AF_10/2020</t>
  </si>
  <si>
    <t>TUBO DE AÇO GALVANIZADO COM COSTURA, CLASSE MÉDIA, CONEXÃO RANHURADA, DN 80 (3"), INSTALADO EM PRUMADAS - FORNECIMENTO E INSTALAÇÃO. AF_10/2020</t>
  </si>
  <si>
    <t>TUBO DE AÇO PRETO SEM COSTURA, CONEXÃO SOLDADA, DN 50 (2"), INSTALADO EM PRUMADAS - FORNECIMENTO E INSTALAÇÃO. AF_10/2020</t>
  </si>
  <si>
    <t>TUBO DE AÇO PRETO SEM COSTURA, CONEXÃO SOLDADA, DN 65 (2 1/2"), INSTALADO EM PRUMADAS - FORNECIMENTO E INSTALAÇÃO. AF_10/2020</t>
  </si>
  <si>
    <t>TUBO DE AÇO GALVANIZADO COM COSTURA, CLASSE MÉDIA, DN 50 (2"), CONEXÃO ROSQUEADA, INSTALADO EM PRUMADAS - FORNECIMENTO E INSTALAÇÃO. AF_10/2020</t>
  </si>
  <si>
    <t>TUBO DE AÇO GALVANIZADO COM COSTURA, CLASSE MÉDIA, DN 65 (2 1/2"), CONEXÃO ROSQUEADA, INSTALADO EM PRUMADAS - FORNECIMENTO E INSTALAÇÃO. AF_10/2020</t>
  </si>
  <si>
    <t>TUBO DE AÇO GALVANIZADO COM COSTURA, CLASSE MÉDIA, DN 80 (3"), CONEXÃO ROSQUEADA, INSTALADO EM PRUMADAS - FORNECIMENTO E INSTALAÇÃO. AF_10/2020</t>
  </si>
  <si>
    <t>92359</t>
  </si>
  <si>
    <t>TUBO DE AÇO PRETO SEM COSTURA, CONEXÃO SOLDADA, DN 25 (1"), INSTALADO EM REDE DE ALIMENTAÇÃO PARA HIDRANTE - FORNECIMENTO E INSTALAÇÃO. AF_10/2020</t>
  </si>
  <si>
    <t>92360</t>
  </si>
  <si>
    <t>TUBO DE AÇO PRETO SEM COSTURA, CONEXÃO SOLDADA, DN 32 (1 1/4"), INSTALADO EM REDE DE ALIMENTAÇÃO PARA HIDRANTE - FORNECIMENTO E INSTALAÇÃO. AF_10/2020</t>
  </si>
  <si>
    <t>TUBO DE AÇO PRETO SEM COSTURA, CONEXÃO SOLDADA, DN 50 (2"), INSTALADO EM REDE DE ALIMENTAÇÃO PARA HIDRANTE - FORNECIMENTO E INSTALAÇÃO. AF_10/2020</t>
  </si>
  <si>
    <t>TUBO DE AÇO PRETO SEM COSTURA, CONEXÃO SOLDADA, DN 65 (2 1/2"), INSTALADO EM REDE DE ALIMENTAÇÃO PARA HIDRANTE - FORNECIMENTO E INSTALAÇÃO. AF_10/2020</t>
  </si>
  <si>
    <t>TUBO DE AÇO GALVANIZADO COM COSTURA, CLASSE MÉDIA, DN 32 (1 1/4"), CONEXÃO ROSQUEADA, INSTALADO EM REDE DE ALIMENTAÇÃO PARA HIDRANTE - FORNECIMENTO E INSTALAÇÃO. AF_10/2020</t>
  </si>
  <si>
    <t>TUBO DE AÇO GALVANIZADO COM COSTURA, CLASSE MÉDIA, DN 40 (1 1/2"), CONEXÃO ROSQUEADA, INSTALADO EM REDE DE ALIMENTAÇÃO PARA HIDRANTE - FORNECIMENTO E INSTALAÇÃO. AF_10/2020</t>
  </si>
  <si>
    <t>TUBO DE AÇO GALVANIZADO COM COSTURA, CLASSE MÉDIA, DN 50 (2"), CONEXÃO ROSQUEADA, INSTALADO EM REDE DE ALIMENTAÇÃO PARA HIDRANTE - FORNECIMENTO E INSTALAÇÃO. AF_10/2020</t>
  </si>
  <si>
    <t>TUBO DE AÇO GALVANIZADO COM COSTURA, CLASSE MÉDIA, DN 65 (2 1/2"), CONEXÃO ROSQUEADA, INSTALADO EM REDE DE ALIMENTAÇÃO PARA HIDRANTE - FORNECIMENTO E INSTALAÇÃO. AF_10/2020</t>
  </si>
  <si>
    <t>TUBO DE AÇO GALVANIZADO COM COSTURA, CLASSE MÉDIA, DN 80 (3"), CONEXÃO ROSQUEADA, INSTALADO EM REDE DE ALIMENTAÇÃO PARA HIDRANTE - FORNECIMENTO E INSTALAÇÃO. AF_10/2020</t>
  </si>
  <si>
    <t>92645</t>
  </si>
  <si>
    <t>TUBO DE AÇO PRETO SEM COSTURA, CONEXÃO SOLDADA, DN 25 (1"), INSTALADO EM REDE DE ALIMENTAÇÃO PARA SPRINKLER - FORNECIMENTO E INSTALAÇÃO. AF_10/2020</t>
  </si>
  <si>
    <t>92646</t>
  </si>
  <si>
    <t>TUBO DE AÇO PRETO SEM COSTURA, CONEXÃO SOLDADA, DN 32 (1 1/4"), INSTALADO EM REDE DE ALIMENTAÇÃO PARA SPRINKLER - FORNECIMENTO E INSTALAÇÃO. AF_10/2020</t>
  </si>
  <si>
    <t>TUBO DE AÇO PRETO SEM COSTURA, CONEXÃO SOLDADA, DN 40 (1 1/2"), INSTALADO EM REDE DE ALIMENTAÇÃO PARA SPRINKLER - FORNECIMENTO E INSTALAÇÃO. AF_10/2020</t>
  </si>
  <si>
    <t>TUBO DE AÇO PRETO SEM COSTURA, CONEXÃO SOLDADA, DN 50 (2"), INSTALADO EM REDE DE ALIMENTAÇÃO PARA SPRINKLER - FORNECIMENTO E INSTALAÇÃO. AF_10/2020</t>
  </si>
  <si>
    <t>TUBO DE AÇO PRETO SEM COSTURA, CONEXÃO SOLDADA, DN 65 (2 1/2"), INSTALADO EM REDE DE ALIMENTAÇÃO PARA SPRINKLER - FORNECIMENTO E INSTALAÇÃO. AF_10/2020</t>
  </si>
  <si>
    <t>TUBO DE AÇO GALVANIZADO COM COSTURA, CLASSE MÉDIA, CONEXÃO ROSQUEADA, DN 32 (1 1/4"), INSTALADO EM REDE DE ALIMENTAÇÃO PARA SPRINKLER - FORNECIMENTO E INSTALAÇÃO. AF_10/2020</t>
  </si>
  <si>
    <t>TUBO DE AÇO GALVANIZADO COM COSTURA, CLASSE MÉDIA, CONEXÃO ROSQUEADA, DN 40 (1 1/2"), INSTALADO EM REDE DE ALIMENTAÇÃO PARA SPRINKLER - FORNECIMENTO E INSTALAÇÃO. AF_10/2020</t>
  </si>
  <si>
    <t>TUBO DE AÇO GALVANIZADO COM COSTURA, CLASSE MÉDIA, CONEXÃO ROSQUEADA, DN 50 (2"), INSTALADO EM REDE DE ALIMENTAÇÃO PARA SPRINKLER - FORNECIMENTO E INSTALAÇÃO. AF_10/2020</t>
  </si>
  <si>
    <t>TUBO DE AÇO GALVANIZADO COM COSTURA, CLASSE MÉDIA, CONEXÃO ROSQUEADA, DN 65 (2 1/2"), INSTALADO EM REDE DE ALIMENTAÇÃO PARA SPRINKLER - FORNECIMENTO E INSTALAÇÃO. AF_10/2020</t>
  </si>
  <si>
    <t>TUBO DE AÇO GALVANIZADO COM COSTURA, CLASSE MÉDIA, CONEXÃO ROSQUEADA, DN 80 (3"), INSTALADO EM REDE DE ALIMENTAÇÃO PARA SPRINKLER - FORNECIMENTO E INSTALAÇÃO. AF_10/2020</t>
  </si>
  <si>
    <t>TUBO DE AÇO GALVANIZADO COM COSTURA, CLASSE MÉDIA, CONEXÃO ROSQUEADA, DN 15 (1/2"), INSTALADO EM RAMAIS E SUB-RAMAIS DE GÁS - FORNECIMENTO E INSTALAÇÃO. AF_10/2020</t>
  </si>
  <si>
    <t>TUBO DE AÇO GALVANIZADO COM COSTURA, CLASSE MÉDIA, CONEXÃO ROSQUEADA, DN 20 (3/4"), INSTALADO EM RAMAIS E SUB-RAMAIS DE GÁS - FORNECIMENTO E INSTALAÇÃO. AF_10/2020</t>
  </si>
  <si>
    <t>TUBO DE AÇO PRETO SEM COSTURA, CLASSE MÉDIA, CONEXÃO SOLDADA, DN 15 (1/2"), INSTALADO EM RAMAIS E SUB-RAMAIS DE GÁS - FORNECIMENTO E INSTALAÇÃO. AF_10/2020</t>
  </si>
  <si>
    <t>TUBO DE AÇO PRETO SEM COSTURA, CLASSE MÉDIA, CONEXÃO SOLDADA, DN 20 (3/4"), INSTALADO EM RAMAIS E SUB-RAMAIS DE GÁS - FORNECIMENTO E INSTALAÇÃO. AF_10/2020</t>
  </si>
  <si>
    <t>92691</t>
  </si>
  <si>
    <t>TUBO DE AÇO PRETO SEM COSTURA, CLASSE MÉDIA, CONEXÃO SOLDADA, DN 25 (1"), INSTALADO EM RAMAIS  E SUB-RAMAIS DE GÁS - FORNECIMENTO E INSTALAÇÃO. AF_10/2020</t>
  </si>
  <si>
    <t>105,31</t>
  </si>
  <si>
    <t>212,04</t>
  </si>
  <si>
    <t>TUBO DE AÇO PRETO SEM COSTURA, CONEXÃO SOLDADA, DN 40 (1 1/2"), INSTALADO EM REDE DE ALIMENTAÇÃO PARA HIDRANTE - FORNECIMENTO E INSTALAÇÃO. AF_10/2020</t>
  </si>
  <si>
    <t>245,57</t>
  </si>
  <si>
    <t>17,73</t>
  </si>
  <si>
    <t>57,04</t>
  </si>
  <si>
    <t>TUBO DE AÇO GALVANIZADO COM COSTURA, CLASSE MÉDIA, DN 25 (1"), CONEXÃO ROSQUEADA, INSTALADO EM REDE DE ALIMENTAÇÃO PARA HIDRANTE - FORNECIMENTO E INSTALAÇÃO. AF_10/2020</t>
  </si>
  <si>
    <t>TUBO DE AÇO GALVANIZADO COM COSTURA, CLASSE MÉDIA, CONEXÃO ROSQUEADA, DN 25 (1"), INSTALADO EM REDE DE ALIMENTAÇÃO PARA SPRINKLER - FORNECIMENTO E INSTALAÇÃO. AF_10/2020</t>
  </si>
  <si>
    <t>TUBO DE AÇO GALVANIZADO COM COSTURA, CLASSE MÉDIA, CONEXÃO ROSQUEADA, DN 25 (1"), INSTALADO EM RAMAIS  E SUB-RAMAIS DE GÁS - FORNECIMENTO E INSTALAÇÃO. AF_10/2020</t>
  </si>
  <si>
    <t>100788</t>
  </si>
  <si>
    <t>KIT CAVALETE PARA GÁS - SEM MEDIDOR OU REGULADOR - ENTRADA INDIVIDUAL PRINCIPAL, EM AÇO GALVANIZADO DN 15 E 25 MM (1/2" E 1") - FORNECIMENTO E INSTALAÇÃO. AF_01/2020</t>
  </si>
  <si>
    <t>100791</t>
  </si>
  <si>
    <t>TUBO, PEX, MULTICAMADA, DN 16, INSTALADO EM IMPLANTAÇÃO DE INSTALAÇÕES DE GÁS - FORNECIMENTO E INSTALAÇÃO. AF_01/2020</t>
  </si>
  <si>
    <t>100792</t>
  </si>
  <si>
    <t>TUBO, PEX, MULTICAMADA, DN 20, INSTALADO EM IMPLANTAÇÃO DE INSTALAÇÕES DE GÁS - FORNECIMENTO E INSTALAÇÃO. AF_01/2020</t>
  </si>
  <si>
    <t>100793</t>
  </si>
  <si>
    <t>TUBO, PEX, MULTICAMADA, DN 26, INSTALADO EM IMPLANTAÇÃO DE INSTALAÇÕES DE GÁS - FORNECIMENTO E INSTALAÇÃO. AF_01/2020</t>
  </si>
  <si>
    <t>100794</t>
  </si>
  <si>
    <t>TUBO, PEX, MULTICAMADA, DN 32, INSTALADO EM IMPLANTAÇÃO DE INSTALAÇÕES DE GÁS - FORNECIMENTO E INSTALAÇÃO. AF_01/2020</t>
  </si>
  <si>
    <t>45,43</t>
  </si>
  <si>
    <t>100799</t>
  </si>
  <si>
    <t>TUBO, PEX, MULTICAMADA, COM TUBO LUVA, DN 16, INSTALADO EM IMPLANTAÇÃO DE INSTALAÇÕES DE GÁS - FORNECIMENTO E INSTALAÇÃO. AF_01/2020</t>
  </si>
  <si>
    <t>100800</t>
  </si>
  <si>
    <t>TUBO, PEX, MULTICAMADA, COM TUBO LUVA, DN 20, INSTALADO EM IMPLANTAÇÃO DE INSTALAÇÕES DE GÁS - FORNECIMENTO E INSTALAÇÃO. AF_01/2020</t>
  </si>
  <si>
    <t>100801</t>
  </si>
  <si>
    <t>TUBO, PEX, MULTICAMADA, COM TUBO LUVA, DN 26, INSTALADO EM IMPLANTAÇÃO DE INSTALAÇÕES DE GÁS - FORNECIMENTO E INSTALAÇÃO. AF_01/2020</t>
  </si>
  <si>
    <t>100802</t>
  </si>
  <si>
    <t>TUBO, PEX, MULTICAMADA, COM TUBO LUVA, DN 32, INSTALADO EM IMPLANTAÇÃO DE INSTALAÇÕES DE GÁS - FORNECIMENTO E INSTALAÇÃO. AF_01/2020</t>
  </si>
  <si>
    <t>100803</t>
  </si>
  <si>
    <t>TUBO, PEX, MULTICAMADA, DN 16, INSTALADO EM RAMAL INTERNO DE INSTALAÇÕES DE GÁS - FORNECIMENTO E INSTALAÇÃO. AF_01/2020</t>
  </si>
  <si>
    <t>100804</t>
  </si>
  <si>
    <t>TUBO, PEX, MULTICAMADA, DN 20, INSTALADO EM RAMAL INTERNO DE INSTALAÇÕES DE GÁS - FORNECIMENTO E INSTALAÇÃO. AF_01/2020</t>
  </si>
  <si>
    <t>100805</t>
  </si>
  <si>
    <t>TUBO, PEX, MULTICAMADA, DN 26, INSTALADO EM RAMAL INTERNO DE INSTALAÇÕES DE GÁS - FORNECIMENTO E INSTALAÇÃO. AF_01/2020</t>
  </si>
  <si>
    <t>100806</t>
  </si>
  <si>
    <t>TUBO, PEX, MULTICAMADA, DN 32, INSTALADO EM RAMAL INTERNO DE INSTALAÇÕES DE GÁS - FORNECIMENTO E INSTALAÇÃO. AF_01/2020</t>
  </si>
  <si>
    <t>100807</t>
  </si>
  <si>
    <t>TUBO, PEX, MULTICAMADA, COM TUBO LUVA, DN 16, INSTALADO EM RAMAL INTERNO DE INSTALAÇÕES DE GÁS - FORNECIMENTO E INSTALAÇÃO. AF_01/2020</t>
  </si>
  <si>
    <t>100808</t>
  </si>
  <si>
    <t>TUBO, PEX, MULTICAMADA, COM TUBO LUVA, DN 20, INSTALADO EM RAMAL INTERNO DE INSTALAÇÕES DE GÁS - FORNECIMENTO E INSTALAÇÃO. AF_01/2020</t>
  </si>
  <si>
    <t>100809</t>
  </si>
  <si>
    <t>TUBO, PEX, MULTICAMADA, COM TUBO LUVA, DN 26, INSTALADO EM RAMAL INTERNO DE INSTALAÇÕES DE GÁS - FORNECIMENTO E INSTALAÇÃO. AF_01/2020</t>
  </si>
  <si>
    <t>100810</t>
  </si>
  <si>
    <t>TUBO, PEX, MULTICAMADA, COM TUBO LUVA, DN 32, INSTALADO EM RAMAL INTERNO DE INSTALAÇÕES DE GÁS - FORNECIMENTO E INSTALAÇÃO. AF_01/2020</t>
  </si>
  <si>
    <t>101918</t>
  </si>
  <si>
    <t>TUBO DE AÇO GALVANIZADO COM COSTURA, CLASSE MÉDIA, DN 100 (4"), CONEXÃO ROSQUEADA, INSTALADO EM PRUMADAS - FORNECIMENTO E INSTALAÇÃO. AF_10/2020</t>
  </si>
  <si>
    <t>101919</t>
  </si>
  <si>
    <t>UNIÃO, EM FERRO GALVANIZADO, 4", CONEXÃO ROSQUEADA, INSTALADO EM PRUMADAS - FORNECIMENTO E INSTALAÇÃO. AF_10/2020</t>
  </si>
  <si>
    <t>101920</t>
  </si>
  <si>
    <t>LUVA, EM FERRO GALVANIZADO, 4", CONEXÃO ROSQUEADA, INSTALADO EM PRUMADAS - FORNECIMENTO E INSTALAÇÃO. AF_10/2020</t>
  </si>
  <si>
    <t>101921</t>
  </si>
  <si>
    <t>LUVA DE REDUÇÃO, EM FERRO GALVANIZADO, 4" X 2 1/2", CONEXÃO ROSQUEADA, INSTALADO EM PRUMADAS - FORNECIMENTO E INSTALAÇÃO. AF_10/2020</t>
  </si>
  <si>
    <t>101922</t>
  </si>
  <si>
    <t>LUVA DE REDUÇÃO, EM FERRO GALVANIZADO, 4" X 2", CONEXÃO ROSQUEADA, INSTALADO EM PRUMADAS - FORNECIMENTO E INSTALAÇÃO. AF_10/2020</t>
  </si>
  <si>
    <t>101923</t>
  </si>
  <si>
    <t>LUVA DE REDUÇÃO, EM FERRO GALVANIZADO, 4" X 3", CONEXÃO ROSQUEADA, INSTALADO EM PRUMADAS - FORNECIMENTO E INSTALAÇÃO. AF_10/2020</t>
  </si>
  <si>
    <t>101924</t>
  </si>
  <si>
    <t>NIPLE, EM FERRO GALVANIZADO, 4", CONEXÃO ROSQUEADA, INSTALADO EM PRUMADAS - FORNECIMENTO E INSTALAÇÃO. AF_10/2020</t>
  </si>
  <si>
    <t>101925</t>
  </si>
  <si>
    <t>JOELHO 90°, EM FERRO GALVANIZADO, 4", CONEXÃO ROSQUEADA, INSTALADO EM PRUMADAS - FORNECIMENTO E INSTALAÇÃO. AF_10/2020</t>
  </si>
  <si>
    <t>101926</t>
  </si>
  <si>
    <t>TÊ, EM FERRO GALVANIZADO, 4", CONEXÃO ROSQUEADA, INSTALADO EM PRUMADAS - FORNECIMENTO E INSTALAÇÃO. AF_10/2020</t>
  </si>
  <si>
    <t>101927</t>
  </si>
  <si>
    <t>TUBO DE AÇO GALVANIZADO COM COSTURA, CLASSE MÉDIA, DN 100 (4"), CONEXÃO ROSQUEADA, INSTALADO EM REDE DE ALIMENTAÇÃO PARA HIDRANTE - FORNECIMENTO E INSTALAÇÃO. AF_10/2020</t>
  </si>
  <si>
    <t>101928</t>
  </si>
  <si>
    <t>UNIÃO, EM FERRO GALVANIZADO, 4", CONEXÃO ROSQUEADA, INSTALADO EM REDE DE ALIMENTAÇÃO PARA HIDRANTE - FORNECIMENTO E INSTALAÇÃO. AF_10/2020</t>
  </si>
  <si>
    <t>101929</t>
  </si>
  <si>
    <t>LUVA, EM FERRO GALVANIZADO, 4", CONEXÃO ROSQUEADA, INSTALADO EM REDE DE ALIMENTAÇÃO PARA HIDRANTE - FORNECIMENTO E INSTALAÇÃO. AF_10/2020</t>
  </si>
  <si>
    <t>101930</t>
  </si>
  <si>
    <t>LUVA DE REDUÇÃO, EM FERRO GALVANIZADO, 4" X 2 1/2", CONEXÃO ROSQUEADA, INSTALADO EM REDE DE ALIMENTAÇÃO PARA HIDRANTE - FORNECIMENTO E INSTALAÇÃO. AF_10/2020</t>
  </si>
  <si>
    <t>101931</t>
  </si>
  <si>
    <t>LUVA DE REDUÇÃO, EM FERRO GALVANIZADO, 4" X 2", CONEXÃO ROSQUEADA, INSTALADO EM REDE DE ALIMENTAÇÃO PARA HIDRANTE - FORNECIMENTO E INSTALAÇÃO. AF_10/2020</t>
  </si>
  <si>
    <t>101932</t>
  </si>
  <si>
    <t>LUVA DE REDUÇÃO, EM FERRO GALVANIZADO, 4" X 3", CONEXÃO ROSQUEADA, INSTALADO EM REDE DE ALIMENTAÇÃO PARA HIDRANTE - FORNECIMENTO E INSTALAÇÃO. AF_10/2020</t>
  </si>
  <si>
    <t>101933</t>
  </si>
  <si>
    <t>NIPLE, EM FERRO GALVANIZADO, 4", CONEXÃO ROSQUEADA, INSTALADO EM REDE DE ALIMENTAÇÃO PARA HIDRANTE - FORNECIMENTO E INSTALAÇÃO. AF_10/2020</t>
  </si>
  <si>
    <t>101934</t>
  </si>
  <si>
    <t>JOELHO 90°, EM FERRO GALVANIZADO, 4", CONEXÃO ROSQUEADA, INSTALADO EM REDE DE ALIMENTAÇÃO PARA HIDRANTE - FORNECIMENTO E INSTALAÇÃO. AF_10/2020</t>
  </si>
  <si>
    <t>101935</t>
  </si>
  <si>
    <t>TÊ, EM FERRO GALVANIZADO, 4", CONEXÃO ROSQUEADA, INSTALADO EM REDE DE ALIMENTAÇÃO PARA HIDRANTE - FORNECIMENTO E INSTALAÇÃO. AF_10/2020</t>
  </si>
  <si>
    <t>13,38</t>
  </si>
  <si>
    <t>33,53</t>
  </si>
  <si>
    <t>44,59</t>
  </si>
  <si>
    <t>12,83</t>
  </si>
  <si>
    <t>45,45</t>
  </si>
  <si>
    <t>151,90</t>
  </si>
  <si>
    <t>27,35</t>
  </si>
  <si>
    <t>24,66</t>
  </si>
  <si>
    <t>10,78</t>
  </si>
  <si>
    <t>89683</t>
  </si>
  <si>
    <t>45,34</t>
  </si>
  <si>
    <t>31,82</t>
  </si>
  <si>
    <t>214,54</t>
  </si>
  <si>
    <t>17,77</t>
  </si>
  <si>
    <t>30,89</t>
  </si>
  <si>
    <t>25,13</t>
  </si>
  <si>
    <t>27,13</t>
  </si>
  <si>
    <t>66,06</t>
  </si>
  <si>
    <t>NIPLE, EM FERRO GALVANIZADO, DN 50 (2"), CONEXÃO ROSQUEADA, INSTALADO EM PRUMADAS - FORNECIMENTO E INSTALAÇÃO. AF_10/2020</t>
  </si>
  <si>
    <t>LUVA, EM FERRO GALVANIZADO, DN 50 (2"), CONEXÃO ROSQUEADA, INSTALADO EM PRUMADAS - FORNECIMENTO E INSTALAÇÃO. AF_10/2020</t>
  </si>
  <si>
    <t>NIPLE, EM FERRO GALVANIZADO, DN 65 (2 1/2"), CONEXÃO ROSQUEADA, INSTALADO EM PRUMADAS - FORNECIMENTO E INSTALAÇÃO. AF_10/2020</t>
  </si>
  <si>
    <t>LUVA, EM FERRO GALVANIZADO, DN 65 (2 1/2"), CONEXÃO ROSQUEADA, INSTALADO EM PRUMADAS - FORNECIMENTO E INSTALAÇÃO. AF_10/2020</t>
  </si>
  <si>
    <t>NIPLE, EM FERRO GALVANIZADO, DN 80 (3"), CONEXÃO ROSQUEADA, INSTALADO EM PRUMADAS - FORNECIMENTO E INSTALAÇÃO. AF_10/2020</t>
  </si>
  <si>
    <t>95,58</t>
  </si>
  <si>
    <t>LUVA, EM FERRO GALVANIZADO, DN 80 (3"), CONEXÃO ROSQUEADA, INSTALADO EM PRUMADAS - FORNECIMENTO E INSTALAÇÃO. AF_10/2020</t>
  </si>
  <si>
    <t>JOELHO 45 GRAUS, EM FERRO GALVANIZADO, DN 50 (2"), CONEXÃO ROSQUEADA, INSTALADO EM PRUMADAS - FORNECIMENTO E INSTALAÇÃO. AF_10/2020</t>
  </si>
  <si>
    <t>JOELHO 90 GRAUS, EM FERRO GALVANIZADO, DN 50 (2"), CONEXÃO ROSQUEADA, INSTALADO EM PRUMADAS - FORNECIMENTO E INSTALAÇÃO. AF_10/2020</t>
  </si>
  <si>
    <t>JOELHO 45 GRAUS, EM FERRO GALVANIZADO, DN 65 (2 1/2"), CONEXÃO ROSQUEADA, INSTALADO EM PRUMADAS - FORNECIMENTO E INSTALAÇÃO. AF_10/2020</t>
  </si>
  <si>
    <t>JOELHO 90 GRAUS, EM FERRO GALVANIZADO, DN 65 (2 1/2"), CONEXÃO ROSQUEADA, INSTALADO EM PRUMADAS - FORNECIMENTO E INSTALAÇÃO. AF_10/2020</t>
  </si>
  <si>
    <t>JOELHO 45 GRAUS, EM FERRO GALVANIZADO, DN 80 (3"), CONEXÃO ROSQUEADA, INSTALADO EM PRUMADAS - FORNECIMENTO E INSTALAÇÃO. AF_10/2020</t>
  </si>
  <si>
    <t>JOELHO 90 GRAUS, EM FERRO GALVANIZADO, DN 80 (3"), CONEXÃO ROSQUEADA, INSTALADO EM PRUMADAS - FORNECIMENTO E INSTALAÇÃO. AF_10/2020</t>
  </si>
  <si>
    <t>TÊ, EM FERRO GALVANIZADO, DN 50 (2"), CONEXÃO ROSQUEADA, INSTALADO EM PRUMADAS - FORNECIMENTO E INSTALAÇÃO. AF_10/2020</t>
  </si>
  <si>
    <t>TÊ, EM FERRO GALVANIZADO, DN 65 (2 1/2"), CONEXÃO ROSQUEADA, INSTALADO EM PRUMADAS - FORNECIMENTO E INSTALAÇÃO. AF_10/2020</t>
  </si>
  <si>
    <t>TÊ, EM FERRO GALVANIZADO, DN 80 (3"), CONEXÃO ROSQUEADA, INSTALADO EM PRUMADAS - FORNECIMENTO E INSTALAÇÃO. AF_10/2020</t>
  </si>
  <si>
    <t>NIPLE, EM FERRO GALVANIZADO, DN 25 (1"), CONEXÃO ROSQUEADA, INSTALADO EM REDE DE ALIMENTAÇÃO PARA HIDRANTE - FORNECIMENTO E INSTALAÇÃO. AF_10/2020</t>
  </si>
  <si>
    <t>LUVA, EM FERRO GALVANIZADO, DN 25 (1"), CONEXÃO ROSQUEADA, INSTALADO EM REDE DE ALIMENTAÇÃO PARA HIDRANTE - FORNECIMENTO E INSTALAÇÃO. AF_10/2020</t>
  </si>
  <si>
    <t>NIPLE, EM FERRO GALVANIZADO, DN 32 (1 1/4"), CONEXÃO ROSQUEADA, INSTALADO EM REDE DE ALIMENTAÇÃO PARA HIDRANTE - FORNECIMENTO E INSTALAÇÃO. AF_10/2020</t>
  </si>
  <si>
    <t>LUVA, EM FERRO GALVANIZADO, DN 32 (1 1/4"), CONEXÃO ROSQUEADA, INSTALADO EM REDE DE ALIMENTAÇÃO PARA HIDRANTE - FORNECIMENTO E INSTALAÇÃO. AF_10/2020</t>
  </si>
  <si>
    <t>NIPLE, EM FERRO GALVANIZADO, DN 40 (1 1/2"), CONEXÃO ROSQUEADA, INSTALADO EM REDE DE ALIMENTAÇÃO PARA HIDRANTE - FORNECIMENTO E INSTALAÇÃO. AF_10/2020</t>
  </si>
  <si>
    <t>LUVA, EM FERRO GALVANIZADO, DN 40 (1 1/2"), CONEXÃO ROSQUEADA, INSTALADO EM REDE DE ALIMENTAÇÃO PARA HIDRANTE - FORNECIMENTO E INSTALAÇÃO. AF_10/2020</t>
  </si>
  <si>
    <t>NIPLE, EM FERRO GALVANIZADO, DN 50 (2"), CONEXÃO ROSQUEADA, INSTALADO EM REDE DE ALIMENTAÇÃO PARA HIDRANTE - FORNECIMENTO E INSTALAÇÃO. AF_10/2020</t>
  </si>
  <si>
    <t>LUVA, EM FERRO GALVANIZADO, DN 50 (2"), CONEXÃO ROSQUEADA, INSTALADO EM REDE DE ALIMENTAÇÃO PARA HIDRANTE - FORNECIMENTO E INSTALAÇÃO. AF_10/2020</t>
  </si>
  <si>
    <t>NIPLE, EM FERRO GALVANIZADO, DN 65 (2 1/2"), CONEXÃO ROSQUEADA, INSTALADO EM REDE DE ALIMENTAÇÃO PARA HIDRANTE - FORNECIMENTO E INSTALAÇÃO. AF_10/2020</t>
  </si>
  <si>
    <t>LUVA, EM FERRO GALVANIZADO, DN 65 (2 1/2"), CONEXÃO ROSQUEADA, INSTALADO EM REDE DE ALIMENTAÇÃO PARA HIDRANTE - FORNECIMENTO E INSTALAÇÃO. AF_10/2020</t>
  </si>
  <si>
    <t>NIPLE, EM FERRO GALVANIZADO, DN 80 (3"), CONEXÃO ROSQUEADA, INSTALADO EM REDE DE ALIMENTAÇÃO PARA HIDRANTE - FORNECIMENTO E INSTALAÇÃO. AF_10/2020</t>
  </si>
  <si>
    <t>LUVA, EM FERRO GALVANIZADO, DN 80 (3"), CONEXÃO ROSQUEADA, INSTALADO EM REDE DE ALIMENTAÇÃO PARA HIDRANTE - FORNECIMENTO E INSTALAÇÃO. AF_10/2020</t>
  </si>
  <si>
    <t>JOELHO 45 GRAUS, EM FERRO GALVANIZADO, DN 25 (1"), CONEXÃO ROSQUEADA, INSTALADO EM REDE DE ALIMENTAÇÃO PARA HIDRANTE - FORNECIMENTO E INSTALAÇÃO. AF_10/2020</t>
  </si>
  <si>
    <t>JOELHO 90 GRAUS, EM FERRO GALVANIZADO, DN 25 (1"), CONEXÃO ROSQUEADA, INSTALADO EM REDE DE ALIMENTAÇÃO PARA HIDRANTE - FORNECIMENTO E INSTALAÇÃO. AF_10/2020</t>
  </si>
  <si>
    <t>JOELHO 45 GRAUS, EM FERRO GALVANIZADO, DN 32 (1 1/4"), CONEXÃO ROSQUEADA, INSTALADO EM REDE DE ALIMENTAÇÃO PARA HIDRANTE - FORNECIMENTO E INSTALAÇÃO. AF_10/2020</t>
  </si>
  <si>
    <t>JOELHO 90 GRAUS, EM FERRO GALVANIZADO, DN 32 (1 1/4"), CONEXÃO ROSQUEADA, INSTALADO EM REDE DE ALIMENTAÇÃO PARA HIDRANTE - FORNECIMENTO E INSTALAÇÃO. AF_10/2020</t>
  </si>
  <si>
    <t>46,76</t>
  </si>
  <si>
    <t>JOELHO 45 GRAUS, EM FERRO GALVANIZADO, DN 40 (1 1/2"), CONEXÃO ROSQUEADA, INSTALADO EM REDE DE ALIMENTAÇÃO PARA HIDRANTE - FORNECIMENTO E INSTALAÇÃO. AF_10/2020</t>
  </si>
  <si>
    <t>JOELHO 90 GRAUS, EM FERRO GALVANIZADO, DN 40 (1 1/2"), CONEXÃO ROSQUEADA, INSTALADO EM REDE DE ALIMENTAÇÃO PARA HIDRANTE - FORNECIMENTO E INSTALAÇÃO. AF_10/2020</t>
  </si>
  <si>
    <t>JOELHO 45 GRAUS, EM FERRO GALVANIZADO, DN 50 (2"), CONEXÃO ROSQUEADA, INSTALADO EM REDE DE ALIMENTAÇÃO PARA HIDRANTE - FORNECIMENTO E INSTALAÇÃO. AF_10/2020</t>
  </si>
  <si>
    <t>JOELHO 90 GRAUS, EM FERRO GALVANIZADO, DN 50 (2"), CONEXÃO ROSQUEADA, INSTALADO EM REDE DE ALIMENTAÇÃO PARA HIDRANTE - FORNECIMENTO E INSTALAÇÃO. AF_10/2020</t>
  </si>
  <si>
    <t>JOELHO 45 GRAUS, EM FERRO GALVANIZADO, DN 65 (2 1/2"), CONEXÃO ROSQUEADA, INSTALADO EM REDE DE ALIMENTAÇÃO PARA HIDRANTE - FORNECIMENTO E INSTALAÇÃO. AF_10/2020</t>
  </si>
  <si>
    <t>JOELHO 90 GRAUS, EM FERRO GALVANIZADO, DN 65 (2 1/2"), CONEXÃO ROSQUEADA, INSTALADO EM REDE DE ALIMENTAÇÃO PARA HIDRANTE - FORNECIMENTO E INSTALAÇÃO. AF_10/2020</t>
  </si>
  <si>
    <t>JOELHO 45 GRAUS, EM FERRO GALVANIZADO, CONEXÃO ROSQUEADA, DN 80 (3"), INSTALADO EM REDE DE ALIMENTAÇÃO PARA HIDRANTE - FORNECIMENTO E INSTALAÇÃO. AF_10/2020</t>
  </si>
  <si>
    <t>JOELHO 90 GRAUS, EM FERRO GALVANIZADO, CONEXÃO ROSQUEADA, DN 80 (3"), INSTALADO EM REDE DE ALIMENTAÇÃO PARA HIDRANTE - FORNECIMENTO E INSTALAÇÃO. AF_10/2020</t>
  </si>
  <si>
    <t>TÊ, EM FERRO GALVANIZADO, CONEXÃO ROSQUEADA, DN 25 (1"), INSTALADO EM REDE DE ALIMENTAÇÃO PARA HIDRANTE - FORNECIMENTO E INSTALAÇÃO. AF_10/2020</t>
  </si>
  <si>
    <t>TÊ, EM FERRO GALVANIZADO, CONEXÃO ROSQUEADA, DN 32 (1 1/4"), INSTALADO EM REDE DE ALIMENTAÇÃO PARA HIDRANTE - FORNECIMENTO E INSTALAÇÃO. AF_10/2020</t>
  </si>
  <si>
    <t>TÊ, EM FERRO GALVANIZADO, CONEXÃO ROSQUEADA, DN 40 (1 1/2"), INSTALADO EM REDE DE ALIMENTAÇÃO PARA HIDRANTE - FORNECIMENTO E INSTALAÇÃO. AF_10/2020</t>
  </si>
  <si>
    <t>TÊ, EM FERRO GALVANIZADO, CONEXÃO ROSQUEADA, DN 50 (2"), INSTALADO EM REDE DE ALIMENTAÇÃO PARA HIDRANTE - FORNECIMENTO E INSTALAÇÃO. AF_10/2020</t>
  </si>
  <si>
    <t>TÊ, EM FERRO GALVANIZADO, CONEXÃO ROSQUEADA, DN 65 (2 1/2"), INSTALADO EM REDE DE ALIMENTAÇÃO PARA HIDRANTE - FORNECIMENTO E INSTALAÇÃO. AF_10/2020</t>
  </si>
  <si>
    <t>TÊ, EM FERRO GALVANIZADO, CONEXÃO ROSQUEADA, DN 80 (3"), INSTALADO EM REDE DE ALIMENTAÇÃO PARA HIDRANTE - FORNECIMENTO E INSTALAÇÃO. AF_10/2020</t>
  </si>
  <si>
    <t>NIPLE, EM FERRO GALVANIZADO, CONEXÃO ROSQUEADA, DN 25 (1"), INSTALADO EM REDE DE ALIMENTAÇÃO PARA SPRINKLER - FORNECIMENTO E INSTALAÇÃO. AF_10/2020</t>
  </si>
  <si>
    <t>LUVA, EM FERRO GALVANIZADO, CONEXÃO ROSQUEADA, DN 25 (1"), INSTALADO EM REDE DE ALIMENTAÇÃO PARA SPRINKLER - FORNECIMENTO E INSTALAÇÃO. AF_10/2020</t>
  </si>
  <si>
    <t>NIPLE, EM FERRO GALVANIZADO, CONEXÃO ROSQUEADA, DN 32 (1 1/4"), INSTALADO EM REDE DE ALIMENTAÇÃO PARA SPRINKLER - FORNECIMENTO E INSTALAÇÃO. AF_10/2020</t>
  </si>
  <si>
    <t>LUVA, EM FERRO GALVANIZADO, CONEXÃO ROSQUEADA, DN 32 (1 1/4"), INSTALADO EM REDE DE ALIMENTAÇÃO PARA SPRINKLER - FORNECIMENTO E INSTALAÇÃO. AF_10/2020</t>
  </si>
  <si>
    <t>NIPLE, EM FERRO GALVANIZADO, CONEXÃO ROSQUEADA, DN 40 (1 1/2"), INSTALADO EM REDE DE ALIMENTAÇÃO PARA SPRINKLER - FORNECIMENTO E INSTALAÇÃO. AF_10/2020</t>
  </si>
  <si>
    <t>LUVA, EM FERRO GALVANIZADO, CONEXÃO ROSQUEADA, DN 40 (1 1/2"), INSTALADO EM REDE DE ALIMENTAÇÃO PARA SPRINKLER - FORNECIMENTO E INSTALAÇÃO. AF_10/2020</t>
  </si>
  <si>
    <t>NIPLE, EM FERRO GALVANIZADO, CONEXÃO ROSQUEADA, DN 50 (2"), INSTALADO EM REDE DE ALIMENTAÇÃO PARA SPRINKLER - FORNECIMENTO E INSTALAÇÃO. AF_10/2020</t>
  </si>
  <si>
    <t>LUVA, EM FERRO GALVANIZADO, CONEXÃO ROSQUEADA, DN 50 (2"), INSTALADO EM REDE DE ALIMENTAÇÃO PARA SPRINKLER - FORNECIMENTO E INSTALAÇÃO. AF_10/2020</t>
  </si>
  <si>
    <t>NIPLE, EM FERRO GALVANIZADO, CONEXÃO ROSQUEADA, DN 65 (2 1/2"), INSTALADO EM REDE DE ALIMENTAÇÃO PARA SPRINKLER - FORNECIMENTO E INSTALAÇÃO. AF_10/2020</t>
  </si>
  <si>
    <t>LUVA, EM FERRO GALVANIZADO, CONEXÃO ROSQUEADA, DN 65 (2 1/2"), INSTALADO EM REDE DE ALIMENTAÇÃO PARA SPRINKLER - FORNECIMENTO E INSTALAÇÃO. AF_10/2020</t>
  </si>
  <si>
    <t>NIPLE, EM FERRO GALVANIZADO, CONEXÃO ROSQUEADA, DN 80 (3"), INSTALADO EM REDE DE ALIMENTAÇÃO PARA SPRINKLER - FORNECIMENTO E INSTALAÇÃO. AF_10/2020</t>
  </si>
  <si>
    <t>LUVA, EM FERRO GALVANIZADO, CONEXÃO ROSQUEADA, DN 80 (3"), INSTALADO EM REDE DE ALIMENTAÇÃO PARA SPRINKLER - FORNECIMENTO E INSTALAÇÃO. AF_10/2020</t>
  </si>
  <si>
    <t>JOELHO 45 GRAUS, EM FERRO GALVANIZADO, CONEXÃO ROSQUEADA, DN 25 (1"), INSTALADO EM REDE DE ALIMENTAÇÃO PARA SPRINKLER - FORNECIMENTO E INSTALAÇÃO. AF_10/2020</t>
  </si>
  <si>
    <t>JOELHO 90 GRAUS, EM FERRO GALVANIZADO, CONEXÃO ROSQUEADA, DN 25 (1"), INSTALADO EM REDE DE ALIMENTAÇÃO PARA SPRINKLER - FORNECIMENTO E INSTALAÇÃO. AF_10/2020</t>
  </si>
  <si>
    <t>JOELHO 45 GRAUS, EM FERRO GALVANIZADO, CONEXÃO ROSQUEADA, DN 32 (1 1/4"), INSTALADO EM REDE DE ALIMENTAÇÃO PARA SPRINKLER - FORNECIMENTO E INSTALAÇÃO. AF_10/2020</t>
  </si>
  <si>
    <t>JOELHO 90 GRAUS, EM FERRO GALVANIZADO, CONEXÃO ROSQUEADA, DN 32 (1 1/4"), INSTALADO EM REDE DE ALIMENTAÇÃO PARA SPRINKLER - FORNECIMENTO E INSTALAÇÃO. AF_10/2020</t>
  </si>
  <si>
    <t>JOELHO 45 GRAUS, EM FERRO GALVANIZADO, CONEXÃO ROSQUEADA, DN 40 (1 1/2"), INSTALADO EM REDE DE ALIMENTAÇÃO PARA SPRINKLER - FORNECIMENTO E INSTALAÇÃO. AF_10/2020</t>
  </si>
  <si>
    <t>JOELHO 90 GRAUS, EM FERRO GALVANIZADO, CONEXÃO ROSQUEADA, DN 40 (1 1/2"), INSTALADO EM REDE DE ALIMENTAÇÃO PARA SPRINKLER - FORNECIMENTO E INSTALAÇÃO. AF_10/2020</t>
  </si>
  <si>
    <t>JOELHO 45 GRAUS, EM FERRO GALVANIZADO, CONEXÃO ROSQUEADA, DN 50 (2"), INSTALADO EM REDE DE ALIMENTAÇÃO PARA SPRINKLER - FORNECIMENTO E INSTALAÇÃO. AF_10/2020</t>
  </si>
  <si>
    <t>JOELHO 90 GRAUS, EM FERRO GALVANIZADO, CONEXÃO ROSQUEADA, DN 50 (2"), INSTALADO EM REDE DE ALIMENTAÇÃO PARA SPRINKLER - FORNECIMENTO E INSTALAÇÃO. AF_10/2020</t>
  </si>
  <si>
    <t>JOELHO 45 GRAUS, EM FERRO GALVANIZADO, CONEXÃO ROSQUEADA, DN 65 (2 1/2"), INSTALADO EM REDE DE ALIMENTAÇÃO PARA SPRINKLER - FORNECIMENTO E INSTALAÇÃO. AF_10/2020</t>
  </si>
  <si>
    <t>JOELHO 90 GRAUS, EM FERRO GALVANIZADO, CONEXÃO ROSQUEADA, DN 65 (2 1/2"), INSTALADO EM REDE DE ALIMENTAÇÃO PARA SPRINKLER - FORNECIMENTO E INSTALAÇÃO. AF_10/2020</t>
  </si>
  <si>
    <t>JOELHO 45 GRAUS, EM FERRO GALVANIZADO, CONEXÃO ROSQUEADA, DN 80 (3"), INSTALADO EM REDE DE ALIMENTAÇÃO PARA SPRINKLER - FORNECIMENTO E INSTALAÇÃO. AF_10/2020</t>
  </si>
  <si>
    <t>JOELHO 90 GRAUS, EM FERRO GALVANIZADO, CONEXÃO ROSQUEADA, DN 80 (3"), INSTALADO EM REDE DE ALIMENTAÇÃO PARA SPRINKLER - FORNECIMENTO E INSTALAÇÃO. AF_10/2020</t>
  </si>
  <si>
    <t>TÊ, EM FERRO GALVANIZADO, CONEXÃO ROSQUEADA, DN 25 (1"), INSTALADO EM REDE DE ALIMENTAÇÃO PARA SPRINKLER - FORNECIMENTO E INSTALAÇÃO. AF_10/2020</t>
  </si>
  <si>
    <t>TÊ, EM FERRO GALVANIZADO, CONEXÃO ROSQUEADA, DN 32 (1 1/4"), INSTALADO EM REDE DE ALIMENTAÇÃO PARA SPRINKLER - FORNECIMENTO E INSTALAÇÃO. AF_10/2020</t>
  </si>
  <si>
    <t>TÊ, EM FERRO GALVANIZADO, CONEXÃO ROSQUEADA, DN 40 (1 1/2"), INSTALADO EM REDE DE ALIMENTAÇÃO PARA SPRINKLER - FORNECIMENTO E INSTALAÇÃO. AF_10/2020</t>
  </si>
  <si>
    <t>TÊ, EM FERRO GALVANIZADO, CONEXÃO ROSQUEADA, DN 50 (2"), INSTALADO EM REDE DE ALIMENTAÇÃO PARA SPRINKLER - FORNECIMENTO E INSTALAÇÃO. AF_10/2020</t>
  </si>
  <si>
    <t>TÊ, EM FERRO GALVANIZADO, CONEXÃO ROSQUEADA, DN 65 (2 1/2"), INSTALADO EM REDE DE ALIMENTAÇÃO PARA SPRINKLER - FORNECIMENTO E INSTALAÇÃO. AF_10/2020</t>
  </si>
  <si>
    <t>TÊ, EM FERRO GALVANIZADO, CONEXÃO ROSQUEADA, DN 80 (3"), INSTALADO EM REDE DE ALIMENTAÇÃO PARA SPRINKLER - FORNECIMENTO E INSTALAÇÃO. AF_10/2020</t>
  </si>
  <si>
    <t>NIPLE, EM FERRO GALVANIZADO, CONEXÃO ROSQUEADA, DN 15 (1/2"), INSTALADO EM RAMAIS E SUB-RAMAIS DE GÁS - FORNECIMENTO E INSTALAÇÃO. AF_10/2020</t>
  </si>
  <si>
    <t>LUVA, EM FERRO GALVANIZADO, CONEXÃO ROSQUEADA, DN 15 (1/2"), INSTALADO EM RAMAIS E SUB-RAMAIS DE GÁS - FORNECIMENTO E INSTALAÇÃO. AF_10/2020</t>
  </si>
  <si>
    <t>NIPLE, EM FERRO GALVANIZADO, CONEXÃO ROSQUEADA, DN 20 (3/4"), INSTALADO EM RAMAIS E SUB-RAMAIS DE GÁS - FORNECIMENTO E INSTALAÇÃO. AF_10/2020</t>
  </si>
  <si>
    <t>LUVA, EM FERRO GALVANIZADO, CONEXÃO ROSQUEADA, DN 20 (3/4"), INSTALADO EM RAMAIS E SUB-RAMAIS DE GÁS - FORNECIMENTO E INSTALAÇÃO. AF_10/2020</t>
  </si>
  <si>
    <t>16,83</t>
  </si>
  <si>
    <t>NIPLE, EM FERRO GALVANIZADO, CONEXÃO ROSQUEADA, DN 25 (1"), INSTALADO EM RAMAIS E SUB-RAMAIS DE GÁS - FORNECIMENTO E INSTALAÇÃO. AF_10/2020</t>
  </si>
  <si>
    <t>LUVA, EM FERRO GALVANIZADO, CONEXÃO ROSQUEADA, DN 25 (1"), INSTALADO EM RAMAIS E SUB-RAMAIS DE GÁS - FORNECIMENTO E INSTALAÇÃO. AF_10/2020</t>
  </si>
  <si>
    <t>27,21</t>
  </si>
  <si>
    <t>JOELHO 45 GRAUS, EM FERRO GALVANIZADO, CONEXÃO ROSQUEADA, DN 15 (1/2"), INSTALADO EM RAMAIS E SUB-RAMAIS DE GÁS - FORNECIMENTO E INSTALAÇÃO. AF_10/2020</t>
  </si>
  <si>
    <t>JOELHO 90 GRAUS, EM FERRO GALVANIZADO, CONEXÃO ROSQUEADA, DN 15 (1/2"), INSTALADO EM RAMAIS E SUB-RAMAIS DE GÁS - FORNECIMENTO E INSTALAÇÃO. AF_10/2020</t>
  </si>
  <si>
    <t>JOELHO 45 GRAUS, EM FERRO GALVANIZADO, CONEXÃO ROSQUEADA, DN 20 (3/4"), INSTALADO EM RAMAIS E SUB-RAMAIS DE GÁS - FORNECIMENTO E INSTALAÇÃO. AF_10/2020</t>
  </si>
  <si>
    <t>JOELHO 90 GRAUS, EM FERRO GALVANIZADO, CONEXÃO ROSQUEADA, DN 20 (3/4"), INSTALADO EM RAMAIS E SUB-RAMAIS DE GÁS - FORNECIMENTO E INSTALAÇÃO. AF_10/2020</t>
  </si>
  <si>
    <t>JOELHO 45 GRAUS, EM FERRO GALVANIZADO, CONEXÃO ROSQUEADA, DN 25 (1"), INSTALADO EM RAMAIS E SUB-RAMAIS DE GÁS - FORNECIMENTO E INSTALAÇÃO. AF_10/2020</t>
  </si>
  <si>
    <t>JOELHO 90 GRAUS, EM FERRO GALVANIZADO, CONEXÃO ROSQUEADA, DN 25 (1"), INSTALADO EM RAMAIS E SUB-RAMAIS DE GÁS - FORNECIMENTO E INSTALAÇÃO. AF_10/2020</t>
  </si>
  <si>
    <t>TÊ, EM FERRO GALVANIZADO, CONEXÃO ROSQUEADA, DN 15 (1/2"), INSTALADO EM RAMAIS E SUB-RAMAIS DE GÁS - FORNECIMENTO E INSTALAÇÃO. AF_10/2020</t>
  </si>
  <si>
    <t>TÊ, EM FERRO GALVANIZADO, CONEXÃO ROSQUEADA, DN 20 (3/4"), INSTALADO EM RAMAIS E SUB-RAMAIS DE GÁS - FORNECIMENTO E INSTALAÇÃO. AF_10/2020</t>
  </si>
  <si>
    <t>TÊ, EM FERRO GALVANIZADO, CONEXÃO ROSQUEADA, DN 25 (1"), INSTALADO EM RAMAIS E SUB-RAMAIS DE GÁS - FORNECIMENTO E INSTALAÇÃO. AF_10/2020</t>
  </si>
  <si>
    <t>UNIÃO, EM FERRO GALVANIZADO, DN 50 (2"), CONEXÃO ROSQUEADA, INSTALADO EM PRUMADAS - FORNECIMENTO E INSTALAÇÃO. AF_10/2020</t>
  </si>
  <si>
    <t>UNIÃO, EM FERRO GALVANIZADO, DN 65 (2 1/2"), CONEXÃO ROSQUEADA, INSTALADO EM PRUMADAS - FORNECIMENTO E INSTALAÇÃO. AF_10/2020</t>
  </si>
  <si>
    <t>UNIÃO, EM FERRO GALVANIZADO, DN 80 (3"), CONEXÃO ROSQUEADA, INSTALADO EM PRUMADAS - FORNECIMENTO E INSTALAÇÃO. AF_10/2020</t>
  </si>
  <si>
    <t>UNIÃO, EM FERRO GALVANIZADO, DN 25 (1"), CONEXÃO ROSQUEADA, INSTALADO EM REDE DE ALIMENTAÇÃO PARA HIDRANTE - FORNECIMENTO E INSTALAÇÃO. AF_10/2020</t>
  </si>
  <si>
    <t>UNIÃO, EM FERRO GALVANIZADO, DN 32 (1 1/4"), CONEXÃO ROSQUEADA, INSTALADO EM REDE DE ALIMENTAÇÃO PARA HIDRANTE - FORNECIMENTO E INSTALAÇÃO. AF_10/2020</t>
  </si>
  <si>
    <t>UNIÃO, EM FERRO GALVANIZADO, DN 40 (1 1/2"), CONEXÃO ROSQUEADA, INSTALADO EM REDE DE ALIMENTAÇÃO PARA HIDRANTE - FORNECIMENTO E INSTALAÇÃO. AF_10/2020</t>
  </si>
  <si>
    <t>74,87</t>
  </si>
  <si>
    <t>UNIÃO, EM FERRO GALVANIZADO, DN 50 (2"), CONEXÃO ROSQUEADA, INSTALADO EM REDE DE ALIMENTAÇÃO PARA HIDRANTE - FORNECIMENTO E INSTALAÇÃO. AF_10/2020</t>
  </si>
  <si>
    <t>UNIÃO, EM FERRO GALVANIZADO, DN 65 (2 1/2"), CONEXÃO ROSQUEADA, INSTALADO EM REDE DE ALIMENTAÇÃO PARA HIDRANTE - FORNECIMENTO E INSTALAÇÃO. AF_10/2020</t>
  </si>
  <si>
    <t>UNIÃO, EM FERRO GALVANIZADO, DN 80 (3"), CONEXÃO ROSQUEADA, INSTALADO EM REDE DE ALIMENTAÇÃO PARA HIDRANTE - FORNECIMENTO E INSTALAÇÃO. AF_10/2020</t>
  </si>
  <si>
    <t>UNIÃO, EM FERRO GALVANIZADO, CONEXÃO ROSQUEADA, DN 25 (1"), INSTALADO EM REDE DE ALIMENTAÇÃO PARA SPRINKLER - FORNECIMENTO E INSTALAÇÃO. AF_10/2020</t>
  </si>
  <si>
    <t>UNIÃO, EM FERRO GALVANIZADO, CONEXÃO ROSQUEADA, DN 32 (1 1/4"), INSTALADO EM REDE DE ALIMENTAÇÃO PARA SPRINKLER - FORNECIMENTO E INSTALAÇÃO. AF_10/2020</t>
  </si>
  <si>
    <t>UNIÃO, EM FERRO GALVANIZADO, CONEXÃO ROSQUEADA, DN 40 (1 1/2"), INSTALADO EM REDE DE ALIMENTAÇÃO PARA SPRINKLER - FORNECIMENTO E INSTALAÇÃO. AF_10/2020</t>
  </si>
  <si>
    <t>UNIÃO, EM FERRO GALVANIZADO, CONEXÃO ROSQUEADA, DN 50 (2"), INSTALADO EM REDE DE ALIMENTAÇÃO PARA SPRINKLER - FORNECIMENTO E INSTALAÇÃO. AF_10/2020</t>
  </si>
  <si>
    <t>UNIÃO, EM FERRO GALVANIZADO, CONEXÃO ROSQUEADA, DN 65 (2 1/2"), INSTALADO EM REDE DE ALIMENTAÇÃO PARA SPRINKLER - FORNECIMENTO E INSTALAÇÃO. AF_10/2020</t>
  </si>
  <si>
    <t>UNIÃO, EM FERRO GALVANIZADO, CONEXÃO ROSQUEADA, DN 80 (3"), INSTALADO EM REDE DE ALIMENTAÇÃO PARA SPRINKLER - FORNECIMENTO E INSTALAÇÃO. AF_10/2020</t>
  </si>
  <si>
    <t>UNIÃO, EM FERRO GALVANIZADO, CONEXÃO ROSQUEADA, DN 15 (1/2"), INSTALADO EM RAMAIS E SUB-RAMAIS DE GÁS - FORNECIMENTO E INSTALAÇÃO. AF_10/2020</t>
  </si>
  <si>
    <t>UNIÃO, EM FERRO GALVANIZADO, CONEXÃO ROSQUEADA, DN 20 (3/4"), INSTALADO EM RAMAIS E SUB-RAMAIS DE GÁS - FORNECIMENTO E INSTALAÇÃO. AF_10/2020</t>
  </si>
  <si>
    <t>UNIÃO, EM FERRO GALVANIZADO, CONEXÃO ROSQUEADA, DN 25 (1"), INSTALADO EM RAMAIS E SUB-RAMAIS DE GÁS - FORNECIMENTO E INSTALAÇÃO. AF_10/2020</t>
  </si>
  <si>
    <t>LUVA DE REDUÇÃO, EM FERRO GALVANIZADO, 2" X 1 1/2", CONEXÃO ROSQUEADA, INSTALADO EM PRUMADAS - FORNECIMENTO E INSTALAÇÃO. AF_10/2020</t>
  </si>
  <si>
    <t>LUVA DE REDUÇÃO, EM FERRO GALVANIZADO, 2" X 1 1/4", CONEXÃO ROSQUEADA, INSTALADO EM PRUMADAS - FORNECIMENTO E INSTALAÇÃO. AF_10/2020</t>
  </si>
  <si>
    <t>LUVA DE REDUÇÃO, EM FERRO GALVANIZADO, 2" X 1", CONEXÃO ROSQUEADA, INSTALADO EM PRUMADAS - FORNECIMENTO E INSTALAÇÃO. AF_10/2020</t>
  </si>
  <si>
    <t>LUVA DE REDUÇÃO, EM FERRO GALVANIZADO, 2 1/2" X 1 1/2", CONEXÃO ROSQUEADA, INSTALADO EM PRUMADAS - FORNECIMENTO E INSTALAÇÃO. AF_10/2020</t>
  </si>
  <si>
    <t>LUVA DE REDUÇÃO, EM FERRO GALVANIZADO, 2 1/2" X 2", CONEXÃO ROSQUEADA, INSTALADO EM PRUMADAS - FORNECIMENTO E INSTALAÇÃO. AF_10/2020</t>
  </si>
  <si>
    <t>LUVA DE REDUÇÃO, EM FERRO GALVANIZADO, 3" X 1 1/2", CONEXÃO ROSQUEADA, INSTALADO EM PRUMADAS - FORNECIMENTO E INSTALAÇÃO. AF_10/2020</t>
  </si>
  <si>
    <t>LUVA DE REDUÇÃO, EM FERRO GALVANIZADO, 3" X 2 1/2", CONEXÃO ROSQUEADA, INSTALADO EM PRUMADAS - FORNECIMENTO E INSTALAÇÃO. AF_10/2020</t>
  </si>
  <si>
    <t>LUVA DE REDUÇÃO, EM FERRO GALVANIZADO, 3" X 2", CONEXÃO ROSQUEADA, INSTALADO EM PRUMADAS - FORNECIMENTO E INSTALAÇÃO. AF_10/2020</t>
  </si>
  <si>
    <t>LUVA DE REDUÇÃO, EM FERRO GALVANIZADO, 1" X 1/2", CONEXÃO ROSQUEADA, INSTALADO EM REDE DE ALIMENTAÇÃO PARA HIDRANTE - FORNECIMENTO E INSTALAÇÃO. AF_10/2020</t>
  </si>
  <si>
    <t>LUVA DE REDUÇÃO, EM FERRO GALVANIZADO, 1" X 3/4", CONEXÃO ROSQUEADA, INSTALADO EM REDE DE ALIMENTAÇÃO PARA HIDRANTE - FORNECIMENTO E INSTALAÇÃO. AF_10/2020</t>
  </si>
  <si>
    <t>LUVA DE REDUÇÃO, EM FERRO GALVANIZADO, 1 1/4" X 1", CONEXÃO ROSQUEADA, INSTALADO EM REDE DE ALIMENTAÇÃO PARA HIDRANTE - FORNECIMENTO E INSTALAÇÃO. AF_10/2020</t>
  </si>
  <si>
    <t>LUVA DE REDUÇÃO, EM FERRO GALVANIZADO, 1 1/4" X 1/2", CONEXÃO ROSQUEADA, INSTALADO EM REDE DE ALIMENTAÇÃO PARA HIDRANTE - FORNECIMENTO E INSTALAÇÃO. AF_10/2020</t>
  </si>
  <si>
    <t>LUVA DE REDUÇÃO, EM FERRO GALVANIZADO, 1 1/4" X 3/4", CONEXÃO ROSQUEADA, INSTALADO EM REDE DE ALIMENTAÇÃO PARA HIDRANTE - FORNECIMENTO E INSTALAÇÃO. AF_10/2020</t>
  </si>
  <si>
    <t>LUVA DE REDUÇÃO, EM FERRO GALVANIZADO, 1 1/2" X 1 1/4", CONEXÃO ROSQUEADA, INSTALADO EM REDE DE ALIMENTAÇÃO PARA HIDRANTE - FORNECIMENTO E INSTALAÇÃO. AF_10/2020</t>
  </si>
  <si>
    <t>LUVA DE REDUÇÃO, EM FERRO GALVANIZADO, 1 1/2" X 1", CONEXÃO ROSQUEADA, INSTALADO EM REDE DE ALIMENTAÇÃO PARA HIDRANTE - FORNECIMENTO E INSTALAÇÃO. AF_10/2020</t>
  </si>
  <si>
    <t>LUVA DE REDUÇÃO, EM FERRO GALVANIZADO, 1 1/2" X 3/4", CONEXÃO ROSQUEADA, INSTALADO EM REDE DE ALIMENTAÇÃO PARA HIDRANTE - FORNECIMENTO E INSTALAÇÃO. AF_10/2020</t>
  </si>
  <si>
    <t>LUVA DE REDUÇÃO, EM FERRO GALVANIZADO, 2" X 1 1/2", CONEXÃO ROSQUEADA, INSTALADO EM REDE DE ALIMENTAÇÃO PARA HIDRANTE - FORNECIMENTO E INSTALAÇÃO. AF_10/2020</t>
  </si>
  <si>
    <t>LUVA DE REDUÇÃO, EM FERRO GALVANIZADO, 2" X 1 1/4", CONEXÃO ROSQUEADA, INSTALADO EM REDE DE ALIMENTAÇÃO PARA HIDRANTE - FORNECIMENTO E INSTALAÇÃO. AF_10/2020</t>
  </si>
  <si>
    <t>LUVA DE REDUÇÃO, EM FERRO GALVANIZADO, 2" X 1", CONEXÃO ROSQUEADA, INSTALADO EM REDE DE ALIMENTAÇÃO PARA HIDRANTE - FORNECIMENTO E INSTALAÇÃO. AF_10/2020</t>
  </si>
  <si>
    <t>LUVA DE REDUÇÃO, EM FERRO GALVANIZADO, 2 1/2" X 1 1/2", CONEXÃO ROSQUEADA, INSTALADO EM REDE DE ALIMENTAÇÃO PARA HIDRANTE - FORNECIMENTO E INSTALAÇÃO. AF_10/2020</t>
  </si>
  <si>
    <t>LUVA DE REDUÇÃO, EM FERRO GALVANIZADO, 2 1/2" X 2", CONEXÃO ROSQUEADA, INSTALADO EM REDE DE ALIMENTAÇÃO PARA HIDRANTE - FORNECIMENTO E INSTALAÇÃO. AF_10/2020</t>
  </si>
  <si>
    <t>LUVA DE REDUÇÃO, EM FERRO GALVANIZADO, 3" X 2 1/2", CONEXÃO ROSQUEADA, INSTALADO EM REDE DE ALIMENTAÇÃO PARA HIDRANTE - FORNECIMENTO E INSTALAÇÃO. AF_10/2020</t>
  </si>
  <si>
    <t>LUVA DE REDUÇÃO, EM FERRO GALVANIZADO, 3" X 2", CONEXÃO ROSQUEADA, INSTALADO EM REDE DE ALIMENTAÇÃO PARA HIDRANTE - FORNECIMENTO E INSTALAÇÃO. AF_10/2020</t>
  </si>
  <si>
    <t>LUVA DE REDUÇÃO, EM FERRO GALVANIZADO, 1" X 1/2", CONEXÃO ROSQUEADA, INSTALADO EM REDE DE ALIMENTAÇÃO PARA SPRINKLER - FORNECIMENTO E INSTALAÇÃO. AF_10/2020</t>
  </si>
  <si>
    <t>LUVA DE REDUÇÃO, EM FERRO GALVANIZADO, 1" X 3/4", CONEXÃO ROSQUEADA, INSTALADO EM REDE DE ALIMENTAÇÃO PARA SPRINKLER - FORNECIMENTO E INSTALAÇÃO. AF_10/2020</t>
  </si>
  <si>
    <t>LUVA DE REDUÇÃO, EM FERRO GALVANIZADO, 1 1/4" X 1", CONEXÃO ROSQUEADA, INSTALADO EM REDE DE ALIMENTAÇÃO PARA SPRINKLER - FORNECIMENTO E INSTALAÇÃO. AF_10/2020</t>
  </si>
  <si>
    <t>LUVA DE REDUÇÃO, EM FERRO GALVANIZADO, 1 1/4" X 1/2", CONEXÃO ROSQUEADA, INSTALADO EM REDE DE ALIMENTAÇÃO PARA SPRINKLER - FORNECIMENTO E INSTALAÇÃO. AF_10/2020</t>
  </si>
  <si>
    <t>LUVA DE REDUÇÃO, EM FERRO GALVANIZADO, 1 1/4" X 3/4", CONEXÃO ROSQUEADA, INSTALADO EM REDE DE ALIMENTAÇÃO PARA SPRINKLER - FORNECIMENTO E INSTALAÇÃO. AF_10/2020</t>
  </si>
  <si>
    <t>LUVA DE REDUÇÃO, EM FERRO GALVANIZADO, 1 1/2" X 1 1/4", CONEXÃO ROSQUEADA, INSTALADO EM REDE DE ALIMENTAÇÃO PARA SPRINKLER - FORNECIMENTO E INSTALAÇÃO. AF_10/2020</t>
  </si>
  <si>
    <t>LUVA DE REDUÇÃO, EM FERRO GALVANIZADO, 1 1/2" X 1", CONEXÃO ROSQUEADA, INSTALADO EM REDE DE ALIMENTAÇÃO PARA SPRINKLER - FORNECIMENTO E INSTALAÇÃO. AF_10/2020</t>
  </si>
  <si>
    <t>LUVA DE REDUÇÃO, EM FERRO GALVANIZADO, 1 1/2" X 3/4", CONEXÃO ROSQUEADA, INSTALADO EM REDE DE ALIMENTAÇÃO PARA SPRINKLER - FORNECIMENTO E INSTALAÇÃO. AF_10/2020</t>
  </si>
  <si>
    <t>LUVA DE REDUÇÃO, EM FERRO GALVANIZADO, 2" X 1 1/2", CONEXÃO ROSQUEADA, INSTALADO EM REDE DE ALIMENTAÇÃO PARA SPRINKLER - FORNECIMENTO E INSTALAÇÃO. AF_10/2020</t>
  </si>
  <si>
    <t>LUVA DE REDUÇÃO, EM FERRO GALVANIZADO, 2" X 1 1/4", CONEXÃO ROSQUEADA, INSTALADO EM REDE DE ALIMENTAÇÃO PARA SPRINKLER - FORNECIMENTO E INSTALAÇÃO. AF_10/2020</t>
  </si>
  <si>
    <t>LUVA DE REDUÇÃO, EM FERRO GALVANIZADO, 2" X 1", CONEXÃO ROSQUEADA, INSTALADO EM REDE DE ALIMENTAÇÃO PARA SPRINKLER - FORNECIMENTO E INSTALAÇÃO. AF_10/2020</t>
  </si>
  <si>
    <t>LUVA DE REDUÇÃO, EM FERRO GALVANIZADO, 2 1/2" X 1 1/2", CONEXÃO ROSQUEADA, INSTALADO EM REDE DE ALIMENTAÇÃO PARA SPRINKLER - FORNECIMENTO E INSTALAÇÃO. AF_10/2020</t>
  </si>
  <si>
    <t>LUVA DE REDUÇÃO, EM FERRO GALVANIZADO, 2 1/2" X 2", CONEXÃO ROSQUEADA, INSTALADO EM REDE DE ALIMENTAÇÃO PARA SPRINKLER - FORNECIMENTO E INSTALAÇÃO. AF_10/2020</t>
  </si>
  <si>
    <t>LUVA DE REDUÇÃO, EM FERRO GALVANIZADO, 3" X 2 1/2", CONEXÃO ROSQUEADA, INSTALADO EM REDE DE ALIMENTAÇÃO PARA SPRINKLER - FORNECIMENTO E INSTALAÇÃO. AF_10/2020</t>
  </si>
  <si>
    <t>LUVA DE REDUÇÃO, EM FERRO GALVANIZADO, 3" X 2", CONEXÃO ROSQUEADA, INSTALADO EM REDE DE ALIMENTAÇÃO PARA SPRINKLER - FORNECIMENTO E INSTALAÇÃO. AF_10/2020</t>
  </si>
  <si>
    <t>LUVA DE REDUÇÃO, EM FERRO GALVANIZADO, 3/4" X 1/2", CONEXÃO ROSQUEADA, INSTALADO EM RAMAIS E SUB-RAMAIS DE GÁS - FORNECIMENTO E INSTALAÇÃO. AF_10/2020</t>
  </si>
  <si>
    <t>18,77</t>
  </si>
  <si>
    <t>24,91</t>
  </si>
  <si>
    <t>40,05</t>
  </si>
  <si>
    <t>123,89</t>
  </si>
  <si>
    <t>65,73</t>
  </si>
  <si>
    <t>94,66</t>
  </si>
  <si>
    <t>52,40</t>
  </si>
  <si>
    <t>38,99</t>
  </si>
  <si>
    <t>104,55</t>
  </si>
  <si>
    <t>SPRINKLER TIPO PENDENTE, 68 °C, UNIÃO POR ROSCA DN 15 (1/2") - FORNECIMENTO E INSTALAÇÃO. AF_10/2020</t>
  </si>
  <si>
    <t>20,62</t>
  </si>
  <si>
    <t>94,18</t>
  </si>
  <si>
    <t>15,62</t>
  </si>
  <si>
    <t>30,51</t>
  </si>
  <si>
    <t>51,32</t>
  </si>
  <si>
    <t>239,79</t>
  </si>
  <si>
    <t>ACOPLAMENTO RÍGIDO EM AÇO, CONEXÃO RANHURADA, DN 50 (2"), INSTALADO EM PRUMADAS - FORNECIMENTO E INSTALAÇÃO. AF_10/2020</t>
  </si>
  <si>
    <t>ACOPLAMENTO RÍGIDO EM AÇO, CONEXÃO RANHURADA, DN 65 (2 1/2"), INSTALADO EM PRUMADAS - FORNECIMENTO E INSTALAÇÃO. AF_10/2020</t>
  </si>
  <si>
    <t>ACOPLAMENTO RÍGIDO EM AÇO, CONEXÃO RANHURADA, DN 80 (3"), INSTALADO EM PRUMADAS - FORNECIMENTO E INSTALAÇÃO. AF_10/2020</t>
  </si>
  <si>
    <t>CURVA 45 GRAUS, EM AÇO, CONEXÃO RANHURADA, DN 50 (2"), INSTALADO EM PRUMADAS - FORNECIMENTO E INSTALAÇÃO. AF_10/2020</t>
  </si>
  <si>
    <t>CURVA 90 GRAUS, EM AÇO, CONEXÃO RANHURADA, DN 50 (2"), INSTALADO EM PRUMADAS - FORNECIMENTO E INSTALAÇÃO. AF_10/2020</t>
  </si>
  <si>
    <t>CURVA 45 GRAUS, EM AÇO, CONEXÃO RANHURADA, DN 65 (2 1/2"), INSTALADO EM PRUMADAS - FORNECIMENTO E INSTALAÇÃO. AF_10/2020</t>
  </si>
  <si>
    <t>CURVA 90 GRAUS, EM AÇO, CONEXÃO RANHURADA, DN 65 (2 1/2"), INSTALADO EM PRUMADAS - FORNECIMENTO E INSTALAÇÃO. AF_10/2020</t>
  </si>
  <si>
    <t>CURVA 90 GRAUS, EM AÇO, CONEXÃO RANHURADA, DN 80 (3"), INSTALADO EM PRUMADAS - FORNECIMENTO E INSTALAÇÃO. AF_10/2020</t>
  </si>
  <si>
    <t>TÊ, EM AÇO, CONEXÃO RANHURADA, DN 50 (2"), INSTALADO EM PRUMADAS - FORNECIMENTO E INSTALAÇÃO. AF_10/2020</t>
  </si>
  <si>
    <t>TÊ, EM AÇO, CONEXÃO RANHURADA, DN 65 (2 1/2"), INSTALADO EM PRUMADAS - FORNECIMENTO E INSTALAÇÃO. AF_10/2020</t>
  </si>
  <si>
    <t>TÊ, EM AÇO, CONEXÃO RANHURADA, DN 80 (3"), INSTALADO EM PRUMADAS - FORNECIMENTO E INSTALAÇÃO. AF_10/2020</t>
  </si>
  <si>
    <t>LUVA, EM AÇO, CONEXÃO SOLDADA, DN 50 (2"), INSTALADO EM PRUMADAS - FORNECIMENTO E INSTALAÇÃO. AF_10/2020</t>
  </si>
  <si>
    <t>LUVA COM REDUÇÃO, EM AÇO, CONEXÃO SOLDADA, DN 50 X 40 MM (2  X 1 1/2"), INSTALADO EM PRUMADAS - FORNECIMENTO E INSTALAÇÃO. AF_10/2020</t>
  </si>
  <si>
    <t>LUVA, EM AÇO, CONEXÃO SOLDADA, DN 65 (2 1/2"), INSTALADO EM PRUMADAS - FORNECIMENTO E INSTALAÇÃO. AF_10/2020</t>
  </si>
  <si>
    <t>LUVA COM REDUÇÃO, EM AÇO, CONEXÃO SOLDADA, DN 65 X 50 MM (2 1/2" X 2"), INSTALADO EM PRUMADAS - FORNECIMENTO E INSTALAÇÃO. AF_10/2020</t>
  </si>
  <si>
    <t>LUVA, EM AÇO, CONEXÃO SOLDADA, DN 80 (3"), INSTALADO EM PRUMADAS - FORNECIMENTO E INSTALAÇÃO. AF_10/2020</t>
  </si>
  <si>
    <t>LUVA COM REDUÇÃO, EM AÇO, CONEXÃO SOLDADA, DN 80 X 65 MM (3" X 2 1/2"), INSTALADO EM PRUMADAS - FORNECIMENTO E INSTALAÇÃO. AF_10/2020</t>
  </si>
  <si>
    <t>CURVA 45 GRAUS, EM AÇO, CONEXÃO SOLDADA, DN 50 (2"), INSTALADO EM PRUMADAS - FORNECIMENTO E INSTALAÇÃO. AF_10/2020</t>
  </si>
  <si>
    <t>CURVA 90 GRAUS, EM AÇO, CONEXÃO SOLDADA, DN 50 (2"), INSTALADO EM PRUMADAS - FORNECIMENTO E INSTALAÇÃO. AF_10/2020</t>
  </si>
  <si>
    <t>CURVA 45 GRAUS, EM AÇO, CONEXÃO SOLDADA, DN 65 (2 1/2"), INSTALADO EM PRUMADAS - FORNECIMENTO E INSTALAÇÃO. AF_10/2020</t>
  </si>
  <si>
    <t>CURVA 90 GRAUS, EM AÇO, CONEXÃO SOLDADA, DN 65 (2 1/2"), INSTALADO EM PRUMADAS - FORNECIMENTO E INSTALAÇÃO. AF_10/2020</t>
  </si>
  <si>
    <t>331,41</t>
  </si>
  <si>
    <t>CURVA 45 GRAUS, EM AÇO, CONEXÃO SOLDADA, DN 80 (3"), INSTALADO EM PRUMADAS - FORNECIMENTO E INSTALAÇÃO. AF_10/2020</t>
  </si>
  <si>
    <t>CURVA 90 GRAUS, EM AÇO, CONEXÃO SOLDADA, DN 80 (3"), INSTALADO EM PRUMADAS - FORNECIMENTO E INSTALAÇÃO. AF_10/2020</t>
  </si>
  <si>
    <t>TÊ, EM AÇO, CONEXÃO SOLDADA, DN 50 (2"), INSTALADO EM PRUMADAS - FORNECIMENTO E INSTALAÇÃO. AF_10/2020</t>
  </si>
  <si>
    <t>TÊ, EM AÇO, CONEXÃO SOLDADA, DN 65 (2 1/2"), INSTALADO EM PRUMADAS - FORNECIMENTO E INSTALAÇÃO. AF_10/2020</t>
  </si>
  <si>
    <t>TÊ, EM AÇO, CONEXÃO SOLDADA, DN 80 (3"), INSTALADO EM PRUMADAS - FORNECIMENTO E INSTALAÇÃO. AF_10/2020</t>
  </si>
  <si>
    <t>LUVA, EM AÇO, CONEXÃO SOLDADA, DN 25 (1"), INSTALADO EM REDE DE ALIMENTAÇÃO PARA HIDRANTE - FORNECIMENTO E INSTALAÇÃO. AF_10/2020</t>
  </si>
  <si>
    <t>LUVA COM REDUÇÃO, EM AÇO, CONEXÃO SOLDADA, DN 25 X 20 MM (1  X 3/4"), INSTALADO EM REDE DE ALIMENTAÇÃO PARA HIDRANTE - FORNECIMENTO E INSTALAÇÃO. AF_10/2020</t>
  </si>
  <si>
    <t>LUVA, EM AÇO, CONEXÃO SOLDADA, DN 32 (1 1/4"), INSTALADO EM REDE DE ALIMENTAÇÃO PARA HIDRANTE - FORNECIMENTO E INSTALAÇÃO. AF_10/2020</t>
  </si>
  <si>
    <t>LUVA COM REDUÇÃO, EM AÇO, CONEXÃO SOLDADA, DN 32 X 25 MM (1 1/4"  X 1"), INSTALADO EM REDE DE ALIMENTAÇÃO PARA HIDRANTE - FORNECIMENTO E INSTALAÇÃO. AF_10/2020</t>
  </si>
  <si>
    <t>LUVA, EM AÇO, CONEXÃO SOLDADA, DN 40 (1 1/2"), INSTALADO EM REDE DE ALIMENTAÇÃO PARA HIDRANTE - FORNECIMENTO E INSTALAÇÃO. AF_10/2020</t>
  </si>
  <si>
    <t>LUVA COM REDUÇÃO, EM AÇO, CONEXÃO SOLDADA, DN 40  X 32 MM (1 1/2" X 1 1/4"), INSTALADO EM REDE DE ALIMENTAÇÃO PARA HIDRANTE - FORNECIMENTO E INSTALAÇÃO. AF_10/2020</t>
  </si>
  <si>
    <t>LUVA, EM AÇO, CONEXÃO SOLDADA, DN 50 (2"), INSTALADO EM REDE DE ALIMENTAÇÃO PARA HIDRANTE - FORNECIMENTO E INSTALAÇÃO. AF_10/2020</t>
  </si>
  <si>
    <t>LUVA COM REDUÇÃO, EM AÇO, CONEXÃO SOLDADA, DN 50 X 40 MM (2" X 1 1/2"), INSTALADO EM REDE DE ALIMENTAÇÃO PARA HIDRANTE - FORNECIMENTO E INSTALAÇÃO. AF_10/2020</t>
  </si>
  <si>
    <t>LUVA, EM AÇO, CONEXÃO SOLDADA, DN 65 (2 1/2"), INSTALADO EM REDE DE ALIMENTAÇÃO PARA HIDRANTE - FORNECIMENTO E INSTALAÇÃO. AF_10/2020</t>
  </si>
  <si>
    <t>LUVA COM REDUÇÃO, EM AÇO, CONEXÃO SOLDADA, DN 65 X 50 MM (2 1/2" X 2"), INSTALADO EM REDE DE ALIMENTAÇÃO PARA HIDRANTE - FORNECIMENTO E INSTALAÇÃO. AF_10/2020</t>
  </si>
  <si>
    <t>218,37</t>
  </si>
  <si>
    <t>LUVA, EM AÇO, CONEXÃO SOLDADA, DN 80 (3"), INSTALADO EM REDE DE ALIMENTAÇÃO PARA HIDRANTE - FORNECIMENTO E INSTALAÇÃO. AF_10/2020</t>
  </si>
  <si>
    <t>LUVA COM REDUÇÃO, EM AÇO, CONEXÃO SOLDADA, DN 80 X 65 MM (3" X 2 1/2"), INSTALADO EM REDE DE ALIMENTAÇÃO PARA HIDRANTE - FORNECIMENTO E INSTALAÇÃO. AF_10/2020</t>
  </si>
  <si>
    <t>CURVA 45 GRAUS, EM AÇO, CONEXÃO SOLDADA, DN 25 (1"), INSTALADO EM REDE DE ALIMENTAÇÃO PARA HIDRANTE - FORNECIMENTO E INSTALAÇÃO. AF_10/2020</t>
  </si>
  <si>
    <t>CURVA 90 GRAUS, EM AÇO, CONEXÃO SOLDADA, DN 25 (1"), INSTALADO EM REDE DE ALIMENTAÇÃO PARA HIDRANTE - FORNECIMENTO E INSTALAÇÃO. AF_10/2020</t>
  </si>
  <si>
    <t>CURVA 45 GRAUS, EM AÇO, CONEXÃO SOLDADA, DN 32 (1 1/4"), INSTALADO EM REDE DE ALIMENTAÇÃO PARA HIDRANTE - FORNECIMENTO E INSTALAÇÃO. AF_10/2020</t>
  </si>
  <si>
    <t>CURVA 90 GRAUS, EM AÇO, CONEXÃO SOLDADA, DN 32 (1 1/4"), INSTALADO EM REDE DE ALIMENTAÇÃO PARA HIDRANTE - FORNECIMENTO E INSTALAÇÃO. AF_10/2020</t>
  </si>
  <si>
    <t>CURVA 45 GRAUS, EM AÇO, CONEXÃO SOLDADA, DN 40 (1 1/2"), INSTALADO EM REDE DE ALIMENTAÇÃO PARA HIDRANTE - FORNECIMENTO E INSTALAÇÃO. AF_10/2020</t>
  </si>
  <si>
    <t>CURVA 90 GRAUS, EM AÇO, CONEXÃO SOLDADA, DN 40 (1 1/2"), INSTALADO EM REDE DE ALIMENTAÇÃO PARA HIDRANTE - FORNECIMENTO E INSTALAÇÃO. AF_10/2020</t>
  </si>
  <si>
    <t>CURVA 45 GRAUS, EM AÇO, CONEXÃO SOLDADA, DN 50 (2"), INSTALADO EM REDE DE ALIMENTAÇÃO PARA HIDRANTE - FORNECIMENTO E INSTALAÇÃO. AF_10/2020</t>
  </si>
  <si>
    <t>CURVA 90 GRAUS, EM AÇO, CONEXÃO SOLDADA, DN 50 (2"), INSTALADO EM REDE DE ALIMENTAÇÃO PARA HIDRANTE - FORNECIMENTO E INSTALAÇÃO. AF_10/2020</t>
  </si>
  <si>
    <t>CURVA 45 GRAUS, EM AÇO, CONEXÃO SOLDADA, DN 65 (2 1/2"), INSTALADO EM REDE DE ALIMENTAÇÃO PARA HIDRANTE - FORNECIMENTO E INSTALAÇÃO. AF_10/2020</t>
  </si>
  <si>
    <t>CURVA 90 GRAUS, EM AÇO, CONEXÃO SOLDADA, DN 65 (2 1/2"), INSTALADO EM REDE DE ALIMENTAÇÃO PARA HIDRANTE - FORNECIMENTO E INSTALAÇÃO. AF_10/2020</t>
  </si>
  <si>
    <t>CURVA 45 GRAUS, EM AÇO, CONEXÃO SOLDADA, DN 80 (3"), INSTALADO EM REDE DE ALIMENTAÇÃO PARA HIDRANTE - FORNECIMENTO E INSTALAÇÃO. AF_10/2020</t>
  </si>
  <si>
    <t>CURVA 90 GRAUS, EM AÇO, CONEXÃO SOLDADA, DN 80 (3"), INSTALADO EM REDE DE ALIMENTAÇÃO PARA HIDRANTE - FORNECIMENTO E INSTALAÇÃO. AF_10/2020</t>
  </si>
  <si>
    <t>TÊ, EM AÇO, CONEXÃO SOLDADA, DN 25 (1"), INSTALADO EM REDE DE ALIMENTAÇÃO PARA HIDRANTE - FORNECIMENTO E INSTALAÇÃO. AF_10/2020</t>
  </si>
  <si>
    <t>TÊ, EM AÇO, CONEXÃO SOLDADA, DN 32 (1 1/4"), INSTALADO EM REDE DE ALIMENTAÇÃO PARA HIDRANTE - FORNECIMENTO E INSTALAÇÃO. AF_10/2020</t>
  </si>
  <si>
    <t>TÊ, EM AÇO, CONEXÃO SOLDADA, DN 40 (1 1/2"), INSTALADO EM REDE DE ALIMENTAÇÃO PARA HIDRANTE - FORNECIMENTO E INSTALAÇÃO. AF_10/2020</t>
  </si>
  <si>
    <t>TÊ, EM AÇO, CONEXÃO SOLDADA, DN 50 (2"), INSTALADO EM REDE DE ALIMENTAÇÃO PARA HIDRANTE - FORNECIMENTO E INSTALAÇÃO. AF_10/2020</t>
  </si>
  <si>
    <t>TÊ, EM AÇO, CONEXÃO SOLDADA, DN 65 (2 1/2"), INSTALADO EM REDE DE ALIMENTAÇÃO PARA HIDRANTE - FORNECIMENTO E INSTALAÇÃO. AF_10/2020</t>
  </si>
  <si>
    <t>TÊ, EM AÇO, CONEXÃO SOLDADA, DN 80 (3"), INSTALADO EM REDE DE ALIMENTAÇÃO PARA HIDRANTE - FORNECIMENTO E INSTALAÇÃO. AF_10/2020</t>
  </si>
  <si>
    <t>LUVA, EM AÇO, CONEXÃO SOLDADA, DN 25 (1"), INSTALADO EM REDE DE ALIMENTAÇÃO PARA SPRINKLER - FORNECIMENTO E INSTALAÇÃO. AF_10/2020</t>
  </si>
  <si>
    <t>LUVA COM REDUÇÃO, EM AÇO, CONEXÃO SOLDADA, DN 25 X 20 MM (1" X 3/4"), INSTALADO EM REDE DE ALIMENTAÇÃO PARA SPRINKLER - FORNECIMENTO E INSTALAÇÃO. AF_10/2020</t>
  </si>
  <si>
    <t>LUVA, EM AÇO, CONEXÃO SOLDADA, DN 32 (1 1/4"), INSTALADO EM REDE DE ALIMENTAÇÃO PARA SPRINKLER - FORNECIMENTO E INSTALAÇÃO. AF_10/2020</t>
  </si>
  <si>
    <t>LUVA COM REDUÇÃO, EM AÇO, CONEXÃO SOLDADA, DN 32 X 25 MM (1 1/4"  X 1"), INSTALADO EM REDE DE ALIMENTAÇÃO PARA SPRINKLER - FORNECIMENTO E INSTALAÇÃO. AF_10/2020</t>
  </si>
  <si>
    <t>56,01</t>
  </si>
  <si>
    <t>LUVA, EM AÇO, CONEXÃO SOLDADA, DN 40 (1 1/2"), INSTALADO EM REDE DE ALIMENTAÇÃO PARA SPRINKLER - FORNECIMENTO E INSTALAÇÃO. AF_10/2020</t>
  </si>
  <si>
    <t>LUVA COM REDUÇÃO, EM AÇO, CONEXÃO SOLDADA, DN 40  X 32 MM (1 1/2" X 1 1/4"), INSTALADO EM REDE DE ALIMENTAÇÃO PARA SPRINKLER - FORNECIMENTO E INSTALAÇÃO. AF_10/2020</t>
  </si>
  <si>
    <t>LUVA, EM AÇO, CONEXÃO SOLDADA, DN 50 (2"), INSTALADO EM REDE DE ALIMENTAÇÃO PARA SPRINKLER - FORNECIMENTO E INSTALAÇÃO. AF_10/2020</t>
  </si>
  <si>
    <t>86,21</t>
  </si>
  <si>
    <t>LUVA COM REDUÇÃO, EM AÇO, CONEXÃO SOLDADA, DN 50 X 40 MM (2" X 1 1/2"), INSTALADO EM REDE DE ALIMENTAÇÃO PARA SPRINKLER - FORNECIMENTO E INSTALAÇÃO. AF_10/2020</t>
  </si>
  <si>
    <t>LUVA, EM AÇO, CONEXÃO SOLDADA, DN 65 (2 1/2"), INSTALADO EM REDE DE ALIMENTAÇÃO PARA SPRINKLER - FORNECIMENTO E INSTALAÇÃO. AF_10/2020</t>
  </si>
  <si>
    <t>LUVA COM REDUÇÃO, EM AÇO, CONEXÃO SOLDADA, DN 65 X 50 MM (2 1/2" X 2"), INSTALADO EM REDE DE ALIMENTAÇÃO PARA SPRINKLER - FORNECIMENTO E INSTALAÇÃO. AF_10/2020</t>
  </si>
  <si>
    <t>LUVA, EM AÇO, CONEXÃO SOLDADA, DN 80 (3"), INSTALADO EM REDE DE ALIMENTAÇÃO PARA SPRINKLER - FORNECIMENTO E INSTALAÇÃO. AF_10/2020</t>
  </si>
  <si>
    <t>LUVA COM REDUÇÃO, EM AÇO, CONEXÃO SOLDADA, DN 80 X 65 MM (3" X 2 1/2"), INSTALADO EM REDE DE ALIMENTAÇÃO PARA SPRINKLER - FORNECIMENTO E INSTALAÇÃO. AF_10/2020</t>
  </si>
  <si>
    <t>CURVA 45 GRAUS, EM AÇO, CONEXÃO SOLDADA, DN 25 (1"), INSTALADO EM REDE DE ALIMENTAÇÃO PARA SPRINKLER - FORNECIMENTO E INSTALAÇÃO. AF_10/2020</t>
  </si>
  <si>
    <t>CURVA 90 GRAUS, EM AÇO, CONEXÃO SOLDADA, DN 25 (1"), INSTALADO EM REDE DE ALIMENTAÇÃO PARA SPRINKLER - FORNECIMENTO E INSTALAÇÃO. AF_10/2020</t>
  </si>
  <si>
    <t>CURVA 45 GRAUS, EM AÇO, CONEXÃO SOLDADA, DN 32 (1 1/4"), INSTALADO EM REDE DE ALIMENTAÇÃO PARA SPRINKLER - FORNECIMENTO E INSTALAÇÃO. AF_10/2020</t>
  </si>
  <si>
    <t>CURVA 90 GRAUS, EM AÇO, CONEXÃO SOLDADA, DN 32 (1 1/4"), INSTALADO EM REDE DE ALIMENTAÇÃO PARA SPRINKLER - FORNECIMENTO E INSTALAÇÃO. AF_10/2020</t>
  </si>
  <si>
    <t>CURVA 45 GRAUS, EM AÇO, CONEXÃO SOLDADA, DN 40 (1 1/2"), INSTALADO EM REDE DE ALIMENTAÇÃO PARA SPRINKLER - FORNECIMENTO E INSTALAÇÃO. AF_10/2020</t>
  </si>
  <si>
    <t>CURVA 90 GRAUS, EM AÇO, CONEXÃO SOLDADA, DN 40 (1 1/2"), INSTALADO EM REDE DE ALIMENTAÇÃO PARA SPRINKLER - FORNECIMENTO E INSTALAÇÃO. AF_10/2020</t>
  </si>
  <si>
    <t>CURVA 45 GRAUS, EM AÇO, CONEXÃO SOLDADA, DN 50 (2"), INSTALADO EM REDE DE ALIMENTAÇÃO PARA SPRINKLER - FORNECIMENTO E INSTALAÇÃO. AF_10/2020</t>
  </si>
  <si>
    <t>CURVA 90 GRAUS, EM AÇO, CONEXÃO SOLDADA, DN 50 (2"), INSTALADO EM REDE DE ALIMENTAÇÃO PARA SPRINKLER - FORNECIMENTO E INSTALAÇÃO. AF_10/2020</t>
  </si>
  <si>
    <t>CURVA 45 GRAUS, EM AÇO, CONEXÃO SOLDADA, DN 65 (2 1/2"), INSTALADO EM REDE DE ALIMENTAÇÃO PARA SPRINKLER - FORNECIMENTO E INSTALAÇÃO. AF_10/2020</t>
  </si>
  <si>
    <t>CURVA 90 GRAUS, EM AÇO, CONEXÃO SOLDADA, DN 65 (2 1/2"), INSTALADO EM REDE DE ALIMENTAÇÃO PARA SPRINKLER - FORNECIMENTO E INSTALAÇÃO. AF_10/2020</t>
  </si>
  <si>
    <t>CURVA 45 GRAUS, EM AÇO, CONEXÃO SOLDADA, DN 80 (3"), INSTALADO EM REDE DE ALIMENTAÇÃO PARA SPRINKLER - FORNECIMENTO E INSTALAÇÃO. AF_10/2020</t>
  </si>
  <si>
    <t>CURVA 90 GRAUS, EM AÇO, CONEXÃO SOLDADA, DN 80 (3"), INSTALADO EM REDE DE ALIMENTAÇÃO PARA SPRINKLER - FORNECIMENTO E INSTALAÇÃO. AF_10/2020</t>
  </si>
  <si>
    <t>TÊ, EM AÇO, CONEXÃO SOLDADA, DN 25 (1"), INSTALADO EM REDE DE ALIMENTAÇÃO PARA SPRINKLER - FORNECIMENTO E INSTALAÇÃO. AF_10/2020</t>
  </si>
  <si>
    <t>TÊ, EM AÇO, CONEXÃO SOLDADA, DN 32 (1 1/4"), INSTALADO EM REDE DE ALIMENTAÇÃO PARA SPRINKLER - FORNECIMENTO E INSTALAÇÃO. AF_10/2020</t>
  </si>
  <si>
    <t>TÊ, EM AÇO, CONEXÃO SOLDADA, DN 40 (1 1/2"), INSTALADO EM REDE DE ALIMENTAÇÃO PARA SPRINKLER - FORNECIMENTO E INSTALAÇÃO. AF_10/2020</t>
  </si>
  <si>
    <t>TÊ, EM AÇO, CONEXÃO SOLDADA, DN 50 (2"), INSTALADO EM REDE DE ALIMENTAÇÃO PARA SPRINKLER - FORNECIMENTO E INSTALAÇÃO. AF_10/2020</t>
  </si>
  <si>
    <t>TÊ, EM AÇO, CONEXÃO SOLDADA, DN 65 (2 1/2"), INSTALADO EM REDE DE ALIMENTAÇÃO PARA SPRINKLER - FORNECIMENTO E INSTALAÇÃO. AF_10/2020</t>
  </si>
  <si>
    <t>TÊ, EM AÇO, CONEXÃO SOLDADA, DN 80 (3"), INSTALADO EM REDE DE ALIMENTAÇÃO PARA SPRINKLER - FORNECIMENTO E INSTALAÇÃO. AF_10/2020</t>
  </si>
  <si>
    <t>LUVA, EM AÇO, CONEXÃO SOLDADA, DN 15 (1/2"), INSTALADO EM RAMAIS E SUB-RAMAIS DE GÁS - FORNECIMENTO E INSTALAÇÃO. AF_10/2020</t>
  </si>
  <si>
    <t>LUVA, EM AÇO, CONEXÃO SOLDADA, DN 20 (3/4"), INSTALADO EM RAMAIS E SUB-RAMAIS DE GÁS - FORNECIMENTO E INSTALAÇÃO. AF_10/2020</t>
  </si>
  <si>
    <t>LUVA COM REDUÇÃO, EM AÇO, CONEXÃO SOLDADA, DN 20 X 15 MM (3/4" X 1/2"), INSTALADO EM RAMAIS E SUB-RAMAIS DE GÁS - FORNECIMENTO E INSTALAÇÃO. AF_10/2020</t>
  </si>
  <si>
    <t>LUVA, EM AÇO, CONEXÃO SOLDADA, DN 25 (1"), INSTALADO EM RAMAIS E SUB-RAMAIS DE GÁS - FORNECIMENTO E INSTALAÇÃO. AF_10/2020</t>
  </si>
  <si>
    <t>LUVA COM REDUÇÃO, EM AÇO, CONEXÃO SOLDADA, DN 25 X 20 MM (1" X 3/4"), INSTALADO EM RAMAIS E SUB-RAMAIS DE GÁS - FORNECIMENTO E INSTALAÇÃO. AF_10/2020</t>
  </si>
  <si>
    <t>CURVA 45 GRAUS, EM AÇO, CONEXÃO SOLDADA, DN 15 (1/2"), INSTALADO EM RAMAIS E SUB-RAMAIS DE GÁS - FORNECIMENTO E INSTALAÇÃO. AF_10/2020</t>
  </si>
  <si>
    <t>CURVA 90 GRAUS, EM AÇO, CONEXÃO SOLDADA, DN 15 (1/2"), INSTALADO EM RAMAIS E SUB-RAMAIS DE GÁS - FORNECIMENTO E INSTALAÇÃO. AF_10/2020</t>
  </si>
  <si>
    <t>CURVA 45 GRAUS, EM AÇO, CONEXÃO SOLDADA, DN 20 (3/4"), INSTALADO EM RAMAIS E SUB-RAMAIS DE GÁS - FORNECIMENTO E INSTALAÇÃO. AF_10/2020</t>
  </si>
  <si>
    <t>CURVA 90 GRAUS, EM AÇO, CONEXÃO SOLDADA, DN 20 (3/4"), INSTALADO EM RAMAIS E SUB-RAMAIS DE GÁS - FORNECIMENTO E INSTALAÇÃO. AF_10/2020</t>
  </si>
  <si>
    <t>CURVA 45 GRAUS, EM AÇO, CONEXÃO SOLDADA, DN 25 (1"), INSTALADO EM RAMAIS E SUB-RAMAIS DE GÁS - FORNECIMENTO E INSTALAÇÃO. AF_10/2020</t>
  </si>
  <si>
    <t>74,14</t>
  </si>
  <si>
    <t>CURVA 90 GRAUS, EM AÇO, CONEXÃO SOLDADA, DN 25 (1"), INSTALADO EM RAMAIS E SUB-RAMAIS DE GÁS - FORNECIMENTO E INSTALAÇÃO. AF_10/2020</t>
  </si>
  <si>
    <t>TÊ, EM AÇO, CONEXÃO SOLDADA, DN 15 (1/2"), INSTALADO EM RAMAIS E SUB-RAMAIS DE GÁS - FORNECIMENTO E INSTALAÇÃO. AF_10/2020</t>
  </si>
  <si>
    <t>TÊ, EM AÇO, CONEXÃO SOLDADA, DN 20 (3/4"), INSTALADO EM RAMAIS E SUB-RAMAIS DE GÁS - FORNECIMENTO E INSTALAÇÃO. AF_10/2020</t>
  </si>
  <si>
    <t>TÊ, EM AÇO, CONEXÃO SOLDADA, DN 25 (1"), INSTALADO EM RAMAIS E SUB-RAMAIS DE GÁS - FORNECIMENTO E INSTALAÇÃO. AF_10/2020</t>
  </si>
  <si>
    <t>97895</t>
  </si>
  <si>
    <t>CAIXA ENTERRADA HIDRÁULICA RETANGULAR, EM CONCRETO PRÉ-MOLDADO, DIMENSÕES INTERNAS: 0,3X0,3X0,3 M. AF_12/2020</t>
  </si>
  <si>
    <t>97896</t>
  </si>
  <si>
    <t>CAIXA ENTERRADA HIDRÁULICA RETANGULAR, EM CONCRETO PRÉ-MOLDADO, DIMENSÕES INTERNAS: 0,4X0,4X0,4 M. AF_12/2020</t>
  </si>
  <si>
    <t>97897</t>
  </si>
  <si>
    <t>CAIXA ENTERRADA HIDRÁULICA RETANGULAR, EM CONCRETO PRÉ-MOLDADO, DIMENSÕES INTERNAS: 0,6X0,6X0,5 M. AF_12/2020</t>
  </si>
  <si>
    <t>97898</t>
  </si>
  <si>
    <t>CAIXA ENTERRADA HIDRÁULICA RETANGULAR, EM CONCRETO PRÉ-MOLDADO, DIMENSÕES INTERNAS: 0,8X0,8X0,5 M. AF_12/2020</t>
  </si>
  <si>
    <t>CAIXA ENTERRADA HIDRÁULICA RETANGULAR EM ALVENARIA COM TIJOLOS CERÂMICOS MACIÇOS, DIMENSÕES INTERNAS: 0,3X0,3X0,3 M PARA REDE DE ESGOTO. AF_12/2020</t>
  </si>
  <si>
    <t>CAIXA ENTERRADA HIDRÁULICA RETANGULAR EM ALVENARIA COM TIJOLOS CERÂMICOS MACIÇOS, DIMENSÕES INTERNAS: 0,4X0,4X0,4 M PARA REDE DE ESGOTO. AF_12/2020</t>
  </si>
  <si>
    <t>CAIXA ENTERRADA HIDRÁULICA RETANGULAR EM ALVENARIA COM TIJOLOS CERÂMICOS MACIÇOS, DIMENSÕES INTERNAS: 0,6X0,6X0,6 M PARA REDE DE ESGOTO. AF_12/2020</t>
  </si>
  <si>
    <t>CAIXA ENTERRADA HIDRÁULICA RETANGULAR EM ALVENARIA COM TIJOLOS CERÂMICOS MACIÇOS, DIMENSÕES INTERNAS: 0,8X0,8X0,6 M PARA REDE DE ESGOTO. AF_12/2020</t>
  </si>
  <si>
    <t>CAIXA ENTERRADA HIDRÁULICA RETANGULAR EM ALVENARIA COM TIJOLOS CERÂMICOS MACIÇOS, DIMENSÕES INTERNAS: 1X1X0,6 M PARA REDE DE ESGOTO. AF_12/2020</t>
  </si>
  <si>
    <t>CAIXA ENTERRADA HIDRÁULICA RETANGULAR, EM ALVENARIA COM BLOCOS DE CONCRETO, DIMENSÕES INTERNAS: 0,4X0,4X0,4 M PARA REDE DE ESGOTO. AF_12/2020</t>
  </si>
  <si>
    <t>CAIXA ENTERRADA HIDRÁULICA RETANGULAR, EM ALVENARIA COM BLOCOS DE CONCRETO, DIMENSÕES INTERNAS: 0,6X0,6X0,6 M PARA REDE DE ESGOTO. AF_12/2020</t>
  </si>
  <si>
    <t>CAIXA ENTERRADA HIDRÁULICA RETANGULAR, EM ALVENARIA COM BLOCOS DE CONCRETO, DIMENSÕES INTERNAS: 0,8X0,8X0,6 M PARA REDE DE ESGOTO. AF_12/2020</t>
  </si>
  <si>
    <t>CAIXA ENTERRADA HIDRÁULICA RETANGULAR, EM ALVENARIA COM BLOCOS DE CONCRETO, DIMENSÕES INTERNAS: 1X1X0,6 M PARA REDE DE ESGOTO. AF_12/2020</t>
  </si>
  <si>
    <t>CAIXA DE GORDURA SIMPLES, CIRCULAR, EM CONCRETO PRÉ-MOLDADO, DIÂMETRO INTERNO = 0,4 M, ALTURA INTERNA = 0,4 M. AF_12/2020</t>
  </si>
  <si>
    <t>CAIXA DE GORDURA SIMPLES (CAPACIDADE: 36L), RETANGULAR, EM ALVENARIA COM TIJOLOS CERÂMICOS MACIÇOS, DIMENSÕES INTERNAS = 0,2X0,4 M, ALTURA INTERNA = 0,8 M. AF_12/2020</t>
  </si>
  <si>
    <t>CAIXA DE GORDURA DUPLA (CAPACIDADE: 126 L), RETANGULAR, EM ALVENARIA COM TIJOLOS CERÂMICOS MACIÇOS, DIMENSÕES INTERNAS = 0,4X0,7 M, ALTURA INTERNA = 0,8 M. AF_12/2020</t>
  </si>
  <si>
    <t>CAIXA DE GORDURA ESPECIAL (CAPACIDADE: 312 L - PARA ATÉ 146 PESSOAS SERVIDAS NO PICO), RETANGULAR, EM ALVENARIA COM TIJOLOS CERÂMICOS MACIÇOS, DIMENSÕES INTERNAS = 0,4X1,2 M, ALTURA INTERNA = 1 M. AF_12/2020</t>
  </si>
  <si>
    <t>CAIXA DE GORDURA SIMPLES (CAPACIDADE: 36 L), RETANGULAR, EM ALVENARIA COM BLOCOS DE CONCRETO, DIMENSÕES INTERNAS = 0,2X0,4 M, ALTURA INTERNA = 0,8 M. AF_12/2020</t>
  </si>
  <si>
    <t>CAIXA DE GORDURA DUPLA (CAPACIDADE: 126 L), RETANGULAR, EM ALVENARIA COM BLOCOS DE CONCRETO, DIMENSÕES INTERNAS = 0,4X0,7 M, ALTURA INTERNA = 0,8 M. AF_12/2020</t>
  </si>
  <si>
    <t>CAIXA ENTERRADA HIDRÁULICA RETANGULAR EM ALVENARIA COM TIJOLOS CERÂMICOS MACIÇOS, DIMENSÕES INTERNAS: 0,3X0,3X0,3 M PARA REDE DE DRENAGEM. AF_12/2020</t>
  </si>
  <si>
    <t>CAIXA ENTERRADA HIDRÁULICA RETANGULAR EM ALVENARIA COM TIJOLOS CERÂMICOS MACIÇOS, DIMENSÕES INTERNAS: 0,4X0,4X0,4 M PARA REDE DE DRENAGEM. AF_12/2020</t>
  </si>
  <si>
    <t>CAIXA ENTERRADA HIDRÁULICA RETANGULAR EM ALVENARIA COM TIJOLOS CERÂMICOS MACIÇOS, DIMENSÕES INTERNAS: 0,6X0,6X0,6 M PARA REDE DE DRENAGEM. AF_12/2020</t>
  </si>
  <si>
    <t>CAIXA ENTERRADA HIDRÁULICA RETANGULAR EM ALVENARIA COM TIJOLOS CERÂMICOS MACIÇOS, DIMENSÕES INTERNAS: 0,8X0,8X0,6 M PARA REDE DE DRENAGEM. AF_12/2020</t>
  </si>
  <si>
    <t>CAIXA ENTERRADA HIDRÁULICA RETANGULAR EM ALVENARIA COM TIJOLOS CERÂMICOS MACIÇOS, DIMENSÕES INTERNAS: 1X1X0,6 M PARA REDE DE DRENAGEM. AF_12/2020</t>
  </si>
  <si>
    <t>CAIXA ENTERRADA HIDRÁULICA RETANGULAR, EM ALVENARIA COM BLOCOS DE CONCRETO, DIMENSÕES INTERNAS: 0,4X0,4X0,4 M PARA REDE DE DRENAGEM. AF_12/2020</t>
  </si>
  <si>
    <t>CAIXA ENTERRADA HIDRÁULICA RETANGULAR, EM ALVENARIA COM BLOCOS DE CONCRETO, DIMENSÕES INTERNAS: 0,6X0,6X0,6 M PARA REDE DE DRENAGEM. AF_12/2020</t>
  </si>
  <si>
    <t>CAIXA ENTERRADA HIDRÁULICA RETANGULAR, EM ALVENARIA COM BLOCOS DE CONCRETO, DIMENSÕES INTERNAS: 0,8X0,8X0,6 M PARA REDE DE DRENAGEM. AF_12/2020</t>
  </si>
  <si>
    <t>CAIXA ENTERRADA HIDRÁULICA RETANGULAR, EM ALVENARIA COM BLOCOS DE CONCRETO, DIMENSÕES INTERNAS: 1X1X0,6 M PARA REDE DE DRENAGEM. AF_12/2020</t>
  </si>
  <si>
    <t>102587</t>
  </si>
  <si>
    <t>FURO EM CAIXA D'ÁGUA COM ESPESSURA DE 2 ATÉ 5 MM E DIÂMETRO DE 15 MM. AF_06/2021</t>
  </si>
  <si>
    <t>102588</t>
  </si>
  <si>
    <t>FURO EM CAIXA D'ÁGUA COM ESPESSURA DE 6 ATÉ 8 MM E DIÂMETRO DE 15 MM. AF_06/2021</t>
  </si>
  <si>
    <t>102589</t>
  </si>
  <si>
    <t>FURO EM CAIXA D'ÁGUA COM ESPESSURA DE 2 ATÉ 5 MM E DIÂMETRO DE 20 MM. AF_06/2021</t>
  </si>
  <si>
    <t>102590</t>
  </si>
  <si>
    <t>FURO EM CAIXA D'ÁGUA COM ESPESSURA DE 6 ATÉ 8 MM E DIÂMETRO DE 20 MM. AF_06/2021</t>
  </si>
  <si>
    <t>102591</t>
  </si>
  <si>
    <t>FURO EM CAIXA D'ÁGUA COM ESPESSURA DE 2 ATÉ 5 MM E DIÂMETRO DE 25 MM. AF_06/2021</t>
  </si>
  <si>
    <t>102592</t>
  </si>
  <si>
    <t>FURO EM CAIXA D'ÁGUA COM ESPESSURA DE 6 ATÉ 8 MM E DIÂMETRO DE 25 MM. AF_06/2021</t>
  </si>
  <si>
    <t>102593</t>
  </si>
  <si>
    <t>FURO EM CAIXA D'ÁGUA COM ESPESSURA DE 2 ATÉ 5 MM E DIÂMETRO DE 32 MM. AF_06/2021</t>
  </si>
  <si>
    <t>102594</t>
  </si>
  <si>
    <t>FURO EM CAIXA D'ÁGUA COM ESPESSURA DE 6 ATÉ 8 MM E DIÂMETRO DE 32 MM. AF_06/2021</t>
  </si>
  <si>
    <t>102595</t>
  </si>
  <si>
    <t>FURO EM CAIXA D'ÁGUA COM ESPESSURA DE 2 ATÉ 5 MM E DIÂMETRO DE 40 MM. AF_06/2021</t>
  </si>
  <si>
    <t>102596</t>
  </si>
  <si>
    <t>FURO EM CAIXA D'ÁGUA COM ESPESSURA DE 6 ATÉ 8 MM E DIÂMETRO DE 40 MM. AF_06/2021</t>
  </si>
  <si>
    <t>102597</t>
  </si>
  <si>
    <t>FURO EM CAIXA D'ÁGUA COM ESPESSURA DE 2 ATÉ 5 MM E DIÂMETRO DE 50 MM. AF_06/2021</t>
  </si>
  <si>
    <t>102598</t>
  </si>
  <si>
    <t>FURO EM CAIXA D'ÁGUA COM ESPESSURA DE 6 ATÉ 8 MM E DIÂMETRO DE 50 MM. AF_06/2021</t>
  </si>
  <si>
    <t>102599</t>
  </si>
  <si>
    <t>FURO EM CAIXA D'ÁGUA COM ESPESSURA DE 2 ATÉ 5 MM E DIÂMETRO DE 60 MM. AF_06/2021</t>
  </si>
  <si>
    <t>102600</t>
  </si>
  <si>
    <t>FURO EM CAIXA D'ÁGUA COM ESPESSURA DE 6 ATÉ 8 MM E DIÂMETRO DE 60 MM. AF_06/2021</t>
  </si>
  <si>
    <t>102601</t>
  </si>
  <si>
    <t>FURO EM CAIXA D'ÁGUA COM ESPESSURA DE 2 ATÉ 5 MM E DIÂMETRO DE 75 MM. AF_06/2021</t>
  </si>
  <si>
    <t>102602</t>
  </si>
  <si>
    <t>FURO EM CAIXA D'ÁGUA COM ESPESSURA DE 6 ATÉ 8 MM E DIÂMETRO DE 75 MM. AF_06/2021</t>
  </si>
  <si>
    <t>102603</t>
  </si>
  <si>
    <t>FURO EM CAIXA D'ÁGUA COM ESPESSURA DE 2 ATÉ 5 MM E DIÂMETRO DE 100 MM. AF_06/2021</t>
  </si>
  <si>
    <t>102604</t>
  </si>
  <si>
    <t>FURO EM CAIXA D'ÁGUA COM ESPESSURA DE 6 ATÉ 8 MM E DIÂMETRO DE 100 MM. AF_06/2021</t>
  </si>
  <si>
    <t>102605</t>
  </si>
  <si>
    <t>CAIXA D´ÁGUA EM POLIETILENO, 500 LITROS - FORNECIMENTO E INSTALAÇÃO. AF_06/2021</t>
  </si>
  <si>
    <t>102606</t>
  </si>
  <si>
    <t>CAIXA D´ÁGUA EM POLIETILENO, 750 LITROS - FORNECIMENTO E INSTALAÇÃO. AF_06/2021</t>
  </si>
  <si>
    <t>102607</t>
  </si>
  <si>
    <t>CAIXA D´ÁGUA EM POLIETILENO, 1000 LITROS - FORNECIMENTO E INSTALAÇÃO. AF_06/2021</t>
  </si>
  <si>
    <t>102608</t>
  </si>
  <si>
    <t>CAIXA D´ÁGUA EM POLIETILENO, 1500 LITROS - FORNECIMENTO E INSTALAÇÃO. AF_06/2021</t>
  </si>
  <si>
    <t>102609</t>
  </si>
  <si>
    <t>CAIXA D´ÁGUA EM POLIETILENO, 2000 LITROS - FORNECIMENTO E INSTALAÇÃO. AF_06/2021</t>
  </si>
  <si>
    <t>102611</t>
  </si>
  <si>
    <t>CAIXA D´ÁGUA EM POLIÉSTER REFORÇADO COM FIBRA DE VIDRO, 500 LITROS - FORNECIMENTO E INSTALAÇÃO. AF_06/2021</t>
  </si>
  <si>
    <t>102613</t>
  </si>
  <si>
    <t>CAIXA D´ÁGUA EM POLIÉSTER REFORÇADO COM FIBRA DE VIDRO, 1000 LITROS - FORNECIMENTO E INSTALAÇÃO. AF_06/2021</t>
  </si>
  <si>
    <t>102614</t>
  </si>
  <si>
    <t>CAIXA D´ÁGUA EM POLIÉSTER REFORÇADO COM FIBRA DE VIDRO, 1500 LITROS - FORNECIMENTO E INSTALAÇÃO. AF_06/2021</t>
  </si>
  <si>
    <t>102615</t>
  </si>
  <si>
    <t>CAIXA D´ÁGUA EM POLIÉSTER REFORÇADO COM FIBRA DE VIDRO, 2000 LITROS - FORNECIMENTO E INSTALAÇÃO. AF_06/2021</t>
  </si>
  <si>
    <t>102617</t>
  </si>
  <si>
    <t>CAIXA D´ÁGUA EM POLIÉSTER REFORÇADO COM FIBRA DE VIDRO, 5000 LITROS - FORNECIMENTO E INSTALAÇÃO. AF_06/2021</t>
  </si>
  <si>
    <t>102619</t>
  </si>
  <si>
    <t>CAIXA D´ÁGUA EM POLIÉSTER REFORÇADO COM FIBRA DE VIDRO, 10000 LITROS - FORNECIMENTO E INSTALAÇÃO. AF_06/2021</t>
  </si>
  <si>
    <t>102622</t>
  </si>
  <si>
    <t>CAIXA D´ÁGUA EM POLIETILENO, 500 LITROS (INCLUSOS TUBOS, CONEXÕES E TORNEIRA DE BÓIA) - FORNECIMENTO E INSTALAÇÃO. AF_06/2021</t>
  </si>
  <si>
    <t>102623</t>
  </si>
  <si>
    <t>CAIXA D´ÁGUA EM POLIETILENO, 1000 LITROS (INCLUSOS TUBOS, CONEXÕES E TORNEIRA DE BÓIA) - FORNECIMENTO E INSTALAÇÃO. AF_06/2021</t>
  </si>
  <si>
    <t>TANQUE DE LOUÇA BRANCA COM COLUNA, 30L OU EQUIVALENTE - FORNECIMENTO E INSTALAÇÃO. AF_01/2020</t>
  </si>
  <si>
    <t>TANQUE DE LOUÇA BRANCA SUSPENSO, 18L OU EQUIVALENTE - FORNECIMENTO E INSTALAÇÃO. AF_01/2020</t>
  </si>
  <si>
    <t>TANQUE DE MÁRMORE SINTÉTICO COM COLUNA, 22L OU EQUIVALENTE   FORNECIMENTO E INSTALAÇÃO. AF_01/2020</t>
  </si>
  <si>
    <t>TANQUE DE MÁRMORE SINTÉTICO SUSPENSO, 22L OU EQUIVALENTE - FORNECIMENTO E INSTALAÇÃO. AF_01/2020</t>
  </si>
  <si>
    <t>SIFÃO DO TIPO FLEXÍVEL EM PVC 1  X 1.1/2  - FORNECIMENTO E INSTALAÇÃO. AF_01/2020</t>
  </si>
  <si>
    <t>ENGATE FLEXÍVEL EM INOX, 1/2  X 30CM - FORNECIMENTO E INSTALAÇÃO. AF_01/2020</t>
  </si>
  <si>
    <t>ENGATE FLEXÍVEL EM INOX, 1/2  X 40CM - FORNECIMENTO E INSTALAÇÃO. AF_01/2020</t>
  </si>
  <si>
    <t>VASO SANITÁRIO SIFONADO COM CAIXA ACOPLADA LOUÇA BRANCA - FORNECIMENTO E INSTALAÇÃO. AF_01/2020</t>
  </si>
  <si>
    <t>BANCADA DE GRANITO CINZA POLIDO, DE 1,50 X 0,60 M, PARA PIA DE COZINHA - FORNECIMENTO E INSTALAÇÃO. AF_01/2020</t>
  </si>
  <si>
    <t>BANCADA DE MÁRMORE BRANCO POLIDO, DE 1,50 X 0,60 M, PARA PIA DE COZINHA - FORNECIMENTO E INSTALAÇÃO. AF_01/2020</t>
  </si>
  <si>
    <t>BANCADA DE MÁRMORE SINTÉTICO, DE 120 X 60CM, COM CUBA INTEGRADA - FORNECIMENTO E INSTALAÇÃO. AF_01/2020</t>
  </si>
  <si>
    <t>BANCADA DE GRANITO CINZA POLIDO, DE 0,50 X 0,60 M, PARA LAVATÓRIO - FORNECIMENTO E INSTALAÇÃO. AF_01/2020</t>
  </si>
  <si>
    <t>BANCADA DE MÁRMORE BRANCO POLIDO, DE 0,50 X 0,60 M, PARA LAVATÓRIO - FORNECIMENTO E INSTALAÇÃO. AF_01/2020</t>
  </si>
  <si>
    <t>CUBA DE EMBUTIR RETANGULAR DE AÇO INOXIDÁVEL, 46 X 30 X 12 CM - FORNECIMENTO E INSTALAÇÃO. AF_01/2020</t>
  </si>
  <si>
    <t>CUBA DE EMBUTIR OVAL EM LOUÇA BRANCA, 35 X 50CM OU EQUIVALENTE - FORNECIMENTO E INSTALAÇÃO. AF_01/2020</t>
  </si>
  <si>
    <t>LAVATÓRIO LOUÇA BRANCA COM COLUNA, *44 X 35,5* CM, PADRÃO POPULAR - FORNECIMENTO E INSTALAÇÃO. AF_01/2020</t>
  </si>
  <si>
    <t>LAVATÓRIO LOUÇA BRANCA COM COLUNA, 45 X 55CM OU EQUIVALENTE, PADRÃO MÉDIO - FORNECIMENTO E INSTALAÇÃO. AF_01/2020</t>
  </si>
  <si>
    <t>LAVATÓRIO LOUÇA BRANCA SUSPENSO, 29,5 X 39CM OU EQUIVALENTE, PADRÃO POPULAR - FORNECIMENTO E INSTALAÇÃO. AF_01/2020</t>
  </si>
  <si>
    <t>APARELHO MISTURADOR DE MESA PARA LAVATÓRIO, PADRÃO MÉDIO - FORNECIMENTO E INSTALAÇÃO. AF_01/2020</t>
  </si>
  <si>
    <t>APARELHO MISTURADOR DE MESA PARA PIA DE COZINHA, PADRÃO MÉDIO - FORNECIMENTO E INSTALAÇÃO. AF_01/2020</t>
  </si>
  <si>
    <t>94,80</t>
  </si>
  <si>
    <t>TANQUE DE LOUÇA BRANCA COM COLUNA, 30L OU EQUIVALENTE, INCLUSO SIFÃO FLEXÍVEL EM PVC, VÁLVULA METÁLICA E TORNEIRA DE METAL CROMADO PADRÃO MÉDIO - FORNECIMENTO E INSTALAÇÃO. AF_01/2020</t>
  </si>
  <si>
    <t>TANQUE DE LOUÇA BRANCA COM COLUNA, 30L OU EQUIVALENTE, INCLUSO SIFÃO FLEXÍVEL EM PVC, VÁLVULA PLÁSTICA E TORNEIRA DE METAL CROMADO PADRÃO POPULAR - FORNECIMENTO E INSTALAÇÃO. AF_01/2020</t>
  </si>
  <si>
    <t>TANQUE DE LOUÇA BRANCA COM COLUNA, 30L OU EQUIVALENTE, INCLUSO SIFÃO FLEXÍVEL EM PVC, VÁLVULA PLÁSTICA E TORNEIRA DE PLÁSTICO - FORNECIMENTO E INSTALAÇÃO. AF_01/2020</t>
  </si>
  <si>
    <t>TANQUE DE LOUÇA BRANCA SUSPENSO, 18L OU EQUIVALENTE, INCLUSO SIFÃO TIPO GARRAFA EM METAL CROMADO, VÁLVULA METÁLICA E TORNEIRA DE METAL CROMADO PADRÃO MÉDIO - FORNECIMENTO E INSTALAÇÃO. AF_01/2020</t>
  </si>
  <si>
    <t>TANQUE DE LOUÇA BRANCA SUSPENSO, 18L OU EQUIVALENTE, INCLUSO SIFÃO TIPO GARRAFA EM PVC, VÁLVULA PLÁSTICA E TORNEIRA DE METAL CROMADO PADRÃO POPULAR - FORNECIMENTO E INSTALAÇÃO. AF_01/2020</t>
  </si>
  <si>
    <t>TANQUE DE LOUÇA BRANCA SUSPENSO, 18L OU EQUIVALENTE, INCLUSO SIFÃO TIPO GARRAFA EM PVC, VÁLVULA PLÁSTICA E TORNEIRA DE PLÁSTICO - FORNECIMENTO E INSTALAÇÃO. AF_01/2020</t>
  </si>
  <si>
    <t>TANQUE DE MÁRMORE SINTÉTICO COM COLUNA, 22L OU EQUIVALENTE, INCLUSO SIFÃO FLEXÍVEL EM PVC, VÁLVULA PLÁSTICA E TORNEIRA DE METAL CROMADO PADRÃO POPULAR - FORNECIMENTO E INSTALAÇÃO. AF_01/2020</t>
  </si>
  <si>
    <t>TANQUE DE MÁRMORE SINTÉTICO COM COLUNA, 22L OU EQUIVALENTE, INCLUSO SIFÃO FLEXÍVEL EM PVC, VÁLVULA PLÁSTICA E TORNEIRA DE PLÁSTICO - FORNECIMENTO E INSTALAÇÃO. AF_01/2020</t>
  </si>
  <si>
    <t>TANQUE DE MÁRMORE SINTÉTICO SUSPENSO, 22L OU EQUIVALENTE, INCLUSO SIFÃO TIPO GARRAFA EM PVC, VÁLVULA PLÁSTICA E TORNEIRA DE METAL CROMADO PADRÃO POPULAR - FORNEC. E INSTALAÇÃO. AF_01/2020</t>
  </si>
  <si>
    <t>TANQUE DE MÁRMORE SINTÉTICO SUSPENSO, 22L OU EQUIVALENTE, INCLUSO SIFÃO TIPO GARRAFA EM PVC, VÁLVULA PLÁSTICA E TORNEIRA DE PLÁSTICO - FORNECIMENTO E INSTALAÇÃO. AF_01/2020</t>
  </si>
  <si>
    <t>TANQUE DE MÁRMORE SINTÉTICO SUSPENSO, 22L OU EQUIVALENTE, INCLUSO SIFÃO FLEXÍVEL EM PVC, VÁLVULA PLÁSTICA E TORNEIRA DE METAL CROMADO PADRÃO POPULAR - FORNECIMENTO E INSTALAÇÃO. AF_01/2020</t>
  </si>
  <si>
    <t>TANQUE DE MÁRMORE SINTÉTICO SUSPENSO, 22L OU EQUIVALENTE, INCLUSO SIFÃO FLEXÍVEL EM PVC, VÁLVULA PLÁSTICA E TORNEIRA DE PLÁSTICO - FORNECIMENTO E INSTALAÇÃO. AF_01/2020</t>
  </si>
  <si>
    <t>VASO SANITÁRIO SIFONADO COM CAIXA ACOPLADA LOUÇA BRANCA, INCLUSO ENGATE FLEXÍVEL EM PLÁSTICO BRANCO, 1/2  X 40CM - FORNECIMENTO E INSTALAÇÃO. AF_01/2020</t>
  </si>
  <si>
    <t>VASO SANITÁRIO SIFONADO COM CAIXA ACOPLADA LOUÇA BRANCA - PADRÃO MÉDIO, INCLUSO ENGATE FLEXÍVEL EM METAL CROMADO, 1/2  X 40CM - FORNECIMENTO E INSTALAÇÃO. AF_01/2020</t>
  </si>
  <si>
    <t>BANCADA DE MÁRMORE SINTÉTICO 120 X 60CM, COM CUBA INTEGRADA, INCLUSO SIFÃO TIPO GARRAFA EM PVC, VÁLVULA EM PLÁSTICO CROMADO TIPO AMERICANA E TORNEIRA CROMADA LONGA, DE PAREDE, PADRÃO POPULAR - FORNECIMENTO E INSTALAÇÃO. AF_01/2020</t>
  </si>
  <si>
    <t>BANCADA DE MÁRMORE SINTÉTICO 120 X 60CM, COM CUBA INTEGRADA, INCLUSO SIFÃO TIPO FLEXÍVEL EM PVC, VÁLVULA EM PLÁSTICO CROMADO TIPO AMERICANA E TORNEIRA CROMADA LONGA, DE PAREDE, PADRÃO POPULAR - FORNECIMENTO E INSTALAÇÃO. AF_01/2020</t>
  </si>
  <si>
    <t>CUBA DE EMBUTIR DE AÇO INOXIDÁVEL MÉDIA, INCLUSO VÁLVULA TIPO AMERICANA EM METAL CROMADO E SIFÃO FLEXÍVEL EM PVC - FORNECIMENTO E INSTALAÇÃO. AF_01/2020</t>
  </si>
  <si>
    <t>CUBA DE EMBUTIR DE AÇO INOXIDÁVEL MÉDIA, INCLUSO VÁLVULA TIPO AMERICANA E SIFÃO TIPO GARRAFA EM METAL CROMADO - FORNECIMENTO E INSTALAÇÃO. AF_01/2020</t>
  </si>
  <si>
    <t>CUBA DE EMBUTIR OVAL EM LOUÇA BRANCA, 35 X 50CM OU EQUIVALENTE, INCLUSO VÁLVULA EM METAL CROMADO E SIFÃO FLEXÍVEL EM PVC - FORNECIMENTO E INSTALAÇÃO. AF_01/2020</t>
  </si>
  <si>
    <t>CUBA DE EMBUTIR OVAL EM LOUÇA BRANCA, 35 X 50CM OU EQUIVALENTE, INCLUSO VÁLVULA E SIFÃO TIPO GARRAFA EM METAL CROMADO - FORNECIMENTO E INSTALAÇÃO. AF_01/2020</t>
  </si>
  <si>
    <t>LAVATÓRIO LOUÇA BRANCA COM COLUNA, *44 X 35,5* CM, PADRÃO POPULAR, INCLUSO SIFÃO FLEXÍVEL EM PVC, VÁLVULA E ENGATE FLEXÍVEL 30CM EM PLÁSTICO E COM TORNEIRA CROMADA PADRÃO POPULAR - FORNECIMENTO E INSTALAÇÃO. AF_01/2020</t>
  </si>
  <si>
    <t>LAVATÓRIO LOUÇA BRANCA COM COLUNA, 45 X 55CM OU EQUIVALENTE, PADRÃO MÉDIO, INCLUSO SIFÃO TIPO GARRAFA, VÁLVULA E ENGATE FLEXÍVEL DE 40CM EM METAL CROMADO, COM APARELHO MISTURADOR PADRÃO MÉDIO - FORNECIMENTO E INSTALAÇÃO. AF_01/2020</t>
  </si>
  <si>
    <t>LAVATÓRIO LOUÇA BRANCA COM COLUNA, 45 X 55CM OU EQUIVALENTE, PADRÃO MÉDIO, INCLUSO SIFÃO TIPO GARRAFA, VÁLVULA E ENGATE FLEXÍVEL DE 40CM EM METAL CROMADO, COM TORNEIRA CROMADA DE MESA, PADRÃO MÉDIO - FORNECIMENTO E INSTALAÇÃO. AF_01/2020</t>
  </si>
  <si>
    <t>LAVATÓRIO LOUÇA BRANCA SUSPENSO, 29,5 X 39CM OU EQUIVALENTE, PADRÃO POPULAR, INCLUSO SIFÃO TIPO GARRAFA EM PVC, VÁLVULA E ENGATE FLEXÍVEL 30CM EM PLÁSTICO E TORNEIRA CROMADA DE MESA, PADRÃO POPULAR - FORNECIMENTO E INSTALAÇÃO. AF_01/2020</t>
  </si>
  <si>
    <t>LAVATÓRIO LOUÇA BRANCA SUSPENSO, 29,5 X 39CM OU EQUIVALENTE, PADRÃO POPULAR, INCLUSO SIFÃO FLEXÍVEL EM PVC, VÁLVULA E ENGATE FLEXÍVEL 30CM EM PLÁSTICO E TORNEIRA CROMADA DE MESA, PADRÃO POPULAR - FORNECIMENTO E INSTALAÇÃO. AF_01/2020</t>
  </si>
  <si>
    <t>BANCADA MÁRMORE BRANCO, 50 X 60 CM, INCLUSO CUBA DE EMBUTIR OVAL EM LOUÇA BRANCA 35 X 50 CM, VÁLVULA, SIFÃO TIPO GARRAFA E ENGATE FLEXÍVEL 40 CM EM METAL CROMADO E APARELHO MISTURADOR DE MESA, PADRÃO MÉDIO - FORNEC. E INSTALAÇÃO. AF_01/2020</t>
  </si>
  <si>
    <t>BANCADA GRANITO CINZA,  50 X 60 CM, INCL. CUBA DE EMBUTIR OVAL LOUÇA BRANCA 35 X 50 CM, VÁLVULA METAL CROMADO, SIFÃO FLEXÍVEL PVC, ENGATE 30 CM FLEXÍVEL PLÁSTICO E TORNEIRA CROMADA DE MESA, PADRÃO POPULAR - FORNEC. E INSTALAÇÃO. AF_01/2020</t>
  </si>
  <si>
    <t>VASO SANITARIO SIFONADO CONVENCIONAL COM  LOUÇA BRANCA - FORNECIMENTO E INSTALAÇÃO. AF_01/2020</t>
  </si>
  <si>
    <t>VASO SANITARIO SIFONADO CONVENCIONAL PARA PCD SEM FURO FRONTAL COM  LOUÇA BRANCA SEM ASSENTO -  FORNECIMENTO E INSTALAÇÃO. AF_01/2020</t>
  </si>
  <si>
    <t>VASO SANITARIO SIFONADO CONVENCIONAL PARA PCD SEM FURO FRONTAL COM LOUÇA BRANCA SEM ASSENTO, INCLUSO CONJUNTO DE LIGAÇÃO PARA BACIA SANITÁRIA AJUSTÁVEL - FORNECIMENTO E INSTALAÇÃO. AF_01/2020</t>
  </si>
  <si>
    <t>PORTA TOALHA ROSTO EM METAL CROMADO, TIPO ARGOLA, INCLUSO FIXAÇÃO. AF_01/2020</t>
  </si>
  <si>
    <t>PORTA TOALHA BANHO EM METAL CROMADO, TIPO BARRA, INCLUSO FIXAÇÃO. AF_01/2020</t>
  </si>
  <si>
    <t>PAPELEIRA DE PAREDE EM METAL CROMADO SEM TAMPA, INCLUSO FIXAÇÃO. AF_01/2020</t>
  </si>
  <si>
    <t>SABONETEIRA DE PAREDE EM METAL CROMADO, INCLUSO FIXAÇÃO. AF_01/2020</t>
  </si>
  <si>
    <t>KIT DE ACESSORIOS PARA BANHEIRO EM METAL CROMADO, 5 PECAS, INCLUSO FIXAÇÃO. AF_01/2020</t>
  </si>
  <si>
    <t>SABONETEIRA PLASTICA TIPO DISPENSER PARA SABONETE LIQUIDO COM RESERVATORIO 800 A 1500 ML, INCLUSO FIXAÇÃO. AF_01/2020</t>
  </si>
  <si>
    <t>100848</t>
  </si>
  <si>
    <t>VASO SANITÁRIO INFANTIL LOUÇA BRANCA - FORNECIMENTO E INSTALACAO. AF_01/2020</t>
  </si>
  <si>
    <t>100849</t>
  </si>
  <si>
    <t>ASSENTO SANITÁRIO CONVENCIONAL - FORNECIMENTO E INSTALACAO. AF_01/2020</t>
  </si>
  <si>
    <t>38,65</t>
  </si>
  <si>
    <t>100851</t>
  </si>
  <si>
    <t>ASSENTO SANITÁRIO INFANTIL - FORNECIMENTO E INSTALACAO. AF_01/2020</t>
  </si>
  <si>
    <t>100852</t>
  </si>
  <si>
    <t>CUBA DE EMBUTIR RETANGULAR DE AÇO INOXIDÁVEL, 56 X 33 X 12 CM - FORNECIMENTO E INSTALAÇÃO. AF_01/2020</t>
  </si>
  <si>
    <t>100854</t>
  </si>
  <si>
    <t>TORNEIRA CROMADA DE MESA PARA LAVATÓRIO COM SENSOR DE PRESENCA. AF_01/2020</t>
  </si>
  <si>
    <t>100856</t>
  </si>
  <si>
    <t>100857</t>
  </si>
  <si>
    <t>100858</t>
  </si>
  <si>
    <t>100860</t>
  </si>
  <si>
    <t>100861</t>
  </si>
  <si>
    <t>SUPORTE MÃO FRANCESA EM AÇO, ABAS IGUAIS 30 CM, CAPACIDADE MINIMA 60 KG, BRANCO - FORNECIMENTO E INSTALAÇÃO. AF_01/2020</t>
  </si>
  <si>
    <t>100862</t>
  </si>
  <si>
    <t>SUPORTE MÃO FRANCESA EM ACO, ABAS IGUAIS 40 CM, CAPACIDADE MINIMA 70 KG, BRANCO - FORNECIMENTO E INSTALAÇÃO. AF_01/2020</t>
  </si>
  <si>
    <t>100863</t>
  </si>
  <si>
    <t>BARRA DE APOIO EM "L", EM ACO INOX POLIDO 70 X 70 CM, FIXADA NA PAREDE - FORNECIMENTO E INSTALACAO. AF_01/2020</t>
  </si>
  <si>
    <t>100864</t>
  </si>
  <si>
    <t>BARRA DE APOIO EM "L", EM ACO INOX POLIDO 80 X 80 CM, FIXADA NA PAREDE - FORNECIMENTO E INSTALACAO. AF_01/2020</t>
  </si>
  <si>
    <t>100865</t>
  </si>
  <si>
    <t>BARRA DE APOIO LATERAL ARTICULADA, COM TRAVA, EM ACO INOX POLIDO, FIXADA NA PAREDE - FORNECIMENTO E INSTALAÇÃO. AF_01/2020</t>
  </si>
  <si>
    <t>100866</t>
  </si>
  <si>
    <t>BARRA DE APOIO RETA, EM ACO INOX POLIDO, COMPRIMENTO 60CM, FIXADA NA PAREDE - FORNECIMENTO E INSTALAÇÃO. AF_01/2020</t>
  </si>
  <si>
    <t>100867</t>
  </si>
  <si>
    <t>BARRA DE APOIO RETA, EM ACO INOX POLIDO, COMPRIMENTO 70 CM,  FIXADA NA PAREDE - FORNECIMENTO E INSTALAÇÃO. AF_01/2020</t>
  </si>
  <si>
    <t>100868</t>
  </si>
  <si>
    <t>BARRA DE APOIO RETA, EM ACO INOX POLIDO, COMPRIMENTO 80 CM,  FIXADA NA PAREDE - FORNECIMENTO E INSTALAÇÃO. AF_01/2020</t>
  </si>
  <si>
    <t>100869</t>
  </si>
  <si>
    <t>BARRA DE APOIO RETA, EM ACO INOX POLIDO, COMPRIMENTO 90 CM,  FIXADA NA PAREDE - FORNECIMENTO E INSTALAÇÃO. AF_01/2020</t>
  </si>
  <si>
    <t>100870</t>
  </si>
  <si>
    <t>BARRA DE APOIO RETA, EM ALUMINIO, COMPRIMENTO 60 CM,  FIXADA NA PAREDE - FORNECIMENTO E INSTALAÇÃO. AF_01/2020</t>
  </si>
  <si>
    <t>100871</t>
  </si>
  <si>
    <t>BARRA DE APOIO RETA, EM ALUMINIO, COMPRIMENTO 70 CM,  FIXADA NA PAREDE - FORNECIMENTO E INSTALAÇÃO. AF_01/2020</t>
  </si>
  <si>
    <t>100872</t>
  </si>
  <si>
    <t>BARRA DE APOIO RETA, EM ALUMINIO, COMPRIMENTO 80 CM,  FIXADA NA PAREDE - FORNECIMENTO E INSTALAÇÃO. AF_01/2020</t>
  </si>
  <si>
    <t>100873</t>
  </si>
  <si>
    <t>BARRA DE APOIO RETA, EM ALUMINIO, COMPRIMENTO 90 CM,  FIXADA NA PAREDE - FORNECIMENTO E INSTALAÇÃO. AF_01/2020</t>
  </si>
  <si>
    <t>100874</t>
  </si>
  <si>
    <t>PUXADOR PARA PCD, FIXADO NA PORTA - FORNECIMENTO E INSTALAÇÃO. AF_01/2020</t>
  </si>
  <si>
    <t>100875</t>
  </si>
  <si>
    <t>BANCO ARTICULADO, EM ACO INOX, PARA PCD, FIXADO NA PAREDE - FORNECIMENTO E INSTALAÇÃO. AF_01/2020</t>
  </si>
  <si>
    <t>98058</t>
  </si>
  <si>
    <t>98059</t>
  </si>
  <si>
    <t>98060</t>
  </si>
  <si>
    <t>98061</t>
  </si>
  <si>
    <t>98062</t>
  </si>
  <si>
    <t>98063</t>
  </si>
  <si>
    <t>98064</t>
  </si>
  <si>
    <t>98065</t>
  </si>
  <si>
    <t>CAIXA DE GORDURA ESPECIAL (CAPACIDADE: 312 L - PARA ATÉ 146 PESSOAS SERVIDAS NO PICO), RETANGULAR, EM ALVENARIA COM BLOCOS DE CONCRETO, DIMENSÕES INTERNAS = 0,4X1,2 M, ALTURA INTERNA = 1 M. AF_12/2020</t>
  </si>
  <si>
    <t>CAIXA DE GORDURA PEQUENA (CAPACIDADE: 19 L), CIRCULAR, EM PVC, DIÂMETRO INTERNO= 0,3 M. AF_12/2020</t>
  </si>
  <si>
    <t>CAIXA DE INSPEÇÃO PARA ATERRAMENTO, CIRCULAR, EM POLIETILENO, DIÂMETRO INTERNO = 0,3 M. AF_12/2020</t>
  </si>
  <si>
    <t>98112</t>
  </si>
  <si>
    <t>TIL (TUBO DE INSPEÇÃO E LIMPEZA) CONDOMINIAL PARA ESGOTO, EM PVC, DN 100 X 100 MM. AF_12/2020</t>
  </si>
  <si>
    <t>TAMPA CIRCULAR PARA ESGOTO E DRENAGEM, EM FERRO FUNDIDO, DIÂMETRO INTERNO = 0,6 M. AF_12/2020</t>
  </si>
  <si>
    <t>157,22</t>
  </si>
  <si>
    <t>24,90</t>
  </si>
  <si>
    <t>95636</t>
  </si>
  <si>
    <t>101802</t>
  </si>
  <si>
    <t>CAIXA ENTERRADA RETENTORA DE AREIA RETANGULAR, EM ALVENARIA COM BLOCOS DE CONCRETO, DIMENSÕES INTERNAS: 1,00 X 1,00 X 1,20 M, EXCLUINDO TAMPÃO. AF_12/2020</t>
  </si>
  <si>
    <t>101803</t>
  </si>
  <si>
    <t>CAIXA ENTERRADA SEPARADORA DE ÓLEO RETANGULAR, EM ALVENARIA COM BLOCOS DE CONCRETO, DIMENSÕES INTERNAS: 0,6 X 0,6 X 1,00 M, EXCLUINDO TAMPÃO. AF_12/2020</t>
  </si>
  <si>
    <t>101804</t>
  </si>
  <si>
    <t>CAIXA ENTERRADA SEPARADORA DE ÓLEO RETANGULAR, EM ALVENARIA COM BLOCOS DE CONCRETO, DIMENSÕES INTERNAS: 0,8 X 0,8 X 1,00 M, EXCLUINDO TAMPÃO. AF_12/2020</t>
  </si>
  <si>
    <t>101805</t>
  </si>
  <si>
    <t>CAIXA ENTERRADA SEPARADORA DE ÓLEO RETANGULAR, EM ALVENARIA COM BLOCOS DE CONCRETO, DIMENSÕES INTERNAS: 1,00 X 1,00 X 1,00 M, EXCLUINDO TAMPÃO. AF_12/2020</t>
  </si>
  <si>
    <t>102111</t>
  </si>
  <si>
    <t>BOMBA CENTRÍFUGA, MONOFÁSICA, 0,5 CV OU 0,49 HP, HM 6 A 20 M, Q 1,2 A 8,3 M3/H - FORNECIMENTO E INSTALAÇÃO. AF_12/2020</t>
  </si>
  <si>
    <t>102112</t>
  </si>
  <si>
    <t>BOMBA CENTRÍFUGA, MONOFÁSICA, 0,5 CV OU 0,49 HP, HM 6 A 20 M, Q 1,2 A 8,3 M3/H (NÃO INCLUI O FORNECIMENTO DA BOMBA). AF_12/2020</t>
  </si>
  <si>
    <t>102113</t>
  </si>
  <si>
    <t>BOMBA CENTRÍFUGA, TRIFÁSICA, 1 CV OU 0,99 HP, HM 14 A 40 M, Q 0,6 A 8,4 M3/H - FORNECIMENTO E INSTALAÇÃO. AF_12/2020</t>
  </si>
  <si>
    <t>102114</t>
  </si>
  <si>
    <t>BOMBA CENTRÍFUGA, TRIFÁSICA, 1 CV OU 0,99 HP, HM 14 A 40 M, Q 0,6 A 8,4 M3/H (NÃO INCLUI O FORNECIMENTO DA BOMBA). AF_12/2020</t>
  </si>
  <si>
    <t>102115</t>
  </si>
  <si>
    <t>BOMBA CENTRÍFUGA, TRIFÁSICA, 1,5 CV OU 1,48 HP, HM 10 A 70 M, Q 1,8 A 5,3 M3/H - FORNECIMENTO E INSTALAÇÃO. AF_12/2020</t>
  </si>
  <si>
    <t>102116</t>
  </si>
  <si>
    <t>BOMBA CENTRÍFUGA, TRIFÁSICA, 1,5 CV OU 1,48 HP, HM 10 A 24 M, Q 6,1 A 21,9 M3/H - FORNECIMENTO E INSTALAÇÃO. AF_12/2020</t>
  </si>
  <si>
    <t>102117</t>
  </si>
  <si>
    <t>BOMBA CENTRÍFUGA, TRIFÁSICA, 1,5 CV OU 1,48 HP (NÃO INCLUI O FORNECIMENTO DA BOMBA). AF_12/2020</t>
  </si>
  <si>
    <t>102118</t>
  </si>
  <si>
    <t>BOMBA CENTRÍFUGA, TRIFÁSICA, 3 CV OU 2,96 HP, HM 34 A 40 M, Q 8,6 A 14,8 M3/H - FORNECIMENTO E INSTALAÇÃO. AF_12/2020</t>
  </si>
  <si>
    <t>102119</t>
  </si>
  <si>
    <t>BOMBA CENTRÍFUGA, TRIFÁSICA, 3 CV OU 2,96 HP, HM 34 A 40 M, Q 8,6 A 14,8 M3/H (NÃO INCLUI O FORNECIMENTO DA BOMBA). AF_12/2020</t>
  </si>
  <si>
    <t>102121</t>
  </si>
  <si>
    <t>MOTO BOMBA HORIZONTAL ATÉ 10 CV, HM 75 A 80 M, Q 25,4 A 48 (NÃO INCLUI O FORNECIMENTO DA BOMBA). AF_12/2020</t>
  </si>
  <si>
    <t>102122</t>
  </si>
  <si>
    <t>BOMBA CENTRÍFUGA, TRIFÁSICA, 10 CV OU 9,86 HP, HM 85 A 140 M, Q 4,2 A 14,9 M3/H - FORNECIMENTO E INSTALAÇÃO. AF_12/2020</t>
  </si>
  <si>
    <t>102123</t>
  </si>
  <si>
    <t>BOMBA CENTRÍFUGA, TRIFÁSICA, 10 CV OU 9,86 HP, HM 85 A 140 M, Q 4,2 A 14,9 M3/H (NÃO INCLUI O FORNECIMENTO DA BOMBA). AF_12/2020</t>
  </si>
  <si>
    <t>102136</t>
  </si>
  <si>
    <t>INSTALAÇÃO DE QUADRO ELÉTRICO PARA BOMBAS TRIFÁSICAS ATÉ 25 CV (NÃO INCLUI O FORNECIMENTO DO QUADRO). AF_12/2020</t>
  </si>
  <si>
    <t>102137</t>
  </si>
  <si>
    <t>CHAVE DE BOIA AUTOMÁTICA SUPERIOR/INFERIOR 15A/250V - FORNECIMENTO E INSTALAÇÃO. AF_12/2020</t>
  </si>
  <si>
    <t>102138</t>
  </si>
  <si>
    <t>MOTO BOMBA HORIZONTAL DE 12,5 A 25 CV, HM 140 M (NÃO INCLUI O FORNECIMENTO DA BOMBA). AF_12/2020</t>
  </si>
  <si>
    <t>101114</t>
  </si>
  <si>
    <t>ESCAVAÇÃO HORIZONTAL EM SOLO DE 1A CATEGORIA COM TRATOR DE ESTEIRAS (100HP/LÂMINA: 2,19M3). AF_07/2020</t>
  </si>
  <si>
    <t>101115</t>
  </si>
  <si>
    <t>ESCAVAÇÃO HORIZONTAL EM SOLO DE 1A CATEGORIA COM TRATOR DE ESTEIRAS (150HP/LÂMINA: 3,18M3). AF_07/2020</t>
  </si>
  <si>
    <t>101116</t>
  </si>
  <si>
    <t>ESCAVAÇÃO HORIZONTAL EM SOLO DE 1A CATEGORIA COM TRATOR DE ESTEIRAS (170HP/LÂMINA: 5,20M3). AF_07/2020</t>
  </si>
  <si>
    <t>101117</t>
  </si>
  <si>
    <t>ESCAVAÇÃO HORIZONTAL EM SOLO DE 1A CATEGORIA COM TRATOR DE ESTEIRAS (347HP/LÂMINA: 8,70M3). AF_07/2020</t>
  </si>
  <si>
    <t>101118</t>
  </si>
  <si>
    <t>ESCAVAÇÃO HORIZONTAL EM SOLO DE 1A CATEGORIA COM TRATOR DE ESTEIRAS (125HP/LÂMINA: 2,70M3). AF_07/2020</t>
  </si>
  <si>
    <t>101119</t>
  </si>
  <si>
    <t>ESCAVAÇÃO HORIZONTAL, INCLUINDO ESCARIFICAÇÃO EM SOLO DE 2A CATEGORIA COM TRATOR DE ESTEIRAS (100HP/LÂMINA: 2,19M3). AF_07/2020</t>
  </si>
  <si>
    <t>101120</t>
  </si>
  <si>
    <t>ESCAVAÇÃO HORIZONTAL, INCLUINDO ESCARIFICAÇÃO EM SOLO DE 2A CATEGORIA COM TRATOR DE ESTEIRAS (150HP/LÂMINA: 3,18M3). AF_07/2020</t>
  </si>
  <si>
    <t>101121</t>
  </si>
  <si>
    <t>ESCAVAÇÃO HORIZONTAL, INCLUINDO ESCARIFICAÇÃO EM SOLO DE 2A CATEGORIA COM TRATOR DE ESTEIRAS (170HP/LÂMINA: 5,20M3). AF_07/2020</t>
  </si>
  <si>
    <t>101122</t>
  </si>
  <si>
    <t>ESCAVAÇÃO HORIZONTAL, INCLUINDO ESCARIFICAÇÃO EM SOLO DE 2A CATEGORIA COM TRATOR DE ESTEIRAS (347HP/LÂMINA: 8,70M3). AF_07/2020</t>
  </si>
  <si>
    <t>101123</t>
  </si>
  <si>
    <t>ESCAVAÇÃO HORIZONTAL, INCLUINDO ESCARIFICAÇÃO EM SOLO DE 2A CATEGORIA COM TRATOR DE ESTEIRAS (125HP/LÂMINA: 2,70M3). AF_07/2020</t>
  </si>
  <si>
    <t>101124</t>
  </si>
  <si>
    <t>ESCAVAÇÃO HORIZONTAL, INCLUINDO CARGA E DESCARGA EM SOLO DE 1A CATEGORIA COM TRATOR DE ESTEIRAS (100HP/LÂMINA: 2,19M3). AF_07/2020</t>
  </si>
  <si>
    <t>101125</t>
  </si>
  <si>
    <t>ESCAVAÇÃO HORIZONTAL, INCLUINDO CARGA E DESCARGA EM SOLO DE 1A CATEGORIA COM TRATOR DE ESTEIRAS (150HP/LÂMINA: 3,18M3). AF_07/2020</t>
  </si>
  <si>
    <t>101126</t>
  </si>
  <si>
    <t>ESCAVAÇÃO HORIZONTAL, INCLUINDO CARGA E DESCARGA EM SOLO DE 1A CATEGORIA COM TRATOR DE ESTEIRAS (170HP/LÂMINA: 5,20M3). AF_07/2020</t>
  </si>
  <si>
    <t>101127</t>
  </si>
  <si>
    <t>ESCAVAÇÃO HORIZONTAL, INCLUINDO CARGA E DESCARGA EM SOLO DE 1A CATEGORIA COM TRATOR DE ESTEIRAS (347HP/LÂMINA: 8,70M3). AF_07/2020</t>
  </si>
  <si>
    <t>101128</t>
  </si>
  <si>
    <t>ESCAVAÇÃO HORIZONTAL, INCLUINDO CARGA E DESCARGA EM SOLO DE 1A CATEGORIA COM TRATOR DE ESTEIRAS (125HP/LÂMINA: 2,70M3). AF_07/2020</t>
  </si>
  <si>
    <t>101129</t>
  </si>
  <si>
    <t>ESCAVAÇÃO HORIZONTAL, INCLUINDO ESCARIFICAÇÃO, CARGA E DESCARGA EM SOLO DE 2A CATEGORIA COM TRATOR DE ESTEIRAS (100HP/LÂMINA: 2,19M3). AF_07/2020</t>
  </si>
  <si>
    <t>101130</t>
  </si>
  <si>
    <t>ESCAVAÇÃO HORIZONTAL, INCLUINDO ESCARIFICAÇÃO, CARGA E DESCARGA EM SOLO DE 2A CATEGORIA COM TRATOR DE ESTEIRAS (150HP/LÂMINA: 3,18M3). AF_07/2020</t>
  </si>
  <si>
    <t>101131</t>
  </si>
  <si>
    <t>ESCAVAÇÃO HORIZONTAL, INCLUINDO ESCARIFICAÇÃO, CARGA E DESCARGA EM SOLO DE 2A CATEGORIA COM TRATOR DE ESTEIRAS (170HP/LÂMINA: 5,20M3). AF_07/2020</t>
  </si>
  <si>
    <t>101132</t>
  </si>
  <si>
    <t>ESCAVAÇÃO HORIZONTAL, INCLUINDO ESCARIFICAÇÃO, CARGA E DESCARGA EM SOLO DE 2A CATEGORIA COM TRATOR DE ESTEIRAS (347HP/LÂMINA: 8,70M3). AF_07/2020</t>
  </si>
  <si>
    <t>101133</t>
  </si>
  <si>
    <t>ESCAVAÇÃO HORIZONTAL, INCLUINDO ESCARIFICAÇÃO, CARGA E DESCARGA EM SOLO DE 2A CATEGORIA COM TRATOR DE ESTEIRAS (125HP/LÂMINA: 2,70M3). AF_07/2020</t>
  </si>
  <si>
    <t>101134</t>
  </si>
  <si>
    <t>ESCAVAÇÃO HORIZONTAL, INCLUINDO CARGA, DESCARGA E TRANSPORTE EM SOLO DE 1A CATEGORIA COM TRATOR DE ESTEIRAS (100HP/LÂMINA: 2,19M3) E CAMINHÃO BASCULANTE DE 10M3, DMT ATÉ 200M. AF_07/2020</t>
  </si>
  <si>
    <t>101135</t>
  </si>
  <si>
    <t>ESCAVAÇÃO HORIZONTAL, INCLUINDO CARGA, DESCARGA E TRANSPORTE EM SOLO DE 1A CATEGORIA COM TRATOR DE ESTEIRAS (150HP/LÂMINA: 3,18M3) E CAMINHÃO BASCULANTE DE 10M3, DMT ATÉ 200M AF_07/2020</t>
  </si>
  <si>
    <t>101136</t>
  </si>
  <si>
    <t>ESCAVAÇÃO HORIZONTAL, INCLUINDO CARGA, DESCARGA E TRANSPORTE EM SOLO DE 1A CATEGORIA COM TRATOR DE ESTEIRAS (170HP/LÂMINA: 5,20M3) E CAMINHÃO BASCULANTE DE 10M3, DMT ATÉ 200M. AF_07/2020</t>
  </si>
  <si>
    <t>101137</t>
  </si>
  <si>
    <t>ESCAVAÇÃO HORIZONTAL, INCLUINDO CARGA, DESCARGA E TRANSPORTE EM SOLO DE 1A CATEGORIA COM TRATOR DE ESTEIRAS (347HP/LÂMINA: 8,70M3) E CAMINHÃO BASCULANTE DE 10M3, DMT ATÉ 200M. AF_07/2020</t>
  </si>
  <si>
    <t>101138</t>
  </si>
  <si>
    <t>ESCAVAÇÃO HORIZONTAL, INCLUINDO CARGA, DESCARGA E TRANSPORTE EM SOLO DE 1A CATEGORIA COM TRATOR DE ESTEIRAS (125HP/LÂMINA: 2,70M3) E CAMINHÃO BASCULANTE DE 10M3, DMT ATÉ 200M. AF_07/2020</t>
  </si>
  <si>
    <t>101139</t>
  </si>
  <si>
    <t>ESCAVAÇÃO HORIZONTAL, INCLUINDO  ESCARIFICAÇÃO, CARGA, DESCARGA E TRANSPORTE EM SOLO DE 2A CATEGORIA COM TRATOR DE ESTEIRAS (100HP/LÂMINA: 2,19M3) E CAMINHÃO BASCULANTE DE 10M3, DMT ATÉ 200M. AF_07/2020</t>
  </si>
  <si>
    <t>101140</t>
  </si>
  <si>
    <t>ESCAVAÇÃO HORIZONTAL, INCLUINDO ESCARIFICAÇÃO, CARGA, DESCARGA E TRANSPORTE EM SOLO DE 2A CATEGORIA COM TRATOR DE ESTEIRAS (150HP/LÂMINA: 3,18M3) E CAMINHÃO BASCULANTE DE 10M3, DMT ATÉ 200M. AF_07/2020</t>
  </si>
  <si>
    <t>101141</t>
  </si>
  <si>
    <t>ESCAVAÇÃO HORIZONTAL, INCLUINDO ESCARIFICAÇÃO, CARGA, DESCARGA E TRANSPORTE EM SOLO DE 2A CATEGORIA COM TRATOR DE ESTEIRAS (170HP/LÂMINA: 5,20M3) E CAMINHÃO BASCULANTE DE 10M3, DMT ATÉ 200M. AF_07/2020</t>
  </si>
  <si>
    <t>101142</t>
  </si>
  <si>
    <t>ESCAVAÇÃO HORIZONTAL, INCLUINDO ESCARIFICAÇÃO, CARGA, DESCARGA E TRANSPORTE EM SOLO DE 2A CATEGORIA COM TRATOR DE ESTEIRAS (347HP/LÂMINA: 8,70M3) E CAMINHÃO BASCULANTE DE 10M3, DMT ATÉ 200M. AF_07/2020</t>
  </si>
  <si>
    <t>101143</t>
  </si>
  <si>
    <t>ESCAVAÇÃO HORIZONTAL, INCLUINDO ESCARIFICAÇÃO, CARGA, DESCARGA E TRANSPORTE EM SOLO DE 2A CATEGORIA COM TRATOR DE ESTEIRAS (125HP/LÂMINA: 2,70M3) E CAMINHÃO BASCULANTE DE 10M3, DMT ATÉ 200M. AF_07/2020</t>
  </si>
  <si>
    <t>101144</t>
  </si>
  <si>
    <t>ESCAVAÇÃO HORIZONTAL, INCLUINDO CARGA, DESCARGA E TRANSPORTE EM SOLO DE 1A CATEGORIA COM TRATOR DE ESTEIRAS (100HP/LÂMINA: 2,19M3) E CAMINHÃO BASCULANTE DE 14M3, DMT ATÉ 200M. AF_07/2020</t>
  </si>
  <si>
    <t>101145</t>
  </si>
  <si>
    <t>ESCAVAÇÃO HORIZONTAL, INCLUINDO CARGA, DESCARGA E TRANSPORTE EM SOLO DE 1A CATEGORIA COM TRATOR DE ESTEIRAS (150HP/LÂMINA: 3,18M3) E CAMINHÃO BASCULANTE DE 14M3, DMT ATÉ 200M. AF_07/2020</t>
  </si>
  <si>
    <t>101146</t>
  </si>
  <si>
    <t>ESCAVAÇÃO HORIZONTAL, INCLUINDO CARGA, DESCARGA E TRANSPORTE EM SOLO DE 1A CATEGORIA COM TRATOR DE ESTEIRAS (170HP/LÂMINA: 5,20M3) E CAMINHÃO BASCULANTE DE 14M3, DMT ATÉ 200M. AF_07/2020</t>
  </si>
  <si>
    <t>101147</t>
  </si>
  <si>
    <t>ESCAVAÇÃO HORIZONTAL, INCLUINDO CARGA, DESCARGA E TRANSPORTE EM SOLO DE 1A CATEGORIA COM TRATOR DE ESTEIRAS (347HP/LÂMINA: 8,70M3) E CAMINHÃO BASCULANTE DE 14M3, DMT ATÉ 200M. AF_07/2020</t>
  </si>
  <si>
    <t>101148</t>
  </si>
  <si>
    <t>ESCAVAÇÃO HORIZONTAL, INCLUINDO CARGA, DESCARGA E TRANSPORTE EM SOLO DE 1A CATEGORIA COM TRATOR DE ESTEIRAS (125HP/LÂMINA: 2,70M3) E CAMINHÃO BASCULANTE DE 14M3, DMT ATÉ 200M. AF_07/2020</t>
  </si>
  <si>
    <t>101149</t>
  </si>
  <si>
    <t>ESCAVAÇÃO HORIZONTAL, INCLUINDO ESCARIFICAÇÃO, CARGA, DESCARGA E TRANSPORTE EM SOLO DE 2A CATEGORIA COM TRATOR DE ESTEIRAS (100HP/LÂMINA: 2,19M3) E CAMINHÃO BASCULANTE DE 14M3, DMT ATÉ 200M. AF_07/2020</t>
  </si>
  <si>
    <t>101150</t>
  </si>
  <si>
    <t>ESCAVAÇÃO HORIZONTAL, INCLUINDO ESCARIFICAÇÃO, CARGA, DESCARGA E TRANSPORTE EM SOLO DE 2A CATEGORIA COM TRATOR DE ESTEIRAS (150HP/LÂMINA: 3,18M3) E CAMINHÃO BASCULANTE DE 14M3, DMT ATÉ 200M. AF_07/2020</t>
  </si>
  <si>
    <t>101151</t>
  </si>
  <si>
    <t>ESCAVAÇÃO HORIZONTAL, INCLUINDO ESCARIFICAÇÃO, CARGA, DESCARGA E TRANSPORTE EM SOLO DE 2A CATEGORIA COM TRATOR DE ESTEIRAS (170HP/LÂMINA: 5,20M3) E CAMINHÃO BASCULANTE DE 14M3, DMT ATÉ 200M. AF_07/2020</t>
  </si>
  <si>
    <t>101152</t>
  </si>
  <si>
    <t>ESCAVAÇÃO HORIZONTAL, INCLUINDO ESCARIFICAÇÃO, CARGA, DESCARGA E TRANSPORTE EM SOLO DE 2A CATEGORIA COM TRATOR DE ESTEIRAS (347HP/LÂMINA: 8,70M3) E CAMINHÃO BASCULANTE DE 14M3, DMT ATÉ 200M. AF_07/2020</t>
  </si>
  <si>
    <t>101153</t>
  </si>
  <si>
    <t>ESCAVAÇÃO HORIZONTAL, INCLUINDO ESCARIFICAÇÃO, CARGA, DESCARGA E TRANSPORTE EM SOLO DE 2A CATEGORIA COM TRATOR DE ESTEIRAS (125HP/LÂMINA: 2,70M3) E CAMINHÃO BASCULANTE DE 14M3, DMT ATÉ 200M. AF_07/2020</t>
  </si>
  <si>
    <t>101206</t>
  </si>
  <si>
    <t>101207</t>
  </si>
  <si>
    <t>101208</t>
  </si>
  <si>
    <t>101209</t>
  </si>
  <si>
    <t>101210</t>
  </si>
  <si>
    <t>101211</t>
  </si>
  <si>
    <t>101212</t>
  </si>
  <si>
    <t>101213</t>
  </si>
  <si>
    <t>101214</t>
  </si>
  <si>
    <t>101215</t>
  </si>
  <si>
    <t>11,94</t>
  </si>
  <si>
    <t>101216</t>
  </si>
  <si>
    <t>101217</t>
  </si>
  <si>
    <t>101218</t>
  </si>
  <si>
    <t>101219</t>
  </si>
  <si>
    <t>101220</t>
  </si>
  <si>
    <t>101221</t>
  </si>
  <si>
    <t>101222</t>
  </si>
  <si>
    <t>101223</t>
  </si>
  <si>
    <t>101224</t>
  </si>
  <si>
    <t>101225</t>
  </si>
  <si>
    <t>101226</t>
  </si>
  <si>
    <t>101227</t>
  </si>
  <si>
    <t>101228</t>
  </si>
  <si>
    <t>101229</t>
  </si>
  <si>
    <t>101230</t>
  </si>
  <si>
    <t>101231</t>
  </si>
  <si>
    <t>101232</t>
  </si>
  <si>
    <t>101233</t>
  </si>
  <si>
    <t>101234</t>
  </si>
  <si>
    <t>101235</t>
  </si>
  <si>
    <t>101236</t>
  </si>
  <si>
    <t>101237</t>
  </si>
  <si>
    <t>101238</t>
  </si>
  <si>
    <t>101239</t>
  </si>
  <si>
    <t>101240</t>
  </si>
  <si>
    <t>101241</t>
  </si>
  <si>
    <t>101242</t>
  </si>
  <si>
    <t>101243</t>
  </si>
  <si>
    <t>101244</t>
  </si>
  <si>
    <t>101245</t>
  </si>
  <si>
    <t>101246</t>
  </si>
  <si>
    <t>101247</t>
  </si>
  <si>
    <t>101248</t>
  </si>
  <si>
    <t>101249</t>
  </si>
  <si>
    <t>101250</t>
  </si>
  <si>
    <t>101251</t>
  </si>
  <si>
    <t>101252</t>
  </si>
  <si>
    <t>101253</t>
  </si>
  <si>
    <t>101254</t>
  </si>
  <si>
    <t>101255</t>
  </si>
  <si>
    <t>101256</t>
  </si>
  <si>
    <t>101257</t>
  </si>
  <si>
    <t>101258</t>
  </si>
  <si>
    <t>101259</t>
  </si>
  <si>
    <t>101260</t>
  </si>
  <si>
    <t>101261</t>
  </si>
  <si>
    <t>101262</t>
  </si>
  <si>
    <t>101263</t>
  </si>
  <si>
    <t>101264</t>
  </si>
  <si>
    <t>101265</t>
  </si>
  <si>
    <t>101266</t>
  </si>
  <si>
    <t>101267</t>
  </si>
  <si>
    <t>101268</t>
  </si>
  <si>
    <t>101269</t>
  </si>
  <si>
    <t>101270</t>
  </si>
  <si>
    <t>101271</t>
  </si>
  <si>
    <t>101272</t>
  </si>
  <si>
    <t>101273</t>
  </si>
  <si>
    <t>101274</t>
  </si>
  <si>
    <t>101275</t>
  </si>
  <si>
    <t>101276</t>
  </si>
  <si>
    <t>101277</t>
  </si>
  <si>
    <t>102354</t>
  </si>
  <si>
    <t>102355</t>
  </si>
  <si>
    <t>102360</t>
  </si>
  <si>
    <t>RETIRADA DE MATERIAL DE 3ª CATEGORIA (APÓS ESCAVAÇÃO/DESMONTE) EM VALAS, COM ESCAVADEIRA HIDRÁULICA - EXCLUSIVE CARGA E TRANSPORTE. AF_03/2021</t>
  </si>
  <si>
    <t>102361</t>
  </si>
  <si>
    <t>RETIRADA DE MATERIAL DE 3ª CATEGORIA (APÓS ESCAVAÇÃO/DESMONTE) EM VALAS, COM RETROESCAVADEIRA - EXCLUSIVE CARGA E TRANSPORTE. AF_03/2021</t>
  </si>
  <si>
    <t>102276</t>
  </si>
  <si>
    <t>102277</t>
  </si>
  <si>
    <t>102278</t>
  </si>
  <si>
    <t>102279</t>
  </si>
  <si>
    <t>102280</t>
  </si>
  <si>
    <t>102281</t>
  </si>
  <si>
    <t>102282</t>
  </si>
  <si>
    <t>102283</t>
  </si>
  <si>
    <t>102284</t>
  </si>
  <si>
    <t>102285</t>
  </si>
  <si>
    <t>102286</t>
  </si>
  <si>
    <t>102287</t>
  </si>
  <si>
    <t>102288</t>
  </si>
  <si>
    <t>102289</t>
  </si>
  <si>
    <t>102290</t>
  </si>
  <si>
    <t>102291</t>
  </si>
  <si>
    <t>102292</t>
  </si>
  <si>
    <t>102293</t>
  </si>
  <si>
    <t>102294</t>
  </si>
  <si>
    <t>102295</t>
  </si>
  <si>
    <t>102296</t>
  </si>
  <si>
    <t>102297</t>
  </si>
  <si>
    <t>102298</t>
  </si>
  <si>
    <t>102299</t>
  </si>
  <si>
    <t>102300</t>
  </si>
  <si>
    <t>102301</t>
  </si>
  <si>
    <t>102302</t>
  </si>
  <si>
    <t>102303</t>
  </si>
  <si>
    <t>102304</t>
  </si>
  <si>
    <t>102305</t>
  </si>
  <si>
    <t>102306</t>
  </si>
  <si>
    <t>102307</t>
  </si>
  <si>
    <t>102308</t>
  </si>
  <si>
    <t>102309</t>
  </si>
  <si>
    <t>102310</t>
  </si>
  <si>
    <t>102311</t>
  </si>
  <si>
    <t>102312</t>
  </si>
  <si>
    <t>102313</t>
  </si>
  <si>
    <t>102314</t>
  </si>
  <si>
    <t>102315</t>
  </si>
  <si>
    <t>102316</t>
  </si>
  <si>
    <t>102317</t>
  </si>
  <si>
    <t>102318</t>
  </si>
  <si>
    <t>102319</t>
  </si>
  <si>
    <t>102320</t>
  </si>
  <si>
    <t>102321</t>
  </si>
  <si>
    <t>102322</t>
  </si>
  <si>
    <t>102323</t>
  </si>
  <si>
    <t>102324</t>
  </si>
  <si>
    <t>102325</t>
  </si>
  <si>
    <t>102326</t>
  </si>
  <si>
    <t>102327</t>
  </si>
  <si>
    <t>102328</t>
  </si>
  <si>
    <t>102329</t>
  </si>
  <si>
    <t>10,23</t>
  </si>
  <si>
    <t>TRANSPORTE COM CAMINHÃO BASCULANTE DE 6 M³, EM VIA URBANA EM LEITO NATURAL (UNIDADE: TXKM). AF_07/2020</t>
  </si>
  <si>
    <t>TRANSPORTE COM CAMINHÃO BASCULANTE DE 6 M³, EM VIA URBANA EM REVESTIMENTO PRIMÁRIO (UNIDADE: TXKM). AF_07/2020</t>
  </si>
  <si>
    <t>TRANSPORTE COM CAMINHÃO BASCULANTE DE 6 M³, EM VIA URBANA PAVIMENTADA, DMT ATÉ 30 KM (UNIDADE: TXKM). AF_07/2020</t>
  </si>
  <si>
    <t>TRANSPORTE COM CAMINHÃO BASCULANTE DE 6 M³, EM VIA URBANA PAVIMENTADA, ADICIONAL PARA DMT EXCEDENTE A 30 KM (UNIDADE: TXKM). AF_07/2020</t>
  </si>
  <si>
    <t>101616</t>
  </si>
  <si>
    <t>PREPARO DE FUNDO DE VALA COM LARGURA MENOR QUE 1,5 M (ACERTO DO SOLO NATURAL). AF_08/2020</t>
  </si>
  <si>
    <t>101617</t>
  </si>
  <si>
    <t>PREPARO DE FUNDO DE VALA COM LARGURA MAIOR OU IGUAL A 1,5 M E MENOR QUE 2,5 M (ACERTO DO SOLO NATURAL). AF_08/2020</t>
  </si>
  <si>
    <t>101618</t>
  </si>
  <si>
    <t>PREPARO DE FUNDO DE VALA COM LARGURA MENOR QUE 1,5 M, COM CAMADA DE AREIA, LANÇAMENTO MANUAL. AF_08/2020</t>
  </si>
  <si>
    <t>101619</t>
  </si>
  <si>
    <t>PREPARO DE FUNDO DE VALA COM LARGURA MENOR QUE 1,5 M, COM CAMADA DE BRITA, LANÇAMENTO MANUAL. AF_08/2020</t>
  </si>
  <si>
    <t>101620</t>
  </si>
  <si>
    <t>PREPARO DE FUNDO DE VALA COM LARGURA MAIOR OU IGUAL A 1,5 M E MENOR QUE 2,5 M, COM CAMADA DE AREIA, LANÇAMENTO MANUAL. AF_08/2020</t>
  </si>
  <si>
    <t>101621</t>
  </si>
  <si>
    <t>PREPARO DE FUNDO DE VALA COM LARGURA MAIOR OU IGUAL A 1,5 M E MENOR QUE 2,5 M, COM CAMADA DE BRITA, LANÇAMENTO MANUAL. AF_08/2020</t>
  </si>
  <si>
    <t>101622</t>
  </si>
  <si>
    <t>PREPARO DE FUNDO DE VALA COM LARGURA MENOR QUE 1,5 M, COM CAMADA DE AREIA, LANÇAMENTO MECANIZADO. AF_08/2020</t>
  </si>
  <si>
    <t>101623</t>
  </si>
  <si>
    <t>PREPARO DE FUNDO DE VALA COM LARGURA MENOR QUE 1,5 M, COM CAMADA DE BRITA, LANÇAMENTO MECANIZADO. AF_08/2020</t>
  </si>
  <si>
    <t>101624</t>
  </si>
  <si>
    <t>PREPARO DE FUNDO DE VALA COM LARGURA MAIOR OU IGUAL A 1,5 M E MENOR QUE 2,5 M, COM CAMADA DE BRITA, LANÇAMENTO MECANIZADO. AF_08/2020</t>
  </si>
  <si>
    <t>101625</t>
  </si>
  <si>
    <t>PREPARO DE FUNDO DE VALA COM LARGURA MAIOR OU IGUAL A 1,5 M E MENOR QUE 2,5 M, COM CAMADA DE AREIA, LANÇAMENTO MECANIZADO. AF_08/2020</t>
  </si>
  <si>
    <t>79,42</t>
  </si>
  <si>
    <t>101159</t>
  </si>
  <si>
    <t>ALVENARIA DE VEDAÇÃO DE BLOCOS CERÂMICOS MACIÇOS DE 5X10X20CM (ESPESSURA 10CM) E ARGAMASSA DE ASSENTAMENTO COM PREPARO EM BETONEIRA. AF_05/2020</t>
  </si>
  <si>
    <t>64,17</t>
  </si>
  <si>
    <t>57,98</t>
  </si>
  <si>
    <t>60,99</t>
  </si>
  <si>
    <t>72,48</t>
  </si>
  <si>
    <t>101162</t>
  </si>
  <si>
    <t>ALVENARIA DE VEDAÇÃO COM ELEMENTO VAZADO DE CERÂMICA (COBOGÓ) DE 7X20X20CM E ARGAMASSA DE ASSENTAMENTO COM PREPARO EM BETONEIRA. AF_05/2020</t>
  </si>
  <si>
    <t>74,78</t>
  </si>
  <si>
    <t>77,23</t>
  </si>
  <si>
    <t>101161</t>
  </si>
  <si>
    <t>ALVENARIA DE VEDAÇÃO COM ELEMENTO VAZADO DE CONCRETO (COBOGÓ) DE 7X50X50CM E ARGAMASSA DE ASSENTAMENTO COM PREPARO EM BETONEIRA. AF_05/2020</t>
  </si>
  <si>
    <t>101163</t>
  </si>
  <si>
    <t>ALVENARIA DE VEDAÇÃO COM BLOCO DE VIDRO VAZADO, TIPO VENEZIANA, DE 6X20X20CM E ARGAMASSA DE ASSENTAMENTO COM PREPARO EM BETONEIRA. AF_05/2020</t>
  </si>
  <si>
    <t>101164</t>
  </si>
  <si>
    <t>ALVENARIA DE VEDAÇÃO COM BLOCO DE VIDRO, TIPO CANELADO, DE 8X19X19CM E ARGAMASSA DE ASSENTAMENTO COM PREPARO EM BETONEIRA. AF_05/2020</t>
  </si>
  <si>
    <t>102235</t>
  </si>
  <si>
    <t>102253</t>
  </si>
  <si>
    <t>DIVISORIA SANITÁRIA, TIPO CABINE, EM GRANITO CINZA POLIDO, ESP = 3CM, ASSENTADO COM ARGAMASSA COLANTE AC III-E, EXCLUSIVE FERRAGENS. AF_01/2021</t>
  </si>
  <si>
    <t>102254</t>
  </si>
  <si>
    <t>DIVISORIA SANITÁRIA, TIPO CABINE, EM MÁRMORE BRANCO POLIDO, ESP = 3CM, ASSENTADO COM ARGAMASSA COLANTE AC III-E, EXCLUSIVE FERRAGENS. AF_01/2021</t>
  </si>
  <si>
    <t>102255</t>
  </si>
  <si>
    <t>TAPA VISTA DE MICTÓRIO EM GRANITO CINZA POLIDO, ESP = 3CM, ASSENTADO COM ARGAMASSA COLANTE AC III-E . AF_01/2021</t>
  </si>
  <si>
    <t>102256</t>
  </si>
  <si>
    <t>TAPA VISTA DE MICTÓRIO EM MÁRMORE BRANCO POLIDO, ESP = 3CM, ASSENTADO COM ARGAMASSA COLANTE AC III-E . AF_01/2021</t>
  </si>
  <si>
    <t>102257</t>
  </si>
  <si>
    <t>DIVISORIA SANITÁRIA, TIPO CABINE, EM PAINEL DE GRANILITE, ESP = 3CM, ASSENTADO COM ARGAMASSA COLANTE AC III-E, EXCLUSIVE FERRAGENS. AF_01/2021</t>
  </si>
  <si>
    <t>102258</t>
  </si>
  <si>
    <t>TAPA VISTA DE MICTÓRIO EM PAINEL DE GRANILITE, ESP = 3CM, ASSENTADO COM ARGAMASSA COLANTE AC III-E . AF_01/2021</t>
  </si>
  <si>
    <t>101154</t>
  </si>
  <si>
    <t>ALVENARIA DE VEDAÇÃO DE BLOCOS DE CONCRETO CELULAR DE 10X30X60CM (ESPESSURA 10CM) E ARGAMASSA DE ASSENTAMENTO COM PREPARO EM BETONEIRA. AF_05/2020</t>
  </si>
  <si>
    <t>101155</t>
  </si>
  <si>
    <t>ALVENARIA DE VEDAÇÃO DE BLOCOS DE CONCRETO CELULAR DE 15X30X60CM (ESPESSURA 15CM) E ARGAMASSA DE ASSENTAMENTO COM PREPARO EM BETONEIRA. AF_05/2020</t>
  </si>
  <si>
    <t>101156</t>
  </si>
  <si>
    <t>ALVENARIA DE VEDAÇÃO DE BLOCOS DE CONCRETO CELULAR DE 20X30X60CM (ESPESSURA 20CM) E ARGAMASSA DE ASSENTAMENTO COM PREPARO EM BETONEIRA. AF_05/2020</t>
  </si>
  <si>
    <t>101814</t>
  </si>
  <si>
    <t>RECOMPOSIÇÃO DE PAVIMENTOS EM PEDRA POLIÉDRICA, REJUNTAMENTO COM PÓ DE PEDRA, COM REAPROVEITAMENTO DAS PEDRAS POLIÉDRICAS PARA O FECHAMENTO DE VALAS - INCLUSO RETIRADA E COLOCAÇÃO DO MATERIAL. AF_12/2020</t>
  </si>
  <si>
    <t>101816</t>
  </si>
  <si>
    <t>RECOMPOSIÇÃO DE PAVIMENTO EM PEDRAS POLIÉDRICAS, REJUNTAMENTO COM ARGAMASSA, COM REAPROVEITAMENTO DAS PEDRAS POLIÉDRICAS, PARA O FECHAMENTO DE VALAS - INCLUSO RETIRADA E COLOCAÇÃO DO MATERIAL. AF_12/2020</t>
  </si>
  <si>
    <t>101817</t>
  </si>
  <si>
    <t>RECOMPOSIÇÃO DE PAVIMENTO EM PARALELEPÍPEDOS, REJUNTAMENTO COM PÓ DE PEDRA, COM REAPROVEITAMENTO DOS PARALELEPÍPEDOS, PARA O FECHAMENTO DE VALAS - INCLUSO RETIRADA E COLOCAÇÃO DO MATERIAL. AF_12/2020</t>
  </si>
  <si>
    <t>101819</t>
  </si>
  <si>
    <t>RECOMPOSIÇÃO DE PAVIMENTO EM PARALELEPÍPEDOS, REJUNTAMENTO COM ARGAMASSA, COM REAPROVEITAMENTO DOS PARALELEPÍPEDOS, PARA O FECHAMENTO DE VALAS - INCLUSO RETIRADA E COLOCAÇÃO DO MATERIAL. AF_12/2020</t>
  </si>
  <si>
    <t>101820</t>
  </si>
  <si>
    <t>RECOMPOSIÇÃO DE PAVIMENTO EM PISO INTERTRAVADO SEXTAVADO, COM REAPROVEITAMENTO DOS BLOCOS SEXTAVADO, PARA O FECHAMENTO DE VALAS - INCLUSO RETIRADA E COLOCAÇÃO DO MATERIAL. AF_12/2020</t>
  </si>
  <si>
    <t>101822</t>
  </si>
  <si>
    <t>RECOMPOSIÇÃO DE BASE E OU SUB-BASE PARA REMENDO PROFUNDO DE SOLOS DE COMPORTAMENTO LATERÍTICO (ARENOSO) - INCLUSO RETIRADA E COLOCAÇÃO DO MATERIAL. AF_12/2020</t>
  </si>
  <si>
    <t>101823</t>
  </si>
  <si>
    <t>RECOMPOSIÇÃO DE BASE E OU SUB-BASE PARA REMENDO PROFUNDO DE SOLO MELHORADO COM CIMENTO (TEOR DE 2%) - INCLUSO RETIRADA E COLOCAÇÃO DO MATERIAL. AF_12/2020</t>
  </si>
  <si>
    <t>101824</t>
  </si>
  <si>
    <t>RECOMPOSIÇÃO DE BASE E OU SUB-BASE PARA REMENDO PROFUNDO DE SOLO MELHORADO COM CIMENTO (TEOR DE 4%) - INCLUSO RETIRADA E COLOCAÇÃO DO MATERIAL. AF_12/2020</t>
  </si>
  <si>
    <t>101825</t>
  </si>
  <si>
    <t>RECOMPOSIÇÃO DE BASE E OU SUB-BASE PARA REMENDO PROFUNDO DE SOLO COM CIMENTO (TEOR DE 6%) - INCLUSO RETIRADA E COLOCAÇÃO DO MATERIAL. AF_12/2020</t>
  </si>
  <si>
    <t>101826</t>
  </si>
  <si>
    <t>RECOMPOSIÇÃO DE BASE E OU SUB-BASE PARA REMENDO PROFUNDO DE SOLO COM CIMENTO (TEOR DE 8%) - INCLUSO RETIRADA E COLOCAÇÃO DO MATERIAL. AF_12/2020</t>
  </si>
  <si>
    <t>101827</t>
  </si>
  <si>
    <t>RECOMPOSIÇÃO DE BASE E OU SUB-BASE PARA REMENDO PROFUNDO DE SOLO BRITA (40/60) - INCLUSO RETIRADA E COLOCAÇÃO DO MATERIAL. AF_12/2020</t>
  </si>
  <si>
    <t>101828</t>
  </si>
  <si>
    <t>RECOMPOSIÇÃO DE BASE E OU SUB-BASE PARA REMENDO PROFUNDO DE SOLO BRITA (50/50) - INCLUSO RETIRADA E COLOCAÇÃO DO MATERIAL. AF_12/2020</t>
  </si>
  <si>
    <t>146,52</t>
  </si>
  <si>
    <t>101829</t>
  </si>
  <si>
    <t>101830</t>
  </si>
  <si>
    <t>101831</t>
  </si>
  <si>
    <t>101832</t>
  </si>
  <si>
    <t>RECOMPOSIÇÃO DE BASE E OU SUB-BASE PARA REMENDO PROFUNDO DE SOLO BRITA (50/50) COM CIMENTO (TEOR DE 4%) - INCLUSO RETIRADA E COLOCAÇÃO DO MATERIAL. AF_12/2020</t>
  </si>
  <si>
    <t>101833</t>
  </si>
  <si>
    <t>RECOMPOSIÇÃO DE BASE E OU SUB-BASE PARA REMENDO PROFUNDO DE SOLO BRITA (50/50) COM CIMENTO (TEOR DE 6%) - INCLUSO RETIRADA E COLOCAÇÃO DO MATERIAL. AF_12/2020</t>
  </si>
  <si>
    <t>101834</t>
  </si>
  <si>
    <t>RECOMPOSIÇÃO DE BASE E OU SUB-BASE PARA REMENDO PROFUNDO DE SOLO BRITA (50/50) COM CIMENTO (TEOR DE 8%) - INCLUSO RETIRADA E COLOCAÇÃO DO MATERIAL. AF_12/2020</t>
  </si>
  <si>
    <t>101835</t>
  </si>
  <si>
    <t>RECOMPOSIÇÃO DE BASE E OU SUB-BASE PARA REMENDO PROFUNDO DE BRITA GRADUADA SIMPLES - INCLUSO RETIRADA E COLOCAÇÃO DO MATERIAL. AF_12/2020</t>
  </si>
  <si>
    <t>101836</t>
  </si>
  <si>
    <t>RECOMPOSIÇÃO DE BASE E OU SUB-BASE PARA FECHAMENTO DE VALAS DE SOLOS DE COMPORTAMENTO LATERÍTICO (ARENOSO) - INCLUSO RETIRADA E COLOCAÇÃO DO MATERIAL. AF_12/2020</t>
  </si>
  <si>
    <t>101837</t>
  </si>
  <si>
    <t>RECOMPOSIÇÃO DE BASE E OU SUB-BASE PARA FECHAMENTO DE VALAS DE SOLO MELHORADO COM CIMENTO (TEOR DE 2%) - INCLUSO RETIRADA E COLOCAÇÃO DO MATERIAL. AF_12/2020</t>
  </si>
  <si>
    <t>101838</t>
  </si>
  <si>
    <t>RECOMPOSIÇÃO DE BASE E OU SUB-BASE PARA FECHAMENTO DE VALAS DE SOLO MELHORADO COM CIMENTO (TEOR DE 4%) - INCLUSO RETIRADA E COLOCAÇÃO DO MATERIAL. AF_12/2020</t>
  </si>
  <si>
    <t>101839</t>
  </si>
  <si>
    <t>RECOMPOSIÇÃO DE BASE E OU SUB-BASE PARA FECHAMENTO DE VALAS DE SOLO COM CIMENTO (TEOR DE 6%) - INCLUSO RETIRADA E COLOCAÇÃO DO MATERIAL. AF_12/2020</t>
  </si>
  <si>
    <t>101840</t>
  </si>
  <si>
    <t>RECOMPOSIÇÃO DE BASE E OU SUB-BASE PARA FECHAMENTO DE VALAS DE SOLO COM CIMENTO (TEOR DE 8%) - INCLUSO RETIRADA E COLOCAÇÃO DO MATERIAL. AF_12/2020</t>
  </si>
  <si>
    <t>101841</t>
  </si>
  <si>
    <t>RECOMPOSIÇÃO DE BASE E OU SUB-BASE PARA FECHAMENTO DE VALAS DE SOLO BRITA (40/60) - INCLUSO RETIRADA E COLOCAÇÃO DO MATERIAL. AF_12/2020</t>
  </si>
  <si>
    <t>101842</t>
  </si>
  <si>
    <t>RECOMPOSIÇÃO DE BASE E OU SUB-BASE PARA FECHAMENTO DE VALAS DE SOLO BRITA (50/50) - INCLUSO RETIRADA E COLOCAÇÃO DO MATERIAL. AF_12/2020</t>
  </si>
  <si>
    <t>101843</t>
  </si>
  <si>
    <t>101844</t>
  </si>
  <si>
    <t>101845</t>
  </si>
  <si>
    <t>101846</t>
  </si>
  <si>
    <t>RECOMPOSIÇÃO DE BASE E OU SUB-BASE PARA FECHAMENTO DE VALAS DE SOLO BRITA (50/50) COM CIMENTO (TEOR DE 4%) - INCLUSO RETIRADA E COLOCAÇÃO DO MATERIAL. AF_12/2020</t>
  </si>
  <si>
    <t>101847</t>
  </si>
  <si>
    <t>RECOMPOSIÇÃO DE BASE E OU SUB-BASE PARA FECHAMENTO DE VALAS DE SOLO BRITA (50/50) COM CIMENTO (TEOR DE 6%) - INCLUSO RETIRADA E COLOCAÇÃO DO MATERIAL. AF_12/2020</t>
  </si>
  <si>
    <t>101848</t>
  </si>
  <si>
    <t>RECOMPOSIÇÃO DE BASE E OU SUB-BASE PARA FECHAMENTO DE VALAS DE SOLO BRITA (50/50) COM CIMENTO (TEOR DE 8%) - INCLUSO RETIRADA E COLOCAÇÃO DO MATERIAL. AF_12/2020</t>
  </si>
  <si>
    <t>101849</t>
  </si>
  <si>
    <t>RECOMPOSIÇÃO DE BASE E OU SUB-BASE PARA FECHAMENTO DE VALAS DE BRITA GRADUADA SIMPLES - INCLUSO RETIRADA E COLOCAÇÃO DO MATERIAL. AF_12/2020</t>
  </si>
  <si>
    <t>101850</t>
  </si>
  <si>
    <t>REASSENTAMENTO DE PARALELEPÍPEDOS, REJUNTAMENTO COM PÓ DE PEDRA, COM REAPROVEITAMENTO DOS PARALELEPÍPEDOS - INCLUSO RETIRADA E COLOCAÇÃO DO MATERIAL. AF_12/2020</t>
  </si>
  <si>
    <t>101852</t>
  </si>
  <si>
    <t>REASSENTAMENTO DE PARALELEPÍPEDOS, REJUNTAMENTO COM ARGAMASSA, COM REAPROVEITAMENTO DOS PARALELEPÍPEDOS - INCLUSO RETIRADA E COLOCAÇÃO DO MATERIAL. AF_12/2020</t>
  </si>
  <si>
    <t>101853</t>
  </si>
  <si>
    <t>REASSENTAMENTO DE PEDRAS POLIÉDRICAS, REJUNTAMENTO COM PÓ DE PEDRA, COM REAPROVEITAMENTO DAS PEDRAS POLIÉDRICAS - INCLUSO RETIRADA E COLOCAÇÃO DO MATERIAL.  AF_12/2020</t>
  </si>
  <si>
    <t>101855</t>
  </si>
  <si>
    <t>REASSENTAMENTO DE PEDRAS POLIÉDRICAS, REJUNTAMENTO COM ARGAMASSA, COM REAPROVEITAMENTO DAS PEDRAS POLIÉDRICAS - INCLUSO RETIRADA E COLOCAÇÃO DO MATERIAL. AF_12/2020</t>
  </si>
  <si>
    <t>101856</t>
  </si>
  <si>
    <t>REASSENTAMENTO DE BLOCOS PISOGRAMA PARA PISO INTERTRAVADO, COM REAPROVEITAMENTO DOS BLOCOS PISOGRAMA - INCLUSO RETIRADA E COLOCAÇÃO DO MATERIAL. AF_12/2020</t>
  </si>
  <si>
    <t>101857</t>
  </si>
  <si>
    <t>REASSENTAMENTO DE BLOCOS SEXTAVADO PARA PISO INTERTRAVADO, ESPESSURA DE 6 CM, EM CALÇADA, COM REAPROVEITAMENTO DOS BLOCOS SEXTAVADOS - INCLUSO RETIRADA E COLOCAÇÃO DO MATERIAL. AF_12/2020</t>
  </si>
  <si>
    <t>101858</t>
  </si>
  <si>
    <t>REASSENTAMENTO DE BLOCOS SEXTAVADO PARA PISO INTERTRAVADO, ESPESSURA DE 6 CM, EM VIA/ESTACIONAMENTO, COM REAPROVEITAMENTO DOS BLOCOS SEXTAVADO - INCLUSO RETIRADA E COLOCAÇÃO DO MATERIAL. AF_12/2020</t>
  </si>
  <si>
    <t>101859</t>
  </si>
  <si>
    <t>REASSENTAMENTO DE BLOCOS SEXTAVADO PARA PISO INTERTRAVADO, ESPESSURA DE 8 CM, EM VIA/ESTACIONAMENTO, COM REAPROVEITAMENTO DOS BLOCOS SEXTAVADO - INCLUSO RETIRADA E COLOCAÇÃO DO MATERIAL. AF_12/2020</t>
  </si>
  <si>
    <t>101860</t>
  </si>
  <si>
    <t>REASSENTAMENTO DE BLOCOS SEXTAVADO PARA PISO INTERTRAVADO, ESPESSURA DE 10 CM, EM VIA/ESTACIONAMENTO, COM REAPROVEITAMENTO DOS BLOCOS SEXTAVADO - INCLUSO RETIRADA E COLOCAÇÃO DO MATERIAL. AF_12/2020</t>
  </si>
  <si>
    <t>101861</t>
  </si>
  <si>
    <t>REASSENTAMENTO DE BLOCOS RETANGULAR PARA PISO INTERTRAVADO, ESPESSURA DE 4  CM, EM CALÇADA, COM REAPROVEITAMENTO DOS BLOCOS RETANGULAR - INCLUSO RETIRADA E COLOCAÇÃO DO MATERIAL. AF_12/2020</t>
  </si>
  <si>
    <t>21,41</t>
  </si>
  <si>
    <t>101862</t>
  </si>
  <si>
    <t>REASSENTAMENTO DE BLOCOS RETANGULAR PARA PISO INTERTRAVADO, ESPESSURA DE 6 CM, EM CALÇADA, COM REAPROVEITAMENTO DOS BLOCOS RETANGULAR - INCLUSO RETIRADA E COLOCAÇÃO DO MATERIAL. AF_12/2020</t>
  </si>
  <si>
    <t>101863</t>
  </si>
  <si>
    <t>REASSENTAMENTO DE BLOCOS RETANGULAR PARA PISO INTERTRAVADO, ESPESSURA DE 6 CM, EM VIA/ESTACIONAMENTO, COM REAPROVEITAMENTO DOS BLOCOS RETANGULAR - INCLUSO RETIRADA E COLOCAÇÃO DO MATERIAL. AF_12/2020</t>
  </si>
  <si>
    <t>101864</t>
  </si>
  <si>
    <t>REASSENTAMENTO DE BLOCOS RETANGULAR PARA PISO INTERTRAVADO, ESPESSURA DE 8 CM, EM VIA/ESTACIONAMENTO, COM REAPROVEITAMENTO DOS BLOCOS RETANGULAR - INCLUSO RETIRADA E COLOCAÇÃO DO MATERIAL. AF_12/2020</t>
  </si>
  <si>
    <t>101865</t>
  </si>
  <si>
    <t>REASSENTAMENTO DE BLOCOS RETANGULAR PARA PISO INTERTRAVADO, ESPESSURA DE 10 CM, EM VIA/ESTACIONAMENTO, COM REAPROVEITAMENTO DOS BLOCOS RETANGULAR - INCLUSO RETIRADA E COLOCAÇÃO DO MATERIAL. AF_12/2020</t>
  </si>
  <si>
    <t>101866</t>
  </si>
  <si>
    <t>REASSENTAMENTO DE BLOCOS 16 FACES PARA PISO INTERTRAVADO, ESPESSURA DE 4  CM, EM CALÇADA, COM REAPROVEITAMENTO DOS BLOCOS 16 FACES - INCLUSO RETIRADA E COLOCAÇÃO DO MATERIAL. AF_12/2020</t>
  </si>
  <si>
    <t>101867</t>
  </si>
  <si>
    <t>REASSENTAMENTO DE BLOCOS 16 FACES PARA PISO INTERTRAVADO, ESPESSURA DE 6 CM, EM CALÇADA, COM REAPROVEITAMENTO DOS BLOCOS 16 FACES - INCLUSO RETIRADA E COLOCAÇÃO DO MATERIAL. AF_12/2020</t>
  </si>
  <si>
    <t>101868</t>
  </si>
  <si>
    <t>REASSENTAMENTO DE BLOCOS 16 FACES PARA PISO INTERTRAVADO, ESPESSURA DE 6 CM, EM VIA/ESTACIONAMENTO, COM REAPROVEITAMENTO DOS BLOCOS 16 FACES - INCLUSO RETIRADA E COLOCAÇÃO DO MATERIAL. AF_12/2020</t>
  </si>
  <si>
    <t>101869</t>
  </si>
  <si>
    <t>REASSENTAMENTO DE BLOCOS 16 FACES PARA PISO INTERTRAVADO, ESPESSURA DE 8 CM, EM VIA/ESTACIONAMENTO, COM REAPROVEITAMENTO DOS BLOCOS 16 FACES - INCLUSO RETIRADA E COLOCAÇÃO DO MATERIAL. AF_12/2020</t>
  </si>
  <si>
    <t>101870</t>
  </si>
  <si>
    <t>REASSENTAMENTO DE BLOCOS 16 FACES PARA PISO INTERTRAVADO, ESPESSURA DE 10 CM, EM VIA/ESTACIONAMENTO, COM REAPROVEITAMENTO DOS BLOCOS 16 FACES - INCLUSO RETIRADA E COLOCAÇÃO DO MATERIAL. AF_12/2020</t>
  </si>
  <si>
    <t>102098</t>
  </si>
  <si>
    <t>RECOMPOSIÇÃO DE REVESTIMENTO EM CONCRETO ASFÁLTICO (AQUISIÇÃO EM USINA), PARA O FECHAMENTO DE VALAS - INCLUSO DEMOLIÇÃO DO PAVIMENTO. AF_12/2020</t>
  </si>
  <si>
    <t>38,81</t>
  </si>
  <si>
    <t>166,61</t>
  </si>
  <si>
    <t>101767</t>
  </si>
  <si>
    <t>101768</t>
  </si>
  <si>
    <t>75,36</t>
  </si>
  <si>
    <t>77,09</t>
  </si>
  <si>
    <t>97104</t>
  </si>
  <si>
    <t>97105</t>
  </si>
  <si>
    <t>97106</t>
  </si>
  <si>
    <t>97107</t>
  </si>
  <si>
    <t>97108</t>
  </si>
  <si>
    <t>97109</t>
  </si>
  <si>
    <t>97111</t>
  </si>
  <si>
    <t>97112</t>
  </si>
  <si>
    <t>97113</t>
  </si>
  <si>
    <t>97116</t>
  </si>
  <si>
    <t>97117</t>
  </si>
  <si>
    <t>97118</t>
  </si>
  <si>
    <t>97119</t>
  </si>
  <si>
    <t>101167</t>
  </si>
  <si>
    <t>EXECUÇÃO DE PAVIMENTO EM PARALELEPÍPEDOS, REJUNTAMENTO COM PÓ DE PEDRA. AF_05/2020</t>
  </si>
  <si>
    <t>101169</t>
  </si>
  <si>
    <t>EXECUÇÃO DE PAVIMENTO EM PARALELEPÍPEDOS, REJUNTAMENTO COM ARGAMASSA TRAÇO 1:3 (CIMENTO E AREIA). AF_05/2020</t>
  </si>
  <si>
    <t>101170</t>
  </si>
  <si>
    <t>EXECUÇÃO DE PAVIMENTO EM PEDRAS POLIÉDRICAS, REJUNTAMENTO COM PÓ DE PEDRA. AF_05/2020</t>
  </si>
  <si>
    <t>101172</t>
  </si>
  <si>
    <t>EXECUÇÃO DE PAVIMENTO EM PEDRAS POLIÉDRICAS, REJUNTAMENTO COM ARGAMASSA TRAÇO 1:3 (CIMENTO E AREIA). AF_05/2020</t>
  </si>
  <si>
    <t>USINAGEM DE BRITA GRADUADA SIMPLES. AF_03/2020</t>
  </si>
  <si>
    <t>USINAGEM DE BRITA GRADUADA TRATADA COM CIMENTO. AF_03/2020</t>
  </si>
  <si>
    <t>USINAGEM DE CONCRETO PARA COMPACTAÇÃO COM ROLO. AF_03/2020</t>
  </si>
  <si>
    <t>22,89</t>
  </si>
  <si>
    <t>17,95</t>
  </si>
  <si>
    <t>102193</t>
  </si>
  <si>
    <t>LIXAMENTO DE MADEIRA PARA APLICAÇÃO DE FUNDO OU PINTURA. AF_01/2021</t>
  </si>
  <si>
    <t>102194</t>
  </si>
  <si>
    <t>LIXAMENTO DE MASSA PARA MADEIRA. AF_01/2021</t>
  </si>
  <si>
    <t>102197</t>
  </si>
  <si>
    <t>PINTURA FUNDO NIVELADOR ALQUÍDICO BRANCO EM MADEIRA. AF_01/2021</t>
  </si>
  <si>
    <t>102200</t>
  </si>
  <si>
    <t>APLICAÇÃO MASSA ALQUÍDICA PARA MADEIRA, PARA PINTURA COM TINTA DE ACABAMENTO (PIGMENTADA). AF_01/2021</t>
  </si>
  <si>
    <t>102202</t>
  </si>
  <si>
    <t>APLICAÇÃO MASSA EPÓXI PARA MADEIRA, PARA PINTURA COM TINTA PU DE ACABAMENTO (PIGMENTADA). AF_01/2021</t>
  </si>
  <si>
    <t>102203</t>
  </si>
  <si>
    <t>PINTURA VERNIZ (INCOLOR) ALQUÍDICO EM MADEIRA, USO INTERNO E EXTERNO, 1 DEMÃO. AF_01/2021</t>
  </si>
  <si>
    <t>102204</t>
  </si>
  <si>
    <t>PINTURA VERNIZ (INCOLOR) ALQUÍDICO EM MADEIRA, USO INTERNO, 1 DEMÃO. AF_01/2021</t>
  </si>
  <si>
    <t>102205</t>
  </si>
  <si>
    <t>PINTURA VERNIZ (INCOLOR) POLIURETÂNICO (RESINA ALQUÍDICA MODIFICADA) EM MADEIRA, 1 DEMÃO. AF_01/2021</t>
  </si>
  <si>
    <t>102207</t>
  </si>
  <si>
    <t>PINTURA TINTA DE ACABAMENTO (PIGMENTADA) A ÓLEO EM MADEIRA, 1 DEMÃO. AF_01/2021</t>
  </si>
  <si>
    <t>102208</t>
  </si>
  <si>
    <t>PINTURA TINTA DE ACABAMENTO (PIGMENTADA) ESMALTE SINTÉTICO FOSCO EM MADEIRA, 1 DEMÃO. AF_01/2021</t>
  </si>
  <si>
    <t>102209</t>
  </si>
  <si>
    <t>PINTURA TINTA DE ACABAMENTO (PIGMENTADA) ESMALTE SINTÉTICO ACETINADO EM MADEIRA, 1 DEMÃO. AF_01/2021</t>
  </si>
  <si>
    <t>102210</t>
  </si>
  <si>
    <t>PINTURA TINTA DE ACABAMENTO (PIGMENTADA) ESMALTE SINTÉTICO BRILHANTE EM MADEIRA, 1 DEMÃO. AF_01/2021</t>
  </si>
  <si>
    <t>102213</t>
  </si>
  <si>
    <t>PINTURA VERNIZ (INCOLOR) ALQUÍDICO EM MADEIRA, USO INTERNO E EXTERNO, 2 DEMÃOS. AF_01/2021</t>
  </si>
  <si>
    <t>102214</t>
  </si>
  <si>
    <t>PINTURA VERNIZ (INCOLOR) ALQUÍDICO EM MADEIRA, USO INTERNO, 2 DEMÃOS. AF_01/2021</t>
  </si>
  <si>
    <t>102215</t>
  </si>
  <si>
    <t>PINTURA VERNIZ (INCOLOR) POLIURETÂNICO (RESINA ALQUÍDICA MODIFICADA) EM MADEIRA, 2 DEMÃOS. AF_01/2021</t>
  </si>
  <si>
    <t>102217</t>
  </si>
  <si>
    <t>PINTURA TINTA DE ACABAMENTO (PIGMENTADA) A ÓLEO EM MADEIRA, 2 DEMÃOS. AF_01/2021</t>
  </si>
  <si>
    <t>102218</t>
  </si>
  <si>
    <t>PINTURA TINTA DE ACABAMENTO (PIGMENTADA) ESMALTE SINTÉTICO FOSCO EM MADEIRA, 2 DEMÃOS. AF_01/2021</t>
  </si>
  <si>
    <t>102219</t>
  </si>
  <si>
    <t>PINTURA TINTA DE ACABAMENTO (PIGMENTADA) ESMALTE SINTÉTICO ACETINADO EM MADEIRA, 2 DEMÃOS. AF_01/2021</t>
  </si>
  <si>
    <t>102220</t>
  </si>
  <si>
    <t>PINTURA TINTA DE ACABAMENTO (PIGMENTADA) ESMALTE SINTÉTICO BRILHANTE EM MADEIRA, 2 DEMÃOS. AF_01/2021</t>
  </si>
  <si>
    <t>102223</t>
  </si>
  <si>
    <t>PINTURA VERNIZ (INCOLOR) ALQUÍDICO EM MADEIRA, USO INTERNO E EXTERNO, 3 DEMÃOS. AF_01/2021</t>
  </si>
  <si>
    <t>102224</t>
  </si>
  <si>
    <t>PINTURA VERNIZ (INCOLOR) ALQUÍDICO EM MADEIRA, USO INTERNO, 3 DEMÃOS. AF_01/2021</t>
  </si>
  <si>
    <t>102225</t>
  </si>
  <si>
    <t>PINTURA VERNIZ (INCOLOR) POLIURETÂNICO (RESINA ALQUÍDICA MODIFICADA) EM MADEIRA, 3 DEMÃOS. AF_01/2021</t>
  </si>
  <si>
    <t>102227</t>
  </si>
  <si>
    <t>PINTURA TINTA DE ACABAMENTO (PIGMENTADA) A ÓLEO EM MADEIRA, 3 DEMÃOS. AF_01/2021</t>
  </si>
  <si>
    <t>102228</t>
  </si>
  <si>
    <t>PINTURA TINTA DE ACABAMENTO (PIGMENTADA) ESMALTE SINTÉTICO FOSCO EM MADEIRA, 3 DEMÃOS. AF_01/2021</t>
  </si>
  <si>
    <t>102229</t>
  </si>
  <si>
    <t>PINTURA TINTA DE ACABAMENTO (PIGMENTADA) ESMALTE SINTÉTICO ACETINADO EM MADEIRA, 3 DEMÃOS. AF_01/2021</t>
  </si>
  <si>
    <t>102230</t>
  </si>
  <si>
    <t>PINTURA TINTA DE ACABAMENTO (PIGMENTADA) ESMALTE SINTÉTICO BRILHANTE EM MADEIRA, 3 DEMÃOS. AF_01/2021</t>
  </si>
  <si>
    <t>102233</t>
  </si>
  <si>
    <t>PINTURA IMUNIZANTE PARA MADEIRA, 1 DEMÃO. AF_01/2021</t>
  </si>
  <si>
    <t>102234</t>
  </si>
  <si>
    <t>PINTURA IMUNIZANTE PARA MADEIRA, 2 DEMÃOS. AF_01/2021</t>
  </si>
  <si>
    <t>100716</t>
  </si>
  <si>
    <t>JATEAMENTO ABRASIVO COM GRANALHA DE AÇO EM PERFIL METÁLICO EM FÁBRICA. AF_01/2020</t>
  </si>
  <si>
    <t>100717</t>
  </si>
  <si>
    <t>LIXAMENTO MANUAL EM SUPERFÍCIES METÁLICAS EM OBRA. AF_01/2020</t>
  </si>
  <si>
    <t>100718</t>
  </si>
  <si>
    <t>COLOCAÇÃO DE FITA PROTETORA PARA PINTURA. AF_01/2020</t>
  </si>
  <si>
    <t>100719</t>
  </si>
  <si>
    <t>100720</t>
  </si>
  <si>
    <t>PINTURA COM TINTA ALQUÍDICA DE FUNDO (TIPO ZARCÃO) APLICADA A ROLO OU PINCEL SOBRE PERFIL METÁLICO EXECUTADO EM FÁBRICA (POR DEMÃO). AF_01/2020</t>
  </si>
  <si>
    <t>100721</t>
  </si>
  <si>
    <t>100722</t>
  </si>
  <si>
    <t>PINTURA COM TINTA ALQUÍDICA DE FUNDO (TIPO ZARCÃO) APLICADA A ROLO OU PINCEL SOBRE SUPERFÍCIES METÁLICAS (EXCETO PERFIL) EXECUTADO EM OBRA (POR DEMÃO). AF_01/2020</t>
  </si>
  <si>
    <t>100723</t>
  </si>
  <si>
    <t>100724</t>
  </si>
  <si>
    <t>PINTURA COM TINTA ALQUÍDICA DE FUNDO E ACABAMENTO (ESMALTE SINTÉTICO GRAFITE) APLICADA A ROLO OU PINCEL SOBRE PERFIL METÁLICO EXECUTADO EM FÁBRICA (POR DEMÃO). AF_01/2020</t>
  </si>
  <si>
    <t>100725</t>
  </si>
  <si>
    <t>100726</t>
  </si>
  <si>
    <t>PINTURA COM TINTA ALQUÍDICA DE FUNDO E ACABAMENTO (ESMALTE SINTÉTICO GRAFITE) APLICADA A ROLO OU PINCEL SOBRE SUPERFÍCIES METÁLICAS (EXCETO PERFIL) EXECUTADO EM OBRA (POR DEMÃO). AF_01/2020</t>
  </si>
  <si>
    <t>100727</t>
  </si>
  <si>
    <t>100728</t>
  </si>
  <si>
    <t>PINTURA COM TINTA EPOXÍDICA DE FUNDO APLICADA A ROLO OU PINCEL SOBRE PERFIL METÁLICO EXECUTADO EM FÁBRICA (POR DEMÃO). AF_01/2020</t>
  </si>
  <si>
    <t>100729</t>
  </si>
  <si>
    <t>100730</t>
  </si>
  <si>
    <t>PINTURA COM TINTA EPOXÍDICA DE ACABAMENTO APLICADA A ROLO OU PINCEL SOBRE PERFIL METÁLICO EXECUTADO EM FÁBRICA (POR DEMÃO). AF_01/2020</t>
  </si>
  <si>
    <t>100733</t>
  </si>
  <si>
    <t>100734</t>
  </si>
  <si>
    <t>PINTURA COM TINTA ACRÍLICA DE FUNDO APLICADA A ROLO OU PINCEL SOBRE SUPERFÍCIES METÁLICAS (EXCETO PERFIL) EXECUTADO EM OBRA (POR DEMÃO). AF_01/2020</t>
  </si>
  <si>
    <t>100735</t>
  </si>
  <si>
    <t>100736</t>
  </si>
  <si>
    <t>PINTURA COM TINTA ACRÍLICA DE ACABAMENTO APLICADA A ROLO OU PINCEL SOBRE SUPERFÍCIES METÁLICAS (EXCETO PERFIL) EXECUTADO EM OBRA (POR DEMÃO). AF_01/2020</t>
  </si>
  <si>
    <t>100739</t>
  </si>
  <si>
    <t>100740</t>
  </si>
  <si>
    <t>PINTURA COM TINTA ALQUÍDICA DE ACABAMENTO (ESMALTE SINTÉTICO ACETINADO) APLICADA A ROLO OU PINCEL SOBRE PERFIL METÁLICO EXECUTADO EM FÁBRICA (POR DEMÃO). AF_01/2020</t>
  </si>
  <si>
    <t>100741</t>
  </si>
  <si>
    <t>100742</t>
  </si>
  <si>
    <t>PINTURA COM TINTA ALQUÍDICA DE ACABAMENTO (ESMALTE SINTÉTICO ACETINADO) APLICADA A ROLO OU PINCEL SOBRE SUPERFÍCIES METÁLICAS (EXCETO PERFIL) EXECUTADO EM OBRA (POR DEMÃO). AF_01/2020</t>
  </si>
  <si>
    <t>100743</t>
  </si>
  <si>
    <t>100744</t>
  </si>
  <si>
    <t>PINTURA COM TINTA ALQUÍDICA DE ACABAMENTO (ESMALTE SINTÉTICO BRILHANTE) APLICADA A ROLO OU PINCEL SOBRE PERFIL METÁLICO EXECUTADO EM FÁBRICA (POR DEMÃO). AF_01/2020</t>
  </si>
  <si>
    <t>100745</t>
  </si>
  <si>
    <t>100746</t>
  </si>
  <si>
    <t>PINTURA COM TINTA ALQUÍDICA DE ACABAMENTO (ESMALTE SINTÉTICO BRILHANTE) APLICADA A ROLO OU PINCEL SOBRE SUPERFÍCIES METÁLICAS (EXCETO PERFIL) EXECUTADO EM OBRA (POR DEMÃO). AF_01/2020</t>
  </si>
  <si>
    <t>100747</t>
  </si>
  <si>
    <t>100748</t>
  </si>
  <si>
    <t>PINTURA COM TINTA ALQUÍDICA DE ACABAMENTO (ESMALTE SINTÉTICO FOSCO) APLICADA A ROLO OU PINCEL SOBRE PERFIL METÁLICO EXECUTADO EM FÁBRICA (POR DEMÃO). AF_01/2020</t>
  </si>
  <si>
    <t>100749</t>
  </si>
  <si>
    <t>18,97</t>
  </si>
  <si>
    <t>100750</t>
  </si>
  <si>
    <t>PINTURA COM TINTA ALQUÍDICA DE ACABAMENTO (ESMALTE SINTÉTICO FOSCO) APLICADA A ROLO OU PINCEL SOBRE SUPERFÍCIES METÁLICAS (EXCETO PERFIL) EXECUTADO EM OBRA (POR DEMÃO). AF_01/2020</t>
  </si>
  <si>
    <t>100751</t>
  </si>
  <si>
    <t>100752</t>
  </si>
  <si>
    <t>PINTURA COM TINTA EPOXÍDICA DE ACABAMENTO APLICADA A ROLO OU PINCEL SOBRE PERFIL METÁLICO EXECUTADO EM FÁBRICA (02 DEMÃOS). AF_01/2020</t>
  </si>
  <si>
    <t>100753</t>
  </si>
  <si>
    <t>100754</t>
  </si>
  <si>
    <t>PINTURA COM TINTA ACRÍLICA DE ACABAMENTO APLICADA A ROLO OU PINCEL SOBRE SUPERFÍCIES METÁLICAS (EXCETO PERFIL) EXECUTADO EM OBRA (02 DEMÃOS). AF_01/2020</t>
  </si>
  <si>
    <t>100757</t>
  </si>
  <si>
    <t>100758</t>
  </si>
  <si>
    <t>PINTURA COM TINTA ALQUÍDICA DE ACABAMENTO (ESMALTE SINTÉTICO ACETINADO) APLICADA A ROLO OU PINCEL SOBRE SUPERFÍCIES METÁLICAS (EXCETO PERFIL) EXECUTADO EM OBRA (02 DEMÃOS). AF_01/2020</t>
  </si>
  <si>
    <t>100759</t>
  </si>
  <si>
    <t>100760</t>
  </si>
  <si>
    <t>PINTURA COM TINTA ALQUÍDICA DE ACABAMENTO (ESMALTE SINTÉTICO BRILHANTE) APLICADA A ROLO OU PINCEL SOBRE SUPERFÍCIES METÁLICAS (EXCETO PERFIL) EXECUTADO EM OBRA (02 DEMÃOS). AF_01/2020</t>
  </si>
  <si>
    <t>100761</t>
  </si>
  <si>
    <t>100762</t>
  </si>
  <si>
    <t>PINTURA COM TINTA ALQUÍDICA DE ACABAMENTO (ESMALTE SINTÉTICO FOSCO) APLICADA A ROLO OU PINCEL SOBRE SUPERFÍCIES METÁLICAS (EXCETO PERFIL) EXECUTADO EM OBRA (02 DEMÃOS). AF_01/2020</t>
  </si>
  <si>
    <t>102488</t>
  </si>
  <si>
    <t>PREPARO DO PISO CIMENTADO PARA PINTURA - LIXAMENTO E LIMPEZA. AF_05/2021</t>
  </si>
  <si>
    <t>102489</t>
  </si>
  <si>
    <t>PINTURA HIDROFUGANTE COM SILICONE, APLICAÇÃO MANUAL, 2 DEMÃOS. AF_05/2021</t>
  </si>
  <si>
    <t>102491</t>
  </si>
  <si>
    <t>PINTURA DE PISO COM TINTA ACRÍLICA, APLICAÇÃO MANUAL, 2 DEMÃOS, INCLUSO FUNDO PREPARADOR. AF_05/2021</t>
  </si>
  <si>
    <t>102492</t>
  </si>
  <si>
    <t>PINTURA DE PISO COM TINTA ACRÍLICA, APLICAÇÃO MANUAL, 3 DEMÃOS, INCLUSO FUNDO PREPARADOR. AF_05/2021</t>
  </si>
  <si>
    <t>102494</t>
  </si>
  <si>
    <t>PINTURA DE PISO COM TINTA EPÓXI, APLICAÇÃO MANUAL, 2 DEMÃOS, INCLUSO PRIMER EPÓXI. AF_05/2021</t>
  </si>
  <si>
    <t>102496</t>
  </si>
  <si>
    <t>PINTURA DE RODAPÉ COM TINTA EPÓXI, APLICAÇÃO MANUAL, 2 DEMÃOS, INCLUSÃO PRIMER EPÓXI. AF_05/2021</t>
  </si>
  <si>
    <t>102497</t>
  </si>
  <si>
    <t>PINTURA DE RODAPÉ EM PEDRA DECORATIVA COM VERNIZ DE POLIURETANO, APLICAÇÃO MANUAL, 3 DEMÃOS. AF_05/2021</t>
  </si>
  <si>
    <t>102498</t>
  </si>
  <si>
    <t>PINTURA DE MEIO-FIO COM TINTA BRANCA A BASE DE CAL (CAIAÇÃO). AF_05/2021</t>
  </si>
  <si>
    <t>102499</t>
  </si>
  <si>
    <t>ENCERAMENTO DE PISO EM MADEIRA. AF_05/2021</t>
  </si>
  <si>
    <t>102500</t>
  </si>
  <si>
    <t>PINTURA DE DEMARCAÇÃO DE VAGA COM TINTA ACRÍLICA, E = 10 CM, APLICAÇÃO MANUAL. AF_05/2021</t>
  </si>
  <si>
    <t>102501</t>
  </si>
  <si>
    <t>PINTURA DE FAIXA DE PEDESTRE OU ZEBRADA COM TINTA ACRÍLICA, E  = 30 CM, APLICAÇÃO MANUAL. AF_05/2021</t>
  </si>
  <si>
    <t>102504</t>
  </si>
  <si>
    <t>PINTURA DE DEMARCAÇÃO DE QUADRA POLIESPORTIVA COM TINTA ACRÍLICA, E = 5 CM, APLICAÇÃO MANUAL. AF_05/2021</t>
  </si>
  <si>
    <t>102505</t>
  </si>
  <si>
    <t>PINTURA DE DEMARCAÇÃO DE QUADRA POLIESPORTIVA COM BORRACHA CLORADA, E = 5 CM, APLICAÇÃO MANUAL. AF_05/2021</t>
  </si>
  <si>
    <t>102506</t>
  </si>
  <si>
    <t>PINTURA DE DEMARCAÇÃO DE QUADRA POLIESPORTIVA COM TINTA EPÓXI, E = 5 CM, APLICAÇÃO MANUAL. AF_05/2021</t>
  </si>
  <si>
    <t>102507</t>
  </si>
  <si>
    <t>PINTURA DE DEMARCAÇÃO DE VAGA COM TINTA EPÓXI, E = 10 CM, APLICAÇÃO MANUAL. AF_05/2021</t>
  </si>
  <si>
    <t>102508</t>
  </si>
  <si>
    <t>PINTURA DE FAIXA DE PEDESTRE OU ZEBRADA COM TINTA EPÓXI, E  = 30 CM, APLICAÇÃO MANUAL. AF_05/2021</t>
  </si>
  <si>
    <t>102509</t>
  </si>
  <si>
    <t>PINTURA DE FAIXA DE PEDESTRE OU ZEBRADA TINTA RETRORREFLETIVA A BASE DE RESINA ACRÍLICA COM MICROESFERAS DE VIDRO, E = 30 CM, APLICAÇÃO MANUAL. AF_05/2021</t>
  </si>
  <si>
    <t>102512</t>
  </si>
  <si>
    <t>PINTURA DE EIXO VIÁRIO SOBRE ASFALTO COM TINTA RETRORREFLETIVA A BASE DE RESINA ACRÍLICA COM MICROESFERAS DE VIDRO, APLICAÇÃO MECÂNICA COM DEMARCADORA AUTOPROPELIDA. AF_05/2021</t>
  </si>
  <si>
    <t>102513</t>
  </si>
  <si>
    <t>PINTURA DE SÍMBOLOS E TEXTOS COM TINTA ACRÍLICA, DEMARCAÇÃO COM FITA ADESIVA E APLICAÇÃO COM ROLO. AF_05/2021</t>
  </si>
  <si>
    <t>102520</t>
  </si>
  <si>
    <t>PINTURA DE SINALIZAÇÃO VERTICAL DE SEGURANÇA, FAIXAS AMARELA E PRETA, APLICAÇÃO MANUAL, 2 DEMÃOS. AF_05/2021</t>
  </si>
  <si>
    <t>101749</t>
  </si>
  <si>
    <t>PISO CIMENTADO, TRAÇO 1:3 (CIMENTO E AREIA), ACABAMENTO LISO, ESPESSURA 4,0 CM, PREPARO MECÂNICO DA ARGAMASSA. AF_09/2020</t>
  </si>
  <si>
    <t>101750</t>
  </si>
  <si>
    <t>PISO CIMENTADO, TRAÇO 1:3 (CIMENTO E AREIA), ACABAMENTO RÚSTICO, ESPESSURA 4,0 CM, PREPARO MECÂNICO DA ARGAMASSA. AF_09/2020</t>
  </si>
  <si>
    <t>101729</t>
  </si>
  <si>
    <t>PISO EM TACO DE MADEIRA 7X42CM, FIXADO COM COLA BASE DE PVA. AF_09/2020</t>
  </si>
  <si>
    <t>101746</t>
  </si>
  <si>
    <t>ASSOALHO DE MADEIRA. AF_09/2020</t>
  </si>
  <si>
    <t>101751</t>
  </si>
  <si>
    <t>PISO EM TACO DE MADEIRA 7X21CM, FIXADO COM COLA BASE DE PVA. AF_09/2020</t>
  </si>
  <si>
    <t>PISO EM GRANITO APLICADO EM AMBIENTES INTERNOS. AF_09/2020</t>
  </si>
  <si>
    <t>PISO EM MÁRMORE APLICADO EM AMBIENTES INTERNOS. AF_09/2020</t>
  </si>
  <si>
    <t>98678</t>
  </si>
  <si>
    <t>PISO ELEVADO COM ESTRUTURA EM AÇO, COMPOSTO POR PEDESTAIS E LONGARINAS. AF_09/2020</t>
  </si>
  <si>
    <t>PISO CIMENTADO, TRAÇO 1:3 (CIMENTO E AREIA), ACABAMENTO LISO, ESPESSURA 2,0 CM, PREPARO MECÂNICO DA ARGAMASSA. AF_09/2020</t>
  </si>
  <si>
    <t>PISO CIMENTADO, TRAÇO 1:3 (CIMENTO E AREIA), ACABAMENTO LISO, ESPESSURA 3,0 CM, PREPARO MECÂNICO DA ARGAMASSA. AF_09/2020</t>
  </si>
  <si>
    <t>PISO CIMENTADO, TRAÇO 1:3 (CIMENTO E AREIA), ACABAMENTO RÚSTICO, ESPESSURA 2,0 CM, PREPARO MECÂNICO DA ARGAMASSA. AF_09/2020</t>
  </si>
  <si>
    <t>PISO CIMENTADO, TRAÇO 1:3 (CIMENTO E AREIA), ACABAMENTO RÚSTICO, ESPESSURA 3,0 CM, PREPARO MECÂNICO DA ARGAMASSA. AF_09/2020</t>
  </si>
  <si>
    <t>RODAPÉ EM GRANITO, ALTURA 10 CM. AF_09/2020</t>
  </si>
  <si>
    <t>RODAPÉ EM LADRILHO HIDRÁULICO, ALTURA 7 CM. AF_09/2020</t>
  </si>
  <si>
    <t>RODAPÉ EM POLIESTIRENO, ALTURA 5 CM. AF_09/2020</t>
  </si>
  <si>
    <t>SOLEIRA EM GRANITO, LARGURA 15 CM, ESPESSURA 2,0 CM. AF_09/2020</t>
  </si>
  <si>
    <t>101090</t>
  </si>
  <si>
    <t>PISO EM PEDRA PORTUGUESA ASSENTADO SOBRE ARGAMASSA SECA DE CIMENTO E AREIA, TRAÇO 1:3, REJUNTADO COM CIMENTO COMUM. AF_05/2020</t>
  </si>
  <si>
    <t>101091</t>
  </si>
  <si>
    <t>PISO EM LADRILHO HIDRÁULICO APLICADO EM AMBIENTES EXTERNOS. AF_05/2020</t>
  </si>
  <si>
    <t>101725</t>
  </si>
  <si>
    <t>PISO EM LADRILHO HIDRÁULICO APLICADO EM AMBIENTES INTERNOS DE ÁREA MENOR QUE 5 M², INCLUSO APLICAÇÃO DE RESINA. AF_09/2020</t>
  </si>
  <si>
    <t>101726</t>
  </si>
  <si>
    <t>PISO EM LADRILHO HIDRÁULICO APLICADO EM AMBIENTES INTERNOS DE ÁREA ENTRE 5 E 15 M², INCLUSO APLICAÇÃO DE RESINA. AF_09/2020</t>
  </si>
  <si>
    <t>101731</t>
  </si>
  <si>
    <t>PISO EM PEDRA  ASSENTADO SOBRE ARGAMASSA 1:3 (CIMENTO E AREIA). AF_09/2020</t>
  </si>
  <si>
    <t>101732</t>
  </si>
  <si>
    <t>PISO EM PEDRA ARDÓSIA ASSENTADO SOBRE ARGAMASSA 1:3 (CIMENTO E AREIA). AF_09/2020</t>
  </si>
  <si>
    <t>101094</t>
  </si>
  <si>
    <t>101727</t>
  </si>
  <si>
    <t>PISO VINÍLICO SEMI-FLEXÍVEL EM PLACAS, PADRÃO LISO, ESPESSURA 3,2 MM, FIXADO COM COLA. AF_09/2020</t>
  </si>
  <si>
    <t>101733</t>
  </si>
  <si>
    <t>PISO DE BORRACHA PASTILHADO/FRISADO, ESPESSURA 7MM, ASSENTADO COM ARGAMASSA. AF_09/2020</t>
  </si>
  <si>
    <t>101734</t>
  </si>
  <si>
    <t>PISO DE BORRACHA PASTILHADO, ESPESSURA 15MM, ASSENTADO COM ARGAMASSA. AF_09/2020</t>
  </si>
  <si>
    <t>101735</t>
  </si>
  <si>
    <t>PISO DE BORRACHA ESPORTIVO, ESPESSURA 15MM, ASSENTADO COM ARGAMASSA. AF_09/2020</t>
  </si>
  <si>
    <t>101736</t>
  </si>
  <si>
    <t>PISO DE BORRACHA PASTILHADO, ESPESSURA 3,5MM, FIXADO COM ADESIVO ACRÍLICO. AF_09/2020</t>
  </si>
  <si>
    <t>101737</t>
  </si>
  <si>
    <t>PISO DE BORRACHA CANELADO, ESPESSURA 3,5MM, FIXADO COM ADESIVO ACRÍLICO. AF_09/2020</t>
  </si>
  <si>
    <t>101748</t>
  </si>
  <si>
    <t>PREPARO DE CONTRAPISO COM POLITRIZ. AF_09/2020</t>
  </si>
  <si>
    <t>101092</t>
  </si>
  <si>
    <t>PISO EM GRANITO APLICADO EM CALÇADAS OU PISOS EXTERNOS. AF_05/2020</t>
  </si>
  <si>
    <t>101093</t>
  </si>
  <si>
    <t>PISO EM MÁRMORE APLICADO EM CALÇADAS OU PISOS EXTERNOS. AF_05/2020</t>
  </si>
  <si>
    <t>SOLEIRA EM MÁRMORE, LARGURA 15 CM, ESPESSURA 2,0 CM. AF_09/2020</t>
  </si>
  <si>
    <t>RODAPÉ EM MÁRMORE, ALTURA 7 CM. AF_09/2020</t>
  </si>
  <si>
    <t>101738</t>
  </si>
  <si>
    <t>RODAPÉ EM MADEIRA, ALTURA 7CM, FIXADO COM COLA. AF_09/2020</t>
  </si>
  <si>
    <t>101739</t>
  </si>
  <si>
    <t>RODAPÉ EM MADEIRA, ALTURA 7CM, FIXADO COM COLA E PARAFUSOS. AF_09/2020</t>
  </si>
  <si>
    <t>101740</t>
  </si>
  <si>
    <t>RODAPÉ EM ARDÓSIA ALTURA 10CM. AF_09/2020</t>
  </si>
  <si>
    <t>101741</t>
  </si>
  <si>
    <t>RODAPÉ EM MARMORITE, ALTURA 10CM. AF_09/2020</t>
  </si>
  <si>
    <t>101747</t>
  </si>
  <si>
    <t>PISO EM CONCRETO 20 MPA PREPARO MECÂNICO, ESPESSURA 7CM. AF_09/2020</t>
  </si>
  <si>
    <t>101742</t>
  </si>
  <si>
    <t>RODAPÉ BORRACHA LISO, ALTURA = 7CM, ESPESSURA = 2 MM, PARA ARGAMASSA. AF_09/2020</t>
  </si>
  <si>
    <t>21,28</t>
  </si>
  <si>
    <t>33,73</t>
  </si>
  <si>
    <t>29,76</t>
  </si>
  <si>
    <t>82,19</t>
  </si>
  <si>
    <t>39,46</t>
  </si>
  <si>
    <t>78,72</t>
  </si>
  <si>
    <t>48,15</t>
  </si>
  <si>
    <t>101965</t>
  </si>
  <si>
    <t>PEITORIL LINEAR EM GRANITO OU MÁRMORE, L = 15CM, COMPRIMENTO DE ATÉ 2M, ASSENTADO COM ARGAMASSA 1:6 COM ADITIVO. AF_11/2020</t>
  </si>
  <si>
    <t>101966</t>
  </si>
  <si>
    <t>CHAPIM SOBRE MUROS LINEARES, EM GRANITO OU MÁRMORE, L = 25 CM, ASSENTADO COM ARGAMASSA 1:6 COM ADITIVO. AF_11/2020</t>
  </si>
  <si>
    <t>101979</t>
  </si>
  <si>
    <t>CHAPIM (RUFO CAPA) EM AÇO GALVANIZADO, CORTE 33. AF_11/2020</t>
  </si>
  <si>
    <t>41,62</t>
  </si>
  <si>
    <t>65,33</t>
  </si>
  <si>
    <t>74,61</t>
  </si>
  <si>
    <t>381,07</t>
  </si>
  <si>
    <t>397,05</t>
  </si>
  <si>
    <t>3,23</t>
  </si>
  <si>
    <t>27,16</t>
  </si>
  <si>
    <t>97054</t>
  </si>
  <si>
    <t>TRANSPORTE COM CAMINHÃO BASCULANTE DE 10 M³, EM VIA URBANA EM LEITO NATURAL (UNIDADE: M3XKM). AF_07/2020</t>
  </si>
  <si>
    <t>TRANSPORTE COM CAMINHÃO BASCULANTE DE 10 M³, EM VIA URBANA EM REVESTIMENTO PRIMÁRIO (UNIDADE: M3XKM). AF_07/2020</t>
  </si>
  <si>
    <t>TRANSPORTE COM CAMINHÃO BASCULANTE DE 10 M³, EM VIA URBANA PAVIMENTADA, ADICIONAL PARA DMT EXCEDENTE A 30 KM (UNIDADE: M3XKM). AF_07/2020</t>
  </si>
  <si>
    <t>TRANSPORTE COM CAMINHÃO BASCULANTE DE 14 M³, EM VIA URBANA EM LEITO NATURAL (UNIDADE: M3XKM). AF_07/2020</t>
  </si>
  <si>
    <t>TRANSPORTE COM CAMINHÃO BASCULANTE DE 14 M³, EM VIA URBANA EM REVESTIMENTO PRIMÁRIO (UNIDADE: M3XKM). AF_07/2020</t>
  </si>
  <si>
    <t>TRANSPORTE COM CAMINHÃO BASCULANTE DE 14 M³, EM VIA URBANA PAVIMENTADA, ADICIONAL PARA DMT EXCEDENTE A 30 KM (UNIDADE: M3XKM). AF_07/2020</t>
  </si>
  <si>
    <t>TRANSPORTE COM CAMINHÃO BASCULANTE DE 10 M³, EM VIA URBANA EM LEITO NATURAL (UNIDADE: TXKM). AF_07/2020</t>
  </si>
  <si>
    <t>TRANSPORTE COM CAMINHÃO BASCULANTE DE 10 M³, EM VIA URBANA EM REVESTIMENTO PRIMÁRIO (UNIDADE: TXKM). AF_07/2020</t>
  </si>
  <si>
    <t>TRANSPORTE COM CAMINHÃO BASCULANTE DE 10 M³, EM VIA URBANA PAVIMENTADA, ADICIONAL PARA DMT EXCEDENTE A 30 KM (UNIDADE: TXKM). AF_07/2020</t>
  </si>
  <si>
    <t>TRANSPORTE COM CAMINHÃO BASCULANTE DE 14 M³, EM VIA URBANA EM LEITO NATURAL (UNIDADE: TXKM). AF_07/2020</t>
  </si>
  <si>
    <t>TRANSPORTE COM CAMINHÃO BASCULANTE DE 14 M³, EM VIA URBANA EM REVESTIMENTO PRIMÁRIO (UNIDADE: TXKM). AF_07/2020</t>
  </si>
  <si>
    <t>TRANSPORTE COM CAMINHÃO BASCULANTE DE 14 M³, EM VIA URBANA PAVIMENTADA, ADICIONAL PARA DMT EXCEDENTE A 30 KM (UNIDADE: TXKM). AF_07/2020</t>
  </si>
  <si>
    <t>TRANSPORTE COM CAMINHÃO BASCULANTE DE 18 M³, EM VIA URBANA EM LEITO NATURAL (UNIDADE: M3XKM). AF_07/2020</t>
  </si>
  <si>
    <t>TRANSPORTE COM CAMINHÃO BASCULANTE DE 18 M³, EM VIA URBANA EM REVESTIMENTO PRIMÁRIO (UNIDADE: M3XKM). AF_07/2020</t>
  </si>
  <si>
    <t>TRANSPORTE COM CAMINHÃO BASCULANTE DE 18 M³, EM VIA URBANA PAVIMENTADA, ADICIONAL PARA DMT EXCEDENTE A 30 KM (UNIDADE: M3XKM). AF_07/2020</t>
  </si>
  <si>
    <t>TRANSPORTE COM CAMINHÃO BASCULANTE DE 18 M³, EM VIA URBANA EM LEITO NATURAL (UNIDADE: TXKM). AF_07/2020</t>
  </si>
  <si>
    <t>TRANSPORTE COM CAMINHÃO BASCULANTE DE 18 M³, EM VIA URBANA EM REVESTIMENTO PRIMÁRIO (UNIDADE: TXKM). AF_07/2020</t>
  </si>
  <si>
    <t>TRANSPORTE COM CAMINHÃO BASCULANTE DE 18 M³, EM VIA URBANA PAVIMENTADA, ADICIONAL PARA DMT EXCEDENTE A 30 KM (UNIDADE: TXKM). AF_07/2020</t>
  </si>
  <si>
    <t>TRANSPORTE COM CAMINHÃO BASCULANTE DE 10 M³, EM VIA URBANA PAVIMENTADA, DMT ATÉ 30 KM (UNIDADE: M3XKM). AF_07/2020</t>
  </si>
  <si>
    <t>TRANSPORTE COM CAMINHÃO BASCULANTE DE 14 M³, EM VIA URBANA PAVIMENTADA, DMT ATÉ 30 KM (UNIDADE: M3XKM). AF_07/2020</t>
  </si>
  <si>
    <t>TRANSPORTE COM CAMINHÃO BASCULANTE DE 18 M³, EM VIA URBANA PAVIMENTADA, DMT ATÉ 30 KM (UNIDADE: M3XKM). AF_07/2020</t>
  </si>
  <si>
    <t>TRANSPORTE COM CAMINHÃO BASCULANTE DE 10 M³, EM VIA URBANA PAVIMENTADA, DMT ATÉ 30 KM (UNIDADE: TXKM). AF_07/2020</t>
  </si>
  <si>
    <t>TRANSPORTE COM CAMINHÃO BASCULANTE DE 14 M³, EM VIA URBANA PAVIMENTADA, DMT ATÉ 30 KM (UNIDADE: TXKM). AF_07/2020</t>
  </si>
  <si>
    <t>TRANSPORTE COM CAMINHÃO BASCULANTE DE 18 M³, EM VIA URBANA PAVIMENTADA, DMT ATÉ 30 KM (UNIDADE: TXKM). AF_07/2020</t>
  </si>
  <si>
    <t>TRANSPORTE COM CAMINHÃO BASCULANTE DE 6 M³, EM VIA URBANA EM LEITO NATURAL (UNIDADE: M3XKM). AF_07/2020</t>
  </si>
  <si>
    <t>TRANSPORTE COM CAMINHÃO BASCULANTE DE 6 M³, EM VIA URBANA EM REVESTIMENTO PRIMÁRIO (UNIDADE: M3XKM). AF_07/2020</t>
  </si>
  <si>
    <t>TRANSPORTE COM CAMINHÃO BASCULANTE DE 6 M³, EM VIA URBANA PAVIMENTADA, DMT ATÉ 30 KM (UNIDADE: M3XKM). AF_07/2020</t>
  </si>
  <si>
    <t>TRANSPORTE COM CAMINHÃO BASCULANTE DE 6 M³, EM VIA URBANA PAVIMENTADA, ADICIONAL PARA DMT EXCEDENTE A 30 KM (UNIDADE: M3XKM). AF_07/2020</t>
  </si>
  <si>
    <t>100937</t>
  </si>
  <si>
    <t>TRANSPORTE COM CAMINHÃO BASCULANTE DE 6 M³, EM VIA INTERNA (DENTRO DO CANTEIRO - UNIDADE: M3XKM). AF_07/2020</t>
  </si>
  <si>
    <t>100938</t>
  </si>
  <si>
    <t>TRANSPORTE COM CAMINHÃO BASCULANTE DE 10 M³, EM VIA INTERNA (DENTRO DO CANTEIRO - UNIDADE: M3XKM). AF_07/2020</t>
  </si>
  <si>
    <t>100939</t>
  </si>
  <si>
    <t>TRANSPORTE COM CAMINHÃO BASCULANTE DE 14 M³, EM VIA INTERNA (DENTRO DO CANTEIRO - UNIDADE:M3XKM). AF_07/2020</t>
  </si>
  <si>
    <t>100940</t>
  </si>
  <si>
    <t>TRANSPORTE COM CAMINHÃO BASCULANTE DE 18 M³, EM VIA INTERNA (DENTRO DO CANTEIRO - UNIDADE: M3XKM). AF_07/2020</t>
  </si>
  <si>
    <t>100941</t>
  </si>
  <si>
    <t>TRANSPORTE COM CAMINHÃO BASCULANTE DE 6 M³, EM VIA INTERNA (DENTRO DO CANTEIRO - UNIDADE: TXKM). AF_07/2020</t>
  </si>
  <si>
    <t>100942</t>
  </si>
  <si>
    <t>TRANSPORTE COM CAMINHÃO BASCULANTE DE 10 M³, EM VIA INTERNA A OBRA (UNIDADE: TXKM). AF_07/2020</t>
  </si>
  <si>
    <t>100943</t>
  </si>
  <si>
    <t>TRANSPORTE COM CAMINHÃO BASCULANTE DE 14 M³, EM VIA INTERNA (DENTRO DO CANTEIRO - UNIDADE: TXKM). AF_07/2020</t>
  </si>
  <si>
    <t>100944</t>
  </si>
  <si>
    <t>TRANSPORTE COM CAMINHÃO BASCULANTE DE 18 M³, EM VIA INTERNA (DENTRO DO CANTEIRO - UNIDADE: TXKM). AF_07/2020</t>
  </si>
  <si>
    <t>100945</t>
  </si>
  <si>
    <t>TRANSPORTE COM CAMINHÃO CARROCERIA 9T, EM VIA URBANA EM LEITO NATURAL (UNIDADE: TXKM). AF_07/2020</t>
  </si>
  <si>
    <t>100946</t>
  </si>
  <si>
    <t>TRANSPORTE COM CAMINHÃO CARROCERIA 9T, EM VIA URBANA EM REVESTIMENTO PRIMÁRIO (UNIDADE: TXKM). AF_07/2020</t>
  </si>
  <si>
    <t>100947</t>
  </si>
  <si>
    <t>TRANSPORTE COM CAMINHÃO CARROCERIA 9T, EM VIA URBANA PAVIMENTADA, DMT ATÉ 30KM (UNIDADE: TXKM). AF_07/2020</t>
  </si>
  <si>
    <t>100948</t>
  </si>
  <si>
    <t>TRANSPORTE COM CAMINHÃO CARROCERIA 9T, EM VIA URBANA PAVIMENTADA, ADICIONAL PARA DMT EXCEDENTE A 30 KM (UNIDADE: TXKM). AF_07/2020</t>
  </si>
  <si>
    <t>100949</t>
  </si>
  <si>
    <t>TRANSPORTE COM CAMINHÃO CARROCERIA 9T, EM VIA INTERNA (DENTRO DO CANTEIRO - UNIDADE: TXKM). AF_07/2020</t>
  </si>
  <si>
    <t>100950</t>
  </si>
  <si>
    <t>TRANSPORTE COM CAMINHÃO CARROCERIA COM GUINDAUTO (MUNCK),  MOMENTO MÁXIMO DE CARGA 11,7 TM, EM VIA URBANA EM LEITO NATURAL (UNIDADE: TXKM). AF_07/2020</t>
  </si>
  <si>
    <t>100951</t>
  </si>
  <si>
    <t>TRANSPORTE COM CAMINHÃO CARROCERIA COM GUINDAUTO (MUNCK),  MOMENTO MÁXIMO DE CARGA 11,7 TM, EM VIA URBANA EM REVESTIMENTO PRIMÁRIO (UNIDADE: TXKM). AF_07/2020</t>
  </si>
  <si>
    <t>100952</t>
  </si>
  <si>
    <t>TRANSPORTE COM CAMINHÃO CARROCERIA COM GUINDAUTO (MUNCK),  MOMENTO MÁXIMO DE CARGA 11,7 TM, EM VIA URBANA PAVIMENTADA, DMT ATÉ 30KM (UNIDADE: TXKM). AF_07/2020</t>
  </si>
  <si>
    <t>100953</t>
  </si>
  <si>
    <t>TRANSPORTE COM CAMINHÃO CARROCERIA COM GUINDAUTO (MUNCK),  MOMENTO MÁXIMO DE CARGA 11,7 TM, EM VIA URBANA PAVIMENTADA, ADICIONAL PARA DMT EXCEDENTE A 30 KM (UNIDADE: TXKM). AF_07/2020</t>
  </si>
  <si>
    <t>100954</t>
  </si>
  <si>
    <t>TRANSPORTE COM CAMINHÃO CARROCERIA COM GUINDAUTO (MUNCK),  MOMENTO MÁXIMO DE CARGA 11,7 TM, EM VIA INTERNA (DENTRO DO CANTEIRO - UNIDADE: TXKM). AF_07/2020</t>
  </si>
  <si>
    <t>100955</t>
  </si>
  <si>
    <t>TRANSPORTE COM CAMINHÃO PIPA DE 6 M³, EM VIA URBANA EM LEITO NATURAL (UNIDADE: M3XKM). AF_07/2020</t>
  </si>
  <si>
    <t>100956</t>
  </si>
  <si>
    <t>TRANSPORTE COM CAMINHÃO PIPA DE 6 M³, EM VIA URBANA EM REVESTIMENTO PRIMÁRIO (UNIDADE: M3XKM). AF_07/2020</t>
  </si>
  <si>
    <t>100957</t>
  </si>
  <si>
    <t>TRANSPORTE COM CAMINHÃO PIPA DE 6 M³, EM VIA URBANA PAVIMENTADA, DMT ATÉ 30KM (UNIDADE: M3XKM). AF_07/2020</t>
  </si>
  <si>
    <t>100958</t>
  </si>
  <si>
    <t>TRANSPORTE COM CAMINHÃO PIPA DE 6 M³, EM VIA URBANA PAVIMENTADA, ADICIONAL PARA DMT EXCEDENTE A 30 KM (UNIDADE: M3XKM). AF_07/2020</t>
  </si>
  <si>
    <t>100959</t>
  </si>
  <si>
    <t>TRANSPORTE COM CAMINHÃO PIPA DE 6 M³, EM VIA INTERNA (DENTRO DO CANTEIRO - UNIDADE: M3XKM). AF_07/2020</t>
  </si>
  <si>
    <t>100960</t>
  </si>
  <si>
    <t>TRANSPORTE COM CAMINHÃO PIPA DE 10 M³, EM VIA URBANA EM LEITO NATURAL (UNIDADE: M3XKM). AF_07/2020</t>
  </si>
  <si>
    <t>100961</t>
  </si>
  <si>
    <t>TRANSPORTE COM CAMINHÃO PIPA DE 10 M³, EM VIA URBANA EM REVESTIMENTO PRIMÁRIO (UNIDADE: M3XKM). AF_07/2020</t>
  </si>
  <si>
    <t>100962</t>
  </si>
  <si>
    <t>TRANSPORTE COM CAMINHÃO PIPA DE 10 M³, EM VIA URBANA PAVIMENTADA, DMT ATÉ 30KM (UNIDADE: M3XKM). AF_07/2020</t>
  </si>
  <si>
    <t>100963</t>
  </si>
  <si>
    <t>TRANSPORTE COM CAMINHÃO PIPA DE 10 M³, EM VIA URBANA PAVIMENTADA, ADICIONAL PARA DMT EXCEDENTE A 30 KM (UNIDADE: M3XKM). AF_07/2020</t>
  </si>
  <si>
    <t>100964</t>
  </si>
  <si>
    <t>TRANSPORTE COM CAMINHÃO PIPA DE 10 M³, EM VIA INTERNA (DENTRO DO CANTEIRO - UNIDADE: M3XKM). AF_07/2020</t>
  </si>
  <si>
    <t>100973</t>
  </si>
  <si>
    <t>CARGA, MANOBRA E DESCARGA DE SOLOS E MATERIAIS GRANULARES EM CAMINHÃO BASCULANTE 6 M³ - CARGA COM PÁ CARREGADEIRA (CAÇAMBA DE 1,7 A 2,8 M³ / 128 HP) E DESCARGA LIVRE (UNIDADE: M3). AF_07/2020</t>
  </si>
  <si>
    <t>100974</t>
  </si>
  <si>
    <t>CARGA, MANOBRA E DESCARGA DE SOLOS E MATERIAIS GRANULARES EM CAMINHÃO BASCULANTE 10 M³ - CARGA COM PÁ CARREGADEIRA (CAÇAMBA DE 1,7 A 2,8 M³ / 128 HP) E DESCARGA LIVRE (UNIDADE: M3). AF_07/2020</t>
  </si>
  <si>
    <t>100975</t>
  </si>
  <si>
    <t>CARGA, MANOBRA E DESCARGA DE SOLOS E MATERIAIS GRANULARES EM CAMINHÃO BASCULANTE 14 M³ - CARGA COM PÁ CARREGADEIRA (CAÇAMBA DE 1,7 A 2,8 M³ / 128 HP) E DESCARGA LIVRE (UNIDADE: M3). AF_07/2020</t>
  </si>
  <si>
    <t>100965</t>
  </si>
  <si>
    <t>TRANSPORTE COM CAMINHÃO TANQUE DE TRANSPORTE DE MATERIAL ASFÁLTICO DE 30000 L, EM VIA URBANA EM  LEITO NATURAL (UNIDADE: TXKM). AF_07/2020</t>
  </si>
  <si>
    <t>100966</t>
  </si>
  <si>
    <t>TRANSPORTE COM CAMINHÃO TANQUE DE TRANSPORTE DE MATERIAL ASFÁLTICO DE 30000 L, EM VIA URBANA EM  REVESTIMENTO PRIMÁRIO (UNIDADE: TXKM). AF_07/2020</t>
  </si>
  <si>
    <t>100969</t>
  </si>
  <si>
    <t>TRANSPORTE COM CAMINHÃO TANQUE DE TRANSPORTE DE MATERIAL ASFÁLTICO DE 20000 L, EM VIA URBANA EM LEITO NATURAL (UNIDADE: TXKM). AF_07/2020</t>
  </si>
  <si>
    <t>100970</t>
  </si>
  <si>
    <t>TRANSPORTE COM CAMINHÃO TANQUE DE TRANSPORTE DE MATERIAL ASFÁLTICO DE 20000 L, EM VIA URBANA EM  REVESTIMENTO PRIMÁRIO (UNIDADE: TXKM). AF_07/2020</t>
  </si>
  <si>
    <t>102330</t>
  </si>
  <si>
    <t>TRANSPORTE COM CAMINHÃO TANQUE DE TRANSPORTE DE MATERIAL ASFÁLTICO DE 30000 L, EM VIA URBANA PAVIMENTADA, DMT ATÉ 30KM (UNIDADE: TXKM). AF_07/2020</t>
  </si>
  <si>
    <t>102331</t>
  </si>
  <si>
    <t>TRANSPORTE COM CAMINHÃO TANQUE DE TRANSPORTE DE MATERIAL ASFÁLTICO DE 30000 L, EM VIA URBANA PAVIMENTADA, ADICIONAL PARA DMT EXCEDENTE A 30 KM (UNIDADE: TXKM). AF_07/2020</t>
  </si>
  <si>
    <t>102332</t>
  </si>
  <si>
    <t>TRANSPORTE COM CAMINHÃO TANQUE DE TRANSPORTE DE MATERIAL ASFÁLTICO DE 20000 L, EM VIA URBANA PAVIMENTADA, DMT ATÉ 30KM (UNIDADE: TXKM). AF_07/2020</t>
  </si>
  <si>
    <t>102333</t>
  </si>
  <si>
    <t>TRANSPORTE COM CAMINHÃO TANQUE DE TRANSPORTE DE MATERIAL ASFÁLTICO DE 20000 L, EM VIA URBANA PAVIMENTADA, ADICIONAL PARA DMT EXCEDENTE A 30 KM (UNIDADE: TXKM). AF_07/2020</t>
  </si>
  <si>
    <t>101019</t>
  </si>
  <si>
    <t>CARGA, MANOBRA E DESCARGA MANUAL DE TUBOS PLÁSTICOS, DN MENOR OU IGUAL A 100 MM, EM CAMINHÃO CARROCERIA 9T. AF_07/2020</t>
  </si>
  <si>
    <t>101479</t>
  </si>
  <si>
    <t>CARGA, MANOBRA E DESCARGA MANUAL DE TUBOS PLÁSTICOS, DN 200 MM, EM CAMINHÃO CARROCERIA 9T. AF_07/2020</t>
  </si>
  <si>
    <t>102568</t>
  </si>
  <si>
    <t>CARGA, MANOBRA E DESCARGA MANUAL DE TUBOS PLÁSTICOS, DN 150 MM, EM CAMINHÃO CARROCERIA 9T. AF_06/2021</t>
  </si>
  <si>
    <t>100976</t>
  </si>
  <si>
    <t>CARGA, MANOBRA E DESCARGA DE SOLOS E MATERIAIS GRANULARES EM CAMINHÃO BASCULANTE 18 M³ - CARGA COM PÁ CARREGADEIRA (CAÇAMBA DE 1,7 A 2,8 M³ / 128 HP) E DESCARGA LIVRE (UNIDADE: M3). AF_07/2020</t>
  </si>
  <si>
    <t>100977</t>
  </si>
  <si>
    <t>CARGA, MANOBRA E DESCARGA DE SOLOS E MATERIAIS GRANULARES EM CAMINHÃO BASCULANTE 6 M³ - CARGA COM ESCAVADEIRA HIDRÁULICA (CAÇAMBA DE 1,20 M³ / 155 HP) E DESCARGA LIVRE (UNIDADE: M3). AF_07/2020</t>
  </si>
  <si>
    <t>100978</t>
  </si>
  <si>
    <t>CARGA, MANOBRA E DESCARGA DE SOLOS E MATERIAIS GRANULARES EM CAMINHÃO BASCULANTE 10 M³ - CARGA COM ESCAVADEIRA HIDRÁULICA (CAÇAMBA DE 1,20 M³ / 155 HP) E DESCARGA LIVRE (UNIDADE: M3). AF_07/2020</t>
  </si>
  <si>
    <t>100979</t>
  </si>
  <si>
    <t>CARGA, MANOBRA E DESCARGA DE SOLOS E MATERIAIS GRANULARES EM CAMINHÃO BASCULANTE 14 M³ - CARGA COM ESCAVADEIRA HIDRÁULICA (CAÇAMBA DE 1,20 M³ / 155 HP) E DESCARGA LIVRE (UNIDADE: M3). AF_07/2020</t>
  </si>
  <si>
    <t>100980</t>
  </si>
  <si>
    <t>CARGA, MANOBRA E DESCARGA DE SOLOS E MATERIAIS GRANULARES EM CAMINHÃO BASCULANTE 18 M³ - CARGA COM ESCAVADEIRA HIDRÁULICA (CAÇAMBA DE 1,20 M³ / 155 HP) E DESCARGA LIVRE (UNIDADE: M3). AF_07/2020</t>
  </si>
  <si>
    <t>100981</t>
  </si>
  <si>
    <t>CARGA, MANOBRA E DESCARGA DE ENTULHO EM CAMINHÃO BASCULANTE 6 M³ - CARGA COM ESCAVADEIRA HIDRÁULICA  (CAÇAMBA DE 0,80 M³ / 111 HP) E DESCARGA LIVRE (UNIDADE: M3). AF_07/2020</t>
  </si>
  <si>
    <t>100982</t>
  </si>
  <si>
    <t>CARGA, MANOBRA E DESCARGA DE ENTULHO EM CAMINHÃO BASCULANTE 10 M³ - CARGA COM ESCAVADEIRA HIDRÁULICA  (CAÇAMBA DE 0,80 M³ / 111 HP) E DESCARGA LIVRE (UNIDADE: M3). AF_07/2020</t>
  </si>
  <si>
    <t>100983</t>
  </si>
  <si>
    <t>CARGA, MANOBRA E DESCARGA DE ENTULHO EM CAMINHÃO BASCULANTE 14 M³ - CARGA COM ESCAVADEIRA HIDRÁULICA  (CAÇAMBA DE 0,80 M³ / 111 HP) E DESCARGA LIVRE (UNIDADE: M3). AF_07/2020</t>
  </si>
  <si>
    <t>100984</t>
  </si>
  <si>
    <t>CARGA, MANOBRA E DESCARGA DE ENTULHO EM CAMINHÃO BASCULANTE 18 M³ - CARGA COM ESCAVADEIRA HIDRÁULICA  (CAÇAMBA DE 0,80 M³ / 111 HP) E DESCARGA LIVRE (UNIDADE: M3). AF_07/2020</t>
  </si>
  <si>
    <t>100985</t>
  </si>
  <si>
    <t>CARGA DE MISTURA ASFÁLTICA EM CAMINHÃO BASCULANTE 6 M³ (UNIDADE: M3). AF_07/2020</t>
  </si>
  <si>
    <t>100986</t>
  </si>
  <si>
    <t>CARGA DE MISTURA ASFÁLTICA EM CAMINHÃO BASCULANTE 10 M³ (UNIDADE: M3). AF_07/2020</t>
  </si>
  <si>
    <t>100987</t>
  </si>
  <si>
    <t>CARGA DE MISTURA ASFÁLTICA EM CAMINHÃO BASCULANTE 14 M³ (UNIDADE: M3). AF_07/2020</t>
  </si>
  <si>
    <t>100988</t>
  </si>
  <si>
    <t>CARGA DE MISTURA ASFÁLTICA EM CAMINHÃO BASCULANTE 18 M³ (UNIDADE: M3). AF_07/2020</t>
  </si>
  <si>
    <t>100989</t>
  </si>
  <si>
    <t>CARGA, MANOBRA E DESCARGA DE SOLOS E MATERIAIS GRANULARES EM CAMINHÃO BASCULANTE 6 M³ - CARGA COM PÁ CARREGADEIRA (CAÇAMBA DE 1,7 A 2,8 M³ / 128 HP) E DESCARGA LIVRE (UNIDADE: T). AF_07/2020</t>
  </si>
  <si>
    <t>100990</t>
  </si>
  <si>
    <t>CARGA, MANOBRA E DESCARGA DE SOLOS E MATERIAIS GRANULARES EM CAMINHÃO BASCULANTE 10 M³ - CARGA COM PÁ CARREGADEIRA (CAÇAMBA DE 1,7 A 2,8 M³ / 128 HP) E DESCARGA LIVRE (UNIDADE: T). AF_07/2020</t>
  </si>
  <si>
    <t>100991</t>
  </si>
  <si>
    <t>CARGA, MANOBRA E DESCARGA DE SOLOS E MATERIAIS GRANULARES EM CAMINHÃO BASCULANTE 14 M³ - CARGA COM PÁ CARREGADEIRA (CAÇAMBA DE 1,7 A 2,8 M³ / 128 HP) E DESCARGA LIVRE (UNIDADE: T). AF_07/2020</t>
  </si>
  <si>
    <t>100992</t>
  </si>
  <si>
    <t>CARGA, MANOBRA E DESCARGA DE SOLOS E MATERIAIS GRANULARES EM CAMINHÃO BASCULANTE 18 M³ - CARGA COM PÁ CARREGADEIRA (CAÇAMBA DE 1,7 A 2,8 M³ / 128 HP) E DESCARGA LIVRE (UNIDADE: T). AF_07/2020</t>
  </si>
  <si>
    <t>100993</t>
  </si>
  <si>
    <t>CARGA, MANOBRA E DESCARGA DE SOLOS E MATERIAIS GRANULARES EM CAMINHÃO BASCULANTE 6 M³ - CARGA COM ESCAVADEIRA HIDRÁULICA (CAÇAMBA DE 1,20 M³ / 155 HP) E DESCARGA LIVRE (UNIDADE: T). AF_07/2020</t>
  </si>
  <si>
    <t>100994</t>
  </si>
  <si>
    <t>CARGA, MANOBRA E DESCARGA DE SOLOS E MATERIAIS GRANULARES EM CAMINHÃO BASCULANTE 10 M³ - CARGA COM ESCAVADEIRA HIDRÁULICA (CAÇAMBA DE 1,20 M³ / 155 HP) E DESCARGA LIVRE (UNIDADE: T). AF_07/2020</t>
  </si>
  <si>
    <t>100995</t>
  </si>
  <si>
    <t>CARGA, MANOBRA E DESCARGA DE SOLOS E MATERIAIS GRANULARES EM CAMINHÃO BASCULANTE 14 M³ - CARGA COM ESCAVADEIRA HIDRÁULICA (CAÇAMBA DE 1,20 M³ / 155 HP) E DESCARGA LIVRE (UNIDADE: T). AF_07/2020</t>
  </si>
  <si>
    <t>100996</t>
  </si>
  <si>
    <t>CARGA, MANOBRA E DESCARGA DE SOLOS E MATERIAIS GRANULARES EM CAMINHÃO BASCULANTE 18 M³ - CARGA COM ESCAVADEIRA HIDRÁULICA (CAÇAMBA DE 1,20 M³ / 155 HP) E DESCARGA LIVRE (UNIDADE: T). AF_07/2020</t>
  </si>
  <si>
    <t>100997</t>
  </si>
  <si>
    <t>CARGA, MANOBRA E DESCARGA DE ENTULHO EM CAMINHÃO BASCULANTE 6 M³ - CARGA COM ESCAVADEIRA HIDRÁULICA  (CAÇAMBA DE 0,80 M³ / 111 HP) E DESCARGA LIVRE (UNIDADE: T). AF_07/2020</t>
  </si>
  <si>
    <t>100998</t>
  </si>
  <si>
    <t>CARGA, MANOBRA E DESCARGA DE ENTULHO EM CAMINHÃO BASCULANTE 10 M³ - CARGA COM ESCAVADEIRA HIDRÁULICA  (CAÇAMBA DE 0,80 M³ / 111 HP) E DESCARGA LIVRE (UNIDADE: T). AF_07/2020</t>
  </si>
  <si>
    <t>100999</t>
  </si>
  <si>
    <t>CARGA, MANOBRA E DESCARGA DE ENTULHO EM CAMINHÃO BASCULANTE 14 M³ - CARGA COM ESCAVADEIRA HIDRÁULICA  (CAÇAMBA DE 0,80 M³ / 111 HP) E DESCARGA LIVRE (UNIDADE: T). AF_07/2020</t>
  </si>
  <si>
    <t>101000</t>
  </si>
  <si>
    <t>CARGA, MANOBRA E DESCARGA DE ENTULHO EM CAMINHÃO BASCULANTE 18 M³ - CARGA COM ESCAVADEIRA HIDRÁULICA  (CAÇAMBA DE 0,80 M³ / 111 HP) E DESCARGA LIVRE (UNIDADE: T). AF_07/2020</t>
  </si>
  <si>
    <t>101001</t>
  </si>
  <si>
    <t>CARGA DE MISTURA ASFÁLTICA EM CAMINHÃO BASCULANTE 6 M³ (UNIDADE: T). AF_07/2020</t>
  </si>
  <si>
    <t>101002</t>
  </si>
  <si>
    <t>CARGA DE MISTURA ASFÁLTICA EM CAMINHÃO BASCULANTE 10 M³ (UNIDADE: T). AF_07/2020</t>
  </si>
  <si>
    <t>101003</t>
  </si>
  <si>
    <t>CARGA DE MISTURA ASFÁLTICA EM CAMINHÃO BASCULANTE 14 M³ (UNIDADE: T). AF_07/2020</t>
  </si>
  <si>
    <t>101004</t>
  </si>
  <si>
    <t>CARGA DE MISTURA ASFÁLTICA EM CAMINHÃO BASCULANTE 18 M³ (UNIDADE: T). AF_07/2020</t>
  </si>
  <si>
    <t>101005</t>
  </si>
  <si>
    <t>CARGA, MANOBRA E DESCARGA DE ÁGUA EM CAMINHÃO PIPA 6 M³. AF_07/2020</t>
  </si>
  <si>
    <t>101006</t>
  </si>
  <si>
    <t>CARGA, MANOBRA E DESCARGA DE ÁGUA EM CAMINHÃO PIPA 10 M³. AF_07/2020</t>
  </si>
  <si>
    <t>101007</t>
  </si>
  <si>
    <t>CARGA DE ÁGUA EM CAMINHÃO PIPA 6 M³. AF_07/2020</t>
  </si>
  <si>
    <t>101008</t>
  </si>
  <si>
    <t>CARGA DE ÁGUA EM CAMINHÃO PIPA 10 M³. AF_07/2020</t>
  </si>
  <si>
    <t>101009</t>
  </si>
  <si>
    <t>CARGA, MANOBRA E DESCARGA DE POSTE DE CONCRETO EM CAMINHÃO CARROCERIA COM GUINDAUTO (MUNCK) 11,7 TM. AF_07/2020</t>
  </si>
  <si>
    <t>101010</t>
  </si>
  <si>
    <t>CARGA, MANOBRA E DESCARGA DE PERFIL METÁLICO EM CAMINHÃO CARROCERIA COM GUINDAUTO (MUNCK) 11,7 TM. AF_07/2020</t>
  </si>
  <si>
    <t>101013</t>
  </si>
  <si>
    <t>CARGA, MANOBRA E DESCARGA DE TUBOS DE CONCRETO, DN MENOR OU IGUAL A 300 MM, EM CAMINHÃO CARROCERIA COM GUINDAUTO (MUNCK) 11,7 TM. AF_07/2020</t>
  </si>
  <si>
    <t>101014</t>
  </si>
  <si>
    <t>CARGA, MANOBRA E DESCARGA DE TUBOS DE CONCRETO, DN 400 MM, EM CAMINHÃO CARROCERIA COM GUINDAUTO (MUNCK) 11,7 TM. AF_07/2020</t>
  </si>
  <si>
    <t>101015</t>
  </si>
  <si>
    <t>CARGA, MANOBRA E DESCARGA DE TUBOS DE CONCRETO, DN 500 MM, EM CAMINHÃO CARROCERIA COM GUINDAUTO (MUNCK) 11,7 TM. AF_07/2020</t>
  </si>
  <si>
    <t>101016</t>
  </si>
  <si>
    <t>CARGA, MANOBRA E DESCARGA DE TUBOS METÁLICOS, DN MENOR OU IGUAL A 150 MM, EM CAMINHÃO CARROCERIA COM GUINDAUTO (MUNCK) 11,7 TM. AF_07/2020</t>
  </si>
  <si>
    <t>101017</t>
  </si>
  <si>
    <t>CARGA, MANOBRA E DESCARGA DE TUBOS METÁLICOS, DN 200 MM, EM CAMINHÃO CARROCERIA COM GUINDAUTO (MUNCK) 11,7 TM. AF_07/2020</t>
  </si>
  <si>
    <t>101018</t>
  </si>
  <si>
    <t>CARGA, MANOBRA E DESCARGA DE TUBOS METÁLICOS, DN 250 MM, EM CAMINHÃO CARROCERIA COM GUINDAUTO (MUNCK) 11,7 TM. AF_07/2020</t>
  </si>
  <si>
    <t>101463</t>
  </si>
  <si>
    <t>CARGA, MANOBRA E DESCARGA DE TUBOS DE CONCRETO, DN 600 MM, EM CAMINHÃO CARROCERIA COM GUINDAUTO (MUNCK) 11,7 TM. AF_07/2020</t>
  </si>
  <si>
    <t>101464</t>
  </si>
  <si>
    <t>CARGA, MANOBRA E DESCARGA DE TUBOS DE CONCRETO, DN 700 MM, EM CAMINHÃO CARROCERIA COM GUINDAUTO (MUNCK) 11,7 TM. AF_07/2020</t>
  </si>
  <si>
    <t>101465</t>
  </si>
  <si>
    <t>CARGA, MANOBRA E DESCARGA DE TUBOS DE CONCRETO, DN 800 MM, EM CAMINHÃO CARROCERIA COM GUINDAUTO (MUNCK) 11,7 TM. AF_07/2020</t>
  </si>
  <si>
    <t>101466</t>
  </si>
  <si>
    <t>CARGA, MANOBRA E DESCARGA DE TUBOS DE CONCRETO, DN 900 MM, EM CAMINHÃO CARROCERIA COM GUINDAUTO (MUNCK) 11,7 TM. AF_07/2020</t>
  </si>
  <si>
    <t>101467</t>
  </si>
  <si>
    <t>CARGA, MANOBRA E DESCARGA DE TUBOS DE CONCRETO, DN 1000 MM, EM CAMINHÃO CARROCERIA COM GUINDAUTO (MUNCK) 11,7 TM. AF_07/2020</t>
  </si>
  <si>
    <t>101468</t>
  </si>
  <si>
    <t>CARGA, MANOBRA E DESCARGA DE TUBOS DE CONCRETO, DN 1200 MM, EM CAMINHÃO CARROCERIA COM GUINDAUTO (MUNCK) 11,7 TM. AF_07/2020</t>
  </si>
  <si>
    <t>101469</t>
  </si>
  <si>
    <t>CARGA, MANOBRA E DESCARGA DE TUBOS METÁLICOS, DN 300 MM, EM CAMINHÃO CARROCERIA COM GUINDAUTO (MUNCK) 11,7 TM. AF_07/2020</t>
  </si>
  <si>
    <t>101470</t>
  </si>
  <si>
    <t>CARGA, MANOBRA E DESCARGA DE TUBOS METÁLICOS, DN 350 MM, EM CAMINHÃO CARROCERIA COM GUINDAUTO (MUNCK) 11,7 TM. AF_07/2020</t>
  </si>
  <si>
    <t>101471</t>
  </si>
  <si>
    <t>CARGA, MANOBRA E DESCARGA DE TUBOS METÁLICOS, DN 400 MM, EM CAMINHÃO CARROCERIA COM GUINDAUTO (MUNCK) 11,7 TM. AF_07/2020</t>
  </si>
  <si>
    <t>101472</t>
  </si>
  <si>
    <t>CARGA, MANOBRA E DESCARGA DE TUBOS METÁLICOS, DN 500 MM, EM CAMINHÃO CARROCERIA COM GUINDAUTO (MUNCK) 11,7 TM. AF_07/2020</t>
  </si>
  <si>
    <t>101473</t>
  </si>
  <si>
    <t>CARGA, MANOBRA E DESCARGA DE TUBOS METÁLICOS, DN 600 MM, EM CAMINHÃO CARROCERIA COM GUINDAUTO (MUNCK) 11,7 TM. AF_07/2020</t>
  </si>
  <si>
    <t>101474</t>
  </si>
  <si>
    <t>CARGA, MANOBRA E DESCARGA DE TUBOS METÁLICOS, DN 700 MM, EM CAMINHÃO CARROCERIA COM GUINDAUTO (MUNCK) 11,7 TM. AF_07/2020</t>
  </si>
  <si>
    <t>101475</t>
  </si>
  <si>
    <t>CARGA, MANOBRA E DESCARGA DE TUBOS METÁLICOS, DN 800 MM, EM CAMINHÃO CARROCERIA COM GUINDAUTO (MUNCK) 11,7 TM. AF_07/2020</t>
  </si>
  <si>
    <t>101476</t>
  </si>
  <si>
    <t>CARGA, MANOBRA E DESCARGA DE TUBOS METÁLICOS, DN 900 MM, EM CAMINHÃO CARROCERIA COM GUINDAUTO (MUNCK) 11,7 TM. AF_07/2020</t>
  </si>
  <si>
    <t>101477</t>
  </si>
  <si>
    <t>CARGA, MANOBRA E DESCARGA DE TUBOS METÁLICOS, DN 1000 MM, EM CAMINHÃO CARROCERIA COM GUINDAUTO (MUNCK) 11,7 TM. AF_07/2020</t>
  </si>
  <si>
    <t>101478</t>
  </si>
  <si>
    <t>CARGA, MANOBRA E DESCARGA DE TUBOS METÁLICOS, DN 1200 MM, EM CAMINHÃO CARROCERIA COM GUINDAUTO (MUNCK) 11,7 TM. AF_07/2020</t>
  </si>
  <si>
    <t>101480</t>
  </si>
  <si>
    <t>CARGA, MANOBRA E DESCARGA DE TUBOS PLÁSTICOS, DN 250 MM, EM CAMINHÃO CARROCERIA COM GUINDAUTO (MUNCK) 11,7 TM. AF_07/2020</t>
  </si>
  <si>
    <t>101481</t>
  </si>
  <si>
    <t>CARGA, MANOBRA E DESCARGA DE TUBOS PLÁSTICOS, DN 300 MM, EM CAMINHÃO CARROCERIA COM GUINDAUTO (MUNCK) 11,7 TM. AF_07/2020</t>
  </si>
  <si>
    <t>101482</t>
  </si>
  <si>
    <t>101483</t>
  </si>
  <si>
    <t>CARGA, MANOBRA E DESCARGA DE TUBOS PLÁSTICOS, DN 500 MM, EM CAMINHÃO CARROCERIA COM GUINDAUTO (MUNCK) 11,7 TM. AF_07/2020</t>
  </si>
  <si>
    <t>101484</t>
  </si>
  <si>
    <t>CARGA, MANOBRA E DESCARGA DE TUBOS PLÁSTICOS, DN 600 MM, EM CAMINHÃO CARROCERIA COM GUINDAUTO (MUNCK) 11,7 TM. AF_07/2020</t>
  </si>
  <si>
    <t>101485</t>
  </si>
  <si>
    <t>CARGA, MANOBRA E DESCARGA DE TUBOS PLÁSTICOS, DN 750 MM, EM CAMINHÃO CARROCERIA COM GUINDAUTO (MUNCK) 11,7 TM. AF_07/2020</t>
  </si>
  <si>
    <t>101486</t>
  </si>
  <si>
    <t>CARGA, MANOBRA E DESCARGA DE TUBOS PLÁSTICOS, DN 900 MM, EM CAMINHÃO CARROCERIA COM GUINDAUTO (MUNCK) 11,7 TM. AF_07/2020</t>
  </si>
  <si>
    <t>101487</t>
  </si>
  <si>
    <t>CARGA, MANOBRA E DESCARGA DE TUBOS PLÁSTICOS, DN 1000 MM, EM CAMINHÃO CARROCERIA COM GUINDAUTO (MUNCK) 11,7 TM. AF_07/2020</t>
  </si>
  <si>
    <t>101488</t>
  </si>
  <si>
    <t>CARGA, MANOBRA E DESCARGA DE TUBOS PLÁSTICOS, DN 1200 MM, EM CAMINHÃO CARROCERIA COM GUINDAUTO (MUNCK) 11,7 TM. AF_07/2020</t>
  </si>
  <si>
    <t>101188</t>
  </si>
  <si>
    <t>RECOMPOSIÇÃO PARCIAL DE ARAME FARPADO Nº 14 CLASSE 250, FIXADO EM CERCA COM MOURÕES DE CONCRETO - FORNECIMENTO E INSTALAÇÃO. AF_05/2020</t>
  </si>
  <si>
    <t>101189</t>
  </si>
  <si>
    <t>CERCA COM MOURÕES DE CONCRETO, RETO, H=3,00 M, ESPAÇAMENTO DE 2,5 M, CRAVADOS 0,5 M, COM 4 FIOS DE ARAME FARPADO Nº 14 CLASSE 250 - FORNECIMENTO E INSTALAÇÃO. AF_05/2020</t>
  </si>
  <si>
    <t>101190</t>
  </si>
  <si>
    <t>CERCA COM MOURÕES DE CONCRETO, RETO, H=3,00 M, ESPAÇAMENTO DE 2,5 M, CRAVADOS 0,5 M, COM 4 FIOS DE ARAME DE AÇO OVALADO 15X17 - FORNECIMENTO E INSTALAÇÃO. AF_05/2020</t>
  </si>
  <si>
    <t>101191</t>
  </si>
  <si>
    <t>CERCA COM MOURÕES DE CONCRETO, RETO, H=3,00 M, ESPAÇAMENTO DE 2,5 M, CRAVADOS 0,5 M, COM 4 FIOS DE ARAME MISTO - FORNECIMENTO E INSTALAÇÃO. AF_05/2020</t>
  </si>
  <si>
    <t>55,17</t>
  </si>
  <si>
    <t>101192</t>
  </si>
  <si>
    <t>CERCA COM MOURÕES DE CONCRETO, RETO, H=2,30 M, ESPAÇAMENTO DE 2,5 M, CRAVADOS 0,5 M, COM 4 FIOS DE ARAME FARPADO Nº 14 CLASSE 250 - FORNECIMENTO E INSTALAÇÃO. AF_05/2020</t>
  </si>
  <si>
    <t>101193</t>
  </si>
  <si>
    <t>CERCA COM MOURÕES DE CONCRETO, RETO, H=2,30 M, ESPAÇAMENTO DE 2,5 M, CRAVADOS 0,5 M, COM 4 FIOS DE ARAME DE AÇO OVALADO 15X17 - FORNECIMENTO E INSTALAÇÃO. AF_05/2020</t>
  </si>
  <si>
    <t>101194</t>
  </si>
  <si>
    <t>CERCA COM MOURÕES DE CONCRETO, RETO, H=2,30 M, ESPAÇAMENTO DE 2,5 M, CRAVADOS 0,5 M, COM 4 FIOS DE ARAME MISTO - FORNECIMENTO E INSTALAÇÃO. AF_05/2020</t>
  </si>
  <si>
    <t>101197</t>
  </si>
  <si>
    <t>CERCA COM MOURÕES DE CONCRETO, SEÇÃO "T" PONTA INCLINADA, 10X10 CM, ESPAÇAMENTO DE 2,5 M, CRAVADOS 0,5 M, COM 11 FIOS DE ARAME FARPADO Nº 14 - FORNECIMENTO E INSTALAÇÃO. AF_05/2020</t>
  </si>
  <si>
    <t>101198</t>
  </si>
  <si>
    <t>CERCA COM MOURÕES DE CONCRETO, SEÇÃO "T" PONTA INCLINADA, 10X10 CM, ESPAÇAMENTO DE 2,5 M, CRAVADOS 0,5 M, COM 11 FIOS DE ARAME DE AÇO OVALADO 15X17 - FORNECIMENTO E INSTALAÇÃO. AF_05/2020</t>
  </si>
  <si>
    <t>101199</t>
  </si>
  <si>
    <t>CERCA COM MOURÕES DE CONCRETO, SEÇÃO "T" PONTA INCLINADA, 10X10CM, ESPAÇAMENTO DE 2,5M, CRAVADOS 0,5M, COM 11 FIOS DE ARAME MISTO - FORNECIMENTO E INSTALAÇÃO. AF_05/2020</t>
  </si>
  <si>
    <t>101200</t>
  </si>
  <si>
    <t>CERCA COM MOURÕES DE MADEIRA, 7,5X7,5 CM, ESPAÇAMENTO DE 2,5 M, ALTURA LIVRE DE 2 M, CRAVADOS 0,5 M, COM 4 FIOS DE ARAME FARPADO Nº 14 CLASSE 250 - FORNECIMENTO E INSTALAÇÃO. AF_05/2020</t>
  </si>
  <si>
    <t>101201</t>
  </si>
  <si>
    <t>CERCA COM MOURÕES DE MADEIRA, 7,5X7,5 CM, ESPAÇAMENTO DE 2,5 M, ALTURA LIVRE DE 2 M, CRAVADOS 0,5 M, COM 8 FIOS DE ARAME FARPADO Nº 14 CLASSE 250 - FORNECIMENTO E INSTALAÇÃO. AF_05/2020</t>
  </si>
  <si>
    <t>101202</t>
  </si>
  <si>
    <t>CERCA COM MOURÕES DE MADEIRA ROLIÇA, DIÂMETRO 11 CM, ESPAÇAMENTO DE 2,5 M, ALTURA LIVRE DE 1,7 M, CRAVADOS 0,5 M, COM 5 FIOS DE ARAME FARPADO Nº 14 CLASSE 250 - FORNECIMENTO E INSTALAÇÃO. AF_05/2020</t>
  </si>
  <si>
    <t>101203</t>
  </si>
  <si>
    <t>CERCA COM MOURÕES DE MADEIRA ROLIÇA, DIÂMETRO 11 CM, ESPAÇAMENTO DE 2,5 M, ALTURA LIVRE DE 1,7 M, CRAVADOS 0,5 M, COM 5 FIOS DE ARAME DE AÇO OVALADO 15X17 - FORNECIMENTO E INSTALAÇÃO. AF_05/2020</t>
  </si>
  <si>
    <t>101204</t>
  </si>
  <si>
    <t>CERCA COM MOURÕES DE MADEIRA ROLIÇA, DIÂMETRO 11 CM, ESPAÇAMENTO DE 2,5 M, ALTURA LIVRE DE 1,7 M, CRAVADOS 0,5 M, COM 5 FIOS DE ARAME MISTO - FORNECIMENTO E INSTALAÇÃO. AF_05/2020</t>
  </si>
  <si>
    <t>101205</t>
  </si>
  <si>
    <t>PORTÃO COM MOURÕES DE MADEIRA ROLIÇA, DIÂMETRO 11 CM, COM 5 FIOS DE ARAME FARPADO Nº 14 CLASSE 250, SEM DOBRADIÇAS - FORNECIMENTO E INSTALAÇÃO. AF_05/2020</t>
  </si>
  <si>
    <t>102362</t>
  </si>
  <si>
    <t>102363</t>
  </si>
  <si>
    <t>102364</t>
  </si>
  <si>
    <t>16,34</t>
  </si>
  <si>
    <t>18,84</t>
  </si>
  <si>
    <t>43,80</t>
  </si>
  <si>
    <t>25,60</t>
  </si>
  <si>
    <t>77,21</t>
  </si>
  <si>
    <t>101286</t>
  </si>
  <si>
    <t>CURSO DE CAPACITAÇÃO PARA AJUDANTE DE ARMADOR (ENCARGOS COMPLEMENTARES) - MENSALISTA</t>
  </si>
  <si>
    <t>101287</t>
  </si>
  <si>
    <t>CURSO DE CAPACITAÇÃO PARA AJUDANTE DE ELETRICISTA (ENCARGOS COMPLEMENTARES) - MENSALISTA</t>
  </si>
  <si>
    <t>101288</t>
  </si>
  <si>
    <t>CURSO DE CAPACITAÇÃO PARA AJUDANTE DE ESTRUTURAS METÁLICAS(ENCARGOS COMPLEMENTARES) - MENSALISTA</t>
  </si>
  <si>
    <t>101289</t>
  </si>
  <si>
    <t>CURSO DE CAPACITAÇÃO PARA AJUDANTE DE OPERAÇÃO EM GERAL (ENCARGOS COMPLEMENTARES) - MENSALISTA</t>
  </si>
  <si>
    <t>101290</t>
  </si>
  <si>
    <t>CURSO DE CAPACITAÇÃO PARA AJUDANTE DE PINTOR (ENCARGOS COMPLEMENTARES) - MENSALISTA</t>
  </si>
  <si>
    <t>101291</t>
  </si>
  <si>
    <t>CURSO DE CAPACITAÇÃO PARA AJUDANTE DE SERRALHEIRO (ENCARGOS COMPLEMENTARES) - MENSALISTA</t>
  </si>
  <si>
    <t>101292</t>
  </si>
  <si>
    <t>CURSO DE CAPACITAÇÃO PARA AJUDANTE ESPECIALIZADO (ENCARGOS COMPLEMENTARES) - MENSALISTA</t>
  </si>
  <si>
    <t>101293</t>
  </si>
  <si>
    <t>CURSO DE CAPACITAÇÃO PARA ARMADOR (ENCARGOS COMPLEMENTARES) - MENSALISTA</t>
  </si>
  <si>
    <t>101294</t>
  </si>
  <si>
    <t>CURSO DE CAPACITAÇÃO PARA ASSENTADOR DE MANILHA (ENCARGOS COMPLEMENTARES) - MENSALISTA</t>
  </si>
  <si>
    <t>101295</t>
  </si>
  <si>
    <t>CURSO DE CAPACITAÇÃO PARA AUXILIAR DE AZULEJISTA (ENCARGOS COMPLEMENTARES) - MENSALISTA</t>
  </si>
  <si>
    <t>101296</t>
  </si>
  <si>
    <t>CURSO DE CAPACITAÇÃO PARA AUXILIAR DE ENCANADOR OU BOMBEIRO HIDRÁULICO (ENCARGOS COMPLEMENTARES) - MENSALISTA</t>
  </si>
  <si>
    <t>101297</t>
  </si>
  <si>
    <t>CURSO DE CAPACITAÇÃO PARA AUXILIAR DE LABORATORISTA (ENCARGOS COMPLEMENTARES) - MENSALISTA</t>
  </si>
  <si>
    <t>101298</t>
  </si>
  <si>
    <t>CURSO DE CAPACITAÇÃO PARA AUXILIAR DE MECANICO (ENCARGOS COMPLEMENTARES) - MENSALISTA</t>
  </si>
  <si>
    <t>101299</t>
  </si>
  <si>
    <t>CURSO DE CAPACITAÇÃO PARA AUXILIAR DE PEDREIRO (ENCARGOS COMPLEMENTARES) - MENSALISTA</t>
  </si>
  <si>
    <t>101300</t>
  </si>
  <si>
    <t>CURSO DE CAPACITAÇÃO PARA AUXILIAR DE SERVIÇOS GERAIS (ENCARGOS COMPLEMENTARES) - MENSALISTA</t>
  </si>
  <si>
    <t>101301</t>
  </si>
  <si>
    <t>CURSO DE CAPACITAÇÃO PARA AUXILIAR DE TOPÓGRAFO (ENCARGOS COMPLEMENTARES) - MENSALISTA</t>
  </si>
  <si>
    <t>101302</t>
  </si>
  <si>
    <t>CURSO DE CAPACITAÇÃO PARA AUXILIAR TÉCNICO DE ENGENHARIA (ENCARGOS COMPLEMENTARES) - MENSALISTA</t>
  </si>
  <si>
    <t>101303</t>
  </si>
  <si>
    <t>CURSO DE CAPACITAÇÃO PARA MONTADOR DE ELETROELETRONICOS(ENCARGOS COMPLEMENTARES) - MENSALISTA</t>
  </si>
  <si>
    <t>46,48</t>
  </si>
  <si>
    <t>101304</t>
  </si>
  <si>
    <t>CURSO DE CAPACITAÇÃO PARA AZULEJISTA OU LADRILHISTA (ENCARGOS COMPLEMENTARES) - MENSALISTA</t>
  </si>
  <si>
    <t>101305</t>
  </si>
  <si>
    <t>CURSO DE CAPACITAÇÃO PARA BLASTER, DINAMITADOR OU CABO DE FORÇA (ENCARGOS COMPLEMENTARES) - MENSALISTA</t>
  </si>
  <si>
    <t>101307</t>
  </si>
  <si>
    <t>CURSO DE CAPACITAÇÃO PARA CALCETEIRO (ENCARGOS COMPLEMENTARES) - MENSALISTA</t>
  </si>
  <si>
    <t>101308</t>
  </si>
  <si>
    <t>CURSO DE CAPACITAÇÃO PARA MONTADOR DE ESTRUTURAS METALICAS (ENCARGOS COMPLEMENTARES) - MENSALISTA</t>
  </si>
  <si>
    <t>101309</t>
  </si>
  <si>
    <t>CURSO DE CAPACITAÇÃO PARA CARPINTEIRO AUXILIAR (ENCARGOS COMPLEMENTARES) - MENSALISTA</t>
  </si>
  <si>
    <t>101310</t>
  </si>
  <si>
    <t>CURSO DE CAPACITAÇÃO PARA CARPINTEIRO DE ESQUADRIAS (ENCARGOS COMPLEMENTARES) - MENSALISTA</t>
  </si>
  <si>
    <t>101311</t>
  </si>
  <si>
    <t>CURSO DE CAPACITAÇÃO PARA CARPINTEIRO DE FORMAS (ENCARGOS COMPLEMENTARES) - MENSALISTA</t>
  </si>
  <si>
    <t>101312</t>
  </si>
  <si>
    <t>CURSO DE CAPACITAÇÃO PARA CAVOUQUEIRO OU OPERADOR DE PERFURATRIZ (ENCARGOS COMPLEMENTARES) - MENSALISTA</t>
  </si>
  <si>
    <t>101313</t>
  </si>
  <si>
    <t>CURSO DE CAPACITAÇÃO PARA ELETRICISTA (ENCARGOS COMPLEMENTARES) - MENSALISTA</t>
  </si>
  <si>
    <t>101315</t>
  </si>
  <si>
    <t>CURSO DE CAPACITAÇÃO PARA ELETROTÉCNICO (ENCARGOS COMPLEMENTARES) - MENSALISTA</t>
  </si>
  <si>
    <t>101316</t>
  </si>
  <si>
    <t>CURSO DE CAPACITAÇÃO PARA ENCANADOR OU BOMBEIRO HIDRÁULICO (ENCARGOS COMPLEMENTARES) - MENSALISTA</t>
  </si>
  <si>
    <t>23,88</t>
  </si>
  <si>
    <t>101320</t>
  </si>
  <si>
    <t>CURSO DE CAPACITAÇÃO PARA MONTADOR DE MAQUINAS (ENCARGOS COMPLEMENTARES) - MENSALISTA</t>
  </si>
  <si>
    <t>101322</t>
  </si>
  <si>
    <t>CURSO DE CAPACITAÇÃO PARA GESSEIRO (ENCARGOS COMPLEMENTARES) - MENSALISTA</t>
  </si>
  <si>
    <t>101323</t>
  </si>
  <si>
    <t>CURSO DE CAPACITAÇÃO PARA IMPERMEABILIZADOR (ENCARGOS COMPLEMENTARES) - MENSALISTA</t>
  </si>
  <si>
    <t>101324</t>
  </si>
  <si>
    <t>CURSO DE CAPACITAÇÃO PARA MOTORISTA DE CAMINHAO-BASCULANTE (ENCARGOS COMPLEMENTARES) - MENSALISTA</t>
  </si>
  <si>
    <t>101325</t>
  </si>
  <si>
    <t>CURSO DE CAPACITAÇÃO PARA INSTALADOR DE TUBULAÇÕES (ENCARGOS COMPLEMENTARES) - MENSALISTA</t>
  </si>
  <si>
    <t>101326</t>
  </si>
  <si>
    <t>CURSO DE CAPACITAÇÃO PARA JARDINEIRO (ENCARGOS COMPLEMENTARES) - MENSALISTA</t>
  </si>
  <si>
    <t>101328</t>
  </si>
  <si>
    <t>CURSO DE CAPACITAÇÃO PARA MOTORISTA DE CAMINHAO-CARRETA (ENCARGOS COMPLEMENTARES) - MENSALISTA</t>
  </si>
  <si>
    <t>101329</t>
  </si>
  <si>
    <t>CURSO DE CAPACITAÇÃO PARA MAÇARIQUEIRO (ENCARGOS COMPLEMENTARES) - MENSALISTA</t>
  </si>
  <si>
    <t>101330</t>
  </si>
  <si>
    <t>CURSO DE CAPACITAÇÃO PARA MARCENEIRO (ENCARGOS COMPLEMENTARES) - MENSALISTA</t>
  </si>
  <si>
    <t>101331</t>
  </si>
  <si>
    <t>CURSO DE CAPACITAÇÃO PARA MARMORISTA / GRANITEIRO (ENCARGOS COMPLEMENTARES) - MENSALISTA</t>
  </si>
  <si>
    <t>101332</t>
  </si>
  <si>
    <t>CURSO DE CAPACITAÇÃO PARA MOTORISTA DE CARRO DE PASSEIO (ENCARGOS COMPLEMENTARES) - MENSALISTA</t>
  </si>
  <si>
    <t>101333</t>
  </si>
  <si>
    <t>CURSO DE CAPACITAÇÃO PARA MECÂNICO DE EQUIPAMENTOS PESADOS (ENCARGOS COMPLEMENTARES) - MENSALISTA</t>
  </si>
  <si>
    <t>101334</t>
  </si>
  <si>
    <t>CURSO DE CAPACITAÇÃO PARA MECÂNICO DE REFRIGERAÇÃO (ENCARGOS COMPLEMENTARES) - MENSALISTA</t>
  </si>
  <si>
    <t>101336</t>
  </si>
  <si>
    <t>CURSO DE CAPACITAÇÃO PARA MOTORISTA OPERADOR DE CAMINHAO COM MUNCK (ENCARGOS COMPLEMENTARES) - MENSALISTA</t>
  </si>
  <si>
    <t>101337</t>
  </si>
  <si>
    <t>CURSO DE CAPACITAÇÃO PARA NIVELADOR (ENCARGOS COMPLEMENTARES) - MENSALISTA</t>
  </si>
  <si>
    <t>101338</t>
  </si>
  <si>
    <t>CURSO DE CAPACITAÇÃO PARA OPERADOR DE BATE-ESTACAS (ENCARGOS COMPLEMENTARES) - MENSALISTA</t>
  </si>
  <si>
    <t>101339</t>
  </si>
  <si>
    <t>CURSO DE CAPACITAÇÃO PARA OPERADOR DE BETONEIRA (ENCARGOS COMPLEMENTARES) - MENSALISTA</t>
  </si>
  <si>
    <t>101340</t>
  </si>
  <si>
    <t>CURSO DE CAPACITAÇÃO PARA OPERADOR DE BETONEIRA ESTACIONARIA / MISTURADOR (ENCARGOS COMPLEMENTARES) - MENSALISTA</t>
  </si>
  <si>
    <t>101341</t>
  </si>
  <si>
    <t>CURSO DE CAPACITAÇÃO PARA OPERADOR DE COMPRESSOR DE AR OU COMPRESSORISTA (ENCARGOS COMPLEMENTARES) - MENSALISTA</t>
  </si>
  <si>
    <t>101342</t>
  </si>
  <si>
    <t>CURSO DE CAPACITAÇÃO PARA OPERADOR DE DEMARCADORA DE FAIXAS DE TRAFEGO (ENCARGOS COMPLEMENTARES) - MENSALISTA</t>
  </si>
  <si>
    <t>101343</t>
  </si>
  <si>
    <t>CURSO DE CAPACITAÇÃO PARA OPERADOR DE ESCAVADEIRA (ENCARGOS COMPLEMENTARES) - MENSALISTA</t>
  </si>
  <si>
    <t>101344</t>
  </si>
  <si>
    <t>CURSO DE CAPACITAÇÃO PARA OPERADOR DE GUINCHO OU GUINCHEIRO (ENCARGOS COMPLEMENTARES) - MENSALISTA</t>
  </si>
  <si>
    <t>101345</t>
  </si>
  <si>
    <t>CURSO DE CAPACITAÇÃO PARA OPERADOR DE GUINDASTE (ENCARGOS COMPLEMENTARES) - MENSALISTA</t>
  </si>
  <si>
    <t>101346</t>
  </si>
  <si>
    <t>CURSO DE CAPACITAÇÃO PARA OPERADOR DE JATO ABRASIVO OU JATISTA (ENCARGOS COMPLEMENTARES) - MENSALISTA</t>
  </si>
  <si>
    <t>101347</t>
  </si>
  <si>
    <t>CURSO DE CAPACITAÇÃO PARA OPERADOR DE MAQUINAS E TRATORES DIVERSOS (ENCARGOS COMPLEMENTARES) - MENSALISTA</t>
  </si>
  <si>
    <t>101348</t>
  </si>
  <si>
    <t>CURSO DE CAPACITAÇÃO PARA OPERADOR DE MARTELETE OU MARTELETEIRO (ENCARGOS COMPLEMENTARES) - MENSALISTA</t>
  </si>
  <si>
    <t>101349</t>
  </si>
  <si>
    <t>CURSO DE CAPACITAÇÃO PARA OPERADOR DE MOTO SCRAPER (ENCARGOS COMPLEMENTARES) - MENSALISTA</t>
  </si>
  <si>
    <t>101350</t>
  </si>
  <si>
    <t>CURSO DE CAPACITAÇÃO PARA OPERADOR DE MOTONIVELADORA (ENCARGOS COMPLEMENTARES) - MENSALISTA</t>
  </si>
  <si>
    <t>101351</t>
  </si>
  <si>
    <t>CURSO DE CAPACITAÇÃO PARA OPERADOR DE PA CARREGADEIRA (ENCARGOS COMPLEMENTARES) - MENSALISTA</t>
  </si>
  <si>
    <t>101352</t>
  </si>
  <si>
    <t>CURSO DE CAPACITAÇÃO PARA OPERADOR DE PAVIMENTADORA / MESA VIBROACABADORA (ENCARGOS COMPLEMENTARES) - MENSALISTA</t>
  </si>
  <si>
    <t>101353</t>
  </si>
  <si>
    <t>CURSO DE CAPACITAÇÃO PARA OPERADOR DE ROLO COMPACTADOR (ENCARGOS COMPLEMENTARES) - MENSALISTA</t>
  </si>
  <si>
    <t>101355</t>
  </si>
  <si>
    <t>CURSO DE CAPACITAÇÃO PARA OPERADOR DE USINA DE ASFALTO, DE SOLOS OU DE CONCRETO (ENCARGOS COMPLEMENTARES) - MENSALISTA</t>
  </si>
  <si>
    <t>101356</t>
  </si>
  <si>
    <t>CURSO DE CAPACITAÇÃO PARA PASTILHEIRO (ENCARGOS COMPLEMENTARES) - MENSALISTA</t>
  </si>
  <si>
    <t>101357</t>
  </si>
  <si>
    <t>CURSO DE CAPACITAÇÃO PARA PEDREIRO (ENCARGOS COMPLEMENTARES) - MENSALISTA</t>
  </si>
  <si>
    <t>101358</t>
  </si>
  <si>
    <t>CURSO DE CAPACITAÇÃO PARA PINTOR (ENCARGOS COMPLEMENTARES) - MENSALISTA</t>
  </si>
  <si>
    <t>101359</t>
  </si>
  <si>
    <t>CURSO DE CAPACITAÇÃO PARA PINTOR DE LETREIROS (ENCARGOS COMPLEMENTARES) - MENSALISTA</t>
  </si>
  <si>
    <t>101360</t>
  </si>
  <si>
    <t>CURSO DE CAPACITAÇÃO PARA PINTOR PARA TINTA EPOXI (ENCARGOS COMPLEMENTARES) - MENSALISTA</t>
  </si>
  <si>
    <t>101361</t>
  </si>
  <si>
    <t>CURSO DE CAPACITAÇÃO PARA POCEIRO / ESCAVADOR DE VALAS E TUBULOES (ENCARGOS COMPLEMENTARES) - MENSALISTA</t>
  </si>
  <si>
    <t>101363</t>
  </si>
  <si>
    <t>CURSO DE CAPACITAÇÃO PARA SERRALHEIRO (ENCARGOS COMPLEMENTARES) - MENSALISTA</t>
  </si>
  <si>
    <t>101364</t>
  </si>
  <si>
    <t>CURSO DE CAPACITAÇÃO PARA SERVENTE DE OBRAS (ENCARGOS COMPLEMENTARES) - MENSALISTA</t>
  </si>
  <si>
    <t>101365</t>
  </si>
  <si>
    <t>CURSO DE CAPACITAÇÃO PARA SOLDADOR (ENCARGOS COMPLEMENTARES) - MENSALISTA</t>
  </si>
  <si>
    <t>101366</t>
  </si>
  <si>
    <t>CURSO DE CAPACITAÇÃO PARA SOLDADOR ELETRICO (ENCARGOS COMPLEMENTARES) - MENSALISTA</t>
  </si>
  <si>
    <t>101368</t>
  </si>
  <si>
    <t>CURSO DE CAPACITAÇÃO PARA TECNICO EM LABORATORIO E CAMPO DE CONSTRUCAO CIVIL (ENCARGOS COMPLEMENTARES) - MENSALISTA</t>
  </si>
  <si>
    <t>101369</t>
  </si>
  <si>
    <t>CURSO DE CAPACITAÇÃO PARA TECNICO EM SONDAGEM (ENCARGOS COMPLEMENTARES) - MENSALISTA</t>
  </si>
  <si>
    <t>101370</t>
  </si>
  <si>
    <t>CURSO DE CAPACITAÇÃO PARA TELHADOR (ENCARGOS COMPLEMENTARES) - MENSALISTA</t>
  </si>
  <si>
    <t>101371</t>
  </si>
  <si>
    <t>CURSO DE CAPACITAÇÃO PARA VIDRACEIRO (ENCARGOS COMPLEMENTARES) - MENSALISTA</t>
  </si>
  <si>
    <t>101372</t>
  </si>
  <si>
    <t>CURSO DE CAPACITAÇÃO PARA VIGIA DIURNO (ENCARGOS COMPLEMENTARES) - MENSALISTA</t>
  </si>
  <si>
    <t>101374</t>
  </si>
  <si>
    <t>101375</t>
  </si>
  <si>
    <t>AJUDANTE DE ELETRICISTA COM ENCARGOS COMPLEMENTARES</t>
  </si>
  <si>
    <t>101376</t>
  </si>
  <si>
    <t>AJUDANTE DE ESTRUTURAS METÁLICAS COM ENCARGOS COMPLEMENTARES</t>
  </si>
  <si>
    <t>101377</t>
  </si>
  <si>
    <t>101378</t>
  </si>
  <si>
    <t>101379</t>
  </si>
  <si>
    <t>AJUDANTE DE SERRALHEIRO COM ENCARGOS COMPLEMENTARES</t>
  </si>
  <si>
    <t>101380</t>
  </si>
  <si>
    <t>101381</t>
  </si>
  <si>
    <t>101382</t>
  </si>
  <si>
    <t>ASSENTADOR DE MANILHAS COM ENCARGOS COMPLEMENTARES</t>
  </si>
  <si>
    <t>101383</t>
  </si>
  <si>
    <t>101384</t>
  </si>
  <si>
    <t>101385</t>
  </si>
  <si>
    <t>AUXILIAR DE LABORATORISTA DE SOLOS E DE CONCRETO COM ENCARGOS COMPLEMENTARES</t>
  </si>
  <si>
    <t>101386</t>
  </si>
  <si>
    <t>101387</t>
  </si>
  <si>
    <t>AUXILIAR DE PEDREIRO COM ENCARGOS COMPLEMENTARES</t>
  </si>
  <si>
    <t>101388</t>
  </si>
  <si>
    <t>101389</t>
  </si>
  <si>
    <t>101390</t>
  </si>
  <si>
    <t>AUXILIAR TÉCNICO / ASSISTENTE DE ENGENHARIA COM ENCARGOS COMPLEMENTARES</t>
  </si>
  <si>
    <t>101391</t>
  </si>
  <si>
    <t>AZULEJISTA OU LADRILHEIRO COM ENCARGOS COMPLEMENTARES</t>
  </si>
  <si>
    <t>101392</t>
  </si>
  <si>
    <t>BLASTER, DINAMITADOR OU CABO DE FORÇA COM ENCARGOS COMPLEMENTARES</t>
  </si>
  <si>
    <t>101394</t>
  </si>
  <si>
    <t>101395</t>
  </si>
  <si>
    <t>CARPINTEIRO AUXILIAR COM ENCARGOS COMPLEMENTARES</t>
  </si>
  <si>
    <t>101396</t>
  </si>
  <si>
    <t>CARPINTEIRO DE ESQUADRIAS COM ENCARGOS COMPLEMENTARES</t>
  </si>
  <si>
    <t>101397</t>
  </si>
  <si>
    <t>101398</t>
  </si>
  <si>
    <t>CAVOUQUEIRO OU OPERADOR DE PERFURATRIZ COM ENCARGOS COMPLEMENTARES</t>
  </si>
  <si>
    <t>101399</t>
  </si>
  <si>
    <t>101401</t>
  </si>
  <si>
    <t>101402</t>
  </si>
  <si>
    <t>101407</t>
  </si>
  <si>
    <t>101408</t>
  </si>
  <si>
    <t>101409</t>
  </si>
  <si>
    <t>INSTALADOR DE TUBULAÇÕES COM ENCARGOS COMPLEMENTARES</t>
  </si>
  <si>
    <t>101410</t>
  </si>
  <si>
    <t>101412</t>
  </si>
  <si>
    <t>MAÇARIQUEIRO COM ENCARGOS COMPLEMENTARES</t>
  </si>
  <si>
    <t>101413</t>
  </si>
  <si>
    <t>101414</t>
  </si>
  <si>
    <t>MARMORISTA / GRANITEIRO COM ENCARGOS COMPLEMENTARES</t>
  </si>
  <si>
    <t>101415</t>
  </si>
  <si>
    <t>MECÂNICO DE EQUIPAMENTOS PESADOS COM ENCARGOS COMPLEMENTARES</t>
  </si>
  <si>
    <t>101416</t>
  </si>
  <si>
    <t>101417</t>
  </si>
  <si>
    <t>MONTADOR DE ELETROELETRÔNICO COM ENCARGOS COMPLEMENTARES</t>
  </si>
  <si>
    <t>101418</t>
  </si>
  <si>
    <t>MONTADOR DE ESTRUTURAS METÁLICAS COM ENCARGOS COMPLEMENTARES</t>
  </si>
  <si>
    <t>101419</t>
  </si>
  <si>
    <t>MONTADOR DE MÁQUINAS COM ENCARGOS COMPLEMENTARES</t>
  </si>
  <si>
    <t>101420</t>
  </si>
  <si>
    <t>MOTORISTA DE CAMINHÃO BASCULANTE COM ENCARGOS COMPLEMENTARES</t>
  </si>
  <si>
    <t>101421</t>
  </si>
  <si>
    <t>MOTORISTA DE CAMINHÃO CARRETA COM ENCARGOS COMPLEMENTARES</t>
  </si>
  <si>
    <t>101422</t>
  </si>
  <si>
    <t>MOTORISTA DE CARRO DE PASSEIO COM ENCARGOS COMPLEMENTARES</t>
  </si>
  <si>
    <t>101424</t>
  </si>
  <si>
    <t>MOTORISTA OPERADOR DE CAMINHÃO COM MUNCK COM ENCARGOS COMPLEMENTARES</t>
  </si>
  <si>
    <t>101425</t>
  </si>
  <si>
    <t>NIVELADOR  COM ENCARGOS COMPLEMENTARES</t>
  </si>
  <si>
    <t>101426</t>
  </si>
  <si>
    <t>OPERADOR DE BATE-ESTACA COM ENCARGOS COMPLEMENTARES</t>
  </si>
  <si>
    <t>101427</t>
  </si>
  <si>
    <t>101428</t>
  </si>
  <si>
    <t>OPERADOR DE BETONEIRA ESTACIONÁRIA COM ENCARGOS COMPLEMENTARES</t>
  </si>
  <si>
    <t>101429</t>
  </si>
  <si>
    <t>OPERADOR DE COMPRESSOR DE AR OU COMPRESSORISTA COM ENCARGOS COMPLEMENTARES</t>
  </si>
  <si>
    <t>101430</t>
  </si>
  <si>
    <t>OPERADOR DE DEMARCADORA DE FAIXAS DE TRÁFEGO COM ENCARGOS COMPLEMENTARES</t>
  </si>
  <si>
    <t>101431</t>
  </si>
  <si>
    <t>101432</t>
  </si>
  <si>
    <t>OPERADOR DE GUINCHO OU GUINCHEIRO COM ENCARGOS COMPLEMENTARES</t>
  </si>
  <si>
    <t>101433</t>
  </si>
  <si>
    <t>101434</t>
  </si>
  <si>
    <t>OPERADOR DE JATO ABRASIVO OU JATISTA COM ENCARGOS COMPLEMENTARES</t>
  </si>
  <si>
    <t>101435</t>
  </si>
  <si>
    <t>OPERADOR DE MÁQUINAS E TRATORES DIVERSOS COM ENCARGOS COMPLEMENTARES</t>
  </si>
  <si>
    <t>101436</t>
  </si>
  <si>
    <t>101437</t>
  </si>
  <si>
    <t>OPERADOR DE MOTO SCRAPER COM ENCARGOS COMPLEMENTARES</t>
  </si>
  <si>
    <t>101438</t>
  </si>
  <si>
    <t>101439</t>
  </si>
  <si>
    <t>101440</t>
  </si>
  <si>
    <t>OPERADOR DE PAVIMENTADORA / MESA VIBROACABADORA COM ENCARGOS COMPLEMENTARES</t>
  </si>
  <si>
    <t>101441</t>
  </si>
  <si>
    <t>101443</t>
  </si>
  <si>
    <t>101444</t>
  </si>
  <si>
    <t>101445</t>
  </si>
  <si>
    <t>101446</t>
  </si>
  <si>
    <t>101447</t>
  </si>
  <si>
    <t>101448</t>
  </si>
  <si>
    <t>101449</t>
  </si>
  <si>
    <t>POCEIRO / ESCAVADOR DE VALAS COM ENCARGOS COMPLEMENTARES</t>
  </si>
  <si>
    <t>101451</t>
  </si>
  <si>
    <t>101452</t>
  </si>
  <si>
    <t>SERVENTE DE OBRAS COM ENCARGOS COMPLEMENTARES</t>
  </si>
  <si>
    <t>101453</t>
  </si>
  <si>
    <t>101454</t>
  </si>
  <si>
    <t>SOLDADOR ELÉTRICO COM ENCARGOS COMPLEMENTARES</t>
  </si>
  <si>
    <t>101456</t>
  </si>
  <si>
    <t>TÉCNICO DE LABORATÓRIO E CAMPO DE CONSTRUÇÃO COM ENCARGOS COMPLEMENTARES</t>
  </si>
  <si>
    <t>101457</t>
  </si>
  <si>
    <t>TÉCNICO EM SONDAGEM COM ENCARGOS COMPLEMENTARES</t>
  </si>
  <si>
    <t>101458</t>
  </si>
  <si>
    <t>TELHADOR COM ENCARGOS COMPLEMENTARES</t>
  </si>
  <si>
    <t>101459</t>
  </si>
  <si>
    <t>101460</t>
  </si>
  <si>
    <t>Preço (R$) SEM BDI</t>
  </si>
  <si>
    <t>Rodapé de cerâmica PEI-3, assentado com argamassa de cimento cola h = 7.0 cm, inclusive rejuntamento com cimento branco</t>
  </si>
  <si>
    <t>Quadro de distribuição de energia em PVC, de embutir, com 12 divisões modulares com barramento</t>
  </si>
  <si>
    <t>Ponto padrão de luz no teto - considerando eletroduto PVC rígido de 3/4" inclusive conexões (4.5m), fio isolado PVC de 2.5mm2 (16.2m) e caixa PVC 4x4" (1 und)</t>
  </si>
  <si>
    <t>Ponto padrão de luz na parede - considerando eletroduto PVC rígido de 3/4" inclusive conexões (4.5m), fio isolado PVC de 2.5mm2 (16.2m) e caixa pvc 4x2" (1 und)</t>
  </si>
  <si>
    <t>Ponto padrão de tomada 2 pólos mais terra - considerando eletroduto PVC rígido de 3/4" inclusive conexões (5.0m), fio isolado PVC de 2.5mm2 (16.5m) e caixa pvc 4x2" (1 und)</t>
  </si>
  <si>
    <t>Ponto padrão de tomada para chuveiro elétrico - considerando eletroduto PVC rígido de 3/4" inclusive conexões (9.0m), fio isolado PVC de 6.0mm2 (32.5m) e caixa PVC 4x2" (1 und)</t>
  </si>
  <si>
    <t>Ponto padrão de tomada para ar refrigerado - considerando eletroduto PVC rígido de 3/4" inclusive conexões (6.0m), fio isolado PVC de 4.0mm2 (21.6m) e caixa PVC 4x2" (1 und)</t>
  </si>
  <si>
    <t>Ponto padrão de ventilador no teto - considerando eletroduto PVC rígido de 3/4" inclusive conexões (4.5m), fio isolado PVC de 2.5mm2 (21.6m) e caixa PVC 4x4" (1 und)</t>
  </si>
  <si>
    <t>Ponto padrão de interruptor de 2 teclas simples - considerando eletroduto PVC rígido de 3/4" inclusive conexões (3.3m), fio isolado PVC de 2.5mm2 (17.2m) e caixa PVC 4x2" (1 und)</t>
  </si>
  <si>
    <t>Ponto padrão de interruptor de 1 tecla paralelo - considerando eletroduto PVC rígido de 3/4" inclusive conexões (8.5m), fio isolado PVC de 2.5mm2 (28.8m) e caixa PVC 4x2" (1 und)</t>
  </si>
  <si>
    <t>Ponto padrão de interruptor de 1 tecla simples e 1 tomada dois pólos mais terra 10A/250V - considerando eletroduto PVC rígido de 3/4" inclusive conexões (4.5m), fio isolado PVC de 2.5mm2 (19.4m) e caixa PVC 4x2" (1 und)</t>
  </si>
  <si>
    <t>Ponto padrão de interruptor de 2 teclas simples e 1 tomada dois pólos mais terra 10A/250V - considerando eletroduto PVC rígido de 3/4" inclusive conexões (4.5m), fio isolado PVC de 2.5mm2 (22.9m) e caixa PVC 4x2" (1 und)</t>
  </si>
  <si>
    <t>Ponto padrão de campainha - considerando eletroduto PVC rígido de 3/4" inclusive conexões (5.0m), fio isolado PVC de 2.5mm2 (12.0m) e caixa PVC 4x2" (1 und)</t>
  </si>
  <si>
    <t>Ponto padrão de interruptor para ventilador - considerando eletroduto PVC rígido de 3/4" inclusive conexões (3.3m), fio isolado PVC de 2.5mm2 (12.0m) e caixa PVC 4x2" (1 und)</t>
  </si>
  <si>
    <t>Ponto padrão de interruptor de 3 teclas simples - considerando eletroduto PVC rígido de 3/4" inclusive conexões (4.5m), fio isolado PVC de 2.5mm2 (25.8m) e caixa PVC 4x2" (1 und)</t>
  </si>
  <si>
    <t>Ponto de antena de TV - considerando eletroduto PVC rígido de 3/4" inclusive conexões (3.0m), cabo coaxial 67 Ohms (4.5m) e caixa PVC 4x2" (1 und)</t>
  </si>
  <si>
    <t>Ponto padrão de interruptor de 1 tecla intermediário - considerando eletroduto PVC rígido de 3/4" inclusive conexões (3.3m), fio isolado PVC de 2.5mm2 (15.8m) e caixa PVC 4x2" (1 und)</t>
  </si>
  <si>
    <t>Espelho 4" x 2" com conector RJ 45 fêmea CAT. 5e</t>
  </si>
  <si>
    <t>Fornecimento e instalação de Cabo de rede par trançado 4 pares Categoria 5e</t>
  </si>
  <si>
    <t>LUMINARIAS PARA LÂMPADAS LED</t>
  </si>
  <si>
    <t>Luminária embutir compl., corpo ch. aço pintada branca, refletor,aletas parabólicas alum.alta pureza e refletância nclusive 4 lâmpadas LED T8 9W temp. de cor 5000k - Ref.CE416AL-N - AMES, 6026 - LUMAVI OU EQUIVALENTE</t>
  </si>
  <si>
    <t>Aplicação de tinta epóxi de alta espessura semibrilhante sobre piso de concreto a três demãos, inclusive selador epóxi a uma demão - Ref. Intergard 2005 e 2001 - Internacional ou equivalente</t>
  </si>
  <si>
    <t>AJUDANTE (AJUDANTE PRATICO - SINDUSCON)</t>
  </si>
  <si>
    <t>AZULEJISTA (OFICIAL - SINDUSCON)</t>
  </si>
  <si>
    <t>CALCETEIRO/PINTOR (OFICIAL - SINDUSCON)</t>
  </si>
  <si>
    <t>CARPINTEIRO (OFICIAL - SINDUSCON)</t>
  </si>
  <si>
    <t>ELETRICISTA (OFICIAL - SINDUSCON)</t>
  </si>
  <si>
    <t>ELETROTECNICO MONTADOR - SINTRACONST</t>
  </si>
  <si>
    <t>ENCANADOR - (OFICIAL - SINDUSCON)</t>
  </si>
  <si>
    <t>ARMADOR (OFICIAL - SINDUSCON)</t>
  </si>
  <si>
    <t>GRANITEIRO/MARMORISTA (OFICIAL - SINDUSCON)</t>
  </si>
  <si>
    <t>LADRILHISTA - (OFICIAL - SINDUSCON)</t>
  </si>
  <si>
    <t>MONTADOR (SINTRACONST)</t>
  </si>
  <si>
    <t>PASTILHEIRO - (OFICIAL - SINDUSCON)</t>
  </si>
  <si>
    <t>PEDREIRO - (OFICIAL - SINDUSCON)</t>
  </si>
  <si>
    <t>PINTOR -(OFICIAL - SINDUSCON)</t>
  </si>
  <si>
    <t>SERVENTE (AUXILIAR DE OBRAS - SINDUSCON)</t>
  </si>
  <si>
    <t>TELHADISTA - (OFICIAL - SINDUSCON)</t>
  </si>
  <si>
    <t>NIVELADOR (SINTEC)</t>
  </si>
  <si>
    <t>AUXILIAR DE CAMPO (SINTEC)</t>
  </si>
  <si>
    <t>AJUDANTE MONTADOR ELETROMECÂNICO - (AJUDANTE DE MONTAGEM SINTRACONST)</t>
  </si>
  <si>
    <t>MONTADOR DE ESTRUTURA - SINTRACONST</t>
  </si>
  <si>
    <t>PECA EM MADEIRA PINUS 10 X 2.5 CM (BRUTA)</t>
  </si>
  <si>
    <t>PECA EM MADEIRA 7 X 2 CM (BRUTA)</t>
  </si>
  <si>
    <t>SARRAFO DE MADEIRA PINUS 10 X 2.5CM</t>
  </si>
  <si>
    <t>TABUA DE MADEIRA PINUS 30 X 2.5 CM (TAIPA DE 1ª)</t>
  </si>
  <si>
    <t>TABUA DE MADEIRA PINUS 30 X 2.5 CM</t>
  </si>
  <si>
    <t>MADEIRA DE LEI PARA TELHADO COLONIAL/TELHA FRANCESA</t>
  </si>
  <si>
    <t>SARRAFO DE MADEIRA DE LEI 8 X 2.5 CM (BRUTA)</t>
  </si>
  <si>
    <t>MADEIRA DE LEI PARA TELHADO</t>
  </si>
  <si>
    <t>RIPA MADEIRA DE LEI DE 7 X 2 CM</t>
  </si>
  <si>
    <t>PECA EM MADEIRA E LEI 6X16CM (BRUTA)</t>
  </si>
  <si>
    <t>PECA EM MADEIRA DE LEI 7X5CM (BRUTA)</t>
  </si>
  <si>
    <t>ADITIVO SIKA 1</t>
  </si>
  <si>
    <t>TELHA METALICA ONDULADA ACO GALVALUME ESP 0.5MM PRE PINTADA 1 FACE COR RAL 9003 (BRANCA) - PERFILOR, MULTI TELHAS, ISOESTE OU EQUIVALENTE</t>
  </si>
  <si>
    <t>FITAS ANTI-CORROSIVAS PRETA PARA ASSENT TELHAS</t>
  </si>
  <si>
    <t>BUCHA PLASTICA S-7</t>
  </si>
  <si>
    <t>GRAMPO P/ CERCA GALVANIZADO</t>
  </si>
  <si>
    <t>BUCHA PLASTICA S-5</t>
  </si>
  <si>
    <t>BUCHA PLASTICA S-8</t>
  </si>
  <si>
    <t>BUCHA PLASTICA COM PARAFUSO - 6MM</t>
  </si>
  <si>
    <t>COLA BRANCA "PVA" CASCOLA/FORMICA/MUNDIAL/EQUIVALENTE</t>
  </si>
  <si>
    <t>CILINDRO DE GAS DE COZINHA 45 KG (VAZIO)</t>
  </si>
  <si>
    <t>PORTA MADEIRA DE LEI LISA MEDIA SARRAFEADA ESP.30MM 0.80 X 1.80M P/ PINTURA</t>
  </si>
  <si>
    <t>PORTA EM MADEIRA DE LEI LISA MEDIA SARRAFEADA P/ PINTURA 0.60 X 1.80M</t>
  </si>
  <si>
    <t>PORTA DE VENEZIANA EM MADEIRA DE LEI, 0.7 X 2.10M</t>
  </si>
  <si>
    <t>PORTA DE VENEZIANA EM MADEIRA DE LEI, 0.60 X 2.10M</t>
  </si>
  <si>
    <t>PORTA DE VENEZIANA EM MADEIRA DE LEI 0.80 X 2.10M</t>
  </si>
  <si>
    <t>PORTA MAD LEI LISA MEDIA SARRAFEADA 30MM 0.70 X 2.10M C/VISOR 0.40 X 0.60M</t>
  </si>
  <si>
    <t>PORTA MAD LEI LISA MEDIA SARRAFEADA 30MM 0.80 X 2.10M C/ VISOR 0.40 X 0.60M</t>
  </si>
  <si>
    <t>PORTA MAD LEI LISA MEDIA SARRAFEADA 30MM 0.90 X 2.10M C/ VISOR 0.40 X 0.60M</t>
  </si>
  <si>
    <t>FECHADURA COMPLETA PORTA EXTERNA</t>
  </si>
  <si>
    <t>PERFIL "U" EM ALUMINIO ANODIZADO NATURAL 1/2" X 1/2" ESP. 1/16"</t>
  </si>
  <si>
    <t>SELADOR EPOXI INTERGARD 2001 VERNIZ INCOLOR - INTERNACIONAL OU EQUIVALENTE</t>
  </si>
  <si>
    <t>TINTA EPOXI INTERGARD INTERNATIONAL REF2005 (CINZA OU BRANCO) INCLUSIVE O COMPONENTE B - INTERNACIONAL OU EQUIVALENTE</t>
  </si>
  <si>
    <t>MASSA PARA MADEIRA</t>
  </si>
  <si>
    <t>REVESTIMENTOS (PEDRAS NATURAIS) - CONTINUAÇÃO</t>
  </si>
  <si>
    <t>GRANITO CINZA ANDORINHA ESP 2CM POLIDO NAS DUAS FACES</t>
  </si>
  <si>
    <t>LAMPADAS (CONTINUAÇÃO)</t>
  </si>
  <si>
    <t>LAMPADA TUBULAR LED T8 9W 600MM BIVOLT CERTIFICADA INMETRO</t>
  </si>
  <si>
    <t>ARMACAO SECUNDARIA 2 ESTRIBOS COM HASTE 16X150MM</t>
  </si>
  <si>
    <t>QUADRO DIST EMBUTIR MET C/ BARRAMENTO TRIFASICO 18 CIRC - 100A C/ TRINCO</t>
  </si>
  <si>
    <t>QUADRO DIST EMBUTIR MET C/ BARRAMENTO TRIFASICO 40 CIRC - 100A C/ TRINCO</t>
  </si>
  <si>
    <t>QUADRO DIST EMBUTIR MET C/ BARRAMENTO TRIFASICO 24 CIRC - 100A C/ TRINCO</t>
  </si>
  <si>
    <t>QUADRO DIST EMBUTIR MET C/ BARRAMENTO TRIFASICO 32 CIRC - 100A C/ TRINCO</t>
  </si>
  <si>
    <t>QUADRO DIST EMBUTIR PVC 3 CIRC S/ BARRAMENTO C/ TRINCO</t>
  </si>
  <si>
    <t>QUADRO DIST EMBUTIR MET C/ BARRAMENTO TRIFASICO 16 CIRC - 100A C/ TRINCO</t>
  </si>
  <si>
    <t>QUADRO DIST EMBUTIR MET C/ BARRAMENTO TRIFASICO 28 CIRC - 100A C/ TRINCO</t>
  </si>
  <si>
    <t>QUADRO DIST EMBUTIR MET C/ BARRAMENTO TRIFASICO 44 CIRC - 150A C/ TRINCO</t>
  </si>
  <si>
    <t>QUADRO DIST EMBUTIR MET C/ BARRAMENTO TRIFASICO 54 CIRC - 100A C/ TRINCO</t>
  </si>
  <si>
    <t>QUADRO DIST EMBUTIR MET C/ BARRAMENTO TRIFASICO 44 CIRC - 100A C/ TRINCO</t>
  </si>
  <si>
    <t>QUADRO DISTRIB EM PVC 12 CIRCUITOS - BARRAMENTO 100A</t>
  </si>
  <si>
    <t>QUADRO DIST EMBUTIR MET C/ BARRAMENTO TRIFASICO 34 CIRC - 100A C/ TRINCO</t>
  </si>
  <si>
    <t>ELETRODUTO FERRO GALV LEVE - 2.1/2"</t>
  </si>
  <si>
    <t>CANALETA DE DISTRIBUICAO 20X10CM COMPRIMENTO 2,00 M, COM TAMPA, SEM ADESIVO E COM DIVISORIAS, REF. 308 01X LEGRAND SISTEMA X OU EQUIVALENTE</t>
  </si>
  <si>
    <t>CABO TELEFONICO CI C/ 30 PARES Ø 50 MM</t>
  </si>
  <si>
    <t>CABO PP ISOLAMENTO 1000V, 3 X 4.00 MM2 - PIRELLI OU EQUIVALENTE</t>
  </si>
  <si>
    <t>CABO PP ISOLAMENTO 1000V, 2 X 2.5 MM2 - PIRELLI OU EQUIVALENTE</t>
  </si>
  <si>
    <t>CABO DE COBRE PP FLEX ISOL. PVC 1000V ANTI-CHAMA 70º - 3 X 2,5MM2</t>
  </si>
  <si>
    <t>DISJUNTOR CX MOLDADA TRIPOLAR 100A - CURVA C - 15KA 220/127V</t>
  </si>
  <si>
    <t>DISJUNTOR CX MOLDADA TERMOMAGNETICO TRIPOLAR 125A</t>
  </si>
  <si>
    <t>DISPOSITIVO INTERRUPTOR DR BIPOLAR 25A OU 40A OU 63A - 30 MA</t>
  </si>
  <si>
    <t>CAIXA 4X4" EM ALUMINIO P/ PISO</t>
  </si>
  <si>
    <t>CONDULETE ALUMINIO SILICO, SAIDA T, ENTRADA ROSCA BSP 3/4" C/ VEDACAO E TAMPA</t>
  </si>
  <si>
    <t>LUMINARIA SOBR 2X16W CORPO CH ACO PINT ELETROST REFLETOR E ALETAS - REF. CS216AL-N - AMES, 663 - LUMAVI OU EQUIVALENTE</t>
  </si>
  <si>
    <t>LUMINARIA SOBR 2X32W CORPO CH ACO PINT ELETROST REFLETOR E ALETAS - REF. CS232AL-N - AMES, 664 - LUMAVI OU EQUIVALENTE</t>
  </si>
  <si>
    <t>LUMINARIA EMB 2X32W CORPO CH ACO PINT ELETROST REFLETOR E ALETAS - REF. CE232AL-N - AMES, 900 - LUMAVI -LDEF 2X32W - LUMILUZ OU EQUIVALENTE</t>
  </si>
  <si>
    <t>LUMINARIA SOBR 4X16W CORPO CH ACO PINT ELETROST REFLETOR E ALETAS - REF. CS416AL-N - AMES, 665 - LUMAVI OU EQUIVALENTE</t>
  </si>
  <si>
    <t>LUMINARIA EMB 2X16W CORPO CH ACO PINT ELETROST REFLETOR E ALETAS - REF. CE216AL-N - AMES, 901 - LUMAVI OU EQUIVALENTE</t>
  </si>
  <si>
    <t>PRESILHA DE LATAO FURO Ø5MM PARA CABOS 35-50MM² - TEL-744 - TERMOTECNICA OU EQUIVALENTE</t>
  </si>
  <si>
    <t>CABECOTE DE ALUMINIO FUNDIDO 2 1/2"</t>
  </si>
  <si>
    <t>TERMINAL A COMPRESSAO TIPO OLHAL #70MM2</t>
  </si>
  <si>
    <t>BUCHA DE ALUMINIO FUNDIDO 3/4" C/ ROSCA BSP- WETZEL OU EQUIVALENTE</t>
  </si>
  <si>
    <t>BUCHA DE ALUMINIO FUNDIDO 1" C/ ROSCA BSP- WETZEL OU EQUIVALENTE</t>
  </si>
  <si>
    <t>BUCHA DE ALUMINIO FUNDIDO 1 1/2" C/ ROSCA BSP- WETZEL OU EQUIVALENTE</t>
  </si>
  <si>
    <t>BUCHA DE ALUMINIO FUNDIDO 2" C/ ROSCA BSP- WETZEL OU EQUIVALENTE</t>
  </si>
  <si>
    <t>BUCHA DE ALUMINIO FUNDIDO 3" C/ ROSCA BSP- WETZEL OU EQUIVALENTE</t>
  </si>
  <si>
    <t>BUCHA DE ALUMINIO FUNDIDO 4" C/ ROSCA BSP- WETZEL OU EQUIVALENTE</t>
  </si>
  <si>
    <t>BUCHA DE ALUMINIO FUNDIDO 6" C/ ROSCA BSP- WETZEL OU EQUIVALENTE</t>
  </si>
  <si>
    <t>ARRUELA DE ALUMINIO FUNDIDO 3/4" - WETZEL OU EQUIVALENTE</t>
  </si>
  <si>
    <t>ARRUELA DE ALUMINIO FUNDIDO 1" - WETZEL OU EQUIVALENTE</t>
  </si>
  <si>
    <t>ARRUELA DE ALUMINIO FUNDIDO 1 1/2" - WETZEL OU EQUIVALENTE</t>
  </si>
  <si>
    <t>ARRUELA DE ALUMINIO FUNDIDO 2" - WETZEL OU EQUIVALENTE</t>
  </si>
  <si>
    <t>ARRUELA DE ALUMINIO FUNDIDO 3" - WETZEL OU EQUIVALENTE</t>
  </si>
  <si>
    <t>ARRUELA DE ALUMINIO FUNDIDO 4" - WETZEL OU EQUIVALENTE</t>
  </si>
  <si>
    <t>ARRUELA DE ALUMINIO FUNDIDO 6" - WETZEL OU EQUIVALENTE</t>
  </si>
  <si>
    <t>CANTONEIRA "ZZ" ALTA P/PERFILADO 38/38 - REF. 114-11-Z, MOPA</t>
  </si>
  <si>
    <t>CONECTOR PARAFUSO FENDIDO SPLIT-BOLT (KS-17) P/CABO 4 - 10MM2 - BURNDY OU EQUIVALENTE</t>
  </si>
  <si>
    <t>TAMPA DE FERRO R2 DIM. 1070X520MM PADRAO TELEBRAS (TRAFEGO LEVE)</t>
  </si>
  <si>
    <t>CONECTOR PARAFUSO FENDIDO SPLIT-BOLT (KS-26) P/CABO 35 - 70MM2 - BURNDY OU EQUIVALENTE</t>
  </si>
  <si>
    <t>REATOR EXT. P/LAMPADA VAPOR MERCURIO TECNOWATT 400W/220V</t>
  </si>
  <si>
    <t>TERMINAL MECANICO P/CABO 16MM2</t>
  </si>
  <si>
    <t>SAÍDA HORIZONTAL P/ ELETRODUTO Ø 2"</t>
  </si>
  <si>
    <t>ESPELHO 4X2" C/ 1 CONECTOR RJ-45 FEMEA CAT 5E</t>
  </si>
  <si>
    <t>BUJAO DE ACO GALVANIZADO 2 1/2"</t>
  </si>
  <si>
    <t>TUBO DE ACO GALVANIZADO 21,30 X 2,25MM (1/2") LEVE</t>
  </si>
  <si>
    <t>TUBO DE ACO GALVANIZADO 26,90 X 2,25MM (3/4") LEVE</t>
  </si>
  <si>
    <t>TUBO DE ACO GALVANIZADO 33,40 X 2,65MM (1") LEVE</t>
  </si>
  <si>
    <t>TUBO DE ACO GALVANIZADO 42,40 X 2,65MM (1 1/4") LEVE</t>
  </si>
  <si>
    <t>TUBO DE ACO GALVANIZADO 48,30 X 3,00MM (1 1/2") LEVE</t>
  </si>
  <si>
    <t>TUBO DE ACO GALVANIZADO 60,30 X 3,00MM (2") LEVE</t>
  </si>
  <si>
    <t>TUBO DE ACO GALVANIZADO 76,10 X 3,35MM (2 1/2") LEVE</t>
  </si>
  <si>
    <t>TUBO DE ACO GALVANIZADO 88,90 X 3,35MM (3") LEVE</t>
  </si>
  <si>
    <t>TUBO DE ACO GALVANIZADO 114,30 X 3,75MM (4") LEVE</t>
  </si>
  <si>
    <t>TUBO DE ESGOTO DE PVC SERIE "R" CINZA (6") - 150MM - TIGRE, AMANCO OU EQUIVALENTE</t>
  </si>
  <si>
    <t>TUBO DE PVC SOLDAVEL MARROM 20MM (AGUA FRIA) - TIGRE, AMANCO OU EQUIVALENTE</t>
  </si>
  <si>
    <t>TUBO DE PVC SOLDAVEL MARROM 25MM (AGUA FRIA) - TIGRE, AMANCO OU EQUIVALENTE</t>
  </si>
  <si>
    <t>TUBO DE PVC SOLDAVEL MARROM 32MM (AGUA FRIA) - TIGRE, AMANCO OU EQUIVALENTE</t>
  </si>
  <si>
    <t>TUBO DE PVC SOLDAVEL MARROM 40MM (AGUA FRIA) - TIGRE, AMANCO OU EQUIVALENTE</t>
  </si>
  <si>
    <t>TUBO DE PVC SOLDAVEL MARROM 50MM (AGUA FRIA) - TIGRE, AMANCO OU EQUIVALENTE</t>
  </si>
  <si>
    <t>TUBO DE PVC SOLDAVEL MARROM 60MM (AGUA FRIA) - TIGRE, AMANCO OU EQUIVALENTE</t>
  </si>
  <si>
    <t>TUBO DE PVC SOLDAVEL MARROM 75MM (AGUA FRIA) - TIGRE, AMANCO OU EQUIVALENTE</t>
  </si>
  <si>
    <t>TUBO DE PVC SOLDAVEL MARROM 85MM (AGUA FRIA) - TIGRE, AMANCO OU EQUIVALENTE</t>
  </si>
  <si>
    <t>TUBO DE ESGOTO PRIMARIO DE PVC BRANCO SERIE NORMAL(1.1/2") - 40MM - TIGRE, AMANCO OU EQUIVALENTE</t>
  </si>
  <si>
    <t>TUBO DE ESGOTO PRIMARIO DE PVC BRANCO SERIE NORMAL (2") - 50MM - TIGRE, AMANCO OU EQUIVALENTE</t>
  </si>
  <si>
    <t>TUBO DE ESGOTO PRIMARIO DE PVC BRANCO SERIE NORMAL (3") - 75MM - TIGRE, AMANCO OU EQUIVALENTE</t>
  </si>
  <si>
    <t>TUBO DE ESGOTO PRIMARIO DE PVC BRANCO SERIE NORMAL (4") - 100MM - TIGRE, AMANCO OU EQUIVALENTE</t>
  </si>
  <si>
    <t>TUBO DE ESGOTO PRIMARIO DE PVC BRANCO SERIE NORMAL (6") - 150MM - TIGRE, AMANCO OU EQUIVALENTE</t>
  </si>
  <si>
    <t>TUBO DE ESGOTO PRIMARIO DE PVC BRANCO SERIE NORMAL (8") - 200MM - TIGRE, AMANCO OU EQUIVALENTE</t>
  </si>
  <si>
    <t>VALVULA DE ESCOAMENTO P/ PIA OU TANQUE 1.1/4" CROMADA</t>
  </si>
  <si>
    <t>VALVULA DE DESCARGA P/ MICTORIO 1.1/2"</t>
  </si>
  <si>
    <t>CAIXA ACOPLADA P/ BACIA LOUCA INCL. VALVULA COM DUPLO ACIONAMENTO - REF. CD.00F - DECA OU EQUIVALENTE</t>
  </si>
  <si>
    <t>TORNEIRA DE LAVATORIO PAREDE ANTI-VANDAL CROMADO BIOPRESS AV 140MM - 1182-AV-BIO-140 - FABRIMAR OU EQUIVALENTE</t>
  </si>
  <si>
    <t>ASSENTO POLIESTER P/ BACIA VOGUE PLUS AP51 - DECA OU EQUIVALENTE</t>
  </si>
  <si>
    <t>ASSENTO POLIESTER C/ ABERTURA FRONTAL P/ BACIA VOGUE PLUS AP52 - DECA OU EQUIVALENTE</t>
  </si>
  <si>
    <t>REMOCAO RESIDUOS CLASSE A CONAMA (CACAMBA) CLASSE II B (NBR10004) INCLUSIVE DESTINACAO FINAL</t>
  </si>
  <si>
    <t>TUBO ACO GALV 60,30 X 3,75MM (2") DIN 2440 - MEDIO</t>
  </si>
  <si>
    <t>TUBO ACO GALV. 33,70 X 3,35MM (1") DIN 2440 - MEDIO</t>
  </si>
  <si>
    <t>TUBO ACO GALV 26,90 X 2,65MM (3/4") DIN 2440 - MEDIO</t>
  </si>
  <si>
    <t>TUBO ACO GALV 76,10 X 3,75MM (2.1/2") DIN 2440 - MEDIO</t>
  </si>
  <si>
    <t>TUBO ACO GALV 48,30 X 3,35MM (1.1/2") DIN 2440 - MEDIO</t>
  </si>
  <si>
    <t>TUBO ACO GALV 101,60 X 4,25MM (3.1/2") DIN 2440 - MEDIO</t>
  </si>
  <si>
    <t>TUBO ACO GALV 88,90 X 4,00MM (3") DIN 2440 - MEDIO</t>
  </si>
  <si>
    <t>LUMINARIA EMB 4X16W CORPO CH ACO PINT ELETROST REFLETOR E ALETAS - REF. CE416AL-N - AMES, 6026 - LUMAVI OU EQUIVALENTE</t>
  </si>
  <si>
    <t>QUADRO DISTRIB. PVC DE EMBUTIR P/ 6 CIRCUITOS C/ BARRAMENTO C/ TRINCO</t>
  </si>
  <si>
    <t>QUADRO DISTRIB. PVC DE EMBUTIR P/ 12 CIRCUITOS S/ BARRAMENTO C/ TRINCO</t>
  </si>
  <si>
    <t>LAMPADA TUBULAR LED T8 18W 1200MM BIVOLT CERTIFICADA INMETRO</t>
  </si>
  <si>
    <t>CERAMICA LISA BRANCA REF POLAR 33X61 A - INCESA OU EQUIVALENE</t>
  </si>
  <si>
    <t>ESTOPA BRANCA - KG</t>
  </si>
  <si>
    <t>TECNICO SEGUNDO GRAU -A-(INCL.L SOCIAIS DE 49,11%)</t>
  </si>
  <si>
    <t>ENGENHEIRO SENIOR (INCL.L SOCIAIS DE 49,11%)</t>
  </si>
  <si>
    <t>PROGRAMADOR (INCL.L SOCIAIS DE 49,11%)</t>
  </si>
  <si>
    <t>DIGITADOR - 6 HORAS(INCL.L SOCIAIS DE 49,11%)</t>
  </si>
  <si>
    <t>MÃO DE OBRAS (SALARIO-MENSAL)</t>
  </si>
  <si>
    <t>ENGENHEIRO JUNIOR(INCL.L SOCIAIS DE 49,11%)</t>
  </si>
  <si>
    <t>TECNICO SEGUNDO GRAU -B - (INCL.L SOCIAIS DE 49,11%)</t>
  </si>
  <si>
    <t>TECNICO SEGUNDO GRAU-C- (INCL.L SOCIAIS DE 49,11%)</t>
  </si>
  <si>
    <t>GERENTE DE PROJETO (INCL.L SOCIAIS DE 49,11%)</t>
  </si>
  <si>
    <t>ANALISTA DE SISTEMAS (INCL.L SOCIAIS DE 49,11%)</t>
  </si>
  <si>
    <t>ANALISTA DESENVOLVIMENTO (INCL.L SOCIAIS DE 49,11%)</t>
  </si>
  <si>
    <t>GERENTE BD/SERVIDORES/REDES (INCL.L SOCIAIS DE 49,11%)</t>
  </si>
  <si>
    <t>DESIGNER GRÁFICO (INCL.L SOCIAIS DE 49,11%)</t>
  </si>
  <si>
    <t>ANALISTA SISTEMAS/SUPORTE(INCL.L SOCIAIS DE 49,11%)</t>
  </si>
  <si>
    <t>COORDENADOR TECNICO ESPECIALISTA(INCL.L SOCIAIS DE 49,11%)</t>
  </si>
  <si>
    <t>COTADOR(INCL.L SOCIAIS DE 49,11%)</t>
  </si>
  <si>
    <t>TECNICO NIVEL SUPERIOR(INCL.L SOCIAIS DE 49,11%)</t>
  </si>
  <si>
    <t>ENGENHEIRO PLENO (INCL.L SOCIAIS DE 49,11%)</t>
  </si>
  <si>
    <t>ALMOXARIFE (INCL.L SOCIAIS DE 49,11%)</t>
  </si>
  <si>
    <t>MESTRE OBRAS SENIOR (INCL.L SOCIAIS DE 49,11%)</t>
  </si>
  <si>
    <t>VIGIA (INCL.L SOCIAIS DE 49,11%)</t>
  </si>
  <si>
    <t>ENCARREGADO DE TURMA(INCL.L SOCIAIS DE 49,11%)</t>
  </si>
  <si>
    <t>TECNICO SEGUNDO GRAU -A-(INCL.L SOCIAIS DE 72,68%)</t>
  </si>
  <si>
    <t>ENGENHEIRO SENIOR (INCL.L SOCIAIS DE 72,68%)</t>
  </si>
  <si>
    <t>PROGRAMADOR (INCL.L SOCIAIS DE 72,68%)</t>
  </si>
  <si>
    <t>DIGITADOR - 6 HORAS(INCL.L SOCIAIS DE 72,68%)</t>
  </si>
  <si>
    <t>ENGENHEIRO JUNIOR(INCL.L SOCIAIS DE 72,68%)</t>
  </si>
  <si>
    <t>TECNICO SEGUNDO GRAU -B - (INCL.L SOCIAIS DE 72,68%)</t>
  </si>
  <si>
    <t>TECNICO SEGUNDO GRAU-C- (INCL.L SOCIAIS DE 72,68%)</t>
  </si>
  <si>
    <t>GERENTE DE PROJETO (INCL.L SOCIAIS DE 72,68%)</t>
  </si>
  <si>
    <t>ANALISTA DE SISTEMAS (INCL.L SOCIAIS DE 72,68%)</t>
  </si>
  <si>
    <t>ANALISTA DESENVOLVIMENTO (INCL.L SOCIAIS DE 72,68%)</t>
  </si>
  <si>
    <t>GERENTE BD/SERVIDORES/REDES (INCL.L SOCIAIS DE 72,68%)</t>
  </si>
  <si>
    <t>DESIGNER GRÁFICO (INCL.L SOCIAIS DE 72,68%)</t>
  </si>
  <si>
    <t>ANALISTA SISTEMAS/SUPORTE(INCL.L SOCIAIS DE 72,68%)</t>
  </si>
  <si>
    <t>COORDENADOR TECNICO ESPECIALISTA(INCL.L SOCIAIS DE 72,68%)</t>
  </si>
  <si>
    <t>COTADOR(INCL.L SOCIAIS DE 72,68%)</t>
  </si>
  <si>
    <t>TECNICO NIVEL SUPERIOR(INCL.L SOCIAIS DE 72,68%)</t>
  </si>
  <si>
    <t>ENGENHEIRO PLENO (INCL.L SOCIAIS DE 72,68%)</t>
  </si>
  <si>
    <t>ALMOXARIFE (INCL.L SOCIAIS DE 72,68%)</t>
  </si>
  <si>
    <t>MESTRE OBRAS SENIOR (INCL.L SOCIAIS DE 72,68%)</t>
  </si>
  <si>
    <t>VIGIA (INCL.L SOCIAIS DE 72,68%)</t>
  </si>
  <si>
    <t>AUX ALMOXARIFE (INCL.L SOCIAIS DE 72,68%)</t>
  </si>
  <si>
    <t>ENCARREGADO DE TURMA(INCL.L SOCIAIS DE 72,68%)</t>
  </si>
  <si>
    <t>01.02</t>
  </si>
  <si>
    <t>01.02.01</t>
  </si>
  <si>
    <t>06.02</t>
  </si>
  <si>
    <t>06.03</t>
  </si>
  <si>
    <t>06.03.01</t>
  </si>
  <si>
    <t>26,32</t>
  </si>
  <si>
    <t>93,16</t>
  </si>
  <si>
    <t>86,71</t>
  </si>
  <si>
    <t>69,25</t>
  </si>
  <si>
    <t>36,40</t>
  </si>
  <si>
    <t>61,77</t>
  </si>
  <si>
    <t>503,17</t>
  </si>
  <si>
    <t>7.000,00</t>
  </si>
  <si>
    <t>3,00</t>
  </si>
  <si>
    <t>33,78</t>
  </si>
  <si>
    <t>272,70</t>
  </si>
  <si>
    <t>193,14</t>
  </si>
  <si>
    <t>47,82</t>
  </si>
  <si>
    <t>179,33</t>
  </si>
  <si>
    <t>341,59</t>
  </si>
  <si>
    <t>68,42</t>
  </si>
  <si>
    <t>2.766,60</t>
  </si>
  <si>
    <t>2.950,00</t>
  </si>
  <si>
    <t>6.421,41</t>
  </si>
  <si>
    <t>8.062,94</t>
  </si>
  <si>
    <t>10.444,66</t>
  </si>
  <si>
    <t>3.993,64</t>
  </si>
  <si>
    <t>5.423,12</t>
  </si>
  <si>
    <t>8.388,89</t>
  </si>
  <si>
    <t>2.581,00</t>
  </si>
  <si>
    <t>4.375,16</t>
  </si>
  <si>
    <t>5.806,68</t>
  </si>
  <si>
    <t>39,24</t>
  </si>
  <si>
    <t>27,18</t>
  </si>
  <si>
    <t>45,00</t>
  </si>
  <si>
    <t>316,94</t>
  </si>
  <si>
    <t>324,94</t>
  </si>
  <si>
    <t>124,40</t>
  </si>
  <si>
    <t>127,08</t>
  </si>
  <si>
    <t>55,75</t>
  </si>
  <si>
    <t>148,13</t>
  </si>
  <si>
    <t>197,14</t>
  </si>
  <si>
    <t>285,39</t>
  </si>
  <si>
    <t>500,00</t>
  </si>
  <si>
    <t>61,27</t>
  </si>
  <si>
    <t>137,87</t>
  </si>
  <si>
    <t>85,99</t>
  </si>
  <si>
    <t>50,83</t>
  </si>
  <si>
    <t>240,96</t>
  </si>
  <si>
    <t>2.199,90</t>
  </si>
  <si>
    <t>1.849,72</t>
  </si>
  <si>
    <t>753,78</t>
  </si>
  <si>
    <t>10.892,05</t>
  </si>
  <si>
    <t>733,61</t>
  </si>
  <si>
    <t>1.144,86</t>
  </si>
  <si>
    <t>1.253,48</t>
  </si>
  <si>
    <t>1.236,63</t>
  </si>
  <si>
    <t>6.934,65</t>
  </si>
  <si>
    <t>3.215,55</t>
  </si>
  <si>
    <t>6.523,68</t>
  </si>
  <si>
    <t>1.325,66</t>
  </si>
  <si>
    <t>187.389,37</t>
  </si>
  <si>
    <t>41,47</t>
  </si>
  <si>
    <t>35,29</t>
  </si>
  <si>
    <t>96,11</t>
  </si>
  <si>
    <t>263,06</t>
  </si>
  <si>
    <t>277,95</t>
  </si>
  <si>
    <t>298,17</t>
  </si>
  <si>
    <t>35,55</t>
  </si>
  <si>
    <t>87,87</t>
  </si>
  <si>
    <t>121,27</t>
  </si>
  <si>
    <t>154,22</t>
  </si>
  <si>
    <t>319,56</t>
  </si>
  <si>
    <t>46,65</t>
  </si>
  <si>
    <t>536,68</t>
  </si>
  <si>
    <t>92,58</t>
  </si>
  <si>
    <t>105,66</t>
  </si>
  <si>
    <t>81,39</t>
  </si>
  <si>
    <t>83,11</t>
  </si>
  <si>
    <t>88,94</t>
  </si>
  <si>
    <t>94,58</t>
  </si>
  <si>
    <t>112,89</t>
  </si>
  <si>
    <t>115,50</t>
  </si>
  <si>
    <t>140,40</t>
  </si>
  <si>
    <t>136,09</t>
  </si>
  <si>
    <t>171,90</t>
  </si>
  <si>
    <t>181,85</t>
  </si>
  <si>
    <t>186,29</t>
  </si>
  <si>
    <t>108,86</t>
  </si>
  <si>
    <t>134,88</t>
  </si>
  <si>
    <t>165,34</t>
  </si>
  <si>
    <t>217,72</t>
  </si>
  <si>
    <t>272,46</t>
  </si>
  <si>
    <t>355,43</t>
  </si>
  <si>
    <t>456,58</t>
  </si>
  <si>
    <t>107,72</t>
  </si>
  <si>
    <t>134,48</t>
  </si>
  <si>
    <t>163,67</t>
  </si>
  <si>
    <t>216,32</t>
  </si>
  <si>
    <t>30,88</t>
  </si>
  <si>
    <t>215,71</t>
  </si>
  <si>
    <t>253,59</t>
  </si>
  <si>
    <t>276,33</t>
  </si>
  <si>
    <t>343,54</t>
  </si>
  <si>
    <t>404,92</t>
  </si>
  <si>
    <t>476,43</t>
  </si>
  <si>
    <t>144,86</t>
  </si>
  <si>
    <t>651,20</t>
  </si>
  <si>
    <t>171,92</t>
  </si>
  <si>
    <t>205,12</t>
  </si>
  <si>
    <t>213,85</t>
  </si>
  <si>
    <t>264,68</t>
  </si>
  <si>
    <t>342,44</t>
  </si>
  <si>
    <t>424,29</t>
  </si>
  <si>
    <t>83,09</t>
  </si>
  <si>
    <t>356,64</t>
  </si>
  <si>
    <t>149,16</t>
  </si>
  <si>
    <t>209,30</t>
  </si>
  <si>
    <t>274,35</t>
  </si>
  <si>
    <t>47,80</t>
  </si>
  <si>
    <t>169,20</t>
  </si>
  <si>
    <t>320,00</t>
  </si>
  <si>
    <t>27,93</t>
  </si>
  <si>
    <t>52,37</t>
  </si>
  <si>
    <t>51,65</t>
  </si>
  <si>
    <t>33,41</t>
  </si>
  <si>
    <t>56,26</t>
  </si>
  <si>
    <t>94,11</t>
  </si>
  <si>
    <t>142,19</t>
  </si>
  <si>
    <t>33,75</t>
  </si>
  <si>
    <t>195,00</t>
  </si>
  <si>
    <t>144,00</t>
  </si>
  <si>
    <t>48,28</t>
  </si>
  <si>
    <t>206,66</t>
  </si>
  <si>
    <t>121,94</t>
  </si>
  <si>
    <t>51,33</t>
  </si>
  <si>
    <t>98,01</t>
  </si>
  <si>
    <t>45,71</t>
  </si>
  <si>
    <t>201,84</t>
  </si>
  <si>
    <t>28,17</t>
  </si>
  <si>
    <t>34,29</t>
  </si>
  <si>
    <t>31,53</t>
  </si>
  <si>
    <t>14.750,00</t>
  </si>
  <si>
    <t>24,57</t>
  </si>
  <si>
    <t>20,81</t>
  </si>
  <si>
    <t>48,05</t>
  </si>
  <si>
    <t>79,63</t>
  </si>
  <si>
    <t>116,43</t>
  </si>
  <si>
    <t>204,01</t>
  </si>
  <si>
    <t>49,27</t>
  </si>
  <si>
    <t>93,50</t>
  </si>
  <si>
    <t>71,69</t>
  </si>
  <si>
    <t>101,12</t>
  </si>
  <si>
    <t>192,31</t>
  </si>
  <si>
    <t>280,61</t>
  </si>
  <si>
    <t>717,23</t>
  </si>
  <si>
    <t>32,61</t>
  </si>
  <si>
    <t>151,28</t>
  </si>
  <si>
    <t>23,31</t>
  </si>
  <si>
    <t>217,13</t>
  </si>
  <si>
    <t>47,90</t>
  </si>
  <si>
    <t>41,33</t>
  </si>
  <si>
    <t>59,98</t>
  </si>
  <si>
    <t>218,82</t>
  </si>
  <si>
    <t>58,74</t>
  </si>
  <si>
    <t>485,48</t>
  </si>
  <si>
    <t>798,58</t>
  </si>
  <si>
    <t>607,20</t>
  </si>
  <si>
    <t>897,67</t>
  </si>
  <si>
    <t>47,50</t>
  </si>
  <si>
    <t>104,90</t>
  </si>
  <si>
    <t>229,83</t>
  </si>
  <si>
    <t>473,79</t>
  </si>
  <si>
    <t>50,09</t>
  </si>
  <si>
    <t>39,61</t>
  </si>
  <si>
    <t>198,06</t>
  </si>
  <si>
    <t>34,96</t>
  </si>
  <si>
    <t>62,66</t>
  </si>
  <si>
    <t>181,09</t>
  </si>
  <si>
    <t>104,35</t>
  </si>
  <si>
    <t>493,93</t>
  </si>
  <si>
    <t>165,45</t>
  </si>
  <si>
    <t>236,62</t>
  </si>
  <si>
    <t>474,38</t>
  </si>
  <si>
    <t>71,15</t>
  </si>
  <si>
    <t>225,59</t>
  </si>
  <si>
    <t>100,94</t>
  </si>
  <si>
    <t>293,81</t>
  </si>
  <si>
    <t>560,93</t>
  </si>
  <si>
    <t>1.403,10</t>
  </si>
  <si>
    <t>38,72</t>
  </si>
  <si>
    <t>42,46</t>
  </si>
  <si>
    <t>44,36</t>
  </si>
  <si>
    <t>392,07</t>
  </si>
  <si>
    <t>1.300,97</t>
  </si>
  <si>
    <t>1.023,42</t>
  </si>
  <si>
    <t>1.584,58</t>
  </si>
  <si>
    <t>3.702,07</t>
  </si>
  <si>
    <t>301,10</t>
  </si>
  <si>
    <t>479,38</t>
  </si>
  <si>
    <t>802,79</t>
  </si>
  <si>
    <t>702,16</t>
  </si>
  <si>
    <t>1.301,11</t>
  </si>
  <si>
    <t>1.102,74</t>
  </si>
  <si>
    <t>1.816,21</t>
  </si>
  <si>
    <t>3.882,73</t>
  </si>
  <si>
    <t>45,05</t>
  </si>
  <si>
    <t>54,79</t>
  </si>
  <si>
    <t>84,04</t>
  </si>
  <si>
    <t>26,75</t>
  </si>
  <si>
    <t>68,33</t>
  </si>
  <si>
    <t>96,28</t>
  </si>
  <si>
    <t>150,44</t>
  </si>
  <si>
    <t>75,29</t>
  </si>
  <si>
    <t>101,56</t>
  </si>
  <si>
    <t>122,84</t>
  </si>
  <si>
    <t>231,25</t>
  </si>
  <si>
    <t>116,81</t>
  </si>
  <si>
    <t>137,63</t>
  </si>
  <si>
    <t>283,99</t>
  </si>
  <si>
    <t>241,04</t>
  </si>
  <si>
    <t>121,02</t>
  </si>
  <si>
    <t>123,18</t>
  </si>
  <si>
    <t>131,72</t>
  </si>
  <si>
    <t>224,62</t>
  </si>
  <si>
    <t>137,04</t>
  </si>
  <si>
    <t>150,36</t>
  </si>
  <si>
    <t>251,63</t>
  </si>
  <si>
    <t>278,67</t>
  </si>
  <si>
    <t>137,89</t>
  </si>
  <si>
    <t>150,43</t>
  </si>
  <si>
    <t>280,72</t>
  </si>
  <si>
    <t>451,42</t>
  </si>
  <si>
    <t>171,21</t>
  </si>
  <si>
    <t>200,62</t>
  </si>
  <si>
    <t>193,35</t>
  </si>
  <si>
    <t>447,92</t>
  </si>
  <si>
    <t>62,01</t>
  </si>
  <si>
    <t>212,32</t>
  </si>
  <si>
    <t>207,70</t>
  </si>
  <si>
    <t>243,88</t>
  </si>
  <si>
    <t>260,27</t>
  </si>
  <si>
    <t>259,30</t>
  </si>
  <si>
    <t>168,34</t>
  </si>
  <si>
    <t>588,48</t>
  </si>
  <si>
    <t>17,11</t>
  </si>
  <si>
    <t>84,33</t>
  </si>
  <si>
    <t>108,80</t>
  </si>
  <si>
    <t>171,87</t>
  </si>
  <si>
    <t>151,31</t>
  </si>
  <si>
    <t>177,24</t>
  </si>
  <si>
    <t>103,22</t>
  </si>
  <si>
    <t>119,49</t>
  </si>
  <si>
    <t>250,26</t>
  </si>
  <si>
    <t>191,25</t>
  </si>
  <si>
    <t>244,54</t>
  </si>
  <si>
    <t>363,06</t>
  </si>
  <si>
    <t>1.028,19</t>
  </si>
  <si>
    <t>5,28</t>
  </si>
  <si>
    <t>30,99</t>
  </si>
  <si>
    <t>103,70</t>
  </si>
  <si>
    <t>50,01</t>
  </si>
  <si>
    <t>12,77</t>
  </si>
  <si>
    <t>71,44</t>
  </si>
  <si>
    <t>53,34</t>
  </si>
  <si>
    <t>240,10</t>
  </si>
  <si>
    <t>76,97</t>
  </si>
  <si>
    <t>167,28</t>
  </si>
  <si>
    <t>102,03</t>
  </si>
  <si>
    <t>104,06</t>
  </si>
  <si>
    <t>100,66</t>
  </si>
  <si>
    <t>22,54</t>
  </si>
  <si>
    <t>49,56</t>
  </si>
  <si>
    <t>155,69</t>
  </si>
  <si>
    <t>261,58</t>
  </si>
  <si>
    <t>65,44</t>
  </si>
  <si>
    <t>72,79</t>
  </si>
  <si>
    <t>110,00</t>
  </si>
  <si>
    <t>427,42</t>
  </si>
  <si>
    <t>1.173,83</t>
  </si>
  <si>
    <t>1.266,37</t>
  </si>
  <si>
    <t>1.393,10</t>
  </si>
  <si>
    <t>112,61</t>
  </si>
  <si>
    <t>121,84</t>
  </si>
  <si>
    <t>403,63</t>
  </si>
  <si>
    <t>536,78</t>
  </si>
  <si>
    <t>752,53</t>
  </si>
  <si>
    <t>625,88</t>
  </si>
  <si>
    <t>774,10</t>
  </si>
  <si>
    <t>995,46</t>
  </si>
  <si>
    <t>1.097,25</t>
  </si>
  <si>
    <t>560,60</t>
  </si>
  <si>
    <t>300,89</t>
  </si>
  <si>
    <t>376,26</t>
  </si>
  <si>
    <t>250,67</t>
  </si>
  <si>
    <t>312,57</t>
  </si>
  <si>
    <t>148,86</t>
  </si>
  <si>
    <t>129,35</t>
  </si>
  <si>
    <t>154,40</t>
  </si>
  <si>
    <t>173,91</t>
  </si>
  <si>
    <t>233,96</t>
  </si>
  <si>
    <t>35,23</t>
  </si>
  <si>
    <t>196,27</t>
  </si>
  <si>
    <t>223,84</t>
  </si>
  <si>
    <t>223,37</t>
  </si>
  <si>
    <t>35,27</t>
  </si>
  <si>
    <t>4.619,55</t>
  </si>
  <si>
    <t>4.184,27</t>
  </si>
  <si>
    <t>2.473,08</t>
  </si>
  <si>
    <t>2.604,63</t>
  </si>
  <si>
    <t>382,54</t>
  </si>
  <si>
    <t>595,95</t>
  </si>
  <si>
    <t>884,00</t>
  </si>
  <si>
    <t>505,07</t>
  </si>
  <si>
    <t>1.161,17</t>
  </si>
  <si>
    <t>1.615,36</t>
  </si>
  <si>
    <t>666,26</t>
  </si>
  <si>
    <t>782,61</t>
  </si>
  <si>
    <t>922,88</t>
  </si>
  <si>
    <t>1.093,43</t>
  </si>
  <si>
    <t>1.069,52</t>
  </si>
  <si>
    <t>843,19</t>
  </si>
  <si>
    <t>1.068,64</t>
  </si>
  <si>
    <t>657,03</t>
  </si>
  <si>
    <t>662,06</t>
  </si>
  <si>
    <t>577,79</t>
  </si>
  <si>
    <t>390,51</t>
  </si>
  <si>
    <t>933,66</t>
  </si>
  <si>
    <t>29,20</t>
  </si>
  <si>
    <t>51,35</t>
  </si>
  <si>
    <t>29,48</t>
  </si>
  <si>
    <t>66,29</t>
  </si>
  <si>
    <t>43,41</t>
  </si>
  <si>
    <t>30,70</t>
  </si>
  <si>
    <t>45,55</t>
  </si>
  <si>
    <t>51,88</t>
  </si>
  <si>
    <t>122,24</t>
  </si>
  <si>
    <t>253,20</t>
  </si>
  <si>
    <t>708,42</t>
  </si>
  <si>
    <t>1.066,89</t>
  </si>
  <si>
    <t>1.486,15</t>
  </si>
  <si>
    <t>245,56</t>
  </si>
  <si>
    <t>145,07</t>
  </si>
  <si>
    <t>159,08</t>
  </si>
  <si>
    <t>271,39</t>
  </si>
  <si>
    <t>320,26</t>
  </si>
  <si>
    <t>319,19</t>
  </si>
  <si>
    <t>55,00</t>
  </si>
  <si>
    <t>55,32</t>
  </si>
  <si>
    <t>42,47</t>
  </si>
  <si>
    <t>215,82</t>
  </si>
  <si>
    <t>112,00</t>
  </si>
  <si>
    <t>64,77</t>
  </si>
  <si>
    <t>75,52</t>
  </si>
  <si>
    <t>103,76</t>
  </si>
  <si>
    <t>585,00</t>
  </si>
  <si>
    <t>457,03</t>
  </si>
  <si>
    <t>731,25</t>
  </si>
  <si>
    <t>664,21</t>
  </si>
  <si>
    <t>418,61</t>
  </si>
  <si>
    <t>16,37</t>
  </si>
  <si>
    <t>37,09</t>
  </si>
  <si>
    <t>83,52</t>
  </si>
  <si>
    <t>179,76</t>
  </si>
  <si>
    <t>293,91</t>
  </si>
  <si>
    <t>491,32</t>
  </si>
  <si>
    <t>50,59</t>
  </si>
  <si>
    <t>76,32</t>
  </si>
  <si>
    <t>120,35</t>
  </si>
  <si>
    <t>219,26</t>
  </si>
  <si>
    <t>361,64</t>
  </si>
  <si>
    <t>52,26</t>
  </si>
  <si>
    <t>36,83</t>
  </si>
  <si>
    <t>451.380,11</t>
  </si>
  <si>
    <t>401.300,00</t>
  </si>
  <si>
    <t>98,21</t>
  </si>
  <si>
    <t>165.000,00</t>
  </si>
  <si>
    <t>254.643,41</t>
  </si>
  <si>
    <t>250.468,92</t>
  </si>
  <si>
    <t>305.572,09</t>
  </si>
  <si>
    <t>314.765,46</t>
  </si>
  <si>
    <t>2.494,22</t>
  </si>
  <si>
    <t>6.664,10</t>
  </si>
  <si>
    <t>3.312,29</t>
  </si>
  <si>
    <t>3.113,16</t>
  </si>
  <si>
    <t>3.838,89</t>
  </si>
  <si>
    <t>55,66</t>
  </si>
  <si>
    <t>137,93</t>
  </si>
  <si>
    <t>42,52</t>
  </si>
  <si>
    <t>87,35</t>
  </si>
  <si>
    <t>86,20</t>
  </si>
  <si>
    <t>42,48</t>
  </si>
  <si>
    <t>69,10</t>
  </si>
  <si>
    <t>408,02</t>
  </si>
  <si>
    <t>58,83</t>
  </si>
  <si>
    <t>107,45</t>
  </si>
  <si>
    <t>94,90</t>
  </si>
  <si>
    <t>515.040,00</t>
  </si>
  <si>
    <t>804.266,62</t>
  </si>
  <si>
    <t>915.626,62</t>
  </si>
  <si>
    <t>534.373,31</t>
  </si>
  <si>
    <t>41,43</t>
  </si>
  <si>
    <t>53,07</t>
  </si>
  <si>
    <t>76,52</t>
  </si>
  <si>
    <t>15,59</t>
  </si>
  <si>
    <t>44,64</t>
  </si>
  <si>
    <t>88,00</t>
  </si>
  <si>
    <t>155,00</t>
  </si>
  <si>
    <t>116,98</t>
  </si>
  <si>
    <t>168,97</t>
  </si>
  <si>
    <t>168,96</t>
  </si>
  <si>
    <t>125,31</t>
  </si>
  <si>
    <t>137,98</t>
  </si>
  <si>
    <t>105,60</t>
  </si>
  <si>
    <t>164,03</t>
  </si>
  <si>
    <t>123,48</t>
  </si>
  <si>
    <t>57,96</t>
  </si>
  <si>
    <t>1.080,01</t>
  </si>
  <si>
    <t>9,55</t>
  </si>
  <si>
    <t>85,66</t>
  </si>
  <si>
    <t>80,94</t>
  </si>
  <si>
    <t>164,35</t>
  </si>
  <si>
    <t>317,40</t>
  </si>
  <si>
    <t>933,27</t>
  </si>
  <si>
    <t>6.438,55</t>
  </si>
  <si>
    <t>288,54</t>
  </si>
  <si>
    <t>16,25</t>
  </si>
  <si>
    <t>101,73</t>
  </si>
  <si>
    <t>110,18</t>
  </si>
  <si>
    <t>342,03</t>
  </si>
  <si>
    <t>230,88</t>
  </si>
  <si>
    <t>564,93</t>
  </si>
  <si>
    <t>469,19</t>
  </si>
  <si>
    <t>326,54</t>
  </si>
  <si>
    <t>145,86</t>
  </si>
  <si>
    <t>13,91</t>
  </si>
  <si>
    <t>31,26</t>
  </si>
  <si>
    <t>116,93</t>
  </si>
  <si>
    <t>224,92</t>
  </si>
  <si>
    <t>424,24</t>
  </si>
  <si>
    <t>36,52</t>
  </si>
  <si>
    <t>5.871,96</t>
  </si>
  <si>
    <t>12.717,43</t>
  </si>
  <si>
    <t>103,91</t>
  </si>
  <si>
    <t>130,08</t>
  </si>
  <si>
    <t>29,08</t>
  </si>
  <si>
    <t>54,38</t>
  </si>
  <si>
    <t>96,62</t>
  </si>
  <si>
    <t>125,22</t>
  </si>
  <si>
    <t>84,17</t>
  </si>
  <si>
    <t>60,26</t>
  </si>
  <si>
    <t>58,67</t>
  </si>
  <si>
    <t>101,57</t>
  </si>
  <si>
    <t>189,58</t>
  </si>
  <si>
    <t>59,93</t>
  </si>
  <si>
    <t>80,40</t>
  </si>
  <si>
    <t>163,35</t>
  </si>
  <si>
    <t>208,41</t>
  </si>
  <si>
    <t>258,11</t>
  </si>
  <si>
    <t>168,93</t>
  </si>
  <si>
    <t>206,98</t>
  </si>
  <si>
    <t>109,95</t>
  </si>
  <si>
    <t>99,45</t>
  </si>
  <si>
    <t>133,20</t>
  </si>
  <si>
    <t>350,79</t>
  </si>
  <si>
    <t>822,21</t>
  </si>
  <si>
    <t>107,49</t>
  </si>
  <si>
    <t>110,62</t>
  </si>
  <si>
    <t>292,76</t>
  </si>
  <si>
    <t>22,62</t>
  </si>
  <si>
    <t>38,67</t>
  </si>
  <si>
    <t>43,10</t>
  </si>
  <si>
    <t>51,53</t>
  </si>
  <si>
    <t>66,73</t>
  </si>
  <si>
    <t>59,72</t>
  </si>
  <si>
    <t>633,24</t>
  </si>
  <si>
    <t>703,03</t>
  </si>
  <si>
    <t>43,13</t>
  </si>
  <si>
    <t>91,45</t>
  </si>
  <si>
    <t>80,14</t>
  </si>
  <si>
    <t>37,78</t>
  </si>
  <si>
    <t>58,60</t>
  </si>
  <si>
    <t>27,00</t>
  </si>
  <si>
    <t>43,44</t>
  </si>
  <si>
    <t>70,57</t>
  </si>
  <si>
    <t>71,76</t>
  </si>
  <si>
    <t>203,76</t>
  </si>
  <si>
    <t>109,37</t>
  </si>
  <si>
    <t>322,09</t>
  </si>
  <si>
    <t>516,32</t>
  </si>
  <si>
    <t>68,01</t>
  </si>
  <si>
    <t>43,30</t>
  </si>
  <si>
    <t>185,25</t>
  </si>
  <si>
    <t>486,23</t>
  </si>
  <si>
    <t>216,79</t>
  </si>
  <si>
    <t>727,18</t>
  </si>
  <si>
    <t>2.090,29</t>
  </si>
  <si>
    <t>2.601,72</t>
  </si>
  <si>
    <t>53,55</t>
  </si>
  <si>
    <t>93,14</t>
  </si>
  <si>
    <t>999,55</t>
  </si>
  <si>
    <t>26,56</t>
  </si>
  <si>
    <t>495,20</t>
  </si>
  <si>
    <t>34,23</t>
  </si>
  <si>
    <t>150,25</t>
  </si>
  <si>
    <t>159,86</t>
  </si>
  <si>
    <t>55,57</t>
  </si>
  <si>
    <t>108,01</t>
  </si>
  <si>
    <t>69,67</t>
  </si>
  <si>
    <t>80,60</t>
  </si>
  <si>
    <t>2.495,96</t>
  </si>
  <si>
    <t>234,02</t>
  </si>
  <si>
    <t>4.789,26</t>
  </si>
  <si>
    <t>2.653,96</t>
  </si>
  <si>
    <t>90,24</t>
  </si>
  <si>
    <t>294,63</t>
  </si>
  <si>
    <t>428,70</t>
  </si>
  <si>
    <t>612,86</t>
  </si>
  <si>
    <t>672,47</t>
  </si>
  <si>
    <t>1.155,50</t>
  </si>
  <si>
    <t>756,98</t>
  </si>
  <si>
    <t>1.518,54</t>
  </si>
  <si>
    <t>878,27</t>
  </si>
  <si>
    <t>958,12</t>
  </si>
  <si>
    <t>1.139,76</t>
  </si>
  <si>
    <t>119,23</t>
  </si>
  <si>
    <t>203,30</t>
  </si>
  <si>
    <t>328,37</t>
  </si>
  <si>
    <t>406,69</t>
  </si>
  <si>
    <t>526,76</t>
  </si>
  <si>
    <t>2.099,82</t>
  </si>
  <si>
    <t>598,67</t>
  </si>
  <si>
    <t>1.579,81</t>
  </si>
  <si>
    <t>3.295,65</t>
  </si>
  <si>
    <t>229,61</t>
  </si>
  <si>
    <t>271,57</t>
  </si>
  <si>
    <t>1.119,48</t>
  </si>
  <si>
    <t>63,34</t>
  </si>
  <si>
    <t>132,46</t>
  </si>
  <si>
    <t>4.517,32</t>
  </si>
  <si>
    <t>5.540,05</t>
  </si>
  <si>
    <t>6.421,38</t>
  </si>
  <si>
    <t>8.481,72</t>
  </si>
  <si>
    <t>1.503,36</t>
  </si>
  <si>
    <t>2.093,78</t>
  </si>
  <si>
    <t>2.981,43</t>
  </si>
  <si>
    <t>166,69</t>
  </si>
  <si>
    <t>232,29</t>
  </si>
  <si>
    <t>327,77</t>
  </si>
  <si>
    <t>380,05</t>
  </si>
  <si>
    <t>70,45</t>
  </si>
  <si>
    <t>4.263,49</t>
  </si>
  <si>
    <t>5.434,93</t>
  </si>
  <si>
    <t>5.497,05</t>
  </si>
  <si>
    <t>49,26</t>
  </si>
  <si>
    <t>204,47</t>
  </si>
  <si>
    <t>131,24</t>
  </si>
  <si>
    <t>330,64</t>
  </si>
  <si>
    <t>562,69</t>
  </si>
  <si>
    <t>115,73</t>
  </si>
  <si>
    <t>73,67</t>
  </si>
  <si>
    <t>228,00</t>
  </si>
  <si>
    <t>184,14</t>
  </si>
  <si>
    <t>333,24</t>
  </si>
  <si>
    <t>420,95</t>
  </si>
  <si>
    <t>73,32</t>
  </si>
  <si>
    <t>54,69</t>
  </si>
  <si>
    <t>43,94</t>
  </si>
  <si>
    <t>133,05</t>
  </si>
  <si>
    <t>80,41</t>
  </si>
  <si>
    <t>206,13</t>
  </si>
  <si>
    <t>289,36</t>
  </si>
  <si>
    <t>41,97</t>
  </si>
  <si>
    <t>31,58</t>
  </si>
  <si>
    <t>223,10</t>
  </si>
  <si>
    <t>124,84</t>
  </si>
  <si>
    <t>305,85</t>
  </si>
  <si>
    <t>538,27</t>
  </si>
  <si>
    <t>159,91</t>
  </si>
  <si>
    <t>143,09</t>
  </si>
  <si>
    <t>320,39</t>
  </si>
  <si>
    <t>224,04</t>
  </si>
  <si>
    <t>442,52</t>
  </si>
  <si>
    <t>686,35</t>
  </si>
  <si>
    <t>85,13</t>
  </si>
  <si>
    <t>73,89</t>
  </si>
  <si>
    <t>42,24</t>
  </si>
  <si>
    <t>198,77</t>
  </si>
  <si>
    <t>124,04</t>
  </si>
  <si>
    <t>271,43</t>
  </si>
  <si>
    <t>471,09</t>
  </si>
  <si>
    <t>191,99</t>
  </si>
  <si>
    <t>TOTAL DO ITEM 3.0</t>
  </si>
  <si>
    <t>Retirada de caixa dágua de fibrocimento, inclusive tubulação de ligação</t>
  </si>
  <si>
    <t>Tapume Telha Metálica Ondulada em aço galvalume 0,50mm Branca h=2,20m, incl. montagem estr. mad. 8"x8", c/adesivo "DER-ES" 60x60cm a cada 10m, incl. faixas pint. esmalte sint. cores azul c/ h=30cm e rosa c/ h=10cm (Reaproveitamento 2x)</t>
  </si>
  <si>
    <t>Tapume madeira compensada resinada e= 12mm h=2,20m, estr. c/ mad reflorest., incl mont, pintura esmalte sint, adesivo "DER-ES" 60x60cm a cada 10m e faixas c/ pintura esmalte sintético nas cores azul c/ h=30cm e rosa c/ h=10cm</t>
  </si>
  <si>
    <t>Rede de água com padrão de entrada dágua diâm. 3/4", conf. espec. CESAN, incl. tubos e conexões para alimentação, distribuição, extravasor e limpeza, cons. o padrão a 25m, conf. projeto (1 utilização)</t>
  </si>
  <si>
    <t>Rede de água, com padrão de entrada dágua diâm. 3/4", conf. espec. CESAN, incl. tubos e conexões para alimentação, distribuição, extravasor e limpeza, cons. o padrão a 25m, conf. projeto (2 utilizações)</t>
  </si>
  <si>
    <t>Padrão de entrada d água com cavalete de PVC para hidrômetro com diâmetro de 3/4" - padrão 1C da CESAN. Instalado em vão de muro protegido com gradeamento. Inclusive base de concreto magro, tubulação, conexões e registro. Conferir detalhe.</t>
  </si>
  <si>
    <t>Padrão de entrada dágua com caixa termoplástica para hidrômetro de 3/4" - padrão 1B da CESAN. Instalado embutido na alvenaria. Inclusive tubulação, conexões, registro, tubo camisa e caixa com tampa transparente. Conferir detalhe.</t>
  </si>
  <si>
    <t>Padrão entrada dágua com caixa enterrada para hidrômetro com diâmetro de 1" - padrão 2B da CESAN. Caixa em alvenaria 60x80x40cm e com tampa articulada de ferro fundido, registro e conexões para instalação de hidrômetro. Conferir detalhe</t>
  </si>
  <si>
    <t>Caixa de passagem 100x100x80mm, chapa 18, com tampa parafusada</t>
  </si>
  <si>
    <t>Suporte de fixação de eletrocalha de 300x100mm, no teto, através de suporte angular (1 und), porca sextavada e arruela 1/4 (4 und) , vergalhão com rosca total 1/4" (h=60cm), cantoneira ZZ (2 und) e parafuso e bucha S8 (2 und)</t>
  </si>
  <si>
    <t>Suporte de fixação de eletrocalha de 400x100mm, no teto, através de suporte angular (1 und), porca sextavada e arruela 1/4 (4 und), vergalhão rosca total 1/4" (h=60cm), cantoneira ZZ (2 und) e parafuso e bucha S8 (2 und)</t>
  </si>
  <si>
    <t>Escada tipo marinheiro de tubo de ferro 1" e 3/4", com h=4.20m, para acesso a caixa dágua, inclusive pintura em esmalte sintético, conforme detalhe em projeto</t>
  </si>
  <si>
    <t>PECA EM MADEIRA DE LEI 7 X 5 CM (APARELHADA)</t>
  </si>
  <si>
    <t>TELHA METALICA EM ACO GALVALUME TRAPEZOIDAL 40 ESP. 0.50MM PRE-PINTADA NAS DUAS FACES</t>
  </si>
  <si>
    <t>CONDULETE ALUMINIO SEM ROSCA, TIPO B DIAMETRO 3/4" C/ TAMPA C/ VEDACAO</t>
  </si>
  <si>
    <t>CONDULETE ALUMINIO SEM ROSCA TIPO LR DIAM 3/4" C/ TAMPA C/ VEDACAO</t>
  </si>
  <si>
    <t>CONDULETE ALUMINIO SEM ROSCA TIPO X DIAM 3/4" C/ TAMPA COM VEDACAO</t>
  </si>
  <si>
    <t>VALVULA DE ESCOAMENTO P/ PIA AMERICANA 1.1/2 X 3.3/4</t>
  </si>
  <si>
    <t>VALVULA RETENCAO HORIZONTAL BRONZE - 15MM (1/2)</t>
  </si>
  <si>
    <t>VALVULA RETENCAO HORIZONTAL BRONZE - 20MM (3/4)</t>
  </si>
  <si>
    <t>VALVULA RETENCAO HORIZONTAL BRONZE - 25MM (1)</t>
  </si>
  <si>
    <t>VALVULA RETENCAO HORIZONTAL BRONZE - 32MM (1 1/4)</t>
  </si>
  <si>
    <t>VALVULA RETENCAO HORIZONTAL BRONZE - 40MM (1 1/2)</t>
  </si>
  <si>
    <t>VALVULA RETENCAO HORIZONTAL BRONZE - 50MM (2)</t>
  </si>
  <si>
    <t>VALVULA RETENCAO HORIZONTAL BRONZE - 65MM (2 1/2)</t>
  </si>
  <si>
    <t>VALVULA DE ESCOAMENTO P/ PIA AMERICANA 3.1/2 CROMADA</t>
  </si>
  <si>
    <t>TORNEIRA DE PRESSAO CROMADA DE USO GERAL 1/2</t>
  </si>
  <si>
    <t>TORN.DE BOIA EM LATAO (BOIA PLAST) DN 25MM (1)</t>
  </si>
  <si>
    <t>TORN.DE BOIA EM LATAO (BOIA PLAST)DN 32MM (1 1/4)</t>
  </si>
  <si>
    <t>EPI S</t>
  </si>
  <si>
    <t>EPI  S DE SEGURANCA</t>
  </si>
  <si>
    <t>Emp.</t>
  </si>
  <si>
    <t>Km</t>
  </si>
  <si>
    <t>13.01</t>
  </si>
  <si>
    <t>13.02</t>
  </si>
  <si>
    <t>13.03</t>
  </si>
  <si>
    <t>10</t>
  </si>
  <si>
    <t>11</t>
  </si>
  <si>
    <t>12</t>
  </si>
  <si>
    <t>10.01.01</t>
  </si>
  <si>
    <t>Preço Unitário
BDI = 26,02%</t>
  </si>
  <si>
    <t>COTAÇÃO</t>
  </si>
  <si>
    <t>001</t>
  </si>
  <si>
    <t>Terminal aéreo em latão (minicaptor), com conector e fixação horizontal 250mm x 10mm, ref. TEL-2024, inclusive vedação dos furos com poliuretano ref. TEL 5905, marca de ref. Termotécnica ou equivalente</t>
  </si>
  <si>
    <t>Chapa perfurada(tela casa da moeda) BELINOX, largura 245 mm, espessura 1.5mm, ref. TEL-754, marca de referência Termotécnica ou equivalente</t>
  </si>
  <si>
    <t>TABUA MADEIRA DE LEI P/ PISO COM MACHO/FEMEA 15 CM X 2 CM (ASSOALHO)</t>
  </si>
  <si>
    <t>TINTA EPOXI CATALISAVEL PARA ACABAMENTO</t>
  </si>
  <si>
    <t>TRANSFOMADOR TRIFASICO A OLEO 225KVA - 15KV - 220/127V</t>
  </si>
  <si>
    <t>TRANSFOMADOR TRIFASICO A OLEO 75KVA - 15KV - 220/127V</t>
  </si>
  <si>
    <t>TRANSFOMADOR TRIFASICO A OLEO 150KVA - 15KV - 220/127V</t>
  </si>
  <si>
    <t>TRANSFOMADOR TRIFASICO A OLEO 112.5KVA - 15KV - 220/127V</t>
  </si>
  <si>
    <t>TELA BELINOX, L=245MM/E=1,5MM INOX-TEL-754</t>
  </si>
  <si>
    <t>CAIXA PARA TRANSFORMADOR DE CORRENTE (TC) 112,5 ATE 300KVA - 400:5A</t>
  </si>
  <si>
    <t>CAIXA PVC 4" X 4" - IP40 - TIGRE OU EQUIVALENTE</t>
  </si>
  <si>
    <t>CAIXA PVC OCTOGONAL 4X4" COM FUNDO MÓVEL - TIGRE OU EQUIVALENTE</t>
  </si>
  <si>
    <t>CABO DE COBRE NU TEMPERA MEIO DURA 6MM2 - CLASSE 1</t>
  </si>
  <si>
    <t>CABO DE COBRE NU TEMPERA MEIO DURA 16 MM2 - CLASSE 2A</t>
  </si>
  <si>
    <t>CABO DE COBRE NU TEMPERA MEIO DURA 10 MM2 - CLASSE 2A</t>
  </si>
  <si>
    <t>CABO COBRE NU TEMPERA MEIO DURA 25MM2 - CLASSE 2A</t>
  </si>
  <si>
    <t>CABO COBRE NU TEMPERA MEIO DURA 35MM2 - CLASSE 2A</t>
  </si>
  <si>
    <t>CABO COBRE NU TEMPERA MEIO DURA 50MM2 - CLASSE 2A</t>
  </si>
  <si>
    <t>CAIXA PVC 4 X 2" - IP40 - TIGRE OU EQUIVALENTE</t>
  </si>
  <si>
    <t>HASTE TIPO COPPERWELD - 5/8 "X 2.4M - ALTA CAMADA</t>
  </si>
  <si>
    <t>BARRA CHATA EM ALUMINIO 7/8" X 1/8" X 3M (70MM2) TEL-771</t>
  </si>
  <si>
    <t>TERMINAL AEREO EM LATAO (MINICAPTOR) H=250MM X 10MM - TEL 2024 - TERMOTECNICA OU EQUIVALENTE</t>
  </si>
  <si>
    <t>PARAFUSO CAB ABAULADA ACO GALV 1020 16X150MM</t>
  </si>
  <si>
    <t>PARAFUSO CAB ABAULADA ACO GALV 1020 10X150MM</t>
  </si>
  <si>
    <t>8,07</t>
  </si>
  <si>
    <t>19,64</t>
  </si>
  <si>
    <t>40,72</t>
  </si>
  <si>
    <t>67,05</t>
  </si>
  <si>
    <t>8,45</t>
  </si>
  <si>
    <t>6,31</t>
  </si>
  <si>
    <t>16,03</t>
  </si>
  <si>
    <t>59,80</t>
  </si>
  <si>
    <t>0,88</t>
  </si>
  <si>
    <t>126,16</t>
  </si>
  <si>
    <t>22,42</t>
  </si>
  <si>
    <t>24,97</t>
  </si>
  <si>
    <t>38,55</t>
  </si>
  <si>
    <t>46,00</t>
  </si>
  <si>
    <t>5,07</t>
  </si>
  <si>
    <t>16,85</t>
  </si>
  <si>
    <t>7,31</t>
  </si>
  <si>
    <t>162,52</t>
  </si>
  <si>
    <t>116,55</t>
  </si>
  <si>
    <t>187,31</t>
  </si>
  <si>
    <t>28,93</t>
  </si>
  <si>
    <t>9,13</t>
  </si>
  <si>
    <t>22,82</t>
  </si>
  <si>
    <t>2,80</t>
  </si>
  <si>
    <t>9,68</t>
  </si>
  <si>
    <t>153,73</t>
  </si>
  <si>
    <t>55,22</t>
  </si>
  <si>
    <t>3,33</t>
  </si>
  <si>
    <t>4,11</t>
  </si>
  <si>
    <t>49,19</t>
  </si>
  <si>
    <t>28,27</t>
  </si>
  <si>
    <t>27,62</t>
  </si>
  <si>
    <t>50,46</t>
  </si>
  <si>
    <t>58,95</t>
  </si>
  <si>
    <t>4,48</t>
  </si>
  <si>
    <t>47,70</t>
  </si>
  <si>
    <t>99,97</t>
  </si>
  <si>
    <t>29,05</t>
  </si>
  <si>
    <t>33,79</t>
  </si>
  <si>
    <t>33,91</t>
  </si>
  <si>
    <t>42,44</t>
  </si>
  <si>
    <t>15,41</t>
  </si>
  <si>
    <t>2,03</t>
  </si>
  <si>
    <t>1,72</t>
  </si>
  <si>
    <t>5,38</t>
  </si>
  <si>
    <t>1,13</t>
  </si>
  <si>
    <t>66,19</t>
  </si>
  <si>
    <t>21,64</t>
  </si>
  <si>
    <t>254,97</t>
  </si>
  <si>
    <t>40,40</t>
  </si>
  <si>
    <t>2,93</t>
  </si>
  <si>
    <t>7,64</t>
  </si>
  <si>
    <t>2,97</t>
  </si>
  <si>
    <t>68,25</t>
  </si>
  <si>
    <t>52,83</t>
  </si>
  <si>
    <t>2,30</t>
  </si>
  <si>
    <t>48,45</t>
  </si>
  <si>
    <t>3,79</t>
  </si>
  <si>
    <t>19,28</t>
  </si>
  <si>
    <t>0,85</t>
  </si>
  <si>
    <t>29,59</t>
  </si>
  <si>
    <t>3,09</t>
  </si>
  <si>
    <t>8,94</t>
  </si>
  <si>
    <t>8,13</t>
  </si>
  <si>
    <t>49,93</t>
  </si>
  <si>
    <t>8,98</t>
  </si>
  <si>
    <t>58,01</t>
  </si>
  <si>
    <t>0,48</t>
  </si>
  <si>
    <t>53,72</t>
  </si>
  <si>
    <t>6,20</t>
  </si>
  <si>
    <t>42,07</t>
  </si>
  <si>
    <t>18,40</t>
  </si>
  <si>
    <t>102661</t>
  </si>
  <si>
    <t>DRENO SUBSUPERFICIAL (SEÇÃO 0,40 X 0,40 M), COM TUBO DE PEAD CORRUGADO PERFURADO, DN 100 MM, ENCHIMENTO COM AREIA. AF_07/2021</t>
  </si>
  <si>
    <t>102663</t>
  </si>
  <si>
    <t>DRENO SUBSUPERFICIAL (SEÇÃO 0,40 X 0,40 M), COM TUBO DE CONCRETO SIMPLES POROSO, DN 200 MM, ENCHIMENTO COM AREIA. AF_07/2021</t>
  </si>
  <si>
    <t>102664</t>
  </si>
  <si>
    <t>DRENO SUBSUPERFICIAL (SEÇÃO 0,40 X 0,40 M), CEGO, ENCHIMENTO DE BRITA, ENVOLVIDO COM MANTA GEOTÊXTIL. AF_07/2021</t>
  </si>
  <si>
    <t>102665</t>
  </si>
  <si>
    <t>DRENO SUBSUPERFICIAL (SEÇÃO 0,40 X 0,40 M), CEGO, ENCHIMENTO DE BRITA. AF_07/2021</t>
  </si>
  <si>
    <t>102666</t>
  </si>
  <si>
    <t>DRENO SUBSUPERFICIAL (SEÇÃO 0,40 X 0,40 M), COM TUBO DE PEAD CORRUGADO PERFURADO, DN 100 MM, ENCHIMENTO COM BRITA, ENVOLVIDO COM MANTA GEOTÊXTIL. AF_07/2021</t>
  </si>
  <si>
    <t>102669</t>
  </si>
  <si>
    <t>DRENO SUBSUPERFICIAL (SEÇÃO 0,40 X 0,40 M), COM TUBO DE CONCRETO SIMPLES POROSO, DN 200 MM, ENCHIMENTO COM BRITA, ENVOLVIDO COM MANTA GEOTÊXTIL. AF_07/2021</t>
  </si>
  <si>
    <t>102670</t>
  </si>
  <si>
    <t>DRENO PROFUNDO (SEÇÃO 0,50 X 1,50 M), COM TUBO DE PEAD CORRUGADO PERFURADO, DN 100 MM, ENCHIMENTO COM AREIA, COM SELO DE ARGILA. AF_07/2021</t>
  </si>
  <si>
    <t>102673</t>
  </si>
  <si>
    <t>DRENO PROFUNDO (SEÇÃO 0,50 X 1,50 M), COM TUBO DE CONCRETO SIMPLES POROSO, DN 200 MM, ENCHIMENTO COM AREIA, COM SELO DE ARGILA. AF_07/2021</t>
  </si>
  <si>
    <t>114,31</t>
  </si>
  <si>
    <t>102674</t>
  </si>
  <si>
    <t>DRENO PROFUNDO (SEÇÃO 0,50 X 1,50 M), COM TUBO DE PEAD CORRUGADO PERFURADO, DN 100 MM, ENCHIMENTO COM AREIA. AF_07/2021</t>
  </si>
  <si>
    <t>102677</t>
  </si>
  <si>
    <t>DRENO PROFUNDO (SEÇÃO 0,50 X 1,50 M), COM TUBO DE CONCRETO SIMPLES POROSO, DN 200 MM, ENCHIMENTO COM AREIA. AF_07/2021</t>
  </si>
  <si>
    <t>102678</t>
  </si>
  <si>
    <t>DRENO PROFUNDO (SEÇÃO 0,50 X 1,50 M), CEGO, ENCHIMENTO DE BRITA, ENVOLVIDO COM MANTA GEOTÊXTIL, COM SELO DE ARGILA. AF_07/2021</t>
  </si>
  <si>
    <t>102679</t>
  </si>
  <si>
    <t>DRENO PROFUNDO (SEÇÃO 0,50 X 1,50 M), CEGO, ENCHIMENTO DE BRITA, ENVOLVIDO COM MANTA GEOTÊXTIL. AF_07/2021</t>
  </si>
  <si>
    <t>102680</t>
  </si>
  <si>
    <t>DRENO PROFUNDO (SEÇÃO 0,50 X 1,50 M), COM TUBO DE PEAD CORRUGADO PERFURADO, DN 100 MM, ENCHIMENTO COM BRITA, ENVOLVIDO COM MANTA GEOTÊXTIL, COM SELO DE ARGILA. AF_07/2021</t>
  </si>
  <si>
    <t>102683</t>
  </si>
  <si>
    <t>DRENO PROFUNDO (SEÇÃO 0,50 X 1,50 M), COM TUBO DE CONCRETO SIMPLES POROSO, DN 200 MM, ENCHIMENTO COM BRITA, ENVOLVIDO COM MANTA GEOTÊXTIL, COM SELO DE ARGILA. AF_07/2021</t>
  </si>
  <si>
    <t>102684</t>
  </si>
  <si>
    <t>DRENO PROFUNDO (SEÇÃO 0,50 X 1,50 M), COM TUBO DE PEAD CORRUGADO PERFURADO, DN 100 MM, ENCHIMENTO COM BRITA, ENVOLVIDO COM MANTA GEOTÊXTIL. AF_07/2021</t>
  </si>
  <si>
    <t>102687</t>
  </si>
  <si>
    <t>DRENO PROFUNDO (SEÇÃO 0,50 X 1,50 M), COM TUBO DE CONCRETO SIMPLES POROSO, DN 200 MM, ENCHIMENTO COM BRITA, ENVOLVIDO COM MANTA GEOTÊXTIL. AF_07/2021</t>
  </si>
  <si>
    <t>102688</t>
  </si>
  <si>
    <t>102690</t>
  </si>
  <si>
    <t>DRENO ESPINHA DE PEIXE (SEÇÃO (0,40 X 0,40 M), COM TUBO DE PEAD CORRUGADO PERFURADO, DN 100 MM, ENCHIMENTO COM BRITA, ENVOLVIDO COM MANTA GEOTÊXTIL, INCLUSIVE CONEXÕES. AF_07/2021</t>
  </si>
  <si>
    <t>102694</t>
  </si>
  <si>
    <t>102697</t>
  </si>
  <si>
    <t>102704</t>
  </si>
  <si>
    <t>TUBO DE PEAD CORRUGADO PERFURADO, DN 100 MM, PARA DRENO - FORNECIMENTO E ASSENTAMENTO. AF_07/2021</t>
  </si>
  <si>
    <t>102707</t>
  </si>
  <si>
    <t>TUBO DE CONCRETO SIMPLES POROSO, DN 200 MM, PARA DRENO - FORNECIMENTO E ASSENTAMENTO. AF_07/2021</t>
  </si>
  <si>
    <t>102708</t>
  </si>
  <si>
    <t>LUVA DE PVC, SÉRIE NORMAL, PARA ESGOTO PREDIAL, DN 100 MM, INSTALADA EM DRENO  - FORNECIMENTO E INSTALAÇÃO. AF_07/2021</t>
  </si>
  <si>
    <t>102710</t>
  </si>
  <si>
    <t>JUNÇÃO SIMPLES DE PVC, 45 GRAUS, SÉRIE NORMAL, PARA ESGOTO PREDIAL, DN 100 MM, INSTALADA EM DRENO - FORNECIMENTO E INSTALAÇÃO. AF_07/2021</t>
  </si>
  <si>
    <t>102711</t>
  </si>
  <si>
    <t>JUNÇÃO DUPLA DE PVC, SÉRIE NORMAL, PARA ESGOTO PREDIAL, DN 100 X 100 X 100 MM, INSTALADA EM DRENO  - FORNECIMENTO E INSTALAÇÃO. AF_07/2021</t>
  </si>
  <si>
    <t>102712</t>
  </si>
  <si>
    <t>GEOTÊXTIL NÃO TECIDO 100% POLIÉSTER, RESISTÊNCIA A TRAÇÃO DE 9 KN/M (RT - 9), INSTALADO EM DRENO - FORNECIMENTO E INSTALAÇÃO. AF_07/2021</t>
  </si>
  <si>
    <t>102713</t>
  </si>
  <si>
    <t>GEOTÊXTIL NÃO TECIDO 100% POLIÉSTER, RESISTÊNCIA A TRAÇÃO DE 14 KN/M (RT - 14), INSTALADO EM DRENO - FORNECIMENTO E INSTALAÇÃO. AF_07/2021</t>
  </si>
  <si>
    <t>102715</t>
  </si>
  <si>
    <t>GEOTÊXTIL NÃO TECIDO 100% POLIÉSTER, RESISTÊNCIA A TRAÇÃO DE 26 KN/M (RT - 26), INSTALADO EM DRENO - FORNECIMENTO E INSTALAÇÃO. AF_07/2021</t>
  </si>
  <si>
    <t>102716</t>
  </si>
  <si>
    <t>ENCHIMENTO DE AREIA PARA DRENO, LANÇAMENTO MECANIZADO. AF_07/2021</t>
  </si>
  <si>
    <t>102717</t>
  </si>
  <si>
    <t>ENCHIMENTO DE BRITA PARA DRENO, LANÇAMENTO MECANIZADO. AF_07/2021</t>
  </si>
  <si>
    <t>102718</t>
  </si>
  <si>
    <t>ENCHIMENTO DE AREIA PARA DRENO, LANÇAMENTO MANUAL. AF_07/2021</t>
  </si>
  <si>
    <t>102719</t>
  </si>
  <si>
    <t>ENCHIMENTO DE BRITA PARA DRENO, LANÇAMENTO MANUAL. AF_07/2021</t>
  </si>
  <si>
    <t>102722</t>
  </si>
  <si>
    <t>DRENO EM MURO DE CONTENÇÃO, EXECUTADO NO PÉ DO MURO, COM TUBO DE PEAD CORRUGADO FLEXÍVEL PERFURADO, ENCHIMENTO COM BRITA, ENVOLVIDO COM MANTA GEOTÊXTIL. AF_07/2021</t>
  </si>
  <si>
    <t>102723</t>
  </si>
  <si>
    <t>102724</t>
  </si>
  <si>
    <t>DRENO BARBACÃ, DN 100 MM, COM MATERIAL DRENANTE. AF_07/2021</t>
  </si>
  <si>
    <t>102725</t>
  </si>
  <si>
    <t>DRENO BARBACÃ, DN 75 MM, COM MATERIAL DRENANTE. AF_07/2021</t>
  </si>
  <si>
    <t>102726</t>
  </si>
  <si>
    <t>DRENO BARBACÃ, DN 50 MM, COM MATERIAL DRENANTE. AF_07/2021</t>
  </si>
  <si>
    <t>188,10</t>
  </si>
  <si>
    <t>177,09</t>
  </si>
  <si>
    <t>102989</t>
  </si>
  <si>
    <t>CANALETA MEIA CANA PRÉ-MOLDADA DE CONCRETO (D = 20 CM) - FORNECIMENTO E INSTALAÇÃO. AF_08/2021</t>
  </si>
  <si>
    <t>102990</t>
  </si>
  <si>
    <t>CANALETA MEIA CANA PRÉ-MOLDADA DE CONCRETO (D = 30 CM) - FORNECIMENTO E INSTALAÇÃO. AF_08/2021</t>
  </si>
  <si>
    <t>102991</t>
  </si>
  <si>
    <t>CANALETA MEIA CANA PRÉ-MOLDADA DE CONCRETO (D = 40 CM) - FORNECIMENTO E INSTALAÇÃO. AF_08/2021</t>
  </si>
  <si>
    <t>102992</t>
  </si>
  <si>
    <t>CANALETA MEIA CANA PRÉ-MOLDADA DE CONCRETO (D = 50 CM) - FORNECIMENTO E INSTALAÇÃO. AF_08/2021</t>
  </si>
  <si>
    <t>102993</t>
  </si>
  <si>
    <t>CANALETA MEIA CANA PRÉ-MOLDADA DE CONCRETO (D = 60 CM) - FORNECIMENTO E INSTALAÇÃO. AF_08/2021</t>
  </si>
  <si>
    <t>102994</t>
  </si>
  <si>
    <t>CANALETA MEIA CANA PRÉ-MOLDADA DE CONCRETO (D = 80 CM) - FORNECIMENTO E INSTALAÇÃO. AF_08/2021</t>
  </si>
  <si>
    <t>136,43</t>
  </si>
  <si>
    <t>102995</t>
  </si>
  <si>
    <t>EXECUÇÃO DE CANALETA DE CONCRETO MOLDADO IN LOCO, ESPESSURA DE 0,07 M, GEOMETRIA TRAPEZOIDAL (DIMENSÕES INTERNAS: B=0,6 M; B=0,147 M; H=0,2 M). AF_08/2021</t>
  </si>
  <si>
    <t>102996</t>
  </si>
  <si>
    <t>EXECUÇÃO DE CANALETA DE CONCRETO MOLDADO IN LOCO, ESPESSURA DE 0,07 M, GEOMETRIA TRAPEZOIDAL (DIMENSÕES INTERNAS: B=0,9 M; B=0,246 M; H=0,3 M). AF_08/2021</t>
  </si>
  <si>
    <t>102997</t>
  </si>
  <si>
    <t>EXECUÇÃO DE CANALETA DE CONCRETO MOLDADO IN LOCO, ESPESSURA DE 0,08 M, GEOMETRIA TRAPEZOIDAL (DIMENSÕES INTERNAS: B=1M; B=0,5 M; H=0,25 M). AF_08/2021</t>
  </si>
  <si>
    <t>73,99</t>
  </si>
  <si>
    <t>102998</t>
  </si>
  <si>
    <t>EXECUÇÃO DE CANALETA DE CONCRETO MOLDADO IN LOCO, ESPESSURA DE 0,08 M, GEOMETRIA TRAPEZOIDAL (DIMENSÕES INTERNAS: B=1,074 M; B=0,534 M; H=0,27 M). AF_08/2021</t>
  </si>
  <si>
    <t>102999</t>
  </si>
  <si>
    <t>EXECUÇÃO DE CANALETA DE CONCRETO MOLDADO IN LOCO, ESPESSURA DE 0,08 M, GEOMETRIA TRAPEZOIDAL (DIMENSÕES INTERNAS: B=1,4 M; B=0,7 M; H=0,35 M). AF_08/2021</t>
  </si>
  <si>
    <t>103000</t>
  </si>
  <si>
    <t>EXECUÇÃO DE CANALETA DE CONCRETO MOLDADO IN LOCO, ESPESSURA DE 0,08 M, GEOMETRIA TRAPEZOIDAL (DIMENSÕES INTERNAS: B=1,474 M; B=0,934 M; H=0,27 M). AF_08/2021</t>
  </si>
  <si>
    <t>103001</t>
  </si>
  <si>
    <t>GRELHA DE FERRO FUNDIDO SIMPLES COM REQUADRO, 150 X 1000 MM, ASSENTADA COM ARGAMASSA 1 : 3 CIMENTO: AREIA - FORNECIMENTO E INSTALAÇÃO. AF_08/2021</t>
  </si>
  <si>
    <t>103002</t>
  </si>
  <si>
    <t>GRELHA DE FERRO FUNDIDO SIMPLES COM REQUADRO, 200 X 1000 MM, ASSENTADA COM ARGAMASSA 1 : 3 CIMENTO: AREIA - FORNECIMENTO E INSTALAÇÃO. AF_08/2021</t>
  </si>
  <si>
    <t>103003</t>
  </si>
  <si>
    <t>GRELHA DE FERRO FUNDIDO SIMPLES COM REQUADRO, 300 X 1000 MM, ASSENTADA COM ARGAMASSA 1 : 3 CIMENTO: AREIA - FORNECIMENTO E INSTALAÇÃO. AF_08/2021</t>
  </si>
  <si>
    <t>103005</t>
  </si>
  <si>
    <t>CAIXA COM GRELHA RETANGULAR DE FERRO FUNDIDO, EM ALVENARIA COM TIJOLOS CERÂMICOS MACIÇOS, DIMENSÕES INTERNAS: 0,15 X 1,00 X 0,3 M. AF_08/2021</t>
  </si>
  <si>
    <t>103006</t>
  </si>
  <si>
    <t>CAIXA COM GRELHA RETANGULAR DE FERRO FUNDIDO, EM ALVENARIA COM TIJOLOS CERÂMICOS MACIÇOS, DIMENSÕES INTERNAS: 0,20 X 1,00 X 0,4 M. AF_08/2021</t>
  </si>
  <si>
    <t>103007</t>
  </si>
  <si>
    <t>CAIXA COM GRELHA RETANGULAR DE FERRO FUNDIDO, EM ALVENARIA COM TIJOLOS CERÂMICOS MACIÇOS, DIMENSÕES INTERNAS: 0,30 X 1,00 X 0,5 M. AF_08/2021</t>
  </si>
  <si>
    <t>51,86</t>
  </si>
  <si>
    <t>65,51</t>
  </si>
  <si>
    <t>102727</t>
  </si>
  <si>
    <t>FABRICAÇÃO, MONTAGEM E DESMONTAGEM DE FÔRMA PARA BOCA PARA BUEIRO, EM CHAPA DE MADEIRA COMPENSADA RESINADA, E = 17 MM, 2 UTILIZAÇÕES. AF_07/2021</t>
  </si>
  <si>
    <t>102728</t>
  </si>
  <si>
    <t>ARMAÇÃO DE MURO ALA E MURO TESTA UTILIZANDO AÇO CA-50 DE 6,3 MM - MONTAGEM. AF_07/2021</t>
  </si>
  <si>
    <t>102729</t>
  </si>
  <si>
    <t>ARMAÇÃO DE MURO ALA E MURO TESTA UTILIZANDO AÇO CA-50 DE 8 MM - MONTAGEM. AF_07/2021</t>
  </si>
  <si>
    <t>102730</t>
  </si>
  <si>
    <t>ARMAÇÃO DE MURO ALA E MURO TESTA UTILIZANDO AÇO CA-50 DE 10 MM - MONTAGEM. AF_07/2021</t>
  </si>
  <si>
    <t>102731</t>
  </si>
  <si>
    <t>ARMAÇÃO DE MURO ALA E MURO TESTA UTILIZANDO AÇO CA-50 DE 12,5 MM - MONTAGEM. AF_07/2021</t>
  </si>
  <si>
    <t>102732</t>
  </si>
  <si>
    <t>ARMAÇÃO DE MURO ALA E MURO TESTA UTILIZANDO AÇO CA-50 DE 16 MM - MONTAGEM. AF_07/2021</t>
  </si>
  <si>
    <t>102733</t>
  </si>
  <si>
    <t>ARMAÇÃO DE MURO ALA E MURO TESTA UTILIZANDO AÇO CA-50 DE 20 MM - MONTAGEM. AF_07/2021</t>
  </si>
  <si>
    <t>102734</t>
  </si>
  <si>
    <t>ARMAÇÃO DE SOLEIRA UTILIZANDO AÇO CA-50 DE 6,3 MM - MONTAGEM. AF_07/2021</t>
  </si>
  <si>
    <t>102735</t>
  </si>
  <si>
    <t>ARMAÇÃO DE SOLEIRA UTILIZANDO AÇO CA-50 DE 8 MM - MONTAGEM. AF_07/2021</t>
  </si>
  <si>
    <t>102736</t>
  </si>
  <si>
    <t>CONCRETAGEM DE BOCA PARA BUEIRO, FCK = 20 MPA, COM USO DE BOMBA - LANÇAMENTO, ADENSAMENTO E ACABAMENTO. AF_07/2021</t>
  </si>
  <si>
    <t>102737</t>
  </si>
  <si>
    <t>BOCA PARA BUEIRO SIMPLES TUBULAR D = 40 CM EM CONCRETO, ALAS COM ESCONSIDADE DE 0°, INCLUINDO FÔRMAS E MATERIAIS. AF_07/2021</t>
  </si>
  <si>
    <t>102738</t>
  </si>
  <si>
    <t>BOCA PARA BUEIRO SIMPLES TUBULAR D = 60 CM EM CONCRETO, ALAS COM ESCONSIDADE DE 0°, INCLUINDO FÔRMAS E MATERIAIS. AF_07/2021</t>
  </si>
  <si>
    <t>102739</t>
  </si>
  <si>
    <t>BOCA PARA BUEIRO SIMPLES TUBULAR D = 80 CM EM CONCRETO, ALAS COM ESCONSIDADE DE 0°, INCLUINDO FÔRMAS E MATERIAIS. AF_07/2021</t>
  </si>
  <si>
    <t>102740</t>
  </si>
  <si>
    <t>BOCA PARA BUEIRO SIMPLES TUBULAR D = 100 CM EM CONCRETO, ALAS COM ESCONSIDADE DE 0°, INCLUINDO FÔRMAS E MATERIAIS. AF_07/2021</t>
  </si>
  <si>
    <t>102741</t>
  </si>
  <si>
    <t>BOCA PARA BUEIRO SIMPLES TUBULAR D = 120 CM EM CONCRETO, ALAS COM ESCONSIDADE DE 0°, INCLUINDO FÔRMAS E MATERIAIS. AF_07/2021</t>
  </si>
  <si>
    <t>102742</t>
  </si>
  <si>
    <t>BOCA PARA BUEIRO SIMPLES TUBULAR D = 150 CM EM CONCRETO, ALAS COM ESCONSIDADE DE 0°, INCLUINDO FÔRMAS E MATERIAIS. AF_07/2021</t>
  </si>
  <si>
    <t>102743</t>
  </si>
  <si>
    <t>BOCA PARA BUEIRO DUPLO TUBULAR D = 80 CM EM CONCRETO, ALAS COM ESCONSIDADE DE 0°, INCLUINDO FÔRMAS E MATERIAIS. AF_07/2021</t>
  </si>
  <si>
    <t>102744</t>
  </si>
  <si>
    <t>BOCA PARA BUEIRO DUPLO TUBULAR D = 100 CM EM CONCRETO, ALAS COM ESCONSIDADE DE 0°, INCLUINDO FÔRMAS E MATERIAIS. AF_07/2021</t>
  </si>
  <si>
    <t>102745</t>
  </si>
  <si>
    <t>BOCA PARA BUEIRO DUPLO TUBULAR D = 120 CM EM CONCRETO, ALAS COM ESCONSIDADE DE 0°, INCLUINDO FÔRMAS E MATERIAIS. AF_07/2021</t>
  </si>
  <si>
    <t>102746</t>
  </si>
  <si>
    <t>BOCA PARA BUEIRO DUPLO TUBULAR D = 150 CM EM CONCRETO, ALAS COM ESCONSIDADE DE 0°, INCLUINDO FÔRMAS E MATERIAIS. AF_07/2021</t>
  </si>
  <si>
    <t>102747</t>
  </si>
  <si>
    <t>BOCA PARA BUEIRO TRIPLO TUBULAR D = 100 CM EM CONCRETO, ALAS COM ESCONSIDADE DE 0°, INCLUINDO FÔRMAS E MATERIAIS. AF_07/2021</t>
  </si>
  <si>
    <t>102748</t>
  </si>
  <si>
    <t>BOCA PARA BUEIRO TRIPLO TUBULAR D = 120 CM EM CONCRETO, ALAS COM ESCONSIDADE DE 0°, INCLUINDO FÔRMAS E MATERIAIS. AF_07/2021</t>
  </si>
  <si>
    <t>102749</t>
  </si>
  <si>
    <t>BOCA PARA BUEIRO TRIPLO TUBULAR D = 150 CM EM CONCRETO, ALAS COM ESCONSIDADE DE 0°, INCLUINDO FÔRMAS E MATERIAIS. AF_07/2021</t>
  </si>
  <si>
    <t>102750</t>
  </si>
  <si>
    <t>BOCA PARA BUEIRO SIMPLES TUBULAR D = 60 CM EM CONCRETO, ALAS COM ESCONSIDADE DE 30°, INCLUINDO FÔRMAS E MATERIAIS. AF_07/2021</t>
  </si>
  <si>
    <t>102751</t>
  </si>
  <si>
    <t>BOCA PARA BUEIRO SIMPLES TUBULAR D = 80 CM EM CONCRETO, ALAS COM ESCONSIDADE DE 30°, INCLUINDO FÔRMAS E MATERIAIS. AF_07/2021</t>
  </si>
  <si>
    <t>102752</t>
  </si>
  <si>
    <t>BOCA PARA BUEIRO SIMPLES TUBULAR D = 100 CM EM CONCRETO, ALAS COM ESCONSIDADE DE 30°, INCLUINDO FÔRMAS E MATERIAIS. AF_07/2021</t>
  </si>
  <si>
    <t>102753</t>
  </si>
  <si>
    <t>BOCA PARA BUEIRO SIMPLES TUBULAR D = 120 CM EM CONCRETO, ALAS COM ESCONSIDADE DE 30°, INCLUINDO FÔRMAS E MATERIAIS. AF_07/2021</t>
  </si>
  <si>
    <t>102754</t>
  </si>
  <si>
    <t>BOCA PARA BUEIRO SIMPLES TUBULAR D = 150 CM EM CONCRETO, ALAS COM ESCONSIDADE DE 30°, INCLUINDO FÔRMAS E MATERIAIS. AF_07/2021</t>
  </si>
  <si>
    <t>102755</t>
  </si>
  <si>
    <t>BOCA PARA BUEIRO DUPLO TUBULAR D = 100 CM EM CONCRETO, ALAS COM ESCONSIDADE DE 30°, INCLUINDO FÔRMAS E MATERIAIS. AF_07/2021</t>
  </si>
  <si>
    <t>102756</t>
  </si>
  <si>
    <t>BOCA PARA BUEIRO DUPLO TUBULAR D = 120 CM EM CONCRETO, ALAS COM ESCONSIDADE DE 30°, INCLUINDO FÔRMAS E MATERIAIS. AF_07/2021</t>
  </si>
  <si>
    <t>102757</t>
  </si>
  <si>
    <t>BOCA PARA BUEIRO DUPLO TUBULAR D = 150 CM EM CONCRETO, ALAS COM ESCONSIDADE DE 30°, INCLUINDO FÔRMAS E MATERIAIS. AF_07/2021</t>
  </si>
  <si>
    <t>102758</t>
  </si>
  <si>
    <t>BOCA PARA BUEIRO TRIPLO TUBULAR D = 100 CM EM CONCRETO, ALAS COM ESCONSIDADE DE 30°, INCLUINDO FÔRMAS E MATERIAIS. AF_07/2021</t>
  </si>
  <si>
    <t>102759</t>
  </si>
  <si>
    <t>BOCA PARA BUEIRO TRIPLO TUBULAR D = 120 CM EM CONCRETO, ALAS COM ESCONSIDADE DE 30°, INCLUINDO FÔRMAS E MATERIAIS. AF_07/2021</t>
  </si>
  <si>
    <t>102760</t>
  </si>
  <si>
    <t>BOCA PARA BUEIRO TRIPLO TUBULAR D = 150 CM EM CONCRETO, ALAS COM ESCONSIDADE DE 30°, INCLUINDO FÔRMAS E MATERIAIS. AF_07/2021</t>
  </si>
  <si>
    <t>102761</t>
  </si>
  <si>
    <t>BOCA PARA BUEIRO SIMPLES CELULAR 150 X 150 CM EM CONCRETO, ALAS COM ESCONSIDADE DE 30°, INCLUINDO FÔRMAS E MATERIAIS. AF_07/2021</t>
  </si>
  <si>
    <t>102762</t>
  </si>
  <si>
    <t>BOCA PARA BUEIRO SIMPLES CELULAR 200 X 200 CM EM CONCRETO, ALAS COM ESCONSIDADE DE 30°, INCLUINDO FÔRMAS E MATERIAIS. AF_07/2021</t>
  </si>
  <si>
    <t>102763</t>
  </si>
  <si>
    <t>BOCA PARA BUEIRO SIMPLES CELULAR 250 X 250 CM EM CONCRETO, ALAS COM ESCONSIDADE DE 30°, INCLUINDO FÔRMAS E MATERIAIS. AF_07/2021</t>
  </si>
  <si>
    <t>102764</t>
  </si>
  <si>
    <t>BOCA PARA BUEIRO SIMPLES CELULAR 300 X 300 CM EM CONCRETO, ALAS COM ESCONSIDADE DE 30°, INCLUINDO FÔRMAS E MATERIAIS. AF_07/2021</t>
  </si>
  <si>
    <t>102765</t>
  </si>
  <si>
    <t>BOCA PARA BUEIRO DUPLO CELULAR 150 X 150 CM EM CONCRETO, ALAS COM ESCONSIDADE DE 30°, INCLUINDO FÔRMAS E MATERIAIS. AF_07/2021</t>
  </si>
  <si>
    <t>102766</t>
  </si>
  <si>
    <t>BOCA PARA BUEIRO DUPLO CELULAR 200 X 200 CM EM CONCRETO, ALAS COM ESCONSIDADE DE 30°, INCLUINDO FÔRMAS E MATERIAIS. AF_07/2021</t>
  </si>
  <si>
    <t>102767</t>
  </si>
  <si>
    <t>BOCA PARA BUEIRO DUPLO CELULAR 250 X 250 CM EM CONCRETO, ALAS COM ESCONSIDADE DE 30°, INCLUINDO FÔRMAS E MATERIAIS. AF_07/2021</t>
  </si>
  <si>
    <t>102768</t>
  </si>
  <si>
    <t>BOCA PARA BUEIRO DUPLO CELULAR 300 X 300 CM EM CONCRETO, ALAS COM ESCONSIDADE DE 30°, INCLUINDO FÔRMAS E MATERIAIS. AF_07/2021</t>
  </si>
  <si>
    <t>102769</t>
  </si>
  <si>
    <t>BOCA PARA BUEIRO TRIPLO CELULAR 150 X 150 CM EM CONCRETO, ALAS COM ESCONSIDADE DE 30°, INCLUINDO FÔRMAS E MATERIAIS. AF_07/2021</t>
  </si>
  <si>
    <t>102770</t>
  </si>
  <si>
    <t>BOCA PARA BUEIRO TRIPLO CELULAR 200 X 200 CM EM CONCRETO, ALAS COM ESCONSIDADE DE 30°, INCLUINDO FÔRMAS E MATERIAIS. AF_07/2021</t>
  </si>
  <si>
    <t>102771</t>
  </si>
  <si>
    <t>BOCA PARA BUEIRO TRIPLO CELULAR 250 X 250 CM EM CONCRETO, ALAS COM ESCONSIDADE DE 30°, INCLUINDO FÔRMAS E MATERIAIS. AF_07/2021</t>
  </si>
  <si>
    <t>102772</t>
  </si>
  <si>
    <t>BOCA PARA BUEIRO TRIPLO CELULAR 300 X 300 CM EM CONCRETO, ALAS COM ESCONSIDADE DE 30°, INCLUINDO FÔRMAS E MATERIAIS. AF_07/2021</t>
  </si>
  <si>
    <t>102773</t>
  </si>
  <si>
    <t>BOCA PARA BUEIRO SIMPLES TUBULAR D = 40 CM EM GABIÃO, ALAS COM ESCONSIDADE DE 45°, INCLUINDO FÔRMAS E MATERIAIS. AF_07/2021</t>
  </si>
  <si>
    <t>102774</t>
  </si>
  <si>
    <t>BOCA PARA BUEIRO SIMPLES TUBULAR D = 60 CM EM GABIÃO, ALAS COM ESCONSIDADE DE 45°, INCLUINDO FÔRMAS E MATERIAIS. AF_07/2021</t>
  </si>
  <si>
    <t>102775</t>
  </si>
  <si>
    <t>BOCA PARA BUEIRO SIMPLES TUBULAR D = 80 CM EM GABIÃO, ALAS COM ESCONSIDADE DE 45°, INCLUINDO FÔRMAS E MATERIAIS. AF_07/2021</t>
  </si>
  <si>
    <t>102776</t>
  </si>
  <si>
    <t>BOCA PARA BUEIRO SIMPLES TUBULAR D = 100 CM EM GABIÃO, ALAS COM ESCONSIDADE DE 45°, INCLUINDO FÔRMAS E MATERIAIS. AF_07/2021</t>
  </si>
  <si>
    <t>102777</t>
  </si>
  <si>
    <t>BOCA PARA BUEIRO SIMPLES TUBULAR D = 120 CM EM GABIÃO, ALAS COM ESCONSIDADE DE 45°, INCLUINDO FÔRMAS E MATERIAIS. AF_07/2021</t>
  </si>
  <si>
    <t>102778</t>
  </si>
  <si>
    <t>BOCA PARA BUEIRO SIMPLES TUBULAR D = 150 CM EM GABIÃO, ALAS COM ESCONSIDADE DE 45°, INCLUINDO FÔRMAS E MATERIAIS. AF_07/2021</t>
  </si>
  <si>
    <t>102779</t>
  </si>
  <si>
    <t>BOCA PARA BUEIRO DUPLO TUBULAR D = 40 CM EM GABIÃO, ALAS COM ESCONSIDADE DE 45°, INCLUINDO FÔRMAS E MATERIAIS. AF_07/2021</t>
  </si>
  <si>
    <t>102780</t>
  </si>
  <si>
    <t>BOCA PARA BUEIRO DUPLO TUBULAR D = 60 CM EM GABIÃO, ALAS COM ESCONSIDADE DE 45°, INCLUINDO FÔRMAS E MATERIAIS. AF_07/2021</t>
  </si>
  <si>
    <t>102781</t>
  </si>
  <si>
    <t>BOCA PARA BUEIRO DUPLO TUBULAR D = 80 CM EM GABIÃO, ALAS COM ESCONSIDADE DE 45°, INCLUINDO FÔRMAS E MATERIAIS. AF_07/2021</t>
  </si>
  <si>
    <t>102782</t>
  </si>
  <si>
    <t>BOCA PARA BUEIRO DUPLO TUBULAR D = 100 CM EM GABIÃO, ALAS COM ESCONSIDADE DE 45°, INCLUINDO FÔRMAS E MATERIAIS. AF_07/2021</t>
  </si>
  <si>
    <t>102783</t>
  </si>
  <si>
    <t>BOCA PARA BUEIRO DUPLO TUBULAR D = 120 CM EM GABIÃO, ALAS COM ESCONSIDADE DE 45°, INCLUINDO FÔRMAS E MATERIAIS. AF_07/2021</t>
  </si>
  <si>
    <t>102784</t>
  </si>
  <si>
    <t>BOCA PARA BUEIRO DUPLO TUBULAR D = 150 CM EM GABIÃO, ALAS COM ESCONSIDADE DE 45°, INCLUINDO FÔRMAS E MATERIAIS. AF_07/2021</t>
  </si>
  <si>
    <t>102785</t>
  </si>
  <si>
    <t>BOCA PARA BUEIRO TRIPLO TUBULAR D = 40 CM EM GABIÃO, ALAS COM ESCONSIDADE DE 45°, INCLUINDO FÔRMAS E MATERIAIS. AF_07/2021</t>
  </si>
  <si>
    <t>102786</t>
  </si>
  <si>
    <t>BOCA PARA BUEIRO TRIPLO TUBULAR D = 60 CM EM GABIÃO, ALAS COM ESCONSIDADE DE 45°, INCLUINDO FÔRMAS E MATERIAIS. AF_07/2021</t>
  </si>
  <si>
    <t>102787</t>
  </si>
  <si>
    <t>BOCA PARA BUEIRO TRIPLO TUBULAR D = 80 CM EM GABIÃO, ALAS COM ESCONSIDADE DE 45°, INCLUINDO FÔRMAS E MATERIAIS. AF_07/2021</t>
  </si>
  <si>
    <t>102788</t>
  </si>
  <si>
    <t>BOCA PARA BUEIRO TRIPLO TUBULAR D = 100 CM EM GABIÃO, ALAS COM ESCONSIDADE DE 45°, INCLUINDO FÔRMAS E MATERIAIS. AF_07/2021</t>
  </si>
  <si>
    <t>102789</t>
  </si>
  <si>
    <t>BOCA PARA BUEIRO TRIPLO TUBULAR D = 120 CM EM GABIÃO, ALAS COM ESCONSIDADE DE 45°, INCLUINDO FÔRMAS E MATERIAIS. AF_07/2021</t>
  </si>
  <si>
    <t>102790</t>
  </si>
  <si>
    <t>BOCA PARA BUEIRO TRIPLO TUBULAR D = 150 CM EM GABIÃO, ALAS COM ESCONSIDADE DE 45°, INCLUINDO FÔRMAS E MATERIAIS. AF_07/2021</t>
  </si>
  <si>
    <t>102791</t>
  </si>
  <si>
    <t>BOCA PARA BUEIRO SIMPLES CELULAR 150 X 150 CM EM GABIÃO, ALAS COM ESCONSIDADE DE 45°, INCLUINDO FÔRMAS E MATERIAIS. AF_07/2021</t>
  </si>
  <si>
    <t>102792</t>
  </si>
  <si>
    <t>BOCA PARA BUEIRO SIMPLES CELULAR 200 X 200 CM EM GABIÃO, ALAS COM ESCONSIDADE DE 45°, INCLUINDO FÔRMAS E MATERIAIS. AF_07/2021</t>
  </si>
  <si>
    <t>102793</t>
  </si>
  <si>
    <t>BOCA PARA BUEIRO SIMPLES CELULAR 250 X 250 CM EM GABIÃO, ALAS COM ESCONSIDADE DE 45°, INCLUINDO FÔRMAS E MATERIAIS. AF_07/2021</t>
  </si>
  <si>
    <t>102794</t>
  </si>
  <si>
    <t>BOCA PARA BUEIRO SIMPLES CELULAR 300 X 300 CM EM GABIÃO, ALAS COM ESCONSIDADE DE 45°, INCLUINDO FÔRMAS E MATERIAIS. AF_07/2021</t>
  </si>
  <si>
    <t>102795</t>
  </si>
  <si>
    <t>BOCA PARA BUEIRO DUPLO CELULAR 150 X 150 CM EM GABIÃO, ALAS COM ESCONSIDADE DE 45°, INCLUINDO FÔRMAS E MATERIAIS. AF_07/2021</t>
  </si>
  <si>
    <t>102796</t>
  </si>
  <si>
    <t>BOCA PARA BUEIRO DUPLO CELULAR 200 X 200 CM EM GABIÃO, ALAS COM ESCONSIDADE DE 45°, INCLUINDO FÔRMAS E MATERIAIS. AF_07/2021</t>
  </si>
  <si>
    <t>102797</t>
  </si>
  <si>
    <t>BOCA PARA BUEIRO DUPLO CELULAR 250 X 250 CM EM GABIÃO, ALAS COM ESCONSIDADE DE 45°, INCLUINDO FÔRMAS E MATERIAIS. AF_07/2021</t>
  </si>
  <si>
    <t>102798</t>
  </si>
  <si>
    <t>BOCA PARA BUEIRO DUPLO CELULAR 300 X 300 CM EM GABIÃO, ALAS COM ESCONSIDADE DE 45°, INCLUINDO FÔRMAS E MATERIAIS. AF_07/2021</t>
  </si>
  <si>
    <t>102799</t>
  </si>
  <si>
    <t>BOCA PARA BUEIRO TRIPLO CELULAR 150 X 150 CM EM GABIÃO, ALAS COM ESCONSIDADE DE 45°, INCLUINDO FÔRMAS E MATERIAIS. AF_07/2021</t>
  </si>
  <si>
    <t>102800</t>
  </si>
  <si>
    <t>BOCA PARA BUEIRO TRIPLO CELULAR 200 X 200 CM EM GABIÃO, ALAS COM ESCONSIDADE DE 45°, INCLUINDO FÔRMAS E MATERIAIS. AF_07/2021</t>
  </si>
  <si>
    <t>102801</t>
  </si>
  <si>
    <t>BOCA PARA BUEIRO TRIPLO CELULAR 250 X 250 CM EM GABIÃO, ALAS COM ESCONSIDADE DE 45°, INCLUINDO FÔRMAS E MATERIAIS. AF_07/2021</t>
  </si>
  <si>
    <t>102802</t>
  </si>
  <si>
    <t>BOCA PARA BUEIRO TRIPLO CELULAR 300 X 300 CM EM GABIÃO, ALAS COM ESCONSIDADE DE 45°, INCLUINDO FÔRMAS E MATERIAIS. AF_07/2021</t>
  </si>
  <si>
    <t>74,79</t>
  </si>
  <si>
    <t>705,00</t>
  </si>
  <si>
    <t>53,71</t>
  </si>
  <si>
    <t>75,61</t>
  </si>
  <si>
    <t>28,40</t>
  </si>
  <si>
    <t>82,25</t>
  </si>
  <si>
    <t>53,92</t>
  </si>
  <si>
    <t>201,25</t>
  </si>
  <si>
    <t>103,06</t>
  </si>
  <si>
    <t>85,01</t>
  </si>
  <si>
    <t>25,40</t>
  </si>
  <si>
    <t>50,37</t>
  </si>
  <si>
    <t>22,16</t>
  </si>
  <si>
    <t>21,91</t>
  </si>
  <si>
    <t>22,53</t>
  </si>
  <si>
    <t>207,47</t>
  </si>
  <si>
    <t>155,13</t>
  </si>
  <si>
    <t>104,69</t>
  </si>
  <si>
    <t>175,44</t>
  </si>
  <si>
    <t>19,39</t>
  </si>
  <si>
    <t>17,17</t>
  </si>
  <si>
    <t>15,60</t>
  </si>
  <si>
    <t>14,34</t>
  </si>
  <si>
    <t>12,79</t>
  </si>
  <si>
    <t>18,73</t>
  </si>
  <si>
    <t>13,34</t>
  </si>
  <si>
    <t>12,82</t>
  </si>
  <si>
    <t>11,35</t>
  </si>
  <si>
    <t>13,08</t>
  </si>
  <si>
    <t>24,31</t>
  </si>
  <si>
    <t>19,87</t>
  </si>
  <si>
    <t>15,22</t>
  </si>
  <si>
    <t>14,87</t>
  </si>
  <si>
    <t>289,13</t>
  </si>
  <si>
    <t>2,60</t>
  </si>
  <si>
    <t>34,89</t>
  </si>
  <si>
    <t>22,78</t>
  </si>
  <si>
    <t>24,85</t>
  </si>
  <si>
    <t>7,41</t>
  </si>
  <si>
    <t>9,52</t>
  </si>
  <si>
    <t>6,05</t>
  </si>
  <si>
    <t>7,71</t>
  </si>
  <si>
    <t>12,05</t>
  </si>
  <si>
    <t>8,97</t>
  </si>
  <si>
    <t>12,03</t>
  </si>
  <si>
    <t>23,18</t>
  </si>
  <si>
    <t>10,20</t>
  </si>
  <si>
    <t>8,82</t>
  </si>
  <si>
    <t>8,48</t>
  </si>
  <si>
    <t>16,62</t>
  </si>
  <si>
    <t>12,37</t>
  </si>
  <si>
    <t>16,31</t>
  </si>
  <si>
    <t>8,91</t>
  </si>
  <si>
    <t>5,17</t>
  </si>
  <si>
    <t>15,35</t>
  </si>
  <si>
    <t>35,72</t>
  </si>
  <si>
    <t>32,79</t>
  </si>
  <si>
    <t>13,18</t>
  </si>
  <si>
    <t>28,83</t>
  </si>
  <si>
    <t>42,67</t>
  </si>
  <si>
    <t>35,78</t>
  </si>
  <si>
    <t>19,31</t>
  </si>
  <si>
    <t>51,19</t>
  </si>
  <si>
    <t>67,77</t>
  </si>
  <si>
    <t>24,73</t>
  </si>
  <si>
    <t>375,99</t>
  </si>
  <si>
    <t>16,80</t>
  </si>
  <si>
    <t>69,56</t>
  </si>
  <si>
    <t>59,28</t>
  </si>
  <si>
    <t>33,54</t>
  </si>
  <si>
    <t>21,49</t>
  </si>
  <si>
    <t>28,90</t>
  </si>
  <si>
    <t>55,16</t>
  </si>
  <si>
    <t>48,68</t>
  </si>
  <si>
    <t>67,40</t>
  </si>
  <si>
    <t>34,51</t>
  </si>
  <si>
    <t>156,81</t>
  </si>
  <si>
    <t>21,72</t>
  </si>
  <si>
    <t>105,00</t>
  </si>
  <si>
    <t>66,01</t>
  </si>
  <si>
    <t>23,11</t>
  </si>
  <si>
    <t>562,43</t>
  </si>
  <si>
    <t>54,73</t>
  </si>
  <si>
    <t>19,55</t>
  </si>
  <si>
    <t>49,85</t>
  </si>
  <si>
    <t>28,91</t>
  </si>
  <si>
    <t>33,20</t>
  </si>
  <si>
    <t>219,27</t>
  </si>
  <si>
    <t>39,45</t>
  </si>
  <si>
    <t>89,09</t>
  </si>
  <si>
    <t>126,05</t>
  </si>
  <si>
    <t>61,69</t>
  </si>
  <si>
    <t>86,73</t>
  </si>
  <si>
    <t>31,68</t>
  </si>
  <si>
    <t>26,44</t>
  </si>
  <si>
    <t>33,96</t>
  </si>
  <si>
    <t>23,86</t>
  </si>
  <si>
    <t>75,43</t>
  </si>
  <si>
    <t>92,46</t>
  </si>
  <si>
    <t>77,36</t>
  </si>
  <si>
    <t>32,14</t>
  </si>
  <si>
    <t>20,78</t>
  </si>
  <si>
    <t>6,89</t>
  </si>
  <si>
    <t>32,92</t>
  </si>
  <si>
    <t>41,58</t>
  </si>
  <si>
    <t>3,72</t>
  </si>
  <si>
    <t>51,12</t>
  </si>
  <si>
    <t>15,08</t>
  </si>
  <si>
    <t>27,28</t>
  </si>
  <si>
    <t>21,14</t>
  </si>
  <si>
    <t>12,22</t>
  </si>
  <si>
    <t>20,72</t>
  </si>
  <si>
    <t>11,96</t>
  </si>
  <si>
    <t>12,21</t>
  </si>
  <si>
    <t>26,34</t>
  </si>
  <si>
    <t>50,08</t>
  </si>
  <si>
    <t>9,73</t>
  </si>
  <si>
    <t>33,92</t>
  </si>
  <si>
    <t>60,33</t>
  </si>
  <si>
    <t>49,15</t>
  </si>
  <si>
    <t>10,95</t>
  </si>
  <si>
    <t>13,74</t>
  </si>
  <si>
    <t>20,26</t>
  </si>
  <si>
    <t>19,43</t>
  </si>
  <si>
    <t>178,82</t>
  </si>
  <si>
    <t>33,30</t>
  </si>
  <si>
    <t>34,94</t>
  </si>
  <si>
    <t>38,15</t>
  </si>
  <si>
    <t>7,28</t>
  </si>
  <si>
    <t>44,61</t>
  </si>
  <si>
    <t>18,68</t>
  </si>
  <si>
    <t>35,31</t>
  </si>
  <si>
    <t>42,23</t>
  </si>
  <si>
    <t>40,30</t>
  </si>
  <si>
    <t>58,16</t>
  </si>
  <si>
    <t>59,19</t>
  </si>
  <si>
    <t>41,82</t>
  </si>
  <si>
    <t>64,42</t>
  </si>
  <si>
    <t>37,90</t>
  </si>
  <si>
    <t>49,32</t>
  </si>
  <si>
    <t>33,98</t>
  </si>
  <si>
    <t>29,33</t>
  </si>
  <si>
    <t>34,12</t>
  </si>
  <si>
    <t>25,50</t>
  </si>
  <si>
    <t>93,20</t>
  </si>
  <si>
    <t>22,73</t>
  </si>
  <si>
    <t>26,77</t>
  </si>
  <si>
    <t>28,94</t>
  </si>
  <si>
    <t>56,10</t>
  </si>
  <si>
    <t>141,67</t>
  </si>
  <si>
    <t>40,14</t>
  </si>
  <si>
    <t>97,81</t>
  </si>
  <si>
    <t>11,23</t>
  </si>
  <si>
    <t>30,00</t>
  </si>
  <si>
    <t>40,36</t>
  </si>
  <si>
    <t>18,95</t>
  </si>
  <si>
    <t>9,18</t>
  </si>
  <si>
    <t>17,20</t>
  </si>
  <si>
    <t>22,86</t>
  </si>
  <si>
    <t>23,67</t>
  </si>
  <si>
    <t>5,41</t>
  </si>
  <si>
    <t>53,74</t>
  </si>
  <si>
    <t>6,38</t>
  </si>
  <si>
    <t>34,62</t>
  </si>
  <si>
    <t>25,88</t>
  </si>
  <si>
    <t>28,61</t>
  </si>
  <si>
    <t>30,86</t>
  </si>
  <si>
    <t>35,34</t>
  </si>
  <si>
    <t>21,33</t>
  </si>
  <si>
    <t>30,53</t>
  </si>
  <si>
    <t>33,87</t>
  </si>
  <si>
    <t>42,06</t>
  </si>
  <si>
    <t>446,97</t>
  </si>
  <si>
    <t>192,86</t>
  </si>
  <si>
    <t>23,83</t>
  </si>
  <si>
    <t>19,97</t>
  </si>
  <si>
    <t>17,27</t>
  </si>
  <si>
    <t>229,73</t>
  </si>
  <si>
    <t>206,15</t>
  </si>
  <si>
    <t>27,55</t>
  </si>
  <si>
    <t>25,08</t>
  </si>
  <si>
    <t>100859</t>
  </si>
  <si>
    <t>100878</t>
  </si>
  <si>
    <t>VASO SANITÁRIO SIFONADO COM CAIXA ACOPLADA, LOUÇA BRANCA - PADRÃO ALTO - FORNECIMENTO E INSTALAÇÃO. AF_01/2020</t>
  </si>
  <si>
    <t>52,65</t>
  </si>
  <si>
    <t>216,69</t>
  </si>
  <si>
    <t>REGISTRO DE PRESSÃO BRUTO, LATÃO, ROSCÁVEL, 1/2" - FORNECIMENTO E INSTALAÇÃO. AF_08/2021</t>
  </si>
  <si>
    <t>REGISTRO DE PRESSÃO BRUTO, LATÃO,  ROSCÁVEL, 3/4'' - FORNECIMENTO E INSTALAÇÃO. AF_08/2021</t>
  </si>
  <si>
    <t>REGISTRO DE GAVETA BRUTO, LATÃO, ROSCÁVEL, 1/2" - FORNECIMENTO E INSTALAÇÃO. AF_08/2021</t>
  </si>
  <si>
    <t>REGISTRO DE GAVETA BRUTO, LATÃO, ROSCÁVEL, 3/4" - FORNECIMENTO E INSTALAÇÃO. AF_08/2021</t>
  </si>
  <si>
    <t>MISTURADOR MONOCOMANDO PARA CHUVEIRO, BASE BRUTA E ACABAMENTO CROMADO - FORNECIMENTO E INSTALAÇÃO. AF_08/2021</t>
  </si>
  <si>
    <t>REGISTRO DE PRESSÃO BRUTO, LATÃO, ROSCÁVEL, 1/2", COM ACABAMENTO E CANOPLA CROMADOS - FORNECIMENTO E INSTALAÇÃO. AF_08/2021</t>
  </si>
  <si>
    <t>REGISTRO DE PRESSÃO BRUTO, LATÃO, ROSCÁVEL, 3/4", COM ACABAMENTO E CANOPLA CROMADOS - FORNECIMENTO E INSTALAÇÃO. AF_08/2021</t>
  </si>
  <si>
    <t>REGISTRO DE GAVETA BRUTO, LATÃO, ROSCÁVEL, 1/2", COM ACABAMENTO E CANOPLA CROMADOS - FORNECIMENTO E INSTALAÇÃO. AF_08/2021</t>
  </si>
  <si>
    <t>REGISTRO DE GAVETA BRUTO, LATÃO, ROSCÁVEL, 3/4", COM ACABAMENTO E CANOPLA CROMADOS - FORNECIMENTO E INSTALAÇÃO. AF_08/2021</t>
  </si>
  <si>
    <t>REGISTRO DE ESFERA, PVC, ROSCÁVEL, COM VOLANTE, 3/4" - FORNECIMENTO E INSTALAÇÃO. AF_08/2021</t>
  </si>
  <si>
    <t>REGISTRO DE ESFERA, PVC, SOLDÁVEL, COM VOLANTE, DN  25 MM - FORNECIMENTO E INSTALAÇÃO. AF_08/2021</t>
  </si>
  <si>
    <t>REGISTRO DE ESFERA, PVC, SOLDÁVEL, COM VOLANTE, DN  32 MM - FORNECIMENTO E INSTALAÇÃO. AF_08/2021</t>
  </si>
  <si>
    <t>REGISTRO DE ESFERA, PVC, SOLDÁVEL, COM VOLANTE, DN  40 MM - FORNECIMENTO E INSTALAÇÃO. AF_08/2021</t>
  </si>
  <si>
    <t>REGISTRO DE ESFERA, PVC, SOLDÁVEL, COM VOLANTE, DN  50 MM - FORNECIMENTO E INSTALAÇÃO. AF_08/2021</t>
  </si>
  <si>
    <t>REGISTRO DE ESFERA, PVC, SOLDÁVEL, COM VOLANTE, DN  60 MM - FORNECIMENTO E INSTALAÇÃO. AF_08/2021</t>
  </si>
  <si>
    <t>REGISTRO DE GAVETA BRUTO, LATÃO, ROSCÁVEL, 1" - FORNECIMENTO E INSTALAÇÃO. AF_08/2021</t>
  </si>
  <si>
    <t>REGISTRO DE GAVETA BRUTO, LATÃO, ROSCÁVEL, 1 1/4" - FORNECIMENTO E INSTALAÇÃO. AF_08/2021</t>
  </si>
  <si>
    <t>REGISTRO DE GAVETA BRUTO, LATÃO, ROSCÁVEL, 1 1/2" - FORNECIMENTO E INSTALAÇÃO. AF_08/2021</t>
  </si>
  <si>
    <t>REGISTRO DE GAVETA BRUTO, LATÃO, ROSCÁVEL, 2" - FORNECIMENTO E INSTALAÇÃO. AF_08/2021</t>
  </si>
  <si>
    <t>REGISTRO DE GAVETA BRUTO, LATÃO, ROSCÁVEL, 2 1/2" - FORNECIMENTO E INSTALAÇÃO. AF_08/2021</t>
  </si>
  <si>
    <t>REGISTRO DE GAVETA BRUTO, LATÃO, ROSCÁVEL, 3" - FORNECIMENTO E INSTALAÇÃO. AF_08/2021</t>
  </si>
  <si>
    <t>333,09</t>
  </si>
  <si>
    <t>REGISTRO DE GAVETA BRUTO, LATÃO, ROSCÁVEL, 4" - FORNECIMENTO E INSTALAÇÃO. AF_08/2021</t>
  </si>
  <si>
    <t>REGISTRO DE GAVETA BRUTO, LATÃO, ROSCÁVEL, 1", COM ACABAMENTO E CANOPLA CROMADOS - FORNECIMENTO E INSTALAÇÃO. AF_08/2021</t>
  </si>
  <si>
    <t>REGISTRO DE GAVETA BRUTO, LATÃO, ROSCÁVEL, 1 1/4", COM ACABAMENTO E CANOPLA CROMADOS - FORNECIMENTO E INSTALAÇÃO. AF_08/2021</t>
  </si>
  <si>
    <t>REGISTRO DE GAVETA BRUTO, LATÃO, ROSCÁVEL, 1 1/2", COM ACABAMENTO E CANOPLA CROMADOS - FORNECIMENTO E INSTALAÇÃO. AF_08/2021</t>
  </si>
  <si>
    <t>TORNEIRA DE BOIA PARA CAIXA D'ÁGUA, ROSCÁVEL, 1/2" - FORNECIMENTO E INSTALAÇÃO. AF_08/2021</t>
  </si>
  <si>
    <t>TORNEIRA DE BOIA PARA CAIXA D'ÁGUA, ROSCÁVEL, 3/4" - FORNECIMENTO E INSTALAÇÃO. AF_08/2021</t>
  </si>
  <si>
    <t>TORNEIRA DE BOIA PARA CAIXA D'ÁGUA, ROSCÁVEL, 1" - FORNECIMENTO E INSTALAÇÃO. AF_08/2021</t>
  </si>
  <si>
    <t>TORNEIRA DE BOIA PARA CAIXA D'ÁGUA, ROSCÁVEL, 1 1/4" - FORNECIMENTO E INSTALAÇÃO. AF_08/2021</t>
  </si>
  <si>
    <t>TORNEIRA DE BOIA PARA CAIXA D'ÁGUA, ROSCÁVEL, 1 1/2" - FORNECIMENTO E INSTALAÇÃO. AF_08/2021</t>
  </si>
  <si>
    <t>TORNEIRA DE BOIA PARA CAIXA D'ÁGUA, ROSCÁVEL, 2" - FORNECIMENTO E INSTALAÇÃO. AF_08/2021</t>
  </si>
  <si>
    <t>VÁLVULA DE ESFERA BRUTA, BRONZE, ROSCÁVEL, 1/2" - FORNECIMENTO E INSTALAÇÃO. AF_08/2021</t>
  </si>
  <si>
    <t>VÁLVULA DE ESFERA BRUTA, BRONZE, ROSCÁVEL, 3/4'' - FORNECIMENTO E INSTALAÇÃO. AF_08/2021</t>
  </si>
  <si>
    <t>VÁLVULA DE ESFERA BRUTA, BRONZE, ROSCÁVEL, 1'' - FORNECIMENTO E INSTALAÇÃO. AF_08/2021</t>
  </si>
  <si>
    <t>VÁLVULA DE ESFERA BRUTA, BRONZE, ROSCÁVEL, 1 1/4'' - FORNECIMENTO E INSTALAÇÃO. AF_08/2021</t>
  </si>
  <si>
    <t>VÁLVULA DE ESFERA BRUTA, BRONZE, ROSCÁVEL, 1 1/2'' - FORNECIMENTO E INSTALAÇÃO. AF_08/2021</t>
  </si>
  <si>
    <t>VÁLVULA DE ESFERA BRUTA, BRONZE, ROSCÁVEL, 2'' - FORNECIMENTO E INSTALAÇÃO. AF_08/2021</t>
  </si>
  <si>
    <t>VÁLVULA DE RETENÇÃO HORIZONTAL, DE BRONZE, ROSCÁVEL, 3/4" - FORNECIMENTO E INSTALAÇÃO. AF_08/2021</t>
  </si>
  <si>
    <t>VÁLVULA DE RETENÇÃO HORIZONTAL, DE BRONZE, ROSCÁVEL, 1" - FORNECIMENTO E INSTALAÇÃO. AF_08/2021</t>
  </si>
  <si>
    <t>VÁLVULA DE RETENÇÃO HORIZONTAL, DE BRONZE, ROSCÁVEL, 1 1/4" - FORNECIMENTO E INSTALAÇÃO. AF_08/2021</t>
  </si>
  <si>
    <t>VÁLVULA DE RETENÇÃO HORIZONTAL, DE BRONZE, ROSCÁVEL, 1 1/2"  - FORNECIMENTO E INSTALAÇÃO. AF_08/2021</t>
  </si>
  <si>
    <t>VÁLVULA DE RETENÇÃO HORIZONTAL, DE BRONZE, ROSCÁVEL, 2"  - FORNECIMENTO E INSTALAÇÃO. AF_08/2021</t>
  </si>
  <si>
    <t>VÁLVULA DE RETENÇÃO HORIZONTAL, DE BRONZE, ROSCÁVEL, 2 1/2" - FORNECIMENTO E INSTALAÇÃO. AF_08/2021</t>
  </si>
  <si>
    <t>VÁLVULA DE RETENÇÃO HORIZONTAL, DE BRONZE, ROSCÁVEL, 3" - FORNECIMENTO E INSTALAÇÃO. AF_08/2021</t>
  </si>
  <si>
    <t>464,53</t>
  </si>
  <si>
    <t>VÁLVULA DE RETENÇÃO HORIZONTAL, DE BRONZE, ROSCÁVEL, 4" - FORNECIMENTO E INSTALAÇÃO. AF_08/2021</t>
  </si>
  <si>
    <t>VÁLVULA DE RETENÇÃO VERTICAL, DE BRONZE, ROSCÁVEL, 1/2" - FORNECIMENTO E INSTALAÇÃO. AF_08/2021</t>
  </si>
  <si>
    <t>VÁLVULA DE RETENÇÃO VERTICAL, DE BRONZE, ROSCÁVEL, 3/4" - FORNECIMENTO E INSTALAÇÃO. AF_08/2021</t>
  </si>
  <si>
    <t>VÁLVULA DE RETENÇÃO VERTICAL, DE BRONZE, ROSCÁVEL, 1" - FORNECIMENTO E INSTALAÇÃO. AF_08/2021</t>
  </si>
  <si>
    <t>VÁLVULA DE RETENÇÃO VERTICAL, DE BRONZE, ROSCÁVEL, 1 1/4" - FORNECIMENTO E INSTALAÇÃO. AF_08/2021</t>
  </si>
  <si>
    <t>VÁLVULA DE RETENÇÃO VERTICAL, DE BRONZE, ROSCÁVEL, 1 1/2" - FORNECIMENTO E INSTALAÇÃO. AF_08/2021</t>
  </si>
  <si>
    <t>VÁLVULA DE RETENÇÃO VERTICAL, DE BRONZE, ROSCÁVEL, 2" - FORNECIMENTO E INSTALAÇÃO. AF_08/2021</t>
  </si>
  <si>
    <t>VÁLVULA DE RETENÇÃO VERTICAL, DE BRONZE, ROSCÁVEL, 3" - FORNECIMENTO E INSTALAÇÃO. AF_08/2021</t>
  </si>
  <si>
    <t>VÁLVULA DE RETENÇÃO VERTICAL, DE BRONZE, ROSCÁVEL, 4" - FORNECIMENTO E INSTALAÇÃO. AF_08/2021</t>
  </si>
  <si>
    <t>VÁLVULA DE DESCARGA METÁLICA, BASE 1 1/2", ACABAMENTO METALICO CROMADO - FORNECIMENTO E INSTALAÇÃO. AF_08/2021</t>
  </si>
  <si>
    <t>103008</t>
  </si>
  <si>
    <t>VÁLVULA DE RETENÇÃO HORIZONTAL, DE BRONZE, ROSCÁVEL, 1/2" - FORNECIMENTO E INSTALAÇÃO. AF_08/2021</t>
  </si>
  <si>
    <t>103009</t>
  </si>
  <si>
    <t>VÁLVULA DE RETENÇÃO VERTICAL, DE BRONZE, ROSCÁVEL, 2 1/2" - FORNECIMENTO E INSTALAÇÃO. AF_08/2021</t>
  </si>
  <si>
    <t>103010</t>
  </si>
  <si>
    <t>VÁLVULA DE RETENÇÃO, DE BRONZE, PÉ COM CRIVOS, ROSCÁVEL, 3/4" - FORNECIMENTO E INSTALAÇÃO. AF_08/2021</t>
  </si>
  <si>
    <t>103011</t>
  </si>
  <si>
    <t>VÁLVULA DE RETENÇÃO, DE BRONZE, PÉ COM CRIVOS, ROSCÁVEL, 1" - FORNECIMENTO E INSTALAÇÃO. AF_08/2021</t>
  </si>
  <si>
    <t>103012</t>
  </si>
  <si>
    <t>VÁLVULA DE RETENÇÃO, DE BRONZE, PÉ COM CRIVOS, ROSCÁVEL, 1 1/4" - FORNECIMENTO E INSTALAÇÃO. AF_08/2021</t>
  </si>
  <si>
    <t>103013</t>
  </si>
  <si>
    <t>VÁLVULA DE RETENÇÃO, DE BRONZE, PÉ COM CRIVOS, ROSCÁVEL, 1 1/2" - FORNECIMENTO E INSTALAÇÃO. AF_08/2021</t>
  </si>
  <si>
    <t>103014</t>
  </si>
  <si>
    <t>VÁLVULA DE RETENÇÃO, DE BRONZE, PÉ COM CRIVOS, ROSCÁVEL, 2" - FORNECIMENTO E INSTALAÇÃO. AF_08/2021</t>
  </si>
  <si>
    <t>103015</t>
  </si>
  <si>
    <t>VÁLVULA DE RETENÇÃO, DE BRONZE, PÉ COM CRIVOS, ROSCÁVEL, 2 1/2" - FORNECIMENTO E INSTALAÇÃO. AF_08/2021</t>
  </si>
  <si>
    <t>103016</t>
  </si>
  <si>
    <t>VÁLVULA DE RETENÇÃO, DE BRONZE, PÉ COM CRIVOS, ROSCÁVEL, 3" - FORNECIMENTO E INSTALAÇÃO. AF_08/2021</t>
  </si>
  <si>
    <t>103017</t>
  </si>
  <si>
    <t>VÁLVULA DE RETENÇÃO, DE BRONZE, PÉ COM CRIVOS, ROSCÁVEL, 4" - FORNECIMENTO E INSTALAÇÃO. AF_08/2021</t>
  </si>
  <si>
    <t>103018</t>
  </si>
  <si>
    <t>VÁLVULA DE DESCARGA METÁLICA, BASE 1 1/4", ACABAMENTO METALICO CROMADO - FORNECIMENTO E INSTALAÇÃO. AF_08/2021</t>
  </si>
  <si>
    <t>103019</t>
  </si>
  <si>
    <t>REGISTRO OU VÁLVULA GLOBO ANGULAR EM LATÃO, PARA HIDRANTES EM INSTALAÇÃO PREDIAL DE INCÊNDIO, 45 GRAUS, 2 1/2" - FORNECIMENTO E INSTALAÇÃO. AF_08/2021</t>
  </si>
  <si>
    <t>103029</t>
  </si>
  <si>
    <t>REGISTRO OU REGULADOR DE GÁS DE COZINHA - FORNECIMENTO E INSTALAÇÃO. AF_08/2021</t>
  </si>
  <si>
    <t>103036</t>
  </si>
  <si>
    <t>REGISTRO DE ESFERA, PVC, ROSCÁVEL, COM VOLANTE, 1/2" - FORNECIMENTO E INSTALAÇÃO. AF_08/2021</t>
  </si>
  <si>
    <t>103037</t>
  </si>
  <si>
    <t>REGISTRO DE ESFERA, PVC, ROSCÁVEL, COM VOLANTE, 1" - FORNECIMENTO E INSTALAÇÃO. AF_08/2021</t>
  </si>
  <si>
    <t>103038</t>
  </si>
  <si>
    <t>REGISTRO DE ESFERA, PVC, ROSCÁVEL, COM VOLANTE, 1 1/4" - FORNECIMENTO E INSTALAÇÃO. AF_08/2021</t>
  </si>
  <si>
    <t>103039</t>
  </si>
  <si>
    <t>REGISTRO DE ESFERA, PVC, ROSCÁVEL, COM VOLANTE, 1 1/2" - FORNECIMENTO E INSTALAÇÃO. AF_08/2021</t>
  </si>
  <si>
    <t>103040</t>
  </si>
  <si>
    <t>REGISTRO DE ESFERA, PVC, ROSCÁVEL, COM VOLANTE, 2" - FORNECIMENTO E INSTALAÇÃO. AF_08/2021</t>
  </si>
  <si>
    <t>103041</t>
  </si>
  <si>
    <t>REGISTRO DE ESFERA, PVC, ROSCÁVEL, COM BORBOLETA, 1/2" - FORNECIMENTO E INSTALAÇÃO. AF_08/2021</t>
  </si>
  <si>
    <t>103042</t>
  </si>
  <si>
    <t>REGISTRO DE ESFERA, PVC, ROSCÁVEL, COM BORBOLETA, 3/4" - FORNECIMENTO E INSTALAÇÃO. AF_08/2021</t>
  </si>
  <si>
    <t>103043</t>
  </si>
  <si>
    <t>REGISTRO DE ESFERA, PVC, ROSCÁVEL, COM CABEÇA QUADRADA, 1/2" - FORNECIMENTO E INSTALAÇÃO. AF_08/2021</t>
  </si>
  <si>
    <t>103044</t>
  </si>
  <si>
    <t>REGISTRO DE ESFERA, PVC, ROSCÁVEL, COM CABEÇA QUADRADA, 3/4" - FORNECIMENTO E INSTALAÇÃO. AF_08/2021</t>
  </si>
  <si>
    <t>103045</t>
  </si>
  <si>
    <t>REGISTRO DE PRESSÃO, PVC, ROSCÁVEL, VOLANTE SIMPLES, 1/2" - FORNECIMENTO E INSTALAÇÃO. AF_08/2021</t>
  </si>
  <si>
    <t>103046</t>
  </si>
  <si>
    <t>REGISTRO DE PRESSÃO, PVC, ROSCÁVEL, VOLANTE SIMPLES, 3/4" - FORNECIMENTO E INSTALAÇÃO. AF_08/2021</t>
  </si>
  <si>
    <t>103047</t>
  </si>
  <si>
    <t>REGISTRO DE ESFERA, PVC, SOLDÁVEL, COM VOLANTE, DN  20 MM - FORNECIMENTO E INSTALAÇÃO. AF_08/2021</t>
  </si>
  <si>
    <t>103048</t>
  </si>
  <si>
    <t>REGISTRO DE PRESSÃO, PVC, SOLDÁVEL, VOLANTE SIMPLES, DN  20 MM - FORNECIMENTO E INSTALAÇÃO. AF_08/2021</t>
  </si>
  <si>
    <t>103049</t>
  </si>
  <si>
    <t>REGISTRO DE PRESSÃO, PVC, SOLDÁVEL, VOLANTE SIMPLES, DN  25 MM - FORNECIMENTO E INSTALAÇÃO. AF_08/2021</t>
  </si>
  <si>
    <t>103050</t>
  </si>
  <si>
    <t>SUBSTITUIÇÃO DE REGISTRO OU VÁLVULA, ROSCÁVEL, DN  20 MM. AF_08/2021</t>
  </si>
  <si>
    <t>103051</t>
  </si>
  <si>
    <t>SUBSTITUIÇÃO DE REGISTRO OU VÁLVULA, ROSCÁVEL, DN  25 MM. AF_08/2021</t>
  </si>
  <si>
    <t>103052</t>
  </si>
  <si>
    <t>SUBSTITUIÇÃO DE REGISTRO OU VÁLVULA, ROSCÁVEL, DN  32 MM. AF_08/2021</t>
  </si>
  <si>
    <t>40,92</t>
  </si>
  <si>
    <t>20,97</t>
  </si>
  <si>
    <t>16,72</t>
  </si>
  <si>
    <t>11,50</t>
  </si>
  <si>
    <t>149,74</t>
  </si>
  <si>
    <t>200,87</t>
  </si>
  <si>
    <t>12,02</t>
  </si>
  <si>
    <t>11,43</t>
  </si>
  <si>
    <t>15,58</t>
  </si>
  <si>
    <t>15,42</t>
  </si>
  <si>
    <t>12,13</t>
  </si>
  <si>
    <t>13,07</t>
  </si>
  <si>
    <t>24,50</t>
  </si>
  <si>
    <t>16,81</t>
  </si>
  <si>
    <t>5,05</t>
  </si>
  <si>
    <t>8,35</t>
  </si>
  <si>
    <t>11,00</t>
  </si>
  <si>
    <t>10,33</t>
  </si>
  <si>
    <t>7,91</t>
  </si>
  <si>
    <t>76,00</t>
  </si>
  <si>
    <t>6,29</t>
  </si>
  <si>
    <t>17,35</t>
  </si>
  <si>
    <t>116,41</t>
  </si>
  <si>
    <t>71,79</t>
  </si>
  <si>
    <t>62,58</t>
  </si>
  <si>
    <t>61,55</t>
  </si>
  <si>
    <t>68,44</t>
  </si>
  <si>
    <t>78,05</t>
  </si>
  <si>
    <t>118,83</t>
  </si>
  <si>
    <t>80,15</t>
  </si>
  <si>
    <t>56,23</t>
  </si>
  <si>
    <t>59,34</t>
  </si>
  <si>
    <t>94,88</t>
  </si>
  <si>
    <t>83,58</t>
  </si>
  <si>
    <t>78,64</t>
  </si>
  <si>
    <t>83,31</t>
  </si>
  <si>
    <t>29,89</t>
  </si>
  <si>
    <t>26,45</t>
  </si>
  <si>
    <t>23,87</t>
  </si>
  <si>
    <t>102988</t>
  </si>
  <si>
    <t>RECOMPOSIÇÃO DE PAVIMENTO EM PISO INTERTRAVADO, COM REAPROVEITAMENTO DOS BLOCOS INTERTRAVADOS, PARA FECHAMENTO DE VALAS - INCLUSO RETIRADA E COLOCAÇÃO DO MATERIAL. AF_12/2020</t>
  </si>
  <si>
    <t>42,78</t>
  </si>
  <si>
    <t>33,24</t>
  </si>
  <si>
    <t>17,97</t>
  </si>
  <si>
    <t>33,08</t>
  </si>
  <si>
    <t>10,90</t>
  </si>
  <si>
    <t>26,54</t>
  </si>
  <si>
    <t>36,42</t>
  </si>
  <si>
    <t>20,99</t>
  </si>
  <si>
    <t>11,19</t>
  </si>
  <si>
    <t>139,60</t>
  </si>
  <si>
    <t>45,94</t>
  </si>
  <si>
    <t>26,25</t>
  </si>
  <si>
    <t>74,02</t>
  </si>
  <si>
    <t>125,00</t>
  </si>
  <si>
    <t>153,57</t>
  </si>
  <si>
    <t>CONTRAPISO EM ARGAMASSA TRAÇO 1:4 (CIMENTO E AREIA), PREPARO MECÂNICO COM BETONEIRA 400 L, APLICADO EM ÁREAS SECAS SOBRE LAJE, ADERIDO, ACABAMENTO NÃO REFORÇADO, ESPESSURA 2CM. AF_07/2021</t>
  </si>
  <si>
    <t>CONTRAPISO EM ARGAMASSA TRAÇO 1:4 (CIMENTO E AREIA), PREPARO MANUAL, APLICADO EM ÁREAS SECAS SOBRE LAJE, ADERIDO, ACABAMENTO NÃO REFORÇADO, ESPESSURA 2CM. AF_07/2021</t>
  </si>
  <si>
    <t>CONTRAPISO EM ARGAMASSA PRONTA, PREPARO MECÂNICO COM MISTURADOR 300 KG, APLICADO EM ÁREAS SECAS SOBRE LAJE, ADERIDO, ACABAMENTO NÃO REFORÇADO, ESPESSURA 2CM. AF_07/2021</t>
  </si>
  <si>
    <t>CONTRAPISO EM ARGAMASSA TRAÇO 1:4 (CIMENTO E AREIA), PREPARO MECÂNICO COM BETONEIRA 400 L, APLICADO EM ÁREAS SECAS SOBRE LAJE, ADERIDO, ACABAMENTO NÃO REFORÇADO, ESPESSURA 3CM. AF_07/2021</t>
  </si>
  <si>
    <t>CONTRAPISO EM ARGAMASSA TRAÇO 1:4 (CIMENTO E AREIA), PREPARO MANUAL, APLICADO EM ÁREAS SECAS SOBRE LAJE, ADERIDO, ACABAMENTO NÃO REFORÇADO, ESPESSURA 3CM. AF_07/2021</t>
  </si>
  <si>
    <t>CONTRAPISO EM ARGAMASSA PRONTA, PREPARO MECÂNICO COM MISTURADOR 300 KG, APLICADO EM ÁREAS SECAS SOBRE LAJE, ADERIDO, ACABAMENTO NÃO REFORÇADO, ESPESSURA 3CM. AF_07/2021</t>
  </si>
  <si>
    <t>70,72</t>
  </si>
  <si>
    <t>CONTRAPISO EM ARGAMASSA PRONTA, PREPARO MANUAL, APLICADO EM ÁREAS SECAS SOBRE LAJE, ADERIDO, ACABAMENTO NÃO REFORÇADO, ESPESSURA 3CM. AF_07/2021</t>
  </si>
  <si>
    <t>77,54</t>
  </si>
  <si>
    <t>CONTRAPISO EM ARGAMASSA TRAÇO 1:4 (CIMENTO E AREIA), PREPARO MECÂNICO COM BETONEIRA 400 L, APLICADO EM ÁREAS SECAS SOBRE LAJE, ADERIDO, ACABAMENTO NÃO REFORÇADO, ESPESSURA 4CM. AF_07/2021</t>
  </si>
  <si>
    <t>CONTRAPISO EM ARGAMASSA TRAÇO 1:4 (CIMENTO E AREIA), PREPARO MANUAL, APLICADO EM ÁREAS SECAS SOBRE LAJE, ADERIDO, ACABAMENTO NÃO REFORÇADO, ESPESSURA 4CM. AF_07/2021</t>
  </si>
  <si>
    <t>CONTRAPISO EM ARGAMASSA PRONTA, PREPARO MECÂNICO COM MISTURADOR 300 KG, APLICADO EM ÁREAS SECAS SOBRE LAJE, ADERIDO, ACABAMENTO NÃO REFORÇADO, ESPESSURA 4CM. AF_07/2021</t>
  </si>
  <si>
    <t>CONTRAPISO EM ARGAMASSA PRONTA, PREPARO MANUAL, APLICADO EM ÁREAS SECAS SOBRE LAJE, ADERIDO, ACABAMENTO NÃO REFORÇADO, ESPESSURA 4CM. AF_07/2021</t>
  </si>
  <si>
    <t>CONTRAPISO EM ARGAMASSA TRAÇO 1:4 (CIMENTO E AREIA), PREPARO MECÂNICO COM BETONEIRA 400 L, APLICADO EM ÁREAS SECAS SOBRE LAJE, NÃO ADERIDO, ACABAMENTO NÃO REFORÇADO, ESPESSURA 4CM. AF_07/2021</t>
  </si>
  <si>
    <t>CONTRAPISO EM ARGAMASSA TRAÇO 1:4 (CIMENTO E AREIA), PREPARO MANUAL, APLICADO EM ÁREAS SECAS SOBRE LAJE, NÃO ADERIDO, ACABAMENTO NÃO REFORÇADO, ESPESSURA 4CM. AF_07/2021</t>
  </si>
  <si>
    <t>CONTRAPISO EM ARGAMASSA PRONTA, PREPARO MECÂNICO COM MISTURADOR 300 KG, APLICADO EM ÁREAS SECAS SOBRE LAJE, NÃO ADERIDO, ACABAMENTO NÃO REFORÇADO, ESPESSURA 4CM. AF_07/2021</t>
  </si>
  <si>
    <t>CONTRAPISO EM ARGAMASSA PRONTA, PREPARO MANUAL, APLICADO EM ÁREAS SECAS SOBRE LAJE, NÃO ADERIDO, ACABAMENTO NÃO REFORÇADO, ESPESSURA 4CM. AF_07/2021</t>
  </si>
  <si>
    <t>CONTRAPISO EM ARGAMASSA TRAÇO 1:4 (CIMENTO E AREIA), PREPARO MECÂNICO COM BETONEIRA 400 L, APLICADO EM ÁREAS SECAS SOBRE LAJE, NÃO ADERIDO, ACABAMENTO NÃO REFORÇADO, ESPESSURA 5CM. AF_07/2021</t>
  </si>
  <si>
    <t>35,10</t>
  </si>
  <si>
    <t>CONTRAPISO EM ARGAMASSA TRAÇO 1:4 (CIMENTO E AREIA), PREPARO MANUAL, APLICADO EM ÁREAS SECAS SOBRE LAJE, NÃO ADERIDO, ACABAMENTO NÃO REFORÇADO, ESPESSURA 5CM. AF_07/2021</t>
  </si>
  <si>
    <t>CONTRAPISO EM ARGAMASSA PRONTA, PREPARO MECÂNICO COM MISTURADOR 300 KG, APLICADO EM ÁREAS SECAS SOBRE LAJE, NÃO ADERIDO, ESPESSURA 5CM. AF_07/2021</t>
  </si>
  <si>
    <t>CONTRAPISO EM ARGAMASSA PRONTA, PREPARO MANUAL, APLICADO EM ÁREAS SECAS SOBRE LAJE, NÃO ADERIDO, ACABAMENTO NÃO REFORÇADO, ESPESSURA 5CM. AF_07/2021</t>
  </si>
  <si>
    <t>CONTRAPISO EM ARGAMASSA TRAÇO 1:4 (CIMENTO E AREIA), PREPARO MECÂNICO COM BETONEIRA 400 L, APLICADO EM ÁREAS SECAS SOBRE LAJE, NÃO ADERIDO, ACABAMENTO NÃO REFORÇADO, ESPESSURA 6CM. AF_07/2021</t>
  </si>
  <si>
    <t>CONTRAPISO EM ARGAMASSA TRAÇO 1:4 (CIMENTO E AREIA), PREPARO MANUAL, APLICADO EM ÁREAS SECAS SOBRE LAJE, NÃO ADERIDO, ACABAMENTO NÃO REFORÇADO, ESPESSURA 6CM. AF_07/2021</t>
  </si>
  <si>
    <t>CONTRAPISO EM ARGAMASSA PRONTA, PREPARO MECÂNICO COM MISTURADOR 300 KG, APLICADO EM ÁREAS SECAS SOBRE LAJE, NÃO ADERIDO, ACABAMENTO NÃO REFORÇADO, ESPESSURA 6CM. AF_07/2021</t>
  </si>
  <si>
    <t>CONTRAPISO EM ARGAMASSA PRONTA, PREPARO MANUAL, APLICADO EM ÁREAS SECAS SOBRE LAJE, NÃO ADERIDO, ACABAMENTO NÃO REFORÇADO, ESPESSURA 6CM. AF_07/2021</t>
  </si>
  <si>
    <t>CONTRAPISO EM ARGAMASSA TRAÇO 1:4 (CIMENTO E AREIA), PREPARO MECÂNICO COM BETONEIRA 400 L, APLICADO EM ÁREAS MOLHADAS SOBRE LAJE, ADERIDO, ACABAMENTO NÃO REFORÇADO, ESPESSURA 2CM. AF_07/2021</t>
  </si>
  <si>
    <t>CONTRAPISO EM ARGAMASSA TRAÇO 1:4 (CIMENTO E AREIA), PREPARO MANUAL, APLICADO EM ÁREAS MOLHADAS SOBRE LAJE, ADERIDO, ACABAMENTO NÃO REFORÇADO, ESPESSURA 2CM. AF_07/2021</t>
  </si>
  <si>
    <t>CONTRAPISO EM ARGAMASSA PRONTA, PREPARO MECÂNICO COM MISTURADOR 300 KG, APLICADO EM ÁREAS MOLHADAS SOBRE LAJE, ADERIDO, ACABAMENTO NÃO REFORÇADO, ESPESSURA 2CM. AF_07/2021</t>
  </si>
  <si>
    <t>CONTRAPISO EM ARGAMASSA PRONTA, PREPARO MANUAL, APLICADO EM ÁREAS MOLHADAS SOBRE LAJE, ADERIDO, ACABAMENTO NÃO REFORÇADO, ESPESSURA 2CM. AF_07/2021</t>
  </si>
  <si>
    <t>CONTRAPISO EM ARGAMASSA TRAÇO 1:4 (CIMENTO E AREIA), PREPARO MECÂNICO COM BETONEIRA 400 L, APLICADO EM ÁREAS MOLHADAS SOBRE LAJE, ADERIDO, ACABAMENTO NÃO REFORÇADO, ESPESSURA 3CM. AF_07/2021</t>
  </si>
  <si>
    <t>CONTRAPISO EM ARGAMASSA TRAÇO 1:4 (CIMENTO E AREIA), PREPARO MANUAL, APLICADO EM ÁREAS MOLHADAS SOBRE LAJE, ADERIDO, ACABAMENTO NÃO REFORÇADO, ESPESSURA 3CM. AF_07/2021</t>
  </si>
  <si>
    <t>CONTRAPISO EM ARGAMASSA PRONTA, PREPARO MECÂNICO COM MISTURADOR 300 KG, APLICADO EM ÁREAS MOLHADAS SOBRE LAJE, ADERIDO, ACABAMENTO NÃO REFORÇADO, ESPESSURA 3CM. AF_07/2021</t>
  </si>
  <si>
    <t>CONTRAPISO EM ARGAMASSA PRONTA, PREPARO MANUAL, APLICADO EM ÁREAS MOLHADAS SOBRE LAJE, ADERIDO, ACABAMENTO NÃO REFORÇADO, ESPESSURA 3CM. AF_07/2021</t>
  </si>
  <si>
    <t>CONTRAPISO EM ARGAMASSA TRAÇO 1:4 (CIMENTO E AREIA), PREPARO MECÂNICO COM BETONEIRA 400 L, APLICADO EM ÁREAS MOLHADAS SOBRE IMPERMEABILIZAÇÃO, ACABAMENTO NÃO REFORÇADO, ESPESSURA 3CM. AF_07/2021</t>
  </si>
  <si>
    <t>CONTRAPISO EM ARGAMASSA TRAÇO 1:4 (CIMENTO E AREIA), PREPARO MANUAL, APLICADO EM ÁREAS MOLHADAS SOBRE IMPERMEABILIZAÇÃO, ACABAMENTO NÃO REFORÇADO, ESPESSURA 3CM. AF_07/2021</t>
  </si>
  <si>
    <t>CONTRAPISO EM ARGAMASSA PRONTA, PREPARO MECÂNICO COM MISTURADOR 300 KG, APLICADO EM ÁREAS MOLHADAS SOBRE IMPERMEABILIZAÇÃO, ACABAMENTO NÃO REFORÇADO, ESPESSURA 3CM. AF_07/2021</t>
  </si>
  <si>
    <t>CONTRAPISO EM ARGAMASSA PRONTA, PREPARO MANUAL, APLICADO EM ÁREAS MOLHADAS SOBRE IMPERMEABILIZAÇÃO, ACABAMENTO NÃO REFORÇADO, ESPESSURA 3CM. AF_07/2021</t>
  </si>
  <si>
    <t>CONTRAPISO EM ARGAMASSA TRAÇO 1:4 (CIMENTO E AREIA), PREPARO MECÂNICO COM BETONEIRA 400 L, APLICADO EM ÁREAS MOLHADAS SOBRE IMPERMEABILIZAÇÃO, ACABAMENTO NÃO REFORÇADO, ESPESSURA 4CM. AF_07/2021</t>
  </si>
  <si>
    <t>CONTRAPISO EM ARGAMASSA TRAÇO 1:4 (CIMENTO E AREIA), PREPARO MANUAL, APLICADO EM ÁREAS MOLHADAS SOBRE IMPERMEABILIZAÇÃO, ACABAMENTO NÃO REFORÇADO, ESPESSURA 4CM. AF_07/2021</t>
  </si>
  <si>
    <t>CONTRAPISO EM ARGAMASSA PRONTA, PREPARO MECÂNICO COM MISTURADOR 300 KG, APLICADO EM ÁREAS MOLHADAS SOBRE IMPERMEABILIZAÇÃO, ACABAMENTO NÃO REFORÇADO, ESPESSURA 4CM. AF_07/2021</t>
  </si>
  <si>
    <t>CONTRAPISO EM ARGAMASSA PRONTA, PREPARO MANUAL, APLICADO EM ÁREAS MOLHADAS SOBRE IMPERMEABILIZAÇÃO, ACABAMENTO NÃO REFORÇADO, ESPESSURA 4CM. AF_07/2021</t>
  </si>
  <si>
    <t>CONTRAPISO COM ARGAMASSA AUTONIVELANTE, APLICADO SOBRE LAJE, NÃO ADERIDO, ESPESSURA 3CM. AF_07/2021</t>
  </si>
  <si>
    <t>CONTRAPISO COM ARGAMASSA AUTONIVELANTE, APLICADO SOBRE LAJE, NÃO ADERIDO, ESPESSURA 4CM. AF_07/2021</t>
  </si>
  <si>
    <t>CONTRAPISO COM ARGAMASSA AUTONIVELANTE, APLICADO SOBRE LAJE, NÃO ADERIDO, ESPESSURA 5CM. AF_07/2021</t>
  </si>
  <si>
    <t>CONTRAPISO COM ARGAMASSA AUTONIVELANTE, APLICADO SOBRE LAJE, ADERIDO, ESPESSURA 2CM. AF_07/2021</t>
  </si>
  <si>
    <t>CONTRAPISO COM ARGAMASSA AUTONIVELANTE, APLICADO SOBRE LAJE, ADERIDO, ESPESSURA 3CM. AF_07/2021</t>
  </si>
  <si>
    <t>CONTRAPISO COM ARGAMASSA AUTONIVELANTE, APLICADO SOBRE LAJE, ADERIDO, ESPESSURA 4CM. AF_07/2021</t>
  </si>
  <si>
    <t>CONTRAPISO ACÚSTICO EM ARGAMASSA TRAÇO 1:4 (CIMENTO E AREIA), PREPARO MECÂNICO COM BETONEIRA 400L, APLICADO EM ÁREAS SECAS, ACABAMENTO NÃO REFORÇADO, ESPESSURA 5CM. AF_07/2021</t>
  </si>
  <si>
    <t>CONTRAPISO ACÚSTICO EM ARGAMASSA TRAÇO 1:4 (CIMENTO E AREIA), PREPARO MANUAL, APLICADO EM ÁREAS SECAS, ACABAMENTO NÃO REFORÇADO, ESPESSURA 5CM. AF_07/2021</t>
  </si>
  <si>
    <t>CONTRAPISO ACÚSTICO EM ARGAMASSA PRONTA, PREPARO MECÂNICO COM MISTURADOR 300 KG, APLICADO EM ÁREAS SECAS, ACABAMENTO NÃO REFORÇADO, ESPESSURA 5CM. AF_07/2021</t>
  </si>
  <si>
    <t>CONTRAPISO ACÚSTICO EM ARGAMASSA PRONTA, PREPARO MANUAL, APLICADO EM ÁREAS SECAS, ACABAMENTO NÃO REFORÇADO, ESPESSURA 5CM. AF_07/2021</t>
  </si>
  <si>
    <t>CONTRAPISO ACÚSTICO EM ARGAMASSA TRAÇO 1:4 (CIMENTO E AREIA), PREPARO MECÂNICO COM BETONEIRA 400L, APLICADO EM ÁREAS SECAS, ACABAMENTO NÃO REFORÇADO, ESPESSURA 6CM. AF_07/2021</t>
  </si>
  <si>
    <t>CONTRAPISO ACÚSTICO EM ARGAMASSA TRAÇO 1:4 (CIMENTO E AREIA), PREPARO MANUAL, APLICADO EM ÁREAS SECAS, ACABAMENTO NÃO REFORÇADO, ESPESSURA 6CM. AF_07/2021</t>
  </si>
  <si>
    <t>CONTRAPISO ACÚSTICO EM ARGAMASSA PRONTA, PREPARO MECÂNICO COM MISTURADOR 300 KG, APLICADO EM ÁREAS SECAS, ACABAMENTO NÃO REFORÇADO, ESPESSURA 6CM. AF_07/2021</t>
  </si>
  <si>
    <t>CONTRAPISO ACÚSTICO EM ARGAMASSA PRONTA, PREPARO MANUAL, APLICADO EM ÁREAS SECA, ACABAMENTO NÃO REFORÇADO, ESPESSURA 6CM. AF_07/2021</t>
  </si>
  <si>
    <t>CONTRAPISO ACÚSTICO EM ARGAMASSA TRAÇO 1:4 (CIMENTO E AREIA), PREPARO MECÂNICO COM BETONEIRA 400L, APLICADO EM ÁREAS SECAS, ACABAMENTO NÃO REFORÇADO, ESPESSURA 7CM. AF_07/2021</t>
  </si>
  <si>
    <t>CONTRAPISO ACÚSTICO EM ARGAMASSA TRAÇO 1:4 (CIMENTO E AREIA), PREPARO MANUAL, APLICADO EM ÁREAS SECAS, ACABAMENTO NÃO REFORÇADO, ESPESSURA 7CM. AF_07/2021</t>
  </si>
  <si>
    <t>CONTRAPISO ACÚSTICO EM ARGAMASSA PRONTA, PREPARO MECÂNICO COM MISTURADOR 300 KG, APLICADO EM ÁREAS SECAS, ACABAMENTO NÃO REFORÇADO, ESPESSURA 7CM. AF_07/2021</t>
  </si>
  <si>
    <t>CONTRAPISO ACÚSTICO EM ARGAMASSA PRONTA, PREPARO MANUAL, APLICADO EM ÁREAS SECAS, ACABAMENTO NÃO REFORÇADO, ESPESSURA 7CM. AF_07/2021</t>
  </si>
  <si>
    <t>102803</t>
  </si>
  <si>
    <t>REFORÇO SUPERFICIAL PARA CONTRAPISOS DE ARGAMASSA SEMI-SECA. AF_07/2021</t>
  </si>
  <si>
    <t>29,27</t>
  </si>
  <si>
    <t>30,58</t>
  </si>
  <si>
    <t>70,83</t>
  </si>
  <si>
    <t>105,13</t>
  </si>
  <si>
    <t>105,82</t>
  </si>
  <si>
    <t>68,51</t>
  </si>
  <si>
    <t>53,50</t>
  </si>
  <si>
    <t>43,18</t>
  </si>
  <si>
    <t>5,55</t>
  </si>
  <si>
    <t>6,97</t>
  </si>
  <si>
    <t>7,03</t>
  </si>
  <si>
    <t>1,14</t>
  </si>
  <si>
    <t>0,99</t>
  </si>
  <si>
    <t>4,80</t>
  </si>
  <si>
    <t>2,83</t>
  </si>
  <si>
    <t>3,50</t>
  </si>
  <si>
    <t>14,59</t>
  </si>
  <si>
    <t>CARGA, MANOBRA E DESCARGA DE TUBOS PLÁSTICOS, DN 400 MM, EM CAMINHÃO CARROCERIA COM GUINDAUTO (MUNCK) 11,7 TM. AF_07/2020</t>
  </si>
  <si>
    <t>26,21</t>
  </si>
  <si>
    <t>86,32</t>
  </si>
  <si>
    <t>21,87</t>
  </si>
  <si>
    <t>23,29</t>
  </si>
  <si>
    <t>22,70</t>
  </si>
  <si>
    <t>19,66</t>
  </si>
  <si>
    <t>36,22</t>
  </si>
  <si>
    <t>203,47</t>
  </si>
  <si>
    <t>68,38</t>
  </si>
  <si>
    <t>19,42</t>
  </si>
  <si>
    <t>16,61</t>
  </si>
  <si>
    <t>53,82</t>
  </si>
  <si>
    <t>22,60</t>
  </si>
  <si>
    <t>16,87</t>
  </si>
  <si>
    <t>18,67</t>
  </si>
  <si>
    <t>38,16</t>
  </si>
  <si>
    <t>25,69</t>
  </si>
  <si>
    <t>18,48</t>
  </si>
  <si>
    <t xml:space="preserve">!EM PROCESSO DE DESATIVACAO! CHAPA DE MADEIRA COMPENSADA DE PINUS, VIROLA OU EQUIVALENTE, DE *2,2 X 1,6* M, E = 6 MM                                                                                                                                                                                                                                                                                                                                                                                      </t>
  </si>
  <si>
    <t xml:space="preserve">!EM PROCESSO DE DESATIVACAO! CHAPA DE MADEIRA COMPENSADA PLASTIFICADA PARA FORMA DE CONCRETO, DE 2,20 x 1,10 M, E = 6 MM                                                                                                                                                                                                                                                                                                                                                                                  </t>
  </si>
  <si>
    <t xml:space="preserve">!EM PROCESSO DE DESATIVACAO! CHAPA DE MADEIRA COMPENSADA PLASTIFICADA PARA FORMA DE CONCRETO, DE 2,20 X 1,10 m, E = 14 MM                                                                                                                                                                                                                                                                                                                                                                                 </t>
  </si>
  <si>
    <t xml:space="preserve">!EM PROCESSO DE DESATIVACAO! CHAPA DE MADEIRA COMPENSADA PLASTIFICADA PARA FORMA DE CONCRETO, DE 2,20 X 1,10 M, E = 20 MM                                                                                                                                                                                                                                                                                                                                                                                 </t>
  </si>
  <si>
    <t>202,04</t>
  </si>
  <si>
    <t xml:space="preserve">!EM PROCESSO DE DESATIVACAO! CHAPA DE MADEIRA COMPENSADA RESINADA PARA FORMA DE CONCRETO, DE *2,2 X 1,1* M, E = 10 MM                                                                                                                                                                                                                                                                                                                                                                                     </t>
  </si>
  <si>
    <t xml:space="preserve">!EM PROCESSO DE DESATIVACAO! CHAPA DE MADEIRA COMPENSADA RESINADA PARA FORMA DE CONCRETO, DE *2,2 X 1,1* M, E = 20 MM                                                                                                                                                                                                                                                                                                                                                                                     </t>
  </si>
  <si>
    <t xml:space="preserve">!EM PROCESSO DE DESATIVACAO! CHAPA DE MADEIRA COMPENSADA RESINADA PARA FORMA DE CONCRETO, DE *2,2 X 1,1* M, E = 6 MM                                                                                                                                                                                                                                                                                                                                                                                      </t>
  </si>
  <si>
    <t xml:space="preserve">!EM PROCESSO DE DESATIVACAO! DOBRADICA EM ACO/FERRO, 3" X 2 1/2", E= 1,2 A 1,8 MM, SEM ANEL,  CROMADO OU ZINCADO, TAMPA BOLA, COM PARAFUSOS                                                                                                                                                                                                                                                                                                                                                               </t>
  </si>
  <si>
    <t xml:space="preserve">!EM PROCESSO DE DESATIVACAO! FUNDO SINTETICO NIVELADOR BRANCO FOSCO PARA MADEIRA                                                                                                                                                                                                                                                                                                                                                                                                                          </t>
  </si>
  <si>
    <t>103,64</t>
  </si>
  <si>
    <t xml:space="preserve">!EM PROCESSO DE DESATIVACAO! HASTE DE ATERRAMENTO EM ACO COM 3,00 M DE COMPRIMENTO E DN = 3/4", REVESTIDA COM BAIXA CAMADA DE COBRE, SEM CONECTOR                                                                                                                                                                                                                                                                                                                                                         </t>
  </si>
  <si>
    <t>74,99</t>
  </si>
  <si>
    <t xml:space="preserve">!EM PROCESSO DE DESATIVACAO! HASTE DE ATERRAMENTO EM ACO COM 3,00 M DE COMPRIMENTO E DN = 5/8", REVESTIDA COM BAIXA CAMADA DE COBRE, COM CONECTOR TIPO GRAMPO                                                                                                                                                                                                                                                                                                                                             </t>
  </si>
  <si>
    <t xml:space="preserve">!EM PROCESSO DE DESATIVACAO! HASTE DE ATERRAMENTO EM ACO COM 3,00 M DE COMPRIMENTO E DN = 5/8", REVESTIDA COM BAIXA CAMADA DE COBRE, SEM CONECTOR                                                                                                                                                                                                                                                                                                                                                         </t>
  </si>
  <si>
    <t>50,68</t>
  </si>
  <si>
    <t xml:space="preserve">!EM PROCESSO DE DESATIVACAO! JANELA BASCULANTE, ACO, COM BATENTE/REQUADRO, 60 X 80 CM (SEM VIDROS)                                                                                                                                                                                                                                                                                                                                                                                                        </t>
  </si>
  <si>
    <t>498,48</t>
  </si>
  <si>
    <t xml:space="preserve">!EM PROCESSO DE DESATIVACAO! JANELA DE CORRER, ACO, BATENTE/REQUADRO DE 6 A 14 CM, QUADRICULADA, PINTURA ANTICORROSIVA, SEM VIDRO, BANDEIRA COM BASCULA, 4 FLS, 120  X 150 CM (A X L)                                                                                                                                                                                                                                                                                                                     </t>
  </si>
  <si>
    <t>783,05</t>
  </si>
  <si>
    <t xml:space="preserve">!EM PROCESSO DE DESATIVACAO! LUMINARIA FECHADA P/ ILUMINACAO PUBLICA, TIPO ABL 50/F OU EQUIV, P/ LAMPADA A VAPOR DE MERCURIO 400W                                                                                                                                                                                                                                                                                                                                                                         </t>
  </si>
  <si>
    <t>373,96</t>
  </si>
  <si>
    <t xml:space="preserve">!EM PROCESSO DE DESATIVACAO! MASSA CORRIDA PVA PARA PAREDES INTERNAS                                                                                                                                                                                                                                                                                                                                                                                                                                      </t>
  </si>
  <si>
    <t xml:space="preserve">!EM PROCESSO DE DESATIVACAO! TINTA LATEX PVA PREMIUM, COR BRANCA                                                                                                                                                                                                                                                                                                                                                                                                                                          </t>
  </si>
  <si>
    <t xml:space="preserve">!EM PROCESSO DE DESATIVACAO! VERNIZ POLIURETANO BRILHANTE PARA MADEIRA, SEM FILTRO SOLAR, USO INTERNO E EXTERNO                                                                                                                                                                                                                                                                                                                                                                                           </t>
  </si>
  <si>
    <t>26,72</t>
  </si>
  <si>
    <t xml:space="preserve">!EM PROCESSO DE DESATIVACAO!JANELA DE CORRER, ACO, BATENTE/REQUADRO DE 6 A 14 CM,  COM DIVISAO HORIZ , PINT ANTICORROSIVA, SEM VIDRO, BANDEIRA COM BASCULA, 4 FLS, 120  X 150 CM (A X L)                                                                                                                                                                                                                                                                                                                  </t>
  </si>
  <si>
    <t>1.123,61</t>
  </si>
  <si>
    <t xml:space="preserve">!EM PROCESSO DE DESATIVACAO!MASSA A OLEO PARA MADEIRA                                                                                                                                                                                                                                                                                                                                                                                                                                                     </t>
  </si>
  <si>
    <t>79,88</t>
  </si>
  <si>
    <t xml:space="preserve">!EM PROCESSO DE DESATIVACAO!MASSA ACRILICA PARA PAREDES INTERIOR/EXTERIOR                                                                                                                                                                                                                                                                                                                                                                                                                                 </t>
  </si>
  <si>
    <t>42,01</t>
  </si>
  <si>
    <t xml:space="preserve">!EM PROCESSO DESATIVACAO! ELETRODUTO EM ACO GALVANIZADO ELETROLITICO, LEVE, DIAMETRO 1", PAREDE DE 0,90 MM                                                                                                                                                                                                                                                                                                                                                                                                </t>
  </si>
  <si>
    <t xml:space="preserve">!EM PROCESSO DESATIVACAO! ELETRODUTO EM ACO GALVANIZADO ELETROLITICO, LEVE, DIAMETRO 3/4", PAREDE DE 0,90 MM                                                                                                                                                                                                                                                                                                                                                                                              </t>
  </si>
  <si>
    <t xml:space="preserve">!EM PROCESSO DESATIVACAO! ELETRODUTO EM ACO GALVANIZADO ELETROLITICO, SEMI-PESADO, DIAMETRO 1 1/2", PAREDE DE 1,20 MM                                                                                                                                                                                                                                                                                                                                                                                     </t>
  </si>
  <si>
    <t>24,32</t>
  </si>
  <si>
    <t xml:space="preserve">!EM PROCESSO DESATIVACAO! ELETRODUTO EM ACO GALVANIZADO ELETROLITICO, SEMI-PESADO, DIAMETRO 1 1/4", PAREDE DE 1,20 MM                                                                                                                                                                                                                                                                                                                                                                                     </t>
  </si>
  <si>
    <t xml:space="preserve">ABERTURA PARA ENCAIXE DE CUBA OU LAVATORIO EM BANCADA DE MARMORE/ GRANITO OU OUTRO TIPO DE PEDRA NATURAL                                                                                                                                                                                                                                                                                                                                                                                                  </t>
  </si>
  <si>
    <t xml:space="preserve">ABRACADEIRA DE LATAO PARA FIXACAO DE CABO PARA-RAIO, DIMENSOES 32 X 24 X 24 MM                                                                                                                                                                                                                                                                                                                                                                                                                            </t>
  </si>
  <si>
    <t xml:space="preserve">ABRACADEIRA DE NYLON PARA AMARRACAO DE CABOS, COMPRIMENTO DE *230* X *7,6* MM                                                                                                                                                                                                                                                                                                                                                                                                                             </t>
  </si>
  <si>
    <t xml:space="preserve">ABRACADEIRA DE NYLON PARA AMARRACAO DE CABOS, COMPRIMENTO DE 100 X 2,5 MM                                                                                                                                                                                                                                                                                                                                                                                                                                 </t>
  </si>
  <si>
    <t xml:space="preserve">ABRACADEIRA DE NYLON PARA AMARRACAO DE CABOS, COMPRIMENTO DE 150 X *3,6* MM                                                                                                                                                                                                                                                                                                                                                                                                                               </t>
  </si>
  <si>
    <t xml:space="preserve">ABRACADEIRA DE NYLON PARA AMARRACAO DE CABOS, COMPRIMENTO DE 200 X *4,6* MM                                                                                                                                                                                                                                                                                                                                                                                                                               </t>
  </si>
  <si>
    <t xml:space="preserve">ABRACADEIRA DE NYLON PARA AMARRACAO DE CABOS, COMPRIMENTO DE 390 X *4,6* MM                                                                                                                                                                                                                                                                                                                                                                                                                               </t>
  </si>
  <si>
    <t xml:space="preserve">ABRACADEIRA EM ACO PARA AMARRACAO DE ELETRODUTOS, TIPO D, COM 1 1/2" E CUNHA DE FIXACAO                                                                                                                                                                                                                                                                                                                                                                                                                   </t>
  </si>
  <si>
    <t xml:space="preserve">ABRACADEIRA EM ACO PARA AMARRACAO DE ELETRODUTOS, TIPO D, COM 1 1/2" E PARAFUSO DE FIXACAO                                                                                                                                                                                                                                                                                                                                                                                                                </t>
  </si>
  <si>
    <t xml:space="preserve">ABRACADEIRA EM ACO PARA AMARRACAO DE ELETRODUTOS, TIPO D, COM 1 1/4" E CUNHA DE FIXACAO                                                                                                                                                                                                                                                                                                                                                                                                                   </t>
  </si>
  <si>
    <t xml:space="preserve">ABRACADEIRA EM ACO PARA AMARRACAO DE ELETRODUTOS, TIPO D, COM 1 1/4" E PARAFUSO DE FIXACAO                                                                                                                                                                                                                                                                                                                                                                                                                </t>
  </si>
  <si>
    <t xml:space="preserve">ABRACADEIRA EM ACO PARA AMARRACAO DE ELETRODUTOS, TIPO D, COM 1/2" E CUNHA DE FIXACAO                                                                                                                                                                                                                                                                                                                                                                                                                     </t>
  </si>
  <si>
    <t xml:space="preserve">ABRACADEIRA EM ACO PARA AMARRACAO DE ELETRODUTOS, TIPO D, COM 1/2" E PARAFUSO DE FIXACAO                                                                                                                                                                                                                                                                                                                                                                                                                  </t>
  </si>
  <si>
    <t xml:space="preserve">ABRACADEIRA EM ACO PARA AMARRACAO DE ELETRODUTOS, TIPO D, COM 1" E CUNHA DE FIXACAO                                                                                                                                                                                                                                                                                                                                                                                                                       </t>
  </si>
  <si>
    <t xml:space="preserve">ABRACADEIRA EM ACO PARA AMARRACAO DE ELETRODUTOS, TIPO D, COM 1" E PARAFUSO DE FIXACAO                                                                                                                                                                                                                                                                                                                                                                                                                    </t>
  </si>
  <si>
    <t xml:space="preserve">ABRACADEIRA EM ACO PARA AMARRACAO DE ELETRODUTOS, TIPO D, COM 2 1/2" E CUNHA DE FIXACAO                                                                                                                                                                                                                                                                                                                                                                                                                   </t>
  </si>
  <si>
    <t xml:space="preserve">ABRACADEIRA EM ACO PARA AMARRACAO DE ELETRODUTOS, TIPO D, COM 2 1/2" E PARAFUSO DE FIXACAO                                                                                                                                                                                                                                                                                                                                                                                                                </t>
  </si>
  <si>
    <t xml:space="preserve">ABRACADEIRA EM ACO PARA AMARRACAO DE ELETRODUTOS, TIPO D, COM 2" E CUNHA DE FIXACAO                                                                                                                                                                                                                                                                                                                                                                                                                       </t>
  </si>
  <si>
    <t xml:space="preserve">ABRACADEIRA EM ACO PARA AMARRACAO DE ELETRODUTOS, TIPO D, COM 2" E PARAFUSO DE FIXACAO                                                                                                                                                                                                                                                                                                                                                                                                                    </t>
  </si>
  <si>
    <t xml:space="preserve">ABRACADEIRA EM ACO PARA AMARRACAO DE ELETRODUTOS, TIPO D, COM 3 1/2" E CUNHA DE FIXACAO                                                                                                                                                                                                                                                                                                                                                                                                                   </t>
  </si>
  <si>
    <t xml:space="preserve">ABRACADEIRA EM ACO PARA AMARRACAO DE ELETRODUTOS, TIPO D, COM 3/4" E CUNHA DE FIXACAO                                                                                                                                                                                                                                                                                                                                                                                                                     </t>
  </si>
  <si>
    <t xml:space="preserve">ABRACADEIRA EM ACO PARA AMARRACAO DE ELETRODUTOS, TIPO D, COM 3/4" E PARAFUSO DE FIXACAO                                                                                                                                                                                                                                                                                                                                                                                                                  </t>
  </si>
  <si>
    <t xml:space="preserve">ABRACADEIRA EM ACO PARA AMARRACAO DE ELETRODUTOS, TIPO D, COM 3/8" E PARAFUSO DE FIXACAO                                                                                                                                                                                                                                                                                                                                                                                                                  </t>
  </si>
  <si>
    <t xml:space="preserve">ABRACADEIRA EM ACO PARA AMARRACAO DE ELETRODUTOS, TIPO D, COM 3" E CUNHA DE FIXACAO                                                                                                                                                                                                                                                                                                                                                                                                                       </t>
  </si>
  <si>
    <t xml:space="preserve">ABRACADEIRA EM ACO PARA AMARRACAO DE ELETRODUTOS, TIPO D, COM 3" E PARAFUSO DE FIXACAO                                                                                                                                                                                                                                                                                                                                                                                                                    </t>
  </si>
  <si>
    <t xml:space="preserve">ABRACADEIRA EM ACO PARA AMARRACAO DE ELETRODUTOS, TIPO D, COM 4" E CUNHA DE FIXACAO                                                                                                                                                                                                                                                                                                                                                                                                                       </t>
  </si>
  <si>
    <t xml:space="preserve">ABRACADEIRA EM ACO PARA AMARRACAO DE ELETRODUTOS, TIPO D, COM 4" E PARAFUSO DE FIXACAO                                                                                                                                                                                                                                                                                                                                                                                                                    </t>
  </si>
  <si>
    <t xml:space="preserve">ABRACADEIRA EM ACO PARA AMARRACAO DE ELETRODUTOS, TIPO ECONOMICA (GOTA), COM 8"                                                                                                                                                                                                                                                                                                                                                                                                                           </t>
  </si>
  <si>
    <t xml:space="preserve">ABRACADEIRA EM ACO PARA AMARRACAO DE ELETRODUTOS, TIPO U SIMPLES, COM 1 1/2"                                                                                                                                                                                                                                                                                                                                                                                                                              </t>
  </si>
  <si>
    <t xml:space="preserve">ABRACADEIRA EM ACO PARA AMARRACAO DE ELETRODUTOS, TIPO U SIMPLES, COM 1 1/4"                                                                                                                                                                                                                                                                                                                                                                                                                              </t>
  </si>
  <si>
    <t xml:space="preserve">ABRACADEIRA EM ACO PARA AMARRACAO DE ELETRODUTOS, TIPO U SIMPLES, COM 1/2"                                                                                                                                                                                                                                                                                                                                                                                                                                </t>
  </si>
  <si>
    <t xml:space="preserve">ABRACADEIRA EM ACO PARA AMARRACAO DE ELETRODUTOS, TIPO U SIMPLES, COM 1"                                                                                                                                                                                                                                                                                                                                                                                                                                  </t>
  </si>
  <si>
    <t xml:space="preserve">ABRACADEIRA EM ACO PARA AMARRACAO DE ELETRODUTOS, TIPO U SIMPLES, COM 2 1/2"                                                                                                                                                                                                                                                                                                                                                                                                                              </t>
  </si>
  <si>
    <t xml:space="preserve">ABRACADEIRA EM ACO PARA AMARRACAO DE ELETRODUTOS, TIPO U SIMPLES, COM 2"                                                                                                                                                                                                                                                                                                                                                                                                                                  </t>
  </si>
  <si>
    <t xml:space="preserve">ABRACADEIRA EM ACO PARA AMARRACAO DE ELETRODUTOS, TIPO U SIMPLES, COM 3/4"                                                                                                                                                                                                                                                                                                                                                                                                                                </t>
  </si>
  <si>
    <t xml:space="preserve">ABRACADEIRA EM ACO PARA AMARRACAO DE ELETRODUTOS, TIPO U SIMPLES, COM 3/8"                                                                                                                                                                                                                                                                                                                                                                                                                                </t>
  </si>
  <si>
    <t xml:space="preserve">ABRACADEIRA EM ACO PARA AMARRACAO DE ELETRODUTOS, TIPO U SIMPLES, COM 3"                                                                                                                                                                                                                                                                                                                                                                                                                                  </t>
  </si>
  <si>
    <t xml:space="preserve">ABRACADEIRA EM ACO PARA AMARRACAO DE ELETRODUTOS, TIPO U SIMPLES, COM 4"                                                                                                                                                                                                                                                                                                                                                                                                                                  </t>
  </si>
  <si>
    <t xml:space="preserve">ABRACADEIRA PVC, PARA CALHA PLUVIAL, DIAMETRO ENTRE 80 E 100 MM, PARA DRENAGEM PREDIAL                                                                                                                                                                                                                                                                                                                                                                                                                    </t>
  </si>
  <si>
    <t xml:space="preserve">ABRACADEIRA, GALVANIZADA/ZINCADA, ROSCA SEM FIM, PARAFUSO INOX, LARGURA  FITA *12,6 A *14 MM, D = 2" A 2 1/2"                                                                                                                                                                                                                                                                                                                                                                                             </t>
  </si>
  <si>
    <t xml:space="preserve">ABRACADEIRA, GALVANIZADA/ZINCADA, ROSCA SEM FIM, PARAFUSO INOX, LARGURA  FITA *12,6 A *14 MM, D = 3" A 3 3/4"                                                                                                                                                                                                                                                                                                                                                                                             </t>
  </si>
  <si>
    <t xml:space="preserve">ABRACADEIRA, GALVANIZADA/ZINCADA, ROSCA SEM FIM, PARAFUSO INOX, LARGURA  FITA *12,6 A *14 MM, D = 4" A 4 3/4"                                                                                                                                                                                                                                                                                                                                                                                             </t>
  </si>
  <si>
    <t>9,83</t>
  </si>
  <si>
    <t xml:space="preserve">ACABAMENTO CROMADO PARA REGISTRO PEQUENO, 1/2 " OU 3/4 "                                                                                                                                                                                                                                                                                                                                                                                                                                                  </t>
  </si>
  <si>
    <t xml:space="preserve">ACABAMENTO SIMPLES/CONVENCIONAL PARA FORRO PVC, TIPO "U" OU "C", COR BRANCA, COMPRIMENTO 6 M                                                                                                                                                                                                                                                                                                                                                                                                              </t>
  </si>
  <si>
    <t xml:space="preserve">ACESSORIO DE LIGACAO NAO ELETRICO PARA CARGAS EXPLOSIVAS, TUBO DE 6 M                                                                                                                                                                                                                                                                                                                                                                                                                                     </t>
  </si>
  <si>
    <t xml:space="preserve">ACESSORIO INICIADOR NAO ELETRICO, TUBO DE 6 M, TEMPO DE RETARDO DE *160* MS                                                                                                                                                                                                                                                                                                                                                                                                                               </t>
  </si>
  <si>
    <t xml:space="preserve">ACETILENO (RECARGA PARA CILINDRO DE CONJUNTO OXICORTE GRANDE)                                                                                                                                                                                                                                                                                                                                                                                                                                             </t>
  </si>
  <si>
    <t xml:space="preserve">ACIDO MURIATICO, DILUICAO 10% A 12% PARA USO EM LIMPEZA                                                                                                                                                                                                                                                                                                                                                                                                                                                   </t>
  </si>
  <si>
    <t xml:space="preserve">ACO CA-25, 10,0 MM, OU 12,5 MM, OU 16,0 MM, OU 20,0 MM, OU 25,0 MM, VERGALHAO                                                                                                                                                                                                                                                                                                                                                                                                                             </t>
  </si>
  <si>
    <t xml:space="preserve">ACO CA-25, 16,0 MM, BARRA DE TRANSFERENCIA                                                                                                                                                                                                                                                                                                                                                                                                                                                                </t>
  </si>
  <si>
    <t xml:space="preserve">ACO CA-25, 20,0 MM, BARRA DE TRANSFERENCIA                                                                                                                                                                                                                                                                                                                                                                                                                                                                </t>
  </si>
  <si>
    <t xml:space="preserve">ACO CA-25, 25,0 MM, BARRA DE TRANSFERENCIA                                                                                                                                                                                                                                                                                                                                                                                                                                                                </t>
  </si>
  <si>
    <t xml:space="preserve">ACO CA-25, 32,0 MM, BARRA DE TRANSFERENCIA                                                                                                                                                                                                                                                                                                                                                                                                                                                                </t>
  </si>
  <si>
    <t xml:space="preserve">ACO CA-25, 32,0 MM, VERGALHAO                                                                                                                                                                                                                                                                                                                                                                                                                                                                             </t>
  </si>
  <si>
    <t xml:space="preserve">ACO CA-25, 6,3 MM OU 8,0 MM, VERGALHAO                                                                                                                                                                                                                                                                                                                                                                                                                                                                    </t>
  </si>
  <si>
    <t xml:space="preserve">ACO CA-50, 10,0 MM, OU 12,5 MM, OU 16,0 MM, OU 20,0 MM, DOBRADO E CORTADO                                                                                                                                                                                                                                                                                                                                                                                                                                 </t>
  </si>
  <si>
    <t xml:space="preserve">ACO CA-50, 10,0 MM, VERGALHAO                                                                                                                                                                                                                                                                                                                                                                                                                                                                             </t>
  </si>
  <si>
    <t xml:space="preserve">ACO CA-50, 12,5 MM OU 16,0 MM, VERGALHAO                                                                                                                                                                                                                                                                                                                                                                                                                                                                  </t>
  </si>
  <si>
    <t>10,16</t>
  </si>
  <si>
    <t xml:space="preserve">ACO CA-50, 20,0 MM OU 25,0 MM, VERGALHAO                                                                                                                                                                                                                                                                                                                                                                                                                                                                  </t>
  </si>
  <si>
    <t>11,71</t>
  </si>
  <si>
    <t xml:space="preserve">ACO CA-50, 32,0 MM, VERGALHAO                                                                                                                                                                                                                                                                                                                                                                                                                                                                             </t>
  </si>
  <si>
    <t xml:space="preserve">ACO CA-50, 6,3 MM, DOBRADO E CORTADO                                                                                                                                                                                                                                                                                                                                                                                                                                                                      </t>
  </si>
  <si>
    <t xml:space="preserve">ACO CA-50, 6,3 MM, VERGALHAO                                                                                                                                                                                                                                                                                                                                                                                                                                                                              </t>
  </si>
  <si>
    <t xml:space="preserve">ACO CA-50, 8,0 MM, VERGALHAO                                                                                                                                                                                                                                                                                                                                                                                                                                                                              </t>
  </si>
  <si>
    <t xml:space="preserve">ACO CA-60, 4,2 MM OU 5,0 MM, DOBRADO E CORTADO                                                                                                                                                                                                                                                                                                                                                                                                                                                            </t>
  </si>
  <si>
    <t xml:space="preserve">ACO CA-60, 4,2 MM, OU 5,0 MM, OU 6,0 MM, OU 7,0 MM, VERGALHAO                                                                                                                                                                                                                                                                                                                                                                                                                                             </t>
  </si>
  <si>
    <t xml:space="preserve">ACO CA-60, 6,0 MM OU 7,0 MM, DOBRADO E CORTADO                                                                                                                                                                                                                                                                                                                                                                                                                                                            </t>
  </si>
  <si>
    <t xml:space="preserve">ACO CA-60, 8,0 MM OU 9,5 MM, VERGALHAO                                                                                                                                                                                                                                                                                                                                                                                                                                                                    </t>
  </si>
  <si>
    <t xml:space="preserve">ACOPLAMENTO DE CONDUTOR PLUVIAL, EM PVC, DIAMETRO ENTRE 80 E 100 MM, PARA DRENAGEM PREDIAL                                                                                                                                                                                                                                                                                                                                                                                                                </t>
  </si>
  <si>
    <t xml:space="preserve">ACOPLAMENTO RIGIDO EM FERRO FUNDIDO PARA SISTEMA DE TUBULACAO RANHURADA, DN 50 MM (2")                                                                                                                                                                                                                                                                                                                                                                                                                    </t>
  </si>
  <si>
    <t xml:space="preserve">ACOPLAMENTO RIGIDO EM FERRO FUNDIDO PARA SISTEMA DE TUBULACAO RANHURADA, DN 65 MM (2 1/2")                                                                                                                                                                                                                                                                                                                                                                                                                </t>
  </si>
  <si>
    <t xml:space="preserve">ACOPLAMENTO RIGIDO EM FERRO FUNDIDO PARA SISTEMA DE TUBULACAO RANHURADA, DN 80 MM (3")                                                                                                                                                                                                                                                                                                                                                                                                                    </t>
  </si>
  <si>
    <t xml:space="preserve">ADAPTADOR DE COBRE PARA TUBULACAO PEX, DN 16 X 15 MM                                                                                                                                                                                                                                                                                                                                                                                                                                                      </t>
  </si>
  <si>
    <t xml:space="preserve">ADAPTADOR DE COBRE PARA TUBULACAO PEX, DN 20 X 22 MM                                                                                                                                                                                                                                                                                                                                                                                                                                                      </t>
  </si>
  <si>
    <t xml:space="preserve">ADAPTADOR DE COMPRESSAO EM POLIPROPILENO (PP), PARA TUBO EM PEAD, 20 MM X 1/2", PARA LIGACAO PREDIAL DE AGUA (NTS 179)                                                                                                                                                                                                                                                                                                                                                                                    </t>
  </si>
  <si>
    <t xml:space="preserve">ADAPTADOR DE COMPRESSAO EM POLIPROPILENO (PP), PARA TUBO EM PEAD, 20 MM X 3/4", PARA LIGACAO PREDIAL DE AGUA (NTS 179)                                                                                                                                                                                                                                                                                                                                                                                    </t>
  </si>
  <si>
    <t xml:space="preserve">ADAPTADOR DE COMPRESSAO EM POLIPROPILENO (PP), PARA TUBO EM PEAD, 32 MM X 1", PARA LIGACAO PREDIAL DE AGUA (NTS 179)                                                                                                                                                                                                                                                                                                                                                                                      </t>
  </si>
  <si>
    <t xml:space="preserve">ADAPTADOR PVC PARA SIFAO METALICO, SOLDAVEL, COM ANEL BORRACHA (JE), 40 MM X 1 1/2"                                                                                                                                                                                                                                                                                                                                                                                                                       </t>
  </si>
  <si>
    <t xml:space="preserve">ADAPTADOR PVC PARA SIFAO, ROSCAVEL, 40 MM X 1 1/4"                                                                                                                                                                                                                                                                                                                                                                                                                                                        </t>
  </si>
  <si>
    <t xml:space="preserve">ADAPTADOR PVC ROSCAVEL, COM FLANGES E ANEL DE VEDACAO, 1/2", PARA CAIXA D' AGUA                                                                                                                                                                                                                                                                                                                                                                                                                           </t>
  </si>
  <si>
    <t xml:space="preserve">ADAPTADOR PVC ROSCAVEL, COM FLANGES E ANEL DE VEDACAO, 1", PARA CAIXA D' AGUA                                                                                                                                                                                                                                                                                                                                                                                                                             </t>
  </si>
  <si>
    <t>32,07</t>
  </si>
  <si>
    <t xml:space="preserve">ADAPTADOR PVC ROSCAVEL, COM FLANGES E ANEL DE VEDACAO, 3/4", PARA CAIXA D' AGUA                                                                                                                                                                                                                                                                                                                                                                                                                           </t>
  </si>
  <si>
    <t xml:space="preserve">ADAPTADOR PVC SOLDAVEL CURTO COM BOLSA E ROSCA, 110 MM X 4", PARA AGUA FRIA                                                                                                                                                                                                                                                                                                                                                                                                                               </t>
  </si>
  <si>
    <t>71,21</t>
  </si>
  <si>
    <t xml:space="preserve">ADAPTADOR PVC SOLDAVEL CURTO COM BOLSA E ROSCA, 20 MM X 1/2", PARA AGUA FRIA                                                                                                                                                                                                                                                                                                                                                                                                                              </t>
  </si>
  <si>
    <t xml:space="preserve">ADAPTADOR PVC SOLDAVEL CURTO COM BOLSA E ROSCA, 25 MM X 3/4", PARA AGUA FRIA                                                                                                                                                                                                                                                                                                                                                                                                                              </t>
  </si>
  <si>
    <t xml:space="preserve">ADAPTADOR PVC SOLDAVEL CURTO COM BOLSA E ROSCA, 32 MM X 1", PARA AGUA FRIA                                                                                                                                                                                                                                                                                                                                                                                                                                </t>
  </si>
  <si>
    <t xml:space="preserve">ADAPTADOR PVC SOLDAVEL CURTO COM BOLSA E ROSCA, 40 MM X 1 1/2", PARA AGUA FRIA                                                                                                                                                                                                                                                                                                                                                                                                                            </t>
  </si>
  <si>
    <t xml:space="preserve">ADAPTADOR PVC SOLDAVEL CURTO COM BOLSA E ROSCA, 40 MM X 1 1/4", PARA AGUA FRIA                                                                                                                                                                                                                                                                                                                                                                                                                            </t>
  </si>
  <si>
    <t xml:space="preserve">ADAPTADOR PVC SOLDAVEL CURTO COM BOLSA E ROSCA, 50 MM X 1 1/4", PARA AGUA FRIA                                                                                                                                                                                                                                                                                                                                                                                                                            </t>
  </si>
  <si>
    <t xml:space="preserve">ADAPTADOR PVC SOLDAVEL CURTO COM BOLSA E ROSCA, 50 MM X1 1/2", PARA AGUA FRIA                                                                                                                                                                                                                                                                                                                                                                                                                             </t>
  </si>
  <si>
    <t xml:space="preserve">ADAPTADOR PVC SOLDAVEL CURTO COM BOLSA E ROSCA, 60 MM X 2", PARA AGUA FRIA                                                                                                                                                                                                                                                                                                                                                                                                                                </t>
  </si>
  <si>
    <t xml:space="preserve">ADAPTADOR PVC SOLDAVEL CURTO COM BOLSA E ROSCA, 75 MM X 2 1/2", PARA AGUA FRIA                                                                                                                                                                                                                                                                                                                                                                                                                            </t>
  </si>
  <si>
    <t xml:space="preserve">ADAPTADOR PVC SOLDAVEL CURTO COM BOLSA E ROSCA, 85 MM X 3", PARA AGUA FRIA                                                                                                                                                                                                                                                                                                                                                                                                                                </t>
  </si>
  <si>
    <t>44,73</t>
  </si>
  <si>
    <t xml:space="preserve">ADAPTADOR PVC SOLDAVEL, COM FLANGE E ANEL DE VEDACAO, 20 MM X 1/2", PARA CAIXA D'AGUA                                                                                                                                                                                                                                                                                                                                                                                                                     </t>
  </si>
  <si>
    <t xml:space="preserve">ADAPTADOR PVC SOLDAVEL, COM FLANGE E ANEL DE VEDACAO, 25 MM X 3/4", PARA CAIXA D'AGUA                                                                                                                                                                                                                                                                                                                                                                                                                     </t>
  </si>
  <si>
    <t xml:space="preserve">ADAPTADOR PVC SOLDAVEL, COM FLANGE E ANEL DE VEDACAO, 32 MM X 1", PARA CAIXA D'AGUA                                                                                                                                                                                                                                                                                                                                                                                                                       </t>
  </si>
  <si>
    <t xml:space="preserve">ADAPTADOR PVC SOLDAVEL, COM FLANGE E ANEL DE VEDACAO, 40 MM X 1 1/4", PARA CAIXA D'AGUA                                                                                                                                                                                                                                                                                                                                                                                                                   </t>
  </si>
  <si>
    <t xml:space="preserve">ADAPTADOR PVC SOLDAVEL, COM FLANGE E ANEL DE VEDACAO, 50 MM X 1 1/2", PARA CAIXA D'AGUA                                                                                                                                                                                                                                                                                                                                                                                                                   </t>
  </si>
  <si>
    <t xml:space="preserve">ADAPTADOR PVC SOLDAVEL, COM FLANGES E ANEL DE VEDACAO, 60 MM X 2", PARA CAIXA D' AGUA                                                                                                                                                                                                                                                                                                                                                                                                                     </t>
  </si>
  <si>
    <t xml:space="preserve">ADAPTADOR PVC SOLDAVEL, COM FLANGES LIVRES, 110 MM X 4", PARA CAIXA D' AGUA                                                                                                                                                                                                                                                                                                                                                                                                                               </t>
  </si>
  <si>
    <t>537,35</t>
  </si>
  <si>
    <t xml:space="preserve">ADAPTADOR PVC SOLDAVEL, COM FLANGES LIVRES, 25 MM X 3/4", PARA CAIXA D' AGUA                                                                                                                                                                                                                                                                                                                                                                                                                              </t>
  </si>
  <si>
    <t>19,58</t>
  </si>
  <si>
    <t xml:space="preserve">ADAPTADOR PVC SOLDAVEL, COM FLANGES LIVRES, 32 MM X 1", PARA CAIXA D' AGUA                                                                                                                                                                                                                                                                                                                                                                                                                                </t>
  </si>
  <si>
    <t xml:space="preserve">ADAPTADOR PVC SOLDAVEL, COM FLANGES LIVRES, 40 MM X 1  1/4", PARA CAIXA D' AGUA                                                                                                                                                                                                                                                                                                                                                                                                                           </t>
  </si>
  <si>
    <t xml:space="preserve">ADAPTADOR PVC SOLDAVEL, COM FLANGES LIVRES, 50 MM X 1  1/2", PARA CAIXA D' AGUA                                                                                                                                                                                                                                                                                                                                                                                                                           </t>
  </si>
  <si>
    <t xml:space="preserve">ADAPTADOR PVC SOLDAVEL, COM FLANGES LIVRES, 60 MM X 2", PARA CAIXA D' AGUA                                                                                                                                                                                                                                                                                                                                                                                                                                </t>
  </si>
  <si>
    <t>85,39</t>
  </si>
  <si>
    <t xml:space="preserve">ADAPTADOR PVC SOLDAVEL, COM FLANGES LIVRES, 75 MM X 2  1/2", PARA CAIXA D' AGUA                                                                                                                                                                                                                                                                                                                                                                                                                           </t>
  </si>
  <si>
    <t xml:space="preserve">ADAPTADOR PVC SOLDAVEL, COM FLANGES LIVRES, 85 MM X 3", PARA CAIXA D' AGUA                                                                                                                                                                                                                                                                                                                                                                                                                                </t>
  </si>
  <si>
    <t>380,72</t>
  </si>
  <si>
    <t xml:space="preserve">ADAPTADOR PVC SOLDAVEL, LONGO, COM FLANGE LIVRE,  110 MM X 4", PARA CAIXA D' AGUA                                                                                                                                                                                                                                                                                                                                                                                                                         </t>
  </si>
  <si>
    <t>578,38</t>
  </si>
  <si>
    <t xml:space="preserve">ADAPTADOR PVC SOLDAVEL, LONGO, COM FLANGE LIVRE,  25 MM X 3/4", PARA CAIXA D' AGUA                                                                                                                                                                                                                                                                                                                                                                                                                        </t>
  </si>
  <si>
    <t>27,49</t>
  </si>
  <si>
    <t xml:space="preserve">ADAPTADOR PVC SOLDAVEL, LONGO, COM FLANGE LIVRE,  32 MM X 1", PARA CAIXA D' AGUA                                                                                                                                                                                                                                                                                                                                                                                                                          </t>
  </si>
  <si>
    <t xml:space="preserve">ADAPTADOR PVC SOLDAVEL, LONGO, COM FLANGE LIVRE,  40 MM X 1 1/4", PARA CAIXA D' AGUA                                                                                                                                                                                                                                                                                                                                                                                                                      </t>
  </si>
  <si>
    <t xml:space="preserve">ADAPTADOR PVC SOLDAVEL, LONGO, COM FLANGE LIVRE,  50 MM X 1 1/2", PARA CAIXA D' AGUA                                                                                                                                                                                                                                                                                                                                                                                                                      </t>
  </si>
  <si>
    <t>51,98</t>
  </si>
  <si>
    <t xml:space="preserve">ADAPTADOR PVC SOLDAVEL, LONGO, COM FLANGE LIVRE,  60 MM X 2", PARA CAIXA D' AGUA                                                                                                                                                                                                                                                                                                                                                                                                                          </t>
  </si>
  <si>
    <t>88,90</t>
  </si>
  <si>
    <t xml:space="preserve">ADAPTADOR PVC SOLDAVEL, LONGO, COM FLANGE LIVRE,  75 MM X 2 1/2", PARA CAIXA D' AGUA                                                                                                                                                                                                                                                                                                                                                                                                                      </t>
  </si>
  <si>
    <t>345,10</t>
  </si>
  <si>
    <t xml:space="preserve">ADAPTADOR PVC SOLDAVEL, LONGO, COM FLANGE LIVRE,  85 MM X 3", PARA CAIXA D' AGUA                                                                                                                                                                                                                                                                                                                                                                                                                          </t>
  </si>
  <si>
    <t>404,03</t>
  </si>
  <si>
    <t xml:space="preserve">ADAPTADOR PVC, COM REGISTRO, PARA PEAD, 20 MM X 3/4", PARA LIGACAO PREDIAL DE AGUA                                                                                                                                                                                                                                                                                                                                                                                                                        </t>
  </si>
  <si>
    <t xml:space="preserve">ADAPTADOR PVC, ROSCAVEL, COM FLANGES E ANEL DE VEDACAO, 1 1/2", PARA CAIXA D'AGUA                                                                                                                                                                                                                                                                                                                                                                                                                         </t>
  </si>
  <si>
    <t>54,35</t>
  </si>
  <si>
    <t xml:space="preserve">ADAPTADOR PVC, ROSCAVEL, COM FLANGES E ANEL DE VEDACAO, 1 1/4", PARA CAIXA D' AGUA                                                                                                                                                                                                                                                                                                                                                                                                                        </t>
  </si>
  <si>
    <t xml:space="preserve">ADAPTADOR PVC, ROSCAVEL, COM FLANGES E ANEL DE VEDACAO, 2", PARA CAIXA D' AGUA                                                                                                                                                                                                                                                                                                                                                                                                                            </t>
  </si>
  <si>
    <t>65,96</t>
  </si>
  <si>
    <t xml:space="preserve">ADAPTADOR PVC, ROSCAVEL, PARA VALVULA PIA OU LAVATORIO, 40 MM                                                                                                                                                                                                                                                                                                                                                                                                                                             </t>
  </si>
  <si>
    <t xml:space="preserve">ADAPTADOR, CPVC, SOLDAVEL, 15 MM, PARA AGUA QUENTE                                                                                                                                                                                                                                                                                                                                                                                                                                                        </t>
  </si>
  <si>
    <t xml:space="preserve">ADAPTADOR, CPVC, SOLDAVEL, 22 MM, PARA AGUA QUENTE                                                                                                                                                                                                                                                                                                                                                                                                                                                        </t>
  </si>
  <si>
    <t>7,83</t>
  </si>
  <si>
    <t xml:space="preserve">ADAPTADOR, EM LATAO, ENGATE RAPIDO 2 1/2" X ROSCA INTERNA 5 FIOS 2 1/2",  PARA INSTALACAO PREDIAL DE COMBATE A INCENDIO                                                                                                                                                                                                                                                                                                                                                                                   </t>
  </si>
  <si>
    <t>80,39</t>
  </si>
  <si>
    <t xml:space="preserve">ADAPTADOR, EM LATAO, ENGATE RAPIDO1 1/2" X ROSCA INTERNA 5 FIOS 2 1/2",  PARA INSTALACAO PREDIAL DE COMBATE A INCENDIO                                                                                                                                                                                                                                                                                                                                                                                    </t>
  </si>
  <si>
    <t>62,91</t>
  </si>
  <si>
    <t xml:space="preserve">ADAPTADOR, PVC PBA,  BOLSA/ROSCA, JE, DN 75 / DE  85 MM                                                                                                                                                                                                                                                                                                                                                                                                                                                   </t>
  </si>
  <si>
    <t xml:space="preserve">ADAPTADOR, PVC PBA, A BOLSA DEFOFO, JE, DN 100 / DE 110 MM                                                                                                                                                                                                                                                                                                                                                                                                                                                </t>
  </si>
  <si>
    <t>146,41</t>
  </si>
  <si>
    <t xml:space="preserve">ADAPTADOR, PVC PBA, A BOLSA DEFOFO, JE, DN 50 / DE 60 MM                                                                                                                                                                                                                                                                                                                                                                                                                                                  </t>
  </si>
  <si>
    <t>33,72</t>
  </si>
  <si>
    <t xml:space="preserve">ADAPTADOR, PVC PBA, A BOLSA DEFOFO, JE, DN 75 / DE  85 MM                                                                                                                                                                                                                                                                                                                                                                                                                                                 </t>
  </si>
  <si>
    <t>76,45</t>
  </si>
  <si>
    <t xml:space="preserve">ADAPTADOR, PVC PBA, BOLSA/ROSCA, JE, DN 100 / DE 110 MM                                                                                                                                                                                                                                                                                                                                                                                                                                                   </t>
  </si>
  <si>
    <t>90,74</t>
  </si>
  <si>
    <t xml:space="preserve">ADAPTADOR, PVC PBA, BOLSA/ROSCA, JE, DN 50 / DE 60 MM                                                                                                                                                                                                                                                                                                                                                                                                                                                     </t>
  </si>
  <si>
    <t xml:space="preserve">ADAPTADOR, PVC PBA, PONTA/ROSCA, JE, DN 50 / DE  60 MM                                                                                                                                                                                                                                                                                                                                                                                                                                                    </t>
  </si>
  <si>
    <t xml:space="preserve">ADAPTADOR, PVC PBA, PONTA/ROSCA, JE, DN 75 / DE  85 MM                                                                                                                                                                                                                                                                                                                                                                                                                                                    </t>
  </si>
  <si>
    <t>60,69</t>
  </si>
  <si>
    <t xml:space="preserve">ADESIVO / COLA DE CONTATO LIQUIDO, A BASE DE RESINAS, PARA COLAGEM DE ESPUMA PARA ISOLAMENTO TERMICO FLEXIVEL                                                                                                                                                                                                                                                                                                                                                                                             </t>
  </si>
  <si>
    <t>160,12</t>
  </si>
  <si>
    <t xml:space="preserve">ADESIVO / COLA PARA EPS (ISOPOR) E OUTROS MATERIAIS                                                                                                                                                                                                                                                                                                                                                                                                                                                       </t>
  </si>
  <si>
    <t>36,02</t>
  </si>
  <si>
    <t xml:space="preserve">ADESIVO ACRILICO DE BASE AQUOSA / COLA DE CONTATO                                                                                                                                                                                                                                                                                                                                                                                                                                                         </t>
  </si>
  <si>
    <t>40,58</t>
  </si>
  <si>
    <t xml:space="preserve">ADESIVO ESTRUTURAL A BASE DE RESINA EPOXI PARA INJECAO EM TRINCAS, BICOMPONENTE, BAIXA VISCOSIDADE                                                                                                                                                                                                                                                                                                                                                                                                        </t>
  </si>
  <si>
    <t>128,43</t>
  </si>
  <si>
    <t xml:space="preserve">ADESIVO ESTRUTURAL A BASE DE RESINA EPOXI, BICOMPONENTE, FLUIDO                                                                                                                                                                                                                                                                                                                                                                                                                                           </t>
  </si>
  <si>
    <t xml:space="preserve">ADESIVO ESTRUTURAL A BASE DE RESINA EPOXI, BICOMPONENTE, PASTOSO (TIXOTROPICO)                                                                                                                                                                                                                                                                                                                                                                                                                            </t>
  </si>
  <si>
    <t xml:space="preserve">ADESIVO PARA TUBOS CPVC, *75* G                                                                                                                                                                                                                                                                                                                                                                                                                                                                           </t>
  </si>
  <si>
    <t>31,56</t>
  </si>
  <si>
    <t xml:space="preserve">ADESIVO PLASTICO PARA PVC, BISNAGA COM 75 GR                                                                                                                                                                                                                                                                                                                                                                                                                                                              </t>
  </si>
  <si>
    <t>8,00</t>
  </si>
  <si>
    <t xml:space="preserve">ADESIVO PLASTICO PARA PVC, FRASCO COM *850* GR                                                                                                                                                                                                                                                                                                                                                                                                                                                            </t>
  </si>
  <si>
    <t xml:space="preserve">ADESIVO PLASTICO PARA PVC, FRASCO COM 175 GR                                                                                                                                                                                                                                                                                                                                                                                                                                                              </t>
  </si>
  <si>
    <t xml:space="preserve">ADITIVO ACELERADOR DE PEGA E ENDURECIMENTO PARA ARGAMASSAS E CONCRETOS, LIQUIDO E ISENTO DE CLORETOS                                                                                                                                                                                                                                                                                                                                                                                                      </t>
  </si>
  <si>
    <t xml:space="preserve">ADITIVO ADESIVO LIQUIDO PARA ARGAMASSAS DE REVESTIMENTOS CIMENTICIOS                                                                                                                                                                                                                                                                                                                                                                                                                                      </t>
  </si>
  <si>
    <t xml:space="preserve">ADITIVO IMPERMEABILIZANTE DE PEGA NORMAL PARA ARGAMASSAS E CONCRETOS SEM ARMACAO, LIQUIDO E ISENTO DE CLORETOS                                                                                                                                                                                                                                                                                                                                                                                            </t>
  </si>
  <si>
    <t xml:space="preserve">ADITIVO IMPERMEABILIZANTE DE PEGA ULTRARRAPIDA, LIQUIDO E ISENTO DE CLORETOS                                                                                                                                                                                                                                                                                                                                                                                                                              </t>
  </si>
  <si>
    <t>14,73</t>
  </si>
  <si>
    <t xml:space="preserve">ADITIVO LIQUIDO IMPERMEABILIZANTE CRISTALIZANTE                                                                                                                                                                                                                                                                                                                                                                                                                                                           </t>
  </si>
  <si>
    <t xml:space="preserve">ADITIVO LIQUIDO INCORPORADOR DE AR PARA CONCRETO E ARGAMASSA, LIQUIDO E ISENTO DE CLORETOS                                                                                                                                                                                                                                                                                                                                                                                                                </t>
  </si>
  <si>
    <t xml:space="preserve">ADITIVO PLASTIFICANTE E ESTABILIZADOR PARA ARGAMASSAS DE ASSENTAMENTO E REBOCO, LIQUIDO E ISENTO DE CLORETOS                                                                                                                                                                                                                                                                                                                                                                                              </t>
  </si>
  <si>
    <t xml:space="preserve">ADITIVO PLASTIFICANTE RETARDADOR DE PEGA E REDUTOR DE AGUA PARA CONCRETO, LIQUIDO E ISENTO DE CLORETOS                                                                                                                                                                                                                                                                                                                                                                                                    </t>
  </si>
  <si>
    <t xml:space="preserve">ADITIVO SUPERPLASTIFICANTE DE PEGA NORMAL PARA CONCRETO, LIQUIDO E ISENTO DE CLORETOS                                                                                                                                                                                                                                                                                                                                                                                                                     </t>
  </si>
  <si>
    <t xml:space="preserve">ADUELA/ GALERIA PRE-MOLDADA DE CONCRETO ARMADO, SECAO QUADRADA INTERNA DE 1,50 X 1,50 M (L X A), MISULA DE 20 X 20 CM, C = 1,00 M, ESPESSURA MIN = 15 CM, TB-45 E FCK DO CONCRETO = 30 MPA                                                                                                                                                                                                                                                                                                                </t>
  </si>
  <si>
    <t>2.470,84</t>
  </si>
  <si>
    <t xml:space="preserve">ADUELA/ GALERIA PRE-MOLDADA DE CONCRETO ARMADO, SECAO RETANGULAR INTERNA DE 2,00 X 2,00 M (L X A), MISULA DE 20 X 20 CM, C = 1,00 M, ESPESSURA MIN = 15 CM, TB-45 E FCK DO CONCRETO = 30 MPA                                                                                                                                                                                                                                                                                                              </t>
  </si>
  <si>
    <t>3.094,78</t>
  </si>
  <si>
    <t xml:space="preserve">ADUELA/ GALERIA PRE-MOLDADA DE CONCRETO ARMADO, SECAO RETANGULAR INTERNA DE 2,50 X 2,50 M (L X A), MISULA DE 20 X 20 CM, C = 1,00 M, ESPESSURA MIN = 15 CM, TB-45 E FCK DO CONCRETO = 30 MPA                                                                                                                                                                                                                                                                                                              </t>
  </si>
  <si>
    <t>4.192,94</t>
  </si>
  <si>
    <t xml:space="preserve">ADUELA/ GALERIA PRE-MOLDADA DE CONCRETO ARMADO, SECAO RETANGULAR INTERNA DE 3,00 X 3,00 M (L X A), MISULA DE 20 X 20 CM, C = 1.00 M, ESPESSURA MIN = 20 CM, TB-45 E FCK DO CONCRETO = 30 MPA                                                                                                                                                                                                                                                                                                              </t>
  </si>
  <si>
    <t>4.972,87</t>
  </si>
  <si>
    <t xml:space="preserve">AFASTADOR PARA TELHA DE FIBROCIMENTO CANALETE 90 OU KALHETAO                                                                                                                                                                                                                                                                                                                                                                                                                                              </t>
  </si>
  <si>
    <t xml:space="preserve">AGENTE DE CURA, PROTETOR DA EVAPORACAO DA AGUA DE HIDRATACAO DO CONCRETO                                                                                                                                                                                                                                                                                                                                                                                                                                  </t>
  </si>
  <si>
    <t xml:space="preserve">AGREGADO RECICLADO, TIPO RACHAO RECICLADO CINZA, CLASSE A                                                                                                                                                                                                                                                                                                                                                                                                                                                 </t>
  </si>
  <si>
    <t xml:space="preserve">AJUDANTE DE ARMADOR                                                                                                                                                                                                                                                                                                                                                                                                                                                                                       </t>
  </si>
  <si>
    <t xml:space="preserve">AJUDANTE DE ARMADOR (MENSALISTA)                                                                                                                                                                                                                                                                                                                                                                                                                                                                          </t>
  </si>
  <si>
    <t>2.294,93</t>
  </si>
  <si>
    <t xml:space="preserve">AJUDANTE DE ELETRICISTA                                                                                                                                                                                                                                                                                                                                                                                                                                                                                   </t>
  </si>
  <si>
    <t xml:space="preserve">AJUDANTE DE ELETRICISTA (MENSALISTA)                                                                                                                                                                                                                                                                                                                                                                                                                                                                      </t>
  </si>
  <si>
    <t>2.461,24</t>
  </si>
  <si>
    <t xml:space="preserve">AJUDANTE DE ESTRUTURAS METALICAS                                                                                                                                                                                                                                                                                                                                                                                                                                                                          </t>
  </si>
  <si>
    <t xml:space="preserve">AJUDANTE DE ESTRUTURAS METALICAS (MENSALISTA)                                                                                                                                                                                                                                                                                                                                                                                                                                                             </t>
  </si>
  <si>
    <t>2.675,52</t>
  </si>
  <si>
    <t xml:space="preserve">AJUDANTE DE OPERACAO EM GERAL                                                                                                                                                                                                                                                                                                                                                                                                                                                                             </t>
  </si>
  <si>
    <t xml:space="preserve">AJUDANTE DE OPERACAO EM GERAL (MENSALISTA)                                                                                                                                                                                                                                                                                                                                                                                                                                                                </t>
  </si>
  <si>
    <t>2.374,72</t>
  </si>
  <si>
    <t xml:space="preserve">AJUDANTE DE PINTOR                                                                                                                                                                                                                                                                                                                                                                                                                                                                                        </t>
  </si>
  <si>
    <t xml:space="preserve">AJUDANTE DE PINTOR (MENSALISTA)                                                                                                                                                                                                                                                                                                                                                                                                                                                                           </t>
  </si>
  <si>
    <t xml:space="preserve">AJUDANTE DE SERRALHEIRO                                                                                                                                                                                                                                                                                                                                                                                                                                                                                   </t>
  </si>
  <si>
    <t xml:space="preserve">AJUDANTE DE SERRALHEIRO (MENSALISTA)                                                                                                                                                                                                                                                                                                                                                                                                                                                                      </t>
  </si>
  <si>
    <t>2.461,55</t>
  </si>
  <si>
    <t xml:space="preserve">AJUDANTE ESPECIALIZADO                                                                                                                                                                                                                                                                                                                                                                                                                                                                                    </t>
  </si>
  <si>
    <t xml:space="preserve">AJUDANTE ESPECIALIZADO (MENSALISTA)                                                                                                                                                                                                                                                                                                                                                                                                                                                                       </t>
  </si>
  <si>
    <t>2.692,08</t>
  </si>
  <si>
    <t xml:space="preserve">ALCA PREFORMADA DE CONTRA POSTE, EM ACO GALVANIZADO, PARA CABO 3/16", COMPRIMENTO *860* MM                                                                                                                                                                                                                                                                                                                                                                                                                </t>
  </si>
  <si>
    <t xml:space="preserve">ALCA PREFORMADA DE DISTRIBUICAO, EM ACO GALVANIZADO, PARA CABO DE ALUMINIO DIAMETRO 16 A 25 MM                                                                                                                                                                                                                                                                                                                                                                                                            </t>
  </si>
  <si>
    <t xml:space="preserve">ALCA PREFORMADA DE DISTRIBUICAO, EM ACO GALVANIZADO, PARA CONDUTORES DE ALUMINIO AWG 1/0 (CAA 6/1 OU CA 7 FIOS)                                                                                                                                                                                                                                                                                                                                                                                           </t>
  </si>
  <si>
    <t xml:space="preserve">ALCA PREFORMADA DE DISTRIBUICAO, EM ACO GALVANIZADO, PARA CONDUTORES DE ALUMINIO AWG 2 (CAA 6/1 OU CA 7 FIOS)                                                                                                                                                                                                                                                                                                                                                                                             </t>
  </si>
  <si>
    <t xml:space="preserve">ALCA PREFORMADA DE SERVICO, EM ACO GALVANIZADO, PARA CONDUTORES DE ALUMINIO AWG 4 (CAA 6/1)                                                                                                                                                                                                                                                                                                                                                                                                               </t>
  </si>
  <si>
    <t xml:space="preserve">ALCA PREFORMADA DE SERVICO, EM ACO GALVANIZADO, PARA CONDUTORES DE ALUMINIO AWG 6 (CAA 6/1)                                                                                                                                                                                                                                                                                                                                                                                                               </t>
  </si>
  <si>
    <t xml:space="preserve">ALICATE DE CORTE DIAGONAL 6 " COM ISOLAMENTO                                                                                                                                                                                                                                                                                                                                                                                                                                                              </t>
  </si>
  <si>
    <t>36,54</t>
  </si>
  <si>
    <t xml:space="preserve">ALICATE DE CRIMPAR RJ11, RJ12 E RJ45                                                                                                                                                                                                                                                                                                                                                                                                                                                                      </t>
  </si>
  <si>
    <t>99,71</t>
  </si>
  <si>
    <t xml:space="preserve">ALICATE DE PRESSAO PARA SOLDA DE CHAPA 18 "                                                                                                                                                                                                                                                                                                                                                                                                                                                               </t>
  </si>
  <si>
    <t>107,21</t>
  </si>
  <si>
    <t xml:space="preserve">ALICATE DE PRESSAO 11 " PARA SOLDA, TIPO C                                                                                                                                                                                                                                                                                                                                                                                                                                                                </t>
  </si>
  <si>
    <t xml:space="preserve">ALICATE DE PRESSAO 11 " PARA SOLDA, TIPO U                                                                                                                                                                                                                                                                                                                                                                                                                                                                </t>
  </si>
  <si>
    <t>66,38</t>
  </si>
  <si>
    <t xml:space="preserve">ALICATE PARA ANEIS DE PISTAO, CAPACIDADE 50 A 100 MM                                                                                                                                                                                                                                                                                                                                                                                                                                                      </t>
  </si>
  <si>
    <t xml:space="preserve">ALIMENTACAO - HORISTA (COLETADO CAIXA)                                                                                                                                                                                                                                                                                                                                                                                                                                                                    </t>
  </si>
  <si>
    <t xml:space="preserve">ALIMENTACAO - MENSALISTA (COLETADO CAIXA)                                                                                                                                                                                                                                                                                                                                                                                                                                                                 </t>
  </si>
  <si>
    <t xml:space="preserve">ALISADORA DE CONCRETO COM MOTOR A GASOLINA DE 5,5 HP, PESO COM MOTOR DE 78 KG, 4 PAS                                                                                                                                                                                                                                                                                                                                                                                                                      </t>
  </si>
  <si>
    <t xml:space="preserve">ALMOXARIFE                                                                                                                                                                                                                                                                                                                                                                                                                                                                                                </t>
  </si>
  <si>
    <t>25,03</t>
  </si>
  <si>
    <t xml:space="preserve">ALMOXARIFE (MENSALISTA)                                                                                                                                                                                                                                                                                                                                                                                                                                                                                   </t>
  </si>
  <si>
    <t>4.399,19</t>
  </si>
  <si>
    <t xml:space="preserve">ALONGADOR COM TRES ALTURAS, EM TUBO DE ACO CARBONO, PINTURA NO PROCESSO ELETROSTATICO - EQUIPAMENTO DE GINASTICA PARA ACADEMIA AO AR LIVRE / ACADEMIA DA TERCEIRA IDADE - ATI                                                                                                                                                                                                                                                                                                                             </t>
  </si>
  <si>
    <t>1.740,00</t>
  </si>
  <si>
    <t xml:space="preserve">ALUMINIO ANODIZADO                                                                                                                                                                                                                                                                                                                                                                                                                                                                                        </t>
  </si>
  <si>
    <t xml:space="preserve">ANEL BORRACHA DN 100 MM, PARA TUBO SERIE REFORCADA ESGOTO PREDIAL                                                                                                                                                                                                                                                                                                                                                                                                                                         </t>
  </si>
  <si>
    <t xml:space="preserve">ANEL BORRACHA DN 75 MM, PARA TUBO SERIE REFORCADA ESGOTO PREDIAL                                                                                                                                                                                                                                                                                                                                                                                                                                          </t>
  </si>
  <si>
    <t xml:space="preserve">ANEL BORRACHA PARA TUBO ESGOTO PREDIAL DN 40 MM (NBR 5688)                                                                                                                                                                                                                                                                                                                                                                                                                                                </t>
  </si>
  <si>
    <t xml:space="preserve">ANEL BORRACHA PARA TUBO ESGOTO PREDIAL DN 50 MM (NBR 5688)                                                                                                                                                                                                                                                                                                                                                                                                                                                </t>
  </si>
  <si>
    <t xml:space="preserve">ANEL BORRACHA PARA TUBO ESGOTO PREDIAL DN 75 MM (NBR 5688)                                                                                                                                                                                                                                                                                                                                                                                                                                                </t>
  </si>
  <si>
    <t xml:space="preserve">ANEL BORRACHA PARA TUBO ESGOTO PREDIAL, DN 100 MM (NBR 5688)                                                                                                                                                                                                                                                                                                                                                                                                                                              </t>
  </si>
  <si>
    <t xml:space="preserve">ANEL BORRACHA, DN 150 MM, PARA TUBO SERIE REFORCADA ESGOTO PREDIAL                                                                                                                                                                                                                                                                                                                                                                                                                                        </t>
  </si>
  <si>
    <t xml:space="preserve">ANEL BORRACHA, DN 40 MM, PARA TUBO SERIE REFORCADA ESGOTO PREDIAL                                                                                                                                                                                                                                                                                                                                                                                                                                         </t>
  </si>
  <si>
    <t xml:space="preserve">ANEL BORRACHA, DN 50 MM, PARA TUBO SERIE REFORCADA ESGOTO PREDIAL                                                                                                                                                                                                                                                                                                                                                                                                                                         </t>
  </si>
  <si>
    <t xml:space="preserve">ANEL BORRACHA, PARA TUBO PVC DEFOFO, DN 100 MM (NBR 7665)                                                                                                                                                                                                                                                                                                                                                                                                                                                 </t>
  </si>
  <si>
    <t xml:space="preserve">ANEL BORRACHA, PARA TUBO PVC DEFOFO, DN 150 MM (NBR 7665)                                                                                                                                                                                                                                                                                                                                                                                                                                                 </t>
  </si>
  <si>
    <t xml:space="preserve">ANEL BORRACHA, PARA TUBO PVC DEFOFO, DN 200 MM (NBR 7665)                                                                                                                                                                                                                                                                                                                                                                                                                                                 </t>
  </si>
  <si>
    <t>34,53</t>
  </si>
  <si>
    <t xml:space="preserve">ANEL BORRACHA, PARA TUBO PVC DEFOFO, DN 250 MM (NBR 7665)                                                                                                                                                                                                                                                                                                                                                                                                                                                 </t>
  </si>
  <si>
    <t>109,77</t>
  </si>
  <si>
    <t xml:space="preserve">ANEL BORRACHA, PARA TUBO PVC DEFOFO, DN 300 MM (NBR 7665)                                                                                                                                                                                                                                                                                                                                                                                                                                                 </t>
  </si>
  <si>
    <t>168,60</t>
  </si>
  <si>
    <t xml:space="preserve">ANEL BORRACHA, PARA TUBO PVC, REDE COLETOR ESGOTO, DN 100 MM (NBR 7362)                                                                                                                                                                                                                                                                                                                                                                                                                                   </t>
  </si>
  <si>
    <t xml:space="preserve">ANEL BORRACHA, PARA TUBO PVC, REDE COLETOR ESGOTO, DN 150 MM (NBR 7362)                                                                                                                                                                                                                                                                                                                                                                                                                                   </t>
  </si>
  <si>
    <t>11,41</t>
  </si>
  <si>
    <t xml:space="preserve">ANEL BORRACHA, PARA TUBO PVC, REDE COLETOR ESGOTO, DN 200 MM (NBR 7362)                                                                                                                                                                                                                                                                                                                                                                                                                                   </t>
  </si>
  <si>
    <t xml:space="preserve">ANEL BORRACHA, PARA TUBO PVC, REDE COLETOR ESGOTO, DN 250 MM (NBR 7362)                                                                                                                                                                                                                                                                                                                                                                                                                                   </t>
  </si>
  <si>
    <t xml:space="preserve">ANEL BORRACHA, PARA TUBO PVC, REDE COLETOR ESGOTO, DN 350 MM (NBR 7362)                                                                                                                                                                                                                                                                                                                                                                                                                                   </t>
  </si>
  <si>
    <t xml:space="preserve">ANEL BORRACHA, PARA TUBO PVC, REDE COLETOR ESGOTO, DN 400 MM (NBR 7362)                                                                                                                                                                                                                                                                                                                                                                                                                                   </t>
  </si>
  <si>
    <t>70,36</t>
  </si>
  <si>
    <t xml:space="preserve">ANEL BORRACHA, PARA TUBO/CONEXAO PVC PBA, DN 100 MM, PARA REDE AGUA                                                                                                                                                                                                                                                                                                                                                                                                                                       </t>
  </si>
  <si>
    <t>8,39</t>
  </si>
  <si>
    <t xml:space="preserve">ANEL BORRACHA, PARA TUBO/CONEXAO PVC PBA, DN 50 MM, PARA REDE AGUA                                                                                                                                                                                                                                                                                                                                                                                                                                        </t>
  </si>
  <si>
    <t xml:space="preserve">ANEL BORRACHA, PARA TUBO/CONEXAO PVC PBA, DN 60 MM, PARA REDE AGUA                                                                                                                                                                                                                                                                                                                                                                                                                                        </t>
  </si>
  <si>
    <t xml:space="preserve">ANEL BORRACHA, PARA TUBO/CONEXAO PVC PBA, DN 75 MM, PARA REDE AGUA                                                                                                                                                                                                                                                                                                                                                                                                                                        </t>
  </si>
  <si>
    <t xml:space="preserve">ANEL BORRACHA, PARA TUBO, PVC REDE COLETOR ESGOTO, DN 300 MM (NBR 7362)                                                                                                                                                                                                                                                                                                                                                                                                                                   </t>
  </si>
  <si>
    <t xml:space="preserve">ANEL DE BORRACHA PARA VEDACAO DE DUTO PEAD CORRUGADO PARA ELETRICA, DN 1 1/2"                                                                                                                                                                                                                                                                                                                                                                                                                             </t>
  </si>
  <si>
    <t xml:space="preserve">ANEL DE BORRACHA PARA VEDACAO DE DUTO PEAD CORRUGADO PARA ELETRICA, DN 1 1/4"                                                                                                                                                                                                                                                                                                                                                                                                                             </t>
  </si>
  <si>
    <t xml:space="preserve">ANEL DE BORRACHA PARA VEDACAO DE DUTO PEAD CORRUGADO PARA ELETRICA, DN 2"                                                                                                                                                                                                                                                                                                                                                                                                                                 </t>
  </si>
  <si>
    <t xml:space="preserve">ANEL DE BORRACHA PARA VEDACAO DE DUTO PEAD CORRUGADO PARA ELETRICA, DN 3"                                                                                                                                                                                                                                                                                                                                                                                                                                 </t>
  </si>
  <si>
    <t xml:space="preserve">ANEL DE BORRACHA PARA VEDACAO DE DUTO PEAD CORRUGADO PARA ELETRICA, DN 4"                                                                                                                                                                                                                                                                                                                                                                                                                                 </t>
  </si>
  <si>
    <t xml:space="preserve">ANEL DE CONCRETO ARMADO COM FUNDO, PARA FOSSA E POCO 1,50 X *0,50* M                                                                                                                                                                                                                                                                                                                                                                                                                                      </t>
  </si>
  <si>
    <t>458,40</t>
  </si>
  <si>
    <t xml:space="preserve">ANEL DE CONCRETO ARMADO COM FUNDO, PARA FOSSA E POCO 2,00 X *0,50* M                                                                                                                                                                                                                                                                                                                                                                                                                                      </t>
  </si>
  <si>
    <t>722,53</t>
  </si>
  <si>
    <t xml:space="preserve">ANEL DE CONCRETO ARMADO COM FUNDO, PARA FOSSA E POCO 2,50 X *0,50* M                                                                                                                                                                                                                                                                                                                                                                                                                                      </t>
  </si>
  <si>
    <t>1.014,54</t>
  </si>
  <si>
    <t xml:space="preserve">ANEL DE CONCRETO ARMADO, COM FUROS/DRENO PARA SUMIDOURO, D = 0,80 M, H = 0,50 M                                                                                                                                                                                                                                                                                                                                                                                                                           </t>
  </si>
  <si>
    <t>94,84</t>
  </si>
  <si>
    <t xml:space="preserve">ANEL DE CONCRETO ARMADO, COM FUROS/DRENO PARA SUMIDOURO, D = 1,00 M, H = 0,50M                                                                                                                                                                                                                                                                                                                                                                                                                            </t>
  </si>
  <si>
    <t>123,54</t>
  </si>
  <si>
    <t xml:space="preserve">ANEL DE CONCRETO ARMADO, COM FUROS/DRENO PARA SUMIDOURO, D = 1,50 M, H = 0,50 M                                                                                                                                                                                                                                                                                                                                                                                                                           </t>
  </si>
  <si>
    <t>298,87</t>
  </si>
  <si>
    <t xml:space="preserve">ANEL DE DISTRIBUICAO EM ACO GALVANIZADO PARA FIO FE-160                                                                                                                                                                                                                                                                                                                                                                                                                                                   </t>
  </si>
  <si>
    <t xml:space="preserve">ANEL DE EXPANSAO EM COBRE, ENGATE RAPIDO 1 1/2", PARA EMPATACAO MANGUEIRA DE COMBATE A INCENDIO PREDIAL                                                                                                                                                                                                                                                                                                                                                                                                   </t>
  </si>
  <si>
    <t xml:space="preserve">ANEL DE EXPANSAO EM COBRE, ENGATE RAPIDO 2 1/2", PARA EMPATACAO MANGUEIRA DE COMBATE A INCENDIO PREDIAL                                                                                                                                                                                                                                                                                                                                                                                                   </t>
  </si>
  <si>
    <t xml:space="preserve">ANEL DE VEDACAO/JUNTA ELASTICA, H = *16* MM, PARA TUBO DE CONCRETO DN 300 MM                                                                                                                                                                                                                                                                                                                                                                                                                              </t>
  </si>
  <si>
    <t xml:space="preserve">ANEL DE VEDACAO/JUNTA ELASTICA, H = *16* MM, PARA TUBO DE CONCRETO DN 400 MM                                                                                                                                                                                                                                                                                                                                                                                                                              </t>
  </si>
  <si>
    <t xml:space="preserve">ANEL DE VEDACAO/JUNTA ELASTICA, H = *16* MM, PARA TUBO DE CONCRETO DN 500 MM                                                                                                                                                                                                                                                                                                                                                                                                                              </t>
  </si>
  <si>
    <t>127,61</t>
  </si>
  <si>
    <t xml:space="preserve">ANEL DE VEDACAO/JUNTA ELASTICA, H = *16* MM, PARA TUBO DE CONCRETO DN 600 MM                                                                                                                                                                                                                                                                                                                                                                                                                              </t>
  </si>
  <si>
    <t>156,55</t>
  </si>
  <si>
    <t xml:space="preserve">ANEL DE VEDACAO/JUNTA ELASTICA, H = *18* MM, PARA TUBO DE CONCRETO DN 700 MM                                                                                                                                                                                                                                                                                                                                                                                                                              </t>
  </si>
  <si>
    <t>165,52</t>
  </si>
  <si>
    <t xml:space="preserve">ANEL DE VEDACAO/JUNTA ELASTICA, H = *19* MM, PARA TUBO DE CONCRETO DN 800 MM                                                                                                                                                                                                                                                                                                                                                                                                                              </t>
  </si>
  <si>
    <t>206,67</t>
  </si>
  <si>
    <t xml:space="preserve">ANEL DE VEDACAO/JUNTA ELASTICA, H = *19* MM, PARA TUBO DE CONCRETO DN 900 MM                                                                                                                                                                                                                                                                                                                                                                                                                              </t>
  </si>
  <si>
    <t>194,41</t>
  </si>
  <si>
    <t xml:space="preserve">ANEL DE VEDACAO/JUNTA ELASTICA, H = *21* MM, PARA TUBO DE CONCRETO DN 1000 MM                                                                                                                                                                                                                                                                                                                                                                                                                             </t>
  </si>
  <si>
    <t>240,38</t>
  </si>
  <si>
    <t xml:space="preserve">ANEL DE VEDACAO, PVC FLEXIVEL, 100 MM, PARA SAIDA DE BACIA / VASO SANITARIO                                                                                                                                                                                                                                                                                                                                                                                                                               </t>
  </si>
  <si>
    <t xml:space="preserve">ANEL DESLIZANTE / TRADICIONAL, METALICO, PARA TUBO PEX, DN 16 MM                                                                                                                                                                                                                                                                                                                                                                                                                                          </t>
  </si>
  <si>
    <t xml:space="preserve">ANEL DESLIZANTE / TRADICIONAL, METALICO, PARA TUBO PEX, DN 20 MM                                                                                                                                                                                                                                                                                                                                                                                                                                          </t>
  </si>
  <si>
    <t xml:space="preserve">ANEL DESLIZANTE / TRADICIONAL, METALICO, PARA TUBO PEX, DN 25 MM                                                                                                                                                                                                                                                                                                                                                                                                                                          </t>
  </si>
  <si>
    <t xml:space="preserve">ANEL DESLIZANTE / TRADICIONAL, METALICO, PARA TUBO PEX, DN 32 MM                                                                                                                                                                                                                                                                                                                                                                                                                                          </t>
  </si>
  <si>
    <t xml:space="preserve">ANEL EM CONCRETO ARMADO, LISO,  PARA FOSSAS SEPTICAS E SUMIDOUROS, COM FUNDO, DIAMETRO INTERNO DE 1,20 M E ALTURA DE 0,50 M                                                                                                                                                                                                                                                                                                                                                                               </t>
  </si>
  <si>
    <t>384,06</t>
  </si>
  <si>
    <t xml:space="preserve">ANEL EM CONCRETO ARMADO, LISO, PARA FOSSAS SEPTICAS E SUMIDOUROS, COM FUNDO, DIAMETRO INTERNO DE 3,00 M E ALTURA DE 0,50 M                                                                                                                                                                                                                                                                                                                                                                                </t>
  </si>
  <si>
    <t>1.324,64</t>
  </si>
  <si>
    <t xml:space="preserve">ANEL EM CONCRETO ARMADO, LISO, PARA FOSSAS SEPTICAS E SUMIDOUROS, SEM FUNDO, DIAMETRO INTERNO DE 2,00 M E ALTURA DE 0,50 M                                                                                                                                                                                                                                                                                                                                                                                </t>
  </si>
  <si>
    <t xml:space="preserve">ANEL EM CONCRETO ARMADO, LISO, PARA FOSSAS SEPTICAS E SUMIDOUROS, SEM FUNDO, DIAMETRO INTERNO DE 2,50 M E ALTURA DE 0,50 M                                                                                                                                                                                                                                                                                                                                                                                </t>
  </si>
  <si>
    <t>623,94</t>
  </si>
  <si>
    <t xml:space="preserve">ANEL EM CONCRETO ARMADO, LISO, PARA FOSSAS SEPTICAS E SUMIDOUROS, SEM FUNDO, DIAMETRO INTERNO DE 3,00 M E ALTURA DE 0,50 M                                                                                                                                                                                                                                                                                                                                                                                </t>
  </si>
  <si>
    <t>873,52</t>
  </si>
  <si>
    <t xml:space="preserve">ANEL EM CONCRETO ARMADO, LISO, PARA POCOS DE INSPECAO, COM FUNDO, DIAMETRO INTERNO DE 0,60 M E ALTURA DE 0,50 M                                                                                                                                                                                                                                                                                                                                                                                           </t>
  </si>
  <si>
    <t>112,31</t>
  </si>
  <si>
    <t xml:space="preserve">ANEL EM CONCRETO ARMADO, LISO, PARA POCOS DE INSPECAO, SEM FUNDO, DIAMETRO INTERNO DE 0,60 M E ALTURA DE 0,20 M                                                                                                                                                                                                                                                                                                                                                                                           </t>
  </si>
  <si>
    <t>52,41</t>
  </si>
  <si>
    <t xml:space="preserve">ANEL EM CONCRETO ARMADO, LISO, PARA POCOS DE INSPECAO, SEM FUNDO, DIAMETRO INTERNO DE 0,60 M E ALTURA DE 0,50 M                                                                                                                                                                                                                                                                                                                                                                                           </t>
  </si>
  <si>
    <t>80,83</t>
  </si>
  <si>
    <t xml:space="preserve">ANEL EM CONCRETO ARMADO, LISO, PARA POCOS DE VISITA, POCOS DE INSPECAO, FOSSAS SEPTICAS E SUMIDOUROS, COM FUNDO, DIAMETRO INTERNO DE 1,20 M E ALTURA DE 0,75 M                                                                                                                                                                                                                                                                                                                                            </t>
  </si>
  <si>
    <t>271,41</t>
  </si>
  <si>
    <t xml:space="preserve">ANEL EM CONCRETO ARMADO, LISO, PARA POCOS DE VISITA, POCOS DE INSPECAO, FOSSAS SEPTICAS E SUMIDOUROS, SEM FUNDO, DIAMETRO INTERNO DE 1,20 M E ALTURA DE 0,50 M                                                                                                                                                                                                                                                                                                                                            </t>
  </si>
  <si>
    <t>193,64</t>
  </si>
  <si>
    <t xml:space="preserve">ANEL EM CONCRETO ARMADO, LISO, PARA POCOS DE VISITAS, POCOS DE INSPECAO, FOSSAS SEPTICAS E SUMIDOUROS, COM FUNDO, DIAMETRO INTERNO DE 0,80 M E ALTURA DE 0,50 M                                                                                                                                                                                                                                                                                                                                           </t>
  </si>
  <si>
    <t xml:space="preserve">ANEL EM CONCRETO ARMADO, LISO, PARA POCOS DE VISITAS, POCOS DE INSPECAO, FOSSAS SEPTICAS E SUMIDOUROS, COM FUNDO, DIAMETRO INTERNO DE 1,00 M E ALTURA DE 0,50 M                                                                                                                                                                                                                                                                                                                                           </t>
  </si>
  <si>
    <t>196,54</t>
  </si>
  <si>
    <t xml:space="preserve">ANEL EM CONCRETO ARMADO, LISO, PARA POCOS DE VISITAS, POCOS DE INSPECAO, FOSSAS SEPTICAS E SUMIDOUROS, SEM FUNDO, DIAMETRO INTERNO DE 0,80 M E ALTURA DE 0,50 M                                                                                                                                                                                                                                                                                                                                           </t>
  </si>
  <si>
    <t>106,07</t>
  </si>
  <si>
    <t xml:space="preserve">ANEL EM CONCRETO ARMADO, LISO, PARA POCOS DE VISITAS, POCOS DE INSPECAO, FOSSAS SEPTICAS E SUMIDOUROS, SEM FUNDO, DIAMETRO INTERNO DE 1,00 M E ALTURA DE 0,50 M                                                                                                                                                                                                                                                                                                                                           </t>
  </si>
  <si>
    <t>142,65</t>
  </si>
  <si>
    <t xml:space="preserve">ANEL EM CONCRETO ARMADO, LISO, PARA, POCOS DE VISITA, POCOS DE INSPECAO, FOSSAS SEPTICAS E SUMIDOUROS, COM FUNDO, DIAMETRO INTERNO DE 1,50 M E ALTURA DE 1,00 M                                                                                                                                                                                                                                                                                                                                           </t>
  </si>
  <si>
    <t>374,36</t>
  </si>
  <si>
    <t xml:space="preserve">ANEL EM CONCRETO ARMADO, LISO, PARA, POCOS DE VISITA, POCOS DE INSPECAO, FOSSAS SEPTICAS E SUMIDOUROS, SEM FUNDO, DIAMETRO INTERNO DE 1,50 M E ALTURA DE 0,50 M                                                                                                                                                                                                                                                                                                                                           </t>
  </si>
  <si>
    <t>267,84</t>
  </si>
  <si>
    <t xml:space="preserve">ANEL EM CONCRETO ARMADO, PERFURADO,  PARA FOSSAS SEPTICAS E SUMIDOUROS, SEM FUNDO, DIAMETRO INTERNO DE 1,20 M E ALTURA DE 0,50 M                                                                                                                                                                                                                                                                                                                                                                          </t>
  </si>
  <si>
    <t>168,46</t>
  </si>
  <si>
    <t xml:space="preserve">ANEL EM CONCRETO ARMADO, PERFURADO, PARA FOSSAS SEPTICAS E SUMIDOUROS, SEM FUNDO, DIAMETRO INTERNO DE 2,00 M E ALTURA DE 0,50 M                                                                                                                                                                                                                                                                                                                                                                           </t>
  </si>
  <si>
    <t>355,65</t>
  </si>
  <si>
    <t xml:space="preserve">ANEL EM CONCRETO ARMADO, PERFURADO, PARA FOSSAS SEPTICAS E SUMIDOUROS, SEM FUNDO, DIAMETRO INTERNO DE 2,50 M E ALTURA DE 0,50 M                                                                                                                                                                                                                                                                                                                                                                           </t>
  </si>
  <si>
    <t>436,76</t>
  </si>
  <si>
    <t xml:space="preserve">ANEL EM CONCRETO ARMADO, PERFURADO, PARA FOSSAS SEPTICAS E SUMIDOUROS, SEM FUNDO, DIAMETRO INTERNO DE 3,00 M E ALTURA DE 0,50 M                                                                                                                                                                                                                                                                                                                                                                           </t>
  </si>
  <si>
    <t>611,47</t>
  </si>
  <si>
    <t xml:space="preserve">APARELHO CORTE OXI-ACETILENO PARA SOLDA E CORTE CONTENDO MACARICO SOLDA, BICO DE CORTE, CILINDROS, REGULADORES, MANGUEIRAS E CARRINHO                                                                                                                                                                                                                                                                                                                                                                     </t>
  </si>
  <si>
    <t>3.579,36</t>
  </si>
  <si>
    <t xml:space="preserve">APARELHO DE APOIO DE NEOPRENE FRETADO, 60 X 45 X 7,6 CM, COM FRETAGEM DE ACO DE 4 MM INTERCALADAS COM ELASTOMERO DE 11 MM E REVESTIMENTO FINAL COM ELASTOMERO DE 6 MM                                                                                                                                                                                                                                                                                                                                     </t>
  </si>
  <si>
    <t xml:space="preserve">APARELHO DE APOIO DE NEOPRENE SIMPLES/ NAO FRETADO, 100 X 100 CM, ESPESSURA 6,3 MM                                                                                                                                                                                                                                                                                                                                                                                                                        </t>
  </si>
  <si>
    <t xml:space="preserve">APARELHO SINALIZADOR LUMINOSO COM LED, PARA SAIDA GARAGEM, COM 2 LENTES EM POLICARBONATO, BIVOLT (INCLUI SUPORTE DE FIXACAO)                                                                                                                                                                                                                                                                                                                                                                              </t>
  </si>
  <si>
    <t>101,70</t>
  </si>
  <si>
    <t xml:space="preserve">APOIO DO PORTA DENTE PARA FRESADORA DE ASFALTO                                                                                                                                                                                                                                                                                                                                                                                                                                                            </t>
  </si>
  <si>
    <t>2.539,27</t>
  </si>
  <si>
    <t xml:space="preserve">APONTADOR OU APROPRIADOR DE MAO DE OBRA                                                                                                                                                                                                                                                                                                                                                                                                                                                                   </t>
  </si>
  <si>
    <t xml:space="preserve">APONTADOR OU APROPRIADOR DE MAO DE OBRA (MENSALISTA)                                                                                                                                                                                                                                                                                                                                                                                                                                                      </t>
  </si>
  <si>
    <t>4.589,38</t>
  </si>
  <si>
    <t xml:space="preserve">AQUECEDOR DE AGUA A GAS GLP/GN COM CAPACIDADE DE ARMAZENAMENTO DE 50 A 80 L                                                                                                                                                                                                                                                                                                                                                                                                                               </t>
  </si>
  <si>
    <t xml:space="preserve">AQUECEDOR DE AGUA ELETRICO  RESERVATORIO DE 100 L CILINDRICO EM COBRE, REFORCADO COM ACO CARBONO, MONOFASICO, TENSAO NOMINAL 220 V                                                                                                                                                                                                                                                                                                                                                                        </t>
  </si>
  <si>
    <t xml:space="preserve">AQUECEDOR DE AGUA ELETRICO  RESERVATORIO DE 500 L CILINDRICO EM COBRE, REFORCADO COM ACO CARBONO, MONOFASICO, TENSAO NOMINAL 220 V                                                                                                                                                                                                                                                                                                                                                                        </t>
  </si>
  <si>
    <t xml:space="preserve">AQUECEDOR DE AGUA ELETRICO  RESERVATORIO DE 500 L CILINDRICO EM COBRE, REFORCADO COM ACO CARBONO, TRIFASICO, TENSAO NOMINAL 220/380/400 V, POTENCIA 24 KW                                                                                                                                                                                                                                                                                                                                                 </t>
  </si>
  <si>
    <t xml:space="preserve">AQUECEDOR DE AGUA ELETRICO  RESERVATORIO DE 700 L CILINDRICO EM COBRE, REFORCADO COM ACO CARBONO, MONOFASICO, TENSAO NOMINAL 220 V                                                                                                                                                                                                                                                                                                                                                                        </t>
  </si>
  <si>
    <t xml:space="preserve">AQUECEDOR DE AGUA ELETRICO HORIZONTAL, RESERVATORIO DE 200 L CILINDRICO EM COBRE, REFORCADO COM ACO CARBONO, MONOFASICO, TENSAO NOMINAL 220 V                                                                                                                                                                                                                                                                                                                                                             </t>
  </si>
  <si>
    <t xml:space="preserve">AQUECEDOR DE OLEO BPF (FLUIDO) TERMICO, CAPACIDADE DE 300.000 KCAL/H                                                                                                                                                                                                                                                                                                                                                                                                                                      </t>
  </si>
  <si>
    <t>301.197,00</t>
  </si>
  <si>
    <t xml:space="preserve">AQUECEDOR SOLAR  CAPACIDADE DO RESERVATORIO 800 L, INCLUI 8 PLACAS COLETORAS DE 1,42 M2                                                                                                                                                                                                                                                                                                                                                                                                                   </t>
  </si>
  <si>
    <t xml:space="preserve">AQUECEDOR SOLAR CAPACIDADE DO RESERVATORIO 1000 L, INCLUI 10 PLACAS COLETORAS DE 1,42 M2                                                                                                                                                                                                                                                                                                                                                                                                                  </t>
  </si>
  <si>
    <t xml:space="preserve">AQUECEDOR SOLAR CAPACIDADE DO RESERVATORIO 200 L, INCLUI 2 PLACAS COLETORAS DE 1,42 M2                                                                                                                                                                                                                                                                                                                                                                                                                    </t>
  </si>
  <si>
    <t xml:space="preserve">AQUECEDOR SOLAR CAPACIDADE DO RESERVATORIO 400L, INCLUI 4 PLACAS COLETORAS DE 1,42 M2                                                                                                                                                                                                                                                                                                                                                                                                                     </t>
  </si>
  <si>
    <t xml:space="preserve">AQUECEDOR SOLAR CAPACIDADE DO RESERVATORIO 600 L, INCLUI 6 PLACAS COLETORAS DE 1,42 M2                                                                                                                                                                                                                                                                                                                                                                                                                    </t>
  </si>
  <si>
    <t xml:space="preserve">AR CONDICIONADO SPLIT INVERTER, HI-WALL (PAREDE), 12000 BTU/H, CICLO FRIO, 60HZ, CLASSIFICACAO A (SELO PROCEL), GAS HFC, CONTROLE S/FIO                                                                                                                                                                                                                                                                                                                                                                   </t>
  </si>
  <si>
    <t>2.086,18</t>
  </si>
  <si>
    <t xml:space="preserve">AR CONDICIONADO SPLIT INVERTER, HI-WALL (PAREDE), 18000 BTU/H, CICLO FRIO, 60HZ, CLASSIFICACAO A (SELO PROCEL), GAS HFC, CONTROLE S/FIO                                                                                                                                                                                                                                                                                                                                                                   </t>
  </si>
  <si>
    <t>3.097,00</t>
  </si>
  <si>
    <t xml:space="preserve">AR CONDICIONADO SPLIT INVERTER, HI-WALL (PAREDE), 24000 BTU/H, CICLO FRIO, 60HZ, CLASSIFICACAO A - SELO PROCEL, GAS HFC, CONTROLE S/FIO                                                                                                                                                                                                                                                                                                                                                                   </t>
  </si>
  <si>
    <t>4.280,35</t>
  </si>
  <si>
    <t xml:space="preserve">AR CONDICIONADO SPLIT INVERTER, HI-WALL (PAREDE), 9000 BTU/H, CICLO FRIO, 60HZ, CLASSIFICACAO A (SELO PROCEL), GAS HFC, CONTROLE S/FIO                                                                                                                                                                                                                                                                                                                                                                    </t>
  </si>
  <si>
    <t>1.863,14</t>
  </si>
  <si>
    <t xml:space="preserve">AR CONDICIONADO SPLIT INVERTER, PISO TETO, APRESENTANDO ENTRE 54000 E 58000 BTU/H, CICLO FRIO, 60HZ, CLASSIFICACAO ENERGETICA A OU B (SELO PROCEL), GAS HFC, CONTROLE S/FIO                                                                                                                                                                                                                                                                                                                               </t>
  </si>
  <si>
    <t>16.963,67</t>
  </si>
  <si>
    <t xml:space="preserve">AR CONDICIONADO SPLIT INVERTER, PISO TETO, 18000 BTU/H, CICLO FRIO, 60HZ, CLASSIFICACAO ENERGETICA A OU B (SELO PROCEL), GAS HFC, CONTROLE S/FIO                                                                                                                                                                                                                                                                                                                                                          </t>
  </si>
  <si>
    <t>8.031,77</t>
  </si>
  <si>
    <t xml:space="preserve">AR CONDICIONADO SPLIT INVERTER, PISO TETO, 24000 BTU/H, CICLO FRIO, 60HZ, CLASSIFICACAO ENERGETICA A OU B (SELO PROCEL), GAS HFC, CONTROLE S/FIO                                                                                                                                                                                                                                                                                                                                                          </t>
  </si>
  <si>
    <t>9.004,27</t>
  </si>
  <si>
    <t xml:space="preserve">AR CONDICIONADO SPLIT INVERTER, PISO TETO, 36000 BTU/H, CICLO FRIO, 60HZ, CLASSIFICACAO ENERGETICA A OU B (SELO PROCEL), GAS HFC, CONTROLE S/FIO                                                                                                                                                                                                                                                                                                                                                          </t>
  </si>
  <si>
    <t>10.172,92</t>
  </si>
  <si>
    <t xml:space="preserve">AR CONDICIONADO SPLIT INVERTER, PISO TETO, 48000 BTU/H, CICLO FRIO, 60HZ, CLASSIFICACAO ENERGETICA A OU B (SELO PROCEL), GAS HFC, CONTROLE S/FIO                                                                                                                                                                                                                                                                                                                                                          </t>
  </si>
  <si>
    <t>13.981,92</t>
  </si>
  <si>
    <t xml:space="preserve">AR CONDICIONADO SPLIT ON/OFF, CASSETE (TETO), FRIO 4 VIAS 18000 BTUS/H, CLASSIFICACAO ENERGETICA C - SELO PROCEL, GAS HFC, CONTROLE S/ FIO                                                                                                                                                                                                                                                                                                                                                                </t>
  </si>
  <si>
    <t>4.923,23</t>
  </si>
  <si>
    <t xml:space="preserve">AR CONDICIONADO SPLIT ON/OFF, CASSETE (TETO), FRIO 4 VIAS 24000 BTUS/H, CLASSIFICACAO ENERGETICA C - SELO PROCEL, GAS HFC, CONTROLE S/ FIO                                                                                                                                                                                                                                                                                                                                                                </t>
  </si>
  <si>
    <t>6.101,64</t>
  </si>
  <si>
    <t xml:space="preserve">AR CONDICIONADO SPLIT ON/OFF, CASSETE (TETO), FRIO 4 VIAS 36000 BTUS/H, CLASSIFICACAO ENERGETICA C - SELO PROCEL, GAS HFC, CONTROLE S/ FIO                                                                                                                                                                                                                                                                                                                                                                </t>
  </si>
  <si>
    <t>9.066,89</t>
  </si>
  <si>
    <t xml:space="preserve">AR CONDICIONADO SPLIT ON/OFF, CASSETE (TETO), FRIO 4 VIAS 48000 BTUS/H, CLASSIFICACAO ENERGETICA C - SELO PROCEL, GAS HFC, CONTROLE S/ FIO                                                                                                                                                                                                                                                                                                                                                                </t>
  </si>
  <si>
    <t>9.399,13</t>
  </si>
  <si>
    <t xml:space="preserve">AR CONDICIONADO SPLIT ON/OFF, CASSETE (TETO), FRIO 4 VIAS 60000 BTUS/H, CLASSIFICACAO ENERGETICA C - SELO PROCEL, GAS HFC, CONTROLE S/ FIO                                                                                                                                                                                                                                                                                                                                                                </t>
  </si>
  <si>
    <t>10.786,19</t>
  </si>
  <si>
    <t xml:space="preserve">AR CONDICIONADO SPLIT ON/OFF, CASSETE (TETO), 18000 BTUS/H, CICLO QUENTE/FRIO, 60 HZ, CLASSIFICACAO ENERGETICA C - SELO PROCEL, GAS HFC, CONTROLE S/ FIO                                                                                                                                                                                                                                                                                                                                                  </t>
  </si>
  <si>
    <t>5.891,10</t>
  </si>
  <si>
    <t xml:space="preserve">AR CONDICIONADO SPLIT ON/OFF, CASSETE (TETO), 24000 BTUS/H, CICLO QUENTE/FRIO, 60 HZ, CLASSIFICACAO ENERGETICA C - SELO PROCEL, GAS HFC, CONTROLE S/ FIO                                                                                                                                                                                                                                                                                                                                                  </t>
  </si>
  <si>
    <t>6.343,43</t>
  </si>
  <si>
    <t xml:space="preserve">AR CONDICIONADO SPLIT ON/OFF, CASSETE (TETO), 36000 BTUS/H, CICLO QUENTE/FRIO, 60 HZ, CLASSIFICACAO ENERGETICA A - SELO PROCEL, GAS HFC, CONTROLE S/ FIO                                                                                                                                                                                                                                                                                                                                                  </t>
  </si>
  <si>
    <t>9.374,37</t>
  </si>
  <si>
    <t xml:space="preserve">AR CONDICIONADO SPLIT ON/OFF, CASSETE (TETO), 48000 BTUS/H, CICLO QUENTE/FRIO, 60 HZ, CLASSIFICACAO ENERGETICA A - SELO PROCEL, GAS HFC, CONTROLE S/ FIO                                                                                                                                                                                                                                                                                                                                                  </t>
  </si>
  <si>
    <t>10.845,23</t>
  </si>
  <si>
    <t xml:space="preserve">AR CONDICIONADO SPLIT ON/OFF, CASSETE (TETO), 60000 BTUS/H, CICLO QUENTE/FRIO, 60 HZ, CLASSIFICACAO ENERGETICA A - SELO PROCEL, GAS HFC, CONTROLE S/ FIO                                                                                                                                                                                                                                                                                                                                                  </t>
  </si>
  <si>
    <t>11.345,49</t>
  </si>
  <si>
    <t xml:space="preserve">AR CONDICIONADO SPLIT ON/OFF, HI-WALL (PAREDE), 12000 BTUS/H, CICLO FRIO, 60 HZ, CLASSIFICACAO ENERGETICA A - SELO PROCEL, GAS HFC, CONTROLE S/ FIO                                                                                                                                                                                                                                                                                                                                                       </t>
  </si>
  <si>
    <t>1.674,29</t>
  </si>
  <si>
    <t xml:space="preserve">AR CONDICIONADO SPLIT ON/OFF, HI-WALL (PAREDE), 12000 BTUS/H, CICLO QUENTE/FRIO, 60 HZ, CLASSIFICACAO ENERGETICA A - SELO PROCEL, GAS HFC, CONTROLE S/ FIO                                                                                                                                                                                                                                                                                                                                                </t>
  </si>
  <si>
    <t>1.811,15</t>
  </si>
  <si>
    <t xml:space="preserve">AR CONDICIONADO SPLIT ON/OFF, HI-WALL (PAREDE), 18000 BTUS/H, CICLO FRIO, 60 HZ, CLASSIFICACAO ENERGETICA A - SELO PROCEL, GAS HFC, CONTROLE S/ FIO                                                                                                                                                                                                                                                                                                                                                       </t>
  </si>
  <si>
    <t>2.409,08</t>
  </si>
  <si>
    <t xml:space="preserve">AR CONDICIONADO SPLIT ON/OFF, HI-WALL (PAREDE), 18000 BTUS/H, CICLO QUENTE/FRIO, 60 HZ, CLASSIFICACAO ENERGETICA A - SELO PROCEL, GAS HFC, CONTROLE S/ FIO                                                                                                                                                                                                                                                                                                                                                </t>
  </si>
  <si>
    <t>2.686,50</t>
  </si>
  <si>
    <t xml:space="preserve">AR CONDICIONADO SPLIT ON/OFF, HI-WALL (PAREDE), 24000 BTUS/H, CICLO FRIO, 60 HZ, CLASSIFICACAO ENERGETICA A - SELO PROCEL, GAS HFC, CONTROLE S/ FIO                                                                                                                                                                                                                                                                                                                                                       </t>
  </si>
  <si>
    <t>3.155,69</t>
  </si>
  <si>
    <t xml:space="preserve">AR CONDICIONADO SPLIT ON/OFF, HI-WALL (PAREDE), 24000 BTUS/H, CICLO QUENTE/FRIO, 60 HZ, CLASSIFICACAO ENERGETICA A - SELO PROCEL, GAS HFC, CONTROLE S/ FIO                                                                                                                                                                                                                                                                                                                                                </t>
  </si>
  <si>
    <t>3.552,50</t>
  </si>
  <si>
    <t xml:space="preserve">AR CONDICIONADO SPLIT ON/OFF, HI-WALL (PAREDE), 9000 BTUS/H, CICLO FRIO, 60 HZ, CLASSIFICACAO ENERGETICA A - SELO PROCEL, GAS HFC, CONTROLE S/ FIO                                                                                                                                                                                                                                                                                                                                                        </t>
  </si>
  <si>
    <t>1.434,32</t>
  </si>
  <si>
    <t xml:space="preserve">AR CONDICIONADO SPLIT ON/OFF, HI-WALL (PAREDE), 9000 BTUS/H, CICLO QUENTE/FRIO, 60 HZ, CLASSIFICACAO ENERGETICA A - SELO PROCEL, GAS HFC, CONTROLE S/ FIO                                                                                                                                                                                                                                                                                                                                                 </t>
  </si>
  <si>
    <t>1.579,34</t>
  </si>
  <si>
    <t xml:space="preserve">AR CONDICIONADO SPLIT ON/OFF, PISO TETO, 18.000 BTU/H, CICLO FRIO, 60HZ, CLASSIFICACAO ENERGETICA C - SELO PROCEL, GAS HFC, CONTROLE S/FIO                                                                                                                                                                                                                                                                                                                                                                </t>
  </si>
  <si>
    <t>4.488,19</t>
  </si>
  <si>
    <t xml:space="preserve">AR CONDICIONADO SPLIT ON/OFF, PISO TETO, 24.000 BTU/H, CICLO FRIO, 60HZ, CLASSIFICACAO ENERGETICA C - SELO PROCEL, GAS HFC, CONTROLE S/FIO                                                                                                                                                                                                                                                                                                                                                                </t>
  </si>
  <si>
    <t>4.734,14</t>
  </si>
  <si>
    <t xml:space="preserve">AR CONDICIONADO SPLIT ON/OFF, PISO TETO, 36.000 BTU/H, CICLO FRIO, 60HZ, CLASSIFICACAO ENERGETICA C - SELO PROCEL, GAS HFC, CONTROLE S/FIO                                                                                                                                                                                                                                                                                                                                                                </t>
  </si>
  <si>
    <t>6.282,25</t>
  </si>
  <si>
    <t xml:space="preserve">AR CONDICIONADO SPLIT ON/OFF, PISO TETO, 48.000 BTU/H, CICLO FRIO, 60HZ, CLASSIFICACAO ENERGETICA C - SELO PROCEL, GAS HFC, CONTROLE S/FIO                                                                                                                                                                                                                                                                                                                                                                </t>
  </si>
  <si>
    <t>7.611,78</t>
  </si>
  <si>
    <t xml:space="preserve">AR CONDICIONADO SPLIT ON/OFF, PISO TETO, 60.000 BTU/H, CICLO FRIO, 60HZ, CLASSIFICACAO ENERGETICA C - SELO PROCEL, GAS HFC, CONTROLE S/FIO                                                                                                                                                                                                                                                                                                                                                                </t>
  </si>
  <si>
    <t>8.561,98</t>
  </si>
  <si>
    <t xml:space="preserve">AR-CONDICIONADO FRIO SPLITAO INVERTER 30 TR                                                                                                                                                                                                                                                                                                                                                                                                                                                               </t>
  </si>
  <si>
    <t>67.471,92</t>
  </si>
  <si>
    <t xml:space="preserve">AR-CONDICIONADO FRIO SPLITAO MODULAR 10 TR                                                                                                                                                                                                                                                                                                                                                                                                                                                                </t>
  </si>
  <si>
    <t>21.118,57</t>
  </si>
  <si>
    <t xml:space="preserve">AR-CONDICIONADO FRIO SPLITAO MODULAR 15 TR                                                                                                                                                                                                                                                                                                                                                                                                                                                                </t>
  </si>
  <si>
    <t>27.253,93</t>
  </si>
  <si>
    <t xml:space="preserve">AR-CONDICIONADO FRIO SPLITAO MODULAR 20 TR                                                                                                                                                                                                                                                                                                                                                                                                                                                                </t>
  </si>
  <si>
    <t>39.652,33</t>
  </si>
  <si>
    <t xml:space="preserve">AR-CONDICIONADO SPLIT INVERTER, PISO TETO, 24000 BTU/H, QUENTE/FRIO, 60HZ, CLASSIFICACAO ENERGETICA A - SELO PROCEL, GAS HFC, CONTROLE S/FIO                                                                                                                                                                                                                                                                                                                                                              </t>
  </si>
  <si>
    <t>4.870,03</t>
  </si>
  <si>
    <t xml:space="preserve">ARADO REVERSIVEL COM 3 DISCOS DE 26" X 6MM REBOCAVEL                                                                                                                                                                                                                                                                                                                                                                                                                                                      </t>
  </si>
  <si>
    <t>26.388,66</t>
  </si>
  <si>
    <t xml:space="preserve">ARAME DE ACO OVALADO 15 X 17 ( 45,7 KG, 700 KGF), ROLO 1000 M                                                                                                                                                                                                                                                                                                                                                                                                                                             </t>
  </si>
  <si>
    <t xml:space="preserve">ARAME DE AMARRACAO PARA GABIAO GALVANIZADO, DIAMETRO 2,2 MM                                                                                                                                                                                                                                                                                                                                                                                                                                               </t>
  </si>
  <si>
    <t xml:space="preserve">ARAME FARPADO GALVANIZADO, 14 BWG (2,11 MM), CLASSE 250                                                                                                                                                                                                                                                                                                                                                                                                                                                   </t>
  </si>
  <si>
    <t xml:space="preserve">ARAME FARPADO GALVANIZADO, 16 BWG (1,65 MM), CLASSE 250                                                                                                                                                                                                                                                                                                                                                                                                                                                   </t>
  </si>
  <si>
    <t xml:space="preserve">ARAME GALVANIZADO 12 BWG, D = 2,76 MM (0,048 KG/M) OU 14 BWG, D = 2,11 MM (0,026 KG/M)                                                                                                                                                                                                                                                                                                                                                                                                                    </t>
  </si>
  <si>
    <t xml:space="preserve">ARAME GALVANIZADO 16 BWG, D = 1,65MM (0,0166 KG/M)                                                                                                                                                                                                                                                                                                                                                                                                                                                        </t>
  </si>
  <si>
    <t xml:space="preserve">ARAME GALVANIZADO 18 BWG, D = 1,24MM (0,009 KG/M)                                                                                                                                                                                                                                                                                                                                                                                                                                                         </t>
  </si>
  <si>
    <t xml:space="preserve">ARAME GALVANIZADO 6 BWG, D = 5,16 MM (0,157 KG/M), OU 8 BWG, D = 4,19 MM (0,101 KG/M), OU 10 BWG, D = 3,40 MM (0,0713 KG/M)                                                                                                                                                                                                                                                                                                                                                                               </t>
  </si>
  <si>
    <t xml:space="preserve">ARAME PROTEGIDO COM POLIMERO PARA GABIAO, DIAMETRO 2,2 MM                                                                                                                                                                                                                                                                                                                                                                                                                                                 </t>
  </si>
  <si>
    <t xml:space="preserve">ARAME RECOZIDO 16 BWG, D = 1,65 MM (0,016 KG/M) OU 18 BWG, D = 1,25 MM (0,01 KG/M)                                                                                                                                                                                                                                                                                                                                                                                                                        </t>
  </si>
  <si>
    <t xml:space="preserve">AREIA FINA - POSTO JAZIDA/FORNECEDOR (RETIRADO NA JAZIDA, SEM TRANSPORTE)                                                                                                                                                                                                                                                                                                                                                                                                                                 </t>
  </si>
  <si>
    <t xml:space="preserve">AREIA GROSSA - POSTO JAZIDA/FORNECEDOR (RETIRADO NA JAZIDA, SEM TRANSPORTE)                                                                                                                                                                                                                                                                                                                                                                                                                               </t>
  </si>
  <si>
    <t xml:space="preserve">AREIA MEDIA - POSTO JAZIDA/FORNECEDOR (RETIRADO NA JAZIDA, SEM TRANSPORTE)                                                                                                                                                                                                                                                                                                                                                                                                                                </t>
  </si>
  <si>
    <t xml:space="preserve">AREIA PARA ATERRO - POSTO JAZIDA/FORNECEDOR (RETIRADO NA JAZIDA, SEM TRANSPORTE)                                                                                                                                                                                                                                                                                                                                                                                                                          </t>
  </si>
  <si>
    <t xml:space="preserve">AREIA PARA LEITO FILTRANTE (0,42 A 1,68 MM) - POSTO JAZIDA/FORNECEDOR (RETIRADO NA JAZIDA, SEM TRANSPORTE)                                                                                                                                                                                                                                                                                                                                                                                                </t>
  </si>
  <si>
    <t>982,50</t>
  </si>
  <si>
    <t xml:space="preserve">ARGAMASSA COLANTE AC I PARA CERAMICAS                                                                                                                                                                                                                                                                                                                                                                                                                                                                     </t>
  </si>
  <si>
    <t xml:space="preserve">ARGAMASSA COLANTE AC II                                                                                                                                                                                                                                                                                                                                                                                                                                                                                   </t>
  </si>
  <si>
    <t xml:space="preserve">ARGAMASSA COLANTE TIPO AC III                                                                                                                                                                                                                                                                                                                                                                                                                                                                             </t>
  </si>
  <si>
    <t xml:space="preserve">ARGAMASSA COLANTE TIPO AC III E                                                                                                                                                                                                                                                                                                                                                                                                                                                                           </t>
  </si>
  <si>
    <t xml:space="preserve">ARGAMASSA INDUSTRIALIZADA MULTIUSO, PARA REVESTIMENTO INTERNO E EXTERNO E ASSENTAMENTO DE BLOCOS DIVERSOS                                                                                                                                                                                                                                                                                                                                                                                                 </t>
  </si>
  <si>
    <t xml:space="preserve">ARGAMASSA INDUSTRIALIZADA PARA CHAPISCO COLANTE                                                                                                                                                                                                                                                                                                                                                                                                                                                           </t>
  </si>
  <si>
    <t xml:space="preserve">ARGAMASSA INDUSTRIALIZADA PARA CHAPISCO ROLADO                                                                                                                                                                                                                                                                                                                                                                                                                                                            </t>
  </si>
  <si>
    <t xml:space="preserve">ARGAMASSA PARA REVESTIMENTO DECORATIVO MONOCAMADA                                                                                                                                                                                                                                                                                                                                                                                                                                                         </t>
  </si>
  <si>
    <t xml:space="preserve">ARGAMASSA PISO SOBRE PISO                                                                                                                                                                                                                                                                                                                                                                                                                                                                                 </t>
  </si>
  <si>
    <t xml:space="preserve">ARGAMASSA POLIMERICA DE REPARO ESTRUTURAL, BICOMPONENTE                                                                                                                                                                                                                                                                                                                                                                                                                                                   </t>
  </si>
  <si>
    <t xml:space="preserve">ARGAMASSA POLIMERICA IMPERMEABILIZANTE SEMIFLEXIVEL, BICOMPONENTE (MEMBRANA IMPERMEABILIZANTE ACRILICA)                                                                                                                                                                                                                                                                                                                                                                                                   </t>
  </si>
  <si>
    <t xml:space="preserve">ARGAMASSA PRONTA PARA CONTRAPISO                                                                                                                                                                                                                                                                                                                                                                                                                                                                          </t>
  </si>
  <si>
    <t xml:space="preserve">ARGAMASSA USINADA AUTOADENSAVEL E AUTONIVELANTE PARA CONTRAPISO, INCLUI BOMBEAMENTO                                                                                                                                                                                                                                                                                                                                                                                                                       </t>
  </si>
  <si>
    <t>349,16</t>
  </si>
  <si>
    <t xml:space="preserve">ARGILA EXPANDIDA, GRANULOMETRIA 2215                                                                                                                                                                                                                                                                                                                                                                                                                                                                      </t>
  </si>
  <si>
    <t xml:space="preserve">ARGILA OU BARRO PARA ATERRO/REATERRO (COM TRANSPORTE ATE 10 KM)                                                                                                                                                                                                                                                                                                                                                                                                                                           </t>
  </si>
  <si>
    <t xml:space="preserve">ARGILA OU BARRO PARA ATERRO/REATERRO (RETIRADO NA JAZIDA, SEM TRANSPORTE)                                                                                                                                                                                                                                                                                                                                                                                                                                 </t>
  </si>
  <si>
    <t xml:space="preserve">ARGILA, ARGILA VERMELHA OU ARGILA ARENOSA (RETIRADA NA JAZIDA, SEM TRANSPORTE)                                                                                                                                                                                                                                                                                                                                                                                                                            </t>
  </si>
  <si>
    <t xml:space="preserve">ARMACAO VERTICAL COM HASTE E CONTRA-PINO, EM CHAPA DE ACO GALVANIZADO 3/16", COM 1 ESTRIBO E 1 ISOLADOR                                                                                                                                                                                                                                                                                                                                                                                                   </t>
  </si>
  <si>
    <t xml:space="preserve">ARMACAO VERTICAL COM HASTE E CONTRA-PINO, EM CHAPA DE ACO GALVANIZADO 3/16", COM 1 ESTRIBO, SEM ISOLADOR                                                                                                                                                                                                                                                                                                                                                                                                  </t>
  </si>
  <si>
    <t xml:space="preserve">ARMACAO VERTICAL COM HASTE E CONTRA-PINO, EM CHAPA DE ACO GALVANIZADO 3/16", COM 2 ESTRIBOS, E 2 ISOLADORES                                                                                                                                                                                                                                                                                                                                                                                               </t>
  </si>
  <si>
    <t xml:space="preserve">ARMACAO VERTICAL COM HASTE E CONTRA-PINO, EM CHAPA DE ACO GALVANIZADO 3/16", COM 2 ESTRIBOS, SEM ISOLADOR                                                                                                                                                                                                                                                                                                                                                                                                 </t>
  </si>
  <si>
    <t xml:space="preserve">ARMACAO VERTICAL COM HASTE E CONTRA-PINO, EM CHAPA DE ACO GALVANIZADO 3/16", COM 3 ESTRIBOS E 3 ISOLADORES                                                                                                                                                                                                                                                                                                                                                                                                </t>
  </si>
  <si>
    <t>68,49</t>
  </si>
  <si>
    <t xml:space="preserve">ARMACAO VERTICAL COM HASTE E CONTRA-PINO, EM CHAPA DE ACO GALVANIZADO 3/16", COM 3 ESTRIBOS, SEM ISOLADOR                                                                                                                                                                                                                                                                                                                                                                                                 </t>
  </si>
  <si>
    <t>49,04</t>
  </si>
  <si>
    <t xml:space="preserve">ARMACAO VERTICAL COM HASTE E CONTRA-PINO, EM CHAPA DE ACO GALVANIZADO 3/16", COM 4 ESTRIBOS E 4 ISOLADORES                                                                                                                                                                                                                                                                                                                                                                                                </t>
  </si>
  <si>
    <t>88,25</t>
  </si>
  <si>
    <t xml:space="preserve">ARMACAO VERTICAL COM HASTE E CONTRA-PINO, EM CHAPA DE ACO GALVANIZADO 3/16", COM 4 ESTRIBOS, SEM ISOLADOR                                                                                                                                                                                                                                                                                                                                                                                                 </t>
  </si>
  <si>
    <t>74,92</t>
  </si>
  <si>
    <t xml:space="preserve">ARMADOR                                                                                                                                                                                                                                                                                                                                                                                                                                                                                                   </t>
  </si>
  <si>
    <t xml:space="preserve">ARMADOR (MENSALISTA)                                                                                                                                                                                                                                                                                                                                                                                                                                                                                      </t>
  </si>
  <si>
    <t>3.289,89</t>
  </si>
  <si>
    <t xml:space="preserve">ARQUITETO JUNIOR                                                                                                                                                                                                                                                                                                                                                                                                                                                                                          </t>
  </si>
  <si>
    <t>67,69</t>
  </si>
  <si>
    <t xml:space="preserve">ARQUITETO JUNIOR (MENSALISTA)                                                                                                                                                                                                                                                                                                                                                                                                                                                                             </t>
  </si>
  <si>
    <t>11.900,91</t>
  </si>
  <si>
    <t xml:space="preserve">ARQUITETO PAISAGISTA                                                                                                                                                                                                                                                                                                                                                                                                                                                                                      </t>
  </si>
  <si>
    <t>70,65</t>
  </si>
  <si>
    <t xml:space="preserve">ARQUITETO PAISAGISTA (MENSALISTA)                                                                                                                                                                                                                                                                                                                                                                                                                                                                         </t>
  </si>
  <si>
    <t>12.419,11</t>
  </si>
  <si>
    <t xml:space="preserve">ARQUITETO PLENO                                                                                                                                                                                                                                                                                                                                                                                                                                                                                           </t>
  </si>
  <si>
    <t>96,16</t>
  </si>
  <si>
    <t xml:space="preserve">ARQUITETO PLENO (MENSALISTA)                                                                                                                                                                                                                                                                                                                                                                                                                                                                              </t>
  </si>
  <si>
    <t>16.904,24</t>
  </si>
  <si>
    <t xml:space="preserve">ARQUITETO SENIOR                                                                                                                                                                                                                                                                                                                                                                                                                                                                                          </t>
  </si>
  <si>
    <t>127,13</t>
  </si>
  <si>
    <t xml:space="preserve">ARQUITETO SENIOR (MENSALISTA)                                                                                                                                                                                                                                                                                                                                                                                                                                                                             </t>
  </si>
  <si>
    <t>22.348,91</t>
  </si>
  <si>
    <t xml:space="preserve">ARRUELA  EM ACO GALVANIZADO, DIAMETRO EXTERNO = 35MM, ESPESSURA = 3MM, DIAMETRO DO FURO= 18MM                                                                                                                                                                                                                                                                                                                                                                                                             </t>
  </si>
  <si>
    <t xml:space="preserve">ARRUELA EM ALUMINIO, COM ROSCA, DE  1 1/4", PARA ELETRODUTO                                                                                                                                                                                                                                                                                                                                                                                                                                               </t>
  </si>
  <si>
    <t xml:space="preserve">ARRUELA EM ALUMINIO, COM ROSCA, DE 1 1/2", PARA ELETRODUTO                                                                                                                                                                                                                                                                                                                                                                                                                                                </t>
  </si>
  <si>
    <t xml:space="preserve">ARRUELA EM ALUMINIO, COM ROSCA, DE 1/2", PARA ELETRODUTO                                                                                                                                                                                                                                                                                                                                                                                                                                                  </t>
  </si>
  <si>
    <t xml:space="preserve">ARRUELA EM ALUMINIO, COM ROSCA, DE 1", PARA ELETRODUTO                                                                                                                                                                                                                                                                                                                                                                                                                                                    </t>
  </si>
  <si>
    <t xml:space="preserve">ARRUELA EM ALUMINIO, COM ROSCA, DE 2 1/2", PARA ELETRODUTO                                                                                                                                                                                                                                                                                                                                                                                                                                                </t>
  </si>
  <si>
    <t xml:space="preserve">ARRUELA EM ALUMINIO, COM ROSCA, DE 2", PARA ELETRODUTO                                                                                                                                                                                                                                                                                                                                                                                                                                                    </t>
  </si>
  <si>
    <t>2,43</t>
  </si>
  <si>
    <t xml:space="preserve">ARRUELA EM ALUMINIO, COM ROSCA, DE 3/4", PARA ELETRODUTO                                                                                                                                                                                                                                                                                                                                                                                                                                                  </t>
  </si>
  <si>
    <t xml:space="preserve">ARRUELA EM ALUMINIO, COM ROSCA, DE 3/8", PARA ELETRODUTO                                                                                                                                                                                                                                                                                                                                                                                                                                                  </t>
  </si>
  <si>
    <t xml:space="preserve">ARRUELA EM ALUMINIO, COM ROSCA, DE 3", PARA ELETRODUTO                                                                                                                                                                                                                                                                                                                                                                                                                                                    </t>
  </si>
  <si>
    <t xml:space="preserve">ARRUELA EM ALUMINIO, COM ROSCA, DE 4", PARA ELETRODUTO                                                                                                                                                                                                                                                                                                                                                                                                                                                    </t>
  </si>
  <si>
    <t xml:space="preserve">ARRUELA LISA, REDONDA, DE LATAO POLIDO, DIAMETRO NOMINAL 5/8", DIAMETRO EXTERNO = 34 MM, DIAMETRO DO FURO = 17 MM, ESPESSURA = *2,5* MM                                                                                                                                                                                                                                                                                                                                                                   </t>
  </si>
  <si>
    <t xml:space="preserve">ARRUELA QUADRADA EM ACO GALVANIZADO, DIMENSAO = 38 MM, ESPESSURA = 3MM, DIAMETRO DO FURO= 18 MM                                                                                                                                                                                                                                                                                                                                                                                                           </t>
  </si>
  <si>
    <t xml:space="preserve">ASFALTO MODIFICADO TIPO I - NBR 9910 (ASFALTO OXIDADO PARA IMPERMEABILIZACAO, COEFICIENTE DE PENETRACAO 25-40)                                                                                                                                                                                                                                                                                                                                                                                            </t>
  </si>
  <si>
    <t xml:space="preserve">ASFALTO MODIFICADO TIPO II - NBR 9910 (ASFALTO OXIDADO PARA IMPERMEABILIZACAO, COEFICIENTE DE PENETRACAO 20-35)                                                                                                                                                                                                                                                                                                                                                                                           </t>
  </si>
  <si>
    <t xml:space="preserve">ASFALTO MODIFICADO TIPO III - NBR 9910 (ASFALTO OXIDADO PARA IMPERMEABILIZACAO, COEFICIENTE DE PENETRACAO 15-25)                                                                                                                                                                                                                                                                                                                                                                                          </t>
  </si>
  <si>
    <t xml:space="preserve">ASSENTADOR DE MANILHAS                                                                                                                                                                                                                                                                                                                                                                                                                                                                                    </t>
  </si>
  <si>
    <t>22,76</t>
  </si>
  <si>
    <t xml:space="preserve">ASSENTADOR DE MANILHAS (MENSALISTA)                                                                                                                                                                                                                                                                                                                                                                                                                                                                       </t>
  </si>
  <si>
    <t>4.000,77</t>
  </si>
  <si>
    <t xml:space="preserve">ASSENTO  VASO SANITARIO INFANTIL EM PLASTICO BRANCO                                                                                                                                                                                                                                                                                                                                                                                                                                                       </t>
  </si>
  <si>
    <t xml:space="preserve">ASSENTO SANITARIO DE PLASTICO, TIPO CONVENCIONAL                                                                                                                                                                                                                                                                                                                                                                                                                                                          </t>
  </si>
  <si>
    <t xml:space="preserve">AUTOMATICO DE BOIA SUPERIOR / INFERIOR, *15* A / 250 V                                                                                                                                                                                                                                                                                                                                                                                                                                                    </t>
  </si>
  <si>
    <t>42,00</t>
  </si>
  <si>
    <t xml:space="preserve">AUXILIAR  DE ALMOXARIFE                                                                                                                                                                                                                                                                                                                                                                                                                                                                                   </t>
  </si>
  <si>
    <t xml:space="preserve">AUXILIAR DE ALMOXARIFE (MENSALISTA)                                                                                                                                                                                                                                                                                                                                                                                                                                                                       </t>
  </si>
  <si>
    <t>3.370,86</t>
  </si>
  <si>
    <t xml:space="preserve">AUXILIAR DE AZULEJISTA                                                                                                                                                                                                                                                                                                                                                                                                                                                                                    </t>
  </si>
  <si>
    <t xml:space="preserve">AUXILIAR DE AZULEJISTA (MENSALISTA)                                                                                                                                                                                                                                                                                                                                                                                                                                                                       </t>
  </si>
  <si>
    <t>2.398,19</t>
  </si>
  <si>
    <t xml:space="preserve">AUXILIAR DE ENCANADOR OU BOMBEIRO HIDRAULICO                                                                                                                                                                                                                                                                                                                                                                                                                                                              </t>
  </si>
  <si>
    <t xml:space="preserve">AUXILIAR DE ENCANADOR OU BOMBEIRO HIDRAULICO (MENSALISTA)                                                                                                                                                                                                                                                                                                                                                                                                                                                 </t>
  </si>
  <si>
    <t>2.001,20</t>
  </si>
  <si>
    <t xml:space="preserve">AUXILIAR DE ESCRITORIO                                                                                                                                                                                                                                                                                                                                                                                                                                                                                    </t>
  </si>
  <si>
    <t xml:space="preserve">AUXILIAR DE ESCRITORIO (MENSALISTA)                                                                                                                                                                                                                                                                                                                                                                                                                                                                       </t>
  </si>
  <si>
    <t>3.232,69</t>
  </si>
  <si>
    <t xml:space="preserve">AUXILIAR DE LABORATORISTA DE SOLOS E DE CONCRETO                                                                                                                                                                                                                                                                                                                                                                                                                                                          </t>
  </si>
  <si>
    <t xml:space="preserve">AUXILIAR DE LABORATORISTA DE SOLOS E DE CONCRETO (MENSALISTA)                                                                                                                                                                                                                                                                                                                                                                                                                                             </t>
  </si>
  <si>
    <t>4.505,18</t>
  </si>
  <si>
    <t xml:space="preserve">AUXILIAR DE MECANICO                                                                                                                                                                                                                                                                                                                                                                                                                                                                                      </t>
  </si>
  <si>
    <t xml:space="preserve">AUXILIAR DE MECANICO (MENSALISTA)                                                                                                                                                                                                                                                                                                                                                                                                                                                                         </t>
  </si>
  <si>
    <t>2.746,25</t>
  </si>
  <si>
    <t xml:space="preserve">AUXILIAR DE PEDREIRO                                                                                                                                                                                                                                                                                                                                                                                                                                                                                      </t>
  </si>
  <si>
    <t xml:space="preserve">AUXILIAR DE PEDREIRO (MENSALISTA)                                                                                                                                                                                                                                                                                                                                                                                                                                                                         </t>
  </si>
  <si>
    <t>2.051,02</t>
  </si>
  <si>
    <t xml:space="preserve">AUXILIAR DE SERVICOS GERAIS                                                                                                                                                                                                                                                                                                                                                                                                                                                                               </t>
  </si>
  <si>
    <t xml:space="preserve">AUXILIAR DE SERVICOS GERAIS (MENSALISTA)                                                                                                                                                                                                                                                                                                                                                                                                                                                                  </t>
  </si>
  <si>
    <t>2.233,09</t>
  </si>
  <si>
    <t xml:space="preserve">AUXILIAR DE TOPOGRAFO                                                                                                                                                                                                                                                                                                                                                                                                                                                                                     </t>
  </si>
  <si>
    <t xml:space="preserve">AUXILIAR DE TOPOGRAFO (MENSALISTA)                                                                                                                                                                                                                                                                                                                                                                                                                                                                        </t>
  </si>
  <si>
    <t>2.090,30</t>
  </si>
  <si>
    <t xml:space="preserve">AUXILIAR TECNICO / ASSISTENTE DE ENGENHARIA                                                                                                                                                                                                                                                                                                                                                                                                                                                               </t>
  </si>
  <si>
    <t xml:space="preserve">AUXILIAR TECNICO / ASSISTENTE DE ENGENHARIA (MENSALISTA)                                                                                                                                                                                                                                                                                                                                                                                                                                                  </t>
  </si>
  <si>
    <t>6.135,13</t>
  </si>
  <si>
    <t xml:space="preserve">AVENTAL DE SEGURANCA DE RASPA DE COURO 1,00 X 0,60 M                                                                                                                                                                                                                                                                                                                                                                                                                                                      </t>
  </si>
  <si>
    <t xml:space="preserve">AZULEJISTA OU LADRILHEIRO                                                                                                                                                                                                                                                                                                                                                                                                                                                                                 </t>
  </si>
  <si>
    <t xml:space="preserve">AZULEJISTA OU LADRILHEIRO (MENSALISTA)                                                                                                                                                                                                                                                                                                                                                                                                                                                                    </t>
  </si>
  <si>
    <t>3.457,98</t>
  </si>
  <si>
    <t xml:space="preserve">BACIA SANITARIA (VASO) COM CAIXA ACOPLADA, SIFAO APARENTE, DE LOUCA BRANCA (SEM ASSENTO)                                                                                                                                                                                                                                                                                                                                                                                                                  </t>
  </si>
  <si>
    <t>261,50</t>
  </si>
  <si>
    <t xml:space="preserve">BACIA SANITARIA (VASO) COM CAIXA ACOPLADA, SIFAO OCULTO / CARENADO, DE LOUCA BRANCA (SEM ASSENTO ) - PADRAO ALTO                                                                                                                                                                                                                                                                                                                                                                                          </t>
  </si>
  <si>
    <t xml:space="preserve">BACIA SANITARIA (VASO) CONVENCIONAL PARA PCD, SEM FURO FRONTAL, DE LOUCA BRANCA (SEM ASSENTO)                                                                                                                                                                                                                                                                                                                                                                                                             </t>
  </si>
  <si>
    <t>440,13</t>
  </si>
  <si>
    <t xml:space="preserve">BACIA SANITARIA (VASO) CONVENCIONAL PARA USO ESPECIFICO (HOSPITAIS, CLINICAS), COM FURO FRONTAL, DE LOUCA BRANCA, SEM ASSENTO                                                                                                                                                                                                                                                                                                                                                                             </t>
  </si>
  <si>
    <t>394,38</t>
  </si>
  <si>
    <t xml:space="preserve">BACIA SANITARIA (VASO) CONVENCIONAL, DE LOUCA BRANCA, SIFAO APARENTE, SAIDA VERTICAL (SEM ASSENTO)                                                                                                                                                                                                                                                                                                                                                                                                        </t>
  </si>
  <si>
    <t>139,90</t>
  </si>
  <si>
    <t xml:space="preserve">BACIA SANITARIA (VASO) CONVENCIONAL, DE LOUCA COLORIDA, SIFAO APARENTE, SAIDA VERTICAL (SEM ASSENTO)                                                                                                                                                                                                                                                                                                                                                                                                      </t>
  </si>
  <si>
    <t xml:space="preserve">BACIA SANITARIA (VASO) INFANTIL, SIFONADO, DE LOUCA BRANCA, (SEM ASSENTO)                                                                                                                                                                                                                                                                                                                                                                                                                                 </t>
  </si>
  <si>
    <t>309,98</t>
  </si>
  <si>
    <t xml:space="preserve">BALDE PLASTICO CAPACIDADE *10* L                                                                                                                                                                                                                                                                                                                                                                                                                                                                          </t>
  </si>
  <si>
    <t xml:space="preserve">BALDE VERMELHO PARA SINALIZACAO DE VIAS                                                                                                                                                                                                                                                                                                                                                                                                                                                                   </t>
  </si>
  <si>
    <t xml:space="preserve">BANCADA DE MARMORE SINTETICO COM UMA CUBA, 120 X *60* CM                                                                                                                                                                                                                                                                                                                                                                                                                                                  </t>
  </si>
  <si>
    <t xml:space="preserve">BANCADA DE MARMORE SINTETICO COM UMA CUBA, 150 X *60* CM                                                                                                                                                                                                                                                                                                                                                                                                                                                  </t>
  </si>
  <si>
    <t xml:space="preserve">BANCADA DE MARMORE SINTETICO COM UMA CUBA, 200 X *60* CM                                                                                                                                                                                                                                                                                                                                                                                                                                                  </t>
  </si>
  <si>
    <t xml:space="preserve">BANCADA/ BANCA EM GRANITO, POLIDO, TIPO ANDORINHA/ QUARTZ/ CASTELO/ CORUMBA OU OUTROS EQUIVALENTES DA REGIAO, COM CUBA INOX, FORMATO *120 X 60* CM, E=  *2* CM                                                                                                                                                                                                                                                                                                                                            </t>
  </si>
  <si>
    <t xml:space="preserve">BANCADA/ BANCA EM MARMORE, POLIDO, BRANCO COMUM, E=  *3* CM                                                                                                                                                                                                                                                                                                                                                                                                                                               </t>
  </si>
  <si>
    <t xml:space="preserve">BANCADA/BANCA/PIA DE ACO INOXIDAVEL (AISI 430) COM 1 CUBA CENTRAL, COM VALVULA, ESCORREDOR DUPLO, DE *0,55 X 1,20* M                                                                                                                                                                                                                                                                                                                                                                                      </t>
  </si>
  <si>
    <t xml:space="preserve">BANCADA/BANCA/PIA DE ACO INOXIDAVEL (AISI 430) COM 1 CUBA CENTRAL, COM VALVULA, ESCORREDOR DUPLO, DE *0,55 X 1,40* M                                                                                                                                                                                                                                                                                                                                                                                      </t>
  </si>
  <si>
    <t>297,86</t>
  </si>
  <si>
    <t xml:space="preserve">BANCADA/BANCA/PIA DE ACO INOXIDAVEL (AISI 430) COM 1 CUBA CENTRAL, COM VALVULA, ESCORREDOR DUPLO, DE *0,55 X 1,80* M                                                                                                                                                                                                                                                                                                                                                                                      </t>
  </si>
  <si>
    <t>431,55</t>
  </si>
  <si>
    <t xml:space="preserve">BANCADA/BANCA/PIA DE ACO INOXIDAVEL (AISI 430) COM 1 CUBA CENTRAL, COM VALVULA, LISA (SEM ESCORREDOR), DE *0,55 X 1,20* M                                                                                                                                                                                                                                                                                                                                                                                 </t>
  </si>
  <si>
    <t>218,96</t>
  </si>
  <si>
    <t xml:space="preserve">BANCADA/BANCA/PIA DE ACO INOXIDAVEL (AISI 430) COM 1 CUBA CENTRAL, SEM VALVULA, ESCORREDOR DUPLO, DE *0,55 X 1,60* M                                                                                                                                                                                                                                                                                                                                                                                      </t>
  </si>
  <si>
    <t>260,37</t>
  </si>
  <si>
    <t xml:space="preserve">BANCADA/BANCA/PIA DE ACO INOXIDAVEL (AISI 430) COM 2 CUBAS, COM VALVULAS, ESCORREDOR DUPLO, DE *0,55 X 2,00* M                                                                                                                                                                                                                                                                                                                                                                                            </t>
  </si>
  <si>
    <t>608,45</t>
  </si>
  <si>
    <t xml:space="preserve">BANCADA/TAMPO ACO INOX (AISI 304), LARGURA 60 CM, COM RODABANCA (NAO INCLUI PES DE APOIO)                                                                                                                                                                                                                                                                                                                                                                                                                 </t>
  </si>
  <si>
    <t>969,45</t>
  </si>
  <si>
    <t xml:space="preserve">BANCADA/TAMPO ACO INOX (AISI 304), LARGURA 70 CM, COM RODABANCA (NAO INCLUI PES DE APOIO)                                                                                                                                                                                                                                                                                                                                                                                                                 </t>
  </si>
  <si>
    <t>1.214,66</t>
  </si>
  <si>
    <t xml:space="preserve">BANCADA/TAMPO LISO (SEM CUBA) EM MARMORE SINTETICO                                                                                                                                                                                                                                                                                                                                                                                                                                                        </t>
  </si>
  <si>
    <t xml:space="preserve">BANCO ARTICULADO PARA BANHO, EM ACO INOX POLIDO, 70* CM X 45* CM                                                                                                                                                                                                                                                                                                                                                                                                                                          </t>
  </si>
  <si>
    <t>746,78</t>
  </si>
  <si>
    <t xml:space="preserve">BANCO COM ENCOSTO, 1,60M* DE COMPRIMENTO, EM TUBO DE ACO CARBONO E PINTURA NO PROCESSO ELETROSTATICO - PARA ACADEMIA AO AR LIVRE / ACADEMIA DA TERCEIRA IDADE - ATI                                                                                                                                                                                                                                                                                                                                       </t>
  </si>
  <si>
    <t>925,43</t>
  </si>
  <si>
    <t xml:space="preserve">BANDEJA DE PINTURA PARA ROLO 23 CM                                                                                                                                                                                                                                                                                                                                                                                                                                                                        </t>
  </si>
  <si>
    <t xml:space="preserve">BARRA ANTIPANICO DUPLA, CEGA EM LADO OPOSTO, COR CINZA                                                                                                                                                                                                                                                                                                                                                                                                                                                    </t>
  </si>
  <si>
    <t>803,61</t>
  </si>
  <si>
    <t xml:space="preserve">BARRA ANTIPANICO DUPLA, PARA PORTA DE VIDRO, COR CINZA                                                                                                                                                                                                                                                                                                                                                                                                                                                    </t>
  </si>
  <si>
    <t>886,46</t>
  </si>
  <si>
    <t xml:space="preserve">BARRA ANTIPANICO SIMPLES, CEGA EM LADO OPOSTO, COR CINZA                                                                                                                                                                                                                                                                                                                                                                                                                                                  </t>
  </si>
  <si>
    <t>358,21</t>
  </si>
  <si>
    <t xml:space="preserve">BARRA ANTIPANICO SIMPLES, COM FECHADURA LADO OPOSTO, COR CINZA                                                                                                                                                                                                                                                                                                                                                                                                                                            </t>
  </si>
  <si>
    <t>547,09</t>
  </si>
  <si>
    <t xml:space="preserve">BARRA ANTIPANICO SIMPLES, PARA PORTA DE VIDRO, COR CINZA                                                                                                                                                                                                                                                                                                                                                                                                                                                  </t>
  </si>
  <si>
    <t>585,98</t>
  </si>
  <si>
    <t xml:space="preserve">BARRA DE APOIO EM "L", EM ACO INOX POLIDO 70 X 70 CM, DIAMETRO MINIMO 3 CM                                                                                                                                                                                                                                                                                                                                                                                                                                </t>
  </si>
  <si>
    <t>330,77</t>
  </si>
  <si>
    <t xml:space="preserve">BARRA DE APOIO EM "L", EM ACO INOX POLIDO 80 X 80 CM, DIAMETRO MINIMO 3 CM                                                                                                                                                                                                                                                                                                                                                                                                                                </t>
  </si>
  <si>
    <t>379,61</t>
  </si>
  <si>
    <t xml:space="preserve">BARRA DE APOIO LATERAL ARTICULADA, COM TRAVA, EM ACO INOX POLIDO, 70 CM, DIAMETRO MINIMO 3 CM                                                                                                                                                                                                                                                                                                                                                                                                             </t>
  </si>
  <si>
    <t>410,73</t>
  </si>
  <si>
    <t xml:space="preserve">BARRA DE APOIO RETA, EM ACO INOX POLIDO, COMPRIMENTO 60CM, DIAMETRO MINIMO 3 CM                                                                                                                                                                                                                                                                                                                                                                                                                           </t>
  </si>
  <si>
    <t>145,63</t>
  </si>
  <si>
    <t xml:space="preserve">BARRA DE APOIO RETA, EM ACO INOX POLIDO, COMPRIMENTO 70CM, DIAMETRO MINIMO 3 CM                                                                                                                                                                                                                                                                                                                                                                                                                           </t>
  </si>
  <si>
    <t>161,73</t>
  </si>
  <si>
    <t xml:space="preserve">BARRA DE APOIO RETA, EM ACO INOX POLIDO, COMPRIMENTO 80CM, DIAMETRO MINIMO 3 CM                                                                                                                                                                                                                                                                                                                                                                                                                           </t>
  </si>
  <si>
    <t>172,45</t>
  </si>
  <si>
    <t xml:space="preserve">BARRA DE APOIO RETA, EM ACO INOX POLIDO, COMPRIMENTO 90 CM, DIAMETRO MINIMO 3 CM                                                                                                                                                                                                                                                                                                                                                                                                                          </t>
  </si>
  <si>
    <t>180,67</t>
  </si>
  <si>
    <t xml:space="preserve">BARRA DE APOIO RETA, EM ALUMINIO, COMPRIMENTO 60CM, DIAMETRO MINIMO 3 CM                                                                                                                                                                                                                                                                                                                                                                                                                                  </t>
  </si>
  <si>
    <t xml:space="preserve">BARRA DE APOIO RETA, EM ALUMINIO, COMPRIMENTO 70CM, DIAMETRO MINIMO 3 CM                                                                                                                                                                                                                                                                                                                                                                                                                                  </t>
  </si>
  <si>
    <t xml:space="preserve">BARRA DE APOIO RETA, EM ALUMINIO, COMPRIMENTO 80 CM, DIAMETRO MINIMO 3 CM                                                                                                                                                                                                                                                                                                                                                                                                                                 </t>
  </si>
  <si>
    <t xml:space="preserve">BARRA DE APOIO RETA, EM ALUMINIO, COMPRIMENTO 90 CM, DIAMETRO MINIMO 3 CM                                                                                                                                                                                                                                                                                                                                                                                                                                 </t>
  </si>
  <si>
    <t xml:space="preserve">BARRA DE FERRO CHATA, RETANGULAR (QUALQUER BITOLA)                                                                                                                                                                                                                                                                                                                                                                                                                                                        </t>
  </si>
  <si>
    <t xml:space="preserve">BARRA DE FERRO CHATO, RETANGULAR, 19,05 MM X 3,17 MM (L X E), 0,47 KG/M                                                                                                                                                                                                                                                                                                                                                                                                                                   </t>
  </si>
  <si>
    <t xml:space="preserve">BARRA DE FERRO CHATO, RETANGULAR, 25,4 MM X 4,76 MM (L X E), 1,73 KG/M                                                                                                                                                                                                                                                                                                                                                                                                                                    </t>
  </si>
  <si>
    <t xml:space="preserve">BARRA DE FERRO CHATO, RETANGULAR, 25,4 MM X 6,35 MM (L X E), 1,2265 KG/M                                                                                                                                                                                                                                                                                                                                                                                                                                  </t>
  </si>
  <si>
    <t xml:space="preserve">BARRA DE FERRO CHATO, RETANGULAR, 38,1 MM X 12,7 MM (L X E), 3,79 KG/M                                                                                                                                                                                                                                                                                                                                                                                                                                    </t>
  </si>
  <si>
    <t xml:space="preserve">BARRA DE FERRO CHATO, RETANGULAR, 38,1 MM X 6,35 MM (L X E), 1,89 KG/M                                                                                                                                                                                                                                                                                                                                                                                                                                    </t>
  </si>
  <si>
    <t xml:space="preserve">BARRA DE FERRO CHATO, RETANGULAR, 38,1 MM X 9,53 MM (L X E), 2,84 KG/M                                                                                                                                                                                                                                                                                                                                                                                                                                    </t>
  </si>
  <si>
    <t xml:space="preserve">BARRA DE FERRO CHATO, RETANGULAR, 50,8 MM X 12,7 MM (L X E), 5,06 KG/M                                                                                                                                                                                                                                                                                                                                                                                                                                    </t>
  </si>
  <si>
    <t xml:space="preserve">BARRA DE FERRO CHATO, RETANGULAR, 50,8 MM X 25,4 MM (L X E), 10,12 KG/M                                                                                                                                                                                                                                                                                                                                                                                                                                   </t>
  </si>
  <si>
    <t xml:space="preserve">BARRA DE FERRO CHATO, RETANGULAR, 50,8 MM X 6,35 MM (L X E), 2,53 KG/M                                                                                                                                                                                                                                                                                                                                                                                                                                    </t>
  </si>
  <si>
    <t xml:space="preserve">BARRA DE FERRO CHATO, RETANGULAR, 50,8 MM X 7,94 MM (L X E), 3,162 KG/M                                                                                                                                                                                                                                                                                                                                                                                                                                   </t>
  </si>
  <si>
    <t xml:space="preserve">BARRA DE FERRO CHATO, RETANGULAR, 50,8 MM X 9,53 MM (L X E), 3,79KG/M                                                                                                                                                                                                                                                                                                                                                                                                                                     </t>
  </si>
  <si>
    <t xml:space="preserve">BASE DE MISTURADOR MONOCOMANDO PARA CHUVEIRO                                                                                                                                                                                                                                                                                                                                                                                                                                                              </t>
  </si>
  <si>
    <t>394,70</t>
  </si>
  <si>
    <t xml:space="preserve">BASE PARA MASTRO DE PARA-RAIOS DIAMETRO NOMINAL 1 1/2"                                                                                                                                                                                                                                                                                                                                                                                                                                                    </t>
  </si>
  <si>
    <t xml:space="preserve">BASE PARA MASTRO DE PARA-RAIOS DIAMETRO NOMINAL 2"                                                                                                                                                                                                                                                                                                                                                                                                                                                        </t>
  </si>
  <si>
    <t>38,54</t>
  </si>
  <si>
    <t xml:space="preserve">BASE PARA RELE COM SUPORTE METALICO                                                                                                                                                                                                                                                                                                                                                                                                                                                                       </t>
  </si>
  <si>
    <t xml:space="preserve">BASE UNIPOLAR PARA FUSIVEL NH1, CORRENTE NOMINAL DE 250 A, SEM CAPA                                                                                                                                                                                                                                                                                                                                                                                                                                       </t>
  </si>
  <si>
    <t>61,29</t>
  </si>
  <si>
    <t xml:space="preserve">BATE-ESTACAS POR GRAVIDADE, POTENCIA160 HP, PESO DO MARTELO ATE 3 TONELADAS                                                                                                                                                                                                                                                                                                                                                                                                                               </t>
  </si>
  <si>
    <t>533.781,25</t>
  </si>
  <si>
    <t xml:space="preserve">BATENTE / PORTAL / ADUELA / MARCO EM MADEIRA MACICA COM REBAIXO, E = *3* CM, L = *14* CM, PARA PORTAS DE  GIRO DE *60 CM A 120* CM  X *210* CM, CEDRINHO / ANGELIM COMERCIAL / TAURI / CURUPIXA / PEROBA / CUMARU OU EQUIVALENTE DA REGIAO (NAO INCLUI ALIZARES)                                                                                                                                                                                                                                          </t>
  </si>
  <si>
    <t xml:space="preserve">BATENTE / PORTAL / ADUELA / MARCO EM MADEIRA MACICA COM REBAIXO, E = *3* CM, L = *14* CM, PARA PORTAS DE  GIRO DE *60 CM A 120* CM  X *210* CM, PINUS / EUCALIPTO / VIROLA OU EQUIVALENTE DA REGIAO (NAO INCLUI ALIZARES)                                                                                                                                                                                                                                                                                 </t>
  </si>
  <si>
    <t>114,73</t>
  </si>
  <si>
    <t xml:space="preserve">BATENTE / PORTAL / ADUELA / MARCO EM MADEIRA MACICA COM REBAIXO, E = *3* CM, L = *16* CM, PARA PORTAS DE  GIRO DE *60 CM A 120* CM  X *210* CM, CEDRINHO / ANGELIM COMERCIAL / TAURI / CURUPIXA / PEROBA / CUMARU OU EQUIVALENTE DA REGIAO (NAO INCLUI ALIZARES)                                                                                                                                                                                                                                          </t>
  </si>
  <si>
    <t>247,39</t>
  </si>
  <si>
    <t xml:space="preserve">BATENTE / PORTAL / ADUELA / MARCO EM MADEIRA MACICA COM REBAIXO, E = *3* CM, L = *16* CM, PARA PORTAS DE  GIRO DE *60 CM A 120* CM  X *210* CM, PINUS / EUCALIPTO / VIROLA OU EQUIVALENTE DA REGIAO (NAO INCLUI ALIZARES)                                                                                                                                                                                                                                                                                 </t>
  </si>
  <si>
    <t>143,41</t>
  </si>
  <si>
    <t xml:space="preserve">BATENTE/PORTAL/ADUELA/MARCO, EM MDF/PVC WOOD/POLIESTIRENO OU MADEIRA LAMINADA, L = *9,0* CM COM GUARNICAO REGULAVEL 2 FACES = *35* MM, PRIMER                                                                                                                                                                                                                                                                                                                                                             </t>
  </si>
  <si>
    <t xml:space="preserve">BETONEIRA CAPACIDADE NOMINAL 400 L, CAPACIDADE DE MISTURA  280 L, MOTOR ELETRICO TRIFASICO 220/380 V POTENCIA 2 CV, SEM CARREGADOR                                                                                                                                                                                                                                                                                                                                                                        </t>
  </si>
  <si>
    <t>4.722,06</t>
  </si>
  <si>
    <t xml:space="preserve">BETONEIRA CAPACIDADE NOMINAL 400 L, CAPACIDADE DE MISTURA 310 L, MOTOR A DIESEL POTENCIA 5 CV, SEM CARREGADOR                                                                                                                                                                                                                                                                                                                                                                                             </t>
  </si>
  <si>
    <t>6.439,60</t>
  </si>
  <si>
    <t xml:space="preserve">BETONEIRA CAPACIDADE NOMINAL 400 L, CAPACIDADE DE MISTURA 310 L, MOTOR A GASOLINA POTENCIA 5,5 CV, SEM CARREGADOR                                                                                                                                                                                                                                                                                                                                                                                         </t>
  </si>
  <si>
    <t>5.906,57</t>
  </si>
  <si>
    <t xml:space="preserve">BETONEIRA CAPACIDADE NOMINAL 600 L, CAPACIDADE DE MISTURA 440 L, MOTOR A GASOLINA POTENCIA 10 HP, COM CARREGADOR                                                                                                                                                                                                                                                                                                                                                                                          </t>
  </si>
  <si>
    <t>25.691,20</t>
  </si>
  <si>
    <t xml:space="preserve">BETONEIRA, CAPACIDADE NOMINAL 400 L, CAPACIDADE DE MISTURA 310L, MOTOR ELETRICO TRIFASICO 220/380V POTENCIA 2 CV, SEM CARREGADOR                                                                                                                                                                                                                                                                                                                                                                          </t>
  </si>
  <si>
    <t>5.402,35</t>
  </si>
  <si>
    <t xml:space="preserve">BETONEIRA, CAPACIDADE NOMINAL 600 L, CAPACIDADE DE MISTURA  360L, MOTOR ELETRICO TRIFASICO 220/380V, POTENCIA 4CV, EXCLUSO CARREGADOR                                                                                                                                                                                                                                                                                                                                                                     </t>
  </si>
  <si>
    <t>19.208,37</t>
  </si>
  <si>
    <t xml:space="preserve">BETONEIRA, CAPACIDADE NOMINAL 600 L, CAPACIDADE DE MISTURA 440 L, MOTOR A DIESEL POTENCIA 10 CV, COM CARREGADOR                                                                                                                                                                                                                                                                                                                                                                                           </t>
  </si>
  <si>
    <t>23.346,18</t>
  </si>
  <si>
    <t xml:space="preserve">BLASTER, DINAMITADOR OU CABO DE FOGO                                                                                                                                                                                                                                                                                                                                                                                                                                                                      </t>
  </si>
  <si>
    <t xml:space="preserve">BLASTER, DINAMITADOR OU CABO DE FOGO (MENSALISTA)                                                                                                                                                                                                                                                                                                                                                                                                                                                         </t>
  </si>
  <si>
    <t>3.641,32</t>
  </si>
  <si>
    <t xml:space="preserve">BLOCO / TIJOLO DE VIDRO INCOLOR, CANELADO / ONDULADO, *19 X 19 X 8* CM (A X L X E)                                                                                                                                                                                                                                                                                                                                                                                                                        </t>
  </si>
  <si>
    <t xml:space="preserve">BLOCO / TIJOLO DE VIDRO INCOLOR, XADREZ, *20 X 20 X 10* CM (A X L X E)                                                                                                                                                                                                                                                                                                                                                                                                                                    </t>
  </si>
  <si>
    <t xml:space="preserve">BLOCO CERAMICO DE VEDACAO COM FUROS NA HORIZONTAL, 11,5 X 19 X 19 CM - 4,5 MPA (NBR 15270)                                                                                                                                                                                                                                                                                                                                                                                                                </t>
  </si>
  <si>
    <t xml:space="preserve">BLOCO CERAMICO DE VEDACAO COM FUROS NA VERTICAL, 14 X 19 X 39 CM - 4,5 MPA (NBR 15270)                                                                                                                                                                                                                                                                                                                                                                                                                    </t>
  </si>
  <si>
    <t xml:space="preserve">BLOCO CERAMICO DE VEDACAO COM FUROS NA VERTICAL, 19 X 19 X 39 CM - 4,5 MPA (NBR 15270)                                                                                                                                                                                                                                                                                                                                                                                                                    </t>
  </si>
  <si>
    <t xml:space="preserve">BLOCO CERAMICO DE VEDACAO COM FUROS NA VERTICAL, 9 X 19 X 39 CM - 4,5 MPA (NBR 15270)                                                                                                                                                                                                                                                                                                                                                                                                                     </t>
  </si>
  <si>
    <t xml:space="preserve">BLOCO CERAMICO VAZADO PARA ALVENARIA DE VEDACAO, DE 9 X 19 X 19 CM (L X A X C)                                                                                                                                                                                                                                                                                                                                                                                                                            </t>
  </si>
  <si>
    <t xml:space="preserve">BLOCO CERAMICO VAZADO PARA ALVENARIA DE VEDACAO, 4 FUROS, DE 9 X 9 X 19 CM (L X A X C)                                                                                                                                                                                                                                                                                                                                                                                                                    </t>
  </si>
  <si>
    <t xml:space="preserve">BLOCO CERAMICO VAZADO PARA ALVENARIA DE VEDACAO, 6 FUROS, DE 9 X 14 X 19 CM (L X A X C)                                                                                                                                                                                                                                                                                                                                                                                                                   </t>
  </si>
  <si>
    <t xml:space="preserve">BLOCO CERAMICO VAZADO PARA ALVENARIA DE VEDACAO, 6 FUROS, DE 9 X 9 X 19 CM (L X A X C)                                                                                                                                                                                                                                                                                                                                                                                                                    </t>
  </si>
  <si>
    <t xml:space="preserve">BLOCO CERAMICO VAZADO PARA ALVENARIA DE VEDACAO, 8 FUROS, DE 9 X 19 X 19 CM (L XA X C)                                                                                                                                                                                                                                                                                                                                                                                                                    </t>
  </si>
  <si>
    <t xml:space="preserve">BLOCO CERAMICO VAZADO PARA ALVENARIA DE VEDACAO, 8 FUROS, DE 9 X 19 X 29 CM (L X A X C)                                                                                                                                                                                                                                                                                                                                                                                                                   </t>
  </si>
  <si>
    <t xml:space="preserve">BLOCO DE CONCRETO ESTRUTURAL 14 X 19 X 29 CM, FBK 10 MPA (NBR 6136)                                                                                                                                                                                                                                                                                                                                                                                                                                       </t>
  </si>
  <si>
    <t xml:space="preserve">BLOCO DE CONCRETO ESTRUTURAL 14 X 19 X 29 CM, FBK 12 MPA (NBR 6136)                                                                                                                                                                                                                                                                                                                                                                                                                                       </t>
  </si>
  <si>
    <t>3,39</t>
  </si>
  <si>
    <t xml:space="preserve">BLOCO DE CONCRETO ESTRUTURAL 14 X 19 X 29 CM, FBK 14 MPA (NBR 6136)                                                                                                                                                                                                                                                                                                                                                                                                                                       </t>
  </si>
  <si>
    <t xml:space="preserve">BLOCO DE CONCRETO ESTRUTURAL 14 X 19 X 29 CM, FBK 16 MPA (NBR 6136)                                                                                                                                                                                                                                                                                                                                                                                                                                       </t>
  </si>
  <si>
    <t>3,75</t>
  </si>
  <si>
    <t xml:space="preserve">BLOCO DE CONCRETO ESTRUTURAL 14 X 19 X 29 CM, FBK 4,5 MPA (NBR 6136)                                                                                                                                                                                                                                                                                                                                                                                                                                      </t>
  </si>
  <si>
    <t xml:space="preserve">BLOCO DE CONCRETO ESTRUTURAL 14 X 19 X 29 CM, FBK 6 MPA (NBR 6136)                                                                                                                                                                                                                                                                                                                                                                                                                                        </t>
  </si>
  <si>
    <t xml:space="preserve">BLOCO DE CONCRETO ESTRUTURAL 14 X 19 X 29 CM, FBK 8 MPA (NBR 6136)                                                                                                                                                                                                                                                                                                                                                                                                                                        </t>
  </si>
  <si>
    <t xml:space="preserve">BLOCO DE CONCRETO ESTRUTURAL 14 X 19 X 34 CM, FBK 4,5 MPA (NBR 6136)                                                                                                                                                                                                                                                                                                                                                                                                                                      </t>
  </si>
  <si>
    <t xml:space="preserve">BLOCO DE CONCRETO ESTRUTURAL 14 X 19 X 39 CM, FBK 10 MPA (NBR 6136)                                                                                                                                                                                                                                                                                                                                                                                                                                       </t>
  </si>
  <si>
    <t xml:space="preserve">BLOCO DE CONCRETO ESTRUTURAL 14 X 19 X 39 CM, FBK 12 MPA (NBR 6136)                                                                                                                                                                                                                                                                                                                                                                                                                                       </t>
  </si>
  <si>
    <t xml:space="preserve">BLOCO DE CONCRETO ESTRUTURAL 14 X 19 X 39 CM, FBK 14 MPA (NBR 6136)                                                                                                                                                                                                                                                                                                                                                                                                                                       </t>
  </si>
  <si>
    <t xml:space="preserve">BLOCO DE CONCRETO ESTRUTURAL 14 X 19 X 39 CM, FBK 4,5 MPA (NBR 6136)                                                                                                                                                                                                                                                                                                                                                                                                                                      </t>
  </si>
  <si>
    <t xml:space="preserve">BLOCO DE CONCRETO ESTRUTURAL 14 X 19 X 39 CM, FBK 6 MPA (NBR 6136)                                                                                                                                                                                                                                                                                                                                                                                                                                        </t>
  </si>
  <si>
    <t xml:space="preserve">BLOCO DE CONCRETO ESTRUTURAL 14 X 19 X 39 CM, FBK 8 MPA (NBR 6136)                                                                                                                                                                                                                                                                                                                                                                                                                                        </t>
  </si>
  <si>
    <t xml:space="preserve">BLOCO DE CONCRETO ESTRUTURAL 14 X 19 X 39, FCK 16 MPA (NBR 6136)                                                                                                                                                                                                                                                                                                                                                                                                                                          </t>
  </si>
  <si>
    <t xml:space="preserve">BLOCO DE CONCRETO ESTRUTURAL 19 X 19 X 39 CM, FBK 10 MPA (NBR 6136)                                                                                                                                                                                                                                                                                                                                                                                                                                       </t>
  </si>
  <si>
    <t xml:space="preserve">BLOCO DE CONCRETO ESTRUTURAL 19 X 19 X 39 CM, FBK 12 MPA (NBR 6136)                                                                                                                                                                                                                                                                                                                                                                                                                                       </t>
  </si>
  <si>
    <t xml:space="preserve">BLOCO DE CONCRETO ESTRUTURAL 19 X 19 X 39 CM, FBK 14 MPA (NBR 6136)                                                                                                                                                                                                                                                                                                                                                                                                                                       </t>
  </si>
  <si>
    <t xml:space="preserve">BLOCO DE CONCRETO ESTRUTURAL 19 X 19 X 39 CM, FBK 16 MPA (NBR 6136)                                                                                                                                                                                                                                                                                                                                                                                                                                       </t>
  </si>
  <si>
    <t xml:space="preserve">BLOCO DE CONCRETO ESTRUTURAL 19 X 19 X 39 CM, FBK 4,5 MPA (NBR 6136)                                                                                                                                                                                                                                                                                                                                                                                                                                      </t>
  </si>
  <si>
    <t xml:space="preserve">BLOCO DE CONCRETO ESTRUTURAL 19 X 19 X 39 CM, FBK 8 MPA (NBR 6136)                                                                                                                                                                                                                                                                                                                                                                                                                                        </t>
  </si>
  <si>
    <t xml:space="preserve">BLOCO DE CONCRETO ESTRUTURAL 9 X 19 X 39 CM, FBK 4,5 MPA (NBR 6136)                                                                                                                                                                                                                                                                                                                                                                                                                                       </t>
  </si>
  <si>
    <t xml:space="preserve">BLOCO DE ESPUMA MULTIUSO *23 X 13 X 8* CM                                                                                                                                                                                                                                                                                                                                                                                                                                                                 </t>
  </si>
  <si>
    <t xml:space="preserve">BLOCO DE GESSO COMPACTO / MACICO, BRANCO, E = 10 CM, DIMENSOES *67 X 50* CM                                                                                                                                                                                                                                                                                                                                                                                                                               </t>
  </si>
  <si>
    <t xml:space="preserve">BLOCO DE GESSO VAZADO, BRANCO, E = *7* CM, DIMENSOES *67 X 50* CM                                                                                                                                                                                                                                                                                                                                                                                                                                         </t>
  </si>
  <si>
    <t>27,95</t>
  </si>
  <si>
    <t xml:space="preserve">BLOCO DE POLIETILENO ALTA DENSIDADE, *27* X *30* X *100* CM, ACOMPANHADOS PLACAS  TERMINAIS  E LONGARINAS, PARA FUNDO DE FILTRO                                                                                                                                                                                                                                                                                                                                                                           </t>
  </si>
  <si>
    <t>968,66</t>
  </si>
  <si>
    <t xml:space="preserve">BLOCO DE VEDACAO CONCRETO APARENTE 9 X 19 X 39 CM (CLASSE C - NBR 6136)                                                                                                                                                                                                                                                                                                                                                                                                                                   </t>
  </si>
  <si>
    <t xml:space="preserve">BLOCO DE VEDACAO CONCRETO 14 X 19 X 29 CM (CLASSE C - NBR 6136)                                                                                                                                                                                                                                                                                                                                                                                                                                           </t>
  </si>
  <si>
    <t xml:space="preserve">BLOCO DE VEDACAO DE CONCRETO APARENTE 14 X 19 X 39 CM (CLASSE C - NBR 6136)                                                                                                                                                                                                                                                                                                                                                                                                                               </t>
  </si>
  <si>
    <t xml:space="preserve">BLOCO DE VEDACAO DE CONCRETO APARENTE 19 X 19 X 39 CM  (CLASSE C - NBR 6136)                                                                                                                                                                                                                                                                                                                                                                                                                              </t>
  </si>
  <si>
    <t xml:space="preserve">BLOCO DE VEDACAO DE CONCRETO CELULAR AUTOCLAVADO 10 X 30 X 60 CM (E X A X C)                                                                                                                                                                                                                                                                                                                                                                                                                              </t>
  </si>
  <si>
    <t xml:space="preserve">BLOCO DE VEDACAO DE CONCRETO CELULAR AUTOCLAVADO 15 X 30 X 60 CM (E X A X C)                                                                                                                                                                                                                                                                                                                                                                                                                              </t>
  </si>
  <si>
    <t xml:space="preserve">BLOCO DE VEDACAO DE CONCRETO CELULAR AUTOCLAVADO 20 X 30 X 60 CM (E X A X C)                                                                                                                                                                                                                                                                                                                                                                                                                              </t>
  </si>
  <si>
    <t xml:space="preserve">BLOCO DE VEDACAO DE CONCRETO 14 X 19 X 39 CM (CLASSE C - NBR 6136)                                                                                                                                                                                                                                                                                                                                                                                                                                        </t>
  </si>
  <si>
    <t xml:space="preserve">BLOCO DE VEDACAO DE CONCRETO 19 X 19 X 39 CM (CLASSE C - NBR 6136)                                                                                                                                                                                                                                                                                                                                                                                                                                        </t>
  </si>
  <si>
    <t xml:space="preserve">BLOCO DE VEDACAO DE CONCRETO, 9 X 19 X 39 CM (CLASSE C - NBR 6136)                                                                                                                                                                                                                                                                                                                                                                                                                                        </t>
  </si>
  <si>
    <t>2,15</t>
  </si>
  <si>
    <t xml:space="preserve">BLOCO DE VIDRO / ELEMENTO VAZADO, INCOLOR, VENEZIANA, *20 X 20 X 6* CM (A X L X E)                                                                                                                                                                                                                                                                                                                                                                                                                        </t>
  </si>
  <si>
    <t xml:space="preserve">BLOCO DE VIDRO / ELEMENTO VAZADO, INCOLOR, VENEZIANA, DE *20 X 10 X 8* CM (A X L X E)                                                                                                                                                                                                                                                                                                                                                                                                                     </t>
  </si>
  <si>
    <t xml:space="preserve">BLOCO ESTRUTURAL CERAMICO 14 X 19 X 29 CM, 6,0 MPA (NBR 15270)                                                                                                                                                                                                                                                                                                                                                                                                                                            </t>
  </si>
  <si>
    <t xml:space="preserve">BLOCO ESTRUTURAL CERAMICO 14 X 19 X 34 CM, 6,0 MPA (NBR 15270)                                                                                                                                                                                                                                                                                                                                                                                                                                            </t>
  </si>
  <si>
    <t xml:space="preserve">BLOCO ESTRUTURAL CERAMICO 14 X 19 X 39 CM, 6,0 MPA (NBR 15270)                                                                                                                                                                                                                                                                                                                                                                                                                                            </t>
  </si>
  <si>
    <t xml:space="preserve">BLOCO ESTRUTURAL CERAMICO 19 X 19 X 29 CM, 6,0 MPA (NBR 15270)                                                                                                                                                                                                                                                                                                                                                                                                                                            </t>
  </si>
  <si>
    <t xml:space="preserve">BLOCO ESTRUTURAL CERAMICO 19 X 19 X 39 CM, 6,0 MPA (NBR 15270)                                                                                                                                                                                                                                                                                                                                                                                                                                            </t>
  </si>
  <si>
    <t xml:space="preserve">BLOCO VEDACAO CONCRETO CELULAR AUTOCLAVADO 12,5 X 30 X 60 CM (E X A X C)                                                                                                                                                                                                                                                                                                                                                                                                                                  </t>
  </si>
  <si>
    <t xml:space="preserve">BLOCO VEDACAO CONCRETO CELULAR AUTOCLAVADO 7,5 X 30 X 60 CM (E X A X C)                                                                                                                                                                                                                                                                                                                                                                                                                                   </t>
  </si>
  <si>
    <t xml:space="preserve">BLOQUETE/PISO DE CONCRETO - MODELO BLOCO PISOGRAMA/CONCREGRAMA 2 FUROS, DIMENSOES APROX. DE 35 CM X 15 CM E ESPESSURA DE 7 CM (+/- 1 CM), COR NATURAL                                                                                                                                                                                                                                                                                                                                                     </t>
  </si>
  <si>
    <t>45,57</t>
  </si>
  <si>
    <t xml:space="preserve">BLOQUETE/PISO DE CONCRETO - MODELO PISOGRAMA/CONCREGRAMA/PAVI-GRADE/GRAMEIRO, DIMENSOES APROXIMADAS DE 60 CM X 45 CM E ESPESSURA DE 8 CM (+/- 1 CM), COR NATURAL                                                                                                                                                                                                                                                                                                                                          </t>
  </si>
  <si>
    <t>102,55</t>
  </si>
  <si>
    <t xml:space="preserve">BLOQUETE/PISO INTERTRAVADO DE CONCRETO - MODELO ONDA/16 FACES/RETANGULAR/TIJOLINHO/PAVER/HOLANDES/PARALELEPIPEDO, *22 CM X *11 CM, E = 10 CM, RESISTENCIA DE 50 MPA (NBR 9781), COR NATURAL                                                                                                                                                                                                                                                                                                               </t>
  </si>
  <si>
    <t xml:space="preserve">BLOQUETE/PISO INTERTRAVADO DE CONCRETO - MODELO ONDA/16 FACES/RETANGULAR/TIJOLINHO/PAVER/HOLANDES/PARALELEPIPEDO, *22 CM X 11* CM, E = 8 CM, RESISTENCIA DE 35 MPA (NBR 9781), COR NATURAL                                                                                                                                                                                                                                                                                                                </t>
  </si>
  <si>
    <t xml:space="preserve">BLOQUETE/PISO INTERTRAVADO DE CONCRETO - MODELO ONDA/16 FACES/RETANGULAR/TIJOLINHO/PAVER/HOLANDES/PARALELEPIPEDO, 20 CM X 10 CM, E = 10 CM, RESISTENCIA DE 35 MPA (NBR 9781), COR NATURAL                                                                                                                                                                                                                                                                                                                 </t>
  </si>
  <si>
    <t>64,09</t>
  </si>
  <si>
    <t xml:space="preserve">BLOQUETE/PISO INTERTRAVADO DE CONCRETO - MODELO ONDA/16 FACES/RETANGULAR/TIJOLINHO/PAVER/HOLANDES/PARALELEPIPEDO, 20 CM X 10 CM, E = 6 CM, RESISTENCIA DE 35 MPA (NBR 9781), COLORIDO                                                                                                                                                                                                                                                                                                                     </t>
  </si>
  <si>
    <t xml:space="preserve">BLOQUETE/PISO INTERTRAVADO DE CONCRETO - MODELO ONDA/16 FACES/RETANGULAR/TIJOLINHO/PAVER/HOLANDES/PARALELEPIPEDO, 20 CM X 10 CM, E = 6 CM, RESISTENCIA DE 35 MPA (NBR 9781), COR NATURAL                                                                                                                                                                                                                                                                                                                  </t>
  </si>
  <si>
    <t>43,03</t>
  </si>
  <si>
    <t xml:space="preserve">BLOQUETE/PISO INTERTRAVADO DE CONCRETO - MODELO ONDA/16 FACES/RETANGULAR/TIJOLINHO/PAVER/HOLANDES/PARALELEPIPEDO, 20 CM X 10 CM, E = 8 CM, RESISTENCIA DE 35 MPA (NBR 9781), COLORIDO                                                                                                                                                                                                                                                                                                                     </t>
  </si>
  <si>
    <t xml:space="preserve">BLOQUETE/PISO INTERTRAVADO DE CONCRETO - MODELO RAQUETE, *22 CM X 13,5* CM, E = 6 CM, RESISTENCIA DE 35 MPA (NBR 9781), COR NATURAL                                                                                                                                                                                                                                                                                                                                                                       </t>
  </si>
  <si>
    <t xml:space="preserve">BLOQUETE/PISO INTERTRAVADO DE CONCRETO - MODELO SEXTAVADO / HEXAGONAL, 25 CM X 25 CM, E = 10 CM, RESISTENCIA DE 35 MPA (NBR 9781), COR NATURAL                                                                                                                                                                                                                                                                                                                                                            </t>
  </si>
  <si>
    <t xml:space="preserve">BLOQUETE/PISO INTERTRAVADO DE CONCRETO - MODELO SEXTAVADO / HEXAGONAL, 25 CM X 25 CM, E = 6 CM, RESISTENCIA DE 35 MPA (NBR 9781), COR NATURAL                                                                                                                                                                                                                                                                                                                                                             </t>
  </si>
  <si>
    <t>43,34</t>
  </si>
  <si>
    <t xml:space="preserve">BLOQUETE/PISO INTERTRAVADO DE CONCRETO - MODELO SEXTAVADO / HEXAGONAL, 25 CM X 25 CM, E = 8 CM, RESISTENCIA DE 35 MPA (NBR 9781), COR NATURAL                                                                                                                                                                                                                                                                                                                                                             </t>
  </si>
  <si>
    <t>54,59</t>
  </si>
  <si>
    <t xml:space="preserve">BOCAL PVC, PARA CALHA PLUVIAL, DIAMETRO DA SAIDA ENTRE 80 E 100 MM, PARA DRENAGEM PREDIAL                                                                                                                                                                                                                                                                                                                                                                                                                 </t>
  </si>
  <si>
    <t xml:space="preserve">BOLSA DE LIGACAO EM PVC FLEXIVEL PARA VASO SANITARIO 1.1/2 " (40 MM)                                                                                                                                                                                                                                                                                                                                                                                                                                      </t>
  </si>
  <si>
    <t xml:space="preserve">BOLSA DE LONA PARA FERRAMENTAS *50 X 35 X 25* CM                                                                                                                                                                                                                                                                                                                                                                                                                                                          </t>
  </si>
  <si>
    <t xml:space="preserve">BOMBA CENTRIFUGA  MOTOR ELETRICO TRIFASICO 1,48HP  DIAMETRO DE SUCCAO X ELEVACAO 1" X 1", 4 ESTAGIOS, DIAMETRO DOS ROTORES 3 X 107 MM + 1 X 100 MM, HM/Q: 10 M / 5,3 M3/H A 70 M / 1,8 M3/H                                                                                                                                                                                                                                                                                                               </t>
  </si>
  <si>
    <t xml:space="preserve">BOMBA CENTRIFUGA  MOTOR ELETRICO TRIFASICO 2,96HP, DIAMETRO DE SUCCAO X ELEVACAO 1 1/2" X 1 1/4", DIAMETRO DO ROTOR 148 MM, HM/Q: 34 M / 14,80 M3/H A 40 M / 8,60 M3/H                                                                                                                                                                                                                                                                                                                                    </t>
  </si>
  <si>
    <t xml:space="preserve">BOMBA CENTRIFUGA COM MOTOR ELETRICO MONOFASICO, POTENCIA 0,33 HP,  BOCAIS 1" X 3/4", DIAMETRO DO ROTOR 99 MM, HM/Q = 4 MCA / 8,5 M3/H A 18 MCA / 0,90 M3/H                                                                                                                                                                                                                                                                                                                                                </t>
  </si>
  <si>
    <t xml:space="preserve">BOMBA CENTRIFUGA MONOESTAGIO COM MOTOR ELETRICO MONOFASICO, POTENCIA 15 HP,  DIAMETRO DO ROTOR *173* MM, HM/Q = *30* MCA / *90* M3/H A *45* MCA / *55* M3/H                                                                                                                                                                                                                                                                                                                                               </t>
  </si>
  <si>
    <t xml:space="preserve">BOMBA CENTRIFUGA MOTOR ELETRICO MONOFASICO 0,49 HP  BOCAIS 1" X 3/4", DIAMETRO DO ROTOR 110 MM, HM/Q: 6 M / 8,3 M3/H A 20 M / 1,2 M3/H                                                                                                                                                                                                                                                                                                                                                                    </t>
  </si>
  <si>
    <t xml:space="preserve">BOMBA CENTRIFUGA MOTOR ELETRICO MONOFASICO 0,50 CV DIAMETRO DE SUCCAO X ELEVACAO 3/4" X 3/4", MONOESTAGIO, DIAMETRO DOS ROTORES 114 MM, HM/Q: 2 M / 2,99 M3/H A 24 M / 0,71 M3/H                                                                                                                                                                                                                                                                                                                          </t>
  </si>
  <si>
    <t xml:space="preserve">BOMBA CENTRIFUGA MOTOR ELETRICO MONOFASICO 0,74HP  DIAMETRO DE SUCCAO X ELEVACAO 1 1/4" X 1", DIAMETRO DO ROTOR 120 MM, HM/Q: 8 M / 7,70 M3/H A 24 M / 2,80 M3/H                                                                                                                                                                                                                                                                                                                                          </t>
  </si>
  <si>
    <t xml:space="preserve">BOMBA CENTRIFUGA MOTOR ELETRICO TRIFASICO 0,99HP  DIAMETRO DE SUCCAO X ELEVACAO 1" X 1", DIAMETRO DO ROTOR 145 MM, HM/Q: 14 M / 8,4 M3/H A 40 M / 0,60 M3/H                                                                                                                                                                                                                                                                                                                                               </t>
  </si>
  <si>
    <t xml:space="preserve">BOMBA CENTRIFUGA MOTOR ELETRICO TRIFASICO 14,8 HP, DIAMETRO DE SUCCAO X ELEVACAO 2 1/2" X 2", DIAMETRO DO ROTOR 195 MM, HM/Q: 62 M / 55,5 M3/H A 80 M / 31,50 M3/H                                                                                                                                                                                                                                                                                                                                        </t>
  </si>
  <si>
    <t xml:space="preserve">BOMBA CENTRIFUGA MOTOR ELETRICO TRIFASICO 5HP, DIAMETRO DE SUCCAO X ELEVACAO 2" X 1 1/2", DIAMETRO DO ROTOR 155 MM, HM/Q: 40 M / 20,40 M3/H A 46 M / 9,20 M3/H                                                                                                                                                                                                                                                                                                                                            </t>
  </si>
  <si>
    <t xml:space="preserve">BOMBA CENTRIFUGA MOTOR ELETRICO TRIFASICO 9,86 DIAMETRO DE SUCCAO X ELEVACAO 1" X 1", 4 ESTAGIOS, DIAMETRO DOS ROTORES 4 X 146 MM, HM/Q: 85 M / 14,9 M3/H A 140 M / 4,2 M3/H                                                                                                                                                                                                                                                                                                                              </t>
  </si>
  <si>
    <t xml:space="preserve">BOMBA CENTRIFUGA,  MOTOR ELETRICO TRIFASICO 1,48HP  DIAMETRO DE SUCCAO X ELEVACAO 1 1/2" X 1", DIAMETRO DO ROTOR 117 MM, HM/Q: 10 M / 21,9 M3/H A 24 M / 6,1 M3/H                                                                                                                                                                                                                                                                                                                                         </t>
  </si>
  <si>
    <t xml:space="preserve">BOMBA DE PROJECAO DE CONCRETO SECO, POTENCIA 10 CV, VAZAO 3 M3/H                                                                                                                                                                                                                                                                                                                                                                                                                                          </t>
  </si>
  <si>
    <t>57.563,35</t>
  </si>
  <si>
    <t xml:space="preserve">BOMBA DE PROJECAO DE CONCRETO SECO, POTENCIA 10 CV, VAZAO 6 M3/H                                                                                                                                                                                                                                                                                                                                                                                                                                          </t>
  </si>
  <si>
    <t>61.672,00</t>
  </si>
  <si>
    <t xml:space="preserve">BOMBA SUBMERSA PARA POCOS TUBULARES PROFUNDOS DIAMETRO DE 4 POLEGADAS, ELETRICA, MONOFASICA, POTENCIA 0,49 HP, 13 ESTAGIOS, BOCAL DE DESCARGA DIAMETRO DE UMA POLEGADA E MEIA, HM/Q = 18 M / 1,90 M3/H A 85 M / 0,60 M3/H                                                                                                                                                                                                                                                                                 </t>
  </si>
  <si>
    <t>3.115,83</t>
  </si>
  <si>
    <t xml:space="preserve">BOMBA SUBMERSA PARA POCOS TUBULARES PROFUNDOS DIAMETRO DE 4 POLEGADAS, ELETRICA, TRIFASICA, POTENCIA 1,97 HP, 20 ESTAGIOS, BOCAL DE DESCARGA DIAMETRO DE UMA POLEGADA E MEIA, HM/Q = 18 M / 5,40 M3/H A 164 M / 0,80 M3/H                                                                                                                                                                                                                                                                                 </t>
  </si>
  <si>
    <t>4.479,94</t>
  </si>
  <si>
    <t xml:space="preserve">BOMBA SUBMERSA PARA POCOS TUBULARES PROFUNDOS DIAMETRO DE 4 POLEGADAS, ELETRICA, TRIFASICA, POTENCIA 5,42 HP, 15 ESTAGIOS, BOCAL DE DESCARGA DIAMETRO DE 2 POLEGADAS, HM/Q = 18 M / 18,10 M3/H A 121 M / 2,90 M3/H                                                                                                                                                                                                                                                                                        </t>
  </si>
  <si>
    <t>7.593,88</t>
  </si>
  <si>
    <t xml:space="preserve">BOMBA SUBMERSA PARA POCOS TUBULARES PROFUNDOS DIAMETRO DE 4 POLEGADAS, ELETRICA, TRIFASICA, POTENCIA 5,42 HP, 29 ESTAGIOS, BOCAL DE DESCARGA DE UMA POLEGADA E MEIA, HM/Q = 18 M / 8,10 M3/H A 201 M / 3,2 M3/H                                                                                                                                                                                                                                                                                           </t>
  </si>
  <si>
    <t>7.209,79</t>
  </si>
  <si>
    <t xml:space="preserve">BOMBA SUBMERSA PARA POCOS TUBULARES PROFUNDOS DIAMETRO DE 6 POLEGADAS, ELETRICA, TRIFASICA, POTENCIA 27,12 HP, 7 ESTAGIOS, BOCAL DE DESCARGA DIAMETRO DE 4 POLEGADAS, HM/Q = 13,9 M / 90 M3/H A 44,0 M / 25,0 M3/H                                                                                                                                                                                                                                                                                        </t>
  </si>
  <si>
    <t>29.585,48</t>
  </si>
  <si>
    <t xml:space="preserve">BOMBA SUBMERSA PARA POCOS TUBULARES PROFUNDOS DIAMETRO DE 6 POLEGADAS, ELETRICA, TRIFASICA, POTENCIA 3,45 HP, 5 ESTAGIOS, BOCAL DE DESCARGA DIAMETRO DE 2 POLEGADAS, HM/Q = 68,5 M / 6,12 M3/H A 39,5 M / 14,04 M3/H                                                                                                                                                                                                                                                                                      </t>
  </si>
  <si>
    <t>10.880,99</t>
  </si>
  <si>
    <t xml:space="preserve">BOMBA SUBMERSA PARA POCOS TUBULARES PROFUNDOS DIAMETRO DE 6 POLEGADAS, ELETRICA, TRIFASICA, POTENCIA 32 HP, 9 ESTAGIOS, BOCAL DE DESCARGA DIAMETRO DE 4 POLEGADAS, HM/Q = 114,0 M / 13,9 M3/H A 57,0 M / 25,0 M3/H                                                                                                                                                                                                                                                                                        </t>
  </si>
  <si>
    <t>32.266,93</t>
  </si>
  <si>
    <t xml:space="preserve">BOMBA SUBMERSIVEL,  ELETRICA, TRIFASICA, POTENCIA 6 HP, DIAMETRO DO ROTOR 127 MM, BOCAL DE SAIDA DIAMETRO DE 3 POLEGADAS, HM/Q = 7 M / 66,90 M3/H A 26 M / 2,88 M3/H                                                                                                                                                                                                                                                                                                                                      </t>
  </si>
  <si>
    <t>14.651,25</t>
  </si>
  <si>
    <t xml:space="preserve">BOMBA SUBMERSIVEL, ELETRICA, TRIFASICA, POTENCIA 0,98 HP, DIAMETRO DO ROTOR 142 MM SEMIABERTO, BOCAL DE SAIDA DIAMETRO DE 2 POLEGADAS, HM/Q = 2 M / 32 M3/H A 8 M / 16 M3/H                                                                                                                                                                                                                                                                                                                               </t>
  </si>
  <si>
    <t>3.234,62</t>
  </si>
  <si>
    <t xml:space="preserve">BOMBA SUBMERSIVEL, ELETRICA, TRIFASICA, POTENCIA 0,99 HP, DIAMETRO ROTOR 98 MM SEMIABERTO, BOCAL DE SAIDA DIAMETRO 2 POLEGADAS, HM/Q = 2 M / 28,90 M3/H A 14 M / 7 M3/H                                                                                                                                                                                                                                                                                                                                   </t>
  </si>
  <si>
    <t>3.907,00</t>
  </si>
  <si>
    <t xml:space="preserve">BOMBA SUBMERSIVEL, ELETRICA, TRIFASICA, POTENCIA 1,97 HP, DIAMETRO DO ROTOR 144 MM SEMIABERTO, BOCAL DE SAIDA DIAMETRO DE 2 POLEGADAS, HM/Q = 2 M / 26,8 M3/H A 28 M / 4,6 M3/H                                                                                                                                                                                                                                                                                                                           </t>
  </si>
  <si>
    <t>5.248,81</t>
  </si>
  <si>
    <t xml:space="preserve">BOMBA SUBMERSIVEL, ELETRICA, TRIFASICA, POTENCIA 13 HP, DIAMETRO DO ROTOR 170 MM, BOCAL DE SAIDA DIAMETRO DE 3 POLEGADAS, HM/Q = 11 M / 68,40 M3/H A 72 M / 3,6 M3/H                                                                                                                                                                                                                                                                                                                                      </t>
  </si>
  <si>
    <t>29.302,50</t>
  </si>
  <si>
    <t xml:space="preserve">BOMBA SUBMERSIVEL, ELETRICA, TRIFASICA, POTENCIA 2,96 HP, DIAMETRO DO ROTOR 144 MM SEMIABERTO, BOCAL DE SAIDA DIAMETRO DE DUAS POLEGADAS, HM/Q = 2 M / 38,8 M3/H A 28 M / 5 M3/H                                                                                                                                                                                                                                                                                                                          </t>
  </si>
  <si>
    <t>4.615,14</t>
  </si>
  <si>
    <t xml:space="preserve">BOMBA SUBMERSIVEL, ELETRICA, TRIFASICA, POTENCIA 3,75 HP, DIAMETRO DO ROTOR 90 MM SEMIABERTO, BOCAL DE SAIDA DIAMETRO DE 2 POLEGADAS, HM/Q = 5 M / 61,2 M3/H A 25,5 M / 3,6 M3/H                                                                                                                                                                                                                                                                                                                          </t>
  </si>
  <si>
    <t>7.325,62</t>
  </si>
  <si>
    <t xml:space="preserve">BOMBA TRIPLEX COM MOTOR A DIESEL, NACIONAL, DIAMETRO DE SUCCAO DE 2 1/2''                                                                                                                                                                                                                                                                                                                                                                                                                                 </t>
  </si>
  <si>
    <t xml:space="preserve">BOMBA TRIPLEX, PARA INJECAO DE CALDA DE CIMENTO, VAZAO MAXIMA DE *100* LITROS/MINUTO, PRESSAO MAXIMA DE *70* BAR, POTENCIA DE 15 CV                                                                                                                                                                                                                                                                                                                                                                       </t>
  </si>
  <si>
    <t>88.421,46</t>
  </si>
  <si>
    <t xml:space="preserve">BORBOLETA PARA JANELA TIPO GUILHOTINA, EM ZAMAC CROMADO                                                                                                                                                                                                                                                                                                                                                                                                                                                   </t>
  </si>
  <si>
    <t xml:space="preserve">BOTA DE PVC PRETA, CANO MEDIO, SEM FORRO                                                                                                                                                                                                                                                                                                                                                                                                                                                                  </t>
  </si>
  <si>
    <t xml:space="preserve">BOTA DE SEGURANCA COM BIQUEIRA DE ACO E COLARINHO ACOLCHOADO                                                                                                                                                                                                                                                                                                                                                                                                                                              </t>
  </si>
  <si>
    <t xml:space="preserve">BRACO / CANO PARA CHUVEIRO ELETRICO, EM ALUMINIO, 30 CM X 1/2 "                                                                                                                                                                                                                                                                                                                                                                                                                                           </t>
  </si>
  <si>
    <t xml:space="preserve">BRACO OU HASTE COM CANOPLA PLASTICA, 1/2 ", PARA CHUVEIRO SIMPLES                                                                                                                                                                                                                                                                                                                                                                                                                                         </t>
  </si>
  <si>
    <t>17,57</t>
  </si>
  <si>
    <t xml:space="preserve">BRACO OU HASTE RETA COM CANOPLA PLASTICA, 1/2 ", PARA CHUVEIRO ELETRICO                                                                                                                                                                                                                                                                                                                                                                                                                                   </t>
  </si>
  <si>
    <t xml:space="preserve">BRACO P/ LUMINARIA PUBLICA 1 X 1,50M ROMAGNOLE OU EQUIV                                                                                                                                                                                                                                                                                                                                                                                                                                                   </t>
  </si>
  <si>
    <t>37,39</t>
  </si>
  <si>
    <t xml:space="preserve">BUCHA DE NYLON SEM ABA S10                                                                                                                                                                                                                                                                                                                                                                                                                                                                                </t>
  </si>
  <si>
    <t xml:space="preserve">BUCHA DE NYLON SEM ABA S10, COM PARAFUSO DE 6,10 X 65 MM EM ACO ZINCADO COM ROSCA SOBERBA, CABECA CHATA E FENDA PHILLIPS                                                                                                                                                                                                                                                                                                                                                                                  </t>
  </si>
  <si>
    <t xml:space="preserve">BUCHA DE NYLON SEM ABA S12, COM PARAFUSO DE 5/16" X 80 MM EM ACO ZINCADO COM ROSCA SOBERBA E CABECA SEXTAVADA                                                                                                                                                                                                                                                                                                                                                                                             </t>
  </si>
  <si>
    <t xml:space="preserve">BUCHA DE NYLON SEM ABA S4                                                                                                                                                                                                                                                                                                                                                                                                                                                                                 </t>
  </si>
  <si>
    <t xml:space="preserve">BUCHA DE NYLON SEM ABA S5                                                                                                                                                                                                                                                                                                                                                                                                                                                                                 </t>
  </si>
  <si>
    <t xml:space="preserve">BUCHA DE NYLON SEM ABA S6                                                                                                                                                                                                                                                                                                                                                                                                                                                                                 </t>
  </si>
  <si>
    <t xml:space="preserve">BUCHA DE NYLON SEM ABA S6, COM PARAFUSO DE 4,20 X 40 MM EM ACO ZINCADO COM ROSCA SOBERBA, CABECA CHATA E FENDA PHILLIPS                                                                                                                                                                                                                                                                                                                                                                                   </t>
  </si>
  <si>
    <t xml:space="preserve">BUCHA DE NYLON SEM ABA S8                                                                                                                                                                                                                                                                                                                                                                                                                                                                                 </t>
  </si>
  <si>
    <t xml:space="preserve">BUCHA DE NYLON SEM ABA S8, COM PARAFUSO DE 4,80 X 50 MM EM ACO ZINCADO COM ROSCA SOBERBA, CABECA CHATA E FENDA PHILLIPS                                                                                                                                                                                                                                                                                                                                                                                   </t>
  </si>
  <si>
    <t xml:space="preserve">BUCHA DE NYLON, DIAMETRO DO FURO 8 MM, COMPRIMENTO 40 MM, COM PARAFUSO DE ROSCA SOBERBA, CABECA CHATA, FENDA SIMPLES, 4,8 X 50 MM                                                                                                                                                                                                                                                                                                                                                                         </t>
  </si>
  <si>
    <t xml:space="preserve">BUCHA DE REDUCAO DE COBRE (REF 600-2) SEM ANEL DE SOLDA, PONTA X BOLSA, 22 X 15 MM                                                                                                                                                                                                                                                                                                                                                                                                                        </t>
  </si>
  <si>
    <t xml:space="preserve">BUCHA DE REDUCAO DE COBRE (REF 600-2) SEM ANEL DE SOLDA, PONTA X BOLSA, 28 X 22 MM                                                                                                                                                                                                                                                                                                                                                                                                                        </t>
  </si>
  <si>
    <t xml:space="preserve">BUCHA DE REDUCAO DE COBRE (REF 600-2) SEM ANEL DE SOLDA, PONTA X BOLSA, 35 X 28 MM                                                                                                                                                                                                                                                                                                                                                                                                                        </t>
  </si>
  <si>
    <t xml:space="preserve">BUCHA DE REDUCAO DE COBRE (REF 600-2) SEM ANEL DE SOLDA, PONTA X BOLSA, 42 X 35 MM                                                                                                                                                                                                                                                                                                                                                                                                                        </t>
  </si>
  <si>
    <t>38,50</t>
  </si>
  <si>
    <t xml:space="preserve">BUCHA DE REDUCAO DE COBRE (REF 600-2) SEM ANEL DE SOLDA, PONTA X BOLSA, 54 X 42 MM                                                                                                                                                                                                                                                                                                                                                                                                                        </t>
  </si>
  <si>
    <t>54,28</t>
  </si>
  <si>
    <t xml:space="preserve">BUCHA DE REDUCAO DE COBRE (REF 600-2) SEM ANEL DE SOLDA, PONTA X BOLSA, 66 X 54 MM                                                                                                                                                                                                                                                                                                                                                                                                                        </t>
  </si>
  <si>
    <t xml:space="preserve">BUCHA DE REDUCAO DE FERRO GALVANIZADO, COM ROSCA BSP, DE 1 1/2" X 1 1/4"                                                                                                                                                                                                                                                                                                                                                                                                                                  </t>
  </si>
  <si>
    <t xml:space="preserve">BUCHA DE REDUCAO DE FERRO GALVANIZADO, COM ROSCA BSP, DE 1 1/2" X 1/2"                                                                                                                                                                                                                                                                                                                                                                                                                                    </t>
  </si>
  <si>
    <t xml:space="preserve">BUCHA DE REDUCAO DE FERRO GALVANIZADO, COM ROSCA BSP, DE 1 1/2" X 1"                                                                                                                                                                                                                                                                                                                                                                                                                                      </t>
  </si>
  <si>
    <t xml:space="preserve">BUCHA DE REDUCAO DE FERRO GALVANIZADO, COM ROSCA BSP, DE 1 1/2" X 3/4"                                                                                                                                                                                                                                                                                                                                                                                                                                    </t>
  </si>
  <si>
    <t xml:space="preserve">BUCHA DE REDUCAO DE FERRO GALVANIZADO, COM ROSCA BSP, DE 1 1/4" X 1/2"                                                                                                                                                                                                                                                                                                                                                                                                                                    </t>
  </si>
  <si>
    <t xml:space="preserve">BUCHA DE REDUCAO DE FERRO GALVANIZADO, COM ROSCA BSP, DE 1 1/4" X 1"                                                                                                                                                                                                                                                                                                                                                                                                                                      </t>
  </si>
  <si>
    <t xml:space="preserve">BUCHA DE REDUCAO DE FERRO GALVANIZADO, COM ROSCA BSP, DE 1 1/4" X 3/4"                                                                                                                                                                                                                                                                                                                                                                                                                                    </t>
  </si>
  <si>
    <t xml:space="preserve">BUCHA DE REDUCAO DE FERRO GALVANIZADO, COM ROSCA BSP, DE 1/2" X 1/4"                                                                                                                                                                                                                                                                                                                                                                                                                                      </t>
  </si>
  <si>
    <t xml:space="preserve">BUCHA DE REDUCAO DE FERRO GALVANIZADO, COM ROSCA BSP, DE 1/2" X 3/8"                                                                                                                                                                                                                                                                                                                                                                                                                                      </t>
  </si>
  <si>
    <t xml:space="preserve">BUCHA DE REDUCAO DE FERRO GALVANIZADO, COM ROSCA BSP, DE 1" X 1/2"                                                                                                                                                                                                                                                                                                                                                                                                                                        </t>
  </si>
  <si>
    <t xml:space="preserve">BUCHA DE REDUCAO DE FERRO GALVANIZADO, COM ROSCA BSP, DE 1" X 3/4"                                                                                                                                                                                                                                                                                                                                                                                                                                        </t>
  </si>
  <si>
    <t xml:space="preserve">BUCHA DE REDUCAO DE FERRO GALVANIZADO, COM ROSCA BSP, DE 2 1/2" X 1 1/2"                                                                                                                                                                                                                                                                                                                                                                                                                                  </t>
  </si>
  <si>
    <t xml:space="preserve">BUCHA DE REDUCAO DE FERRO GALVANIZADO, COM ROSCA BSP, DE 2 1/2" X 1 1/4"                                                                                                                                                                                                                                                                                                                                                                                                                                  </t>
  </si>
  <si>
    <t xml:space="preserve">BUCHA DE REDUCAO DE FERRO GALVANIZADO, COM ROSCA BSP, DE 2 1/2" X 1"                                                                                                                                                                                                                                                                                                                                                                                                                                      </t>
  </si>
  <si>
    <t xml:space="preserve">BUCHA DE REDUCAO DE FERRO GALVANIZADO, COM ROSCA BSP, DE 2 1/2" X 2"                                                                                                                                                                                                                                                                                                                                                                                                                                      </t>
  </si>
  <si>
    <t xml:space="preserve">BUCHA DE REDUCAO DE FERRO GALVANIZADO, COM ROSCA BSP, DE 2" X 1 1/2"                                                                                                                                                                                                                                                                                                                                                                                                                                      </t>
  </si>
  <si>
    <t xml:space="preserve">BUCHA DE REDUCAO DE FERRO GALVANIZADO, COM ROSCA BSP, DE 2" X 1 1/4"                                                                                                                                                                                                                                                                                                                                                                                                                                      </t>
  </si>
  <si>
    <t xml:space="preserve">BUCHA DE REDUCAO DE FERRO GALVANIZADO, COM ROSCA BSP, DE 2" X 1"                                                                                                                                                                                                                                                                                                                                                                                                                                          </t>
  </si>
  <si>
    <t xml:space="preserve">BUCHA DE REDUCAO DE FERRO GALVANIZADO, COM ROSCA BSP, DE 3/4" X 1/2"                                                                                                                                                                                                                                                                                                                                                                                                                                      </t>
  </si>
  <si>
    <t xml:space="preserve">BUCHA DE REDUCAO DE FERRO GALVANIZADO, COM ROSCA BSP, DE 3" X 1 1/2"                                                                                                                                                                                                                                                                                                                                                                                                                                      </t>
  </si>
  <si>
    <t xml:space="preserve">BUCHA DE REDUCAO DE FERRO GALVANIZADO, COM ROSCA BSP, DE 3" X 1 1/4"                                                                                                                                                                                                                                                                                                                                                                                                                                      </t>
  </si>
  <si>
    <t xml:space="preserve">BUCHA DE REDUCAO DE FERRO GALVANIZADO, COM ROSCA BSP, DE 3" X 2 1/2"                                                                                                                                                                                                                                                                                                                                                                                                                                      </t>
  </si>
  <si>
    <t xml:space="preserve">BUCHA DE REDUCAO DE FERRO GALVANIZADO, COM ROSCA BSP, DE 3" X 2"                                                                                                                                                                                                                                                                                                                                                                                                                                          </t>
  </si>
  <si>
    <t xml:space="preserve">BUCHA DE REDUCAO DE FERRO GALVANIZADO, COM ROSCA BSP, DE 4" X 2 1/2"                                                                                                                                                                                                                                                                                                                                                                                                                                      </t>
  </si>
  <si>
    <t xml:space="preserve">BUCHA DE REDUCAO DE FERRO GALVANIZADO, COM ROSCA BSP, DE 4" X 2"                                                                                                                                                                                                                                                                                                                                                                                                                                          </t>
  </si>
  <si>
    <t xml:space="preserve">BUCHA DE REDUCAO DE FERRO GALVANIZADO, COM ROSCA BSP, DE 4" X 3"                                                                                                                                                                                                                                                                                                                                                                                                                                          </t>
  </si>
  <si>
    <t xml:space="preserve">BUCHA DE REDUCAO DE FERRO GALVANIZADO, COM ROSCA BSP, DE 5" X 4"                                                                                                                                                                                                                                                                                                                                                                                                                                          </t>
  </si>
  <si>
    <t xml:space="preserve">BUCHA DE REDUCAO DE FERRO GALVANIZADO, COM ROSCA BSP, DE 6" X 4"                                                                                                                                                                                                                                                                                                                                                                                                                                          </t>
  </si>
  <si>
    <t xml:space="preserve">BUCHA DE REDUCAO DE FERRO GALVANIZADO, COM ROSCA BSP, DE 6" X 5"                                                                                                                                                                                                                                                                                                                                                                                                                                          </t>
  </si>
  <si>
    <t xml:space="preserve">BUCHA DE REDUCAO DE PVC, SOLDAVEL, CURTA, COM 110 X 85 MM, PARA AGUA FRIA PREDIAL                                                                                                                                                                                                                                                                                                                                                                                                                         </t>
  </si>
  <si>
    <t xml:space="preserve">BUCHA DE REDUCAO DE PVC, SOLDAVEL, CURTA, COM 25 X 20 MM, PARA AGUA FRIA PREDIAL                                                                                                                                                                                                                                                                                                                                                                                                                          </t>
  </si>
  <si>
    <t xml:space="preserve">BUCHA DE REDUCAO DE PVC, SOLDAVEL, CURTA, COM 32 X 25 MM, PARA AGUA FRIA PREDIAL                                                                                                                                                                                                                                                                                                                                                                                                                          </t>
  </si>
  <si>
    <t xml:space="preserve">BUCHA DE REDUCAO DE PVC, SOLDAVEL, CURTA, COM 40 X 32 MM, PARA AGUA FRIA PREDIAL                                                                                                                                                                                                                                                                                                                                                                                                                          </t>
  </si>
  <si>
    <t xml:space="preserve">BUCHA DE REDUCAO DE PVC, SOLDAVEL, CURTA, COM 50 X 40 MM, PARA AGUA FRIA PREDIAL                                                                                                                                                                                                                                                                                                                                                                                                                          </t>
  </si>
  <si>
    <t xml:space="preserve">BUCHA DE REDUCAO DE PVC, SOLDAVEL, CURTA, COM 60 X 50 MM, PARA AGUA FRIA PREDIAL                                                                                                                                                                                                                                                                                                                                                                                                                          </t>
  </si>
  <si>
    <t xml:space="preserve">BUCHA DE REDUCAO DE PVC, SOLDAVEL, CURTA, COM 75 X 60 MM, PARA AGUA FRIA PREDIAL                                                                                                                                                                                                                                                                                                                                                                                                                          </t>
  </si>
  <si>
    <t xml:space="preserve">BUCHA DE REDUCAO DE PVC, SOLDAVEL, CURTA, COM 85 X 75 MM, PARA AGUA FRIA PREDIAL                                                                                                                                                                                                                                                                                                                                                                                                                          </t>
  </si>
  <si>
    <t xml:space="preserve">BUCHA DE REDUCAO DE PVC, SOLDAVEL, LONGA, COM 110 X 60 MM, PARA AGUA FRIA PREDIAL                                                                                                                                                                                                                                                                                                                                                                                                                         </t>
  </si>
  <si>
    <t>65,36</t>
  </si>
  <si>
    <t xml:space="preserve">BUCHA DE REDUCAO DE PVC, SOLDAVEL, LONGA, COM 110 X 75 MM, PARA AGUA FRIA PREDIAL                                                                                                                                                                                                                                                                                                                                                                                                                         </t>
  </si>
  <si>
    <t xml:space="preserve">BUCHA DE REDUCAO DE PVC, SOLDAVEL, LONGA, COM 32 X 20 MM, PARA AGUA FRIA PREDIAL                                                                                                                                                                                                                                                                                                                                                                                                                          </t>
  </si>
  <si>
    <t xml:space="preserve">BUCHA DE REDUCAO DE PVC, SOLDAVEL, LONGA, COM 40 X 20 MM, PARA AGUA FRIA PREDIAL                                                                                                                                                                                                                                                                                                                                                                                                                          </t>
  </si>
  <si>
    <t xml:space="preserve">BUCHA DE REDUCAO DE PVC, SOLDAVEL, LONGA, COM 40 X 25 MM, PARA AGUA FRIA PREDIAL                                                                                                                                                                                                                                                                                                                                                                                                                          </t>
  </si>
  <si>
    <t xml:space="preserve">BUCHA DE REDUCAO DE PVC, SOLDAVEL, LONGA, COM 50 X 20 MM, PARA AGUA FRIA PREDIAL                                                                                                                                                                                                                                                                                                                                                                                                                          </t>
  </si>
  <si>
    <t xml:space="preserve">BUCHA DE REDUCAO DE PVC, SOLDAVEL, LONGA, COM 50 X 25 MM, PARA AGUA FRIA PREDIAL                                                                                                                                                                                                                                                                                                                                                                                                                          </t>
  </si>
  <si>
    <t xml:space="preserve">BUCHA DE REDUCAO DE PVC, SOLDAVEL, LONGA, COM 50 X 32 MM, PARA AGUA FRIA PREDIAL                                                                                                                                                                                                                                                                                                                                                                                                                          </t>
  </si>
  <si>
    <t xml:space="preserve">BUCHA DE REDUCAO DE PVC, SOLDAVEL, LONGA, COM 60 X 25 MM, PARA AGUA FRIA PREDIAL                                                                                                                                                                                                                                                                                                                                                                                                                          </t>
  </si>
  <si>
    <t xml:space="preserve">BUCHA DE REDUCAO DE PVC, SOLDAVEL, LONGA, COM 60 X 32 MM, PARA AGUA FRIA PREDIAL                                                                                                                                                                                                                                                                                                                                                                                                                          </t>
  </si>
  <si>
    <t xml:space="preserve">BUCHA DE REDUCAO DE PVC, SOLDAVEL, LONGA, COM 60 X 40 MM, PARA AGUA FRIA PREDIAL                                                                                                                                                                                                                                                                                                                                                                                                                          </t>
  </si>
  <si>
    <t xml:space="preserve">BUCHA DE REDUCAO DE PVC, SOLDAVEL, LONGA, COM 60 X 50 MM, PARA AGUA FRIA PREDIAL                                                                                                                                                                                                                                                                                                                                                                                                                          </t>
  </si>
  <si>
    <t xml:space="preserve">BUCHA DE REDUCAO DE PVC, SOLDAVEL, LONGA, COM 75 X 50 MM, PARA AGUA FRIA PREDIAL                                                                                                                                                                                                                                                                                                                                                                                                                          </t>
  </si>
  <si>
    <t xml:space="preserve">BUCHA DE REDUCAO DE PVC, SOLDAVEL, LONGA, COM 85 X 60 MM, PARA AGUA FRIA PREDIAL                                                                                                                                                                                                                                                                                                                                                                                                                          </t>
  </si>
  <si>
    <t>31,10</t>
  </si>
  <si>
    <t xml:space="preserve">BUCHA DE REDUCAO DE PVC, SOLDAVEL, LONGA, 50 X 40 MM, PARA ESGOTO PREDIAL                                                                                                                                                                                                                                                                                                                                                                                                                                 </t>
  </si>
  <si>
    <t xml:space="preserve">BUCHA DE REDUCAO EM ALUMINIO, COM ROSCA, DE 1 1/2" X 1 1/4", PARA ELETRODUTO                                                                                                                                                                                                                                                                                                                                                                                                                              </t>
  </si>
  <si>
    <t xml:space="preserve">BUCHA DE REDUCAO EM ALUMINIO, COM ROSCA, DE 1 1/2" X 1", PARA ELETRODUTO                                                                                                                                                                                                                                                                                                                                                                                                                                  </t>
  </si>
  <si>
    <t xml:space="preserve">BUCHA DE REDUCAO EM ALUMINIO, COM ROSCA, DE 1 1/2" X 3/4", PARA ELETRODUTO                                                                                                                                                                                                                                                                                                                                                                                                                                </t>
  </si>
  <si>
    <t xml:space="preserve">BUCHA DE REDUCAO EM ALUMINIO, COM ROSCA, DE 1 1/4" X 1/2", PARA ELETRODUTO                                                                                                                                                                                                                                                                                                                                                                                                                                </t>
  </si>
  <si>
    <t xml:space="preserve">BUCHA DE REDUCAO EM ALUMINIO, COM ROSCA, DE 1 1/4" X 1", PARA ELETRODUTO                                                                                                                                                                                                                                                                                                                                                                                                                                  </t>
  </si>
  <si>
    <t xml:space="preserve">BUCHA DE REDUCAO EM ALUMINIO, COM ROSCA, DE 1 1/4" X 3/4", PARA ELETRODUTO                                                                                                                                                                                                                                                                                                                                                                                                                                </t>
  </si>
  <si>
    <t xml:space="preserve">BUCHA DE REDUCAO EM ALUMINIO, COM ROSCA, DE 1" X 1/2", PARA ELETRODUTO                                                                                                                                                                                                                                                                                                                                                                                                                                    </t>
  </si>
  <si>
    <t xml:space="preserve">BUCHA DE REDUCAO EM ALUMINIO, COM ROSCA, DE 1" X 3/4", PARA ELETRODUTO                                                                                                                                                                                                                                                                                                                                                                                                                                    </t>
  </si>
  <si>
    <t xml:space="preserve">BUCHA DE REDUCAO EM ALUMINIO, COM ROSCA, DE 2 1/2" X 1 1/2", PARA ELETRODUTO                                                                                                                                                                                                                                                                                                                                                                                                                              </t>
  </si>
  <si>
    <t>64,19</t>
  </si>
  <si>
    <t xml:space="preserve">BUCHA DE REDUCAO EM ALUMINIO, COM ROSCA, DE 2 1/2" X 1 1/4", PARA ELETRODUTO                                                                                                                                                                                                                                                                                                                                                                                                                              </t>
  </si>
  <si>
    <t xml:space="preserve">BUCHA DE REDUCAO EM ALUMINIO, COM ROSCA, DE 2 1/2" X 1", PARA ELETRODUTO                                                                                                                                                                                                                                                                                                                                                                                                                                  </t>
  </si>
  <si>
    <t>69,15</t>
  </si>
  <si>
    <t xml:space="preserve">BUCHA DE REDUCAO EM ALUMINIO, COM ROSCA, DE 2 1/2" X 2", PARA ELETRODUTO                                                                                                                                                                                                                                                                                                                                                                                                                                  </t>
  </si>
  <si>
    <t xml:space="preserve">BUCHA DE REDUCAO EM ALUMINIO, COM ROSCA, DE 2" X 1 1/2", PARA ELETRODUTO                                                                                                                                                                                                                                                                                                                                                                                                                                  </t>
  </si>
  <si>
    <t>35,65</t>
  </si>
  <si>
    <t xml:space="preserve">BUCHA DE REDUCAO EM ALUMINIO, COM ROSCA, DE 2" X 1 1/4", PARA ELETRODUTO                                                                                                                                                                                                                                                                                                                                                                                                                                  </t>
  </si>
  <si>
    <t xml:space="preserve">BUCHA DE REDUCAO EM ALUMINIO, COM ROSCA, DE 2" X 1", PARA ELETRODUTO                                                                                                                                                                                                                                                                                                                                                                                                                                      </t>
  </si>
  <si>
    <t xml:space="preserve">BUCHA DE REDUCAO EM ALUMINIO, COM ROSCA, DE 2" X 3/4", PARA ELETRODUTO                                                                                                                                                                                                                                                                                                                                                                                                                                    </t>
  </si>
  <si>
    <t xml:space="preserve">BUCHA DE REDUCAO EM ALUMINIO, COM ROSCA, DE 3/4" X 1/2",  PARA ELETRODUTO                                                                                                                                                                                                                                                                                                                                                                                                                                 </t>
  </si>
  <si>
    <t xml:space="preserve">BUCHA DE REDUCAO EM ALUMINIO, COM ROSCA, DE 3" X 1 1/2", PARA ELETRODUTO                                                                                                                                                                                                                                                                                                                                                                                                                                  </t>
  </si>
  <si>
    <t>76,74</t>
  </si>
  <si>
    <t xml:space="preserve">BUCHA DE REDUCAO EM ALUMINIO, COM ROSCA, DE 3" X 1 1/4", PARA ELETRODUTO                                                                                                                                                                                                                                                                                                                                                                                                                                  </t>
  </si>
  <si>
    <t xml:space="preserve">BUCHA DE REDUCAO EM ALUMINIO, COM ROSCA, DE 3" X 2 1/2", PARA ELETRODUTO                                                                                                                                                                                                                                                                                                                                                                                                                                  </t>
  </si>
  <si>
    <t>62,47</t>
  </si>
  <si>
    <t xml:space="preserve">BUCHA DE REDUCAO EM ALUMINIO, COM ROSCA, DE 3" X 2", PARA ELETRODUTO                                                                                                                                                                                                                                                                                                                                                                                                                                      </t>
  </si>
  <si>
    <t>73,38</t>
  </si>
  <si>
    <t xml:space="preserve">BUCHA DE REDUCAO EM ALUMINIO, COM ROSCA, DE 4" X 2 1/2", PARA ELETRODUTO                                                                                                                                                                                                                                                                                                                                                                                                                                  </t>
  </si>
  <si>
    <t xml:space="preserve">BUCHA DE REDUCAO EM ALUMINIO, COM ROSCA, DE 4" X 2", PARA ELETRODUTO                                                                                                                                                                                                                                                                                                                                                                                                                                      </t>
  </si>
  <si>
    <t>125,38</t>
  </si>
  <si>
    <t xml:space="preserve">BUCHA DE REDUCAO EM ALUMINIO, COM ROSCA, DE 4" X 3", PARA ELETRODUTO                                                                                                                                                                                                                                                                                                                                                                                                                                      </t>
  </si>
  <si>
    <t>118,95</t>
  </si>
  <si>
    <t xml:space="preserve">BUCHA DE REDUCAO PVC ROSCAVEL 1 1/2" X 1"                                                                                                                                                                                                                                                                                                                                                                                                                                                                 </t>
  </si>
  <si>
    <t>12,16</t>
  </si>
  <si>
    <t xml:space="preserve">BUCHA DE REDUCAO PVC ROSCAVEL 3/4" X 1/2"                                                                                                                                                                                                                                                                                                                                                                                                                                                                 </t>
  </si>
  <si>
    <t xml:space="preserve">BUCHA DE REDUCAO PVC ROSCAVEL, 1 1/2" X 3/4"                                                                                                                                                                                                                                                                                                                                                                                                                                                              </t>
  </si>
  <si>
    <t xml:space="preserve">BUCHA DE REDUCAO PVC ROSCAVEL, 1" X 1/2"                                                                                                                                                                                                                                                                                                                                                                                                                                                                  </t>
  </si>
  <si>
    <t xml:space="preserve">BUCHA DE REDUCAO PVC ROSCAVEL, 1" X 3/4"                                                                                                                                                                                                                                                                                                                                                                                                                                                                  </t>
  </si>
  <si>
    <t xml:space="preserve">BUCHA DE REDUCAO PVC, ROSCAVEL,  2"  X 1 1/2 "                                                                                                                                                                                                                                                                                                                                                                                                                                                            </t>
  </si>
  <si>
    <t xml:space="preserve">BUCHA DE REDUCAO PVC, ROSCAVEL, 1 1/2"  X1 1/4 "                                                                                                                                                                                                                                                                                                                                                                                                                                                          </t>
  </si>
  <si>
    <t>11,86</t>
  </si>
  <si>
    <t xml:space="preserve">BUCHA DE REDUCAO PVC, ROSCAVEL, 1 1/4"  X 3/4 "                                                                                                                                                                                                                                                                                                                                                                                                                                                           </t>
  </si>
  <si>
    <t xml:space="preserve">BUCHA DE REDUCAO PVC, ROSCAVEL, 1 1/4" X 1 "                                                                                                                                                                                                                                                                                                                                                                                                                                                              </t>
  </si>
  <si>
    <t xml:space="preserve">BUCHA DE REDUCAO PVC, ROSCAVEL, 2"  X 1 "                                                                                                                                                                                                                                                                                                                                                                                                                                                                 </t>
  </si>
  <si>
    <t xml:space="preserve">BUCHA DE REDUCAO PVC, ROSCAVEL, 2"  X 1 1/4 "                                                                                                                                                                                                                                                                                                                                                                                                                                                             </t>
  </si>
  <si>
    <t xml:space="preserve">BUCHA DE REDUCAO, CPVC, SOLDAVEL, 22 X 15 MM, PARA AGUA QUENTE                                                                                                                                                                                                                                                                                                                                                                                                                                            </t>
  </si>
  <si>
    <t xml:space="preserve">BUCHA DE REDUCAO, CPVC, SOLDAVEL, 28 X 22 MM, PARA AGUA QUENTE                                                                                                                                                                                                                                                                                                                                                                                                                                            </t>
  </si>
  <si>
    <t xml:space="preserve">BUCHA DE REDUCAO, CPVC, SOLDAVEL, 35 X 28 MM, PARA AGUA QUENTE                                                                                                                                                                                                                                                                                                                                                                                                                                            </t>
  </si>
  <si>
    <t xml:space="preserve">BUCHA DE REDUCAO, CPVC, SOLDAVEL, 42 X 22 MM, PARA AGUA QUENTE                                                                                                                                                                                                                                                                                                                                                                                                                                            </t>
  </si>
  <si>
    <t>36,97</t>
  </si>
  <si>
    <t xml:space="preserve">BUCHA DE REDUCAO, PPR, DN 25 X 20 MM, PARA AGUA QUENTE PREDIAL                                                                                                                                                                                                                                                                                                                                                                                                                                            </t>
  </si>
  <si>
    <t xml:space="preserve">BUCHA DE REDUCAO, PPR, DN 32 X 25 MM, PARA AGUA QUENTE E FRIA PREDIAL                                                                                                                                                                                                                                                                                                                                                                                                                                     </t>
  </si>
  <si>
    <t xml:space="preserve">BUCHA DE REDUCAO, PPR, DN 40 X 25 MM, PARA AGUA QUENTE E FRIA PREDIAL                                                                                                                                                                                                                                                                                                                                                                                                                                     </t>
  </si>
  <si>
    <t xml:space="preserve">BUCHA DE REDUCAO, PVC, LONGA, SERIE R, DN 50 X 40 MM, PARA ESGOTO OU AGUAS PLUVIAIS PREDIAIS                                                                                                                                                                                                                                                                                                                                                                                                              </t>
  </si>
  <si>
    <t xml:space="preserve">BUCHA EM ALUMINIO, COM ROSCA, DE  1 1/2", PARA ELETRODUTO                                                                                                                                                                                                                                                                                                                                                                                                                                                 </t>
  </si>
  <si>
    <t xml:space="preserve">BUCHA EM ALUMINIO, COM ROSCA, DE 1 1/4", PARA ELETRODUTO                                                                                                                                                                                                                                                                                                                                                                                                                                                  </t>
  </si>
  <si>
    <t xml:space="preserve">BUCHA EM ALUMINIO, COM ROSCA, DE 1/2", PARA ELETRODUTO                                                                                                                                                                                                                                                                                                                                                                                                                                                    </t>
  </si>
  <si>
    <t xml:space="preserve">BUCHA EM ALUMINIO, COM ROSCA, DE 1", PARA ELETRODUTO                                                                                                                                                                                                                                                                                                                                                                                                                                                      </t>
  </si>
  <si>
    <t xml:space="preserve">BUCHA EM ALUMINIO, COM ROSCA, DE 2 1/2", PARA ELETRODUTO                                                                                                                                                                                                                                                                                                                                                                                                                                                  </t>
  </si>
  <si>
    <t xml:space="preserve">BUCHA EM ALUMINIO, COM ROSCA, DE 2", PARA ELETRODUTO                                                                                                                                                                                                                                                                                                                                                                                                                                                      </t>
  </si>
  <si>
    <t xml:space="preserve">BUCHA EM ALUMINIO, COM ROSCA, DE 3/4", PARA ELETRODUTO                                                                                                                                                                                                                                                                                                                                                                                                                                                    </t>
  </si>
  <si>
    <t>1,17</t>
  </si>
  <si>
    <t xml:space="preserve">BUCHA EM ALUMINIO, COM ROSCA, DE 3/8", PARA ELETRODUTO                                                                                                                                                                                                                                                                                                                                                                                                                                                    </t>
  </si>
  <si>
    <t xml:space="preserve">BUCHA EM ALUMINIO, COM ROSCA, DE 3", PARA ELETRODUTO                                                                                                                                                                                                                                                                                                                                                                                                                                                      </t>
  </si>
  <si>
    <t xml:space="preserve">BUCHA EM ALUMINIO, COM ROSCA, DE 4", PARA ELETRODUTO                                                                                                                                                                                                                                                                                                                                                                                                                                                      </t>
  </si>
  <si>
    <t xml:space="preserve">CABECEIRA DIREITA OU ESQUERDA, PVC, PARA CALHA PLUVIAL, DIAMETRO ENTRE 119 E 170 MM, PARA DRENAGEM PREDIAL                                                                                                                                                                                                                                                                                                                                                                                                </t>
  </si>
  <si>
    <t xml:space="preserve">CABECOTE PARA ENTRADA DE LINHA DE ALIMENTACAO PARA ELETRODUTO, EM LIGA DE ALUMINIO COM ACABAMENTO ANTI CORROSIVO, COM FIXACAO POR ENCAIXE LISO DE 360 GRAUS, DE 1 1/2"                                                                                                                                                                                                                                                                                                                                    </t>
  </si>
  <si>
    <t xml:space="preserve">CABECOTE PARA ENTRADA DE LINHA DE ALIMENTACAO PARA ELETRODUTO, EM LIGA DE ALUMINIO COM ACABAMENTO ANTI CORROSIVO, COM FIXACAO POR ENCAIXE LISO DE 360 GRAUS, DE 1 1/4"                                                                                                                                                                                                                                                                                                                                    </t>
  </si>
  <si>
    <t xml:space="preserve">CABECOTE PARA ENTRADA DE LINHA DE ALIMENTACAO PARA ELETRODUTO, EM LIGA DE ALUMINIO COM ACABAMENTO ANTI CORROSIVO, COM FIXACAO POR ENCAIXE LISO DE 360 GRAUS, DE 1/2"                                                                                                                                                                                                                                                                                                                                      </t>
  </si>
  <si>
    <t xml:space="preserve">CABECOTE PARA ENTRADA DE LINHA DE ALIMENTACAO PARA ELETRODUTO, EM LIGA DE ALUMINIO COM ACABAMENTO ANTI CORROSIVO, COM FIXACAO POR ENCAIXE LISO DE 360 GRAUS, DE 1"                                                                                                                                                                                                                                                                                                                                        </t>
  </si>
  <si>
    <t>4,74</t>
  </si>
  <si>
    <t xml:space="preserve">CABECOTE PARA ENTRADA DE LINHA DE ALIMENTACAO PARA ELETRODUTO, EM LIGA DE ALUMINIO COM ACABAMENTO ANTI CORROSIVO, COM FIXACAO POR ENCAIXE LISO DE 360 GRAUS, DE 2 1/2"                                                                                                                                                                                                                                                                                                                                    </t>
  </si>
  <si>
    <t>29,92</t>
  </si>
  <si>
    <t xml:space="preserve">CABECOTE PARA ENTRADA DE LINHA DE ALIMENTACAO PARA ELETRODUTO, EM LIGA DE ALUMINIO COM ACABAMENTO ANTI CORROSIVO, COM FIXACAO POR ENCAIXE LISO DE 360 GRAUS, DE 2"                                                                                                                                                                                                                                                                                                                                        </t>
  </si>
  <si>
    <t xml:space="preserve">CABECOTE PARA ENTRADA DE LINHA DE ALIMENTACAO PARA ELETRODUTO, EM LIGA DE ALUMINIO COM ACABAMENTO ANTI CORROSIVO, COM FIXACAO POR ENCAIXE LISO DE 360 GRAUS, DE 3 1/2"                                                                                                                                                                                                                                                                                                                                    </t>
  </si>
  <si>
    <t>59,62</t>
  </si>
  <si>
    <t xml:space="preserve">CABECOTE PARA ENTRADA DE LINHA DE ALIMENTACAO PARA ELETRODUTO, EM LIGA DE ALUMINIO COM ACABAMENTO ANTI CORROSIVO, COM FIXACAO POR ENCAIXE LISO DE 360 GRAUS, DE 3/4"                                                                                                                                                                                                                                                                                                                                      </t>
  </si>
  <si>
    <t xml:space="preserve">CABECOTE PARA ENTRADA DE LINHA DE ALIMENTACAO PARA ELETRODUTO, EM LIGA DE ALUMINIO COM ACABAMENTO ANTI CORROSIVO, COM FIXACAO POR ENCAIXE LISO DE 360 GRAUS, DE 3"                                                                                                                                                                                                                                                                                                                                        </t>
  </si>
  <si>
    <t xml:space="preserve">CABECOTE PARA ENTRADA DE LINHA DE ALIMENTACAO PARA ELETRODUTO, EM LIGA DE ALUMINIO COM ACABAMENTO ANTI CORROSIVO, COM FIXACAO POR ENCAIXE LISO DE 360 GRAUS, DE 4"                                                                                                                                                                                                                                                                                                                                        </t>
  </si>
  <si>
    <t>64,84</t>
  </si>
  <si>
    <t xml:space="preserve">CABIDE/GANCHO DE BANHEIRO SIMPLES EM METAL CROMADO                                                                                                                                                                                                                                                                                                                                                                                                                                                        </t>
  </si>
  <si>
    <t>16,57</t>
  </si>
  <si>
    <t xml:space="preserve">CABO DE ACO GALVANIZADO, DIAMETRO 12,7 MM (1/2"), COM ALMA DE ACO CABO INDEPENDENTE 6 X 25 F                                                                                                                                                                                                                                                                                                                                                                                                              </t>
  </si>
  <si>
    <t>97,56</t>
  </si>
  <si>
    <t xml:space="preserve">CABO DE ACO GALVANIZADO, DIAMETRO 12,7 MM (1/2"), COM ALMA DE FIBRA 6 X 25 F                                                                                                                                                                                                                                                                                                                                                                                                                              </t>
  </si>
  <si>
    <t xml:space="preserve">CABO DE ACO GALVANIZADO, DIAMETRO 9,53 MM (3/8"), COM ALMA DE FIBRA 6 X 25 F                                                                                                                                                                                                                                                                                                                                                                                                                              </t>
  </si>
  <si>
    <t>92,22</t>
  </si>
  <si>
    <t xml:space="preserve">CABO DE ALUMINIO NU COM ALMA DE ACO, BITOLA 1/0 AWG                                                                                                                                                                                                                                                                                                                                                                                                                                                       </t>
  </si>
  <si>
    <t>41,06</t>
  </si>
  <si>
    <t xml:space="preserve">CABO DE ALUMINIO NU COM ALMA DE ACO, BITOLA 2 AWG                                                                                                                                                                                                                                                                                                                                                                                                                                                         </t>
  </si>
  <si>
    <t xml:space="preserve">CABO DE ALUMINIO NU COM ALMA DE ACO, BITOLA 2/0 AWG                                                                                                                                                                                                                                                                                                                                                                                                                                                       </t>
  </si>
  <si>
    <t xml:space="preserve">CABO DE ALUMINIO NU COM ALMA DE ACO, BITOLA 4 AWG                                                                                                                                                                                                                                                                                                                                                                                                                                                         </t>
  </si>
  <si>
    <t xml:space="preserve">CABO DE ALUMINIO NU SEM ALMA DE ACO, BITOLA 1/0 AWG                                                                                                                                                                                                                                                                                                                                                                                                                                                       </t>
  </si>
  <si>
    <t>46,12</t>
  </si>
  <si>
    <t xml:space="preserve">CABO DE ALUMINIO NU SEM ALMA DE ACO, BITOLA 2 AWG                                                                                                                                                                                                                                                                                                                                                                                                                                                         </t>
  </si>
  <si>
    <t xml:space="preserve">CABO DE ALUMINIO NU SEM ALMA DE ACO, BITOLA 2/0 AWG                                                                                                                                                                                                                                                                                                                                                                                                                                                       </t>
  </si>
  <si>
    <t xml:space="preserve">CABO DE ALUMINIO NU SEM ALMA DE ACO, BITOLA 4 AWG                                                                                                                                                                                                                                                                                                                                                                                                                                                         </t>
  </si>
  <si>
    <t xml:space="preserve">CABO DE COBRE NU 10 MM2 MEIO-DURO                                                                                                                                                                                                                                                                                                                                                                                                                                                                         </t>
  </si>
  <si>
    <t xml:space="preserve">CABO DE COBRE NU 120 MM2 MEIO-DURO                                                                                                                                                                                                                                                                                                                                                                                                                                                                        </t>
  </si>
  <si>
    <t xml:space="preserve">CABO DE COBRE NU 150 MM2 MEIO-DURO                                                                                                                                                                                                                                                                                                                                                                                                                                                                        </t>
  </si>
  <si>
    <t xml:space="preserve">CABO DE COBRE NU 16 MM2 MEIO-DURO                                                                                                                                                                                                                                                                                                                                                                                                                                                                         </t>
  </si>
  <si>
    <t xml:space="preserve">CABO DE COBRE NU 185 MM2 MEIO-DURO                                                                                                                                                                                                                                                                                                                                                                                                                                                                        </t>
  </si>
  <si>
    <t xml:space="preserve">CABO DE COBRE NU 25 MM2 MEIO-DURO                                                                                                                                                                                                                                                                                                                                                                                                                                                                         </t>
  </si>
  <si>
    <t xml:space="preserve">CABO DE COBRE NU 300 MM2 MEIO-DURO                                                                                                                                                                                                                                                                                                                                                                                                                                                                        </t>
  </si>
  <si>
    <t xml:space="preserve">CABO DE COBRE NU 35 MM2 MEIO-DURO                                                                                                                                                                                                                                                                                                                                                                                                                                                                         </t>
  </si>
  <si>
    <t xml:space="preserve">CABO DE COBRE NU 50 MM2 MEIO-DURO                                                                                                                                                                                                                                                                                                                                                                                                                                                                         </t>
  </si>
  <si>
    <t xml:space="preserve">CABO DE COBRE NU 500 MM2 MEIO-DURO                                                                                                                                                                                                                                                                                                                                                                                                                                                                        </t>
  </si>
  <si>
    <t xml:space="preserve">CABO DE COBRE NU 70 MM2 MEIO-DURO                                                                                                                                                                                                                                                                                                                                                                                                                                                                         </t>
  </si>
  <si>
    <t xml:space="preserve">CABO DE COBRE NU 95 MM2 MEIO-DURO                                                                                                                                                                                                                                                                                                                                                                                                                                                                         </t>
  </si>
  <si>
    <t xml:space="preserve">CABO DE COBRE RIGIDO, CLASSE 2, ISOLACAO EM PVC, ANTI-CHAMA BWF-B, 1 CONDUTOR, 450/750 V, DIAMETRO 120 MM2                                                                                                                                                                                                                                                                                                                                                                                                </t>
  </si>
  <si>
    <t xml:space="preserve">CABO DE COBRE UNIPOLAR 10 MM2, BLINDADO, ISOLACAO 3,6/6 KV EPR, COBERTURA EM PVC                                                                                                                                                                                                                                                                                                                                                                                                                          </t>
  </si>
  <si>
    <t xml:space="preserve">CABO DE COBRE UNIPOLAR 16 MM2, BLINDADO, ISOLACAO 3,6/6 KV EPR, COBERTURA EM PVC                                                                                                                                                                                                                                                                                                                                                                                                                          </t>
  </si>
  <si>
    <t xml:space="preserve">CABO DE COBRE UNIPOLAR 16 MM2, BLINDADO, ISOLACAO 6/10 KV EPR, COBERTURA EM PVC                                                                                                                                                                                                                                                                                                                                                                                                                           </t>
  </si>
  <si>
    <t xml:space="preserve">CABO DE COBRE UNIPOLAR 25 MM2, BLINDADO, ISOLACAO 3,6/6 KV EPR, COBERTURA EM PVC                                                                                                                                                                                                                                                                                                                                                                                                                          </t>
  </si>
  <si>
    <t xml:space="preserve">CABO DE COBRE UNIPOLAR 25MM2, BLINDADO, ISOLACAO 6/10 KV EPR, COBERTURA EM PVC                                                                                                                                                                                                                                                                                                                                                                                                                            </t>
  </si>
  <si>
    <t xml:space="preserve">CABO DE COBRE UNIPOLAR 35 MM2, BLINDADO, ISOLACAO 12/20 KV EPR, COBERTURA EM PVC                                                                                                                                                                                                                                                                                                                                                                                                                          </t>
  </si>
  <si>
    <t xml:space="preserve">CABO DE COBRE UNIPOLAR 35 MM2, BLINDADO, ISOLACAO 3,6/6 KV EPR, COBERTURA EM PVC                                                                                                                                                                                                                                                                                                                                                                                                                          </t>
  </si>
  <si>
    <t xml:space="preserve">CABO DE COBRE UNIPOLAR 35 MM2, BLINDADO, ISOLACAO 6/10 KV EPR, COBERTURA EM PVC                                                                                                                                                                                                                                                                                                                                                                                                                           </t>
  </si>
  <si>
    <t xml:space="preserve">CABO DE COBRE UNIPOLAR 50 MM2, BLINDADO, ISOLACAO 12/20 KV EPR, COBERTURA EM PVC                                                                                                                                                                                                                                                                                                                                                                                                                          </t>
  </si>
  <si>
    <t xml:space="preserve">CABO DE COBRE UNIPOLAR 50 MM2, BLINDADO, ISOLACAO 3,6/6 KV EPR, COBERTURA EM PVC                                                                                                                                                                                                                                                                                                                                                                                                                          </t>
  </si>
  <si>
    <t xml:space="preserve">CABO DE COBRE UNIPOLAR 50 MM2, BLINDADO, ISOLACAO 6/10 KV EPR, COBERTURA EM PVC                                                                                                                                                                                                                                                                                                                                                                                                                           </t>
  </si>
  <si>
    <t xml:space="preserve">CABO DE COBRE UNIPOLAR 70 MM2, BLINDADO, ISOLACAO 12/20 KV EPR, COBERTURA EM PVC                                                                                                                                                                                                                                                                                                                                                                                                                          </t>
  </si>
  <si>
    <t xml:space="preserve">CABO DE COBRE UNIPOLAR 70 MM2, BLINDADO, ISOLACAO 3,6/6 KV EPR, COBERTURA EM PVC                                                                                                                                                                                                                                                                                                                                                                                                                          </t>
  </si>
  <si>
    <t xml:space="preserve">CABO DE COBRE UNIPOLAR 70 MM2, BLINDADO, ISOLACAO 6/10 KV EPR, COBERTURA EM PVC                                                                                                                                                                                                                                                                                                                                                                                                                           </t>
  </si>
  <si>
    <t xml:space="preserve">CABO DE COBRE UNIPOLAR 95 MM2, BLINDADO, ISOLACAO 12/20 KV EPR, COBERTURA EM PVC                                                                                                                                                                                                                                                                                                                                                                                                                          </t>
  </si>
  <si>
    <t xml:space="preserve">CABO DE COBRE UNIPOLAR 95 MM2, BLINDADO, ISOLACAO 3,6/6 KV EPR, COBERTURA EM PVC                                                                                                                                                                                                                                                                                                                                                                                                                          </t>
  </si>
  <si>
    <t xml:space="preserve">CABO DE COBRE UNIPOLAR 95 MM2, BLINDADO, ISOLACAO 6/10 KV EPR, COBERTURA EM PVC                                                                                                                                                                                                                                                                                                                                                                                                                           </t>
  </si>
  <si>
    <t xml:space="preserve">CABO DE COBRE, FLEXIVEL, CLASSE 4 OU 5, ISOLACAO EM PVC/A, ANTICHAMA BWF-B, COBERTURA PVC-ST1, ANTICHAMA BWF-B, 1 CONDUTOR, 0,6/1 KV, SECAO NOMINAL 1,5 MM2                                                                                                                                                                                                                                                                                                                                               </t>
  </si>
  <si>
    <t xml:space="preserve">CABO DE COBRE, FLEXIVEL, CLASSE 4 OU 5, ISOLACAO EM PVC/A, ANTICHAMA BWF-B, COBERTURA PVC-ST1, ANTICHAMA BWF-B, 1 CONDUTOR, 0,6/1 KV, SECAO NOMINAL 10 MM2                                                                                                                                                                                                                                                                                                                                                </t>
  </si>
  <si>
    <t xml:space="preserve">CABO DE COBRE, FLEXIVEL, CLASSE 4 OU 5, ISOLACAO EM PVC/A, ANTICHAMA BWF-B, COBERTURA PVC-ST1, ANTICHAMA BWF-B, 1 CONDUTOR, 0,6/1 KV, SECAO NOMINAL 120 MM2                                                                                                                                                                                                                                                                                                                                               </t>
  </si>
  <si>
    <t xml:space="preserve">CABO DE COBRE, FLEXIVEL, CLASSE 4 OU 5, ISOLACAO EM PVC/A, ANTICHAMA BWF-B, COBERTURA PVC-ST1, ANTICHAMA BWF-B, 1 CONDUTOR, 0,6/1 KV, SECAO NOMINAL 150 MM2                                                                                                                                                                                                                                                                                                                                               </t>
  </si>
  <si>
    <t xml:space="preserve">CABO DE COBRE, FLEXIVEL, CLASSE 4 OU 5, ISOLACAO EM PVC/A, ANTICHAMA BWF-B, COBERTURA PVC-ST1, ANTICHAMA BWF-B, 1 CONDUTOR, 0,6/1 KV, SECAO NOMINAL 16 MM2                                                                                                                                                                                                                                                                                                                                                </t>
  </si>
  <si>
    <t xml:space="preserve">CABO DE COBRE, FLEXIVEL, CLASSE 4 OU 5, ISOLACAO EM PVC/A, ANTICHAMA BWF-B, COBERTURA PVC-ST1, ANTICHAMA BWF-B, 1 CONDUTOR, 0,6/1 KV, SECAO NOMINAL 185 MM2                                                                                                                                                                                                                                                                                                                                               </t>
  </si>
  <si>
    <t xml:space="preserve">CABO DE COBRE, FLEXIVEL, CLASSE 4 OU 5, ISOLACAO EM PVC/A, ANTICHAMA BWF-B, COBERTURA PVC-ST1, ANTICHAMA BWF-B, 1 CONDUTOR, 0,6/1 KV, SECAO NOMINAL 2,5 MM2                                                                                                                                                                                                                                                                                                                                               </t>
  </si>
  <si>
    <t xml:space="preserve">CABO DE COBRE, FLEXIVEL, CLASSE 4 OU 5, ISOLACAO EM PVC/A, ANTICHAMA BWF-B, COBERTURA PVC-ST1, ANTICHAMA BWF-B, 1 CONDUTOR, 0,6/1 KV, SECAO NOMINAL 240 MM2                                                                                                                                                                                                                                                                                                                                               </t>
  </si>
  <si>
    <t xml:space="preserve">CABO DE COBRE, FLEXIVEL, CLASSE 4 OU 5, ISOLACAO EM PVC/A, ANTICHAMA BWF-B, COBERTURA PVC-ST1, ANTICHAMA BWF-B, 1 CONDUTOR, 0,6/1 KV, SECAO NOMINAL 25 MM2                                                                                                                                                                                                                                                                                                                                                </t>
  </si>
  <si>
    <t xml:space="preserve">CABO DE COBRE, FLEXIVEL, CLASSE 4 OU 5, ISOLACAO EM PVC/A, ANTICHAMA BWF-B, COBERTURA PVC-ST1, ANTICHAMA BWF-B, 1 CONDUTOR, 0,6/1 KV, SECAO NOMINAL 300 MM2                                                                                                                                                                                                                                                                                                                                               </t>
  </si>
  <si>
    <t xml:space="preserve">CABO DE COBRE, FLEXIVEL, CLASSE 4 OU 5, ISOLACAO EM PVC/A, ANTICHAMA BWF-B, COBERTURA PVC-ST1, ANTICHAMA BWF-B, 1 CONDUTOR, 0,6/1 KV, SECAO NOMINAL 35 MM2                                                                                                                                                                                                                                                                                                                                                </t>
  </si>
  <si>
    <t xml:space="preserve">CABO DE COBRE, FLEXIVEL, CLASSE 4 OU 5, ISOLACAO EM PVC/A, ANTICHAMA BWF-B, COBERTURA PVC-ST1, ANTICHAMA BWF-B, 1 CONDUTOR, 0,6/1 KV, SECAO NOMINAL 4 MM2                                                                                                                                                                                                                                                                                                                                                 </t>
  </si>
  <si>
    <t xml:space="preserve">CABO DE COBRE, FLEXIVEL, CLASSE 4 OU 5, ISOLACAO EM PVC/A, ANTICHAMA BWF-B, COBERTURA PVC-ST1, ANTICHAMA BWF-B, 1 CONDUTOR, 0,6/1 KV, SECAO NOMINAL 400 MM2                                                                                                                                                                                                                                                                                                                                               </t>
  </si>
  <si>
    <t xml:space="preserve">CABO DE COBRE, FLEXIVEL, CLASSE 4 OU 5, ISOLACAO EM PVC/A, ANTICHAMA BWF-B, COBERTURA PVC-ST1, ANTICHAMA BWF-B, 1 CONDUTOR, 0,6/1 KV, SECAO NOMINAL 50 MM2                                                                                                                                                                                                                                                                                                                                                </t>
  </si>
  <si>
    <t xml:space="preserve">CABO DE COBRE, FLEXIVEL, CLASSE 4 OU 5, ISOLACAO EM PVC/A, ANTICHAMA BWF-B, COBERTURA PVC-ST1, ANTICHAMA BWF-B, 1 CONDUTOR, 0,6/1 KV, SECAO NOMINAL 500 MM2                                                                                                                                                                                                                                                                                                                                               </t>
  </si>
  <si>
    <t xml:space="preserve">CABO DE COBRE, FLEXIVEL, CLASSE 4 OU 5, ISOLACAO EM PVC/A, ANTICHAMA BWF-B, COBERTURA PVC-ST1, ANTICHAMA BWF-B, 1 CONDUTOR, 0,6/1 KV, SECAO NOMINAL 6 MM2                                                                                                                                                                                                                                                                                                                                                 </t>
  </si>
  <si>
    <t xml:space="preserve">CABO DE COBRE, FLEXIVEL, CLASSE 4 OU 5, ISOLACAO EM PVC/A, ANTICHAMA BWF-B, COBERTURA PVC-ST1, ANTICHAMA BWF-B, 1 CONDUTOR, 0,6/1 KV, SECAO NOMINAL 70 MM2                                                                                                                                                                                                                                                                                                                                                </t>
  </si>
  <si>
    <t xml:space="preserve">CABO DE COBRE, FLEXIVEL, CLASSE 4 OU 5, ISOLACAO EM PVC/A, ANTICHAMA BWF-B, COBERTURA PVC-ST1, ANTICHAMA BWF-B, 1 CONDUTOR, 0,6/1 KV, SECAO NOMINAL 95 MM2                                                                                                                                                                                                                                                                                                                                                </t>
  </si>
  <si>
    <t xml:space="preserve">CABO DE COBRE, FLEXIVEL, CLASSE 4 OU 5, ISOLACAO EM PVC/A, ANTICHAMA BWF-B, 1 CONDUTOR, 450/750 V, SECAO NOMINAL 0,5 MM2                                                                                                                                                                                                                                                                                                                                                                                  </t>
  </si>
  <si>
    <t xml:space="preserve">CABO DE COBRE, FLEXIVEL, CLASSE 4 OU 5, ISOLACAO EM PVC/A, ANTICHAMA BWF-B, 1 CONDUTOR, 450/750 V, SECAO NOMINAL 0,75 MM2                                                                                                                                                                                                                                                                                                                                                                                 </t>
  </si>
  <si>
    <t xml:space="preserve">CABO DE COBRE, FLEXIVEL, CLASSE 4 OU 5, ISOLACAO EM PVC/A, ANTICHAMA BWF-B, 1 CONDUTOR, 450/750 V, SECAO NOMINAL 1,0 MM2                                                                                                                                                                                                                                                                                                                                                                                  </t>
  </si>
  <si>
    <t xml:space="preserve">CABO DE COBRE, FLEXIVEL, CLASSE 4 OU 5, ISOLACAO EM PVC/A, ANTICHAMA BWF-B, 1 CONDUTOR, 450/750 V, SECAO NOMINAL 1,5 MM2                                                                                                                                                                                                                                                                                                                                                                                  </t>
  </si>
  <si>
    <t xml:space="preserve">CABO DE COBRE, FLEXIVEL, CLASSE 4 OU 5, ISOLACAO EM PVC/A, ANTICHAMA BWF-B, 1 CONDUTOR, 450/750 V, SECAO NOMINAL 10 MM2                                                                                                                                                                                                                                                                                                                                                                                   </t>
  </si>
  <si>
    <t xml:space="preserve">CABO DE COBRE, FLEXIVEL, CLASSE 4 OU 5, ISOLACAO EM PVC/A, ANTICHAMA BWF-B, 1 CONDUTOR, 450/750 V, SECAO NOMINAL 120 MM2                                                                                                                                                                                                                                                                                                                                                                                  </t>
  </si>
  <si>
    <t xml:space="preserve">CABO DE COBRE, FLEXIVEL, CLASSE 4 OU 5, ISOLACAO EM PVC/A, ANTICHAMA BWF-B, 1 CONDUTOR, 450/750 V, SECAO NOMINAL 150 MM2                                                                                                                                                                                                                                                                                                                                                                                  </t>
  </si>
  <si>
    <t xml:space="preserve">CABO DE COBRE, FLEXIVEL, CLASSE 4 OU 5, ISOLACAO EM PVC/A, ANTICHAMA BWF-B, 1 CONDUTOR, 450/750 V, SECAO NOMINAL 16 MM2                                                                                                                                                                                                                                                                                                                                                                                   </t>
  </si>
  <si>
    <t xml:space="preserve">CABO DE COBRE, FLEXIVEL, CLASSE 4 OU 5, ISOLACAO EM PVC/A, ANTICHAMA BWF-B, 1 CONDUTOR, 450/750 V, SECAO NOMINAL 185 MM2                                                                                                                                                                                                                                                                                                                                                                                  </t>
  </si>
  <si>
    <t xml:space="preserve">CABO DE COBRE, FLEXIVEL, CLASSE 4 OU 5, ISOLACAO EM PVC/A, ANTICHAMA BWF-B, 1 CONDUTOR, 450/750 V, SECAO NOMINAL 2,5 MM2                                                                                                                                                                                                                                                                                                                                                                                  </t>
  </si>
  <si>
    <t xml:space="preserve">CABO DE COBRE, FLEXIVEL, CLASSE 4 OU 5, ISOLACAO EM PVC/A, ANTICHAMA BWF-B, 1 CONDUTOR, 450/750 V, SECAO NOMINAL 240 MM2                                                                                                                                                                                                                                                                                                                                                                                  </t>
  </si>
  <si>
    <t xml:space="preserve">CABO DE COBRE, FLEXIVEL, CLASSE 4 OU 5, ISOLACAO EM PVC/A, ANTICHAMA BWF-B, 1 CONDUTOR, 450/750 V, SECAO NOMINAL 25 MM2                                                                                                                                                                                                                                                                                                                                                                                   </t>
  </si>
  <si>
    <t xml:space="preserve">CABO DE COBRE, FLEXIVEL, CLASSE 4 OU 5, ISOLACAO EM PVC/A, ANTICHAMA BWF-B, 1 CONDUTOR, 450/750 V, SECAO NOMINAL 35 MM2                                                                                                                                                                                                                                                                                                                                                                                   </t>
  </si>
  <si>
    <t xml:space="preserve">CABO DE COBRE, FLEXIVEL, CLASSE 4 OU 5, ISOLACAO EM PVC/A, ANTICHAMA BWF-B, 1 CONDUTOR, 450/750 V, SECAO NOMINAL 4 MM2                                                                                                                                                                                                                                                                                                                                                                                    </t>
  </si>
  <si>
    <t xml:space="preserve">CABO DE COBRE, FLEXIVEL, CLASSE 4 OU 5, ISOLACAO EM PVC/A, ANTICHAMA BWF-B, 1 CONDUTOR, 450/750 V, SECAO NOMINAL 50 MM2                                                                                                                                                                                                                                                                                                                                                                                   </t>
  </si>
  <si>
    <t xml:space="preserve">CABO DE COBRE, FLEXIVEL, CLASSE 4 OU 5, ISOLACAO EM PVC/A, ANTICHAMA BWF-B, 1 CONDUTOR, 450/750 V, SECAO NOMINAL 6 MM2                                                                                                                                                                                                                                                                                                                                                                                    </t>
  </si>
  <si>
    <t xml:space="preserve">CABO DE COBRE, FLEXIVEL, CLASSE 4 OU 5, ISOLACAO EM PVC/A, ANTICHAMA BWF-B, 1 CONDUTOR, 450/750 V, SECAO NOMINAL 70 MM2                                                                                                                                                                                                                                                                                                                                                                                   </t>
  </si>
  <si>
    <t xml:space="preserve">CABO DE COBRE, FLEXIVEL, CLASSE 4 OU 5, ISOLACAO EM PVC/A, ANTICHAMA BWF-B, 1 CONDUTOR, 450/750 V, SECAO NOMINAL 95 MM2                                                                                                                                                                                                                                                                                                                                                                                   </t>
  </si>
  <si>
    <t xml:space="preserve">CABO DE COBRE, RIGIDO, CLASSE 2, COMPACTADO, BLINDADO, ISOLACAO EM EPR OU XLPE, COBERTURA ANTICHAMA EM PVC, PEAD OU HFFR, 1 CONDUTOR, 20/35 KV, SECAO NOMINAL 120 MM2                                                                                                                                                                                                                                                                                                                                     </t>
  </si>
  <si>
    <t xml:space="preserve">CABO DE COBRE, RIGIDO, CLASSE 2, COMPACTADO, BLINDADO, ISOLACAO EM EPR OU XLPE, COBERTURA ANTICHAMA EM PVC, PEAD OU HFFR, 1 CONDUTOR, 20/35 KV, SECAO NOMINAL 150 MM2                                                                                                                                                                                                                                                                                                                                     </t>
  </si>
  <si>
    <t xml:space="preserve">CABO DE COBRE, RIGIDO, CLASSE 2, COMPACTADO, BLINDADO, ISOLACAO EM EPR OU XLPE, COBERTURA ANTICHAMA EM PVC, PEAD OU HFFR, 1 CONDUTOR, 20/35 KV, SECAO NOMINAL 185 MM2                                                                                                                                                                                                                                                                                                                                     </t>
  </si>
  <si>
    <t xml:space="preserve">CABO DE COBRE, RIGIDO, CLASSE 2, COMPACTADO, BLINDADO, ISOLACAO EM EPR OU XLPE, COBERTURA ANTICHAMA EM PVC, PEAD OU HFFR, 1 CONDUTOR, 20/35 KV, SECAO NOMINAL 240 MM2                                                                                                                                                                                                                                                                                                                                     </t>
  </si>
  <si>
    <t xml:space="preserve">CABO DE COBRE, RIGIDO, CLASSE 2, COMPACTADO, BLINDADO, ISOLACAO EM EPR OU XLPE, COBERTURA ANTICHAMA EM PVC, PEAD OU HFFR, 1 CONDUTOR, 20/35 KV, SECAO NOMINAL 300 MM2                                                                                                                                                                                                                                                                                                                                     </t>
  </si>
  <si>
    <t xml:space="preserve">CABO DE COBRE, RIGIDO, CLASSE 2, COMPACTADO, BLINDADO, ISOLACAO EM EPR OU XLPE, COBERTURA ANTICHAMA EM PVC, PEAD OU HFFR, 1 CONDUTOR, 20/35 KV, SECAO NOMINAL 400 MM2                                                                                                                                                                                                                                                                                                                                     </t>
  </si>
  <si>
    <t xml:space="preserve">CABO DE COBRE, RIGIDO, CLASSE 2, COMPACTADO, BLINDADO, ISOLACAO EM EPR OU XLPE, COBERTURA ANTICHAMA EM PVC, PEAD OU HFFR, 1 CONDUTOR, 20/35 KV, SECAO NOMINAL 50 MM2                                                                                                                                                                                                                                                                                                                                      </t>
  </si>
  <si>
    <t xml:space="preserve">CABO DE COBRE, RIGIDO, CLASSE 2, COMPACTADO, BLINDADO, ISOLACAO EM EPR OU XLPE, COBERTURA ANTICHAMA EM PVC, PEAD OU HFFR, 1 CONDUTOR, 20/35 KV, SECAO NOMINAL 500 MM2                                                                                                                                                                                                                                                                                                                                     </t>
  </si>
  <si>
    <t xml:space="preserve">CABO DE COBRE, RIGIDO, CLASSE 2, COMPACTADO, BLINDADO, ISOLACAO EM EPR OU XLPE, COBERTURA ANTICHAMA EM PVC, PEAD OU HFFR, 1 CONDUTOR, 20/35 KV, SECAO NOMINAL 70 MM2                                                                                                                                                                                                                                                                                                                                      </t>
  </si>
  <si>
    <t xml:space="preserve">CABO DE COBRE, RIGIDO, CLASSE 2, COMPACTADO, BLINDADO, ISOLACAO EM EPR OU XLPE, COBERTURA ANTICHAMA EM PVC, PEAD OU HFFR, 1 CONDUTOR, 20/35 KV, SECAO NOMINAL 95 MM2                                                                                                                                                                                                                                                                                                                                      </t>
  </si>
  <si>
    <t xml:space="preserve">CABO DE COBRE, RIGIDO, CLASSE 2, ISOLACAO EM PVC/A, ANTICHAMA BWF-B, 1 CONDUTOR, 450/750 V, SECAO NOMINAL 1,5 MM2                                                                                                                                                                                                                                                                                                                                                                                         </t>
  </si>
  <si>
    <t xml:space="preserve">CABO DE COBRE, RIGIDO, CLASSE 2, ISOLACAO EM PVC/A, ANTICHAMA BWF-B, 1 CONDUTOR, 450/750 V, SECAO NOMINAL 10 MM2                                                                                                                                                                                                                                                                                                                                                                                          </t>
  </si>
  <si>
    <t xml:space="preserve">CABO DE COBRE, RIGIDO, CLASSE 2, ISOLACAO EM PVC/A, ANTICHAMA BWF-B, 1 CONDUTOR, 450/750 V, SECAO NOMINAL 150 MM2                                                                                                                                                                                                                                                                                                                                                                                         </t>
  </si>
  <si>
    <t xml:space="preserve">CABO DE COBRE, RIGIDO, CLASSE 2, ISOLACAO EM PVC/A, ANTICHAMA BWF-B, 1 CONDUTOR, 450/750 V, SECAO NOMINAL 16 MM2                                                                                                                                                                                                                                                                                                                                                                                          </t>
  </si>
  <si>
    <t xml:space="preserve">CABO DE COBRE, RIGIDO, CLASSE 2, ISOLACAO EM PVC/A, ANTICHAMA BWF-B, 1 CONDUTOR, 450/750 V, SECAO NOMINAL 185 MM2                                                                                                                                                                                                                                                                                                                                                                                         </t>
  </si>
  <si>
    <t xml:space="preserve">CABO DE COBRE, RIGIDO, CLASSE 2, ISOLACAO EM PVC/A, ANTICHAMA BWF-B, 1 CONDUTOR, 450/750 V, SECAO NOMINAL 2,5 MM2                                                                                                                                                                                                                                                                                                                                                                                         </t>
  </si>
  <si>
    <t xml:space="preserve">CABO DE COBRE, RIGIDO, CLASSE 2, ISOLACAO EM PVC/A, ANTICHAMA BWF-B, 1 CONDUTOR, 450/750 V, SECAO NOMINAL 240 MM2                                                                                                                                                                                                                                                                                                                                                                                         </t>
  </si>
  <si>
    <t xml:space="preserve">CABO DE COBRE, RIGIDO, CLASSE 2, ISOLACAO EM PVC/A, ANTICHAMA BWF-B, 1 CONDUTOR, 450/750 V, SECAO NOMINAL 25 MM2                                                                                                                                                                                                                                                                                                                                                                                          </t>
  </si>
  <si>
    <t xml:space="preserve">CABO DE COBRE, RIGIDO, CLASSE 2, ISOLACAO EM PVC/A, ANTICHAMA BWF-B, 1 CONDUTOR, 450/750 V, SECAO NOMINAL 300 MM2                                                                                                                                                                                                                                                                                                                                                                                         </t>
  </si>
  <si>
    <t xml:space="preserve">CABO DE COBRE, RIGIDO, CLASSE 2, ISOLACAO EM PVC/A, ANTICHAMA BWF-B, 1 CONDUTOR, 450/750 V, SECAO NOMINAL 35 MM2                                                                                                                                                                                                                                                                                                                                                                                          </t>
  </si>
  <si>
    <t xml:space="preserve">CABO DE COBRE, RIGIDO, CLASSE 2, ISOLACAO EM PVC/A, ANTICHAMA BWF-B, 1 CONDUTOR, 450/750 V, SECAO NOMINAL 4 MM2                                                                                                                                                                                                                                                                                                                                                                                           </t>
  </si>
  <si>
    <t xml:space="preserve">CABO DE COBRE, RIGIDO, CLASSE 2, ISOLACAO EM PVC/A, ANTICHAMA BWF-B, 1 CONDUTOR, 450/750 V, SECAO NOMINAL 400 MM2                                                                                                                                                                                                                                                                                                                                                                                         </t>
  </si>
  <si>
    <t xml:space="preserve">CABO DE COBRE, RIGIDO, CLASSE 2, ISOLACAO EM PVC/A, ANTICHAMA BWF-B, 1 CONDUTOR, 450/750 V, SECAO NOMINAL 50 MM2                                                                                                                                                                                                                                                                                                                                                                                          </t>
  </si>
  <si>
    <t xml:space="preserve">CABO DE COBRE, RIGIDO, CLASSE 2, ISOLACAO EM PVC/A, ANTICHAMA BWF-B, 1 CONDUTOR, 450/750 V, SECAO NOMINAL 500 MM2                                                                                                                                                                                                                                                                                                                                                                                         </t>
  </si>
  <si>
    <t xml:space="preserve">CABO DE COBRE, RIGIDO, CLASSE 2, ISOLACAO EM PVC/A, ANTICHAMA BWF-B, 1 CONDUTOR, 450/750 V, SECAO NOMINAL 6 MM2                                                                                                                                                                                                                                                                                                                                                                                           </t>
  </si>
  <si>
    <t xml:space="preserve">CABO DE COBRE, RIGIDO, CLASSE 2, ISOLACAO EM PVC/A, ANTICHAMA BWF-B, 1 CONDUTOR, 450/750 V, SECAO NOMINAL 70 MM2                                                                                                                                                                                                                                                                                                                                                                                          </t>
  </si>
  <si>
    <t xml:space="preserve">CABO DE COBRE, RIGIDO, CLASSE 2, ISOLACAO EM PVC/A, ANTICHAMA BWF-B, 1 CONDUTOR, 450/750 V, SECAO NOMINAL 95 MM2                                                                                                                                                                                                                                                                                                                                                                                          </t>
  </si>
  <si>
    <t xml:space="preserve">CABO DE PAR TRANCADO UTP, 4 PARES, CATEGORIA 5E                                                                                                                                                                                                                                                                                                                                                                                                                                                           </t>
  </si>
  <si>
    <t xml:space="preserve">CABO DE PAR TRANCADO UTP, 4 PARES, CATEGORIA 6                                                                                                                                                                                                                                                                                                                                                                                                                                                            </t>
  </si>
  <si>
    <t xml:space="preserve">CABO FLEXIVEL PVC 750 V, 2 CONDUTORES DE 1,5 MM2                                                                                                                                                                                                                                                                                                                                                                                                                                                          </t>
  </si>
  <si>
    <t xml:space="preserve">CABO FLEXIVEL PVC 750 V, 2 CONDUTORES DE 10,0 MM2                                                                                                                                                                                                                                                                                                                                                                                                                                                         </t>
  </si>
  <si>
    <t xml:space="preserve">CABO FLEXIVEL PVC 750 V, 2 CONDUTORES DE 4,0 MM2                                                                                                                                                                                                                                                                                                                                                                                                                                                          </t>
  </si>
  <si>
    <t xml:space="preserve">CABO FLEXIVEL PVC 750 V, 2 CONDUTORES DE 6,0 MM2                                                                                                                                                                                                                                                                                                                                                                                                                                                          </t>
  </si>
  <si>
    <t xml:space="preserve">CABO FLEXIVEL PVC 750 V, 3 CONDUTORES DE 1,5 MM2                                                                                                                                                                                                                                                                                                                                                                                                                                                          </t>
  </si>
  <si>
    <t xml:space="preserve">CABO FLEXIVEL PVC 750 V, 3 CONDUTORES DE 10,0 MM2                                                                                                                                                                                                                                                                                                                                                                                                                                                         </t>
  </si>
  <si>
    <t xml:space="preserve">CABO FLEXIVEL PVC 750 V, 3 CONDUTORES DE 4,0 MM2                                                                                                                                                                                                                                                                                                                                                                                                                                                          </t>
  </si>
  <si>
    <t xml:space="preserve">CABO FLEXIVEL PVC 750 V, 3 CONDUTORES DE 6,0 MM2                                                                                                                                                                                                                                                                                                                                                                                                                                                          </t>
  </si>
  <si>
    <t xml:space="preserve">CABO FLEXIVEL PVC 750 V, 4 CONDUTORES DE 1,5 MM2                                                                                                                                                                                                                                                                                                                                                                                                                                                          </t>
  </si>
  <si>
    <t xml:space="preserve">CABO FLEXIVEL PVC 750 V, 4 CONDUTORES DE 10,0 MM2                                                                                                                                                                                                                                                                                                                                                                                                                                                         </t>
  </si>
  <si>
    <t xml:space="preserve">CABO FLEXIVEL PVC 750 V, 4 CONDUTORES DE 4,0 MM2                                                                                                                                                                                                                                                                                                                                                                                                                                                          </t>
  </si>
  <si>
    <t xml:space="preserve">CABO FLEXIVEL PVC 750 V, 4 CONDUTORES DE 6,0 MM2                                                                                                                                                                                                                                                                                                                                                                                                                                                          </t>
  </si>
  <si>
    <t xml:space="preserve">CABO MULTIPOLAR DE COBRE, FLEXIVEL, CLASSE 4 OU 5, ISOLACAO EM HEPR, COBERTURA EM PVC-ST2, ANTICHAMA BWF-B, 0,6/1 KV, 3 CONDUTORES DE 1,5 MM2                                                                                                                                                                                                                                                                                                                                                             </t>
  </si>
  <si>
    <t xml:space="preserve">CABO MULTIPOLAR DE COBRE, FLEXIVEL, CLASSE 4 OU 5, ISOLACAO EM HEPR, COBERTURA EM PVC-ST2, ANTICHAMA BWF-B, 0,6/1 KV, 3 CONDUTORES DE 10 MM2                                                                                                                                                                                                                                                                                                                                                              </t>
  </si>
  <si>
    <t xml:space="preserve">CABO MULTIPOLAR DE COBRE, FLEXIVEL, CLASSE 4 OU 5, ISOLACAO EM HEPR, COBERTURA EM PVC-ST2, ANTICHAMA BWF-B, 0,6/1 KV, 3 CONDUTORES DE 120 MM2                                                                                                                                                                                                                                                                                                                                                             </t>
  </si>
  <si>
    <t xml:space="preserve">CABO MULTIPOLAR DE COBRE, FLEXIVEL, CLASSE 4 OU 5, ISOLACAO EM HEPR, COBERTURA EM PVC-ST2, ANTICHAMA BWF-B, 0,6/1 KV, 3 CONDUTORES DE 16 MM2                                                                                                                                                                                                                                                                                                                                                              </t>
  </si>
  <si>
    <t xml:space="preserve">CABO MULTIPOLAR DE COBRE, FLEXIVEL, CLASSE 4 OU 5, ISOLACAO EM HEPR, COBERTURA EM PVC-ST2, ANTICHAMA BWF-B, 0,6/1 KV, 3 CONDUTORES DE 2,5 MM2                                                                                                                                                                                                                                                                                                                                                             </t>
  </si>
  <si>
    <t xml:space="preserve">CABO MULTIPOLAR DE COBRE, FLEXIVEL, CLASSE 4 OU 5, ISOLACAO EM HEPR, COBERTURA EM PVC-ST2, ANTICHAMA BWF-B, 0,6/1 KV, 3 CONDUTORES DE 25 MM2                                                                                                                                                                                                                                                                                                                                                              </t>
  </si>
  <si>
    <t xml:space="preserve">CABO MULTIPOLAR DE COBRE, FLEXIVEL, CLASSE 4 OU 5, ISOLACAO EM HEPR, COBERTURA EM PVC-ST2, ANTICHAMA BWF-B, 0,6/1 KV, 3 CONDUTORES DE 35 MM2                                                                                                                                                                                                                                                                                                                                                              </t>
  </si>
  <si>
    <t xml:space="preserve">CABO MULTIPOLAR DE COBRE, FLEXIVEL, CLASSE 4 OU 5, ISOLACAO EM HEPR, COBERTURA EM PVC-ST2, ANTICHAMA BWF-B, 0,6/1 KV, 3 CONDUTORES DE 4 MM2                                                                                                                                                                                                                                                                                                                                                               </t>
  </si>
  <si>
    <t xml:space="preserve">CABO MULTIPOLAR DE COBRE, FLEXIVEL, CLASSE 4 OU 5, ISOLACAO EM HEPR, COBERTURA EM PVC-ST2, ANTICHAMA BWF-B, 0,6/1 KV, 3 CONDUTORES DE 50 MM2                                                                                                                                                                                                                                                                                                                                                              </t>
  </si>
  <si>
    <t xml:space="preserve">CABO MULTIPOLAR DE COBRE, FLEXIVEL, CLASSE 4 OU 5, ISOLACAO EM HEPR, COBERTURA EM PVC-ST2, ANTICHAMA BWF-B, 0,6/1 KV, 3 CONDUTORES DE 6 MM2                                                                                                                                                                                                                                                                                                                                                               </t>
  </si>
  <si>
    <t xml:space="preserve">CABO MULTIPOLAR DE COBRE, FLEXIVEL, CLASSE 4 OU 5, ISOLACAO EM HEPR, COBERTURA EM PVC-ST2, ANTICHAMA BWF-B, 0,6/1 KV, 3 CONDUTORES DE 70 MM2                                                                                                                                                                                                                                                                                                                                                              </t>
  </si>
  <si>
    <t xml:space="preserve">CABO MULTIPOLAR DE COBRE, FLEXIVEL, CLASSE 4 OU 5, ISOLACAO EM HEPR, COBERTURA EM PVC-ST2, ANTICHAMA BWF-B, 0,6/1 KV, 3 CONDUTORES DE 95 MM2                                                                                                                                                                                                                                                                                                                                                              </t>
  </si>
  <si>
    <t xml:space="preserve">CABO TELEFONICO CCI 50, 1 PAR, USO INTERNO, SEM BLINDAGEM                                                                                                                                                                                                                                                                                                                                                                                                                                                 </t>
  </si>
  <si>
    <t xml:space="preserve">CABO TELEFONICO CCI 50, 2 PARES, USO INTERNO, SEM BLINDAGEM                                                                                                                                                                                                                                                                                                                                                                                                                                               </t>
  </si>
  <si>
    <t xml:space="preserve">CABO TELEFONICO CCI 50, 3 PARES, USO INTERNO, SEM BLINDAGEM                                                                                                                                                                                                                                                                                                                                                                                                                                               </t>
  </si>
  <si>
    <t xml:space="preserve">CABO TELEFONICO CCI 50, 4 PARES, USO INTERNO, SEM BLINDAGEM                                                                                                                                                                                                                                                                                                                                                                                                                                               </t>
  </si>
  <si>
    <t xml:space="preserve">CABO TELEFONICO CCI 50, 5 PARES, USO INTERNO, SEM BLINDAGEM                                                                                                                                                                                                                                                                                                                                                                                                                                               </t>
  </si>
  <si>
    <t xml:space="preserve">CABO TELEFONICO CCI 50, 6 PARES, USO INTERNO, SEM BLINDAGEM                                                                                                                                                                                                                                                                                                                                                                                                                                               </t>
  </si>
  <si>
    <t xml:space="preserve">CABO TELEFONICO CI 50, 10 PARES, USO INTERNO                                                                                                                                                                                                                                                                                                                                                                                                                                                              </t>
  </si>
  <si>
    <t xml:space="preserve">CABO TELEFONICO CI 50, 20 PARES, USO INTERNO                                                                                                                                                                                                                                                                                                                                                                                                                                                              </t>
  </si>
  <si>
    <t xml:space="preserve">CABO TELEFONICO CI 50, 200 PARES, USO INTERNO                                                                                                                                                                                                                                                                                                                                                                                                                                                             </t>
  </si>
  <si>
    <t xml:space="preserve">CABO TELEFONICO CI 50, 30 PARES, USO INTERNO                                                                                                                                                                                                                                                                                                                                                                                                                                                              </t>
  </si>
  <si>
    <t xml:space="preserve">CABO TELEFONICO CI 50, 50 PARES, USO INTERNO                                                                                                                                                                                                                                                                                                                                                                                                                                                              </t>
  </si>
  <si>
    <t xml:space="preserve">CABO TELEFONICO CI 50, 75 PARES, USO INTERNO                                                                                                                                                                                                                                                                                                                                                                                                                                                              </t>
  </si>
  <si>
    <t xml:space="preserve">CABO TELEFONICO CTP - APL - 50, 10 PARES, USO EXTERNO                                                                                                                                                                                                                                                                                                                                                                                                                                                     </t>
  </si>
  <si>
    <t xml:space="preserve">CABO TELEFONICO CTP - APL - 50, 100 PARES, USO EXTERNO                                                                                                                                                                                                                                                                                                                                                                                                                                                    </t>
  </si>
  <si>
    <t xml:space="preserve">CABO TELEFONICO CTP - APL - 50, 20 PARES, USO EXTERNO                                                                                                                                                                                                                                                                                                                                                                                                                                                     </t>
  </si>
  <si>
    <t xml:space="preserve">CABO TELEFONICO CTP - APL - 50, 30 PARES, USO EXTERNO                                                                                                                                                                                                                                                                                                                                                                                                                                                     </t>
  </si>
  <si>
    <t xml:space="preserve">CACAMBA METALICA BASCULANTE COM CAPACIDADE DE 10 M3 (INCLUI MONTAGEM, NAO INCLUI CAMINHAO)                                                                                                                                                                                                                                                                                                                                                                                                                </t>
  </si>
  <si>
    <t>68.750,61</t>
  </si>
  <si>
    <t xml:space="preserve">CACAMBA METALICA BASCULANTE COM CAPACIDADE DE 12 M3 (INCLUI MONTAGEM, NAO INCLUI CAMINHAO)                                                                                                                                                                                                                                                                                                                                                                                                                </t>
  </si>
  <si>
    <t>78.070,51</t>
  </si>
  <si>
    <t xml:space="preserve">CACAMBA METALICA BASCULANTE COM CAPACIDADE DE 6 M3 (INCLUI MONTAGEM, NAO INCLUI CAMINHAO)                                                                                                                                                                                                                                                                                                                                                                                                                 </t>
  </si>
  <si>
    <t>51.548,95</t>
  </si>
  <si>
    <t xml:space="preserve">CACAMBA METALICA BASCULANTE COM CAPACIDADE DE 8 M3 (INCLUI MONTAGEM, NAO INCLUI CAMINHAO)                                                                                                                                                                                                                                                                                                                                                                                                                 </t>
  </si>
  <si>
    <t>62.116,48</t>
  </si>
  <si>
    <t xml:space="preserve">CADEADO SIMPLES, CORPO EM LATAO MACICO, COM LARGURA DE 25 MM E ALTURA DE APROX 25 MM, HASTE CEMENTADA (NAO LONGA), EM ACO TEMPERADO COM DIAMETRO DE APROX 5,0 MM, INCLUINDO 2 CHAVES                                                                                                                                                                                                                                                                                                                      </t>
  </si>
  <si>
    <t xml:space="preserve">CADEADO SIMPLES, CORPO EM LATAO MACICO, COM LARGURA DE 35 MM E ALTURA DE APROX 30 MM, HASTE CEMENTADA (NAO LONGA), EM ACO TEMPERADO COM DIAMETRO DE APROX 6,0 MM, INCLUINDO 2 CHAVES                                                                                                                                                                                                                                                                                                                      </t>
  </si>
  <si>
    <t xml:space="preserve">CADEADO SIMPLES, CORPO EM LATAO MACICO, COM LARGURA DE 50 MM E ALTURA DE APROX 40 MM, HASTE CEMENTADA EM ACO TEMPERADO COM DIAMETRO DE APROX 8,0 MM, INCLUINDO 2 CHAVES                                                                                                                                                                                                                                                                                                                                   </t>
  </si>
  <si>
    <t xml:space="preserve">CADEIRA SUSPENSA MANUAL / BALANCIM INDIVIDUAL (NBR 14751)                                                                                                                                                                                                                                                                                                                                                                                                                                                 </t>
  </si>
  <si>
    <t>1.026,61</t>
  </si>
  <si>
    <t xml:space="preserve">CAIBRO APARELHADO  *7,5 X 7,5* CM, EM MACARANDUBA, ANGELIM OU EQUIVALENTE DA REGIAO                                                                                                                                                                                                                                                                                                                                                                                                                       </t>
  </si>
  <si>
    <t>28,16</t>
  </si>
  <si>
    <t xml:space="preserve">CAIBRO APARELHADO *6 X 8* CM, EM MACARANDUBA, ANGELIM OU EQUIVALENTE DA REGIAO                                                                                                                                                                                                                                                                                                                                                                                                                            </t>
  </si>
  <si>
    <t xml:space="preserve">CAIBRO NAO APARELHADO  *7,5 X 7,5* CM, EM MACARANDUBA, ANGELIM OU EQUIVALENTE DA REGIAO -  BRUTA                                                                                                                                                                                                                                                                                                                                                                                                          </t>
  </si>
  <si>
    <t xml:space="preserve">CAIBRO NAO APARELHADO *5 X 6* CM, EM MACARANDUBA, ANGELIM OU EQUIVALENTE DA REGIAO -  BRUTA                                                                                                                                                                                                                                                                                                                                                                                                               </t>
  </si>
  <si>
    <t xml:space="preserve">CAIBRO NAO APARELHADO,  *6 X 8* CM,  EM MACARANDUBA, ANGELIM OU EQUIVALENTE DA REGIAO -  BRUTA                                                                                                                                                                                                                                                                                                                                                                                                            </t>
  </si>
  <si>
    <t xml:space="preserve">CAIBRO ROLICO DE MADEIRA TRATADA, D = 4 A 7 CM, H = 3,00 M, EM EUCALIPTO OU EQUIVALENTE DA REGIAO                                                                                                                                                                                                                                                                                                                                                                                                         </t>
  </si>
  <si>
    <t xml:space="preserve">CAIBRO 5 X 5 CM EM PINUS, MISTA OU EQUIVALENTE DA REGIAO - BRUTA                                                                                                                                                                                                                                                                                                                                                                                                                                          </t>
  </si>
  <si>
    <t xml:space="preserve">CAIXA D'AGUA DE FIBRA DE VIDRO, PARA 500 LITROS, COM TAMPA                                                                                                                                                                                                                                                                                                                                                                                                                                                </t>
  </si>
  <si>
    <t>376,82</t>
  </si>
  <si>
    <t xml:space="preserve">CAIXA D'AGUA EM POLIETILENO 1000 LITROS, COM TAMPA                                                                                                                                                                                                                                                                                                                                                                                                                                                        </t>
  </si>
  <si>
    <t>474,05</t>
  </si>
  <si>
    <t xml:space="preserve">CAIXA D'AGUA EM POLIETILENO 1500 LITROS, COM TAMPA                                                                                                                                                                                                                                                                                                                                                                                                                                                        </t>
  </si>
  <si>
    <t>962,79</t>
  </si>
  <si>
    <t xml:space="preserve">CAIXA D'AGUA EM POLIETILENO 2000 LITROS, COM TAMPA                                                                                                                                                                                                                                                                                                                                                                                                                                                        </t>
  </si>
  <si>
    <t>1.081,46</t>
  </si>
  <si>
    <t xml:space="preserve">CAIXA D'AGUA EM POLIETILENO 500 LITROS, COM TAMPA                                                                                                                                                                                                                                                                                                                                                                                                                                                         </t>
  </si>
  <si>
    <t>272,17</t>
  </si>
  <si>
    <t xml:space="preserve">CAIXA D'AGUA EM POLIETILENO 750 LITROS, COM TAMPA                                                                                                                                                                                                                                                                                                                                                                                                                                                         </t>
  </si>
  <si>
    <t>466,74</t>
  </si>
  <si>
    <t xml:space="preserve">CAIXA D'AGUA FIBRA DE VIDRO PARA 1000 LITROS, COM TAMPA                                                                                                                                                                                                                                                                                                                                                                                                                                                   </t>
  </si>
  <si>
    <t>517,89</t>
  </si>
  <si>
    <t xml:space="preserve">CAIXA D'AGUA FIBRA DE VIDRO PARA 10000 LITROS, COM TAMPA                                                                                                                                                                                                                                                                                                                                                                                                                                                  </t>
  </si>
  <si>
    <t>5.002,20</t>
  </si>
  <si>
    <t xml:space="preserve">CAIXA D'AGUA FIBRA DE VIDRO PARA 1500 LITROS, COM TAMPA                                                                                                                                                                                                                                                                                                                                                                                                                                                   </t>
  </si>
  <si>
    <t>840,26</t>
  </si>
  <si>
    <t xml:space="preserve">CAIXA D'AGUA FIBRA DE VIDRO PARA 2000 LITROS, COM TAMPA                                                                                                                                                                                                                                                                                                                                                                                                                                                   </t>
  </si>
  <si>
    <t>1.083,15</t>
  </si>
  <si>
    <t xml:space="preserve">CAIXA D'AGUA FIBRA DE VIDRO PARA 5000 LITROS, COM TAMPA                                                                                                                                                                                                                                                                                                                                                                                                                                                   </t>
  </si>
  <si>
    <t>2.412,35</t>
  </si>
  <si>
    <t xml:space="preserve">CAIXA DE ATERRAMENTO EM CONCRETO PRÃ-MOLDADO, DIAMETRO DE 0,30 M E ALTURA DE 0,35 M, SEM FUNDO E COM TAMPA                                                                                                                                                                                                                                                                                                                                                                                               </t>
  </si>
  <si>
    <t xml:space="preserve">CAIXA DE CONCRETO ARMADO PRE-MOLDADO, COM FUNDO E SEM TAMPA, DIMENSOES DE 0,30 X 0,30 X 0,30 M                                                                                                                                                                                                                                                                                                                                                                                                            </t>
  </si>
  <si>
    <t xml:space="preserve">CAIXA DE CONCRETO ARMADO PRE-MOLDADO, COM FUNDO E SEM TAMPA, DIMENSOES DE 0,40 X 0,40 X 0,40 M                                                                                                                                                                                                                                                                                                                                                                                                            </t>
  </si>
  <si>
    <t>137,26</t>
  </si>
  <si>
    <t xml:space="preserve">CAIXA DE CONCRETO ARMADO PRE-MOLDADO, COM FUNDO E SEM TAMPA, DIMENSOES DE 0,60 X 0,60 X 0,50 M                                                                                                                                                                                                                                                                                                                                                                                                            </t>
  </si>
  <si>
    <t>240,22</t>
  </si>
  <si>
    <t xml:space="preserve">CAIXA DE CONCRETO ARMADO PRE-MOLDADO, COM FUNDO E SEM TAMPA, DIMENSOES DE 0,80 X 0,80 X 0,50 M                                                                                                                                                                                                                                                                                                                                                                                                            </t>
  </si>
  <si>
    <t>435,51</t>
  </si>
  <si>
    <t xml:space="preserve">CAIXA DE CONCRETO ARMADO PRE-MOLDADO, COM FUNDO E SEM TAMPA, DIMENSOES DE 1,00 X 1,00 X 0,50 M                                                                                                                                                                                                                                                                                                                                                                                                            </t>
  </si>
  <si>
    <t>779,93</t>
  </si>
  <si>
    <t xml:space="preserve">CAIXA DE CONCRETO ARMADO PRE-MOLDADO, COM FUNDO E TAMPA, DIMENSOES DE 0,30 X 0,30 X 0,30 M                                                                                                                                                                                                                                                                                                                                                                                                                </t>
  </si>
  <si>
    <t>115,43</t>
  </si>
  <si>
    <t xml:space="preserve">CAIXA DE CONCRETO ARMADO PRE-MOLDADO, COM FUNDO E TAMPA, DIMENSOES DE 0,40 X 0,40 X 0,40 M                                                                                                                                                                                                                                                                                                                                                                                                                </t>
  </si>
  <si>
    <t>212,14</t>
  </si>
  <si>
    <t xml:space="preserve">CAIXA DE CONCRETO ARMADO PRE-MOLDADO, COM FUNDO E TAMPA, DIMENSOES DE 0,60 X 0,60 X 0,50 M                                                                                                                                                                                                                                                                                                                                                                                                                </t>
  </si>
  <si>
    <t>269,54</t>
  </si>
  <si>
    <t xml:space="preserve">CAIXA DE CONCRETO ARMADO PRE-MOLDADO, SEM FUNDO, QUADRADA, DIMENSOES DE 0,30 X 0,30 X 0,30 M                                                                                                                                                                                                                                                                                                                                                                                                              </t>
  </si>
  <si>
    <t xml:space="preserve">CAIXA DE CONCRETO ARMADO PRE-MOLDADO, SEM FUNDO, QUADRADA, DIMENSOES DE 0,40 X 0,40 X 0,40 M                                                                                                                                                                                                                                                                                                                                                                                                              </t>
  </si>
  <si>
    <t>99,20</t>
  </si>
  <si>
    <t xml:space="preserve">CAIXA DE CONCRETO ARMADO PRE-MOLDADO, SEM FUNDO, QUADRADA, DIMENSOES DE 0,60 X 0,60 X 0,50 M                                                                                                                                                                                                                                                                                                                                                                                                              </t>
  </si>
  <si>
    <t>192,17</t>
  </si>
  <si>
    <t xml:space="preserve">CAIXA DE CONCRETO ARMADO PRE-MOLDADO, SEM FUNDO, QUADRADA, DIMENSOES DE 0,80 X 0,80 X 0,50 M                                                                                                                                                                                                                                                                                                                                                                                                              </t>
  </si>
  <si>
    <t>399,32</t>
  </si>
  <si>
    <t xml:space="preserve">CAIXA DE CONCRETO ARMADO PRE-MOLDADO, SEM FUNDO, QUADRADA, DIMENSOES DE 1,00 X 1,00 X 0,50 M                                                                                                                                                                                                                                                                                                                                                                                                              </t>
  </si>
  <si>
    <t>629,56</t>
  </si>
  <si>
    <t xml:space="preserve">CAIXA DE DERIVACAO PARA MEDIDOR DE ENERGIA, COM BARRAMENTO MONOFASICO, EM POLICARBONATO / TERMOPLASTICO - MODULO (PADRAO CONCESSIONARIA LOCAL)                                                                                                                                                                                                                                                                                                                                                            </t>
  </si>
  <si>
    <t>195,23</t>
  </si>
  <si>
    <t xml:space="preserve">CAIXA DE DERIVACAO PARA MEDIDOR DE ENERGIA, COM BARRAMENTO POLIFASICO, EM POLICARBONATO / TERMOPLASTICO - MODULO (PADRAO CONCESSIONARIA LOCAL)                                                                                                                                                                                                                                                                                                                                                            </t>
  </si>
  <si>
    <t xml:space="preserve">CAIXA DE DESCARGA DE PLASTICO EXTERNA, DE *9* L, PUXADOR FIO DE NYLON, NAO INCLUSO CANO, BOLSA, ENGATE                                                                                                                                                                                                                                                                                                                                                                                                    </t>
  </si>
  <si>
    <t xml:space="preserve">CAIXA DE DESCARGA PLASTICA DE EMBUTIR COMPLETA, COM ESPELHO PLASTICO, CAPACIDADE 6 A 10 L, ACESSORIOS INCLUSOS                                                                                                                                                                                                                                                                                                                                                                                            </t>
  </si>
  <si>
    <t>1.057,07</t>
  </si>
  <si>
    <t xml:space="preserve">CAIXA DE GORDURA CILINDRICA EM CONCRETO SIMPLES,  PRE-MOLDADA, COM DIAMETRO DE 40 CM E ALTURA DE 45 CM, COM TAMPA                                                                                                                                                                                                                                                                                                                                                                                         </t>
  </si>
  <si>
    <t xml:space="preserve">CAIXA DE GORDURA EM PVC, DIAMETRO MINIMO 300 MM, DIAMETRO DE SAIDA 100 MM, CAPACIDADE  APROXIMADA 18 LITROS, COM TAMPA E CESTO                                                                                                                                                                                                                                                                                                                                                                            </t>
  </si>
  <si>
    <t>376,95</t>
  </si>
  <si>
    <t xml:space="preserve">CAIXA DE INCENDIO/ABRIGO PARA MANGUEIRA, DE EMBUTIR/INTERNA, COM 75 X 45 X 17 CM, EM CHAPA DE ACO, PORTA COM VENTILACAO, VISOR COM A INSCRICAO "INCENDIO", SUPORTE/CESTA INTERNA PARA A MANGUEIRA, PINTURA ELETROSTATICA VERMELHA                                                                                                                                                                                                                                                                         </t>
  </si>
  <si>
    <t>334,09</t>
  </si>
  <si>
    <t xml:space="preserve">CAIXA DE INCENDIO/ABRIGO PARA MANGUEIRA, DE EMBUTIR/INTERNA, COM 90 X 60 X 17 CM, EM CHAPA DE ACO, PORTA COM VENTILACAO, VISOR COM A INSCRICAO "INCENDIO", SUPORTE/CESTA INTERNA PARA A MANGUEIRA, PINTURA ELETROSTATICA VERMELHA                                                                                                                                                                                                                                                                         </t>
  </si>
  <si>
    <t>422,58</t>
  </si>
  <si>
    <t xml:space="preserve">CAIXA DE INCENDIO/ABRIGO PARA MANGUEIRA, DE SOBREPOR/EXTERNA, COM 75 X 45 X 17 CM, EM CHAPA DE ACO, PORTA COM VENTILACAO, VISOR COM A INSCRICAO "INCENDIO", SUPORTE/CESTA INTERNA PARA A MANGUEIRA, PINTURA ELETROSTATICA VERMELHA                                                                                                                                                                                                                                                                        </t>
  </si>
  <si>
    <t>350,00</t>
  </si>
  <si>
    <t xml:space="preserve">CAIXA DE INCENDIO/ABRIGO PARA MANGUEIRA, DE SOBREPOR/EXTERNA, COM 90 X 60 X 17 CM, EM CHAPA DE ACO, PORTA COM VENTILACAO, VISOR COM A INSCRICAO "INCENDIO", SUPORTE/CESTA INTERNA PARA A MANGUEIRA, PINTURA ELETROSTATICA VERMELHA                                                                                                                                                                                                                                                                        </t>
  </si>
  <si>
    <t>427,55</t>
  </si>
  <si>
    <t xml:space="preserve">CAIXA DE INSPECAO PARA ATERRAMENTO E PARA RAIOS, EM POLIPROPILENO,  DIAMETRO = 300 MM X ALTURA = 400 MM                                                                                                                                                                                                                                                                                                                                                                                                   </t>
  </si>
  <si>
    <t xml:space="preserve">CAIXA DE INSPECAO PARA ATERRAMENTO OU OUTRO USO, EM PVC, DN = 250 X 250 MM                                                                                                                                                                                                                                                                                                                                                                                                                                </t>
  </si>
  <si>
    <t>50,33</t>
  </si>
  <si>
    <t xml:space="preserve">CAIXA DE INSPECAO PARA ATERRAMENTO OU OUTRO USO, EM PVC, DN = 300 X *300* MM                                                                                                                                                                                                                                                                                                                                                                                                                              </t>
  </si>
  <si>
    <t xml:space="preserve">CAIXA DE INSPECAO PARA ATERRAMENTO OU OUTRO USO, EM PVC, DN = 300 X 250 MM                                                                                                                                                                                                                                                                                                                                                                                                                                </t>
  </si>
  <si>
    <t>68,60</t>
  </si>
  <si>
    <t xml:space="preserve">CAIXA DE INSPECAO PARA ATERRAMENTO OU OUTRO USO, EM PVC, DN = 300 X 600 MM                                                                                                                                                                                                                                                                                                                                                                                                                                </t>
  </si>
  <si>
    <t>150,22</t>
  </si>
  <si>
    <t xml:space="preserve">CAIXA DE LUZ "3 X 3" EM ACO ESMALTADA                                                                                                                                                                                                                                                                                                                                                                                                                                                                     </t>
  </si>
  <si>
    <t xml:space="preserve">CAIXA DE LUZ "4 X 2" EM ACO ESMALTADA                                                                                                                                                                                                                                                                                                                                                                                                                                                                     </t>
  </si>
  <si>
    <t xml:space="preserve">CAIXA DE LUZ "4 X 4" EM ACO ESMALTADA                                                                                                                                                                                                                                                                                                                                                                                                                                                                     </t>
  </si>
  <si>
    <t xml:space="preserve">CAIXA DE PASSAGEM / DERIVACAO / LUZ, OCTOGONAL 4 X4, EM ACO ESMALTADA, COM FUNDO MOVEL SIMPLES (FMS)                                                                                                                                                                                                                                                                                                                                                                                                      </t>
  </si>
  <si>
    <t xml:space="preserve">CAIXA DE PASSAGEM ELETRICA DE PAREDE, DE EMBUTIR, EM PVC, COM TAMPA APARAFUSADA, DIMENSOES 120 X 120 X *75* MM                                                                                                                                                                                                                                                                                                                                                                                            </t>
  </si>
  <si>
    <t xml:space="preserve">CAIXA DE PASSAGEM ELETRICA DE PAREDE, DE EMBUTIR, EM PVC, COM TAMPA APARAFUSADA, DIMENSOES 150 X 150 X *75* MM                                                                                                                                                                                                                                                                                                                                                                                            </t>
  </si>
  <si>
    <t>32,22</t>
  </si>
  <si>
    <t xml:space="preserve">CAIXA DE PASSAGEM ELETRICA DE PAREDE, DE EMBUTIR, EM PVC, COM TAMPA APARAFUSADA, DIMENSOES 200 X 200 X *90* MM                                                                                                                                                                                                                                                                                                                                                                                            </t>
  </si>
  <si>
    <t>52,99</t>
  </si>
  <si>
    <t xml:space="preserve">CAIXA DE PASSAGEM ELETRICA DE PAREDE, DE EMBUTIR, EM TERMOPLASTICO / PVC, COM TAMPA APARAFUSADA, DIMENSOES 400 X 400 X *120* MM                                                                                                                                                                                                                                                                                                                                                                           </t>
  </si>
  <si>
    <t>175,64</t>
  </si>
  <si>
    <t xml:space="preserve">CAIXA DE PASSAGEM ELETRICA DE PAREDE, DE SOBREPOR, EM PVC, COM TAMPA APARAFUSADA, DIMENSOES 300 X 300 X *100* MM                                                                                                                                                                                                                                                                                                                                                                                          </t>
  </si>
  <si>
    <t xml:space="preserve">CAIXA DE PASSAGEM ELETRICA DE PAREDE, DE SOBREPOR, EM PVC, COM TAMPA APARAFUSADA, DIMENSOES, 400 X 400 X *120* MM                                                                                                                                                                                                                                                                                                                                                                                         </t>
  </si>
  <si>
    <t>157,27</t>
  </si>
  <si>
    <t xml:space="preserve">CAIXA DE PASSAGEM ELETRICA DE PAREDE, DE SOBREPOR, EM TERMOPLASTICO / PVC, COM TAMPA APARAFUSA, DIMENSOES 200 X 200 X *100* MM                                                                                                                                                                                                                                                                                                                                                                            </t>
  </si>
  <si>
    <t>59,49</t>
  </si>
  <si>
    <t xml:space="preserve">CAIXA DE PASSAGEM ELETRICA DE PAREDE, DE SOBREPOR, EM TERMOPLASTICO / PVC, COM TAMPA APARAFUSADA, DIMENSOES, 150 X 150 X *100* MM                                                                                                                                                                                                                                                                                                                                                                         </t>
  </si>
  <si>
    <t>35,25</t>
  </si>
  <si>
    <t xml:space="preserve">CAIXA DE PASSAGEM ELETRICA, PARA PISO, EM PVC, DIMENSOES DE 3/4" A 4"                                                                                                                                                                                                                                                                                                                                                                                                                                     </t>
  </si>
  <si>
    <t>416,96</t>
  </si>
  <si>
    <t xml:space="preserve">CAIXA DE PASSAGEM METALICA DE SOBREPOR COM TAMPA PARAFUSADA, DIMENSOES 20 X 20 X 10 CM                                                                                                                                                                                                                                                                                                                                                                                                                    </t>
  </si>
  <si>
    <t>48,59</t>
  </si>
  <si>
    <t xml:space="preserve">CAIXA DE PASSAGEM METALICA DE SOBREPOR COM TAMPA PARAFUSADA, DIMENSOES 30 X 30 X 10 CM                                                                                                                                                                                                                                                                                                                                                                                                                    </t>
  </si>
  <si>
    <t>95,51</t>
  </si>
  <si>
    <t xml:space="preserve">CAIXA DE PASSAGEM METALICA DE SOBREPOR COM TAMPA PARAFUSADA, DIMENSOES 40 X 40 X 15 CM                                                                                                                                                                                                                                                                                                                                                                                                                    </t>
  </si>
  <si>
    <t>153,51</t>
  </si>
  <si>
    <t xml:space="preserve">CAIXA DE PASSAGEM METALICA DE SOBREPOR COM TAMPA PARAFUSADA, DIMENSOES 50 X 50 X 15 CM                                                                                                                                                                                                                                                                                                                                                                                                                    </t>
  </si>
  <si>
    <t>229,62</t>
  </si>
  <si>
    <t xml:space="preserve">CAIXA DE PASSAGEM METALICA DE SOBREPOR COM TAMPA PARAFUSADA, DIMENSOES 60 X 60 X 20 CM                                                                                                                                                                                                                                                                                                                                                                                                                    </t>
  </si>
  <si>
    <t>306,45</t>
  </si>
  <si>
    <t xml:space="preserve">CAIXA DE PASSAGEM METALICA DE SOBREPOR COM TAMPA PARAFUSADA, DIMENSOES 70 X 70 X 20 CM                                                                                                                                                                                                                                                                                                                                                                                                                    </t>
  </si>
  <si>
    <t>370,36</t>
  </si>
  <si>
    <t xml:space="preserve">CAIXA DE PASSAGEM METALICA DE SOBREPOR COM TAMPA PARAFUSADA, DIMENSOES 80 X 80 X 20 CM                                                                                                                                                                                                                                                                                                                                                                                                                    </t>
  </si>
  <si>
    <t>469,42</t>
  </si>
  <si>
    <t xml:space="preserve">CAIXA DE PASSAGEM METALICA, DE SOBREPOR, COM TAMPA APARAFUSADA, DIMENSOES 15 X 15 X *10* CM                                                                                                                                                                                                                                                                                                                                                                                                               </t>
  </si>
  <si>
    <t xml:space="preserve">CAIXA DE PASSAGEM METALICA, DE SOBREPOR, COM TAMPA APARAFUSADA, DIMENSOES 35 X 35 X *12* CM                                                                                                                                                                                                                                                                                                                                                                                                               </t>
  </si>
  <si>
    <t>111,88</t>
  </si>
  <si>
    <t xml:space="preserve">CAIXA DE PASSAGEM/ LUZ / TELEFONIA, DE EMBUTIR,  EM CHAPA DE ACO GALVANIZADO, DIMENSOES 150 X 150 X 15 CM (PADRAO CONCESSIONARIA LOCAL)                                                                                                                                                                                                                                                                                                                                                                   </t>
  </si>
  <si>
    <t>2.151,33</t>
  </si>
  <si>
    <t xml:space="preserve">CAIXA DE PASSAGEM/ LUZ / TELEFONIA, DE EMBUTIR,  EM CHAPA DE ACO GALVANIZADO, DIMENSOES 20 X 20 X *12* CM (PADRAO CONCESSIONARIA LOCAL)                                                                                                                                                                                                                                                                                                                                                                   </t>
  </si>
  <si>
    <t>92,62</t>
  </si>
  <si>
    <t xml:space="preserve">CAIXA DE PASSAGEM/ LUZ / TELEFONIA, DE EMBUTIR,  EM CHAPA DE ACO GALVANIZADO, DIMENSOES 200 X 200 X 20 CM (PADRAO CONCESSIONARIA LOCAL)                                                                                                                                                                                                                                                                                                                                                                   </t>
  </si>
  <si>
    <t>4.202,29</t>
  </si>
  <si>
    <t xml:space="preserve">CAIXA DE PASSAGEM/ LUZ / TELEFONIA, DE EMBUTIR,  EM CHAPA DE ACO GALVANIZADO, DIMENSOES 40 X 40 X *12* CM (PADRAO CONCESSIONARIA LOCAL)                                                                                                                                                                                                                                                                                                                                                                   </t>
  </si>
  <si>
    <t>205,15</t>
  </si>
  <si>
    <t xml:space="preserve">CAIXA DE PASSAGEM/ LUZ / TELEFONIA, DE EMBUTIR,  EM CHAPA DE ACO GALVANIZADO, DIMENSOES 60 X 60 X *12* CM (PADRAO CONCESSIONARIA LOCAL)                                                                                                                                                                                                                                                                                                                                                                   </t>
  </si>
  <si>
    <t>339,96</t>
  </si>
  <si>
    <t xml:space="preserve">CAIXA DE PASSAGEM/ LUZ / TELEFONIA, DE EMBUTIR,  EM CHAPA DE ACO GALVANIZADO, DIMENSOES 80 X 80 X *12* CM (PADRAO CONCESSIONARIA LOCAL)                                                                                                                                                                                                                                                                                                                                                                   </t>
  </si>
  <si>
    <t>508,23</t>
  </si>
  <si>
    <t xml:space="preserve">CAIXA DE PASSAGEM/ LUZ / TELEFONIA, DE EMBUTIR, EM CHAPA DE ACO GALVANIZADO, DIMENSOES 120 X 120 X *12* CM (PADRAO CONCESSIONARIA LOCAL)                                                                                                                                                                                                                                                                                                                                                                  </t>
  </si>
  <si>
    <t>1.022,39</t>
  </si>
  <si>
    <t xml:space="preserve">CAIXA DE PASSAGEM/ LUZ / TELEFONIA, DE SOBREPOR,  EM CHAPA DE ACO GALVANIZADO, DIMENSOES 80 X 80 X *12* CM (PADRAO CONCESSIONARIA LOCAL)                                                                                                                                                                                                                                                                                                                                                                  </t>
  </si>
  <si>
    <t>636,61</t>
  </si>
  <si>
    <t xml:space="preserve">CAIXA DE PASSAGEM, EM PVC, DE 4" X 2", PARA ELETRODUTO FLEXIVEL CORRUGADO                                                                                                                                                                                                                                                                                                                                                                                                                                 </t>
  </si>
  <si>
    <t xml:space="preserve">CAIXA DE PASSAGEM, EM PVC, DE 4" X 4", PARA ELETRODUTO FLEXIVEL CORRUGADO                                                                                                                                                                                                                                                                                                                                                                                                                                 </t>
  </si>
  <si>
    <t xml:space="preserve">CAIXA DE PROTECAO EXTERNA PARA MEDIDOR HOROSAZONAL, DE BAIXA TENSAO, COM MODULO, EM CHAPA DE ACO (PADRAO DA CONCESSIONARIA LOCAL)                                                                                                                                                                                                                                                                                                                                                                         </t>
  </si>
  <si>
    <t>3.998,24</t>
  </si>
  <si>
    <t xml:space="preserve">CAIXA DE PROTECAO PARA TRANSFORMADOR CORRENTE, EM CHAPA DE ACO 18 USG (PADRAO DA CONCESSIONARIA LOCAL)                                                                                                                                                                                                                                                                                                                                                                                                    </t>
  </si>
  <si>
    <t>1.279,35</t>
  </si>
  <si>
    <t xml:space="preserve">CAIXA INTERNA/EXTERNA DE MEDICAO PARA 1 MEDIDOR TRIFASICO, COM VISOR, EM CHAPA DE ACO 18 USG (PADRAO DA CONCESSIONARIA LOCAL)                                                                                                                                                                                                                                                                                                                                                                             </t>
  </si>
  <si>
    <t>405,45</t>
  </si>
  <si>
    <t xml:space="preserve">CAIXA INTERNA/EXTERNA DE MEDICAO PARA 4 MEDIDORES MONOFASICOS, COM VISOR, EM CHAPA DE ACO 18 USG (PADRAO DA CONCESSIONARIA LOCAL)                                                                                                                                                                                                                                                                                                                                                                         </t>
  </si>
  <si>
    <t>656,50</t>
  </si>
  <si>
    <t xml:space="preserve">CAIXA MODULAR PARA MEDIDOR DE ENERGIA AGRUPADA, EM POLICARBONATO /  TERMOPLASTICO, COM SUPORTE PARA DISJUNTOR (PADRAO DA CONCESSIONARIA LOCAL)                                                                                                                                                                                                                                                                                                                                                            </t>
  </si>
  <si>
    <t xml:space="preserve">CAIXA OCTOGONAL DE FUNDO MOVEL, EM PVC, DE 3" X 3", PARA ELETRODUTO FLEXIVEL CORRUGADO                                                                                                                                                                                                                                                                                                                                                                                                                    </t>
  </si>
  <si>
    <t xml:space="preserve">CAIXA OCTOGONAL DE FUNDO MOVEL, EM PVC, DE 4" X 4", PARA ELETRODUTO FLEXIVEL CORRUGADO                                                                                                                                                                                                                                                                                                                                                                                                                    </t>
  </si>
  <si>
    <t xml:space="preserve">CAIXA PARA HIDROMETRO CONCRETO PRE MOLDADO, *0,24 M X 0,45 M X 0,30* M (L X C X A)                                                                                                                                                                                                                                                                                                                                                                                                                        </t>
  </si>
  <si>
    <t>76,12</t>
  </si>
  <si>
    <t xml:space="preserve">CAIXA PARA MEDICAO COLETIVA TIPO L, PADRAO BIFASICO OU TRIFASICO, PARA ATE 4 MEDIDORES, SEM BARRAMENTO E COM PORTAS INFERIOR E SUPERIOR                                                                                                                                                                                                                                                                                                                                                                   </t>
  </si>
  <si>
    <t>2.674,34</t>
  </si>
  <si>
    <t xml:space="preserve">CAIXA PARA MEDICAO COLETIVA TIPO M, PADRAO BIFASICO OU TRIFASICO, PARA ATE 8 MEDIDORES, SEM BARRAMENTO E COM PORTAS INFERIOR E SUPERIOR                                                                                                                                                                                                                                                                                                                                                                   </t>
  </si>
  <si>
    <t>4.486,65</t>
  </si>
  <si>
    <t xml:space="preserve">CAIXA PARA MEDICAO COLETIVA TIPO N, PADRAO BIFASICO OU TRIFASICO, PARA ATE 12 MEDIDORES, SEM BARRAMENTO E COM PORTAS INFERIOR E SUPERIOR                                                                                                                                                                                                                                                                                                                                                                  </t>
  </si>
  <si>
    <t>5.642,95</t>
  </si>
  <si>
    <t xml:space="preserve">CAIXA PARA MEDIDOR MONOFASICO, EM POLICARBONATO / TERMOPLASTICO, PARA ALOJAR 1 DISJUNTOR (PADRAO DA CONCESSIONARIA LOCAL)                                                                                                                                                                                                                                                                                                                                                                                 </t>
  </si>
  <si>
    <t>60,42</t>
  </si>
  <si>
    <t xml:space="preserve">CAIXA PARA MEDIDOR POLIFASICO, EM POLICARBONATO / TERMOPLASTICO, PARA ALOJAR 1 DISJUNTOR (PADRAO DA CONCESSIONARIA LOCAL)                                                                                                                                                                                                                                                                                                                                                                                 </t>
  </si>
  <si>
    <t>143,32</t>
  </si>
  <si>
    <t xml:space="preserve">CAIXA PRE-MOLDADA PARA BOCA DE LOBO, EM CONCRETO ARMADO, COM FCK DE 25 MPA, COM DIMENSOES 1,10 X 0,65 X 1,00 M (COMPRIMENTO X LARGURA X ALTURA)                                                                                                                                                                                                                                                                                                                                                           </t>
  </si>
  <si>
    <t>349,41</t>
  </si>
  <si>
    <t xml:space="preserve">CAIXA SIFONADA PVC, 100 X 100 X 50 MM, COM GRELHA REDONDA, BRANCA                                                                                                                                                                                                                                                                                                                                                                                                                                         </t>
  </si>
  <si>
    <t xml:space="preserve">CAIXA SIFONADA PVC, 250 X 230 X 75 MM, COM TAMPA CEGA QUADRADA, BRANCA                                                                                                                                                                                                                                                                                                                                                                                                                                    </t>
  </si>
  <si>
    <t>100,37</t>
  </si>
  <si>
    <t xml:space="preserve">CAIXA SIFONADA, PVC, 150 X *185* X 75 MM, COM GRELHA QUADRADA, BRANCA                                                                                                                                                                                                                                                                                                                                                                                                                                     </t>
  </si>
  <si>
    <t xml:space="preserve">CAIXA SIFONADA, PVC, 150 X 150 X 50 MM, COM GRELHA QUADRADA, BRANCA (NBR 5688)                                                                                                                                                                                                                                                                                                                                                                                                                            </t>
  </si>
  <si>
    <t>44,65</t>
  </si>
  <si>
    <t xml:space="preserve">CAIXA SIFONADA, PVC, 150 X 150 X 50 MM, COM GRELHA REDONDA, BRANCA                                                                                                                                                                                                                                                                                                                                                                                                                                        </t>
  </si>
  <si>
    <t xml:space="preserve">CAL HIDRATADA CH-I PARA ARGAMASSAS                                                                                                                                                                                                                                                                                                                                                                                                                                                                        </t>
  </si>
  <si>
    <t xml:space="preserve">CAL HIDRATADA PARA PINTURA                                                                                                                                                                                                                                                                                                                                                                                                                                                                                </t>
  </si>
  <si>
    <t xml:space="preserve">CAL VIRGEM COMUM PARA ARGAMASSAS (NBR 6453)                                                                                                                                                                                                                                                                                                                                                                                                                                                               </t>
  </si>
  <si>
    <t xml:space="preserve">CALCARIO DOLOMITICO A (POSTO PEDREIRA/FORNECEDOR, SEM FRETE)                                                                                                                                                                                                                                                                                                                                                                                                                                              </t>
  </si>
  <si>
    <t xml:space="preserve">CALCETEIRO                                                                                                                                                                                                                                                                                                                                                                                                                                                                                                </t>
  </si>
  <si>
    <t xml:space="preserve">CALCETEIRO  (MENSALISTA)                                                                                                                                                                                                                                                                                                                                                                                                                                                                                  </t>
  </si>
  <si>
    <t>2.869,82</t>
  </si>
  <si>
    <t xml:space="preserve">CALHA MOLDURA AMERICANA DE CHAPA DE ACO GALVANIZADA NUM 26, CORTE 33 CM                                                                                                                                                                                                                                                                                                                                                                                                                                   </t>
  </si>
  <si>
    <t xml:space="preserve">CALHA PARA AGUA FURTADA DE CHAPA DE ACO GALVANIZADA NUM 26, CORTE 40 CM                                                                                                                                                                                                                                                                                                                                                                                                                                   </t>
  </si>
  <si>
    <t xml:space="preserve">CALHA PARA AGUA FURTADA DE CHAPA DE ACO GALVANIZADA NUM 26, CORTE 50 CM                                                                                                                                                                                                                                                                                                                                                                                                                                   </t>
  </si>
  <si>
    <t>51,95</t>
  </si>
  <si>
    <t xml:space="preserve">CALHA PLATIBANDA DE CHAPA DE ACO GALVANIZADA NUM 26, CORTE 45 CM                                                                                                                                                                                                                                                                                                                                                                                                                                          </t>
  </si>
  <si>
    <t xml:space="preserve">CALHA PLUVIAL DE PVC, DIAMETRO ENTRE 119 E 170 MM, COMPRIMENTO DE 3 M, PARA DRENAGEM PREDIAL                                                                                                                                                                                                                                                                                                                                                                                                              </t>
  </si>
  <si>
    <t xml:space="preserve">CALHA QUADRADA DE CHAPA DE ACO GALVANIZADA NUM 24, CORTE 100 CM                                                                                                                                                                                                                                                                                                                                                                                                                                           </t>
  </si>
  <si>
    <t>143,29</t>
  </si>
  <si>
    <t xml:space="preserve">CALHA QUADRADA DE CHAPA DE ACO GALVANIZADA NUM 24, CORTE 33 CM                                                                                                                                                                                                                                                                                                                                                                                                                                            </t>
  </si>
  <si>
    <t xml:space="preserve">CALHA QUADRADA DE CHAPA DE ACO GALVANIZADA NUM 24, CORTE 50 CM                                                                                                                                                                                                                                                                                                                                                                                                                                            </t>
  </si>
  <si>
    <t>73,25</t>
  </si>
  <si>
    <t xml:space="preserve">CALHA QUADRADA DE CHAPA DE ACO GALVANIZADA NUM 26, CORTE 33 CM                                                                                                                                                                                                                                                                                                                                                                                                                                            </t>
  </si>
  <si>
    <t xml:space="preserve">CALHA QUADRADA DE CHAPA DE ACO GALVANIZADA NUM 28, CORTE 25 CM                                                                                                                                                                                                                                                                                                                                                                                                                                            </t>
  </si>
  <si>
    <t xml:space="preserve">CALHA/CANALETA DE CONCRETO SIMPLES, TIPO MEIA CANA, DIAMETRO DE 20 CM, PARA AGUA PLUVIAL                                                                                                                                                                                                                                                                                                                                                                                                                  </t>
  </si>
  <si>
    <t xml:space="preserve">CALHA/CANALETA DE CONCRETO SIMPLES, TIPO MEIA CANA, DIAMETRO DE 30 CM, PARA AGUA PLUVIAL                                                                                                                                                                                                                                                                                                                                                                                                                  </t>
  </si>
  <si>
    <t xml:space="preserve">CALHA/CANALETA DE CONCRETO SIMPLES, TIPO MEIA CANA, DIAMETRO DE 40 CM, PARA AGUA PLUVIAL                                                                                                                                                                                                                                                                                                                                                                                                                  </t>
  </si>
  <si>
    <t xml:space="preserve">CALHA/CANALETA DE CONCRETO SIMPLES, TIPO MEIA CANA, DIAMETRO DE 50 CM, PARA AGUA PLUVIAL                                                                                                                                                                                                                                                                                                                                                                                                                  </t>
  </si>
  <si>
    <t>43,09</t>
  </si>
  <si>
    <t xml:space="preserve">CALHA/CANALETA DE CONCRETO SIMPLES, TIPO MEIA CANA, DIAMETRO DE 60 CM, PARA AGUA PLUVIAL                                                                                                                                                                                                                                                                                                                                                                                                                  </t>
  </si>
  <si>
    <t>55,73</t>
  </si>
  <si>
    <t xml:space="preserve">CALHA/CANALETA DE CONCRETO SIMPLES, TIPO MEIA CANA, DIAMETRO DE 80 CM, PARA AGUA PLUVIAL                                                                                                                                                                                                                                                                                                                                                                                                                  </t>
  </si>
  <si>
    <t>104,16</t>
  </si>
  <si>
    <t xml:space="preserve">CAMADA SEPARADORA DE FILME DE POLIETILENO 20 A 25 MICRA                                                                                                                                                                                                                                                                                                                                                                                                                                                   </t>
  </si>
  <si>
    <t xml:space="preserve">CAMINHAO TOCO, PESO BRUTO TOTAL 13000 KG, CARGA UTIL MAXIMA 7925 KG, DISTANCIA ENTRE EIXOS 4,80 M, POTENCIA 189 CV (INCLUI CABINE E CHASSI, NAO INCLUI CARROCERIA)                                                                                                                                                                                                                                                                                                                                        </t>
  </si>
  <si>
    <t>331.469,94</t>
  </si>
  <si>
    <t xml:space="preserve">CAMINHAO TOCO, PESO BRUTO TOTAL 14300 KG, CARGA UTIL MAXIMA 9590 KG, DISTANCIA ENTRE EIXOS 4,76 M, POTENCIA 185 CV (INCLUI CABINE E CHASSI, NAO INCLUI CARROCERIA)                                                                                                                                                                                                                                                                                                                                        </t>
  </si>
  <si>
    <t>346.155,31</t>
  </si>
  <si>
    <t xml:space="preserve">CAMINHAO TOCO, PESO BRUTO TOTAL 14300 KG, CARGA UTIL MAXIMA 9710 KG, DISTANCIA ENTRE EIXOS 3,56 M, POTENCIA 185 CV (INCLUI CABINE E CHASSI, NAO INCLUI CARROCERIA)                                                                                                                                                                                                                                                                                                                                        </t>
  </si>
  <si>
    <t>352.396,59</t>
  </si>
  <si>
    <t xml:space="preserve">CAMINHAO TOCO, PESO BRUTO TOTAL 16000 KG, CARGA UTIL MAXIMA DE 10685 KG, DISTANCIA ENTRE EIXOS 4,8M, POTENCIA 189 CV (INCLUI CABINE E CHASSI, NAO INCLUI CARROCERIA)                                                                                                                                                                                                                                                                                                                                      </t>
  </si>
  <si>
    <t>291.609,61</t>
  </si>
  <si>
    <t xml:space="preserve">CAMINHAO TOCO, PESO BRUTO TOTAL 16000 KG, CARGA UTIL MAXIMA 10600 KG, DISTANCIA ENTRE EIXOS 4,80 M, POTENCIA 275 CV (INCLUI CABINE E CHASSI, NAO INCLUI CARROCERIA)                                                                                                                                                                                                                                                                                                                                       </t>
  </si>
  <si>
    <t>405.945,76</t>
  </si>
  <si>
    <t xml:space="preserve">CAMINHAO TOCO, PESO BRUTO TOTAL 16000 KG, CARGA UTIL MAXIMA 10780 KG, DISTANCIA ENTRE EIXOS 3,56 M, POTENCIA 275 CV (INCLUI CABINE E CHASSI, NAO INCLUI CARROCERIA)                                                                                                                                                                                                                                                                                                                                       </t>
  </si>
  <si>
    <t>407.519,22</t>
  </si>
  <si>
    <t xml:space="preserve">CAMINHAO TOCO, PESO BRUTO TOTAL 16000 KG, CARGA UTIL MAXIMA 11030 KG, DISTANCIA ENTRE EIXOS 3,56M, POTENCIA 186 CV (INCLUI CABINE E CHASSI, NAO INCLUI CARROCERIA)                                                                                                                                                                                                                                                                                                                                        </t>
  </si>
  <si>
    <t>407.519,18</t>
  </si>
  <si>
    <t xml:space="preserve">CAMINHAO TOCO, PESO BRUTO TOTAL 16000 KG, CARGA UTIL MAXIMA 11130 KG, DISTANCIA ENTRE EIXOS 5,36 M, POTENCIA 185 CV (INCLUI CABINE E CHASSI, NAO INCLUI CARROCERIA)                                                                                                                                                                                                                                                                                                                                       </t>
  </si>
  <si>
    <t>369.547,01</t>
  </si>
  <si>
    <t xml:space="preserve">CAMINHAO TOCO, PESO BRUTO TOTAL 16000 KG, CARGA UTIL MAXIMA 13071 KG, DISTANCIA ENTRE EIXOS 4,80 M, POTENCIA 230 CV (INCLUI CABINE E CHASSI, NAO INCLUI CARROCERIA)                                                                                                                                                                                                                                                                                                                                       </t>
  </si>
  <si>
    <t>389.162,48</t>
  </si>
  <si>
    <t xml:space="preserve">CAMINHAO TOCO, PESO BRUTO TOTAL 8250 KG, CARGA UTIL MAXIMA 5110 KG, DISTANCIA ENTRE EIXOS 4,30 M, POTENCIA 162 CV (INCLUI CABINE E CHASSI, NAO INCLUI CARROCERIA)                                                                                                                                                                                                                                                                                                                                         </t>
  </si>
  <si>
    <t>271.679,49</t>
  </si>
  <si>
    <t xml:space="preserve">CAMINHAO TOCO, PESO BRUTO TOTAL 9000 KG, CARGA UTIL MAXIMA 5940 KG, DISTANCIA ENTRE EIXOS 3,69 M, POTENCIA 177 CV (INCLUI CABINE E CHASSI, NAO INCLUI CARROCERIA)                                                                                                                                                                                                                                                                                                                                         </t>
  </si>
  <si>
    <t>297.850,89</t>
  </si>
  <si>
    <t xml:space="preserve">CAMINHAO TOCO, PESO BRUTO TOTAL 9600 KG, CARGA UTIL MAXIMA 6110 KG, DISTANCIA ENTRE EIXOS 3,70 M, POTENCIA 156 CV (INCLUI CABINE E CHASSI, NAO INCLUI CARROCERIA)                                                                                                                                                                                                                                                                                                                                         </t>
  </si>
  <si>
    <t>296.801,96</t>
  </si>
  <si>
    <t xml:space="preserve">CAMINHAO TOCO, PESO BRUTO TOTAL 9600 KG, CARGA UTIL MAXIMA 6200 KG, DISTANCIA ENTRE EIXOS 3,10 M, POTENCIA 156 CV (INCLUI CABINE E CHASSI, NAO INCLUI CARROCERIA)                                                                                                                                                                                                                                                                                                                                         </t>
  </si>
  <si>
    <t>295.752,99</t>
  </si>
  <si>
    <t xml:space="preserve">CAMINHAO TOCO, PESO BRUTO TOTAL 9700 KG, CARGA UTIL MAXIMA 6360 KG, DISTANCIA ENTRE EIXOS 4,30 M, POTENCIA 160 CV (INCLUI CABINE E CHASSI, NAO INCLUI CARROCERIA)                                                                                                                                                                                                                                                                                                                                         </t>
  </si>
  <si>
    <t xml:space="preserve">CAMINHAO TRUCADO, PESO BRUTO TOTAL 22000 KG, CARGA UTIL MAXIMA 15350 KG, DISTANCIA ENTRE EIXOS 5,17 M, POTENCIA 238 CV (INCLUI CABINE E CHASSI, NAO INCLUI CARROCERIA)                                                                                                                                                                                                                                                                                                                                    </t>
  </si>
  <si>
    <t>423.778,02</t>
  </si>
  <si>
    <t xml:space="preserve">CAMINHAO TRUCADO, PESO BRUTO TOTAL 23000 KG, CARGA UTIL MAXIMA 15378 KG, DISTANCIA ENTRE EIXOS 4,80 M, POTENCIA 326 CV (INCLUI CABINE E CHASSI, NAO INCLUI CARROCERIA)                                                                                                                                                                                                                                                                                                                                    </t>
  </si>
  <si>
    <t>478.323,71</t>
  </si>
  <si>
    <t xml:space="preserve">CAMINHAO TRUCADO, PESO BRUTO TOTAL 23000 KG, CARGA UTIL MAXIMA 15935 KG, DISTANCIA ENTRE EIXOS 4,80 M, POTENCIA 230 CV (INCLUI CABINE E CHASSI, NAO INCLUI CARROCERIA)                                                                                                                                                                                                                                                                                                                                    </t>
  </si>
  <si>
    <t>430.386,43</t>
  </si>
  <si>
    <t xml:space="preserve">CAMINHAO TRUCADO, PESO BRUTO TOTAL 23000 KG, CARGA UTIL MAXIMA 15940 KG, DISTANCIA ENTRE EIXOS 3,60 M, POTENCIA 286 CV (INCLUI CABINE E CHASSI, NAO INCLUI CARROCERIA)                                                                                                                                                                                                                                                                                                                                    </t>
  </si>
  <si>
    <t>454.197,74</t>
  </si>
  <si>
    <t xml:space="preserve">CAMINHAO TRUCADO, PESO BRUTO TOTAL 23000 KG, CARGA UTIL MAXIMA 16190 KG, DISTANCIA ENTRE EIXOS 3,60 M, POTENCIA 286 CV (INCLUI CABINE E CHASSI, NAO INCLUI CARROCERIA)                                                                                                                                                                                                                                                                                                                                    </t>
  </si>
  <si>
    <t xml:space="preserve">CAMINHAO TRUCADO, PESO BRUTO TOTAL 23000 KG, CARGA UTIL MAXIMA 16360 KG, CABINE ESTENDIDA, DISTANCIA ENTRE EIXOS 3,56 M, POTENCIA 275 CV (INCLUI CABINE E CHASSI, NAO INCLUI CARROCERIA)                                                                                                                                                                                                                                                                                                                  </t>
  </si>
  <si>
    <t>448.952,96</t>
  </si>
  <si>
    <t xml:space="preserve">CAMINHONETE COM MOTOR A DIESEL, POTENCIA *160* CV, CABINE DUPLA, 4X4                                                                                                                                                                                                                                                                                                                                                                                                                                      </t>
  </si>
  <si>
    <t>211.642,67</t>
  </si>
  <si>
    <t xml:space="preserve">CAMPAINHA ALTA POTENCIA 110V / 220V, DIAMETRO 150 MM                                                                                                                                                                                                                                                                                                                                                                                                                                                      </t>
  </si>
  <si>
    <t>129,03</t>
  </si>
  <si>
    <t xml:space="preserve">CAMPAINHA CIGARRA 127 V / 220 V (APENAS MODULO)                                                                                                                                                                                                                                                                                                                                                                                                                                                           </t>
  </si>
  <si>
    <t xml:space="preserve">CAMPAINHA CIGARRA 127 V / 220 V, CONJUNTO MONTADO PARA EMBUTIR 4" X 2" (PLACA + SUPORTE + MODULO)                                                                                                                                                                                                                                                                                                                                                                                                         </t>
  </si>
  <si>
    <t>20,71</t>
  </si>
  <si>
    <t xml:space="preserve">CANALETA DE CONCRETO ESTRUTURAL 14 X 19 X 29 CM, FBK 14 MPA (NBR 6136)                                                                                                                                                                                                                                                                                                                                                                                                                                    </t>
  </si>
  <si>
    <t xml:space="preserve">CANALETA DE CONCRETO ESTRUTURAL 14 X 19 X 29 CM, FBK 4,5 MPA (NBR 6136)                                                                                                                                                                                                                                                                                                                                                                                                                                   </t>
  </si>
  <si>
    <t xml:space="preserve">CANALETA DE CONCRETO ESTRUTURAL 14 X 19 X 39 CM, FBK 14 MPA (NBR 6136)                                                                                                                                                                                                                                                                                                                                                                                                                                    </t>
  </si>
  <si>
    <t xml:space="preserve">CANALETA DE CONCRETO ESTRUTURAL 14 X 19 X 39 CM, FBK 4,5 MPA (NBR 6136)                                                                                                                                                                                                                                                                                                                                                                                                                                   </t>
  </si>
  <si>
    <t xml:space="preserve">CANALETA DE CONCRETO 14 X 19 X 19 CM (CLASSE C - NBR 6136)                                                                                                                                                                                                                                                                                                                                                                                                                                                </t>
  </si>
  <si>
    <t>1,98</t>
  </si>
  <si>
    <t xml:space="preserve">CANALETA DE CONCRETO 19 X 19 X 19 CM (CLASSE C - NBR 6136)                                                                                                                                                                                                                                                                                                                                                                                                                                                </t>
  </si>
  <si>
    <t xml:space="preserve">CANALETA DE CONCRETO 9 X 19 X 19 CM (CLASSE C - NBR 6136)                                                                                                                                                                                                                                                                                                                                                                                                                                                 </t>
  </si>
  <si>
    <t xml:space="preserve">CANALETA ESTRUTURAL CERAMICA, 14 X 19 X 19 CM, 6,0 MPA (NBR 15270)                                                                                                                                                                                                                                                                                                                                                                                                                                        </t>
  </si>
  <si>
    <t xml:space="preserve">CANALETA ESTRUTURAL CERAMICA, 14 X 19 X 29 CM, 6,0 MPA (NBR 15270)                                                                                                                                                                                                                                                                                                                                                                                                                                        </t>
  </si>
  <si>
    <t xml:space="preserve">CANALETA ESTRUTURAL CERAMICA, 14 X 19 X 39 CM, 6,0 MPA (NBR 15270)                                                                                                                                                                                                                                                                                                                                                                                                                                        </t>
  </si>
  <si>
    <t xml:space="preserve">CANOPLA ACABAMENTO CROMADO PARA INSTALACAO DE SPRINKLER, SOB FORRO, 15 MM                                                                                                                                                                                                                                                                                                                                                                                                                                 </t>
  </si>
  <si>
    <t xml:space="preserve">CANTONEIRA (ABAS IGUAIS) EM FERRO GALVANIZADO, 25,4 MM X 3,17 MM (L X E), 1,27KG/M                                                                                                                                                                                                                                                                                                                                                                                                                        </t>
  </si>
  <si>
    <t xml:space="preserve">CANTONEIRA (ABAS IGUAIS) EM FERRO GALVANIZADO, 38,1 MM X 3,17 MM (L X E), 3,48 KG/M                                                                                                                                                                                                                                                                                                                                                                                                                       </t>
  </si>
  <si>
    <t xml:space="preserve">CANTONEIRA (ABAS IGUAIS) EM FERRO GALVANIZADO, 50,8 MM X 9,53 MM (L X E), 6,99 KG/M                                                                                                                                                                                                                                                                                                                                                                                                                       </t>
  </si>
  <si>
    <t xml:space="preserve">CANTONEIRA "U" ALUMINIO ABAS IGUAIS 1 ", E = 3/32 "                                                                                                                                                                                                                                                                                                                                                                                                                                                       </t>
  </si>
  <si>
    <t>32,75</t>
  </si>
  <si>
    <t xml:space="preserve">CANTONEIRA ACO ABAS IGUAIS (QUALQUER BITOLA), ESPESSURA ENTRE 1/8" E 1/4"                                                                                                                                                                                                                                                                                                                                                                                                                                 </t>
  </si>
  <si>
    <t xml:space="preserve">CANTONEIRA ALUMINIO ABAS DESIGUAIS 1" X 3/4 ", E = 1/8 "                                                                                                                                                                                                                                                                                                                                                                                                                                                  </t>
  </si>
  <si>
    <t xml:space="preserve">CANTONEIRA ALUMINIO ABAS DESIGUAIS 2 1/2" X 1/2 ", E = 3/16 "                                                                                                                                                                                                                                                                                                                                                                                                                                             </t>
  </si>
  <si>
    <t xml:space="preserve">CANTONEIRA ALUMINIO ABAS IGUAIS 1 ", E = 1/8 ", 25,40 X 3,17 MM (0,408 KG/M)                                                                                                                                                                                                                                                                                                                                                                                                                              </t>
  </si>
  <si>
    <t xml:space="preserve">CANTONEIRA ALUMINIO ABAS IGUAIS 1 ", E = 3 /16 "                                                                                                                                                                                                                                                                                                                                                                                                                                                          </t>
  </si>
  <si>
    <t xml:space="preserve">CANTONEIRA ALUMINIO ABAS IGUAIS 1 1/2 ", E = 3/16 "                                                                                                                                                                                                                                                                                                                                                                                                                                                       </t>
  </si>
  <si>
    <t xml:space="preserve">CANTONEIRA ALUMINIO ABAS IGUAIS 1 1/4 ", E = 3/16 "                                                                                                                                                                                                                                                                                                                                                                                                                                                       </t>
  </si>
  <si>
    <t>32,64</t>
  </si>
  <si>
    <t xml:space="preserve">CANTONEIRA ALUMINIO ABAS IGUAIS 2 ", E = 1/4 "                                                                                                                                                                                                                                                                                                                                                                                                                                                            </t>
  </si>
  <si>
    <t xml:space="preserve">CANTONEIRA ALUMINIO ABAS IGUAIS 2 ", E = 1/8 "                                                                                                                                                                                                                                                                                                                                                                                                                                                            </t>
  </si>
  <si>
    <t xml:space="preserve">CAP OU TAMPAO DE FERRO GALVANIZADO, COM ROSCA BSP, DE 1 1/2"                                                                                                                                                                                                                                                                                                                                                                                                                                              </t>
  </si>
  <si>
    <t xml:space="preserve">CAP OU TAMPAO DE FERRO GALVANIZADO, COM ROSCA BSP, DE 1 1/4"                                                                                                                                                                                                                                                                                                                                                                                                                                              </t>
  </si>
  <si>
    <t xml:space="preserve">CAP OU TAMPAO DE FERRO GALVANIZADO, COM ROSCA BSP, DE 1/2"                                                                                                                                                                                                                                                                                                                                                                                                                                                </t>
  </si>
  <si>
    <t xml:space="preserve">CAP OU TAMPAO DE FERRO GALVANIZADO, COM ROSCA BSP, DE 1/4"                                                                                                                                                                                                                                                                                                                                                                                                                                                </t>
  </si>
  <si>
    <t xml:space="preserve">CAP OU TAMPAO DE FERRO GALVANIZADO, COM ROSCA BSP, DE 1"                                                                                                                                                                                                                                                                                                                                                                                                                                                  </t>
  </si>
  <si>
    <t xml:space="preserve">CAP OU TAMPAO DE FERRO GALVANIZADO, COM ROSCA BSP, DE 2 1/2"                                                                                                                                                                                                                                                                                                                                                                                                                                              </t>
  </si>
  <si>
    <t xml:space="preserve">CAP OU TAMPAO DE FERRO GALVANIZADO, COM ROSCA BSP, DE 2"                                                                                                                                                                                                                                                                                                                                                                                                                                                  </t>
  </si>
  <si>
    <t xml:space="preserve">CAP OU TAMPAO DE FERRO GALVANIZADO, COM ROSCA BSP, DE 3/4"                                                                                                                                                                                                                                                                                                                                                                                                                                                </t>
  </si>
  <si>
    <t xml:space="preserve">CAP OU TAMPAO DE FERRO GALVANIZADO, COM ROSCA BSP, DE 3/8"                                                                                                                                                                                                                                                                                                                                                                                                                                                </t>
  </si>
  <si>
    <t xml:space="preserve">CAP OU TAMPAO DE FERRO GALVANIZADO, COM ROSCA BSP, DE 3"                                                                                                                                                                                                                                                                                                                                                                                                                                                  </t>
  </si>
  <si>
    <t xml:space="preserve">CAP OU TAMPAO DE FERRO GALVANIZADO, COM ROSCA BSP, DE 4"                                                                                                                                                                                                                                                                                                                                                                                                                                                  </t>
  </si>
  <si>
    <t xml:space="preserve">CAP PPR DN 20 MM, PARA AGUA QUENTE PREDIAL                                                                                                                                                                                                                                                                                                                                                                                                                                                                </t>
  </si>
  <si>
    <t xml:space="preserve">CAP PPR DN 25 MM, PARA AGUA QUENTE PREDIAL                                                                                                                                                                                                                                                                                                                                                                                                                                                                </t>
  </si>
  <si>
    <t xml:space="preserve">CAP PVC, ROSCAVEL, 1 1/2",  AGUA FRIA PREDIAL                                                                                                                                                                                                                                                                                                                                                                                                                                                             </t>
  </si>
  <si>
    <t xml:space="preserve">CAP PVC, ROSCAVEL, 1 1/4",  AGUA FRIA PREDIAL                                                                                                                                                                                                                                                                                                                                                                                                                                                             </t>
  </si>
  <si>
    <t>18,25</t>
  </si>
  <si>
    <t xml:space="preserve">CAP PVC, ROSCAVEL, 1/2", PARA AGUA FRIA PREDIAL                                                                                                                                                                                                                                                                                                                                                                                                                                                           </t>
  </si>
  <si>
    <t xml:space="preserve">CAP PVC, ROSCAVEL, 1",  PARA AGUA FRIA PREDIAL                                                                                                                                                                                                                                                                                                                                                                                                                                                            </t>
  </si>
  <si>
    <t xml:space="preserve">CAP PVC, ROSCAVEL, 2 1/2",  AGUA FRIA PREDIAL                                                                                                                                                                                                                                                                                                                                                                                                                                                             </t>
  </si>
  <si>
    <t xml:space="preserve">CAP PVC, ROSCAVEL, 2",  AGUA FRIA PREDIAL                                                                                                                                                                                                                                                                                                                                                                                                                                                                 </t>
  </si>
  <si>
    <t xml:space="preserve">CAP PVC, ROSCAVEL, 3/4",  PARA AGUA FRIA PREDIAL                                                                                                                                                                                                                                                                                                                                                                                                                                                          </t>
  </si>
  <si>
    <t xml:space="preserve">CAP PVC, ROSCAVEL, 3",  AGUA FRIA PREDIAL                                                                                                                                                                                                                                                                                                                                                                                                                                                                 </t>
  </si>
  <si>
    <t xml:space="preserve">CAP PVC, SERIE R, DN 100 MM, PARA ESGOTO OU AGUAS PLUVIAIS PREDIAIS                                                                                                                                                                                                                                                                                                                                                                                                                                       </t>
  </si>
  <si>
    <t xml:space="preserve">CAP PVC, SERIE R, DN 150 MM, PARA ESGOTO OU AGUAS PLUVIAIS PREDIAIS                                                                                                                                                                                                                                                                                                                                                                                                                                       </t>
  </si>
  <si>
    <t>98,19</t>
  </si>
  <si>
    <t xml:space="preserve">CAP PVC, SERIE R, DN 75 MM, PARA ESGOTO OU AGUAS PLUVIAIS PREDIAIS                                                                                                                                                                                                                                                                                                                                                                                                                                        </t>
  </si>
  <si>
    <t xml:space="preserve">CAP PVC, SOLDAVEL, DN 100 MM, SERIE NORMAL, PARA ESGOTO PREDIAL                                                                                                                                                                                                                                                                                                                                                                                                                                           </t>
  </si>
  <si>
    <t xml:space="preserve">CAP PVC, SOLDAVEL, DN 50 MM, SERIE NORMAL, PARA ESGOTO PREDIAL                                                                                                                                                                                                                                                                                                                                                                                                                                            </t>
  </si>
  <si>
    <t xml:space="preserve">CAP PVC, SOLDAVEL, DN 75 MM, SERIE NORMAL, PARA ESGOTO PREDIAL                                                                                                                                                                                                                                                                                                                                                                                                                                            </t>
  </si>
  <si>
    <t xml:space="preserve">CAP PVC, SOLDAVEL, 110 MM, PARA AGUA FRIA PREDIAL                                                                                                                                                                                                                                                                                                                                                                                                                                                         </t>
  </si>
  <si>
    <t>119,12</t>
  </si>
  <si>
    <t xml:space="preserve">CAP PVC, SOLDAVEL, 20 MM, PARA AGUA FRIA PREDIAL                                                                                                                                                                                                                                                                                                                                                                                                                                                          </t>
  </si>
  <si>
    <t xml:space="preserve">CAP PVC, SOLDAVEL, 25 MM, PARA AGUA FRIA PREDIAL                                                                                                                                                                                                                                                                                                                                                                                                                                                          </t>
  </si>
  <si>
    <t xml:space="preserve">CAP PVC, SOLDAVEL, 32 MM, PARA AGUA FRIA PREDIAL                                                                                                                                                                                                                                                                                                                                                                                                                                                          </t>
  </si>
  <si>
    <t>3,35</t>
  </si>
  <si>
    <t xml:space="preserve">CAP PVC, SOLDAVEL, 40 MM, PARA AGUA FRIA PREDIAL                                                                                                                                                                                                                                                                                                                                                                                                                                                          </t>
  </si>
  <si>
    <t xml:space="preserve">CAP PVC, SOLDAVEL, 50 MM, PARA AGUA FRIA PREDIAL                                                                                                                                                                                                                                                                                                                                                                                                                                                          </t>
  </si>
  <si>
    <t xml:space="preserve">CAP PVC, SOLDAVEL, 60 MM, PARA AGUA FRIA PREDIAL                                                                                                                                                                                                                                                                                                                                                                                                                                                          </t>
  </si>
  <si>
    <t xml:space="preserve">CAP PVC, SOLDAVEL, 75 MM, PARA AGUA FRIA PREDIAL                                                                                                                                                                                                                                                                                                                                                                                                                                                          </t>
  </si>
  <si>
    <t xml:space="preserve">CAP PVC, SOLDAVEL, 85 MM, PARA AGUA FRIA PREDIAL                                                                                                                                                                                                                                                                                                                                                                                                                                                          </t>
  </si>
  <si>
    <t>79,26</t>
  </si>
  <si>
    <t xml:space="preserve">CAP, PVC PBA, JE, DN 100 / DE 110 MM,  PARA REDE DE AGUA (NBR 10351)                                                                                                                                                                                                                                                                                                                                                                                                                                      </t>
  </si>
  <si>
    <t>37,17</t>
  </si>
  <si>
    <t xml:space="preserve">CAP, PVC PBA, JE, DN 50 / DE 60 MM,  PARA REDE DE AGUA (NBR 10351)                                                                                                                                                                                                                                                                                                                                                                                                                                        </t>
  </si>
  <si>
    <t xml:space="preserve">CAP, PVC PBA, JE, DN 75 / DE 85 MM,  PARA REDE DE AGUA (NBR 10351)                                                                                                                                                                                                                                                                                                                                                                                                                                        </t>
  </si>
  <si>
    <t xml:space="preserve">CAP, PVC, JE, OCRE, DN 150 MM (CONEXAO PARA TUBO COLETOR DE ESGOTO)                                                                                                                                                                                                                                                                                                                                                                                                                                       </t>
  </si>
  <si>
    <t xml:space="preserve">CAP, PVC, JE, OCRE, DN 200 MM (CONEXAO PARA TUBO COLETOR DE ESGOTO)                                                                                                                                                                                                                                                                                                                                                                                                                                       </t>
  </si>
  <si>
    <t xml:space="preserve">CAPA PARA CHUVA EM PVC COM FORRO DE POLIESTER, COM CAPUZ (AMARELA OU AZUL)                                                                                                                                                                                                                                                                                                                                                                                                                                </t>
  </si>
  <si>
    <t xml:space="preserve">CAPACETE DE SEGURANCA ABA FRONTAL COM SUSPENSAO DE POLIETILENO, SEM JUGULAR (CLASSE B)                                                                                                                                                                                                                                                                                                                                                                                                                    </t>
  </si>
  <si>
    <t xml:space="preserve">CAPACITOR TRIFASICO, POTENCIA 2,5 KVAR, TENSAO 220 V, FORNECIDO COM CAPA PROTETORA, RESISTOR INTERNO A UNIDADE CAPACITIVA                                                                                                                                                                                                                                                                                                                                                                                 </t>
  </si>
  <si>
    <t>250,66</t>
  </si>
  <si>
    <t xml:space="preserve">CAPACITOR TRIFASICO, POTENCIA 5 KVAR, TENSAO 220 V, FORNECIDO COM CAPA PROTETORA, RESISTOR INTERNO A UNIDADE CAPACITIVA                                                                                                                                                                                                                                                                                                                                                                                   </t>
  </si>
  <si>
    <t>425,89</t>
  </si>
  <si>
    <t xml:space="preserve">CAPIM BRAQUIARIA DECUMBENS/ BRAQUIARINHA, VC *70*% MINIMO                                                                                                                                                                                                                                                                                                                                                                                                                                                 </t>
  </si>
  <si>
    <t>35,81</t>
  </si>
  <si>
    <t xml:space="preserve">CAPTOR FRANKLIN (4 PONTAS), EM LATAO CROMADO, H = 300 MM, DUAS DESCIDAS                                                                                                                                                                                                                                                                                                                                                                                                                                   </t>
  </si>
  <si>
    <t>49,67</t>
  </si>
  <si>
    <t xml:space="preserve">CAPTOR FRANKLIN (4 PONTAS), EM LATAO CROMADO, H = 300 MM, UMA DESCIDA                                                                                                                                                                                                                                                                                                                                                                                                                                     </t>
  </si>
  <si>
    <t xml:space="preserve">CAPTOR FRANKLIN (4 PONTAS), EM LATAO CROMADO, H = 350 MM, DUAS DESCIDAS                                                                                                                                                                                                                                                                                                                                                                                                                                   </t>
  </si>
  <si>
    <t xml:space="preserve">CAPTOR FRANKLIN (4 PONTAS), EM LATAO CROMADO, H=350 MM, UMA DESCIDA                                                                                                                                                                                                                                                                                                                                                                                                                                       </t>
  </si>
  <si>
    <t>78,37</t>
  </si>
  <si>
    <t xml:space="preserve">CARENAGEM /TAMPA, EM PLASTICO, COR BRANCA, UTILIZADO EM KIT CHASSI METALICO PARA INSTALACAO HIDRAULICA DE CUBA SIMPLES SEM MAQUINA DE LAVAR ROUPA, LARGURA *355* MM X ALTURA *670* MM (COM FUROS E DEMAIS ENCAIXES)                                                                                                                                                                                                                                                                                       </t>
  </si>
  <si>
    <t xml:space="preserve">CARENAGEM /TAMPA, EM PLASTICO, COR BRANCA, UTILIZADO EM KIT CHASSI METALICO PARA INSTALACAO HIDRAULICA DE TANQUE COM MAQUINA DE LAVAR ROUPA, LARGURA *360* MM X ALTURA *470* MM (COM FUROS E DEMAIS ENCAIXES)                                                                                                                                                                                                                                                                                             </t>
  </si>
  <si>
    <t xml:space="preserve">CARPETE DE NYLON EM MANTA PARA TRAFEGO COMERCIAL PESADO, E = 6 A 7 MM (INSTALADO)                                                                                                                                                                                                                                                                                                                                                                                                                         </t>
  </si>
  <si>
    <t xml:space="preserve">CARPETE DE NYLON EM MANTA PARA TRAFEGO COMERCIAL PESADO, E = 9 A 10 MM (INSTALADO)                                                                                                                                                                                                                                                                                                                                                                                                                        </t>
  </si>
  <si>
    <t xml:space="preserve">CARPETE DE NYLON EM PLACAS 50 X 50 CM PARA TRAFEGO COMERCIAL PESADO, E = 6,5 MM (INSTALADO)                                                                                                                                                                                                                                                                                                                                                                                                               </t>
  </si>
  <si>
    <t xml:space="preserve">CARPETE DE POLIESTER EM MANTA PARA TRAFEGO COMERCIAL PESADO, E = 4 A 5 MM (INSTALADO)                                                                                                                                                                                                                                                                                                                                                                                                                     </t>
  </si>
  <si>
    <t>48,39</t>
  </si>
  <si>
    <t xml:space="preserve">CARPETE DE POLIPROPILENO EM MANTA PARA TRAFEGO COMERCIAL MEDIO, E = 5 A 6 MM (INSTALADO)                                                                                                                                                                                                                                                                                                                                                                                                                  </t>
  </si>
  <si>
    <t>82,38</t>
  </si>
  <si>
    <t xml:space="preserve">CARPINTEIRO AUXILIAR                                                                                                                                                                                                                                                                                                                                                                                                                                                                                      </t>
  </si>
  <si>
    <t xml:space="preserve">CARPINTEIRO AUXILIAR (MENSALISTA)                                                                                                                                                                                                                                                                                                                                                                                                                                                                         </t>
  </si>
  <si>
    <t>2.618,89</t>
  </si>
  <si>
    <t xml:space="preserve">CARPINTEIRO DE ESQUADRIAS                                                                                                                                                                                                                                                                                                                                                                                                                                                                                 </t>
  </si>
  <si>
    <t xml:space="preserve">CARPINTEIRO DE ESQUADRIAS (MENSALISTA)                                                                                                                                                                                                                                                                                                                                                                                                                                                                    </t>
  </si>
  <si>
    <t>2.790,81</t>
  </si>
  <si>
    <t xml:space="preserve">CARPINTEIRO DE FORMAS                                                                                                                                                                                                                                                                                                                                                                                                                                                                                     </t>
  </si>
  <si>
    <t xml:space="preserve">CARPINTEIRO DE FORMAS (MENSALISTA)                                                                                                                                                                                                                                                                                                                                                                                                                                                                        </t>
  </si>
  <si>
    <t>3.324,09</t>
  </si>
  <si>
    <t xml:space="preserve">CARRANCA PARA JANELA VENEZIANA DE ABRIR, EM LATAO CROMADO, SIMPLES, PARA APARAFUSAR NA PAREDE                                                                                                                                                                                                                                                                                                                                                                                                             </t>
  </si>
  <si>
    <t xml:space="preserve">CARRINHO COM 2 PNEUS PARA TRANSPORTAR TUBO CONCRETO, ALTURA ATE 1,0 M E DIAMETRO ATE 1000MM, COM ESTRUTURA EM PERFIL OU TUBO METALICO                                                                                                                                                                                                                                                                                                                                                                     </t>
  </si>
  <si>
    <t>3.711,75</t>
  </si>
  <si>
    <t xml:space="preserve">CARRINHO DE MAO DE ACO CAPACIDADE 50 A 60 L, PNEU COM CAMARA                                                                                                                                                                                                                                                                                                                                                                                                                                              </t>
  </si>
  <si>
    <t xml:space="preserve">CARROCERIA FIXA ABERTA DE MADEIRA PARA TRANSPORTE GERAL DE CARGA SECA DIMENSOES APROXIMADAS 2,25 X 4,10 X 0,50 M (INCLUI MONTAGEM, NAO INCLUI CAMINHAO)                                                                                                                                                                                                                                                                                                                                                   </t>
  </si>
  <si>
    <t>16.025,00</t>
  </si>
  <si>
    <t xml:space="preserve">CARROCERIA FIXA ABERTA DE MADEIRA PARA TRANSPORTE GERAL DE CARGA SECA DIMENSOES APROXIMADAS 2,5 X 5,5 X 0,50 M (INCLUI MONTAGEM, NAO INCLUI CAMINHAO)                                                                                                                                                                                                                                                                                                                                                     </t>
  </si>
  <si>
    <t>21.740,21</t>
  </si>
  <si>
    <t xml:space="preserve">CARROCERIA FIXA ABERTA DE MADEIRA PARA TRANSPORTE GERAL DE CARGA SECA DIMENSOES APROXIMADAS 2,5 X 6,00 X 0,50 M (INCLUI MONTAGEM, NAO INCLUI CAMINHAO)                                                                                                                                                                                                                                                                                                                                                    </t>
  </si>
  <si>
    <t>23.533,21</t>
  </si>
  <si>
    <t xml:space="preserve">CARROCERIA FIXA ABERTA DE MADEIRA PARA TRANSPORTE GERAL DE CARGA SECA DIMENSOES APROXIMADAS 2,5 X 6,5 X 0,50 M (INCLUI MONTAGEM, NAO INCLUI CAMINHAO)                                                                                                                                                                                                                                                                                                                                                     </t>
  </si>
  <si>
    <t>25.326,22</t>
  </si>
  <si>
    <t xml:space="preserve">CARROCERIA FIXA ABERTA DE MADEIRA PARA TRANSPORTE GERAL DE CARGA SECA DIMENSOES APROXIMADAS 2,5 X 7,00 X 0,50 M (INCLUI MONTAGEM, NAO INCLUI CAMINHAO)                                                                                                                                                                                                                                                                                                                                                    </t>
  </si>
  <si>
    <t>27.119,23</t>
  </si>
  <si>
    <t xml:space="preserve">CARROCERIA FIXA ABERTA DE MADEIRA PARA TRANSPORTE GERAL DE CARGA SECA DIMENSOES APROXIMADAS 2,5 X 7,5 X 0,50 M (INCLUI MONTAGEM, NAO INCLUI CAMINHAO)                                                                                                                                                                                                                                                                                                                                                     </t>
  </si>
  <si>
    <t>30.929,37</t>
  </si>
  <si>
    <t xml:space="preserve">CARVAO ANTRACITO PARA FILTRO, GRAO VARIANDO DE 0,8 ATE 1,1 MM, COEFICIENTE DE UNIFORMIDADE MENOR QUE 1,7 MM                                                                                                                                                                                                                                                                                                                                                                                               </t>
  </si>
  <si>
    <t>2.105,35</t>
  </si>
  <si>
    <t xml:space="preserve">CARVAO ANTRACITO PARA FILTRO, GRAO VARIANDO DE 0,8 ATE 1,1 MM, COEFICIENTE DE UNIFORMIDADE MENOR QUE 1,7 MM (DISTRIBUIDOR)                                                                                                                                                                                                                                                                                                                                                                                </t>
  </si>
  <si>
    <t xml:space="preserve">CASCALHO DE CAVA                                                                                                                                                                                                                                                                                                                                                                                                                                                                                          </t>
  </si>
  <si>
    <t>45,67</t>
  </si>
  <si>
    <t xml:space="preserve">CASCALHO DE RIO                                                                                                                                                                                                                                                                                                                                                                                                                                                                                           </t>
  </si>
  <si>
    <t>73,08</t>
  </si>
  <si>
    <t xml:space="preserve">CASCALHO LAVADO                                                                                                                                                                                                                                                                                                                                                                                                                                                                                           </t>
  </si>
  <si>
    <t>87,65</t>
  </si>
  <si>
    <t xml:space="preserve">CAVALETE PARA TALHA COM ESTRUTURA EM TUBO METALICO ALTURA MINIMA 3,2 M EQUIPADO COM RODAS DE BORRACHA PARA MOVIMENTACAO DE TUBOS DE CONCRETO NA CENTRAL DE PREMOLDADOS COM CAPACIDADE DE CARGA DE 3 TONELADAS                                                                                                                                                                                                                                                                                             </t>
  </si>
  <si>
    <t>9.424,07</t>
  </si>
  <si>
    <t xml:space="preserve">CAVALO MECANICO TRACAO 4X2, PESO BRUTO TOTAL COMBINADO 49000 KG, CAPACIDADE MAXIMA DE TRACAO *66000* KG, POTENCIA *360* CV (INCLUI CABINE E CHASSI, NAO INCLUI SEMIRREBOQUE)                                                                                                                                                                                                                                                                                                                              </t>
  </si>
  <si>
    <t>588.050,18</t>
  </si>
  <si>
    <t xml:space="preserve">CAVALO MECANICO TRACAO 4X2, PESO BRUTO TOTAL 16000 KG, CAPACIDADE MAXIMA DE TRACAO *36000* KG, DISTANCIA ENTRE EIXOS *3,56* M, POTENCIA *286* CV (INCLUI CABINE E CHASSI, NAO INCLUI SEMIRREBOQUE)                                                                                                                                                                                                                                                                                                        </t>
  </si>
  <si>
    <t>504.334,80</t>
  </si>
  <si>
    <t xml:space="preserve">CAVALO MECANICO TRACAO 4X2, PESO BRUTO TOTAL 16000 KG, CAPACIDADE MAXIMA DE TRACAO *45000* KG, DISTANCIA ENTRE EIXOS *3,56* M, POTENCIA *330* CV (INCLUI CABINE E CHASSI, NAO INCLUI SEMIRREBOQUE)                                                                                                                                                                                                                                                                                                        </t>
  </si>
  <si>
    <t>510.460,24</t>
  </si>
  <si>
    <t xml:space="preserve">CAVALO MECANICO TRACAO 4X2, PESO BRUTO TOTAL 16000 KG, CAPACIDADE MAXIMA DE TRACAO *80000* KG, POTENCIA *380* CV (INCLUI CABINE E CHASSI, NAO INCLUI SEMIRREBOQUE)                                                                                                                                                                                                                                                                                                                                        </t>
  </si>
  <si>
    <t>580.291,28</t>
  </si>
  <si>
    <t xml:space="preserve">CAVALO MECANICO TRACAO 6X2, PESO BRUTO TOTAL COMBINADO 56000 KG, CAPACIDADE MAXIMA DE TRACAO *66000* KG, POTENCIA *360* CV (INCLUI CABINE E CHASSI, NAO INCLUI SEMIRREBOQUE)                                                                                                                                                                                                                                                                                                                              </t>
  </si>
  <si>
    <t>711.581,60</t>
  </si>
  <si>
    <t xml:space="preserve">CAVOUQUEIRO OU OPERADOR DE PERFURATRIZ / ROMPEDOR                                                                                                                                                                                                                                                                                                                                                                                                                                                         </t>
  </si>
  <si>
    <t xml:space="preserve">CAVOUQUEIRO OU OPERADOR DE PERFURATRIZ / ROMPEDOR (MENSALISTA)                                                                                                                                                                                                                                                                                                                                                                                                                                            </t>
  </si>
  <si>
    <t>2.580,85</t>
  </si>
  <si>
    <t xml:space="preserve">CENTRALIZADOR DE BARRA DE ACO (CHUMBADOR TIPO CARAMBOLA), PARA ACO ATE 20 MM                                                                                                                                                                                                                                                                                                                                                                                                                              </t>
  </si>
  <si>
    <t xml:space="preserve">CENTRO DE MEDICAO AGRUPADA, EM POLICARBONATO / PVC, COM 12 MEDIDORES E PROTECAO GERAL (INCLUI BARRAMENTO, DISJUNTORES E ACESSORIOS DE FIXACAO) (PADRAO CONCESSIONARIA LOCAL)                                                                                                                                                                                                                                                                                                                              </t>
  </si>
  <si>
    <t>4.834,35</t>
  </si>
  <si>
    <t xml:space="preserve">CENTRO DE MEDICAO AGRUPADA, EM POLICARBONATO / PVC, COM 16 MEDIDORES E PROTECAO GERAL (INCLUI BARRAMENTO, DISJUNTORES E ACESSORIOS DE FIXACAO) (PADRAO CONCESSIONARIA LOCAL)                                                                                                                                                                                                                                                                                                                              </t>
  </si>
  <si>
    <t>6.445,80</t>
  </si>
  <si>
    <t xml:space="preserve">CENTRO DE MEDICAO AGRUPADA, EM POLICARBONATO / PVC, COM 4 MEDIDORES E PROTECAO GERAL (INCLUI BARRAMENTO, DISJUNTORES E ACESSORIOS DE FIXACAO) (PADRAO CONCESSIONARIA LOCAL)                                                                                                                                                                                                                                                                                                                               </t>
  </si>
  <si>
    <t>1.123,36</t>
  </si>
  <si>
    <t xml:space="preserve">CENTRO DE MEDICAO AGRUPADA, EM POLICARBONATO / PVC, COM 8 MEDIDORES E PROTECAO GERAL (INCLUI BARRAMENTO, DISJUNTORES E ACESSORIOS DE FIXACAO) (PADRAO CONCESSIONARIA LOCAL)                                                                                                                                                                                                                                                                                                                               </t>
  </si>
  <si>
    <t>2.479,15</t>
  </si>
  <si>
    <t xml:space="preserve">CERA  LIQUIDA                                                                                                                                                                                                                                                                                                                                                                                                                                                                                             </t>
  </si>
  <si>
    <t xml:space="preserve">CHAPA ACO INOX AISI 304 NUMERO 4 (E = 6 MM), ACABAMENTO NUMERO 1 (LAMINADO A QUENTE, FOSCO)                                                                                                                                                                                                                                                                                                                                                                                                               </t>
  </si>
  <si>
    <t>1.302,56</t>
  </si>
  <si>
    <t xml:space="preserve">CHAPA ACO INOX AISI 304 NUMERO 9 (E = 4 MM), ACABAMENTO NUMERO 1 (LAMINADO A QUENTE, FOSCO)                                                                                                                                                                                                                                                                                                                                                                                                               </t>
  </si>
  <si>
    <t>868,36</t>
  </si>
  <si>
    <t xml:space="preserve">CHAPA DE ACO CARBONO GALVANIZADA, PERFURADA (GRADE FUROS) E = 1,5 MM, DIAMETRO DO FURO = 9,52 MM (FUROS ALTERNADOS HORIZ.)                                                                                                                                                                                                                                                                                                                                                                                </t>
  </si>
  <si>
    <t xml:space="preserve">CHAPA DE ACO CARBONO LAMINADO A QUENTE, QUALIDADE ESTRUTURAL, BITOLA 3/16", E =4,75 MM (37,29 KG/M2)                                                                                                                                                                                                                                                                                                                                                                                                      </t>
  </si>
  <si>
    <t xml:space="preserve">CHAPA DE ACO FINA A FRIO BITOLA MSG 20, E = 0,90 MM (7,20 KG/M2)                                                                                                                                                                                                                                                                                                                                                                                                                                          </t>
  </si>
  <si>
    <t xml:space="preserve">CHAPA DE ACO FINA A FRIO BITOLA MSG 24, E = 0,60 MM (4,80 KG/M2)                                                                                                                                                                                                                                                                                                                                                                                                                                          </t>
  </si>
  <si>
    <t xml:space="preserve">CHAPA DE ACO FINA A FRIO BITOLA MSG 26, E = 0,45 MM (3,60 KG/M2)                                                                                                                                                                                                                                                                                                                                                                                                                                          </t>
  </si>
  <si>
    <t xml:space="preserve">CHAPA DE ACO FINA A QUENTE BITOLA MSG 13, E = 2,25 MM (18,00 KG/M2)                                                                                                                                                                                                                                                                                                                                                                                                                                       </t>
  </si>
  <si>
    <t xml:space="preserve">CHAPA DE ACO FINA A QUENTE BITOLA MSG 14, E = 2,00 MM (16,0 KG/M2)                                                                                                                                                                                                                                                                                                                                                                                                                                        </t>
  </si>
  <si>
    <t xml:space="preserve">CHAPA DE ACO FINA A QUENTE BITOLA MSG 16, E = 1,50 MM (12,00 KG/M2)                                                                                                                                                                                                                                                                                                                                                                                                                                       </t>
  </si>
  <si>
    <t xml:space="preserve">CHAPA DE ACO FINA A QUENTE BITOLA MSG 18, E = 1,20 MM (9,60 KG/M2)                                                                                                                                                                                                                                                                                                                                                                                                                                        </t>
  </si>
  <si>
    <t xml:space="preserve">CHAPA DE ACO FINA A QUENTE BITOLA MSG 3/16 ", E = 4,75 MM (38,00 KG/M2)                                                                                                                                                                                                                                                                                                                                                                                                                                   </t>
  </si>
  <si>
    <t xml:space="preserve">CHAPA DE ACO GALVANIZADA BITOLA GSG 14, E = 1,95 MM (15,60 KG/M2)                                                                                                                                                                                                                                                                                                                                                                                                                                         </t>
  </si>
  <si>
    <t xml:space="preserve">CHAPA DE ACO GALVANIZADA BITOLA GSG 16, E = 1,55 MM (12,40 KG/M2)                                                                                                                                                                                                                                                                                                                                                                                                                                         </t>
  </si>
  <si>
    <t xml:space="preserve">CHAPA DE ACO GALVANIZADA BITOLA GSG 18, E = 1,25 MM (10,00 KG/M2)                                                                                                                                                                                                                                                                                                                                                                                                                                         </t>
  </si>
  <si>
    <t xml:space="preserve">CHAPA DE ACO GALVANIZADA BITOLA GSG 19, E = 1,11 MM (8,88 KG/M2)                                                                                                                                                                                                                                                                                                                                                                                                                                          </t>
  </si>
  <si>
    <t xml:space="preserve">CHAPA DE ACO GALVANIZADA BITOLA GSG 20, E = 0,95 MM (7,60 KG/M2)                                                                                                                                                                                                                                                                                                                                                                                                                                          </t>
  </si>
  <si>
    <t xml:space="preserve">CHAPA DE ACO GALVANIZADA BITOLA GSG 22, E = 0,80 MM (6,40 KG/M2)                                                                                                                                                                                                                                                                                                                                                                                                                                          </t>
  </si>
  <si>
    <t xml:space="preserve">CHAPA DE ACO GALVANIZADA BITOLA GSG 24, E = 0,64 (5,12 KG/M2)                                                                                                                                                                                                                                                                                                                                                                                                                                             </t>
  </si>
  <si>
    <t xml:space="preserve">CHAPA DE ACO GALVANIZADA BITOLA GSG 26, E = 0,50 MM (4,00 KG/M2)                                                                                                                                                                                                                                                                                                                                                                                                                                          </t>
  </si>
  <si>
    <t xml:space="preserve">CHAPA DE ACO GALVANIZADA BITOLA GSG 30, E = 0,35 MM (2,80 KG/M2)                                                                                                                                                                                                                                                                                                                                                                                                                                          </t>
  </si>
  <si>
    <t>23,49</t>
  </si>
  <si>
    <t xml:space="preserve">CHAPA DE ACO GROSSA, ASTM A36, E = 1 " (25,40 MM) 199,18 KG/M2                                                                                                                                                                                                                                                                                                                                                                                                                                            </t>
  </si>
  <si>
    <t xml:space="preserve">CHAPA DE ACO GROSSA, ASTM A36, E = 1/2 " (12,70 MM) 99,59 KG/M2                                                                                                                                                                                                                                                                                                                                                                                                                                           </t>
  </si>
  <si>
    <t xml:space="preserve">CHAPA DE ACO GROSSA, ASTM A36, E = 1/4 " (6,35 MM) 49,79 KG/M2                                                                                                                                                                                                                                                                                                                                                                                                                                            </t>
  </si>
  <si>
    <t xml:space="preserve">CHAPA DE ACO GROSSA, ASTM A36, E = 3/4 " (19,05 MM) 149,39 KG/M2                                                                                                                                                                                                                                                                                                                                                                                                                                          </t>
  </si>
  <si>
    <t xml:space="preserve">CHAPA DE ACO GROSSA, ASTM A36, E = 3/8 " (9,53 MM) 74,69 KG/M2                                                                                                                                                                                                                                                                                                                                                                                                                                            </t>
  </si>
  <si>
    <t xml:space="preserve">CHAPA DE ACO GROSSA, ASTM A36, E = 5/8 " (15,88 MM) 124,49 KG/M2                                                                                                                                                                                                                                                                                                                                                                                                                                          </t>
  </si>
  <si>
    <t xml:space="preserve">CHAPA DE ACO GROSSA, ASTM A36, E = 7/8 " (22,23 MM) 174,28 KG/M2                                                                                                                                                                                                                                                                                                                                                                                                                                          </t>
  </si>
  <si>
    <t xml:space="preserve">CHAPA DE ACO GROSSA, SAE 1020, BITOLA 1/4", E = 6,35 MM (49,85 KG/M2)                                                                                                                                                                                                                                                                                                                                                                                                                                     </t>
  </si>
  <si>
    <t xml:space="preserve">CHAPA DE ACO XADREZ PARA PISOS, E = 1/4 " (6,30 MM) 54,53 KG/M2                                                                                                                                                                                                                                                                                                                                                                                                                                           </t>
  </si>
  <si>
    <t xml:space="preserve">CHAPA DE LAMINADO MELAMINICO, LISO BRILHANTE, DE *1,25 X 3,08* M, E = 0,8 MM                                                                                                                                                                                                                                                                                                                                                                                                                              </t>
  </si>
  <si>
    <t xml:space="preserve">CHAPA DE LAMINADO MELAMINICO, LISO FOSCO, DE *1,25 X 3,08* M, E = 0,8 MM                                                                                                                                                                                                                                                                                                                                                                                                                                  </t>
  </si>
  <si>
    <t xml:space="preserve">CHAPA DE LAMINADO MELAMINICO, TEXTURIZADO, DE *1,25 X 3,08* M, E = 0,8 MM                                                                                                                                                                                                                                                                                                                                                                                                                                 </t>
  </si>
  <si>
    <t>44,87</t>
  </si>
  <si>
    <t xml:space="preserve">CHAPA DE MADEIRA COMPENSADA NAVAL (COM COLA FENOLICA), E = 10 MM, DE *1,60 X 2,20* M                                                                                                                                                                                                                                                                                                                                                                                                                      </t>
  </si>
  <si>
    <t xml:space="preserve">CHAPA DE MADEIRA COMPENSADA NAVAL (COM COLA FENOLICA), E = 12 MM, DE *1,60 X 2,20* M                                                                                                                                                                                                                                                                                                                                                                                                                      </t>
  </si>
  <si>
    <t xml:space="preserve">CHAPA DE MADEIRA COMPENSADA NAVAL (COM COLA FENOLICA), E = 15 MM, DE *1,60 X 2,20* M                                                                                                                                                                                                                                                                                                                                                                                                                      </t>
  </si>
  <si>
    <t>56,94</t>
  </si>
  <si>
    <t xml:space="preserve">CHAPA DE MADEIRA COMPENSADA NAVAL (COM COLA FENOLICA), E = 18 MM, DE *1,60 X 2,20* M                                                                                                                                                                                                                                                                                                                                                                                                                      </t>
  </si>
  <si>
    <t xml:space="preserve">CHAPA DE MADEIRA COMPENSADA NAVAL (COM COLA FENOLICA), E = 20 MM, DE *1,60 X 2,20* M                                                                                                                                                                                                                                                                                                                                                                                                                      </t>
  </si>
  <si>
    <t xml:space="preserve">CHAPA DE MADEIRA COMPENSADA NAVAL (COM COLA FENOLICA), E = 25 MM, DE *1,60 X 2,20* M                                                                                                                                                                                                                                                                                                                                                                                                                      </t>
  </si>
  <si>
    <t>92,11</t>
  </si>
  <si>
    <t xml:space="preserve">CHAPA DE MADEIRA COMPENSADA NAVAL (COM COLA FENOLICA), E = 4 MM, DE *1,60 X 2,20* M                                                                                                                                                                                                                                                                                                                                                                                                                       </t>
  </si>
  <si>
    <t xml:space="preserve">CHAPA DE MADEIRA COMPENSADA NAVAL (COM COLA FENOLICA), E = 6 MM, DE *1,60 X 2,20* M                                                                                                                                                                                                                                                                                                                                                                                                                       </t>
  </si>
  <si>
    <t xml:space="preserve">CHAPA DE MADEIRA COMPENSADA PLASTIFICADA PARA FORMA DE CONCRETO, DE 2,20 x 1,10 M, E = 10 MM                                                                                                                                                                                                                                                                                                                                                                                                              </t>
  </si>
  <si>
    <t xml:space="preserve">CHAPA DE MADEIRA COMPENSADA PLASTIFICADA PARA FORMA DE CONCRETO, DE 2,20 x 1,10 M, E = 18 MM                                                                                                                                                                                                                                                                                                                                                                                                              </t>
  </si>
  <si>
    <t>74,52</t>
  </si>
  <si>
    <t xml:space="preserve">CHAPA DE MADEIRA COMPENSADA PLASTIFICADA PARA FORMA DE CONCRETO, DE 2,20 X 1,10 M, E = 12 MM                                                                                                                                                                                                                                                                                                                                                                                                              </t>
  </si>
  <si>
    <t xml:space="preserve">CHAPA DE MADEIRA COMPENSADA RESINADA PARA FORMA DE CONCRETO, DE *2,2 X 1,1* M, E = 14 MM                                                                                                                                                                                                                                                                                                                                                                                                                  </t>
  </si>
  <si>
    <t xml:space="preserve">CHAPA DE MADEIRA COMPENSADA RESINADA PARA FORMA DE CONCRETO, DE *2,2 X 1,1* M, E = 17 MM                                                                                                                                                                                                                                                                                                                                                                                                                  </t>
  </si>
  <si>
    <t xml:space="preserve">CHAPA DE MDF BRANCO LISO 1 FACE, E = 12 MM, DE *2,75 X 1,85* M                                                                                                                                                                                                                                                                                                                                                                                                                                            </t>
  </si>
  <si>
    <t xml:space="preserve">CHAPA DE MDF BRANCO LISO 1 FACE, E = 15 MM, DE *2,75 X 1,85* M                                                                                                                                                                                                                                                                                                                                                                                                                                            </t>
  </si>
  <si>
    <t>51,48</t>
  </si>
  <si>
    <t xml:space="preserve">CHAPA DE MDF BRANCO LISO 1 FACE, E = 18 MM, DE *2,75 X 1,85* M                                                                                                                                                                                                                                                                                                                                                                                                                                            </t>
  </si>
  <si>
    <t xml:space="preserve">CHAPA DE MDF BRANCO LISO 1 FACE, E = 25 MM, DE *2,75 X 1,85* M                                                                                                                                                                                                                                                                                                                                                                                                                                            </t>
  </si>
  <si>
    <t>93,83</t>
  </si>
  <si>
    <t xml:space="preserve">CHAPA DE MDF BRANCO LISO 1 FACE, E = 6 MM, DE *2,75 X 1,85* M                                                                                                                                                                                                                                                                                                                                                                                                                                             </t>
  </si>
  <si>
    <t xml:space="preserve">CHAPA DE MDF BRANCO LISO 1 FACE, E = 9 MM, DE *2,75 X 1,85* M                                                                                                                                                                                                                                                                                                                                                                                                                                             </t>
  </si>
  <si>
    <t>44,40</t>
  </si>
  <si>
    <t xml:space="preserve">CHAPA DE MDF BRANCO LISO 2 FACES, E = 12 MM, DE *2,75 X 1,85* M                                                                                                                                                                                                                                                                                                                                                                                                                                           </t>
  </si>
  <si>
    <t xml:space="preserve">CHAPA DE MDF BRANCO LISO 2 FACES, E = 15 MM, DE *2,75 X 1,85* M                                                                                                                                                                                                                                                                                                                                                                                                                                           </t>
  </si>
  <si>
    <t>53,32</t>
  </si>
  <si>
    <t xml:space="preserve">CHAPA DE MDF BRANCO LISO 2 FACES, E = 18 MM, DE *2,75 X 1,85* M                                                                                                                                                                                                                                                                                                                                                                                                                                           </t>
  </si>
  <si>
    <t xml:space="preserve">CHAPA DE MDF BRANCO LISO 2 FACES, E = 25 MM, DE *2,75 X 1,85* M                                                                                                                                                                                                                                                                                                                                                                                                                                           </t>
  </si>
  <si>
    <t xml:space="preserve">CHAPA DE MDF BRANCO LISO 2 FACES, E = 6 MM, DE *2,75 X 1,85* M                                                                                                                                                                                                                                                                                                                                                                                                                                            </t>
  </si>
  <si>
    <t>36,65</t>
  </si>
  <si>
    <t xml:space="preserve">CHAPA DE MDF BRANCO LISO 2 FACES, E = 9 MM, DE *2,75 X 1,85* M                                                                                                                                                                                                                                                                                                                                                                                                                                            </t>
  </si>
  <si>
    <t>44,83</t>
  </si>
  <si>
    <t xml:space="preserve">CHAPA DE MDF CRU, E = 12 MM, DE *2,75 X 1,85* M                                                                                                                                                                                                                                                                                                                                                                                                                                                           </t>
  </si>
  <si>
    <t xml:space="preserve">CHAPA DE MDF CRU, E = 15 MM, DE *2,75 X 1,85* M                                                                                                                                                                                                                                                                                                                                                                                                                                                           </t>
  </si>
  <si>
    <t xml:space="preserve">CHAPA DE MDF CRU, E = 18 MM, DE *2,75 X 1,85* M                                                                                                                                                                                                                                                                                                                                                                                                                                                           </t>
  </si>
  <si>
    <t xml:space="preserve">CHAPA DE MDF CRU, E = 20 MM, DE *2,75 X 1,85* M                                                                                                                                                                                                                                                                                                                                                                                                                                                           </t>
  </si>
  <si>
    <t>64,02</t>
  </si>
  <si>
    <t xml:space="preserve">CHAPA DE MDF CRU, E = 25 MM, DE *2,75 X 1,85* M                                                                                                                                                                                                                                                                                                                                                                                                                                                           </t>
  </si>
  <si>
    <t xml:space="preserve">CHAPA DE MDF CRU, E = 6 MM, DE *2,75 X 1,85* M                                                                                                                                                                                                                                                                                                                                                                                                                                                            </t>
  </si>
  <si>
    <t xml:space="preserve">CHAPA DE MDF CRU, E = 9 MM, DE *2,75 X 1,85* M                                                                                                                                                                                                                                                                                                                                                                                                                                                            </t>
  </si>
  <si>
    <t>30,21</t>
  </si>
  <si>
    <t xml:space="preserve">CHAPA EM ACO GALVANIZADO PARA STEEL DECK, COM NERVURAS TRAPEZOIDAIS, LARGURA UTIL DE 915 MM E ESPESSURA DE 0,80 MM                                                                                                                                                                                                                                                                                                                                                                                        </t>
  </si>
  <si>
    <t xml:space="preserve">CHAPA EM ACO GALVANIZADO PARA STEEL DECK, COM NERVURAS TRAPEZOIDAIS, LARGURA UTIL DE 915 MM E ESPESSURA DE 0,95 MM                                                                                                                                                                                                                                                                                                                                                                                        </t>
  </si>
  <si>
    <t xml:space="preserve">CHAPA EM ACO GALVANIZADO PARA STEEL DECK, COM NERVURAS TRAPEZOIDAIS, LARGURA UTIL DE 915 MM E ESPESSURA DE 1,25 MM                                                                                                                                                                                                                                                                                                                                                                                        </t>
  </si>
  <si>
    <t>227,52</t>
  </si>
  <si>
    <t xml:space="preserve">CHAPA PARA EMENDA DE VIGA, EM ACO GROSSO, QUALIDADE ESTRUTURAL, BITOLA 3/16 ", E= 4,75 MM, 4 FUROS, LARGURA 45 MM, COMPRIMENTO 500 MM                                                                                                                                                                                                                                                                                                                                                                     </t>
  </si>
  <si>
    <t>158,19</t>
  </si>
  <si>
    <t xml:space="preserve">CHAPA/BOBINA LISA EM ALUMINIO, LIGA 1.200 - H14, QUALQUER ESPESSURA, QUALQUER LARGURA                                                                                                                                                                                                                                                                                                                                                                                                                     </t>
  </si>
  <si>
    <t xml:space="preserve">CHAVE BLINDADA TRIPOLAR PARA MOTORES, DO TIPO FACA, COM PORTA FUSIVEL DO TIPO CARTUCHO, CORRENTE NOMINAL DE 100 A, TENSAO NOMINAL DE 250 V                                                                                                                                                                                                                                                                                                                                                                </t>
  </si>
  <si>
    <t>433,21</t>
  </si>
  <si>
    <t xml:space="preserve">CHAVE BLINDADA TRIPOLAR PARA MOTORES, DO TIPO FACA, COM PORTA FUSIVEL DO TIPO CARTUCHO, CORRENTE NOMINAL DE 30 A, TENSAO NOMINAL DE 250 V                                                                                                                                                                                                                                                                                                                                                                 </t>
  </si>
  <si>
    <t>146,50</t>
  </si>
  <si>
    <t xml:space="preserve">CHAVE BLINDADA TRIPOLAR PARA MOTORES, DO TIPO FACA, COM PORTA FUSIVEL DO TIPO CARTUCHO, CORRENTE NOMINAL DE 60 A, TENSAO NOMINAL DE 250 V                                                                                                                                                                                                                                                                                                                                                                 </t>
  </si>
  <si>
    <t>230,24</t>
  </si>
  <si>
    <t xml:space="preserve">CHAVE DE PARTIDA DIRETA TRIFASICA, COM CAIXA TERMOPLASTICA, COM FUSIVEL DE 25 A, PARA MOTOR COM POTENCIA DE 7,5 CV E TENSAO DE 380 V                                                                                                                                                                                                                                                                                                                                                                      </t>
  </si>
  <si>
    <t>343,87</t>
  </si>
  <si>
    <t xml:space="preserve">CHAVE DE PARTIDA DIRETA TRIFASICA, COM CAIXA TERMOPLASTICA, COM FUSIVEL DE 35 A, PARA MOTOR COM POTENCIA DE 5 CV E TENSAO DE 220 V                                                                                                                                                                                                                                                                                                                                                                        </t>
  </si>
  <si>
    <t xml:space="preserve">CHAVE DE PARTIDA DIRETA TRIFASICA, COM CAIXA TERMOPLASTICA, COM FUSIVEL DE 63 A, PARA MOTOR COM POTENCIA DE 10 CV E TENSAO DE 220 V                                                                                                                                                                                                                                                                                                                                                                       </t>
  </si>
  <si>
    <t>302,86</t>
  </si>
  <si>
    <t xml:space="preserve">CHAVE DUPLA PARA CONEXOES TIPO STORZ, ENGATE RAPIDO 1 1/2" X 2 1/2", EM LATAO, PARA INSTALACAO PREDIAL COMBATE A INCENDIO                                                                                                                                                                                                                                                                                                                                                                                 </t>
  </si>
  <si>
    <t>17,47</t>
  </si>
  <si>
    <t xml:space="preserve">CHAVE FUSIVEL PARA REDES DE DISTRIBUICAO, TENSAO DE 15,0 KV, CORRENTE NOMINAL DO PORTA FUSIVEL DE 100 A, CAPACIDADE DE INTERRUPCAO SIMETRICA DE 7,10 KA, CAPACIDADE DE INTERRUPCAO ASSIMETRICA 10,00 KA                                                                                                                                                                                                                                                                                                   </t>
  </si>
  <si>
    <t>206,34</t>
  </si>
  <si>
    <t xml:space="preserve">CHAVE SECCIONADORA-FUSIVEL BLINDADA TRIPOLAR, ABERTURA COM CARGA, PARA FUSIVEL NH00, CORRENTE NOMINAL DE 160 A, TENSAO DE 500 V                                                                                                                                                                                                                                                                                                                                                                           </t>
  </si>
  <si>
    <t>223,82</t>
  </si>
  <si>
    <t xml:space="preserve">CHAVE SECCIONADORA-FUSIVEL BLINDADA TRIPOLAR, ABERTURA COM CARGA, PARA FUSIVEL NH01, CORRENTE NOMINAL DE 250 A, TENSAO DE 500 V                                                                                                                                                                                                                                                                                                                                                                           </t>
  </si>
  <si>
    <t>310,27</t>
  </si>
  <si>
    <t xml:space="preserve">CHUMBADOR DE ACO TIPO PARABOLT, * 5/8" X 200* MM,  COM PORCA E ARRUELA                                                                                                                                                                                                                                                                                                                                                                                                                                    </t>
  </si>
  <si>
    <t xml:space="preserve">CHUMBADOR DE ACO, DIAMETRO 1/2", COMPRIMENTO 75 MM                                                                                                                                                                                                                                                                                                                                                                                                                                                        </t>
  </si>
  <si>
    <t xml:space="preserve">CHUMBADOR DE ACO, DIAMETRO 5/8", COMPRIMENTO 6", COM PORCA                                                                                                                                                                                                                                                                                                                                                                                                                                                </t>
  </si>
  <si>
    <t xml:space="preserve">CHUMBADOR DE ACO, 1" X 600 MM, PARA POSTES DE ACO COM BASE, INCLUSO PORCA E ARRUELA                                                                                                                                                                                                                                                                                                                                                                                                                       </t>
  </si>
  <si>
    <t xml:space="preserve">CHUMBADOR, DIAMETRO 1/4" COM PARAFUSO 1/4" X 40 MM                                                                                                                                                                                                                                                                                                                                                                                                                                                        </t>
  </si>
  <si>
    <t xml:space="preserve">CHUVEIRO COMUM EM PLASTICO BRANCO, COM CANO, 3 TEMPERATURAS, 5500 W (110/220 V)                                                                                                                                                                                                                                                                                                                                                                                                                           </t>
  </si>
  <si>
    <t>66,99</t>
  </si>
  <si>
    <t xml:space="preserve">CHUVEIRO COMUM EM PLASTICO CROMADO, COM CANO, 4 TEMPERATURAS (110/220 V)                                                                                                                                                                                                                                                                                                                                                                                                                                  </t>
  </si>
  <si>
    <t xml:space="preserve">CIMENTO ASFALTICO DE PETROLEO A GRANEL (CAP) 50/70 (COLETADO CAIXA NA ANP ACRESCIDO DE ICMS)                                                                                                                                                                                                                                                                                                                                                                                                              </t>
  </si>
  <si>
    <t>4.366,85</t>
  </si>
  <si>
    <t xml:space="preserve">CIMENTO BRANCO                                                                                                                                                                                                                                                                                                                                                                                                                                                                                            </t>
  </si>
  <si>
    <t xml:space="preserve">CIMENTO IMPERMEABILIZANTE DE PEGA ULTRARRAPIDA PARA TAMPONAMENTOS                                                                                                                                                                                                                                                                                                                                                                                                                                         </t>
  </si>
  <si>
    <t xml:space="preserve">CIMENTO PORTLAND COMPOSTO CP II-32                                                                                                                                                                                                                                                                                                                                                                                                                                                                        </t>
  </si>
  <si>
    <t xml:space="preserve">CIMENTO PORTLAND DE ALTO FORNO (AF) CP III-40                                                                                                                                                                                                                                                                                                                                                                                                                                                             </t>
  </si>
  <si>
    <t xml:space="preserve">CIMENTO PORTLAND ESTRUTURAL BRANCO CPB-32                                                                                                                                                                                                                                                                                                                                                                                                                                                                 </t>
  </si>
  <si>
    <t xml:space="preserve">CIMENTO PORTLAND POZOLANICO CP IV-32                                                                                                                                                                                                                                                                                                                                                                                                                                                                      </t>
  </si>
  <si>
    <t xml:space="preserve">CINTA CIRCULAR EM ACO GALVANIZADO DE 150 MM DE DIAMETRO PARA FIXACAO DE CAIXA MEDICAO, INCLUI PARAFUSOS E PORCAS                                                                                                                                                                                                                                                                                                                                                                                          </t>
  </si>
  <si>
    <t xml:space="preserve">CINTA CIRCULAR EM ACO GALVANIZADO DE 210 MM DE DIAMETRO PARA INSTALACAO DE TRANSFORMADOR EM POSTE DE CONCRETO                                                                                                                                                                                                                                                                                                                                                                                             </t>
  </si>
  <si>
    <t xml:space="preserve">CINTURAO DE SEGURANCA TIPO PARAQUEDISTA, FIVELA EM ACO, AJUSTE NO SUSPENSARIO, CINTURA E PERNAS                                                                                                                                                                                                                                                                                                                                                                                                           </t>
  </si>
  <si>
    <t xml:space="preserve">COBRE ELETROLITICO EM BARRA OU CHAPA                                                                                                                                                                                                                                                                                                                                                                                                                                                                      </t>
  </si>
  <si>
    <t xml:space="preserve">COLA A BASE DE RESINA SINTETICA PARA CHAPA DE LAMINADO MELAMINICO                                                                                                                                                                                                                                                                                                                                                                                                                                         </t>
  </si>
  <si>
    <t xml:space="preserve">COLA BRANCA BASE PVA                                                                                                                                                                                                                                                                                                                                                                                                                                                                                      </t>
  </si>
  <si>
    <t>36,68</t>
  </si>
  <si>
    <t xml:space="preserve">COLA PARA TUBOS E MANTAS ELASTOMERICAS, A BASE DE SOLVENTE                                                                                                                                                                                                                                                                                                                                                                                                                                                </t>
  </si>
  <si>
    <t>124,75</t>
  </si>
  <si>
    <t xml:space="preserve">COLAR DE TOMADA EM POLIPROPILENO, PP, COM PARAFUSOS, PARA PEAD, 63 X 1/2" - LIGACAO PREDIAL DE AGUA                                                                                                                                                                                                                                                                                                                                                                                                       </t>
  </si>
  <si>
    <t xml:space="preserve">COLAR DE TOMADA EM POLIPROPILENO, PP, COM PARAFUSOS, PARA PEAD, 63 X 3/4" - LIGACAO PREDIAL DE AGUA                                                                                                                                                                                                                                                                                                                                                                                                       </t>
  </si>
  <si>
    <t xml:space="preserve">COLAR TOMADA PVC, COM TRAVAS, SAIDA COM ROSCA, DE 110 MM X 1/2" OU 110 MM X 3/4", PARA LIGACAO PREDIAL DE AGUA                                                                                                                                                                                                                                                                                                                                                                                            </t>
  </si>
  <si>
    <t xml:space="preserve">COLAR TOMADA PVC, COM TRAVAS, SAIDA COM ROSCA, DE 32 MM X 1/2" OU 32 MM X 3/4", PARA LIGACAO PREDIAL DE AGUA                                                                                                                                                                                                                                                                                                                                                                                              </t>
  </si>
  <si>
    <t xml:space="preserve">COLAR TOMADA PVC, COM TRAVAS, SAIDA COM ROSCA, DE 40 MM X 1/2" OU 40 MM X 3/4", PARA LIGACAO PREDIAL DE AGUA                                                                                                                                                                                                                                                                                                                                                                                              </t>
  </si>
  <si>
    <t xml:space="preserve">COLAR TOMADA PVC, COM TRAVAS, SAIDA COM ROSCA, DE 50 MM X 1/2" OU 50 MM X 3/4", PARA LIGACAO PREDIAL DE AGUA                                                                                                                                                                                                                                                                                                                                                                                              </t>
  </si>
  <si>
    <t xml:space="preserve">COLAR TOMADA PVC, COM TRAVAS, SAIDA COM ROSCA, DE 60 MM X 1/2" OU 60 MM X 3/4", PARA LIGACAO PREDIAL DE AGUA                                                                                                                                                                                                                                                                                                                                                                                              </t>
  </si>
  <si>
    <t xml:space="preserve">COLAR TOMADA PVC, COM TRAVAS, SAIDA COM ROSCA, DE 75 MM X 1/2" OU 75 MM X 3/4", PARA LIGACAO PREDIAL DE AGUA                                                                                                                                                                                                                                                                                                                                                                                              </t>
  </si>
  <si>
    <t xml:space="preserve">COLAR TOMADA PVC, COM TRAVAS, SAIDA COM ROSCA, DE 85 MM X 1/2" OU 85 MM X 3/4", PARA LIGACAO PREDIAL DE AGUA                                                                                                                                                                                                                                                                                                                                                                                              </t>
  </si>
  <si>
    <t xml:space="preserve">COLAR TOMADA PVC, COM TRAVAS, SAIDA ROSCAVEL COM BUCHA DE LATAO, DE 110 MM X 1/2" OU 110 MM X 3/4", PARA LIGACAO PREDIAL DE AGUA                                                                                                                                                                                                                                                                                                                                                                          </t>
  </si>
  <si>
    <t>26,18</t>
  </si>
  <si>
    <t xml:space="preserve">COLAR TOMADA PVC, COM TRAVAS, SAIDA ROSCAVEL COM BUCHA DE LATAO, DE 60 MM X 1/2" OU 60 MM X 3/4", PARA LIGACAO PREDIAL DE AGUA                                                                                                                                                                                                                                                                                                                                                                            </t>
  </si>
  <si>
    <t xml:space="preserve">COLAR TOMADA PVC, COM TRAVAS, SAIDA ROSCAVEL COM BUCHA DE LATAO, DE 75 MM X 1/2" OU 75 MM X 3/4", PARA LIGACAO PREDIAL DE AGUA                                                                                                                                                                                                                                                                                                                                                                            </t>
  </si>
  <si>
    <t xml:space="preserve">COLAR TOMADA PVC, COM TRAVAS, SAIDA ROSCAVEL COM BUCHA DE LATAO, DE 85 MM X 1/2" OU 85 MM X 3/4", PARA LIGACAO PREDIAL DE AGUA                                                                                                                                                                                                                                                                                                                                                                            </t>
  </si>
  <si>
    <t xml:space="preserve">COMPACTADOR DE SOLO A PERCUSSAO (SOQUETE), COM MOTOR GASOLINA DE 4 TEMPOS, PESO ENTRE 55 E 65 KG, FORCA DE IMPACTO DE 1.000 A 1.500 KGF, FREQUENCIA DE 600 A 700 GOLPES POR MINUTO, VELOCIDADE DE TRABALHO ENTRE 10 E 15 M/MIN, POTENCIA ENTRE 2,00 E 3,00 HP                                                                                                                                                                                                                                             </t>
  </si>
  <si>
    <t>10.399,50</t>
  </si>
  <si>
    <t xml:space="preserve">COMPACTADOR DE SOLO TIPO PLACA VIBRATORIA REVERSIVEL, A GASOLINA, 4 TEMPOS, PESO DE 125 A 150 KG, FORCA CENTRIFUGA DE 2500 A 2800 KGF, LARG. TRABALHO DE 400 A 450 MM, FREQ VIBRACAO DE 4300 A 4500 RPM, VELOC. TRABALHO DE 15 A 20 M/MIN, POT. DE 5,5 A 6,0 HP                                                                                                                                                                                                                                           </t>
  </si>
  <si>
    <t>8.730,30</t>
  </si>
  <si>
    <t xml:space="preserve">COMPACTADOR DE SOLO TIPO PLACA VIBRATORIA REVERSIVEL, A GASOLINA, 4 TEMPOS, PESO DE 150 A 175 KG, FORCA CENTRIFUGA DE 2800 A 3100 KGF, LARG. TRABALHO DE 450 A 520 MM, FREQ VIBRACAO DE 4000 A 4300 RPM, VELOC. TRABALHO DE 15 A 20 M/MIN, POT. DE 6,0 A 7,0 HP                                                                                                                                                                                                                                           </t>
  </si>
  <si>
    <t>7.535,86</t>
  </si>
  <si>
    <t xml:space="preserve">COMPACTADOR DE SOLO, TIPO PLACA VIBRATORIA NAO REVERSIVEL, COM MOTOR A GASOLINA DE 4 TEMPOS, PESO ENTRE 80 E 120 KG, FORCA CENTRIFUGA ENTRE 1300 E 2000 KGF, LARGURA DE TRABALHO ENTRE 400 E 500 MM, FREQUENCIA DE VIBRACAO ENTRE 4800 E 6000 RPM, VELOCIDADEDE TRABALHO ENTRE 20 E 30 M/MIN, POTENCIA ENTRE 5,0 E 6,0 HP                                                                                                                                                                                 </t>
  </si>
  <si>
    <t>5.825,51</t>
  </si>
  <si>
    <t xml:space="preserve">COMPACTADOR DE SOLO, TIPO PLACA VIBRATORIA REVERSIVEL, COM MOTOR A DIESEL, PESO ENTRE 700 E 820 KG, FORCA CENTRIFUGA ENTRE 6.200 E 10.000 KGF, LARGURA DE TRABALHO ENTRE 650 E 720 MM, FREQUENCIA DE VIBRACAO ENTRE 3.000 E 3.500 RPM, VELOCIDADE DE TRABALHOENTRE 25 E 30 M/MIN, POTENCIA ENTRE 13,0 E 15,0 HP                                                                                                                                                                                           </t>
  </si>
  <si>
    <t>103.003,04</t>
  </si>
  <si>
    <t xml:space="preserve">COMPACTADOR DE SOLO, TIPO PLACA VIBRATORIA REVERSIVEL, COM MOTOR A GASOLINA DE 4 TEMPOS, PESO ENTRE 160 E 265 KG, FORCA CENTRIFUGA ENTRE 2750 E 4000 KGF, LARGURA DE TRABALHO ENTRE 430 E 550 MM, FREQUENCIA DE VIBRACAO ENTRE 4000 E 5500 RPM, VELOCIDADE DETRABALHO ENTRE 20 E 25 M/MIN, POTENCIA ENTRE 7,5 E 9,0 HP                                                                                                                                                                                    </t>
  </si>
  <si>
    <t>13.561,03</t>
  </si>
  <si>
    <t xml:space="preserve">COMPACTADOR DE SOLOS DE PERCURSAO (SOQUETE) COM MOTOR A GASOLINA 4 TEMPOS DE 4 HP (4 CV)                                                                                                                                                                                                                                                                                                                                                                                                                  </t>
  </si>
  <si>
    <t>12.886,33</t>
  </si>
  <si>
    <t xml:space="preserve">COMPRESSOR DE AR ESTACIONARIO, VAZAO 620 PCM, PRESSAO EFETIVA DE TRABALHO 109 PSI, MOTOR ELETRICO, POTENCIA 127 CV                                                                                                                                                                                                                                                                                                                                                                                        </t>
  </si>
  <si>
    <t>127.758,92</t>
  </si>
  <si>
    <t xml:space="preserve">COMPRESSOR DE AR REBOCAVEL VAZAO 400 PCM, PRESSAO EFETIVA DE TRABALHO 102 PSI, MOTOR DIESEL, POTENCIA 110 CV                                                                                                                                                                                                                                                                                                                                                                                              </t>
  </si>
  <si>
    <t>102.953,34</t>
  </si>
  <si>
    <t xml:space="preserve">COMPRESSOR DE AR REBOCAVEL VAZAO 748 PCM, PRESSAO EFETIVA DE TRABALHO 102 PSI, MOTOR DIESEL, POTENCIA 210 CV                                                                                                                                                                                                                                                                                                                                                                                              </t>
  </si>
  <si>
    <t>220.409,21</t>
  </si>
  <si>
    <t xml:space="preserve">COMPRESSOR DE AR REBOCAVEL VAZAO 860 PCM, PRESSAO EFETIVA DE TRABALHO 102 PSI, MOTOR DIESEL, POTENCIA 250 CV                                                                                                                                                                                                                                                                                                                                                                                              </t>
  </si>
  <si>
    <t>239.409,80</t>
  </si>
  <si>
    <t xml:space="preserve">COMPRESSOR DE AR REBOCAVEL, VAZAO *89* PCM, PRESSAO EFETIVA DE TRABALHO *102* PSI, MOTOR DIESEL, POTENCIA *20* CV                                                                                                                                                                                                                                                                                                                                                                                         </t>
  </si>
  <si>
    <t>86.568,50</t>
  </si>
  <si>
    <t xml:space="preserve">COMPRESSOR DE AR REBOCAVEL, VAZAO 152 PCM, PRESSAO EFETIVA DE TRABALHO 102 PSI, MOTOR DIESEL, POTENCIA 31,5 KW                                                                                                                                                                                                                                                                                                                                                                                            </t>
  </si>
  <si>
    <t>55.740,74</t>
  </si>
  <si>
    <t xml:space="preserve">COMPRESSOR DE AR REBOCAVEL, VAZAO 189 PCM, PRESSAO EFETIVA DE TRABALHO 102 PSI, MOTOR DIESEL, POTENCIA 63 CV                                                                                                                                                                                                                                                                                                                                                                                              </t>
  </si>
  <si>
    <t>64.825,82</t>
  </si>
  <si>
    <t xml:space="preserve">COMPRESSOR DE AR REBOCAVEL, VAZAO 250 PCM, PRESSAO EFETIVA DE TRABALHO 102 PSI, MOTOR DIESEL, POTENCIA 81 CV                                                                                                                                                                                                                                                                                                                                                                                              </t>
  </si>
  <si>
    <t>86.816,91</t>
  </si>
  <si>
    <t xml:space="preserve">CONCERTINA CLIPADA (DUPLA) EM ACO GALVANIZADO DE ALTA RESISTENCIA, COM ESPIRAL DE 300 MM, D = 2,76 MM                                                                                                                                                                                                                                                                                                                                                                                                     </t>
  </si>
  <si>
    <t xml:space="preserve">CONCERTINA SIMPLES EM ACO GALVANIZADO DE ALTA RESISTENCIA, COM ESPIRAL DE 300 MM, D = 2,76 MM                                                                                                                                                                                                                                                                                                                                                                                                             </t>
  </si>
  <si>
    <t xml:space="preserve">CONCRETO AUTOADENSAVEL (CAA) CLASSE DE RESISTENCIA C15, ESPALHAMENTO SF2, INCLUI SERVICO DE BOMBEAMENTO (NBR 15823)                                                                                                                                                                                                                                                                                                                                                                                       </t>
  </si>
  <si>
    <t>360,08</t>
  </si>
  <si>
    <t xml:space="preserve">CONCRETO AUTOADENSAVEL (CAA) CLASSE DE RESISTENCIA C20, ESPALHAMENTO SF2, INCLUI SERVICO DE BOMBEAMENTO (NBR 15823)                                                                                                                                                                                                                                                                                                                                                                                       </t>
  </si>
  <si>
    <t>374,17</t>
  </si>
  <si>
    <t xml:space="preserve">CONCRETO AUTOADENSAVEL (CAA) CLASSE DE RESISTENCIA C25, ESPALHAMENTO SF2, INCLUI SERVICO DE BOMBEAMENTO (NBR 15823)                                                                                                                                                                                                                                                                                                                                                                                       </t>
  </si>
  <si>
    <t>378,37</t>
  </si>
  <si>
    <t xml:space="preserve">CONCRETO AUTOADENSAVEL (CAA) CLASSE DE RESISTENCIA C30, ESPALHAMENTO SF2, INCLUI SERVICO DE BOMBEAMENTO (NBR 15823)                                                                                                                                                                                                                                                                                                                                                                                       </t>
  </si>
  <si>
    <t>389,33</t>
  </si>
  <si>
    <t xml:space="preserve">CONCRETO BETUMINOSO USINADO A QUENTE (CBUQ) PARA PAVIMENTACAO ASFALTICA, PADRAO DNIT, FAIXA C, COM CAP 30/45 - AQUISICAO POSTO USINA                                                                                                                                                                                                                                                                                                                                                                      </t>
  </si>
  <si>
    <t>569,40</t>
  </si>
  <si>
    <t xml:space="preserve">CONCRETO BETUMINOSO USINADO A QUENTE (CBUQ) PARA PAVIMENTACAO ASFALTICA, PADRAO DNIT, FAIXA C, COM CAP 50/70 - AQUISICAO POSTO USINA                                                                                                                                                                                                                                                                                                                                                                      </t>
  </si>
  <si>
    <t>580,50</t>
  </si>
  <si>
    <t xml:space="preserve">CONCRETO BETUMINOSO USINADO A QUENTE (CBUQ) PARA PAVIMENTACAO ASFALTICA, PADRAO DNIT, PARA BINDER, COM CAP 50/70 - AQUISICAO POSTO USINA                                                                                                                                                                                                                                                                                                                                                                  </t>
  </si>
  <si>
    <t>562,39</t>
  </si>
  <si>
    <t xml:space="preserve">CONCRETO USINADO BOMBEAVEL, CLASSE DE RESISTENCIA C20, COM BRITA 0 E 1, SLUMP = 100 +/- 20 MM, EXCLUI SERVICO DE BOMBEAMENTO (NBR 8953)                                                                                                                                                                                                                                                                                                                                                                   </t>
  </si>
  <si>
    <t xml:space="preserve">CONCRETO USINADO BOMBEAVEL, CLASSE DE RESISTENCIA C20, COM BRITA 0 E 1, SLUMP = 100 +/- 20 MM, INCLUI SERVICO DE BOMBEAMENTO (NBR 8953)                                                                                                                                                                                                                                                                                                                                                                   </t>
  </si>
  <si>
    <t>345,47</t>
  </si>
  <si>
    <t xml:space="preserve">CONCRETO USINADO BOMBEAVEL, CLASSE DE RESISTENCIA C20, COM BRITA 0 E 1, SLUMP = 130 +/- 20 MM, EXCLUI SERVICO DE BOMBEAMENTO (NBR 8953)                                                                                                                                                                                                                                                                                                                                                                   </t>
  </si>
  <si>
    <t>331,45</t>
  </si>
  <si>
    <t xml:space="preserve">CONCRETO USINADO BOMBEAVEL, CLASSE DE RESISTENCIA C20, COM BRITA 0 E 1, SLUMP = 190 +/- 20 MM, INCLUI SERVICO DE BOMBEAMENTO (NBR 8953)                                                                                                                                                                                                                                                                                                                                                                   </t>
  </si>
  <si>
    <t>379,85</t>
  </si>
  <si>
    <t xml:space="preserve">CONCRETO USINADO BOMBEAVEL, CLASSE DE RESISTENCIA C20, COM BRITA 0, SLUMP = 220 +/- 20 MM, INCLUI SERVICO DE BOMBEAMENTO (NBR 8953)                                                                                                                                                                                                                                                                                                                                                                       </t>
  </si>
  <si>
    <t>385,36</t>
  </si>
  <si>
    <t xml:space="preserve">CONCRETO USINADO BOMBEAVEL, CLASSE DE RESISTENCIA C25, COM BRITA 0 E 1, SLUMP = 100 +/- 20 MM, EXCLUI SERVICO DE BOMBEAMENTO (NBR 8953)                                                                                                                                                                                                                                                                                                                                                                   </t>
  </si>
  <si>
    <t>329,02</t>
  </si>
  <si>
    <t xml:space="preserve">CONCRETO USINADO BOMBEAVEL, CLASSE DE RESISTENCIA C25, COM BRITA 0 E 1, SLUMP = 100 +/- 20 MM, INCLUI SERVICO DE BOMBEAMENTO (NBR 8953)                                                                                                                                                                                                                                                                                                                                                                   </t>
  </si>
  <si>
    <t>356,44</t>
  </si>
  <si>
    <t xml:space="preserve">CONCRETO USINADO BOMBEAVEL, CLASSE DE RESISTENCIA C25, COM BRITA 0 E 1, SLUMP = 130 +/- 20 MM, EXCLUI SERVICO DE BOMBEAMENTO (NBR 8953)                                                                                                                                                                                                                                                                                                                                                                   </t>
  </si>
  <si>
    <t>341,68</t>
  </si>
  <si>
    <t xml:space="preserve">CONCRETO USINADO BOMBEAVEL, CLASSE DE RESISTENCIA C25, COM BRITA 0 E 1, SLUMP = 190 +/- 20 MM, EXCLUI SERVICO DE BOMBEAMENTO (NBR 8953)                                                                                                                                                                                                                                                                                                                                                                   </t>
  </si>
  <si>
    <t>378,20</t>
  </si>
  <si>
    <t xml:space="preserve">CONCRETO USINADO BOMBEAVEL, CLASSE DE RESISTENCIA C30, COM BRITA 0 E 1, SLUMP = 100 +/- 20 MM, EXCLUI SERVICO DE BOMBEAMENTO (NBR 8953)                                                                                                                                                                                                                                                                                                                                                                   </t>
  </si>
  <si>
    <t>339,98</t>
  </si>
  <si>
    <t xml:space="preserve">CONCRETO USINADO BOMBEAVEL, CLASSE DE RESISTENCIA C30, COM BRITA 0 E 1, SLUMP = 100 +/- 20 MM, INCLUI SERVICO DE BOMBEAMENTO (NBR 8953)                                                                                                                                                                                                                                                                                                                                                                   </t>
  </si>
  <si>
    <t>367,40</t>
  </si>
  <si>
    <t xml:space="preserve">CONCRETO USINADO BOMBEAVEL, CLASSE DE RESISTENCIA C30, COM BRITA 0 E 1, SLUMP = 130 +/- 20 MM, EXCLUI SERVICO DE BOMBEAMENTO (NBR 8953)                                                                                                                                                                                                                                                                                                                                                                   </t>
  </si>
  <si>
    <t>360,79</t>
  </si>
  <si>
    <t xml:space="preserve">CONCRETO USINADO BOMBEAVEL, CLASSE DE RESISTENCIA C30, COM BRITA 0 E 1, SLUMP = 190 +/- 20 MM, EXCLUI SERVICO DE BOMBEAMENTO (NBR 8953)                                                                                                                                                                                                                                                                                                                                                                   </t>
  </si>
  <si>
    <t>380,78</t>
  </si>
  <si>
    <t xml:space="preserve">CONCRETO USINADO BOMBEAVEL, CLASSE DE RESISTENCIA C30, COM BRITA 0 E 1, SLUMP = 220 +/- 30 MM, EXCLUI SERVICO DE BOMBEAMENTO (NBR 8953)                                                                                                                                                                                                                                                                                                                                                                   </t>
  </si>
  <si>
    <t xml:space="preserve">CONCRETO USINADO BOMBEAVEL, CLASSE DE RESISTENCIA C35, COM BRITA 0 E 1, SLUMP = 100 +/- 20 MM, EXCLUI SERVICO DE BOMBEAMENTO (NBR 8953)                                                                                                                                                                                                                                                                                                                                                                   </t>
  </si>
  <si>
    <t>350,95</t>
  </si>
  <si>
    <t xml:space="preserve">CONCRETO USINADO BOMBEAVEL, CLASSE DE RESISTENCIA C35, COM BRITA 0 E 1, SLUMP = 100 +/- 20 MM, INCLUI SERVICO DE BOMBEAMENTO (NBR 8953)                                                                                                                                                                                                                                                                                                                                                                   </t>
  </si>
  <si>
    <t xml:space="preserve">CONCRETO USINADO BOMBEAVEL, CLASSE DE RESISTENCIA C40, COM BRITA 0 E 1, SLUMP = 100 +/- 20 MM, EXCLUI SERVICO DE BOMBEAMENTO (NBR 8953)                                                                                                                                                                                                                                                                                                                                                                   </t>
  </si>
  <si>
    <t>366,10</t>
  </si>
  <si>
    <t xml:space="preserve">CONCRETO USINADO BOMBEAVEL, CLASSE DE RESISTENCIA C40, COM BRITA 0 E 1, SLUMP = 100 +/- 20 MM, INCLUI SERVICO DE BOMBEAMENTO (NBR 8953)                                                                                                                                                                                                                                                                                                                                                                   </t>
  </si>
  <si>
    <t xml:space="preserve">CONCRETO USINADO BOMBEAVEL, CLASSE DE RESISTENCIA C45, COM BRITA 0 E 1, SLUMP = 100 +/- 20 MM, INCLUI SERVICO DE BOMBEAMENTO (NBR 8953)                                                                                                                                                                                                                                                                                                                                                                   </t>
  </si>
  <si>
    <t>406,81</t>
  </si>
  <si>
    <t xml:space="preserve">CONCRETO USINADO BOMBEAVEL, CLASSE DE RESISTENCIA C50, COM BRITA 0 E 1, SLUMP = 100 +/- 20 MM, INCLUI SERVICO DE BOMBEAMENTO (NBR 8953)                                                                                                                                                                                                                                                                                                                                                                   </t>
  </si>
  <si>
    <t>434,65</t>
  </si>
  <si>
    <t xml:space="preserve">CONCRETO USINADO BOMBEAVEL, CLASSE DE RESISTENCIA C60, COM BRITA 0 E 1, SLUMP = 100 +/- 20 MM, INCLUI SERVICO DE BOMBEAMENTO (NBR 8953)                                                                                                                                                                                                                                                                                                                                                                   </t>
  </si>
  <si>
    <t>464,81</t>
  </si>
  <si>
    <t xml:space="preserve">CONCRETO USINADO CONVENCIONAL (NAO BOMBEAVEL) CLASSE DE RESISTENCIA C10, COM BRITA 1 E 2, SLUMP = 80 MM +/- 10 MM (NBR 8953)                                                                                                                                                                                                                                                                                                                                                                              </t>
  </si>
  <si>
    <t>302,14</t>
  </si>
  <si>
    <t xml:space="preserve">CONCRETO USINADO CONVENCIONAL (NAO BOMBEAVEL) CLASSE DE RESISTENCIA C15, COM BRITA 1 E 2, SLUMP = 80 MM +/- 10 MM (NBR 8953)                                                                                                                                                                                                                                                                                                                                                                              </t>
  </si>
  <si>
    <t>307,08</t>
  </si>
  <si>
    <t xml:space="preserve">CONDULETE DE ALUMINIO TIPO B, PARA ELETRODUTO ROSCAVEL DE 1/2", COM TAMPA CEGA                                                                                                                                                                                                                                                                                                                                                                                                                            </t>
  </si>
  <si>
    <t xml:space="preserve">CONDULETE DE ALUMINIO TIPO B, PARA ELETRODUTO ROSCAVEL DE 1", COM TAMPA CEGA                                                                                                                                                                                                                                                                                                                                                                                                                              </t>
  </si>
  <si>
    <t xml:space="preserve">CONDULETE DE ALUMINIO TIPO B, PARA ELETRODUTO ROSCAVEL DE 3/4", COM TAMPA CEGA                                                                                                                                                                                                                                                                                                                                                                                                                            </t>
  </si>
  <si>
    <t xml:space="preserve">CONDULETE DE ALUMINIO TIPO C, PARA ELETRODUTO ROSCAVEL DE 1/2", COM TAMPA CEGA                                                                                                                                                                                                                                                                                                                                                                                                                            </t>
  </si>
  <si>
    <t xml:space="preserve">CONDULETE DE ALUMINIO TIPO C, PARA ELETRODUTO ROSCAVEL DE 1", COM TAMPA CEGA                                                                                                                                                                                                                                                                                                                                                                                                                              </t>
  </si>
  <si>
    <t xml:space="preserve">CONDULETE DE ALUMINIO TIPO C, PARA ELETRODUTO ROSCAVEL DE 3/4", COM TAMPA CEGA                                                                                                                                                                                                                                                                                                                                                                                                                            </t>
  </si>
  <si>
    <t xml:space="preserve">CONDULETE DE ALUMINIO TIPO C, PARA ELETRODUTO ROSCAVEL DE 4", COM TAMPA CEGA                                                                                                                                                                                                                                                                                                                                                                                                                              </t>
  </si>
  <si>
    <t>223,47</t>
  </si>
  <si>
    <t xml:space="preserve">CONDULETE DE ALUMINIO TIPO E, PARA ELETRODUTO ROSCAVEL DE 1  1/4", COM TAMPA CEGA                                                                                                                                                                                                                                                                                                                                                                                                                         </t>
  </si>
  <si>
    <t xml:space="preserve">CONDULETE DE ALUMINIO TIPO E, PARA ELETRODUTO ROSCAVEL DE 1 1/2", COM TAMPA CEGA                                                                                                                                                                                                                                                                                                                                                                                                                          </t>
  </si>
  <si>
    <t xml:space="preserve">CONDULETE DE ALUMINIO TIPO E, PARA ELETRODUTO ROSCAVEL DE 1/2", COM TAMPA CEGA                                                                                                                                                                                                                                                                                                                                                                                                                            </t>
  </si>
  <si>
    <t xml:space="preserve">CONDULETE DE ALUMINIO TIPO E, PARA ELETRODUTO ROSCAVEL DE 1", COM TAMPA CEGA                                                                                                                                                                                                                                                                                                                                                                                                                              </t>
  </si>
  <si>
    <t>18,34</t>
  </si>
  <si>
    <t xml:space="preserve">CONDULETE DE ALUMINIO TIPO E, PARA ELETRODUTO ROSCAVEL DE 2", COM TAMPA CEGA                                                                                                                                                                                                                                                                                                                                                                                                                              </t>
  </si>
  <si>
    <t xml:space="preserve">CONDULETE DE ALUMINIO TIPO E, PARA ELETRODUTO ROSCAVEL DE 3/4", COM TAMPA CEGA                                                                                                                                                                                                                                                                                                                                                                                                                            </t>
  </si>
  <si>
    <t xml:space="preserve">CONDULETE DE ALUMINIO TIPO E, PARA ELETRODUTO ROSCAVEL DE 3", COM TAMPA CEGA                                                                                                                                                                                                                                                                                                                                                                                                                              </t>
  </si>
  <si>
    <t>121,75</t>
  </si>
  <si>
    <t xml:space="preserve">CONDULETE DE ALUMINIO TIPO E, PARA ELETRODUTO ROSCAVEL DE 4", COM TAMPA CEGA                                                                                                                                                                                                                                                                                                                                                                                                                              </t>
  </si>
  <si>
    <t>202,83</t>
  </si>
  <si>
    <t xml:space="preserve">CONDULETE DE ALUMINIO TIPO LR, PARA ELETRODUTO ROSCAVEL DE 1 1/2", COM TAMPA CEGA                                                                                                                                                                                                                                                                                                                                                                                                                         </t>
  </si>
  <si>
    <t>34,57</t>
  </si>
  <si>
    <t xml:space="preserve">CONDULETE DE ALUMINIO TIPO LR, PARA ELETRODUTO ROSCAVEL DE 1 1/4", COM TAMPA CEGA                                                                                                                                                                                                                                                                                                                                                                                                                         </t>
  </si>
  <si>
    <t xml:space="preserve">CONDULETE DE ALUMINIO TIPO LR, PARA ELETRODUTO ROSCAVEL DE 1/2", COM TAMPA CEGA                                                                                                                                                                                                                                                                                                                                                                                                                           </t>
  </si>
  <si>
    <t xml:space="preserve">CONDULETE DE ALUMINIO TIPO LR, PARA ELETRODUTO ROSCAVEL DE 1", COM TAMPA CEGA                                                                                                                                                                                                                                                                                                                                                                                                                             </t>
  </si>
  <si>
    <t xml:space="preserve">CONDULETE DE ALUMINIO TIPO LR, PARA ELETRODUTO ROSCAVEL DE 2", COM TAMPA CEGA                                                                                                                                                                                                                                                                                                                                                                                                                             </t>
  </si>
  <si>
    <t xml:space="preserve">CONDULETE DE ALUMINIO TIPO LR, PARA ELETRODUTO ROSCAVEL DE 3/4", COM TAMPA CEGA                                                                                                                                                                                                                                                                                                                                                                                                                           </t>
  </si>
  <si>
    <t xml:space="preserve">CONDULETE DE ALUMINIO TIPO LR, PARA ELETRODUTO ROSCAVEL DE 3", COM TAMPA CEGA                                                                                                                                                                                                                                                                                                                                                                                                                             </t>
  </si>
  <si>
    <t>155,70</t>
  </si>
  <si>
    <t xml:space="preserve">CONDULETE DE ALUMINIO TIPO LR, PARA ELETRODUTO ROSCAVEL DE 4", COM TAMPA CEGA                                                                                                                                                                                                                                                                                                                                                                                                                             </t>
  </si>
  <si>
    <t>242,92</t>
  </si>
  <si>
    <t xml:space="preserve">CONDULETE DE ALUMINIO TIPO T, PARA ELETRODUTO ROSCAVEL DE 1 1/2", COM TAMPA CEGA                                                                                                                                                                                                                                                                                                                                                                                                                          </t>
  </si>
  <si>
    <t xml:space="preserve">CONDULETE DE ALUMINIO TIPO T, PARA ELETRODUTO ROSCAVEL DE 1 1/4", COM TAMPA CEGA                                                                                                                                                                                                                                                                                                                                                                                                                          </t>
  </si>
  <si>
    <t xml:space="preserve">CONDULETE DE ALUMINIO TIPO T, PARA ELETRODUTO ROSCAVEL DE 1/2", COM TAMPA CEGA                                                                                                                                                                                                                                                                                                                                                                                                                            </t>
  </si>
  <si>
    <t xml:space="preserve">CONDULETE DE ALUMINIO TIPO T, PARA ELETRODUTO ROSCAVEL DE 1", COM TAMPA CEGA                                                                                                                                                                                                                                                                                                                                                                                                                              </t>
  </si>
  <si>
    <t xml:space="preserve">CONDULETE DE ALUMINIO TIPO T, PARA ELETRODUTO ROSCAVEL DE 2", COM TAMPA CEGA                                                                                                                                                                                                                                                                                                                                                                                                                              </t>
  </si>
  <si>
    <t>56,11</t>
  </si>
  <si>
    <t xml:space="preserve">CONDULETE DE ALUMINIO TIPO T, PARA ELETRODUTO ROSCAVEL DE 3/4", COM TAMPA CEGA                                                                                                                                                                                                                                                                                                                                                                                                                            </t>
  </si>
  <si>
    <t xml:space="preserve">CONDULETE DE ALUMINIO TIPO T, PARA ELETRODUTO ROSCAVEL DE 3", COM TAMPA CEGA                                                                                                                                                                                                                                                                                                                                                                                                                              </t>
  </si>
  <si>
    <t>175,19</t>
  </si>
  <si>
    <t xml:space="preserve">CONDULETE DE ALUMINIO TIPO T, PARA ELETRODUTO ROSCAVEL DE 4", COM TAMPA CEGA                                                                                                                                                                                                                                                                                                                                                                                                                              </t>
  </si>
  <si>
    <t>240,40</t>
  </si>
  <si>
    <t xml:space="preserve">CONDULETE DE ALUMINIO TIPO TB, PARA ELETRODUTO ROSCAVEL DE 3", COM TAMPA CEGA                                                                                                                                                                                                                                                                                                                                                                                                                             </t>
  </si>
  <si>
    <t>128,98</t>
  </si>
  <si>
    <t xml:space="preserve">CONDULETE DE ALUMINIO TIPO X, PARA ELETRODUTO ROSCAVEL DE 1 1/2", COM TAMPA CEGA                                                                                                                                                                                                                                                                                                                                                                                                                          </t>
  </si>
  <si>
    <t>38,41</t>
  </si>
  <si>
    <t xml:space="preserve">CONDULETE DE ALUMINIO TIPO X, PARA ELETRODUTO ROSCAVEL DE 1 1/4", COM TAMPA CEGA                                                                                                                                                                                                                                                                                                                                                                                                                          </t>
  </si>
  <si>
    <t xml:space="preserve">CONDULETE DE ALUMINIO TIPO X, PARA ELETRODUTO ROSCAVEL DE 1/2", COM TAMPA CEGA                                                                                                                                                                                                                                                                                                                                                                                                                            </t>
  </si>
  <si>
    <t xml:space="preserve">CONDULETE DE ALUMINIO TIPO X, PARA ELETRODUTO ROSCAVEL DE 1", COM TAMPA CEGA                                                                                                                                                                                                                                                                                                                                                                                                                              </t>
  </si>
  <si>
    <t xml:space="preserve">CONDULETE DE ALUMINIO TIPO X, PARA ELETRODUTO ROSCAVEL DE 2", COM TAMPA CEGA                                                                                                                                                                                                                                                                                                                                                                                                                              </t>
  </si>
  <si>
    <t>59,31</t>
  </si>
  <si>
    <t xml:space="preserve">CONDULETE DE ALUMINIO TIPO X, PARA ELETRODUTO ROSCAVEL DE 3/4", COM TAMPA CEGA                                                                                                                                                                                                                                                                                                                                                                                                                            </t>
  </si>
  <si>
    <t xml:space="preserve">CONDULETE DE ALUMINIO TIPO X, PARA ELETRODUTO ROSCAVEL DE 3", COM TAMPA CEGA                                                                                                                                                                                                                                                                                                                                                                                                                              </t>
  </si>
  <si>
    <t>144,26</t>
  </si>
  <si>
    <t xml:space="preserve">CONDULETE DE ALUMINIO TIPO X, PARA ELETRODUTO ROSCAVEL DE 4", COM TAMPA CEGA                                                                                                                                                                                                                                                                                                                                                                                                                              </t>
  </si>
  <si>
    <t>240,15</t>
  </si>
  <si>
    <t xml:space="preserve">CONDULETE EM PVC, TIPO "B", SEM TAMPA, DE 1/2" OU 3/4"                                                                                                                                                                                                                                                                                                                                                                                                                                                    </t>
  </si>
  <si>
    <t>11,46</t>
  </si>
  <si>
    <t xml:space="preserve">CONDULETE EM PVC, TIPO "B", SEM TAMPA, DE 1"                                                                                                                                                                                                                                                                                                                                                                                                                                                              </t>
  </si>
  <si>
    <t>11,99</t>
  </si>
  <si>
    <t xml:space="preserve">CONDULETE EM PVC, TIPO "C", SEM TAMPA, DE 1/2"                                                                                                                                                                                                                                                                                                                                                                                                                                                            </t>
  </si>
  <si>
    <t>12,61</t>
  </si>
  <si>
    <t xml:space="preserve">CONDULETE EM PVC, TIPO "C", SEM TAMPA, DE 1"                                                                                                                                                                                                                                                                                                                                                                                                                                                              </t>
  </si>
  <si>
    <t xml:space="preserve">CONDULETE EM PVC, TIPO "C", SEM TAMPA, DE 3/4"                                                                                                                                                                                                                                                                                                                                                                                                                                                            </t>
  </si>
  <si>
    <t>11,22</t>
  </si>
  <si>
    <t xml:space="preserve">CONDULETE EM PVC, TIPO "E", SEM TAMPA, DE 1/2"                                                                                                                                                                                                                                                                                                                                                                                                                                                            </t>
  </si>
  <si>
    <t xml:space="preserve">CONDULETE EM PVC, TIPO "E", SEM TAMPA, DE 1"                                                                                                                                                                                                                                                                                                                                                                                                                                                              </t>
  </si>
  <si>
    <t xml:space="preserve">CONDULETE EM PVC, TIPO "E", SEM TAMPA, DE 3/4"                                                                                                                                                                                                                                                                                                                                                                                                                                                            </t>
  </si>
  <si>
    <t xml:space="preserve">CONDULETE EM PVC, TIPO "LB", SEM TAMPA, DE 1/2" OU 3/4"                                                                                                                                                                                                                                                                                                                                                                                                                                                   </t>
  </si>
  <si>
    <t xml:space="preserve">CONDULETE EM PVC, TIPO "LB", SEM TAMPA, DE 1"                                                                                                                                                                                                                                                                                                                                                                                                                                                             </t>
  </si>
  <si>
    <t xml:space="preserve">CONDULETE EM PVC, TIPO "LL", SEM TAMPA, DE 1/2" OU 3/4"                                                                                                                                                                                                                                                                                                                                                                                                                                                   </t>
  </si>
  <si>
    <t xml:space="preserve">CONDULETE EM PVC, TIPO "LL", SEM TAMPA, DE 1"                                                                                                                                                                                                                                                                                                                                                                                                                                                             </t>
  </si>
  <si>
    <t xml:space="preserve">CONDULETE EM PVC, TIPO "LR", SEM TAMPA, DE 1/2"                                                                                                                                                                                                                                                                                                                                                                                                                                                           </t>
  </si>
  <si>
    <t xml:space="preserve">CONDULETE EM PVC, TIPO "LR", SEM TAMPA, DE 1"                                                                                                                                                                                                                                                                                                                                                                                                                                                             </t>
  </si>
  <si>
    <t xml:space="preserve">CONDULETE EM PVC, TIPO "LR", SEM TAMPA, DE 3/4"                                                                                                                                                                                                                                                                                                                                                                                                                                                           </t>
  </si>
  <si>
    <t xml:space="preserve">CONDULETE EM PVC, TIPO "T", SEM TAMPA, DE 1"                                                                                                                                                                                                                                                                                                                                                                                                                                                              </t>
  </si>
  <si>
    <t xml:space="preserve">CONDULETE EM PVC, TIPO "T", SEM TAMPA, DE 3/4"                                                                                                                                                                                                                                                                                                                                                                                                                                                            </t>
  </si>
  <si>
    <t xml:space="preserve">CONDULETE EM PVC, TIPO "TB", SEM TAMPA, DE 1/2" OU 3/4"                                                                                                                                                                                                                                                                                                                                                                                                                                                   </t>
  </si>
  <si>
    <t xml:space="preserve">CONDULETE EM PVC, TIPO "TB", SEM TAMPA, DE 1"                                                                                                                                                                                                                                                                                                                                                                                                                                                             </t>
  </si>
  <si>
    <t xml:space="preserve">CONDULETE EM PVC, TIPO "X", SEM TAMPA, DE 1/2"                                                                                                                                                                                                                                                                                                                                                                                                                                                            </t>
  </si>
  <si>
    <t xml:space="preserve">CONDULETE EM PVC, TIPO "X", SEM TAMPA, DE 1"                                                                                                                                                                                                                                                                                                                                                                                                                                                              </t>
  </si>
  <si>
    <t xml:space="preserve">CONDULETE EM PVC, TIPO "X", SEM TAMPA, DE 3/4"                                                                                                                                                                                                                                                                                                                                                                                                                                                            </t>
  </si>
  <si>
    <t xml:space="preserve">CONDUTOR PLUVIAL, PVC, CIRCULAR, DIAMETRO ENTRE 80 E 100 MM, PARA DRENAGEM PREDIAL                                                                                                                                                                                                                                                                                                                                                                                                                        </t>
  </si>
  <si>
    <t xml:space="preserve">CONE DE SINALIZACAO EM PVC FLEXIVEL, H = 70 / 76 CM (NBR 15071)                                                                                                                                                                                                                                                                                                                                                                                                                                           </t>
  </si>
  <si>
    <t xml:space="preserve">CONE DE SINALIZACAO EM PVC RIGIDO COM FAIXA REFLETIVA, H = 70 / 76 CM                                                                                                                                                                                                                                                                                                                                                                                                                                     </t>
  </si>
  <si>
    <t xml:space="preserve">CONECTOR / ADAPTADOR FEMEA, COM INSERTO METALICO, PPR, DN 25 MM X 1/2", PARA AGUA QUENTE E FRIA PREDIAL                                                                                                                                                                                                                                                                                                                                                                                                   </t>
  </si>
  <si>
    <t xml:space="preserve">CONECTOR / ADAPTADOR FEMEA, COM INSERTO METALICO, PPR, DN 32 MM X 3/4", PARA AGUA QUENTE E FRIA PREDIAL                                                                                                                                                                                                                                                                                                                                                                                                   </t>
  </si>
  <si>
    <t xml:space="preserve">CONECTOR / ADAPTADOR MACHO, COM INSERTO METALICO, PPR, DN 25 MM X 1/2", PARA AGUA QUENTE E FRIA PREDIAL                                                                                                                                                                                                                                                                                                                                                                                                   </t>
  </si>
  <si>
    <t xml:space="preserve">CONECTOR / ADAPTADOR MACHO, COM INSERTO METALICO, PPR, DN 32 MM X 3/4", PARA AGUA QUENTE E FRIA PREDIAL                                                                                                                                                                                                                                                                                                                                                                                                   </t>
  </si>
  <si>
    <t>30,48</t>
  </si>
  <si>
    <t xml:space="preserve">CONECTOR BRONZE/LATAO (REF 603) SEM ANEL DE SOLDA, BOLSA X ROSCA F, 15 MM X 1/2"                                                                                                                                                                                                                                                                                                                                                                                                                          </t>
  </si>
  <si>
    <t xml:space="preserve">CONECTOR BRONZE/LATAO (REF 603) SEM ANEL DE SOLDA, BOLSA X ROSCA F, 22 MM X 1/2"                                                                                                                                                                                                                                                                                                                                                                                                                          </t>
  </si>
  <si>
    <t xml:space="preserve">CONECTOR BRONZE/LATAO (REF 603) SEM ANEL DE SOLDA, BOLSA X ROSCA F, 22 MM X 3/4"                                                                                                                                                                                                                                                                                                                                                                                                                          </t>
  </si>
  <si>
    <t xml:space="preserve">CONECTOR BRONZE/LATAO (REF 603) SEM ANEL DE SOLDA, BOLSA X ROSCA F, 28 MM X 1/2"                                                                                                                                                                                                                                                                                                                                                                                                                          </t>
  </si>
  <si>
    <t>27,25</t>
  </si>
  <si>
    <t xml:space="preserve">CONECTOR CURVO 90 GRAUS DE ALUMINIO, BITOLA 1 1/2", PARA ADAPTAR ENTRADA DE ELETRODUTO METALICO FLEXIVEL EM QUADROS                                                                                                                                                                                                                                                                                                                                                                                       </t>
  </si>
  <si>
    <t xml:space="preserve">CONECTOR CURVO 90 GRAUS DE ALUMINIO, BITOLA 1 1/4", PARA ADAPTAR ENTRADA DE ELETRODUTO METALICO FLEXIVEL EM QUADROS                                                                                                                                                                                                                                                                                                                                                                                       </t>
  </si>
  <si>
    <t xml:space="preserve">CONECTOR CURVO 90 GRAUS DE ALUMINIO, BITOLA 1/2", PARA ADAPTAR ENTRADA DE ELETRODUTO METALICO FLEXIVEL EM QUADROS                                                                                                                                                                                                                                                                                                                                                                                         </t>
  </si>
  <si>
    <t xml:space="preserve">CONECTOR CURVO 90 GRAUS DE ALUMINIO, BITOLA 1", PARA ADAPTAR ENTRADA DE ELETRODUTO METALICO FLEXIVEL EM QUADROS                                                                                                                                                                                                                                                                                                                                                                                           </t>
  </si>
  <si>
    <t xml:space="preserve">CONECTOR CURVO 90 GRAUS DE ALUMINIO, BITOLA 2 1/2", PARA ADAPTAR ENTRADA DE ELETRODUTO METALICO FLEXIVEL EM QUADROS                                                                                                                                                                                                                                                                                                                                                                                       </t>
  </si>
  <si>
    <t xml:space="preserve">CONECTOR CURVO 90 GRAUS DE ALUMINIO, BITOLA 2", PARA ADAPTAR ENTRADA DE ELETRODUTO METALICO FLEXIVEL EM QUADROS                                                                                                                                                                                                                                                                                                                                                                                           </t>
  </si>
  <si>
    <t>48,48</t>
  </si>
  <si>
    <t xml:space="preserve">CONECTOR CURVO 90 GRAUS DE ALUMINIO, BITOLA 3/4", PARA ADAPTAR ENTRADA DE ELETRODUTO METALICO FLEXIVEL EM QUADROS                                                                                                                                                                                                                                                                                                                                                                                         </t>
  </si>
  <si>
    <t xml:space="preserve">CONECTOR CURVO 90 GRAUS DE ALUMINIO, BITOLA 3", PARA ADAPTAR ENTRADA DE ELETRODUTO METALICO FLEXIVEL EM QUADROS                                                                                                                                                                                                                                                                                                                                                                                           </t>
  </si>
  <si>
    <t>137,33</t>
  </si>
  <si>
    <t xml:space="preserve">CONECTOR CURVO 90 GRAUS DE ALUMINIO, BITOLA 4", PARA ADAPTAR ENTRADA DE ELETRODUTO METALICO FLEXIVEL EM QUADROS                                                                                                                                                                                                                                                                                                                                                                                           </t>
  </si>
  <si>
    <t>252,76</t>
  </si>
  <si>
    <t xml:space="preserve">CONECTOR DE ALUMINIO TIPO PRENSA CABO, BITOLA 1 1/2", PARA CABOS DE DIAMETRO DE 37 A 40 MM                                                                                                                                                                                                                                                                                                                                                                                                                </t>
  </si>
  <si>
    <t>44,21</t>
  </si>
  <si>
    <t xml:space="preserve">CONECTOR DE ALUMINIO TIPO PRENSA CABO, BITOLA 1 1/4", PARA CABOS DE DIAMETRO DE 31 A 34 MM                                                                                                                                                                                                                                                                                                                                                                                                                </t>
  </si>
  <si>
    <t xml:space="preserve">CONECTOR DE ALUMINIO TIPO PRENSA CABO, BITOLA 1/2", PARA CABOS DE DIAMETRO DE 12,5 A 15 MM                                                                                                                                                                                                                                                                                                                                                                                                                </t>
  </si>
  <si>
    <t xml:space="preserve">CONECTOR DE ALUMINIO TIPO PRENSA CABO, BITOLA 1", PARA CABOS DE DIAMETRO DE 22,5 A 25 MM                                                                                                                                                                                                                                                                                                                                                                                                                  </t>
  </si>
  <si>
    <t xml:space="preserve">CONECTOR DE ALUMINIO TIPO PRENSA CABO, BITOLA 2", PARA CABOS DE DIAMETRO DE 47,5 A 50 MM                                                                                                                                                                                                                                                                                                                                                                                                                  </t>
  </si>
  <si>
    <t xml:space="preserve">CONECTOR DE ALUMINIO TIPO PRENSA CABO, BITOLA 3/4", PARA CABOS DE DIAMETRO DE 17,5 A 20 MM                                                                                                                                                                                                                                                                                                                                                                                                                </t>
  </si>
  <si>
    <t xml:space="preserve">CONECTOR DE ALUMINIO TIPO PRENSA CABO, BITOLA 3/8", PARA CABOS DE DIAMETRO DE 9 A 10 MM                                                                                                                                                                                                                                                                                                                                                                                                                   </t>
  </si>
  <si>
    <t xml:space="preserve">CONECTOR FEMEA RJ - 45, CATEGORIA 5 E                                                                                                                                                                                                                                                                                                                                                                                                                                                                     </t>
  </si>
  <si>
    <t xml:space="preserve">CONECTOR FEMEA RJ - 45, CATEGORIA 6                                                                                                                                                                                                                                                                                                                                                                                                                                                                       </t>
  </si>
  <si>
    <t xml:space="preserve">CONECTOR MACHO RJ - 45, CATEGORIA 5 E                                                                                                                                                                                                                                                                                                                                                                                                                                                                     </t>
  </si>
  <si>
    <t xml:space="preserve">CONECTOR MACHO RJ - 45, CATEGORIA 6                                                                                                                                                                                                                                                                                                                                                                                                                                                                       </t>
  </si>
  <si>
    <t xml:space="preserve">CONECTOR METALICO TIPO PARAFUSO FENDIDO (SPLIT BOLT), COM SEPARADOR DE CABOS BIMETALICOS, PARA CABOS ATE 25 MM2                                                                                                                                                                                                                                                                                                                                                                                           </t>
  </si>
  <si>
    <t xml:space="preserve">CONECTOR METALICO TIPO PARAFUSO FENDIDO (SPLIT BOLT), COM SEPARADOR DE CABOS BIMETALICOS, PARA CABOS ATE 50 MM2                                                                                                                                                                                                                                                                                                                                                                                           </t>
  </si>
  <si>
    <t xml:space="preserve">CONECTOR METALICO TIPO PARAFUSO FENDIDO (SPLIT BOLT), COM SEPARADOR DE CABOS BIMETALICOS, PARA CABOS ATE 70 MM2                                                                                                                                                                                                                                                                                                                                                                                           </t>
  </si>
  <si>
    <t xml:space="preserve">CONECTOR METALICO TIPO PARAFUSO FENDIDO (SPLIT BOLT), PARA CABOS ATE 10 MM2                                                                                                                                                                                                                                                                                                                                                                                                                               </t>
  </si>
  <si>
    <t xml:space="preserve">CONECTOR METALICO TIPO PARAFUSO FENDIDO (SPLIT BOLT), PARA CABOS ATE 120 MM2                                                                                                                                                                                                                                                                                                                                                                                                                              </t>
  </si>
  <si>
    <t>31,05</t>
  </si>
  <si>
    <t xml:space="preserve">CONECTOR METALICO TIPO PARAFUSO FENDIDO (SPLIT BOLT), PARA CABOS ATE 150 MM2                                                                                                                                                                                                                                                                                                                                                                                                                              </t>
  </si>
  <si>
    <t xml:space="preserve">CONECTOR METALICO TIPO PARAFUSO FENDIDO (SPLIT BOLT), PARA CABOS ATE 16 MM2                                                                                                                                                                                                                                                                                                                                                                                                                               </t>
  </si>
  <si>
    <t xml:space="preserve">CONECTOR METALICO TIPO PARAFUSO FENDIDO (SPLIT BOLT), PARA CABOS ATE 185 MM2                                                                                                                                                                                                                                                                                                                                                                                                                              </t>
  </si>
  <si>
    <t>52,43</t>
  </si>
  <si>
    <t xml:space="preserve">CONECTOR METALICO TIPO PARAFUSO FENDIDO (SPLIT BOLT), PARA CABOS ATE 25 MM2                                                                                                                                                                                                                                                                                                                                                                                                                               </t>
  </si>
  <si>
    <t xml:space="preserve">CONECTOR METALICO TIPO PARAFUSO FENDIDO (SPLIT BOLT), PARA CABOS ATE 35 MM2                                                                                                                                                                                                                                                                                                                                                                                                                               </t>
  </si>
  <si>
    <t xml:space="preserve">CONECTOR METALICO TIPO PARAFUSO FENDIDO (SPLIT BOLT), PARA CABOS ATE 50 MM2                                                                                                                                                                                                                                                                                                                                                                                                                               </t>
  </si>
  <si>
    <t xml:space="preserve">CONECTOR METALICO TIPO PARAFUSO FENDIDO (SPLIT BOLT), PARA CABOS ATE 6 MM2                                                                                                                                                                                                                                                                                                                                                                                                                                </t>
  </si>
  <si>
    <t xml:space="preserve">CONECTOR METALICO TIPO PARAFUSO FENDIDO (SPLIT BOLT), PARA CABOS ATE 70 MM2                                                                                                                                                                                                                                                                                                                                                                                                                               </t>
  </si>
  <si>
    <t xml:space="preserve">CONECTOR METALICO TIPO PARAFUSO FENDIDO (SPLIT BOLT), PARA CABOS ATE 95 MM2                                                                                                                                                                                                                                                                                                                                                                                                                               </t>
  </si>
  <si>
    <t xml:space="preserve">CONECTOR RETO DE ALUMINIO PARA ELETRODUTO DE 1 1/2", PARA ADAPTAR ENTRADA DE ELETRODUTO METALICO FLEXIVEL EM QUADROS                                                                                                                                                                                                                                                                                                                                                                                      </t>
  </si>
  <si>
    <t xml:space="preserve">CONECTOR RETO DE ALUMINIO PARA ELETRODUTO DE 1 1/4", PARA ADAPTAR ENTRADA DE ELETRODUTO METALICO FLEXIVEL EM QUADROS                                                                                                                                                                                                                                                                                                                                                                                      </t>
  </si>
  <si>
    <t xml:space="preserve">CONECTOR RETO DE ALUMINIO PARA ELETRODUTO DE 1/2", PARA ADAPTAR ENTRADA DE ELETRODUTO METALICO FLEXIVEL EM QUADROS                                                                                                                                                                                                                                                                                                                                                                                        </t>
  </si>
  <si>
    <t xml:space="preserve">CONECTOR RETO DE ALUMINIO PARA ELETRODUTO DE 1", PARA ADAPTAR ENTRADA DE ELETRODUTO METALICO FLEXIVEL EM QUADROS                                                                                                                                                                                                                                                                                                                                                                                          </t>
  </si>
  <si>
    <t xml:space="preserve">CONECTOR RETO DE ALUMINIO PARA ELETRODUTO DE 2 1/2", PARA ADAPTAR ENTRADA DE ELETRODUTO METALICO FLEXIVEL EM QUADROS                                                                                                                                                                                                                                                                                                                                                                                      </t>
  </si>
  <si>
    <t>21,55</t>
  </si>
  <si>
    <t xml:space="preserve">CONECTOR RETO DE ALUMINIO PARA ELETRODUTO DE 2", PARA ADAPTAR ENTRADA DE ELETRODUTO METALICO FLEXIVEL EM QUADROS                                                                                                                                                                                                                                                                                                                                                                                          </t>
  </si>
  <si>
    <t xml:space="preserve">CONECTOR RETO DE ALUMINIO PARA ELETRODUTO DE 3/4", PARA ADAPTAR ENTRADA DE ELETRODUTO METALICO FLEXIVEL EM QUADROS                                                                                                                                                                                                                                                                                                                                                                                        </t>
  </si>
  <si>
    <t xml:space="preserve">CONECTOR RETO DE ALUMINIO PARA ELETRODUTO DE 3", PARA ADAPTAR ENTRADA DE ELETRODUTO METALICO FLEXIVEL EM QUADROS                                                                                                                                                                                                                                                                                                                                                                                          </t>
  </si>
  <si>
    <t xml:space="preserve">CONECTOR RETO DE ALUMINIO PARA ELETRODUTO DE 4", PARA ADAPTAR ENTRADA DE ELETRODUTO METALICO FLEXIVEL EM QUADROS                                                                                                                                                                                                                                                                                                                                                                                          </t>
  </si>
  <si>
    <t>49,06</t>
  </si>
  <si>
    <t xml:space="preserve">CONECTOR, CPVC, SOLDAVEL, 15 MM X 1/2", PARA AGUA QUENTE                                                                                                                                                                                                                                                                                                                                                                                                                                                  </t>
  </si>
  <si>
    <t xml:space="preserve">CONECTOR, CPVC, SOLDAVEL, 22 MM X 1/2", PARA AGUA QUENTE                                                                                                                                                                                                                                                                                                                                                                                                                                                  </t>
  </si>
  <si>
    <t xml:space="preserve">CONECTOR, CPVC, SOLDAVEL, 22 MM X 3/4", PARA AGUA QUENTE                                                                                                                                                                                                                                                                                                                                                                                                                                                  </t>
  </si>
  <si>
    <t xml:space="preserve">CONECTOR, CPVC, SOLDAVEL, 28 MM X 1", PARA AGUA QUENTE                                                                                                                                                                                                                                                                                                                                                                                                                                                    </t>
  </si>
  <si>
    <t xml:space="preserve">CONECTOR, CPVC, SOLDAVEL, 35 MM X 1 1/4", PARA AGUA QUENTE                                                                                                                                                                                                                                                                                                                                                                                                                                                </t>
  </si>
  <si>
    <t>171,77</t>
  </si>
  <si>
    <t xml:space="preserve">CONECTOR, CPVC, SOLDAVEL, 42 MM X 1 1/2", PARA AGUA QUENTE                                                                                                                                                                                                                                                                                                                                                                                                                                                </t>
  </si>
  <si>
    <t>209,94</t>
  </si>
  <si>
    <t xml:space="preserve">CONEXAO FIXA, ROSCA FEMEA, EM PLASTICO, DN 16 MM X 1/2", PARA CONEXAO COM CRIMPAGEM EM TUBO PEX                                                                                                                                                                                                                                                                                                                                                                                                           </t>
  </si>
  <si>
    <t xml:space="preserve">CONEXAO FIXA, ROSCA FEMEA, EM PLASTICO, DN 16 MM X 3/4", PARA CONEXAO COM CRIMPAGEM EM TUBO PEX                                                                                                                                                                                                                                                                                                                                                                                                           </t>
  </si>
  <si>
    <t xml:space="preserve">CONEXAO FIXA, ROSCA FEMEA, EM PLASTICO, DN 20 MM X 1/2", PARA CONEXAO COM CRIMPAGEM EM TUBO PEX                                                                                                                                                                                                                                                                                                                                                                                                           </t>
  </si>
  <si>
    <t xml:space="preserve">CONEXAO FIXA, ROSCA FEMEA, EM PLASTICO, DN 20 MM X 3/4", PARA CONEXAO COM CRIMPAGEM EM TUBO PEX                                                                                                                                                                                                                                                                                                                                                                                                           </t>
  </si>
  <si>
    <t xml:space="preserve">CONEXAO FIXA, ROSCA FEMEA, EM PLASTICO, DN 25 MM X 1/2", PARA CONEXAO COM CRIMPAGEM EM TUBO PEX                                                                                                                                                                                                                                                                                                                                                                                                           </t>
  </si>
  <si>
    <t xml:space="preserve">CONEXAO FIXA, ROSCA FEMEA, EM PLASTICO, DN 25 MM X 3/4", PARA CONEXAO COM CRIMPAGEM EM TUBO PEX                                                                                                                                                                                                                                                                                                                                                                                                           </t>
  </si>
  <si>
    <t xml:space="preserve">CONEXAO FIXA, ROSCA FEMEA, EM PLASTICO, DN 32 MM X 3/4", PARA CONEXAO COM CRIMPAGEM EM TUBO PEX                                                                                                                                                                                                                                                                                                                                                                                                           </t>
  </si>
  <si>
    <t xml:space="preserve">CONEXAO FIXA, ROSCA FEMEA, METALICA, COM ANEL DESLIZANTE, DN 16 MM X 1/2", PARA TUBO PEX                                                                                                                                                                                                                                                                                                                                                                                                                  </t>
  </si>
  <si>
    <t xml:space="preserve">CONEXAO FIXA, ROSCA FEMEA, METALICA, COM ANEL DESLIZANTE, DN 20 MM X 1/2", PARA TUBO PEX                                                                                                                                                                                                                                                                                                                                                                                                                  </t>
  </si>
  <si>
    <t xml:space="preserve">CONEXAO FIXA, ROSCA FEMEA, METALICA, COM ANEL DESLIZANTE, DN 20 MM X 3/4", PARA TUBO PEX                                                                                                                                                                                                                                                                                                                                                                                                                  </t>
  </si>
  <si>
    <t xml:space="preserve">CONEXAO FIXA, ROSCA FEMEA, METALICA, COM ANEL DESLIZANTE, DN 25 MM X 1", PARA TUBO PEX                                                                                                                                                                                                                                                                                                                                                                                                                    </t>
  </si>
  <si>
    <t xml:space="preserve">CONEXAO FIXA, ROSCA FEMEA, METALICA, COM ANEL DESLIZANTE, DN 25 MM X 3/4", PARA TUBO PEX                                                                                                                                                                                                                                                                                                                                                                                                                  </t>
  </si>
  <si>
    <t xml:space="preserve">CONEXAO FIXA, ROSCA FEMEA, METALICA, COM ANEL DESLIZANTE, DN 32 MM X 1", PARA TUBO PEX                                                                                                                                                                                                                                                                                                                                                                                                                    </t>
  </si>
  <si>
    <t xml:space="preserve">CONEXAO FIXA, ROSCA MACHO, METALICA, PARA TUBO PEX, DN 16 MM X 1/2"                                                                                                                                                                                                                                                                                                                                                                                                                                       </t>
  </si>
  <si>
    <t xml:space="preserve">CONEXAO FIXA, ROSCA MACHO, METALICA, PARA TUBO PEX, DN 16 MM X 3/4"                                                                                                                                                                                                                                                                                                                                                                                                                                       </t>
  </si>
  <si>
    <t xml:space="preserve">CONEXAO FIXA, ROSCA MACHO, METALICA, PARA TUBO PEX, DN 20 MM X 1/2"                                                                                                                                                                                                                                                                                                                                                                                                                                       </t>
  </si>
  <si>
    <t xml:space="preserve">CONEXAO FIXA, ROSCA MACHO, METALICA, PARA TUBO PEX, DN 20 MM X 3/4"                                                                                                                                                                                                                                                                                                                                                                                                                                       </t>
  </si>
  <si>
    <t xml:space="preserve">CONEXAO FIXA, ROSCA MACHO, METALICA, PARA TUBO PEX, DN 25 MM X 1/2"                                                                                                                                                                                                                                                                                                                                                                                                                                       </t>
  </si>
  <si>
    <t xml:space="preserve">CONEXAO FIXA, ROSCA MACHO, METALICA, PARA TUBO PEX, DN 25 MM X 1"                                                                                                                                                                                                                                                                                                                                                                                                                                         </t>
  </si>
  <si>
    <t xml:space="preserve">CONEXAO FIXA, ROSCA MACHO, METALICA, PARA TUBO PEX, DN 25 MM X 3/4"                                                                                                                                                                                                                                                                                                                                                                                                                                       </t>
  </si>
  <si>
    <t xml:space="preserve">CONEXAO FIXA, ROSCA MACHO, METALICA, PARA TUBO PEX, DN 32 MM X 1"                                                                                                                                                                                                                                                                                                                                                                                                                                         </t>
  </si>
  <si>
    <t xml:space="preserve">CONEXAO MOVEL, ROSCA FEMEA, METALICA, COM ANEL DESLIZANTE, PARA TUBO PEX, DN 16 MM X 1/2"                                                                                                                                                                                                                                                                                                                                                                                                                 </t>
  </si>
  <si>
    <t xml:space="preserve">CONEXAO MOVEL, ROSCA FEMEA, METALICA, COM ANEL DESLIZANTE, PARA TUBO PEX, DN 16 MM X 3/4"                                                                                                                                                                                                                                                                                                                                                                                                                 </t>
  </si>
  <si>
    <t xml:space="preserve">CONEXAO MOVEL, ROSCA FEMEA, METALICA, COM ANEL DESLIZANTE, PARA TUBO PEX, DN 20 MM X 1/2"                                                                                                                                                                                                                                                                                                                                                                                                                 </t>
  </si>
  <si>
    <t xml:space="preserve">CONEXAO MOVEL, ROSCA FEMEA, METALICA, COM ANEL DESLIZANTE, PARA TUBO PEX, DN 20 MM X 3/4"                                                                                                                                                                                                                                                                                                                                                                                                                 </t>
  </si>
  <si>
    <t xml:space="preserve">CONEXAO MOVEL, ROSCA FEMEA, METALICA, COM ANEL DESLIZANTE, PARA TUBO PEX, DN 25 MM X 1"                                                                                                                                                                                                                                                                                                                                                                                                                   </t>
  </si>
  <si>
    <t xml:space="preserve">CONEXAO MOVEL, ROSCA FEMEA, METALICA, COM ANEL DESLIZANTE, PARA TUBO PEX, DN 25 MM X 3/4"                                                                                                                                                                                                                                                                                                                                                                                                                 </t>
  </si>
  <si>
    <t xml:space="preserve">CONEXAO MOVEL, ROSCA FEMEA, METALICA, COM ANEL DESLIZANTE, PARA TUBO PEX, DN 32 MM X 1"                                                                                                                                                                                                                                                                                                                                                                                                                   </t>
  </si>
  <si>
    <t xml:space="preserve">CONJ. DE FERRAGENS PARA PORTA DE VIDRO TEMPERADO, EM ZAMAC CROMADO, CONTEMPLANDO: DOBRADICA INF.; DOBRADICA SUP.; PIVO PARA DOBRADICA INF.; PIVO PARA DOBRADICA SUP.; FECHADURA CENTRAL EM ZAMC CROMADO; CONTRA FECHADURA DE PRESSAO                                                                                                                                                                                                                                                                      </t>
  </si>
  <si>
    <t>106,62</t>
  </si>
  <si>
    <t xml:space="preserve">CONJUNTO ARRUELAS DE VEDACAO 5/16" PARA TELHA FIBROCIMENTO (UMA ARRUELA METALICA E UMA ARRUELA PVC - CONICAS)                                                                                                                                                                                                                                                                                                                                                                                             </t>
  </si>
  <si>
    <t xml:space="preserve">CONJUNTO DE FERRAGENS PIVO, PARA PORTA PIVOTANTE DE ATE 100 KG, REGULAVEL COM ESFERA , CROMADO - SUPERIOR E INFERIOR - COMPLETO                                                                                                                                                                                                                                                                                                                                                                           </t>
  </si>
  <si>
    <t>68,69</t>
  </si>
  <si>
    <t xml:space="preserve">CONJUNTO DE LIGACAO PARA BACIA SANITARIA AJUSTAVEL, EM PLASTICO BRANCO, COM TUBO, CANOPLA E ESPUDE                                                                                                                                                                                                                                                                                                                                                                                                        </t>
  </si>
  <si>
    <t xml:space="preserve">CONJUNTO DE LIGACAO PARA BACIA SANITARIA EM PLASTICO BRANCO COM TUBO, CANOPLA E ANEL DE EXPANSAO (TUBO 1.1/2 '' X 20 CM)                                                                                                                                                                                                                                                                                                                                                                                  </t>
  </si>
  <si>
    <t xml:space="preserve">CONJUNTO MONTADO ESTOPIM COM ESPOLETA COMUM NUMERO 8, COM CABECA ACENDEDORA, 1,5 M                                                                                                                                                                                                                                                                                                                                                                                                                        </t>
  </si>
  <si>
    <t xml:space="preserve">CONJUNTO PARA FUTSAL COM TRAVES OFICIAIS DE 3,00 X 2,00 M EM TUBO DE ACO GALVANIZADO 3" COM REQUADRO EM TUBO DE 1", PINTURA EM PRIMER COM TINTA ESMALTE SINTETICO E REDES DE POLIETILENO FIO 4 MM                                                                                                                                                                                                                                                                                                         </t>
  </si>
  <si>
    <t>4.987,86</t>
  </si>
  <si>
    <t xml:space="preserve">CONJUNTO PARA QUADRA DE  VOLEI COM POSTES EM TUBO DE ACO GALVANIZADO 3", H = *255* CM, PINTURA EM TINTA ESMALTE SINTETICO, REDE DE NYLON COM 2 MM, MALHA 10 X 10 CM E ANTENAS OFICIAIS EM FIBRA DE VIDRO                                                                                                                                                                                                                                                                                                  </t>
  </si>
  <si>
    <t>3.028,06</t>
  </si>
  <si>
    <t xml:space="preserve">CONJUNTO PRE-MOLDADO COMPOSTO POR GRELHA (0,99 X 0,45 M), QUADRO (1,10 X 0,52 M) E CANTONEIRA (1,10 X 0,35 M), EM CONCRETO ARMADO, COM FCK DE 21 MPA                                                                                                                                                                                                                                                                                                                                                      </t>
  </si>
  <si>
    <t>301,36</t>
  </si>
  <si>
    <t xml:space="preserve">CONTAINER ALMOXARIFADO, DE *2,40* X *6,00* M, PADRAO SIMPLES, SEM REVESTIMENTO E SEM DIVISORIAS INTERNOS E SEM SANITARIO, PARA USO EM CANTEIRO DE OBRAS                                                                                                                                                                                                                                                                                                                                                   </t>
  </si>
  <si>
    <t xml:space="preserve">CONTATOR TRIPOLAR, CORRENTE DE *110* A, TENSAO NOMINAL DE *500* V, CATEGORIA AC-2 E AC-3                                                                                                                                                                                                                                                                                                                                                                                                                  </t>
  </si>
  <si>
    <t>2.515,79</t>
  </si>
  <si>
    <t xml:space="preserve">CONTATOR TRIPOLAR, CORRENTE DE *185* A, TENSAO NOMINAL DE *500* V, CATEGORIA AC-2 E AC-3                                                                                                                                                                                                                                                                                                                                                                                                                  </t>
  </si>
  <si>
    <t>3.762,67</t>
  </si>
  <si>
    <t xml:space="preserve">CONTATOR TRIPOLAR, CORRENTE DE *22* A, TENSAO NOMINAL DE *500* V, CATEGORIA AC-2 E AC-3                                                                                                                                                                                                                                                                                                                                                                                                                   </t>
  </si>
  <si>
    <t>262,81</t>
  </si>
  <si>
    <t xml:space="preserve">CONTATOR TRIPOLAR, CORRENTE DE *265* A, TENSAO NOMINAL DE *500* V, CATEGORIA AC-2 E AC-3                                                                                                                                                                                                                                                                                                                                                                                                                  </t>
  </si>
  <si>
    <t>8.490,79</t>
  </si>
  <si>
    <t xml:space="preserve">CONTATOR TRIPOLAR, CORRENTE DE *38* A, TENSAO NOMINAL DE *500* V, CATEGORIA AC-2 E AC-3                                                                                                                                                                                                                                                                                                                                                                                                                   </t>
  </si>
  <si>
    <t>553,61</t>
  </si>
  <si>
    <t xml:space="preserve">CONTATOR TRIPOLAR, CORRENTE DE *500* A, TENSAO NOMINAL DE *500* V, CATEGORIA AC-2 E AC-3                                                                                                                                                                                                                                                                                                                                                                                                                  </t>
  </si>
  <si>
    <t>20.664,57</t>
  </si>
  <si>
    <t xml:space="preserve">CONTATOR TRIPOLAR, CORRENTE DE *65* A, TENSAO NOMINAL DE *500* V, CATEGORIA AC-2 E AC-3                                                                                                                                                                                                                                                                                                                                                                                                                   </t>
  </si>
  <si>
    <t>1.058,21</t>
  </si>
  <si>
    <t xml:space="preserve">CONTATOR TRIPOLAR, CORRENTE DE 12 A, TENSAO NOMINAL DE *500* V, CATEGORIA AC-2 E AC-3                                                                                                                                                                                                                                                                                                                                                                                                                     </t>
  </si>
  <si>
    <t>214,33</t>
  </si>
  <si>
    <t xml:space="preserve">CONTATOR TRIPOLAR, CORRENTE DE 25 A, TENSAO NOMINAL DE *500* V, CATEGORIA AC-2 E AC-3                                                                                                                                                                                                                                                                                                                                                                                                                     </t>
  </si>
  <si>
    <t>294,83</t>
  </si>
  <si>
    <t xml:space="preserve">CONTATOR TRIPOLAR, CORRENTE DE 250 A, TENSAO NOMINAL DE *500* V, PARA ACIONAMENTO DE CAPACITORES                                                                                                                                                                                                                                                                                                                                                                                                          </t>
  </si>
  <si>
    <t>6.491,39</t>
  </si>
  <si>
    <t xml:space="preserve">CONTATOR TRIPOLAR, CORRENTE DE 300 A, TENSAO NOMINAL DE *500* V, CATEGORIA AC-2 E AC-3                                                                                                                                                                                                                                                                                                                                                                                                                    </t>
  </si>
  <si>
    <t>9.983,87</t>
  </si>
  <si>
    <t xml:space="preserve">CONTATOR TRIPOLAR, CORRENTE DE 32 A, TENSAO NOMINAL DE *500* V, CATEGORIA AC-2 E AC-3                                                                                                                                                                                                                                                                                                                                                                                                                     </t>
  </si>
  <si>
    <t>456,30</t>
  </si>
  <si>
    <t xml:space="preserve">CONTATOR TRIPOLAR, CORRENTE DE 400 A, TENSAO NOMINAL DE *500* V, CATEGORIA AC-2 E AC-3                                                                                                                                                                                                                                                                                                                                                                                                                    </t>
  </si>
  <si>
    <t>11.918,57</t>
  </si>
  <si>
    <t xml:space="preserve">CONTATOR TRIPOLAR, CORRENTE DE 45 A, TENSAO NOMINAL DE *500* V, CATEGORIA AC-2 E AC-3                                                                                                                                                                                                                                                                                                                                                                                                                     </t>
  </si>
  <si>
    <t>816,08</t>
  </si>
  <si>
    <t xml:space="preserve">CONTATOR TRIPOLAR, CORRENTE DE 630 A, TENSAO NOMINAL DE *500* V, CATEGORIA AC-2 E AC-3                                                                                                                                                                                                                                                                                                                                                                                                                    </t>
  </si>
  <si>
    <t>29.296,43</t>
  </si>
  <si>
    <t xml:space="preserve">CONTATOR TRIPOLAR, CORRENTE DE 75 A, TENSAO NOMINAL DE *500* V, CATEGORIA AC-2 E AC-3                                                                                                                                                                                                                                                                                                                                                                                                                     </t>
  </si>
  <si>
    <t>1.532,47</t>
  </si>
  <si>
    <t xml:space="preserve">CONTATOR TRIPOLAR, CORRENTE DE 9 A, TENSAO NOMINAL DE *500* V, CATEGORIA AC-2 E AC-3                                                                                                                                                                                                                                                                                                                                                                                                                      </t>
  </si>
  <si>
    <t xml:space="preserve">CONTATOR TRIPOLAR, CORRENTE DE 95 A, TENSAO NOMINAL DE *500* V, CATEGORIA AC-2 E AC-3                                                                                                                                                                                                                                                                                                                                                                                                                     </t>
  </si>
  <si>
    <t>2.105,83</t>
  </si>
  <si>
    <t xml:space="preserve">CONTRA-PORCA SEXTAVADA, DIAMETRO NOMINAL 1 3/8", ALTURA 35 MM                                                                                                                                                                                                                                                                                                                                                                                                                                             </t>
  </si>
  <si>
    <t xml:space="preserve">COORDENADOR / GERENTE DE OBRA                                                                                                                                                                                                                                                                                                                                                                                                                                                                             </t>
  </si>
  <si>
    <t>134,66</t>
  </si>
  <si>
    <t xml:space="preserve">COORDENADOR / GERENTE DE OBRA (MENSALISTA)                                                                                                                                                                                                                                                                                                                                                                                                                                                                </t>
  </si>
  <si>
    <t>23.667,95</t>
  </si>
  <si>
    <t xml:space="preserve">CORDA DE POLIAMIDA 12 MM TIPO BOMBEIRO, PARA TRABALHO EM ALTURA                                                                                                                                                                                                                                                                                                                                                                                                                                           </t>
  </si>
  <si>
    <t>606,95</t>
  </si>
  <si>
    <t xml:space="preserve">CORDAO DE COBRE, FLEXIVEL, TORCIDO, CLASSE 4 OU 5, ISOLACAO EM PVC/D, 300 V, 2 CONDUTORES DE 0,5 MM2                                                                                                                                                                                                                                                                                                                                                                                                      </t>
  </si>
  <si>
    <t xml:space="preserve">CORDAO DE COBRE, FLEXIVEL, TORCIDO, CLASSE 4 OU 5, ISOLACAO EM PVC/D, 300 V, 2 CONDUTORES DE 0,75 MM2                                                                                                                                                                                                                                                                                                                                                                                                     </t>
  </si>
  <si>
    <t xml:space="preserve">CORDAO DE COBRE, FLEXIVEL, TORCIDO, CLASSE 4 OU 5, ISOLACAO EM PVC/D, 300 V, 2 CONDUTORES DE 1,0 MM2                                                                                                                                                                                                                                                                                                                                                                                                      </t>
  </si>
  <si>
    <t xml:space="preserve">CORDAO DE COBRE, FLEXIVEL, TORCIDO, CLASSE 4 OU 5, ISOLACAO EM PVC/D, 300 V, 2 CONDUTORES DE 1,5 MM2                                                                                                                                                                                                                                                                                                                                                                                                      </t>
  </si>
  <si>
    <t xml:space="preserve">CORDAO DE COBRE, FLEXIVEL, TORCIDO, CLASSE 4 OU 5, ISOLACAO EM PVC/D, 300 V, 2 CONDUTORES DE 2,5 MM2                                                                                                                                                                                                                                                                                                                                                                                                      </t>
  </si>
  <si>
    <t xml:space="preserve">CORDAO DE COBRE, FLEXIVEL, TORCIDO, CLASSE 4 OU 5, ISOLACAO EM PVC/D, 300 V, 2 CONDUTORES DE 4 MM2                                                                                                                                                                                                                                                                                                                                                                                                        </t>
  </si>
  <si>
    <t xml:space="preserve">CORDEL DETONANTE, NP 05 G/M                                                                                                                                                                                                                                                                                                                                                                                                                                                                               </t>
  </si>
  <si>
    <t xml:space="preserve">CORDEL DETONANTE, NP 10 G/M                                                                                                                                                                                                                                                                                                                                                                                                                                                                               </t>
  </si>
  <si>
    <t xml:space="preserve">CORRENTE DE ELO CURTO COMUM, SOLDADA, GALVANIZADA, ESPESSURA DO ELO = 1/2" (12,5 MM)                                                                                                                                                                                                                                                                                                                                                                                                                      </t>
  </si>
  <si>
    <t>28,43</t>
  </si>
  <si>
    <t xml:space="preserve">CORTADEIRA DE PISO DE CONCRETO E ASFALTO, PARA DISCO PADRAO DE DIAMETRO 350 MM (14") OU 450 MM (18") , MOTOR A GASOLINA, POTENCIA 13 HP, SEM DISCO                                                                                                                                                                                                                                                                                                                                                        </t>
  </si>
  <si>
    <t>12.848,47</t>
  </si>
  <si>
    <t xml:space="preserve">CORTADEIRA HIDRAULICA DE VERGALHAO, PARA ACO DE DIAMETRO ATE 50 MM, MOTOR ELETRICO TRIFASICO, POTENCIA DE 5,5 HP A 7,5 HP                                                                                                                                                                                                                                                                                                                                                                                 </t>
  </si>
  <si>
    <t>105.918,40</t>
  </si>
  <si>
    <t xml:space="preserve">COTOVELO BRONZE/LATAO (REF 707-3) SEM ANEL DE SOLDA, BOLSA X ROSCA F, 15MM X 1/2"                                                                                                                                                                                                                                                                                                                                                                                                                         </t>
  </si>
  <si>
    <t xml:space="preserve">COTOVELO BRONZE/LATAO (REF 707-3) SEM ANEL DE SOLDA, BOLSA X ROSCA F, 22MM X 1/2"                                                                                                                                                                                                                                                                                                                                                                                                                         </t>
  </si>
  <si>
    <t xml:space="preserve">COTOVELO BRONZE/LATAO (REF 707-3) SEM ANEL DE SOLDA, BOLSA X ROSCA F, 22MM X 3/4"                                                                                                                                                                                                                                                                                                                                                                                                                         </t>
  </si>
  <si>
    <t xml:space="preserve">COTOVELO DE COBRE 90 GRAUS (REF 607) SEM ANEL DE SOLDA, BOLSA X BOLSA, 104 MM                                                                                                                                                                                                                                                                                                                                                                                                                             </t>
  </si>
  <si>
    <t>875,54</t>
  </si>
  <si>
    <t xml:space="preserve">COTOVELO DE COBRE 90 GRAUS (REF 607) SEM ANEL DE SOLDA, BOLSA X BOLSA, 15 MM                                                                                                                                                                                                                                                                                                                                                                                                                              </t>
  </si>
  <si>
    <t xml:space="preserve">COTOVELO DE COBRE 90 GRAUS (REF 607) SEM ANEL DE SOLDA, BOLSA X BOLSA, 22 MM                                                                                                                                                                                                                                                                                                                                                                                                                              </t>
  </si>
  <si>
    <t>12,90</t>
  </si>
  <si>
    <t xml:space="preserve">COTOVELO DE COBRE 90 GRAUS (REF 607) SEM ANEL DE SOLDA, BOLSA X BOLSA, 28 MM                                                                                                                                                                                                                                                                                                                                                                                                                              </t>
  </si>
  <si>
    <t xml:space="preserve">COTOVELO DE COBRE 90 GRAUS (REF 607) SEM ANEL DE SOLDA, BOLSA X BOLSA, 35 MM                                                                                                                                                                                                                                                                                                                                                                                                                              </t>
  </si>
  <si>
    <t>43,56</t>
  </si>
  <si>
    <t xml:space="preserve">COTOVELO DE COBRE 90 GRAUS (REF 607) SEM ANEL DE SOLDA, BOLSA X BOLSA, 42 MM                                                                                                                                                                                                                                                                                                                                                                                                                              </t>
  </si>
  <si>
    <t>66,85</t>
  </si>
  <si>
    <t xml:space="preserve">COTOVELO DE COBRE 90 GRAUS (REF 607) SEM ANEL DE SOLDA, BOLSA X BOLSA, 54 MM                                                                                                                                                                                                                                                                                                                                                                                                                              </t>
  </si>
  <si>
    <t>106,12</t>
  </si>
  <si>
    <t xml:space="preserve">COTOVELO DE COBRE 90 GRAUS (REF 607) SEM ANEL DE SOLDA, BOLSA X BOLSA, 66 MM                                                                                                                                                                                                                                                                                                                                                                                                                              </t>
  </si>
  <si>
    <t>369,50</t>
  </si>
  <si>
    <t xml:space="preserve">COTOVELO DE COBRE 90 GRAUS (REF 607) SEM ANEL DE SOLDA, BOLSA X BOLSA, 79 MM                                                                                                                                                                                                                                                                                                                                                                                                                              </t>
  </si>
  <si>
    <t>354,33</t>
  </si>
  <si>
    <t xml:space="preserve">COTOVELO DE REDUCAO 90 GRAUS DE FERRO GALVANIZADO, COM ROSCA BSP, DE 1 1/2" X 1"                                                                                                                                                                                                                                                                                                                                                                                                                          </t>
  </si>
  <si>
    <t xml:space="preserve">COTOVELO DE REDUCAO 90 GRAUS DE FERRO GALVANIZADO, COM ROSCA BSP, DE 1 1/2" X 3/4"                                                                                                                                                                                                                                                                                                                                                                                                                        </t>
  </si>
  <si>
    <t xml:space="preserve">COTOVELO DE REDUCAO 90 GRAUS DE FERRO GALVANIZADO, COM ROSCA BSP, DE 1 1/4" X 1"                                                                                                                                                                                                                                                                                                                                                                                                                          </t>
  </si>
  <si>
    <t xml:space="preserve">COTOVELO DE REDUCAO 90 GRAUS DE FERRO GALVANIZADO, COM ROSCA BSP, DE 1" X 1/2"                                                                                                                                                                                                                                                                                                                                                                                                                            </t>
  </si>
  <si>
    <t xml:space="preserve">COTOVELO DE REDUCAO 90 GRAUS DE FERRO GALVANIZADO, COM ROSCA BSP, DE 1" X 3/4"                                                                                                                                                                                                                                                                                                                                                                                                                            </t>
  </si>
  <si>
    <t xml:space="preserve">COTOVELO DE REDUCAO 90 GRAUS DE FERRO GALVANIZADO, COM ROSCA BSP, DE 2 1/2" X 2"                                                                                                                                                                                                                                                                                                                                                                                                                          </t>
  </si>
  <si>
    <t xml:space="preserve">COTOVELO DE REDUCAO 90 GRAUS DE FERRO GALVANIZADO, COM ROSCA BSP, DE 2" X 1 1/2"                                                                                                                                                                                                                                                                                                                                                                                                                          </t>
  </si>
  <si>
    <t xml:space="preserve">COTOVELO DE REDUCAO 90 GRAUS DE FERRO GALVANIZADO, COM ROSCA BSP, DE 3/4" X 1/2"                                                                                                                                                                                                                                                                                                                                                                                                                          </t>
  </si>
  <si>
    <t xml:space="preserve">COTOVELO 45 GRAUS DE FERRO GALVANIZADO, COM ROSCA BSP, DE 1 1/2"                                                                                                                                                                                                                                                                                                                                                                                                                                          </t>
  </si>
  <si>
    <t xml:space="preserve">COTOVELO 45 GRAUS DE FERRO GALVANIZADO, COM ROSCA BSP, DE 1 1/4"                                                                                                                                                                                                                                                                                                                                                                                                                                          </t>
  </si>
  <si>
    <t xml:space="preserve">COTOVELO 45 GRAUS DE FERRO GALVANIZADO, COM ROSCA BSP, DE 1/2"                                                                                                                                                                                                                                                                                                                                                                                                                                            </t>
  </si>
  <si>
    <t xml:space="preserve">COTOVELO 45 GRAUS DE FERRO GALVANIZADO, COM ROSCA BSP, DE 1"                                                                                                                                                                                                                                                                                                                                                                                                                                              </t>
  </si>
  <si>
    <t xml:space="preserve">COTOVELO 45 GRAUS DE FERRO GALVANIZADO, COM ROSCA BSP, DE 2 1/2"                                                                                                                                                                                                                                                                                                                                                                                                                                          </t>
  </si>
  <si>
    <t xml:space="preserve">COTOVELO 45 GRAUS DE FERRO GALVANIZADO, COM ROSCA BSP, DE 2"                                                                                                                                                                                                                                                                                                                                                                                                                                              </t>
  </si>
  <si>
    <t xml:space="preserve">COTOVELO 45 GRAUS DE FERRO GALVANIZADO, COM ROSCA BSP, DE 3/4"                                                                                                                                                                                                                                                                                                                                                                                                                                            </t>
  </si>
  <si>
    <t xml:space="preserve">COTOVELO 45 GRAUS DE FERRO GALVANIZADO, COM ROSCA BSP, DE 3"                                                                                                                                                                                                                                                                                                                                                                                                                                              </t>
  </si>
  <si>
    <t xml:space="preserve">COTOVELO 45 GRAUS DE FERRO GALVANIZADO, COM ROSCA BSP, DE 4"                                                                                                                                                                                                                                                                                                                                                                                                                                              </t>
  </si>
  <si>
    <t xml:space="preserve">COTOVELO 45 GRAUS, PEAD PE 100, DE 125 MM, PARA ELETROFUSAO                                                                                                                                                                                                                                                                                                                                                                                                                                               </t>
  </si>
  <si>
    <t>303,69</t>
  </si>
  <si>
    <t xml:space="preserve">COTOVELO 45 GRAUS, PEAD PE 100, DE 200 MM, PARA ELETROFUSAO                                                                                                                                                                                                                                                                                                                                                                                                                                               </t>
  </si>
  <si>
    <t>1.985,50</t>
  </si>
  <si>
    <t xml:space="preserve">COTOVELO 45 GRAUS, PEAD PE 100, DE 32 MM, PARA ELETROFUSAO                                                                                                                                                                                                                                                                                                                                                                                                                                                </t>
  </si>
  <si>
    <t>35,69</t>
  </si>
  <si>
    <t xml:space="preserve">COTOVELO 45 GRAUS, PEAD PE 100, DE 40 MM, PARA ELETROFUSAO                                                                                                                                                                                                                                                                                                                                                                                                                                                </t>
  </si>
  <si>
    <t xml:space="preserve">COTOVELO 45 GRAUS, PEAD PE 100, DE 63 MM, PARA ELETROFUSAO                                                                                                                                                                                                                                                                                                                                                                                                                                                </t>
  </si>
  <si>
    <t>60,92</t>
  </si>
  <si>
    <t xml:space="preserve">COTOVELO 90 GRAUS DE FERRO GALVANIZADO, COM ROSCA BSP MACHO/FEMEA, DE 1 1/2"                                                                                                                                                                                                                                                                                                                                                                                                                              </t>
  </si>
  <si>
    <t xml:space="preserve">COTOVELO 90 GRAUS DE FERRO GALVANIZADO, COM ROSCA BSP MACHO/FEMEA, DE 1 1/4"                                                                                                                                                                                                                                                                                                                                                                                                                              </t>
  </si>
  <si>
    <t xml:space="preserve">COTOVELO 90 GRAUS DE FERRO GALVANIZADO, COM ROSCA BSP MACHO/FEMEA, DE 1/2"                                                                                                                                                                                                                                                                                                                                                                                                                                </t>
  </si>
  <si>
    <t xml:space="preserve">COTOVELO 90 GRAUS DE FERRO GALVANIZADO, COM ROSCA BSP MACHO/FEMEA, DE 1"                                                                                                                                                                                                                                                                                                                                                                                                                                  </t>
  </si>
  <si>
    <t xml:space="preserve">COTOVELO 90 GRAUS DE FERRO GALVANIZADO, COM ROSCA BSP MACHO/FEMEA, DE 2 1/2"                                                                                                                                                                                                                                                                                                                                                                                                                              </t>
  </si>
  <si>
    <t xml:space="preserve">COTOVELO 90 GRAUS DE FERRO GALVANIZADO, COM ROSCA BSP MACHO/FEMEA, DE 2"                                                                                                                                                                                                                                                                                                                                                                                                                                  </t>
  </si>
  <si>
    <t xml:space="preserve">COTOVELO 90 GRAUS DE FERRO GALVANIZADO, COM ROSCA BSP MACHO/FEMEA, DE 3/4"                                                                                                                                                                                                                                                                                                                                                                                                                                </t>
  </si>
  <si>
    <t xml:space="preserve">COTOVELO 90 GRAUS DE FERRO GALVANIZADO, COM ROSCA BSP MACHO/FEMEA, DE 3"                                                                                                                                                                                                                                                                                                                                                                                                                                  </t>
  </si>
  <si>
    <t xml:space="preserve">COTOVELO 90 GRAUS DE FERRO GALVANIZADO, COM ROSCA BSP, DE 1 1/2"                                                                                                                                                                                                                                                                                                                                                                                                                                          </t>
  </si>
  <si>
    <t xml:space="preserve">COTOVELO 90 GRAUS DE FERRO GALVANIZADO, COM ROSCA BSP, DE 1 1/4"                                                                                                                                                                                                                                                                                                                                                                                                                                          </t>
  </si>
  <si>
    <t xml:space="preserve">COTOVELO 90 GRAUS DE FERRO GALVANIZADO, COM ROSCA BSP, DE 1/2"                                                                                                                                                                                                                                                                                                                                                                                                                                            </t>
  </si>
  <si>
    <t xml:space="preserve">COTOVELO 90 GRAUS DE FERRO GALVANIZADO, COM ROSCA BSP, DE 1"                                                                                                                                                                                                                                                                                                                                                                                                                                              </t>
  </si>
  <si>
    <t xml:space="preserve">COTOVELO 90 GRAUS DE FERRO GALVANIZADO, COM ROSCA BSP, DE 2 1/2"                                                                                                                                                                                                                                                                                                                                                                                                                                          </t>
  </si>
  <si>
    <t xml:space="preserve">COTOVELO 90 GRAUS DE FERRO GALVANIZADO, COM ROSCA BSP, DE 2"                                                                                                                                                                                                                                                                                                                                                                                                                                              </t>
  </si>
  <si>
    <t xml:space="preserve">COTOVELO 90 GRAUS DE FERRO GALVANIZADO, COM ROSCA BSP, DE 3/4"                                                                                                                                                                                                                                                                                                                                                                                                                                            </t>
  </si>
  <si>
    <t xml:space="preserve">COTOVELO 90 GRAUS DE FERRO GALVANIZADO, COM ROSCA BSP, DE 3"                                                                                                                                                                                                                                                                                                                                                                                                                                              </t>
  </si>
  <si>
    <t xml:space="preserve">COTOVELO 90 GRAUS DE FERRO GALVANIZADO, COM ROSCA BSP, DE 4"                                                                                                                                                                                                                                                                                                                                                                                                                                              </t>
  </si>
  <si>
    <t xml:space="preserve">COTOVELO 90 GRAUS DE FERRO GALVANIZADO, COM ROSCA BSP, DE 5"                                                                                                                                                                                                                                                                                                                                                                                                                                              </t>
  </si>
  <si>
    <t xml:space="preserve">COTOVELO 90 GRAUS DE FERRO GALVANIZADO, COM ROSCA BSP, DE 6"                                                                                                                                                                                                                                                                                                                                                                                                                                              </t>
  </si>
  <si>
    <t xml:space="preserve">COTOVELO 90 GRAUS, PEAD PE 100, DE 125 MM, PARA ELETROFUSAO                                                                                                                                                                                                                                                                                                                                                                                                                                               </t>
  </si>
  <si>
    <t xml:space="preserve">COTOVELO 90 GRAUS, PEAD PE 100, DE 20 MM, PARA ELETROFUSAO                                                                                                                                                                                                                                                                                                                                                                                                                                                </t>
  </si>
  <si>
    <t>38,06</t>
  </si>
  <si>
    <t xml:space="preserve">COTOVELO 90 GRAUS, PEAD PE 100, DE 200 MM, PARA ELETROFUSAO                                                                                                                                                                                                                                                                                                                                                                                                                                               </t>
  </si>
  <si>
    <t>2.831,59</t>
  </si>
  <si>
    <t xml:space="preserve">COTOVELO 90 GRAUS, PEAD PE 100, DE 32 MM, PARA ELETROFUSAO                                                                                                                                                                                                                                                                                                                                                                                                                                                </t>
  </si>
  <si>
    <t>51,63</t>
  </si>
  <si>
    <t xml:space="preserve">COTOVELO 90 GRAUS, PEAD PE 100, DE 63 MM, PARA ELETROFUSAO                                                                                                                                                                                                                                                                                                                                                                                                                                                </t>
  </si>
  <si>
    <t>95,23</t>
  </si>
  <si>
    <t xml:space="preserve">COTOVELO/JOELHO COM ADAPTADOR, 90 GRAUS, EM POLIPROPILENO, PN 16, PARA TUBOS PEAD, 20 MM X 1/2" - LIGACAO PREDIAL DE AGUA                                                                                                                                                                                                                                                                                                                                                                                 </t>
  </si>
  <si>
    <t xml:space="preserve">COTOVELO/JOELHO COM ADAPTADOR, 90 GRAUS, EM POLIPROPILENO, PN 16, PARA TUBOS PEAD, 20 MM X 3/4" - LIGACAO PREDIAL DE AGUA                                                                                                                                                                                                                                                                                                                                                                                 </t>
  </si>
  <si>
    <t xml:space="preserve">COTOVELO/JOELHO COM ADAPTADOR, 90 GRAUS, EM POLIPROPILENO, PN 16, PARA TUBOS PEAD, 32 MM X 1" - LIGACAO PREDIAL DE AGUA                                                                                                                                                                                                                                                                                                                                                                                   </t>
  </si>
  <si>
    <t xml:space="preserve">COTOVELO/JOELHO 90 GRAUS, EM POLIPROPILENO, PN 16, PARA TUBOS PEAD, 20 X 20 MM - LIGACAO PREDIAL DE AGUA                                                                                                                                                                                                                                                                                                                                                                                                  </t>
  </si>
  <si>
    <t xml:space="preserve">COTOVELO/JOELHO 90 GRAUS, EM POLIPROPILENO, PN 16, PARA TUBOS PEAD, 32 X 32 MM - LIGACAO PREDIAL DE AGUA                                                                                                                                                                                                                                                                                                                                                                                                  </t>
  </si>
  <si>
    <t xml:space="preserve">CREMONA RETANGULAR INJETADA LISA COM CHAVE, COM CASTANHA / ALCA, EM LATAO, COM ACABAMENTO CROMADO, DE SOBREPOR / EMBUTIR                                                                                                                                                                                                                                                                                                                                                                                  </t>
  </si>
  <si>
    <t>132,20</t>
  </si>
  <si>
    <t xml:space="preserve">CREMONA RETANGULAR INJETADA LISA, COM CASTANHA / ALCA, EM LATAO, COM ACABAMENTO CROMADO, DE SOBREPOR / EMBUTIR                                                                                                                                                                                                                                                                                                                                                                                            </t>
  </si>
  <si>
    <t xml:space="preserve">CRUZETA DE CONCRETO LEVE, COMP. 2000 MM SECAO, 90 X 90 MM                                                                                                                                                                                                                                                                                                                                                                                                                                                 </t>
  </si>
  <si>
    <t>94,47</t>
  </si>
  <si>
    <t xml:space="preserve">CRUZETA DE FERRO GALVANIZADO, COM ROSCA BSP, DE 1 1/2"                                                                                                                                                                                                                                                                                                                                                                                                                                                    </t>
  </si>
  <si>
    <t xml:space="preserve">CRUZETA DE FERRO GALVANIZADO, COM ROSCA BSP, DE 1 1/4"                                                                                                                                                                                                                                                                                                                                                                                                                                                    </t>
  </si>
  <si>
    <t xml:space="preserve">CRUZETA DE FERRO GALVANIZADO, COM ROSCA BSP, DE 1/2"                                                                                                                                                                                                                                                                                                                                                                                                                                                      </t>
  </si>
  <si>
    <t xml:space="preserve">CRUZETA DE FERRO GALVANIZADO, COM ROSCA BSP, DE 1"                                                                                                                                                                                                                                                                                                                                                                                                                                                        </t>
  </si>
  <si>
    <t xml:space="preserve">CRUZETA DE FERRO GALVANIZADO, COM ROSCA BSP, DE 2 1/2"                                                                                                                                                                                                                                                                                                                                                                                                                                                    </t>
  </si>
  <si>
    <t xml:space="preserve">CRUZETA DE FERRO GALVANIZADO, COM ROSCA BSP, DE 2"                                                                                                                                                                                                                                                                                                                                                                                                                                                        </t>
  </si>
  <si>
    <t xml:space="preserve">CRUZETA DE FERRO GALVANIZADO, COM ROSCA BSP, DE 3/4"                                                                                                                                                                                                                                                                                                                                                                                                                                                      </t>
  </si>
  <si>
    <t xml:space="preserve">CRUZETA DE FERRO GALVANIZADO, COM ROSCA BSP, DE 3"                                                                                                                                                                                                                                                                                                                                                                                                                                                        </t>
  </si>
  <si>
    <t xml:space="preserve">CRUZETA DE MADEIRA TRATADA, *90 X 115 X 2400* MM, EM EUCALIPTO OU EQUIVALENTE DA REGIAO                                                                                                                                                                                                                                                                                                                                                                                                                   </t>
  </si>
  <si>
    <t>99,12</t>
  </si>
  <si>
    <t xml:space="preserve">CUBA ACO INOX (AISI 304) DE EMBUTIR COM VALVULA DE 3 1/2 ", DE *56 X 33 X 12* CM                                                                                                                                                                                                                                                                                                                                                                                                                          </t>
  </si>
  <si>
    <t>178,68</t>
  </si>
  <si>
    <t xml:space="preserve">CUBA ACO INOX (AISI 304) DE EMBUTIR COM VALVULA 3 1/2 ", DE *40 X 34 X 12* CM                                                                                                                                                                                                                                                                                                                                                                                                                             </t>
  </si>
  <si>
    <t>123,76</t>
  </si>
  <si>
    <t xml:space="preserve">CUBA ACO INOX (AISI 304) DE EMBUTIR COM VALVULA 3 1/2 ", DE *46 X 30 X 12* CM                                                                                                                                                                                                                                                                                                                                                                                                                             </t>
  </si>
  <si>
    <t xml:space="preserve">CUMEEIRA ARTICULADA (ABA INFERIOR) PARA TELHA ONDULADA DE FIBROCIMENTO E = 4 MM, ABA *330* MM, COMPRIMENTO 500 MM (SEM AMIANTO)                                                                                                                                                                                                                                                                                                                                                                           </t>
  </si>
  <si>
    <t xml:space="preserve">CUMEEIRA ARTICULADA (ABA INTERNA INFERIOR OU EXTERNA SUPERIOR) PARA TELHA ESTRUTURAL DE FIBROCIMENTO, 1 ABA, E = 6 MM (SEM AMIANTO)                                                                                                                                                                                                                                                                                                                                                                       </t>
  </si>
  <si>
    <t xml:space="preserve">CUMEEIRA ARTICULADA (ABA SUPERIOR) PARA TELHA ONDULADA DE FIBROCIMENTO E = 4 MM, ABA *330* MM, COMPRIMENTO 500 MM (SEM AMIANTO)                                                                                                                                                                                                                                                                                                                                                                           </t>
  </si>
  <si>
    <t xml:space="preserve">CUMEEIRA ARTICULADA (PAR) PARA TELHA ONDULADA DE FIBROCIMENTO, E = 6 MM, ABA 350 MM, COMPRIMENTO 1100 MM (SEM AMIANTO)                                                                                                                                                                                                                                                                                                                                                                                    </t>
  </si>
  <si>
    <t>29,57</t>
  </si>
  <si>
    <t xml:space="preserve">CUMEEIRA NORMAL PARA TELHA ESTRUTURAL DE FIBROCIMENTO 1 ABA, E = 6 MM, COMPRIMENTO 608 MM (SEM AMIANTO)                                                                                                                                                                                                                                                                                                                                                                                                   </t>
  </si>
  <si>
    <t xml:space="preserve">CUMEEIRA NORMAL PARA TELHA ESTRUTURAL DE FIBROCIMENTO 2 ABAS, E = 6 MM, DE 1050 X 935 MM (SEM AMIANTO)                                                                                                                                                                                                                                                                                                                                                                                                    </t>
  </si>
  <si>
    <t xml:space="preserve">CUMEEIRA NORMAL PARA TELHA ONDULADA DE FIBROCIMENTO, E = 6 MM, ABA 300 MM, COMPRIMENTO 1100 MM (SEM AMIANTO)                                                                                                                                                                                                                                                                                                                                                                                              </t>
  </si>
  <si>
    <t xml:space="preserve">CUMEEIRA PARA TELHA CERAMICA, COMPRIMENTO DE *41* CM, RENDIMENTO DE *3* TELHAS/M                                                                                                                                                                                                                                                                                                                                                                                                                          </t>
  </si>
  <si>
    <t xml:space="preserve">CUMEEIRA PARA TELHA DE CONCRETO, PARA 2 AGUAS DE TELHADO, COR CINZA, RENDIMENTO DE *3* TELHAS/M                                                                                                                                                                                                                                                                                                                                                                                                           </t>
  </si>
  <si>
    <t xml:space="preserve">CUMEEIRA SHED PARA TELHA ONDULADA DE FIBROCIMENTO, E = 6 MM, ABA 280 MM, COMPRIMENTO 1100 MM (SEM AMIANTO)                                                                                                                                                                                                                                                                                                                                                                                                </t>
  </si>
  <si>
    <t xml:space="preserve">CUMEEIRA UNIVERSAL PARA TELHA ONDULADA DE FIBROCIMENTO, E = 6 MM, ABA 210 MM, COMPRIMENTO 1100 MM (SEM AMIANTO)                                                                                                                                                                                                                                                                                                                                                                                           </t>
  </si>
  <si>
    <t xml:space="preserve">CURVA CPVC, 90 GRAUS, SOLDAVEL, 22 MM, PARA AGUA QUENTE                                                                                                                                                                                                                                                                                                                                                                                                                                                   </t>
  </si>
  <si>
    <t xml:space="preserve">CURVA CPVC, 90 GRAUS, SOLDAVEL, 28 MM, PARA AGUA QUENTE                                                                                                                                                                                                                                                                                                                                                                                                                                                   </t>
  </si>
  <si>
    <t xml:space="preserve">CURVA CPVC, 90 GRAUS, SOLDAVEL,15 MM, PARA AGUA QUENTE                                                                                                                                                                                                                                                                                                                                                                                                                                                    </t>
  </si>
  <si>
    <t xml:space="preserve">CURVA CURTA PVC, PB, JE, 45 GRAUS, DN 100 MM, PARA REDE COLETORA ESGOTO (NBR 10569)                                                                                                                                                                                                                                                                                                                                                                                                                       </t>
  </si>
  <si>
    <t xml:space="preserve">CURVA CURTA PVC, PB, JE, 90 GRAUS, DN 100 MM, PARA REDE COLETORA ESGOTO (NBR 10569)                                                                                                                                                                                                                                                                                                                                                                                                                       </t>
  </si>
  <si>
    <t xml:space="preserve">CURVA DE PVC 45 GRAUS, SOLDAVEL, 110 MM, PARA AGUA FRIA PREDIAL (NBR 5648)                                                                                                                                                                                                                                                                                                                                                                                                                                </t>
  </si>
  <si>
    <t>212,46</t>
  </si>
  <si>
    <t xml:space="preserve">CURVA DE PVC 45 GRAUS, SOLDAVEL, 20 MM, PARA AGUA FRIA PREDIAL (NBR 5648)                                                                                                                                                                                                                                                                                                                                                                                                                                 </t>
  </si>
  <si>
    <t xml:space="preserve">CURVA DE PVC 45 GRAUS, SOLDAVEL, 25 MM, PARA AGUA FRIA PREDIAL (NBR 5648)                                                                                                                                                                                                                                                                                                                                                                                                                                 </t>
  </si>
  <si>
    <t xml:space="preserve">CURVA DE PVC 45 GRAUS, SOLDAVEL, 32 MM, PARA AGUA FRIA PREDIAL (NBR 5648)                                                                                                                                                                                                                                                                                                                                                                                                                                 </t>
  </si>
  <si>
    <t xml:space="preserve">CURVA DE PVC 45 GRAUS, SOLDAVEL, 40 MM, PARA AGUA FRIA PREDIAL (NBR 5648)                                                                                                                                                                                                                                                                                                                                                                                                                                 </t>
  </si>
  <si>
    <t>9,93</t>
  </si>
  <si>
    <t xml:space="preserve">CURVA DE PVC 45 GRAUS, SOLDAVEL, 50 MM, PARA AGUA FRIA PREDIAL (NBR 5648)                                                                                                                                                                                                                                                                                                                                                                                                                                 </t>
  </si>
  <si>
    <t xml:space="preserve">CURVA DE PVC 45 GRAUS, SOLDAVEL, 60 MM, PARA AGUA FRIA PREDIAL (NBR 5648)                                                                                                                                                                                                                                                                                                                                                                                                                                 </t>
  </si>
  <si>
    <t xml:space="preserve">CURVA DE PVC 45 GRAUS, SOLDAVEL, 75 MM, PARA AGUA FRIA PREDIAL (NBR 5648)                                                                                                                                                                                                                                                                                                                                                                                                                                 </t>
  </si>
  <si>
    <t xml:space="preserve">CURVA DE PVC 45 GRAUS, SOLDAVEL, 85 MM, PARA AGUA FRIA PREDIAL (NBR 5648)                                                                                                                                                                                                                                                                                                                                                                                                                                 </t>
  </si>
  <si>
    <t>86,08</t>
  </si>
  <si>
    <t xml:space="preserve">CURVA DE PVC 90 GRAUS, SOLDAVEL, 110 MM, PARA AGUA FRIA PREDIAL (NBR 5648)                                                                                                                                                                                                                                                                                                                                                                                                                                </t>
  </si>
  <si>
    <t>281,63</t>
  </si>
  <si>
    <t xml:space="preserve">CURVA DE PVC 90 GRAUS, SOLDAVEL, 20 MM, PARA AGUA FRIA PREDIAL (NBR 5648)                                                                                                                                                                                                                                                                                                                                                                                                                                 </t>
  </si>
  <si>
    <t xml:space="preserve">CURVA DE PVC 90 GRAUS, SOLDAVEL, 25 MM, PARA AGUA FRIA PREDIAL (NBR 5648)                                                                                                                                                                                                                                                                                                                                                                                                                                 </t>
  </si>
  <si>
    <t xml:space="preserve">CURVA DE PVC 90 GRAUS, SOLDAVEL, 32 MM, PARA AGUA FRIA PREDIAL (NBR 5648)                                                                                                                                                                                                                                                                                                                                                                                                                                 </t>
  </si>
  <si>
    <t xml:space="preserve">CURVA DE PVC 90 GRAUS, SOLDAVEL, 40 MM, PARA AGUA FRIA PREDIAL (NBR 5648)                                                                                                                                                                                                                                                                                                                                                                                                                                 </t>
  </si>
  <si>
    <t xml:space="preserve">CURVA DE PVC 90 GRAUS, SOLDAVEL, 50 MM, PARA AGUA FRIA PREDIAL (NBR 5648)                                                                                                                                                                                                                                                                                                                                                                                                                                 </t>
  </si>
  <si>
    <t xml:space="preserve">CURVA DE PVC 90 GRAUS, SOLDAVEL, 60 MM, PARA AGUA FRIA PREDIAL (NBR 5648)                                                                                                                                                                                                                                                                                                                                                                                                                                 </t>
  </si>
  <si>
    <t>58,40</t>
  </si>
  <si>
    <t xml:space="preserve">CURVA DE PVC 90 GRAUS, SOLDAVEL, 75 MM, PARA AGUA FRIA PREDIAL (NBR 5648)                                                                                                                                                                                                                                                                                                                                                                                                                                 </t>
  </si>
  <si>
    <t>83,02</t>
  </si>
  <si>
    <t xml:space="preserve">CURVA DE PVC 90 GRAUS, SOLDAVEL, 85 MM, PARA AGUA FRIA PREDIAL (NBR 5648)                                                                                                                                                                                                                                                                                                                                                                                                                                 </t>
  </si>
  <si>
    <t>119,30</t>
  </si>
  <si>
    <t xml:space="preserve">CURVA DE PVC, 45 GRAUS, SERIE R, DN 100 MM, PARA ESGOTO OU AGUAS PLUVIAIS PREDIAIS                                                                                                                                                                                                                                                                                                                                                                                                                        </t>
  </si>
  <si>
    <t xml:space="preserve">CURVA DE PVC, 90 GRAUS, SERIE R, DN 100 MM, PARA ESGOTO OU AGUAS PLUVIAIS PREDIAIS                                                                                                                                                                                                                                                                                                                                                                                                                        </t>
  </si>
  <si>
    <t>76,51</t>
  </si>
  <si>
    <t xml:space="preserve">CURVA DE PVC, 90 GRAUS, SERIE R, DN 50 MM, PARA ESGOTO OU AGUAS PLUVIAIS PREDIAIS                                                                                                                                                                                                                                                                                                                                                                                                                         </t>
  </si>
  <si>
    <t>36,12</t>
  </si>
  <si>
    <t xml:space="preserve">CURVA DE PVC, 90 GRAUS, SERIE R, DN 75 MM, PARA ESGOTO OU AGUAS PLUVIAIS PREDIAIS                                                                                                                                                                                                                                                                                                                                                                                                                         </t>
  </si>
  <si>
    <t>52,80</t>
  </si>
  <si>
    <t xml:space="preserve">CURVA DE TRANSPOSICAO BRONZE/LATAO (REF 736) SEM ANEL DE SOLDA, BOLSA X BOLSA, 15 MM                                                                                                                                                                                                                                                                                                                                                                                                                      </t>
  </si>
  <si>
    <t xml:space="preserve">CURVA DE TRANSPOSICAO BRONZE/LATAO (REF 736) SEM ANEL DE SOLDA, BOLSA X BOLSA, 22 MM                                                                                                                                                                                                                                                                                                                                                                                                                      </t>
  </si>
  <si>
    <t xml:space="preserve">CURVA DE TRANSPOSICAO BRONZE/LATAO (REF 736) SEM ANEL DE SOLDA, BOLSA X BOLSA, 28 MM                                                                                                                                                                                                                                                                                                                                                                                                                      </t>
  </si>
  <si>
    <t>80,95</t>
  </si>
  <si>
    <t xml:space="preserve">CURVA DE TRANSPOSICAO, CPVC, SOLDAVEL, 15 MM                                                                                                                                                                                                                                                                                                                                                                                                                                                              </t>
  </si>
  <si>
    <t xml:space="preserve">CURVA DE TRANSPOSICAO, CPVC, SOLDAVEL, 22 MM                                                                                                                                                                                                                                                                                                                                                                                                                                                              </t>
  </si>
  <si>
    <t xml:space="preserve">CURVA DE TRANSPOSICAO, PVC SOLDAVEL, 20 MM, PARA AGUA FRIA PREDIAL                                                                                                                                                                                                                                                                                                                                                                                                                                        </t>
  </si>
  <si>
    <t xml:space="preserve">CURVA DE TRANSPOSICAO, PVC, SOLDAVEL, 25 MM, PARA AGUA FRIA PREDIAL                                                                                                                                                                                                                                                                                                                                                                                                                                       </t>
  </si>
  <si>
    <t xml:space="preserve">CURVA DE TRANSPOSICAO, PVC, SOLDAVEL, 32 MM, PARA AGUA FRIA PREDIAL                                                                                                                                                                                                                                                                                                                                                                                                                                       </t>
  </si>
  <si>
    <t xml:space="preserve">CURVA LONGA PVC, PB, JE, 45 GRAUS, DN 100 MM, PARA REDE COLETORA ESGOTO (NBR 10569)                                                                                                                                                                                                                                                                                                                                                                                                                       </t>
  </si>
  <si>
    <t xml:space="preserve">CURVA LONGA PVC, PB, JE, 45 GRAUS, DN 150 MM, PARA REDE COLETORA ESGOTO (NBR 10569)                                                                                                                                                                                                                                                                                                                                                                                                                       </t>
  </si>
  <si>
    <t xml:space="preserve">CURVA LONGA PVC, PB, JE, 90 GRAUS, DN 100 MM, PARA REDE COLETORA ESGOTO (NBR 10569)                                                                                                                                                                                                                                                                                                                                                                                                                       </t>
  </si>
  <si>
    <t xml:space="preserve">CURVA LONGA PVC, PB, JE, 90 GRAUS, DN 150 MM, PARA REDE COLETORA ESGOTO (NBR 10569)                                                                                                                                                                                                                                                                                                                                                                                                                       </t>
  </si>
  <si>
    <t xml:space="preserve">CURVA PPR 90 GRAUS, DN 20 MM, PARA AGUA QUENTE PREDIAL                                                                                                                                                                                                                                                                                                                                                                                                                                                    </t>
  </si>
  <si>
    <t>7,21</t>
  </si>
  <si>
    <t xml:space="preserve">CURVA PPR 90 GRAUS, DN 25 MM, PARA AGUA QUENTE PREDIAL                                                                                                                                                                                                                                                                                                                                                                                                                                                    </t>
  </si>
  <si>
    <t xml:space="preserve">CURVA PVC CURTA 90 G, DN 50 MM, PARA ESGOTO PREDIAL                                                                                                                                                                                                                                                                                                                                                                                                                                                       </t>
  </si>
  <si>
    <t xml:space="preserve">CURVA PVC CURTA 90 GRAUS, DN 40 MM, PARA ESGOTO PREDIAL                                                                                                                                                                                                                                                                                                                                                                                                                                                   </t>
  </si>
  <si>
    <t xml:space="preserve">CURVA PVC CURTA 90 GRAUS, DN 75 MM, PARA ESGOTO PREDIAL                                                                                                                                                                                                                                                                                                                                                                                                                                                   </t>
  </si>
  <si>
    <t xml:space="preserve">CURVA PVC CURTA 90 GRAUS, 100 MM, PARA ESGOTO PREDIAL                                                                                                                                                                                                                                                                                                                                                                                                                                                     </t>
  </si>
  <si>
    <t xml:space="preserve">CURVA PVC LEVE, 90 GRAUS, COM PONTA E BOLSA LISA, DN 150 MM                                                                                                                                                                                                                                                                                                                                                                                                                                               </t>
  </si>
  <si>
    <t>110,16</t>
  </si>
  <si>
    <t xml:space="preserve">CURVA PVC LEVE, 90 GRAUS, COM PONTA E BOLSA LISA, DN 250 MM                                                                                                                                                                                                                                                                                                                                                                                                                                               </t>
  </si>
  <si>
    <t>813,99</t>
  </si>
  <si>
    <t xml:space="preserve">CURVA PVC LEVE, 90 GRAUS, COM PONTA E BOLSA LISA, DN 300 MM                                                                                                                                                                                                                                                                                                                                                                                                                                               </t>
  </si>
  <si>
    <t>1.267,86</t>
  </si>
  <si>
    <t xml:space="preserve">CURVA PVC LONGA 45 GRAUS, 100 MM, PARA ESGOTO PREDIAL                                                                                                                                                                                                                                                                                                                                                                                                                                                     </t>
  </si>
  <si>
    <t>59,47</t>
  </si>
  <si>
    <t xml:space="preserve">CURVA PVC LONGA 45G, DN 50 MM, PARA ESGOTO PREDIAL                                                                                                                                                                                                                                                                                                                                                                                                                                                        </t>
  </si>
  <si>
    <t>15,03</t>
  </si>
  <si>
    <t xml:space="preserve">CURVA PVC LONGA 45G, DN 75 MM, PARA ESGOTO PREDIAL                                                                                                                                                                                                                                                                                                                                                                                                                                                        </t>
  </si>
  <si>
    <t xml:space="preserve">CURVA PVC LONGA 90 GRAUS, 100 MM, PARA ESGOTO PREDIAL                                                                                                                                                                                                                                                                                                                                                                                                                                                     </t>
  </si>
  <si>
    <t>61,73</t>
  </si>
  <si>
    <t xml:space="preserve">CURVA PVC LONGA 90 GRAUS, 40 MM, PARA ESGOTO PREDIAL                                                                                                                                                                                                                                                                                                                                                                                                                                                      </t>
  </si>
  <si>
    <t xml:space="preserve">CURVA PVC LONGA 90 GRAUS, 50 MM, PARA ESGOTO PREDIAL                                                                                                                                                                                                                                                                                                                                                                                                                                                      </t>
  </si>
  <si>
    <t xml:space="preserve">CURVA PVC LONGA 90 GRAUS, 75 MM, PARA ESGOTO PREDIAL                                                                                                                                                                                                                                                                                                                                                                                                                                                      </t>
  </si>
  <si>
    <t xml:space="preserve">CURVA PVC PBA, JE, PB, 22 GRAUS, DN 100 / DE 110 MM, PARA REDE AGUA (NBR 10351)                                                                                                                                                                                                                                                                                                                                                                                                                           </t>
  </si>
  <si>
    <t>156,66</t>
  </si>
  <si>
    <t xml:space="preserve">CURVA PVC PBA, JE, PB, 22 GRAUS, DN 50 / DE 60 MM, PARA REDE AGUA (NBR 10351)                                                                                                                                                                                                                                                                                                                                                                                                                             </t>
  </si>
  <si>
    <t xml:space="preserve">CURVA PVC PBA, JE, PB, 22 GRAUS, DN 75 / DE 85 MM, PARA REDE AGUA (NBR 10351)                                                                                                                                                                                                                                                                                                                                                                                                                             </t>
  </si>
  <si>
    <t>64,39</t>
  </si>
  <si>
    <t xml:space="preserve">CURVA PVC PBA, JE, PB, 45 GRAUS, DN 100 / DE 110 MM, PARA REDE AGUA (NBR 10351)                                                                                                                                                                                                                                                                                                                                                                                                                           </t>
  </si>
  <si>
    <t xml:space="preserve">CURVA PVC PBA, JE, PB, 45 GRAUS, DN 50 / DE 60 MM, PARA REDE AGUA (NBR 10351)                                                                                                                                                                                                                                                                                                                                                                                                                             </t>
  </si>
  <si>
    <t xml:space="preserve">CURVA PVC PBA, JE, PB, 45 GRAUS, DN 75 / DE 85 MM, PARA REDE AGUA (NBR 10351)                                                                                                                                                                                                                                                                                                                                                                                                                             </t>
  </si>
  <si>
    <t xml:space="preserve">CURVA PVC PBA, JE, PB, 90 GRAUS, DN 100 / DE 110 MM, PARA REDE AGUA (NBR 10351)                                                                                                                                                                                                                                                                                                                                                                                                                           </t>
  </si>
  <si>
    <t>189,31</t>
  </si>
  <si>
    <t xml:space="preserve">CURVA PVC PBA, JE, PB, 90 GRAUS, DN 50 / DE 60 MM, PARA REDE AGUA (NBR 10351)                                                                                                                                                                                                                                                                                                                                                                                                                             </t>
  </si>
  <si>
    <t xml:space="preserve">CURVA PVC PBA, JE, PB, 90 GRAUS, DN 75 / DE 85 MM, PARA REDE AGUA (NBR 10351)                                                                                                                                                                                                                                                                                                                                                                                                                             </t>
  </si>
  <si>
    <t>100,19</t>
  </si>
  <si>
    <t xml:space="preserve">CURVA PVC 90 GRAUS, ROSCAVEL, 1 1/2",  AGUA FRIA PREDIAL                                                                                                                                                                                                                                                                                                                                                                                                                                                  </t>
  </si>
  <si>
    <t xml:space="preserve">CURVA PVC 90 GRAUS, ROSCAVEL, 1 1/4",  AGUA FRIA PREDIAL                                                                                                                                                                                                                                                                                                                                                                                                                                                  </t>
  </si>
  <si>
    <t xml:space="preserve">CURVA PVC 90 GRAUS, ROSCAVEL, 1/2",  AGUA FRIA PREDIAL                                                                                                                                                                                                                                                                                                                                                                                                                                                    </t>
  </si>
  <si>
    <t xml:space="preserve">CURVA PVC 90 GRAUS, ROSCAVEL, 1",  AGUA FRIA PREDIAL                                                                                                                                                                                                                                                                                                                                                                                                                                                      </t>
  </si>
  <si>
    <t xml:space="preserve">CURVA PVC 90 GRAUS, ROSCAVEL, 2",  AGUA FRIA PREDIAL                                                                                                                                                                                                                                                                                                                                                                                                                                                      </t>
  </si>
  <si>
    <t xml:space="preserve">CURVA PVC 90 GRAUS, ROSCAVEL, 3/4",  AGUA FRIA PREDIAL                                                                                                                                                                                                                                                                                                                                                                                                                                                    </t>
  </si>
  <si>
    <t xml:space="preserve">CURVA PVC, BB, JE, 45 GRAUS, DN 200 MM, PARA TUBO CORRUGADO E/OU LISO, REDE COLETORA ESGOTO (NBR 10569)                                                                                                                                                                                                                                                                                                                                                                                                   </t>
  </si>
  <si>
    <t xml:space="preserve">CURVA PVC, BB, JE, 45 GRAUS, DN 250 MM, PARA TUBO CORRUGADO E/OU LISO, REDE COLETORA ESGOTO (NBR 10569)                                                                                                                                                                                                                                                                                                                                                                                                   </t>
  </si>
  <si>
    <t xml:space="preserve">CURVA PVC, BB, JE, 90 GRAUS, DN 200 MM, PARA TUBO CORRUGADO E/OU LISO, REDE COLETORA ESGOTO (NBR 10569)                                                                                                                                                                                                                                                                                                                                                                                                   </t>
  </si>
  <si>
    <t xml:space="preserve">CURVA PVC, BB, JE, 90 GRAUS, DN 250 MM, PARA TUBO CORRUGADO E/OU LISO, REDE COLETORA ESGOTO (NBR 10569)                                                                                                                                                                                                                                                                                                                                                                                                   </t>
  </si>
  <si>
    <t xml:space="preserve">CURVA PVC, SERIE R, 87.30 GRAUS, CURTA, 100 MM, PARA ESGOTO OU AGUAS PLUVIAIS PREDIAIS (PARA PE-DE-COLUNA)                                                                                                                                                                                                                                                                                                                                                                                                </t>
  </si>
  <si>
    <t>58,31</t>
  </si>
  <si>
    <t xml:space="preserve">CURVA PVC, SERIE R, 87.30 GRAUS, CURTA, 150 MM, PARA ESGOTO OU AGUAS PLUVIAIS PREDIAIS (PARA PE-DE-COLUNA)                                                                                                                                                                                                                                                                                                                                                                                                </t>
  </si>
  <si>
    <t>196,62</t>
  </si>
  <si>
    <t xml:space="preserve">CURVA PVC, SERIE R, 87.30 GRAUS, CURTA, 75 MM, PARA ESGOTO OU AGUAS PLUVIAIS PREDIAIS (PARA PE-DE-COLUNA)                                                                                                                                                                                                                                                                                                                                                                                                 </t>
  </si>
  <si>
    <t xml:space="preserve">CURVA PVC, 45 GRAUS, CURTA, PB, DN 100 MM, PARA ESGOTO PREDIAL                                                                                                                                                                                                                                                                                                                                                                                                                                            </t>
  </si>
  <si>
    <t xml:space="preserve">CURVA 135 GRAUS, DE PVC RIGIDO ROSCAVEL, DE 1", PARA ELETRODUTO                                                                                                                                                                                                                                                                                                                                                                                                                                           </t>
  </si>
  <si>
    <t xml:space="preserve">CURVA 135 GRAUS, DE PVC RIGIDO ROSCAVEL, DE 3/4", PARA ELETRODUTO                                                                                                                                                                                                                                                                                                                                                                                                                                         </t>
  </si>
  <si>
    <t xml:space="preserve">CURVA 135 GRAUS, PARA ELETRODUTO, EM ACO GALVANIZADO ELETROLITICO, DIAMETRO DE 100 MM (4")                                                                                                                                                                                                                                                                                                                                                                                                                </t>
  </si>
  <si>
    <t>208,05</t>
  </si>
  <si>
    <t xml:space="preserve">CURVA 135 GRAUS, PARA ELETRODUTO, EM ACO GALVANIZADO ELETROLITICO, DIAMETRO DE 15 MM (1/2")                                                                                                                                                                                                                                                                                                                                                                                                               </t>
  </si>
  <si>
    <t xml:space="preserve">CURVA 135 GRAUS, PARA ELETRODUTO, EM ACO GALVANIZADO ELETROLITICO, DIAMETRO DE 20 MM (3/4")                                                                                                                                                                                                                                                                                                                                                                                                               </t>
  </si>
  <si>
    <t xml:space="preserve">CURVA 135 GRAUS, PARA ELETRODUTO, EM ACO GALVANIZADO ELETROLITICO, DIAMETRO DE 25 MM (1")                                                                                                                                                                                                                                                                                                                                                                                                                 </t>
  </si>
  <si>
    <t xml:space="preserve">CURVA 135 GRAUS, PARA ELETRODUTO, EM ACO GALVANIZADO ELETROLITICO, DIAMETRO DE 32 MM (1 1/4")                                                                                                                                                                                                                                                                                                                                                                                                             </t>
  </si>
  <si>
    <t xml:space="preserve">CURVA 135 GRAUS, PARA ELETRODUTO, EM ACO GALVANIZADO ELETROLITICO, DIAMETRO DE 40 MM (1 1/2")                                                                                                                                                                                                                                                                                                                                                                                                             </t>
  </si>
  <si>
    <t xml:space="preserve">CURVA 135 GRAUS, PARA ELETRODUTO, EM ACO GALVANIZADO ELETROLITICO, DIAMETRO DE 50 MM (2")                                                                                                                                                                                                                                                                                                                                                                                                                 </t>
  </si>
  <si>
    <t>44,49</t>
  </si>
  <si>
    <t xml:space="preserve">CURVA 135 GRAUS, PARA ELETRODUTO, EM ACO GALVANIZADO ELETROLITICO, DIAMETRO DE 65 MM (2 1/2")                                                                                                                                                                                                                                                                                                                                                                                                             </t>
  </si>
  <si>
    <t xml:space="preserve">CURVA 135 GRAUS, PARA ELETRODUTO, EM ACO GALVANIZADO ELETROLITICO, DIAMETRO DE 80 MM (3")                                                                                                                                                                                                                                                                                                                                                                                                                 </t>
  </si>
  <si>
    <t>105,99</t>
  </si>
  <si>
    <t xml:space="preserve">CURVA 180 GRAUS, DE PVC RIGIDO ROSCAVEL, DE 1 1/2", PARA ELETRODUTO                                                                                                                                                                                                                                                                                                                                                                                                                                       </t>
  </si>
  <si>
    <t xml:space="preserve">CURVA 180 GRAUS, DE PVC RIGIDO ROSCAVEL, DE 1 1/4", PARA ELETRODUTO                                                                                                                                                                                                                                                                                                                                                                                                                                       </t>
  </si>
  <si>
    <t xml:space="preserve">CURVA 180 GRAUS, DE PVC RIGIDO ROSCAVEL, DE 1/2", PARA ELETRODUTO                                                                                                                                                                                                                                                                                                                                                                                                                                         </t>
  </si>
  <si>
    <t xml:space="preserve">CURVA 180 GRAUS, DE PVC RIGIDO ROSCAVEL, DE 1", PARA ELETRODUTO                                                                                                                                                                                                                                                                                                                                                                                                                                           </t>
  </si>
  <si>
    <t xml:space="preserve">CURVA 180 GRAUS, DE PVC RIGIDO ROSCAVEL, DE 2", PARA ELETRODUTO                                                                                                                                                                                                                                                                                                                                                                                                                                           </t>
  </si>
  <si>
    <t xml:space="preserve">CURVA 180 GRAUS, DE PVC RIGIDO ROSCAVEL, DE 3/4", PARA ELETRODUTO                                                                                                                                                                                                                                                                                                                                                                                                                                         </t>
  </si>
  <si>
    <t xml:space="preserve">CURVA 45 GRAUS DE COBRE (REF 606) SEM ANEL DE SOLDA, BOLSA X BOLSA, 15 MM                                                                                                                                                                                                                                                                                                                                                                                                                                 </t>
  </si>
  <si>
    <t xml:space="preserve">CURVA 45 GRAUS DE COBRE (REF 606) SEM ANEL DE SOLDA, BOLSA X BOLSA, 22 MM                                                                                                                                                                                                                                                                                                                                                                                                                                 </t>
  </si>
  <si>
    <t xml:space="preserve">CURVA 45 GRAUS DE COBRE (REF 606) SEM ANEL DE SOLDA, BOLSA X BOLSA, 28 MM                                                                                                                                                                                                                                                                                                                                                                                                                                 </t>
  </si>
  <si>
    <t xml:space="preserve">CURVA 45 GRAUS DE COBRE (REF 606) SEM ANEL DE SOLDA, BOLSA X BOLSA, 35 MM                                                                                                                                                                                                                                                                                                                                                                                                                                 </t>
  </si>
  <si>
    <t>53,19</t>
  </si>
  <si>
    <t xml:space="preserve">CURVA 45 GRAUS DE COBRE (REF 606) SEM ANEL DE SOLDA, BOLSA X BOLSA, 42 MM                                                                                                                                                                                                                                                                                                                                                                                                                                 </t>
  </si>
  <si>
    <t xml:space="preserve">CURVA 45 GRAUS DE COBRE (REF 606) SEM ANEL DE SOLDA, BOLSA X BOLSA, 54 MM                                                                                                                                                                                                                                                                                                                                                                                                                                 </t>
  </si>
  <si>
    <t xml:space="preserve">CURVA 45 GRAUS DE COBRE (REF 606) SEM ANEL DE SOLDA, BOLSA X BOLSA, 66 MM                                                                                                                                                                                                                                                                                                                                                                                                                                 </t>
  </si>
  <si>
    <t>299,83</t>
  </si>
  <si>
    <t xml:space="preserve">CURVA 45 GRAUS DE FERRO GALVANIZADO, COM ROSCA BSP FEMEA, DE 1 1/2"                                                                                                                                                                                                                                                                                                                                                                                                                                       </t>
  </si>
  <si>
    <t xml:space="preserve">CURVA 45 GRAUS DE FERRO GALVANIZADO, COM ROSCA BSP FEMEA, DE 1 1/4"                                                                                                                                                                                                                                                                                                                                                                                                                                       </t>
  </si>
  <si>
    <t xml:space="preserve">CURVA 45 GRAUS DE FERRO GALVANIZADO, COM ROSCA BSP FEMEA, DE 1/2"                                                                                                                                                                                                                                                                                                                                                                                                                                         </t>
  </si>
  <si>
    <t xml:space="preserve">CURVA 45 GRAUS DE FERRO GALVANIZADO, COM ROSCA BSP FEMEA, DE 1"                                                                                                                                                                                                                                                                                                                                                                                                                                           </t>
  </si>
  <si>
    <t xml:space="preserve">CURVA 45 GRAUS DE FERRO GALVANIZADO, COM ROSCA BSP FEMEA, DE 2 1/2"                                                                                                                                                                                                                                                                                                                                                                                                                                       </t>
  </si>
  <si>
    <t xml:space="preserve">CURVA 45 GRAUS DE FERRO GALVANIZADO, COM ROSCA BSP FEMEA, DE 2"                                                                                                                                                                                                                                                                                                                                                                                                                                           </t>
  </si>
  <si>
    <t xml:space="preserve">CURVA 45 GRAUS DE FERRO GALVANIZADO, COM ROSCA BSP FEMEA, DE 3/4"                                                                                                                                                                                                                                                                                                                                                                                                                                         </t>
  </si>
  <si>
    <t xml:space="preserve">CURVA 45 GRAUS DE FERRO GALVANIZADO, COM ROSCA BSP FEMEA, DE 3"                                                                                                                                                                                                                                                                                                                                                                                                                                           </t>
  </si>
  <si>
    <t xml:space="preserve">CURVA 45 GRAUS DE FERRO GALVANIZADO, COM ROSCA BSP FEMEA, DE 4"                                                                                                                                                                                                                                                                                                                                                                                                                                           </t>
  </si>
  <si>
    <t xml:space="preserve">CURVA 45 GRAUS DE FERRO GALVANIZADO, COM ROSCA BSP MACHO/FEMEA, DE 1 1/2"                                                                                                                                                                                                                                                                                                                                                                                                                                 </t>
  </si>
  <si>
    <t xml:space="preserve">CURVA 45 GRAUS DE FERRO GALVANIZADO, COM ROSCA BSP MACHO/FEMEA, DE 1 1/4"                                                                                                                                                                                                                                                                                                                                                                                                                                 </t>
  </si>
  <si>
    <t xml:space="preserve">CURVA 45 GRAUS DE FERRO GALVANIZADO, COM ROSCA BSP MACHO/FEMEA, DE 1/2"                                                                                                                                                                                                                                                                                                                                                                                                                                   </t>
  </si>
  <si>
    <t xml:space="preserve">CURVA 45 GRAUS DE FERRO GALVANIZADO, COM ROSCA BSP MACHO/FEMEA, DE 1"                                                                                                                                                                                                                                                                                                                                                                                                                                     </t>
  </si>
  <si>
    <t xml:space="preserve">CURVA 45 GRAUS DE FERRO GALVANIZADO, COM ROSCA BSP MACHO/FEMEA, DE 2 1/2"                                                                                                                                                                                                                                                                                                                                                                                                                                 </t>
  </si>
  <si>
    <t xml:space="preserve">CURVA 45 GRAUS DE FERRO GALVANIZADO, COM ROSCA BSP MACHO/FEMEA, DE 2"                                                                                                                                                                                                                                                                                                                                                                                                                                     </t>
  </si>
  <si>
    <t xml:space="preserve">CURVA 45 GRAUS DE FERRO GALVANIZADO, COM ROSCA BSP MACHO/FEMEA, DE 3/4"                                                                                                                                                                                                                                                                                                                                                                                                                                   </t>
  </si>
  <si>
    <t xml:space="preserve">CURVA 45 GRAUS DE FERRO GALVANIZADO, COM ROSCA BSP MACHO/FEMEA, DE 3"                                                                                                                                                                                                                                                                                                                                                                                                                                     </t>
  </si>
  <si>
    <t xml:space="preserve">CURVA 45 GRAUS EM ACO CARBONO, SOLDAVEL, PRESSAO 3.000 LBS, DN 1 1/2"                                                                                                                                                                                                                                                                                                                                                                                                                                     </t>
  </si>
  <si>
    <t>78,90</t>
  </si>
  <si>
    <t xml:space="preserve">CURVA 45 GRAUS EM ACO CARBONO, SOLDAVEL, PRESSAO 3.000 LBS, DN 1 1/4"                                                                                                                                                                                                                                                                                                                                                                                                                                     </t>
  </si>
  <si>
    <t xml:space="preserve">CURVA 45 GRAUS EM ACO CARBONO, SOLDAVEL, PRESSAO 3.000 LBS, DN 1/2"                                                                                                                                                                                                                                                                                                                                                                                                                                       </t>
  </si>
  <si>
    <t xml:space="preserve">CURVA 45 GRAUS EM ACO CARBONO, SOLDAVEL, PRESSAO 3.000 LBS, DN 1"                                                                                                                                                                                                                                                                                                                                                                                                                                         </t>
  </si>
  <si>
    <t xml:space="preserve">CURVA 45 GRAUS EM ACO CARBONO, SOLDAVEL, PRESSAO 3.000 LBS, DN 2 1/2"                                                                                                                                                                                                                                                                                                                                                                                                                                     </t>
  </si>
  <si>
    <t>224,12</t>
  </si>
  <si>
    <t xml:space="preserve">CURVA 45 GRAUS EM ACO CARBONO, SOLDAVEL, PRESSAO 3.000 LBS, DN 2"                                                                                                                                                                                                                                                                                                                                                                                                                                         </t>
  </si>
  <si>
    <t>112,18</t>
  </si>
  <si>
    <t xml:space="preserve">CURVA 45 GRAUS EM ACO CARBONO, SOLDAVEL, PRESSAO 3.000 LBS, DN 3/4"                                                                                                                                                                                                                                                                                                                                                                                                                                       </t>
  </si>
  <si>
    <t xml:space="preserve">CURVA 45 GRAUS EM ACO CARBONO, SOLDAVEL, PRESSAO 3.000 LBS, DN 3"                                                                                                                                                                                                                                                                                                                                                                                                                                         </t>
  </si>
  <si>
    <t>581,72</t>
  </si>
  <si>
    <t xml:space="preserve">CURVA 45 GRAUS RANHURADA EM FERRO FUNDIDO, DN 50 MM (2")                                                                                                                                                                                                                                                                                                                                                                                                                                                  </t>
  </si>
  <si>
    <t xml:space="preserve">CURVA 45 GRAUS RANHURADA EM FERRO FUNDIDO, DN 65 MM (2 1/2")                                                                                                                                                                                                                                                                                                                                                                                                                                              </t>
  </si>
  <si>
    <t xml:space="preserve">CURVA 45 GRAUS RANHURADA EM FERRO FUNDIDO, DN 80 MM (3")                                                                                                                                                                                                                                                                                                                                                                                                                                                  </t>
  </si>
  <si>
    <t xml:space="preserve">CURVA 45 GRAUS, PARA ELETRODUTO, EM ACO GALVANIZADO ELETROLITICO, DIAMETRO DE 20 MM (3/4")                                                                                                                                                                                                                                                                                                                                                                                                                </t>
  </si>
  <si>
    <t xml:space="preserve">CURVA 45 GRAUS, PARA ELETRODUTO, EM ACO GALVANIZADO ELETROLITICO, DIAMETRO DE 25 MM (1")                                                                                                                                                                                                                                                                                                                                                                                                                  </t>
  </si>
  <si>
    <t xml:space="preserve">CURVA 45 GRAUS, PARA ELETRODUTO, EM ACO GALVANIZADO ELETROLITICO, DIAMETRO DE 40 MM (1 1/2")                                                                                                                                                                                                                                                                                                                                                                                                              </t>
  </si>
  <si>
    <t xml:space="preserve">CURVA 90 GRAUS DE BARRA CHATA EM ALUMINIO 3/4 " X 1/4 " X 300 MM                                                                                                                                                                                                                                                                                                                                                                                                                                          </t>
  </si>
  <si>
    <t xml:space="preserve">CURVA 90 GRAUS DE FERRO GALVANIZADO, COM ROSCA BSP FEMEA, DE 1 1/2"                                                                                                                                                                                                                                                                                                                                                                                                                                       </t>
  </si>
  <si>
    <t xml:space="preserve">CURVA 90 GRAUS DE FERRO GALVANIZADO, COM ROSCA BSP FEMEA, DE 1 1/4"                                                                                                                                                                                                                                                                                                                                                                                                                                       </t>
  </si>
  <si>
    <t xml:space="preserve">CURVA 90 GRAUS DE FERRO GALVANIZADO, COM ROSCA BSP FEMEA, DE 1/2"                                                                                                                                                                                                                                                                                                                                                                                                                                         </t>
  </si>
  <si>
    <t xml:space="preserve">CURVA 90 GRAUS DE FERRO GALVANIZADO, COM ROSCA BSP FEMEA, DE 1"                                                                                                                                                                                                                                                                                                                                                                                                                                           </t>
  </si>
  <si>
    <t xml:space="preserve">CURVA 90 GRAUS DE FERRO GALVANIZADO, COM ROSCA BSP FEMEA, DE 2 1/2"                                                                                                                                                                                                                                                                                                                                                                                                                                       </t>
  </si>
  <si>
    <t xml:space="preserve">CURVA 90 GRAUS DE FERRO GALVANIZADO, COM ROSCA BSP FEMEA, DE 2"                                                                                                                                                                                                                                                                                                                                                                                                                                           </t>
  </si>
  <si>
    <t xml:space="preserve">CURVA 90 GRAUS DE FERRO GALVANIZADO, COM ROSCA BSP FEMEA, DE 3/4"                                                                                                                                                                                                                                                                                                                                                                                                                                         </t>
  </si>
  <si>
    <t xml:space="preserve">CURVA 90 GRAUS DE FERRO GALVANIZADO, COM ROSCA BSP FEMEA, DE 3"                                                                                                                                                                                                                                                                                                                                                                                                                                           </t>
  </si>
  <si>
    <t xml:space="preserve">CURVA 90 GRAUS DE FERRO GALVANIZADO, COM ROSCA BSP FEMEA, DE 4"                                                                                                                                                                                                                                                                                                                                                                                                                                           </t>
  </si>
  <si>
    <t xml:space="preserve">CURVA 90 GRAUS DE FERRO GALVANIZADO, COM ROSCA BSP MACHO/FEMEA, DE 1 1/2"                                                                                                                                                                                                                                                                                                                                                                                                                                 </t>
  </si>
  <si>
    <t xml:space="preserve">CURVA 90 GRAUS DE FERRO GALVANIZADO, COM ROSCA BSP MACHO/FEMEA, DE 1 1/4"                                                                                                                                                                                                                                                                                                                                                                                                                                 </t>
  </si>
  <si>
    <t xml:space="preserve">CURVA 90 GRAUS DE FERRO GALVANIZADO, COM ROSCA BSP MACHO/FEMEA, DE 1/2"                                                                                                                                                                                                                                                                                                                                                                                                                                   </t>
  </si>
  <si>
    <t xml:space="preserve">CURVA 90 GRAUS DE FERRO GALVANIZADO, COM ROSCA BSP MACHO/FEMEA, DE 1"                                                                                                                                                                                                                                                                                                                                                                                                                                     </t>
  </si>
  <si>
    <t xml:space="preserve">CURVA 90 GRAUS DE FERRO GALVANIZADO, COM ROSCA BSP MACHO/FEMEA, DE 2 1/2"                                                                                                                                                                                                                                                                                                                                                                                                                                 </t>
  </si>
  <si>
    <t xml:space="preserve">CURVA 90 GRAUS DE FERRO GALVANIZADO, COM ROSCA BSP MACHO/FEMEA, DE 2"                                                                                                                                                                                                                                                                                                                                                                                                                                     </t>
  </si>
  <si>
    <t xml:space="preserve">CURVA 90 GRAUS DE FERRO GALVANIZADO, COM ROSCA BSP MACHO/FEMEA, DE 3/4"                                                                                                                                                                                                                                                                                                                                                                                                                                   </t>
  </si>
  <si>
    <t xml:space="preserve">CURVA 90 GRAUS DE FERRO GALVANIZADO, COM ROSCA BSP MACHO/FEMEA, DE 3"                                                                                                                                                                                                                                                                                                                                                                                                                                     </t>
  </si>
  <si>
    <t xml:space="preserve">CURVA 90 GRAUS DE FERRO GALVANIZADO, COM ROSCA BSP MACHO/FEMEA, DE 4"                                                                                                                                                                                                                                                                                                                                                                                                                                     </t>
  </si>
  <si>
    <t xml:space="preserve">CURVA 90 GRAUS DE FERRO GALVANIZADO, COM ROSCA BSP MACHO, DE 1 1/2"                                                                                                                                                                                                                                                                                                                                                                                                                                       </t>
  </si>
  <si>
    <t xml:space="preserve">CURVA 90 GRAUS DE FERRO GALVANIZADO, COM ROSCA BSP MACHO, DE 1 1/4"                                                                                                                                                                                                                                                                                                                                                                                                                                       </t>
  </si>
  <si>
    <t xml:space="preserve">CURVA 90 GRAUS DE FERRO GALVANIZADO, COM ROSCA BSP MACHO, DE 1/2"                                                                                                                                                                                                                                                                                                                                                                                                                                         </t>
  </si>
  <si>
    <t xml:space="preserve">CURVA 90 GRAUS DE FERRO GALVANIZADO, COM ROSCA BSP MACHO, DE 1"                                                                                                                                                                                                                                                                                                                                                                                                                                           </t>
  </si>
  <si>
    <t xml:space="preserve">CURVA 90 GRAUS DE FERRO GALVANIZADO, COM ROSCA BSP MACHO, DE 2 1/2"                                                                                                                                                                                                                                                                                                                                                                                                                                       </t>
  </si>
  <si>
    <t xml:space="preserve">CURVA 90 GRAUS DE FERRO GALVANIZADO, COM ROSCA BSP MACHO, DE 2"                                                                                                                                                                                                                                                                                                                                                                                                                                           </t>
  </si>
  <si>
    <t xml:space="preserve">CURVA 90 GRAUS DE FERRO GALVANIZADO, COM ROSCA BSP MACHO, DE 3/4"                                                                                                                                                                                                                                                                                                                                                                                                                                         </t>
  </si>
  <si>
    <t xml:space="preserve">CURVA 90 GRAUS DE FERRO GALVANIZADO, COM ROSCA BSP MACHO, DE 3"                                                                                                                                                                                                                                                                                                                                                                                                                                           </t>
  </si>
  <si>
    <t xml:space="preserve">CURVA 90 GRAUS DE FERRO GALVANIZADO, COM ROSCA BSP MACHO, DE 4"                                                                                                                                                                                                                                                                                                                                                                                                                                           </t>
  </si>
  <si>
    <t xml:space="preserve">CURVA 90 GRAUS DE FERRO GALVANIZADO, COM ROSCA BSP MACHO, DE 6"                                                                                                                                                                                                                                                                                                                                                                                                                                           </t>
  </si>
  <si>
    <t xml:space="preserve">CURVA 90 GRAUS EM ACO CARBONO, RAIO CURTO, SOLDAVEL, PRESSAO 3.000 LBS, DN 1 1/2"                                                                                                                                                                                                                                                                                                                                                                                                                         </t>
  </si>
  <si>
    <t xml:space="preserve">CURVA 90 GRAUS EM ACO CARBONO, RAIO CURTO, SOLDAVEL, PRESSAO 3.000 LBS, DN 1 1/4"                                                                                                                                                                                                                                                                                                                                                                                                                         </t>
  </si>
  <si>
    <t xml:space="preserve">CURVA 90 GRAUS EM ACO CARBONO, RAIO CURTO, SOLDAVEL, PRESSAO 3.000 LBS, DN 1/2"                                                                                                                                                                                                                                                                                                                                                                                                                           </t>
  </si>
  <si>
    <t xml:space="preserve">CURVA 90 GRAUS EM ACO CARBONO, RAIO CURTO, SOLDAVEL, PRESSAO 3.000 LBS, DN 1"                                                                                                                                                                                                                                                                                                                                                                                                                             </t>
  </si>
  <si>
    <t xml:space="preserve">CURVA 90 GRAUS EM ACO CARBONO, RAIO CURTO, SOLDAVEL, PRESSAO 3.000 LBS, DN 2 1/2"                                                                                                                                                                                                                                                                                                                                                                                                                         </t>
  </si>
  <si>
    <t>240,76</t>
  </si>
  <si>
    <t xml:space="preserve">CURVA 90 GRAUS EM ACO CARBONO, RAIO CURTO, SOLDAVEL, PRESSAO 3.000 LBS, DN 2"                                                                                                                                                                                                                                                                                                                                                                                                                             </t>
  </si>
  <si>
    <t xml:space="preserve">CURVA 90 GRAUS EM ACO CARBONO, RAIO CURTO, SOLDAVEL, PRESSAO 3.000 LBS, DN 3/4"                                                                                                                                                                                                                                                                                                                                                                                                                           </t>
  </si>
  <si>
    <t xml:space="preserve">CURVA 90 GRAUS EM ACO CARBONO, RAIO CURTO, SOLDAVEL, PRESSAO 3.000 LBS, DN 3"                                                                                                                                                                                                                                                                                                                                                                                                                             </t>
  </si>
  <si>
    <t>507,08</t>
  </si>
  <si>
    <t xml:space="preserve">CURVA 90 GRAUS RANHURADA EM FERRO FUNDIDO, DN 50 MM (2")                                                                                                                                                                                                                                                                                                                                                                                                                                                  </t>
  </si>
  <si>
    <t xml:space="preserve">CURVA 90 GRAUS RANHURADA EM FERRO FUNDIDO, DN 65 MM (2 1/2")                                                                                                                                                                                                                                                                                                                                                                                                                                              </t>
  </si>
  <si>
    <t xml:space="preserve">CURVA 90 GRAUS RANHURADA EM FERRO FUNDIDO, DN 80 MM (3")                                                                                                                                                                                                                                                                                                                                                                                                                                                  </t>
  </si>
  <si>
    <t xml:space="preserve">CURVA 90 GRAUS, CURTA, DE PVC RIGIDO ROSCAVEL, DE 1/2", PARA ELETRODUTO                                                                                                                                                                                                                                                                                                                                                                                                                                   </t>
  </si>
  <si>
    <t xml:space="preserve">CURVA 90 GRAUS, CURTA, DE PVC RIGIDO ROSCAVEL, DE 1", PARA ELETRODUTO                                                                                                                                                                                                                                                                                                                                                                                                                                     </t>
  </si>
  <si>
    <t xml:space="preserve">CURVA 90 GRAUS, CURTA, DE PVC RIGIDO ROSCAVEL, DE 3/4", PARA ELETRODUTO                                                                                                                                                                                                                                                                                                                                                                                                                                   </t>
  </si>
  <si>
    <t xml:space="preserve">CURVA 90 GRAUS, LONGA, DE PVC RIGIDO ROSCAVEL, DE 1 1/2", PARA ELETRODUTO                                                                                                                                                                                                                                                                                                                                                                                                                                 </t>
  </si>
  <si>
    <t xml:space="preserve">CURVA 90 GRAUS, LONGA, DE PVC RIGIDO ROSCAVEL, DE 1 1/4", PARA ELETRODUTO                                                                                                                                                                                                                                                                                                                                                                                                                                 </t>
  </si>
  <si>
    <t xml:space="preserve">CURVA 90 GRAUS, LONGA, DE PVC RIGIDO ROSCAVEL, DE 1/2", PARA ELETRODUTO                                                                                                                                                                                                                                                                                                                                                                                                                                   </t>
  </si>
  <si>
    <t xml:space="preserve">CURVA 90 GRAUS, LONGA, DE PVC RIGIDO ROSCAVEL, DE 1", PARA ELETRODUTO                                                                                                                                                                                                                                                                                                                                                                                                                                     </t>
  </si>
  <si>
    <t xml:space="preserve">CURVA 90 GRAUS, LONGA, DE PVC RIGIDO ROSCAVEL, DE 2 1/2", PARA ELETRODUTO                                                                                                                                                                                                                                                                                                                                                                                                                                 </t>
  </si>
  <si>
    <t xml:space="preserve">CURVA 90 GRAUS, LONGA, DE PVC RIGIDO ROSCAVEL, DE 2", PARA ELETRODUTO                                                                                                                                                                                                                                                                                                                                                                                                                                     </t>
  </si>
  <si>
    <t xml:space="preserve">CURVA 90 GRAUS, LONGA, DE PVC RIGIDO ROSCAVEL, DE 3/4", PARA ELETRODUTO                                                                                                                                                                                                                                                                                                                                                                                                                                   </t>
  </si>
  <si>
    <t xml:space="preserve">CURVA 90 GRAUS, LONGA, DE PVC RIGIDO ROSCAVEL, DE 3", PARA ELETRODUTO                                                                                                                                                                                                                                                                                                                                                                                                                                     </t>
  </si>
  <si>
    <t xml:space="preserve">CURVA 90 GRAUS, LONGA, DE PVC RIGIDO ROSCAVEL, DE 4", PARA ELETRODUTO                                                                                                                                                                                                                                                                                                                                                                                                                                     </t>
  </si>
  <si>
    <t xml:space="preserve">CURVA 90 GRAUS, PARA ELETRODUTO, EM ACO GALVANIZADO ELETROLITICO, DIAMETRO DE 100 MM (4")                                                                                                                                                                                                                                                                                                                                                                                                                 </t>
  </si>
  <si>
    <t>146,99</t>
  </si>
  <si>
    <t xml:space="preserve">CURVA 90 GRAUS, PARA ELETRODUTO, EM ACO GALVANIZADO ELETROLITICO, DIAMETRO DE 15 MM (1/2")                                                                                                                                                                                                                                                                                                                                                                                                                </t>
  </si>
  <si>
    <t xml:space="preserve">CURVA 90 GRAUS, PARA ELETRODUTO, EM ACO GALVANIZADO ELETROLITICO, DIAMETRO DE 20 MM (3/4")                                                                                                                                                                                                                                                                                                                                                                                                                </t>
  </si>
  <si>
    <t xml:space="preserve">CURVA 90 GRAUS, PARA ELETRODUTO, EM ACO GALVANIZADO ELETROLITICO, DIAMETRO DE 25 MM (1")                                                                                                                                                                                                                                                                                                                                                                                                                  </t>
  </si>
  <si>
    <t xml:space="preserve">CURVA 90 GRAUS, PARA ELETRODUTO, EM ACO GALVANIZADO ELETROLITICO, DIAMETRO DE 32 MM (1 1/4")                                                                                                                                                                                                                                                                                                                                                                                                              </t>
  </si>
  <si>
    <t xml:space="preserve">CURVA 90 GRAUS, PARA ELETRODUTO, EM ACO GALVANIZADO ELETROLITICO, DIAMETRO DE 40 MM (1 1/2")                                                                                                                                                                                                                                                                                                                                                                                                              </t>
  </si>
  <si>
    <t>17,76</t>
  </si>
  <si>
    <t xml:space="preserve">CURVA 90 GRAUS, PARA ELETRODUTO, EM ACO GALVANIZADO ELETROLITICO, DIAMETRO DE 50 MM (2")                                                                                                                                                                                                                                                                                                                                                                                                                  </t>
  </si>
  <si>
    <t>26,07</t>
  </si>
  <si>
    <t xml:space="preserve">CURVA 90 GRAUS, PARA ELETRODUTO, EM ACO GALVANIZADO ELETROLITICO, DIAMETRO DE 65 MM (2 1/2")                                                                                                                                                                                                                                                                                                                                                                                                              </t>
  </si>
  <si>
    <t xml:space="preserve">CURVA 90 GRAUS, PARA ELETRODUTO, EM ACO GALVANIZADO ELETROLITICO, DIAMETRO DE 80 MM (3")                                                                                                                                                                                                                                                                                                                                                                                                                  </t>
  </si>
  <si>
    <t>86,67</t>
  </si>
  <si>
    <t xml:space="preserve">DENTE PARA FRESADORA                                                                                                                                                                                                                                                                                                                                                                                                                                                                                      </t>
  </si>
  <si>
    <t>57,40</t>
  </si>
  <si>
    <t xml:space="preserve">DESEMPENADEIRA DE ACO DENTADA 12 X *25* CM, DENTES 8 X 8 MM, CABO FECHADO DE MADEIRA                                                                                                                                                                                                                                                                                                                                                                                                                      </t>
  </si>
  <si>
    <t xml:space="preserve">DESEMPENADEIRA DE ACO LISA 12 X *25* CM COM CABO FECHADO DE MADEIRA                                                                                                                                                                                                                                                                                                                                                                                                                                       </t>
  </si>
  <si>
    <t xml:space="preserve">DESEMPENADEIRA PLASTICA LISA *14 X 27* CM                                                                                                                                                                                                                                                                                                                                                                                                                                                                 </t>
  </si>
  <si>
    <t xml:space="preserve">DESENHISTA COPISTA                                                                                                                                                                                                                                                                                                                                                                                                                                                                                        </t>
  </si>
  <si>
    <t xml:space="preserve">DESENHISTA COPISTA (MENSALISTA)                                                                                                                                                                                                                                                                                                                                                                                                                                                                           </t>
  </si>
  <si>
    <t>4.951,21</t>
  </si>
  <si>
    <t xml:space="preserve">DESENHISTA DETALHISTA                                                                                                                                                                                                                                                                                                                                                                                                                                                                                     </t>
  </si>
  <si>
    <t xml:space="preserve">DESENHISTA DETALHISTA (MENSALISTA)                                                                                                                                                                                                                                                                                                                                                                                                                                                                        </t>
  </si>
  <si>
    <t>8.641,11</t>
  </si>
  <si>
    <t xml:space="preserve">DESENHISTA PROJETISTA                                                                                                                                                                                                                                                                                                                                                                                                                                                                                     </t>
  </si>
  <si>
    <t>37,54</t>
  </si>
  <si>
    <t xml:space="preserve">DESENHISTA PROJETISTA (MENSALISTA)                                                                                                                                                                                                                                                                                                                                                                                                                                                                        </t>
  </si>
  <si>
    <t>6.599,41</t>
  </si>
  <si>
    <t xml:space="preserve">DESENHISTA TECNICO AUXILIAR                                                                                                                                                                                                                                                                                                                                                                                                                                                                               </t>
  </si>
  <si>
    <t xml:space="preserve">DESENHISTA TECNICO AUXILIAR (MENSALISTA)                                                                                                                                                                                                                                                                                                                                                                                                                                                                  </t>
  </si>
  <si>
    <t>5.939,48</t>
  </si>
  <si>
    <t xml:space="preserve">DESMOLDANTE PARA CONCRETO ESTAMPADO                                                                                                                                                                                                                                                                                                                                                                                                                                                                       </t>
  </si>
  <si>
    <t>32,24</t>
  </si>
  <si>
    <t xml:space="preserve">DESMOLDANTE PARA FORMAS METALICAS A BASE DE OLEO VEGETAL                                                                                                                                                                                                                                                                                                                                                                                                                                                  </t>
  </si>
  <si>
    <t xml:space="preserve">DESMOLDANTE PROTETOR PARA FORMAS DE MADEIRA, DE BASE OLEOSA EMULSIONADA EM AGUA                                                                                                                                                                                                                                                                                                                                                                                                                           </t>
  </si>
  <si>
    <t xml:space="preserve">DILUENTE EPOXI                                                                                                                                                                                                                                                                                                                                                                                                                                                                                            </t>
  </si>
  <si>
    <t xml:space="preserve">DISCO DE BORRACHA PARA LIXADEIRA RIGIDO 7 " COM ARRUELA CENTRAL                                                                                                                                                                                                                                                                                                                                                                                                                                           </t>
  </si>
  <si>
    <t xml:space="preserve">DISCO DE CORTE DIAMANTADO SEGMENTADO DIAMETRO DE 180 MM PARA ESMERILHADEIRA 7 "                                                                                                                                                                                                                                                                                                                                                                                                                           </t>
  </si>
  <si>
    <t xml:space="preserve">DISCO DE CORTE DIAMANTADO SEGMENTADO PARA CONCRETO, DIAMETRO DE 110 MM, FURO DE 20 MM                                                                                                                                                                                                                                                                                                                                                                                                                     </t>
  </si>
  <si>
    <t xml:space="preserve">DISCO DE CORTE DIAMANTADO SEGMENTADO PARA CONCRETO, DIAMETRO DE 350 MM, FURO DE 1 " (14 X 1 ")                                                                                                                                                                                                                                                                                                                                                                                                            </t>
  </si>
  <si>
    <t xml:space="preserve">DISCO DE CORTE PARA METAL COM DUAS TELAS 12 X 1/8 X 3/4 " (300 X 3,2 X 19,05 MM)                                                                                                                                                                                                                                                                                                                                                                                                                          </t>
  </si>
  <si>
    <t xml:space="preserve">DISCO DE DESBASTE PARA METAL FERROSO EM GERAL, COM TRES TELAS,  9 X 1/4 X 7/8 " (228,6 X 6,4 X 22,2 MM)                                                                                                                                                                                                                                                                                                                                                                                                   </t>
  </si>
  <si>
    <t xml:space="preserve">DISCO DE LIXA PARA METAL, DIAMETRO = 180 MM, GRAO 120                                                                                                                                                                                                                                                                                                                                                                                                                                                     </t>
  </si>
  <si>
    <t xml:space="preserve">DISJUNTOR  TERMOMAGNETICO TRIPOLAR 3 X 400 A / ICC - 25 KA                                                                                                                                                                                                                                                                                                                                                                                                                                                </t>
  </si>
  <si>
    <t xml:space="preserve">DISJUNTOR TERMICO E MAGNETICO AJUSTAVEIS, TRIPOLAR DE 100 ATE 250A, CAPACIDADE DE INTERRUPCAO DE 35KA                                                                                                                                                                                                                                                                                                                                                                                                     </t>
  </si>
  <si>
    <t xml:space="preserve">DISJUNTOR TERMICO E MAGNETICO AJUSTAVEIS, TRIPOLAR DE 300 ATE 400A, CAPACIDADE DE INTERRUPCAO DE 35KA                                                                                                                                                                                                                                                                                                                                                                                                     </t>
  </si>
  <si>
    <t xml:space="preserve">DISJUNTOR TERMICO E MAGNETICO AJUSTAVEIS, TRIPOLAR DE 450 ATE 600A, CAPACIDADE DE INTERRUPCAO DE 35KA                                                                                                                                                                                                                                                                                                                                                                                                     </t>
  </si>
  <si>
    <t xml:space="preserve">DISJUNTOR TERMOMAGNETICO TRIPOLAR 125A                                                                                                                                                                                                                                                                                                                                                                                                                                                                    </t>
  </si>
  <si>
    <t xml:space="preserve">DISJUNTOR TERMOMAGNETICO TRIPOLAR 150 A / 600 V, TIPO FXD / ICC - 35 KA                                                                                                                                                                                                                                                                                                                                                                                                                                   </t>
  </si>
  <si>
    <t xml:space="preserve">DISJUNTOR TERMOMAGNETICO TRIPOLAR 200 A / 600 V, TIPO FXD / ICC - 35 KA                                                                                                                                                                                                                                                                                                                                                                                                                                   </t>
  </si>
  <si>
    <t xml:space="preserve">DISJUNTOR TERMOMAGNETICO TRIPOLAR 250 A / 600 V, TIPO FXD                                                                                                                                                                                                                                                                                                                                                                                                                                                 </t>
  </si>
  <si>
    <t xml:space="preserve">DISJUNTOR TERMOMAGNETICO TRIPOLAR 3  X 250 A/ICC - 25 KA                                                                                                                                                                                                                                                                                                                                                                                                                                                  </t>
  </si>
  <si>
    <t xml:space="preserve">DISJUNTOR TERMOMAGNETICO TRIPOLAR 3 X 350 A/ICC - 25 KA                                                                                                                                                                                                                                                                                                                                                                                                                                                   </t>
  </si>
  <si>
    <t xml:space="preserve">DISJUNTOR TERMOMAGNETICO TRIPOLAR 300 A / 600 V, TIPO JXD / ICC - 40 KA                                                                                                                                                                                                                                                                                                                                                                                                                                   </t>
  </si>
  <si>
    <t xml:space="preserve">DISJUNTOR TERMOMAGNETICO TRIPOLAR 400 A / 600 V, TIPO JXD / ICC - 40 KA                                                                                                                                                                                                                                                                                                                                                                                                                                   </t>
  </si>
  <si>
    <t xml:space="preserve">DISJUNTOR TERMOMAGNETICO TRIPOLAR 600 A / 600 V, TIPO LXD / ICC - 40 KA                                                                                                                                                                                                                                                                                                                                                                                                                                   </t>
  </si>
  <si>
    <t xml:space="preserve">DISJUNTOR TERMOMAGNETICO TRIPOLAR 800 A / 600 V, TIPO LMXD                                                                                                                                                                                                                                                                                                                                                                                                                                                </t>
  </si>
  <si>
    <t xml:space="preserve">DISJUNTOR TIPO DIN / IEC, MONOPOLAR DE 40  ATE 50A                                                                                                                                                                                                                                                                                                                                                                                                                                                        </t>
  </si>
  <si>
    <t xml:space="preserve">DISJUNTOR TIPO DIN/IEC, BIPOLAR DE 6 ATE 32A                                                                                                                                                                                                                                                                                                                                                                                                                                                              </t>
  </si>
  <si>
    <t xml:space="preserve">DISJUNTOR TIPO DIN/IEC, BIPOLAR 40 ATE 50A                                                                                                                                                                                                                                                                                                                                                                                                                                                                </t>
  </si>
  <si>
    <t xml:space="preserve">DISJUNTOR TIPO DIN/IEC, BIPOLAR 63 A                                                                                                                                                                                                                                                                                                                                                                                                                                                                      </t>
  </si>
  <si>
    <t xml:space="preserve">DISJUNTOR TIPO DIN/IEC, MONOPOLAR DE 6  ATE  32A                                                                                                                                                                                                                                                                                                                                                                                                                                                          </t>
  </si>
  <si>
    <t xml:space="preserve">DISJUNTOR TIPO DIN/IEC, MONOPOLAR DE 63 A                                                                                                                                                                                                                                                                                                                                                                                                                                                                 </t>
  </si>
  <si>
    <t xml:space="preserve">DISJUNTOR TIPO DIN/IEC, TRIPOLAR DE 10 ATE 50A                                                                                                                                                                                                                                                                                                                                                                                                                                                            </t>
  </si>
  <si>
    <t xml:space="preserve">DISJUNTOR TIPO DIN/IEC, TRIPOLAR 63 A                                                                                                                                                                                                                                                                                                                                                                                                                                                                     </t>
  </si>
  <si>
    <t xml:space="preserve">DISJUNTOR TIPO NEMA, BIPOLAR 10  ATE  50 A, TENSAO MAXIMA 415 V                                                                                                                                                                                                                                                                                                                                                                                                                                           </t>
  </si>
  <si>
    <t xml:space="preserve">DISJUNTOR TIPO NEMA, BIPOLAR 60 ATE 100A, TENSAO MAXIMA 415 V                                                                                                                                                                                                                                                                                                                                                                                                                                             </t>
  </si>
  <si>
    <t xml:space="preserve">DISJUNTOR TIPO NEMA, MONOPOLAR DE 60 ATE 70A, TENSAO MAXIMA DE 240 V                                                                                                                                                                                                                                                                                                                                                                                                                                      </t>
  </si>
  <si>
    <t xml:space="preserve">DISJUNTOR TIPO NEMA, MONOPOLAR 10 ATE 30A, TENSAO MAXIMA DE 240 V                                                                                                                                                                                                                                                                                                                                                                                                                                         </t>
  </si>
  <si>
    <t xml:space="preserve">DISJUNTOR TIPO NEMA, MONOPOLAR 35  ATE  50 A, TENSAO MAXIMA DE 240 V                                                                                                                                                                                                                                                                                                                                                                                                                                      </t>
  </si>
  <si>
    <t xml:space="preserve">DISJUNTOR TIPO NEMA, TRIPOLAR 10  ATE  50A, TENSAO MAXIMA DE 415 V                                                                                                                                                                                                                                                                                                                                                                                                                                        </t>
  </si>
  <si>
    <t xml:space="preserve">DISJUNTOR TIPO NEMA, TRIPOLAR 60 ATE 100 A, TENSAO MAXIMA DE 415 V                                                                                                                                                                                                                                                                                                                                                                                                                                        </t>
  </si>
  <si>
    <t xml:space="preserve">DISPOSITIVO DPS CLASSE II, 1 POLO, TENSAO MAXIMA DE 175 V, CORRENTE MAXIMA DE *20* KA (TIPO AC)                                                                                                                                                                                                                                                                                                                                                                                                           </t>
  </si>
  <si>
    <t xml:space="preserve">DISPOSITIVO DPS CLASSE II, 1 POLO, TENSAO MAXIMA DE 175 V, CORRENTE MAXIMA DE *30* KA (TIPO AC)                                                                                                                                                                                                                                                                                                                                                                                                           </t>
  </si>
  <si>
    <t xml:space="preserve">DISPOSITIVO DPS CLASSE II, 1 POLO, TENSAO MAXIMA DE 175 V, CORRENTE MAXIMA DE *45* KA (TIPO AC)                                                                                                                                                                                                                                                                                                                                                                                                           </t>
  </si>
  <si>
    <t xml:space="preserve">DISPOSITIVO DPS CLASSE II, 1 POLO, TENSAO MAXIMA DE 175 V, CORRENTE MAXIMA DE *90* KA (TIPO AC)                                                                                                                                                                                                                                                                                                                                                                                                           </t>
  </si>
  <si>
    <t xml:space="preserve">DISPOSITIVO DPS CLASSE II, 1 POLO, TENSAO MAXIMA DE 275 V, CORRENTE MAXIMA DE *20* KA (TIPO AC)                                                                                                                                                                                                                                                                                                                                                                                                           </t>
  </si>
  <si>
    <t xml:space="preserve">DISPOSITIVO DPS CLASSE II, 1 POLO, TENSAO MAXIMA DE 275 V, CORRENTE MAXIMA DE *30* KA (TIPO AC)                                                                                                                                                                                                                                                                                                                                                                                                           </t>
  </si>
  <si>
    <t xml:space="preserve">DISPOSITIVO DPS CLASSE II, 1 POLO, TENSAO MAXIMA DE 275 V, CORRENTE MAXIMA DE *45* KA (TIPO AC)                                                                                                                                                                                                                                                                                                                                                                                                           </t>
  </si>
  <si>
    <t xml:space="preserve">DISPOSITIVO DPS CLASSE II, 1 POLO, TENSAO MAXIMA DE 275 V, CORRENTE MAXIMA DE *90* KA (TIPO AC)                                                                                                                                                                                                                                                                                                                                                                                                           </t>
  </si>
  <si>
    <t xml:space="preserve">DISPOSITIVO DPS CLASSE II, 1 POLO, TENSAO MAXIMA DE 385 V, CORRENTE MAXIMA DE *20* KA (TIPO AC)                                                                                                                                                                                                                                                                                                                                                                                                           </t>
  </si>
  <si>
    <t xml:space="preserve">DISPOSITIVO DPS CLASSE II, 1 POLO, TENSAO MAXIMA DE 385 V, CORRENTE MAXIMA DE *30* KA (TIPO AC)                                                                                                                                                                                                                                                                                                                                                                                                           </t>
  </si>
  <si>
    <t xml:space="preserve">DISPOSITIVO DPS CLASSE II, 1 POLO, TENSAO MAXIMA DE 385 V, CORRENTE MAXIMA DE *45* KA (TIPO AC)                                                                                                                                                                                                                                                                                                                                                                                                           </t>
  </si>
  <si>
    <t xml:space="preserve">DISPOSITIVO DPS CLASSE II, 1 POLO, TENSAO MAXIMA DE 385 V, CORRENTE MAXIMA DE *90* KA (TIPO AC)                                                                                                                                                                                                                                                                                                                                                                                                           </t>
  </si>
  <si>
    <t xml:space="preserve">DISPOSITIVO DPS CLASSE II, 1 POLO, TENSAO MAXIMA DE 460 V, CORRENTE MAXIMA DE *20* KA (TIPO AC)                                                                                                                                                                                                                                                                                                                                                                                                           </t>
  </si>
  <si>
    <t xml:space="preserve">DISPOSITIVO DPS CLASSE II, 1 POLO, TENSAO MAXIMA DE 460 V, CORRENTE MAXIMA DE *30* KA (TIPO AC)                                                                                                                                                                                                                                                                                                                                                                                                           </t>
  </si>
  <si>
    <t xml:space="preserve">DISPOSITIVO DPS CLASSE II, 1 POLO, TENSAO MAXIMA DE 460 V, CORRENTE MAXIMA DE *45* KA (TIPO AC)                                                                                                                                                                                                                                                                                                                                                                                                           </t>
  </si>
  <si>
    <t xml:space="preserve">DISPOSITIVO DPS CLASSE II, 1 POLO, TENSAO MAXIMA DE 460 V, CORRENTE MAXIMA DE *90* KA (TIPO AC)                                                                                                                                                                                                                                                                                                                                                                                                           </t>
  </si>
  <si>
    <t xml:space="preserve">DISPOSITIVO DR, 2 POLOS, SENSIBILIDADE DE 30 MA, CORRENTE DE 100 A, TIPO AC                                                                                                                                                                                                                                                                                                                                                                                                                               </t>
  </si>
  <si>
    <t xml:space="preserve">DISPOSITIVO DR, 2 POLOS, SENSIBILIDADE DE 30 MA, CORRENTE DE 25 A, TIPO AC                                                                                                                                                                                                                                                                                                                                                                                                                                </t>
  </si>
  <si>
    <t xml:space="preserve">DISPOSITIVO DR, 2 POLOS, SENSIBILIDADE DE 30 MA, CORRENTE DE 40 A, TIPO AC                                                                                                                                                                                                                                                                                                                                                                                                                                </t>
  </si>
  <si>
    <t xml:space="preserve">DISPOSITIVO DR, 2 POLOS, SENSIBILIDADE DE 30 MA, CORRENTE DE 63 A, TIPO AC                                                                                                                                                                                                                                                                                                                                                                                                                                </t>
  </si>
  <si>
    <t xml:space="preserve">DISPOSITIVO DR, 2 POLOS, SENSIBILIDADE DE 30 MA, CORRENTE DE 80 A, TIPO AC                                                                                                                                                                                                                                                                                                                                                                                                                                </t>
  </si>
  <si>
    <t xml:space="preserve">DISPOSITIVO DR, 2 POLOS, SENSIBILIDADE DE 300 MA, CORRENTE DE 25 A, TIPO AC                                                                                                                                                                                                                                                                                                                                                                                                                               </t>
  </si>
  <si>
    <t xml:space="preserve">DISPOSITIVO DR, 2 POLOS, SENSIBILIDADE DE 300 MA, CORRENTE DE 40 A, TIPO AC                                                                                                                                                                                                                                                                                                                                                                                                                               </t>
  </si>
  <si>
    <t xml:space="preserve">DISPOSITIVO DR, 2 POLOS, SENSIBILIDADE DE 300 MA, CORRENTE DE 63 A, TIPO AC                                                                                                                                                                                                                                                                                                                                                                                                                               </t>
  </si>
  <si>
    <t xml:space="preserve">DISPOSITIVO DR, 2 POLOS, SENSIBILIDADE DE 300 MA, CORRENTE DE 80 A, TIPO  AC                                                                                                                                                                                                                                                                                                                                                                                                                              </t>
  </si>
  <si>
    <t xml:space="preserve">DISPOSITIVO DR, 4 POLOS, SENSIBILIDADE DE 30 MA, CORRENTE DE 100 A, TIPO AC                                                                                                                                                                                                                                                                                                                                                                                                                               </t>
  </si>
  <si>
    <t xml:space="preserve">DISPOSITIVO DR, 4 POLOS, SENSIBILIDADE DE 30 MA, CORRENTE DE 25 A, TIPO AC                                                                                                                                                                                                                                                                                                                                                                                                                                </t>
  </si>
  <si>
    <t xml:space="preserve">DISPOSITIVO DR, 4 POLOS, SENSIBILIDADE DE 30 MA, CORRENTE DE 40 A, TIPO AC                                                                                                                                                                                                                                                                                                                                                                                                                                </t>
  </si>
  <si>
    <t xml:space="preserve">DISPOSITIVO DR, 4 POLOS, SENSIBILIDADE DE 30 MA, CORRENTE DE 63 A, TIPO AC                                                                                                                                                                                                                                                                                                                                                                                                                                </t>
  </si>
  <si>
    <t xml:space="preserve">DISPOSITIVO DR, 4 POLOS, SENSIBILIDADE DE 30 MA, CORRENTE DE 80 A, TIPO AC                                                                                                                                                                                                                                                                                                                                                                                                                                </t>
  </si>
  <si>
    <t xml:space="preserve">DISPOSITIVO DR, 4 POLOS, SENSIBILIDADE DE 300 MA, CORRENTE DE 100 A, TIPO AC                                                                                                                                                                                                                                                                                                                                                                                                                              </t>
  </si>
  <si>
    <t xml:space="preserve">DISPOSITIVO DR, 4 POLOS, SENSIBILIDADE DE 300 MA, CORRENTE DE 25 A, TIPO AC                                                                                                                                                                                                                                                                                                                                                                                                                               </t>
  </si>
  <si>
    <t xml:space="preserve">DISPOSITIVO DR, 4 POLOS, SENSIBILIDADE DE 300 MA, CORRENTE DE 40 A, TIPO AC                                                                                                                                                                                                                                                                                                                                                                                                                               </t>
  </si>
  <si>
    <t xml:space="preserve">DISPOSITIVO DR, 4 POLOS, SENSIBILIDADE DE 300 MA, CORRENTE DE 63 A, TIPO AC                                                                                                                                                                                                                                                                                                                                                                                                                               </t>
  </si>
  <si>
    <t xml:space="preserve">DISPOSITIVO DR, 4 POLOS, SENSIBILIDADE DE 300 MA, CORRENTE DE 80 A, TIPO AC                                                                                                                                                                                                                                                                                                                                                                                                                               </t>
  </si>
  <si>
    <t xml:space="preserve">DISTRIBUIDOR DE AGREGADOS AUTOPROPELIDO, CAP 3 M3, A DIESEL, 6 CC, 176 CV                                                                                                                                                                                                                                                                                                                                                                                                                                 </t>
  </si>
  <si>
    <t>370.335,40</t>
  </si>
  <si>
    <t xml:space="preserve">DISTRIBUIDOR DE AGREGADOS REBOCAVEL, CAPACIDADE 1,9 M3, LARGURA DE TRABALHO 3,66 M                                                                                                                                                                                                                                                                                                                                                                                                                        </t>
  </si>
  <si>
    <t>85.181,24</t>
  </si>
  <si>
    <t xml:space="preserve">DISTRIBUIDOR METALICO, COM ROSCA, 2 SAIDAS, DN 1" X 1/2", PARA CONEXAO COM ANEL DESLIZANTE EM TUBO PEX                                                                                                                                                                                                                                                                                                                                                                                                    </t>
  </si>
  <si>
    <t xml:space="preserve">DISTRIBUIDOR METALICO, COM ROSCA, 2 SAIDAS, DN 3/4" X 1/2", PARA CONEXAO COM ANEL DESLIZANTE EM TUBO PEX                                                                                                                                                                                                                                                                                                                                                                                                  </t>
  </si>
  <si>
    <t xml:space="preserve">DISTRIBUIDOR METALICO, COM ROSCA, 3 SAIDAS, DN 1" X 1/2", PARA CONEXAO COM ANEL DESLIZANTE EM TUBO PEX                                                                                                                                                                                                                                                                                                                                                                                                    </t>
  </si>
  <si>
    <t xml:space="preserve">DISTRIBUIDOR METALICO, COM ROSCA, 3 SAIDAS, DN 3/4" X 1/2", PARA CONEXAO COM ANEL DESLIZANTE EM TUBO PEX                                                                                                                                                                                                                                                                                                                                                                                                  </t>
  </si>
  <si>
    <t xml:space="preserve">DISTRIBUIDOR, PLASTICO, 2 SAIDAS, DN 32 X 16 MM, PARA CONEXAO COM CRIMPAGEM EM TUBO PEX                                                                                                                                                                                                                                                                                                                                                                                                                   </t>
  </si>
  <si>
    <t xml:space="preserve">DISTRIBUIDOR, PLASTICO, 2 SAIDAS, DN 32 X 20 MM, PARA CONEXAO COM CRIMPAGEM EM TUBO PEX                                                                                                                                                                                                                                                                                                                                                                                                                   </t>
  </si>
  <si>
    <t xml:space="preserve">DISTRIBUIDOR, PLASTICO, 2 SAIDAS, DN 32 X 25 MM, PARA CONEXAO COM CRIMPAGEM EM TUBO PEX                                                                                                                                                                                                                                                                                                                                                                                                                   </t>
  </si>
  <si>
    <t xml:space="preserve">DISTRIBUIDOR, PLASTICO, 3 SAIDAS, DN 32 X 16 MM, PARA CONEXAO COM CRIMPAGEM EM TUBO PEX                                                                                                                                                                                                                                                                                                                                                                                                                   </t>
  </si>
  <si>
    <t xml:space="preserve">DISTRIBUIDOR, PLASTICO, 3 SAIDAS, DN 32 X 20 MM, PARA CONEXAO COM CRIMPAGEM EM TUBO PEX                                                                                                                                                                                                                                                                                                                                                                                                                   </t>
  </si>
  <si>
    <t xml:space="preserve">DISTRIBUIDOR, PLASTICO, 3 SAIDAS, DN 32 X 25 MM, PARA CONEXAO COM CRIMPAGEM EM TUBO PEX                                                                                                                                                                                                                                                                                                                                                                                                                   </t>
  </si>
  <si>
    <t xml:space="preserve">DIVISORIA EM GRANITO, COM DUAS FACES POLIDAS, TIPO ANDORINHA/ QUARTZ/ CASTELO/ CORUMBA OU OUTROS EQUIVALENTES DA REGIAO, E=  *3,0* CM                                                                                                                                                                                                                                                                                                                                                                     </t>
  </si>
  <si>
    <t xml:space="preserve">DIVISORIA EM MARMORE, COM DUAS FACES POLIDAS, BRANCO COMUM, E=  *3,0* CM                                                                                                                                                                                                                                                                                                                                                                                                                                  </t>
  </si>
  <si>
    <t xml:space="preserve">DIVISORIA, PLACA  PRE-MOLDADA EM GRANILITE, MARMORITE OU GRANITINA,  E = *3 CM                                                                                                                                                                                                                                                                                                                                                                                                                            </t>
  </si>
  <si>
    <t xml:space="preserve">DOBRADEIRA ELETROMECANICA DE VERGALHAO, PARA ACO DE DIAMETRO ATE 1 1/2 "Â, MOTOR ELETRICO TRIFASICO, POTENCIA DE 3 HP ATE 5 HP                                                                                                                                                                                                                                                                                                                                                                           </t>
  </si>
  <si>
    <t>112.256,47</t>
  </si>
  <si>
    <t xml:space="preserve">DOBRADICA EM ACO/FERRO, 3 1/2" X  3", E= 1,9  A 2 MM, COM ANEL,  CROMADO OU ZINCADO, TAMPA BOLA, COM PARAFUSOS                                                                                                                                                                                                                                                                                                                                                                                            </t>
  </si>
  <si>
    <t xml:space="preserve">DOBRADICA EM ACO/FERRO, 3" X 2 1/2", E= 1,2 A 1,8 MM, SEM ANEL,  CROMADO OU ZINCADO, TAMPA CHATA, COM PARAFUSOS                                                                                                                                                                                                                                                                                                                                                                                           </t>
  </si>
  <si>
    <t xml:space="preserve">DOBRADICA EM ACO/FERRO, 3" X 2 1/2", E= 1,9 A 2 MM, SEM ANEL,  CROMADO OU ZINCADO, TAMPA BOLA, COM PARAFUSOS                                                                                                                                                                                                                                                                                                                                                                                              </t>
  </si>
  <si>
    <t xml:space="preserve">DOBRADICA EM LATAO, 3 " X 2 1/2 ", E= 1,9 A 2 MM, COM ANEL, CROMADO, TAMPA BOLA, COM PARAFUSOS                                                                                                                                                                                                                                                                                                                                                                                                            </t>
  </si>
  <si>
    <t xml:space="preserve">DOBRADICA TIPO VAI-E-VEM EM ACO/FERRO, TAMANHO 3'', GALVANIZADO, COM PARAFUSOS                                                                                                                                                                                                                                                                                                                                                                                                                            </t>
  </si>
  <si>
    <t xml:space="preserve">DOMOS INDIVIDUAL EM ACRILICO BRANCO *95 X 95* CM, SEM INSTALACAO                                                                                                                                                                                                                                                                                                                                                                                                                                          </t>
  </si>
  <si>
    <t xml:space="preserve">DOSADOR DE AREIA, CAPACIDADE DE *26* LITROS                                                                                                                                                                                                                                                                                                                                                                                                                                                               </t>
  </si>
  <si>
    <t>1.564,46</t>
  </si>
  <si>
    <t xml:space="preserve">DUCHA / CHUVEIRO PLASTICO SIMPLES, 5 '', BRANCO, PARA ACOPLAR EM HASTE 1/2 ", AGUA FRIA                                                                                                                                                                                                                                                                                                                                                                                                                   </t>
  </si>
  <si>
    <t xml:space="preserve">DUCHA HIGIENICA PLASTICA COM REGISTRO METALICO 1/2 "                                                                                                                                                                                                                                                                                                                                                                                                                                                      </t>
  </si>
  <si>
    <t>91,22</t>
  </si>
  <si>
    <t xml:space="preserve">DUCHA METALICA DE PAREDE, ARTICULAVEL, COM BRACO/CANO, SEM DESVIADOR                                                                                                                                                                                                                                                                                                                                                                                                                                      </t>
  </si>
  <si>
    <t>193,66</t>
  </si>
  <si>
    <t xml:space="preserve">DUCHA METALICA DE PAREDE, ARTICULAVEL, COM DESVIADOR E DUCHA MANUAL                                                                                                                                                                                                                                                                                                                                                                                                                                       </t>
  </si>
  <si>
    <t>435,49</t>
  </si>
  <si>
    <t xml:space="preserve">DUMPER COM CAPACIDADE DE CARGA DE 1700 KG, PARTIDA ELETRICA, MOTOR DIESEL COM POTENCIA DE 16 CV                                                                                                                                                                                                                                                                                                                                                                                                           </t>
  </si>
  <si>
    <t>111.943,90</t>
  </si>
  <si>
    <t xml:space="preserve">ELEMENTO VAZADO CERAMICO DIAGONAL (TIPO FLOR/QUADRADO/XIS) 25 X 18 X 7 CM                                                                                                                                                                                                                                                                                                                                                                                                                                 </t>
  </si>
  <si>
    <t xml:space="preserve">ELEMENTO VAZADO CERAMICO QUADRADO (RETO OU REDONDO), *7 A 9 X 20 X 20* CM (L X A X C)                                                                                                                                                                                                                                                                                                                                                                                                                     </t>
  </si>
  <si>
    <t xml:space="preserve">ELEMENTO VAZADO DE CONCRETO, QUADRICULADO, 1 FURO *10 X 10 X 10* CM                                                                                                                                                                                                                                                                                                                                                                                                                                       </t>
  </si>
  <si>
    <t xml:space="preserve">ELEMENTO VAZADO DE CONCRETO, QUADRICULADO, 1 FURO *20 X 10 X 7* CM                                                                                                                                                                                                                                                                                                                                                                                                                                        </t>
  </si>
  <si>
    <t xml:space="preserve">ELEMENTO VAZADO DE CONCRETO, QUADRICULADO, 1 FURO *20 X 20 X 6,5* CM                                                                                                                                                                                                                                                                                                                                                                                                                                      </t>
  </si>
  <si>
    <t xml:space="preserve">ELEMENTO VAZADO DE CONCRETO, QUADRICULADO, 16 FUROS *29 X 29 X 6* CM                                                                                                                                                                                                                                                                                                                                                                                                                                      </t>
  </si>
  <si>
    <t xml:space="preserve">ELEMENTO VAZADO DE CONCRETO, QUADRICULADO, 16 FUROS *33 X 33 X 10* CM                                                                                                                                                                                                                                                                                                                                                                                                                                     </t>
  </si>
  <si>
    <t xml:space="preserve">ELEMENTO VAZADO DE CONCRETO, QUADRICULADO, 16 FUROS *40 X 40 X 7* CM                                                                                                                                                                                                                                                                                                                                                                                                                                      </t>
  </si>
  <si>
    <t xml:space="preserve">ELEMENTO VAZADO DE CONCRETO, QUADRICULADO, 16 FUROS *50 X 50 X 7* CM                                                                                                                                                                                                                                                                                                                                                                                                                                      </t>
  </si>
  <si>
    <t xml:space="preserve">ELEMENTO VAZADO DE CONCRETO, QUADRICULADO, 25 FUROS *50 X 50 X 5* CM                                                                                                                                                                                                                                                                                                                                                                                                                                      </t>
  </si>
  <si>
    <t>22,37</t>
  </si>
  <si>
    <t xml:space="preserve">ELEMENTO VAZADO DE CONCRETO, VENEZIANA *39 X 22 X 15* CM                                                                                                                                                                                                                                                                                                                                                                                                                                                  </t>
  </si>
  <si>
    <t xml:space="preserve">ELEMENTO VAZADO DE CONCRETO, VENEZIANA *39 X 29 X 10* CM                                                                                                                                                                                                                                                                                                                                                                                                                                                  </t>
  </si>
  <si>
    <t xml:space="preserve">ELEMENTO VAZADO DE CONCRETO, VENEZIANA *40 X 10 X 10* CM                                                                                                                                                                                                                                                                                                                                                                                                                                                  </t>
  </si>
  <si>
    <t xml:space="preserve">ELETRICISTA                                                                                                                                                                                                                                                                                                                                                                                                                                                                                               </t>
  </si>
  <si>
    <t xml:space="preserve">ELETRICISTA (MENSALISTA)                                                                                                                                                                                                                                                                                                                                                                                                                                                                                  </t>
  </si>
  <si>
    <t>3.498,84</t>
  </si>
  <si>
    <t xml:space="preserve">ELETRICISTA DE MANUTENCAO INDUSTRIAL                                                                                                                                                                                                                                                                                                                                                                                                                                                                      </t>
  </si>
  <si>
    <t xml:space="preserve">ELETRICISTA DE MANUTENCAO INDUSTRIAL (MENSALISTA)                                                                                                                                                                                                                                                                                                                                                                                                                                                         </t>
  </si>
  <si>
    <t>3.855,06</t>
  </si>
  <si>
    <t xml:space="preserve">ELETRODO REVESTIDO AWS - E-6010, DIAMETRO IGUAL A 4,00 MM                                                                                                                                                                                                                                                                                                                                                                                                                                                 </t>
  </si>
  <si>
    <t xml:space="preserve">ELETRODO REVESTIDO AWS - E6013, DIAMETRO IGUAL A 2,50 MM                                                                                                                                                                                                                                                                                                                                                                                                                                                  </t>
  </si>
  <si>
    <t>26,70</t>
  </si>
  <si>
    <t xml:space="preserve">ELETRODO REVESTIDO AWS - E6013, DIAMETRO IGUAL A 4,00 MM                                                                                                                                                                                                                                                                                                                                                                                                                                                  </t>
  </si>
  <si>
    <t>25,66</t>
  </si>
  <si>
    <t xml:space="preserve">ELETRODO REVESTIDO AWS - E7018, DIAMETRO IGUAL A 4,00 MM                                                                                                                                                                                                                                                                                                                                                                                                                                                  </t>
  </si>
  <si>
    <t>27,81</t>
  </si>
  <si>
    <t xml:space="preserve">ELETRODUTO DE PVC RIGIDO ROSCAVEL DE 1 ", SEM LUVA                                                                                                                                                                                                                                                                                                                                                                                                                                                        </t>
  </si>
  <si>
    <t xml:space="preserve">ELETRODUTO DE PVC RIGIDO ROSCAVEL DE 1 1/2 ", SEM LUVA                                                                                                                                                                                                                                                                                                                                                                                                                                                    </t>
  </si>
  <si>
    <t xml:space="preserve">ELETRODUTO DE PVC RIGIDO ROSCAVEL DE 1 1/4 ", SEM LUVA                                                                                                                                                                                                                                                                                                                                                                                                                                                    </t>
  </si>
  <si>
    <t xml:space="preserve">ELETRODUTO DE PVC RIGIDO ROSCAVEL DE 1/2 ", SEM LUVA                                                                                                                                                                                                                                                                                                                                                                                                                                                      </t>
  </si>
  <si>
    <t xml:space="preserve">ELETRODUTO DE PVC RIGIDO ROSCAVEL DE 2 ", SEM LUVA                                                                                                                                                                                                                                                                                                                                                                                                                                                        </t>
  </si>
  <si>
    <t xml:space="preserve">ELETRODUTO DE PVC RIGIDO ROSCAVEL DE 2 1/2 ", SEM LUVA                                                                                                                                                                                                                                                                                                                                                                                                                                                    </t>
  </si>
  <si>
    <t xml:space="preserve">ELETRODUTO DE PVC RIGIDO ROSCAVEL DE 3 ", SEM LUVA                                                                                                                                                                                                                                                                                                                                                                                                                                                        </t>
  </si>
  <si>
    <t xml:space="preserve">ELETRODUTO DE PVC RIGIDO ROSCAVEL DE 3/4 ", SEM LUVA                                                                                                                                                                                                                                                                                                                                                                                                                                                      </t>
  </si>
  <si>
    <t xml:space="preserve">ELETRODUTO DE PVC RIGIDO ROSCAVEL DE 4 ", SEM LUVA                                                                                                                                                                                                                                                                                                                                                                                                                                                        </t>
  </si>
  <si>
    <t xml:space="preserve">ELETRODUTO DE PVC RIGIDO SOLDAVEL, CLASSE B, DE 20 MM                                                                                                                                                                                                                                                                                                                                                                                                                                                     </t>
  </si>
  <si>
    <t xml:space="preserve">ELETRODUTO DE PVC RIGIDO SOLDAVEL, CLASSE B, DE 25 MM                                                                                                                                                                                                                                                                                                                                                                                                                                                     </t>
  </si>
  <si>
    <t xml:space="preserve">ELETRODUTO DE PVC RIGIDO SOLDAVEL, CLASSE B, DE 32 MM                                                                                                                                                                                                                                                                                                                                                                                                                                                     </t>
  </si>
  <si>
    <t xml:space="preserve">ELETRODUTO DE PVC RIGIDO SOLDAVEL, CLASSE B, DE 40 MM                                                                                                                                                                                                                                                                                                                                                                                                                                                     </t>
  </si>
  <si>
    <t xml:space="preserve">ELETRODUTO DE PVC RIGIDO SOLDAVEL, CLASSE B, DE 50 MM                                                                                                                                                                                                                                                                                                                                                                                                                                                     </t>
  </si>
  <si>
    <t xml:space="preserve">ELETRODUTO DE PVC RIGIDO SOLDAVEL, CLASSE B, DE 60 MM                                                                                                                                                                                                                                                                                                                                                                                                                                                     </t>
  </si>
  <si>
    <t xml:space="preserve">ELETRODUTO FLEXIVEL PLANO EM PEAD, COR PRETA E LARANJA,  DIAMETRO 32 MM                                                                                                                                                                                                                                                                                                                                                                                                                                   </t>
  </si>
  <si>
    <t xml:space="preserve">ELETRODUTO FLEXIVEL PLANO EM PEAD, COR PRETA E LARANJA,  DIAMETRO 40 MM                                                                                                                                                                                                                                                                                                                                                                                                                                   </t>
  </si>
  <si>
    <t xml:space="preserve">ELETRODUTO FLEXIVEL PLANO EM PEAD, COR PRETA E LARANJA, DIAMETRO 25 MM                                                                                                                                                                                                                                                                                                                                                                                                                                    </t>
  </si>
  <si>
    <t xml:space="preserve">ELETRODUTO FLEXIVEL, EM ACO GALVANIZADO, REVESTIDO EXTERNAMENTE COM PVC PRETO, DIAMETRO EXTERNO DE 25 MM (3/4"), TIPO SEALTUBO                                                                                                                                                                                                                                                                                                                                                                            </t>
  </si>
  <si>
    <t xml:space="preserve">ELETRODUTO FLEXIVEL, EM ACO GALVANIZADO, REVESTIDO EXTERNAMENTE COM PVC PRETO, DIAMETRO EXTERNO DE 32 MM (1"), TIPO SEALTUBO                                                                                                                                                                                                                                                                                                                                                                              </t>
  </si>
  <si>
    <t xml:space="preserve">ELETRODUTO FLEXIVEL, EM ACO GALVANIZADO, REVESTIDO EXTERNAMENTE COM PVC PRETO, DIAMETRO EXTERNO DE 40 MM (1 1/4"), TIPO SEALTUBO                                                                                                                                                                                                                                                                                                                                                                          </t>
  </si>
  <si>
    <t xml:space="preserve">ELETRODUTO FLEXIVEL, EM ACO GALVANIZADO, REVESTIDO EXTERNAMENTE COM PVC PRETO, DIAMETRO EXTERNO DE 50 MM( 1 1/2"), TIPO SEALTUBO                                                                                                                                                                                                                                                                                                                                                                          </t>
  </si>
  <si>
    <t xml:space="preserve">ELETRODUTO FLEXIVEL, EM ACO GALVANIZADO, REVESTIDO EXTERNAMENTE COM PVC PRETO, DIAMETRO EXTERNO DE 60 MM (2"), TIPO SEALTUBO                                                                                                                                                                                                                                                                                                                                                                              </t>
  </si>
  <si>
    <t xml:space="preserve">ELETRODUTO FLEXIVEL, EM ACO GALVANIZADO, REVESTIDO EXTERNAMENTE COM PVC PRETO, DIAMETRO EXTERNO DE 75 MM (2 1/2"), TIPO SEALTUBO                                                                                                                                                                                                                                                                                                                                                                          </t>
  </si>
  <si>
    <t>56,49</t>
  </si>
  <si>
    <t xml:space="preserve">ELETRODUTO FLEXIVEL, EM ACO, TIPO CONDUITE, DIAMETRO DE 1 1/2"                                                                                                                                                                                                                                                                                                                                                                                                                                            </t>
  </si>
  <si>
    <t xml:space="preserve">ELETRODUTO FLEXIVEL, EM ACO, TIPO CONDUITE, DIAMETRO DE 1 1/4"                                                                                                                                                                                                                                                                                                                                                                                                                                            </t>
  </si>
  <si>
    <t xml:space="preserve">ELETRODUTO FLEXIVEL, EM ACO, TIPO CONDUITE, DIAMETRO DE 1/2"                                                                                                                                                                                                                                                                                                                                                                                                                                              </t>
  </si>
  <si>
    <t xml:space="preserve">ELETRODUTO FLEXIVEL, EM ACO, TIPO CONDUITE, DIAMETRO DE 1"                                                                                                                                                                                                                                                                                                                                                                                                                                                </t>
  </si>
  <si>
    <t xml:space="preserve">ELETRODUTO FLEXIVEL, EM ACO, TIPO CONDUITE, DIAMETRO DE 2 1/2"                                                                                                                                                                                                                                                                                                                                                                                                                                            </t>
  </si>
  <si>
    <t xml:space="preserve">ELETRODUTO FLEXIVEL, EM ACO, TIPO CONDUITE, DIAMETRO DE 2"                                                                                                                                                                                                                                                                                                                                                                                                                                                </t>
  </si>
  <si>
    <t>30,75</t>
  </si>
  <si>
    <t xml:space="preserve">ELETRODUTO FLEXIVEL, EM ACO, TIPO CONDUITE, DIAMETRO DE 3"                                                                                                                                                                                                                                                                                                                                                                                                                                                </t>
  </si>
  <si>
    <t xml:space="preserve">ELETRODUTO METALICO FLEXIVEL REVESTIDO COM PVC PRETO, DIAMETRO EXTERNO DE 15 MM (3/8"), TIPO COPEX                                                                                                                                                                                                                                                                                                                                                                                                        </t>
  </si>
  <si>
    <t xml:space="preserve">ELETRODUTO PVC FLEXIVEL CORRUGADO, COR AMARELA, DE 16 MM                                                                                                                                                                                                                                                                                                                                                                                                                                                  </t>
  </si>
  <si>
    <t xml:space="preserve">ELETRODUTO PVC FLEXIVEL CORRUGADO, COR AMARELA, DE 20 MM                                                                                                                                                                                                                                                                                                                                                                                                                                                  </t>
  </si>
  <si>
    <t xml:space="preserve">ELETRODUTO PVC FLEXIVEL CORRUGADO, COR AMARELA, DE 25 MM                                                                                                                                                                                                                                                                                                                                                                                                                                                  </t>
  </si>
  <si>
    <t xml:space="preserve">ELETRODUTO PVC FLEXIVEL CORRUGADO, COR AMARELA, DE 32 MM                                                                                                                                                                                                                                                                                                                                                                                                                                                  </t>
  </si>
  <si>
    <t xml:space="preserve">ELETRODUTO PVC FLEXIVEL CORRUGADO, REFORCADO, COR LARANJA, DE 20 MM, PARA LAJES E PISOS                                                                                                                                                                                                                                                                                                                                                                                                                   </t>
  </si>
  <si>
    <t xml:space="preserve">ELETRODUTO PVC FLEXIVEL CORRUGADO, REFORCADO, COR LARANJA, DE 25 MM, PARA LAJES E PISOS                                                                                                                                                                                                                                                                                                                                                                                                                   </t>
  </si>
  <si>
    <t xml:space="preserve">ELETRODUTO PVC FLEXIVEL CORRUGADO, REFORCADO, COR LARANJA, DE 32 MM, PARA LAJES E PISOS                                                                                                                                                                                                                                                                                                                                                                                                                   </t>
  </si>
  <si>
    <t xml:space="preserve">ELETRODUTO/CONDULETE DE PVC RIGIDO, LISO, COR CINZA, DE 1/2", PARA INSTALACOES APARENTES (NBR 5410)                                                                                                                                                                                                                                                                                                                                                                                                       </t>
  </si>
  <si>
    <t xml:space="preserve">ELETRODUTO/CONDULETE DE PVC RIGIDO, LISO, COR CINZA, DE 1", PARA INSTALACOES APARENTES (NBR 5410)                                                                                                                                                                                                                                                                                                                                                                                                         </t>
  </si>
  <si>
    <t xml:space="preserve">ELETRODUTO/CONDULETE DE PVC RIGIDO, LISO, COR CINZA, DE 3/4", PARA INSTALACOES APARENTES (NBR 5410)                                                                                                                                                                                                                                                                                                                                                                                                       </t>
  </si>
  <si>
    <t xml:space="preserve">ELETRODUTO/DUTO PEAD FLEXIVEL PAREDE SIMPLES, CORRUGACAO HELICOIDAL, COR PRETA, SEM ROSCA, DE 2",  PARA CABEAMENTO SUBTERRANEO (NBR 15715)                                                                                                                                                                                                                                                                                                                                                                </t>
  </si>
  <si>
    <t xml:space="preserve">ELETRODUTO/DUTO PEAD FLEXIVEL PAREDE SIMPLES, CORRUGACAO HELICOIDAL, COR PRETA, SEM ROSCA, DE 3",  PARA CABEAMENTO SUBTERRANEO (NBR 15715)                                                                                                                                                                                                                                                                                                                                                                </t>
  </si>
  <si>
    <t xml:space="preserve">ELETRODUTODUTO PEAD FLEXIVEL PAREDE SIMPLES, CORRUGACAO HELICOIDAL, COR PRETA, SEM ROSCA, DE 1 1/2",  PARA CABEAMENTO SUBTERRANEO (NBR 15715)                                                                                                                                                                                                                                                                                                                                                             </t>
  </si>
  <si>
    <t xml:space="preserve">ELETRODUTODUTO PEAD FLEXIVEL PAREDE SIMPLES, CORRUGACAO HELICOIDAL, COR PRETA, SEM ROSCA, DE 1 1/4",  PARA CABEAMENTO SUBTERRANEO (NBR 15715)                                                                                                                                                                                                                                                                                                                                                             </t>
  </si>
  <si>
    <t xml:space="preserve">ELETRODUTODUTO PEAD FLEXIVEL PAREDE SIMPLES, CORRUGACAO HELICOIDAL, COR PRETA, SEM ROSCA, DE 4",  PARA CABEAMENTO SUBTERRANEO (NBR 15715)                                                                                                                                                                                                                                                                                                                                                                 </t>
  </si>
  <si>
    <t xml:space="preserve">ELETROTECNICO                                                                                                                                                                                                                                                                                                                                                                                                                                                                                             </t>
  </si>
  <si>
    <t xml:space="preserve">ELETROTECNICO (MENSALISTA)                                                                                                                                                                                                                                                                                                                                                                                                                                                                                </t>
  </si>
  <si>
    <t>4.198,14</t>
  </si>
  <si>
    <t xml:space="preserve">ELEVADOR DE CARGA A CABO, CABINE SEMI FECHADA 2,0 X 1,5 X 2,0 M, CAPACIDADE DE CARGA 1000 KG, TORRE  2,38 X 2,21 X 15 M, GUINCHO DE EMBREAGEM, FREIO DE SEGURANCA, LIMITADOR DE VELOCIDADE E CANCELA                                                                                                                                                                                                                                                                                                      </t>
  </si>
  <si>
    <t>59.165,50</t>
  </si>
  <si>
    <t xml:space="preserve">ELEVADOR DE CREMALHEIRA CABINE FECHADA 1,5 X 2,5 X 2,35 M (UMA POR TORRE), CAPACIDADE DE CARGA 1200 KG (15 PESSOAS), TORRE  24 M (16 MODULOS), FREIO DE SEGURANCA, LIMITADOR DE CARGA                                                                                                                                                                                                                                                                                                                     </t>
  </si>
  <si>
    <t>278.550,06</t>
  </si>
  <si>
    <t xml:space="preserve">EMENDA PARA CALHA PLUVIAL, PVC, DIAMETRO ENTRE 119 E 170 MM, PARA DRENAGEM PREDIAL                                                                                                                                                                                                                                                                                                                                                                                                                        </t>
  </si>
  <si>
    <t xml:space="preserve">EMULSAO ASFALTICA ANIONICA                                                                                                                                                                                                                                                                                                                                                                                                                                                                                </t>
  </si>
  <si>
    <t xml:space="preserve">EMULSAO ASFALTICA CATIONICA RL-1C PARA USO EM PAVIMENTACAO ASFALTICA (COLETADO CAIXA NA ANP ACRESCIDO DE ICMS)                                                                                                                                                                                                                                                                                                                                                                                            </t>
  </si>
  <si>
    <t>3.127,87</t>
  </si>
  <si>
    <t xml:space="preserve">EMULSAO ASFALTICA CATIONICA RR-2C PARA USO EM PAVIMENTACAO ASFALTICA (COLETADO CAIXA NA ANP ACRESCIDO DE ICMS)                                                                                                                                                                                                                                                                                                                                                                                            </t>
  </si>
  <si>
    <t xml:space="preserve">EMULSAO EXPLOSIVA EM CARTUCHOS DE 1" X 12", DENSIDADE 1.15 G/CM3, INICIACAO ESPOLETA N. 8 / CORDEL                                                                                                                                                                                                                                                                                                                                                                                                        </t>
  </si>
  <si>
    <t xml:space="preserve">EMULSAO EXPLOSIVA EM CARTUCHOS DE 1" X 24", DENSIDADE 1.15 G/CM3, INICIACAO ESPOLETA N. 8 / CORDEL                                                                                                                                                                                                                                                                                                                                                                                                        </t>
  </si>
  <si>
    <t xml:space="preserve">EMULSAO EXPLOSIVA EM CARTUCHOS DE 1" X 8", DENSIDADE 1.15 G/CM3, INICIACAO ESPOLETA N. 8 / CORDEL                                                                                                                                                                                                                                                                                                                                                                                                         </t>
  </si>
  <si>
    <t xml:space="preserve">EMULSAO EXPLOSIVA EM CARTUCHOS DE 2 1/2" X 24", DENSIDADE 1.15 G/CM3, INICIACAO ESPOLETA N. 8 / CORDEL                                                                                                                                                                                                                                                                                                                                                                                                    </t>
  </si>
  <si>
    <t xml:space="preserve">EMULSAO EXPLOSIVA EM CARTUCHOS DE 2 1/4" X 24", DENSIDADE 1.15 G/CM3, INICIACAO ESPOLETA N. 8 / CORDEL                                                                                                                                                                                                                                                                                                                                                                                                    </t>
  </si>
  <si>
    <t xml:space="preserve">EMULSAO EXPLOSIVA EM CARTUCHOS DE 2" X 24", DENSIDADE 1.15 G/CM3, INICIACAO ESPOLETA N. 8 / CORDEL                                                                                                                                                                                                                                                                                                                                                                                                        </t>
  </si>
  <si>
    <t xml:space="preserve">ENCANADOR OU BOMBEIRO HIDRAULICO                                                                                                                                                                                                                                                                                                                                                                                                                                                                          </t>
  </si>
  <si>
    <t xml:space="preserve">ENCANADOR OU BOMBEIRO HIDRAULICO (MENSALISTA)                                                                                                                                                                                                                                                                                                                                                                                                                                                             </t>
  </si>
  <si>
    <t>2.822,62</t>
  </si>
  <si>
    <t xml:space="preserve">ENCARREGADO GERAL DE OBRAS                                                                                                                                                                                                                                                                                                                                                                                                                                                                                </t>
  </si>
  <si>
    <t xml:space="preserve">ENCARREGADO GERAL DE OBRAS (MENSALISTA)                                                                                                                                                                                                                                                                                                                                                                                                                                                                   </t>
  </si>
  <si>
    <t>5.990,95</t>
  </si>
  <si>
    <t xml:space="preserve">ENDURECEDOR MINERAL DE BASE CIMENTICIA PARA PISO DE CONCRETO                                                                                                                                                                                                                                                                                                                                                                                                                                              </t>
  </si>
  <si>
    <t xml:space="preserve">ENERGIA ELETRICA ATE 2000 KWH INDUSTRIAL, SEM DEMANDA                                                                                                                                                                                                                                                                                                                                                                                                                                                     </t>
  </si>
  <si>
    <t xml:space="preserve">ENERGIA ELETRICA COMERCIAL, BAIXA TENSAO, RELATIVA AO CONSUMO DE ATE 100 KWH, INCLUINDO ICMS, PIS/PASEP E COFINS                                                                                                                                                                                                                                                                                                                                                                                          </t>
  </si>
  <si>
    <t xml:space="preserve">ENGATE / RABICHO FLEXIVEL INOX 1/2 " X 30 CM                                                                                                                                                                                                                                                                                                                                                                                                                                                              </t>
  </si>
  <si>
    <t>34,68</t>
  </si>
  <si>
    <t xml:space="preserve">ENGATE / RABICHO FLEXIVEL INOX 1/2 " X 40 CM                                                                                                                                                                                                                                                                                                                                                                                                                                                              </t>
  </si>
  <si>
    <t xml:space="preserve">ENGATE/RABICHO FLEXIVEL PLASTICO (PVC OU ABS) BRANCO 1/2 " X 30 CM                                                                                                                                                                                                                                                                                                                                                                                                                                        </t>
  </si>
  <si>
    <t xml:space="preserve">ENGATE/RABICHO FLEXIVEL PLASTICO (PVC OU ABS) BRANCO 1/2 " X 40 CM                                                                                                                                                                                                                                                                                                                                                                                                                                        </t>
  </si>
  <si>
    <t xml:space="preserve">ENGENHEIRO CIVIL DE OBRA JUNIOR                                                                                                                                                                                                                                                                                                                                                                                                                                                                           </t>
  </si>
  <si>
    <t>91,86</t>
  </si>
  <si>
    <t xml:space="preserve">ENGENHEIRO CIVIL DE OBRA JUNIOR (MENSALISTA)                                                                                                                                                                                                                                                                                                                                                                                                                                                              </t>
  </si>
  <si>
    <t>16.145,58</t>
  </si>
  <si>
    <t xml:space="preserve">ENGENHEIRO CIVIL DE OBRA PLENO                                                                                                                                                                                                                                                                                                                                                                                                                                                                            </t>
  </si>
  <si>
    <t xml:space="preserve">ENGENHEIRO CIVIL DE OBRA PLENO (MENSALISTA)                                                                                                                                                                                                                                                                                                                                                                                                                                                               </t>
  </si>
  <si>
    <t>18.376,98</t>
  </si>
  <si>
    <t xml:space="preserve">ENGENHEIRO CIVIL DE OBRA SENIOR                                                                                                                                                                                                                                                                                                                                                                                                                                                                           </t>
  </si>
  <si>
    <t>142,91</t>
  </si>
  <si>
    <t xml:space="preserve">ENGENHEIRO CIVIL DE OBRA SENIOR (MENSALISTA)                                                                                                                                                                                                                                                                                                                                                                                                                                                              </t>
  </si>
  <si>
    <t>25.120,84</t>
  </si>
  <si>
    <t xml:space="preserve">ENGENHEIRO CIVIL JUNIOR                                                                                                                                                                                                                                                                                                                                                                                                                                                                                   </t>
  </si>
  <si>
    <t xml:space="preserve">ENGENHEIRO CIVIL JUNIOR (MENSALISTA)                                                                                                                                                                                                                                                                                                                                                                                                                                                                      </t>
  </si>
  <si>
    <t>16.381,11</t>
  </si>
  <si>
    <t xml:space="preserve">ENGENHEIRO CIVIL PLENO                                                                                                                                                                                                                                                                                                                                                                                                                                                                                    </t>
  </si>
  <si>
    <t xml:space="preserve">ENGENHEIRO CIVIL PLENO (MENSALISTA)                                                                                                                                                                                                                                                                                                                                                                                                                                                                       </t>
  </si>
  <si>
    <t>18.481,12</t>
  </si>
  <si>
    <t xml:space="preserve">ENGENHEIRO CIVIL SENIOR                                                                                                                                                                                                                                                                                                                                                                                                                                                                                   </t>
  </si>
  <si>
    <t>144,08</t>
  </si>
  <si>
    <t xml:space="preserve">ENGENHEIRO CIVIL SENIOR (MENSALISTA)                                                                                                                                                                                                                                                                                                                                                                                                                                                                      </t>
  </si>
  <si>
    <t>25.326,63</t>
  </si>
  <si>
    <t xml:space="preserve">ENGENHEIRO ELETRICISTA                                                                                                                                                                                                                                                                                                                                                                                                                                                                                    </t>
  </si>
  <si>
    <t>97,61</t>
  </si>
  <si>
    <t xml:space="preserve">ENGENHEIRO ELETRICISTA (MENSALISTA)                                                                                                                                                                                                                                                                                                                                                                                                                                                                       </t>
  </si>
  <si>
    <t>17.158,64</t>
  </si>
  <si>
    <t xml:space="preserve">ENGENHEIRO SANITARISTA                                                                                                                                                                                                                                                                                                                                                                                                                                                                                    </t>
  </si>
  <si>
    <t>94,43</t>
  </si>
  <si>
    <t xml:space="preserve">ENGENHEIRO SANITARISTA (MENSALISTA)                                                                                                                                                                                                                                                                                                                                                                                                                                                                       </t>
  </si>
  <si>
    <t>16.601,31</t>
  </si>
  <si>
    <t xml:space="preserve">ENXADA ESTREITA *25 X 23* CM COM CABO                                                                                                                                                                                                                                                                                                                                                                                                                                                                     </t>
  </si>
  <si>
    <t xml:space="preserve">EPI - FAMILIA ALMOXARIFE - HORISTA (ENCARGOS COMPLEMENTARES - COLETADO CAIXA)                                                                                                                                                                                                                                                                                                                                                                                                                             </t>
  </si>
  <si>
    <t xml:space="preserve">EPI - FAMILIA ALMOXARIFE - MENSALISTA (ENCARGOS COMPLEMENTARES - COLETADO CAIXA)                                                                                                                                                                                                                                                                                                                                                                                                                          </t>
  </si>
  <si>
    <t xml:space="preserve">EPI - FAMILIA CARPINTEIRO DE FORMAS - HORISTA (ENCARGOS COMPLEMENTARES - COLETADO CAIXA)                                                                                                                                                                                                                                                                                                                                                                                                                  </t>
  </si>
  <si>
    <t xml:space="preserve">EPI - FAMILIA CARPINTEIRO DE FORMAS - MENSALISTA (ENCARGOS COMPLEMENTARES - COLETADO CAIXA)                                                                                                                                                                                                                                                                                                                                                                                                               </t>
  </si>
  <si>
    <t xml:space="preserve">EPI - FAMILIA ELETRICISTA - HORISTA (ENCARGOS COMPLEMENTARES - COLETADO CAIXA)                                                                                                                                                                                                                                                                                                                                                                                                                            </t>
  </si>
  <si>
    <t xml:space="preserve">EPI - FAMILIA ELETRICISTA - MENSALISTA (ENCARGOS COMPLEMENTARES - COLETADO CAIXA)                                                                                                                                                                                                                                                                                                                                                                                                                         </t>
  </si>
  <si>
    <t xml:space="preserve">EPI - FAMILIA ENCANADOR - HORISTA (ENCARGOS COMPLEMENTARES - COLETADO CAIXA)                                                                                                                                                                                                                                                                                                                                                                                                                              </t>
  </si>
  <si>
    <t xml:space="preserve">EPI - FAMILIA ENCANADOR - MENSALISTA (ENCARGOS COMPLEMENTARES - COLETADO CAIXA)                                                                                                                                                                                                                                                                                                                                                                                                                           </t>
  </si>
  <si>
    <t xml:space="preserve">EPI - FAMILIA ENCARREGADO GERAL - HORISTA (ENCARGOS COMPLEMENTARES - COLETADO CAIXA)                                                                                                                                                                                                                                                                                                                                                                                                                      </t>
  </si>
  <si>
    <t xml:space="preserve">EPI - FAMILIA ENCARREGADO GERAL - MENSALISTA (ENCARGOS COMPLEMENTARES - COLETADO CAIXA)                                                                                                                                                                                                                                                                                                                                                                                                                   </t>
  </si>
  <si>
    <t xml:space="preserve">EPI - FAMILIA ENGENHEIRO CIVIL - HORISTA (ENCARGOS COMPLEMENTARES - COLETADO CAIXA)                                                                                                                                                                                                                                                                                                                                                                                                                       </t>
  </si>
  <si>
    <t xml:space="preserve">EPI - FAMILIA ENGENHEIRO CIVIL - MENSALISTA (ENCARGOS COMPLEMENTARES - COLETADO CAIXA)                                                                                                                                                                                                                                                                                                                                                                                                                    </t>
  </si>
  <si>
    <t xml:space="preserve">EPI - FAMILIA OPERADOR ESCAVADEIRA - HORISTA (ENCARGOS COMPLEMENTARES - COLETADO CAIXA)                                                                                                                                                                                                                                                                                                                                                                                                                   </t>
  </si>
  <si>
    <t xml:space="preserve">EPI - FAMILIA OPERADOR ESCAVADEIRA - MENSALISTA (ENCARGOS COMPLEMENTARES - COLETADO CAIXA)                                                                                                                                                                                                                                                                                                                                                                                                                </t>
  </si>
  <si>
    <t xml:space="preserve">EPI - FAMILIA PEDREIRO - HORISTA (ENCARGOS COMPLEMENTARES - COLETADO CAIXA)                                                                                                                                                                                                                                                                                                                                                                                                                               </t>
  </si>
  <si>
    <t xml:space="preserve">EPI - FAMILIA PEDREIRO - MENSALISTA (ENCARGOS COMPLEMENTARES - COLETADO CAIXA)                                                                                                                                                                                                                                                                                                                                                                                                                            </t>
  </si>
  <si>
    <t xml:space="preserve">EPI - FAMILIA PINTOR - HORISTA (ENCARGOS COMPLEMENTARES - COLETADO CAIXA)                                                                                                                                                                                                                                                                                                                                                                                                                                 </t>
  </si>
  <si>
    <t xml:space="preserve">EPI - FAMILIA PINTOR - MENSALISTA (ENCARGOS COMPLEMENTARES - COLETADO CAIXA)                                                                                                                                                                                                                                                                                                                                                                                                                              </t>
  </si>
  <si>
    <t xml:space="preserve">EPI - FAMILIA SERVENTE - HORISTA (ENCARGOS COMPLEMENTARES - COLETADO CAIXA)                                                                                                                                                                                                                                                                                                                                                                                                                               </t>
  </si>
  <si>
    <t xml:space="preserve">EPI - FAMILIA SERVENTE - MENSALISTA (ENCARGOS COMPLEMENTARES - COLETADO CAIXA)                                                                                                                                                                                                                                                                                                                                                                                                                            </t>
  </si>
  <si>
    <t xml:space="preserve">EPI - FAMILIA SOLDADOR - HORISTA (ENCARGOS COMPLEMENTARES - COLETADO CAIXA)                                                                                                                                                                                                                                                                                                                                                                                                                               </t>
  </si>
  <si>
    <t xml:space="preserve">EPI - FAMILIA SOLDADOR - MENSALISTA (ENCARGOS COMPLEMENTARES - COLETADO CAIXA)                                                                                                                                                                                                                                                                                                                                                                                                                            </t>
  </si>
  <si>
    <t xml:space="preserve">EPI - FAMILIA TOPOGRAFO - HORISTA (ENCARGOS COMPLEMENTARES - COLETADO CAIXA)                                                                                                                                                                                                                                                                                                                                                                                                                              </t>
  </si>
  <si>
    <t xml:space="preserve">EPI - FAMILIA TOPOGRAFO - MENSALISTA (ENCARGOS COMPLEMENTARES - COLETADO CAIXA)                                                                                                                                                                                                                                                                                                                                                                                                                           </t>
  </si>
  <si>
    <t xml:space="preserve">EQUIPAMENTO DE LIMPEZA COMBINADO (VACUO/ALTA PRESSAO) 95% VACUO, TANQUE 7000 L, BOMBA 140 KGF/CM2 66 L/MIN COM MOTOR INDEPENDENTE A DIESEL DE 60 CV (INCLUI MONTAGEM, NAO INCLUI CAMINHAO)                                                                                                                                                                                                                                                                                                                </t>
  </si>
  <si>
    <t>302.676,96</t>
  </si>
  <si>
    <t xml:space="preserve">EQUIPAMENTO PARA DEMARCACAO DE FAIXAS DE TRAFEGO A FRIO, A SER MONTADO SOBRE CAMINHAO DE PBT MINIMO DE 9 T E DISTANCIA MINIMA ENTRE EIXOS DE 4,3 M, CAPACIDADE PARA 800 L DE TINTA (INCLUI MONTAGEM, NAO INCLUI CAMINHAO)                                                                                                                                                                                                                                                                                 </t>
  </si>
  <si>
    <t>1.640.058,59</t>
  </si>
  <si>
    <t xml:space="preserve">EQUIPAMENTO PARA DEMARCACAO DE FAIXAS DE TRAFEGO A QUENTE, A SER MONTADO SOBRE CAMINHAO DE PBT MINIMO DE 17 T E DISTANCIA MINIMA ENTRE EIXOS DE 5,2 M, CAPACIDADE PARA 1.000 KG DE MATERIAL TERMOPLASTICO (INCLUI MONTAGEM, NAO INCLUI CAMINHAO E NEM COMPRESSOR DE AR)                                                                                                                                                                                                                                   </t>
  </si>
  <si>
    <t>2.441.308,59</t>
  </si>
  <si>
    <t xml:space="preserve">ESCADA DUPLA DE ABRIR EM ALUMINIO, MODELO PINTOR, 8 DEGRAUS                                                                                                                                                                                                                                                                                                                                                                                                                                               </t>
  </si>
  <si>
    <t xml:space="preserve">ESCADA EXTENSIVEL EM ALUMINIO COM 6,00 M ESTENDIDA                                                                                                                                                                                                                                                                                                                                                                                                                                                        </t>
  </si>
  <si>
    <t xml:space="preserve">ESCAVADEIRA HIDRAULICA SOBRE ESTEIRA, COM GARRA GIRATORIA DE MANDIBULAS, PESO OPERACIONAL ENTRE 22,00 E 25,50 TON, POTENCIA LIQUIDA ENTRE 150 E 160 HP                                                                                                                                                                                                                                                                                                                                                    </t>
  </si>
  <si>
    <t>996.650,50</t>
  </si>
  <si>
    <t xml:space="preserve">ESCAVADEIRA HIDRAULICA SOBRE ESTEIRAS CACAMBA 0,40 A 1,20 M3, PESO OPERACIONAL 21,19 T, POTENCIA LIQUIDA 173 HP                                                                                                                                                                                                                                                                                                                                                                                           </t>
  </si>
  <si>
    <t>903.125,00</t>
  </si>
  <si>
    <t xml:space="preserve">ESCAVADEIRA HIDRAULICA SOBRE ESTEIRAS COM CACAMBA DE 1,20 M3, PESO OPERACIONAL 21 T, POTENCIA BRUTA 155 HP                                                                                                                                                                                                                                                                                                                                                                                                </t>
  </si>
  <si>
    <t>945.625,00</t>
  </si>
  <si>
    <t xml:space="preserve">ESCAVADEIRA HIDRAULICA SOBRE ESTEIRAS, CACAMBA  0,80 M3, PESO OPERACIONAL 17,8 T, POTENCIA LIQUIDA 110 HP                                                                                                                                                                                                                                                                                                                                                                                                 </t>
  </si>
  <si>
    <t>811.005,14</t>
  </si>
  <si>
    <t xml:space="preserve">ESCAVADEIRA HIDRAULICA SOBRE ESTEIRAS, CACAMBA 0,4 A 1,70 M3, PESO OPERACIONAL 23,2 T, POTENCIA BRUTA 183 HP                                                                                                                                                                                                                                                                                                                                                                                              </t>
  </si>
  <si>
    <t>969.000,00</t>
  </si>
  <si>
    <t xml:space="preserve">ESCAVADEIRA HIDRAULICA SOBRE ESTEIRAS, CACAMBA 0,62M3, PESO OPERACIONAL 12,61T, POTENCIA LIQUIDA 95HP                                                                                                                                                                                                                                                                                                                                                                                                     </t>
  </si>
  <si>
    <t>743.750,00</t>
  </si>
  <si>
    <t xml:space="preserve">ESCAVADEIRA HIDRAULICA SOBRE ESTEIRAS, CACAMBA 0,80 A 1,30 M3, PESO OPERACIONAL 22,18 T, POTENCIA LIQUIDA 170 HP                                                                                                                                                                                                                                                                                                                                                                                          </t>
  </si>
  <si>
    <t>887.187,50</t>
  </si>
  <si>
    <t xml:space="preserve">ESCAVADEIRA HIDRAULICA SOBRE ESTEIRAS, CACAMBA 0,80M3, PESO OPERACIONAL 17T, POTENCIA BRUTA 111HP                                                                                                                                                                                                                                                                                                                                                                                                         </t>
  </si>
  <si>
    <t>850.000,00</t>
  </si>
  <si>
    <t xml:space="preserve">ESCAVADEIRA HIDRAULICA SOBRE ESTEIRAS, CAPACIDADE DA CACAMBA ENTRE 1,20 E 1,50 M3, PESO OPERACIONAL ENTRE 20,00 E 22,00 TON, POTENCIA LIQUIDA ENTRE 150 E 155 HP, EQUIPADA COM CLAMSHELL                                                                                                                                                                                                                                                                                                                  </t>
  </si>
  <si>
    <t>959.463,00</t>
  </si>
  <si>
    <t xml:space="preserve">ESCORA PRE-MOLDADA EM CONCRETO, *10 X 10* CM, H = 2,30M                                                                                                                                                                                                                                                                                                                                                                                                                                                   </t>
  </si>
  <si>
    <t>49,00</t>
  </si>
  <si>
    <t xml:space="preserve">ESCOVA CIRCULAR EM ACO LATONADO, 6 X 1 " (DIAMETRO X ESPESSURA), FURO DE 1 1/4 ", FIO ONDULADO *0,30* MM                                                                                                                                                                                                                                                                                                                                                                                                  </t>
  </si>
  <si>
    <t xml:space="preserve">ESCOVA DE ACO, COM CABO, *4  X 15* FILEIRAS DE CERDAS                                                                                                                                                                                                                                                                                                                                                                                                                                                     </t>
  </si>
  <si>
    <t xml:space="preserve">ESGUICHO JATO REGULAVEL, TIPO ELKHART, ENGATE RAPIDO 1 1/2", PARA COMBATE A INCENDIO                                                                                                                                                                                                                                                                                                                                                                                                                      </t>
  </si>
  <si>
    <t>215,49</t>
  </si>
  <si>
    <t xml:space="preserve">ESGUICHO JATO REGULAVEL, TIPO ELKHART, ENGATE RAPIDO 2 1/2", PARA COMBATE A INCENDIO                                                                                                                                                                                                                                                                                                                                                                                                                      </t>
  </si>
  <si>
    <t>262,14</t>
  </si>
  <si>
    <t xml:space="preserve">ESGUICHO TIPO JATO SOLIDO, EM LATAO, ENGATE RAPIDO 1 1/2" X 13 MM, PARA MANGUEIRA EM INSTALACAO PREDIAL COMBATE A INCENDIO                                                                                                                                                                                                                                                                                                                                                                                </t>
  </si>
  <si>
    <t>65,78</t>
  </si>
  <si>
    <t xml:space="preserve">ESGUICHO TIPO JATO SOLIDO, EM LATAO, ENGATE RAPIDO 1 1/2" X 16 MM, PARA MANGUEIRA EM INSTALACAO PREDIAL COMBATE A INCENDIO                                                                                                                                                                                                                                                                                                                                                                                </t>
  </si>
  <si>
    <t>66,39</t>
  </si>
  <si>
    <t xml:space="preserve">ESGUICHO TIPO JATO SOLIDO, EM LATAO, ENGATE RAPIDO 1 1/2" X 19 MM, PARA MANGUEIRA EM INSTALACAO PREDIAL COMBATE A INCENDIO                                                                                                                                                                                                                                                                                                                                                                                </t>
  </si>
  <si>
    <t>71,48</t>
  </si>
  <si>
    <t xml:space="preserve">ESGUICHO TIPO JATO SOLIDO, EM LATAO, ENGATE RAPIDO 2 1/2" X 13 MM, PARA MANGUEIRA EM INSTALACAO PREDIAL COMBATE A INCENDIO                                                                                                                                                                                                                                                                                                                                                                                </t>
  </si>
  <si>
    <t>108,35</t>
  </si>
  <si>
    <t xml:space="preserve">ESGUICHO TIPO JATO SOLIDO, EM LATAO, ENGATE RAPIDO 2 1/2" X 16 MM, PARA MANGUEIRA EM INSTALACAO PREDIAL COMBATE A INCENDIO                                                                                                                                                                                                                                                                                                                                                                                </t>
  </si>
  <si>
    <t xml:space="preserve">ESGUICHO TIPO JATO SOLIDO, EM LATAO, ENGATE RAPIDO 2 1/2" X 19 MM, PARA MANGUEIRA EM INSTALACAO PREDIAL COMBATE A INCENDIO                                                                                                                                                                                                                                                                                                                                                                                </t>
  </si>
  <si>
    <t xml:space="preserve">ESMERILHADEIRA ANGULAR ELETRICA, DIAMETRO DO DISCO 7 '' (180 MM), ROTACAO 8500 RPM, POTENCIA 2400 W                                                                                                                                                                                                                                                                                                                                                                                                       </t>
  </si>
  <si>
    <t>930,00</t>
  </si>
  <si>
    <t xml:space="preserve">ESPACADOR / DISTANCIADOR CIRCULAR COM ENTRADA LATERAL, EM PLASTICO, PARA VERGALHAO *4,2 A 12,5* MM, COBRIMENTO 20 MM                                                                                                                                                                                                                                                                                                                                                                                      </t>
  </si>
  <si>
    <t xml:space="preserve">ESPACADOR / DISTANCIADOR TIPO GARRA DUPLA, EM PLASTICO, COBRIMENTO *20* MM, PARA FERRAGENS DE LAJES E FUNDO DE VIGAS                                                                                                                                                                                                                                                                                                                                                                                      </t>
  </si>
  <si>
    <t xml:space="preserve">ESPACADOR / DISTANCIADOR TIPO PINO EM PLASTICO, PARA VERGALHAO ATE 10 MM, PARA APOIO DE ARMADURA                                                                                                                                                                                                                                                                                                                                                                                                          </t>
  </si>
  <si>
    <t xml:space="preserve">ESPACADOR / SEPARADOR DE BARRA , METALICO, TIPO CARAMBOLA, PARA TIRANTES, 25 X 84 MM                                                                                                                                                                                                                                                                                                                                                                                                                      </t>
  </si>
  <si>
    <t xml:space="preserve">ESPACADOR OU DISTANCIADOR, EM PLASTICO, TIPO APOIO DE CORDOALHA (CARANGUEJO), PARA ARMADURA NEGATIVA E PROTENSAO, COBRIMENTO 50 MM                                                                                                                                                                                                                                                                                                                                                                        </t>
  </si>
  <si>
    <t xml:space="preserve">ESPACADOR/SEPARADOR DE CORDOALHA TIPO DISCO 12 FUROS DE 14 MM, PARA TIRANTES                                                                                                                                                                                                                                                                                                                                                                                                                              </t>
  </si>
  <si>
    <t xml:space="preserve">ESPARGIDOR DE ASFALTO PRESSURIZADO, REBOCAVEL, TANQUE DE 2500 L, PNEUMATICO,  COM MOTOR A GASOLINA 3,4HP                                                                                                                                                                                                                                                                                                                                                                                                  </t>
  </si>
  <si>
    <t>109.800,00</t>
  </si>
  <si>
    <t xml:space="preserve">ESPARGIDOR DE ASFALTO PRESSURIZADO, TANQUE 6 M3 COM ISOLACAO TERMICA, AQUECIDO COM 2 MACARICOS, COM BARRA ESPARGIDORA 3,60 M, A SER MONTADO SOBRE CAMINHAO                                                                                                                                                                                                                                                                                                                                                </t>
  </si>
  <si>
    <t>233.085,40</t>
  </si>
  <si>
    <t xml:space="preserve">ESPATULA DE ACO INOX COM CABO DE MADEIRA, LARGURA 8 CM                                                                                                                                                                                                                                                                                                                                                                                                                                                    </t>
  </si>
  <si>
    <t xml:space="preserve">ESPATULA DE PLASTICO LISA, LARGURA 10 CM                                                                                                                                                                                                                                                                                                                                                                                                                                                                  </t>
  </si>
  <si>
    <t xml:space="preserve">ESPELHO / PLACA CEGA 4" X 2", PARA INSTALACAO DE TOMADAS E INTERRUPTORES                                                                                                                                                                                                                                                                                                                                                                                                                                  </t>
  </si>
  <si>
    <t xml:space="preserve">ESPELHO / PLACA CEGA 4" X 4", PARA INSTALACAO DE TOMADAS E INTERRUPTORES                                                                                                                                                                                                                                                                                                                                                                                                                                  </t>
  </si>
  <si>
    <t xml:space="preserve">ESPELHO / PLACA DE 1 POSTO 4" X 2", PARA INSTALACAO DE TOMADAS E INTERRUPTORES                                                                                                                                                                                                                                                                                                                                                                                                                            </t>
  </si>
  <si>
    <t xml:space="preserve">ESPELHO / PLACA DE 2 POSTOS 4" X 2", PARA INSTALACAO DE TOMADAS E INTERRUPTORES                                                                                                                                                                                                                                                                                                                                                                                                                           </t>
  </si>
  <si>
    <t xml:space="preserve">ESPELHO / PLACA DE 2 POSTOS 4" X 4", PARA INSTALACAO DE TOMADAS E INTERRUPTORES                                                                                                                                                                                                                                                                                                                                                                                                                           </t>
  </si>
  <si>
    <t xml:space="preserve">ESPELHO / PLACA DE 3 POSTOS 4" X 2", PARA INSTALACAO DE TOMADAS E INTERRUPTORES                                                                                                                                                                                                                                                                                                                                                                                                                           </t>
  </si>
  <si>
    <t xml:space="preserve">ESPELHO / PLACA DE 4 POSTOS 4" X 4", PARA INSTALACAO DE TOMADAS E INTERRUPTORES                                                                                                                                                                                                                                                                                                                                                                                                                           </t>
  </si>
  <si>
    <t>5,63</t>
  </si>
  <si>
    <t xml:space="preserve">ESPELHO / PLACA DE 6 POSTOS 4" X 4", PARA INSTALACAO DE TOMADAS E INTERRUPTORES                                                                                                                                                                                                                                                                                                                                                                                                                           </t>
  </si>
  <si>
    <t xml:space="preserve">ESPELHO CRISTAL E = 4 MM                                                                                                                                                                                                                                                                                                                                                                                                                                                                                  </t>
  </si>
  <si>
    <t>575,89</t>
  </si>
  <si>
    <t xml:space="preserve">ESPELHO, RETO OU CURVO, EM LATAO CROMADO, ESPESSURA ATE 6 MM, LARGURA *40*MM, ALTURA *180*MM - PARA FECHADURA DE EMBUTIR                                                                                                                                                                                                                                                                                                                                                                                  </t>
  </si>
  <si>
    <t xml:space="preserve">ESPELHO, RETO OU CURVO, EM LATAO CROMADO, ESPESSURA MINIMA 6 MM, LARGURA *43*MM, ALTURA *230*MM - PARA FECHADURA DE EMBUTIR                                                                                                                                                                                                                                                                                                                                                                               </t>
  </si>
  <si>
    <t xml:space="preserve">ESPOLETA SIMPLES N 8.                                                                                                                                                                                                                                                                                                                                                                                                                                                                                     </t>
  </si>
  <si>
    <t xml:space="preserve">ESPUMA EXPANSIVA DE POLIURETANO, APLICACAO MANUAL - 500 ML                                                                                                                                                                                                                                                                                                                                                                                                                                                </t>
  </si>
  <si>
    <t xml:space="preserve">ESQUADRO DE ACO 12 " (300 MM), CABO DE ALUMINIO                                                                                                                                                                                                                                                                                                                                                                                                                                                           </t>
  </si>
  <si>
    <t xml:space="preserve">ESQUADRO INTERNO OU EXTERNO PARA CALHA PLUVIAL, PVC, DIAMETRO ENTRE 119 E 170 MM, PARA DRENAGEM PREDIAL                                                                                                                                                                                                                                                                                                                                                                                                   </t>
  </si>
  <si>
    <t xml:space="preserve">ESQUI TRIPLO, EM TUBO DE ACO CARBONO, PINTURA NO PROCESSO ELETROSTATICO - EQUIPAMENTO DE GINASTICA PARA ACADEMIA AO AR LIVRE / ACADEMIA DA TERCEIRA IDADE - ATI                                                                                                                                                                                                                                                                                                                                           </t>
  </si>
  <si>
    <t>4.616,32</t>
  </si>
  <si>
    <t xml:space="preserve">ESTABILIZADOR BIVOLT AUTOMATICO, 1000 VA                                                                                                                                                                                                                                                                                                                                                                                                                                                                  </t>
  </si>
  <si>
    <t>434,13</t>
  </si>
  <si>
    <t xml:space="preserve">ESTABILIZADOR BIVOLT AUTOMATICO, 1500 VA                                                                                                                                                                                                                                                                                                                                                                                                                                                                  </t>
  </si>
  <si>
    <t>787,44</t>
  </si>
  <si>
    <t xml:space="preserve">ESTABILIZADOR BIVOLT AUTOMATICO, 2000 VA                                                                                                                                                                                                                                                                                                                                                                                                                                                                  </t>
  </si>
  <si>
    <t>1.078,47</t>
  </si>
  <si>
    <t xml:space="preserve">ESTABILIZADOR BIVOLT AUTOMATICO, 300 VA                                                                                                                                                                                                                                                                                                                                                                                                                                                                   </t>
  </si>
  <si>
    <t>172,44</t>
  </si>
  <si>
    <t xml:space="preserve">ESTABILIZADOR BIVOLT AUTOMATICO, 500 VA                                                                                                                                                                                                                                                                                                                                                                                                                                                                   </t>
  </si>
  <si>
    <t>251,58</t>
  </si>
  <si>
    <t xml:space="preserve">ESTACA PRE-MOLDADA MACICA DE CONCRETO VIBRADO ARMADO, PARA CARGA DE 25 T, SECAO QUADRADA DE *16 X 16*, COM ANEL METALICO INCORPORADO A PECA (SOMENTE FORNECIMENTO)                                                                                                                                                                                                                                                                                                                                        </t>
  </si>
  <si>
    <t>47,06</t>
  </si>
  <si>
    <t xml:space="preserve">ESTACA PRE-MOLDADA MACICA DE CONCRETO VIBRADO ARMADO, PARA CARGA DE 50 T, SECAO QUADRADA, COM ANEL METALICO INCORPORADO A PECA (SOMENTE FORNECIMENTO)                                                                                                                                                                                                                                                                                                                                                     </t>
  </si>
  <si>
    <t>63,99</t>
  </si>
  <si>
    <t xml:space="preserve">ESTACA PRE-MOLDADA VAZADA DE CONCRETO CENTRIFUGADO, PARA CARGA DE 100 T, SECAO CIRCULAR, COM ANEL METALICO INCORPORADO A PECA (SOMENTE FORNECIMENTO)                                                                                                                                                                                                                                                                                                                                                      </t>
  </si>
  <si>
    <t>164,00</t>
  </si>
  <si>
    <t xml:space="preserve">ESTILETE DE METAL, LAMINA 18 MM                                                                                                                                                                                                                                                                                                                                                                                                                                                                           </t>
  </si>
  <si>
    <t xml:space="preserve">ESTOPA                                                                                                                                                                                                                                                                                                                                                                                                                                                                                                    </t>
  </si>
  <si>
    <t xml:space="preserve">ESTOPIM SIMPLES                                                                                                                                                                                                                                                                                                                                                                                                                                                                                           </t>
  </si>
  <si>
    <t xml:space="preserve">ESTRIBO COM PARAFUSO EM CHAPA DE FERRO FUNDIDO DE 2" X 3/16" X 35 CM, SECAO "U", PARA MADEIRAMENTO DE TELHADO                                                                                                                                                                                                                                                                                                                                                                                             </t>
  </si>
  <si>
    <t>40,07</t>
  </si>
  <si>
    <t xml:space="preserve">ETANOL                                                                                                                                                                                                                                                                                                                                                                                                                                                                                                    </t>
  </si>
  <si>
    <t xml:space="preserve">EXAMES - HORISTA (COLETADO CAIXA)                                                                                                                                                                                                                                                                                                                                                                                                                                                                         </t>
  </si>
  <si>
    <t xml:space="preserve">EXAMES - MENSALISTA (COLETADO CAIXA)                                                                                                                                                                                                                                                                                                                                                                                                                                                                      </t>
  </si>
  <si>
    <t xml:space="preserve">EXTENSAO DE SOLDA 201 ACETILENO, E = *1,5 A 2,5* MM                                                                                                                                                                                                                                                                                                                                                                                                                                                       </t>
  </si>
  <si>
    <t xml:space="preserve">EXTENSAO DE SOLDA 201 GLP, E = *2,5 A 4,0* MM                                                                                                                                                                                                                                                                                                                                                                                                                                                             </t>
  </si>
  <si>
    <t>34,05</t>
  </si>
  <si>
    <t xml:space="preserve">EXTINTOR DE INCENDIO PORTATIL COM CARGA DE AGUA PRESSURIZADA DE 10 L, CLASSE A                                                                                                                                                                                                                                                                                                                                                                                                                            </t>
  </si>
  <si>
    <t>164,58</t>
  </si>
  <si>
    <t xml:space="preserve">EXTINTOR DE INCENDIO PORTATIL COM CARGA DE GAS CARBONICO CO2 DE 4 KG, CLASSE BC                                                                                                                                                                                                                                                                                                                                                                                                                           </t>
  </si>
  <si>
    <t>520,89</t>
  </si>
  <si>
    <t xml:space="preserve">EXTINTOR DE INCENDIO PORTATIL COM CARGA DE GAS CARBONICO CO2 DE 6 KG, CLASSE BC                                                                                                                                                                                                                                                                                                                                                                                                                           </t>
  </si>
  <si>
    <t>564,30</t>
  </si>
  <si>
    <t xml:space="preserve">EXTINTOR DE INCENDIO PORTATIL COM CARGA DE PO QUIMICO SECO (PQS) DE 12 KG, CLASSE BC                                                                                                                                                                                                                                                                                                                                                                                                                      </t>
  </si>
  <si>
    <t>260,44</t>
  </si>
  <si>
    <t xml:space="preserve">EXTINTOR DE INCENDIO PORTATIL COM CARGA DE PO QUIMICO SECO (PQS) DE 4 KG, CLASSE BC                                                                                                                                                                                                                                                                                                                                                                                                                       </t>
  </si>
  <si>
    <t>159,16</t>
  </si>
  <si>
    <t xml:space="preserve">EXTINTOR DE INCENDIO PORTATIL COM CARGA DE PO QUIMICO SECO (PQS) DE 6 KG, CLASSE BC                                                                                                                                                                                                                                                                                                                                                                                                                       </t>
  </si>
  <si>
    <t xml:space="preserve">EXTINTOR DE INCENDIO PORTATIL COM CARGA DE PO QUIMICO SECO (PQS) DE 8 KG, CLASSE BC                                                                                                                                                                                                                                                                                                                                                                                                                       </t>
  </si>
  <si>
    <t>224,27</t>
  </si>
  <si>
    <t xml:space="preserve">EXTREMIDADE PVC PBA, BF, JE, DN 100/ DE 110 MM (NBR 10351)                                                                                                                                                                                                                                                                                                                                                                                                                                                </t>
  </si>
  <si>
    <t>228,17</t>
  </si>
  <si>
    <t xml:space="preserve">EXTREMIDADE PVC PBA, BF, JE, DN 50 / DE 60 MM (NBR 10351)                                                                                                                                                                                                                                                                                                                                                                                                                                                 </t>
  </si>
  <si>
    <t xml:space="preserve">EXTREMIDADE PVC PBA, BF, JE, DN 75/ DE 85 MM (NBR 10351)                                                                                                                                                                                                                                                                                                                                                                                                                                                  </t>
  </si>
  <si>
    <t>144,05</t>
  </si>
  <si>
    <t xml:space="preserve">EXTREMIDADE PVC PBA, PF, JE, DN 100 / DE 110 MM (NBR 10351)                                                                                                                                                                                                                                                                                                                                                                                                                                               </t>
  </si>
  <si>
    <t>187,58</t>
  </si>
  <si>
    <t xml:space="preserve">EXTREMIDADE PVC PBA, PF, JE, DN 50/ DE 60 MM (NBR 10351)                                                                                                                                                                                                                                                                                                                                                                                                                                                  </t>
  </si>
  <si>
    <t>47,25</t>
  </si>
  <si>
    <t xml:space="preserve">EXTREMIDADE PVC PBA, PF, JE, DN 75 / DE 85 MM (NBR 10351)                                                                                                                                                                                                                                                                                                                                                                                                                                                 </t>
  </si>
  <si>
    <t>118,54</t>
  </si>
  <si>
    <t xml:space="preserve">EXTREMIDADE/TUBETE PARA HIDROMETRO PVC, COM ROSCA, CURTA, COM BUCHA LATAO, 1/2"                                                                                                                                                                                                                                                                                                                                                                                                                           </t>
  </si>
  <si>
    <t xml:space="preserve">EXTREMIDADE/TUBETE PARA HIDROMETRO PVC, COM ROSCA, CURTA, COM BUCHA LATAO, 3/4"                                                                                                                                                                                                                                                                                                                                                                                                                           </t>
  </si>
  <si>
    <t xml:space="preserve">EXTREMIDADE/TUBETE PARA HIDROMETRO PVC, COM ROSCA, CURTA, SEM BUCHA LATAO, 1/2"                                                                                                                                                                                                                                                                                                                                                                                                                           </t>
  </si>
  <si>
    <t xml:space="preserve">EXTREMIDADE/TUBETE PARA HIDROMETRO PVC, COM ROSCA, CURTA, SEM BUCHA LATAO, 3/4"                                                                                                                                                                                                                                                                                                                                                                                                                           </t>
  </si>
  <si>
    <t xml:space="preserve">EXTREMIDADE/TUBETE PARA HIDROMETRO PVC, COM ROSCA, LONGA, SEM BUCHA LATAO, 1/2"                                                                                                                                                                                                                                                                                                                                                                                                                           </t>
  </si>
  <si>
    <t xml:space="preserve">EXTREMIDADE/TUBETE PARA HIDROMETRO PVC, COM ROSCA, LONGA, SEM BUCHA LATAO, 3/4"                                                                                                                                                                                                                                                                                                                                                                                                                           </t>
  </si>
  <si>
    <t xml:space="preserve">FECHADRUA BICO DE PAPAGAIO PARA PORTA DE CORRER EXTERNA, EM ACO INOX COM ACABAMENTO CROMADO, MAQUINA COM 45 MM, INCLUINDO CHAVE TIPO CILINDRO                                                                                                                                                                                                                                                                                                                                                             </t>
  </si>
  <si>
    <t>67,34</t>
  </si>
  <si>
    <t xml:space="preserve">FECHADRUA BICO DE PAPAGAIO PARA PORTA DE CORRER INTERNA, EM ACO INOX COM ACABAMENTO CROMADO, MAQUINA COM 45 MM, INCLUINDO CHAVE TIPO BIPARTIDA                                                                                                                                                                                                                                                                                                                                                            </t>
  </si>
  <si>
    <t xml:space="preserve">FECHADURA AUXILIAR DE SEGURANCA PARA PORTA EXTERNA, EM ACO INOX, BROCA DE 45 A 55 MM, LINGUETA COM 3 AVANCOS, INCLUINDO 2 CHAVES TIPO CILINDRO                                                                                                                                                                                                                                                                                                                                                            </t>
  </si>
  <si>
    <t xml:space="preserve">FECHADURA DE EMBUTIR PARA GAVETA E MOVEIS DE MADEIRA, EM ACO INOX COM ACABAMENTO CROMADO, COM ABAS LATERAIS, CILINDRO COM 22 MM DE DIAMETRO, INCLUINDO CHAVE COM PERFIL METALICO E CAPA ESCAMOTEAVEL                                                                                                                                                                                                                                                                                                      </t>
  </si>
  <si>
    <t xml:space="preserve">FECHADURA DE SOBREPOR PARA GAVETAS E ARMARIOS, EM ACO INOX COM ACABAMENTO CROMADO, COM CILINDRO DE APROX 20 MM                                                                                                                                                                                                                                                                                                                                                                                            </t>
  </si>
  <si>
    <t xml:space="preserve">FECHADURA DE SOBREPOR PARA PORTAO, EM ACO INOX COM ACABAMENTO CROMADO, CAIXA DE 100 MM, INCLUINDO CHAVE TIPO CILINDRO                                                                                                                                                                                                                                                                                                                                                                                     </t>
  </si>
  <si>
    <t xml:space="preserve">FECHADURA DE SOBREPOR PARA PORTAO, EM ACO INOX COM ACABAMENTO CROMADO, CAIXA DE 100 MM, INCLUINDO CHAVE TIPO TETRA                                                                                                                                                                                                                                                                                                                                                                                        </t>
  </si>
  <si>
    <t>62,32</t>
  </si>
  <si>
    <t xml:space="preserve">FECHADURA DE SOBREPOR TIPO CAIXAO, EM FERRO COM ACABAMENTO RESINADO, SEM MACANETA, SEM CILINDRO, INCLUINDO CHAVE TIPO SIMPLES                                                                                                                                                                                                                                                                                                                                                                             </t>
  </si>
  <si>
    <t xml:space="preserve">FECHADURA ESPELHO PARA PORTA DE BANHEIRO, EM ACO INOX (MAQUINA, TESTA E CONTRA-TESTA) E EM ZAMAC (MACANETA, LINGUETA E TRINCOS) COM ACABAMENTO CROMADO, MAQUINA DE 40 MM, INCLUINDO CHAVE TIPO TRANQUETA                                                                                                                                                                                                                                                                                                  </t>
  </si>
  <si>
    <t xml:space="preserve">FECHADURA ESPELHO PARA PORTA DE BANHEIRO, EM ACO INOX (MAQUINA, TESTA E CONTRA-TESTA) E EM ZAMAC (MACANETA, LINGUETA E TRINCOS) COM ACABAMENTO CROMADO, MAQUINA DE 55 MM, INCLUINDO CHAVE TIPO TRANQUETA  (CONJUNTO DE FECHADURAS)                                                                                                                                                                                                                                                                        </t>
  </si>
  <si>
    <t>68,80</t>
  </si>
  <si>
    <t xml:space="preserve">FECHADURA ESPELHO PARA PORTA EXTERNA, EM ACO INOX (MAQUINA, TESTA E CONTRA-TESTA) E EM ZAMAC (MACANETA, LINGUETA E TRINCOS) COM ACABAMENTO CROMADO, MAQUINA DE 40 MM, INCLUINDO CHAVE TIPO CILINDRO                                                                                                                                                                                                                                                                                                       </t>
  </si>
  <si>
    <t xml:space="preserve">FECHADURA ESPELHO PARA PORTA EXTERNA, EM ACO INOX (MAQUINA, TESTA E CONTRA-TESTA) E EM ZAMAC (MACANETA, LINGUETA E TRINCOS) COM ACABAMENTO CROMADO, MAQUINA DE 55 MM, INCLUINDO CHAVE TIPO CILINDRO                                                                                                                                                                                                                                                                                                       </t>
  </si>
  <si>
    <t>91,52</t>
  </si>
  <si>
    <t xml:space="preserve">FECHADURA ESPELHO PARA PORTA INTERNA, EM ACO INOX (MAQUINA, TESTA E CONTRA-TESTA) E EM ZAMAC (MACANETA, LINGUETA E TRINCOS) COM ACABAMENTO CROMADO, MAQUINA DE 40 MM, INCLUINDO CHAVE TIPO INTERNA                                                                                                                                                                                                                                                                                                        </t>
  </si>
  <si>
    <t>41,29</t>
  </si>
  <si>
    <t xml:space="preserve">FECHADURA ESPELHO PARA PORTA INTERNA, EM ACO INOX (MAQUINA, TESTA E CONTRA-TESTA) E EM ZAMAC (MACANETA, LINGUETA E TRINCOS) COM ACABAMENTO CROMADO, MAQUINA DE 55 MM, INCLUINDO CHAVE TIPO INTERNA                                                                                                                                                                                                                                                                                                        </t>
  </si>
  <si>
    <t xml:space="preserve">FECHADURA PARA PORTA PIVOTANTE DE VIDRO TEMPERADO, EM ACO INOX COM ACABAMENTO CROMADO, RECORTE PADRAO SANTA MARINA, COM CILINDRO EM LATAO, INCLUINDO CHAVE TIPO CILINDRO                                                                                                                                                                                                                                                                                                                                  </t>
  </si>
  <si>
    <t xml:space="preserve">FECHADURA ROSETA REDONDA PARA PORTA DE BANHEIRO, EM ACO INOX (MAQUINA, TESTA E CONTRA-TESTA) E EM ZAMAC (MACANETA, LINGUETA E TRINCOS) COM ACABAMENTO CROMADO, MAQUINA DE 40 MM, INCLUINDO CHAVE TIPO TRANQUETA                                                                                                                                                                                                                                                                                           </t>
  </si>
  <si>
    <t xml:space="preserve">FECHADURA ROSETA REDONDA PARA PORTA DE BANHEIRO, EM ACO INOX (MAQUINA, TESTA E CONTRA-TESTA) E EM ZAMAC (MACANETA, LINGUETA E TRINCOS) COM ACABAMENTO CROMADO, MAQUINA DE 55 MM, INCLUINDO CHAVE TIPO TRANQUETA                                                                                                                                                                                                                                                                                           </t>
  </si>
  <si>
    <t>82,93</t>
  </si>
  <si>
    <t xml:space="preserve">FECHADURA ROSETA REDONDA PARA PORTA EXTERNA, EM ACO INOX (MAQUINA, TESTA E CONTRA-TESTA) E EM ZAMAC (MACANETA, LINGUETA E TRINCOS) COM ACABAMENTO CROMADO, MAQUINA DE 40 MM, INCLUINDO CHAVE TIPO CILINDRO                                                                                                                                                                                                                                                                                                </t>
  </si>
  <si>
    <t>60,12</t>
  </si>
  <si>
    <t xml:space="preserve">FECHADURA ROSETA REDONDA PARA PORTA EXTERNA, EM ACO INOX (MAQUINA, TESTA E CONTRA-TESTA) E EM ZAMAC (MACANETA, LINGUETA E TRINCOS) COM ACABAMENTO CROMADO, MAQUINA DE 55 MM, INCLUINDO CHAVE TIPO CILINDRO                                                                                                                                                                                                                                                                                                </t>
  </si>
  <si>
    <t>96,99</t>
  </si>
  <si>
    <t xml:space="preserve">FECHADURA ROSETA REDONDA PARA PORTA INTERNA, EM ACO INOX (MAQUINA, TESTA E CONTRA-TESTA) E EM ZAMAC (MACANETA, LINGUETA E TRINCOS) COM ACABAMENTO CROMADO, MAQUINA DE 40 MM, INCLUINDO CHAVE TIPO INTERNA (CONJUNTO DE FECHADURAS)                                                                                                                                                                                                                                                                        </t>
  </si>
  <si>
    <t xml:space="preserve">FECHADURA ROSETA REDONDA PARA PORTA INTERNA, EM ACO INOX (MAQUINA, TESTA E CONTRA-TESTA) E EM ZAMAC (MACANETA, LINGUETA E TRINCOS) COM ACABAMENTO CROMADO, MAQUINA DE 55 MM, INCLUINDO CHAVE TIPO INTERNA                                                                                                                                                                                                                                                                                                 </t>
  </si>
  <si>
    <t xml:space="preserve">FECHO / FECHADURA COM PUXADOR CONCHA, COM TRANCA TIPO TRAVA, PARA JANELA / PORTA DE CORRER (INCLUI TESTA, FECHADURA, PUXADOR) - COMPLETA                                                                                                                                                                                                                                                                                                                                                                  </t>
  </si>
  <si>
    <t xml:space="preserve">FECHO / TRINCO TIPO AVIAO, EM ZAMAC CROMADO, *60* MM, PARA JANELAS - INCLUI PARAFUSOS                                                                                                                                                                                                                                                                                                                                                                                                                     </t>
  </si>
  <si>
    <t xml:space="preserve">FECHO DE SEGURANCA, TIPO BATOM, EM LATAO / ZAMAC, CROMADO, PARA PORTAS E JANELAS - INCLUI PARAFUSOS                                                                                                                                                                                                                                                                                                                                                                                                       </t>
  </si>
  <si>
    <t>21,26</t>
  </si>
  <si>
    <t xml:space="preserve">FECHO QUEBRA UNHA, EM LATAO COM ACABAMENTO CROMADO, DE EMBUTIR, COM COMANDO ALAVANCA, ALTURA DE DE 22 CM, LARGURA MINIMA DE 1,90 CM E ESPESSURA MINIMA DE 1,90 MM, PARA PORTAS E JANELAS (INCLUI PARAFUSOS)                                                                                                                                                                                                                                                                                               </t>
  </si>
  <si>
    <t>90,39</t>
  </si>
  <si>
    <t xml:space="preserve">FECHO QUEBRA UNHA, EM LATAO COM ACABAMENTO CROMADO, DE EMBUTIR, COM COMANDO ALAVANCA, ALTURA DE DE 40 CM, LARGURA MINIMA DE 1,90 CM E ESPESSURA MINIMA DE 1,90 MM, PARA PORTAS E JANELAS (INCLUI PARAFUSOS)                                                                                                                                                                                                                                                                                               </t>
  </si>
  <si>
    <t>118,22</t>
  </si>
  <si>
    <t xml:space="preserve">FECHO QUEBRA UNHA, EM LATAO COM ACABAMENTO CROMADO, DE EMBUTIR, COM COMANDO DESLIZANTE, ALTURA DE 12 CM, LARGURA MINIMA DE 1,90 CM E ESPESSURA MINIMA DE 1,90 MM                                                                                                                                                                                                                                                                                                                                          </t>
  </si>
  <si>
    <t xml:space="preserve">FECHO QUEBRA UNHA, EM LATAO COM ACABAMENTO CROMADO, DE EMBUTIR, COM COMANDO DESLIZANTE, ALTURA DE 22 CM, LARGURA MINIMA DE 1,90 CM E ESPESSURA MINIMA DE 1,90 MM                                                                                                                                                                                                                                                                                                                                          </t>
  </si>
  <si>
    <t xml:space="preserve">FECHO QUEBRA UNHA, EM LATAO COM ACABAMENTO CROMADO, DE EMBUTIR, COM COMANDO DESLIZANTE, ALTURA DE 40 CM, LARGURA MINIMA DE 1,90 CM E ESPESSURA MINIMA DE 1,90 MM                                                                                                                                                                                                                                                                                                                                          </t>
  </si>
  <si>
    <t>73,81</t>
  </si>
  <si>
    <t xml:space="preserve">FERRAMENTAS - FAMILIA ALMOXARIFE - HORISTA (ENCARGOS COMPLEMENTARES - COLETADO CAIXA)                                                                                                                                                                                                                                                                                                                                                                                                                     </t>
  </si>
  <si>
    <t xml:space="preserve">FERRAMENTAS - FAMILIA ALMOXARIFE - MENSALISTA (ENCARGOS COMPLEMENTARES - COLETADO CAIXA)                                                                                                                                                                                                                                                                                                                                                                                                                  </t>
  </si>
  <si>
    <t xml:space="preserve">FERRAMENTAS - FAMILIA CARPINTEIRO DE FORMAS - HORISTA (ENCARGOS COMPLEMENTARES - COLETADO CAIXA)                                                                                                                                                                                                                                                                                                                                                                                                          </t>
  </si>
  <si>
    <t xml:space="preserve">FERRAMENTAS - FAMILIA CARPINTEIRO DE FORMAS - MENSALISTA (ENCARGOS COMPLEMENTARES - COLETADO CAIXA)                                                                                                                                                                                                                                                                                                                                                                                                       </t>
  </si>
  <si>
    <t xml:space="preserve">FERRAMENTAS - FAMILIA ELETRICISTA - HORISTA (ENCARGOS COMPLEMENTARES - COLETADO CAIXA)                                                                                                                                                                                                                                                                                                                                                                                                                    </t>
  </si>
  <si>
    <t xml:space="preserve">FERRAMENTAS - FAMILIA ELETRICISTA - MENSALISTA (ENCARGOS COMPLEMENTARES - COLETADO CAIXA)                                                                                                                                                                                                                                                                                                                                                                                                                 </t>
  </si>
  <si>
    <t xml:space="preserve">FERRAMENTAS - FAMILIA ENCANADOR - HORISTA (ENCARGOS COMPLEMENTARES - COLETADO CAIXA)                                                                                                                                                                                                                                                                                                                                                                                                                      </t>
  </si>
  <si>
    <t xml:space="preserve">FERRAMENTAS - FAMILIA ENCANADOR - MENSALISTA (ENCARGOS COMPLEMENTARES - COLETADO CAIXA)                                                                                                                                                                                                                                                                                                                                                                                                                   </t>
  </si>
  <si>
    <t xml:space="preserve">FERRAMENTAS - FAMILIA ENCARREGADO GERAL - HORISTA (ENCARGOS COMPLEMENTARES - COLETADO CAIXA)                                                                                                                                                                                                                                                                                                                                                                                                              </t>
  </si>
  <si>
    <t xml:space="preserve">FERRAMENTAS - FAMILIA ENCARREGADO GERAL - MENSALISTA (ENCARGOS COMPLEMENTARES - COLETADO CAIXA)                                                                                                                                                                                                                                                                                                                                                                                                           </t>
  </si>
  <si>
    <t xml:space="preserve">FERRAMENTAS - FAMILIA ENGENHEIRO CIVIL - HORISTA (ENCARGOS COMPLEMENTARES - COLETADO CAIXA)                                                                                                                                                                                                                                                                                                                                                                                                               </t>
  </si>
  <si>
    <t xml:space="preserve">FERRAMENTAS - FAMILIA ENGENHEIRO CIVIL - MENSALISTA (ENCARGOS COMPLEMENTARES - COLETADO CAIXA)                                                                                                                                                                                                                                                                                                                                                                                                            </t>
  </si>
  <si>
    <t xml:space="preserve">FERRAMENTAS - FAMILIA OPERADOR ESCAVADEIRA - HORISTA (ENCARGOS COMPLEMENTARES - COLETADO CAIXA)                                                                                                                                                                                                                                                                                                                                                                                                           </t>
  </si>
  <si>
    <t xml:space="preserve">FERRAMENTAS - FAMILIA OPERADOR ESCAVADEIRA - MENSALISTA (ENCARGOS COMPLEMENTARES - COLETADO CAIXA)                                                                                                                                                                                                                                                                                                                                                                                                        </t>
  </si>
  <si>
    <t xml:space="preserve">FERRAMENTAS - FAMILIA PEDREIRO - HORISTA (ENCARGOS COMPLEMENTARES - COLETADO CAIXA)                                                                                                                                                                                                                                                                                                                                                                                                                       </t>
  </si>
  <si>
    <t xml:space="preserve">FERRAMENTAS - FAMILIA PEDREIRO - MENSALISTA (ENCARGOS COMPLEMENTARES - COLETADO CAIXA)                                                                                                                                                                                                                                                                                                                                                                                                                    </t>
  </si>
  <si>
    <t xml:space="preserve">FERRAMENTAS - FAMILIA PINTOR - HORISTA (ENCARGOS COMPLEMENTARES - COLETADO CAIXA)                                                                                                                                                                                                                                                                                                                                                                                                                         </t>
  </si>
  <si>
    <t xml:space="preserve">FERRAMENTAS - FAMILIA PINTOR - MENSALISTA (ENCARGOS COMPLEMENTARES - COLETADO CAIXA)                                                                                                                                                                                                                                                                                                                                                                                                                      </t>
  </si>
  <si>
    <t xml:space="preserve">FERRAMENTAS - FAMILIA SERVENTE - HORISTA (ENCARGOS COMPLEMENTARES - COLETADO CAIXA)                                                                                                                                                                                                                                                                                                                                                                                                                       </t>
  </si>
  <si>
    <t xml:space="preserve">FERRAMENTAS - FAMILIA SERVENTE - MENSALISTA (ENCARGOS COMPLEMENTARES - COLETADO CAIXA)                                                                                                                                                                                                                                                                                                                                                                                                                    </t>
  </si>
  <si>
    <t xml:space="preserve">FERRAMENTAS - FAMILIA SOLDADOR - HORISTA (ENCARGOS COMPLEMENTARES - COLETADO CAIXA)                                                                                                                                                                                                                                                                                                                                                                                                                       </t>
  </si>
  <si>
    <t xml:space="preserve">FERRAMENTAS - FAMILIA SOLDADOR - MENSALISTA (ENCARGOS COMPLEMENTARES - COLETADO CAIXA)                                                                                                                                                                                                                                                                                                                                                                                                                    </t>
  </si>
  <si>
    <t xml:space="preserve">FERRAMENTAS - FAMILIA TOPOGRAFO - HORISTA (ENCARGOS COMPLEMENTARES - COLETADO CAIXA)                                                                                                                                                                                                                                                                                                                                                                                                                      </t>
  </si>
  <si>
    <t xml:space="preserve">FERRAMENTAS - FAMILIA TOPOGRAFO - MENSALISTA (ENCARGOS COMPLEMENTARES - COLETADO CAIXA)                                                                                                                                                                                                                                                                                                                                                                                                                   </t>
  </si>
  <si>
    <t xml:space="preserve">FERROLHO COM FECHO / TRINCO REDONDO, EM ACO GALVANIZADO / ZINCADO, DE SOBREPOR, COM COMPRIMENTO DE 2" E ESPESSURA MINIMA DA CHAPA DE 0,90 MM, PARA PORTAS E JANELAS                                                                                                                                                                                                                                                                                                                                       </t>
  </si>
  <si>
    <t xml:space="preserve">FERROLHO COM FECHO / TRINCO REDONDO, EM ACO GALVANIZADO / ZINCADO, DE SOBREPOR, COM COMPRIMENTO DE 3" A 4" E ESPESSURA MINIMA DA CHAPA DE 0,90 MM                                                                                                                                                                                                                                                                                                                                                         </t>
  </si>
  <si>
    <t xml:space="preserve">FERROLHO COM FECHO / TRINCO REDONDO, EM ACO GALVANIZADO / ZINCADO, DE SOBREPOR, COM COMPRIMENTO DE 5" E ESPESSURA MINIMA DA CHAPA DE 0,90 MM                                                                                                                                                                                                                                                                                                                                                              </t>
  </si>
  <si>
    <t xml:space="preserve">FERROLHO COM FECHO / TRINCO REDONDO, EM ACO GALVANIZADO / ZINCADO, DE SOBREPOR, COM COMPRIMENTO DE 6" E ESPESSURA MINIMA DA CHAPA DE 1,50 MM                                                                                                                                                                                                                                                                                                                                                              </t>
  </si>
  <si>
    <t xml:space="preserve">FERROLHO COM FECHO / TRINCO REDONDO, EM ACO GALVANIZADO / ZINCADO, DE SOBREPOR, COM COMPRIMENTO DE 8" E ESPESSURA MINIMA DA CHAPA DE 1,50 MM                                                                                                                                                                                                                                                                                                                                                              </t>
  </si>
  <si>
    <t xml:space="preserve">FERROLHO COM FECHO /TRINCO REDONDO, EM ACO GALVANIZADO / ZINCADO, DE SOBREPOR, COM COMPRIMENTO DE 10" A 12" E ESPESSURA MINIMA DA CHAPA DE 1,50 MM                                                                                                                                                                                                                                                                                                                                                        </t>
  </si>
  <si>
    <t xml:space="preserve">FERROLHO COM FECHO CHATO E PORTA CADEADO , EM ACO GALVANIZADO / ZINCADO, DE SOBREPOR, COM COMPRIMENTO DE 3" A 4", CHAPA COM ESPESSURA MINIMA DE 0,90 MM E LARGURA MINIMA DE 3,20 CM (FECHO SIMPLES / LEVE) (INCLUI PARAFUSOS)                                                                                                                                                                                                                                                                             </t>
  </si>
  <si>
    <t xml:space="preserve">FERROLHO COM FECHO CHATO E PORTA CADEADO , EM ACO GALVANIZADO / ZINCADO, DE SOBREPOR, COM COMPRIMENTO DE 3" A 4", CHAPA COM ESPESSURA MINIMA DE 1,70 MM E LARGURA MINIMA DE 5,00 CM (FECHO REFORCADO)                                                                                                                                                                                                                                                                                                     </t>
  </si>
  <si>
    <t xml:space="preserve">FERROLHO COM FECHO CHATO E PORTA CADEADO , EM ACO GALVANIZADO / ZINCADO, DE SOBREPOR, COM COMPRIMENTO DE 5", CHAPA COM ESPESSURA MINIMA DE 0,90 MM E LARGURA MINIMA DE 3,20 CM (FECHO SIMPLES)                                                                                                                                                                                                                                                                                                            </t>
  </si>
  <si>
    <t xml:space="preserve">FERROLHO COM FECHO CHATO E PORTA CADEADO , EM ACO GALVANIZADO / ZINCADO, DE SOBREPOR, COM COMPRIMENTO DE 5", CHAPA COM ESPESSURA MINIMA DE 1,70 MM E LARGURA MINIMA DE 5,00 CM (FECHO REFORCADO)                                                                                                                                                                                                                                                                                                          </t>
  </si>
  <si>
    <t xml:space="preserve">FERROLHO COM FECHO CHATO E PORTA CADEADO , EM ACO GALVANIZADO / ZINCADO, DE SOBREPOR, COM COMPRIMENTO DE 6", CHAPA COM ESPESSURA MINIMA DE 0,90 MM E LARGURA MINIMA DE 3,80 CM (FECHO SIMPLES)                                                                                                                                                                                                                                                                                                            </t>
  </si>
  <si>
    <t xml:space="preserve">FERROLHO COM FECHO CHATO E PORTA CADEADO , EM ACO GALVANIZADO / ZINCADO, DE SOBREPOR, COM COMPRIMENTO DE 6", CHAPA COM ESPESSURA MINIMA DE 1,70 MM E LARGURA /MINIMA DE 5,00 CM (FECHO REFORCADO) (INCLUI PARAFUSOS)                                                                                                                                                                                                                                                                                      </t>
  </si>
  <si>
    <t xml:space="preserve">FERTILIZANTE NPK - 10:10:10                                                                                                                                                                                                                                                                                                                                                                                                                                                                               </t>
  </si>
  <si>
    <t xml:space="preserve">FERTILIZANTE NPK - 4: 14: 8                                                                                                                                                                                                                                                                                                                                                                                                                                                                               </t>
  </si>
  <si>
    <t xml:space="preserve">FERTILIZANTE ORGANICO COMPOSTO, CLASSE A                                                                                                                                                                                                                                                                                                                                                                                                                                                                  </t>
  </si>
  <si>
    <t xml:space="preserve">FIBRA DE ACO PARA REFORCO DO CONCRETO, SOLTA, TIPO A-I, FATOR DE FORMA *50* L / D, COMPRIMENTO DE *30* MM E RESISTENCIA A TRACAO DO ACO MAIOR 1000 MPA                                                                                                                                                                                                                                                                                                                                                    </t>
  </si>
  <si>
    <t xml:space="preserve">FILTRO ANAEROBIO, EM POLIETILENO DE ALTA DENSIDADE (PEAD), CAPACIDADE *1100* LITROS (NBR 13969)                                                                                                                                                                                                                                                                                                                                                                                                           </t>
  </si>
  <si>
    <t>1.274,42</t>
  </si>
  <si>
    <t xml:space="preserve">FILTRO ANAEROBIO, EM POLIETILENO DE ALTA DENSIDADE (PEAD), CAPACIDADE *2800* LITROS (NBR 13969)                                                                                                                                                                                                                                                                                                                                                                                                           </t>
  </si>
  <si>
    <t>3.263,07</t>
  </si>
  <si>
    <t xml:space="preserve">FILTRO ANAEROBIO, EM POLIETILENO DE ALTA DENSIDADE (PEAD), CAPACIDADE *5000* LITROS (NBR 13969)                                                                                                                                                                                                                                                                                                                                                                                                           </t>
  </si>
  <si>
    <t>4.460,02</t>
  </si>
  <si>
    <t xml:space="preserve">FINCAPINO CURTO CALIBRE 22 VERMELHO, CARGA MEDIA (ACAO DIRETA)                                                                                                                                                                                                                                                                                                                                                                                                                                            </t>
  </si>
  <si>
    <t xml:space="preserve">FINCAPINO LONGO CALIBRE 22, CARGA FORTE (ACAO DIRETA)                                                                                                                                                                                                                                                                                                                                                                                                                                                     </t>
  </si>
  <si>
    <t xml:space="preserve">FIO COBRE NU DE 150 A 500 MM2, PARA TENSOES DE ATE 600 V                                                                                                                                                                                                                                                                                                                                                                                                                                                  </t>
  </si>
  <si>
    <t xml:space="preserve">FIO COBRE NU DE 16 A 35 MM2, PARA TENSOES DE ATE 600 V                                                                                                                                                                                                                                                                                                                                                                                                                                                    </t>
  </si>
  <si>
    <t xml:space="preserve">FIO COBRE NU DE 50 A 120 MM2, PARA TENSOES DE ATE 600 V                                                                                                                                                                                                                                                                                                                                                                                                                                                   </t>
  </si>
  <si>
    <t xml:space="preserve">FIO DE COBRE, SOLIDO, CLASSE 1, ISOLACAO EM PVC/A, ANTICHAMA BWF-B, 450/750V, SECAO NOMINAL 1,5 MM2                                                                                                                                                                                                                                                                                                                                                                                                       </t>
  </si>
  <si>
    <t xml:space="preserve">FIO DE COBRE, SOLIDO, CLASSE 1, ISOLACAO EM PVC/A, ANTICHAMA BWF-B, 450/750V, SECAO NOMINAL 10 MM2                                                                                                                                                                                                                                                                                                                                                                                                        </t>
  </si>
  <si>
    <t xml:space="preserve">FIO DE COBRE, SOLIDO, CLASSE 1, ISOLACAO EM PVC/A, ANTICHAMA BWF-B, 450/750V, SECAO NOMINAL 2,5 MM2                                                                                                                                                                                                                                                                                                                                                                                                       </t>
  </si>
  <si>
    <t xml:space="preserve">FIO DE COBRE, SOLIDO, CLASSE 1, ISOLACAO EM PVC/A, ANTICHAMA BWF-B, 450/750V, SECAO NOMINAL 4 MM2                                                                                                                                                                                                                                                                                                                                                                                                         </t>
  </si>
  <si>
    <t xml:space="preserve">FIO DE COBRE, SOLIDO, CLASSE 1, ISOLACAO EM PVC/A, ANTICHAMA BWF-B, 450/750V, SECAO NOMINAL 6 MM2                                                                                                                                                                                                                                                                                                                                                                                                         </t>
  </si>
  <si>
    <t xml:space="preserve">FIO TELEFONICO EXTERNO (FE) EM ACO COBREADO, ISOLACAO EM PEAD OU PVC ANTI-CHAMA, 2 CONDUTORES                                                                                                                                                                                                                                                                                                                                                                                                             </t>
  </si>
  <si>
    <t xml:space="preserve">FIO TELEFONICO INTERNO (FI) EM COBRE ESTANHADO, ISOLACAO EM PVC ANTICHAMA, 2 CONDUTORES DE 0,6 MM (NBR 9115:2005)                                                                                                                                                                                                                                                                                                                                                                                         </t>
  </si>
  <si>
    <t xml:space="preserve">FITA / CINTA AUTOADESIVA ELASTOMERICA PARA VEDACAO, L= 50 MM, E = 3 MM                                                                                                                                                                                                                                                                                                                                                                                                                                    </t>
  </si>
  <si>
    <t xml:space="preserve">FITA ACO INOX PARA CINTAR POSTE, L = 19 MM, E = 0,5 MM (ROLO DE 30M)                                                                                                                                                                                                                                                                                                                                                                                                                                      </t>
  </si>
  <si>
    <t xml:space="preserve">FITA ADESIVA ALUMINIZADA, PARA INSTALACAO DE MANTAS DE SUBCOBERTURA,  L = *5* CM                                                                                                                                                                                                                                                                                                                                                                                                                          </t>
  </si>
  <si>
    <t xml:space="preserve">FITA ADESIVA ANTICORROSIVA DE PVC FLEXIVEL, COR PRETA, PARA PROTECAO TUBULACAO, 50 MM X 30 M (L X C), E= *0,25* MM                                                                                                                                                                                                                                                                                                                                                                                        </t>
  </si>
  <si>
    <t xml:space="preserve">FITA ADESIVA ASFALTICA ALUMINIZADA MULTIUSO, L = 10 CM, ROLO DE 10 M                                                                                                                                                                                                                                                                                                                                                                                                                                      </t>
  </si>
  <si>
    <t>92,77</t>
  </si>
  <si>
    <t xml:space="preserve">FITA CREPE ROLO DE 25 MM X 50 M                                                                                                                                                                                                                                                                                                                                                                                                                                                                           </t>
  </si>
  <si>
    <t xml:space="preserve">FITA DE ALUMINIO PARA PROTECAO DO CONDUTOR LARGURA 10 MM                                                                                                                                                                                                                                                                                                                                                                                                                                                  </t>
  </si>
  <si>
    <t xml:space="preserve">FITA DE PAPEL MICROPERFURADO, 50 X 150 MM, PARA TRATAMENTO DE JUNTAS DE CHAPA DE GESSO PARA DRYWALL                                                                                                                                                                                                                                                                                                                                                                                                       </t>
  </si>
  <si>
    <t xml:space="preserve">FITA DE PAPEL REFORCADA COM LAMINA DE METAL PARA REFORCO DE CANTOS DE CHAPA DE GESSO PARA DRYWALL                                                                                                                                                                                                                                                                                                                                                                                                         </t>
  </si>
  <si>
    <t xml:space="preserve">FITA ISOLANTE ADESIVA ANTICHAMA, USO ATE 750 V, EM ROLO DE 19 MM X 20 M                                                                                                                                                                                                                                                                                                                                                                                                                                   </t>
  </si>
  <si>
    <t xml:space="preserve">FITA ISOLANTE ADESIVA ANTICHAMA, USO ATE 750 V, EM ROLO DE 19 MM X 5 M                                                                                                                                                                                                                                                                                                                                                                                                                                    </t>
  </si>
  <si>
    <t xml:space="preserve">FITA ISOLANTE DE BORRACHA AUTOFUSAO, USO ATE 69 KV (ALTA TENSAO)                                                                                                                                                                                                                                                                                                                                                                                                                                          </t>
  </si>
  <si>
    <t xml:space="preserve">FITA METALICA GRAVADA, L = 17 MM, ROLO DE 25 M, CARGA RECOMENDADA = *120* KGF                                                                                                                                                                                                                                                                                                                                                                                                                             </t>
  </si>
  <si>
    <t>48,93</t>
  </si>
  <si>
    <t xml:space="preserve">FITA METALICA PERFURADA, L = *18* MM, ROLO DE 30 M, CARGA RECOMENDADA = *30* KGF                                                                                                                                                                                                                                                                                                                                                                                                                          </t>
  </si>
  <si>
    <t xml:space="preserve">FITA METALICA PERFURADA, L = 17 MM, ROLO DE 30 M, CARGA RECOMENDADA = *19* KGF                                                                                                                                                                                                                                                                                                                                                                                                                            </t>
  </si>
  <si>
    <t xml:space="preserve">FITA METALICA PERFURADA, L = 25 MM, ROLO DE 30 M, CARGA RECOMENDADA = *222,5* KGF                                                                                                                                                                                                                                                                                                                                                                                                                         </t>
  </si>
  <si>
    <t>148,64</t>
  </si>
  <si>
    <t xml:space="preserve">FITA VEDA ROSCA EM ROLOS DE 18 MM X 10 M (L X C)                                                                                                                                                                                                                                                                                                                                                                                                                                                          </t>
  </si>
  <si>
    <t xml:space="preserve">FITA VEDA ROSCA EM ROLOS DE 18 MM X 25 M (L X C)                                                                                                                                                                                                                                                                                                                                                                                                                                                          </t>
  </si>
  <si>
    <t xml:space="preserve">FITA VEDA ROSCA EM ROLOS DE 18 MM X 50 M (L X C)                                                                                                                                                                                                                                                                                                                                                                                                                                                          </t>
  </si>
  <si>
    <t xml:space="preserve">FIXADOR DE ABA AUTOTRAVANTE PARA TELHA DE FIBROCIMENTO, TIPO CANALETE 90 OU KALHETAO                                                                                                                                                                                                                                                                                                                                                                                                                      </t>
  </si>
  <si>
    <t xml:space="preserve">FIXADOR DE ABA SIMPLES PARA TELHA DE FIBROCIMENTO, TIPO CANALETA 49 OU KALHETA                                                                                                                                                                                                                                                                                                                                                                                                                            </t>
  </si>
  <si>
    <t xml:space="preserve">FIXADOR DE ABA SIMPLES PARA TELHA DE FIBROCIMENTO, TIPO CANALETA 90 OU KALHETAO                                                                                                                                                                                                                                                                                                                                                                                                                           </t>
  </si>
  <si>
    <t xml:space="preserve">FLANELA *30 X 40* CM                                                                                                                                                                                                                                                                                                                                                                                                                                                                                      </t>
  </si>
  <si>
    <t xml:space="preserve">FLANGE PVC, ROSCAVEL SEXTAVADO SEM FUROS 3/4"                                                                                                                                                                                                                                                                                                                                                                                                                                                             </t>
  </si>
  <si>
    <t xml:space="preserve">FLANGE PVC, ROSCAVEL, SEXTAVADO, SEM FUROS 3"                                                                                                                                                                                                                                                                                                                                                                                                                                                             </t>
  </si>
  <si>
    <t xml:space="preserve">FLANGE PVC, ROSCAVEL, SEXTAVADO, SEM FUROS, 1 1/2"                                                                                                                                                                                                                                                                                                                                                                                                                                                        </t>
  </si>
  <si>
    <t xml:space="preserve">FLANGE PVC, ROSCAVEL, SEXTAVADO, SEM FUROS, 1 1/4"                                                                                                                                                                                                                                                                                                                                                                                                                                                        </t>
  </si>
  <si>
    <t xml:space="preserve">FLANGE PVC, ROSCAVEL, SEXTAVADO, SEM FUROS, 1/2"                                                                                                                                                                                                                                                                                                                                                                                                                                                          </t>
  </si>
  <si>
    <t xml:space="preserve">FLANGE PVC, ROSCAVEL, SEXTAVADO, SEM FUROS, 1"                                                                                                                                                                                                                                                                                                                                                                                                                                                            </t>
  </si>
  <si>
    <t xml:space="preserve">FLANGE PVC, ROSCAVEL, SEXTAVADO, SEM FUROS, 2 1/2"                                                                                                                                                                                                                                                                                                                                                                                                                                                        </t>
  </si>
  <si>
    <t>170,56</t>
  </si>
  <si>
    <t xml:space="preserve">FLANGE PVC, ROSCAVEL, SEXTAVADO, SEM FUROS, 2"                                                                                                                                                                                                                                                                                                                                                                                                                                                            </t>
  </si>
  <si>
    <t xml:space="preserve">FLANGE SEXTAVADO DE FERRO GALVANIZADO, COM ROSCA BSP, DE 1 1/2"                                                                                                                                                                                                                                                                                                                                                                                                                                           </t>
  </si>
  <si>
    <t xml:space="preserve">FLANGE SEXTAVADO DE FERRO GALVANIZADO, COM ROSCA BSP, DE 1 1/4"                                                                                                                                                                                                                                                                                                                                                                                                                                           </t>
  </si>
  <si>
    <t xml:space="preserve">FLANGE SEXTAVADO DE FERRO GALVANIZADO, COM ROSCA BSP, DE 1/2"                                                                                                                                                                                                                                                                                                                                                                                                                                             </t>
  </si>
  <si>
    <t xml:space="preserve">FLANGE SEXTAVADO DE FERRO GALVANIZADO, COM ROSCA BSP, DE 1"                                                                                                                                                                                                                                                                                                                                                                                                                                               </t>
  </si>
  <si>
    <t xml:space="preserve">FLANGE SEXTAVADO DE FERRO GALVANIZADO, COM ROSCA BSP, DE 2 1/2"                                                                                                                                                                                                                                                                                                                                                                                                                                           </t>
  </si>
  <si>
    <t xml:space="preserve">FLANGE SEXTAVADO DE FERRO GALVANIZADO, COM ROSCA BSP, DE 2"                                                                                                                                                                                                                                                                                                                                                                                                                                               </t>
  </si>
  <si>
    <t xml:space="preserve">FLANGE SEXTAVADO DE FERRO GALVANIZADO, COM ROSCA BSP, DE 3/4"                                                                                                                                                                                                                                                                                                                                                                                                                                             </t>
  </si>
  <si>
    <t xml:space="preserve">FLANGE SEXTAVADO DE FERRO GALVANIZADO, COM ROSCA BSP, DE 3"                                                                                                                                                                                                                                                                                                                                                                                                                                               </t>
  </si>
  <si>
    <t xml:space="preserve">FLANGE SEXTAVADO DE FERRO GALVANIZADO, COM ROSCA BSP, DE 4"                                                                                                                                                                                                                                                                                                                                                                                                                                               </t>
  </si>
  <si>
    <t xml:space="preserve">FLANGE SEXTAVADO DE FERRO GALVANIZADO, COM ROSCA BSP, DE 6"                                                                                                                                                                                                                                                                                                                                                                                                                                               </t>
  </si>
  <si>
    <t xml:space="preserve">FORRO COMPOSTO POR PAINEIS DE LA DE VIDRO, REVESTIDOS EM PVC MICROPERFURADO, DE *1250 X 625* MM, ESPESSURA 15 MM (COM COLOCACAO)                                                                                                                                                                                                                                                                                                                                                                          </t>
  </si>
  <si>
    <t>129,93</t>
  </si>
  <si>
    <t xml:space="preserve">FORRO DE FIBRA MINERAL EM PLACAS DE 1250 X 625 MM, E = 15 MM, BORDA RETA, COM PINTURA ANTIMOFO, APOIADO EM PERFIL DE ACO GALVANIZADO COM 24 MM DE BASE - INSTALADO                                                                                                                                                                                                                                                                                                                                        </t>
  </si>
  <si>
    <t xml:space="preserve">FORRO DE FIBRA MINERAL EM PLACAS DE 625 X 625 MM, E = 15 MM, BORDA RETA, COM PINTURA ANTIMOFO, APOIADO EM PERFIL DE ACO GALVANIZADO COM 24 MM DE BASE - INSTALADO                                                                                                                                                                                                                                                                                                                                         </t>
  </si>
  <si>
    <t>66,89</t>
  </si>
  <si>
    <t xml:space="preserve">FORRO DE FIBRA MINERAL EM PLACAS DE 625 X 625 MM, E = 15/16 MM, BORDA REBAIXADA, COM PINTURA ANTIMOFO, APOIADO EM PERFIL DE ACO GALVANIZADO COM 24 MM DE BASE - INSTALADO                                                                                                                                                                                                                                                                                                                                 </t>
  </si>
  <si>
    <t>71,74</t>
  </si>
  <si>
    <t xml:space="preserve">FORRO DE MADEIRA CEDRINHO OU EQUIVALENTE DA REGIAO, ENCAIXE MACHO/FEMEA COM FRISO, *10 X 1* CM (SEM COLOCACAO)                                                                                                                                                                                                                                                                                                                                                                                            </t>
  </si>
  <si>
    <t xml:space="preserve">FORRO DE MADEIRA CUMARU/IPE CHAMPANHE OU EQUIVALENTE DA REGIAO, ENCAIXE MACHO/FEMEA COM FRISO, *10 X 1* CM (SEM COLOCACAO)                                                                                                                                                                                                                                                                                                                                                                                </t>
  </si>
  <si>
    <t xml:space="preserve">FORRO DE MADEIRA PINUS OU EQUIVALENTE DA REGIAO, ENCAIXE MACHO/FEMEA COM FRISO, *10 X 1* CM (SEM COLOCACAO)                                                                                                                                                                                                                                                                                                                                                                                               </t>
  </si>
  <si>
    <t xml:space="preserve">FORRO DE PVC LISO, BRANCO, REGUA DE 10 CM, ESPESSURA DE 8 MM A 10 MM (COM COLOCACAO / SEM ESTRUTURA METALICA)                                                                                                                                                                                                                                                                                                                                                                                             </t>
  </si>
  <si>
    <t xml:space="preserve">FORRO DE PVC LISO, BRANCO, REGUA DE 20 CM, ESPESSURA DE 8 MM A 10 MM, COMPRIMENTO 6 M (SEM COLOCACAO)                                                                                                                                                                                                                                                                                                                                                                                                     </t>
  </si>
  <si>
    <t xml:space="preserve">FORRO DE PVC, FRISADO, BRANCO, REGUA DE 10 CM, ESPESSURA DE 8 MM A 10 MM E COMPRIMENTO 6 M (SEM COLOCACAO)                                                                                                                                                                                                                                                                                                                                                                                                </t>
  </si>
  <si>
    <t xml:space="preserve">FORRO DE PVC, FRISADO, BRANCO, REGUA DE 20 CM, ESPESSURA DE 8 MM A 10 MM E COMPRIMENTO 6 M (SEM COLOCACAO)                                                                                                                                                                                                                                                                                                                                                                                                </t>
  </si>
  <si>
    <t>25,98</t>
  </si>
  <si>
    <t xml:space="preserve">FOSSA SEPTICA, SEM FILTRO, PARA 15 A 30 CONTRIBUINTES, CILINDRICA, COM TAMPA, EM POLIETILENO DE ALTA DENSIDADE (PEAD), CAPACIDADE APROXIMADA DE 5500 LITROS (NBR 7229)                                                                                                                                                                                                                                                                                                                                    </t>
  </si>
  <si>
    <t>5.191,24</t>
  </si>
  <si>
    <t xml:space="preserve">FOSSA SEPTICA, SEM FILTRO, PARA 4 A 7 CONTRIBUINTES, CILINDRICA,  COM TAMPA, EM POLIETILENO DE ALTA DENSIDADE (PEAD), CAPACIDADE APROXIMADA DE 1100 LITROS (NBR 7229)                                                                                                                                                                                                                                                                                                                                     </t>
  </si>
  <si>
    <t>1.334,89</t>
  </si>
  <si>
    <t xml:space="preserve">FOSSA SEPTICA, SEM FILTRO, PARA 8 A 14 CONTRIBUINTES, CILINDRICA, COM TAMPA, EM POLIETILENO DE ALTA DENSIDADE (PEAD), CAPACIDADE APROXIMADA DE 3000 LITROS (NBR 7229)                                                                                                                                                                                                                                                                                                                                     </t>
  </si>
  <si>
    <t>4.107,80</t>
  </si>
  <si>
    <t xml:space="preserve">FOSSA SEPTICA,SEM FILTRO, PARA 40 A 52 CONTRIBUINTES, CILINDRICA, COM TAMPA, EM POLIETILENO DE ALTA DENSIDADE (PEAD), CAPACIDADE APROXIMADA DE 10000 LITROS (NBR 7229)                                                                                                                                                                                                                                                                                                                                    </t>
  </si>
  <si>
    <t>11.865,71</t>
  </si>
  <si>
    <t xml:space="preserve">FRESADORA DE ASFALTO A FRIO SOBRE ESTEIRAS, LARG. FRESAGEM 2,00 M, POT. 410 KW/550 HP                                                                                                                                                                                                                                                                                                                                                                                                                     </t>
  </si>
  <si>
    <t>6.283.414,43</t>
  </si>
  <si>
    <t xml:space="preserve">FRESADORA DE ASFALTO A FRIO SOBRE RODAS, LARG. FRESAGEM 1,00 M, POT. 155 KW/208 HP                                                                                                                                                                                                                                                                                                                                                                                                                        </t>
  </si>
  <si>
    <t>2.689.836,00</t>
  </si>
  <si>
    <t xml:space="preserve">FUNDO ANTICORROSIVO PARA METAIS FERROSOS (ZARCAO)                                                                                                                                                                                                                                                                                                                                                                                                                                                         </t>
  </si>
  <si>
    <t xml:space="preserve">FUNDO PREPARADOR ACRILICO BASE AGUA                                                                                                                                                                                                                                                                                                                                                                                                                                                                       </t>
  </si>
  <si>
    <t xml:space="preserve">FURO PARA TORNEIRA OU OUTROS ACESSORIOS  EM BANCADA DE MARMORE/ GRANITO OU OUTRO TIPO DE PEDRA NATURAL                                                                                                                                                                                                                                                                                                                                                                                                    </t>
  </si>
  <si>
    <t xml:space="preserve">FUSIVEL DIAZED 20 A TAMANHO DII, CAPACIDADE DE INTERRUPCAO DE 50 KA EM VCA E 8 KA EM VCC, TENSAO NOMIMNAL DE 500 V                                                                                                                                                                                                                                                                                                                                                                                        </t>
  </si>
  <si>
    <t xml:space="preserve">FUSIVEL DIAZED 35 A TAMANHO DIII, CAPACIDADE DE INTERRUPCAO DE 50 KA EM VCA E 8 KA EM VCC, TENSAO NOMIMNAL DE 500 V                                                                                                                                                                                                                                                                                                                                                                                       </t>
  </si>
  <si>
    <t xml:space="preserve">FUSIVEL NH *36* A 80 AMPERES, TAMANHO 00, CAPACIDADE DE INTERRUPCAO DE 120 KA, TENSAO NOMIMNAL DE 500 V                                                                                                                                                                                                                                                                                                                                                                                                   </t>
  </si>
  <si>
    <t xml:space="preserve">FUSIVEL NH 100 A TAMANHO 00, CAPACIDADE DE INTERRUPCAO DE 120 KA, TENSAO NOMIMNAL DE 500 V                                                                                                                                                                                                                                                                                                                                                                                                                </t>
  </si>
  <si>
    <t xml:space="preserve">FUSIVEL NH 125 A TAMANHO 00, CAPACIDADE DE INTERRUPCAO DE 120 KA, TENSAO NOMIMNAL DE 500 V                                                                                                                                                                                                                                                                                                                                                                                                                </t>
  </si>
  <si>
    <t xml:space="preserve">FUSIVEL NH 160 A TAMANHO 00, CAPACIDADE DE INTERRUPCAO DE 120 KA, TENSAO NOMIMNAL DE 500 V                                                                                                                                                                                                                                                                                                                                                                                                                </t>
  </si>
  <si>
    <t xml:space="preserve">FUSIVEL NH 20 A TAMANHO 000, CAPACIDADE DE INTERRUPCAO DE 120 KA, TENSAO NOMIMNAL DE 500 V                                                                                                                                                                                                                                                                                                                                                                                                                </t>
  </si>
  <si>
    <t xml:space="preserve">FUSIVEL NH 200 A 250 AMPERES, TAMANHO 1, CAPACIDADE DE INTERRUPCAO DE 120 KA, TENSAO NOMIMNAL DE 500 V                                                                                                                                                                                                                                                                                                                                                                                                    </t>
  </si>
  <si>
    <t xml:space="preserve">GABIAO  TIPO CAIXA, MALHA HEXAGONAL 8 X 10 CM (ZN/AL), FIO 2,7 MM, DIMENSOES 2,0 X 1,0 X 0,5 M (C X L X A)                                                                                                                                                                                                                                                                                                                                                                                                </t>
  </si>
  <si>
    <t xml:space="preserve">GABIAO MANTA (COLCHAO) MALHA HEXAGONAL 6 X 8 CM (ZN/AL REVESTIDO COM POLIMERO), DIMENSOES 4,0 X 2,0 X 0,17 M (C X L X A) FIO 2 MM                                                                                                                                                                                                                                                                                                                                                                         </t>
  </si>
  <si>
    <t xml:space="preserve">GABIAO MANTA (COLCHAO) MALHA HEXAGONAL 6 X 8 CM (ZN/AL REVESTIDO COM POLIMERO), FIO 2 MM, DIMENSOES 4,0 X 2,0 X 0,23 M (C X L X A)                                                                                                                                                                                                                                                                                                                                                                        </t>
  </si>
  <si>
    <t xml:space="preserve">GABIAO MANTA (COLCHAO) MALHA HEXAGONAL 6 X 8 CM (ZN/AL REVESTIDO COM POLIMERO), FIO 2 MM, DIMENSOES 4,0 X 2,0 X 0,3 M (C X L X A)                                                                                                                                                                                                                                                                                                                                                                         </t>
  </si>
  <si>
    <t xml:space="preserve">GABIAO MANTA (COLCHAO) MALHA HEXAGONAL 6 X 8 CM (ZN/AL REVESTIDO COM POLIMERO), FIO 2,0 MM, DIMENSOES 5,0 X 2,0 X 0,17 M (C X L X A)                                                                                                                                                                                                                                                                                                                                                                      </t>
  </si>
  <si>
    <t xml:space="preserve">GABIAO MANTA (COLCHAO) MALHA HEXAGONAL 6 X 8 CM (ZN/AL REVESTIDO COM POLIMERO), FIO 2,0 MM, DIMENSOES 5,0 X 2,0 X 0,23 M (C X L X A)                                                                                                                                                                                                                                                                                                                                                                      </t>
  </si>
  <si>
    <t xml:space="preserve">GABIAO MANTA (COLCHAO) MALHA HEXAGONAL 6 X 8 CM (ZN/AL REVESTIDO COM POLIMERO), FIO 2,0 MM, DIMENSOES 5,0 X 2,0 X 0,30 M (C X L X A)                                                                                                                                                                                                                                                                                                                                                                      </t>
  </si>
  <si>
    <t xml:space="preserve">GABIAO SACO MALHA HEXAGONAL 8 X 10 CM (ZN/AL REVESTIDO COM POLIMERO),  FIO 2,4 MM, DIMENSOES 3,0 X 0,65 M                                                                                                                                                                                                                                                                                                                                                                                                 </t>
  </si>
  <si>
    <t xml:space="preserve">GABIAO SACO MALHA HEXAGONAL 8 X 10 CM (ZN/AL REVESTIDO COM POLIMERO), FIO 2,4 MM, H = 0,65 M                                                                                                                                                                                                                                                                                                                                                                                                              </t>
  </si>
  <si>
    <t xml:space="preserve">GABIAO SACO MALHA HEXAGONAL 8 X 10 CM (ZN/AL), FIO 2,7 MM, DIMENSOES 4,0 X 0,65 M                                                                                                                                                                                                                                                                                                                                                                                                                         </t>
  </si>
  <si>
    <t xml:space="preserve">GABIAO TIPO CAIXA MALHA HEXAGONAL 8 X 10 CM (ZN/AL REVESTIDO COM POLIMERO),  FIO 2,4 MM, DIMENSOES 2,0 X 1,0 X 1,0 M (C X L X A)                                                                                                                                                                                                                                                                                                                                                                          </t>
  </si>
  <si>
    <t xml:space="preserve">GABIAO TIPO CAIXA MALHA HEXAGONAL 8 X 10 CM (ZN/AL REVESTIDO COM POLIMERO),  FIO 2,4 MM, H = 0,50 M                                                                                                                                                                                                                                                                                                                                                                                                       </t>
  </si>
  <si>
    <t xml:space="preserve">GABIAO TIPO CAIXA MALHA HEXAGONAL 8 X 10 CM (ZN/AL), FIO 2,7 MM, DIMENSOES 2,0 X 1,0 X 1,0 M (C X L X A)                                                                                                                                                                                                                                                                                                                                                                                                  </t>
  </si>
  <si>
    <t xml:space="preserve">GABIAO TIPO CAIXA MALHA HEXAGONAL 8 X 10 CM (ZN/AL), FIO 2,7 MM, H = 0,50 M                                                                                                                                                                                                                                                                                                                                                                                                                               </t>
  </si>
  <si>
    <t xml:space="preserve">GABIAO TIPO CAIXA PARA SOLO REFORCADO, MALHA HEXAGONAL DE DUPLA TORCAO 8 X 10 CM (ZN/AL REVESTIDO COM POLIMERO), FIO 2,7 MM, DIMENSOES 2,0 X 1,0 X 0,5 M, COM CAUDA DE 3,0 M                                                                                                                                                                                                                                                                                                                              </t>
  </si>
  <si>
    <t xml:space="preserve">GABIAO TIPO CAIXA PARA SOLO REFORCADO, MALHA HEXAGONAL DE DUPLA TORCAO 8 X 10 CM (ZN/AL REVESTIDO COM POLIMERO), FIO 2,7 MM, DIMENSOES 2,0 X 1,0 X 1,0 M, COM CAUDA DE 3,0 M                                                                                                                                                                                                                                                                                                                              </t>
  </si>
  <si>
    <t xml:space="preserve">GABIAO TIPO CAIXA PARA SOLO REFORCADO, MALHA HEXAGONAL DE DUPLA TORCAO 8 X 10 CM (ZN/AL REVESTIDO COM POLIMERO), FIO 2,7 MM, DIMENSOES 2,0 X 1,0 X 1,0 M, COM CAUDA DE 4,0 M                                                                                                                                                                                                                                                                                                                              </t>
  </si>
  <si>
    <t xml:space="preserve">GABIAO TIPO CAIXA PARA SOLO REFORCADO, MALHA HEXAGONAL 8 X 10 CM (ZN/AL REVESTIDO COM POLIMERO), FIO 2,7 MM, DIMENSOES 2,0 X 1,0 X 0,5 M, COM CAUDA DE 4,0 M                                                                                                                                                                                                                                                                                                                                              </t>
  </si>
  <si>
    <t xml:space="preserve">GABIAO TIPO CAIXA PARA SOLO REFORCADO, MALHA HEXAGONAL 8 X 10 CM (ZN/AL REVESTIDO COM POLIMERO), FIO 2,7 MM, DIMENSOES 2,0 X 1,0 X 1,0 M, COM CAUDA DE 4,0 M                                                                                                                                                                                                                                                                                                                                              </t>
  </si>
  <si>
    <t xml:space="preserve">GABIAO TIPO CAIXA TRAPEZOIDAL, MALHA HEXAGONAL 10 X 12 CM (ZN/AL REVESTIDO COM POLIMERO) FIO 2,7 MM, FACE COM 65 GRAUS, COM GEOSSINTETICO, DIMENSOES 2,0 X 1,5 X 1,0 M (C X L X A)                                                                                                                                                                                                                                                                                                                        </t>
  </si>
  <si>
    <t xml:space="preserve">GABIAO TIPO CAIXA, MALHA HEXAGONAL 8 X 10 CM (ZN/AL REVESTIDO COM POLIMERO), FIO DE 2,4 MM, DIMENSOES 2,0 x 1,0 x 1,0 M (C X L X A)                                                                                                                                                                                                                                                                                                                                                                       </t>
  </si>
  <si>
    <t xml:space="preserve">GABIAO TIPO CAIXA, MALHA HEXAGONAL 8 X 10 CM (ZN/AL REVESTIDO COM POLIMERO), FIO 2,4 MM, DIMENSOES 2,0 X 1,0 X 0,5 M (C X L X A)                                                                                                                                                                                                                                                                                                                                                                          </t>
  </si>
  <si>
    <t xml:space="preserve">GABIAO TIPO CAIXA, MALHA HEXAGONAL 8 X 10 CM (ZN/AL), FIO DE 2,7 MM, DIMENSOES 2,0 X 1,0 X 1,0 M (C X L X A)                                                                                                                                                                                                                                                                                                                                                                                              </t>
  </si>
  <si>
    <t xml:space="preserve">GABIAO TIPO CAIXA, MALHA HEXAGONAL 8 X 10 CM (ZN/AL), FIO DE 2,7 MM, DIMENSOES 5,0 X 1,0 X 1,0 M (C X L X A)                                                                                                                                                                                                                                                                                                                                                                                              </t>
  </si>
  <si>
    <t xml:space="preserve">GANCHO CHATO EM FERRO GALVANIZADO,  L = 110 MM, RECOBRIMENTO = 100MM, SECAO 1/8 X 1/2" (3 MM X 12 MM), PARA FIXAR TELHA DE FIBROCIMENTO ONDULADA                                                                                                                                                                                                                                                                                                                                                          </t>
  </si>
  <si>
    <t xml:space="preserve">GANCHO OLHAL EM ACO GALVANIZADO, ESPESSURA 16MM, ABERTURA 21MM                                                                                                                                                                                                                                                                                                                                                                                                                                            </t>
  </si>
  <si>
    <t xml:space="preserve">GAS DE COZINHA - GLP                                                                                                                                                                                                                                                                                                                                                                                                                                                                                      </t>
  </si>
  <si>
    <t xml:space="preserve">GASOLINA COMUM                                                                                                                                                                                                                                                                                                                                                                                                                                                                                            </t>
  </si>
  <si>
    <t xml:space="preserve">GEOGRELHA TECIDA COM FILAMENTOS DE POLIESTER + PVC, RESISTENCIA LONGITUDINAL: 90 KN/M, RESISTENCIA TRANSVERSAL: 30 KN/M, ALONGAMENTO = 12 POR CENTO                                                                                                                                                                                                                                                                                                                                                       </t>
  </si>
  <si>
    <t xml:space="preserve">GEOTEXTIL NAO TECIDO AGULHADO DE FILAMENTOS CONTINUOS 100% POLIESTER, RESITENCIA A TRACAO = 09 KN/M                                                                                                                                                                                                                                                                                                                                                                                                       </t>
  </si>
  <si>
    <t xml:space="preserve">GEOTEXTIL NAO TECIDO AGULHADO DE FILAMENTOS CONTINUOS 100% POLIESTER, RESITENCIA A TRACAO = 10 KN/M                                                                                                                                                                                                                                                                                                                                                                                                       </t>
  </si>
  <si>
    <t xml:space="preserve">GEOTEXTIL NAO TECIDO AGULHADO DE FILAMENTOS CONTINUOS 100% POLIESTER, RESITENCIA A TRACAO = 14 KN/M                                                                                                                                                                                                                                                                                                                                                                                                       </t>
  </si>
  <si>
    <t xml:space="preserve">GEOTEXTIL NAO TECIDO AGULHADO DE FILAMENTOS CONTINUOS 100% POLIESTER, RESITENCIA A TRACAO = 16 KN/M                                                                                                                                                                                                                                                                                                                                                                                                       </t>
  </si>
  <si>
    <t xml:space="preserve">GEOTEXTIL NAO TECIDO AGULHADO DE FILAMENTOS CONTINUOS 100% POLIESTER, RESITENCIA A TRACAO = 21 KN/M                                                                                                                                                                                                                                                                                                                                                                                                       </t>
  </si>
  <si>
    <t xml:space="preserve">GEOTEXTIL NAO TECIDO AGULHADO DE FILAMENTOS CONTINUOS 100% POLIESTER, RESITENCIA A TRACAO = 26 KN/M                                                                                                                                                                                                                                                                                                                                                                                                       </t>
  </si>
  <si>
    <t>18,36</t>
  </si>
  <si>
    <t xml:space="preserve">GEOTEXTIL NAO TECIDO AGULHADO DE FILAMENTOS CONTINUOS 100% POLIESTER, RESITENCIA A TRACAO = 31 KN/M                                                                                                                                                                                                                                                                                                                                                                                                       </t>
  </si>
  <si>
    <t xml:space="preserve">GERADOR PORTATIL MONOFASICO, POTENCIA 5500 VA, MOTOR A GASOLINA, POTENCIA DO MOTOR 13 CV                                                                                                                                                                                                                                                                                                                                                                                                                  </t>
  </si>
  <si>
    <t>5.246,95</t>
  </si>
  <si>
    <t xml:space="preserve">GESSEIRO                                                                                                                                                                                                                                                                                                                                                                                                                                                                                                  </t>
  </si>
  <si>
    <t xml:space="preserve">GESSEIRO (MENSALISTA)                                                                                                                                                                                                                                                                                                                                                                                                                                                                                     </t>
  </si>
  <si>
    <t>2.430,35</t>
  </si>
  <si>
    <t xml:space="preserve">GESSO EM PO PARA REVESTIMENTOS/MOLDURAS/SANCAS E USO GERAL                                                                                                                                                                                                                                                                                                                                                                                                                                                </t>
  </si>
  <si>
    <t xml:space="preserve">GESSO PROJETADO                                                                                                                                                                                                                                                                                                                                                                                                                                                                                           </t>
  </si>
  <si>
    <t xml:space="preserve">GONZO DE EMBUTIR, EM LATAO / ZAMAC, *20 X 48* MM, PARA JANELA BASCULANTE / PIVOTANTE, JOGO COM 4 PECAS (PAR)  - INCLUI PARAFUSOS                                                                                                                                                                                                                                                                                                                                                                          </t>
  </si>
  <si>
    <t xml:space="preserve">GONZO DE SOBREPOR, EM LATAO / ZAMAC, PARA JANELA PIVOTANTE - INCLUI PARAFUSOS                                                                                                                                                                                                                                                                                                                                                                                                                             </t>
  </si>
  <si>
    <t xml:space="preserve">GRADE DE DISCOS COM CONTROLE REMOTO, REBOCAVEL, COM 24 DISCOS 24" X 6 MM, COM PNEUS PARA TRANSPORTE                                                                                                                                                                                                                                                                                                                                                                                                       </t>
  </si>
  <si>
    <t>72.704,08</t>
  </si>
  <si>
    <t xml:space="preserve">GRADE DE DISCOS MECANICA 20X24" COM 20 DISCOS 24" X 6MM  COM PNEUS PARA TRANSPORTE                                                                                                                                                                                                                                                                                                                                                                                                                        </t>
  </si>
  <si>
    <t>57.000,00</t>
  </si>
  <si>
    <t xml:space="preserve">GRAMA BATATAIS EM PLACAS, SEM PLANTIO                                                                                                                                                                                                                                                                                                                                                                                                                                                                     </t>
  </si>
  <si>
    <t xml:space="preserve">GRAMA ESMERALDA OU SAO CARLOS OU CURITIBANA, EM PLACAS, SEM PLANTIO                                                                                                                                                                                                                                                                                                                                                                                                                                       </t>
  </si>
  <si>
    <t xml:space="preserve">GRAMPO DE ACO POLIDO 1 " X 9                                                                                                                                                                                                                                                                                                                                                                                                                                                                              </t>
  </si>
  <si>
    <t xml:space="preserve">GRAMPO DE ACO POLIDO 7/8 " X 9                                                                                                                                                                                                                                                                                                                                                                                                                                                                            </t>
  </si>
  <si>
    <t xml:space="preserve">GRAMPO LINHA VIVA DE LATAO ESTANHADO, DIAMETRO DO CONDUTOR PRINCIPAL DE 10 A 120 MM2, DIAMETRO DA DERIVACAO DE 10 A 70 MM2                                                                                                                                                                                                                                                                                                                                                                                </t>
  </si>
  <si>
    <t>51,67</t>
  </si>
  <si>
    <t xml:space="preserve">GRAMPO METALICO TIPO OLHAL PARA HASTE DE ATERRAMENTO DE 1/2'', CONDUTOR DE *10* A 50 MM2                                                                                                                                                                                                                                                                                                                                                                                                                  </t>
  </si>
  <si>
    <t xml:space="preserve">GRAMPO METALICO TIPO OLHAL PARA HASTE DE ATERRAMENTO DE 1'', CONDUTOR DE *10* A 50 MM2                                                                                                                                                                                                                                                                                                                                                                                                                    </t>
  </si>
  <si>
    <t xml:space="preserve">GRAMPO METALICO TIPO OLHAL PARA HASTE DE ATERRAMENTO DE 3/4'', CONDUTOR DE *10* A 50 MM2                                                                                                                                                                                                                                                                                                                                                                                                                  </t>
  </si>
  <si>
    <t>7,75</t>
  </si>
  <si>
    <t xml:space="preserve">GRAMPO METALICO TIPO OLHAL PARA HASTE DE ATERRAMENTO DE 5/8'', CONDUTOR DE *10* A 50 MM2                                                                                                                                                                                                                                                                                                                                                                                                                  </t>
  </si>
  <si>
    <t xml:space="preserve">GRAMPO METALICO TIPO U PARA HASTE DE ATERRAMENTO DE ATE 3/4'', CONDUTOR DE 10 A 25 MM2                                                                                                                                                                                                                                                                                                                                                                                                                    </t>
  </si>
  <si>
    <t xml:space="preserve">GRAMPO METALICO TIPO U PARA HASTE DE ATERRAMENTO DE ATE 5/8'', CONDUTOR DE 10 A 25 MM2                                                                                                                                                                                                                                                                                                                                                                                                                    </t>
  </si>
  <si>
    <t xml:space="preserve">GRAMPO PARALELO METALICO PARA CABO DE 6 A 50 MM2, COM 2 PARAFUSOS                                                                                                                                                                                                                                                                                                                                                                                                                                         </t>
  </si>
  <si>
    <t>9,87</t>
  </si>
  <si>
    <t xml:space="preserve">GRAMPO U DE 5/8 " N8 EM FERRO GALVANIZADO                                                                                                                                                                                                                                                                                                                                                                                                                                                                 </t>
  </si>
  <si>
    <t xml:space="preserve">GRANALHA DE ACO, ANGULAR (GRIT), PARA JATEAMENTO, PENEIRA 0,117 A 1,00 MM, (SAE G-40 A G-80)                                                                                                                                                                                                                                                                                                                                                                                                              </t>
  </si>
  <si>
    <t xml:space="preserve">GRANALHA DE ACO, ANGULAR (GRIT), PARA JATEAMENTO, PENEIRA 1,41 A 1,19 MM (SAE G16)                                                                                                                                                                                                                                                                                                                                                                                                                        </t>
  </si>
  <si>
    <t xml:space="preserve">GRANALHA DE ACO, ESFERICA (SHOT), PARA JATEAMENTO, PENEIRA 0,40 A 1,00 MM (SAE S-170 A S-280)                                                                                                                                                                                                                                                                                                                                                                                                             </t>
  </si>
  <si>
    <t xml:space="preserve">GRANALHA DE ACO, ESFERICA (SHOT), PARA JATEAMENTO, PENEIRA 1,19 A 1,00 MM (SAE S390)                                                                                                                                                                                                                                                                                                                                                                                                                      </t>
  </si>
  <si>
    <t xml:space="preserve">GRANILHA/ GRANA/ PEDRISCO OU AGREGADO EM MARMORE/ GRANITO/ QUARTZO E CALCARIO, PRETO, CINZA, PALHA OU BRANCO                                                                                                                                                                                                                                                                                                                                                                                              </t>
  </si>
  <si>
    <t xml:space="preserve">GRANITO PARA BANCADA, POLIDO, TIPO ANDORINHA/ QUARTZ/ CASTELO/ CORUMBA OU OUTROS EQUIVALENTES DA REGIAO, E=  *2,5* CM                                                                                                                                                                                                                                                                                                                                                                                     </t>
  </si>
  <si>
    <t xml:space="preserve">GRAUTE CIMENTICIO PARA USO GERAL                                                                                                                                                                                                                                                                                                                                                                                                                                                                          </t>
  </si>
  <si>
    <t xml:space="preserve">GRAXA LUBRIFICANTE                                                                                                                                                                                                                                                                                                                                                                                                                                                                                        </t>
  </si>
  <si>
    <t xml:space="preserve">GRELHA FIXA, EM PVC BRANCA, QUADRADA, 150 X 150 MM, PARA RALOS E CAIXAS                                                                                                                                                                                                                                                                                                                                                                                                                                   </t>
  </si>
  <si>
    <t xml:space="preserve">GRELHA FIXA, PVC CROMADA, REDONDA, 150 MM, PARA RALOS E CAIXAS                                                                                                                                                                                                                                                                                                                                                                                                                                            </t>
  </si>
  <si>
    <t xml:space="preserve">GRELHA FOFO ARTICULADA, CARGA MAXIMA 1,5 T, *300 X 1000* MM, E= *15* MM                                                                                                                                                                                                                                                                                                                                                                                                                                   </t>
  </si>
  <si>
    <t>286,70</t>
  </si>
  <si>
    <t xml:space="preserve">GRELHA FOFO SIMPLES COM REQUADRO, CARGA MAXIMA  12,5 T, *300 X 1000* MM, E= *15* MM, AREA ESTACIONAMENTO CARRO PASSEIO                                                                                                                                                                                                                                                                                                                                                                                    </t>
  </si>
  <si>
    <t>396,55</t>
  </si>
  <si>
    <t xml:space="preserve">GRELHA FOFO SIMPLES COM REQUADRO, CARGA MAXIMA 1,5 T, 150 X 1000 MM, E= *15* MM                                                                                                                                                                                                                                                                                                                                                                                                                           </t>
  </si>
  <si>
    <t>218,79</t>
  </si>
  <si>
    <t xml:space="preserve">GRELHA FOFO SIMPLES COM REQUADRO, CARGA MAXIMA 1,5 T, 200 X 1000 MM, E= *15* MM                                                                                                                                                                                                                                                                                                                                                                                                                           </t>
  </si>
  <si>
    <t>278,04</t>
  </si>
  <si>
    <t xml:space="preserve">GRUA ASCENCIONAL, LANCA DE 30 M, CAPACIDADE DE 1,0 T A 30 M, ALTURA ATE 39 M                                                                                                                                                                                                                                                                                                                                                                                                                              </t>
  </si>
  <si>
    <t>607.038,12</t>
  </si>
  <si>
    <t xml:space="preserve">GRUA ASCENCIONAL, LANCA DE 42 M, CAPACIDADE DE 1,5 T A 30 M, ALTURA ATE 39 M                                                                                                                                                                                                                                                                                                                                                                                                                              </t>
  </si>
  <si>
    <t>687.749,53</t>
  </si>
  <si>
    <t xml:space="preserve">GRUA ASCENCIONAL, LANCA DE 50 M, CAPACIDADE DE 2,33 T A 30 M, ALTURA ATE 48 M                                                                                                                                                                                                                                                                                                                                                                                                                             </t>
  </si>
  <si>
    <t>1.277.577,81</t>
  </si>
  <si>
    <t xml:space="preserve">GRUPO DE SOLDAGEM C/ GERADOR A DIESEL 60 CV PARA SOLDA ELETRICA, SOBRE 04 RODAS, COM MOTOR 4 CILINDROS                                                                                                                                                                                                                                                                                                                                                                                                    </t>
  </si>
  <si>
    <t>145.300,32</t>
  </si>
  <si>
    <t xml:space="preserve">GRUPO DE SOLDAGEM COM GERADOR A DIESEL 30 CV, PARA SOLDA ELETRICA, SOBRE DUAS RODAS                                                                                                                                                                                                                                                                                                                                                                                                                       </t>
  </si>
  <si>
    <t>129.882,35</t>
  </si>
  <si>
    <t xml:space="preserve">GRUPO GERADOR A GASOLINA, POTENCIA NOMINAL 2,2 KW, TENSAO DE SAIDA 110/220 V, MOTOR POTENCIA 6,5 HP                                                                                                                                                                                                                                                                                                                                                                                                       </t>
  </si>
  <si>
    <t>2.833,35</t>
  </si>
  <si>
    <t xml:space="preserve">GRUPO GERADOR DIESEL, COM CARENAGEM, POTENCIA STANDART ENTRE 100 E 110 KVA, VELOCIDADE DE 1800 RPM, FREQUENCIA DE 60 HZ                                                                                                                                                                                                                                                                                                                                                                                   </t>
  </si>
  <si>
    <t>93.820,41</t>
  </si>
  <si>
    <t xml:space="preserve">GRUPO GERADOR DIESEL, COM CARENAGEM, POTENCIA STANDART ENTRE 140 E 150 KVA, VELOCIDADE DE 1800 RPM, FREQUENCIA DE 60 HZ                                                                                                                                                                                                                                                                                                                                                                                   </t>
  </si>
  <si>
    <t>110.044,99</t>
  </si>
  <si>
    <t xml:space="preserve">GRUPO GERADOR DIESEL, COM CARENAGEM, POTENCIA STANDART ENTRE 210 E 220 KVA, VELOCIDADE DE 1800 RPM, FREQUENCIA DE 60 HZ                                                                                                                                                                                                                                                                                                                                                                                   </t>
  </si>
  <si>
    <t>134.029,16</t>
  </si>
  <si>
    <t xml:space="preserve">GRUPO GERADOR DIESEL, COM CARENAGEM, POTENCIA STANDART ENTRE 250 E 260 KVA, VELOCIDADE DE 1800 RPM, FREQUENCIA DE 60 HZ                                                                                                                                                                                                                                                                                                                                                                                   </t>
  </si>
  <si>
    <t>155.191,66</t>
  </si>
  <si>
    <t xml:space="preserve">GRUPO GERADOR DIESEL, COM CARENAGEM, POTENCIA STANDART ENTRE 50 E 55 KVA, VELOCIDADE DE 1800 RPM, FREQUENCIA DE 60 HZ                                                                                                                                                                                                                                                                                                                                                                                     </t>
  </si>
  <si>
    <t>83.549,55</t>
  </si>
  <si>
    <t xml:space="preserve">GRUPO GERADOR DIESEL, SEM CARENAGEM, POTENCIA STANDART ENTRE 100 E 110 KVA, VELOCIDADE DE 1800 RPM, FREQUENCIA DE 60 HZ                                                                                                                                                                                                                                                                                                                                                                                   </t>
  </si>
  <si>
    <t>81.546,16</t>
  </si>
  <si>
    <t xml:space="preserve">GRUPO GERADOR DIESEL, SEM CARENAGEM, POTENCIA STANDART ENTRE 210 E 220 KVA, VELOCIDADE DE 1800 RPM, FREQUENCIA DE 60 HZ                                                                                                                                                                                                                                                                                                                                                                                   </t>
  </si>
  <si>
    <t>117.183,81</t>
  </si>
  <si>
    <t xml:space="preserve">GRUPO GERADOR DIESEL, SEM CARENAGEM, POTENCIA STANDART ENTRE 250 E 260 KVA, VELOCIDADE DE 1800 RPM, FREQUENCIA DE 60 HZ                                                                                                                                                                                                                                                                                                                                                                                   </t>
  </si>
  <si>
    <t xml:space="preserve">GRUPO GERADOR DIESEL, SEM CARENAGEM, POTENCIA STANDART ENTRE 80 E 90 KVA, VELOCIDADE DE 1800 RPM, FREQUENCIA DE 60 HZ                                                                                                                                                                                                                                                                                                                                                                                     </t>
  </si>
  <si>
    <t>76.185,00</t>
  </si>
  <si>
    <t xml:space="preserve">GRUPO GERADOR ESTACIONARIO SILENCIADO, POTENCIA 50 KVA, MOTOR DIESEL                                                                                                                                                                                                                                                                                                                                                                                                                                      </t>
  </si>
  <si>
    <t>63.620,55</t>
  </si>
  <si>
    <t xml:space="preserve">GRUPO GERADOR ESTACIONARIO, MOTOR DIESEL POTENCIA 170 KVA                                                                                                                                                                                                                                                                                                                                                                                                                                                 </t>
  </si>
  <si>
    <t>109.052,74</t>
  </si>
  <si>
    <t xml:space="preserve">GRUPO GERADOR ESTACIONARIO, POTENCIA 150 KVA, MOTOR DIESEL                                                                                                                                                                                                                                                                                                                                                                                                                                                </t>
  </si>
  <si>
    <t>97.094,52</t>
  </si>
  <si>
    <t xml:space="preserve">GRUPO GERADOR ESTACIONARIO, SILENCIADO, POTENCIA 180 KVA, MOTOR DIESEL                                                                                                                                                                                                                                                                                                                                                                                                                                    </t>
  </si>
  <si>
    <t>116.726,21</t>
  </si>
  <si>
    <t xml:space="preserve">GRUPO GERADOR REBOCAVEL, POTENCIA *66* KVA, MOTOR A DIESEL                                                                                                                                                                                                                                                                                                                                                                                                                                                </t>
  </si>
  <si>
    <t>68.614,04</t>
  </si>
  <si>
    <t xml:space="preserve">GUARNICAO / ALIZAR / VISTA LISA EM MADEIRA MACICA, PARA PORTA  , E = *1* CM, L = *5* CM, CEDRINHO / ANGELIM COMERCIAL / TAURI/ CURUPIXA / PEROBA / CUMARU OU EQUIVALENTE DA REGIAO                                                                                                                                                                                                                                                                                                                        </t>
  </si>
  <si>
    <t>6,73</t>
  </si>
  <si>
    <t xml:space="preserve">GUARNICAO / ALIZAR / VISTA LISA EM MADEIRA MACICA, PARA PORTA , E = *1* CM, L = *5* CM,  PINUS /EUCALIPTO / VIROLA OU EQUIVALENTE DA REGIAO                                                                                                                                                                                                                                                                                                                                                               </t>
  </si>
  <si>
    <t xml:space="preserve">GUARNICAO / ALIZAR / VISTA, E = *1,5* CM, L = *5,0* CM, EM POLIESTIRENO, BRANCO (JOGO PARA 1 FACE)                                                                                                                                                                                                                                                                                                                                                                                                        </t>
  </si>
  <si>
    <t xml:space="preserve">GUARNICAO/ALIZAR/VISTA, E = *1,3* CM, L = *5,0* CM HASTE REGULAVEL = *35* MM, EM MDF/PVC WOOD/ POLIESTIRENO OU MADEIRA LAMINADA, PRIMER BRANCO (JOGO PARA 1 FACE)                                                                                                                                                                                                                                                                                                                                         </t>
  </si>
  <si>
    <t xml:space="preserve">GUARNICAO/ALIZAR/VISTA, E = *1,3* CM, L = *7,0* CM, EM POLIESTIRENO, BRANCO (JOGO PARA 1 FACE)                                                                                                                                                                                                                                                                                                                                                                                                            </t>
  </si>
  <si>
    <t xml:space="preserve">GUARNICAO/MOLDURA DE ACABAMENTO PARA ESQUADRIA DE ALUMINIO ANODIZADO NATURAL, PARA 1 FACE                                                                                                                                                                                                                                                                                                                                                                                                                 </t>
  </si>
  <si>
    <t xml:space="preserve">GUINCHO DE ALAVANCA MANUAL, CAPACIDADE DE 1,6 T, COM 20 M DE CABO DE ACO (AQUISICAO)                                                                                                                                                                                                                                                                                                                                                                                                                      </t>
  </si>
  <si>
    <t>2.422,70</t>
  </si>
  <si>
    <t xml:space="preserve">GUINCHO DE ALAVANCA MANUAL, CAPACIDADE 3,2 T COM 20 M DE CABO DE ACO DIAMETRO 16,3 MM                                                                                                                                                                                                                                                                                                                                                                                                                     </t>
  </si>
  <si>
    <t>2.765,77</t>
  </si>
  <si>
    <t xml:space="preserve">GUINCHO ELETRICO DE COLUNA, CAPACIDADE 400 KG, COM MOTO FREIO, MOTOR TRIFASICO DE 1,25 CV                                                                                                                                                                                                                                                                                                                                                                                                                 </t>
  </si>
  <si>
    <t>4.815,63</t>
  </si>
  <si>
    <t xml:space="preserve">GUINDASTE HIDRAULICO AUTOPROPELIDO, COM LANCA TELESCOPICA 28,80 M, CAPACIDADE MAXIMA 30 T, POTENCIA 97 KW, TRACAO 4 X 4                                                                                                                                                                                                                                                                                                                                                                                   </t>
  </si>
  <si>
    <t>1.061.499,48</t>
  </si>
  <si>
    <t xml:space="preserve">GUINDASTE HIDRAULICO AUTOPROPELIDO, COM LANCA TELESCOPICA 40 M, CAPACIDADE MAXIMA 60 T, POTENCIA 260 KW, TRACAO 6 X 6                                                                                                                                                                                                                                                                                                                                                                                     </t>
  </si>
  <si>
    <t>2.041.345,16</t>
  </si>
  <si>
    <t xml:space="preserve">GUINDASTE HIDRAULICO AUTOPROPELIDO, COM LANCA TELESCOPICA 50 M, CAPACIDADE MAXIMA 100 T, POTENCIA 350 KW, TRACAO 10 X 6                                                                                                                                                                                                                                                                                                                                                                                   </t>
  </si>
  <si>
    <t>3.470.286,76</t>
  </si>
  <si>
    <t xml:space="preserve">GUINDAUTO HIDRAULICO, CAPACIDADE MAXIMA DE CARGA 10000 KG, MOMENTO MAXIMO DE CARGA 23 TM , ALCANCE MAXIMO HORIZONTAL 11,80 M, PARA MONTAGEM SOBRE CHASSI DE CAMINHAO PBT MINIMO 15000 KG (INCLUI MONTAGEM, NAO INCLUI CAMINHAO)                                                                                                                                                                                                                                                                           </t>
  </si>
  <si>
    <t>212.684,22</t>
  </si>
  <si>
    <t xml:space="preserve">GUINDAUTO HIDRAULICO, CAPACIDADE MAXIMA DE CARGA 14340 KG, MOMENTO MAXIMO DE CARGA 42,3 TM, ALCANCE MAXIMO HORIZONTAL 16,80 M, PARA MONTAGEM SOBRE CHASSI DE CAMINHAO PBT MINIMO 23000 KG (INCLUI MONTAGEM, NAO INCLUI CAMINHAO)                                                                                                                                                                                                                                                                          </t>
  </si>
  <si>
    <t>334.993,75</t>
  </si>
  <si>
    <t xml:space="preserve">GUINDAUTO HIDRAULICO, CAPACIDADE MAXIMA DE CARGA 30000 KG, MOMENTO MAXIMO DE CARGA 92,2 TM , ALCANCE MAXIMO HORIZONTAL  22,00 M, PARA MONTAGEM SOBRE CHASSI DE CAMINHAO PBT MINIMO 30000 KG (INCLUI MONTAGEM, NAO INCLUI CAMINHAO)                                                                                                                                                                                                                                                                        </t>
  </si>
  <si>
    <t>1.240.581,25</t>
  </si>
  <si>
    <t xml:space="preserve">GUINDAUTO HIDRAULICO, CAPACIDADE MAXIMA DE CARGA 3300 KG, MOMENTO MAXIMO DE CARGA 5,8 TM , ALCANCE MAXIMO HORIZONTAL  7,60 M, PARA MONTAGEM SOBRE CHASSI DE CAMINHAO PBT MINIMO 8000 KG (INCLUI MONTAGEM, NAO INCLUI CAMINHAO)                                                                                                                                                                                                                                                                            </t>
  </si>
  <si>
    <t>83.748,43</t>
  </si>
  <si>
    <t xml:space="preserve">GUINDAUTO HIDRAULICO, CAPACIDADE MAXIMA DE CARGA 6200 KG, MOMENTO MAXIMO DE CARGA 11,7 TM , ALCANCE MAXIMO HORIZONTAL  9,70 M, PARA MONTAGEM SOBRE CHASSI DE CAMINHAO PBT MINIMO 13000 KG (INCLUI MONTAGEM, NAO INCLUI CAMINHAO)                                                                                                                                                                                                                                                                          </t>
  </si>
  <si>
    <t>117.800,00</t>
  </si>
  <si>
    <t xml:space="preserve">GUINDAUTO HIDRAULICO, CAPACIDADE MAXIMA DE CARGA 8500 KG, MOMENTO MAXIMO DE CARGA 30,4 TM , ALCANCE MAXIMO HORIZONTAL  14,30 M, PARA MONTAGEM SOBRE CHASSI DE CAMINHAO PBT MINIMO 23000 KG (INCLUI MONTAGEM, NAO INCLUI CAMINHAO)                                                                                                                                                                                                                                                                         </t>
  </si>
  <si>
    <t>275.357,50</t>
  </si>
  <si>
    <t xml:space="preserve">HASTE ANCORA EM ACO GALVANIZADO, DIMENSOES 16 MM X 2000 MM                                                                                                                                                                                                                                                                                                                                                                                                                                                </t>
  </si>
  <si>
    <t xml:space="preserve">HASTE DE ACO GALVANIZADO PARA FIXACAO DE CONCERTINA 2 "/3 M                                                                                                                                                                                                                                                                                                                                                                                                                                               </t>
  </si>
  <si>
    <t>37,38</t>
  </si>
  <si>
    <t xml:space="preserve">HASTE DE ATERRAMENTO EM ACO GALVANIZADO TIPO CANTONEIRA COM 2,00 M DE COMPRIMENTO, 25 X 25 MM E CHAPA DE 3/16"                                                                                                                                                                                                                                                                                                                                                                                            </t>
  </si>
  <si>
    <t xml:space="preserve">HASTE METALICA PARA FIXACAO DE CALHA PLUVIAL,  ZINCADA, DOBRADA 90 GRAUS                                                                                                                                                                                                                                                                                                                                                                                                                                  </t>
  </si>
  <si>
    <t xml:space="preserve">HASTE RETA PARA GANCHO DE FERRO GALVANIZADO, COM ROSCA 1/4 " X 30 CM PARA FIXACAO DE TELHA METALICA, INCLUI PORCA E ARRUELAS DE VEDACAO                                                                                                                                                                                                                                                                                                                                                                   </t>
  </si>
  <si>
    <t xml:space="preserve">HASTE RETA PARA GANCHO DE FERRO GALVANIZADO, COM ROSCA 1/4 " X 40 CM PARA FIXACAO DE TELHA DE FIBROCIMENTO, INCLUI PORCA SEXTAVADA DE  ZINCO                                                                                                                                                                                                                                                                                                                                                              </t>
  </si>
  <si>
    <t xml:space="preserve">HASTE RETA PARA GANCHO DE FERRO GALVANIZADO, COM ROSCA 5/16" X 35 CM PARA FIXACAO DE TELHA DE FIBROCIMENTO, INCLUI PORCA E ARRUELAS DE VEDACAO                                                                                                                                                                                                                                                                                                                                                            </t>
  </si>
  <si>
    <t xml:space="preserve">HASTE RETA PARA GANCHO DE FERRO GALVANIZADO, COM ROSCA 5/16" X 40 CM PARA FIXACAO DE TELHA DE FIBROCIMENTO, INCLUI PORCA SEXTAVADA DE  ZINCO                                                                                                                                                                                                                                                                                                                                                              </t>
  </si>
  <si>
    <t xml:space="preserve">HASTE RETA PARA GANCHO DE FERRO GALVANIZADO, COM ROSCA 5/16" X 45 CM PARA FIXACAO DE TELHA DE FIBROCIMENTO, INCLUI PORCA E ARRUELAS DE VEDACAO                                                                                                                                                                                                                                                                                                                                                            </t>
  </si>
  <si>
    <t xml:space="preserve">HIDRANTE DE COLUNA COMPLETO, EM FERRO FUNDIDO, DN = 100 MM, COM REGISTRO, CUNHA DE BORRACHA, CURVA DESSIMETRICA, EXTREMIDADE E TAMPAS (INCLUI KIT FIXACAO)                                                                                                                                                                                                                                                                                                                                                </t>
  </si>
  <si>
    <t xml:space="preserve">HIDRANTE DE COLUNA COMPLETO, EM FERRO FUNDIDO, DN = 75 MM, COM REGISTRO, CUNHA DE BORRACHA, CURVA DESSIMETRICA, EXTREMIDADE E TAMPAS (INCLUI KIT FIXACAO)                                                                                                                                                                                                                                                                                                                                                 </t>
  </si>
  <si>
    <t xml:space="preserve">HIDRANTE SUBTERRANEO, EM FERRO FUNDIDO, COM CURVA CURTA E CAIXA, DN 75 MM                                                                                                                                                                                                                                                                                                                                                                                                                                 </t>
  </si>
  <si>
    <t xml:space="preserve">HIDRANTE SUBTERRANEO, EM FERRO FUNDIDO, COM CURVA LONGA E CAIXA, DN 75 MM                                                                                                                                                                                                                                                                                                                                                                                                                                 </t>
  </si>
  <si>
    <t xml:space="preserve">HIDROJATEADORA PARA DESOBSTRUCAO DE REDES E GALERIAS, TANQUE 7000 L, BOMBA TRIPLEX 120 KGF/CM2 128 L/MIN (INCLUI MONTAGEM, NAO INCLUI CAMINHAO)                                                                                                                                                                                                                                                                                                                                                           </t>
  </si>
  <si>
    <t>183.707,83</t>
  </si>
  <si>
    <t xml:space="preserve">HIDROJATEADORA PARA DESOBSTRUCAO DE REDES E GALERIAS, TANQUE 7000 L, BOMBA TRIPLEX 140 KGF/CM2 260 L/MIN ALIMENTADA POR MOTOR INDEPENDENTE A DIESEL POTENCIA 125 CV (INCLUI MONTAGEM, NAO INCLUI CAMINHAO)                                                                                                                                                                                                                                                                                                </t>
  </si>
  <si>
    <t>195.435,87</t>
  </si>
  <si>
    <t xml:space="preserve">HIDROMETRO MULTIJATO / MEDIDOR DE AGUA, DN 1 1/2", VAZAO MAXIMA DE 20 M3/H, PARA AGUA POTAVEL FRIA, RELOJOARIA PLANA, CLASSE B, HORIZONTAL (SEM CONEXOES)                                                                                                                                                                                                                                                                                                                                                 </t>
  </si>
  <si>
    <t>780,01</t>
  </si>
  <si>
    <t xml:space="preserve">HIDROMETRO MULTIJATO / MEDIDOR DE AGUA, DN 1", VAZAO MAXIMA DE 10 M3/H, PARA AGUA POTAVEL FRIA, RELOJOARIA PLANA, CLASSE B, HORIZONTAL (SEM CONEXOES)                                                                                                                                                                                                                                                                                                                                                     </t>
  </si>
  <si>
    <t>469,33</t>
  </si>
  <si>
    <t xml:space="preserve">HIDROMETRO MULTIJATO / MEDIDOR DE AGUA, DN 1", VAZAO MAXIMA DE 7 M3/H, PARA AGUA POTAVEL FRIA, RELOJOARIA PLANA, CLASSE B, HORIZONTAL (SEM CONEXOES)                                                                                                                                                                                                                                                                                                                                                      </t>
  </si>
  <si>
    <t>343,73</t>
  </si>
  <si>
    <t xml:space="preserve">HIDROMETRO MULTIJATO / MEDIDOR DE AGUA, DN 2", VAZAO MAXIMA DE 30 M3/H, PARA AGUA POTAVEL FRIA, RELOJOARIA PLANA, CLASSE B, HORIZONTAL (SEM CONEXOES)                                                                                                                                                                                                                                                                                                                                                     </t>
  </si>
  <si>
    <t>1.097,30</t>
  </si>
  <si>
    <t xml:space="preserve">HIDROMETRO UNIJATO / MEDIDOR DE AGUA, DN 1/2", VAZAO MAXIMA DE 1,5 M3/H, PARA AGUA POTAVEL FRIA, RELOJOARIA PLANA, CLASSE B, HORIZONTAL (SEM CONEXOES)                                                                                                                                                                                                                                                                                                                                                    </t>
  </si>
  <si>
    <t>89,90</t>
  </si>
  <si>
    <t xml:space="preserve">HIDROMETRO UNIJATO / MEDIDOR DE AGUA, DN 1/2", VAZAO MAXIMA DE 3 M3/H, PARA AGUA POTAVEL FRIA, RELOJOARIA PLANA, CLASSE B, HORIZONTAL (SEM CONEXOES)                                                                                                                                                                                                                                                                                                                                                      </t>
  </si>
  <si>
    <t>96,51</t>
  </si>
  <si>
    <t xml:space="preserve">HIDROMETRO UNIJATO / MEDIDOR DE AGUA, DN 3/4", VAZAO MAXIMA DE 5 M3/H, PARA AGUA POTAVEL FRIA, RELOJOARIA PLANA, CLASSE B, HORIZONTAL (SEM CONEXOES)0,                                                                                                                                                                                                                                                                                                                                                    </t>
  </si>
  <si>
    <t>118,98</t>
  </si>
  <si>
    <t xml:space="preserve">HIDROMETRO WOLTMANN, DN 2", VAZAO MAXIMA DE 50 M3/H, PARA AGUA POTAVEL FRIA, RELOJOARIA PLANA, TURBINA HORIZONTAL, EQUIPADO COM TELIMETRIA (SEM CONEXOES)                                                                                                                                                                                                                                                                                                                                                 </t>
  </si>
  <si>
    <t>1.771,55</t>
  </si>
  <si>
    <t xml:space="preserve">HIDROMETRO WOLTMANN, DN 3", VAZAO MAXIMA DE 80 M3/H, PARA AGUA POTAVEL FRIA, RELOJOARIA PLANA, TURBINA HORIZONTAL, EQUIPADO COM TELIMETRIA (SEM CONEXOES)                                                                                                                                                                                                                                                                                                                                                 </t>
  </si>
  <si>
    <t>2.313,60</t>
  </si>
  <si>
    <t xml:space="preserve">IGNITOR PARA LAMPADA DE VAPOR DE SODIO / VAPOR METALICO ATE 2000 W, TENSAO DE PULSO ENTRE 600 A 750 V                                                                                                                                                                                                                                                                                                                                                                                                     </t>
  </si>
  <si>
    <t xml:space="preserve">IGNITOR PARA LAMPADA DE VAPOR DE SODIO / VAPOR METALICO ATE 400 W, TENSAO DE PULSO ENTRE 3000 A 4500 V                                                                                                                                                                                                                                                                                                                                                                                                    </t>
  </si>
  <si>
    <t xml:space="preserve">IGNITOR PARA LAMPADA DE VAPOR DE SODIO / VAPOR METALICO ATE 400 W, TENSAO DE PULSO ENTRE 580 A 750 V                                                                                                                                                                                                                                                                                                                                                                                                      </t>
  </si>
  <si>
    <t xml:space="preserve">IMPERMEABILIZADOR                                                                                                                                                                                                                                                                                                                                                                                                                                                                                         </t>
  </si>
  <si>
    <t xml:space="preserve">IMPERMEABILIZADOR (MENSALISTA)                                                                                                                                                                                                                                                                                                                                                                                                                                                                            </t>
  </si>
  <si>
    <t>3.052,58</t>
  </si>
  <si>
    <t xml:space="preserve">IMPERMEABILIZANTE FLEXIVEL BRANCO DE BASE ACRILICA PARA COBERTURAS                                                                                                                                                                                                                                                                                                                                                                                                                                        </t>
  </si>
  <si>
    <t xml:space="preserve">IMPERMEABILIZANTE INCOLOR PARA TRATAMENTO DE FACHADAS E TELHAS, BASE SILICONE                                                                                                                                                                                                                                                                                                                                                                                                                             </t>
  </si>
  <si>
    <t xml:space="preserve">IMUNIZANTE PARA MADEIRA, INCOLOR                                                                                                                                                                                                                                                                                                                                                                                                                                                                          </t>
  </si>
  <si>
    <t xml:space="preserve">INSTALADOR DE TUBULACOES (TUBOS/EQUIPAMENTOS)                                                                                                                                                                                                                                                                                                                                                                                                                                                             </t>
  </si>
  <si>
    <t xml:space="preserve">INSTALADOR DE TUBULACOES (TUBOS/EQUIPAMENTOS) (MENSALISTA)                                                                                                                                                                                                                                                                                                                                                                                                                                                </t>
  </si>
  <si>
    <t>3.530,47</t>
  </si>
  <si>
    <t xml:space="preserve">INTERRUPTOR BIPOLAR SIMPLES 10 A, 250 V (APENAS MODULO)                                                                                                                                                                                                                                                                                                                                                                                                                                                   </t>
  </si>
  <si>
    <t xml:space="preserve">INTERRUPTOR BIPOLAR 10A, 250V, CONJUNTO MONTADO PARA EMBUTIR 4" X 2" (PLACA + SUPORTE + MODULO)                                                                                                                                                                                                                                                                                                                                                                                                           </t>
  </si>
  <si>
    <t xml:space="preserve">INTERRUPTOR INTERMEDIARIO 10 A, 250 V (APENAS MODULO)                                                                                                                                                                                                                                                                                                                                                                                                                                                     </t>
  </si>
  <si>
    <t xml:space="preserve">INTERRUPTOR INTERMEDIARIO 10A, 250V, CONJUNTO MONTADO PARA EMBUTIR 4" X 2" (PLACA + SUPORTE + MODULO)                                                                                                                                                                                                                                                                                                                                                                                                     </t>
  </si>
  <si>
    <t xml:space="preserve">INTERRUPTOR PARALELO + TOMADA 2P+T 10A, 250V, CONJUNTO MONTADO PARA EMBUTIR 4" X 2" (PLACA + SUPORTE + MODULOS)                                                                                                                                                                                                                                                                                                                                                                                           </t>
  </si>
  <si>
    <t xml:space="preserve">INTERRUPTOR PARALELO 10A, 250V (APENAS MODULO)                                                                                                                                                                                                                                                                                                                                                                                                                                                            </t>
  </si>
  <si>
    <t xml:space="preserve">INTERRUPTOR PARALELO 10A, 250V, CONJUNTO MONTADO PARA EMBUTIR 4" X 2" (PLACA + SUPORTE + MODULO)                                                                                                                                                                                                                                                                                                                                                                                                          </t>
  </si>
  <si>
    <t xml:space="preserve">INTERRUPTOR SIMPLES + INTERRUPTOR PARALELO + TOMADA 2P+T 10A, 250V, CONJUNTO MONTADO PARA EMBUTIR 4" X 2" (PLACA + SUPORTE + MODULOS)                                                                                                                                                                                                                                                                                                                                                                     </t>
  </si>
  <si>
    <t xml:space="preserve">INTERRUPTOR SIMPLES + INTERRUPTOR PARALELO 10A, 250V, CONJUNTO MONTADO PARA EMBUTIR 4" X 2" (PLACA + SUPORTE + MODULOS)                                                                                                                                                                                                                                                                                                                                                                                   </t>
  </si>
  <si>
    <t xml:space="preserve">INTERRUPTOR SIMPLES + TOMADA 2P+T 10A, 250V, CONJUNTO MONTADO PARA EMBUTIR 4" X 2" (PLACA + SUPORTE + MODULOS)                                                                                                                                                                                                                                                                                                                                                                                            </t>
  </si>
  <si>
    <t xml:space="preserve">INTERRUPTOR SIMPLES + 2 INTERRUPTORES PARALELOS 10A, 250V, CONJUNTO MONTADO PARA EMBUTIR 4" X 2" (PLACA + SUPORTE + MODULOS)                                                                                                                                                                                                                                                                                                                                                                              </t>
  </si>
  <si>
    <t xml:space="preserve">INTERRUPTOR SIMPLES 10A, 250V (APENAS MODULO)                                                                                                                                                                                                                                                                                                                                                                                                                                                             </t>
  </si>
  <si>
    <t xml:space="preserve">INTERRUPTOR SIMPLES 10A, 250V, CONJUNTO MONTADO PARA EMBUTIR 4" X 2" (PLACA + SUPORTE + MODULO)                                                                                                                                                                                                                                                                                                                                                                                                           </t>
  </si>
  <si>
    <t xml:space="preserve">INTERRUPTOR SIMPLES 10A, 250V, CONJUNTO MONTADO PARA SOBREPOR 4" X 2" (CAIXA + MODULO)                                                                                                                                                                                                                                                                                                                                                                                                                    </t>
  </si>
  <si>
    <t xml:space="preserve">INTERRUPTOR SIMPLES 10A, 250V, CONJUNTO MONTADO PARA SOBREPOR 4" X 2" (CAIXA + 2 MODULOS)                                                                                                                                                                                                                                                                                                                                                                                                                 </t>
  </si>
  <si>
    <t xml:space="preserve">INTERRUPTORES PARALELOS (2 MODULOS) + TOMADA 2P+T 10A, 250V, CONJUNTO MONTADO PARA EMBUTIR 4" X 2" (PLACA + SUPORTE + MODULOS)                                                                                                                                                                                                                                                                                                                                                                            </t>
  </si>
  <si>
    <t xml:space="preserve">INTERRUPTORES PARALELOS (2 MODULOS) 10A, 250V, CONJUNTO MONTADO PARA EMBUTIR 4" X 2" (PLACA + SUPORTE + MODULOS)                                                                                                                                                                                                                                                                                                                                                                                          </t>
  </si>
  <si>
    <t xml:space="preserve">INTERRUPTORES PARALELOS (3 MODULOS) 10A, 250V, CONJUNTO MONTADO PARA EMBUTIR 4" X 2" (PLACA + SUPORTE + MODULO)                                                                                                                                                                                                                                                                                                                                                                                           </t>
  </si>
  <si>
    <t xml:space="preserve">INTERRUPTORES SIMPLES (2 MODULOS) + TOMADA 2P+T 10A, 250V, CONJUNTO MONTADO PARA EMBUTIR 4" X 2" (PLACA + SUPORTE + MODULOS)                                                                                                                                                                                                                                                                                                                                                                              </t>
  </si>
  <si>
    <t xml:space="preserve">INTERRUPTORES SIMPLES (2 MODULOS) + 1 INTERRUPTOR PARALELO 10A, 250V, CONJUNTO MONTADO PARA EMBUTIR 4" X 2" (PLACA + SUPORTE + MODULOS)                                                                                                                                                                                                                                                                                                                                                                   </t>
  </si>
  <si>
    <t xml:space="preserve">INTERRUPTORES SIMPLES (2 MODULOS) 10A, 250V, CONJUNTO MONTADO PARA EMBUTIR 4" X 2" (PLACA + SUPORTE + MODULOS)                                                                                                                                                                                                                                                                                                                                                                                            </t>
  </si>
  <si>
    <t xml:space="preserve">INTERRUPTORES SIMPLES (3 MODULOS) 10A, 250V, CONJUNTO MONTADO PARA EMBUTIR 4" X 2" (PLACA + SUPORTE + MODULOS)                                                                                                                                                                                                                                                                                                                                                                                            </t>
  </si>
  <si>
    <t xml:space="preserve">INVERSOR DE SOLDA MONOFASICO DE 160 A, POTENCIA DE 5400 W, TENSAO DE 220 V, TURBO VENTILADO, PROTECAO POR FUSIVEL TERMICO, PARA ELETRODOS DE 2,0 A 4,0 MM                                                                                                                                                                                                                                                                                                                                                 </t>
  </si>
  <si>
    <t>1.361,80</t>
  </si>
  <si>
    <t xml:space="preserve">ISOLADOR DE PORCELANA SUSPENSO, DISCO TIPO GARFO OLHAL, DIAMETRO DE 152 MM, PARA TENSAO DE *15* KV                                                                                                                                                                                                                                                                                                                                                                                                        </t>
  </si>
  <si>
    <t xml:space="preserve">ISOLADOR DE PORCELANA, TIPO BUCHA, PARA TENSAO DE *15* KV                                                                                                                                                                                                                                                                                                                                                                                                                                                 </t>
  </si>
  <si>
    <t>439,76</t>
  </si>
  <si>
    <t xml:space="preserve">ISOLADOR DE PORCELANA, TIPO BUCHA, PARA TENSAO DE *35* KV                                                                                                                                                                                                                                                                                                                                                                                                                                                 </t>
  </si>
  <si>
    <t>748,73</t>
  </si>
  <si>
    <t xml:space="preserve">ISOLADOR DE PORCELANA, TIPO PINO MONOCORPO, PARA TENSAO DE *15* KV                                                                                                                                                                                                                                                                                                                                                                                                                                        </t>
  </si>
  <si>
    <t xml:space="preserve">ISOLADOR DE PORCELANA, TIPO PINO MONOCORPO, PARA TENSAO DE *35* KV                                                                                                                                                                                                                                                                                                                                                                                                                                        </t>
  </si>
  <si>
    <t>107,57</t>
  </si>
  <si>
    <t xml:space="preserve">ISOLADOR DE PORCELANA, TIPO ROLDANA, DIMENSOES DE *72* X *72* MM, PARA USO EM BAIXA TENSAO                                                                                                                                                                                                                                                                                                                                                                                                                </t>
  </si>
  <si>
    <t xml:space="preserve">JANELA BASCULANTE EM ALUMINIO, 80 X 60 CM (A X L), ACABAMENTO ACET OU BRILHANTE, BATENTE/REQUADRO DE 3 A 14 CM, COM VIDRO, SEM GUARNICAO/ALIZAR                                                                                                                                                                                                                                                                                                                                                           </t>
  </si>
  <si>
    <t xml:space="preserve">JANELA BASCULANTE EM MADEIRA PINUS/ EUCALIPTO/ TAUARI/ VIROLA OU EQUIVALENTE DA REGIAO, *60 X 60*, CAIXA DO BATENTE/ MARCO E = *10* CM, 2 BASCULAS PARA VIDRO, COM FERRAGENS (SEM VIDRO, SEM GUARNICAO/ALIZAR E SEM ACABAMENTO)                                                                                                                                                                                                                                                                           </t>
  </si>
  <si>
    <t xml:space="preserve">JANELA BASCULANTE EM MADEIRA PINUS/ EUCALIPTO/ TAUARI/ VIROLA OU EQUIVALENTE DA REGIAO, CAIXA DO BATENTE/ MARCO *10* CM, *2* FOLHAS BASCULANTES PARA VIDRO, COM FERRAGENS (SEM VIDRO, SEM GUARNICAO/ALIZAR E SEM ACABAMENTO)                                                                                                                                                                                                                                                                              </t>
  </si>
  <si>
    <t xml:space="preserve">JANELA BASCULANTE, ACO, COM BATENTE/REQUADRO, 60 X 60 CM (SEM VIDROS)                                                                                                                                                                                                                                                                                                                                                                                                                                     </t>
  </si>
  <si>
    <t>203,45</t>
  </si>
  <si>
    <t xml:space="preserve">JANELA DE ABRIR EM MADEIRA IMBUIA/CEDRO ARANA/CEDRO ROSA OU EQUIVALENTE DA REGIAO, CAIXA DO BATENTE/MARCO *10* CM, 2 FOLHAS DE ABRIR TIPO VENEZIANA E 2 FOLHAS DE ABRIR PARA VIDRO, COM GUARNICAO/ALIZAR, COM FERRAGENS, (SEM VIDRO E SEM ACABAMENTO)                                                                                                                                                                                                                                                     </t>
  </si>
  <si>
    <t xml:space="preserve">JANELA DE ABRIR EM MADEIRA PINUS/EUCALIPTO/ TAUARI/ VIROLA OU EQUIVALENTE DA REGIAO, CAIXA DO BATENTE/MARCO *10* CM, 2 FOLHAS DE ABRIR TIPO VENEZIANA E 2 FOLHAS GUILHOTINA PARA VIDRO, COM FERRAGENS (SEM VIDRO,SEM GUARNICAO/ALIZAR E SEM ACABAMENTO)                                                                                                                                                                                                                                                   </t>
  </si>
  <si>
    <t xml:space="preserve">JANELA DE CORRER EM ALUMINIO, VENEZIANA, 120 X 120 CM (A X L), 3 FLS (2 VENEZIANAS E 1 VIDRO), SEM BANDEIRA, ACABAMENTO ACET OU BRILHANTE, BATENTE/REQUADRO DE 6 A 14 CM, COM VIDRO, SEM GUARNICAO/ALIZAR                                                                                                                                                                                                                                                                                                 </t>
  </si>
  <si>
    <t xml:space="preserve">JANELA DE CORRER EM ALUMINIO, VENEZIANA, 120 X 150 CM (A X L), 6 FLS (4 VENEZIANAS E 2 VIDROS), SEM BANDEIRA, ACABAMENTO ACET OU BRILHANTE, BATENTE/REQUADRO DE 6 A 14 CM, COM VIDRO, SEM GUARNICAO/ALIZAR                                                                                                                                                                                                                                                                                                </t>
  </si>
  <si>
    <t xml:space="preserve">JANELA DE CORRER EM ALUMINIO, 100 X 120 CM (A X L), 2 FLS,  SEM BANDEIRA,  ACABAMENTO ACET OU BRILHANTE, BATENTE/REQUADRO DE 6 A 14 CM, COM VIDRO, SEM GUARNICAO                                                                                                                                                                                                                                                                                                                                          </t>
  </si>
  <si>
    <t xml:space="preserve">JANELA DE CORRER EM ALUMINIO, 100 X 150 CM (A X L), 2 FLS,  SEM BANDEIRA,  ACABAMENTO ACET OU BRILHANTE, BATENTE/REQUADRO DE 6 A 14 CM, COM VIDRO, SEM GUARNICAO/ALIZAR                                                                                                                                                                                                                                                                                                                                   </t>
  </si>
  <si>
    <t xml:space="preserve">JANELA DE CORRER EM ALUMINIO, 100 X 150 CM (A X L), 4 FLS, SEM BANDEIRA, ACABAMENTO ACET OU BRILHANTE, BATENTE/REQUADRO DE 6 A 14 CM, COM VIDRO, SEM GUARNICAO/ALIZAR                                                                                                                                                                                                                                                                                                                                     </t>
  </si>
  <si>
    <t xml:space="preserve">JANELA DE CORRER EM ALUMINIO, 100 X 200 CM, 4 FLS,  BANDEIRA COM BASCULA,  ACABAMENTO ACET OU BRILHANTE, BATENTE/REQUADRO DE 6 A 14 CM, COM VIDRO, SEM GUARNICAO/ALIZAR                                                                                                                                                                                                                                                                                                                                   </t>
  </si>
  <si>
    <t xml:space="preserve">JANELA DE CORRER EM ALUMINIO, 120 X 150 CM (A X L), 4 FLS, BANDEIRA COM BASCULA,  ACABAMENTO ACET OU BRILHANTE, BATENTE/REQUADRO DE 6 A 14 CM, COM VIDRO, SEM GUARNICAO/ALIZAR                                                                                                                                                                                                                                                                                                                            </t>
  </si>
  <si>
    <t xml:space="preserve">JANELA DE 6 FOLHAS DE CORRER EM MADEIRA CEDRINHO/ ANGELIM COMERCIAL/ CURUPIXA/ CUMARU OU EQUIVALENTE DA REGIAO, CAIXA DO BATENTE/MARCO *10* CM, 2 FOLHAS DE CORRER VENEZIANA, 2 FOLHAS FIXAS VENEZIANA E 2 FOLHAS DE CORRER PARA VIDRO, COM FERRAGENS (SEM VIDRO, SEM ACABAMENTO E SEM GUARNICAO/ALIZAR)                                                                                                                                                                                                  </t>
  </si>
  <si>
    <t xml:space="preserve">JANELA DE 6 FOLHAS DE CORRER EM MADEIRA IMBUIA/CEDRO ARANA/CEDRO ROSA OU EQUIVALENTE DA REGIAO, CAIXA DO BATENTE/MARCO *10* CM, 2 FOLHAS DE CORRER VENEZIANA, 2 FOLHAS FIXAS VENEZIANA E 2 FOLHAS DE CORRER PARA VIDRO, COM FERRAGENS (SEM VIDRO, SEM ACABAMENTO E SEM GUARNICAO/ALIZAR)                                                                                                                                                                                                                  </t>
  </si>
  <si>
    <t xml:space="preserve">JANELA DE 6 FOLHAS DE CORRER EM MADEIRA PINUS/ EUCALIPTO/ TAUARI/ VIROLA OU  EQUIVALENTE DA REGIAO, CAIXA DO BATENTE/MARCO *10* CM, 2 FOLHAS DE CORRER VENEZIANA, 2 FOLHAS FIXAS VENEZIANA E 2 FOLHAS DE CORRER PARA VIDRO, COM FERRAGENS (SEM VIDRO, SEM ACABAMENTO E SEM GUARNICAO/ALIZAR)                                                                                                                                                                                                              </t>
  </si>
  <si>
    <t xml:space="preserve">JANELA EM MADEIRA CEDRINHO/ ANGELIM COMERCIAL/ CURUPIXA/ CUMARU OU EQUIVALENTE DA REGIAO, CAIXA DO BATENTE/MARCO *10* CM, 2 FOLHAS DE ABRIR TIPO VENEZIANA E 2 FOLHAS GUILHOTINA PARA VIDRO, COM GUARNICAO/ALIZAR, COM FERRAGENS (SEM VIDRO E SEM ACABAMENTO)                                                                                                                                                                                                                                             </t>
  </si>
  <si>
    <t xml:space="preserve">JANELA FIXA EM ALUMINIO, 60  X 80 CM (A X L), BATENTE/REQUADRO DE 3 A 14 CM, COM VIDRO, SEM GUARNICAO/ALIZAR                                                                                                                                                                                                                                                                                                                                                                                              </t>
  </si>
  <si>
    <t xml:space="preserve">JANELA MAXIM AR EM ALUMINIO, 80 X 60 CM (A X L), BATENTE/REQUADRO DE 4 A 14 CM, COM VIDRO, SEM GUARNICAO/ALIZAR                                                                                                                                                                                                                                                                                                                                                                                           </t>
  </si>
  <si>
    <t xml:space="preserve">JANELA MAXIM AR EM MADEIRA CEDRINHO/ ANGELIM COMERCIAL/ CURUPIXA/ CUMARU OU EQUIVALENTE DA REGIAO, CAIXA DO BATENTE/MARCO *10* CM, 1 FOLHA  PARA VIDRO, COM GUARNICAO/ALIZAR, COM FERRAGENS, (SEM VIDRO E SEM ACABAMENTO)                                                                                                                                                                                                                                                                                 </t>
  </si>
  <si>
    <t xml:space="preserve">JANELA MAXIMO AR, ACO, BATENTE / REQUADRO DE 6 A 14 CM, PINT ANTICORROSIVA, SEM VIDRO, COM GRADE, 1 FL, 60  X 80 CM (A X L)                                                                                                                                                                                                                                                                                                                                                                               </t>
  </si>
  <si>
    <t>443,15</t>
  </si>
  <si>
    <t xml:space="preserve">JARDINEIRO                                                                                                                                                                                                                                                                                                                                                                                                                                                                                                </t>
  </si>
  <si>
    <t xml:space="preserve">JARDINEIRO (MENSALISTA)                                                                                                                                                                                                                                                                                                                                                                                                                                                                                   </t>
  </si>
  <si>
    <t>3.184,28</t>
  </si>
  <si>
    <t xml:space="preserve">JOELHO COM VISITA, PVC SERIE R, 90 GRAUS, 100 X 75 MM, PARA ESGOTO OU AGUAS PLUVIAIS PREDIAIS                                                                                                                                                                                                                                                                                                                                                                                                             </t>
  </si>
  <si>
    <t>72,80</t>
  </si>
  <si>
    <t xml:space="preserve">JOELHO CPVC, SOLDAVEL, 45 GRAUS, 15 MM, PARA AGUA QUENTE                                                                                                                                                                                                                                                                                                                                                                                                                                                  </t>
  </si>
  <si>
    <t xml:space="preserve">JOELHO CPVC, SOLDAVEL, 45 GRAUS, 22 MM, PARA AGUA QUENTE                                                                                                                                                                                                                                                                                                                                                                                                                                                  </t>
  </si>
  <si>
    <t xml:space="preserve">JOELHO CPVC, SOLDAVEL, 45 GRAUS, 28 MM, PARA AGUA QUENTE                                                                                                                                                                                                                                                                                                                                                                                                                                                  </t>
  </si>
  <si>
    <t xml:space="preserve">JOELHO CPVC, SOLDAVEL, 45 GRAUS, 35 MM, PARA AGUA QUENTE                                                                                                                                                                                                                                                                                                                                                                                                                                                  </t>
  </si>
  <si>
    <t xml:space="preserve">JOELHO CPVC, SOLDAVEL, 45 GRAUS, 42 MM, PARA AGUA QUENTE                                                                                                                                                                                                                                                                                                                                                                                                                                                  </t>
  </si>
  <si>
    <t xml:space="preserve">JOELHO CPVC, SOLDAVEL, 45 GRAUS, 54 MM, PARA AGUA QUENTE                                                                                                                                                                                                                                                                                                                                                                                                                                                  </t>
  </si>
  <si>
    <t xml:space="preserve">JOELHO CPVC, SOLDAVEL, 45 GRAUS, 73 MM, PARA AGUA QUENTE                                                                                                                                                                                                                                                                                                                                                                                                                                                  </t>
  </si>
  <si>
    <t>183,37</t>
  </si>
  <si>
    <t xml:space="preserve">JOELHO CPVC, SOLDAVEL, 45 GRAUS, 89 MM, PARA AGUA QUENTE                                                                                                                                                                                                                                                                                                                                                                                                                                                  </t>
  </si>
  <si>
    <t>213,91</t>
  </si>
  <si>
    <t xml:space="preserve">JOELHO CPVC, SOLDAVEL, 90 GRAUS, 15 MM, PARA AGUA QUENTE                                                                                                                                                                                                                                                                                                                                                                                                                                                  </t>
  </si>
  <si>
    <t xml:space="preserve">JOELHO CPVC, SOLDAVEL, 90 GRAUS, 22 MM, PARA AGUA QUENTE                                                                                                                                                                                                                                                                                                                                                                                                                                                  </t>
  </si>
  <si>
    <t xml:space="preserve">JOELHO CPVC, SOLDAVEL, 90 GRAUS, 28 MM, PARA AGUA QUENTE                                                                                                                                                                                                                                                                                                                                                                                                                                                  </t>
  </si>
  <si>
    <t xml:space="preserve">JOELHO CPVC, SOLDAVEL, 90 GRAUS, 35 MM, PARA AGUA QUENTE                                                                                                                                                                                                                                                                                                                                                                                                                                                  </t>
  </si>
  <si>
    <t xml:space="preserve">JOELHO CPVC, SOLDAVEL, 90 GRAUS, 42 MM, PARA AGUA QUENTE                                                                                                                                                                                                                                                                                                                                                                                                                                                  </t>
  </si>
  <si>
    <t xml:space="preserve">JOELHO CPVC, SOLDAVEL, 90 GRAUS, 54 MM, PARA AGUA QUENTE                                                                                                                                                                                                                                                                                                                                                                                                                                                  </t>
  </si>
  <si>
    <t xml:space="preserve">JOELHO CPVC, SOLDAVEL, 90 GRAUS, 73 MM, PARA AGUA QUENTE                                                                                                                                                                                                                                                                                                                                                                                                                                                  </t>
  </si>
  <si>
    <t xml:space="preserve">JOELHO CPVC, SOLDAVEL, 90 GRAUS, 89 MM, PARA AGUA QUENTE                                                                                                                                                                                                                                                                                                                                                                                                                                                  </t>
  </si>
  <si>
    <t>207,78</t>
  </si>
  <si>
    <t xml:space="preserve">JOELHO DE REDUCAO, PVC SOLDAVEL, 90 GRAUS,  25 MM X 20 MM, PARA AGUA FRIA PREDIAL                                                                                                                                                                                                                                                                                                                                                                                                                         </t>
  </si>
  <si>
    <t xml:space="preserve">JOELHO DE REDUCAO, PVC SOLDAVEL, 90 GRAUS,  32 MM X 25 MM, PARA AGUA FRIA PREDIAL                                                                                                                                                                                                                                                                                                                                                                                                                         </t>
  </si>
  <si>
    <t xml:space="preserve">JOELHO DE REDUCAO, PVC, ROSCAVEL COM BUCHA DE LATAO, 90 GRAUS,  3/4" X 1/2", PARA AGUA FRIA PREDIAL                                                                                                                                                                                                                                                                                                                                                                                                       </t>
  </si>
  <si>
    <t xml:space="preserve">JOELHO DE REDUCAO, PVC, ROSCAVEL, 90 GRAUS, 1" X 3/4", PARA AGUA FRIA PREDIAL                                                                                                                                                                                                                                                                                                                                                                                                                             </t>
  </si>
  <si>
    <t xml:space="preserve">JOELHO DE REDUCAO, PVC, ROSCAVEL, 90 GRAUS, 3/4" X 1/2", PARA AGUA FRIA PREDIAL                                                                                                                                                                                                                                                                                                                                                                                                                           </t>
  </si>
  <si>
    <t xml:space="preserve">JOELHO DE TRANSICAO, CPVC, SOLDAVEL, 90 GRAUS, 15 MM X 1/2", PARA AGUA QUENTE                                                                                                                                                                                                                                                                                                                                                                                                                             </t>
  </si>
  <si>
    <t xml:space="preserve">JOELHO DE TRANSICAO, CPVC, SOLDAVEL, 90 GRAUS, 22 MM X 1/2", PARA AGUA QUENTE                                                                                                                                                                                                                                                                                                                                                                                                                             </t>
  </si>
  <si>
    <t xml:space="preserve">JOELHO DE TRANSICAO, CPVC, SOLDAVEL, 90 GRAUS, 22 MM X 3/4", PARA AGUA QUENTE                                                                                                                                                                                                                                                                                                                                                                                                                             </t>
  </si>
  <si>
    <t xml:space="preserve">JOELHO PPR 45 GRAUS, SOLDAVEL,  DN 20 MM, PARA AGUA QUENTE PREDIAL                                                                                                                                                                                                                                                                                                                                                                                                                                        </t>
  </si>
  <si>
    <t xml:space="preserve">JOELHO PPR 45 GRAUS, SOLDAVEL, DN 25 MM, PARA AGUA QUENTE PREDIAL                                                                                                                                                                                                                                                                                                                                                                                                                                         </t>
  </si>
  <si>
    <t xml:space="preserve">JOELHO PPR, 45 GRAUS, SOLDAVEL, DN 32 MM, PARA AGUA QUENTE PREDIAL                                                                                                                                                                                                                                                                                                                                                                                                                                        </t>
  </si>
  <si>
    <t xml:space="preserve">JOELHO PPR, 90 GRAUS, SOLDAVEL, DN 110 MM, PARA AGUA QUENTE PREDIAL                                                                                                                                                                                                                                                                                                                                                                                                                                       </t>
  </si>
  <si>
    <t>164,83</t>
  </si>
  <si>
    <t xml:space="preserve">JOELHO PPR, 90 GRAUS, SOLDAVEL, DN 20 MM, PARA AGUA QUENTE PREDIAL                                                                                                                                                                                                                                                                                                                                                                                                                                        </t>
  </si>
  <si>
    <t xml:space="preserve">JOELHO PPR, 90 GRAUS, SOLDAVEL, DN 25 MM, PARA AGUA QUENTE PREDIAL                                                                                                                                                                                                                                                                                                                                                                                                                                        </t>
  </si>
  <si>
    <t xml:space="preserve">JOELHO PPR, 90 GRAUS, SOLDAVEL, DN 32 MM, PARA AGUA QUENTE PREDIAL                                                                                                                                                                                                                                                                                                                                                                                                                                        </t>
  </si>
  <si>
    <t xml:space="preserve">JOELHO PPR, 90 GRAUS, SOLDAVEL, DN 40 MM, PARA AGUA QUENTE PREDIAL                                                                                                                                                                                                                                                                                                                                                                                                                                        </t>
  </si>
  <si>
    <t xml:space="preserve">JOELHO PPR, 90 GRAUS, SOLDAVEL, DN 50 MM, PARA AGUA QUENTE PREDIAL                                                                                                                                                                                                                                                                                                                                                                                                                                        </t>
  </si>
  <si>
    <t xml:space="preserve">JOELHO PPR, 90 GRAUS, SOLDAVEL, DN 63 MM, PARA AGUA QUENTE PREDIAL                                                                                                                                                                                                                                                                                                                                                                                                                                        </t>
  </si>
  <si>
    <t xml:space="preserve">JOELHO PPR, 90 GRAUS, SOLDAVEL, DN 75 MM, PARA AGUA QUENTE PREDIAL                                                                                                                                                                                                                                                                                                                                                                                                                                        </t>
  </si>
  <si>
    <t>72,11</t>
  </si>
  <si>
    <t xml:space="preserve">JOELHO PPR, 90 GRAUS, SOLDAVEL, DN 90 MM, PARA AGUA QUENTE PREDIAL                                                                                                                                                                                                                                                                                                                                                                                                                                        </t>
  </si>
  <si>
    <t>109,90</t>
  </si>
  <si>
    <t xml:space="preserve">JOELHO PVC COM VISITA, 90 GRAUS, DN 100 X 50 MM, SERIE NORMAL, PARA ESGOTO PREDIAL                                                                                                                                                                                                                                                                                                                                                                                                                        </t>
  </si>
  <si>
    <t xml:space="preserve">JOELHO PVC LEVE, 45 GRAUS, DN 150 MM, PARA ESGOTO PREDIAL                                                                                                                                                                                                                                                                                                                                                                                                                                                 </t>
  </si>
  <si>
    <t xml:space="preserve">JOELHO PVC LEVE, 90 GRAUS, DN 150 MM, PARA ESGOTO PREDIAL                                                                                                                                                                                                                                                                                                                                                                                                                                                 </t>
  </si>
  <si>
    <t>68,27</t>
  </si>
  <si>
    <t xml:space="preserve">JOELHO PVC,  SOLDAVEL COM ROSCA, 90 GRAUS, 20 MM X 1/2", PARA AGUA FRIA PREDIAL                                                                                                                                                                                                                                                                                                                                                                                                                           </t>
  </si>
  <si>
    <t xml:space="preserve">JOELHO PVC,  SOLDAVEL COM ROSCA, 90 GRAUS, 25 MM X 1/2", PARA AGUA FRIA PREDIAL                                                                                                                                                                                                                                                                                                                                                                                                                           </t>
  </si>
  <si>
    <t xml:space="preserve">JOELHO PVC,  SOLDAVEL COM ROSCA, 90 GRAUS, 25 MM X 3/4", PARA AGUA FRIA PREDIAL                                                                                                                                                                                                                                                                                                                                                                                                                           </t>
  </si>
  <si>
    <t xml:space="preserve">JOELHO PVC,  SOLDAVEL COM ROSCA, 90 GRAUS, 32 MM X 3/4", PARA AGUA FRIA PREDIAL                                                                                                                                                                                                                                                                                                                                                                                                                           </t>
  </si>
  <si>
    <t xml:space="preserve">JOELHO PVC, COM BOLSA E ANEL, 90 GRAUS, DN 40 X *38* MM, SERIE NORMAL, PARA ESGOTO PREDIAL                                                                                                                                                                                                                                                                                                                                                                                                                </t>
  </si>
  <si>
    <t xml:space="preserve">JOELHO PVC, ROSCAVEL, 45 GRAUS, 1/2", PARA AGUA FRIA PREDIAL                                                                                                                                                                                                                                                                                                                                                                                                                                              </t>
  </si>
  <si>
    <t xml:space="preserve">JOELHO PVC, ROSCAVEL, 45 GRAUS, 1", PARA AGUA FRIA PREDIAL                                                                                                                                                                                                                                                                                                                                                                                                                                                </t>
  </si>
  <si>
    <t xml:space="preserve">JOELHO PVC, ROSCAVEL, 45 GRAUS, 3/4", PARA AGUA FRIA PREDIAL                                                                                                                                                                                                                                                                                                                                                                                                                                              </t>
  </si>
  <si>
    <t xml:space="preserve">JOELHO PVC, ROSCAVEL, 90 GRAUS, 1/2", PARA AGUA FRIA PREDIAL                                                                                                                                                                                                                                                                                                                                                                                                                                              </t>
  </si>
  <si>
    <t xml:space="preserve">JOELHO PVC, ROSCAVEL, 90 GRAUS, 1", PARA AGUA FRIA PREDIAL                                                                                                                                                                                                                                                                                                                                                                                                                                                </t>
  </si>
  <si>
    <t xml:space="preserve">JOELHO PVC, ROSCAVEL, 90 GRAUS, 3/4", PARA AGUA FRIA PREDIAL                                                                                                                                                                                                                                                                                                                                                                                                                                              </t>
  </si>
  <si>
    <t xml:space="preserve">JOELHO PVC, SOLDAVEL, BB, 45 GRAUS, DN 40 MM, PARA ESGOTO PREDIAL                                                                                                                                                                                                                                                                                                                                                                                                                                         </t>
  </si>
  <si>
    <t xml:space="preserve">JOELHO PVC, SOLDAVEL, BB, 90 GRAUS, DN 40 MM, PARA ESGOTO PREDIAL                                                                                                                                                                                                                                                                                                                                                                                                                                         </t>
  </si>
  <si>
    <t xml:space="preserve">JOELHO PVC, SOLDAVEL, COM BUCHA DE LATAO, 90 GRAUS, 20 MM X 1/2", PARA AGUA FRIA PREDIAL                                                                                                                                                                                                                                                                                                                                                                                                                  </t>
  </si>
  <si>
    <t xml:space="preserve">JOELHO PVC, SOLDAVEL, COM BUCHA DE LATAO, 90 GRAUS, 25 MM X 1/2", PARA AGUA FRIA PREDIAL                                                                                                                                                                                                                                                                                                                                                                                                                  </t>
  </si>
  <si>
    <t xml:space="preserve">JOELHO PVC, SOLDAVEL, COM BUCHA DE LATAO, 90 GRAUS, 25 MM X 3/4", PARA AGUA FRIA PREDIAL                                                                                                                                                                                                                                                                                                                                                                                                                  </t>
  </si>
  <si>
    <t xml:space="preserve">JOELHO PVC, SOLDAVEL, COM BUCHA DE LATAO, 90 GRAUS, 32 MM X 3/4", PARA AGUA FRIA PREDIAL                                                                                                                                                                                                                                                                                                                                                                                                                  </t>
  </si>
  <si>
    <t xml:space="preserve">JOELHO PVC, SOLDAVEL, PB, 45 GRAUS, DN 100 MM, PARA ESGOTO PREDIAL                                                                                                                                                                                                                                                                                                                                                                                                                                        </t>
  </si>
  <si>
    <t xml:space="preserve">JOELHO PVC, SOLDAVEL, PB, 45 GRAUS, DN 150 MM, PARA ESGOTO PREDIAL                                                                                                                                                                                                                                                                                                                                                                                                                                        </t>
  </si>
  <si>
    <t xml:space="preserve">JOELHO PVC, SOLDAVEL, PB, 45 GRAUS, DN 40 MM, PARA ESGOTO PREDIAL                                                                                                                                                                                                                                                                                                                                                                                                                                         </t>
  </si>
  <si>
    <t xml:space="preserve">JOELHO PVC, SOLDAVEL, PB, 45 GRAUS, DN 50 MM, PARA ESGOTO PREDIAL                                                                                                                                                                                                                                                                                                                                                                                                                                         </t>
  </si>
  <si>
    <t xml:space="preserve">JOELHO PVC, SOLDAVEL, PB, 45 GRAUS, DN 75 MM, PARA ESGOTO PREDIAL                                                                                                                                                                                                                                                                                                                                                                                                                                         </t>
  </si>
  <si>
    <t xml:space="preserve">JOELHO PVC, SOLDAVEL, PB, 90 GRAUS, DN 100 MM, PARA ESGOTO PREDIAL                                                                                                                                                                                                                                                                                                                                                                                                                                        </t>
  </si>
  <si>
    <t xml:space="preserve">JOELHO PVC, SOLDAVEL, PB, 90 GRAUS, DN 150 MM, PARA ESGOTO PREDIAL                                                                                                                                                                                                                                                                                                                                                                                                                                        </t>
  </si>
  <si>
    <t xml:space="preserve">JOELHO PVC, SOLDAVEL, PB, 90 GRAUS, DN 40 MM, PARA ESGOTO PREDIAL                                                                                                                                                                                                                                                                                                                                                                                                                                         </t>
  </si>
  <si>
    <t xml:space="preserve">JOELHO PVC, SOLDAVEL, PB, 90 GRAUS, DN 50 MM, PARA ESGOTO PREDIAL                                                                                                                                                                                                                                                                                                                                                                                                                                         </t>
  </si>
  <si>
    <t xml:space="preserve">JOELHO PVC, SOLDAVEL, PB, 90 GRAUS, DN 75 MM, PARA ESGOTO PREDIAL                                                                                                                                                                                                                                                                                                                                                                                                                                         </t>
  </si>
  <si>
    <t xml:space="preserve">JOELHO PVC, SOLDAVEL, 90 GRAUS, 110 MM, PARA AGUA FRIA PREDIAL                                                                                                                                                                                                                                                                                                                                                                                                                                            </t>
  </si>
  <si>
    <t>356,63</t>
  </si>
  <si>
    <t xml:space="preserve">JOELHO PVC, SOLDAVEL, 90 GRAUS, 20 MM, PARA AGUA FRIA PREDIAL                                                                                                                                                                                                                                                                                                                                                                                                                                             </t>
  </si>
  <si>
    <t xml:space="preserve">JOELHO PVC, SOLDAVEL, 90 GRAUS, 25 MM, PARA AGUA FRIA PREDIAL                                                                                                                                                                                                                                                                                                                                                                                                                                             </t>
  </si>
  <si>
    <t xml:space="preserve">JOELHO PVC, SOLDAVEL, 90 GRAUS, 32 MM, PARA AGUA FRIA PREDIAL                                                                                                                                                                                                                                                                                                                                                                                                                                             </t>
  </si>
  <si>
    <t xml:space="preserve">JOELHO PVC, SOLDAVEL, 90 GRAUS, 40 MM, PARA AGUA FRIA PREDIAL                                                                                                                                                                                                                                                                                                                                                                                                                                             </t>
  </si>
  <si>
    <t xml:space="preserve">JOELHO PVC, SOLDAVEL, 90 GRAUS, 50 MM, PARA AGUA FRIA PREDIAL                                                                                                                                                                                                                                                                                                                                                                                                                                             </t>
  </si>
  <si>
    <t xml:space="preserve">JOELHO PVC, SOLDAVEL, 90 GRAUS, 60 MM, PARA AGUA FRIA PREDIAL                                                                                                                                                                                                                                                                                                                                                                                                                                             </t>
  </si>
  <si>
    <t>38,04</t>
  </si>
  <si>
    <t xml:space="preserve">JOELHO PVC, SOLDAVEL, 90 GRAUS, 85 MM, PARA AGUA FRIA PREDIAL                                                                                                                                                                                                                                                                                                                                                                                                                                             </t>
  </si>
  <si>
    <t>169,06</t>
  </si>
  <si>
    <t xml:space="preserve">JOELHO PVC, 45 GRAUS, ROSCAVEL,  1 1/2", AGUA FRIA PREDIAL                                                                                                                                                                                                                                                                                                                                                                                                                                                </t>
  </si>
  <si>
    <t>32,54</t>
  </si>
  <si>
    <t xml:space="preserve">JOELHO PVC, 45 GRAUS, ROSCAVEL, 1 1/4",  AGUA FRIA PREDIAL                                                                                                                                                                                                                                                                                                                                                                                                                                                </t>
  </si>
  <si>
    <t xml:space="preserve">JOELHO PVC, 45 GRAUS, ROSCAVEL, 2", AGUA FRIA PREDIAL                                                                                                                                                                                                                                                                                                                                                                                                                                                     </t>
  </si>
  <si>
    <t xml:space="preserve">JOELHO PVC, 60 GRAUS, DIAMETRO ENTRE 80 E 100 MM, PARA DRENAGEM PLUVIAL PREDIAL                                                                                                                                                                                                                                                                                                                                                                                                                           </t>
  </si>
  <si>
    <t xml:space="preserve">JOELHO PVC, 90 GRAUS, DIAMETRO ENTRE 80 E 100 MM, PARA DRENAGEM PLUVIAL PREDIAL                                                                                                                                                                                                                                                                                                                                                                                                                           </t>
  </si>
  <si>
    <t xml:space="preserve">JOELHO PVC, 90 GRAUS, ROSCAVEL, 1 1/2",  AGUA FRIA PREDIAL                                                                                                                                                                                                                                                                                                                                                                                                                                                </t>
  </si>
  <si>
    <t xml:space="preserve">JOELHO PVC, 90 GRAUS, ROSCAVEL, 1 1/4", AGUA FRIA PREDIAL                                                                                                                                                                                                                                                                                                                                                                                                                                                 </t>
  </si>
  <si>
    <t xml:space="preserve">JOELHO PVC, 90 GRAUS, ROSCAVEL, 2", AGUA FRIA PREDIAL                                                                                                                                                                                                                                                                                                                                                                                                                                                     </t>
  </si>
  <si>
    <t>55,06</t>
  </si>
  <si>
    <t xml:space="preserve">JOELHO ROSCA FEMEA MOVEL, METALICO, PARA CONEXAO COM ANEL DESLIZANTE EM TUBO PEX, DN 16 MM X 1/2"                                                                                                                                                                                                                                                                                                                                                                                                         </t>
  </si>
  <si>
    <t xml:space="preserve">JOELHO ROSCA FEMEA MOVEL, METALICO, PARA CONEXAO COM ANEL DESLIZANTE EM TUBO PEX, DN 20 MM X 1/2"                                                                                                                                                                                                                                                                                                                                                                                                         </t>
  </si>
  <si>
    <t xml:space="preserve">JOELHO ROSCA FEMEA MOVEL, METALICO, PARA CONEXAO COM ANEL DESLIZANTE EM TUBO PEX, DN 20 MM X 3/4"                                                                                                                                                                                                                                                                                                                                                                                                         </t>
  </si>
  <si>
    <t xml:space="preserve">JOELHO ROSCA FEMEA MOVEL, METALICO, PARA CONEXAO COM ANEL DESLIZANTE EM TUBO PEX, DN 25 MM X 3/4"                                                                                                                                                                                                                                                                                                                                                                                                         </t>
  </si>
  <si>
    <t xml:space="preserve">JOELHO 45 GRAUS, PPR, SOLDAVEL, F/ F, DN 40 MM, PARA AQUA QUENTE E FRIA PREDIAL                                                                                                                                                                                                                                                                                                                                                                                                                           </t>
  </si>
  <si>
    <t xml:space="preserve">JOELHO 45 GRAUS, PPR, SOLDAVEL, F/ F, DN 50 MM, PARA AQUA QUENTE E FRIA PREDIAL                                                                                                                                                                                                                                                                                                                                                                                                                           </t>
  </si>
  <si>
    <t xml:space="preserve">JOELHO 45 GRAUS, PPR, SOLDAVEL, F/ F, DN 63 MM, PARA AQUA QUENTE E FRIA PREDIAL                                                                                                                                                                                                                                                                                                                                                                                                                           </t>
  </si>
  <si>
    <t>26,41</t>
  </si>
  <si>
    <t xml:space="preserve">JOELHO 45 GRAUS, PPR, SOLDAVEL, F/ F, DN 75 MM, PARA AQUA QUENTE E FRIA PREDIAL                                                                                                                                                                                                                                                                                                                                                                                                                           </t>
  </si>
  <si>
    <t>69,60</t>
  </si>
  <si>
    <t xml:space="preserve">JOELHO 45 GRAUS, PPR, SOLDAVEL, F/ F, DN 90 MM, PARA AQUA QUENTE E FRIA PREDIAL                                                                                                                                                                                                                                                                                                                                                                                                                           </t>
  </si>
  <si>
    <t>140,63</t>
  </si>
  <si>
    <t xml:space="preserve">JOELHO 90 GRAUS, METALICO, PARA CONEXAO COM ANEL DESLIZANTE EM TUBO PEX, DN 16 MM                                                                                                                                                                                                                                                                                                                                                                                                                         </t>
  </si>
  <si>
    <t xml:space="preserve">JOELHO 90 GRAUS, METALICO, PARA CONEXAO COM ANEL DESLIZANTE EM TUBO PEX, DN 20 MM                                                                                                                                                                                                                                                                                                                                                                                                                         </t>
  </si>
  <si>
    <t xml:space="preserve">JOELHO 90 GRAUS, METALICO, PARA CONEXAO COM ANEL DESLIZANTE EM TUBO PEX, DN 25 MM                                                                                                                                                                                                                                                                                                                                                                                                                         </t>
  </si>
  <si>
    <t xml:space="preserve">JOELHO 90 GRAUS, METALICO, PARA CONEXAO COM ANEL DESLIZANTE EM TUBO PEX, DN 32 MM                                                                                                                                                                                                                                                                                                                                                                                                                         </t>
  </si>
  <si>
    <t xml:space="preserve">JOELHO 90 GRAUS, PLASTICO, PARA CONEXAO COM CRIMPAGEM EM TUBO PEX, DN 16 MM                                                                                                                                                                                                                                                                                                                                                                                                                               </t>
  </si>
  <si>
    <t xml:space="preserve">JOELHO 90 GRAUS, PLASTICO, PARA CONEXAO COM CRIMPAGEM EM TUBO PEX, DN 20 MM                                                                                                                                                                                                                                                                                                                                                                                                                               </t>
  </si>
  <si>
    <t xml:space="preserve">JOELHO 90 GRAUS, PLASTICO, PARA CONEXAO COM CRIMPAGEM EM TUBO PEX, DN 25 MM                                                                                                                                                                                                                                                                                                                                                                                                                               </t>
  </si>
  <si>
    <t xml:space="preserve">JOELHO 90 GRAUS, PLASTICO, PARA CONEXAO COM CRIMPAGEM EM TUBO PEX, DN 32 MM                                                                                                                                                                                                                                                                                                                                                                                                                               </t>
  </si>
  <si>
    <t xml:space="preserve">JOELHO 90 GRAUS, ROSCA FEMEA TERMINAL, METALICO, PARA CONEXAO COM ANEL DESLIZANTE EM TUBO PEX, DN 16 MM X 1/2"                                                                                                                                                                                                                                                                                                                                                                                            </t>
  </si>
  <si>
    <t xml:space="preserve">JOELHO 90 GRAUS, ROSCA FEMEA TERMINAL, METALICO, PARA CONEXAO COM ANEL DESLIZANTE EM TUBO PEX, DN 20 MM X 1/2"                                                                                                                                                                                                                                                                                                                                                                                            </t>
  </si>
  <si>
    <t xml:space="preserve">JOELHO 90 GRAUS, ROSCA FEMEA TERMINAL, METALICO, PARA CONEXAO COM ANEL DESLIZANTE EM TUBO PEX, DN 20 MM X 3/4"                                                                                                                                                                                                                                                                                                                                                                                            </t>
  </si>
  <si>
    <t xml:space="preserve">JOELHO 90 GRAUS, ROSCA FEMEA TERMINAL, METALICO, PARA CONEXAO COM ANEL DESLIZANTE EM TUBO PEX, DN 25 MM X 3/4"                                                                                                                                                                                                                                                                                                                                                                                            </t>
  </si>
  <si>
    <t xml:space="preserve">JOELHO 90 GRAUS, ROSCA FEMEA TERMINAL, PLASTICO, PARA CONEXAO COM CRIMPAGEM EM TUBO PEX, DN 16 MM X 1/2"                                                                                                                                                                                                                                                                                                                                                                                                  </t>
  </si>
  <si>
    <t xml:space="preserve">JOELHO 90 GRAUS, ROSCA FEMEA TERMINAL, PLASTICO, PARA CONEXAO COM CRIMPAGEM EM TUBO PEX, DN 16 MM X 3/4"                                                                                                                                                                                                                                                                                                                                                                                                  </t>
  </si>
  <si>
    <t xml:space="preserve">JOELHO 90 GRAUS, ROSCA FEMEA TERMINAL, PLASTICO, PARA CONEXAO COM CRIMPAGEM EM TUBO PEX, DN 20 MM X 1/2"                                                                                                                                                                                                                                                                                                                                                                                                  </t>
  </si>
  <si>
    <t xml:space="preserve">JOELHO 90 GRAUS, ROSCA FEMEA TERMINAL, PLASTICO, PARA CONEXAO COM CRIMPAGEM EM TUBO PEX, DN 20 MM X 3/4"                                                                                                                                                                                                                                                                                                                                                                                                  </t>
  </si>
  <si>
    <t xml:space="preserve">JOELHO 90 GRAUS, ROSCA FEMEA TERMINAL, PLASTICO, PARA CONEXAO COM CRIMPAGEM EM TUBO PEX, DN 25 MM X 1/2"                                                                                                                                                                                                                                                                                                                                                                                                  </t>
  </si>
  <si>
    <t xml:space="preserve">JOELHO 90 GRAUS, ROSCA FEMEA TERMINAL, PLASTICO, PARA CONEXAO COM CRIMPAGEM EM TUBO PEX, DN 25 MM X 1"                                                                                                                                                                                                                                                                                                                                                                                                    </t>
  </si>
  <si>
    <t xml:space="preserve">JOELHO 90 GRAUS, ROSCA FEMEA TERMINAL, PLASTICO, PARA CONEXAO COM CRIMPAGEM EM TUBO PEX, DN 25 MM X 3/4"                                                                                                                                                                                                                                                                                                                                                                                                  </t>
  </si>
  <si>
    <t xml:space="preserve">JOELHO 90 GRAUS, ROSCA FEMEA TERMINAL, PLASTICO, PARA CONEXAO COM CRIMPAGEM EM TUBO PEX, DN 32 MM X 1"                                                                                                                                                                                                                                                                                                                                                                                                    </t>
  </si>
  <si>
    <t xml:space="preserve">JOELHO 90 GRAUS, ROSCA MACHO TERMINAL, METALICO, PARA CONEXAO COM ANEL DESLIZANTE EM TUBO PEX, DN 16 MM X 1/2"                                                                                                                                                                                                                                                                                                                                                                                            </t>
  </si>
  <si>
    <t xml:space="preserve">JOELHO 90 GRAUS, ROSCA MACHO TERMINAL, METALICO, PARA CONEXAO COM ANEL DESLIZANTE EM TUBO PEX, DN 20 MM X 1/2"                                                                                                                                                                                                                                                                                                                                                                                            </t>
  </si>
  <si>
    <t xml:space="preserve">JOELHO 90 GRAUS, ROSCA MACHO TERMINAL, METALICO, PARA CONEXAO COM ANEL DESLIZANTE EM TUBO PEX, DN 20 MM X 3/4"                                                                                                                                                                                                                                                                                                                                                                                            </t>
  </si>
  <si>
    <t xml:space="preserve">JOELHO 90 GRAUS, ROSCA MACHO TERMINAL, METALICO, PARA CONEXAO COM ANEL DESLIZANTE EM TUBO PEX, DN 25 MM X 3/4"                                                                                                                                                                                                                                                                                                                                                                                            </t>
  </si>
  <si>
    <t xml:space="preserve">JOELHO 90 GRAUS, ROSCA MACHO TERMINAL, PLASTICO, PARA CONEXAO COM CRIMPAGEM EM TUBO PEX, DN 25 MM X 1/2"                                                                                                                                                                                                                                                                                                                                                                                                  </t>
  </si>
  <si>
    <t xml:space="preserve">JOELHO 90 GRAUS, ROSCA MACHO TERMINAL, PLASTICO, PARA CONEXAO COM CRIMPAGEM EM TUBO PEX, DN 25 MM X 1"                                                                                                                                                                                                                                                                                                                                                                                                    </t>
  </si>
  <si>
    <t xml:space="preserve">JOELHO 90 GRAUS, ROSCA MACHO TERMINAL, PLASTICO, PARA CONEXAO COM CRIMPAGEM EM TUBO PEX, DN 32 MM X 1"                                                                                                                                                                                                                                                                                                                                                                                                    </t>
  </si>
  <si>
    <t xml:space="preserve">JOELHO, PVC COM ROSCA E BUCHA LATAO, 90 GRAUS,  3/4", PARA AGUA FRIA PREDIAL                                                                                                                                                                                                                                                                                                                                                                                                                              </t>
  </si>
  <si>
    <t xml:space="preserve">JOELHO, PVC SERIE R, 45 GRAUS, DN 100 MM, PARA ESGOTO OU AGUAS PLUVIAIS PREDIAIS                                                                                                                                                                                                                                                                                                                                                                                                                          </t>
  </si>
  <si>
    <t>30,74</t>
  </si>
  <si>
    <t xml:space="preserve">JOELHO, PVC SERIE R, 45 GRAUS, DN 150 MM, PARA ESGOTO OU AGUAS PLUVIAIS PREDIAIS                                                                                                                                                                                                                                                                                                                                                                                                                          </t>
  </si>
  <si>
    <t>106,97</t>
  </si>
  <si>
    <t xml:space="preserve">JOELHO, PVC SERIE R, 45 GRAUS, DN 40 MM, PARA ESGOTO OU AGUAS PLUVIAIS PREDIAIS                                                                                                                                                                                                                                                                                                                                                                                                                           </t>
  </si>
  <si>
    <t xml:space="preserve">JOELHO, PVC SERIE R, 45 GRAUS, DN 50 MM, PARA ESGOTO OU AGUAS PLUVIAIS PREDIAIS                                                                                                                                                                                                                                                                                                                                                                                                                           </t>
  </si>
  <si>
    <t xml:space="preserve">JOELHO, PVC SERIE R, 45 GRAUS, DN 75 MM, PARA ESGOTO OU AGUAS PLUVIAIS PREDIAIS                                                                                                                                                                                                                                                                                                                                                                                                                           </t>
  </si>
  <si>
    <t xml:space="preserve">JOELHO, PVC SERIE R, 90 GRAUS, DN 100 MM, PARA ESGOTO OU AGUAS PLUVIAIS PREDIAIS                                                                                                                                                                                                                                                                                                                                                                                                                          </t>
  </si>
  <si>
    <t>41,48</t>
  </si>
  <si>
    <t xml:space="preserve">JOELHO, PVC SERIE R, 90 GRAUS, DN 150 MM, PARA ESGOTO OU AGUAS PLUVIAIS PREDIAIS                                                                                                                                                                                                                                                                                                                                                                                                                          </t>
  </si>
  <si>
    <t>137,80</t>
  </si>
  <si>
    <t xml:space="preserve">JOELHO, PVC SERIE R, 90 GRAUS, DN 40 MM, PARA ESGOTO OU AGUAS PLUVIAIS PREDIAIS                                                                                                                                                                                                                                                                                                                                                                                                                           </t>
  </si>
  <si>
    <t xml:space="preserve">JOELHO, PVC SERIE R, 90 GRAUS, DN 50 MM, PARA ESGOTO OU AGUAS PLUVIAIS PREDIAIS                                                                                                                                                                                                                                                                                                                                                                                                                           </t>
  </si>
  <si>
    <t xml:space="preserve">JOELHO, PVC SERIE R, 90 GRAUS, DN 75 MM, PARA ESGOTO OU AGUAS PLUVIAIS PREDIAIS                                                                                                                                                                                                                                                                                                                                                                                                                           </t>
  </si>
  <si>
    <t xml:space="preserve">JOELHO, PVC SOLDAVEL, 45 GRAUS, 110 MM, PARA AGUA FRIA PREDIAL                                                                                                                                                                                                                                                                                                                                                                                                                                            </t>
  </si>
  <si>
    <t>326,14</t>
  </si>
  <si>
    <t xml:space="preserve">JOELHO, PVC SOLDAVEL, 45 GRAUS, 20 MM, PARA AGUA FRIA PREDIAL                                                                                                                                                                                                                                                                                                                                                                                                                                             </t>
  </si>
  <si>
    <t xml:space="preserve">JOELHO, PVC SOLDAVEL, 45 GRAUS, 25 MM, PARA AGUA FRIA PREDIAL                                                                                                                                                                                                                                                                                                                                                                                                                                             </t>
  </si>
  <si>
    <t xml:space="preserve">JOELHO, PVC SOLDAVEL, 45 GRAUS, 32 MM, PARA AGUA FRIA PREDIAL                                                                                                                                                                                                                                                                                                                                                                                                                                             </t>
  </si>
  <si>
    <t xml:space="preserve">JOELHO, PVC SOLDAVEL, 45 GRAUS, 40 MM, PARA AGUA FRIA PREDIAL                                                                                                                                                                                                                                                                                                                                                                                                                                             </t>
  </si>
  <si>
    <t xml:space="preserve">JOELHO, PVC SOLDAVEL, 45 GRAUS, 50 MM, PARA AGUA FRIA PREDIAL                                                                                                                                                                                                                                                                                                                                                                                                                                             </t>
  </si>
  <si>
    <t xml:space="preserve">JOELHO, PVC SOLDAVEL, 45 GRAUS, 60 MM, PARA AGUA FRIA PREDIAL                                                                                                                                                                                                                                                                                                                                                                                                                                             </t>
  </si>
  <si>
    <t xml:space="preserve">JOELHO, PVC SOLDAVEL, 45 GRAUS, 75 MM, PARA AGUA FRIA PREDIAL                                                                                                                                                                                                                                                                                                                                                                                                                                             </t>
  </si>
  <si>
    <t>102,58</t>
  </si>
  <si>
    <t xml:space="preserve">JOELHO, PVC SOLDAVEL, 45 GRAUS, 85 MM, PARA AGUA FRIA PREDIAL                                                                                                                                                                                                                                                                                                                                                                                                                                             </t>
  </si>
  <si>
    <t>121,70</t>
  </si>
  <si>
    <t xml:space="preserve">JOELHO, PVC SOLDAVEL, 90 GRAUS, 75 MM, PARA AGUA FRIA PREDIAL                                                                                                                                                                                                                                                                                                                                                                                                                                             </t>
  </si>
  <si>
    <t xml:space="preserve">JOELHO, ROSCA FEMEA, COM BASE FIXA, METALICO, PARA CONEXAO COM ANEL DESLIZANTE EM TUBO PEX, DN 16 MM X 1/2"                                                                                                                                                                                                                                                                                                                                                                                               </t>
  </si>
  <si>
    <t xml:space="preserve">JOELHO, ROSCA FEMEA, COM BASE FIXA, METALICO, PARA CONEXAO COM ANEL DESLIZANTE EM TUBO PEX, DN 20 MM X 1/2"                                                                                                                                                                                                                                                                                                                                                                                               </t>
  </si>
  <si>
    <t xml:space="preserve">JOELHO, ROSCA FEMEA, COM BASE FIXA, METALICO, PARA CONEXAO COM ANEL DESLIZANTE EM TUBO PEX, DN 25 MM X 3/4"                                                                                                                                                                                                                                                                                                                                                                                               </t>
  </si>
  <si>
    <t xml:space="preserve">JOELHO, ROSCA FEMEA, COM BASE FIXA, PLASTICO, PARA CONEXAO COM CRIMPAGEM EM TUBO PEX, DN 25 MM X 1/2"                                                                                                                                                                                                                                                                                                                                                                                                     </t>
  </si>
  <si>
    <t xml:space="preserve">JOELHO, ROSCA FEMEA, COM BASE FIXA, PLASTICO, PARA CONEXAO POR CRIMPAGEM EM TUBO PEX, DN 16 MM X 3/4"                                                                                                                                                                                                                                                                                                                                                                                                     </t>
  </si>
  <si>
    <t xml:space="preserve">JOELHO, ROSCA FEMEA, COM BASE FIXA, PLASTICO, PARA CONEXAO POR CRIMPAGEM EM TUBO PEX, DN 20 MM X 3/4"                                                                                                                                                                                                                                                                                                                                                                                                     </t>
  </si>
  <si>
    <t xml:space="preserve">JOGO DE TRANQUETA E ROSETA QUADRADA DE SOBREPOR SEM FUROS, EM LATAO CROMADO, *50 X 50* MM, PARA FECHADURA DE PORTA DE BANHEIRO                                                                                                                                                                                                                                                                                                                                                                            </t>
  </si>
  <si>
    <t>47,46</t>
  </si>
  <si>
    <t xml:space="preserve">JOGO DE TRANQUETA E ROSETA REDONDA DE SOBREPOR SEM FUROS, EM LATAO CROMADO, DIAMETRO *50* MM, PARA FECHADURA DE PORTA DE BANHEIRO                                                                                                                                                                                                                                                                                                                                                                         </t>
  </si>
  <si>
    <t xml:space="preserve">JUNCAO DE REDUCAO INVERTIDA, PVC SOLDAVEL, 100 X 50 MM, SERIE NORMAL PARA ESGOTO PREDIAL                                                                                                                                                                                                                                                                                                                                                                                                                  </t>
  </si>
  <si>
    <t xml:space="preserve">JUNCAO DE REDUCAO INVERTIDA, PVC SOLDAVEL, 100 X 75 MM, SERIE NORMAL PARA ESGOTO PREDIAL                                                                                                                                                                                                                                                                                                                                                                                                                  </t>
  </si>
  <si>
    <t xml:space="preserve">JUNCAO DE REDUCAO INVERTIDA, PVC SOLDAVEL, 75 X 50 MM, SERIE NORMAL PARA ESGOTO PREDIAL                                                                                                                                                                                                                                                                                                                                                                                                                   </t>
  </si>
  <si>
    <t xml:space="preserve">JUNCAO DE REDUCAO SIMPLES, COM BOLSA PARA ANEL, PVC LEVE,  150 X 100 MM, PARA ESGOTO PREDIAL                                                                                                                                                                                                                                                                                                                                                                                                              </t>
  </si>
  <si>
    <t>78,85</t>
  </si>
  <si>
    <t xml:space="preserve">JUNCAO DUPLA, PVC SERIE R, DN 100 X 100 X 100 MM, PARA ESGOTO OU AGUAS PLUVIAIS PREDIAIS                                                                                                                                                                                                                                                                                                                                                                                                                  </t>
  </si>
  <si>
    <t xml:space="preserve">JUNCAO DUPLA, PVC SOLDAVEL, DN 100 X 100 X 100 MM , SERIE NORMAL PARA ESGOTO PREDIAL                                                                                                                                                                                                                                                                                                                                                                                                                      </t>
  </si>
  <si>
    <t>52,52</t>
  </si>
  <si>
    <t xml:space="preserve">JUNCAO DUPLA, PVC SOLDAVEL, DN 75 X 75 X 75 MM , SERIE NORMAL PARA ESGOTO PREDIAL                                                                                                                                                                                                                                                                                                                                                                                                                         </t>
  </si>
  <si>
    <t>26,03</t>
  </si>
  <si>
    <t xml:space="preserve">JUNCAO INVERTIDA, PVC SOLDAVEL, 75 X 75 MM, SERIE NORMAL PARA ESGOTO PREDIAL                                                                                                                                                                                                                                                                                                                                                                                                                              </t>
  </si>
  <si>
    <t xml:space="preserve">JUNCAO PVC  ROSCAVEL, 45 GRAUS, 1/2", PARA AGUA FRIA PREDIAL                                                                                                                                                                                                                                                                                                                                                                                                                                              </t>
  </si>
  <si>
    <t xml:space="preserve">JUNCAO PVC  ROSCAVEL, 45 GRAUS, 3/4", PARA AGUA FRIA PREDIAL                                                                                                                                                                                                                                                                                                                                                                                                                                              </t>
  </si>
  <si>
    <t xml:space="preserve">JUNCAO PVC, 45 GRAUS, ROSCAVEL, 1 1/4", AGUA FRIA PREDIAL                                                                                                                                                                                                                                                                                                                                                                                                                                                 </t>
  </si>
  <si>
    <t xml:space="preserve">JUNCAO PVC, 60 GRAUS, CIRCULAR,  DIAMETRO ENTRE 80 E 100 MM, PARA DRENAGEM PLUVIAL PREDIAL                                                                                                                                                                                                                                                                                                                                                                                                                </t>
  </si>
  <si>
    <t xml:space="preserve">JUNCAO SIMPLES, PVC LEVE, 150 MM, PARA ESGOTO PREDIAL                                                                                                                                                                                                                                                                                                                                                                                                                                                     </t>
  </si>
  <si>
    <t>177,93</t>
  </si>
  <si>
    <t xml:space="preserve">JUNCAO SIMPLES, PVC SERIE R, DN 100 X 100 MM, PARA ESGOTO OU AGUAS PLUVIAIS PREDIAIS                                                                                                                                                                                                                                                                                                                                                                                                                      </t>
  </si>
  <si>
    <t xml:space="preserve">JUNCAO SIMPLES, PVC SERIE R, DN 100 X 75 MM, PARA ESGOTO OU AGUAS PLUVIAIS PREDIAIS                                                                                                                                                                                                                                                                                                                                                                                                                       </t>
  </si>
  <si>
    <t>72,99</t>
  </si>
  <si>
    <t xml:space="preserve">JUNCAO SIMPLES, PVC SERIE R, DN 150 X 100 MM, PARA ESGOTO OU AGUAS PLUVIAIS PREDIAIS                                                                                                                                                                                                                                                                                                                                                                                                                      </t>
  </si>
  <si>
    <t>207,14</t>
  </si>
  <si>
    <t xml:space="preserve">JUNCAO SIMPLES, PVC SERIE R, DN 150 X 150 MM, PARA ESGOTO OU AGUAS PLUVIAIS PREDIAIS                                                                                                                                                                                                                                                                                                                                                                                                                      </t>
  </si>
  <si>
    <t>233,58</t>
  </si>
  <si>
    <t xml:space="preserve">JUNCAO SIMPLES, PVC SERIE R, DN 40 X 40 MM, PARA ESGOTO OU AGUAS PLUVIAIS PREDIAIS                                                                                                                                                                                                                                                                                                                                                                                                                        </t>
  </si>
  <si>
    <t xml:space="preserve">JUNCAO SIMPLES, PVC SERIE R, DN 50 X 50 MM, PARA ESGOTO OU AGUAS PLUVIAIS PREDIAIS                                                                                                                                                                                                                                                                                                                                                                                                                        </t>
  </si>
  <si>
    <t xml:space="preserve">JUNCAO SIMPLES, PVC SERIE R, DN 75 X 75 MM, PARA ESGOTO OU AGUAS PLUVIAIS PREDIAIS                                                                                                                                                                                                                                                                                                                                                                                                                        </t>
  </si>
  <si>
    <t xml:space="preserve">JUNCAO SIMPLES, PVC, DN 100 X 50 MM, SERIE NORMAL PARA ESGOTO PREDIAL                                                                                                                                                                                                                                                                                                                                                                                                                                     </t>
  </si>
  <si>
    <t xml:space="preserve">JUNCAO SIMPLES, PVC, DN 100 X 75 MM, SERIE NORMAL PARA ESGOTO PREDIAL                                                                                                                                                                                                                                                                                                                                                                                                                                     </t>
  </si>
  <si>
    <t>31,23</t>
  </si>
  <si>
    <t xml:space="preserve">JUNCAO SIMPLES, PVC, DN 50 X 50 MM, SERIE NORMAL PARA ESGOTO PREDIAL                                                                                                                                                                                                                                                                                                                                                                                                                                      </t>
  </si>
  <si>
    <t xml:space="preserve">JUNCAO SIMPLES, PVC, DN 75 X 50 MM, SERIE NORMAL PARA ESGOTO PREDIAL                                                                                                                                                                                                                                                                                                                                                                                                                                      </t>
  </si>
  <si>
    <t xml:space="preserve">JUNCAO SIMPLES, PVC, DN 75 X 75 MM, SERIE NORMAL PARA ESGOTO PREDIAL                                                                                                                                                                                                                                                                                                                                                                                                                                      </t>
  </si>
  <si>
    <t xml:space="preserve">JUNCAO SIMPLES, PVC, 45 GRAUS, DN 100 X 100 MM, SERIE NORMAL PARA ESGOTO PREDIAL                                                                                                                                                                                                                                                                                                                                                                                                                          </t>
  </si>
  <si>
    <t xml:space="preserve">JUNCAO SIMPLES, PVC, 45 GRAUS, DN 40 X 40 MM, SERIE NORMAL PARA ESGOTO PREDIAL                                                                                                                                                                                                                                                                                                                                                                                                                            </t>
  </si>
  <si>
    <t xml:space="preserve">JUNCAO 2 GARRAS PARA FITA PERFURADA                                                                                                                                                                                                                                                                                                                                                                                                                                                                       </t>
  </si>
  <si>
    <t xml:space="preserve">JUNCAO, PVC, 45 GRAUS, JE, BBB, DN 100 MM, PARA REDE COLETORA DE ESGOTO (NBR 10569)                                                                                                                                                                                                                                                                                                                                                                                                                       </t>
  </si>
  <si>
    <t xml:space="preserve">JUNCAO, PVC, 45 GRAUS, JE, BBB, DN 150 MM, PARA REDE COLETORA DE ESGOTO (NBR 10569)                                                                                                                                                                                                                                                                                                                                                                                                                       </t>
  </si>
  <si>
    <t xml:space="preserve">JUNCAO, PVC, 45 GRAUS, JE, BBB, DN 150 MM, PARA TUBO CORRUGADO E/OU LISO, REDE COLETORA DE ESGOTO (NBR 10569)                                                                                                                                                                                                                                                                                                                                                                                             </t>
  </si>
  <si>
    <t xml:space="preserve">JUNCAO, PVC, 45 GRAUS, JE, BBB, DN 200 MM, PARA TUBO CORRUGADO E/OU LISO, REDE COLETORA DE ESGOTO (NBR 10569)                                                                                                                                                                                                                                                                                                                                                                                             </t>
  </si>
  <si>
    <t xml:space="preserve">JUNCAO, PVC, 45 GRAUS, JE, BBB, DN 250 MM, PARA TUBO CORRUGADO E/OU LISO, REDE COLETORA DE ESGOTO (NBR 10569)                                                                                                                                                                                                                                                                                                                                                                                             </t>
  </si>
  <si>
    <t xml:space="preserve">JUNTA DE EXPANSAO BRONZE/LATAO (REF 900), PONTA X PONTA, 35 MM                                                                                                                                                                                                                                                                                                                                                                                                                                            </t>
  </si>
  <si>
    <t>718,69</t>
  </si>
  <si>
    <t xml:space="preserve">JUNTA DE EXPANSAO BRONZE/LATAO (REF 900), PONTA X PONTA, 42 MM                                                                                                                                                                                                                                                                                                                                                                                                                                            </t>
  </si>
  <si>
    <t>899,79</t>
  </si>
  <si>
    <t xml:space="preserve">JUNTA DE EXPANSAO BRONZE/LATAO (REF 900), PONTA X PONTA, 54 MM                                                                                                                                                                                                                                                                                                                                                                                                                                            </t>
  </si>
  <si>
    <t>1.247,98</t>
  </si>
  <si>
    <t xml:space="preserve">JUNTA DE EXPANSAO BRONZE/LATAO (REF 900), PONTA X PONTA, 66 MM                                                                                                                                                                                                                                                                                                                                                                                                                                            </t>
  </si>
  <si>
    <t>1.648,37</t>
  </si>
  <si>
    <t xml:space="preserve">JUNTA DE EXPANSAO DE COBRE (REF 900), PONTA X PONTA, 15 MM                                                                                                                                                                                                                                                                                                                                                                                                                                                </t>
  </si>
  <si>
    <t>492,86</t>
  </si>
  <si>
    <t xml:space="preserve">JUNTA DE EXPANSAO DE COBRE (REF 900), PONTA X PONTA, 22 MM                                                                                                                                                                                                                                                                                                                                                                                                                                                </t>
  </si>
  <si>
    <t>571,68</t>
  </si>
  <si>
    <t xml:space="preserve">JUNTA DE EXPANSAO DE COBRE (REF 900), PONTA X PONTA, 28 MM                                                                                                                                                                                                                                                                                                                                                                                                                                                </t>
  </si>
  <si>
    <t>627,92</t>
  </si>
  <si>
    <t xml:space="preserve">JUNTA DILATACAO ELASTICA PARA CONCRETO (FUGENBAND) O-12, ATE 5 MCA                                                                                                                                                                                                                                                                                                                                                                                                                                        </t>
  </si>
  <si>
    <t xml:space="preserve">JUNTA DILATACAO ELASTICA PARA CONCRETO (FUGENBAND) O-22, ATE 30 MCA                                                                                                                                                                                                                                                                                                                                                                                                                                       </t>
  </si>
  <si>
    <t>106,82</t>
  </si>
  <si>
    <t xml:space="preserve">JUNTA DILATACAO ELASTICA PARA CONCRETO (FUGENBAND) O-35/10, ATE 100 MCA                                                                                                                                                                                                                                                                                                                                                                                                                                   </t>
  </si>
  <si>
    <t>402,01</t>
  </si>
  <si>
    <t xml:space="preserve">JUNTA DILATACAO ELASTICA PARA CONCRETO (FUGENBAND) O-35/6, ATE 100 MCA                                                                                                                                                                                                                                                                                                                                                                                                                                    </t>
  </si>
  <si>
    <t>332,59</t>
  </si>
  <si>
    <t xml:space="preserve">JUNTA PLASTICA DE DILATACAO PARA PISOS, COR CINZA, 10 X 4,5 MM (ALTURA X ESPESSURA)                                                                                                                                                                                                                                                                                                                                                                                                                       </t>
  </si>
  <si>
    <t xml:space="preserve">JUNTA PLASTICA DE DILATACAO PARA PISOS, COR CINZA, 17 X 3 MM (ALTURA X ESPESSURA)                                                                                                                                                                                                                                                                                                                                                                                                                         </t>
  </si>
  <si>
    <t xml:space="preserve">JUNTA PLASTICA DE DILATACAO PARA PISOS, COR CINZA, 27 X 3 MM (ALTURA X ESPESSURA)                                                                                                                                                                                                                                                                                                                                                                                                                         </t>
  </si>
  <si>
    <t xml:space="preserve">KIT ACESSORIOS PARA COMPRESSOR DE AR, 5 PECAS (PISTOLAS PINTURA, LIMPEZA E PULVERIZACAO, CALIBRADOR E MANGUEIRA)                                                                                                                                                                                                                                                                                                                                                                                          </t>
  </si>
  <si>
    <t>290,22</t>
  </si>
  <si>
    <t xml:space="preserve">KIT CAVALETE, PVC, COM REGISTRO, PARA HIDROMETRO, BITOLAS 1/2" OU 3/4" - COMPLETO                                                                                                                                                                                                                                                                                                                                                                                                                         </t>
  </si>
  <si>
    <t>121,10</t>
  </si>
  <si>
    <t xml:space="preserve">KIT CHASSI COZINHA, CUBA SIMPLES SEM MAQUINA LAVAR LOUCA PARA INSTALACAO PEX, QUADRO METALICO COM TRAVESSA COM FURO PARA ESGOTO DN 50 MM E FUROS SUPERIORES PARA AGUA, LARGURA *340* MM X ALTURA *650* MM, PARA CONEXAO COM ANEL DESLIZANTE (INCLUI TUBOS E CONEXOES PEX E TUBO E CONEXAO ESGOTO, NAO INCLUI CARENAGEM)                                                                                                                                                                                   </t>
  </si>
  <si>
    <t xml:space="preserve">KIT CHASSI COZINHA, CUBA SIMPLES SEM MAQUINA LAVAR LOUCA PARA INSTALACAO PEX, QUADRO METALICO COM TRAVESSA COM FURO PARA ESGOTO DN 50 MM E FUROS SUPERIORES PARA AGUA, LARGURA *340* MM X ALTURA *650* MM, PARA CONEXAO COM CRIMPAGEM (INCLUI TUBOS E CONEXOESPEX E TUBO E CONEXAO ESGOTO, NAO INCLUI CARENAGEM)                                                                                                                                                                                          </t>
  </si>
  <si>
    <t xml:space="preserve">KIT CHASSI TANQUE COM MAQUINA LAVAR ROUPA PARA INSTALACAO PEX, QUADRO METALICO COM TRAVESSA COM  FURO PARA ESGOTO DN 50 MM, FURO LATERAL PARA MAQUINA E FUROS SUPERIORES PARA AGUA, LARGURA *344* MM X ALTURA *442* MM, PARA CONEXAO COM CRIMPAGEM (INCLUI TUBOS E CONEXOES PEX E TUBO E CONEXAO ESGOTO, NAO INCLUI CARENAGEM)                                                                                                                                                                            </t>
  </si>
  <si>
    <t xml:space="preserve">KIT CHASSI TANQUE COM MAQUINA LAVAR ROUPA PARA INSTALACAO PEX, QUADRO METALICO COM TRAVESSA COM FURO PARA ESGOTO DN 50 MM, FURO LATERAL PARA MAQUINA E FUROS SUPERIORES PARA AGUA, LARGURA *344* MM X ALTURA *442* MM, PARA CONEXAO COM ANEL DESLIZANTE (INCLUI TUBOS E CONEXOES PEX E TUBO E CONEXAO ESGOTO, NAO INCLUI CARENAGEM)                                                                                                                                                                       </t>
  </si>
  <si>
    <t xml:space="preserve">KIT CHUVEIRO PARA INSTALACAO PEX, QUADRO METALICO COM 2 TRAVESSAS, SUPERIOR COM ESPERA PARA CHUVEIRO E INFERIOR COM 2 REGISTROS DE PRESSAO DE 1/2 ", LARGURA DE *390* MM X ALTURA DE *900* MM, PARA CONEXAO COM ANEL DESLIZANTE (INCLUI REGISTROS PRESSAO E TUBOS PEX COM CONEXOES, SEM REGISTRO GAVETA, NAO INCLUI CARENAGEM)                                                                                                                                                                            </t>
  </si>
  <si>
    <t xml:space="preserve">KIT CHUVEIRO PARA INSTALACAO PEX, QUADRO METALICO COM 2 TRAVESSAS, SUPERIOR COM ESPERA PARA CHUVEIRO E INFERIOR COM 2 REGISTROS DE PRESSAO DE 1/2 ", LARGURA DE *390* MM X ALTURA DE *900* MM, PARA CONEXAO COM CRIMPAGEM (INCLUI REGISTROS PRESSAO E TUBOS PEX COM CONEXOES, SEM REGISTRO GAVETA, NAO INCLUI CARENAGEM)                                                                                                                                                                                  </t>
  </si>
  <si>
    <t xml:space="preserve">KIT DE ACESSORIOS PARA BANHEIRO EM METAL CROMADO, 5 PECAS                                                                                                                                                                                                                                                                                                                                                                                                                                                 </t>
  </si>
  <si>
    <t xml:space="preserve">KIT DE MATERIAIS PARA BRACADEIRA PARA FIXACAO EM POSTE CIRCULAR, CONTEM TRES FIXADORES E UM ROLO DE FITA DE 3 M EM ACO CARBONO                                                                                                                                                                                                                                                                                                                                                                            </t>
  </si>
  <si>
    <t xml:space="preserve">KIT DE PROTECAO ARSTOP PARA AR CONDICIONADO, TOMADA PADRAO 2P+T 20 A, COM DISJUNTOR UNIPOLAR DIN 20A                                                                                                                                                                                                                                                                                                                                                                                                      </t>
  </si>
  <si>
    <t xml:space="preserve">KIT PORTA PRONTA DE MADEIRA, FOLHA LEVE (NBR 15930) DE 600 X 2100 MM OU 700 X 2100 MM, DE 35 MM A 40 MM DE ESPESSURA, COM MARCO EM ACO, NUCLEO COLMEIA, CAPA LISA EM HDF, ACABAMENTO MELAMINICO BRANCO (INCLUI MARCO, ALIZARES, DOBRADICAS E FECHADURA)                                                                                                                                                                                                                                                   </t>
  </si>
  <si>
    <t>466,91</t>
  </si>
  <si>
    <t xml:space="preserve">KIT PORTA PRONTA DE MADEIRA, FOLHA LEVE (NBR 15930) DE 600 X 2100 MM OU 700 X 2100 MM, DE 35 MM A 40 MM DE ESPESSURA, NUCLEO COLMEIA, ESTRUTURA USINADA PARA FECHADURA, CAPA LISA EM HDF, ACABAMENTO EM PRIMER PARA PINTURA (INCLUI MARCO, ALIZARES E DOBRADICAS)                                                                                                                                                                                                                                         </t>
  </si>
  <si>
    <t xml:space="preserve">KIT PORTA PRONTA DE MADEIRA, FOLHA LEVE (NBR 15930) DE 800 X 2100 MM, DE 35 MM A 40 MM DE ESPESSURA, COM MARCO EM ACO, NUCLEO COLMEIA, CAPA LISA EM HDF, ACABAMENTO MELAMINICO BRANCO (INCLUI MARCO, ALIZARES, DOBRADICAS E FECHADURA)                                                                                                                                                                                                                                                                    </t>
  </si>
  <si>
    <t xml:space="preserve">KIT PORTA PRONTA DE MADEIRA, FOLHA LEVE (NBR 15930) DE 800 X 2100 MM, DE 35 MM A 40 MM DE ESPESSURA, NUCLEO COLMEIA, ESTRUTURA USINADA PARA FECHADURA, CAPA LISA EM HDF, ACABAMENTO EM PRIMER PARA PINTURA (INCLUI MARCO, ALIZARES E DOBRADICAS)                                                                                                                                                                                                                                                          </t>
  </si>
  <si>
    <t>387,31</t>
  </si>
  <si>
    <t xml:space="preserve">KIT PORTA PRONTA DE MADEIRA, FOLHA LEVE (NBR 15930) DE 900 X 2100 MM, DE 35 MM A 40 MM DE ESPESSURA, COM MARCO EM ACO, NUCLEO COLMEIA, CAPA LISA EM HDF, ACABAMENTO MELAMINICO BRANCO (INCLUI MARCO, ALIZARES, DOBRADICAS E FECHADURA)                                                                                                                                                                                                                                                                    </t>
  </si>
  <si>
    <t xml:space="preserve">KIT PORTA PRONTA DE MADEIRA, FOLHA LEVE (NBR 15930) DE 900 X 2100 MM, DE 35 MM A 40 MM DE ESPESSURA, NUCLEO COLMEIA, ESTRUTURA USINADA PARA FECHADURA, CAPA LISA EM HDF, ACABAMENTO EM PRIMER PARA PINTURA (INCLUI MARCO, ALIZARES E DOBRADICAS)                                                                                                                                                                                                                                                          </t>
  </si>
  <si>
    <t>393,87</t>
  </si>
  <si>
    <t xml:space="preserve">KIT PORTA PRONTA DE MADEIRA, FOLHA MEDIA (NBR 15930) DE 600 X 2100 MM OU 700 X 2100 MM, DE 35 MM A 40 MM DE ESPESSURA, NUCLEO SEMI-SOLIDO (SARRAFEADO), ESTRUTURA USINADA PARA FECHADURA, CAPA LISA EM HDF, ACABAMENTO MELAMINICO BRANCO (INCLUI MARCO, ALIZARES E DOBRADICAS)                                                                                                                                                                                                                            </t>
  </si>
  <si>
    <t>586,92</t>
  </si>
  <si>
    <t xml:space="preserve">KIT PORTA PRONTA DE MADEIRA, FOLHA MEDIA (NBR 15930) DE 600 X 2100 MM, DE 35 MM A 40 MM DE ESPESSURA, NUCLEO SEMI-SOLIDO (SARRAFEADO), ESTRUTURA USINADA PARA FECHADURA, CAPA LISA EM HDF, ACABAMENTO EM PRIMER PARA PINTURA (INCLUI MARCO, ALIZARES E DOBRADICAS)                                                                                                                                                                                                                                        </t>
  </si>
  <si>
    <t>421,46</t>
  </si>
  <si>
    <t xml:space="preserve">KIT PORTA PRONTA DE MADEIRA, FOLHA MEDIA (NBR 15930) DE 700 X 2100 MM, DE 35 MM A 40 MM DE ESPESSURA, NUCLEO SEMI-SOLIDO (SARRAFEADO), ESTRUTURA USINADA PARA FECHADURA, CAPA LISA EM HDF, ACABAMENTO EM PRIMER PARA PINTURA (INCLUI MARCO, ALIZARES E DOBRADICAS)                                                                                                                                                                                                                                        </t>
  </si>
  <si>
    <t>474,93</t>
  </si>
  <si>
    <t xml:space="preserve">KIT PORTA PRONTA DE MADEIRA, FOLHA MEDIA (NBR 15930) DE 800 X 2100 MM, DE 35 MM A 40 MM DE ESPESSURA,  NUCLEO SEMI-SOLIDO (SARRAFEADO), ESTRUTURA USINADA PARA FECHADURA, CAPA LISA EM HDF, ACABAMENTO EM PRIMER PARA PINTURA (INCLUI MARCO, ALIZARES E DOBRADICAS)                                                                                                                                                                                                                                       </t>
  </si>
  <si>
    <t>522,42</t>
  </si>
  <si>
    <t xml:space="preserve">KIT PORTA PRONTA DE MADEIRA, FOLHA MEDIA (NBR 15930) DE 800 X 2100 MM, DE 35 MM A 40 MM DE ESPESSURA, NUCLEO SEMI-SOLIDO (SARRAFEADO), ESTRUTURA USINADA PARA FECHADURA, CAPA LISA EM HDF, ACABAMENTO MELAMINICO BRANCO (INCLUI MARCO, ALIZARES E DOBRADICAS)                                                                                                                                                                                                                                             </t>
  </si>
  <si>
    <t>604,82</t>
  </si>
  <si>
    <t xml:space="preserve">KIT PORTA PRONTA DE MADEIRA, FOLHA MEDIA (NBR 15930) DE 900 X 2100 MM, DE 35 MM A 40 MM DE ESPESSURA, NUCLEO SEMI-SOLIDO (SARRAFEADO), ESTRUTURA USINADA PARA FECHADURA, CAPA LISA EM HDF, ACABAMENTO EM PRIMER PARA PINTURA (INCLUI MARCO, ALIZARES E DOBRADICAS)                                                                                                                                                                                                                                        </t>
  </si>
  <si>
    <t>546,31</t>
  </si>
  <si>
    <t xml:space="preserve">KIT PORTA PRONTA DE MADEIRA, FOLHA MEDIA (NBR 15930) DE 900 X 2100 MM, DE 35 MM A 40 MM DE ESPESSURA, NUCLEO SEMI-SOLIDO (SARRAFEADO), ESTRUTURA USINADA PARA FECHADURA, CAPA LISA EM HDF, ACABAMENTO MELAMINICO BRANCO (INCLUI MARCO, ALIZARES E DOBRADICAS)                                                                                                                                                                                                                                             </t>
  </si>
  <si>
    <t>648,73</t>
  </si>
  <si>
    <t xml:space="preserve">KIT PORTA PRONTA DE MADEIRA, FOLHA PESADA (NBR 15930) DE 800 X 2100 MM, DE 40 MM  A 45 MM DE ESPESSURA, NUCLEO SOLIDO, CAPA LISA EM HDF, ACABAMENTO MELAMINICO BRANCO (INCLUI MARCO, ALIZARES, DOBRADICAS E FECHADURA EXTERNA)                                                                                                                                                                                                                                                                            </t>
  </si>
  <si>
    <t>707,81</t>
  </si>
  <si>
    <t xml:space="preserve">KIT PORTA PRONTA DE MADEIRA, FOLHA PESADA (NBR 15930) DE 800 X 2100 MM, DE 40 MM A 45 MM DE ESPESSURA , NUCLEO SOLIDO, ESTRUTURA USINADA PARA FECHADURA, CAPA LISA EM HDF, ACABAMENTO EM LAMINADO NATURAL COM VERNIZ (INCLUI MARCO, ALIZARES E DOBRADICAS)                                                                                                                                                                                                                                                </t>
  </si>
  <si>
    <t>872,97</t>
  </si>
  <si>
    <t xml:space="preserve">KIT PORTA PRONTA DE MADEIRA, FOLHA PESADA (NBR 15930) DE 800 X 2100 MM, DE 40 MM A 45 MM DE ESPESSURA, COM MARCO EM ACO, NUCLEO SOLIDO, CAPA LISA EM HDF, ACABAMENTO MELAMINICO BRANCO (INCLUI MARCO, ALIZARES, DOBRADICAS E FECHADURA)                                                                                                                                                                                                                                                                   </t>
  </si>
  <si>
    <t>688,09</t>
  </si>
  <si>
    <t xml:space="preserve">KIT PORTA PRONTA DE MADEIRA, FOLHA PESADA (NBR 15930) DE 900 X 2100 MM, DE 40 MM  A 45 MM DE ESPESSURA, NUCLEO SOLIDO, CAPA LISA EM HDF, ACABAMENTO MELAMINICO BRANCO (INCLUI MARCO, ALIZARES, DOBRADICAS E FECHADURA EXTERNA)                                                                                                                                                                                                                                                                            </t>
  </si>
  <si>
    <t>726,98</t>
  </si>
  <si>
    <t xml:space="preserve">KIT PORTA PRONTA DE MADEIRA, FOLHA PESADA (NBR 15930) DE 900 X 2100 MM, DE 40 MM A 45 MM DE ESPESSURA , NUCLEO SOLIDO, ESTRUTURA USINADA PARA FECHADURA, CAPA LISA EM HDF, ACABAMENTO EM LAMINADO NATURAL COM VERNIZ (INCLUI MARCO, ALIZARES E DOBRADICAS)                                                                                                                                                                                                                                                </t>
  </si>
  <si>
    <t>885,37</t>
  </si>
  <si>
    <t xml:space="preserve">KIT PORTA PRONTA DE MADEIRA, FOLHA PESADA (NBR 15930) DE 900 X 2100 MM, DE 40 MM A 45 MM DE ESPESSURA, COM MARCO EM ACO, NUCLEO SOLIDO, CAPA LISA EM HDF, ACABAMENTO MELAMINICO BRANCO (INCLUI MARCO, ALIZARES, DOBRADICAS E FECHADURA)                                                                                                                                                                                                                                                                   </t>
  </si>
  <si>
    <t>731,09</t>
  </si>
  <si>
    <t xml:space="preserve">LADRILHO HIDRAULICO, *20 x 20* CM, E= 2 CM, PADRAO COPACABANA, 2 CORES (PRETO E BRANCO)                                                                                                                                                                                                                                                                                                                                                                                                                   </t>
  </si>
  <si>
    <t>58,96</t>
  </si>
  <si>
    <t xml:space="preserve">LADRILHO HIDRAULICO, *20 X 20* CM, E= 2 CM, DADOS, COR NATURAL                                                                                                                                                                                                                                                                                                                                                                                                                                            </t>
  </si>
  <si>
    <t xml:space="preserve">LADRILHO HIDRAULICO, *20 X 20* CM, E= 2 CM, RAMPA, NATURAL                                                                                                                                                                                                                                                                                                                                                                                                                                                </t>
  </si>
  <si>
    <t>55,05</t>
  </si>
  <si>
    <t xml:space="preserve">LADRILHO HIDRAULICO, *20 X 20* CM, E= 2 CM, TATIL ALERTA OU DIRECIONAL, AMARELO                                                                                                                                                                                                                                                                                                                                                                                                                           </t>
  </si>
  <si>
    <t xml:space="preserve">LADRILHO HIDRAULICO, *30 X 30* CM, E= 2 CM, MILANO, NATURAL                                                                                                                                                                                                                                                                                                                                                                                                                                               </t>
  </si>
  <si>
    <t>54,06</t>
  </si>
  <si>
    <t xml:space="preserve">LAJE PRE-MOLDADA CONVENCIONAL (LAJOTAS + VIGOTAS) PARA FORRO, UNIDIRECIONAL, SOBRECARGA DE 100 KG/M2, VAO ATE 4,00 M (SEM COLOCACAO)                                                                                                                                                                                                                                                                                                                                                                      </t>
  </si>
  <si>
    <t xml:space="preserve">LAJE PRE-MOLDADA CONVENCIONAL (LAJOTAS + VIGOTAS) PARA FORRO, UNIDIRECIONAL, SOBRECARGA DE 100 KG/M2, VAO ATE 4,50 M (SEM COLOCACAO)                                                                                                                                                                                                                                                                                                                                                                      </t>
  </si>
  <si>
    <t>48,47</t>
  </si>
  <si>
    <t xml:space="preserve">LAJE PRE-MOLDADA CONVENCIONAL (LAJOTAS + VIGOTAS) PARA FORRO, UNIDIRECIONAL, SOBRECARGA 100 KG/M2, VAO ATE 5,00 M (SEM COLOCACAO)                                                                                                                                                                                                                                                                                                                                                                         </t>
  </si>
  <si>
    <t xml:space="preserve">LAJE PRE-MOLDADA CONVENCIONAL (LAJOTAS + VIGOTAS) PARA PISO, UNIDIRECIONAL, SOBRECARGA DE 200 KG/M2, VAO ATE 3,50 M (SEM COLOCACAO)                                                                                                                                                                                                                                                                                                                                                                       </t>
  </si>
  <si>
    <t>48,30</t>
  </si>
  <si>
    <t xml:space="preserve">LAJE PRE-MOLDADA CONVENCIONAL (LAJOTAS + VIGOTAS) PARA PISO, UNIDIRECIONAL, SOBRECARGA DE 200 KG/M2, VAO ATE 4,50 M (SEM COLOCACAO)                                                                                                                                                                                                                                                                                                                                                                       </t>
  </si>
  <si>
    <t xml:space="preserve">LAJE PRE-MOLDADA CONVENCIONAL (LAJOTAS + VIGOTAS) PARA PISO, UNIDIRECIONAL, SOBRECARGA DE 200 KG/M2, VAO ATE 5,00 M (SEM COLOCACAO)                                                                                                                                                                                                                                                                                                                                                                       </t>
  </si>
  <si>
    <t>55,87</t>
  </si>
  <si>
    <t xml:space="preserve">LAJE PRE-MOLDADA CONVENCIONAL (LAJOTAS + VIGOTAS) PARA PISO, UNIDIRECIONAL, SOBRECARGA DE 350 KG/M2, VAO ATE 4,50 M (SEM COLOCACAO)                                                                                                                                                                                                                                                                                                                                                                       </t>
  </si>
  <si>
    <t>58,57</t>
  </si>
  <si>
    <t xml:space="preserve">LAJE PRE-MOLDADA CONVENCIONAL (LAJOTAS + VIGOTAS) PARA PISO, UNIDIRECIONAL, SOBRECARGA DE 350 KG/M2, VAO ATE 5,00 M (SEM COLOCACAO)                                                                                                                                                                                                                                                                                                                                                                       </t>
  </si>
  <si>
    <t xml:space="preserve">LAJE PRE-MOLDADA CONVENCIONAL (LAJOTAS + VIGOTAS) PARA PISO, UNIDIRECIONAL, SOBRECARGA 350 KG/M2 VAO ATE 3,50 M (SEM COLOCACAO)                                                                                                                                                                                                                                                                                                                                                                           </t>
  </si>
  <si>
    <t xml:space="preserve">LAJE PRE-MOLDADA DE TRANSICAO EXCENTRICA EM CONCRETO ARMADO, DN 1200 MM, FURO CIRCULAR DN 600 MM, ESPESSURA 12 CM                                                                                                                                                                                                                                                                                                                                                                                         </t>
  </si>
  <si>
    <t>385,69</t>
  </si>
  <si>
    <t xml:space="preserve">LAJE PRE-MOLDADA DE TRANSICAO EXCENTRICA EM CONCRETO ARMADO, DN 1500 MM, FURO CIRCULAR DN 530 MM, ESPESSURA 15 CM                                                                                                                                                                                                                                                                                                                                                                                         </t>
  </si>
  <si>
    <t>657,39</t>
  </si>
  <si>
    <t xml:space="preserve">LAJE PRE-MOLDADA TRELICADA (LAJOTAS + VIGOTAS) PARA FORRO, UNIDIRECIONAL, SOBRECARGA DE 100 KG/M2, VAO ATE 6,00 M (SEM COLOCACAO)                                                                                                                                                                                                                                                                                                                                                                         </t>
  </si>
  <si>
    <t>70,11</t>
  </si>
  <si>
    <t xml:space="preserve">LAJE PRE-MOLDADA TRELICADA (LAJOTAS + VIGOTAS) PARA PISO, UNIDIRECIONAL, SOBRECARGA DE 200 KG/M2, VAO ATE 6,00 M (SEM COLOCACAO)                                                                                                                                                                                                                                                                                                                                                                          </t>
  </si>
  <si>
    <t>81,86</t>
  </si>
  <si>
    <t xml:space="preserve">LAMBRI EM ALUMINIO, DE APROXIMADAMENTE 0,6 KG/M, COM APROXIMADAMENTE 168,0 MM DE LARGURA, 6,0 MM DE ALTURA E 6,0 M DE EXTENSAO                                                                                                                                                                                                                                                                                                                                                                            </t>
  </si>
  <si>
    <t>41,67</t>
  </si>
  <si>
    <t xml:space="preserve">LAMPADA DE LUZ MISTA 160 W, BASE E27 (220 V)                                                                                                                                                                                                                                                                                                                                                                                                                                                              </t>
  </si>
  <si>
    <t xml:space="preserve">LAMPADA DE LUZ MISTA 250 W, BASE E27 (220 V)                                                                                                                                                                                                                                                                                                                                                                                                                                                              </t>
  </si>
  <si>
    <t xml:space="preserve">LAMPADA DE LUZ MISTA 500 W, BASE E40 (220 V)                                                                                                                                                                                                                                                                                                                                                                                                                                                              </t>
  </si>
  <si>
    <t xml:space="preserve">LAMPADA FLUORESCENTE COMPACTA BRANCA 135 W, BASE E40 (127/220 V)                                                                                                                                                                                                                                                                                                                                                                                                                                          </t>
  </si>
  <si>
    <t xml:space="preserve">LAMPADA FLUORESCENTE COMPACTA 2U BRANCA 15 W, BASE E27 (127/220 V)                                                                                                                                                                                                                                                                                                                                                                                                                                        </t>
  </si>
  <si>
    <t xml:space="preserve">LAMPADA FLUORESCENTE COMPACTA 2U/3U BRANCA 9/10 W, BASE E27 (127/220 V)                                                                                                                                                                                                                                                                                                                                                                                                                                   </t>
  </si>
  <si>
    <t xml:space="preserve">LAMPADA FLUORESCENTE COMPACTA 3U BRANCA 20 W, BASE E27 (127/220 V)                                                                                                                                                                                                                                                                                                                                                                                                                                        </t>
  </si>
  <si>
    <t xml:space="preserve">LAMPADA FLUORESCENTE ESPIRAL BRANCA 45 W, BASE E27 (127/220 V)                                                                                                                                                                                                                                                                                                                                                                                                                                            </t>
  </si>
  <si>
    <t xml:space="preserve">LAMPADA FLUORESCENTE ESPIRAL BRANCA 65 W, BASE E27 (127/220 V)                                                                                                                                                                                                                                                                                                                                                                                                                                            </t>
  </si>
  <si>
    <t xml:space="preserve">LAMPADA FLUORESCENTE TUBULAR T10, DE 20 OU 40 W, BIVOLT                                                                                                                                                                                                                                                                                                                                                                                                                                                   </t>
  </si>
  <si>
    <t xml:space="preserve">LAMPADA FLUORESCENTE TUBULAR T5 DE 14 W, BIVOLT                                                                                                                                                                                                                                                                                                                                                                                                                                                           </t>
  </si>
  <si>
    <t xml:space="preserve">LAMPADA FLUORESCENTE TUBULAR T8 DE 16/18 W, BIVOLT                                                                                                                                                                                                                                                                                                                                                                                                                                                        </t>
  </si>
  <si>
    <t xml:space="preserve">LAMPADA FLUORESCENTE TUBULAR T8 DE 32/36 W, BIVOLT                                                                                                                                                                                                                                                                                                                                                                                                                                                        </t>
  </si>
  <si>
    <t xml:space="preserve">LAMPADA LED TIPO DICROICA BIVOLT, LUZ BRANCA, 5 W (BASE GU10)                                                                                                                                                                                                                                                                                                                                                                                                                                             </t>
  </si>
  <si>
    <t xml:space="preserve">LAMPADA LED TUBULAR BIVOLT 18/20 W, BASE G13                                                                                                                                                                                                                                                                                                                                                                                                                                                              </t>
  </si>
  <si>
    <t>17,64</t>
  </si>
  <si>
    <t xml:space="preserve">LAMPADA LED TUBULAR BIVOLT 9/10 W, BASE G13                                                                                                                                                                                                                                                                                                                                                                                                                                                               </t>
  </si>
  <si>
    <t xml:space="preserve">LAMPADA LED 10 W BIVOLT BRANCA, FORMATO TRADICIONAL (BASE E27)                                                                                                                                                                                                                                                                                                                                                                                                                                            </t>
  </si>
  <si>
    <t xml:space="preserve">LAMPADA LED 6 W BIVOLT BRANCA, FORMATO TRADICIONAL (BASE E27)                                                                                                                                                                                                                                                                                                                                                                                                                                             </t>
  </si>
  <si>
    <t xml:space="preserve">LAMPADA VAPOR DE SODIO OVOIDE 150 W (BASE E40)                                                                                                                                                                                                                                                                                                                                                                                                                                                            </t>
  </si>
  <si>
    <t xml:space="preserve">LAMPADA VAPOR DE SODIO OVOIDE 250 W (BASE E40)                                                                                                                                                                                                                                                                                                                                                                                                                                                            </t>
  </si>
  <si>
    <t xml:space="preserve">LAMPADA VAPOR DE SODIO OVOIDE 400 W (BASE E40)                                                                                                                                                                                                                                                                                                                                                                                                                                                            </t>
  </si>
  <si>
    <t xml:space="preserve">LAMPADA VAPOR MERCURIO 125 W (BASE E27)                                                                                                                                                                                                                                                                                                                                                                                                                                                                   </t>
  </si>
  <si>
    <t xml:space="preserve">LAMPADA VAPOR MERCURIO 250 W (BASE E40)                                                                                                                                                                                                                                                                                                                                                                                                                                                                   </t>
  </si>
  <si>
    <t xml:space="preserve">LAMPADA VAPOR MERCURIO 400 W (BASE E40)                                                                                                                                                                                                                                                                                                                                                                                                                                                                   </t>
  </si>
  <si>
    <t xml:space="preserve">LAMPADA VAPOR METALICO OVOIDE 150 W, BASE E27/E40                                                                                                                                                                                                                                                                                                                                                                                                                                                         </t>
  </si>
  <si>
    <t xml:space="preserve">LAMPADA VAPOR METALICO TUBULAR 400 W (BASE E40)                                                                                                                                                                                                                                                                                                                                                                                                                                                           </t>
  </si>
  <si>
    <t xml:space="preserve">LAVADORA DE ALTA PRESSAO (LAVA - JATO) PARA AGUA FRIA, PRESSAO DE OPERACAO ENTRE 1400 E 1900 LIB/POL2, VAZAO MAXIMA ENTRE  400 E 700 L/H, POTENCIA DE OPERACAO ENTRE 2,50 E 3,00 CV                                                                                                                                                                                                                                                                                                                       </t>
  </si>
  <si>
    <t>2.185,00</t>
  </si>
  <si>
    <t xml:space="preserve">LAVATORIO / CUBA DE EMBUTIR, OVAL, DE LOUCA BRANCA, SEM LADRAO, DIMENSOES *50 X 35* CM (L X C)                                                                                                                                                                                                                                                                                                                                                                                                            </t>
  </si>
  <si>
    <t>65,81</t>
  </si>
  <si>
    <t xml:space="preserve">LAVATORIO / CUBA DE EMBUTIR, OVAL, DE LOUCA COLORIDA, SEM LADRAO, DIMENSOES *50 X 35* CM (L X C)                                                                                                                                                                                                                                                                                                                                                                                                          </t>
  </si>
  <si>
    <t xml:space="preserve">LAVATORIO / CUBA DE SOBREPOR, OVAL PEQUENA, DE LOUCA BRANCA, SEM LADRAO, DIMENSOES *44 X 31* CM (L X C)                                                                                                                                                                                                                                                                                                                                                                                                   </t>
  </si>
  <si>
    <t xml:space="preserve">LAVATORIO / CUBA DE SOBREPOR, RETANGULAR, DE LOUCA BRANCA, COM LADRAO, DIMENSOES *52 X 45* CM (L X C)                                                                                                                                                                                                                                                                                                                                                                                                     </t>
  </si>
  <si>
    <t>325,78</t>
  </si>
  <si>
    <t xml:space="preserve">LAVATORIO / CUBA DE SOBREPOR, RETANGULAR, DE LOUCA COLORIDA, COM LADRAO, DIMENSOES *52 X 45* CM (L X C)                                                                                                                                                                                                                                                                                                                                                                                                   </t>
  </si>
  <si>
    <t>335,66</t>
  </si>
  <si>
    <t xml:space="preserve">LAVATORIO DE CANTO DE LOUCA BRANCA, SUSPENSO (SEM COLUNA), DIMENSOES *40 X 30* CM (L X C)                                                                                                                                                                                                                                                                                                                                                                                                                 </t>
  </si>
  <si>
    <t>104,73</t>
  </si>
  <si>
    <t xml:space="preserve">LAVATORIO DE LOUCA BRANCA, COM COLUNA, DIMENSOES *44 X 35* CM (L X C)                                                                                                                                                                                                                                                                                                                                                                                                                                     </t>
  </si>
  <si>
    <t>111,49</t>
  </si>
  <si>
    <t xml:space="preserve">LAVATORIO DE LOUCA BRANCA, COM COLUNA, DIMENSOES *54 X 44* CM (L X C)                                                                                                                                                                                                                                                                                                                                                                                                                                     </t>
  </si>
  <si>
    <t>124,85</t>
  </si>
  <si>
    <t xml:space="preserve">LAVATORIO DE LOUCA BRANCA, SUSPENSO (SEM COLUNA), DIMENSOES *40 X 30* CM                                                                                                                                                                                                                                                                                                                                                                                                                                  </t>
  </si>
  <si>
    <t xml:space="preserve">LAVATORIO DE LOUCA COLORIDA, COM COLUNA, DIMENSOES *54 X 44* CM (L X C)                                                                                                                                                                                                                                                                                                                                                                                                                                   </t>
  </si>
  <si>
    <t>216,84</t>
  </si>
  <si>
    <t xml:space="preserve">LAVATORIO DE LOUCA COLORIDA, SUSPENSO (SEM COLUNA), DIMENSOES *40 X 30* CM (L X C)                                                                                                                                                                                                                                                                                                                                                                                                                        </t>
  </si>
  <si>
    <t xml:space="preserve">LEITURISTA OU CADASTRISTA DE REDES DE AGUA E ESGOTO                                                                                                                                                                                                                                                                                                                                                                                                                                                       </t>
  </si>
  <si>
    <t xml:space="preserve">LEITURISTA OU CADASTRISTA DE REDES DE AGUA E ESGOTO (MENSALISTA)                                                                                                                                                                                                                                                                                                                                                                                                                                          </t>
  </si>
  <si>
    <t>3.062,18</t>
  </si>
  <si>
    <t xml:space="preserve">LETRA ACO INOX (AISI 304), CHAPA NUM. 22, RECORTADO, H= 20 CM (SEM RELEVO)                                                                                                                                                                                                                                                                                                                                                                                                                                </t>
  </si>
  <si>
    <t>91,24</t>
  </si>
  <si>
    <t xml:space="preserve">LEVANTADOR DE JANELA GUILHOTINA, EM LATAO CROMADO                                                                                                                                                                                                                                                                                                                                                                                                                                                         </t>
  </si>
  <si>
    <t xml:space="preserve">LIMPADORA A SUCCAO, TANQUE 12000 L, BASCULAMENTO HIDRAULICO, BOMBA 12 M3/MIN 95% VACUO (INCLUI MONTAGEM, NAO INCLUI CAMINHAO)                                                                                                                                                                                                                                                                                                                                                                             </t>
  </si>
  <si>
    <t>158.000,00</t>
  </si>
  <si>
    <t xml:space="preserve">LIMPADORA DE SUCCAO TANQUE 7000 L, BOMBA 12 M3/MIN 95% VACUO (INCLUI MONTAGEM, NAO INCLUI CAMINHAO)                                                                                                                                                                                                                                                                                                                                                                                                       </t>
  </si>
  <si>
    <t>134.168,63</t>
  </si>
  <si>
    <t xml:space="preserve">LIMPADORA DE SUCCAO, TANQUE 11000 L, BOMBA 340 M3/MIN (INCLUI MONTAGEM, NAO INCLUI CAMINHAO)                                                                                                                                                                                                                                                                                                                                                                                                              </t>
  </si>
  <si>
    <t>224.615,20</t>
  </si>
  <si>
    <t xml:space="preserve">LIMPADORA DE SUCCAO, TANQUE 5500 L, BOMBA 60M3/MIN, VACUO 500 MBAR (INCLUI MONTAGEM, NAO INCLUI CAMINHAO)                                                                                                                                                                                                                                                                                                                                                                                                 </t>
  </si>
  <si>
    <t>381.207,83</t>
  </si>
  <si>
    <t xml:space="preserve">LINHA DE PEDREIRO LISA 100 M                                                                                                                                                                                                                                                                                                                                                                                                                                                                              </t>
  </si>
  <si>
    <t xml:space="preserve">LIXA D'AGUA EM FOLHA, GRAO 100                                                                                                                                                                                                                                                                                                                                                                                                                                                                            </t>
  </si>
  <si>
    <t xml:space="preserve">LIXA EM FOLHA PARA FERRO, NUMERO 150                                                                                                                                                                                                                                                                                                                                                                                                                                                                      </t>
  </si>
  <si>
    <t>3,85</t>
  </si>
  <si>
    <t xml:space="preserve">LIXA EM FOLHA PARA PAREDE OU MADEIRA, NUMERO 120 (COR VERMELHA)                                                                                                                                                                                                                                                                                                                                                                                                                                           </t>
  </si>
  <si>
    <t xml:space="preserve">LIXADEIRA ELETRICA ANGULAR PARA CONCRETO, POTENCIA 1.400 W, PRATO DIAMANTADO DE 5''                                                                                                                                                                                                                                                                                                                                                                                                                       </t>
  </si>
  <si>
    <t>5.797,50</t>
  </si>
  <si>
    <t xml:space="preserve">LIXADEIRA ELETRICA ANGULAR, PARA DISCO DE 7 " (180 MM), POTENCIA DE 2.200 W, *5.000* RPM, 220 V                                                                                                                                                                                                                                                                                                                                                                                                           </t>
  </si>
  <si>
    <t>958,82</t>
  </si>
  <si>
    <t xml:space="preserve">LIXEIRA DUPLA, COM CAPACIDADE VOLUMETRICA DE 60L*, FABRICADA EM TUBO DE ACO CARBONO, CESTOS EM CHAPA DE ACO E PINTURA NO PROCESSO ELETROSTATICO - PARA ACADEMIA AO AR LIVRE / ACADEMIA DA TERCEIRA IDADE - ATI                                                                                                                                                                                                                                                                                            </t>
  </si>
  <si>
    <t>946,93</t>
  </si>
  <si>
    <t xml:space="preserve">LOCACAO DE ANDAIME METALICO TIPO FACHADEIRO, LARGURA DE 1,20 M, ALTURA POR PECA DE 2,0 M, INCLUINDO SAPATAS E ITENS NECESSARIOS A INSTALACAO                                                                                                                                                                                                                                                                                                                                                              </t>
  </si>
  <si>
    <t xml:space="preserve">LOCACAO DE ANDAIME METALICO TUBULAR DE ENCAIXE, TIPO DE TORRE, COM LARGURA DE 1 ATE 1,5 M E ALTURA DE *1,00* M (INCLUSO SAPATAS FIXAS OU RODIZIOS)                                                                                                                                                                                                                                                                                                                                                        </t>
  </si>
  <si>
    <t xml:space="preserve">LOCACAO DE ANDAIME SUSPENSO OU BALANCIM MANUAL, CAPACIDADE DE CARGA TOTAL DE APROXIMADAMENTE 250 KG/M2, PLATAFORMA DE 1,50 M X 0,80 M (C X L), CABO DE 45 M                                                                                                                                                                                                                                                                                                                                               </t>
  </si>
  <si>
    <t>415,00</t>
  </si>
  <si>
    <t xml:space="preserve">LOCACAO DE APRUMADOR METALICO DE PILAR, COM ALTURA E ANGULO REGULAVEIS, EXTENSAO DE *1,50* A *2,80* M                                                                                                                                                                                                                                                                                                                                                                                                     </t>
  </si>
  <si>
    <t xml:space="preserve">LOCACAO DE BARRA DE ANCORAGEM DE 0,80 A 1,20 M DE EXTENSAO, COM ROSCA DE 5/8", INCLUINDO PORCA E FLANGE                                                                                                                                                                                                                                                                                                                                                                                                   </t>
  </si>
  <si>
    <t xml:space="preserve">LOCACAO DE BOMBA MANUAL PARA TESTE HIDROSTATICO ATE 30 BAR                                                                                                                                                                                                                                                                                                                                                                                                                                                </t>
  </si>
  <si>
    <t xml:space="preserve">LOCACAO DE BOMBA MANUAL PARA TESTE HIDROSTATICO ATE 60 BAR                                                                                                                                                                                                                                                                                                                                                                                                                                                </t>
  </si>
  <si>
    <t xml:space="preserve">LOCACAO DE BOMBA SUBMERSIVEL PARA DRENAGEM E ESGOTAMENTO, MOTOR ELETRICO TRIFASICO, POTENCIA DE 1 CV, DIAMETRO DE RECALQUE DE 2". FAIXA DE OPERACAO: Q=25 M3/H (+ OU - 1 M3/H) E AMT=2 M; Q=12 M3/H (+ OU - 2 M3/H) E AMT = 12 M (+ OU - 2 M)                                                                                                                                                                                                                                                             </t>
  </si>
  <si>
    <t xml:space="preserve">LOCACAO DE BOMBA SUBMERSIVEL PARA DRENAGEM E ESGOTAMENTO, MOTOR ELETRICO TRIFASICO, POTENCIA DE 2 CV, DIAMETRO DE RECALQUE DE 2". FAIXA DE OPERACAO: Q=35 M3/H (+ OU - 3 M3/H) E AMT=2 M; Q=13 M3/H (+ OU - 3 M3/H) E AMT = 17 M (+ OU - 3 M)                                                                                                                                                                                                                                                             </t>
  </si>
  <si>
    <t xml:space="preserve">LOCACAO DE BOMBA SUBMERSIVEL PARA DRENAGEM E ESGOTAMENTO, MOTOR ELETRICO TRIFASICO, POTENCIA DE 2 CV, DIAMETRO DE RECALQUE DE 3". FAIXA DE OPERACAO: Q=70 M3/H (+ OU - 2 M3/H) E AMT=2 M; Q=9,5 M3/H (+ OU - 3,5 M3/H) E AMT = 10 M (+ OU - 2 M)                                                                                                                                                                                                                                                          </t>
  </si>
  <si>
    <t xml:space="preserve">LOCACAO DE BOMBA SUBMERSIVEL PARA DRENAGEM E ESGOTAMENTO, MOTOR ELETRICO TRIFASICO, POTENCIA DE 3 CV, DIAMETRO DE RECALQUE DE 2". FAIXA DE OPERACAO: Q=84 M3/H (+ OU - 2,5 M3/H) E AMT=2 M; Q=9,1 M3/H (+ OU - 2 M3/H) E AMT = 12 M (+ OU - 2 M)                                                                                                                                                                                                                                                          </t>
  </si>
  <si>
    <t xml:space="preserve">LOCACAO DE BOMBA SUBMERSIVEL PARA DRENAGEM E ESGOTAMENTO, MOTOR ELETRICO TRIFASICO, POTENCIA DE 4 CV, DIAMETRO DE RECALQUE DE 3". FAIXA DE OPERACAO: Q=60 M3/H (+ OU - 1 M3/H) E AMT=2 M; Q=11 M3/H (+ OU - 1 M3/H) E AMT = 23 M (+ OU - 1 M)                                                                                                                                                                                                                                                             </t>
  </si>
  <si>
    <t xml:space="preserve">LOCACAO DE CONTAINER 2,30  X  6,00 M, ALT. 2,50 M, COM 1 SANITARIO, PARA ESCRITORIO, COMPLETO, SEM DIVISORIAS INTERNAS                                                                                                                                                                                                                                                                                                                                                                                    </t>
  </si>
  <si>
    <t xml:space="preserve">LOCACAO DE CONTAINER 2,30  X  6,00 M, ALT. 2,50 M, PARA ESCRITORIO, SEM DIVISORIAS INTERNAS E SEM SANITARIO                                                                                                                                                                                                                                                                                                                                                                                               </t>
  </si>
  <si>
    <t xml:space="preserve">LOCACAO DE CONTAINER 2,30 X 4,30 M, ALT. 2,50 M, P/ SANITARIO, C/ 5 BACIAS, 1 LAVATORIO E 4 MICTORIOS                                                                                                                                                                                                                                                                                                                                                                                                     </t>
  </si>
  <si>
    <t xml:space="preserve">LOCACAO DE CONTAINER 2,30 X 4,30 M, ALT. 2,50 M, PARA SANITARIO, COM 3 BACIAS, 4 CHUVEIROS, 1 LAVATORIO E 1 MICTORIO                                                                                                                                                                                                                                                                                                                                                                                      </t>
  </si>
  <si>
    <t xml:space="preserve">LOCACAO DE CONTAINER 2,30 X 6,00 M, ALT. 2,50 M,  PARA SANITARIO,  COM 4 BACIAS, 8 CHUVEIROS,1 LAVATORIO E 1 MICTORIO                                                                                                                                                                                                                                                                                                                                                                                     </t>
  </si>
  <si>
    <t xml:space="preserve">LOCACAO DE CRUZETA PARA ESCORA METALICA                                                                                                                                                                                                                                                                                                                                                                                                                                                                   </t>
  </si>
  <si>
    <t xml:space="preserve">LOCACAO DE ESCORA METALICA TELESCOPICA, COM ALTURA REGULAVEL DE *1,80* A *3,20* M, COM CAPACIDADE DE CARGA DE NO MINIMO 1000 KGF (10 KN), INCLUSO TRIPE E FORCADO                                                                                                                                                                                                                                                                                                                                         </t>
  </si>
  <si>
    <t xml:space="preserve">LOCACAO DE FORMA PLASTICA PARA LAJE NERVURADA, DIMENSOES *60* X *60* X *16* CM                                                                                                                                                                                                                                                                                                                                                                                                                            </t>
  </si>
  <si>
    <t xml:space="preserve">LOCACAO DE GRUPO GERADOR *80 A 125* KVA, MOTOR DIESEL, REBOCAVEL, ACIONAMENTO MANUAL                                                                                                                                                                                                                                                                                                                                                                                                                      </t>
  </si>
  <si>
    <t xml:space="preserve">LOCACAO DE GRUPO GERADOR ACIMA DE * 125 ATE 180* KVA, MOTOR DIESEL, REBOCAVEL, ACIONAMENTO MANUAL                                                                                                                                                                                                                                                                                                                                                                                                         </t>
  </si>
  <si>
    <t xml:space="preserve">LOCACAO DE GRUPO GERADOR DE *260* KVA, DIESEL REBOCAVEL, ACIONAMENTO MANUAL                                                                                                                                                                                                                                                                                                                                                                                                                               </t>
  </si>
  <si>
    <t xml:space="preserve">LOCACAO DE NIVEL OPTICO, COM PRECISAO DE 0,7 MM, AUMENTO DE 32X                                                                                                                                                                                                                                                                                                                                                                                                                                           </t>
  </si>
  <si>
    <t xml:space="preserve">LOCACAO DE PERFURATRIZ PNEUMATICA DE PESO MEDIO, * 18 * KG, PARA ROCHA                                                                                                                                                                                                                                                                                                                                                                                                                                    </t>
  </si>
  <si>
    <t xml:space="preserve">LOCACAO DE PERFURATRIZ PNEUMATICA DE PESO MEDIO, * 24 * KG, PARA ROCHA                                                                                                                                                                                                                                                                                                                                                                                                                                    </t>
  </si>
  <si>
    <t xml:space="preserve">LOCACAO DE TALHA ELETRICA 3 T, VELOCIDADE  2,1 M / MIN, POTENCIA 1,3 KW                                                                                                                                                                                                                                                                                                                                                                                                                                   </t>
  </si>
  <si>
    <t xml:space="preserve">LOCACAO DE TALHA MANUAL DE CORRENTE, CAPACIDADE DE 2 T COM ELEVACAO DE 3 M                                                                                                                                                                                                                                                                                                                                                                                                                                </t>
  </si>
  <si>
    <t xml:space="preserve">LOCACAO DE TEODOLITO ELETRONICO, PRECISAO ANGULAR DE 5 A 7 SEGUNDOS, INCLUINDO TRIPE                                                                                                                                                                                                                                                                                                                                                                                                                      </t>
  </si>
  <si>
    <t xml:space="preserve">LOCACAO DE TORRE METALICA COMPLETA PARA UMA CARGA DE 8 TF (80 KN)  E PE DIREITO DE 6 M, INCLUINDO MODULOS , DIAGONAIS, SAPATAS E FORCADOS                                                                                                                                                                                                                                                                                                                                                                 </t>
  </si>
  <si>
    <t xml:space="preserve">LOCACAO DE VIGA SANDUICHE METALICA VAZADA PARA TRAVAMENTO DE PILARES, ALTURA DE *8* CM, LARGURA DE *6* CM E EXTENSAO DE 2 M                                                                                                                                                                                                                                                                                                                                                                               </t>
  </si>
  <si>
    <t xml:space="preserve">LONA PLASTICA EXTRA FORTE PRETA, E = 200 MICRA                                                                                                                                                                                                                                                                                                                                                                                                                                                            </t>
  </si>
  <si>
    <t xml:space="preserve">LONA PLASTICA PESADA PRETA, E = 150 MICRA                                                                                                                                                                                                                                                                                                                                                                                                                                                                 </t>
  </si>
  <si>
    <t xml:space="preserve">LUMINARIA ABERTA P/ ILUMINACAO PUBLICA, TIPO X-57 PETERCO OU EQUIV                                                                                                                                                                                                                                                                                                                                                                                                                                        </t>
  </si>
  <si>
    <t xml:space="preserve">LUMINARIA ARANDELA TIPO MEIA-LUA COM VIDRO FOSCO *30 X 15* CM, PARA 1 LAMPADA, BASE E27, POTENCIA MAXIMA 40/60 W (NAO INCLUI LAMPADA)                                                                                                                                                                                                                                                                                                                                                                     </t>
  </si>
  <si>
    <t xml:space="preserve">LUMINARIA DE EMBUTIR EM CHAPA DE ACO PARA 2 LAMPADAS FLUORESCENTES DE 14 W COM REFLETOR E ALETAS EM ALUMINIO, COMPLETA (INCLUI REATOR E LAMPADAS)                                                                                                                                                                                                                                                                                                                                                         </t>
  </si>
  <si>
    <t>253,29</t>
  </si>
  <si>
    <t xml:space="preserve">LUMINARIA DE EMBUTIR EM CHAPA DE ACO PARA 4 LAMPADAS FLUORESCENTES DE 14 W *60 X 60 CM* ALETADA (NAO INCLUI REATOR E LAMPADAS)                                                                                                                                                                                                                                                                                                                                                                            </t>
  </si>
  <si>
    <t>268,81</t>
  </si>
  <si>
    <t xml:space="preserve">LUMINARIA DE EMERGENCIA 30 LEDS, POTENCIA 2 W, BATERIA DE LITIO, AUTONOMIA DE 6 HORAS                                                                                                                                                                                                                                                                                                                                                                                                                     </t>
  </si>
  <si>
    <t xml:space="preserve">LUMINARIA DE LED PARA ILUMINACAO PUBLICA, DE 138 W ATE 180 W, INVOLUCRO EM ALUMINIO OU ACO INOX                                                                                                                                                                                                                                                                                                                                                                                                           </t>
  </si>
  <si>
    <t>788,89</t>
  </si>
  <si>
    <t xml:space="preserve">LUMINARIA DE LED PARA ILUMINACAO PUBLICA, DE 181 W ATE 239 W, INVOLUCRO EM ALUMINIO OU ACO INOX                                                                                                                                                                                                                                                                                                                                                                                                           </t>
  </si>
  <si>
    <t>916,35</t>
  </si>
  <si>
    <t xml:space="preserve">LUMINARIA DE LED PARA ILUMINACAO PUBLICA, DE 240 W ATE 350 W, INVOLUCRO EM ALUMINIO OU ACO INOX                                                                                                                                                                                                                                                                                                                                                                                                           </t>
  </si>
  <si>
    <t>1.518,07</t>
  </si>
  <si>
    <t xml:space="preserve">LUMINARIA DE LED PARA ILUMINACAO PUBLICA, DE 33 W ATE 50 W, INVOLUCRO EM ALUMINIO OU ACO INOX                                                                                                                                                                                                                                                                                                                                                                                                             </t>
  </si>
  <si>
    <t>237,08</t>
  </si>
  <si>
    <t xml:space="preserve">LUMINARIA DE LED PARA ILUMINACAO PUBLICA, DE 51 W ATE 67 W, INVOLUCRO EM ALUMINIO OU ACO INOX                                                                                                                                                                                                                                                                                                                                                                                                             </t>
  </si>
  <si>
    <t>437,48</t>
  </si>
  <si>
    <t xml:space="preserve">LUMINARIA DE LED PARA ILUMINACAO PUBLICA, DE 68 W ATE 97 W, INVOLUCRO EM ALUMINIO OU ACO INOX                                                                                                                                                                                                                                                                                                                                                                                                             </t>
  </si>
  <si>
    <t>484,27</t>
  </si>
  <si>
    <t xml:space="preserve">LUMINARIA DE LED PARA ILUMINACAO PUBLICA, DE 98 W ATE 137 W, INVOLUCRO EM ALUMINIO OU ACO INOX                                                                                                                                                                                                                                                                                                                                                                                                            </t>
  </si>
  <si>
    <t>583,94</t>
  </si>
  <si>
    <t xml:space="preserve">LUMINARIA DE SOBREPOR EM CHAPA DE ACO COM ALETAS PLASTICAS, PARA 1 LAMPADA, BASE E27, POTENCIA MAXIMA 40/60 W (NAO INCLUI LAMPADA)                                                                                                                                                                                                                                                                                                                                                                        </t>
  </si>
  <si>
    <t xml:space="preserve">LUMINARIA DE SOBREPOR EM CHAPA DE ACO COM ALETAS PLASTICAS, PARA 2 LAMPADAS, BASE E27, POTENCIA MAXIMA 40/60 W (NAO INCLUI LAMPADAS)                                                                                                                                                                                                                                                                                                                                                                      </t>
  </si>
  <si>
    <t xml:space="preserve">LUMINARIA DE SOBREPOR EM CHAPA DE ACO PARA 1 LAMPADA FLUORESCENTE DE *18* W, ALETADA, COMPLETA (LAMPADA E REATOR INCLUSOS)                                                                                                                                                                                                                                                                                                                                                                                </t>
  </si>
  <si>
    <t>66,88</t>
  </si>
  <si>
    <t xml:space="preserve">LUMINARIA DE SOBREPOR EM CHAPA DE ACO PARA 1 LAMPADA FLUORESCENTE DE *18* W, PERFIL COMERCIAL (NAO INCLUI REATOR E LAMPADA)                                                                                                                                                                                                                                                                                                                                                                               </t>
  </si>
  <si>
    <t xml:space="preserve">LUMINARIA DE SOBREPOR EM CHAPA DE ACO PARA 1 LAMPADA FLUORESCENTE DE *36* W, ALETADA, COMPLETA (LAMPADA E REATOR INCLUSOS)                                                                                                                                                                                                                                                                                                                                                                                </t>
  </si>
  <si>
    <t>98,67</t>
  </si>
  <si>
    <t xml:space="preserve">LUMINARIA DE SOBREPOR EM CHAPA DE ACO PARA 1 LAMPADA FLUORESCENTE DE *36* W, PERFIL COMERCIAL (NAO INCLUI REATOR E LAMPADA)                                                                                                                                                                                                                                                                                                                                                                               </t>
  </si>
  <si>
    <t xml:space="preserve">LUMINARIA DE SOBREPOR EM CHAPA DE ACO PARA 2 LAMPADAS FLUORESCENTES DE *18* W, ALETADA, COMPLETA (LAMPADAS E REATOR INCLUSOS)                                                                                                                                                                                                                                                                                                                                                                             </t>
  </si>
  <si>
    <t xml:space="preserve">LUMINARIA DE SOBREPOR EM CHAPA DE ACO PARA 2 LAMPADAS FLUORESCENTES DE *18* W, PERFIL COMERCIAL (NAO INCLUI REATOR E LAMPADAS)                                                                                                                                                                                                                                                                                                                                                                            </t>
  </si>
  <si>
    <t xml:space="preserve">LUMINARIA DE SOBREPOR EM CHAPA DE ACO PARA 2 LAMPADAS FLUORESCENTES DE *36* W, ALETADA, COMPLETA (LAMPADAS E REATOR INCLUSOS)                                                                                                                                                                                                                                                                                                                                                                             </t>
  </si>
  <si>
    <t>131,07</t>
  </si>
  <si>
    <t xml:space="preserve">LUMINARIA DE SOBREPOR EM CHAPA DE ACO PARA 2 LAMPADAS FLUORESCENTES DE *36* W, PERFIL COMERCIAL (NAO INCLUI REATOR E LAMPADAS)                                                                                                                                                                                                                                                                                                                                                                            </t>
  </si>
  <si>
    <t xml:space="preserve">LUMINARIA DE TETO PLAFON/PLAFONIER EM PLASTICO COM BASE E27, POTENCIA MAXIMA 60 W (NAO INCLUI LAMPADA)                                                                                                                                                                                                                                                                                                                                                                                                    </t>
  </si>
  <si>
    <t xml:space="preserve">LUMINARIA DUPLA P/SINALIZACAO, TIPO WETZEL AS-2/110 OU EQUIV                                                                                                                                                                                                                                                                                                                                                                                                                                              </t>
  </si>
  <si>
    <t xml:space="preserve">LUMINARIA HERMETICA IP-65 PARA 2 DUAS LAMPADAS DE 14/16/18/20 W (NAO INCLUI REATOR E LAMPADAS)                                                                                                                                                                                                                                                                                                                                                                                                            </t>
  </si>
  <si>
    <t>166,15</t>
  </si>
  <si>
    <t xml:space="preserve">LUMINARIA HERMETICA IP-65 PARA 2 DUAS LAMPADAS DE 28/32/36/40 W (NAO INCLUI REATOR E LAMPADAS)                                                                                                                                                                                                                                                                                                                                                                                                            </t>
  </si>
  <si>
    <t>204,66</t>
  </si>
  <si>
    <t xml:space="preserve">LUMINARIA LED PLAFON REDONDO DE SOBREPOR BIVOLT 12/13 W,  D = *17* CM                                                                                                                                                                                                                                                                                                                                                                                                                                     </t>
  </si>
  <si>
    <t xml:space="preserve">LUMINARIA LED REFLETOR RETANGULAR BIVOLT, LUZ BRANCA, 10 W                                                                                                                                                                                                                                                                                                                                                                                                                                                </t>
  </si>
  <si>
    <t xml:space="preserve">LUMINARIA LED REFLETOR RETANGULAR BIVOLT, LUZ BRANCA, 30 W                                                                                                                                                                                                                                                                                                                                                                                                                                                </t>
  </si>
  <si>
    <t>48,08</t>
  </si>
  <si>
    <t xml:space="preserve">LUMINARIA LED REFLETOR RETANGULAR BIVOLT, LUZ BRANCA, 50 W                                                                                                                                                                                                                                                                                                                                                                                                                                                </t>
  </si>
  <si>
    <t>53,97</t>
  </si>
  <si>
    <t xml:space="preserve">LUMINARIA PLAFON REDONDO COM VIDRO FOSCO DIAMETRO *25* CM, PARA 1 LAMPADA, BASE E27, POTENCIA MAXIMA 40/60 W (NAO INCLUI LAMPADA)                                                                                                                                                                                                                                                                                                                                                                         </t>
  </si>
  <si>
    <t xml:space="preserve">LUMINARIA PLAFON REDONDO COM VIDRO FOSCO DIAMETRO *30* CM, PARA 2 LAMPADAS, BASE E27, POTENCIA MAXIMA 40/60 W (NAO INCLUI LAMPADAS)                                                                                                                                                                                                                                                                                                                                                                       </t>
  </si>
  <si>
    <t>68,71</t>
  </si>
  <si>
    <t xml:space="preserve">LUMINARIA PROVA DE TEMPO PETERCO Y.31/1                                                                                                                                                                                                                                                                                                                                                                                                                                                                   </t>
  </si>
  <si>
    <t>201,36</t>
  </si>
  <si>
    <t xml:space="preserve">LUMINARIA SOLAR LED EXTERNA, TIPO ARANDELA DE PAREDE, EM ALUMINIO, 16 LEDS, LUZ BRANCA, *180* LUMENS, CAPACIDADE DE ILUMINACAO ATE 36 H, RETANGULAR, *13 X 9 X 7* (C X L X A), COM SENSOR DE MOVIMENTO / PRESENCA, BATERIA RECARREGAVEL COM LUZ SOLAR, RESISTENTE AO CALOR, A PROVA DE AGUA E POEIRA/ IMPERMEAVEL, IP65                                                                                                                                                                                   </t>
  </si>
  <si>
    <t xml:space="preserve">LUMINARIA SPOT DE SOBREPOR EM ALUMINIO COM ALETA PLASTICA PARA 1 LAMPADA, BASE E27, POTENCIA MAXIMA 40/60 W (NAO INCLUI LAMPADA)                                                                                                                                                                                                                                                                                                                                                                          </t>
  </si>
  <si>
    <t xml:space="preserve">LUMINARIA SPOT DE SOBREPOR EM ALUMINIO COM ALETA PLASTICA PARA 2 LAMPADAS, BASE E27, POTENCIA MAXIMA 40/60 W (NAO INCLUI LAMPADA)                                                                                                                                                                                                                                                                                                                                                                         </t>
  </si>
  <si>
    <t>73,07</t>
  </si>
  <si>
    <t xml:space="preserve">LUMINARIA TIPO TARTARUGA A PROVA DE TEMPO, GASES, VAPOR E PO, EM ALUMINIO, COM GRADE, BASE E27, POTENCIA MAXIMA 100 W - REF Y 25/1 (NAO INCLUI LAMPADA)                                                                                                                                                                                                                                                                                                                                                   </t>
  </si>
  <si>
    <t>152,23</t>
  </si>
  <si>
    <t xml:space="preserve">LUMINARIA TIPO TARTARUGA PARA AREA EXTERNA EM ALUMINIO, COM GRADE, PARA 1 LAMPADA, BASE E27, POTENCIA MAXIMA 40/60 W (NAO INCLUI LAMPADA)                                                                                                                                                                                                                                                                                                                                                                 </t>
  </si>
  <si>
    <t>77,47</t>
  </si>
  <si>
    <t xml:space="preserve">LUVA CPVC, SOLDAVEL, 15 MM, PARA AGUA QUENTE PREDIAL                                                                                                                                                                                                                                                                                                                                                                                                                                                      </t>
  </si>
  <si>
    <t xml:space="preserve">LUVA CPVC, SOLDAVEL, 22 MM, PARA AGUA QUENTE PREDIAL                                                                                                                                                                                                                                                                                                                                                                                                                                                      </t>
  </si>
  <si>
    <t xml:space="preserve">LUVA CPVC, SOLDAVEL, 28 MM, PARA AGUA QUENTE PREDIAL                                                                                                                                                                                                                                                                                                                                                                                                                                                      </t>
  </si>
  <si>
    <t xml:space="preserve">LUVA CPVC, SOLDAVEL, 35 MM, PARA AGUA QUENTE PREDIAL                                                                                                                                                                                                                                                                                                                                                                                                                                                      </t>
  </si>
  <si>
    <t xml:space="preserve">LUVA CPVC, SOLDAVEL, 42 MM, PARA AGUA QUENTE PREDIAL                                                                                                                                                                                                                                                                                                                                                                                                                                                      </t>
  </si>
  <si>
    <t xml:space="preserve">LUVA CPVC, SOLDAVEL, 54 MM, PARA AGUA QUENTE PREDIAL                                                                                                                                                                                                                                                                                                                                                                                                                                                      </t>
  </si>
  <si>
    <t xml:space="preserve">LUVA CPVC, SOLDAVEL, 73 MM, PARA AGUA QUENTE PREDIAL                                                                                                                                                                                                                                                                                                                                                                                                                                                      </t>
  </si>
  <si>
    <t>148,28</t>
  </si>
  <si>
    <t xml:space="preserve">LUVA CPVC, SOLDAVEL, 89 MM, PARA AGUA QUENTE PREDIAL                                                                                                                                                                                                                                                                                                                                                                                                                                                      </t>
  </si>
  <si>
    <t>166,64</t>
  </si>
  <si>
    <t xml:space="preserve">LUVA DE BORRACHA ISOLANTE PARA ALTA TENSAO, RESISTENTE A OZONIO, TENSAO DE ENSAIO 2,5 KV (PAR)                                                                                                                                                                                                                                                                                                                                                                                                            </t>
  </si>
  <si>
    <t>367,96</t>
  </si>
  <si>
    <t xml:space="preserve">LUVA DE COBRE (REF 600) SEM ANEL DE SOLDA, BOLSA X BOLSA, 104 MM                                                                                                                                                                                                                                                                                                                                                                                                                                          </t>
  </si>
  <si>
    <t>410,15</t>
  </si>
  <si>
    <t xml:space="preserve">LUVA DE COBRE (REF 600) SEM ANEL DE SOLDA, BOLSA X BOLSA, 15 MM                                                                                                                                                                                                                                                                                                                                                                                                                                           </t>
  </si>
  <si>
    <t xml:space="preserve">LUVA DE COBRE (REF 600) SEM ANEL DE SOLDA, BOLSA X BOLSA, 22 MM                                                                                                                                                                                                                                                                                                                                                                                                                                           </t>
  </si>
  <si>
    <t xml:space="preserve">LUVA DE COBRE (REF 600) SEM ANEL DE SOLDA, BOLSA X BOLSA, 28 MM                                                                                                                                                                                                                                                                                                                                                                                                                                           </t>
  </si>
  <si>
    <t xml:space="preserve">LUVA DE COBRE (REF 600) SEM ANEL DE SOLDA, BOLSA X BOLSA, 35 MM                                                                                                                                                                                                                                                                                                                                                                                                                                           </t>
  </si>
  <si>
    <t>27,06</t>
  </si>
  <si>
    <t xml:space="preserve">LUVA DE COBRE (REF 600) SEM ANEL DE SOLDA, BOLSA X BOLSA, 42 MM                                                                                                                                                                                                                                                                                                                                                                                                                                           </t>
  </si>
  <si>
    <t>34,31</t>
  </si>
  <si>
    <t xml:space="preserve">LUVA DE COBRE (REF 600) SEM ANEL DE SOLDA, BOLSA X BOLSA, 54 MM                                                                                                                                                                                                                                                                                                                                                                                                                                           </t>
  </si>
  <si>
    <t>56,05</t>
  </si>
  <si>
    <t xml:space="preserve">LUVA DE COBRE (REF 600) SEM ANEL DE SOLDA, BOLSA X BOLSA, 66 MM                                                                                                                                                                                                                                                                                                                                                                                                                                           </t>
  </si>
  <si>
    <t>183,71</t>
  </si>
  <si>
    <t xml:space="preserve">LUVA DE COBRE (REF 600) SEM ANEL DE SOLDA, BOLSA X BOLSA, 79 MM                                                                                                                                                                                                                                                                                                                                                                                                                                           </t>
  </si>
  <si>
    <t>281,27</t>
  </si>
  <si>
    <t xml:space="preserve">LUVA DE CORRER DEFOFO, PVC, JE, DN 100 MM                                                                                                                                                                                                                                                                                                                                                                                                                                                                 </t>
  </si>
  <si>
    <t xml:space="preserve">LUVA DE CORRER DEFOFO, PVC, JE, DN 150 MM                                                                                                                                                                                                                                                                                                                                                                                                                                                                 </t>
  </si>
  <si>
    <t>132,38</t>
  </si>
  <si>
    <t xml:space="preserve">LUVA DE CORRER DEFOFO, PVC, JE, DN 200 MM                                                                                                                                                                                                                                                                                                                                                                                                                                                                 </t>
  </si>
  <si>
    <t>236,13</t>
  </si>
  <si>
    <t xml:space="preserve">LUVA DE CORRER DEFOFO, PVC, JE, DN 250 MM                                                                                                                                                                                                                                                                                                                                                                                                                                                                 </t>
  </si>
  <si>
    <t>430,10</t>
  </si>
  <si>
    <t xml:space="preserve">LUVA DE CORRER DEFOFO, PVC, JE, DN 300 MM                                                                                                                                                                                                                                                                                                                                                                                                                                                                 </t>
  </si>
  <si>
    <t>590,33</t>
  </si>
  <si>
    <t xml:space="preserve">LUVA DE CORRER PARA TUBO ROSCAVEL, PVC, 1 1/2", PARA AGUA FRIA PREDIAL                                                                                                                                                                                                                                                                                                                                                                                                                                    </t>
  </si>
  <si>
    <t xml:space="preserve">LUVA DE CORRER PARA TUBO ROSCAVEL, PVC, 1/2", PARA AGUA FRIA PREDIAL                                                                                                                                                                                                                                                                                                                                                                                                                                      </t>
  </si>
  <si>
    <t xml:space="preserve">LUVA DE CORRER PARA TUBO ROSCAVEL, PVC, 3/4", PARA AGUA FRIA PREDIAL                                                                                                                                                                                                                                                                                                                                                                                                                                      </t>
  </si>
  <si>
    <t xml:space="preserve">LUVA DE CORRER PARA TUBO SOLDAVEL, PVC, 20 MM, PARA AGUA FRIA PREDIAL                                                                                                                                                                                                                                                                                                                                                                                                                                     </t>
  </si>
  <si>
    <t xml:space="preserve">LUVA DE CORRER PARA TUBO SOLDAVEL, PVC, 25 MM, PARA AGUA FRIA PREDIAL                                                                                                                                                                                                                                                                                                                                                                                                                                     </t>
  </si>
  <si>
    <t xml:space="preserve">LUVA DE CORRER PARA TUBO SOLDAVEL, PVC, 32 MM, PARA AGUA FRIA PREDIAL                                                                                                                                                                                                                                                                                                                                                                                                                                     </t>
  </si>
  <si>
    <t xml:space="preserve">LUVA DE CORRER PARA TUBO SOLDAVEL, PVC, 50 MM, PARA AGUA FRIA PREDIAL                                                                                                                                                                                                                                                                                                                                                                                                                                     </t>
  </si>
  <si>
    <t xml:space="preserve">LUVA DE CORRER PARA TUBO SOLDAVEL, PVC, 60 MM, PARA AGUA FRIA PREDIAL                                                                                                                                                                                                                                                                                                                                                                                                                                     </t>
  </si>
  <si>
    <t>67,64</t>
  </si>
  <si>
    <t xml:space="preserve">LUVA DE CORRER PVC, JE, DN 100 MM, PARA REDE COLETORA DE ESGOTO (NBR 10569)                                                                                                                                                                                                                                                                                                                                                                                                                               </t>
  </si>
  <si>
    <t xml:space="preserve">LUVA DE CORRER PVC, JE, DN 150 MM, PARA REDE COLETORA DE ESGOTO (NBR 10569)                                                                                                                                                                                                                                                                                                                                                                                                                               </t>
  </si>
  <si>
    <t xml:space="preserve">LUVA DE CORRER PVC, JE, DN 200 MM, PARA REDE COLETORA DE ESGOTO (NBR 10569)                                                                                                                                                                                                                                                                                                                                                                                                                               </t>
  </si>
  <si>
    <t xml:space="preserve">LUVA DE CORRER PVC, JE, DN 250 MM, PARA REDE COLETORA DE ESGOTO (NBR 10569)                                                                                                                                                                                                                                                                                                                                                                                                                               </t>
  </si>
  <si>
    <t xml:space="preserve">LUVA DE CORRER PVC, JE, DN 300 MM, PARA REDE COLETORA DE ESGOTO (NBR 10569)                                                                                                                                                                                                                                                                                                                                                                                                                               </t>
  </si>
  <si>
    <t xml:space="preserve">LUVA DE CORRER, CPVC, SOLDAVEL, 15 MM, PARA AGUA QUENTE PREDIAL                                                                                                                                                                                                                                                                                                                                                                                                                                           </t>
  </si>
  <si>
    <t xml:space="preserve">LUVA DE CORRER, CPVC, SOLDAVEL, 22 MM, PARA AGUA QUENTE PREDIAL                                                                                                                                                                                                                                                                                                                                                                                                                                           </t>
  </si>
  <si>
    <t xml:space="preserve">LUVA DE CORRER, CPVC, SOLDAVEL, 28 MM, PARA AGUA QUENTE PREDIAL                                                                                                                                                                                                                                                                                                                                                                                                                                           </t>
  </si>
  <si>
    <t xml:space="preserve">LUVA DE CORRER, CPVC, SOLDAVEL, 35 MM, PARA AGUA QUENTE PREDIAL                                                                                                                                                                                                                                                                                                                                                                                                                                           </t>
  </si>
  <si>
    <t>24,95</t>
  </si>
  <si>
    <t xml:space="preserve">LUVA DE CORRER, CPVC, SOLDAVEL, 42 MM, PARA AGUA QUENTE PREDIAL                                                                                                                                                                                                                                                                                                                                                                                                                                           </t>
  </si>
  <si>
    <t xml:space="preserve">LUVA DE CORRER, PVC PBA, JE, DN 100 / DE 110 MM, PARA REDE AGUA (NBR 10351)                                                                                                                                                                                                                                                                                                                                                                                                                               </t>
  </si>
  <si>
    <t xml:space="preserve">LUVA DE CORRER, PVC PBA, JE, DN 50 / DE 60 MM, PARA REDE AGUA (NBR 10351)                                                                                                                                                                                                                                                                                                                                                                                                                                 </t>
  </si>
  <si>
    <t xml:space="preserve">LUVA DE CORRER, PVC PBA, JE, DN 75 / DE 85 MM, PARA REDE AGUA (NBR 10351)                                                                                                                                                                                                                                                                                                                                                                                                                                 </t>
  </si>
  <si>
    <t xml:space="preserve">LUVA DE CORRER, PVC SERIE R, 100 MM, PARA ESGOTO OU AGUAS PLUVIAIS PREDIAIS                                                                                                                                                                                                                                                                                                                                                                                                                               </t>
  </si>
  <si>
    <t>34,37</t>
  </si>
  <si>
    <t xml:space="preserve">LUVA DE CORRER, PVC SERIE R, 150 MM, PARA ESGOTO OU AGUAS PLUVIAIS PREDIAIS                                                                                                                                                                                                                                                                                                                                                                                                                               </t>
  </si>
  <si>
    <t xml:space="preserve">LUVA DE CORRER, PVC SERIE R, 75 MM, PARA ESGOTO OU AGUAS PLUVIAIS PREDIAIS                                                                                                                                                                                                                                                                                                                                                                                                                                </t>
  </si>
  <si>
    <t xml:space="preserve">LUVA DE CORRER, PVC, DN 100 MM, PARA ESGOTO PREDIAL                                                                                                                                                                                                                                                                                                                                                                                                                                                       </t>
  </si>
  <si>
    <t xml:space="preserve">LUVA DE CORRER, PVC, DN 50 MM, PARA ESGOTO PREDIAL                                                                                                                                                                                                                                                                                                                                                                                                                                                        </t>
  </si>
  <si>
    <t xml:space="preserve">LUVA DE CORRER, PVC, DN 75 MM, PARA ESGOTO PREDIAL                                                                                                                                                                                                                                                                                                                                                                                                                                                        </t>
  </si>
  <si>
    <t xml:space="preserve">LUVA DE FERRO GALVANIZADO, COM ROSCA BSP MACHO/FEMEA, DE 3/4"                                                                                                                                                                                                                                                                                                                                                                                                                                             </t>
  </si>
  <si>
    <t xml:space="preserve">LUVA DE FERRO GALVANIZADO, COM ROSCA BSP, DE 1 1/2"                                                                                                                                                                                                                                                                                                                                                                                                                                                       </t>
  </si>
  <si>
    <t xml:space="preserve">LUVA DE FERRO GALVANIZADO, COM ROSCA BSP, DE 1 1/4"                                                                                                                                                                                                                                                                                                                                                                                                                                                       </t>
  </si>
  <si>
    <t xml:space="preserve">LUVA DE FERRO GALVANIZADO, COM ROSCA BSP, DE 1/2"                                                                                                                                                                                                                                                                                                                                                                                                                                                         </t>
  </si>
  <si>
    <t xml:space="preserve">LUVA DE FERRO GALVANIZADO, COM ROSCA BSP, DE 1"                                                                                                                                                                                                                                                                                                                                                                                                                                                           </t>
  </si>
  <si>
    <t xml:space="preserve">LUVA DE FERRO GALVANIZADO, COM ROSCA BSP, DE 2 1/2"                                                                                                                                                                                                                                                                                                                                                                                                                                                       </t>
  </si>
  <si>
    <t xml:space="preserve">LUVA DE FERRO GALVANIZADO, COM ROSCA BSP, DE 2"                                                                                                                                                                                                                                                                                                                                                                                                                                                           </t>
  </si>
  <si>
    <t xml:space="preserve">LUVA DE FERRO GALVANIZADO, COM ROSCA BSP, DE 3/4"                                                                                                                                                                                                                                                                                                                                                                                                                                                         </t>
  </si>
  <si>
    <t xml:space="preserve">LUVA DE FERRO GALVANIZADO, COM ROSCA BSP, DE 3"                                                                                                                                                                                                                                                                                                                                                                                                                                                           </t>
  </si>
  <si>
    <t xml:space="preserve">LUVA DE FERRO GALVANIZADO, COM ROSCA BSP, DE 4"                                                                                                                                                                                                                                                                                                                                                                                                                                                           </t>
  </si>
  <si>
    <t xml:space="preserve">LUVA DE FERRO GALVANIZADO, COM ROSCA BSP, DE 5"                                                                                                                                                                                                                                                                                                                                                                                                                                                           </t>
  </si>
  <si>
    <t xml:space="preserve">LUVA DE FERRO GALVANIZADO, COM ROSCA BSP, DE 6"                                                                                                                                                                                                                                                                                                                                                                                                                                                           </t>
  </si>
  <si>
    <t xml:space="preserve">LUVA DE PRESSAO, EM PVC, DE 20 MM, PARA ELETRODUTO FLEXIVEL                                                                                                                                                                                                                                                                                                                                                                                                                                               </t>
  </si>
  <si>
    <t xml:space="preserve">LUVA DE PRESSAO, EM PVC, DE 25 MM, PARA ELETRODUTO FLEXIVEL                                                                                                                                                                                                                                                                                                                                                                                                                                               </t>
  </si>
  <si>
    <t xml:space="preserve">LUVA DE PRESSAO, EM PVC, DE 32 MM, PARA ELETRODUTO FLEXIVEL                                                                                                                                                                                                                                                                                                                                                                                                                                               </t>
  </si>
  <si>
    <t xml:space="preserve">LUVA DE REDUCAO DE FERRO GALVANIZADO, COM ROSCA BSP MACHO/FEMEA, DE 1 1/2" X 1"                                                                                                                                                                                                                                                                                                                                                                                                                           </t>
  </si>
  <si>
    <t xml:space="preserve">LUVA DE REDUCAO DE FERRO GALVANIZADO, COM ROSCA BSP MACHO/FEMEA, DE 1" X 1/2"                                                                                                                                                                                                                                                                                                                                                                                                                             </t>
  </si>
  <si>
    <t xml:space="preserve">LUVA DE REDUCAO DE FERRO GALVANIZADO, COM ROSCA BSP MACHO/FEMEA, DE 1" X 3/4"                                                                                                                                                                                                                                                                                                                                                                                                                             </t>
  </si>
  <si>
    <t xml:space="preserve">LUVA DE REDUCAO DE FERRO GALVANIZADO, COM ROSCA BSP MACHO/FEMEA, DE 3/4" X 1/2"                                                                                                                                                                                                                                                                                                                                                                                                                           </t>
  </si>
  <si>
    <t xml:space="preserve">LUVA DE REDUCAO DE FERRO GALVANIZADO, COM ROSCA BSP, DE 1 1/2" X 1 1/4"                                                                                                                                                                                                                                                                                                                                                                                                                                   </t>
  </si>
  <si>
    <t xml:space="preserve">LUVA DE REDUCAO DE FERRO GALVANIZADO, COM ROSCA BSP, DE 1 1/2" X 1/2"                                                                                                                                                                                                                                                                                                                                                                                                                                     </t>
  </si>
  <si>
    <t xml:space="preserve">LUVA DE REDUCAO DE FERRO GALVANIZADO, COM ROSCA BSP, DE 1 1/2" X 1"                                                                                                                                                                                                                                                                                                                                                                                                                                       </t>
  </si>
  <si>
    <t xml:space="preserve">LUVA DE REDUCAO DE FERRO GALVANIZADO, COM ROSCA BSP, DE 1 1/2" X 3/4"                                                                                                                                                                                                                                                                                                                                                                                                                                     </t>
  </si>
  <si>
    <t xml:space="preserve">LUVA DE REDUCAO DE FERRO GALVANIZADO, COM ROSCA BSP, DE 1 1/4" X 1/2"                                                                                                                                                                                                                                                                                                                                                                                                                                     </t>
  </si>
  <si>
    <t xml:space="preserve">LUVA DE REDUCAO DE FERRO GALVANIZADO, COM ROSCA BSP, DE 1 1/4" X 1"                                                                                                                                                                                                                                                                                                                                                                                                                                       </t>
  </si>
  <si>
    <t xml:space="preserve">LUVA DE REDUCAO DE FERRO GALVANIZADO, COM ROSCA BSP, DE 1 1/4" X 3/4"                                                                                                                                                                                                                                                                                                                                                                                                                                     </t>
  </si>
  <si>
    <t xml:space="preserve">LUVA DE REDUCAO DE FERRO GALVANIZADO, COM ROSCA BSP, DE 1" X 1/2"                                                                                                                                                                                                                                                                                                                                                                                                                                         </t>
  </si>
  <si>
    <t xml:space="preserve">LUVA DE REDUCAO DE FERRO GALVANIZADO, COM ROSCA BSP, DE 1" X 3/4"                                                                                                                                                                                                                                                                                                                                                                                                                                         </t>
  </si>
  <si>
    <t xml:space="preserve">LUVA DE REDUCAO DE FERRO GALVANIZADO, COM ROSCA BSP, DE 2 1/2" X 1 1/2"                                                                                                                                                                                                                                                                                                                                                                                                                                   </t>
  </si>
  <si>
    <t xml:space="preserve">LUVA DE REDUCAO DE FERRO GALVANIZADO, COM ROSCA BSP, DE 2 1/2" X 2"                                                                                                                                                                                                                                                                                                                                                                                                                                       </t>
  </si>
  <si>
    <t xml:space="preserve">LUVA DE REDUCAO DE FERRO GALVANIZADO, COM ROSCA BSP, DE 2" X 1 1/2"                                                                                                                                                                                                                                                                                                                                                                                                                                       </t>
  </si>
  <si>
    <t xml:space="preserve">LUVA DE REDUCAO DE FERRO GALVANIZADO, COM ROSCA BSP, DE 2" X 1 1/4"                                                                                                                                                                                                                                                                                                                                                                                                                                       </t>
  </si>
  <si>
    <t xml:space="preserve">LUVA DE REDUCAO DE FERRO GALVANIZADO, COM ROSCA BSP, DE 2" X 1"                                                                                                                                                                                                                                                                                                                                                                                                                                           </t>
  </si>
  <si>
    <t xml:space="preserve">LUVA DE REDUCAO DE FERRO GALVANIZADO, COM ROSCA BSP, DE 3/4" X 1/2"                                                                                                                                                                                                                                                                                                                                                                                                                                       </t>
  </si>
  <si>
    <t xml:space="preserve">LUVA DE REDUCAO DE FERRO GALVANIZADO, COM ROSCA BSP, DE 3" X 1 1/2"                                                                                                                                                                                                                                                                                                                                                                                                                                       </t>
  </si>
  <si>
    <t xml:space="preserve">LUVA DE REDUCAO DE FERRO GALVANIZADO, COM ROSCA BSP, DE 3" X 2 1/2"                                                                                                                                                                                                                                                                                                                                                                                                                                       </t>
  </si>
  <si>
    <t xml:space="preserve">LUVA DE REDUCAO DE FERRO GALVANIZADO, COM ROSCA BSP, DE 3" X 2"                                                                                                                                                                                                                                                                                                                                                                                                                                           </t>
  </si>
  <si>
    <t xml:space="preserve">LUVA DE REDUCAO DE FERRO GALVANIZADO, COM ROSCA BSP, DE 4" X 2 1/2"                                                                                                                                                                                                                                                                                                                                                                                                                                       </t>
  </si>
  <si>
    <t xml:space="preserve">LUVA DE REDUCAO DE FERRO GALVANIZADO, COM ROSCA BSP, DE 4" X 2"                                                                                                                                                                                                                                                                                                                                                                                                                                           </t>
  </si>
  <si>
    <t xml:space="preserve">LUVA DE REDUCAO DE FERRO GALVANIZADO, COM ROSCA BSP, DE 4" X 3"                                                                                                                                                                                                                                                                                                                                                                                                                                           </t>
  </si>
  <si>
    <t xml:space="preserve">LUVA DE REDUCAO EM ACO CARBONO, COM ENCAIXE PARA SOLDA DN SW, PRESSAO 3.000 LBS,  3/4 " X 1/2"                                                                                                                                                                                                                                                                                                                                                                                                            </t>
  </si>
  <si>
    <t xml:space="preserve">LUVA DE REDUCAO EM ACO CARBONO, COM ENCAIXE PARA SOLDA DN SW, PRESSAO 3.000 LBS, DN 1 1/2" X 1 1/4"                                                                                                                                                                                                                                                                                                                                                                                                       </t>
  </si>
  <si>
    <t xml:space="preserve">LUVA DE REDUCAO EM ACO CARBONO, COM ENCAIXE PARA SOLDA DN SW, PRESSAO 3.000 LBS, DN 1 1/4"  X 1"                                                                                                                                                                                                                                                                                                                                                                                                          </t>
  </si>
  <si>
    <t>40,98</t>
  </si>
  <si>
    <t xml:space="preserve">LUVA DE REDUCAO EM ACO CARBONO, COM ENCAIXE PARA SOLDA DN SW, PRESSAO 3.000 LBS, DN 1" X 3/4"                                                                                                                                                                                                                                                                                                                                                                                                             </t>
  </si>
  <si>
    <t xml:space="preserve">LUVA DE REDUCAO EM ACO CARBONO, COM ENCAIXE PARA SOLDA DN SW, PRESSAO 3.000 LBS, DN 2 1/2" X 2"                                                                                                                                                                                                                                                                                                                                                                                                           </t>
  </si>
  <si>
    <t>166,29</t>
  </si>
  <si>
    <t xml:space="preserve">LUVA DE REDUCAO EM ACO CARBONO, COM ENCAIXE PARA SOLDA DN SW, PRESSAO 3.000 LBS, DN 2" X 1 1/2"                                                                                                                                                                                                                                                                                                                                                                                                           </t>
  </si>
  <si>
    <t>82,65</t>
  </si>
  <si>
    <t xml:space="preserve">LUVA DE REDUCAO EM ACO CARBONO, COM ENCAIXE PARA SOLDA DN SW, PRESSAO 3.000 LBS, DN 3" X 2 1/2"                                                                                                                                                                                                                                                                                                                                                                                                           </t>
  </si>
  <si>
    <t>224,86</t>
  </si>
  <si>
    <t xml:space="preserve">LUVA DE REDUCAO PARA TUBO PEX, METALICA, PARA CONEXAO COM ANEL DESLIZANTE, DN 20 X 16 MM                                                                                                                                                                                                                                                                                                                                                                                                                  </t>
  </si>
  <si>
    <t xml:space="preserve">LUVA DE REDUCAO PARA TUBO PEX, METALICA, PARA CONEXAO COM ANEL DESLIZANTE, DN 25 X 16 MM                                                                                                                                                                                                                                                                                                                                                                                                                  </t>
  </si>
  <si>
    <t xml:space="preserve">LUVA DE REDUCAO PARA TUBO PEX, METALICA, PARA CONEXAO COM ANEL DESLIZANTE, DN 25 X 20 MM                                                                                                                                                                                                                                                                                                                                                                                                                  </t>
  </si>
  <si>
    <t xml:space="preserve">LUVA DE REDUCAO PARA TUBO PEX, METALICA, PARA CONEXAO COM ANEL DESLIZANTE, DN 32 X 25 MM                                                                                                                                                                                                                                                                                                                                                                                                                  </t>
  </si>
  <si>
    <t xml:space="preserve">LUVA DE REDUCAO PARA TUBO PEX, PLASTICA, PARA CONEXAO COM CRIMPAGEM, DN 20 X 16 MM                                                                                                                                                                                                                                                                                                                                                                                                                        </t>
  </si>
  <si>
    <t xml:space="preserve">LUVA DE REDUCAO PARA TUBO PEX, PLASTICA, PARA CONEXAO COM CRIMPAGEM, DN 25 X 16 MM                                                                                                                                                                                                                                                                                                                                                                                                                        </t>
  </si>
  <si>
    <t xml:space="preserve">LUVA DE REDUCAO PARA TUBO PEX, PLASTICA, PARA CONEXAO COM CRIMPAGEM, DN 32 X 20 MM                                                                                                                                                                                                                                                                                                                                                                                                                        </t>
  </si>
  <si>
    <t xml:space="preserve">LUVA DE REDUCAO PARA TUBO PEX, PLASTICA, PARA CONEXAO COM CRIMPAGEM, DN 32 X 25 MM                                                                                                                                                                                                                                                                                                                                                                                                                        </t>
  </si>
  <si>
    <t xml:space="preserve">LUVA DE REDUCAO ROSCAVEL, PVC, 1" X 3/4", PARA AGUA FRIA PREDIAL                                                                                                                                                                                                                                                                                                                                                                                                                                          </t>
  </si>
  <si>
    <t xml:space="preserve">LUVA DE REDUCAO ROSCAVEL, PVC, 3/4" X 1/2", PARA AGUA FRIA PREDIAL                                                                                                                                                                                                                                                                                                                                                                                                                                        </t>
  </si>
  <si>
    <t xml:space="preserve">LUVA DE REDUCAO SOLDAVEL, PVC, 25 MM X 20 MM, PARA AGUA FRIA PREDIAL                                                                                                                                                                                                                                                                                                                                                                                                                                      </t>
  </si>
  <si>
    <t xml:space="preserve">LUVA DE REDUCAO SOLDAVEL, PVC, 32 MM X 25 MM, PARA AGUA FRIA PREDIAL                                                                                                                                                                                                                                                                                                                                                                                                                                      </t>
  </si>
  <si>
    <t xml:space="preserve">LUVA DE REDUCAO SOLDAVEL, PVC, 40 MM X 32 MM, PARA AGUA FRIA PREDIAL                                                                                                                                                                                                                                                                                                                                                                                                                                      </t>
  </si>
  <si>
    <t xml:space="preserve">LUVA DE REDUCAO SOLDAVEL, PVC, 60 MM X 50 MM, PARA AGUA FRIA PREDIAL                                                                                                                                                                                                                                                                                                                                                                                                                                      </t>
  </si>
  <si>
    <t xml:space="preserve">LUVA DE REDUCAO, PVC, SOLDAVEL, 50 X 25 MM, PARA AGUA FRIA PREDIAL                                                                                                                                                                                                                                                                                                                                                                                                                                        </t>
  </si>
  <si>
    <t xml:space="preserve">LUVA DE TRANSICAO DE CPVC X PVC, SOLDAVEL, 22 X 25 MM, PARA AGUA QUENTE                                                                                                                                                                                                                                                                                                                                                                                                                                   </t>
  </si>
  <si>
    <t xml:space="preserve">LUVA DE TRANSICAO, CPVC, SOLDAVEL, 42 MM X 1 1/2", PARA AGUA QUENTE                                                                                                                                                                                                                                                                                                                                                                                                                                       </t>
  </si>
  <si>
    <t>174,38</t>
  </si>
  <si>
    <t xml:space="preserve">LUVA DE TRANSICAO, CPVC, SOLDAVEL, 54 MM X 2", PARA AGUA QUENTE PREDIAL                                                                                                                                                                                                                                                                                                                                                                                                                                   </t>
  </si>
  <si>
    <t>284,44</t>
  </si>
  <si>
    <t xml:space="preserve">LUVA DE TRANSICAO, CPVC, 15 MM X 1/2", PARA AGUA QUENTE PREDIAL                                                                                                                                                                                                                                                                                                                                                                                                                                           </t>
  </si>
  <si>
    <t xml:space="preserve">LUVA DE TRANSICAO, CPVC, 22 MM X 1/2", PARA AGUA QUENTE                                                                                                                                                                                                                                                                                                                                                                                                                                                   </t>
  </si>
  <si>
    <t xml:space="preserve">LUVA DUPLA, PVC LEVE, DN 150 MM                                                                                                                                                                                                                                                                                                                                                                                                                                                                           </t>
  </si>
  <si>
    <t xml:space="preserve">LUVA EM ACO CARBONO, SOLDAVEL, PRESSAO 3.000 LBS, DN 1 1/2"                                                                                                                                                                                                                                                                                                                                                                                                                                               </t>
  </si>
  <si>
    <t xml:space="preserve">LUVA EM ACO CARBONO, SOLDAVEL, PRESSAO 3.000 LBS, DN 1 1/4"                                                                                                                                                                                                                                                                                                                                                                                                                                               </t>
  </si>
  <si>
    <t xml:space="preserve">LUVA EM ACO CARBONO, SOLDAVEL, PRESSAO 3.000 LBS, DN 1/2"                                                                                                                                                                                                                                                                                                                                                                                                                                                 </t>
  </si>
  <si>
    <t xml:space="preserve">LUVA EM ACO CARBONO, SOLDAVEL, PRESSAO 3.000 LBS, DN 1"                                                                                                                                                                                                                                                                                                                                                                                                                                                   </t>
  </si>
  <si>
    <t xml:space="preserve">LUVA EM ACO CARBONO, SOLDAVEL, PRESSAO 3.000 LBS, DN 2 1/2"                                                                                                                                                                                                                                                                                                                                                                                                                                               </t>
  </si>
  <si>
    <t xml:space="preserve">LUVA EM ACO CARBONO, SOLDAVEL, PRESSAO 3.000 LBS, DN 2"                                                                                                                                                                                                                                                                                                                                                                                                                                                   </t>
  </si>
  <si>
    <t xml:space="preserve">LUVA EM ACO CARBONO, SOLDAVEL, PRESSAO 3.000 LBS, DN 3/4"                                                                                                                                                                                                                                                                                                                                                                                                                                                 </t>
  </si>
  <si>
    <t xml:space="preserve">LUVA EM ACO CARBONO, SOLDAVEL, PRESSAO 3.000 LBS, DN 3"                                                                                                                                                                                                                                                                                                                                                                                                                                                   </t>
  </si>
  <si>
    <t>175,23</t>
  </si>
  <si>
    <t xml:space="preserve">LUVA EM PVC RIGIDO ROSCAVEL, DE 1 1/2", PARA ELETRODUTO                                                                                                                                                                                                                                                                                                                                                                                                                                                   </t>
  </si>
  <si>
    <t xml:space="preserve">LUVA EM PVC RIGIDO ROSCAVEL, DE 1 1/4", PARA ELETRODUTO                                                                                                                                                                                                                                                                                                                                                                                                                                                   </t>
  </si>
  <si>
    <t xml:space="preserve">LUVA EM PVC RIGIDO ROSCAVEL, DE 1/2", PARA ELETRODUTO                                                                                                                                                                                                                                                                                                                                                                                                                                                     </t>
  </si>
  <si>
    <t xml:space="preserve">LUVA EM PVC RIGIDO ROSCAVEL, DE 1", PARA ELETRODUTO                                                                                                                                                                                                                                                                                                                                                                                                                                                       </t>
  </si>
  <si>
    <t xml:space="preserve">LUVA EM PVC RIGIDO ROSCAVEL, DE 2 1/2", PARA ELETRODUTO                                                                                                                                                                                                                                                                                                                                                                                                                                                   </t>
  </si>
  <si>
    <t xml:space="preserve">LUVA EM PVC RIGIDO ROSCAVEL, DE 2", PARA ELETRODUTO                                                                                                                                                                                                                                                                                                                                                                                                                                                       </t>
  </si>
  <si>
    <t xml:space="preserve">LUVA EM PVC RIGIDO ROSCAVEL, DE 3/4", PARA ELETRODUTO                                                                                                                                                                                                                                                                                                                                                                                                                                                     </t>
  </si>
  <si>
    <t xml:space="preserve">LUVA EM PVC RIGIDO ROSCAVEL, DE 3", PARA ELETRODUTO                                                                                                                                                                                                                                                                                                                                                                                                                                                       </t>
  </si>
  <si>
    <t xml:space="preserve">LUVA EM PVC RIGIDO ROSCAVEL, DE 4", PARA ELETRODUTO                                                                                                                                                                                                                                                                                                                                                                                                                                                       </t>
  </si>
  <si>
    <t>31,01</t>
  </si>
  <si>
    <t xml:space="preserve">LUVA PARA ELETRODUTO, EM ACO GALVANIZADO ELETROLITICO, DIAMETRO DE 100 MM (4")                                                                                                                                                                                                                                                                                                                                                                                                                            </t>
  </si>
  <si>
    <t xml:space="preserve">LUVA PARA ELETRODUTO, EM ACO GALVANIZADO ELETROLITICO, DIAMETRO DE 15 MM (1/2")                                                                                                                                                                                                                                                                                                                                                                                                                           </t>
  </si>
  <si>
    <t xml:space="preserve">LUVA PARA ELETRODUTO, EM ACO GALVANIZADO ELETROLITICO, DIAMETRO DE 20 MM (3/4")                                                                                                                                                                                                                                                                                                                                                                                                                           </t>
  </si>
  <si>
    <t xml:space="preserve">LUVA PARA ELETRODUTO, EM ACO GALVANIZADO ELETROLITICO, DIAMETRO DE 25 MM (1")                                                                                                                                                                                                                                                                                                                                                                                                                             </t>
  </si>
  <si>
    <t xml:space="preserve">LUVA PARA ELETRODUTO, EM ACO GALVANIZADO ELETROLITICO, DIAMETRO DE 32 MM (1 1/4")                                                                                                                                                                                                                                                                                                                                                                                                                         </t>
  </si>
  <si>
    <t xml:space="preserve">LUVA PARA ELETRODUTO, EM ACO GALVANIZADO ELETROLITICO, DIAMETRO DE 40 MM (1 1/2")                                                                                                                                                                                                                                                                                                                                                                                                                         </t>
  </si>
  <si>
    <t xml:space="preserve">LUVA PARA ELETRODUTO, EM ACO GALVANIZADO ELETROLITICO, DIAMETRO DE 50 MM (2")                                                                                                                                                                                                                                                                                                                                                                                                                             </t>
  </si>
  <si>
    <t xml:space="preserve">LUVA PARA ELETRODUTO, EM ACO GALVANIZADO ELETROLITICO, DIAMETRO DE 65 MM (2 1/2")                                                                                                                                                                                                                                                                                                                                                                                                                         </t>
  </si>
  <si>
    <t xml:space="preserve">LUVA PARA ELETRODUTO, EM ACO GALVANIZADO ELETROLITICO, DIAMETRO DE 80 MM (3")                                                                                                                                                                                                                                                                                                                                                                                                                             </t>
  </si>
  <si>
    <t xml:space="preserve">LUVA PARA TUBO PEX, METALICO, PARA CONEXAO COM ANEL DESLIZANTE, DN 16 MM                                                                                                                                                                                                                                                                                                                                                                                                                                  </t>
  </si>
  <si>
    <t xml:space="preserve">LUVA PARA TUBO PEX, METALICO, PARA CONEXAO COM ANEL DESLIZANTE, DN 20 MM                                                                                                                                                                                                                                                                                                                                                                                                                                  </t>
  </si>
  <si>
    <t xml:space="preserve">LUVA PARA TUBO PEX, METALICO, PARA CONEXAO COM ANEL DESLIZANTE, DN 25 MM                                                                                                                                                                                                                                                                                                                                                                                                                                  </t>
  </si>
  <si>
    <t xml:space="preserve">LUVA PARA TUBO PEX, METALICO, PARA CONEXAO COM ANEL DESLIZANTE, DN 32 MM                                                                                                                                                                                                                                                                                                                                                                                                                                  </t>
  </si>
  <si>
    <t xml:space="preserve">LUVA PARA TUBO PEX, PLASTICA, PARA CONEXAO COM CRIMPAGEM, DN 16 MM                                                                                                                                                                                                                                                                                                                                                                                                                                        </t>
  </si>
  <si>
    <t xml:space="preserve">LUVA PARA TUBO PEX, PLASTICA, PARA CONEXAO COM CRIMPAGEM, DN 20 MM                                                                                                                                                                                                                                                                                                                                                                                                                                        </t>
  </si>
  <si>
    <t xml:space="preserve">LUVA PARA TUBO PEX, PLASTICA, PARA CONEXAO COM CRIMPAGEM, DN 25 MM                                                                                                                                                                                                                                                                                                                                                                                                                                        </t>
  </si>
  <si>
    <t xml:space="preserve">LUVA PARA TUBO PEX, PLASTICA, PARA CONEXAO COM CRIMPAGEM, DN 32 MM                                                                                                                                                                                                                                                                                                                                                                                                                                        </t>
  </si>
  <si>
    <t xml:space="preserve">LUVA PASSANTE DE COBRE (REF 601) SEM ANEL DE SOLDA, BOLSA 15 MM                                                                                                                                                                                                                                                                                                                                                                                                                                           </t>
  </si>
  <si>
    <t xml:space="preserve">LUVA PASSANTE DE COBRE (REF 601) SEM ANEL DE SOLDA, BOLSA 22 MM                                                                                                                                                                                                                                                                                                                                                                                                                                           </t>
  </si>
  <si>
    <t xml:space="preserve">LUVA PASSANTE DE COBRE (REF 601) SEM ANEL DE SOLDA, BOLSA 28 MM                                                                                                                                                                                                                                                                                                                                                                                                                                           </t>
  </si>
  <si>
    <t xml:space="preserve">LUVA PASSANTE DE COBRE (REF 601) SEM ANEL DE SOLDA, BOLSA 35 MM                                                                                                                                                                                                                                                                                                                                                                                                                                           </t>
  </si>
  <si>
    <t>27,20</t>
  </si>
  <si>
    <t xml:space="preserve">LUVA PASSANTE DE COBRE (REF 601) SEM ANEL DE SOLDA, BOLSA 42 MM                                                                                                                                                                                                                                                                                                                                                                                                                                           </t>
  </si>
  <si>
    <t xml:space="preserve">LUVA PASSANTE DE COBRE (REF 601) SEM ANEL DE SOLDA, BOLSA 54 MM                                                                                                                                                                                                                                                                                                                                                                                                                                           </t>
  </si>
  <si>
    <t>64,34</t>
  </si>
  <si>
    <t xml:space="preserve">LUVA PASSANTE DE COBRE (REF 601) SEM ANEL DE SOLDA, BOLSA 66 MM                                                                                                                                                                                                                                                                                                                                                                                                                                           </t>
  </si>
  <si>
    <t xml:space="preserve">LUVA PPR, SOLDAVEL, DN 110 MM, PARA AGUA QUENTE PREDIAL                                                                                                                                                                                                                                                                                                                                                                                                                                                   </t>
  </si>
  <si>
    <t>118,64</t>
  </si>
  <si>
    <t xml:space="preserve">LUVA PPR, SOLDAVEL, DN 20 MM, PARA AGUA QUENTE PREDIAL                                                                                                                                                                                                                                                                                                                                                                                                                                                    </t>
  </si>
  <si>
    <t xml:space="preserve">LUVA PPR, SOLDAVEL, DN 25 MM, PARA AGUA QUENTE PREDIAL                                                                                                                                                                                                                                                                                                                                                                                                                                                    </t>
  </si>
  <si>
    <t xml:space="preserve">LUVA PPR, SOLDAVEL, DN 32 MM, PARA AGUA QUENTE PREDIAL                                                                                                                                                                                                                                                                                                                                                                                                                                                    </t>
  </si>
  <si>
    <t xml:space="preserve">LUVA PPR, SOLDAVEL, DN 40 MM, PARA AGUA QUENTE PREDIAL                                                                                                                                                                                                                                                                                                                                                                                                                                                    </t>
  </si>
  <si>
    <t xml:space="preserve">LUVA PPR, SOLDAVEL, DN 50 MM, PARA AGUA QUENTE PREDIAL                                                                                                                                                                                                                                                                                                                                                                                                                                                    </t>
  </si>
  <si>
    <t xml:space="preserve">LUVA PPR, SOLDAVEL, DN 63 MM, PARA AGUA QUENTE PREDIAL                                                                                                                                                                                                                                                                                                                                                                                                                                                    </t>
  </si>
  <si>
    <t xml:space="preserve">LUVA PPR, SOLDAVEL, DN 75 MM, PARA AGUA QUENTE PREDIAL                                                                                                                                                                                                                                                                                                                                                                                                                                                    </t>
  </si>
  <si>
    <t xml:space="preserve">LUVA PPR, SOLDAVEL, DN 90 MM, PARA AGUA QUENTE PREDIAL                                                                                                                                                                                                                                                                                                                                                                                                                                                    </t>
  </si>
  <si>
    <t xml:space="preserve">LUVA PVC SOLDAVEL, 110 MM, PARA AGUA FRIA PREDIAL                                                                                                                                                                                                                                                                                                                                                                                                                                                         </t>
  </si>
  <si>
    <t>120,82</t>
  </si>
  <si>
    <t xml:space="preserve">LUVA PVC SOLDAVEL, 20 MM, PARA AGUA FRIA PREDIAL                                                                                                                                                                                                                                                                                                                                                                                                                                                          </t>
  </si>
  <si>
    <t xml:space="preserve">LUVA PVC SOLDAVEL, 25 MM, PARA AGUA FRIA PREDIAL                                                                                                                                                                                                                                                                                                                                                                                                                                                          </t>
  </si>
  <si>
    <t xml:space="preserve">LUVA PVC SOLDAVEL, 32 MM, PARA AGUA FRIA PREDIAL                                                                                                                                                                                                                                                                                                                                                                                                                                                          </t>
  </si>
  <si>
    <t xml:space="preserve">LUVA PVC SOLDAVEL, 40 MM, PARA AGUA FRIA PREDIAL                                                                                                                                                                                                                                                                                                                                                                                                                                                          </t>
  </si>
  <si>
    <t xml:space="preserve">LUVA PVC SOLDAVEL, 50 MM, PARA AGUA FRIA PREDIAL                                                                                                                                                                                                                                                                                                                                                                                                                                                          </t>
  </si>
  <si>
    <t xml:space="preserve">LUVA PVC SOLDAVEL, 60 MM, PARA AGUA FRIA PREDIAL                                                                                                                                                                                                                                                                                                                                                                                                                                                          </t>
  </si>
  <si>
    <t xml:space="preserve">LUVA PVC SOLDAVEL, 75 MM, PARA AGUA FRIA PREDIAL                                                                                                                                                                                                                                                                                                                                                                                                                                                          </t>
  </si>
  <si>
    <t>32,55</t>
  </si>
  <si>
    <t xml:space="preserve">LUVA PVC SOLDAVEL, 85 MM, PARA AGUA FRIA PREDIAL                                                                                                                                                                                                                                                                                                                                                                                                                                                          </t>
  </si>
  <si>
    <t xml:space="preserve">LUVA PVC, ROSCAVEL,  2 1/2",  AGUA FRIA PREDIAL                                                                                                                                                                                                                                                                                                                                                                                                                                                           </t>
  </si>
  <si>
    <t xml:space="preserve">LUVA PVC, ROSCAVEL, 1 1/2",  AGUA FRIA PREDIAL                                                                                                                                                                                                                                                                                                                                                                                                                                                            </t>
  </si>
  <si>
    <t xml:space="preserve">LUVA PVC, ROSCAVEL, 1 1/4", AGUA FRIA PREDIAL                                                                                                                                                                                                                                                                                                                                                                                                                                                             </t>
  </si>
  <si>
    <t xml:space="preserve">LUVA PVC, ROSCAVEL, 2",  AGUA FRIA PREDIAL                                                                                                                                                                                                                                                                                                                                                                                                                                                                </t>
  </si>
  <si>
    <t xml:space="preserve">LUVA PVC, ROSCAVEL, 3", AGUA FRIA PREDIAL                                                                                                                                                                                                                                                                                                                                                                                                                                                                 </t>
  </si>
  <si>
    <t>52,09</t>
  </si>
  <si>
    <t xml:space="preserve">LUVA RASPA DE COURO, CANO CURTO (PUNHO *7* CM)                                                                                                                                                                                                                                                                                                                                                                                                                                                            </t>
  </si>
  <si>
    <t xml:space="preserve">LUVA ROSCAVEL, PVC, 1/2", AGUA FRIA PREDIAL                                                                                                                                                                                                                                                                                                                                                                                                                                                               </t>
  </si>
  <si>
    <t xml:space="preserve">LUVA ROSCAVEL, PVC, 1", AGUA FRIA PREDIAL                                                                                                                                                                                                                                                                                                                                                                                                                                                                 </t>
  </si>
  <si>
    <t xml:space="preserve">LUVA ROSCAVEL, PVC, 3/4", AGUA FRIA PREDIAL                                                                                                                                                                                                                                                                                                                                                                                                                                                               </t>
  </si>
  <si>
    <t xml:space="preserve">LUVA SIMPLES, PVC PBA, JE, DN 100 / DE 110 MM, PARA REDE AGUA (NBR 10351)                                                                                                                                                                                                                                                                                                                                                                                                                                 </t>
  </si>
  <si>
    <t xml:space="preserve">LUVA SIMPLES, PVC PBA, JE, DN 50 / DE 60 MM, PARA REDE AGUA (NBR 10351)                                                                                                                                                                                                                                                                                                                                                                                                                                   </t>
  </si>
  <si>
    <t xml:space="preserve">LUVA SIMPLES, PVC PBA, JE, DN 75 / DE 85 MM, PARA REDE AGUA (NBR 10351)                                                                                                                                                                                                                                                                                                                                                                                                                                   </t>
  </si>
  <si>
    <t xml:space="preserve">LUVA SIMPLES, PVC SERIE R, 100 MM, PARA ESGOTO OU AGUAS PLUVIAIS PREDIAIS                                                                                                                                                                                                                                                                                                                                                                                                                                 </t>
  </si>
  <si>
    <t xml:space="preserve">LUVA SIMPLES, PVC SERIE R, 150 MM, PARA ESGOTO OU AGUAS PLUVIAIS PREDIAIS                                                                                                                                                                                                                                                                                                                                                                                                                                 </t>
  </si>
  <si>
    <t xml:space="preserve">LUVA SIMPLES, PVC SERIE R, 40 MM, PARA ESGOTO OU AGUAS PLUVIAIS PREDIAIS                                                                                                                                                                                                                                                                                                                                                                                                                                  </t>
  </si>
  <si>
    <t xml:space="preserve">LUVA SIMPLES, PVC SERIE R, 50 MM, PARA ESGOTO OU AGUAS PLUVIAIS PREDIAIS                                                                                                                                                                                                                                                                                                                                                                                                                                  </t>
  </si>
  <si>
    <t xml:space="preserve">LUVA SIMPLES, PVC SERIE R, 75 MM, PARA ESGOTO OU AGUAS PLUVIAIS PREDIAIS                                                                                                                                                                                                                                                                                                                                                                                                                                  </t>
  </si>
  <si>
    <t xml:space="preserve">LUVA SIMPLES, PVC, SOLDAVEL, DN 100 MM, SERIE NORMAL, PARA ESGOTO PREDIAL                                                                                                                                                                                                                                                                                                                                                                                                                                 </t>
  </si>
  <si>
    <t xml:space="preserve">LUVA SIMPLES, PVC, SOLDAVEL, DN 150 MM, SERIE NORMAL, PARA ESGOTO PREDIAL                                                                                                                                                                                                                                                                                                                                                                                                                                 </t>
  </si>
  <si>
    <t>40,89</t>
  </si>
  <si>
    <t xml:space="preserve">LUVA SIMPLES, PVC, SOLDAVEL, DN 40 MM, SERIE NORMAL, PARA ESGOTO PREDIAL                                                                                                                                                                                                                                                                                                                                                                                                                                  </t>
  </si>
  <si>
    <t xml:space="preserve">LUVA SIMPLES, PVC, SOLDAVEL, DN 50 MM, SERIE NORMAL, PARA ESGOTO PREDIAL                                                                                                                                                                                                                                                                                                                                                                                                                                  </t>
  </si>
  <si>
    <t xml:space="preserve">LUVA SIMPLES, PVC, SOLDAVEL, DN 75 MM, SERIE NORMAL, PARA ESGOTO PREDIAL                                                                                                                                                                                                                                                                                                                                                                                                                                  </t>
  </si>
  <si>
    <t xml:space="preserve">LUVA SOLDAVEL COM BUCHA DE LATAO, PVC, 20 MM X 1/2"                                                                                                                                                                                                                                                                                                                                                                                                                                                       </t>
  </si>
  <si>
    <t xml:space="preserve">LUVA SOLDAVEL COM BUCHA DE LATAO, PVC, 25 MM X 1/2"                                                                                                                                                                                                                                                                                                                                                                                                                                                       </t>
  </si>
  <si>
    <t xml:space="preserve">LUVA SOLDAVEL COM BUCHA DE LATAO, PVC, 25 MM X 3/4"                                                                                                                                                                                                                                                                                                                                                                                                                                                       </t>
  </si>
  <si>
    <t xml:space="preserve">LUVA SOLDAVEL COM BUCHA DE LATAO, PVC, 32 MM X 1"                                                                                                                                                                                                                                                                                                                                                                                                                                                         </t>
  </si>
  <si>
    <t xml:space="preserve">LUVA SOLDAVEL COM ROSCA, PVC, 20 MM X 1/2", PARA AGUA FRIA PREDIAL                                                                                                                                                                                                                                                                                                                                                                                                                                        </t>
  </si>
  <si>
    <t xml:space="preserve">LUVA SOLDAVEL COM ROSCA, PVC, 25 MM X 1/2", PARA AGUA FRIA PREDIAL                                                                                                                                                                                                                                                                                                                                                                                                                                        </t>
  </si>
  <si>
    <t xml:space="preserve">LUVA SOLDAVEL COM ROSCA, PVC, 25 MM X 3/4", PARA AGUA FRIA PREDIAL                                                                                                                                                                                                                                                                                                                                                                                                                                        </t>
  </si>
  <si>
    <t xml:space="preserve">LUVA SOLDAVEL COM ROSCA, PVC, 32 MM X 1", PARA AGUA FRIA PREDIAL                                                                                                                                                                                                                                                                                                                                                                                                                                          </t>
  </si>
  <si>
    <t xml:space="preserve">LUVA SOLDAVEL COM ROSCA, PVC, 40 MM X 1 1/4", PARA AGUA FRIA PREDIAL                                                                                                                                                                                                                                                                                                                                                                                                                                      </t>
  </si>
  <si>
    <t xml:space="preserve">LUVA SOLDAVEL COM ROSCA, PVC, 50 MM X 1 1/2", PARA AGUA FRIA PREDIAL                                                                                                                                                                                                                                                                                                                                                                                                                                      </t>
  </si>
  <si>
    <t>38,31</t>
  </si>
  <si>
    <t xml:space="preserve">LUVA, PEAD PE 100,  DE 400 MM, PARA ELETROFUSAO                                                                                                                                                                                                                                                                                                                                                                                                                                                           </t>
  </si>
  <si>
    <t>3.486,26</t>
  </si>
  <si>
    <t xml:space="preserve">LUVA, PEAD PE 100,  DE 63 MM, PARA ELETROFUSAO                                                                                                                                                                                                                                                                                                                                                                                                                                                            </t>
  </si>
  <si>
    <t xml:space="preserve">LUVA, PEAD PE 100, DE 125 MM, PARA ELETROFUSAO                                                                                                                                                                                                                                                                                                                                                                                                                                                            </t>
  </si>
  <si>
    <t>79,99</t>
  </si>
  <si>
    <t xml:space="preserve">LUVA, PEAD PE 100, DE 20 MM, PARA ELETROFUSAO                                                                                                                                                                                                                                                                                                                                                                                                                                                             </t>
  </si>
  <si>
    <t xml:space="preserve">LUVA, PEAD PE 100, DE 200 MM, PARA ELETROFUSAO                                                                                                                                                                                                                                                                                                                                                                                                                                                            </t>
  </si>
  <si>
    <t>275,69</t>
  </si>
  <si>
    <t xml:space="preserve">LUVA, PEAD PE 100, DE 32 MM, PARA ELETROFUSAO                                                                                                                                                                                                                                                                                                                                                                                                                                                             </t>
  </si>
  <si>
    <t xml:space="preserve">MACANETA ALAVANCA RETA OCA, EM ZAMAC COM ACABAMENTO CROMADO, COMPRIMENTO APROX DE 15 CM                                                                                                                                                                                                                                                                                                                                                                                                                   </t>
  </si>
  <si>
    <t xml:space="preserve">MACANETA ALAVANCA, RETA SIMPLES / OCA, CROMADA, COMPRIMENTO DE 10 A 16 CM, ACABAMENTO PADRAO POPULAR - SOMENTE MACANETAS                                                                                                                                                                                                                                                                                                                                                                                  </t>
  </si>
  <si>
    <t xml:space="preserve">MACANETA BOLA, EM ZAMAC COM ACABAMENTO CROMADO, DIAMETRO DE APROX 2 1/2"                                                                                                                                                                                                                                                                                                                                                                                                                                  </t>
  </si>
  <si>
    <t>58,20</t>
  </si>
  <si>
    <t xml:space="preserve">MACARICO DE SOLDA 201 PARA EXTENSAO GLP OU ACETILENO                                                                                                                                                                                                                                                                                                                                                                                                                                                      </t>
  </si>
  <si>
    <t>114,62</t>
  </si>
  <si>
    <t xml:space="preserve">MACARIQUEIRO                                                                                                                                                                                                                                                                                                                                                                                                                                                                                              </t>
  </si>
  <si>
    <t xml:space="preserve">MACARIQUEIRO (MENSALISTA)                                                                                                                                                                                                                                                                                                                                                                                                                                                                                 </t>
  </si>
  <si>
    <t>3.132,76</t>
  </si>
  <si>
    <t xml:space="preserve">MADEIRA ROLICA TRATADA, D = 12 A 15 CM, H = 3,00 M, EM EUCALIPTO OU EQUIVALENTE DA REGIAO                                                                                                                                                                                                                                                                                                                                                                                                                 </t>
  </si>
  <si>
    <t xml:space="preserve">MADEIRA ROLICA TRATADA, D = 16 A 20 CM, H = 6,00 M, EM EUCALIPTO OU EQUIVALENTE DA REGIAO                                                                                                                                                                                                                                                                                                                                                                                                                 </t>
  </si>
  <si>
    <t xml:space="preserve">MADEIRA ROLICA TRATADA, D = 25 A 29 CM, H = 6,50 M, EM EUCALIPTO OU EQUIVALENTE DA REGIAO                                                                                                                                                                                                                                                                                                                                                                                                                 </t>
  </si>
  <si>
    <t>100,35</t>
  </si>
  <si>
    <t xml:space="preserve">MADEIRA ROLICA TRATADA, D = 30 A 34 CM, H = 6,50 M, EM EUCALIPTO OU EQUIVALENTE DA REGIAO                                                                                                                                                                                                                                                                                                                                                                                                                 </t>
  </si>
  <si>
    <t>146,20</t>
  </si>
  <si>
    <t xml:space="preserve">MADEIRA SERRADA EM PINUS, MISTA OU EQUIVALENTE DA REGIAO - BRUTA                                                                                                                                                                                                                                                                                                                                                                                                                                          </t>
  </si>
  <si>
    <t>1.537,95</t>
  </si>
  <si>
    <t xml:space="preserve">MANGOTE DE SEGURANCA EM RASPA DE COURO                                                                                                                                                                                                                                                                                                                                                                                                                                                                    </t>
  </si>
  <si>
    <t xml:space="preserve">MANGUEIRA CRISTAL PARA NIVEL, LISA, PVC TRANSPARENTE, 3/8" X1,5 MM                                                                                                                                                                                                                                                                                                                                                                                                                                        </t>
  </si>
  <si>
    <t xml:space="preserve">MANGUEIRA CRISTAL PARA NIVEL, LISA, PVC TRANSPARENTE, 5/16" X1 MM                                                                                                                                                                                                                                                                                                                                                                                                                                         </t>
  </si>
  <si>
    <t xml:space="preserve">MANGUEIRA CRISTAL TRANCADA, PVC COM REFORCO, COM PRESSAO DE TRABALHO (PT) 250 LBS/POL2, DE 3/4" X *2,8* MM                                                                                                                                                                                                                                                                                                                                                                                                </t>
  </si>
  <si>
    <t xml:space="preserve">MANGUEIRA CRISTAL TRANCADA, PVC COM REFORCO, PRESSAO DE TRABALHO (PT) 250 LBS/POL2, DE 1" X *3,4* MM                                                                                                                                                                                                                                                                                                                                                                                                      </t>
  </si>
  <si>
    <t xml:space="preserve">MANGUEIRA CRISTAL, LISA, PVC TRANSPARENTE, 1/2" X 2 MM                                                                                                                                                                                                                                                                                                                                                                                                                                                    </t>
  </si>
  <si>
    <t xml:space="preserve">MANGUEIRA CRISTAL, LISA, PVC TRANSPARENTE, 1/4" X1 MM                                                                                                                                                                                                                                                                                                                                                                                                                                                     </t>
  </si>
  <si>
    <t xml:space="preserve">MANGUEIRA CRISTAL, LISA, PVC TRANSPARENTE, 1/4" X1,5 MM                                                                                                                                                                                                                                                                                                                                                                                                                                                   </t>
  </si>
  <si>
    <t xml:space="preserve">MANGUEIRA CRISTAL, LISA, PVC TRANSPARENTE, 3/4" X 2 MM                                                                                                                                                                                                                                                                                                                                                                                                                                                    </t>
  </si>
  <si>
    <t xml:space="preserve">MANGUEIRA DE INCENDIO, TIPO 1, DE 1 1/2", COMPRIMENTO = 15 M, TECIDO EM FIO DE POLIESTER E TUBO INTERNO EM BORRACHA SINTETICA, COM UNIOES ENGATE RAPIDO                                                                                                                                                                                                                                                                                                                                                   </t>
  </si>
  <si>
    <t>330,00</t>
  </si>
  <si>
    <t xml:space="preserve">MANGUEIRA DE INCENDIO, TIPO 1, DE 1 1/2", COMPRIMENTO = 20 M, TECIDO EM FIO DE POLIESTER E TUBO INTERNO EM BORRACHA SINTETICA, COM UNIOES ENGATE RAPIDO                                                                                                                                                                                                                                                                                                                                                   </t>
  </si>
  <si>
    <t>406,78</t>
  </si>
  <si>
    <t xml:space="preserve">MANGUEIRA DE INCENDIO, TIPO 1, DE 1 1/2", COMPRIMENTO = 25 M, TECIDO EM FIO DE POLIESTER E TUBO INTERNO EM BORRACHA SINTETICA, COM UNIOES ENGATE RAPIDO                                                                                                                                                                                                                                                                                                                                                   </t>
  </si>
  <si>
    <t>506,43</t>
  </si>
  <si>
    <t xml:space="preserve">MANGUEIRA DE INCENDIO, TIPO 1, DE 1 1/2", COMPRIMENTO = 30 M, TECIDO EM FIO DE POLIESTER E TUBO INTERNO EM BORRACHA SINTETICA, COM UNIOES ENGATE RAPIDO                                                                                                                                                                                                                                                                                                                                                   </t>
  </si>
  <si>
    <t>540,74</t>
  </si>
  <si>
    <t xml:space="preserve">MANGUEIRA DE INCENDIO, TIPO 2, DE 1 1/2", COMPRIMENTO = 15 M, TECIDO EM FIO DE POLIESTER E TUBO INTERNO EM BORRACHA SINTETICA, COM UNIOES ENGATE RAPIDO                                                                                                                                                                                                                                                                                                                                                   </t>
  </si>
  <si>
    <t>488,46</t>
  </si>
  <si>
    <t xml:space="preserve">MANGUEIRA DE INCENDIO, TIPO 2, DE 1 1/2", COMPRIMENTO = 20 M, TECIDO EM FIO DE POLIESTER E TUBO INTERNO EM BORRACHA SINTETICA, COM UNIOES                                                                                                                                                                                                                                                                                                                                                                 </t>
  </si>
  <si>
    <t>582,40</t>
  </si>
  <si>
    <t xml:space="preserve">MANGUEIRA DE INCENDIO, TIPO 2, DE 1 1/2", COMPRIMENTO = 25 M, TECIDO EM FIO DE POLIESTER E TUBO INTERNO EM BORRACHA SINTETICA, COM UNIOES                                                                                                                                                                                                                                                                                                                                                                 </t>
  </si>
  <si>
    <t>588,11</t>
  </si>
  <si>
    <t xml:space="preserve">MANGUEIRA DE INCENDIO, TIPO 2, DE 1 1/2", COMPRIMENTO = 30 M, TECIDO EM FIO DE POLIESTER E TUBO INTERNO EM BORRACHA SINTETICA, COM UNIOES                                                                                                                                                                                                                                                                                                                                                                 </t>
  </si>
  <si>
    <t>767,82</t>
  </si>
  <si>
    <t xml:space="preserve">MANGUEIRA DE INCENDIO, TIPO 2, DE 2 1/2", COMPRIMENTO = 15 M, TECIDO EM FIO DE POLIESTER E TUBO INTERNO EM BORRACHA SINTETICA, COM UNIOES ENGATE RAPIDO                                                                                                                                                                                                                                                                                                                                                   </t>
  </si>
  <si>
    <t>655,09</t>
  </si>
  <si>
    <t xml:space="preserve">MANGUEIRA DE INCENDIO, TIPO 2, DE 2 1/2", COMPRIMENTO = 20 M, TECIDO EM FIO DE POLIESTER E TUBO INTERNO EM BORRACHA SINTETICA, COM UNIOES                                                                                                                                                                                                                                                                                                                                                                 </t>
  </si>
  <si>
    <t>825,00</t>
  </si>
  <si>
    <t xml:space="preserve">MANGUEIRA DE INCENDIO, TIPO 2, DE 2 1/2", COMPRIMENTO = 25 M, TECIDO EM FIO DE POLIESTER E TUBO INTERNO EM BORRACHA SINTETICA, COM UNIOES ENGATE RAPIDO                                                                                                                                                                                                                                                                                                                                                   </t>
  </si>
  <si>
    <t>1.003,06</t>
  </si>
  <si>
    <t xml:space="preserve">MANGUEIRA DE INCENDIO, TIPO 2, DE 2 1/2", COMPRIMENTO = 30 M, TECIDO EM FIO DE POLIESTER E TUBO INTERNO EM BORRACHA SINTETICA, COM UNIOES ENGATE RAPIDO                                                                                                                                                                                                                                                                                                                                                   </t>
  </si>
  <si>
    <t>1.143,56</t>
  </si>
  <si>
    <t xml:space="preserve">MANGUEIRA DE PVC FLEXIVEL,TIPO FLAT/ACHATADA, COR LARANJA, D = 1 1/2" (40 MM), PARA CONDUCAO DE AGUA, SERVICOS LEVES E MEDIOS                                                                                                                                                                                                                                                                                                                                                                             </t>
  </si>
  <si>
    <t xml:space="preserve">MANGUEIRA PARA GAS - GLP, PVC, TRANCADA, DIAMETRO DE 3/8", COMPRIMENTO DE 1M (NORMATIZADA)                                                                                                                                                                                                                                                                                                                                                                                                                </t>
  </si>
  <si>
    <t xml:space="preserve">MANIPULADOR TELESCOPICO, POTENCIA DE 101 HP, CAPACIDADE DE CARGA DE 3.500 KG, ALTURA MAXIMA DE ELEVACAO DE 12 M                                                                                                                                                                                                                                                                                                                                                                                           </t>
  </si>
  <si>
    <t xml:space="preserve">MANIPULADOR TELESCOPICO, POTENCIA DE 85 HP, CAPACIDADE DE CARGA DE 3.500 KG, ALTURA MAXIMA DE ELEVACAO DE 12,3 M                                                                                                                                                                                                                                                                                                                                                                                          </t>
  </si>
  <si>
    <t xml:space="preserve">MANOMETRO COM CAIXA EM ACO PINTADO, ESCALA *10* KGF/CM2 (*10* BAR), DIAMETRO NOMINAL DE *63* MM, CONEXAO DE 1/4"                                                                                                                                                                                                                                                                                                                                                                                          </t>
  </si>
  <si>
    <t>94,56</t>
  </si>
  <si>
    <t xml:space="preserve">MANOMETRO COM CAIXA EM ACO PINTADO, ESCALA *10* KGF/CM2 (*10* BAR), DIAMETRO NOMINAL DE 100 MM, CONEXAO DE 1/2"                                                                                                                                                                                                                                                                                                                                                                                           </t>
  </si>
  <si>
    <t>150,00</t>
  </si>
  <si>
    <t xml:space="preserve">MANTA ALUMINIZADA NAS DUAS FACES, PARA SUBCOBERTURA,  E = *2* MM                                                                                                                                                                                                                                                                                                                                                                                                                                          </t>
  </si>
  <si>
    <t xml:space="preserve">MANTA ALUMINIZADA 1 FACE PARA SUBCOBERTURA, E = *1* MM                                                                                                                                                                                                                                                                                                                                                                                                                                                    </t>
  </si>
  <si>
    <t xml:space="preserve">MANTA ANTIRRUIDO DE POLIESTER (PET) PARA CONTRAPISO E = *8* MM                                                                                                                                                                                                                                                                                                                                                                                                                                            </t>
  </si>
  <si>
    <t xml:space="preserve">MANTA ASFALTICA ELASTOMERICA EM POLIESTER ALUMINIZADA 3 MM, TIPO III, CLASSE B (NBR 9952)                                                                                                                                                                                                                                                                                                                                                                                                                 </t>
  </si>
  <si>
    <t xml:space="preserve">MANTA ASFALTICA ELASTOMERICA EM POLIESTER 3 MM, TIPO III, CLASSE B, ACABAMENTO PP (NBR 9952)                                                                                                                                                                                                                                                                                                                                                                                                              </t>
  </si>
  <si>
    <t>51,75</t>
  </si>
  <si>
    <t xml:space="preserve">MANTA ASFALTICA ELASTOMERICA EM POLIESTER 4 MM, TIPO III, CLASSE B, ACABAMENTO PP (NBR 9952)                                                                                                                                                                                                                                                                                                                                                                                                              </t>
  </si>
  <si>
    <t xml:space="preserve">MANTA ASFALTICA ELASTOMERICA EM POLIESTER 5 MM, TIPO III, CLASSE B, ACABAMENTO PP (NBR 9952)                                                                                                                                                                                                                                                                                                                                                                                                              </t>
  </si>
  <si>
    <t xml:space="preserve">MANTA ASFALTICA ELASTOMERICA TIPO GLASS 3 MM, TIPO II, CLASSE C, ACABAMENTO PP (NBR 9952)                                                                                                                                                                                                                                                                                                                                                                                                                 </t>
  </si>
  <si>
    <t xml:space="preserve">MANTA DE BORRACHA ANTIRRUIDO 5 MM                                                                                                                                                                                                                                                                                                                                                                                                                                                                         </t>
  </si>
  <si>
    <t xml:space="preserve">MANTA DE POLIETILENO EXPANDIDO (PEBD) ANTICHAMAS, E = 8 MM                                                                                                                                                                                                                                                                                                                                                                                                                                                </t>
  </si>
  <si>
    <t xml:space="preserve">MANTA DE POLIETILENO EXPANDIDO (PEBD), E = 5 MM                                                                                                                                                                                                                                                                                                                                                                                                                                                           </t>
  </si>
  <si>
    <t xml:space="preserve">MANTA DE POLIETILENO EXPANDIDO, COM 1 FACE METALIZADA PARA SUBCOBERTURA,  E = *5* MM                                                                                                                                                                                                                                                                                                                                                                                                                      </t>
  </si>
  <si>
    <t xml:space="preserve">MANTA GEOTEXTIL TECIDO DE LAMINETES DE POLIPROPILENO, RESISTENCIA A TRACAO = *25* KN/M                                                                                                                                                                                                                                                                                                                                                                                                                    </t>
  </si>
  <si>
    <t xml:space="preserve">MANTA LIQUIDA DE BASE ASFALTICA MODIFICADA COM A ADICAO DE ELASTOMEROS DILUIDOS EM SOLVENTE ORGANICO, APLICACAO A FRIO (MEMBRANA IMPERMEABILIZANTE ASFASTICA)                                                                                                                                                                                                                                                                                                                                             </t>
  </si>
  <si>
    <t xml:space="preserve">MANTA TERMOPLASTICA, PEAD, GEOMEMBRANA LISA, E = 0,50 MM ( NBR 15352)                                                                                                                                                                                                                                                                                                                                                                                                                                     </t>
  </si>
  <si>
    <t xml:space="preserve">MANTA TERMOPLASTICA, PEAD, GEOMEMBRANA LISA, E = 0,75 MM ( NBR 15352)                                                                                                                                                                                                                                                                                                                                                                                                                                     </t>
  </si>
  <si>
    <t xml:space="preserve">MANTA TERMOPLASTICA, PEAD, GEOMEMBRANA LISA, E = 0,80 MM ( NBR 15352)                                                                                                                                                                                                                                                                                                                                                                                                                                     </t>
  </si>
  <si>
    <t xml:space="preserve">MANTA TERMOPLASTICA, PEAD, GEOMEMBRANA LISA, E = 1,00 MM ( NBR 15352)                                                                                                                                                                                                                                                                                                                                                                                                                                     </t>
  </si>
  <si>
    <t xml:space="preserve">MANTA TERMOPLASTICA, PEAD, GEOMEMBRANA LISA, E = 1,50 MM ( NBR 15352)                                                                                                                                                                                                                                                                                                                                                                                                                                     </t>
  </si>
  <si>
    <t xml:space="preserve">MANTA TERMOPLASTICA, PEAD, GEOMEMBRANA LISA, E = 2,00 MM ( NBR 15352)                                                                                                                                                                                                                                                                                                                                                                                                                                     </t>
  </si>
  <si>
    <t>70,76</t>
  </si>
  <si>
    <t xml:space="preserve">MANTA TERMOPLASTICA, PEAD, GEOMEMBRANA LISA, E = 2,50 MM ( NBR 15352)                                                                                                                                                                                                                                                                                                                                                                                                                                     </t>
  </si>
  <si>
    <t xml:space="preserve">MANTA TERMOPLASTICA, PEAD, GEOMEMBRANA TEXTURIZADA EM AMBAS AS FACES, E = 0,50 MM (NBR 15352)                                                                                                                                                                                                                                                                                                                                                                                                             </t>
  </si>
  <si>
    <t xml:space="preserve">MANTA TERMOPLASTICA, PEAD, GEOMEMBRANA TEXTURIZADA EM AMBAS AS FACES, E = 0,75 MM (NBR 15352)                                                                                                                                                                                                                                                                                                                                                                                                             </t>
  </si>
  <si>
    <t>27,69</t>
  </si>
  <si>
    <t xml:space="preserve">MANTA TERMOPLASTICA, PEAD, GEOMEMBRANA TEXTURIZADA EM AMBAS AS FACES, E = 0,80 MM (NBR 15352)                                                                                                                                                                                                                                                                                                                                                                                                             </t>
  </si>
  <si>
    <t xml:space="preserve">MANTA TERMOPLASTICA, PEAD, GEOMEMBRANA TEXTURIZADA EM AMBAS AS FACES, E = 1,00 MM (NBR 15352)                                                                                                                                                                                                                                                                                                                                                                                                             </t>
  </si>
  <si>
    <t>38,53</t>
  </si>
  <si>
    <t xml:space="preserve">MANTA TERMOPLASTICA, PEAD, GEOMEMBRANA TEXTURIZADA EM AMBAS AS FACES, E = 1,50 MM (NBR 15352)                                                                                                                                                                                                                                                                                                                                                                                                             </t>
  </si>
  <si>
    <t xml:space="preserve">MANTA TERMOPLASTICA, PEAD, GEOMEMBRANA TEXTURIZADA EM AMBAS AS FACES, E = 2,00 MM (NBR 15352)                                                                                                                                                                                                                                                                                                                                                                                                             </t>
  </si>
  <si>
    <t xml:space="preserve">MANTA TERMOPLASTICA, PEAD, GEOMEMBRANA TEXTURIZADA EM AMBAS AS FACES, E = 2,50 MM (NBR 15352)                                                                                                                                                                                                                                                                                                                                                                                                             </t>
  </si>
  <si>
    <t>96,15</t>
  </si>
  <si>
    <t xml:space="preserve">MAQUINA DE 40 MM PARA FECHADURA DE EMBUTIR EXTERNA, EM ACO INOX                                                                                                                                                                                                                                                                                                                                                                                                                                           </t>
  </si>
  <si>
    <t xml:space="preserve">MAQUINA DE 40 MM PARA FECHADURA, PARA PORTA DE BANHEIRO, EM ACO INOX                                                                                                                                                                                                                                                                                                                                                                                                                                      </t>
  </si>
  <si>
    <t xml:space="preserve">MAQUINA DE 40 MM PARA FECHADURA, PARA PORTA INTERNA, EM ACO INOX                                                                                                                                                                                                                                                                                                                                                                                                                                          </t>
  </si>
  <si>
    <t xml:space="preserve">MAQUINA DE 55 MM PARA FECHADURA DE EMBUTIR EXTERNA, EM ACO INOX                                                                                                                                                                                                                                                                                                                                                                                                                                           </t>
  </si>
  <si>
    <t xml:space="preserve">MAQUINA DE 55 MM PARA FECHADURA, PARA PORTA DE BANHEIRO, EM ACO INOX                                                                                                                                                                                                                                                                                                                                                                                                                                      </t>
  </si>
  <si>
    <t xml:space="preserve">MAQUINA DE 55 MM PARA FECHADURA, PARA PORTA INTERNA, EM ACO INOX                                                                                                                                                                                                                                                                                                                                                                                                                                          </t>
  </si>
  <si>
    <t xml:space="preserve">MAQUINA DEMARCADORA DE FAIXA DE TRAFEGO A FRIO, AUTOPROPELIDA, MOTOR DIESEL 38 HP                                                                                                                                                                                                                                                                                                                                                                                                                         </t>
  </si>
  <si>
    <t>750.683,68</t>
  </si>
  <si>
    <t xml:space="preserve">MAQUINA EXTRUSORA DE CONCRETO PARA GUIAS E SARJETAS, COM MOTOR A DIESEL DE 14 CV                                                                                                                                                                                                                                                                                                                                                                                                                          </t>
  </si>
  <si>
    <t>62.690,20</t>
  </si>
  <si>
    <t xml:space="preserve">MAQUINA MANUAL TIPO PRENSA PARA PRODUCAO DE BLOCOS E PAVIMENTOS DE CONCRETO, COM MOTOR ELETRICO TRIFASICO PARA VIBRACAO, POTENCIA TOTAL INSTALADA DE 1,5 KW                                                                                                                                                                                                                                                                                                                                               </t>
  </si>
  <si>
    <t>26.243,78</t>
  </si>
  <si>
    <t xml:space="preserve">MAQUINA PARA CORTE COM DISCO ABRASIVO DE DIAMETRO DE 18'' (450 MM), COM MOTOR ELETRICO TRIFASICO DE 10 CV                                                                                                                                                                                                                                                                                                                                                                                                 </t>
  </si>
  <si>
    <t>16.387,95</t>
  </si>
  <si>
    <t xml:space="preserve">MAQUINA TIPO PRENSA HIDRAULICA, PARA FABRICACAO DE TUBOS DE CONCRETO PARA AGUAS PLUVIAIS, DN 200 A DN 600 MM X 1000 MM DE COMPRIMENTO, COM MOTOR PRINCIPAL DE 20 CV                                                                                                                                                                                                                                                                                                                                       </t>
  </si>
  <si>
    <t>260.471,99</t>
  </si>
  <si>
    <t xml:space="preserve">MAQUINA TIPO VASO/TANQUE/JATO DE PRESSAO PORTATIL PARA JATEAMENTO, CONTROLE AUTOMATICO E REMOTO, CAMARA DE 1 SAIDA, 280 L, DIAM. *670* MM, BICO JATO CURTO VENTURI DE 5/16", MANGUEIRA DE 1" DE 10 M, COMPLETA (VALVULAS POP UP E DOSADORA, FUNDO CONICO ETC)                                                                                                                                                                                                                                             </t>
  </si>
  <si>
    <t>25.604,76</t>
  </si>
  <si>
    <t xml:space="preserve">MAQUINA TRANSFORMADORA MONOFASICA PARA SOLDA ELETRICA, TENSAO DE 220 V, FREQUENCIA DE 60 HZ, FAIXA DE CORRENTE ENTRE 80 A (+/- 10 A) E 250 A, POTENCIA ENTRE 14,00 KVA E 15,0 KVA, CICLO DE TRABALHO ENTRE 10% E 20% A 250 A                                                                                                                                                                                                                                                                              </t>
  </si>
  <si>
    <t>660,93</t>
  </si>
  <si>
    <t xml:space="preserve">MARCENEIRO                                                                                                                                                                                                                                                                                                                                                                                                                                                                                                </t>
  </si>
  <si>
    <t xml:space="preserve">MARCENEIRO (MENSALISTA)                                                                                                                                                                                                                                                                                                                                                                                                                                                                                   </t>
  </si>
  <si>
    <t>3.397,68</t>
  </si>
  <si>
    <t xml:space="preserve">MARMORISTA / GRANITEIRO                                                                                                                                                                                                                                                                                                                                                                                                                                                                                   </t>
  </si>
  <si>
    <t xml:space="preserve">MARMORISTA / GRANITEIRO (MENSALISTA)                                                                                                                                                                                                                                                                                                                                                                                                                                                                      </t>
  </si>
  <si>
    <t>3.457,01</t>
  </si>
  <si>
    <t xml:space="preserve">MARTELO DE SOLDADOR/PICADOR DE SOLDA                                                                                                                                                                                                                                                                                                                                                                                                                                                                      </t>
  </si>
  <si>
    <t xml:space="preserve">MARTELO DEMOLIDOR ELETRICO, COM POTENCIA DE 2.000 W, FREQUENCIA DE 1.000 IMPACTOS POR MINUTO, FORÇA DE IMPACTO ENTRE 60 E 65 J, PESO DE 30 KG                                                                                                                                                                                                                                                                                                                                                             </t>
  </si>
  <si>
    <t>9.483,98</t>
  </si>
  <si>
    <t xml:space="preserve">MARTELO DEMOLIDOR PNEUMATICO MANUAL, COM REDUCAO DE VIBRACAO, PESO DE 21 KG                                                                                                                                                                                                                                                                                                                                                                                                                               </t>
  </si>
  <si>
    <t>17.681,71</t>
  </si>
  <si>
    <t xml:space="preserve">MARTELO DEMOLIDOR PNEUMATICO MANUAL, COM REDUCAO DE VIBRACAO, PESO DE 31,5 KG                                                                                                                                                                                                                                                                                                                                                                                                                             </t>
  </si>
  <si>
    <t>20.347,13</t>
  </si>
  <si>
    <t xml:space="preserve">MARTELO DEMOLIDOR PNEUMATICO MANUAL, PADRAO, PESO DE 32 KG                                                                                                                                                                                                                                                                                                                                                                                                                                                </t>
  </si>
  <si>
    <t>19.217,56</t>
  </si>
  <si>
    <t xml:space="preserve">MARTELO DEMOLIDOR PNEUMATICO MANUAL, PESO  DE 28 KG, COM SILENCIADOR                                                                                                                                                                                                                                                                                                                                                                                                                                      </t>
  </si>
  <si>
    <t>21.622,37</t>
  </si>
  <si>
    <t xml:space="preserve">MARTELO PERFURADOR PNEUMATICO MANUAL, DE SUPERFICIE, COM AVANCO DE COLUNA, PESO DE 22 KG                                                                                                                                                                                                                                                                                                                                                                                                                  </t>
  </si>
  <si>
    <t>39.786,65</t>
  </si>
  <si>
    <t xml:space="preserve">MARTELO PERFURADOR PNEUMATICO MANUAL, HASTE 25 X 75 MM, 21 KG                                                                                                                                                                                                                                                                                                                                                                                                                                             </t>
  </si>
  <si>
    <t>22.251,66</t>
  </si>
  <si>
    <t xml:space="preserve">MARTELO PERFURADOR PNEUMATICO MANUAL, PESO DE 25 KG, COM SILENCIADOR                                                                                                                                                                                                                                                                                                                                                                                                                                      </t>
  </si>
  <si>
    <t>21.832,28</t>
  </si>
  <si>
    <t xml:space="preserve">MASCARA DE SEGURANCA PARA SOLDA COM ESCUDO DE CELERON E CARNEIRA DE PLASTICO COM REGULAGEM                                                                                                                                                                                                                                                                                                                                                                                                                </t>
  </si>
  <si>
    <t xml:space="preserve">MASSA DE REJUNTE EM PO PARA DRYWALL, A BASE DE GESSO, SECAGEM RAPIDA, PARA TRATAMENTO DE JUNTAS DE CHAPA DE GESSO (NECESSITA ADICAO DE AGUA)                                                                                                                                                                                                                                                                                                                                                              </t>
  </si>
  <si>
    <t xml:space="preserve">MASSA DE REJUNTE PRONTA PARA TRATAMENTO DE JUNTAS DE CHAPA DE GESSO PARA DRYWALL, SEM ADICAO DE AGUA                                                                                                                                                                                                                                                                                                                                                                                                      </t>
  </si>
  <si>
    <t xml:space="preserve">MASSA EPOXI BICOMPONENTE (MASSA + CATALIZADOR)                                                                                                                                                                                                                                                                                                                                                                                                                                                            </t>
  </si>
  <si>
    <t xml:space="preserve">MASSA EPOXI BICOMPONENTE PARA REPAROS                                                                                                                                                                                                                                                                                                                                                                                                                                                                     </t>
  </si>
  <si>
    <t xml:space="preserve">MASSA PARA TEXTURA LISA DE BASE ACRILICA, USO INTERNO E EXTERNO                                                                                                                                                                                                                                                                                                                                                                                                                                           </t>
  </si>
  <si>
    <t xml:space="preserve">MASSA PARA TEXTURA RUSTICA DE BASE ACRILICA, COR BRANCA, USO INTERNO E EXTERNO                                                                                                                                                                                                                                                                                                                                                                                                                            </t>
  </si>
  <si>
    <t>7,58</t>
  </si>
  <si>
    <t xml:space="preserve">MASSA PARA VIDRO                                                                                                                                                                                                                                                                                                                                                                                                                                                                                          </t>
  </si>
  <si>
    <t xml:space="preserve">MASSA PLASTICA PARA MARMORE/GRANITO                                                                                                                                                                                                                                                                                                                                                                                                                                                                       </t>
  </si>
  <si>
    <t xml:space="preserve">MASTRO SIMPLES GALVANIZADO DIAMETRO NOMINAL 1 1/2"                                                                                                                                                                                                                                                                                                                                                                                                                                                        </t>
  </si>
  <si>
    <t>34,61</t>
  </si>
  <si>
    <t xml:space="preserve">MASTRO SIMPLES GALVANIZADO DIAMETRO NOMINAL 1 1/2", COMPRIMENTO 3 M                                                                                                                                                                                                                                                                                                                                                                                                                                       </t>
  </si>
  <si>
    <t>133,43</t>
  </si>
  <si>
    <t xml:space="preserve">MASTRO SIMPLES GALVANIZADO DIAMETRO NOMINAL 2"                                                                                                                                                                                                                                                                                                                                                                                                                                                            </t>
  </si>
  <si>
    <t xml:space="preserve">MASTRO SIMPLES GALVANIZADO DIAMETRO NOMINAL 2", COMPRIMENTO 3 M                                                                                                                                                                                                                                                                                                                                                                                                                                           </t>
  </si>
  <si>
    <t>150,09</t>
  </si>
  <si>
    <t xml:space="preserve">MASTRO TELESCOPICO DE 4 METROS (3 M X DN= 2" + 1 M X DN= 1 1/2")                                                                                                                                                                                                                                                                                                                                                                                                                                          </t>
  </si>
  <si>
    <t xml:space="preserve">MASTRO TELESCOPICO GALVANIZADO 5 METROS (3 M X DN= 2" + 2 M X DN= 1 1/2")                                                                                                                                                                                                                                                                                                                                                                                                                                 </t>
  </si>
  <si>
    <t>289,49</t>
  </si>
  <si>
    <t xml:space="preserve">MASTRO TELESCOPICO GALVANIZADO 6 METROS (3 M X DN= 2" + 3 M X DN= 1Â½")                                                                                                                                                                                                                                                                                                                                                                                                                                   </t>
  </si>
  <si>
    <t>280,21</t>
  </si>
  <si>
    <t xml:space="preserve">MASTRO TELESCOPICO GALVANIZADO 7 METROS (6 M X DN= 2" + 1 M X DN= 1 1/2")                                                                                                                                                                                                                                                                                                                                                                                                                                 </t>
  </si>
  <si>
    <t>380,33</t>
  </si>
  <si>
    <t xml:space="preserve">MASTRO TELESCOPICO GALVANIZADO 9 METROS (6 M X DN= 2" + 3 M X DN= 1 1/2")                                                                                                                                                                                                                                                                                                                                                                                                                                 </t>
  </si>
  <si>
    <t>473,27</t>
  </si>
  <si>
    <t xml:space="preserve">MATERIAL FILTRANTE (PEDREGULHO) 0,6 A 25,46 MM (POSTO PEDREIRA/FORNECEDOR, SEM FRETE)                                                                                                                                                                                                                                                                                                                                                                                                                     </t>
  </si>
  <si>
    <t>1.631,64</t>
  </si>
  <si>
    <t xml:space="preserve">MATERIAL FILTRANTE (PEDREGULHO) 38 A 25,4 MM (POSTO PEDREIRA/FORNECEDOR, SEM FRETE)                                                                                                                                                                                                                                                                                                                                                                                                                       </t>
  </si>
  <si>
    <t xml:space="preserve">MECANICO DE EQUIPAMENTOS PESADOS                                                                                                                                                                                                                                                                                                                                                                                                                                                                          </t>
  </si>
  <si>
    <t xml:space="preserve">MECANICO DE EQUIPAMENTOS PESADOS (MENSALISTA)                                                                                                                                                                                                                                                                                                                                                                                                                                                             </t>
  </si>
  <si>
    <t>4.800,46</t>
  </si>
  <si>
    <t xml:space="preserve">MECANICO DE REFRIGERACAO                                                                                                                                                                                                                                                                                                                                                                                                                                                                                  </t>
  </si>
  <si>
    <t xml:space="preserve">MECANICO DE REFRIGERACAO (MENSALISTA)                                                                                                                                                                                                                                                                                                                                                                                                                                                                     </t>
  </si>
  <si>
    <t>3.113,97</t>
  </si>
  <si>
    <t xml:space="preserve">MEDIDOR DE NIVEL ESTATICO E DINAMICO PARA POCO, COMPRIMENTO DE 200 M                                                                                                                                                                                                                                                                                                                                                                                                                                      </t>
  </si>
  <si>
    <t>2.238,39</t>
  </si>
  <si>
    <t xml:space="preserve">MEIA CANA DE MADEIRA CEDRINHO OU EQUIVALENTE DA REGIAO, ACABAMENTO PARA FORRO PAULISTA, *2,5 X 2,5* CM                                                                                                                                                                                                                                                                                                                                                                                                    </t>
  </si>
  <si>
    <t xml:space="preserve">MEIA CANA DE MADEIRA PINUS OU EQUIVALENTE DA REGIAO, ACABAMENTO PARA FORRO PAULISTA, *2,5 X 2,5* CM                                                                                                                                                                                                                                                                                                                                                                                                       </t>
  </si>
  <si>
    <t xml:space="preserve">MEIA CANALETA DE CONCRETO ESTRUTURAL 14 X 19 X 19 CM, FBK 14 MPA (NBR 6136)                                                                                                                                                                                                                                                                                                                                                                                                                               </t>
  </si>
  <si>
    <t xml:space="preserve">MEIA CANALETA DE CONCRETO ESTRUTURAL 14 X 19 X 19 CM, FBK 4,5 MPA (NBR 6136)                                                                                                                                                                                                                                                                                                                                                                                                                              </t>
  </si>
  <si>
    <t xml:space="preserve">MEIO BLOCO DE CONCRETO ESTRUTURAL 14 X 19 X 14 CM, FBK 14 MPA (NBR 6136)                                                                                                                                                                                                                                                                                                                                                                                                                                  </t>
  </si>
  <si>
    <t xml:space="preserve">MEIO BLOCO DE CONCRETO ESTRUTURAL 14 X 19 X 14 CM, FBK 4,5 MPA (NBR 6136)                                                                                                                                                                                                                                                                                                                                                                                                                                 </t>
  </si>
  <si>
    <t xml:space="preserve">MEIO BLOCO DE CONCRETO ESTRUTURAL 14 X 19 X 19 CM, FBK 14 MPA (NBR 6136)                                                                                                                                                                                                                                                                                                                                                                                                                                  </t>
  </si>
  <si>
    <t xml:space="preserve">MEIO BLOCO DE CONCRETO ESTRUTURAL 14 X 19 X 19 CM, FBK 4,5 MPA (NBR 6136)                                                                                                                                                                                                                                                                                                                                                                                                                                 </t>
  </si>
  <si>
    <t xml:space="preserve">MEIO BLOCO DE CONCRETO ESTRUTURAL 14 X 19 X 34 CM, FBK 14 MPA (NBR 6136)                                                                                                                                                                                                                                                                                                                                                                                                                                  </t>
  </si>
  <si>
    <t xml:space="preserve">MEIO BLOCO DE VEDACAO DE CONCRETO APARENTE 14 X 19 X 19 CM  (CLASSE C - NBR 6136)                                                                                                                                                                                                                                                                                                                                                                                                                         </t>
  </si>
  <si>
    <t xml:space="preserve">MEIO BLOCO DE VEDACAO DE CONCRETO APARENTE 19 X 19 X 19 CM (CLASSE C - NBR 6136)                                                                                                                                                                                                                                                                                                                                                                                                                          </t>
  </si>
  <si>
    <t xml:space="preserve">MEIO BLOCO DE VEDACAO DE CONCRETO APARENTE 9  X 19 X 19 CM (CLASSE C - NBR 6136)                                                                                                                                                                                                                                                                                                                                                                                                                          </t>
  </si>
  <si>
    <t xml:space="preserve">MEIO BLOCO DE VEDACAO DE CONCRETO 14 X 19 X 19 CM (CLASSE C - NBR 6136)                                                                                                                                                                                                                                                                                                                                                                                                                                   </t>
  </si>
  <si>
    <t xml:space="preserve">MEIO BLOCO DE VEDACAO DE CONCRETO 19 X 19 X 19 CM (CLASSE C - NBR 6136)                                                                                                                                                                                                                                                                                                                                                                                                                                   </t>
  </si>
  <si>
    <t xml:space="preserve">MEIO BLOCO DE VEDACAO DE CONCRETO 9 X 19 X 19 CM (CLASSE C - NBR 6136)                                                                                                                                                                                                                                                                                                                                                                                                                                    </t>
  </si>
  <si>
    <t xml:space="preserve">MEIO BLOCO ESTRUTURAL CERAMICO 14 X 19 X 14 CM, 6,0 MPA (NBR 15270)                                                                                                                                                                                                                                                                                                                                                                                                                                       </t>
  </si>
  <si>
    <t xml:space="preserve">MEIO BLOCO ESTRUTURAL CERAMICO 14 X 19 X 19 CM, 6,0 MPA (NBR 15270)                                                                                                                                                                                                                                                                                                                                                                                                                                       </t>
  </si>
  <si>
    <t xml:space="preserve">MEIO-FIO OU GUIA DE CONCRETO PRE MOLDADO, COMP 1 M, *30 X 10/12* CM (H X L1/L2)                                                                                                                                                                                                                                                                                                                                                                                                                           </t>
  </si>
  <si>
    <t xml:space="preserve">MEIO-FIO OU GUIA DE CONCRETO PRE MOLDADO, COMP 80 CM, *30 X 10/10* (H X L1/L2)                                                                                                                                                                                                                                                                                                                                                                                                                            </t>
  </si>
  <si>
    <t>22,32</t>
  </si>
  <si>
    <t xml:space="preserve">MEIO-FIO OU GUIA DE CONCRETO PRE-MOLDADO, COMP *39* CM, *19 X 6,5/6,5* CM (H X L1/L2)                                                                                                                                                                                                                                                                                                                                                                                                                     </t>
  </si>
  <si>
    <t xml:space="preserve">MEIO-FIO OU GUIA DE CONCRETO PRE-MOLDADO, COMP 1 M, *20 X 12/15* CM (H X L1/L2)                                                                                                                                                                                                                                                                                                                                                                                                                           </t>
  </si>
  <si>
    <t xml:space="preserve">MEIO-FIO OU GUIA DE CONCRETO PRE-MOLDADO, COMP 80 CM, *25 X 08/08* CM (H X L1/L2)                                                                                                                                                                                                                                                                                                                                                                                                                         </t>
  </si>
  <si>
    <t xml:space="preserve">MEIO-FIO OU GUIA DE CONCRETO PRE-MOLDADO, TIPO CHAPEU PARA BOCA DE LOBO,  DIMENSOES *1,20* X 0,15 X 0,30 M                                                                                                                                                                                                                                                                                                                                                                                                </t>
  </si>
  <si>
    <t xml:space="preserve">MEIO-FIO OU GUIA DE CONCRETO, PRE-MOLDADO, COMP 1 M, *30 X 12/15* CM (H X L1/L2)                                                                                                                                                                                                                                                                                                                                                                                                                          </t>
  </si>
  <si>
    <t xml:space="preserve">MEIO-FIO OU GUIA DE CONCRETO, PRE-MOLDADO, COMP 1 M, *30 X 15* CM (H X L)                                                                                                                                                                                                                                                                                                                                                                                                                                 </t>
  </si>
  <si>
    <t xml:space="preserve">MEIO-FIO OU GUIA DE CONCRETO, PRE-MOLDADO, COMP 80 CM, *45 X 12/18* CM (H X L1/L2)                                                                                                                                                                                                                                                                                                                                                                                                                        </t>
  </si>
  <si>
    <t xml:space="preserve">MEMBRANA IMPERMEABILIZANTE A BASE DE POLIUREIA, BICOMPONENTE, APLICACAO A FRIO                                                                                                                                                                                                                                                                                                                                                                                                                            </t>
  </si>
  <si>
    <t xml:space="preserve">MEMBRANA IMPERMEABILIZANTE A BASE DE POLIURETANO                                                                                                                                                                                                                                                                                                                                                                                                                                                          </t>
  </si>
  <si>
    <t xml:space="preserve">MEMBRANA IMPERMEABILIZANTE ACRILICA MONOCOMPONENTE                                                                                                                                                                                                                                                                                                                                                                                                                                                        </t>
  </si>
  <si>
    <t xml:space="preserve">MESA VIBRATORIA COM DIMENSOES DE 2,0 X 1,0 M, COM MOTOR ELETRICO DE 2 POLOS E POTENCIA DE 3 CV                                                                                                                                                                                                                                                                                                                                                                                                            </t>
  </si>
  <si>
    <t>8.968,10</t>
  </si>
  <si>
    <t xml:space="preserve">MESTRE DE OBRAS                                                                                                                                                                                                                                                                                                                                                                                                                                                                                           </t>
  </si>
  <si>
    <t>51,72</t>
  </si>
  <si>
    <t xml:space="preserve">MESTRE DE OBRAS (MENSALISTA)                                                                                                                                                                                                                                                                                                                                                                                                                                                                              </t>
  </si>
  <si>
    <t>9.092,75</t>
  </si>
  <si>
    <t xml:space="preserve">METACAULIM DE ALTA REATIVIDADE/CAULIM CALCINADO                                                                                                                                                                                                                                                                                                                                                                                                                                                           </t>
  </si>
  <si>
    <t xml:space="preserve">MICRO-TRATOR CORTADOR DE GRAMA COM LARGURA DO CORTE DE 107 CM, COM  2 LAMINAS E DESCARTE LATERAL                                                                                                                                                                                                                                                                                                                                                                                                          </t>
  </si>
  <si>
    <t>16.543,90</t>
  </si>
  <si>
    <t xml:space="preserve">MICROESFERAS DE VIDRO PARA SINALIZACAO HORIZONTAL VIARIA, TIPO I-B (PREMIX) - NBR 16184                                                                                                                                                                                                                                                                                                                                                                                                                   </t>
  </si>
  <si>
    <t xml:space="preserve">MICROESFERAS DE VIDRO PARA SINALIZACAO HORIZONTAL VIARIA, TIPO II-A (DROP-ON) - NBR 16184                                                                                                                                                                                                                                                                                                                                                                                                                 </t>
  </si>
  <si>
    <t xml:space="preserve">MICTORIO COLETIVO ACO INOX (AISI 304), E = 0,8 MM, DE *100 X 40 X 30* CM (C X A X P)                                                                                                                                                                                                                                                                                                                                                                                                                      </t>
  </si>
  <si>
    <t>624,26</t>
  </si>
  <si>
    <t xml:space="preserve">MICTORIO COLETIVO ACO INOX (AISI 304), E = 0,8 MM, DE *100 X 50 X 35* CM (C X A X P)                                                                                                                                                                                                                                                                                                                                                                                                                      </t>
  </si>
  <si>
    <t>744,71</t>
  </si>
  <si>
    <t xml:space="preserve">MICTORIO INDICUDUAL, SIFONADO, LOUCA BRANCA, SEM COMPLEMENTOS                                                                                                                                                                                                                                                                                                                                                                                                                                             </t>
  </si>
  <si>
    <t>243,57</t>
  </si>
  <si>
    <t xml:space="preserve">MICTORIO INDIVIDUAL ACO INOX (AISI 304), E = 0,8 MM, DE *50  X 45  X 35* (C X A X P)                                                                                                                                                                                                                                                                                                                                                                                                                      </t>
  </si>
  <si>
    <t>823,08</t>
  </si>
  <si>
    <t xml:space="preserve">MICTORIO INDIVIDUAL, SIFONADO, VALVULA EMBUTIDA, DE LOUCA BRANCA, SEM COMPLEMENTOS - PADRAO ALTO                                                                                                                                                                                                                                                                                                                                                                                                          </t>
  </si>
  <si>
    <t>600,93</t>
  </si>
  <si>
    <t xml:space="preserve">MINICAPTOR, EM ACO GALVANIZADO A FOGO, FIXACAO COM ROSCA SOBERBA OU MECANICA, H=600 MM X DN=10 MM                                                                                                                                                                                                                                                                                                                                                                                                         </t>
  </si>
  <si>
    <t xml:space="preserve">MINICAPTOR, EM ACO GALVANIZADO A FOGO, FIXACAO HORIZONTAL COM BANDEIRA A 20 CM, H=600 MM E X DN=10 MM                                                                                                                                                                                                                                                                                                                                                                                                     </t>
  </si>
  <si>
    <t xml:space="preserve">MINICAPTOR, EM ACO GALVANIZADO A FOGO, FIXACAO HORIZONTAL DE 1 FUROS, SEM BANDEIRA, H=300 MM X DN=10 MM                                                                                                                                                                                                                                                                                                                                                                                                   </t>
  </si>
  <si>
    <t xml:space="preserve">MINICAPTOR, EM ACO GALVANIZADO A FOGO, FIXACAO HORIZONTAL DE 2 FUROS, SEM BANDEIRA, H=600 MM X DN=10 MM                                                                                                                                                                                                                                                                                                                                                                                                   </t>
  </si>
  <si>
    <t xml:space="preserve">MINICAPTOR, EM ACO GALVANIZADO A FOGO,Â  FIXACAO COM ROSCA SOBERBA OU MECANICA, H=300 MM X DN=10 MM                                                                                                                                                                                                                                                                                                                                                                                                       </t>
  </si>
  <si>
    <t xml:space="preserve">MINICAPTOR, EM ACO GALVANIZADO A FOGO,Â  FIXACAO HORIZONTAL COM BANDEIRA A 20 CM, H=300 MM E X DN=10 MM                                                                                                                                                                                                                                                                                                                                                                                                   </t>
  </si>
  <si>
    <t xml:space="preserve">MINICAPTORES DE INSERCAO, EM ACO GALVANIZADO A FOGO, H=300 MM X DN=10 MM                                                                                                                                                                                                                                                                                                                                                                                                                                  </t>
  </si>
  <si>
    <t xml:space="preserve">MINICAPTORES DE INSERCAO, EM ACO GALVANIZADO A FOGO, H=600,MM X DN=10,MM                                                                                                                                                                                                                                                                                                                                                                                                                                  </t>
  </si>
  <si>
    <t xml:space="preserve">MINICARREGADEIRA SOBRE RODAS, POTENCIA LIQUIDA DE *47* HP, CAPACIDADE NOMINAL DE OPERACAO DE *646* KG                                                                                                                                                                                                                                                                                                                                                                                                     </t>
  </si>
  <si>
    <t xml:space="preserve">MINICARREGADEIRA SOBRE RODAS, POTENCIA LIQUIDA DE *72* HP, CAPACIDADE NOMINAL DE OPERACAO DE *1200* KG                                                                                                                                                                                                                                                                                                                                                                                                    </t>
  </si>
  <si>
    <t xml:space="preserve">MINIESCAVADEIRA SOBRE ESTEIRAS, POTENCIA LIQUIDA DE *30* HP, PESO OPERACIONAL DE *3.500* KG                                                                                                                                                                                                                                                                                                                                                                                                               </t>
  </si>
  <si>
    <t xml:space="preserve">MINIESCAVADEIRA SOBRE ESTEIRAS, POTENCIA LIQUIDA DE *42* HP, PESO OPERACIONAL DE *4.500* KG                                                                                                                                                                                                                                                                                                                                                                                                               </t>
  </si>
  <si>
    <t xml:space="preserve">MINIESCAVADEIRA SOBRE ESTEIRAS, POTENCIA LIQUIDA DE *42* HP, PESO OPERACIONAL DE *5.300* KG                                                                                                                                                                                                                                                                                                                                                                                                               </t>
  </si>
  <si>
    <t xml:space="preserve">MINUTERIA ELETRONICA COLETIVA COM POTENCIA MAXIMA RESISTIVA PARA LAMPADAS FLUORESCENTES DE *300* W ( 110 V ) / *600* W ( 110 V )                                                                                                                                                                                                                                                                                                                                                                          </t>
  </si>
  <si>
    <t xml:space="preserve">MISTURADOR BASE PARA CHUVEIRO/BANHEIRA, 1/2 " OU 3/4 ", SOLDAVEL OU ROSCAVEL                                                                                                                                                                                                                                                                                                                                                                                                                              </t>
  </si>
  <si>
    <t xml:space="preserve">MISTURADOR CROMADO DE MESA BICA BAIXA PARA LAVATORIO (REF 1875)                                                                                                                                                                                                                                                                                                                                                                                                                                           </t>
  </si>
  <si>
    <t>212,54</t>
  </si>
  <si>
    <t xml:space="preserve">MISTURADOR CROMADO DE PAREDE PARA LAVATORIO (REF 1178)                                                                                                                                                                                                                                                                                                                                                                                                                                                    </t>
  </si>
  <si>
    <t>344,12</t>
  </si>
  <si>
    <t xml:space="preserve">MISTURADOR DE ARGAMASSA, EIXO HORIZONTAL, CAPACIDADE DE MISTURA 160 KG, MOTOR ELETRICO TRIFASICO 220/380 V, POTENCIA 3 CV                                                                                                                                                                                                                                                                                                                                                                                 </t>
  </si>
  <si>
    <t>11.833,34</t>
  </si>
  <si>
    <t xml:space="preserve">MISTURADOR DE ARGAMASSA, EIXO HORIZONTAL, CAPACIDADE DE MISTURA 300 KG, MOTOR ELETRICO TRIFASICO 220/380 V, POTENCIA 5 CV                                                                                                                                                                                                                                                                                                                                                                                 </t>
  </si>
  <si>
    <t>12.515,75</t>
  </si>
  <si>
    <t xml:space="preserve">MISTURADOR DE ARGAMASSA, EIXO HORIZONTAL, CAPACIDADE DE MISTURA 600 KG, MOTOR ELETRICO TRIFASICO 220/380 V, POTENCIA 7,5 CV                                                                                                                                                                                                                                                                                                                                                                               </t>
  </si>
  <si>
    <t>14.892,06</t>
  </si>
  <si>
    <t xml:space="preserve">MISTURADOR DE PAREDE CROMADO PARA COZINHA BICA MOVEL COM AREJADOR (REF 1258)                                                                                                                                                                                                                                                                                                                                                                                                                              </t>
  </si>
  <si>
    <t>263,63</t>
  </si>
  <si>
    <t xml:space="preserve">MISTURADOR DUPLO HORIZONTAL DE ALTA TURBULENCIA, CAPACIDADE / VOLUME 2 X 500 LITROS, MOTORES ELETRICOS MINIMO 5 CV CADA,  PARA NATA CIMENTO, ARGAMASSA E OUTROS                                                                                                                                                                                                                                                                                                                                           </t>
  </si>
  <si>
    <t>59.232,42</t>
  </si>
  <si>
    <t xml:space="preserve">MISTURADOR MANUAL DE TINTAS PARA FURADEIRA, HASTE METALICA *60* CM, COM HELICE  (MEXEDOR DE TINTA)                                                                                                                                                                                                                                                                                                                                                                                                        </t>
  </si>
  <si>
    <t>43,28</t>
  </si>
  <si>
    <t xml:space="preserve">MISTURADOR MONOCOMANDO PARA CHUVEIRO, BASE BRUTA E ACABAMENTO CROMADO                                                                                                                                                                                                                                                                                                                                                                                                                                     </t>
  </si>
  <si>
    <t xml:space="preserve">MOLA HIDRAULICA AEREA, PARA PORTAS DE ATE 1.100 MM E PESO DE ATE 85 KG, COM CORPO EM ALUMINIO E BRACO EM ACO, SEM BRACO DE PARADA                                                                                                                                                                                                                                                                                                                                                                         </t>
  </si>
  <si>
    <t xml:space="preserve">MOLA HIDRAULICA AEREA, PARA PORTAS DE ATE 850 MM E PESO DE ATE 50 KG, COM CORPO EM ALUMINIO E BRACO EM ACO, SEM BRACO DE PARADA                                                                                                                                                                                                                                                                                                                                                                           </t>
  </si>
  <si>
    <t>107,29</t>
  </si>
  <si>
    <t xml:space="preserve">MOLA HIDRAULICA AEREA, PARA PORTAS DE ATE 950 MM E PESO DE ATE 65 KG, COM CORPO EM ALUMINIO E BRACO EM ACO, SEM BRACO DE PARADA                                                                                                                                                                                                                                                                                                                                                                           </t>
  </si>
  <si>
    <t>155,33</t>
  </si>
  <si>
    <t xml:space="preserve">MOLA HIDRAULICA DE PISO, PARA PORTAS DE ATE 1100 MM E PESO DE ATE 120 KG, COM CORPO EM ACO INOX                                                                                                                                                                                                                                                                                                                                                                                                           </t>
  </si>
  <si>
    <t>574,60</t>
  </si>
  <si>
    <t xml:space="preserve">MONTADOR DE ELETROELETRONICOS                                                                                                                                                                                                                                                                                                                                                                                                                                                                             </t>
  </si>
  <si>
    <t xml:space="preserve">MONTADOR DE ELETROELETRONICOS (MENSALISTA)                                                                                                                                                                                                                                                                                                                                                                                                                                                                </t>
  </si>
  <si>
    <t>3.185,18</t>
  </si>
  <si>
    <t xml:space="preserve">MONTADOR DE ESTRUTURAS METALICAS                                                                                                                                                                                                                                                                                                                                                                                                                                                                          </t>
  </si>
  <si>
    <t>20,75</t>
  </si>
  <si>
    <t xml:space="preserve">MONTADOR DE ESTRUTURAS METALICAS (MENSALISTA)                                                                                                                                                                                                                                                                                                                                                                                                                                                             </t>
  </si>
  <si>
    <t>3.647,45</t>
  </si>
  <si>
    <t xml:space="preserve">MONTADOR DE MAQUINAS                                                                                                                                                                                                                                                                                                                                                                                                                                                                                      </t>
  </si>
  <si>
    <t xml:space="preserve">MONTADOR DE MAQUINAS (MENSALISTA)                                                                                                                                                                                                                                                                                                                                                                                                                                                                         </t>
  </si>
  <si>
    <t>5.109,18</t>
  </si>
  <si>
    <t xml:space="preserve">MOTOBOMBA AUTOESCORVANTE MOTOR A GASOLINA, POTENCIA 6,0HP, BOCAIS 3" X 3", HM/Q = 5 MCA / 24 M3/H A 52,5 MCA / 5,0 M3/H                                                                                                                                                                                                                                                                                                                                                                                   </t>
  </si>
  <si>
    <t xml:space="preserve">MOTOBOMBA AUTOESCORVANTE MOTOR ELETRICO TRIFASICO 7,4HP BOCA DIAMETRO DE SUCCAO X RECLAQUE: 2"X2", HM/ Q = 10 M / 73,5 M3/H A 28 M / 8,2 M3 /H                                                                                                                                                                                                                                                                                                                                                            </t>
  </si>
  <si>
    <t xml:space="preserve">MOTOBOMBA AUTOESCORVANTE POTENCIA 5,42 HP, BOCAIS SUCCAO X RECALQUE 2" X 2", A GASOLINA, DIAMETRO DO ROTOR 122 MM HM/Q = 6 MCA / 33,0 M3/H A 28 MCA / 8,0 M3/H                                                                                                                                                                                                                                                                                                                                            </t>
  </si>
  <si>
    <t xml:space="preserve">MOTOBOMBA CENTRIFUGA, MOTOR A GASOLINA, POTENCIA 5,42 HP, BOCAIS 1 1/2" X 1", DIAMETRO ROTOR 143 MM HM/Q = 6 MCA / 16,8 M3/H A 38 MCA / 6,6 M3/H                                                                                                                                                                                                                                                                                                                                                          </t>
  </si>
  <si>
    <t xml:space="preserve">MOTOBOMBA TRASH (PARA AGUA SUJA) AUTO ESCORVANTE, MOTOR GASOLINA DE 6,41 HP, DIAMETROS DE SUCCAO X RECALQUE: 3" X 3", HM/Q: 10/60 A 23/0                                                                                                                                                                                                                                                                                                                                                                  </t>
  </si>
  <si>
    <t xml:space="preserve">MOTONIVELADORA POTENCIA BASICA LIQUIDA (PRIMEIRA MARCHA) 125 HP , PESO BRUTO 13843 KG, LARGURA DA LAMINA DE 3,7 M                                                                                                                                                                                                                                                                                                                                                                                         </t>
  </si>
  <si>
    <t>985.000,00</t>
  </si>
  <si>
    <t xml:space="preserve">MOTONIVELADORA POTENCIA BASICA LIQUIDA (PRIMEIRA MARCHA) 171 HP, PESO BRUTO 14768 KG, LARGURA DA LAMINA DE 3,7 M                                                                                                                                                                                                                                                                                                                                                                                          </t>
  </si>
  <si>
    <t>1.223.985,32</t>
  </si>
  <si>
    <t xml:space="preserve">MOTONIVELADORA POTENCIA BASICA LIQUIDA (PRIMEIRA MARCHA) 186 HP, PESO BRUTO 15785 KG, LARGURA DA LAMINA DE 4,3 M                                                                                                                                                                                                                                                                                                                                                                                          </t>
  </si>
  <si>
    <t>1.288.402,45</t>
  </si>
  <si>
    <t xml:space="preserve">MOTOR A DIESEL PARA VIBRADOR DE IMERSAO, DE *4,7* CV                                                                                                                                                                                                                                                                                                                                                                                                                                                      </t>
  </si>
  <si>
    <t>3.568,16</t>
  </si>
  <si>
    <t xml:space="preserve">MOTOR A GASOLINA PARA VIBRADOR DE IMERSAO, 4 TEMPOS, DE 5,5 CV                                                                                                                                                                                                                                                                                                                                                                                                                                            </t>
  </si>
  <si>
    <t>1.769,33</t>
  </si>
  <si>
    <t xml:space="preserve">MOTOR ELETRICO PARA VIBRADOR DE IMERSAO, DE 2 CV, MONOFASICO, 110/220 V                                                                                                                                                                                                                                                                                                                                                                                                                                   </t>
  </si>
  <si>
    <t>1.457,59</t>
  </si>
  <si>
    <t xml:space="preserve">MOTOR ELETRICO PARA VIBRADOR DE IMERSAO, DE 2 CV, TRIFASICO, 220/380 V                                                                                                                                                                                                                                                                                                                                                                                                                                    </t>
  </si>
  <si>
    <t>1.425,89</t>
  </si>
  <si>
    <t xml:space="preserve">MOTORISTA DE CAMINHAO                                                                                                                                                                                                                                                                                                                                                                                                                                                                                     </t>
  </si>
  <si>
    <t>19,82</t>
  </si>
  <si>
    <t xml:space="preserve">MOTORISTA DE CAMINHAO (MENSALISTA)                                                                                                                                                                                                                                                                                                                                                                                                                                                                        </t>
  </si>
  <si>
    <t>3.484,45</t>
  </si>
  <si>
    <t xml:space="preserve">MOTORISTA DE CAMINHAO-BASCULANTE                                                                                                                                                                                                                                                                                                                                                                                                                                                                          </t>
  </si>
  <si>
    <t xml:space="preserve">MOTORISTA DE CAMINHAO-BASCULANTE (MENSALISTA)                                                                                                                                                                                                                                                                                                                                                                                                                                                             </t>
  </si>
  <si>
    <t>3.286,72</t>
  </si>
  <si>
    <t xml:space="preserve">MOTORISTA DE CAMINHAO-CARRETA                                                                                                                                                                                                                                                                                                                                                                                                                                                                             </t>
  </si>
  <si>
    <t xml:space="preserve">MOTORISTA DE CAMINHAO-CARRETA (MENSALISTA)                                                                                                                                                                                                                                                                                                                                                                                                                                                                </t>
  </si>
  <si>
    <t>4.653,25</t>
  </si>
  <si>
    <t xml:space="preserve">MOTORISTA DE CARRO DE PASSEIO                                                                                                                                                                                                                                                                                                                                                                                                                                                                             </t>
  </si>
  <si>
    <t>19,10</t>
  </si>
  <si>
    <t xml:space="preserve">MOTORISTA DE CARRO DE PASSEIO (MENSALISTA)                                                                                                                                                                                                                                                                                                                                                                                                                                                                </t>
  </si>
  <si>
    <t>3.358,95</t>
  </si>
  <si>
    <t xml:space="preserve">MOTORISTA DE ONIBUS / MICRO-ONIBUS                                                                                                                                                                                                                                                                                                                                                                                                                                                                        </t>
  </si>
  <si>
    <t xml:space="preserve">MOTORISTA DE ONIBUS / MICRO-ONIBUS (MENSALISTA)                                                                                                                                                                                                                                                                                                                                                                                                                                                           </t>
  </si>
  <si>
    <t>4.003,82</t>
  </si>
  <si>
    <t xml:space="preserve">MOTORISTA OPERADOR DE CAMINHAO COM MUNCK                                                                                                                                                                                                                                                                                                                                                                                                                                                                  </t>
  </si>
  <si>
    <t xml:space="preserve">MOTORISTA OPERADOR DE CAMINHAO COM MUNCK (MENSALISTA)                                                                                                                                                                                                                                                                                                                                                                                                                                                     </t>
  </si>
  <si>
    <t>4.042,71</t>
  </si>
  <si>
    <t xml:space="preserve">MOTOSSERRA PORTATIL COM MOTOR A GASOLINA DE *60* CC                                                                                                                                                                                                                                                                                                                                                                                                                                                       </t>
  </si>
  <si>
    <t>1.935,22</t>
  </si>
  <si>
    <t xml:space="preserve">MOURAO CONCRETO CURVO, SECAO "T", H = 2,80 M + CURVA COM 0,45 M, COM FUROS PARA FIOS                                                                                                                                                                                                                                                                                                                                                                                                                      </t>
  </si>
  <si>
    <t xml:space="preserve">MOURAO DE CONCRETO CURVO, *10 X 10* CM, H= *2,60* M + CURVA DE 0,40 M                                                                                                                                                                                                                                                                                                                                                                                                                                     </t>
  </si>
  <si>
    <t>61,93</t>
  </si>
  <si>
    <t xml:space="preserve">MOURAO DE CONCRETO RETO, SECAO QUADARA *10 X 10* CM, H= *2,30* M                                                                                                                                                                                                                                                                                                                                                                                                                                          </t>
  </si>
  <si>
    <t>58,39</t>
  </si>
  <si>
    <t xml:space="preserve">MOURAO DE CONCRETO RETO, SECAO QUADRADA, *10 X 10* CM, H= 3,00 M                                                                                                                                                                                                                                                                                                                                                                                                                                          </t>
  </si>
  <si>
    <t>71,28</t>
  </si>
  <si>
    <t xml:space="preserve">MOURAO DE CONCRETO RETO, TIPO ESTICADOR, *10 X 10* CM, H= 2,50 M                                                                                                                                                                                                                                                                                                                                                                                                                                          </t>
  </si>
  <si>
    <t xml:space="preserve">MOURAO ROLICO DE MADEIRA TRATADA, D = 16 A 20 CM, H = 2,20 M, EM EUCALIPTO OU EQUIVALENTE DA REGIAO (PARA CERCA)                                                                                                                                                                                                                                                                                                                                                                                          </t>
  </si>
  <si>
    <t xml:space="preserve">MOURAO ROLICO DE MADEIRA TRATADA, D = 8 A 11 CM, H = 2,20 M, EM EUCALIPTO OU EQUIVALENTE DA REGIAO (PARA CERCA)                                                                                                                                                                                                                                                                                                                                                                                           </t>
  </si>
  <si>
    <t xml:space="preserve">MUDA DE ARBUSTO FLORIFERO, CLUSIA/GARDENIA/MOREIA BRANCA/ AZALEIA OU EQUIVALENTE DA REGIAO, H= *50 A 70* CM                                                                                                                                                                                                                                                                                                                                                                                               </t>
  </si>
  <si>
    <t xml:space="preserve">MUDA DE ARBUSTO FOLHAGEM, SANSAO-DO-CAMPO OU EQUIVALENTE DA REGIAO, H= *50 A 70* CM                                                                                                                                                                                                                                                                                                                                                                                                                       </t>
  </si>
  <si>
    <t xml:space="preserve">MUDA DE ARBUSTO, BUXINHO, H= *50* M                                                                                                                                                                                                                                                                                                                                                                                                                                                                       </t>
  </si>
  <si>
    <t xml:space="preserve">MUDA DE ARBUSTO, PINGO DE OURO/ VIOLETEIRA, H = *10 A 20* CM                                                                                                                                                                                                                                                                                                                                                                                                                                              </t>
  </si>
  <si>
    <t xml:space="preserve">MUDA DE ARVORE ORNAMENTAL, OITI/AROEIRA SALSA/ANGICO/IPE/JACARANDA OU EQUIVALENTE  DA REGIAO, H= *1* M                                                                                                                                                                                                                                                                                                                                                                                                    </t>
  </si>
  <si>
    <t xml:space="preserve">MUDA DE ARVORE ORNAMENTAL, OITI/AROEIRA SALSA/ANGICO/IPE/JACARANDA OU EQUIVALENTE  DA REGIAO, H= *2* M                                                                                                                                                                                                                                                                                                                                                                                                    </t>
  </si>
  <si>
    <t xml:space="preserve">MUDA DE PALMEIRA, ARECA, H= *1,50* CM                                                                                                                                                                                                                                                                                                                                                                                                                                                                     </t>
  </si>
  <si>
    <t xml:space="preserve">MUDA DE RASTEIRA/FORRACAO, AMENDOIM RASTEIRO/ONZE HORAS/AZULZINHA/IMPATIENS OU EQUIVALENTE DA REGIAO                                                                                                                                                                                                                                                                                                                                                                                                      </t>
  </si>
  <si>
    <t xml:space="preserve">MULTIEXERCITADOR COM SEIS FUNCOES, EM TUBO DE ACO CARBONO, PINTURA NO PROCESSO ELETROSTATICO - EQUIPAMENTO DE GINASTICA PARA ACADEMIA AO AR LIVRE / ACADEMIA DA TERCEIRA IDADE - ATI                                                                                                                                                                                                                                                                                                                      </t>
  </si>
  <si>
    <t>4.929,78</t>
  </si>
  <si>
    <t xml:space="preserve">NIPEL PVC, ROSCAVEL, 1 1/2",  AGUA FRIA PREDIAL                                                                                                                                                                                                                                                                                                                                                                                                                                                           </t>
  </si>
  <si>
    <t xml:space="preserve">NIPEL PVC, ROSCAVEL, 1 1/4",  AGUA FRIA PREDIAL                                                                                                                                                                                                                                                                                                                                                                                                                                                           </t>
  </si>
  <si>
    <t xml:space="preserve">NIPEL PVC, ROSCAVEL, 1/2",  AGUA FRIA PREDIAL                                                                                                                                                                                                                                                                                                                                                                                                                                                             </t>
  </si>
  <si>
    <t xml:space="preserve">NIPEL PVC, ROSCAVEL, 1",  AGUA FRIA PREDIAL                                                                                                                                                                                                                                                                                                                                                                                                                                                               </t>
  </si>
  <si>
    <t xml:space="preserve">NIPEL PVC, ROSCAVEL, 2",  AGUA FRIA PREDIAL                                                                                                                                                                                                                                                                                                                                                                                                                                                               </t>
  </si>
  <si>
    <t xml:space="preserve">NIPEL PVC, ROSCAVEL, 3/4",  AGUA FRIA PREDIAL                                                                                                                                                                                                                                                                                                                                                                                                                                                             </t>
  </si>
  <si>
    <t xml:space="preserve">NIPLE DE FERRO GALVANIZADO, COM ROSCA BSP, DE 1 1/2"                                                                                                                                                                                                                                                                                                                                                                                                                                                      </t>
  </si>
  <si>
    <t xml:space="preserve">NIPLE DE FERRO GALVANIZADO, COM ROSCA BSP, DE 1 1/4"                                                                                                                                                                                                                                                                                                                                                                                                                                                      </t>
  </si>
  <si>
    <t xml:space="preserve">NIPLE DE FERRO GALVANIZADO, COM ROSCA BSP, DE 1/2"                                                                                                                                                                                                                                                                                                                                                                                                                                                        </t>
  </si>
  <si>
    <t xml:space="preserve">NIPLE DE FERRO GALVANIZADO, COM ROSCA BSP, DE 1"                                                                                                                                                                                                                                                                                                                                                                                                                                                          </t>
  </si>
  <si>
    <t xml:space="preserve">NIPLE DE FERRO GALVANIZADO, COM ROSCA BSP, DE 2 1/2"                                                                                                                                                                                                                                                                                                                                                                                                                                                      </t>
  </si>
  <si>
    <t xml:space="preserve">NIPLE DE FERRO GALVANIZADO, COM ROSCA BSP, DE 2"                                                                                                                                                                                                                                                                                                                                                                                                                                                          </t>
  </si>
  <si>
    <t xml:space="preserve">NIPLE DE FERRO GALVANIZADO, COM ROSCA BSP, DE 3/4"                                                                                                                                                                                                                                                                                                                                                                                                                                                        </t>
  </si>
  <si>
    <t xml:space="preserve">NIPLE DE FERRO GALVANIZADO, COM ROSCA BSP, DE 3"                                                                                                                                                                                                                                                                                                                                                                                                                                                          </t>
  </si>
  <si>
    <t xml:space="preserve">NIPLE DE FERRO GALVANIZADO, COM ROSCA BSP, DE 4"                                                                                                                                                                                                                                                                                                                                                                                                                                                          </t>
  </si>
  <si>
    <t xml:space="preserve">NIPLE DE FERRO GALVANIZADO, COM ROSCA BSP, DE 5"                                                                                                                                                                                                                                                                                                                                                                                                                                                          </t>
  </si>
  <si>
    <t xml:space="preserve">NIPLE DE FERRO GALVANIZADO, COM ROSCA BSP, DE 6"                                                                                                                                                                                                                                                                                                                                                                                                                                                          </t>
  </si>
  <si>
    <t xml:space="preserve">NIPLE DE REDUCAO DE FERRO GALVANIZADO, COM ROSCA BSP, DE 1 1/2" X 1 1/4"                                                                                                                                                                                                                                                                                                                                                                                                                                  </t>
  </si>
  <si>
    <t xml:space="preserve">NIPLE DE REDUCAO DE FERRO GALVANIZADO, COM ROSCA BSP, DE 1 1/2" X 1"                                                                                                                                                                                                                                                                                                                                                                                                                                      </t>
  </si>
  <si>
    <t xml:space="preserve">NIPLE DE REDUCAO DE FERRO GALVANIZADO, COM ROSCA BSP, DE 1 1/2" X 3/4"                                                                                                                                                                                                                                                                                                                                                                                                                                    </t>
  </si>
  <si>
    <t xml:space="preserve">NIPLE DE REDUCAO DE FERRO GALVANIZADO, COM ROSCA BSP, DE 1 1/4" X 1/2"                                                                                                                                                                                                                                                                                                                                                                                                                                    </t>
  </si>
  <si>
    <t xml:space="preserve">NIPLE DE REDUCAO DE FERRO GALVANIZADO, COM ROSCA BSP, DE 1 1/4" X 1"                                                                                                                                                                                                                                                                                                                                                                                                                                      </t>
  </si>
  <si>
    <t xml:space="preserve">NIPLE DE REDUCAO DE FERRO GALVANIZADO, COM ROSCA BSP, DE 1 1/4" X 3/4"                                                                                                                                                                                                                                                                                                                                                                                                                                    </t>
  </si>
  <si>
    <t xml:space="preserve">NIPLE DE REDUCAO DE FERRO GALVANIZADO, COM ROSCA BSP, DE 1/2" X 1/4"                                                                                                                                                                                                                                                                                                                                                                                                                                      </t>
  </si>
  <si>
    <t xml:space="preserve">NIPLE DE REDUCAO DE FERRO GALVANIZADO, COM ROSCA BSP, DE 1" X 1/2"                                                                                                                                                                                                                                                                                                                                                                                                                                        </t>
  </si>
  <si>
    <t xml:space="preserve">NIPLE DE REDUCAO DE FERRO GALVANIZADO, COM ROSCA BSP, DE 1" X 3/4"                                                                                                                                                                                                                                                                                                                                                                                                                                        </t>
  </si>
  <si>
    <t xml:space="preserve">NIPLE DE REDUCAO DE FERRO GALVANIZADO, COM ROSCA BSP, DE 2 1/2" X 2"                                                                                                                                                                                                                                                                                                                                                                                                                                      </t>
  </si>
  <si>
    <t xml:space="preserve">NIPLE DE REDUCAO DE FERRO GALVANIZADO, COM ROSCA BSP, DE 2" X 1 1/2"                                                                                                                                                                                                                                                                                                                                                                                                                                      </t>
  </si>
  <si>
    <t xml:space="preserve">NIPLE DE REDUCAO DE FERRO GALVANIZADO, COM ROSCA BSP, DE 2" X 1 1/4"                                                                                                                                                                                                                                                                                                                                                                                                                                      </t>
  </si>
  <si>
    <t xml:space="preserve">NIPLE DE REDUCAO DE FERRO GALVANIZADO, COM ROSCA BSP, DE 2" X 1"                                                                                                                                                                                                                                                                                                                                                                                                                                          </t>
  </si>
  <si>
    <t xml:space="preserve">NIPLE DE REDUCAO DE FERRO GALVANIZADO, COM ROSCA BSP, DE 3/4" X 1/2"                                                                                                                                                                                                                                                                                                                                                                                                                                      </t>
  </si>
  <si>
    <t xml:space="preserve">NIPLE DE REDUCAO DE FERRO GALVANIZADO, COM ROSCA BSP, DE 3" X 2 1/2"                                                                                                                                                                                                                                                                                                                                                                                                                                      </t>
  </si>
  <si>
    <t xml:space="preserve">NIPLE DE REDUCAO DE FERRO GALVANIZADO, COM ROSCA BSP, DE 3" X 2"                                                                                                                                                                                                                                                                                                                                                                                                                                          </t>
  </si>
  <si>
    <t xml:space="preserve">NIPLE SEXTAVADO EM ACO CARBONO, COM ROSCA BSP, PRESSAO 3.000 LBS, DN 1 1/2"                                                                                                                                                                                                                                                                                                                                                                                                                               </t>
  </si>
  <si>
    <t xml:space="preserve">NIPLE SEXTAVADO EM ACO CARBONO, COM ROSCA BSP, PRESSAO 3.000 LBS, DN 1 1/4"                                                                                                                                                                                                                                                                                                                                                                                                                               </t>
  </si>
  <si>
    <t xml:space="preserve">NIPLE SEXTAVADO EM ACO CARBONO, COM ROSCA BSP, PRESSAO 3.000 LBS, DN 1/2"                                                                                                                                                                                                                                                                                                                                                                                                                                 </t>
  </si>
  <si>
    <t xml:space="preserve">NIPLE SEXTAVADO EM ACO CARBONO, COM ROSCA BSP, PRESSAO 3.000 LBS, DN 1"                                                                                                                                                                                                                                                                                                                                                                                                                                   </t>
  </si>
  <si>
    <t xml:space="preserve">NIPLE SEXTAVADO EM ACO CARBONO, COM ROSCA BSP, PRESSAO 3.000 LBS, DN 2 1/2"                                                                                                                                                                                                                                                                                                                                                                                                                               </t>
  </si>
  <si>
    <t>130,89</t>
  </si>
  <si>
    <t xml:space="preserve">NIPLE SEXTAVADO EM ACO CARBONO, COM ROSCA BSP, PRESSAO 3.000 LBS, DN 2"                                                                                                                                                                                                                                                                                                                                                                                                                                   </t>
  </si>
  <si>
    <t>82,39</t>
  </si>
  <si>
    <t xml:space="preserve">NIPLE SEXTAVADO EM ACO CARBONO, COM ROSCA BSP, PRESSAO 3.000 LBS, DN 3/4"                                                                                                                                                                                                                                                                                                                                                                                                                                 </t>
  </si>
  <si>
    <t>14,91</t>
  </si>
  <si>
    <t xml:space="preserve">NIVELADOR                                                                                                                                                                                                                                                                                                                                                                                                                                                                                                 </t>
  </si>
  <si>
    <t xml:space="preserve">NIVELADOR (MENSALISTA)                                                                                                                                                                                                                                                                                                                                                                                                                                                                                    </t>
  </si>
  <si>
    <t>2.633,24</t>
  </si>
  <si>
    <t xml:space="preserve">NOBREAK TRIFASICO, DE 10 KVA FATOR DE POTENCIA DE 0,8, AUTONOMIA MINIMA DE 30 MINUTOS A PLENA CARGA                                                                                                                                                                                                                                                                                                                                                                                                       </t>
  </si>
  <si>
    <t>60.131,95</t>
  </si>
  <si>
    <t xml:space="preserve">NOBREAK TRIFASICO, DE 15 KVA FATOR DE POTENCIA DE 0,8, AUTONOMIA MINIMA DE 30 MINUTOS A PLENA CARGA                                                                                                                                                                                                                                                                                                                                                                                                       </t>
  </si>
  <si>
    <t>87.773,89</t>
  </si>
  <si>
    <t xml:space="preserve">NOBREAK TRIFASICO, DE 20 KVA FATOR DE POTENCIA DE 0,8, AUTONOMIA MINIMA DE 30 MINUTOS A PLENA CARGA                                                                                                                                                                                                                                                                                                                                                                                                       </t>
  </si>
  <si>
    <t>106.220,77</t>
  </si>
  <si>
    <t xml:space="preserve">NOBREAK TRIFASICO, DE 25 KVA FATOR DE POTENCIA DE 0,8, AUTONOMIA MINIMA DE 30 MINUTOS A PLENA CARGA                                                                                                                                                                                                                                                                                                                                                                                                       </t>
  </si>
  <si>
    <t>166.397,23</t>
  </si>
  <si>
    <t xml:space="preserve">NOBREAK TRIFASICO, DE 5 KVA FATOR DE POTENCIA DE 0,8, AUTONOMIA MINIMA DE 30 MINUTOS A PLENA CARGA                                                                                                                                                                                                                                                                                                                                                                                                        </t>
  </si>
  <si>
    <t>48.080,87</t>
  </si>
  <si>
    <t xml:space="preserve">NUMERO / ALGARISMO PARA RESIDENCIA (FACHADA), EM ZAMAC, COM ALTURA DE APROX *45* MM, INCLUSIVE PARAFUSOS                                                                                                                                                                                                                                                                                                                                                                                                  </t>
  </si>
  <si>
    <t>4,03</t>
  </si>
  <si>
    <t xml:space="preserve">NUMERO / ALGARISMO PARA RESIDENCIA (FACHADA), EM ZAMAC, COM ALTURA DE APROX 125 MM, INCLUSIVE PARAFUSOS                                                                                                                                                                                                                                                                                                                                                                                                   </t>
  </si>
  <si>
    <t xml:space="preserve">OCULOS DE SEGURANCA CONTRA IMPACTOS COM LENTE INCOLOR, ARMACAO NYLON, COM PROTECAO UVA E UVB                                                                                                                                                                                                                                                                                                                                                                                                              </t>
  </si>
  <si>
    <t xml:space="preserve">OLEO COMBUSTIVEL BPF A GRANEL                                                                                                                                                                                                                                                                                                                                                                                                                                                                             </t>
  </si>
  <si>
    <t xml:space="preserve">OLEO DIESEL COMBUSTIVEL COMUM                                                                                                                                                                                                                                                                                                                                                                                                                                                                             </t>
  </si>
  <si>
    <t xml:space="preserve">OLEO LUBRIFICANTE PARA MOTORES DE EQUIPAMENTOS PESADOS (CAMINHOES, TRATORES, RETROS E ETC)                                                                                                                                                                                                                                                                                                                                                                                                                </t>
  </si>
  <si>
    <t xml:space="preserve">OLHO MAGICO PARA PORTAS, EM LATAO, COM LENTE DE POLICARBONATO, ANGULO DE *200* GRAUS, ESPESSURA ENTRE *25 E 46* MM, INCLUINDO FECHO JANELA                                                                                                                                                                                                                                                                                                                                                                </t>
  </si>
  <si>
    <t xml:space="preserve">OPERADOR DE BATE-ESTACAS                                                                                                                                                                                                                                                                                                                                                                                                                                                                                  </t>
  </si>
  <si>
    <t xml:space="preserve">OPERADOR DE BATE-ESTACAS (MENSALISTA)                                                                                                                                                                                                                                                                                                                                                                                                                                                                     </t>
  </si>
  <si>
    <t>4.263,10</t>
  </si>
  <si>
    <t xml:space="preserve">OPERADOR DE BETONEIRA (CAMINHAO)                                                                                                                                                                                                                                                                                                                                                                                                                                                                          </t>
  </si>
  <si>
    <t xml:space="preserve">OPERADOR DE BETONEIRA (CAMINHAO) (MENSALISTA)                                                                                                                                                                                                                                                                                                                                                                                                                                                             </t>
  </si>
  <si>
    <t>3.141,72</t>
  </si>
  <si>
    <t xml:space="preserve">OPERADOR DE BETONEIRA ESTACIONARIA / MISTURADOR                                                                                                                                                                                                                                                                                                                                                                                                                                                           </t>
  </si>
  <si>
    <t xml:space="preserve">OPERADOR DE BETONEIRA ESTACIONARIA / MISTURADOR (MENSALISTA)                                                                                                                                                                                                                                                                                                                                                                                                                                              </t>
  </si>
  <si>
    <t>3.031,86</t>
  </si>
  <si>
    <t xml:space="preserve">OPERADOR DE COMPRESSOR DE AR OU COMPRESSORISTA                                                                                                                                                                                                                                                                                                                                                                                                                                                            </t>
  </si>
  <si>
    <t xml:space="preserve">OPERADOR DE COMPRESSOR DE AR OU COMPRESSORISTA (MENSALISTA)                                                                                                                                                                                                                                                                                                                                                                                                                                               </t>
  </si>
  <si>
    <t>3.668,72</t>
  </si>
  <si>
    <t xml:space="preserve">OPERADOR DE DEMARCADORA DE FAIXAS DE TRAFEGO                                                                                                                                                                                                                                                                                                                                                                                                                                                              </t>
  </si>
  <si>
    <t xml:space="preserve">OPERADOR DE DEMARCADORA DE FAIXAS DE TRAFEGO (MENSALISTA)                                                                                                                                                                                                                                                                                                                                                                                                                                                 </t>
  </si>
  <si>
    <t>3.866,73</t>
  </si>
  <si>
    <t xml:space="preserve">OPERADOR DE ESCAVADEIRA                                                                                                                                                                                                                                                                                                                                                                                                                                                                                   </t>
  </si>
  <si>
    <t xml:space="preserve">OPERADOR DE ESCAVADEIRA (MENSALISTA)                                                                                                                                                                                                                                                                                                                                                                                                                                                                      </t>
  </si>
  <si>
    <t>4.235,84</t>
  </si>
  <si>
    <t xml:space="preserve">OPERADOR DE GUINCHO OU GUINCHEIRO                                                                                                                                                                                                                                                                                                                                                                                                                                                                         </t>
  </si>
  <si>
    <t xml:space="preserve">OPERADOR DE GUINCHO OU GUINCHEIRO (MENSALISTA)                                                                                                                                                                                                                                                                                                                                                                                                                                                            </t>
  </si>
  <si>
    <t xml:space="preserve">OPERADOR DE GUINDASTE                                                                                                                                                                                                                                                                                                                                                                                                                                                                                     </t>
  </si>
  <si>
    <t>35,64</t>
  </si>
  <si>
    <t xml:space="preserve">OPERADOR DE GUINDASTE (MENSALISTA)                                                                                                                                                                                                                                                                                                                                                                                                                                                                        </t>
  </si>
  <si>
    <t>6.267,55</t>
  </si>
  <si>
    <t xml:space="preserve">OPERADOR DE JATO ABRASIVO OU JATISTA                                                                                                                                                                                                                                                                                                                                                                                                                                                                      </t>
  </si>
  <si>
    <t xml:space="preserve">OPERADOR DE JATO ABRASIVO OU JATISTA (MENSALISTA)                                                                                                                                                                                                                                                                                                                                                                                                                                                         </t>
  </si>
  <si>
    <t>3.792,03</t>
  </si>
  <si>
    <t xml:space="preserve">OPERADOR DE MAQUINAS E TRATORES DIVERSOS (TERRAPLANAGEM)                                                                                                                                                                                                                                                                                                                                                                                                                                                  </t>
  </si>
  <si>
    <t xml:space="preserve">OPERADOR DE MAQUINAS E TRATORES DIVERSOS (TERRAPLANAGEM) (MENSALISTA)                                                                                                                                                                                                                                                                                                                                                                                                                                     </t>
  </si>
  <si>
    <t>4.007,62</t>
  </si>
  <si>
    <t xml:space="preserve">OPERADOR DE MARTELETE OU MARTELETEIRO                                                                                                                                                                                                                                                                                                                                                                                                                                                                     </t>
  </si>
  <si>
    <t xml:space="preserve">OPERADOR DE MARTELETE OU MARTELETEIRO (MENSALISTA)                                                                                                                                                                                                                                                                                                                                                                                                                                                        </t>
  </si>
  <si>
    <t>1.977,25</t>
  </si>
  <si>
    <t xml:space="preserve">OPERADOR DE MOTO SCRAPER                                                                                                                                                                                                                                                                                                                                                                                                                                                                                  </t>
  </si>
  <si>
    <t xml:space="preserve">OPERADOR DE MOTO SCRAPER (MENSALISTA)                                                                                                                                                                                                                                                                                                                                                                                                                                                                     </t>
  </si>
  <si>
    <t>3.932,64</t>
  </si>
  <si>
    <t xml:space="preserve">OPERADOR DE MOTONIVELADORA                                                                                                                                                                                                                                                                                                                                                                                                                                                                                </t>
  </si>
  <si>
    <t>27,42</t>
  </si>
  <si>
    <t xml:space="preserve">OPERADOR DE MOTONIVELADORA (MENSALISTA)                                                                                                                                                                                                                                                                                                                                                                                                                                                                   </t>
  </si>
  <si>
    <t>4.824,62</t>
  </si>
  <si>
    <t xml:space="preserve">OPERADOR DE PA CARREGADEIRA                                                                                                                                                                                                                                                                                                                                                                                                                                                                               </t>
  </si>
  <si>
    <t xml:space="preserve">OPERADOR DE PA CARREGADEIRA (MENSALISTA)                                                                                                                                                                                                                                                                                                                                                                                                                                                                  </t>
  </si>
  <si>
    <t>3.793,19</t>
  </si>
  <si>
    <t xml:space="preserve">OPERADOR DE PAVIMENTADORA / MESA VIBROACABADORA                                                                                                                                                                                                                                                                                                                                                                                                                                                           </t>
  </si>
  <si>
    <t xml:space="preserve">OPERADOR DE PAVIMENTADORA / MESA VIBROACABADORA (MENSALISTA)                                                                                                                                                                                                                                                                                                                                                                                                                                              </t>
  </si>
  <si>
    <t>4.060,06</t>
  </si>
  <si>
    <t xml:space="preserve">OPERADOR DE ROLO COMPACTADOR                                                                                                                                                                                                                                                                                                                                                                                                                                                                              </t>
  </si>
  <si>
    <t xml:space="preserve">OPERADOR DE ROLO COMPACTADOR (MENSALISTA)                                                                                                                                                                                                                                                                                                                                                                                                                                                                 </t>
  </si>
  <si>
    <t>3.057,42</t>
  </si>
  <si>
    <t xml:space="preserve">OPERADOR DE TRATOR - EXCLUSIVE AGROPECUARIA                                                                                                                                                                                                                                                                                                                                                                                                                                                               </t>
  </si>
  <si>
    <t xml:space="preserve">OPERADOR DE TRATOR - EXCLUSIVE AGROPECUARIA (MENSALISTA)                                                                                                                                                                                                                                                                                                                                                                                                                                                  </t>
  </si>
  <si>
    <t>4.424,90</t>
  </si>
  <si>
    <t xml:space="preserve">OPERADOR DE USINA DE ASFALTO, DE SOLOS OU DE CONCRETO                                                                                                                                                                                                                                                                                                                                                                                                                                                     </t>
  </si>
  <si>
    <t xml:space="preserve">OPERADOR DE USINA DE ASFALTO, DE SOLOS OU DE CONCRETO (MENSALISTA)                                                                                                                                                                                                                                                                                                                                                                                                                                        </t>
  </si>
  <si>
    <t>3.486,65</t>
  </si>
  <si>
    <t xml:space="preserve">OXIGENIO, RECARGA PARA CILINDRO DE CONJUNTO OXICORTE GRANDE                                                                                                                                                                                                                                                                                                                                                                                                                                               </t>
  </si>
  <si>
    <t xml:space="preserve">PA CARREGADEIRA SOBRE RODAS, POTENCIA BRUTA *127* CV, CAPACIDADE DA CACAMBA DE 2,0 A 2,4 M3, PESO OPERACIONAL MAXIMO DE 10330 KG                                                                                                                                                                                                                                                                                                                                                                          </t>
  </si>
  <si>
    <t xml:space="preserve">PA CARREGADEIRA SOBRE RODAS, POTENCIA LIQUIDA 128 HP, CAPACIDADE DA CACAMBA DE 1,7 A 2,8 M3, PESO OPERACIONAL MAXIMO DE 11632 KG                                                                                                                                                                                                                                                                                                                                                                          </t>
  </si>
  <si>
    <t xml:space="preserve">PA CARREGADEIRA SOBRE RODAS, POTENCIA LIQUIDA 197 HP, CAPACIDADE DA CACAMBA DE 2,5 A 3,5 M3, PESO OPERACIONAL MAXIMO DE 18338 KG                                                                                                                                                                                                                                                                                                                                                                          </t>
  </si>
  <si>
    <t xml:space="preserve">PA CARREGADEIRA SOBRE RODAS, POTENCIA LIQUIDA 213 HP, CAPACIDADE DA CACAMBA DE 1,9 A 3,5 M3, PESO OPERACIONAL MAXIMO DE 19234 KG                                                                                                                                                                                                                                                                                                                                                                          </t>
  </si>
  <si>
    <t xml:space="preserve">PA CARREGADEIRA SOBRE RODAS, POTENCIA 152 HP, CAPACIDADE DA CACAMBA DE 1,53 A 2,30 M3, PESO OPERACIONAL MAXIMO DE 10216 KG                                                                                                                                                                                                                                                                                                                                                                                </t>
  </si>
  <si>
    <t xml:space="preserve">PA DE LIXO PLASTICA, CABO LONGO                                                                                                                                                                                                                                                                                                                                                                                                                                                                           </t>
  </si>
  <si>
    <t xml:space="preserve">PAINEL DE LA DE VIDRO SEM REVESTIMENTO PSI 20, E = 25 MM, DE 1200 X 600 MM                                                                                                                                                                                                                                                                                                                                                                                                                                </t>
  </si>
  <si>
    <t xml:space="preserve">PAINEL DE LA DE VIDRO SEM REVESTIMENTO PSI 20, E = 50 MM, DE 1200 X 600 MM                                                                                                                                                                                                                                                                                                                                                                                                                                </t>
  </si>
  <si>
    <t xml:space="preserve">PAINEL DE LA DE VIDRO SEM REVESTIMENTO PSI 40, E = 25 MM, DE 1200 X 600 MM                                                                                                                                                                                                                                                                                                                                                                                                                                </t>
  </si>
  <si>
    <t xml:space="preserve">PAINEL DE LA DE VIDRO SEM REVESTIMENTO PSI 40, E = 50 MM, DE 1200 X 600 MM                                                                                                                                                                                                                                                                                                                                                                                                                                </t>
  </si>
  <si>
    <t xml:space="preserve">PAINEL ESTRUTURAL PARA LAJE SECA REVESTIDO EM PLACA CIMENTICIA, DE 1,20 X 2,50 M, E = 23 MM                                                                                                                                                                                                                                                                                                                                                                                                               </t>
  </si>
  <si>
    <t>85,45</t>
  </si>
  <si>
    <t xml:space="preserve">PAINEL ESTRUTURAL PARA LAJE SECA REVESTIDO EM PLACA CIMENTICIA, DE 1,20 X 2,50 M, E = 40 MM                                                                                                                                                                                                                                                                                                                                                                                                               </t>
  </si>
  <si>
    <t>159,12</t>
  </si>
  <si>
    <t xml:space="preserve">PAINEL ESTRUTURAL PARA LAJE SECA REVESTIDO EM PLACA CIMENTICIA, DE 1,20 X 2,50 M, E = 55 MM                                                                                                                                                                                                                                                                                                                                                                                                               </t>
  </si>
  <si>
    <t>209,78</t>
  </si>
  <si>
    <t xml:space="preserve">PAINEL TERMOISOLANTE PARA FECHAMENTOS VERTICAIS (INCLUI PARAFUSOS DE FIXACAO) REVESTIDO EM ACO GALVALUME, LARGURA UTIL DE 1100 MM, REVESTIMENTO COM ESPESSURA DE 0,50 MM, COM PRE-PINTURA NAS DUAS FACES, NUCLEO EM POLIURETANO (PUR) COM ESPESSURA 40/50 MM                                                                                                                                                                                                                                              </t>
  </si>
  <si>
    <t>330,81</t>
  </si>
  <si>
    <t xml:space="preserve">PAINEL TERMOISOLANTE PARA FECHAMENTOS VERTICAIS (INCLUI PARAFUSOS DE FIXACAO) REVESTIDO EM ACO GALVALUME, LARGURA UTIL DE 1100 MM, REVESTIMENTO COM ESPESSURA DE 0,50 MM, COM PRE-PINTURA NAS DUAS FACES, NUCLEO EM POLIURETANO (PUR) COM ESPESSURA 70/80 MM                                                                                                                                                                                                                                              </t>
  </si>
  <si>
    <t>392,18</t>
  </si>
  <si>
    <t xml:space="preserve">PAPEL KRAFT BETUMADO                                                                                                                                                                                                                                                                                                                                                                                                                                                                                      </t>
  </si>
  <si>
    <t xml:space="preserve">PAPELEIRA DE PAREDE EM METAL CROMADO SEM TAMPA                                                                                                                                                                                                                                                                                                                                                                                                                                                            </t>
  </si>
  <si>
    <t xml:space="preserve">PAPELEIRA PLASTICA TIPO DISPENSER PARA PAPEL HIGIENICO ROLAO                                                                                                                                                                                                                                                                                                                                                                                                                                              </t>
  </si>
  <si>
    <t>61,37</t>
  </si>
  <si>
    <t xml:space="preserve">PAR DE TABELAS DE BASQUETE EM COMPENSADO NAVAL DE *1,80 X 1,20* M, COM ARO DE METAL E REDE (SEM SUPORTE DE FIXACAO)                                                                                                                                                                                                                                                                                                                                                                                       </t>
  </si>
  <si>
    <t>1.740,57</t>
  </si>
  <si>
    <t xml:space="preserve">PARA-RAIOS DE DISTRIBUICAO, TENSAO NOMINAL 15 KV, CORRENTE NOMINAL DE DESCARGA 5 KA                                                                                                                                                                                                                                                                                                                                                                                                                       </t>
  </si>
  <si>
    <t>131,13</t>
  </si>
  <si>
    <t xml:space="preserve">PARA-RAIOS DE DISTRIBUICAO, TENSAO NOMINAL 30 KV, CORRENTE NOMINAL DE DESCARGA 10 KA                                                                                                                                                                                                                                                                                                                                                                                                                      </t>
  </si>
  <si>
    <t>238,08</t>
  </si>
  <si>
    <t xml:space="preserve">PARA-RAIOS TIPO FRANKLIN 350 MM, EM LATAO CROMADO, DUAS DESCIDAS, PARA PROTECAO DE EDIFICACOES CONTRA DESCARGAS ATMOSFERICAS                                                                                                                                                                                                                                                                                                                                                                              </t>
  </si>
  <si>
    <t xml:space="preserve">PARAFUSO CABECA TROMBETA E PONTA AGULHA (GN55), COMPRIMENTO 55 MM, EM ACO FOSFATIZADO, PARA FIXAR CHAPA DE GESSO EM PERFIL DRYWALL METALICO MAXIMO 0,7 MM                                                                                                                                                                                                                                                                                                                                                 </t>
  </si>
  <si>
    <t xml:space="preserve">PARAFUSO DE ACO TIPO CHUMBADOR PARABOLT, DIAMETRO 1/2", COMPRIMENTO 75 MM                                                                                                                                                                                                                                                                                                                                                                                                                                 </t>
  </si>
  <si>
    <t xml:space="preserve">PARAFUSO DE ACO TIPO CHUMBADOR PARABOLT, DIAMETRO 3/8", COMPRIMENTO 75 MM                                                                                                                                                                                                                                                                                                                                                                                                                                 </t>
  </si>
  <si>
    <t xml:space="preserve">PARAFUSO DE ACO ZINCADO COM ROSCA SOBERBA, CABECA CHATA E FENDA SIMPLES, DIAMETRO 2,5 MM, COMPRIMENTO * 9,5 * MM                                                                                                                                                                                                                                                                                                                                                                                          </t>
  </si>
  <si>
    <t xml:space="preserve">PARAFUSO DE ACO ZINCADO COM ROSCA SOBERBA, CABECA CHATA E FENDA SIMPLES, DIAMETRO 4,2 MM, COMPRIMENTO * 32 * MM                                                                                                                                                                                                                                                                                                                                                                                           </t>
  </si>
  <si>
    <t xml:space="preserve">PARAFUSO DE ACO ZINCADO COM ROSCA SOBERBA, CABECA CHATA E FENDA SIMPLES, DIAMETRO 4,8 MM, COMPRIMENTO 45 MM                                                                                                                                                                                                                                                                                                                                                                                               </t>
  </si>
  <si>
    <t xml:space="preserve">PARAFUSO DE FERRO POLIDO, SEXTAVADO, COM ROSCA INTEIRA, DIAMETRO 5/16", COMPRIMENTO 3/4", COM PORCA E ARRUELA LISA LEVE                                                                                                                                                                                                                                                                                                                                                                                   </t>
  </si>
  <si>
    <t xml:space="preserve">PARAFUSO DE FERRO POLIDO, SEXTAVADO, COM ROSCA PARCIAL, DIAMETRO 5/8", COMPRIMENTO 6", COM PORCA E ARRUELA DE PRESSAO MEDIA                                                                                                                                                                                                                                                                                                                                                                               </t>
  </si>
  <si>
    <t xml:space="preserve">PARAFUSO DE LATAO COM ACABAMENTO CROMADO PARA FIXAR PECA SANITARIA, INCLUI PORCA CEGA, ARRUELA E BUCHA DE NYLON TAMANHO S-10                                                                                                                                                                                                                                                                                                                                                                              </t>
  </si>
  <si>
    <t xml:space="preserve">PARAFUSO DE LATAO COM ROSCA SOBERBA, CABECA CHATA E FENDA SIMPLES, DIAMETRO 2,5 MM, COMPRIMENTO 12 MM                                                                                                                                                                                                                                                                                                                                                                                                     </t>
  </si>
  <si>
    <t xml:space="preserve">PARAFUSO DE LATAO COM ROSCA SOBERBA, CABECA CHATA E FENDA SIMPLES, DIAMETRO 3,2 MM, COMPRIMENTO 16 MM                                                                                                                                                                                                                                                                                                                                                                                                     </t>
  </si>
  <si>
    <t xml:space="preserve">PARAFUSO DE LATAO COM ROSCA SOBERBA, CABECA CHATA E FENDA SIMPLES, DIAMETRO 4,8 MM, COMPRIMENTO 65 MM                                                                                                                                                                                                                                                                                                                                                                                                     </t>
  </si>
  <si>
    <t xml:space="preserve">PARAFUSO DRY WALL, EM ACO FOSFATIZADO, CABECA TROMBETA E PONTA AGULHA (TA), COMPRIMENTO 25 MM                                                                                                                                                                                                                                                                                                                                                                                                             </t>
  </si>
  <si>
    <t xml:space="preserve">PARAFUSO DRY WALL, EM ACO FOSFATIZADO, CABECA TROMBETA E PONTA AGULHA (TA), COMPRIMENTO 35 MM                                                                                                                                                                                                                                                                                                                                                                                                             </t>
  </si>
  <si>
    <t xml:space="preserve">PARAFUSO DRY WALL, EM ACO FOSFATIZADO, CABECA TROMBETA E PONTA AGULHA (TA), COMPRIMENTO 45 MM                                                                                                                                                                                                                                                                                                                                                                                                             </t>
  </si>
  <si>
    <t xml:space="preserve">PARAFUSO DRY WALL, EM ACO FOSFATIZADO, CABECA TROMBETA E PONTA BROCA (TB), COMPRIMENTO 25 MM                                                                                                                                                                                                                                                                                                                                                                                                              </t>
  </si>
  <si>
    <t xml:space="preserve">PARAFUSO DRY WALL, EM ACO FOSFATIZADO, CABECA TROMBETA E PONTA BROCA (TB), COMPRIMENTO 35 MM                                                                                                                                                                                                                                                                                                                                                                                                              </t>
  </si>
  <si>
    <t xml:space="preserve">PARAFUSO DRY WALL, EM ACO FOSFATIZADO, CABECA TROMBETA E PONTA BROCA (TB), COMPRIMENTO 45 MM                                                                                                                                                                                                                                                                                                                                                                                                              </t>
  </si>
  <si>
    <t xml:space="preserve">PARAFUSO DRY WALL, EM ACO ZINCADO, CABECA LENTILHA E PONTA AGULHA (LA), LARGURA 4,2 MM, COMPRIMENTO 13 MM                                                                                                                                                                                                                                                                                                                                                                                                 </t>
  </si>
  <si>
    <t xml:space="preserve">PARAFUSO DRY WALL, EM ACO ZINCADO, CABECA LENTILHA E PONTA BROCA (LB), LARGURA 4,2 MM, COMPRIMENTO 13 MM                                                                                                                                                                                                                                                                                                                                                                                                  </t>
  </si>
  <si>
    <t xml:space="preserve">PARAFUSO EM ACO GALVANIZADO, TIPO MAQUINA, SEXTAVADO, SEM PORCA, DIAMETRO 1/2", COMPRIMENTO 2"                                                                                                                                                                                                                                                                                                                                                                                                            </t>
  </si>
  <si>
    <t xml:space="preserve">PARAFUSO FRANCES METRICO ZINCADO, DIAMETRO 12 MM, COMPRIMENTO 140MM, COM PORCA SEXTAVADA E ARRUELA DE PRESSAO MEDIA                                                                                                                                                                                                                                                                                                                                                                                       </t>
  </si>
  <si>
    <t xml:space="preserve">PARAFUSO FRANCES METRICO ZINCADO, DIAMETRO 12 MM, COMPRIMENTO 150 MM, COM PORCA SEXTAVADA E ARRUELA DE PRESSAO MEDIA                                                                                                                                                                                                                                                                                                                                                                                      </t>
  </si>
  <si>
    <t xml:space="preserve">PARAFUSO FRANCES M16 EM ACO GALVANIZADO, COMPRIMENTO = 150 MM, DIAMETRO = 16 MM, CABECA ABAULADA                                                                                                                                                                                                                                                                                                                                                                                                          </t>
  </si>
  <si>
    <t xml:space="preserve">PARAFUSO FRANCES M16 EM ACO GALVANIZADO, COMPRIMENTO = 45 MM, DIAMETRO = 16 MM, CABECA ABAULADA                                                                                                                                                                                                                                                                                                                                                                                                           </t>
  </si>
  <si>
    <t xml:space="preserve">PARAFUSO FRANCES ZINCADO, DIAMETRO 1/2'', COMPRIMENTO 2'', COM PORCA E ARRUELA                                                                                                                                                                                                                                                                                                                                                                                                                            </t>
  </si>
  <si>
    <t xml:space="preserve">PARAFUSO FRANCES ZINCADO, DIAMETRO 1/2", COMPRIMENTO 12", COM PORCA E ARRUELA LISA MEDIA                                                                                                                                                                                                                                                                                                                                                                                                                  </t>
  </si>
  <si>
    <t xml:space="preserve">PARAFUSO FRANCES ZINCADO, DIAMETRO 1/2", COMPRIMENTO 15", COM PORCA E ARRUELA LISA MEDIA                                                                                                                                                                                                                                                                                                                                                                                                                  </t>
  </si>
  <si>
    <t xml:space="preserve">PARAFUSO FRANCES ZINCADO, DIAMETRO 1/2", COMPRIMENTO 4", COM PORCA E ARRUELA                                                                                                                                                                                                                                                                                                                                                                                                                              </t>
  </si>
  <si>
    <t xml:space="preserve">PARAFUSO M16 EM ACO GALVANIZADO, COMPRIMENTO = 125 MM, DIAMETRO = 16 MM, ROSCA MAQUINA, CABECA QUADRADA                                                                                                                                                                                                                                                                                                                                                                                                   </t>
  </si>
  <si>
    <t xml:space="preserve">PARAFUSO M16 EM ACO GALVANIZADO, COMPRIMENTO = 150 MM, DIAMETRO = 16 MM, ROSCA MAQUINA, CABECA QUADRADA                                                                                                                                                                                                                                                                                                                                                                                                   </t>
  </si>
  <si>
    <t xml:space="preserve">PARAFUSO M16 EM ACO GALVANIZADO, COMPRIMENTO = 200 MM, DIAMETRO = 16 MM, ROSCA MAQUINA, CABECA QUADRADA                                                                                                                                                                                                                                                                                                                                                                                                   </t>
  </si>
  <si>
    <t xml:space="preserve">PARAFUSO M16 EM ACO GALVANIZADO, COMPRIMENTO = 250 MM, DIAMETRO = 16 MM, ROSCA MAQUINA, CABECA QUADRADA                                                                                                                                                                                                                                                                                                                                                                                                   </t>
  </si>
  <si>
    <t xml:space="preserve">PARAFUSO M16 EM ACO GALVANIZADO, COMPRIMENTO = 300 MM, DIAMETRO = 16 MM, ROSCA DUPLA                                                                                                                                                                                                                                                                                                                                                                                                                      </t>
  </si>
  <si>
    <t xml:space="preserve">PARAFUSO M16 EM ACO GALVANIZADO, COMPRIMENTO = 300 MM, DIAMETRO = 16 MM, ROSCA MAQUINA, CABECA QUADRADA                                                                                                                                                                                                                                                                                                                                                                                                   </t>
  </si>
  <si>
    <t xml:space="preserve">PARAFUSO M16 EM ACO GALVANIZADO, COMPRIMENTO = 350 MM, DIAMETRO = 16 MM, ROSCA MAQUINA, CABECA QUADRADA                                                                                                                                                                                                                                                                                                                                                                                                   </t>
  </si>
  <si>
    <t xml:space="preserve">PARAFUSO M16 EM ACO GALVANIZADO, COMPRIMENTO = 400 MM, DIAMETRO = 16 MM, ROSCA DUPLA                                                                                                                                                                                                                                                                                                                                                                                                                      </t>
  </si>
  <si>
    <t xml:space="preserve">PARAFUSO M16 EM ACO GALVANIZADO, COMPRIMENTO = 450 MM, DIAMETRO = 16 MM, ROSCA MAQUINA, CABECA QUADRADA                                                                                                                                                                                                                                                                                                                                                                                                   </t>
  </si>
  <si>
    <t xml:space="preserve">PARAFUSO M16 EM ACO GALVANIZADO, COMPRIMENTO = 500 MM, DIAMETRO = 16 MM, ROSCA MAQUINA, COM CABECA SEXTAVADA E PORCA                                                                                                                                                                                                                                                                                                                                                                                      </t>
  </si>
  <si>
    <t xml:space="preserve">PARAFUSO NIQUELADO COM ACABAMENTO CROMADO PARA FIXAR PECA SANITARIA, INCLUI PORCA CEGA, ARRUELA E BUCHA DE NYLON TAMANHO S-10                                                                                                                                                                                                                                                                                                                                                                             </t>
  </si>
  <si>
    <t>16,10</t>
  </si>
  <si>
    <t xml:space="preserve">PARAFUSO NIQUELADO 3 1/2" COM ACABAMENTO CROMADO PARA FIXAR PECA SANITARIA, INCLUI PORCA CEGA, ARRUELA E BUCHA DE NYLON TAMANHO S-8                                                                                                                                                                                                                                                                                                                                                                       </t>
  </si>
  <si>
    <t xml:space="preserve">PARAFUSO ROSCA SOBERBA ZINCADO CABECA CHATA FENDA SIMPLES 3,2 X 20 MM (3/4 ")                                                                                                                                                                                                                                                                                                                                                                                                                             </t>
  </si>
  <si>
    <t xml:space="preserve">PARAFUSO ROSCA SOBERBA ZINCADO CABECA CHATA FENDA SIMPLES 3,5 X 25 MM (1 ")                                                                                                                                                                                                                                                                                                                                                                                                                               </t>
  </si>
  <si>
    <t xml:space="preserve">PARAFUSO ROSCA SOBERBA ZINCADO CABECA CHATA FENDA SIMPLES 3,8 X 30 MM (1.1/4 ")                                                                                                                                                                                                                                                                                                                                                                                                                           </t>
  </si>
  <si>
    <t xml:space="preserve">PARAFUSO ROSCA SOBERBA ZINCADO CABECA CHATA FENDA SIMPLES 4,8 X 40 MM (1.1/2 ")                                                                                                                                                                                                                                                                                                                                                                                                                           </t>
  </si>
  <si>
    <t xml:space="preserve">PARAFUSO ROSCA SOBERBA ZINCADO CABECA CHATA FENDA SIMPLES 5,5 X 50 MM (2 ")                                                                                                                                                                                                                                                                                                                                                                                                                               </t>
  </si>
  <si>
    <t xml:space="preserve">PARAFUSO ROSCA SOBERBA ZINCADO CABECA CHATA FENDA SIMPLES 5,5 X 65 MM (2.1/2 ")                                                                                                                                                                                                                                                                                                                                                                                                                           </t>
  </si>
  <si>
    <t xml:space="preserve">PARAFUSO ZINCADO ROSCA SOBERBA 5/16 " X 120 MM PARA TELHA FIBROCIMENTO                                                                                                                                                                                                                                                                                                                                                                                                                                    </t>
  </si>
  <si>
    <t xml:space="preserve">PARAFUSO ZINCADO ROSCA SOBERBA, CABECA SEXTAVADA, 5/16 " X 110 MM, PARA FIXACAO DE TELHA EM MADEIRA                                                                                                                                                                                                                                                                                                                                                                                                       </t>
  </si>
  <si>
    <t xml:space="preserve">PARAFUSO ZINCADO ROSCA SOBERBA, CABECA SEXTAVADA, 5/16 " X 150 MM, PARA FIXACAO DE TELHA EM MADEIRA                                                                                                                                                                                                                                                                                                                                                                                                       </t>
  </si>
  <si>
    <t xml:space="preserve">PARAFUSO ZINCADO ROSCA SOBERBA, CABECA SEXTAVADA, 5/16 " X 180 MM, PARA FIXACAO DE TELHA EM MADEIRA                                                                                                                                                                                                                                                                                                                                                                                                       </t>
  </si>
  <si>
    <t xml:space="preserve">PARAFUSO ZINCADO ROSCA SOBERBA, CABECA SEXTAVADA, 5/16 " X 200 MM, PARA FIXACAO DE TELHA EM MADEIRA                                                                                                                                                                                                                                                                                                                                                                                                       </t>
  </si>
  <si>
    <t xml:space="preserve">PARAFUSO ZINCADO ROSCA SOBERBA, CABECA SEXTAVADA, 5/16 " X 230 MM, PARA FIXACAO DE TELHA EM MADEIRA                                                                                                                                                                                                                                                                                                                                                                                                       </t>
  </si>
  <si>
    <t xml:space="preserve">PARAFUSO ZINCADO ROSCA SOBERBA, CABECA SEXTAVADA, 5/16 " X 250 MM, PARA FIXACAO DE TELHA EM MADEIRA                                                                                                                                                                                                                                                                                                                                                                                                       </t>
  </si>
  <si>
    <t xml:space="preserve">PARAFUSO ZINCADO ROSCA SOBERBA, CABECA SEXTAVADA, 5/16 " X 50 MM, PARA FIXACAO DE TELHA EM MADEIRA                                                                                                                                                                                                                                                                                                                                                                                                        </t>
  </si>
  <si>
    <t xml:space="preserve">PARAFUSO ZINCADO ROSCA SOBERBA, CABECA SEXTAVADA, 5/16 " X 85 MM, PARA FIXACAO DE TELHA EM MADEIRA                                                                                                                                                                                                                                                                                                                                                                                                        </t>
  </si>
  <si>
    <t xml:space="preserve">PARAFUSO ZINCADO 5/16 " X 250 MM PARA FIXACAO DE TELHA DE FIBROCIMENTO CANALETE 49, INCLUI BUCHA NYLON S-10                                                                                                                                                                                                                                                                                                                                                                                               </t>
  </si>
  <si>
    <t xml:space="preserve">PARAFUSO ZINCADO 5/16 " X 85 MM PARA FIXACAO DE TELHA DE FIBROCIMENTO CANALETE 90, INCLUI BUCHA NYLON S-10                                                                                                                                                                                                                                                                                                                                                                                                </t>
  </si>
  <si>
    <t xml:space="preserve">PARAFUSO ZINCADO, AUTOBROCANTE, FLANGEADO, 4,2 MM X 19 MM                                                                                                                                                                                                                                                                                                                                                                                                                                                 </t>
  </si>
  <si>
    <t xml:space="preserve">PARAFUSO ZINCADO, SEXTAVADO, COM ROSCA INTEIRA, DIAMETRO 1/4", COMPRIMENTO 1/2"                                                                                                                                                                                                                                                                                                                                                                                                                           </t>
  </si>
  <si>
    <t xml:space="preserve">PARAFUSO ZINCADO, SEXTAVADO, COM ROSCA INTEIRA, DIAMETRO 3/8", COMPRIMENTO 2"                                                                                                                                                                                                                                                                                                                                                                                                                             </t>
  </si>
  <si>
    <t xml:space="preserve">PARAFUSO ZINCADO, SEXTAVADO, COM ROSCA INTEIRA, DIAMETRO 5/8", COMPRIMENTO 2 1/4"                                                                                                                                                                                                                                                                                                                                                                                                                         </t>
  </si>
  <si>
    <t xml:space="preserve">PARAFUSO ZINCADO, SEXTAVADO, COM ROSCA INTEIRA, DIAMETRO 5/8", COMPRIMENTO 3", COM PORCA E ARRUELA DE PRESSAO MEDIA                                                                                                                                                                                                                                                                                                                                                                                       </t>
  </si>
  <si>
    <t xml:space="preserve">PARAFUSO ZINCADO, SEXTAVADO, COM ROSCA SOBERBA, DIAMETRO 3/8", COMPRIMENTO 80 MM                                                                                                                                                                                                                                                                                                                                                                                                                          </t>
  </si>
  <si>
    <t xml:space="preserve">PARAFUSO ZINCADO, SEXTAVADO, COM ROSCA SOBERBA, DIAMETRO 5/16", COMPRIMENTO 40 MM                                                                                                                                                                                                                                                                                                                                                                                                                         </t>
  </si>
  <si>
    <t xml:space="preserve">PARAFUSO ZINCADO, SEXTAVADO, COM ROSCA SOBERBA, DIAMETRO 5/16", COMPRIMENTO 80 MM                                                                                                                                                                                                                                                                                                                                                                                                                         </t>
  </si>
  <si>
    <t xml:space="preserve">PARAFUSO ZINCADO, SEXTAVADO, GRAU 5, ROSCA INTEIRA, DIAMETRO 1 1/2", COMPRIMENTO 4"                                                                                                                                                                                                                                                                                                                                                                                                                       </t>
  </si>
  <si>
    <t xml:space="preserve">PARAFUSO, ASTM A307 - GRAU A, SEXTAVADO, ZINCADO, DIAMETRO 3/8" (9,52 MM), COMPRIMENTO 1 " (25,4 MM)                                                                                                                                                                                                                                                                                                                                                                                                      </t>
  </si>
  <si>
    <t>81,07</t>
  </si>
  <si>
    <t xml:space="preserve">PARAFUSO, AUTO ATARRACHANTE, CABECA CHATA, FENDA SIMPLES, 1/4 (6,35 MM) X 25 MM                                                                                                                                                                                                                                                                                                                                                                                                                          </t>
  </si>
  <si>
    <t xml:space="preserve">PARAFUSO, COMUM, ASTM A307, SEXTAVADO, DIAMETRO 1/2" (12,7 MM), COMPRIMENTO 1" (25,4 MM)                                                                                                                                                                                                                                                                                                                                                                                                                  </t>
  </si>
  <si>
    <t>132,80</t>
  </si>
  <si>
    <t xml:space="preserve">PARALELEPIPEDO GRANITICO OU BASALTICO, PARA PAVIMENTACAO, SEM FRETE (VARIACAO REGIONAL DE PECAS POR M2)                                                                                                                                                                                                                                                                                                                                                                                                   </t>
  </si>
  <si>
    <t>2.923,43</t>
  </si>
  <si>
    <t xml:space="preserve">PASTA LUBRIFICANTE PARA TUBOS E CONEXOES COM JUNTA ELASTICA, EMBALAGEM DE *400* GR (USO EM PVC, ACO, POLIETILENO E OUTROS)                                                                                                                                                                                                                                                                                                                                                                                </t>
  </si>
  <si>
    <t xml:space="preserve">PASTA PARA SOLDA DE TUBOS E CONEXOES DE COBRE (EMBALAGEM COM 250 G)                                                                                                                                                                                                                                                                                                                                                                                                                                       </t>
  </si>
  <si>
    <t xml:space="preserve">PASTA VEDA JUNTAS/ROSCA, EMBALAGEM DE *500* G, PARA INSTALACOES DE AGUA, GAS E OUTROS                                                                                                                                                                                                                                                                                                                                                                                                                     </t>
  </si>
  <si>
    <t xml:space="preserve">PASTILHA CERAMICA/PORCELANA, REVEST INT/EXT E  PISCINA, CORES BRANCA OU FRIAS, SOLIDAS, SEM MESCLAGEM/MISTURA, ACABAMENTO LISO *2,5 X 2,5* CM                                                                                                                                                                                                                                                                                                                                                             </t>
  </si>
  <si>
    <t xml:space="preserve">PASTILHA CERAMICA/PORCELANA, REVEST INT/EXT E  PISCINA, CORES BRANCA OU FRIAS, SOLIDAS, SEM MESCLAGEM/MISTURA, ACABAMENTO LISO *5 X 5* CM                                                                                                                                                                                                                                                                                                                                                                 </t>
  </si>
  <si>
    <t>136,56</t>
  </si>
  <si>
    <t xml:space="preserve">PASTILHA CERAMICA/PORCELANA, REVEST INT/EXT E  PISCINA, CORES LISAS/SOLIDAS, QUENTES, SEM MESCLAGEM/MISTURA, *2,5 X 2,5* CM                                                                                                                                                                                                                                                                                                                                                                               </t>
  </si>
  <si>
    <t>230,65</t>
  </si>
  <si>
    <t xml:space="preserve">PASTILHA CERAMICA/PORCELANA, REVEST INT/EXT E  PISCINA, CORES LISAS/SOLIDAS, QUENTES, SEM MESCLAGEM/MISTURA, *5 X 5* CM                                                                                                                                                                                                                                                                                                                                                                                   </t>
  </si>
  <si>
    <t>163,29</t>
  </si>
  <si>
    <t xml:space="preserve">PASTILHEIRO                                                                                                                                                                                                                                                                                                                                                                                                                                                                                               </t>
  </si>
  <si>
    <t xml:space="preserve">PASTILHEIRO (MENSALISTA)                                                                                                                                                                                                                                                                                                                                                                                                                                                                                  </t>
  </si>
  <si>
    <t>3.457,03</t>
  </si>
  <si>
    <t xml:space="preserve">PATCH CORD, CATEGORIA 5 E, EXTENSAO DE 1,50 M                                                                                                                                                                                                                                                                                                                                                                                                                                                             </t>
  </si>
  <si>
    <t xml:space="preserve">PATCH CORD, CATEGORIA 5 E, EXTENSAO DE 2,50 M                                                                                                                                                                                                                                                                                                                                                                                                                                                             </t>
  </si>
  <si>
    <t xml:space="preserve">PATCH CORD, CATEGORIA 6, EXTENSAO DE 1,50 M                                                                                                                                                                                                                                                                                                                                                                                                                                                               </t>
  </si>
  <si>
    <t xml:space="preserve">PATCH CORD, CATEGORIA 6, EXTENSAO DE 2,50 M                                                                                                                                                                                                                                                                                                                                                                                                                                                               </t>
  </si>
  <si>
    <t>47,01</t>
  </si>
  <si>
    <t xml:space="preserve">PATCH PANEL, 24 PORTAS, CATEGORIA 5E, COM RACKS DE 19" E 1 U DE ALTURA                                                                                                                                                                                                                                                                                                                                                                                                                                    </t>
  </si>
  <si>
    <t>445,00</t>
  </si>
  <si>
    <t xml:space="preserve">PATCH PANEL, 24 PORTAS, CATEGORIA 6, COM RACKS DE 19" E 1 U DE ALTURA                                                                                                                                                                                                                                                                                                                                                                                                                                     </t>
  </si>
  <si>
    <t>775,62</t>
  </si>
  <si>
    <t xml:space="preserve">PATCH PANEL, 48 PORTAS, CATEGORIA 5E, COM RACKS DE 19" E 2 U DE ALTURA                                                                                                                                                                                                                                                                                                                                                                                                                                    </t>
  </si>
  <si>
    <t>651,07</t>
  </si>
  <si>
    <t xml:space="preserve">PATCH PANEL, 48 PORTAS, CATEGORIA 6, COM RACKS DE 19" E 2 U DE ALTURA                                                                                                                                                                                                                                                                                                                                                                                                                                     </t>
  </si>
  <si>
    <t>1.045,96</t>
  </si>
  <si>
    <t xml:space="preserve">PEDRA ARDOSIA, CINZA, *40 X 40* CM, E= *1 CM                                                                                                                                                                                                                                                                                                                                                                                                                                                              </t>
  </si>
  <si>
    <t xml:space="preserve">PEDRA ARDOSIA, CINZA, 20  X  40 CM,  E=  *1 CM                                                                                                                                                                                                                                                                                                                                                                                                                                                            </t>
  </si>
  <si>
    <t xml:space="preserve">PEDRA ARDOSIA, CINZA, 30  X  30,  E= *1 CM                                                                                                                                                                                                                                                                                                                                                                                                                                                                </t>
  </si>
  <si>
    <t>30,29</t>
  </si>
  <si>
    <t xml:space="preserve">PEDRA BRITADA GRADUADA, CLASSIFICADA (POSTO PEDREIRA/FORNECEDOR, SEM FRETE)                                                                                                                                                                                                                                                                                                                                                                                                                               </t>
  </si>
  <si>
    <t>78,93</t>
  </si>
  <si>
    <t xml:space="preserve">PEDRA BRITADA N. 0, OU PEDRISCO (4,8 A 9,5 MM) POSTO PEDREIRA/FORNECEDOR, SEM FRETE                                                                                                                                                                                                                                                                                                                                                                                                                       </t>
  </si>
  <si>
    <t>90,44</t>
  </si>
  <si>
    <t xml:space="preserve">PEDRA BRITADA N. 1 (9,5 a 19 MM) POSTO PEDREIRA/FORNECEDOR, SEM FRETE                                                                                                                                                                                                                                                                                                                                                                                                                                     </t>
  </si>
  <si>
    <t>78,33</t>
  </si>
  <si>
    <t xml:space="preserve">PEDRA BRITADA N. 2 (19 A 38 MM) POSTO PEDREIRA/FORNECEDOR, SEM FRETE                                                                                                                                                                                                                                                                                                                                                                                                                                      </t>
  </si>
  <si>
    <t>78,75</t>
  </si>
  <si>
    <t xml:space="preserve">PEDRA BRITADA N. 3 (38 A 50 MM) POSTO PEDREIRA/FORNECEDOR, SEM FRETE                                                                                                                                                                                                                                                                                                                                                                                                                                      </t>
  </si>
  <si>
    <t xml:space="preserve">PEDRA BRITADA N. 4 (50 A 76 MM) POSTO PEDREIRA/FORNECEDOR, SEM FRETE                                                                                                                                                                                                                                                                                                                                                                                                                                      </t>
  </si>
  <si>
    <t>73,35</t>
  </si>
  <si>
    <t xml:space="preserve">PEDRA BRITADA N. 5 (76 A 100 MM) POSTO PEDREIRA/FORNECEDOR, SEM FRETE                                                                                                                                                                                                                                                                                                                                                                                                                                     </t>
  </si>
  <si>
    <t xml:space="preserve">PEDRA BRITADA OU BICA CORRIDA, NAO CLASSIFICADA (POSTO PEDREIRA/FORNECEDOR, SEM FRETE)                                                                                                                                                                                                                                                                                                                                                                                                                    </t>
  </si>
  <si>
    <t>72,35</t>
  </si>
  <si>
    <t xml:space="preserve">PEDRA DE MAO OU PEDRA RACHAO PARA ARRIMO/FUNDACAO (POSTO PEDREIRA/FORNECEDOR, SEM FRETE)                                                                                                                                                                                                                                                                                                                                                                                                                  </t>
  </si>
  <si>
    <t xml:space="preserve">PEDRA GRANITICA OU BASALTICA IRREGULAR, FAIXA GRANULOMETRICA 100 A 150 MM PARA PAVIMENTACAO OU CALCAMENTO POLIEDRICO, POSTO PEDREIRA / FORNECEDOR (SEM FRETE)                                                                                                                                                                                                                                                                                                                                             </t>
  </si>
  <si>
    <t xml:space="preserve">PEDRA GRANITICA OU BASALTO, CACO, RETALHO, CAVACO, TIPO MIRACEMA, MADEIRA, PADUANA, RACHINHA, SANTA ISABEL OU OUTRAS SIMILARES, E=  *1,0 A *2,0 CM                                                                                                                                                                                                                                                                                                                                                        </t>
  </si>
  <si>
    <t>98,45</t>
  </si>
  <si>
    <t xml:space="preserve">PEDRA GRANITICA, SERRADA, TIPO MIRACEMA, MADEIRA, PADUANA, RACHINHA, SANTA ISABEL OU OUTRAS SIMILARES, *11,5 X  *23 CM, E=  *1,0 A *2,0 CM                                                                                                                                                                                                                                                                                                                                                                </t>
  </si>
  <si>
    <t xml:space="preserve">PEDRA PORTUGUESA  OU PETIT PAVE, BRANCA OU PRETA                                                                                                                                                                                                                                                                                                                                                                                                                                                          </t>
  </si>
  <si>
    <t>113,60</t>
  </si>
  <si>
    <t xml:space="preserve">PEDRA QUARTZITO OU CALCARIO LAMINADO, CACO, TIPO CARIRI, ITACOLOMI, LAGOA SANTA, LUMINARIA, PIRENOPOLIS, SAO TOME OU OUTRAS SIMILARES DA REGIAO, E=  *1,5 A *2,5 CM                                                                                                                                                                                                                                                                                                                                       </t>
  </si>
  <si>
    <t>55,54</t>
  </si>
  <si>
    <t xml:space="preserve">PEDRA QUARTZITO OU CALCARIO LAMINADO, SERRADA, TIPO CARIRI, ITACOLOMI, LAGOA SANTA, LUMINARIA, PIRENOPOLIS, SAO TOME OU OUTRAS SIMILARES DA REGIAO, *20 X *40 CM, E=  *1,5 A *2,5 CM                                                                                                                                                                                                                                                                                                                      </t>
  </si>
  <si>
    <t>178,10</t>
  </si>
  <si>
    <t xml:space="preserve">PEDREGULHO OU PICARRA DE JAZIDA, AO NATURAL, PARA BASE DE PAVIMENTACAO (RETIRADO NA JAZIDA, SEM TRANSPORTE)                                                                                                                                                                                                                                                                                                                                                                                               </t>
  </si>
  <si>
    <t>54,99</t>
  </si>
  <si>
    <t xml:space="preserve">PEDREIRO                                                                                                                                                                                                                                                                                                                                                                                                                                                                                                  </t>
  </si>
  <si>
    <t xml:space="preserve">PEDREIRO (MENSALISTA)                                                                                                                                                                                                                                                                                                                                                                                                                                                                                     </t>
  </si>
  <si>
    <t xml:space="preserve">PEITORIL EM MARMORE, POLIDO, BRANCO COMUM, L= *15* CM, E=  *2,0* CM, COM PINGADEIRA                                                                                                                                                                                                                                                                                                                                                                                                                       </t>
  </si>
  <si>
    <t xml:space="preserve">PEITORIL EM MARMORE, POLIDO, BRANCO COMUM, L= *15* CM, E=  *3* CM, CORTE RETO                                                                                                                                                                                                                                                                                                                                                                                                                             </t>
  </si>
  <si>
    <t xml:space="preserve">PEITORIL PRE-MOLDADO EM GRANILITE, MARMORITE OU GRANITINA, L = *15* CM                                                                                                                                                                                                                                                                                                                                                                                                                                    </t>
  </si>
  <si>
    <t xml:space="preserve">PEITORIL/ SOLEIRA EM MARMORE, POLIDO, BRANCO COMUM, L= *25* CM, E=  *3* CM, CORTE RETO                                                                                                                                                                                                                                                                                                                                                                                                                    </t>
  </si>
  <si>
    <t xml:space="preserve">PELICULA REFLETIVA, GT 7 ANOS PARA SINALIZACAO VERTICAL                                                                                                                                                                                                                                                                                                                                                                                                                                                   </t>
  </si>
  <si>
    <t xml:space="preserve">PENDURAL OU PRESILHA REGULADORA, EM ACO GALVANIZADO, COM CORPO, MOLA E REBITE, PARA PERFIL TIPO CANALETA DE ESTRUTURA EM FORROS DRYWALL                                                                                                                                                                                                                                                                                                                                                                   </t>
  </si>
  <si>
    <t xml:space="preserve">PENDURAL OU REGULADOR, COM MOLA, EM ACO GALVANIZADO, PARA PERFIL TIPO T CLICADO DE FORROS REMOVIVEL                                                                                                                                                                                                                                                                                                                                                                                                       </t>
  </si>
  <si>
    <t xml:space="preserve">PENEIRA ROTATIVA COM MOTOR ELETRICO TRIFASICO DE 2 CV, CILINDRO DE 1 M X 0,60 M, COM FUROS DE 3,17 MM                                                                                                                                                                                                                                                                                                                                                                                                     </t>
  </si>
  <si>
    <t>13.856,67</t>
  </si>
  <si>
    <t xml:space="preserve">PERFIL "H" DE ACO LAMINADO, "HP" 250 X 62,0                                                                                                                                                                                                                                                                                                                                                                                                                                                               </t>
  </si>
  <si>
    <t xml:space="preserve">PERFIL "H" DE ACO LAMINADO, "HP" 310 X 79,0                                                                                                                                                                                                                                                                                                                                                                                                                                                               </t>
  </si>
  <si>
    <t xml:space="preserve">PERFIL "H" DE ACO LAMINADO, "W" 200 X 35,9                                                                                                                                                                                                                                                                                                                                                                                                                                                                </t>
  </si>
  <si>
    <t xml:space="preserve">PERFIL "I" DE ACO LAMINADO, ABAS INCLINADAS, "I" 102 X 12,7                                                                                                                                                                                                                                                                                                                                                                                                                                               </t>
  </si>
  <si>
    <t xml:space="preserve">PERFIL "I" DE ACO LAMINADO, ABAS INCLINADAS, "I" 152 X 22                                                                                                                                                                                                                                                                                                                                                                                                                                                 </t>
  </si>
  <si>
    <t xml:space="preserve">PERFIL "I" DE ACO LAMINADO, ABAS INCLINADAS, "I" 203 X 34,3                                                                                                                                                                                                                                                                                                                                                                                                                                               </t>
  </si>
  <si>
    <t xml:space="preserve">PERFIL "I" DE ACO LAMINADO, ABAS PARALELAS, "W", QUALQUER BITOLA                                                                                                                                                                                                                                                                                                                                                                                                                                          </t>
  </si>
  <si>
    <t xml:space="preserve">PERFIL "U" DE ACO LAMINADO, "U" 102 X 9,3                                                                                                                                                                                                                                                                                                                                                                                                                                                                 </t>
  </si>
  <si>
    <t xml:space="preserve">PERFIL "U" DE ACO LAMINADO, "U" 152 X 15,6                                                                                                                                                                                                                                                                                                                                                                                                                                                                </t>
  </si>
  <si>
    <t xml:space="preserve">PERFIL "U" EM CHAPA ACO DOBRADA, E = 3,04 MM, H = 20 CM, ABAS = 5 CM (4,47 KG/M)                                                                                                                                                                                                                                                                                                                                                                                                                          </t>
  </si>
  <si>
    <t xml:space="preserve">PERFIL "U" ENRIJECIDO DE ACO GALVANIZADO, DOBRADO, 150 X 60 X 20 MM, E = 3,00 MM OU 200 X 75 X 25 MM, E = 3,75 MM                                                                                                                                                                                                                                                                                                                                                                                         </t>
  </si>
  <si>
    <t xml:space="preserve">PERFIL "U" SIMPLES DE ACO GALVANIZADO DOBRADO 75 X *40* MM, E = 2,65 MM                                                                                                                                                                                                                                                                                                                                                                                                                                   </t>
  </si>
  <si>
    <t xml:space="preserve">PERFIL CANALETA, FORMATO C, EM ACO ZINCADO, PARA ESTRUTURA FORRO DRYWALL, E = 0,5 MM, *46 X 18* (L X H), COMPRIMENTO 3 M                                                                                                                                                                                                                                                                                                                                                                                  </t>
  </si>
  <si>
    <t xml:space="preserve">PERFIL CANTONEIRA L, LISA, EM ACO, 25 X 30 MM, E = 0,5 MM, PARA ESTRUTURA DRYWALL                                                                                                                                                                                                                                                                                                                                                                                                                         </t>
  </si>
  <si>
    <t>4,04</t>
  </si>
  <si>
    <t xml:space="preserve">PERFIL CANTONEIRA L, PERFURADA, EM ACO, 23 X 23 MM, E = 0,5 MM, PARA ESTRUTURA DRYWALL                                                                                                                                                                                                                                                                                                                                                                                                                    </t>
  </si>
  <si>
    <t xml:space="preserve">PERFIL CARTOLA DE ACO GALVANIZADO, *20 X 30 X 10* MM, E =  0,8 MM                                                                                                                                                                                                                                                                                                                                                                                                                                         </t>
  </si>
  <si>
    <t xml:space="preserve">PERFIL DE ALUMINIO ANODIZADO                                                                                                                                                                                                                                                                                                                                                                                                                                                                              </t>
  </si>
  <si>
    <t xml:space="preserve">PERFIL DE BORRACHA EPDM MACICO *12 X 15* MM PARA ESQUADRIAS                                                                                                                                                                                                                                                                                                                                                                                                                                               </t>
  </si>
  <si>
    <t xml:space="preserve">PERFIL ELASTOMERICO PRE-FORMADO EM EPMD, PARA JUNTA DE DILATACAO DE PISOS COM POUCA SOLICITACAO, 15 MM DE LARGURA, MOVIMENTACAO DE *11 A 19* MM                                                                                                                                                                                                                                                                                                                                                           </t>
  </si>
  <si>
    <t>163,77</t>
  </si>
  <si>
    <t xml:space="preserve">PERFIL ELASTOMERICO PRE-FORMADO EM EPMD, PARA JUNTA DE DILATACAO DE USO GERAL EM MEDIAS SOLICITACOES, 8 MM DE LARGURA, MOVIMENTACAO DE *5 A 11* MM                                                                                                                                                                                                                                                                                                                                                        </t>
  </si>
  <si>
    <t xml:space="preserve">PERFIL GUIA, FORMATO U, EM ACO ZINCADO, PARA ESTRUTURA PAREDE DRYWALL, E = 0,5 MM, 48  X 3000 MM (L X C)                                                                                                                                                                                                                                                                                                                                                                                                  </t>
  </si>
  <si>
    <t xml:space="preserve">PERFIL GUIA, FORMATO U, EM ACO ZINCADO, PARA ESTRUTURA PAREDE DRYWALL, E = 0,5 MM, 70 X 3000 MM (L X C)                                                                                                                                                                                                                                                                                                                                                                                                   </t>
  </si>
  <si>
    <t xml:space="preserve">PERFIL GUIA, FORMATO U, EM ACO ZINCADO, PARA ESTRUTURA PAREDE DRYWALL, E = 0,5 MM, 90 X 3000 MM (L X C)                                                                                                                                                                                                                                                                                                                                                                                                   </t>
  </si>
  <si>
    <t xml:space="preserve">PERFIL LONGARINA (PRINCIPAL), T CLICADO, EM ACO, BRANCO, PARA FORRO REMOVIVEL, 24 X 3750 MM (L X C)                                                                                                                                                                                                                                                                                                                                                                                                       </t>
  </si>
  <si>
    <t xml:space="preserve">PERFIL MONTANTE, FORMATO C, EM ACO ZINCADO, PARA ESTRUTURA PAREDE DRYWALL, E = 0,5 MM, 48 X 3000 MM (L X C)                                                                                                                                                                                                                                                                                                                                                                                               </t>
  </si>
  <si>
    <t xml:space="preserve">PERFIL MONTANTE, FORMATO C, EM ACO ZINCADO, PARA ESTRUTURA PAREDE DRYWALL, E = 0,5 MM, 70 X 3000 MM (L X C)                                                                                                                                                                                                                                                                                                                                                                                               </t>
  </si>
  <si>
    <t xml:space="preserve">PERFIL MONTANTE, FORMATO C, EM ACO ZINCADO, PARA ESTRUTURA PAREDE DRYWALL, E = 0,5 MM, 90 X 3000 MM (L X C)                                                                                                                                                                                                                                                                                                                                                                                               </t>
  </si>
  <si>
    <t xml:space="preserve">PERFIL RODAPE DE IMPERMEABILIZACAO, FORMATO L, EM ACO ZINCADO, PARA ESTRUTURA DRYWALL, E = 0,5 MM, 220 X 3000 MM (H X C)                                                                                                                                                                                                                                                                                                                                                                                  </t>
  </si>
  <si>
    <t xml:space="preserve">PERFIL TABICA ABERTA, PERFURADA, FORMATO Z, EM ACO GALVANIZADO NATURAL, LARGURA APROXIMADA 40 MM, PARA ESTRUTURA FORRO DRYWALL                                                                                                                                                                                                                                                                                                                                                                            </t>
  </si>
  <si>
    <t xml:space="preserve">PERFIL TABICA FECHADA, LISA, FORMATO Z, EM ACO GALVANIZADO NATURAL, LARGURA TOTAL NA HORIZONTAL *40* MM, PARA ESTRUTURA FORRO DRYWALL                                                                                                                                                                                                                                                                                                                                                                     </t>
  </si>
  <si>
    <t xml:space="preserve">PERFIL TIPO CANTONEIRA EM L, EM ACO GALVANIZADO, BRANCO, PARA FORRO REMOVIVEL, *23* X 3000 MM (L X C)                                                                                                                                                                                                                                                                                                                                                                                                     </t>
  </si>
  <si>
    <t xml:space="preserve">PERFIL TRAVESSA (SECUNDARIO), T CLICADO, EM ACO GALVANIZADO , BRANCO, PARA FORRO REMOVIVEL, 24 X 1250 MM (L X C)                                                                                                                                                                                                                                                                                                                                                                                          </t>
  </si>
  <si>
    <t xml:space="preserve">PERFIL TRAVESSA (SECUNDARIO), T CLICADO, EM ACO GALVANIZADO, BRANCO, PARA FORRO REMOVIVEL, 24 X 625 MM (L X C)                                                                                                                                                                                                                                                                                                                                                                                            </t>
  </si>
  <si>
    <t xml:space="preserve">PERFIL U DE ABAS IGUAIS, EM ALUMINIO, 1/2" (1,27 X 1,27 CM), PARA PORTA OU JANELA DE CORRER                                                                                                                                                                                                                                                                                                                                                                                                               </t>
  </si>
  <si>
    <t xml:space="preserve">PERFIL UDC ("U" DOBRADO DE CHAPA) SIMPLES DE ACO LAMINADO, GALVANIZADO, ASTM A36, 127 X 50 MM, E= 3 MM                                                                                                                                                                                                                                                                                                                                                                                                    </t>
  </si>
  <si>
    <t xml:space="preserve">PERFILADO PERFURADO DUPLO 38 X 76 MM, CHAPA 22                                                                                                                                                                                                                                                                                                                                                                                                                                                            </t>
  </si>
  <si>
    <t xml:space="preserve">PERFILADO PERFURADO SIMPLES 38 X 38 MM, CHAPA 22                                                                                                                                                                                                                                                                                                                                                                                                                                                          </t>
  </si>
  <si>
    <t xml:space="preserve">PERFILADO PERFURADO 19 X 38 MM, CHAPA 22                                                                                                                                                                                                                                                                                                                                                                                                                                                                  </t>
  </si>
  <si>
    <t xml:space="preserve">PERFURATRIZ COM TORRE METALICA PARA EXECUCAO DE ESTACA HELICE CONTINUA, PROFUNDIDADE MAXIMA DE 30 M, DIAMETRO MAXIMO DE 800 MM, POTENCIA INSTALADA DE 268 HP, MESA ROTATIVA COM TORQUE MAXIMO DE 170 KNM                                                                                                                                                                                                                                                                                                  </t>
  </si>
  <si>
    <t>4.171.710,49</t>
  </si>
  <si>
    <t xml:space="preserve">PERFURATRIZ COM TORRE METALICA PARA EXECUCAO DE ESTACA HELICE CONTINUA, PROFUNDIDADE MAXIMA DE 32 M, DIAMETRO MAXIMO DE 1000 MM, POTENCIA INSTALADA DE 350 HP, MESA ROTATIVA COM TORQUE MAXIMO DE 263 KNM                                                                                                                                                                                                                                                                                                 </t>
  </si>
  <si>
    <t>6.486.842,06</t>
  </si>
  <si>
    <t xml:space="preserve">PERFURATRIZ HIDRAULICA COM TRADO CURTO ACOPLADO, PROFUNDIDADE MAXIMA DE 20 M, DIAMETRO MAXIMO DE 1500 MM, POTENCIA INSTALADA DE 137 HP, MESA ROTATIVA COM TORQUE MAXIMO DE 30 KNM (INCLUI MONTAGEM, NAO INCLUI CAMINHAO)                                                                                                                                                                                                                                                                                  </t>
  </si>
  <si>
    <t>1.588.157,93</t>
  </si>
  <si>
    <t xml:space="preserve">PERFURATRIZ MANUAL, TORQUE MAXIMO 55 KGF.M, POTENCIA 5 CV, COM DIAMETRO MAXIMO 8 1/2" (INCLUI SUPORTE/CHASSI TIPO MESA)                                                                                                                                                                                                                                                                                                                                                                                   </t>
  </si>
  <si>
    <t>63.867,34</t>
  </si>
  <si>
    <t xml:space="preserve">PERFURATRIZ MANUAL, TORQUE MAXIMO 83 N.M, POTENCIA 5 CV, COM DIAMETRO MAXIMO 4" (NAO INCLUI SUPORTE / CHASSI)                                                                                                                                                                                                                                                                                                                                                                                             </t>
  </si>
  <si>
    <t>9.203,93</t>
  </si>
  <si>
    <t xml:space="preserve">PERFURATRIZ MANUAL, TORQUE MAXIMO 83 N.M, POTENCIA 5 CV, COM DIAMETRO MAXIMO 4", PARA SOLO GRAMPEADO (INCLUI SUPORTE OU CHASSI TIPO MESA)                                                                                                                                                                                                                                                                                                                                                                 </t>
  </si>
  <si>
    <t>28.812,33</t>
  </si>
  <si>
    <t xml:space="preserve">PERFURATRIZ PNEUMATICA MANUAL DE PESO MEDIO, 18KG, COMPRIMENTO DE CURSO DE 6 M, DIAMETRO DO PISTAO DE 5,5 CM                                                                                                                                                                                                                                                                                                                                                                                              </t>
  </si>
  <si>
    <t>15.757,87</t>
  </si>
  <si>
    <t xml:space="preserve">PERFURATRIZ SOBRE ESTEIRA, TORQUE MAXIMO DE 600 KGF, POTENCIA ENTRE 50 E 60 HP, DIAMETRO MAXIMO DE 10"                                                                                                                                                                                                                                                                                                                                                                                                    </t>
  </si>
  <si>
    <t>871.250,00</t>
  </si>
  <si>
    <t xml:space="preserve">PERFURATRIZ SOBRE ESTEIRA, TORQUE MAXIMO 600 KGF, PESO MEDIO 1000 KG, POTENCIA 20 HP, DIAMETRO MAXIMO 10"                                                                                                                                                                                                                                                                                                                                                                                                 </t>
  </si>
  <si>
    <t>909.028,93</t>
  </si>
  <si>
    <t xml:space="preserve">PICAPE CABINE SIMPLES COM MOTOR 1.6 FLEX, CAMBIO MANUAL, POTENCIA 101/104 CV, 2 PORTAS                                                                                                                                                                                                                                                                                                                                                                                                                    </t>
  </si>
  <si>
    <t>64.543,90</t>
  </si>
  <si>
    <t xml:space="preserve">PILAR QUADRADO NAO APARELHADO *10 X 10* CM, EM MACARANDUBA, ANGELIM OU EQUIVALENTE DA REGIAO - BRUTA                                                                                                                                                                                                                                                                                                                                                                                                      </t>
  </si>
  <si>
    <t xml:space="preserve">PILAR QUADRADO NAO APARELHADO *15 X 15* CM, EM MACARANDUBA, ANGELIM OU EQUIVALENTE DA REGIAO - BRUTA                                                                                                                                                                                                                                                                                                                                                                                                      </t>
  </si>
  <si>
    <t>111,48</t>
  </si>
  <si>
    <t xml:space="preserve">PILAR QUADRADO NAO APARELHADO *20 X 20* CM, EM MACARANDUBA, ANGELIM OU EQUIVALENTE DA REGIAO - BRUTA                                                                                                                                                                                                                                                                                                                                                                                                      </t>
  </si>
  <si>
    <t>193,98</t>
  </si>
  <si>
    <t xml:space="preserve">PINCEL CHATO (TRINCHA) CERDAS GRIS 1.1/2 " (38 MM)                                                                                                                                                                                                                                                                                                                                                                                                                                                        </t>
  </si>
  <si>
    <t xml:space="preserve">PINGADEIRA PLASTICA PARA TELHA DE FIBROCIMENTO CANALETE 49/KALHETA OU CANALETE 90/KALHETAO                                                                                                                                                                                                                                                                                                                                                                                                                </t>
  </si>
  <si>
    <t xml:space="preserve">PINO DE ACO COM ARRUELA CONICA, DIAMETRO ARRUELA = *23* MM E COMP HASTE = *27* MM (ACAO INDIRETA)                                                                                                                                                                                                                                                                                                                                                                                                         </t>
  </si>
  <si>
    <t xml:space="preserve">PINO DE ACO COM FURO, HASTE = 27 MM (ACAO DIRETA)                                                                                                                                                                                                                                                                                                                                                                                                                                                         </t>
  </si>
  <si>
    <t>40,21</t>
  </si>
  <si>
    <t xml:space="preserve">PINO DE ACO COM ROSCA 1/4 ", COMPRIMENTO DA HASTE = 30 MM E ROSCA = 20 MM (ACAO DIRETA)                                                                                                                                                                                                                                                                                                                                                                                                                   </t>
  </si>
  <si>
    <t xml:space="preserve">PINO DE ACO LISO 1/4 ", HASTE = *36,5* MM (ACAO DIRETA)                                                                                                                                                                                                                                                                                                                                                                                                                                                   </t>
  </si>
  <si>
    <t xml:space="preserve">PINO DE ACO LISO 1/4 ", HASTE = *53* MM (ACAO DIRETA)                                                                                                                                                                                                                                                                                                                                                                                                                                                     </t>
  </si>
  <si>
    <t xml:space="preserve">PINO GUIA RETO, EM LATAO, CHAPA COM 3 MM DE ESPESSURA E GUIA COM ROLETE DE 9 MM                                                                                                                                                                                                                                                                                                                                                                                                                           </t>
  </si>
  <si>
    <t xml:space="preserve">PINO ROSCA EXTERNA, EM ACO GALVANIZADO, PARA ISOLADOR DE 15KV, DIAMETRO 25 MM, COMPRIMENTO *290* MM                                                                                                                                                                                                                                                                                                                                                                                                       </t>
  </si>
  <si>
    <t xml:space="preserve">PINO ROSCA EXTERNA, EM ACO GALVANIZADO, PARA ISOLADOR DE 25KV, DIAMETRO 35MM, COMPRIMENTO *320* MM                                                                                                                                                                                                                                                                                                                                                                                                        </t>
  </si>
  <si>
    <t xml:space="preserve">PINTOR                                                                                                                                                                                                                                                                                                                                                                                                                                                                                                    </t>
  </si>
  <si>
    <t xml:space="preserve">PINTOR (MENSALISTA)                                                                                                                                                                                                                                                                                                                                                                                                                                                                                       </t>
  </si>
  <si>
    <t xml:space="preserve">PINTOR DE LETREIROS                                                                                                                                                                                                                                                                                                                                                                                                                                                                                       </t>
  </si>
  <si>
    <t xml:space="preserve">PINTOR DE LETREIROS (MENSALISTA)                                                                                                                                                                                                                                                                                                                                                                                                                                                                          </t>
  </si>
  <si>
    <t>4.334,82</t>
  </si>
  <si>
    <t xml:space="preserve">PINTOR PARA TINTA EPOXI                                                                                                                                                                                                                                                                                                                                                                                                                                                                                   </t>
  </si>
  <si>
    <t>20,12</t>
  </si>
  <si>
    <t xml:space="preserve">PINTOR PARA TINTA EPOXI (MENSALISTA)                                                                                                                                                                                                                                                                                                                                                                                                                                                                      </t>
  </si>
  <si>
    <t>3.538,62</t>
  </si>
  <si>
    <t xml:space="preserve">PISO DE BORRACHA CANELADO EM PLACAS 50 X 50 CM, E = *3,5* MM, PARA COLA                                                                                                                                                                                                                                                                                                                                                                                                                                   </t>
  </si>
  <si>
    <t xml:space="preserve">PISO DE BORRACHA ESPORTIVO EM PLACAS 50 X 50 CM, E = 15 MM, PARA ARGAMASSA, PRETO                                                                                                                                                                                                                                                                                                                                                                                                                         </t>
  </si>
  <si>
    <t>318,52</t>
  </si>
  <si>
    <t xml:space="preserve">PISO DE BORRACHA FRISADO OU PASTILHADO, PRETO, EM PLACAS 50 X 50 CM, E = 7 MM, PARA ARGAMASSA                                                                                                                                                                                                                                                                                                                                                                                                             </t>
  </si>
  <si>
    <t>193,46</t>
  </si>
  <si>
    <t xml:space="preserve">PISO DE BORRACHA PASTILHADO EM PLACAS 50 X 50 CM, E = *3,5* MM, PARA COLA, PRETO                                                                                                                                                                                                                                                                                                                                                                                                                          </t>
  </si>
  <si>
    <t>53,20</t>
  </si>
  <si>
    <t xml:space="preserve">PISO DE BORRACHA PASTILHADO EM PLACAS 50 X 50 CM, E = 15 MM, PARA ARGAMASSA, PRETO                                                                                                                                                                                                                                                                                                                                                                                                                        </t>
  </si>
  <si>
    <t>310,06</t>
  </si>
  <si>
    <t xml:space="preserve">PISO ELEVADO COM 2 PLACAS DE ACO COM ENCHIMENTO DE CONCRETO CELULAR, INCLUSO BASE/HASTE/CRUZETAS, 60 X 60 CM, H = *28* CM, RESISTENCIA CARGA CONCENTRADA 496 KG (COM COLOCACAO)                                                                                                                                                                                                                                                                                                                           </t>
  </si>
  <si>
    <t>417,64</t>
  </si>
  <si>
    <t xml:space="preserve">PISO EM CERAMICA ESMALTADA EXTRA, PEI MAIOR OU IGUAL A 4, FORMATO MAIOR QUE 2025 CM2                                                                                                                                                                                                                                                                                                                                                                                                                      </t>
  </si>
  <si>
    <t xml:space="preserve">PISO EM CERAMICA ESMALTADA EXTRA, PEI MAIOR OU IGUAL A 4, FORMATO MENOR OU IGUAL A 2025 CM2                                                                                                                                                                                                                                                                                                                                                                                                               </t>
  </si>
  <si>
    <t xml:space="preserve">PISO EM CERAMICA ESMALTADA, COMERCIAL (PADRAO POPULAR), PEI MAIOR OU IGUAL A 3, FORMATO MENOR OU IGUAL A  2025 CM2                                                                                                                                                                                                                                                                                                                                                                                        </t>
  </si>
  <si>
    <t xml:space="preserve">PISO EM GRANILITE, MARMORITE OU GRANITINA, AGREGADO COR PRETO, CINZA, PALHA OU BRANCO, E=  *8* MM (INCLUSO EXECUCAO)                                                                                                                                                                                                                                                                                                                                                                                      </t>
  </si>
  <si>
    <t xml:space="preserve">PISO EM GRANITO, POLIDO, TIPO AMENDOA/ AMARELO CAPRI/ AMARELO DOURADO CARIOCA OU OUTROS EQUIVALENTES DA REGIAO, FORMATO MENOR OU IGUAL A 3025 CM2, E=  *2* CM                                                                                                                                                                                                                                                                                                                                             </t>
  </si>
  <si>
    <t xml:space="preserve">PISO EM GRANITO, POLIDO, TIPO ANDORINHA/ QUARTZ/ CASTELO/ CORUMBA OU OUTROS EQUIVALENTES DA REGIAO, FORMATO MENOR OU IGUAL A 3025 CM2, E=  *2* CM                                                                                                                                                                                                                                                                                                                                                         </t>
  </si>
  <si>
    <t xml:space="preserve">PISO EM GRANITO, POLIDO, TIPO MARFIM, DALLAS, CARAVELAS OU OUTROS EQUIVALENTES DA REGIAO, FORMATO MENOR OU IGUAL A 3025 CM2, E=  *2* CM                                                                                                                                                                                                                                                                                                                                                                   </t>
  </si>
  <si>
    <t xml:space="preserve">PISO EM GRANITO, POLIDO, TIPO PRETO SAO GABRIEL/ TIJUCA OU OUTROS EQUIVALENTES DA REGIAO, FORMATO MENOR OU IGUAL A 3025 CM2, E=  *2* CM                                                                                                                                                                                                                                                                                                                                                                   </t>
  </si>
  <si>
    <t xml:space="preserve">PISO EM PORCELANATO RETIFICADO EXTRA, FORMATO MENOR OU IGUAL A 2025 CM2                                                                                                                                                                                                                                                                                                                                                                                                                                   </t>
  </si>
  <si>
    <t xml:space="preserve">PISO EM REGUA VINILICA SEMIFLEXIVEL, ENCAIXE CLICADO, E = 4 MM (SEM COLOCACAO)                                                                                                                                                                                                                                                                                                                                                                                                                            </t>
  </si>
  <si>
    <t>155,76</t>
  </si>
  <si>
    <t xml:space="preserve">PISO EPOXI AUTONIVELANTE, ESPESSURA *4* MM (INCLUSO EXECUCAO)                                                                                                                                                                                                                                                                                                                                                                                                                                             </t>
  </si>
  <si>
    <t xml:space="preserve">PISO EPOXI MULTILAYER, ESPESSURA *2* MM (INCLUSO EXECUCAO)                                                                                                                                                                                                                                                                                                                                                                                                                                                </t>
  </si>
  <si>
    <t xml:space="preserve">PISO FULGET (GRANITO LAVADO) EM PLACAS DE *40 X 40* CM, E = 2,0 CM (SEM COLOCACAO)                                                                                                                                                                                                                                                                                                                                                                                                                        </t>
  </si>
  <si>
    <t xml:space="preserve">PISO FULGET (GRANITO LAVADO) EM PLACAS DE *75 X 75* CM, E = 2,0 CM (SEM COLOCACAO)                                                                                                                                                                                                                                                                                                                                                                                                                        </t>
  </si>
  <si>
    <t xml:space="preserve">PISO FULGET (GRANITO LAVADO) MOLDADO IN LOCO (INCLUSO EXECUCAO)                                                                                                                                                                                                                                                                                                                                                                                                                                           </t>
  </si>
  <si>
    <t xml:space="preserve">PISO INDUSTRIAL EM CONCRETO ARMADO DE ACABAMENTO POLIDO, ESPESSURA 12 CM (CIMENTO QUEIMADO) (INCLUSO EXECUCAO)                                                                                                                                                                                                                                                                                                                                                                                            </t>
  </si>
  <si>
    <t xml:space="preserve">PISO KORODUR (INCLUSO EXECUCAO)                                                                                                                                                                                                                                                                                                                                                                                                                                                                           </t>
  </si>
  <si>
    <t xml:space="preserve">PISO PODOTATIL DE CONCRETO - DIRECIONAL E ALERTA, *40 X 40 X 2,5* CM                                                                                                                                                                                                                                                                                                                                                                                                                                      </t>
  </si>
  <si>
    <t xml:space="preserve">PISO PORCELANATO, BORDA RETA, EXTRA, FORMATO MAIOR QUE 2025 CM2                                                                                                                                                                                                                                                                                                                                                                                                                                           </t>
  </si>
  <si>
    <t xml:space="preserve">PISO TATIL ALERTA OU DIRECIONAL, DE BORRACHA, COLORIDO, 25 X 25 CM, E = 5 MM, PARA COLA                                                                                                                                                                                                                                                                                                                                                                                                                   </t>
  </si>
  <si>
    <t>212,64</t>
  </si>
  <si>
    <t xml:space="preserve">PISO TATIL DE ALERTA OU DIRECIONAL DE BORRACHA, PRETO, 25 X 25 CM, E = 5 MM, PARA COLA                                                                                                                                                                                                                                                                                                                                                                                                                    </t>
  </si>
  <si>
    <t>202,55</t>
  </si>
  <si>
    <t xml:space="preserve">PISO TATIL DE ALERTA OU DIRECIONAL, DE BORRACHA, COLORIDO, 25 X 25 CM, E = 12 MM, PARA ARGAMASSA                                                                                                                                                                                                                                                                                                                                                                                                          </t>
  </si>
  <si>
    <t>526,49</t>
  </si>
  <si>
    <t xml:space="preserve">PISO TATIL DE ALERTA OU DIRECIONAL, DE BORRACHA, PRETO, 25 X 25 CM, E = 12 MM, PARA ARGAMASSA                                                                                                                                                                                                                                                                                                                                                                                                             </t>
  </si>
  <si>
    <t>468,76</t>
  </si>
  <si>
    <t xml:space="preserve">PISO URETANO, VERSAO REVESTIMENTO AUTONIVELANTE, ESPESSURA VARIÁVEL DE 3 A 4 MM (INCLUSO EXECUCAO)                                                                                                                                                                                                                                                                                                                                                                                                        </t>
  </si>
  <si>
    <t xml:space="preserve">PISO/ REVESTIMENTO EM GRANITO, POLIDO, TIPO ANDORINHA/ QUARTZ/ CASTELO/ CORUMBA OU OUTROS EQUIVALENTES DA REGIAO, FORMATO MAIOR OU IGUAL A 3025 CM2, E = *2* CM                                                                                                                                                                                                                                                                                                                                           </t>
  </si>
  <si>
    <t xml:space="preserve">PISO/ REVESTIMENTO EM MARMORE, POLIDO, BRANCO COMUM, FORMATO MAIOR OU IGUAL A 3025 CM2, E = *2* CM                                                                                                                                                                                                                                                                                                                                                                                                        </t>
  </si>
  <si>
    <t xml:space="preserve">PISO/ REVESTIMENTO EM MARMORE, POLIDO, BRANCO COMUM, FORMATO MENOR OU IGUAL A 3025 CM2, E = *2* CM                                                                                                                                                                                                                                                                                                                                                                                                        </t>
  </si>
  <si>
    <t xml:space="preserve">PLACA / CHAPA DE GESSO ACARTONADO, ACABAMENTO VINILICO LISO EM UMA DAS FACES, COR BRANCA, BORDA QUADRADA, E = 9,5 MM, *625 X 1250* MM (L X C), PARA FORRO REMOVIVEL                                                                                                                                                                                                                                                                                                                                       </t>
  </si>
  <si>
    <t xml:space="preserve">PLACA / CHAPA DE GESSO ACARTONADO, ACABAMENTO VINILICO LISO EM UMA DAS FACES, COR BRANCA, BORDA QUADRADA, E = 9,5 MM, *625 X 625* MM (L X C), PARA FORRO REMOVIVEL                                                                                                                                                                                                                                                                                                                                        </t>
  </si>
  <si>
    <t xml:space="preserve">PLACA / CHAPA DE GESSO ACARTONADO, RESISTENTE A UMIDADE (RU), COR VERDE, E = 12,5 MM, 1200 X 1800 MM (L X C)                                                                                                                                                                                                                                                                                                                                                                                              </t>
  </si>
  <si>
    <t xml:space="preserve">PLACA / CHAPA DE GESSO ACARTONADO, RESISTENTE A UMIDADE (RU), COR VERDE, E = 12,5 MM, 1200 X 2400 MM (L X C)                                                                                                                                                                                                                                                                                                                                                                                              </t>
  </si>
  <si>
    <t xml:space="preserve">PLACA / CHAPA DE GESSO ACARTONADO, RESISTENTE AO FOGO (RF), COR ROSA, E = 12,5 MM, 1200 X 1800 MM (L X C)                                                                                                                                                                                                                                                                                                                                                                                                 </t>
  </si>
  <si>
    <t xml:space="preserve">PLACA / CHAPA DE GESSO ACARTONADO, RESISTENTE AO FOGO (RF), COR ROSA, E = 12,5 MM, 1200 X 2400 MM (L X C)                                                                                                                                                                                                                                                                                                                                                                                                 </t>
  </si>
  <si>
    <t xml:space="preserve">PLACA / CHAPA DE GESSO ACARTONADO, STANDARD (ST), COR BRANCA, E = 12,5 MM, 1200 X 1800 MM (L X C)                                                                                                                                                                                                                                                                                                                                                                                                         </t>
  </si>
  <si>
    <t xml:space="preserve">PLACA / CHAPA DE GESSO ACARTONADO, STANDARD (ST), COR BRANCA, E = 12,5 MM, 1200 X 2400 MM (L X C)                                                                                                                                                                                                                                                                                                                                                                                                         </t>
  </si>
  <si>
    <t xml:space="preserve">PLACA CIMENTICIA LISA E = 10 MM, DE 1,20 X 3,00 M (SEM AMIANTO)                                                                                                                                                                                                                                                                                                                                                                                                                                           </t>
  </si>
  <si>
    <t>61,11</t>
  </si>
  <si>
    <t xml:space="preserve">PLACA CIMENTICIA LISA E = 6 MM, DE 1,20 X 3,00 M (SEM AMIANTO)                                                                                                                                                                                                                                                                                                                                                                                                                                            </t>
  </si>
  <si>
    <t>59,16</t>
  </si>
  <si>
    <t xml:space="preserve">PLACA DE ACO ESMALTADA PARA  IDENTIFICACAO DE RUA, *45 CM X 20* CM                                                                                                                                                                                                                                                                                                                                                                                                                                        </t>
  </si>
  <si>
    <t>74,25</t>
  </si>
  <si>
    <t xml:space="preserve">PLACA DE ACRILICO TRANSPARENTE ADESIVADA PARA SINALIZACAO DE PORTAS, BORDA POLIDA, DE *25 X 8*, E = 6 MM (NAO INCLUI ACESSORIOS PARA FIXACAO)                                                                                                                                                                                                                                                                                                                                                             </t>
  </si>
  <si>
    <t xml:space="preserve">PLACA DE FIBRA MINERAL PARA FORRO, DE 1250 X 625 MM, E = 15 MM, BORDA RETA, COM PINTURA ANTIMOFO (NAO INCLUI PERFIS)                                                                                                                                                                                                                                                                                                                                                                                      </t>
  </si>
  <si>
    <t xml:space="preserve">PLACA DE FIBRA MINERAL PARA FORRO, DE 625 X 625 MM, E = 15 MM, BORDA REBAIXADA PARA PERFIL 24 MM, COM PINTURA ANTIMOFO (NAO INCLUI PERFIS)                                                                                                                                                                                                                                                                                                                                                                </t>
  </si>
  <si>
    <t xml:space="preserve">PLACA DE FIBRA MINERAL PARA FORRO, DE 625 X 625 MM, E = 15 MM, BORDA RETA, COM PINTURA ANTIMOFO (NAO INCLUI PERFIS)                                                                                                                                                                                                                                                                                                                                                                                       </t>
  </si>
  <si>
    <t xml:space="preserve">PLACA DE GESSO PARA FORRO, *60 X 60* CM, ESPESSURA DE 12 MM (SEM COLOCACAO)                                                                                                                                                                                                                                                                                                                                                                                                                               </t>
  </si>
  <si>
    <t xml:space="preserve">PLACA DE INAUGURACAO EM BRONZE *35X 50*CM                                                                                                                                                                                                                                                                                                                                                                                                                                                                 </t>
  </si>
  <si>
    <t xml:space="preserve">PLACA DE INAUGURACAO METALICA, *40* CM X *60* CM                                                                                                                                                                                                                                                                                                                                                                                                                                                          </t>
  </si>
  <si>
    <t>678,38</t>
  </si>
  <si>
    <t xml:space="preserve">PLACA DE OBRA (PARA CONSTRUCAO CIVIL) EM CHAPA GALVANIZADA *N. 22*, ADESIVADA, DE *2,0 X 1,125* M                                                                                                                                                                                                                                                                                                                                                                                                         </t>
  </si>
  <si>
    <t>225,00</t>
  </si>
  <si>
    <t xml:space="preserve">PLACA DE SINALIZACAO DE SEGURANCA CONTRA INCENDIO - ALERTA, TRIANGULAR, BASE DE *30* CM, EM PVC *2* MM ANTI-CHAMAS (SIMBOLOS, CORES E PICTOGRAMAS CONFORME NBR 16820)                                                                                                                                                                                                                                                                                                                                     </t>
  </si>
  <si>
    <t xml:space="preserve">PLACA DE SINALIZACAO DE SEGURANCA CONTRA INCENDIO, FOTOLUMINESCENTE, QUADRADA, *14 X 14* CM, EM PVC *2* MM ANTI-CHAMAS (SIMBOLOS, CORES E PICTOGRAMAS CONFORME NBR 16820)                                                                                                                                                                                                                                                                                                                                 </t>
  </si>
  <si>
    <t xml:space="preserve">PLACA DE SINALIZACAO DE SEGURANCA CONTRA INCENDIO, FOTOLUMINESCENTE, QUADRADA, *20 X 20* CM, EM PVC *2* MM ANTI-CHAMAS (SIMBOLOS, CORES E PICTOGRAMAS CONFORME NBR 16820)                                                                                                                                                                                                                                                                                                                                 </t>
  </si>
  <si>
    <t xml:space="preserve">PLACA DE SINALIZACAO DE SEGURANCA CONTRA INCENDIO, FOTOLUMINESCENTE, RETANGULAR, *12 X 40* CM, EM PVC *2* MM ANTI-CHAMAS (SIMBOLOS, CORES E PICTOGRAMAS CONFORME NBR 16820)                                                                                                                                                                                                                                                                                                                               </t>
  </si>
  <si>
    <t>30,43</t>
  </si>
  <si>
    <t xml:space="preserve">PLACA DE SINALIZACAO DE SEGURANCA CONTRA INCENDIO, FOTOLUMINESCENTE, RETANGULAR, *13 X 26* CM, EM PVC *2* MM ANTI-CHAMAS (SIMBOLOS, CORES E PICTOGRAMAS CONFORME NBR 16820)                                                                                                                                                                                                                                                                                                                               </t>
  </si>
  <si>
    <t xml:space="preserve">PLACA DE SINALIZACAO DE SEGURANCA CONTRA INCENDIO, FOTOLUMINESCENTE, RETANGULAR, *20 X 40* CM, EM PVC *2* MM ANTI-CHAMAS (SIMBOLOS, CORES E PICTOGRAMAS CONFORME NBR 16820)                                                                                                                                                                                                                                                                                                                               </t>
  </si>
  <si>
    <t>39,99</t>
  </si>
  <si>
    <t xml:space="preserve">PLACA DE SINALIZACAO EM CHAPA DE ACO NUM 16 COM PINTURA REFLETIVA                                                                                                                                                                                                                                                                                                                                                                                                                                         </t>
  </si>
  <si>
    <t>519,75</t>
  </si>
  <si>
    <t xml:space="preserve">PLACA DE SINALIZACAO EM CHAPA DE ALUMINIO COM PINTURA REFLETIVA, E = 2 MM                                                                                                                                                                                                                                                                                                                                                                                                                                 </t>
  </si>
  <si>
    <t>648,00</t>
  </si>
  <si>
    <t xml:space="preserve">PLACA DE VENTILACAO PARA TELHA DE FIBROCIMENTO CANALETE 49 KALHETA                                                                                                                                                                                                                                                                                                                                                                                                                                        </t>
  </si>
  <si>
    <t xml:space="preserve">PLACA DE VENTILACAO PARA TELHA DE FIBROCIMENTO, CANALETE 90 OU KALHETAO                                                                                                                                                                                                                                                                                                                                                                                                                                   </t>
  </si>
  <si>
    <t xml:space="preserve">PLACA NUMERACAO RESIDENCIAL EM CHAPA GALVANIZADA ESMALTADA 12 X 18 CM                                                                                                                                                                                                                                                                                                                                                                                                                                     </t>
  </si>
  <si>
    <t xml:space="preserve">PLACA ORIENTATIVA SOBRE EXERCÍCIOS, 2,00M X 1,00M, EM TUBO DE ACO CARBONO, PINTURA NO PROCESSO ELETROSTATICO - PARA ACADEMIA AO AR LIVRE / ACADEMIA DA TERCEIRA IDADE - ATI                                                                                                                                                                                                                                                                                                                               </t>
  </si>
  <si>
    <t>1.601,90</t>
  </si>
  <si>
    <t xml:space="preserve">PLACA VINILICA SEMIFLEXIVEL PARA PISOS, E = 3,2 MM, 30 X 30 CM (SEM COLOCACAO)                                                                                                                                                                                                                                                                                                                                                                                                                            </t>
  </si>
  <si>
    <t>149,52</t>
  </si>
  <si>
    <t xml:space="preserve">PLACA VINILICA SEMIFLEXIVEL PARA REVESTIMENTO DE PISOS E PAREDES, E = 2 MM (SEM COLOCACAO)                                                                                                                                                                                                                                                                                                                                                                                                                </t>
  </si>
  <si>
    <t xml:space="preserve">PLACA/PISO DE CONCRETO POROSO/ PAVIMENTO PERMEAVEL/BLOCO DRENANTE DE CONCRETO, 40 CM X 40 CM, E = 6 CM, COR NATURAL                                                                                                                                                                                                                                                                                                                                                                                       </t>
  </si>
  <si>
    <t>74,77</t>
  </si>
  <si>
    <t xml:space="preserve">PLACA/TAMPA CEGA EM LATAO ESCOVADO PARA CONDULETE EM LIGA DE ALUMINIO 4 X 4"                                                                                                                                                                                                                                                                                                                                                                                                                              </t>
  </si>
  <si>
    <t xml:space="preserve">PLUG OU BUJAO DE FERRO GALVANIZADO, DE 1 1/2"                                                                                                                                                                                                                                                                                                                                                                                                                                                             </t>
  </si>
  <si>
    <t xml:space="preserve">PLUG OU BUJAO DE FERRO GALVANIZADO, DE 1 1/4"                                                                                                                                                                                                                                                                                                                                                                                                                                                             </t>
  </si>
  <si>
    <t xml:space="preserve">PLUG OU BUJAO DE FERRO GALVANIZADO, DE 1/2"                                                                                                                                                                                                                                                                                                                                                                                                                                                               </t>
  </si>
  <si>
    <t xml:space="preserve">PLUG OU BUJAO DE FERRO GALVANIZADO, DE 1"                                                                                                                                                                                                                                                                                                                                                                                                                                                                 </t>
  </si>
  <si>
    <t xml:space="preserve">PLUG OU BUJAO DE FERRO GALVANIZADO, DE 2 1/2"                                                                                                                                                                                                                                                                                                                                                                                                                                                             </t>
  </si>
  <si>
    <t xml:space="preserve">PLUG OU BUJAO DE FERRO GALVANIZADO, DE 2"                                                                                                                                                                                                                                                                                                                                                                                                                                                                 </t>
  </si>
  <si>
    <t xml:space="preserve">PLUG OU BUJAO DE FERRO GALVANIZADO, DE 3/4"                                                                                                                                                                                                                                                                                                                                                                                                                                                               </t>
  </si>
  <si>
    <t xml:space="preserve">PLUG OU BUJAO DE FERRO GALVANIZADO, DE 3"                                                                                                                                                                                                                                                                                                                                                                                                                                                                 </t>
  </si>
  <si>
    <t xml:space="preserve">PLUG OU BUJAO DE FERRO GALVANIZADO, DE 4"                                                                                                                                                                                                                                                                                                                                                                                                                                                                 </t>
  </si>
  <si>
    <t xml:space="preserve">PLUG PVC P/ ESG PREDIAL  75MM                                                                                                                                                                                                                                                                                                                                                                                                                                                                             </t>
  </si>
  <si>
    <t xml:space="preserve">PLUG PVC P/ ESG PREDIAL 100MM                                                                                                                                                                                                                                                                                                                                                                                                                                                                             </t>
  </si>
  <si>
    <t xml:space="preserve">PLUG PVC P/ ESG PREDIAL 50MM                                                                                                                                                                                                                                                                                                                                                                                                                                                                              </t>
  </si>
  <si>
    <t xml:space="preserve">PLUG PVC ROSCAVEL,  1/2",  AGUA FRIA PREDIAL (NBR 5648)                                                                                                                                                                                                                                                                                                                                                                                                                                                   </t>
  </si>
  <si>
    <t xml:space="preserve">PLUG PVC,  JE, DN 100 MM, PARA REDE COLETORA ESGOTO (NBR 10569)                                                                                                                                                                                                                                                                                                                                                                                                                                           </t>
  </si>
  <si>
    <t xml:space="preserve">PLUG PVC, JE, DN 150 MM, PARA REDE COLETORA ESGOTO (NBR 10569)                                                                                                                                                                                                                                                                                                                                                                                                                                            </t>
  </si>
  <si>
    <t xml:space="preserve">PLUG PVC, JE, DN 200 MM, PARA REDE COLETORA ESGOTO (NBR 10569)                                                                                                                                                                                                                                                                                                                                                                                                                                            </t>
  </si>
  <si>
    <t xml:space="preserve">PLUG PVC, JE, DN 250 MM, PARA REDE COLETORA ESGOTO (NBR 10569)                                                                                                                                                                                                                                                                                                                                                                                                                                            </t>
  </si>
  <si>
    <t xml:space="preserve">PLUG PVC, JE, DN 350 MM, PARA REDE COLETORA ESGOTO (NBR 10569)                                                                                                                                                                                                                                                                                                                                                                                                                                            </t>
  </si>
  <si>
    <t xml:space="preserve">PLUG PVC, ROSCAVEL 1", PARA AGUA FRIA PREDIAL                                                                                                                                                                                                                                                                                                                                                                                                                                                             </t>
  </si>
  <si>
    <t xml:space="preserve">PLUG PVC, ROSCAVEL 3/4", PARA  AGUA FRIA PREDIAL                                                                                                                                                                                                                                                                                                                                                                                                                                                          </t>
  </si>
  <si>
    <t xml:space="preserve">PLUG PVC, ROSCAVEL, 1 1/2",  AGUA FRIA PREDIAL                                                                                                                                                                                                                                                                                                                                                                                                                                                            </t>
  </si>
  <si>
    <t xml:space="preserve">PLUG PVC, ROSCAVEL, 1 1/4",  AGUA FRIA PREDIAL                                                                                                                                                                                                                                                                                                                                                                                                                                                            </t>
  </si>
  <si>
    <t xml:space="preserve">PLUG PVC, ROSCAVEL, 2",  AGUA FRIA PREDIAL                                                                                                                                                                                                                                                                                                                                                                                                                                                                </t>
  </si>
  <si>
    <t xml:space="preserve">PO DE MARMORE (POSTO PEDREIRA/FORNECEDOR, SEM FRETE)                                                                                                                                                                                                                                                                                                                                                                                                                                                      </t>
  </si>
  <si>
    <t xml:space="preserve">PO DE PEDRA (POSTO PEDREIRA/FORNECEDOR, SEM FRETE)                                                                                                                                                                                                                                                                                                                                                                                                                                                        </t>
  </si>
  <si>
    <t xml:space="preserve">POCEIRO / ESCAVADOR DE VALAS E TUBULOES                                                                                                                                                                                                                                                                                                                                                                                                                                                                   </t>
  </si>
  <si>
    <t xml:space="preserve">POCEIRO / ESCAVADOR DE VALAS E TUBULOES (MENSALISTA)                                                                                                                                                                                                                                                                                                                                                                                                                                                      </t>
  </si>
  <si>
    <t>3.148,14</t>
  </si>
  <si>
    <t xml:space="preserve">POLIDORA DE PISO (POLITRIZ) ELETRICA, MOTOR MONOFASICO DE 4 HP, PESO DE 100 KG, DIAMETRO DO TRABALHO DE 450 MM                                                                                                                                                                                                                                                                                                                                                                                            </t>
  </si>
  <si>
    <t xml:space="preserve">POLIESTIRENO EXPANDIDO/EPS (ISOPOR), PEROLAS, PARA CONCRETO LEVE                                                                                                                                                                                                                                                                                                                                                                                                                                          </t>
  </si>
  <si>
    <t xml:space="preserve">POLIESTIRENO EXPANDIDO/EPS (ISOPOR), TIPO 2F, BLOCO                                                                                                                                                                                                                                                                                                                                                                                                                                                       </t>
  </si>
  <si>
    <t xml:space="preserve">POLIESTIRENO EXPANDIDO/EPS (ISOPOR), TIPO 2F, PLACA, ISOLAMENTO TERMOACUSTICO, E = 10 MM, 1000 X 500 MM                                                                                                                                                                                                                                                                                                                                                                                                   </t>
  </si>
  <si>
    <t xml:space="preserve">POLIESTIRENO EXPANDIDO/EPS (ISOPOR), TIPO 2F, PLACA, ISOLAMENTO TERMOACUSTICO, E = 20 MM, 1000 X 500 MM                                                                                                                                                                                                                                                                                                                                                                                                   </t>
  </si>
  <si>
    <t xml:space="preserve">POLIESTIRENO EXPANDIDO/EPS (ISOPOR), TIPO 2F, PLACA, ISOLAMENTO TERMOACUSTICO, E = 50 MM, 1000 X 500 MM                                                                                                                                                                                                                                                                                                                                                                                                   </t>
  </si>
  <si>
    <t xml:space="preserve">POLVORA NEGRA                                                                                                                                                                                                                                                                                                                                                                                                                                                                                             </t>
  </si>
  <si>
    <t xml:space="preserve">PONTALETE *7,5 X 7,5* CM EM PINUS, MISTA OU EQUIVALENTE DA REGIAO - BRUTA                                                                                                                                                                                                                                                                                                                                                                                                                                 </t>
  </si>
  <si>
    <t xml:space="preserve">PONTALETE ROLIÇO SEM TRATAMENTO, D = 8 A 11 CM, H = 3 M, EM EUCALIPTO OU EQUIVALENTE DA REGIAO - BRUTA (PARA ESCORAMENTO)                                                                                                                                                                                                                                                                                                                                                                                 </t>
  </si>
  <si>
    <t xml:space="preserve">PONTALETE ROLIÇO SEM TRATAMENTO, D = 8 A 11 CM, H = 6 M, EM EUCALIPTO OU EQUIVALENTE DA REGIAO - BRUTA (PARA ESCORAMENTO)                                                                                                                                                                                                                                                                                                                                                                                 </t>
  </si>
  <si>
    <t xml:space="preserve">PONTEIRO PARA MARTELO ROMPEDOR, DIAMETRO = *28* MM, COMPRIMENTO = *520* MM, ENCAIXE SEXTAVADO                                                                                                                                                                                                                                                                                                                                                                                                             </t>
  </si>
  <si>
    <t xml:space="preserve">PORCA OLHAL EM ACO GALVANIZADO, ESPESSURA 16MM, ABERTURA 21MM                                                                                                                                                                                                                                                                                                                                                                                                                                             </t>
  </si>
  <si>
    <t xml:space="preserve">PORCA OLHAL M 16,  EM ACO GALVANIZADO, DIAMETRO = 16 MM                                                                                                                                                                                                                                                                                                                                                                                                                                                   </t>
  </si>
  <si>
    <t xml:space="preserve">PORCA UNIAO/JUNCAO ZINCADA SEXTAVADA 1/4 ", CHAVE 7/16 ", COMPRIMENTO = 25 MM                                                                                                                                                                                                                                                                                                                                                                                                                             </t>
  </si>
  <si>
    <t xml:space="preserve">PORCA ZINCADA, QUADRADA, DIAMETRO 3/8"                                                                                                                                                                                                                                                                                                                                                                                                                                                                    </t>
  </si>
  <si>
    <t xml:space="preserve">PORCA ZINCADA, QUADRADA, DIAMETRO 5/8"                                                                                                                                                                                                                                                                                                                                                                                                                                                                    </t>
  </si>
  <si>
    <t xml:space="preserve">PORCA ZINCADA, SEXTAVADA, DIAMETRO 1/2"                                                                                                                                                                                                                                                                                                                                                                                                                                                                   </t>
  </si>
  <si>
    <t xml:space="preserve">PORCA ZINCADA, SEXTAVADA, DIAMETRO 1/4"                                                                                                                                                                                                                                                                                                                                                                                                                                                                   </t>
  </si>
  <si>
    <t xml:space="preserve">PORCA ZINCADA, SEXTAVADA, DIAMETRO 1"                                                                                                                                                                                                                                                                                                                                                                                                                                                                     </t>
  </si>
  <si>
    <t xml:space="preserve">PORCA ZINCADA, SEXTAVADA, DIAMETRO 3/8"                                                                                                                                                                                                                                                                                                                                                                                                                                                                   </t>
  </si>
  <si>
    <t xml:space="preserve">PORCA ZINCADA, SEXTAVADA, DIAMETRO 5/16"                                                                                                                                                                                                                                                                                                                                                                                                                                                                  </t>
  </si>
  <si>
    <t xml:space="preserve">PORCA ZINCADA, SEXTAVADA, DIAMETRO 5/8"                                                                                                                                                                                                                                                                                                                                                                                                                                                                   </t>
  </si>
  <si>
    <t xml:space="preserve">PORTA CADEADO EM ACO GALVANIZADO, COMPRIMENTO DE 3  1/2"                                                                                                                                                                                                                                                                                                                                                                                                                                                  </t>
  </si>
  <si>
    <t xml:space="preserve">PORTA CORTA-FOGO PARA SAIDA DE EMERGENCIA, COM FECHADURA, VAO LUZ DE 90 X 210 CM, CLASSE P-90 (NBR 11742)                                                                                                                                                                                                                                                                                                                                                                                                 </t>
  </si>
  <si>
    <t>841,32</t>
  </si>
  <si>
    <t xml:space="preserve">PORTA DE ABRIR / GIRO, DE MADEIRA FOLHA MEDIA (NBR 15930) DE 1000 X 2100 MM, DE 35 MM A 40 MM DE ESPESSURA, NUCLEO SEMI-SOLIDO (SARRAFEADO), CAPA LISA EM HDF, ACABAMENTO EM LAMINADO NATURAL PARA VERNIZ                                                                                                                                                                                                                                                                                                 </t>
  </si>
  <si>
    <t>246,77</t>
  </si>
  <si>
    <t xml:space="preserve">PORTA DE ABRIR / GIRO, DE MADEIRA FOLHA MEDIA (NBR 15930) DE 1000 X 2100 MM, DE 35 MM A 40 MM DE ESPESSURA, NUCLEO SEMI-SOLIDO (SARRAFEADO), CAPA LISA EM HDF, ACABAMENTO EM PRIMER PARA PINTURA                                                                                                                                                                                                                                                                                                          </t>
  </si>
  <si>
    <t>231,45</t>
  </si>
  <si>
    <t xml:space="preserve">PORTA DE ABRIR / GIRO, DE MADEIRA FOLHA MEDIA (NBR 15930) DE 700 X 2100 MM, DE 35 MM A 40 MM DE ESPESSURA, NUCLEO SEMI-SOLIDO (SARRAFEADO), CAPA FRISADA EM HDF, ACABAMENTO MELAMINICO EM PADRAO MADEIRA                                                                                                                                                                                                                                                                                                  </t>
  </si>
  <si>
    <t>182,53</t>
  </si>
  <si>
    <t xml:space="preserve">PORTA DE ABRIR / GIRO, DE MADEIRA FOLHA MEDIA (NBR 15930) DE 700 X 2100 MM, DE 35 MM A 40 MM DE ESPESSURA, NUCLEO SEMI-SOLIDO (SARRAFEADO), CAPA LISA EM HDF, ACABAMENTO EM LAMINADO NATURAL PARA VERNIZ                                                                                                                                                                                                                                                                                                  </t>
  </si>
  <si>
    <t>162,50</t>
  </si>
  <si>
    <t xml:space="preserve">PORTA DE ABRIR / GIRO, DE MADEIRA FOLHA MEDIA (NBR 15930) DE 800 X 2100 MM, DE 35 MM A 40 MM DE ESPESSURA, NUCLEO SEMI-SOLIDO (SARRAFEADO), CAPA FRISADA EM HDF, ACABAMENTO MELAMINICO EM PADRAO MADEIRA                                                                                                                                                                                                                                                                                                  </t>
  </si>
  <si>
    <t xml:space="preserve">PORTA DE ABRIR / GIRO, DE MADEIRA FOLHA MEDIA (NBR 15930) DE 800 X 2100 MM, DE 35 MM A 40 MM DE ESPESSURA, NUCLEO SEMI-SOLIDO (SARRAFEADO), CAPA LISA EM HDF, ACABAMENTO EM LAMINADO NATURAL PARA VERNIZ                                                                                                                                                                                                                                                                                                  </t>
  </si>
  <si>
    <t>201,37</t>
  </si>
  <si>
    <t xml:space="preserve">PORTA DE ABRIR / GIRO, DE MADEIRA FOLHA MEDIA (NBR 15930) DE 900 X 2100 MM, DE 35 MM A 40 MM DE ESPESSURA, NUCLEO SEMI-SOLIDO (SARRAFEADO), CAPA LISA EM HDF, ACABAMENTO EM LAMINADO NATURAL PARA VERNIZ                                                                                                                                                                                                                                                                                                  </t>
  </si>
  <si>
    <t>230,38</t>
  </si>
  <si>
    <t xml:space="preserve">PORTA DE ABRIR EM ACO COM DIVISAO HORIZONTAL  PARA VIDROS, COM FUNDO ANTICORROSIVO/PRIMER DE PROTECAO, SEM GUARNICAO/ALIZAR/VISTA, VIDROS NAO INCLUSOS, 87 X 210 CM                                                                                                                                                                                                                                                                                                                                       </t>
  </si>
  <si>
    <t>378,42</t>
  </si>
  <si>
    <t xml:space="preserve">PORTA DE ABRIR EM ACO TIPO VENEZIANA, COM FUNDO ANTICORROSIVO / PRIMER DE PROTECAO, SEM GUARNICAO/ALIZAR/VISTA, 87 X 210 CM                                                                                                                                                                                                                                                                                                                                                                               </t>
  </si>
  <si>
    <t>468,00</t>
  </si>
  <si>
    <t xml:space="preserve">PORTA DE ABRIR EM ALUMINIO COM DIVISAO HORIZONTAL  PARA VIDROS,  ACABAMENTO ANODIZADO NATURAL, VIDROS INCLUSOS, SEM GUARNICAO/ALIZAR/VISTA , 87 X 210 CM                                                                                                                                                                                                                                                                                                                                                  </t>
  </si>
  <si>
    <t>711,51</t>
  </si>
  <si>
    <t xml:space="preserve">PORTA DE ABRIR EM ALUMINIO COM LAMBRI HORIZONTAL/LAMINADA, ACABAMENTO ANODIZADO NATURAL, SEM GUARNICAO/ALIZAR/VISTA                                                                                                                                                                                                                                                                                                                                                                                       </t>
  </si>
  <si>
    <t>576,91</t>
  </si>
  <si>
    <t xml:space="preserve">PORTA DE ABRIR EM ALUMINIO TIPO VENEZIANA, ACABAMENTO ANODIZADO NATURAL, SEM GUARNICAO/ALIZAR/VISTA                                                                                                                                                                                                                                                                                                                                                                                                       </t>
  </si>
  <si>
    <t>398,42</t>
  </si>
  <si>
    <t xml:space="preserve">PORTA DE ABRIR EM ALUMINIO TIPO VENEZIANA, ACABAMENTO ANODIZADO NATURAL, SEM GUARNICAO/ALIZAR/VISTA, 87 X 210 CM                                                                                                                                                                                                                                                                                                                                                                                          </t>
  </si>
  <si>
    <t>729,58</t>
  </si>
  <si>
    <t xml:space="preserve">PORTA DE ABRIR EM GRADIL COM BARRA CHATA 3 CM X 1/4", COM REQUADRO E GUARNICAO - COMPLETO - ACABAMENTO NATURAL                                                                                                                                                                                                                                                                                                                                                                                            </t>
  </si>
  <si>
    <t>406,70</t>
  </si>
  <si>
    <t xml:space="preserve">PORTA DE CORRER EM ALUMINIO, DUAS FOLHAS MOVEIS COM VIDRO, FECHADURA E PUXADOR EMBUTIDO, ACABAMENTO ANODIZADO NATURAL, SEM GUARNICAO/ALIZAR/VISTA                                                                                                                                                                                                                                                                                                                                                         </t>
  </si>
  <si>
    <t>369,57</t>
  </si>
  <si>
    <t xml:space="preserve">PORTA DE ENROLAR MANUAL COMPLETA, ARTICULADA RAIADA LARGA, EM ACO GALVANIZADO NATURAL, CHAPA NUMERO 24 (SEM INSTALACAO)                                                                                                                                                                                                                                                                                                                                                                                   </t>
  </si>
  <si>
    <t>522,20</t>
  </si>
  <si>
    <t xml:space="preserve">PORTA DE ENROLAR MANUAL COMPLETA, PERFIL MEIA CANA CEGA, EM ACO GALVANIZADO COM PINTURA ELETROSTATICA, CHAPA NUMERO 24 " (SEM INSTALACAO)                                                                                                                                                                                                                                                                                                                                                                 </t>
  </si>
  <si>
    <t>848,57</t>
  </si>
  <si>
    <t xml:space="preserve">PORTA DE ENROLAR MANUAL COMPLETA, PERFIL MEIA CANA CEGA, EM ACO GALVANIZADO NATURAL, CHAPA NUMERO 24 (SEM INSTALACAO)                                                                                                                                                                                                                                                                                                                                                                                     </t>
  </si>
  <si>
    <t>715,36</t>
  </si>
  <si>
    <t xml:space="preserve">PORTA DE ENROLAR MANUAL COMPLETA, PERFIL MEIA CANA VAZADA TIJOLINHO, EM ACO GALVANIZADO NATURAL, CHAPA NUMERO 24 (SEM INSTALACAO)                                                                                                                                                                                                                                                                                                                                                                         </t>
  </si>
  <si>
    <t>1.065,71</t>
  </si>
  <si>
    <t xml:space="preserve">PORTA DE MADEIRA QUADRICULADA PARA VIDRO, DE CORRER (EUCALIPTO OU EQUIVALENTE REGIONAL), E = *3,5* CM                                                                                                                                                                                                                                                                                                                                                                                                     </t>
  </si>
  <si>
    <t xml:space="preserve">PORTA DE MADEIRA TIPO VENEZIANA (EUCALIPTO OU EQUIVALENTE REGIONAL), E = *3,5* CM                                                                                                                                                                                                                                                                                                                                                                                                                         </t>
  </si>
  <si>
    <t xml:space="preserve">PORTA DE MADEIRA-DE-LEI QUADRICULADA PARA VIDRO, DE CORRER (ANGELIM OU EQUIVALENTE REGIONAL), E = *3,5* CM                                                                                                                                                                                                                                                                                                                                                                                                </t>
  </si>
  <si>
    <t xml:space="preserve">PORTA DE MADEIRA-DE-LEI TIPO MEXICANA SEM EMENDA (ANGELIM OU EQUIVALENTE REGIONAL), E = *3,5* CM                                                                                                                                                                                                                                                                                                                                                                                                          </t>
  </si>
  <si>
    <t xml:space="preserve">PORTA DE MADEIRA-DE-LEI TIPO VENEZIANA (ANGELIM OU EQUIVALENTE REGIONAL), E = *3,5* CM                                                                                                                                                                                                                                                                                                                                                                                                                    </t>
  </si>
  <si>
    <t xml:space="preserve">PORTA DE MADEIRA, FOLHA LEVE (NBR 15930) DE 600 X 2100 MM, DE 35 MM A 40 MM DE ESPESSURA, NUCLEO COLMEIA, CAPA LISA EM HDF, ACABAMENTO EM PRIMER PARA PINTURA                                                                                                                                                                                                                                                                                                                                             </t>
  </si>
  <si>
    <t xml:space="preserve">PORTA DE MADEIRA, FOLHA LEVE (NBR 15930) DE 700 X 2100 MM, DE 35 MM A 40 MM DE ESPESSURA, NUCLEO COLMEIA, CAPA LISA EM HDF, ACABAMENTO EM PRIMER PARA PINTURA                                                                                                                                                                                                                                                                                                                                             </t>
  </si>
  <si>
    <t>144,87</t>
  </si>
  <si>
    <t xml:space="preserve">PORTA DE MADEIRA, FOLHA LEVE (NBR 15930) DE 800 X 2100 MM, DE 35 MM A 40 MM DE ESPESSURA, NUCLEO COLMEIA, CAPA LISA EM HDF, ACABAMENTO EM PRIMER PARA PINTURA                                                                                                                                                                                                                                                                                                                                             </t>
  </si>
  <si>
    <t>154,00</t>
  </si>
  <si>
    <t xml:space="preserve">PORTA DE MADEIRA, FOLHA LEVE (NBR 15930), DE 600 X 2100 MM, E = 35 MM, NUCLEO COLMEIA, CAPA LISA EM HDF, ACABAMENTO MELAMINICO EM PADRAO MADEIRA                                                                                                                                                                                                                                                                                                                                                          </t>
  </si>
  <si>
    <t>180,89</t>
  </si>
  <si>
    <t xml:space="preserve">PORTA DE MADEIRA, FOLHA MEDIA (NBR 15930) DE 600 X 2100 MM, DE 35 MM A 40 MM DE ESPESSURA, NUCLEO SEMI-SOLIDO (SARRAFEADO), CAPA FRISADA EM HDF, ACABAMENTO MELAMINICO EM PADRAO MADEIRA                                                                                                                                                                                                                                                                                                                  </t>
  </si>
  <si>
    <t>167,92</t>
  </si>
  <si>
    <t xml:space="preserve">PORTA DE MADEIRA, FOLHA MEDIA (NBR 15930) DE 600 X 2100 MM, DE 35 MM A 40 MM DE ESPESSURA, NUCLEO SEMI-SOLIDO (SARRAFEADO), CAPA LISA EM HDF, ACABAMENTO EM PRIMER PARA PINTURA                                                                                                                                                                                                                                                                                                                           </t>
  </si>
  <si>
    <t>152,47</t>
  </si>
  <si>
    <t xml:space="preserve">PORTA DE MADEIRA, FOLHA MEDIA (NBR 15930) DE 600 X 2100 MM, DE 35 MM A 40 MM DE ESPESSURA, NUCLEO SEMI-SOLIDO (SARRAFEADO), CAPA LISA EM HDF, ACABAMENTO LAMINADO NATURAL PARA VERNIZ                                                                                                                                                                                                                                                                                                                     </t>
  </si>
  <si>
    <t>160,75</t>
  </si>
  <si>
    <t xml:space="preserve">PORTA DE MADEIRA, FOLHA MEDIA (NBR 15930) DE 700 X 2100 MM, DE 35 MM A 40 MM DE ESPESSURA, NUCLEO SEMI-SOLIDO (SARRAFEADO), CAPA LISA EM HDF, ACABAMENTO EM PRIMER PARA PINTURA                                                                                                                                                                                                                                                                                                                           </t>
  </si>
  <si>
    <t xml:space="preserve">PORTA DE MADEIRA, FOLHA MEDIA (NBR 15930) DE 800 X 2100 MM, DE 35 MM A 40 MM DE ESPESSURA, NUCLEO SEMI-SOLIDO (SARRAFEADO), CAPA LISA EM HDF, ACABAMENTO EM PRIMER PARA PINTURA                                                                                                                                                                                                                                                                                                                           </t>
  </si>
  <si>
    <t>167,75</t>
  </si>
  <si>
    <t xml:space="preserve">PORTA DE MADEIRA, FOLHA MEDIA (NBR 15930) DE 900 X 2100 MM, DE 35 MM A 40 MM DE ESPESSURA, NUCLEO SEMI-SOLIDO (SARRAFEADO), CAPA LISA EM HDF, ACABAMENTO EM PRIMER PARA PINTURA                                                                                                                                                                                                                                                                                                                           </t>
  </si>
  <si>
    <t>223,04</t>
  </si>
  <si>
    <t xml:space="preserve">PORTA DE MADEIRA, FOLHA PESADA (NBR 15930) DE 800 X 2100 MM, DE 40 MM A 45 MM DE ESPESSURA, NUCLEO SOLIDO, CAPA LISA EM HDF, ACABAMENTO EM LAMINADO NATURAL PARA VERNIZ                                                                                                                                                                                                                                                                                                                                   </t>
  </si>
  <si>
    <t>313,21</t>
  </si>
  <si>
    <t xml:space="preserve">PORTA DE MADEIRA, FOLHA PESADA (NBR 15930) DE 800 X 2100 MM, DE 40 MM A 45 MM DE ESPESSURA, NUCLEO SOLIDO, CAPA LISA EM HDF, ACABAMENTO EM PRIMER PARA PINTURA                                                                                                                                                                                                                                                                                                                                            </t>
  </si>
  <si>
    <t>346,35</t>
  </si>
  <si>
    <t xml:space="preserve">PORTA DE MADEIRA, FOLHA PESADA (NBR 15930) DE 900 X 2100 MM, DE 40 MM A 45 MM DE ESPESSURA, NUCLEO SOLIDO, CAPA LISA EM HDF, ACABAMENTO EM LAMINADO NATURAL PARA VERNIZ                                                                                                                                                                                                                                                                                                                                   </t>
  </si>
  <si>
    <t>364,52</t>
  </si>
  <si>
    <t xml:space="preserve">PORTA DE MADEIRA, FOLHA PESADA (NBR 15930) DE 900 X 2100 MM, DE 40 MM A 45 MM DE ESPESSURA, NUCLEO SOLIDO, CAPA LISA EM HDF, ACABAMENTO EM PRIMER PARA PINTURA                                                                                                                                                                                                                                                                                                                                            </t>
  </si>
  <si>
    <t>392,82</t>
  </si>
  <si>
    <t xml:space="preserve">PORTA DENTE PARA FRESADORA                                                                                                                                                                                                                                                                                                                                                                                                                                                                                </t>
  </si>
  <si>
    <t>540,54</t>
  </si>
  <si>
    <t xml:space="preserve">PORTA GRADE DE ENROLAR MANUAL COMPLETA, PERFIL TUBULAR TIJOLINHO 3/4 ", EM ACO GALVANIZADO NATURAL (SEM INSTALACAO)                                                                                                                                                                                                                                                                                                                                                                                       </t>
  </si>
  <si>
    <t>1.593,24</t>
  </si>
  <si>
    <t xml:space="preserve">PORTA TOALHA BANHO EM METAL CROMADO, TIPO BARRA                                                                                                                                                                                                                                                                                                                                                                                                                                                           </t>
  </si>
  <si>
    <t>29,77</t>
  </si>
  <si>
    <t xml:space="preserve">PORTA TOALHA ROSTO EM METAL CROMADO, TIPO ARGOLA                                                                                                                                                                                                                                                                                                                                                                                                                                                          </t>
  </si>
  <si>
    <t xml:space="preserve">PORTA VIDRO TEMPERADO INCOLOR, 2 FOLHAS DE CORRER, E = 10 MM (SEM FERRAGENS E SEM COLOCACAO)                                                                                                                                                                                                                                                                                                                                                                                                              </t>
  </si>
  <si>
    <t>472,75</t>
  </si>
  <si>
    <t xml:space="preserve">PORTAO BASCULANTE MANUAL EM ACO GALVANIZADO NATURAL, TIPO LAMBRIL COM REQUADRO/BATENTE, CHAPA NUMERO 26, INCLUI FECHADURA (SEM INSTALACAO)                                                                                                                                                                                                                                                                                                                                                                </t>
  </si>
  <si>
    <t>522,64</t>
  </si>
  <si>
    <t xml:space="preserve">PORTAO BASCULANTE, MANUAL, EM CHAPA TIPO LAMBRIL QUADRADO, COM REQUADRO, ACABAMENTO NATURAL                                                                                                                                                                                                                                                                                                                                                                                                               </t>
  </si>
  <si>
    <t>401,30</t>
  </si>
  <si>
    <t xml:space="preserve">PORTAO DE ABRIR EM GRADIL DE METALON REDONDO DE 3/4"  VERTICAL, COM REQUADRO, ACABAMENTO NATURAL - COMPLETO                                                                                                                                                                                                                                                                                                                                                                                               </t>
  </si>
  <si>
    <t>364,20</t>
  </si>
  <si>
    <t xml:space="preserve">PORTAO DE CORRER EM CHAPA TIPO PAINEL LAMBRIL QUADRADO, COM PORTA SOCIAL COMPLETA INCLUIDA, COM REQUADRO, ACABAMENTO NATURAL, COM TRILHOS E ROLDANAS                                                                                                                                                                                                                                                                                                                                                      </t>
  </si>
  <si>
    <t>749,13</t>
  </si>
  <si>
    <t xml:space="preserve">PORTAO DE CORRER EM GRADIL FIXO DE BARRA DE FERRO CHATA DE 3 X 1/4" NA VERTICAL, SEM REQUADRO, ACABAMENTO NATURAL, COM TRILHOS E ROLDANAS                                                                                                                                                                                                                                                                                                                                                                 </t>
  </si>
  <si>
    <t>480,49</t>
  </si>
  <si>
    <t xml:space="preserve">POSTE CONICO CONTINUO EM ACO GALVANIZADO, CURVO, BRACO DUPLO, ENGASTADO,  H = 9 M, DIAMETRO INFERIOR = *135* MM                                                                                                                                                                                                                                                                                                                                                                                           </t>
  </si>
  <si>
    <t>2.251,44</t>
  </si>
  <si>
    <t xml:space="preserve">POSTE CONICO CONTINUO EM ACO GALVANIZADO, CURVO, BRACO DUPLO, FLANGEADO,  H = 9 M, DIAMETRO INFERIOR = *135* MM                                                                                                                                                                                                                                                                                                                                                                                           </t>
  </si>
  <si>
    <t>2.558,91</t>
  </si>
  <si>
    <t xml:space="preserve">POSTE CONICO CONTINUO EM ACO GALVANIZADO, CURVO, BRACO SIMPLES, ENGASTADO,  H = 9 M, DIAMETRO INFERIOR = *135* MM                                                                                                                                                                                                                                                                                                                                                                                         </t>
  </si>
  <si>
    <t>2.176,31</t>
  </si>
  <si>
    <t xml:space="preserve">POSTE CONICO CONTINUO EM ACO GALVANIZADO, CURVO, BRACO SIMPLES, FLANGEADO,  H = 9 M, DIAMETRO INFERIOR = *135* MM                                                                                                                                                                                                                                                                                                                                                                                         </t>
  </si>
  <si>
    <t>2.173,16</t>
  </si>
  <si>
    <t xml:space="preserve">POSTE CONICO CONTINUO EM ACO GALVANIZADO, CURVO, BRACO SIMPLES, FLANGEADO, H = 7 M, DIAMETRO INFERIOR = *125* MM                                                                                                                                                                                                                                                                                                                                                                                          </t>
  </si>
  <si>
    <t>1.621,48</t>
  </si>
  <si>
    <t xml:space="preserve">POSTE CONICO CONTINUO EM ACO GALVANIZADO, RETO, ENGASTADO,  H = 7 M, DIAMETRO INFERIOR = *125* MM                                                                                                                                                                                                                                                                                                                                                                                                         </t>
  </si>
  <si>
    <t>1.642,07</t>
  </si>
  <si>
    <t xml:space="preserve">POSTE CONICO CONTINUO EM ACO GALVANIZADO, RETO, ENGASTADO,  H = 9 M, DIAMETRO INFERIOR = *145* MM                                                                                                                                                                                                                                                                                                                                                                                                         </t>
  </si>
  <si>
    <t>2.274,86</t>
  </si>
  <si>
    <t xml:space="preserve">POSTE CONICO CONTINUO EM ACO GALVANIZADO, RETO, FLANGEADO,  H = 3 M, DIAMETRO INFERIOR = *95* MM                                                                                                                                                                                                                                                                                                                                                                                                          </t>
  </si>
  <si>
    <t>559,89</t>
  </si>
  <si>
    <t xml:space="preserve">POSTE DE CONCRETO CIRCULAR, 150 KG, H = 10 M (NBR 8451)                                                                                                                                                                                                                                                                                                                                                                                                                                                   </t>
  </si>
  <si>
    <t>710,41</t>
  </si>
  <si>
    <t xml:space="preserve">POSTE DE CONCRETO CIRCULAR, 200 KG, H = 11 M (NBR 8451)                                                                                                                                                                                                                                                                                                                                                                                                                                                   </t>
  </si>
  <si>
    <t>989,28</t>
  </si>
  <si>
    <t xml:space="preserve">POSTE DE CONCRETO CIRCULAR, 200 KG, H = 9 M (NBR 8451)                                                                                                                                                                                                                                                                                                                                                                                                                                                    </t>
  </si>
  <si>
    <t>697,95</t>
  </si>
  <si>
    <t xml:space="preserve">POSTE DE CONCRETO CIRCULAR, 300 KG, H = 11 M (NBR 8451)                                                                                                                                                                                                                                                                                                                                                                                                                                                   </t>
  </si>
  <si>
    <t>992,30</t>
  </si>
  <si>
    <t xml:space="preserve">POSTE DE CONCRETO CIRCULAR, 300 KG, H = 9 M (NBR 8451)                                                                                                                                                                                                                                                                                                                                                                                                                                                    </t>
  </si>
  <si>
    <t>772,34</t>
  </si>
  <si>
    <t xml:space="preserve">POSTE DE CONCRETO CIRCULAR, 400 KG, H = 11 M (NBR 8451)                                                                                                                                                                                                                                                                                                                                                                                                                                                   </t>
  </si>
  <si>
    <t>1.262,75</t>
  </si>
  <si>
    <t xml:space="preserve">POSTE DE CONCRETO CIRCULAR, 400 KG, H = 14 M (NBR 8451)                                                                                                                                                                                                                                                                                                                                                                                                                                                   </t>
  </si>
  <si>
    <t>2.107,95</t>
  </si>
  <si>
    <t xml:space="preserve">POSTE DE CONCRETO CIRCULAR, 400 KG, H = 9 M (NBR 8451)                                                                                                                                                                                                                                                                                                                                                                                                                                                    </t>
  </si>
  <si>
    <t>987,59</t>
  </si>
  <si>
    <t xml:space="preserve">POSTE DE CONCRETO DUPLO T, TIPO B, 300 KG, H = 10 M (NBR 8451)                                                                                                                                                                                                                                                                                                                                                                                                                                            </t>
  </si>
  <si>
    <t>849,24</t>
  </si>
  <si>
    <t xml:space="preserve">POSTE DE CONCRETO DUPLO T, TIPO B, 300 KG, H = 9 M (NBR 8451)                                                                                                                                                                                                                                                                                                                                                                                                                                             </t>
  </si>
  <si>
    <t xml:space="preserve">POSTE DE CONCRETO DUPLO T, TIPO D, 200 KG, H = 9 M (NBR 8451)                                                                                                                                                                                                                                                                                                                                                                                                                                             </t>
  </si>
  <si>
    <t>574,57</t>
  </si>
  <si>
    <t xml:space="preserve">POSTE DE CONCRETO DUPLO T, 200 KG, H = 11 M (NBR 8451)                                                                                                                                                                                                                                                                                                                                                                                                                                                    </t>
  </si>
  <si>
    <t>757,17</t>
  </si>
  <si>
    <t xml:space="preserve">POSTE DE CONCRETO DUPLO T, 300 KG, H = 12 M (NBR 8451)                                                                                                                                                                                                                                                                                                                                                                                                                                                    </t>
  </si>
  <si>
    <t>1.125,61</t>
  </si>
  <si>
    <t xml:space="preserve">POSTE DE CONCRETO DUPLO T, 400 KG,H = 12 M (NBR 8451)                                                                                                                                                                                                                                                                                                                                                                                                                                                     </t>
  </si>
  <si>
    <t>1.178,76</t>
  </si>
  <si>
    <t xml:space="preserve">POSTE DECORATIVO PARA JARDIM EM ACO TUBULAR, SEM LUMINARIA, H = *2,5* M                                                                                                                                                                                                                                                                                                                                                                                                                                   </t>
  </si>
  <si>
    <t xml:space="preserve">POSTE PADRAO SUBTERRANEO 100 A, H = 2,5 M                                                                                                                                                                                                                                                                                                                                                                                                                                                                 </t>
  </si>
  <si>
    <t>810,75</t>
  </si>
  <si>
    <t xml:space="preserve">POSTE PADRAO SUBTERRANEO 200 A, H = 2,5 M                                                                                                                                                                                                                                                                                                                                                                                                                                                                 </t>
  </si>
  <si>
    <t>1.945,80</t>
  </si>
  <si>
    <t xml:space="preserve">POSTE ROLICO DE MADEIRA TRATADA, D = 20 A 25 CM, H = 12,00 M, EM EUCALIPTO OU EQUIVALENTE DA REGIAO                                                                                                                                                                                                                                                                                                                                                                                                       </t>
  </si>
  <si>
    <t xml:space="preserve">POSTES METALICOS AUTOPORTANTES, CONICO OU TELESCOPICO, PARA SPDA, ALTURA 10 METROS LIVRES                                                                                                                                                                                                                                                                                                                                                                                                                 </t>
  </si>
  <si>
    <t>1.027,00</t>
  </si>
  <si>
    <t xml:space="preserve">POSTES METALICOS AUTOPORTANTES, CONICO OU TELESCOPICO, PARA SPDA, ALTURA 12 METROS LIVRES                                                                                                                                                                                                                                                                                                                                                                                                                 </t>
  </si>
  <si>
    <t>1.433,75</t>
  </si>
  <si>
    <t xml:space="preserve">POSTES METALICOS AUTOPORTANTES, CONICO OU TELESCOPICO, PARA SPDA, ALTURA 15 METROS LIVRES                                                                                                                                                                                                                                                                                                                                                                                                                 </t>
  </si>
  <si>
    <t>1.999,97</t>
  </si>
  <si>
    <t xml:space="preserve">POSTES METALICOS AUTOPORTANTES, CONICO OU TELESCOPICO, PARA SPDA, ALTURA 20 METROS LIVRES                                                                                                                                                                                                                                                                                                                                                                                                                 </t>
  </si>
  <si>
    <t>2.726,86</t>
  </si>
  <si>
    <t xml:space="preserve">POZOLANA DE CLASSE C                                                                                                                                                                                                                                                                                                                                                                                                                                                                                      </t>
  </si>
  <si>
    <t>300,49</t>
  </si>
  <si>
    <t xml:space="preserve">PRANCHA  APARELHADA *4 X 30* CM, EM MACARANDUBA, ANGELIM OU EQUIVALENTE DA REGIAO                                                                                                                                                                                                                                                                                                                                                                                                                         </t>
  </si>
  <si>
    <t xml:space="preserve">PRANCHA NAO APARELHADA  *6 X 25* CM, EM MACARANDUBA, ANGELIM OU EQUIVALENTE DA REGIAO -  BRUTA                                                                                                                                                                                                                                                                                                                                                                                                            </t>
  </si>
  <si>
    <t xml:space="preserve">PRANCHA NAO APARELHADA  *6 X 30* CM, EM MACARANDUBA, ANGELIM OU EQUIVALENTE DA REGIAO - BRUTA                                                                                                                                                                                                                                                                                                                                                                                                             </t>
  </si>
  <si>
    <t>54,82</t>
  </si>
  <si>
    <t xml:space="preserve">PRANCHA NAO APARELHADA  *6 X 40* CM, EM MACARANDUBA, ANGELIM OU EQUIVALENTE DA REGIAO -  BRUTA                                                                                                                                                                                                                                                                                                                                                                                                            </t>
  </si>
  <si>
    <t xml:space="preserve">PRANCHAO  APARELHADO *8 X 30* CM, EM MACARANDUBA, ANGELIM OU EQUIVALENTE DA REGIAO                                                                                                                                                                                                                                                                                                                                                                                                                        </t>
  </si>
  <si>
    <t>113,85</t>
  </si>
  <si>
    <t xml:space="preserve">PRANCHAO APARELHADO *7,5 X 23* CM, EM MACARANDUBA, ANGELIM OU EQUIVALENTE DA REGIAO                                                                                                                                                                                                                                                                                                                                                                                                                       </t>
  </si>
  <si>
    <t xml:space="preserve">PRANCHAO NAO APARELHADO  *7,5 X 23* CM, EM MACARANDUBA, ANGELIM OU EQUIVALENTE DA REGIAO - BRUTA                                                                                                                                                                                                                                                                                                                                                                                                          </t>
  </si>
  <si>
    <t xml:space="preserve">PRANCHAO NAO APARELHADO *8 X 30* CM, EM MACARANDUBA, ANGELIM OU EQUIVALENTE DA REGIAO - BRUTA                                                                                                                                                                                                                                                                                                                                                                                                             </t>
  </si>
  <si>
    <t xml:space="preserve">PREGO DE ACO POLIDO COM CABECA DUPLA 17 X 27 (2 1/2 X 11)                                                                                                                                                                                                                                                                                                                                                                                                                                                 </t>
  </si>
  <si>
    <t xml:space="preserve">PREGO DE ACO POLIDO COM CABECA 10 X 10 (7/8 X 17)                                                                                                                                                                                                                                                                                                                                                                                                                                                         </t>
  </si>
  <si>
    <t xml:space="preserve">PREGO DE ACO POLIDO COM CABECA 10 X 11 (1 X 17)                                                                                                                                                                                                                                                                                                                                                                                                                                                           </t>
  </si>
  <si>
    <t xml:space="preserve">PREGO DE ACO POLIDO COM CABECA 12 X 12                                                                                                                                                                                                                                                                                                                                                                                                                                                                    </t>
  </si>
  <si>
    <t xml:space="preserve">PREGO DE ACO POLIDO COM CABECA 14 X 18 (1 1/2 X 14)                                                                                                                                                                                                                                                                                                                                                                                                                                                       </t>
  </si>
  <si>
    <t xml:space="preserve">PREGO DE ACO POLIDO COM CABECA 15 X 15 (1 1/4 X 13)                                                                                                                                                                                                                                                                                                                                                                                                                                                       </t>
  </si>
  <si>
    <t xml:space="preserve">PREGO DE ACO POLIDO COM CABECA 15 X 18 (1 1/2 X 13)                                                                                                                                                                                                                                                                                                                                                                                                                                                       </t>
  </si>
  <si>
    <t xml:space="preserve">PREGO DE ACO POLIDO COM CABECA 16 X 24 (2 1/4 X 12)                                                                                                                                                                                                                                                                                                                                                                                                                                                       </t>
  </si>
  <si>
    <t>27,59</t>
  </si>
  <si>
    <t xml:space="preserve">PREGO DE ACO POLIDO COM CABECA 16 X 27 (2 1/2 X 12)                                                                                                                                                                                                                                                                                                                                                                                                                                                       </t>
  </si>
  <si>
    <t xml:space="preserve">PREGO DE ACO POLIDO COM CABECA 17 X 21 (2 X 11)                                                                                                                                                                                                                                                                                                                                                                                                                                                           </t>
  </si>
  <si>
    <t xml:space="preserve">PREGO DE ACO POLIDO COM CABECA 17 X 24 (2 1/4 X 11)                                                                                                                                                                                                                                                                                                                                                                                                                                                       </t>
  </si>
  <si>
    <t xml:space="preserve">PREGO DE ACO POLIDO COM CABECA 17 X 27 (2 1/2 X 11)                                                                                                                                                                                                                                                                                                                                                                                                                                                       </t>
  </si>
  <si>
    <t xml:space="preserve">PREGO DE ACO POLIDO COM CABECA 17 X 30 (2 3/4 X 11)                                                                                                                                                                                                                                                                                                                                                                                                                                                       </t>
  </si>
  <si>
    <t xml:space="preserve">PREGO DE ACO POLIDO COM CABECA 18 X 24 (2 1/4 X 10)                                                                                                                                                                                                                                                                                                                                                                                                                                                       </t>
  </si>
  <si>
    <t xml:space="preserve">PREGO DE ACO POLIDO COM CABECA 18 X 27 (2 1/2 X 10)                                                                                                                                                                                                                                                                                                                                                                                                                                                       </t>
  </si>
  <si>
    <t xml:space="preserve">PREGO DE ACO POLIDO COM CABECA 18 X 30 (2 3/4 X 10)                                                                                                                                                                                                                                                                                                                                                                                                                                                       </t>
  </si>
  <si>
    <t xml:space="preserve">PREGO DE ACO POLIDO COM CABECA 19  X 36 (3 1/4  X  9)                                                                                                                                                                                                                                                                                                                                                                                                                                                     </t>
  </si>
  <si>
    <t xml:space="preserve">PREGO DE ACO POLIDO COM CABECA 19 X 33 (3 X 9)                                                                                                                                                                                                                                                                                                                                                                                                                                                            </t>
  </si>
  <si>
    <t xml:space="preserve">PREGO DE ACO POLIDO COM CABECA 22 X 48 (4 1/4 X 5)                                                                                                                                                                                                                                                                                                                                                                                                                                                        </t>
  </si>
  <si>
    <t>26,08</t>
  </si>
  <si>
    <t xml:space="preserve">PREGO DE ACO POLIDO SEM CABECA 15 X 15 (1 1/4 X 13)                                                                                                                                                                                                                                                                                                                                                                                                                                                       </t>
  </si>
  <si>
    <t>29,11</t>
  </si>
  <si>
    <t xml:space="preserve">PRESSAO DE PERNAS TRIPLO, EM TUBO DE ACO CARBONO, PINTURA NO PROCESSO ELETROSTATICO - EQUIPAMENTO DE GINASTICA PARA ACADEMIA AO AR LIVRE / ACADEMIA DA TERCEIRA IDADE - ATI                                                                                                                                                                                                                                                                                                                               </t>
  </si>
  <si>
    <t>3.032,43</t>
  </si>
  <si>
    <t xml:space="preserve">PRIMER DE POLIURETANO                                                                                                                                                                                                                                                                                                                                                                                                                                                                                     </t>
  </si>
  <si>
    <t>479,96</t>
  </si>
  <si>
    <t xml:space="preserve">PRIMER EPOXI                                                                                                                                                                                                                                                                                                                                                                                                                                                                                              </t>
  </si>
  <si>
    <t xml:space="preserve">PRIMER PARA MANTA ASFALTICA A BASE DE ASFALTO MODIFICADO DILUIDO EM SOLVENTE, APLICACAO A FRIO                                                                                                                                                                                                                                                                                                                                                                                                            </t>
  </si>
  <si>
    <t xml:space="preserve">PROJETOR DE ARGAMASSA, CAPACIDADE DE PROJECAO 1,5 M3/H, ALCANCE DA PROJECAO 30 ATE 60 M, MOTOR ELETRICO TRIFASICO                                                                                                                                                                                                                                                                                                                                                                                         </t>
  </si>
  <si>
    <t>76.994,79</t>
  </si>
  <si>
    <t xml:space="preserve">PROJETOR DE ARGAMASSA, CAPACIDADE DE PROJECAO 2,0 M3/H, ALCANCE DA PROJECAO ATE 50 M, MOTOR ELETRICO TRIFASICO                                                                                                                                                                                                                                                                                                                                                                                            </t>
  </si>
  <si>
    <t>102.056,20</t>
  </si>
  <si>
    <t xml:space="preserve">PROJETOR PNEUMATICO DE ARGAMASSA PARA CHAPISCO E REBOCO COM RECIPIENTE ACOPLADO, TIPO CANEQUNHA, COM VOLUME DE 1,50 L, SEM COMPRESSOR                                                                                                                                                                                                                                                                                                                                                                     </t>
  </si>
  <si>
    <t>612,24</t>
  </si>
  <si>
    <t xml:space="preserve">PROJETOR RETANGULAR FECHADO PARA LAMPADA VAPOR DE MERCURIO/SODIO 250 W A 500 W, CABECEIRAS EM ALUMINIO FUNDIDO, CORPO EM ALUMINIO ANODIZADO, PARA LAMPADA E40 FECHAMENTO EM VIDRO TEMPERADO.                                                                                                                                                                                                                                                                                                              </t>
  </si>
  <si>
    <t>103,56</t>
  </si>
  <si>
    <t xml:space="preserve">PROLONGADOR/EXTENSOR PARA ROLO DE PINTURA 3 M                                                                                                                                                                                                                                                                                                                                                                                                                                                             </t>
  </si>
  <si>
    <t>51,23</t>
  </si>
  <si>
    <t xml:space="preserve">PROLONGAMENTO / PROLONGADOR PARA CAIXA SIFONADA, PVC, 100 MM X 200 MM (NBR 5688)                                                                                                                                                                                                                                                                                                                                                                                                                          </t>
  </si>
  <si>
    <t xml:space="preserve">PROLONGAMENTO / PROLONGADOR PARA CAIXA SIFONADA, PVC, 150 MM X 150 MM (NBR 5688)                                                                                                                                                                                                                                                                                                                                                                                                                          </t>
  </si>
  <si>
    <t xml:space="preserve">PROLONGAMENTO / PROLONGADOR PARA CAIXA SIFONADA, PVC, 150 MM X 200 MM (NBR 5688)                                                                                                                                                                                                                                                                                                                                                                                                                          </t>
  </si>
  <si>
    <t xml:space="preserve">PROTETOR AUDITIVO TIPO CONCHA COM ABAFADOR DE RUIDOS, ATENUACAO ACIMA DE 22 DB                                                                                                                                                                                                                                                                                                                                                                                                                            </t>
  </si>
  <si>
    <t xml:space="preserve">PROTETOR AUDITIVO TIPO PLUG DE INSERCAO COM CORDAO, ATENUACAO SUPERIOR A 15 DB                                                                                                                                                                                                                                                                                                                                                                                                                            </t>
  </si>
  <si>
    <t xml:space="preserve">PROTETOR SOLAR FPS 30, EMBALAGEM 2 LITROS                                                                                                                                                                                                                                                                                                                                                                                                                                                                 </t>
  </si>
  <si>
    <t>241,74</t>
  </si>
  <si>
    <t xml:space="preserve">PROTETOR/PONTEIRA PLASTICA PARA PONTA DE VERGALHAO DE ATE 1", TIPO PROTETOR DE ESPERA                                                                                                                                                                                                                                                                                                                                                                                                                     </t>
  </si>
  <si>
    <t xml:space="preserve">PRUMO DE CENTRO EM ACO *400* G                                                                                                                                                                                                                                                                                                                                                                                                                                                                            </t>
  </si>
  <si>
    <t xml:space="preserve">PRUMO DE PAREDE EM ACO 700 A 750 G                                                                                                                                                                                                                                                                                                                                                                                                                                                                        </t>
  </si>
  <si>
    <t xml:space="preserve">PULSADOR CAMPAINHA 10A, 250V (APENAS MODULO)                                                                                                                                                                                                                                                                                                                                                                                                                                                              </t>
  </si>
  <si>
    <t xml:space="preserve">PULSADOR CAMPAINHA 10A, 250V, CONJUNTO MONTADO PARA EMBUTIR 4" X 2" (PLACA + SUPORTE + MODULO)                                                                                                                                                                                                                                                                                                                                                                                                            </t>
  </si>
  <si>
    <t xml:space="preserve">PULSADOR MINUTERIA 10A, 250V (APENAS MODULO)                                                                                                                                                                                                                                                                                                                                                                                                                                                              </t>
  </si>
  <si>
    <t xml:space="preserve">PULSADOR MINUTERIA 10A, 250V, CONJUNTO MONTADO PARA EMBUTIR 4" X 2" (PLACA + SUPORTE + MODULO)                                                                                                                                                                                                                                                                                                                                                                                                            </t>
  </si>
  <si>
    <t xml:space="preserve">PUXADOR DE EMBUTIR TIPO CONCHA, COM FURO PARA CHAVE, EM LATAO CROMADO,  COMPRIMENTO DE APROX *100* MM E LARGURA DE APROX *40* MM                                                                                                                                                                                                                                                                                                                                                                          </t>
  </si>
  <si>
    <t xml:space="preserve">PUXADOR TIPO ALCA, EM ZAMAC CROMADO, COM COMPRIMENTO DE APROX 150 MM, COM ROSETA PARA PORTAS DE MADEIRAS, INCLUINDO PARAFUSOS                                                                                                                                                                                                                                                                                                                                                                             </t>
  </si>
  <si>
    <t>45,20</t>
  </si>
  <si>
    <t xml:space="preserve">PUXADOR TIPO ALCA, EM ZAMAC CROMADO, COM ROSETAS, COMPRIMENTO DE APROX *100* MM, PARA PORTAS E JANELAS DE MADEIRA, INCLUINDO PARAFUSOS                                                                                                                                                                                                                                                                                                                                                                    </t>
  </si>
  <si>
    <t xml:space="preserve">PUXADOR TUBULAR RETO DUPLO, EM ALUMINIO CROMADO, COMPRIMENTO DE APROX 400 MM E DIAMETRO DE 25 MM (1")                                                                                                                                                                                                                                                                                                                                                                                                     </t>
  </si>
  <si>
    <t>123,07</t>
  </si>
  <si>
    <t xml:space="preserve">PUXADOR TUBULAR RETO SIMPLES, EM ALUMINIO CROMADO, COM COMPRIMENTO DE APROX 400 MM E DIAMETRO DE 25 MM                                                                                                                                                                                                                                                                                                                                                                                                    </t>
  </si>
  <si>
    <t xml:space="preserve">QUADRO DE DISTRIBUICAO COM BARRAMENTO TRIFASICO, DE EMBUTIR, EM CHAPA DE ACO GALVANIZADO, PARA 12 DISJUNTORES DIN, 100 A                                                                                                                                                                                                                                                                                                                                                                                  </t>
  </si>
  <si>
    <t>541,83</t>
  </si>
  <si>
    <t xml:space="preserve">QUADRO DE DISTRIBUICAO COM BARRAMENTO TRIFASICO, DE EMBUTIR, EM CHAPA DE ACO GALVANIZADO, PARA 18 DISJUNTORES DIN, 100 A, INCLUINDO BARRAMENTO                                                                                                                                                                                                                                                                                                                                                            </t>
  </si>
  <si>
    <t>759,32</t>
  </si>
  <si>
    <t xml:space="preserve">QUADRO DE DISTRIBUICAO COM BARRAMENTO TRIFASICO, DE EMBUTIR, EM CHAPA DE ACO GALVANIZADO, PARA 24 DISJUNTORES DIN, 100 A                                                                                                                                                                                                                                                                                                                                                                                  </t>
  </si>
  <si>
    <t>797,96</t>
  </si>
  <si>
    <t xml:space="preserve">QUADRO DE DISTRIBUICAO COM BARRAMENTO TRIFASICO, DE EMBUTIR, EM CHAPA DE ACO GALVANIZADO, PARA 28 DISJUNTORES DIN, 100 A                                                                                                                                                                                                                                                                                                                                                                                  </t>
  </si>
  <si>
    <t>1.120,69</t>
  </si>
  <si>
    <t xml:space="preserve">QUADRO DE DISTRIBUICAO COM BARRAMENTO TRIFASICO, DE EMBUTIR, EM CHAPA DE ACO GALVANIZADO, PARA 30 DISJUNTORES DIN, 150 A                                                                                                                                                                                                                                                                                                                                                                                  </t>
  </si>
  <si>
    <t>915,11</t>
  </si>
  <si>
    <t xml:space="preserve">QUADRO DE DISTRIBUICAO COM BARRAMENTO TRIFASICO, DE EMBUTIR, EM CHAPA DE ACO GALVANIZADO, PARA 30 DISJUNTORES DIN, 225 A                                                                                                                                                                                                                                                                                                                                                                                  </t>
  </si>
  <si>
    <t>1.932,11</t>
  </si>
  <si>
    <t xml:space="preserve">QUADRO DE DISTRIBUICAO COM BARRAMENTO TRIFASICO, DE EMBUTIR, EM CHAPA DE ACO GALVANIZADO, PARA 36 DISJUNTORES DIN, 100 A                                                                                                                                                                                                                                                                                                                                                                                  </t>
  </si>
  <si>
    <t>919,73</t>
  </si>
  <si>
    <t xml:space="preserve">QUADRO DE DISTRIBUICAO COM BARRAMENTO TRIFASICO, DE EMBUTIR, EM CHAPA DE ACO GALVANIZADO, PARA 40 DISJUNTORES DIN, 100 A                                                                                                                                                                                                                                                                                                                                                                                  </t>
  </si>
  <si>
    <t>1.342,78</t>
  </si>
  <si>
    <t xml:space="preserve">QUADRO DE DISTRIBUICAO COM BARRAMENTO TRIFASICO, DE EMBUTIR, EM CHAPA DE ACO GALVANIZADO, PARA 48 DISJUNTORES DIN, 100 A                                                                                                                                                                                                                                                                                                                                                                                  </t>
  </si>
  <si>
    <t>1.571,55</t>
  </si>
  <si>
    <t xml:space="preserve">QUADRO DE DISTRIBUICAO COM BARRAMENTO TRIFASICO, DE SOBREPOR, EM CHAPA DE ACO GALVANIZADO, PARA *42* DISJUNTORES DIN, 100 A                                                                                                                                                                                                                                                                                                                                                                               </t>
  </si>
  <si>
    <t>1.566,38</t>
  </si>
  <si>
    <t xml:space="preserve">QUADRO DE DISTRIBUICAO COM BARRAMENTO TRIFASICO, DE SOBREPOR, EM CHAPA DE ACO GALVANIZADO, PARA 12 DISJUNTORES DIN, 100 A                                                                                                                                                                                                                                                                                                                                                                                 </t>
  </si>
  <si>
    <t xml:space="preserve">QUADRO DE DISTRIBUICAO COM BARRAMENTO TRIFASICO, DE SOBREPOR, EM CHAPA DE ACO GALVANIZADO, PARA 18 DISJUNTORES DIN, 100 A                                                                                                                                                                                                                                                                                                                                                                                 </t>
  </si>
  <si>
    <t>702,77</t>
  </si>
  <si>
    <t xml:space="preserve">QUADRO DE DISTRIBUICAO COM BARRAMENTO TRIFASICO, DE SOBREPOR, EM CHAPA DE ACO GALVANIZADO, PARA 28 DISJUNTORES DIN, 100 A                                                                                                                                                                                                                                                                                                                                                                                 </t>
  </si>
  <si>
    <t>649,84</t>
  </si>
  <si>
    <t xml:space="preserve">QUADRO DE DISTRIBUICAO COM BARRAMENTO TRIFASICO, DE SOBREPOR, EM CHAPA DE ACO GALVANIZADO, PARA 30 DISJUNTORES DIN, 100 A                                                                                                                                                                                                                                                                                                                                                                                 </t>
  </si>
  <si>
    <t>947,06</t>
  </si>
  <si>
    <t xml:space="preserve">QUADRO DE DISTRIBUICAO COM BARRAMENTO TRIFASICO, DE SOBREPOR, EM CHAPA DE ACO GALVANIZADO, PARA 36 DISJUNTORES DIN, 100 A                                                                                                                                                                                                                                                                                                                                                                                 </t>
  </si>
  <si>
    <t>1.169,62</t>
  </si>
  <si>
    <t xml:space="preserve">QUADRO DE DISTRIBUICAO COM BARRAMENTO TRIFASICO, DE SOBREPOR, EM CHAPA DE ACO GALVANIZADO, PARA 48 DISJUNTORES DIN, 100 A                                                                                                                                                                                                                                                                                                                                                                                 </t>
  </si>
  <si>
    <t>1.405,91</t>
  </si>
  <si>
    <t xml:space="preserve">QUADRO DE DISTRIBUICAO, EM PVC, DE EMBUTIR, COM BARRAMENTO TERRA / NEUTRO, PARA 12 DISJUNTORES NEMA OU 16 DISJUNTORES DIN                                                                                                                                                                                                                                                                                                                                                                                 </t>
  </si>
  <si>
    <t>109,98</t>
  </si>
  <si>
    <t xml:space="preserve">QUADRO DE DISTRIBUICAO, EM PVC, DE EMBUTIR, COM BARRAMENTO TERRA / NEUTRO, PARA 18 DISJUNTORES NEMA OU 24 DISJUNTORES DIN                                                                                                                                                                                                                                                                                                                                                                                 </t>
  </si>
  <si>
    <t xml:space="preserve">QUADRO DE DISTRIBUICAO, EM PVC, DE EMBUTIR, COM BARRAMENTO TERRA / NEUTRO, PARA 27 DISJUNTORES NEMA OU 36 DISJUNTORES DIN                                                                                                                                                                                                                                                                                                                                                                                 </t>
  </si>
  <si>
    <t>441,59</t>
  </si>
  <si>
    <t xml:space="preserve">QUADRO DE DISTRIBUICAO, EM PVC, DE EMBUTIR, COM BARRAMENTO TERRA / NEUTRO, PARA 48 DISJUNTORES DIN                                                                                                                                                                                                                                                                                                                                                                                                        </t>
  </si>
  <si>
    <t>345,23</t>
  </si>
  <si>
    <t xml:space="preserve">QUADRO DE DISTRIBUICAO, EM PVC, DE EMBUTIR, COM BARRAMENTO TERRA / NEUTRO, PARA 6 DISJUNTORES NEMA OU 8 DISJUNTORES DIN                                                                                                                                                                                                                                                                                                                                                                                   </t>
  </si>
  <si>
    <t>64,58</t>
  </si>
  <si>
    <t xml:space="preserve">QUADRO DE DISTRIBUICAO, SEM BARRAMENTO, EM PVC, DE EMBUTIR, PARA 12 DISJUNTORES NEMA OU 16 DISJUNTORES DIN                                                                                                                                                                                                                                                                                                                                                                                                </t>
  </si>
  <si>
    <t xml:space="preserve">QUADRO DE DISTRIBUICAO, SEM BARRAMENTO, EM PVC, DE EMBUTIR, PARA 18 DISJUNTORES NEMA OU 24 DISJUNTORES DIN                                                                                                                                                                                                                                                                                                                                                                                                </t>
  </si>
  <si>
    <t xml:space="preserve">QUADRO DE DISTRIBUICAO, SEM BARRAMENTO, EM PVC, DE EMBUTIR, PARA 27 DISJUNTORES NEMA OU 36 DISJUNTORES DIN                                                                                                                                                                                                                                                                                                                                                                                                </t>
  </si>
  <si>
    <t>180,11</t>
  </si>
  <si>
    <t xml:space="preserve">QUADRO DE DISTRIBUICAO, SEM BARRAMENTO, EM PVC, DE EMBUTIR, PARA 3 DISJUNTORES NEMA OU 4 DISJUNTORES DIN                                                                                                                                                                                                                                                                                                                                                                                                  </t>
  </si>
  <si>
    <t>28,39</t>
  </si>
  <si>
    <t xml:space="preserve">QUADRO DE DISTRIBUICAO, SEM BARRAMENTO, EM PVC, DE EMBUTIR, PARA 6 DISJUNTORES NEMA OU 8 DISJUNTORES DIN                                                                                                                                                                                                                                                                                                                                                                                                  </t>
  </si>
  <si>
    <t>44,85</t>
  </si>
  <si>
    <t xml:space="preserve">QUADRO DE DISTRIBUICAO, SEM BARRAMENTO, EM PVC, DE SOBREPOR,  PARA 3 DISJUNTORES NEMA OU 4 DISJUNTORES DIN                                                                                                                                                                                                                                                                                                                                                                                                </t>
  </si>
  <si>
    <t xml:space="preserve">QUADRO DE DISTRIBUICAO, SEM BARRAMENTO, EM PVC, DE SOBREPOR, PARA 12 DISJUNTORES NEMA OU 16 DISJUNTORES DIN                                                                                                                                                                                                                                                                                                                                                                                               </t>
  </si>
  <si>
    <t>94,71</t>
  </si>
  <si>
    <t xml:space="preserve">QUADRO DE DISTRIBUICAO, SEM BARRAMENTO, EM PVC, DE SOBREPOR, PARA 18 DISJUNTORES NEMA OU 24 DISJUNTORES DIN                                                                                                                                                                                                                                                                                                                                                                                               </t>
  </si>
  <si>
    <t>138,84</t>
  </si>
  <si>
    <t xml:space="preserve">QUADRO DE DISTRIBUICAO, SEM BARRAMENTO, EM PVC, DE SOBREPOR, PARA 27 DISJUNTORES NEMA OU 36 DISJUNTORES DIN                                                                                                                                                                                                                                                                                                                                                                                               </t>
  </si>
  <si>
    <t>193,68</t>
  </si>
  <si>
    <t xml:space="preserve">QUADRO DE DISTRIBUICAO, SEM BARRAMENTO, EM PVC, DE SOBREPOR, PARA 6 DISJUNTORES NEMA OU 8 DISJUNTORES DIN                                                                                                                                                                                                                                                                                                                                                                                                 </t>
  </si>
  <si>
    <t>56,37</t>
  </si>
  <si>
    <t xml:space="preserve">RALO FOFO COM REQUADRO, QUADRADO 150 X 150 MM                                                                                                                                                                                                                                                                                                                                                                                                                                                             </t>
  </si>
  <si>
    <t xml:space="preserve">RALO FOFO COM REQUADRO, QUADRADO 200 X 200 MM                                                                                                                                                                                                                                                                                                                                                                                                                                                             </t>
  </si>
  <si>
    <t xml:space="preserve">RALO FOFO COM REQUADRO, QUADRADO 250 X 250 MM                                                                                                                                                                                                                                                                                                                                                                                                                                                             </t>
  </si>
  <si>
    <t>116,68</t>
  </si>
  <si>
    <t xml:space="preserve">RALO FOFO COM REQUADRO, QUADRADO 300 X 300 MM                                                                                                                                                                                                                                                                                                                                                                                                                                                             </t>
  </si>
  <si>
    <t xml:space="preserve">RALO FOFO COM REQUADRO, QUADRADO 400 X 400 MM                                                                                                                                                                                                                                                                                                                                                                                                                                                             </t>
  </si>
  <si>
    <t xml:space="preserve">RALO FOFO SEMIESFERICO, 100 MM, PARA LAJES/ CALHAS                                                                                                                                                                                                                                                                                                                                                                                                                                                        </t>
  </si>
  <si>
    <t xml:space="preserve">RALO FOFO SEMIESFERICO, 150 MM, PARA LAJES/ CALHAS                                                                                                                                                                                                                                                                                                                                                                                                                                                        </t>
  </si>
  <si>
    <t xml:space="preserve">RALO FOFO SEMIESFERICO, 200 MM, PARA LAJES/ CALHAS                                                                                                                                                                                                                                                                                                                                                                                                                                                        </t>
  </si>
  <si>
    <t>135,37</t>
  </si>
  <si>
    <t xml:space="preserve">RALO FOFO SEMIESFERICO, 75 MM, PARA LAJES/ CALHAS                                                                                                                                                                                                                                                                                                                                                                                                                                                         </t>
  </si>
  <si>
    <t xml:space="preserve">RALO SECO / RALO DE PASSAGEM EM PVC, QUADRADO, 100 X 100 X 53 MM, SAIDA 40 MM, COM GRELHA BRANCA                                                                                                                                                                                                                                                                                                                                                                                                          </t>
  </si>
  <si>
    <t xml:space="preserve">RALO SECO CONICO, PVC, 100 X 40 MM,  COM GRELHA REDONDA BRANCA                                                                                                                                                                                                                                                                                                                                                                                                                                            </t>
  </si>
  <si>
    <t xml:space="preserve">RALO SECO CONICO, PVC, 100 X 40 MM, COM GRELHA QUADRADA BRANCA                                                                                                                                                                                                                                                                                                                                                                                                                                            </t>
  </si>
  <si>
    <t xml:space="preserve">RALO SIFONADO CILINDRICO, PVC, 100 X 40 MM,  COM GRELHA REDONDA BRANCA                                                                                                                                                                                                                                                                                                                                                                                                                                    </t>
  </si>
  <si>
    <t xml:space="preserve">RALO SIFONADO QUADRADO, PVC, 100 X 53 MM, SAIDA 40 MM, COM GRELHA QUADRADA BRANCA                                                                                                                                                                                                                                                                                                                                                                                                                         </t>
  </si>
  <si>
    <t xml:space="preserve">RALO SIFONADO REDONDO CONICO, PVC, 100 X 40 MM, COM GRELHA REDONDA BRANCA                                                                                                                                                                                                                                                                                                                                                                                                                                 </t>
  </si>
  <si>
    <t xml:space="preserve">RASTELEIRO                                                                                                                                                                                                                                                                                                                                                                                                                                                                                                </t>
  </si>
  <si>
    <t xml:space="preserve">RASTELEIRO (MENSALISTA)                                                                                                                                                                                                                                                                                                                                                                                                                                                                                   </t>
  </si>
  <si>
    <t xml:space="preserve">REATOR ELETRONICO BIVOLT PARA 1 LAMPADA FLUORESCENTE DE 18/20 W                                                                                                                                                                                                                                                                                                                                                                                                                                           </t>
  </si>
  <si>
    <t xml:space="preserve">REATOR ELETRONICO BIVOLT PARA 1 LAMPADA FLUORESCENTE DE 36/40 W                                                                                                                                                                                                                                                                                                                                                                                                                                           </t>
  </si>
  <si>
    <t xml:space="preserve">REATOR ELETRONICO BIVOLT PARA 2 LAMPADAS FLUORESCENTES DE 14 W                                                                                                                                                                                                                                                                                                                                                                                                                                            </t>
  </si>
  <si>
    <t xml:space="preserve">REATOR ELETRONICO BIVOLT PARA 2 LAMPADAS FLUORESCENTES DE 18/20 W                                                                                                                                                                                                                                                                                                                                                                                                                                         </t>
  </si>
  <si>
    <t xml:space="preserve">REATOR ELETRONICO BIVOLT PARA 2 LAMPADAS FLUORESCENTES DE 36/40 W                                                                                                                                                                                                                                                                                                                                                                                                                                         </t>
  </si>
  <si>
    <t xml:space="preserve">REATOR INTERNO/INTEGRADO PARA LAMPADA VAPOR METALICO 400 W, ALTO FATOR DE POTENCIA                                                                                                                                                                                                                                                                                                                                                                                                                        </t>
  </si>
  <si>
    <t>107,00</t>
  </si>
  <si>
    <t xml:space="preserve">REATOR P/ LAMPADA VAPOR DE SODIO 250W USO EXT                                                                                                                                                                                                                                                                                                                                                                                                                                                             </t>
  </si>
  <si>
    <t>234,73</t>
  </si>
  <si>
    <t xml:space="preserve">REATOR P/ 1 LAMPADA VAPOR DE MERCURIO 125W USO EXT                                                                                                                                                                                                                                                                                                                                                                                                                                                        </t>
  </si>
  <si>
    <t>107,58</t>
  </si>
  <si>
    <t xml:space="preserve">REATOR P/ 1 LAMPADA VAPOR DE MERCURIO 250W USO EXT                                                                                                                                                                                                                                                                                                                                                                                                                                                        </t>
  </si>
  <si>
    <t>128,29</t>
  </si>
  <si>
    <t xml:space="preserve">REATOR P/ 1 LAMPADA VAPOR DE MERCURIO 400W USO EXT                                                                                                                                                                                                                                                                                                                                                                                                                                                        </t>
  </si>
  <si>
    <t>147,80</t>
  </si>
  <si>
    <t xml:space="preserve">REBITE DE ALUMINIO VAZADO DE REPUXO, 3,2 X 8 MM (1KG = 1025 UNIDADES)                                                                                                                                                                                                                                                                                                                                                                                                                                     </t>
  </si>
  <si>
    <t>66,76</t>
  </si>
  <si>
    <t xml:space="preserve">REBOLO ABRASIVO RETO DE USO GERAL GRAO 36, DE 6 X 1 " (DIAMETRO X ALTURA)                                                                                                                                                                                                                                                                                                                                                                                                                                 </t>
  </si>
  <si>
    <t xml:space="preserve">REBOLO ABRASIVO RETO DE USO GERAL GRAO 36, DE 6 X 3/4 " (DIAMETRO X ALTURA)                                                                                                                                                                                                                                                                                                                                                                                                                               </t>
  </si>
  <si>
    <t xml:space="preserve">RECICLADORA DE ASFALTO A FRIO SOBRE RODAS, LARG. FRESAGEM 2,00 M, POT. 315 KW/422 HP                                                                                                                                                                                                                                                                                                                                                                                                                      </t>
  </si>
  <si>
    <t>5.459.885,91</t>
  </si>
  <si>
    <t xml:space="preserve">REDUCAO EXCENTRICA PVC NBR 10569 P/REDE COLET ESG PB JE 150 X 100MM                                                                                                                                                                                                                                                                                                                                                                                                                                       </t>
  </si>
  <si>
    <t xml:space="preserve">REDUCAO EXCENTRICA PVC NBR 10569 P/REDE COLET ESG PB JE 200 X 150MM                                                                                                                                                                                                                                                                                                                                                                                                                                       </t>
  </si>
  <si>
    <t xml:space="preserve">REDUCAO EXCENTRICA PVC NBR 10569 P/REDE COLET ESG PB JE 250 X 200MM                                                                                                                                                                                                                                                                                                                                                                                                                                       </t>
  </si>
  <si>
    <t xml:space="preserve">REDUCAO EXCENTRICA PVC P/ ESG PREDIAL DN 100 X 50MM                                                                                                                                                                                                                                                                                                                                                                                                                                                       </t>
  </si>
  <si>
    <t xml:space="preserve">REDUCAO EXCENTRICA PVC P/ ESG PREDIAL DN 100 X 75MM                                                                                                                                                                                                                                                                                                                                                                                                                                                       </t>
  </si>
  <si>
    <t xml:space="preserve">REDUCAO EXCENTRICA PVC P/ ESG PREDIAL DN 75 X 50MM                                                                                                                                                                                                                                                                                                                                                                                                                                                        </t>
  </si>
  <si>
    <t xml:space="preserve">REDUCAO EXCENTRICA PVC, SERIE R, DN 100 X 75 MM, PARA ESGOTO OU AGUAS PLUVIAIS PREDIAIS                                                                                                                                                                                                                                                                                                                                                                                                                   </t>
  </si>
  <si>
    <t xml:space="preserve">REDUCAO EXCENTRICA PVC, SERIE R, DN 150 X 100 MM, PARA ESGOTO OU AGUAS PLUVIAIS PREDIAIS                                                                                                                                                                                                                                                                                                                                                                                                                  </t>
  </si>
  <si>
    <t xml:space="preserve">REDUCAO EXCENTRICA PVC, SERIE R, DN 75 X 50 MM, PARA ESGOTO OU AGUAS PLUVIAIS PREDIAIS                                                                                                                                                                                                                                                                                                                                                                                                                    </t>
  </si>
  <si>
    <t xml:space="preserve">REDUCAO FIXA TIPO STORZ, ENGATE RAPIDO 2.1/2" X 1.1/2", EM LATAO, PARA INSTALACAO PREDIAL COMBATE A INCENDIO PREDIAL                                                                                                                                                                                                                                                                                                                                                                                      </t>
  </si>
  <si>
    <t xml:space="preserve">REDUCAO PVC PBA, JE, BB, DN 75 X 50 / DE 85 X 60 MM, PARA REDE DE AGUA                                                                                                                                                                                                                                                                                                                                                                                                                                    </t>
  </si>
  <si>
    <t xml:space="preserve">REDUCAO PVC PBA, JE, PB, DN 100 X 50 / DE 110 X 60 MM, PARA REDE DE AGUA                                                                                                                                                                                                                                                                                                                                                                                                                                  </t>
  </si>
  <si>
    <t xml:space="preserve">REDUCAO PVC PBA, JE, PB, DN 100 X 75 / DE 110 X 85 MM, PARA REDE DE AGUA                                                                                                                                                                                                                                                                                                                                                                                                                                  </t>
  </si>
  <si>
    <t>38,62</t>
  </si>
  <si>
    <t xml:space="preserve">REDUCAO PVC PBA, JE, PB, DN 75 X 50 / DE 85 X 60 MM, PARA REDE DE AGUA                                                                                                                                                                                                                                                                                                                                                                                                                                    </t>
  </si>
  <si>
    <t xml:space="preserve">REFLETOR REDONDO EM ALUMINIO ANODIZADO PARA LAMPADA VAPOR DE MERCURIO/SODIO, CORPO EM ALUMINIO COM PINTURA EPOXI, PARA LAMPADA E-27 DE 300 W, COM SUPORTE REDONDO E ALCA REGULAVEL PARA FIXACAO.                                                                                                                                                                                                                                                                                                          </t>
  </si>
  <si>
    <t>135,77</t>
  </si>
  <si>
    <t xml:space="preserve">REGISTRO DE ESFERA DE PASSEIO, PVC PARA POLIETILENO, 20 MM                                                                                                                                                                                                                                                                                                                                                                                                                                                </t>
  </si>
  <si>
    <t xml:space="preserve">REGISTRO DE ESFERA PVC, COM BORBOLETA, COM ROSCA EXTERNA, DE 1/2"                                                                                                                                                                                                                                                                                                                                                                                                                                         </t>
  </si>
  <si>
    <t xml:space="preserve">REGISTRO DE ESFERA PVC, COM BORBOLETA, COM ROSCA EXTERNA, DE 3/4"                                                                                                                                                                                                                                                                                                                                                                                                                                         </t>
  </si>
  <si>
    <t xml:space="preserve">REGISTRO DE ESFERA PVC, COM CABECA QUADRADA, COM ROSCA EXTERNA, 1/2"                                                                                                                                                                                                                                                                                                                                                                                                                                      </t>
  </si>
  <si>
    <t xml:space="preserve">REGISTRO DE ESFERA PVC, COM CABECA QUADRADA, COM ROSCA EXTERNA, 3/4"                                                                                                                                                                                                                                                                                                                                                                                                                                      </t>
  </si>
  <si>
    <t xml:space="preserve">REGISTRO DE ESFERA, PVC, COM VOLANTE, VS, ROSCAVEL, DN 1 1/2", COM CORPO DIVIDIDO                                                                                                                                                                                                                                                                                                                                                                                                                         </t>
  </si>
  <si>
    <t>67,65</t>
  </si>
  <si>
    <t xml:space="preserve">REGISTRO DE ESFERA, PVC, COM VOLANTE, VS, ROSCAVEL, DN 1 1/4", COM CORPO DIVIDIDO                                                                                                                                                                                                                                                                                                                                                                                                                         </t>
  </si>
  <si>
    <t>64,43</t>
  </si>
  <si>
    <t xml:space="preserve">REGISTRO DE ESFERA, PVC, COM VOLANTE, VS, ROSCAVEL, DN 1/2", COM CORPO DIVIDIDO                                                                                                                                                                                                                                                                                                                                                                                                                           </t>
  </si>
  <si>
    <t xml:space="preserve">REGISTRO DE ESFERA, PVC, COM VOLANTE, VS, ROSCAVEL, DN 1", COM CORPO DIVIDIDO                                                                                                                                                                                                                                                                                                                                                                                                                             </t>
  </si>
  <si>
    <t>48,25</t>
  </si>
  <si>
    <t xml:space="preserve">REGISTRO DE ESFERA, PVC, COM VOLANTE, VS, ROSCAVEL, DN 2", COM CORPO DIVIDIDO                                                                                                                                                                                                                                                                                                                                                                                                                             </t>
  </si>
  <si>
    <t>103,54</t>
  </si>
  <si>
    <t xml:space="preserve">REGISTRO DE ESFERA, PVC, COM VOLANTE, VS, ROSCAVEL, DN 3/4", COM CORPO DIVIDIDO                                                                                                                                                                                                                                                                                                                                                                                                                           </t>
  </si>
  <si>
    <t xml:space="preserve">REGISTRO DE ESFERA, PVC, COM VOLANTE, VS, SOLDAVEL, DN 20 MM, COM CORPO DIVIDIDO                                                                                                                                                                                                                                                                                                                                                                                                                          </t>
  </si>
  <si>
    <t xml:space="preserve">REGISTRO DE ESFERA, PVC, COM VOLANTE, VS, SOLDAVEL, DN 25 MM, COM CORPO DIVIDIDO                                                                                                                                                                                                                                                                                                                                                                                                                          </t>
  </si>
  <si>
    <t xml:space="preserve">REGISTRO DE ESFERA, PVC, COM VOLANTE, VS, SOLDAVEL, DN 32 MM, COM CORPO DIVIDIDO                                                                                                                                                                                                                                                                                                                                                                                                                          </t>
  </si>
  <si>
    <t>47,61</t>
  </si>
  <si>
    <t xml:space="preserve">REGISTRO DE ESFERA, PVC, COM VOLANTE, VS, SOLDAVEL, DN 40 MM, COM CORPO DIVIDIDO                                                                                                                                                                                                                                                                                                                                                                                                                          </t>
  </si>
  <si>
    <t>63,68</t>
  </si>
  <si>
    <t xml:space="preserve">REGISTRO DE ESFERA, PVC, COM VOLANTE, VS, SOLDAVEL, DN 50 MM, COM CORPO DIVIDIDO                                                                                                                                                                                                                                                                                                                                                                                                                          </t>
  </si>
  <si>
    <t>65,76</t>
  </si>
  <si>
    <t xml:space="preserve">REGISTRO DE ESFERA, PVC, COM VOLANTE, VS, SOLDAVEL, DN 60 MM, COM CORPO DIVIDIDO                                                                                                                                                                                                                                                                                                                                                                                                                          </t>
  </si>
  <si>
    <t>120,44</t>
  </si>
  <si>
    <t xml:space="preserve">REGISTRO DE PRESSAO PVC, ROSCAVEL, VOLANTE SIMPLES, DE 1/2"                                                                                                                                                                                                                                                                                                                                                                                                                                               </t>
  </si>
  <si>
    <t xml:space="preserve">REGISTRO DE PRESSAO PVC, ROSCAVEL, VOLANTE SIMPLES, DE 3/4"                                                                                                                                                                                                                                                                                                                                                                                                                                               </t>
  </si>
  <si>
    <t xml:space="preserve">REGISTRO DE PRESSAO PVC, SOLDAVEL, VOLANTE SIMPLES, DE 20 MM                                                                                                                                                                                                                                                                                                                                                                                                                                              </t>
  </si>
  <si>
    <t xml:space="preserve">REGISTRO DE PRESSAO PVC, SOLDAVEL, VOLANTE SIMPLES, DE 25 MM                                                                                                                                                                                                                                                                                                                                                                                                                                              </t>
  </si>
  <si>
    <t xml:space="preserve">REGISTRO GAVETA BRUTO EM LATAO FORJADO, BITOLA 1 " (REF 1509)                                                                                                                                                                                                                                                                                                                                                                                                                                             </t>
  </si>
  <si>
    <t>51,69</t>
  </si>
  <si>
    <t xml:space="preserve">REGISTRO GAVETA BRUTO EM LATAO FORJADO, BITOLA 1 1/2 " (REF 1509)                                                                                                                                                                                                                                                                                                                                                                                                                                         </t>
  </si>
  <si>
    <t>88,95</t>
  </si>
  <si>
    <t xml:space="preserve">REGISTRO GAVETA BRUTO EM LATAO FORJADO, BITOLA 1 1/4 " (REF 1509)                                                                                                                                                                                                                                                                                                                                                                                                                                         </t>
  </si>
  <si>
    <t xml:space="preserve">REGISTRO GAVETA BRUTO EM LATAO FORJADO, BITOLA 1/2 " (REF 1509)                                                                                                                                                                                                                                                                                                                                                                                                                                           </t>
  </si>
  <si>
    <t xml:space="preserve">REGISTRO GAVETA BRUTO EM LATAO FORJADO, BITOLA 2 " (REF 1509)                                                                                                                                                                                                                                                                                                                                                                                                                                             </t>
  </si>
  <si>
    <t xml:space="preserve">REGISTRO GAVETA BRUTO EM LATAO FORJADO, BITOLA 2 1/2 " (REF 1509)                                                                                                                                                                                                                                                                                                                                                                                                                                         </t>
  </si>
  <si>
    <t>256,95</t>
  </si>
  <si>
    <t xml:space="preserve">REGISTRO GAVETA BRUTO EM LATAO FORJADO, BITOLA 3 " (REF 1509)                                                                                                                                                                                                                                                                                                                                                                                                                                             </t>
  </si>
  <si>
    <t>311,08</t>
  </si>
  <si>
    <t xml:space="preserve">REGISTRO GAVETA BRUTO EM LATAO FORJADO, BITOLA 3/4 " (REF 1509)                                                                                                                                                                                                                                                                                                                                                                                                                                           </t>
  </si>
  <si>
    <t xml:space="preserve">REGISTRO GAVETA BRUTO EM LATAO FORJADO, BITOLA 4 " (REF 1509)                                                                                                                                                                                                                                                                                                                                                                                                                                             </t>
  </si>
  <si>
    <t>648,18</t>
  </si>
  <si>
    <t xml:space="preserve">REGISTRO GAVETA COM ACABAMENTO E CANOPLA CROMADOS, SIMPLES, BITOLA 1 " (REF 1509)                                                                                                                                                                                                                                                                                                                                                                                                                         </t>
  </si>
  <si>
    <t xml:space="preserve">REGISTRO GAVETA COM ACABAMENTO E CANOPLA CROMADOS, SIMPLES, BITOLA 1 1/2 " (REF 1509)                                                                                                                                                                                                                                                                                                                                                                                                                     </t>
  </si>
  <si>
    <t>142,23</t>
  </si>
  <si>
    <t xml:space="preserve">REGISTRO GAVETA COM ACABAMENTO E CANOPLA CROMADOS, SIMPLES, BITOLA 1 1/4 " (REF 1509)                                                                                                                                                                                                                                                                                                                                                                                                                     </t>
  </si>
  <si>
    <t>135,99</t>
  </si>
  <si>
    <t xml:space="preserve">REGISTRO GAVETA COM ACABAMENTO E CANOPLA CROMADOS, SIMPLES, BITOLA 1/2 " (REF 1509)                                                                                                                                                                                                                                                                                                                                                                                                                       </t>
  </si>
  <si>
    <t xml:space="preserve">REGISTRO GAVETA COM ACABAMENTO E CANOPLA CROMADOS, SIMPLES, BITOLA 3/4 " (REF 1509)                                                                                                                                                                                                                                                                                                                                                                                                                       </t>
  </si>
  <si>
    <t>79,90</t>
  </si>
  <si>
    <t xml:space="preserve">REGISTRO OU REGULADOR DE GAS COZINHA, VAZAO DE 2 KG/H, 2,8 KPA                                                                                                                                                                                                                                                                                                                                                                                                                                            </t>
  </si>
  <si>
    <t xml:space="preserve">REGISTRO OU VALVULA GLOBO ANGULAR EM LATAO, PARA HIDRANTES EM INSTALACAO PREDIAL DE INCENDIO, 45 GRAUS, DIAMETRO DE 2 1/2", COM VOLANTE, CLASSE DE PRESSAO DE ATE 200 PSI                                                                                                                                                                                                                                                                                                                                 </t>
  </si>
  <si>
    <t>183,50</t>
  </si>
  <si>
    <t xml:space="preserve">REGISTRO PRESSAO BRUTO EM LATAO FORJADO, BITOLA 1/2 " (REF 1400)                                                                                                                                                                                                                                                                                                                                                                                                                                          </t>
  </si>
  <si>
    <t>22,00</t>
  </si>
  <si>
    <t xml:space="preserve">REGISTRO PRESSAO BRUTO EM LATAO FORJADO, BITOLA 3/4 " (REF 1400)                                                                                                                                                                                                                                                                                                                                                                                                                                          </t>
  </si>
  <si>
    <t>26,27</t>
  </si>
  <si>
    <t xml:space="preserve">REGISTRO PRESSAO COM ACABAMENTO E CANOPLA CROMADA, SIMPLES, BITOLA 1/2 " (REF 1416)                                                                                                                                                                                                                                                                                                                                                                                                                       </t>
  </si>
  <si>
    <t>72,90</t>
  </si>
  <si>
    <t xml:space="preserve">REGISTRO PRESSAO COM ACABAMENTO E CANOPLA CROMADA, SIMPLES, BITOLA 3/4 " (REF 1416)                                                                                                                                                                                                                                                                                                                                                                                                                       </t>
  </si>
  <si>
    <t xml:space="preserve">REGUA DE ALUMINIO PARA PEDREIRO 2 X 1 "                                                                                                                                                                                                                                                                                                                                                                                                                                                                   </t>
  </si>
  <si>
    <t xml:space="preserve">REGUA VIBRADORA DUPLA PARA CONCRETO A GASOLINA 5,5 HP, PESO DE 60 KG, COMPRIMENTO 4 M                                                                                                                                                                                                                                                                                                                                                                                                                     </t>
  </si>
  <si>
    <t xml:space="preserve">REGUA VIBRATORIA DE CONCRETO TRELICADA, EQUIPADA COM MOTOR A GASOLINA DE 9 HP                                                                                                                                                                                                                                                                                                                                                                                                                             </t>
  </si>
  <si>
    <t xml:space="preserve">REJEITO DE MINERIO DE FERRO PARA PAVIMENTACAO (POSTO PEDREIRA/FORNECEDOR, SEM FRETE)                                                                                                                                                                                                                                                                                                                                                                                                                      </t>
  </si>
  <si>
    <t>70,80</t>
  </si>
  <si>
    <t xml:space="preserve">REJUNTE CIMENTICIO, QUALQUER COR                                                                                                                                                                                                                                                                                                                                                                                                                                                                          </t>
  </si>
  <si>
    <t xml:space="preserve">REJUNTE EPOXI, QUALQUER COR                                                                                                                                                                                                                                                                                                                                                                                                                                                                               </t>
  </si>
  <si>
    <t>68,02</t>
  </si>
  <si>
    <t xml:space="preserve">RELE FOTOELETRICO INTERNO E EXTERNO BIVOLT 1000 W, DE CONECTOR, SEM BASE                                                                                                                                                                                                                                                                                                                                                                                                                                  </t>
  </si>
  <si>
    <t xml:space="preserve">RELE TERMICO BIMETAL PARA USO EM MOTORES TRIFASICOS, TENSAO 380 V, POTENCIA ATE 15 CV, CORRENTE NOMINAL MAXIMA 22 A                                                                                                                                                                                                                                                                                                                                                                                       </t>
  </si>
  <si>
    <t>218,17</t>
  </si>
  <si>
    <t xml:space="preserve">RESINA ACRILICA BASE AGUA - COR BRANCA                                                                                                                                                                                                                                                                                                                                                                                                                                                                    </t>
  </si>
  <si>
    <t xml:space="preserve">RESPIRADOR DESCARTAVEL SEM VALVULA DE EXALACAO, PFF 1                                                                                                                                                                                                                                                                                                                                                                                                                                                     </t>
  </si>
  <si>
    <t xml:space="preserve">RETARDO PARA CORDEL DETONANTE                                                                                                                                                                                                                                                                                                                                                                                                                                                                             </t>
  </si>
  <si>
    <t xml:space="preserve">RETROESCAVADEIRA SOBRE RODAS COM CARREGADEIRA, TRACAO 4 X 2, POTENCIA LIQUIDA 79 HP, PESO OPERACIONAL MINIMO DE 6570 KG, CAPACIDADE DA CARREGADEIRA DE 1,00 M3 E DA  RETROESCAVADEIRA MINIMA DE 0,20 M3, PROFUNDIDADE DE ESCAVACAO MAXIMA DE 4,37 M                                                                                                                                                                                                                                                       </t>
  </si>
  <si>
    <t>382.609,74</t>
  </si>
  <si>
    <t xml:space="preserve">RETROESCAVADEIRA SOBRE RODAS COM CARREGADEIRA, TRACAO 4 X 4, POTENCIA LIQUIDA 72 HP, PESO OPERACIONAL MINIMO DE 7140 KG, CAPACIDADE MINIMA DA CARREGADEIRA DE 0,79 M3 E DA RETROESCAVADEIRA MINIMA DE 0,18 M3, PROFUNDIDADE DE ESCAVACAO MAXIMA DE 4,50 M                                                                                                                                                                                                                                                 </t>
  </si>
  <si>
    <t>415.000,00</t>
  </si>
  <si>
    <t xml:space="preserve">RETROESCAVADEIRA SOBRE RODAS COM CARREGADEIRA, TRACAO 4 X 4, POTENCIA LIQUIDA 88 HP, PESO OPERACIONAL MINIMO DE 6674 KG, CAPACIDADE DA CARREGADEIRA DE 1,00 M3 E DA  RETROESCAVADEIRA MINIMA DE 0,26 M3, PROFUNDIDADE DE ESCAVACAO MAXIMA DE 4,37 M                                                                                                                                                                                                                                                       </t>
  </si>
  <si>
    <t>430.182,89</t>
  </si>
  <si>
    <t xml:space="preserve">REVESTIMENTO DE PAREDE EM GRANILITE, MARMORITE OU GRANITINA - ESP = 5 MM (INCLUSO EXECUCAO)                                                                                                                                                                                                                                                                                                                                                                                                               </t>
  </si>
  <si>
    <t xml:space="preserve">REVESTIMENTO DE PAREDE EM GRANILITE, MARMORITE OU GRANITINA COLORIDO - ESP = 5 MM (INCLUSO EXECUCAO)                                                                                                                                                                                                                                                                                                                                                                                                      </t>
  </si>
  <si>
    <t xml:space="preserve">REVESTIMENTO EM CERAMICA ESMALTADA COMERCIAL, PEI MENOR OU IGUAL A 3, FORMATO MENOR OU IGUAL A 2025 CM2                                                                                                                                                                                                                                                                                                                                                                                                   </t>
  </si>
  <si>
    <t xml:space="preserve">REVESTIMENTO EM CERAMICA ESMALTADA EXTRA, PEI MAIOR OU IGUAL 4, FORMATO MAIOR A 2025 CM2                                                                                                                                                                                                                                                                                                                                                                                                                  </t>
  </si>
  <si>
    <t xml:space="preserve">REVESTIMENTO EM CERAMICA ESMALTADA EXTRA, PEI MENOR OU IGUAL A 3, FORMATO MENOR OU IGUAL A 2025 CM2                                                                                                                                                                                                                                                                                                                                                                                                       </t>
  </si>
  <si>
    <t xml:space="preserve">REVESTIMENTO EPOXI DE ALTA RESISTENCIA QUIMICA, ISENTO DE SOLVENTES, BICOMPONENTE                                                                                                                                                                                                                                                                                                                                                                                                                         </t>
  </si>
  <si>
    <t xml:space="preserve">REVESTIMENTO PARA ESCADA EM GRANILITE, MARMORITE OU GRANITINA ESP = 8 MM (INCLUSO EXECUCAO)                                                                                                                                                                                                                                                                                                                                                                                                               </t>
  </si>
  <si>
    <t xml:space="preserve">RIPA  APARELHADA *1,5 X 5* CM, EM MACARANDUBA, ANGELIM OU EQUIVALENTE DA REGIAO                                                                                                                                                                                                                                                                                                                                                                                                                           </t>
  </si>
  <si>
    <t xml:space="preserve">RIPA NAO APARELHADA  *1 X 3* CM, EM MACARANDUBA, ANGELIM OU EQUIVALENTE DA REGIAO - BRUTA                                                                                                                                                                                                                                                                                                                                                                                                                 </t>
  </si>
  <si>
    <t xml:space="preserve">RIPA NAO APARELHADA,  *1,5 X 5* CM, EM MACARANDUBA, ANGELIM OU EQUIVALENTE DA REGIAO -  BRUTA                                                                                                                                                                                                                                                                                                                                                                                                             </t>
  </si>
  <si>
    <t xml:space="preserve">ROCADEIRA COSTAL COM MOTOR A GASOLINA DE *32* CC                                                                                                                                                                                                                                                                                                                                                                                                                                                          </t>
  </si>
  <si>
    <t>1.975,00</t>
  </si>
  <si>
    <t xml:space="preserve">ROCADEIRA DESLOCAVEL, LARGURA DE TRABALHO DE 1,3 M                                                                                                                                                                                                                                                                                                                                                                                                                                                        </t>
  </si>
  <si>
    <t>5.367,62</t>
  </si>
  <si>
    <t xml:space="preserve">RODAFORRO EM PVC, PARA FORRO DE PVC, COMPRIMENTO 6 M                                                                                                                                                                                                                                                                                                                                                                                                                                                      </t>
  </si>
  <si>
    <t xml:space="preserve">RODAPE ARDOSIA, CINZA, 10 CM, E= *1CM                                                                                                                                                                                                                                                                                                                                                                                                                                                                     </t>
  </si>
  <si>
    <t xml:space="preserve">RODAPE DE BORRACHA LISO, H = 70 MM, E = *2* MM, PARA ARGAMASSA, PRETO                                                                                                                                                                                                                                                                                                                                                                                                                                     </t>
  </si>
  <si>
    <t xml:space="preserve">RODAPE DE MADEIRA MACICA CUMARU/IPE CHAMPANHE OU EQUIVALENTE DA REGIAO, *1,5 X 7 CM                                                                                                                                                                                                                                                                                                                                                                                                                       </t>
  </si>
  <si>
    <t xml:space="preserve">RODAPE EM MARMORE, POLIDO, BRANCO COMUM, L= *7* CM, E=  *2* CM, CORTE RETO                                                                                                                                                                                                                                                                                                                                                                                                                                </t>
  </si>
  <si>
    <t xml:space="preserve">RODAPE EM POLIESTIRENO, BRANCO, H = *5* CM, E = *1,5* CM                                                                                                                                                                                                                                                                                                                                                                                                                                                  </t>
  </si>
  <si>
    <t xml:space="preserve">RODAPE OU RODABANCADA EM GRANITO, POLIDO, TIPO ANDORINHA/ QUARTZ/ CASTELO/ CORUMBA OU OUTROS EQUIVALENTES DA REGIAO, H= 10 CM, E=  *2,0* CM                                                                                                                                                                                                                                                                                                                                                               </t>
  </si>
  <si>
    <t xml:space="preserve">RODAPE PLANO PARA PISO VINILICO, H = 5 CM                                                                                                                                                                                                                                                                                                                                                                                                                                                                 </t>
  </si>
  <si>
    <t xml:space="preserve">RODAPE PRE-MOLDADO DE GRANILITE, MARMORITE OU GRANITINA L = 10 CM                                                                                                                                                                                                                                                                                                                                                                                                                                         </t>
  </si>
  <si>
    <t xml:space="preserve">RODIZIO TIPO NAPOLEAO PARA JANELAS DE CORRER, EM ZAMAC, COMPRIMENTO DE APROX 60 CM, COM ROLAMENTO EM ACO                                                                                                                                                                                                                                                                                                                                                                                                  </t>
  </si>
  <si>
    <t xml:space="preserve">RODO PARA CHAO 40 CM COM CABO                                                                                                                                                                                                                                                                                                                                                                                                                                                                             </t>
  </si>
  <si>
    <t xml:space="preserve">ROLDANA CONCAVA DUPLA, 4 RODAS, EM ZAMAC COM CHAPA DE LATAO, ROLAMENTOS EM ACO, PARA PORTAS E JANELAS DE CORRER                                                                                                                                                                                                                                                                                                                                                                                           </t>
  </si>
  <si>
    <t xml:space="preserve">ROLDANA CONCAVA DUPLA, 4 RODAS, PARA PORTA DE CORRER, EM ZAMAC COM CHAPA DE ACO,  ROLAMENTO INTERNO BLINDADO DE ACO REVESTIDO EM NYLON                                                                                                                                                                                                                                                                                                                                                                    </t>
  </si>
  <si>
    <t>40,25</t>
  </si>
  <si>
    <t xml:space="preserve">ROLDANA PLASTICA COM PREGO, TAMANHO 30 X 30 MM, PARA INSTALACAO ELETRICA APARENTE                                                                                                                                                                                                                                                                                                                                                                                                                         </t>
  </si>
  <si>
    <t xml:space="preserve">ROLO COMPACTADOR DE PNEUS, ESTATICO, PRESSAO VARIAVEL, POTENCIA 110 HP, PESO SEM/COM LASTRO 10,8/27 T, LARGURA DE ROLAGEM 2,30 M                                                                                                                                                                                                                                                                                                                                                                          </t>
  </si>
  <si>
    <t>675.495,96</t>
  </si>
  <si>
    <t xml:space="preserve">ROLO COMPACTADOR DE PNEUS, ESTATICO, PRESSAO VARIAVEL, POTENCIA 111 HP, PESO SEM/COM LASTRO 9,5/26,0 T, LARGURA DE ROLAGEM 1,90 M                                                                                                                                                                                                                                                                                                                                                                         </t>
  </si>
  <si>
    <t>636.350,00</t>
  </si>
  <si>
    <t xml:space="preserve">ROLO COMPACTADOR PE DE CARNEIRO VIBRATORIO, POTENCIA 125 HP, PESO OPERACIONAL SEM/COM LASTRO 11,95/13,30 T, IMPACTO DINAMICO 38,5/22,5 T, LARGURA DE TRABALHO 2,15 M                                                                                                                                                                                                                                                                                                                                      </t>
  </si>
  <si>
    <t>564.430,61</t>
  </si>
  <si>
    <t xml:space="preserve">ROLO COMPACTADOR PE DE CARNEIRO VIBRATORIO, POTENCIA 80 HP, PESO OPERACIONAL SEM/COM LASTRO 7,4/8,8 T, LARGURA DE TRABALHO 1,68 M                                                                                                                                                                                                                                                                                                                                                                         </t>
  </si>
  <si>
    <t>423.336,35</t>
  </si>
  <si>
    <t xml:space="preserve">ROLO COMPACTADOR VIBRATORIO DE UM CILINDRO LISO DE ACO, POTENCIA 125 HP, PESO SEM/COM LASTRO 10,75/12,92 T, IMPACTO DINAMICO 31,5/18,5 T, LARGURA TRABALHO 2,15 M                                                                                                                                                                                                                                                                                                                                         </t>
  </si>
  <si>
    <t>546.223,11</t>
  </si>
  <si>
    <t xml:space="preserve">ROLO COMPACTADOR VIBRATORIO DE UM CILINDRO, ACO LISO, POTENCIA 80 HP, PESO OPERACIONAL MAXIMO 8,1 T, IMPACTO DINAMICO 16,15/9,5 T, LARGURA TRABALHO 1,68 M                                                                                                                                                                                                                                                                                                                                                </t>
  </si>
  <si>
    <t>407.172,93</t>
  </si>
  <si>
    <t xml:space="preserve">ROLO COMPACTADOR VIBRATORIO PE DE CARNEIRO, COM CONTROLE REMOTO POR RADIO, POTENCIA  12,5 KW, PESO OPERACIONAL DE 1,675 T, LARGURA DE TRABALHO 0,85 M                                                                                                                                                                                                                                                                                                                                                     </t>
  </si>
  <si>
    <t>556.351,70</t>
  </si>
  <si>
    <t xml:space="preserve">ROLO COMPACTADOR VIBRATORIO REBOCAVEL, CILINDRO DE ACO LISO, POTENCIA DE TRACAO DE 65 CV, PESO DE 4,7 T, IMPACTO DINAMICO TOTAL DE 18,3 T, LARGURA DO ROLO 1,67 M                                                                                                                                                                                                                                                                                                                                         </t>
  </si>
  <si>
    <t>122.906,48</t>
  </si>
  <si>
    <t xml:space="preserve">ROLO COMPACTADOR VIBRATORIO TANDEM, ACO LISO, POTENCIA 125 HP, PESO SEM/COM LASTRO 10,20/11,65 T, LARGURA DE TRABALHO 1,73 M                                                                                                                                                                                                                                                                                                                                                                              </t>
  </si>
  <si>
    <t>609.077,88</t>
  </si>
  <si>
    <t xml:space="preserve">ROLO COMPACTADOR VIBRATORIO TANDEM, ACO LISO, POTENCIA 58 CV, PESO SEM/COM LASTRO 6,5/9,4 T, LARGURA DE TRABALHO 1,20 M                                                                                                                                                                                                                                                                                                                                                                                   </t>
  </si>
  <si>
    <t>499.989,29</t>
  </si>
  <si>
    <t xml:space="preserve">ROLO DE ESPUMA POLIESTER 23 CM (SEM CABO)                                                                                                                                                                                                                                                                                                                                                                                                                                                                 </t>
  </si>
  <si>
    <t xml:space="preserve">ROLO DE LA DE CARNEIRO 23 CM (SEM CABO)                                                                                                                                                                                                                                                                                                                                                                                                                                                                   </t>
  </si>
  <si>
    <t xml:space="preserve">ROMPEDOR ELETRICO PESO 26 KG, POTENCIA OPERACIONAL DE 2,5 KW                                                                                                                                                                                                                                                                                                                                                                                                                                              </t>
  </si>
  <si>
    <t>24.642,84</t>
  </si>
  <si>
    <t xml:space="preserve">ROSETA QUADRADA, SEM FUROS, EM ACO INOX POLIDO, LARGURA APROXIMADA DE 50 MM, PARA FECHADURA DE PORTA - PARAFUSOS INCLUIDOS                                                                                                                                                                                                                                                                                                                                                                                </t>
  </si>
  <si>
    <t xml:space="preserve">ROSETA REDONDA DE SOBREPOR, SEM FUROS, EM ACO INOX POLIDO, DIAMETRO APROXIMADO DE 50 MM, PARA FECHADURA DE PORTA - PARAFUSOS INCLUIDOS                                                                                                                                                                                                                                                                                                                                                                    </t>
  </si>
  <si>
    <t xml:space="preserve">ROTACAO DIAGONAL DUPLA, APARELHO TRIPLO, EM TUBO DE ACO CARBONO, PINTURA NO PROCESSO ELETROSTATICO - EQUIPAMENTO DE GINASTICA PARA ACADEMIA AO AR LIVRE / ACADEMIA DA TERCEIRA IDADE - ATI                                                                                                                                                                                                                                                                                                                </t>
  </si>
  <si>
    <t>1.857,71</t>
  </si>
  <si>
    <t xml:space="preserve">ROTACAO VERTICAL DUPLO, EM TUBO DE ACO CARBONO, PINTURA NO PROCESSO ELETROSTATICO - EQUIPAMENTO DE GINASTICA PARA ACADEMIA AO AR LIVRE / ACADEMIA DA TERCEIRA IDADE - ATI                                                                                                                                                                                                                                                                                                                                 </t>
  </si>
  <si>
    <t>1.412,35</t>
  </si>
  <si>
    <t xml:space="preserve">RUFO EXTERNO DE CHAPA DE ACO GALVANIZADA NUM 26, CORTE 25 CM                                                                                                                                                                                                                                                                                                                                                                                                                                              </t>
  </si>
  <si>
    <t xml:space="preserve">RUFO EXTERNO DE CHAPA DE ACO GALVANIZADA NUM 26, CORTE 28 CM                                                                                                                                                                                                                                                                                                                                                                                                                                              </t>
  </si>
  <si>
    <t xml:space="preserve">RUFO EXTERNO/INTERNO DE CHAPA DE ACO GALVANIZADA NUM 26, CORTE 33 CM                                                                                                                                                                                                                                                                                                                                                                                                                                      </t>
  </si>
  <si>
    <t xml:space="preserve">RUFO INTERNO DE CHAPA DE ACO GALVANIZADA NUM 26, CORTE 50 CM                                                                                                                                                                                                                                                                                                                                                                                                                                              </t>
  </si>
  <si>
    <t xml:space="preserve">RUFO INTERNO/EXTERNO DE CHAPA DE ACO GALVANIZADA NUM 24, CORTE 25 CM                                                                                                                                                                                                                                                                                                                                                                                                                                      </t>
  </si>
  <si>
    <t xml:space="preserve">RUFO PARA TELHA ESTRUTURAL DE FIBROCIMENTO 1 ABA (SEM AMIANTO)                                                                                                                                                                                                                                                                                                                                                                                                                                            </t>
  </si>
  <si>
    <t xml:space="preserve">RUFO PARA TELHA ESTRUTURAL DE FIBROCIMENTO 2 ABAS, COMPRIMENTO DE 1031 MM (SEM AMIANTO)                                                                                                                                                                                                                                                                                                                                                                                                                   </t>
  </si>
  <si>
    <t xml:space="preserve">RUFO PARA TELHA ONDULADA DE FIBROCIMENTO, E = 6 MM, ABA *260* MM, COMPRIMENTO 1100 MM (SEM AMIANTO)                                                                                                                                                                                                                                                                                                                                                                                                       </t>
  </si>
  <si>
    <t xml:space="preserve">SABONETEIRA DE PAREDE EM METAL CROMADO                                                                                                                                                                                                                                                                                                                                                                                                                                                                    </t>
  </si>
  <si>
    <t xml:space="preserve">SABONETEIRA PLASTICA TIPO DISPENSER PARA SABONETE LIQUIDO COM RESERVATORIO 800 A 1500 ML                                                                                                                                                                                                                                                                                                                                                                                                                  </t>
  </si>
  <si>
    <t xml:space="preserve">SACO DE RAFIA PARA ENTULHO, NOVO, LISO (SEM CLICHE), *60 x 90* CM                                                                                                                                                                                                                                                                                                                                                                                                                                         </t>
  </si>
  <si>
    <t xml:space="preserve">SAIBRO PARA ARGAMASSA (COLETADO NO COMERCIO)                                                                                                                                                                                                                                                                                                                                                                                                                                                              </t>
  </si>
  <si>
    <t>55,11</t>
  </si>
  <si>
    <t xml:space="preserve">SAPATA DE PVC ADITIVADO NERVURADO D = 6"                                                                                                                                                                                                                                                                                                                                                                                                                                                                  </t>
  </si>
  <si>
    <t>262,92</t>
  </si>
  <si>
    <t xml:space="preserve">SAPATA DE PVC ADITIVADO NERVURADO D = 8"                                                                                                                                                                                                                                                                                                                                                                                                                                                                  </t>
  </si>
  <si>
    <t>346,01</t>
  </si>
  <si>
    <t xml:space="preserve">SAPATILHA EM ACO GALVANIZADO PARA CABOS COM DIAMETRO NOMINAL ATE 5/8"                                                                                                                                                                                                                                                                                                                                                                                                                                     </t>
  </si>
  <si>
    <t xml:space="preserve">SARRAFO *2,5 X 10* CM EM PINUS, MISTA OU EQUIVALENTE DA REGIAO - BRUTA                                                                                                                                                                                                                                                                                                                                                                                                                                    </t>
  </si>
  <si>
    <t xml:space="preserve">SARRAFO *2,5 X 5* CM EM PINUS, MISTA OU EQUIVALENTE DA REGIAO - BRUTA                                                                                                                                                                                                                                                                                                                                                                                                                                     </t>
  </si>
  <si>
    <t xml:space="preserve">SARRAFO *2,5 X 7,5* CM EM PINUS, MISTA OU EQUIVALENTE DA REGIAO - BRUTA                                                                                                                                                                                                                                                                                                                                                                                                                                   </t>
  </si>
  <si>
    <t xml:space="preserve">SARRAFO APARELHADO *2 X 10* CM, EM MACARANDUBA, ANGELIM OU EQUIVALENTE DA REGIAO                                                                                                                                                                                                                                                                                                                                                                                                                          </t>
  </si>
  <si>
    <t xml:space="preserve">SARRAFO NAO APARELHADO *2,5 X 10* CM, EM MACARANDUBA, ANGELIM OU EQUIVALENTE DA REGIAO -  BRUTA                                                                                                                                                                                                                                                                                                                                                                                                           </t>
  </si>
  <si>
    <t xml:space="preserve">SARRAFO NAO APARELHADO *2,5 X 7* CM, EM MACARANDUBA, ANGELIM OU EQUIVALENTE DA REGIAO -  BRUTA                                                                                                                                                                                                                                                                                                                                                                                                            </t>
  </si>
  <si>
    <t xml:space="preserve">SARRAFO NAO APARELHADO 2,5 X 5 CM, EM MACARANDUBA, ANGELIM OU EQUIVALENTE DA REGIAO -  BRUTA                                                                                                                                                                                                                                                                                                                                                                                                              </t>
  </si>
  <si>
    <t xml:space="preserve">SEGURO - HORISTA (COLETADO CAIXA)                                                                                                                                                                                                                                                                                                                                                                                                                                                                         </t>
  </si>
  <si>
    <t xml:space="preserve">SEGURO - MENSALISTA (COLETADO CAIXA)                                                                                                                                                                                                                                                                                                                                                                                                                                                                      </t>
  </si>
  <si>
    <t xml:space="preserve">SEIXO ROLADO PARA APLICACAO EM CONCRETO (POSTO PEDREIRA/FORNECEDOR, SEM FRETE)                                                                                                                                                                                                                                                                                                                                                                                                                            </t>
  </si>
  <si>
    <t>100,76</t>
  </si>
  <si>
    <t xml:space="preserve">SELADOR ACRILICO OPACO PREMIUM INTERIOR/EXTERIOR                                                                                                                                                                                                                                                                                                                                                                                                                                                          </t>
  </si>
  <si>
    <t xml:space="preserve">SELADOR HORIZONTAL PARA FITA DE ACO 1 "                                                                                                                                                                                                                                                                                                                                                                                                                                                                   </t>
  </si>
  <si>
    <t>470,17</t>
  </si>
  <si>
    <t xml:space="preserve">SELANTE A BASE DE ALCATRAO E POLIURETANO PARA JUNTAS HORIZONTAIS                                                                                                                                                                                                                                                                                                                                                                                                                                          </t>
  </si>
  <si>
    <t>62,71</t>
  </si>
  <si>
    <t xml:space="preserve">SELANTE ACRILICO PARA TRATAMENTO / ACABAMENTO SUPERFICIAL DE CONCRETO ESTAMPADO, APARENTE, PEDRAS E OUTROS                                                                                                                                                                                                                                                                                                                                                                                                </t>
  </si>
  <si>
    <t xml:space="preserve">SELANTE DE BASE ASFALTICA PARA VEDACAO                                                                                                                                                                                                                                                                                                                                                                                                                                                                    </t>
  </si>
  <si>
    <t xml:space="preserve">SELANTE ELASTICO MONOCOMPONENTE A BASE DE POLIURETANO (PU) PARA JUNTAS DIVERSAS                                                                                                                                                                                                                                                                                                                                                                                                                           </t>
  </si>
  <si>
    <t xml:space="preserve">SELANTE MONOCOMPONENTE A BASE DE SILICONE DE BAIXO MODULO, PARA JUNTAS DE PAVIMENTACAO                                                                                                                                                                                                                                                                                                                                                                                                                    </t>
  </si>
  <si>
    <t>134,41</t>
  </si>
  <si>
    <t xml:space="preserve">SELANTE TIPO VEDA CALHA PARA METAL E FIBROCIMENTO                                                                                                                                                                                                                                                                                                                                                                                                                                                         </t>
  </si>
  <si>
    <t>59,55</t>
  </si>
  <si>
    <t xml:space="preserve">SELIM COMPACTO EM PVC, SEM TRAVA,  DN 150 X 100 MM, PARA REDE COLETORA ESGOTO (NBR 10569)                                                                                                                                                                                                                                                                                                                                                                                                                 </t>
  </si>
  <si>
    <t xml:space="preserve">SELIM COMPACTO EM PVC, SEM TRAVA,  DN 200 X 100 MM, PARA REDE COLETORA ESGOTO (NBR 10569)                                                                                                                                                                                                                                                                                                                                                                                                                 </t>
  </si>
  <si>
    <t xml:space="preserve">SELIM COMPACTO EM PVC, SEM TRAVAS,  DN 300 X 100 MM, PARA REDE COLETORA ESGOTO (NBR 10569)                                                                                                                                                                                                                                                                                                                                                                                                                </t>
  </si>
  <si>
    <t xml:space="preserve">SELIM PVC, COM TRAVA, JE, 90 GRAUS,  DN 125 X 100 MM OU 150 X 100 MM, PARA REDE COLETORA ESGOTO (NBR 10569)                                                                                                                                                                                                                                                                                                                                                                                               </t>
  </si>
  <si>
    <t xml:space="preserve">SELIM PVC, SOLDAVEL, SEM TRAVA, JE, 90 GRAUS,  DN 200 X 100 MM, PARA REDE COLETORA ESGOTO (NBR 10569)                                                                                                                                                                                                                                                                                                                                                                                                     </t>
  </si>
  <si>
    <t xml:space="preserve">SEMIRREBOQUE COM DOIS EIXOS EM TANDEM TIPO BASCULANTE COM CACAMBA METALICA 14 M3  (INCLUI MONTAGEM, NAO INCLUI CAVALO MECANICO)                                                                                                                                                                                                                                                                                                                                                                           </t>
  </si>
  <si>
    <t>200.144,40</t>
  </si>
  <si>
    <t xml:space="preserve">SEMIRREBOQUE COM TRES EIXOS EM TANDEM TIPO BASCULANTE COM CACAMBA METALICA 18 M3 (INCLUI MONTAGEM, NAO INCLUI CAVALO MECANICO)                                                                                                                                                                                                                                                                                                                                                                            </t>
  </si>
  <si>
    <t>235.332,16</t>
  </si>
  <si>
    <t xml:space="preserve">SEMIRREBOQUE COM TRES EIXOS, PARA TRANSPORTE DE CARGA SECA, DIMENSOES APROXIMADAS 2,60 X 12,50 X 0,50 M (NAO INCLUI CAVALO MECANICO)                                                                                                                                                                                                                                                                                                                                                                      </t>
  </si>
  <si>
    <t>181.990,21</t>
  </si>
  <si>
    <t xml:space="preserve">SENSOR DE PRESENCA BIVOLT COM FOTOCELULA PARA QUALQUER TIPO DE LAMPADA, POTENCIA MAXIMA *1000* W, USO EXTERNO                                                                                                                                                                                                                                                                                                                                                                                             </t>
  </si>
  <si>
    <t>66,59</t>
  </si>
  <si>
    <t xml:space="preserve">SENSOR DE PRESENCA BIVOLT DE PAREDE COM FOTOCELULA PARA QUALQUER TIPO DE LAMPADA POTENCIA MAXIMA *1000* W, USO INTERNO                                                                                                                                                                                                                                                                                                                                                                                    </t>
  </si>
  <si>
    <t>75,11</t>
  </si>
  <si>
    <t xml:space="preserve">SENSOR DE PRESENCA BIVOLT DE PAREDE SEM FOTOCELULA PARA QUALQUER TIPO DE LAMPADA POTENCIA MAXIMA *1000* W, USO INTERNO                                                                                                                                                                                                                                                                                                                                                                                    </t>
  </si>
  <si>
    <t xml:space="preserve">SENSOR DE PRESENCA BIVOLT DE TETO COM FOTOCELULA PARA QUALQUER TIPO DE LAMPADA POTENCIA MAXIMA *1000* W, USO INTERNO                                                                                                                                                                                                                                                                                                                                                                                      </t>
  </si>
  <si>
    <t>52,28</t>
  </si>
  <si>
    <t xml:space="preserve">SENSOR DE PRESENCA BIVOLT DE TETO SEM FOTOCELULA PARA QUALQUER TIPO DE LAMPADA POTENCIA MAXIMA *900* W, USO INTERNO                                                                                                                                                                                                                                                                                                                                                                                       </t>
  </si>
  <si>
    <t>48,62</t>
  </si>
  <si>
    <t xml:space="preserve">SERRA CIRCULAR DE BANCADA COM MOTOR ELETRICO, POTENCIA DE *1600* W, PARA DISCO DE DIAMETRO DE 10" (250 MM)                                                                                                                                                                                                                                                                                                                                                                                                </t>
  </si>
  <si>
    <t>1.399,39</t>
  </si>
  <si>
    <t xml:space="preserve">SERRA CIRCULAR DE BANCADA, MODELO PICA-PAU, DIAMETRO DE 350 MM. CARACTERISTICAS DO MOTOR: TRIFASICO, POTENCIA DE 5 HP, FREQUENCIA DE 60 HZ                                                                                                                                                                                                                                                                                                                                                                </t>
  </si>
  <si>
    <t>5.638,06</t>
  </si>
  <si>
    <t xml:space="preserve">SERRALHEIRO                                                                                                                                                                                                                                                                                                                                                                                                                                                                                               </t>
  </si>
  <si>
    <t xml:space="preserve">SERRALHEIRO (MENSALISTA)                                                                                                                                                                                                                                                                                                                                                                                                                                                                                  </t>
  </si>
  <si>
    <t xml:space="preserve">SERVENTE DE OBRAS                                                                                                                                                                                                                                                                                                                                                                                                                                                                                         </t>
  </si>
  <si>
    <t xml:space="preserve">SERVENTE DE OBRAS (MENSALISTA)                                                                                                                                                                                                                                                                                                                                                                                                                                                                            </t>
  </si>
  <si>
    <t>2.074,23</t>
  </si>
  <si>
    <t xml:space="preserve">SERVICO DE BOMBEAMENTO DE CONCRETO COM CONSUMO MINIMO DE 40 M3                                                                                                                                                                                                                                                                                                                                                                                                                                            </t>
  </si>
  <si>
    <t xml:space="preserve">SIFAO EM METAL CROMADO PARA PIA AMERICANA, 1.1/2 X 1.1/2 "                                                                                                                                                                                                                                                                                                                                                                                                                                                </t>
  </si>
  <si>
    <t>190,10</t>
  </si>
  <si>
    <t xml:space="preserve">SIFAO EM METAL CROMADO PARA PIA AMERICANA, 1.1/2 X 2 "                                                                                                                                                                                                                                                                                                                                                                                                                                                    </t>
  </si>
  <si>
    <t>192,43</t>
  </si>
  <si>
    <t xml:space="preserve">SIFAO EM METAL CROMADO PARA PIA OU LAVATORIO, 1 X 1.1/2 "                                                                                                                                                                                                                                                                                                                                                                                                                                                 </t>
  </si>
  <si>
    <t>151,26</t>
  </si>
  <si>
    <t xml:space="preserve">SIFAO EM METAL CROMADO PARA TANQUE, 1.1/4 X 1.1/2 "                                                                                                                                                                                                                                                                                                                                                                                                                                                       </t>
  </si>
  <si>
    <t>160,19</t>
  </si>
  <si>
    <t xml:space="preserve">SIFAO PLASTICO EXTENSIVEL UNIVERSAL, TIPO COPO                                                                                                                                                                                                                                                                                                                                                                                                                                                            </t>
  </si>
  <si>
    <t xml:space="preserve">SIFAO PLASTICO FLEXIVEL SAIDA VERTICAL PARA COLUNA LAVATORIO, 1 X 1.1/2 "                                                                                                                                                                                                                                                                                                                                                                                                                                 </t>
  </si>
  <si>
    <t xml:space="preserve">SIFAO PLASTICO TIPO COPO PARA PIA AMERICANA 1.1/2 X 1.1/2 "                                                                                                                                                                                                                                                                                                                                                                                                                                               </t>
  </si>
  <si>
    <t xml:space="preserve">SIFAO PLASTICO TIPO COPO PARA PIA OU LAVATORIO, 1 X 1.1/2 "                                                                                                                                                                                                                                                                                                                                                                                                                                               </t>
  </si>
  <si>
    <t xml:space="preserve">SIFAO PLASTICO TIPO COPO PARA TANQUE, 1.1/4 X 1.1/2 "                                                                                                                                                                                                                                                                                                                                                                                                                                                     </t>
  </si>
  <si>
    <t xml:space="preserve">SILICA ATIVA PARA ADICAO EM CONCRETO E ARGAMASSA                                                                                                                                                                                                                                                                                                                                                                                                                                                          </t>
  </si>
  <si>
    <t xml:space="preserve">SILICONE ACETICO USO GERAL INCOLOR 280 G                                                                                                                                                                                                                                                                                                                                                                                                                                                                  </t>
  </si>
  <si>
    <t xml:space="preserve">SIMULADOR DE CAMINHADA TRIPLO, EM TUBO DE ACO CARBONO, PINTURA NO PROCESSO ELETROSTATICO - EQUIPAMENTO DE GINASTICA PARA ACADEMIA AO AR LIVRE / ACADEMIA DA TERCEIRA IDADE - ATI                                                                                                                                                                                                                                                                                                                          </t>
  </si>
  <si>
    <t>3.669,38</t>
  </si>
  <si>
    <t xml:space="preserve">SIMULADOR DE CAVALGADA TRIPLO, EM TUBO DE ACO CARBONO, PINTURA NO PROCESSO ELETROSTATICO - EQUIPAMENTO DE GINASTICA PARA ACADEMIA AO AR LIVRE / ACADEMIA DA TERCEIRA IDADE - ATI                                                                                                                                                                                                                                                                                                                          </t>
  </si>
  <si>
    <t>3.965,30</t>
  </si>
  <si>
    <t xml:space="preserve">SIMULADOR DE REMO INDIVIDUAL, EM TUBO DE ACO CARBONO, PINTURA NO PROCESSO ELETROSTATICO - EQUIPAMENTO DE GINASTICA PARA ACADEMIA AO AR LIVRE / ACADEMIA DA TERCEIRA IDADE - ATI                                                                                                                                                                                                                                                                                                                           </t>
  </si>
  <si>
    <t>1.977,35</t>
  </si>
  <si>
    <t xml:space="preserve">SINALIZADOR NOTURNO SIMPLES PARA PARA-RAIOS, SEM RELE FOTOELETRICO                                                                                                                                                                                                                                                                                                                                                                                                                                        </t>
  </si>
  <si>
    <t xml:space="preserve">SISAL EM FIBRA                                                                                                                                                                                                                                                                                                                                                                                                                                                                                            </t>
  </si>
  <si>
    <t xml:space="preserve">SOLDA EM BARRA DE ESTANHO-CHUMBO 50/50                                                                                                                                                                                                                                                                                                                                                                                                                                                                    </t>
  </si>
  <si>
    <t>135,33</t>
  </si>
  <si>
    <t xml:space="preserve">SOLDA EM VARETA FOSCOPER, D = *2,5* MM  X COMPRIMENTO 500 MM                                                                                                                                                                                                                                                                                                                                                                                                                                              </t>
  </si>
  <si>
    <t>278,84</t>
  </si>
  <si>
    <t xml:space="preserve">SOLDA ESTANHO/COBRE PARA CONEXOES DE COBRE, FIO 2,5 MM, CARRETEL 500 GR (SEM CHUMBO)                                                                                                                                                                                                                                                                                                                                                                                                                      </t>
  </si>
  <si>
    <t>321,74</t>
  </si>
  <si>
    <t xml:space="preserve">SOLDADOR                                                                                                                                                                                                                                                                                                                                                                                                                                                                                                  </t>
  </si>
  <si>
    <t xml:space="preserve">SOLDADOR (MENSALISTA)                                                                                                                                                                                                                                                                                                                                                                                                                                                                                     </t>
  </si>
  <si>
    <t>3.327,88</t>
  </si>
  <si>
    <t xml:space="preserve">SOLDADOR ELETRICO (PARA SOLDA A SER TESTADA COM RAIOS "X")                                                                                                                                                                                                                                                                                                                                                                                                                                                </t>
  </si>
  <si>
    <t xml:space="preserve">SOLDADOR ELETRICO (PARA SOLDA A SER TESTADA COM RAIOS "X") (MENSALISTA)                                                                                                                                                                                                                                                                                                                                                                                                                                   </t>
  </si>
  <si>
    <t>3.624,98</t>
  </si>
  <si>
    <t xml:space="preserve">SOLEIRA EM GRANITO, POLIDO, TIPO ANDORINHA/ QUARTZ/ CASTELO/ CORUMBA OU OUTROS EQUIVALENTES DA REGIAO, L= *15* CM, E=  *2,0* CM                                                                                                                                                                                                                                                                                                                                                                           </t>
  </si>
  <si>
    <t xml:space="preserve">SOLEIRA PRE-MOLDADA EM GRANILITE, MARMORITE OU GRANITINA, L = *15 CM                                                                                                                                                                                                                                                                                                                                                                                                                                      </t>
  </si>
  <si>
    <t xml:space="preserve">SOLEIRA/ PEITORIL EM MARMORE, POLIDO, BRANCO COMUM, L= *15* CM, E=  *2* CM,  CORTE RETO                                                                                                                                                                                                                                                                                                                                                                                                                   </t>
  </si>
  <si>
    <t xml:space="preserve">SOLEIRA/ TABEIRA EM MARMORE, POLIDO, BRANCO COMUM, L= 5 CM, E=  *2,0* CM                                                                                                                                                                                                                                                                                                                                                                                                                                  </t>
  </si>
  <si>
    <t xml:space="preserve">SOLUCAO ASFALTICA ELASTOMERICA PARA IMPRIMACAO, APLICACAO A FRIO                                                                                                                                                                                                                                                                                                                                                                                                                                          </t>
  </si>
  <si>
    <t xml:space="preserve">SOLUCAO PREPARADORA / LIMPADORA PARA PVC, FRASCO COM 1000 CM3                                                                                                                                                                                                                                                                                                                                                                                                                                             </t>
  </si>
  <si>
    <t>69,74</t>
  </si>
  <si>
    <t xml:space="preserve">SOLVENTE DILUENTE A BASE DE AGUARRAS                                                                                                                                                                                                                                                                                                                                                                                                                                                                      </t>
  </si>
  <si>
    <t xml:space="preserve">SOLVENTE PARA COLA (PARA LAMINADO MELAMINICO) A BASE DE RESINA SINTETICA                                                                                                                                                                                                                                                                                                                                                                                                                                  </t>
  </si>
  <si>
    <t xml:space="preserve">SOQUETE DE BAQUELITE BASE E27, PARA LAMPADAS                                                                                                                                                                                                                                                                                                                                                                                                                                                              </t>
  </si>
  <si>
    <t xml:space="preserve">SOQUETE DE PORCELANA BASE E27, FIXO DE TETO, PARA LAMPADAS                                                                                                                                                                                                                                                                                                                                                                                                                                                </t>
  </si>
  <si>
    <t xml:space="preserve">SOQUETE DE PORCELANA BASE E27, PARA USO AO TEMPO, PARA LAMPADAS                                                                                                                                                                                                                                                                                                                                                                                                                                           </t>
  </si>
  <si>
    <t xml:space="preserve">SOQUETE DE PVC / TERMOPLASTICO BASE E27, COM CHAVE, PARA LAMPADAS                                                                                                                                                                                                                                                                                                                                                                                                                                         </t>
  </si>
  <si>
    <t xml:space="preserve">SOQUETE DE PVC / TERMOPLASTICO BASE E27, COM RABICHO, PARA LAMPADAS                                                                                                                                                                                                                                                                                                                                                                                                                                       </t>
  </si>
  <si>
    <t xml:space="preserve">SPRINKLER TIPO PENDENTE, 68 GRAUS CELSIUS (BULBO VERMELHO), ACABAMENTO CROMADO, 1/2" - 15 MM                                                                                                                                                                                                                                                                                                                                                                                                              </t>
  </si>
  <si>
    <t xml:space="preserve">SPRINKLER TIPO PENDENTE, 68 GRAUS CELSIUS (BULBO VERMELHO), ACABAMENTO CROMADO, 3/4" - 20 MM                                                                                                                                                                                                                                                                                                                                                                                                              </t>
  </si>
  <si>
    <t xml:space="preserve">SPRINKLER TIPO PENDENTE, 68 GRAUS CELSIUS (BULBO VERMELHO), ACABAMENTO NATURAL, 1/2" - 15 MM                                                                                                                                                                                                                                                                                                                                                                                                              </t>
  </si>
  <si>
    <t xml:space="preserve">SPRINKLER TIPO PENDENTE, 68 GRAUS CELSIUS (BULBO VERMELHO), ACABAMENTO NATURAL, 3/4" - 20 MM                                                                                                                                                                                                                                                                                                                                                                                                              </t>
  </si>
  <si>
    <t xml:space="preserve">SPRINKLER TIPO PENDENTE, 79 GRAUS CELSIUS (BULBO AMARELO), ACABAMENTO CROMADO, 3/4" - 20 MM                                                                                                                                                                                                                                                                                                                                                                                                               </t>
  </si>
  <si>
    <t xml:space="preserve">SPRINKLER TIPO PENDENTE, 79 GRAUS CELSIUS (BULBO AMARELO), ACABAMENTO NATURAL, 3/4" - 20 MM                                                                                                                                                                                                                                                                                                                                                                                                               </t>
  </si>
  <si>
    <t xml:space="preserve">SPRINKLER TIPO PENDENTE, 79 GRAUS CELSIUS (BULBO AMARELO,) ACABAMENTO NATURAL OU CROMADO, 1/2" - 15 MM                                                                                                                                                                                                                                                                                                                                                                                                    </t>
  </si>
  <si>
    <t xml:space="preserve">SUPORTE "Y" PARA FITA PERFURADA                                                                                                                                                                                                                                                                                                                                                                                                                                                                           </t>
  </si>
  <si>
    <t>189,82</t>
  </si>
  <si>
    <t xml:space="preserve">SUPORTE DE FIXACAO PARA ESPELHO / PLACA 4" X 2", PARA 3 MODULOS, PARA INSTALACAO DE TOMADAS E INTERRUPTORES (SOMENTE SUPORTE)                                                                                                                                                                                                                                                                                                                                                                             </t>
  </si>
  <si>
    <t xml:space="preserve">SUPORTE DE FIXACAO PARA ESPELHO / PLACA 4" X 4", PARA 6 MODULOS, PARA INSTALACAO DE TOMADAS E INTERRUPTORES (SOMENTE SUPORTE)                                                                                                                                                                                                                                                                                                                                                                             </t>
  </si>
  <si>
    <t xml:space="preserve">SUPORTE DE PVC PARA CALHA PLUVIAL, DIAMETRO ENTRE 119 E 170 MM, PARA DRENAGEM PREDIAL                                                                                                                                                                                                                                                                                                                                                                                                                     </t>
  </si>
  <si>
    <t xml:space="preserve">SUPORTE EM ACO GALVANIZADO PARA TRANSFORMADOR PARA POSTE DUPLO T 185 X 95 MM, CHAPA DE 5/16"                                                                                                                                                                                                                                                                                                                                                                                                              </t>
  </si>
  <si>
    <t>138,14</t>
  </si>
  <si>
    <t xml:space="preserve">SUPORTE GUIA SIMPLES COM ROLDANA EM POLIPROPILENO PARA CHUMBAR, H = 20 CM                                                                                                                                                                                                                                                                                                                                                                                                                                 </t>
  </si>
  <si>
    <t xml:space="preserve">SUPORTE ISOLADOR REFORCADO DIAMETRO NOMINAL 5/16", COM ROSCA SOBERBA E BUCHA                                                                                                                                                                                                                                                                                                                                                                                                                              </t>
  </si>
  <si>
    <t xml:space="preserve">SUPORTE ISOLADOR SIMPLES DIAMETRO NOMINAL 5/16", COM ROSCA SOBERBA E BUCHA                                                                                                                                                                                                                                                                                                                                                                                                                                </t>
  </si>
  <si>
    <t xml:space="preserve">SUPORTE MAO-FRANCESA EM ACO, ABAS IGUAIS 30 CM, CAPACIDADE MINIMA 60 KG, BRANCO                                                                                                                                                                                                                                                                                                                                                                                                                           </t>
  </si>
  <si>
    <t xml:space="preserve">SUPORTE MAO-FRANCESA EM ACO, ABAS IGUAIS 40 CM, CAPACIDADE MINIMA 70 KG, BRANCO                                                                                                                                                                                                                                                                                                                                                                                                                           </t>
  </si>
  <si>
    <t xml:space="preserve">SUPORTE METALICO PARA CALHA PLUVIAL,  ZINCADO, DOBRADO, DIAMETRO ENTRE 119 E 170 MM, PARA DRENAGEM PREDIAL                                                                                                                                                                                                                                                                                                                                                                                                </t>
  </si>
  <si>
    <t xml:space="preserve">SUPORTE PARA CALHA DE 150 MM EM FERRO GALVANIZADO                                                                                                                                                                                                                                                                                                                                                                                                                                                         </t>
  </si>
  <si>
    <t xml:space="preserve">SUPORTE PARA TUBO DIAMETRO NOMINAL 2", COM ROSCA MECANICA                                                                                                                                                                                                                                                                                                                                                                                                                                                 </t>
  </si>
  <si>
    <t xml:space="preserve">SURF DUPLO, EM TUBO DE ACO CARBONO, PINTURA NO PROCESSO ELETROSTATICO - EQUIPAMENTO DE GINASTICA PARA ACADEMIA AO AR LIVRE / ACADEMIA DA TERCEIRA IDADE - ATI                                                                                                                                                                                                                                                                                                                                             </t>
  </si>
  <si>
    <t>2.069,72</t>
  </si>
  <si>
    <t xml:space="preserve">TABUA  NAO  APARELHADA  *2,5 X 20* CM, EM MACARANDUBA, ANGELIM OU EQUIVALENTE DA REGIAO - BRUTA                                                                                                                                                                                                                                                                                                                                                                                                           </t>
  </si>
  <si>
    <t xml:space="preserve">TABUA *2,5 X 15 CM EM PINUS, MISTA OU EQUIVALENTE DA REGIAO - BRUTA                                                                                                                                                                                                                                                                                                                                                                                                                                       </t>
  </si>
  <si>
    <t xml:space="preserve">TABUA *2,5 X 23* CM EM PINUS, MISTA OU EQUIVALENTE DA REGIAO - BRUTA                                                                                                                                                                                                                                                                                                                                                                                                                                      </t>
  </si>
  <si>
    <t xml:space="preserve">TABUA *2,5 X 30 CM EM PINUS, MISTA OU EQUIVALENTE DA REGIAO - BRUTA                                                                                                                                                                                                                                                                                                                                                                                                                                       </t>
  </si>
  <si>
    <t xml:space="preserve">TABUA APARELHADA *2,5 X 15* CM, EM MACARANDUBA, ANGELIM OU EQUIVALENTE DA REGIAO                                                                                                                                                                                                                                                                                                                                                                                                                          </t>
  </si>
  <si>
    <t xml:space="preserve">TABUA APARELHADA *2,5 X 25* CM, EM MACARANDUBA, ANGELIM OU EQUIVALENTE DA REGIAO                                                                                                                                                                                                                                                                                                                                                                                                                          </t>
  </si>
  <si>
    <t xml:space="preserve">TABUA APARELHADA *2,5 X 30* CM, EM MACARANDUBA, ANGELIM OU EQUIVALENTE DA REGIAO                                                                                                                                                                                                                                                                                                                                                                                                                          </t>
  </si>
  <si>
    <t>32,02</t>
  </si>
  <si>
    <t xml:space="preserve">TABUA DE  MADEIRA PARA PISO, CUMARU/IPE CHAMPANHE OU EQUIVALENTE DA REGIAO, ENCAIXE MACHO/FEMEA, *10 X 2* CM                                                                                                                                                                                                                                                                                                                                                                                              </t>
  </si>
  <si>
    <t xml:space="preserve">TABUA DE  MADEIRA PARA PISO, CUMARU/IPE CHAMPANHE OU EQUIVALENTE DA REGIAO, ENCAIXE MACHO/FEMEA, *15 X 2* CM                                                                                                                                                                                                                                                                                                                                                                                              </t>
  </si>
  <si>
    <t xml:space="preserve">TABUA DE  MADEIRA PARA PISO, IPE (CERNE) OU EQUIVALENTE DA REGIAO, ENCAIXE MACHO/FEMEA, *20 X 2* CM                                                                                                                                                                                                                                                                                                                                                                                                       </t>
  </si>
  <si>
    <t xml:space="preserve">TABUA NAO APARELHADA *2,5 X 15* CM, EM MACARANDUBA, ANGELIM OU EQUIVALENTE DA REGIAO - BRUTA                                                                                                                                                                                                                                                                                                                                                                                                              </t>
  </si>
  <si>
    <t xml:space="preserve">TABUA NAO APARELHADA *2,5 X 30* CM, EM MACARANDUBA, ANGELIM OU EQUIVALENTE DA REGIAO - BRUTA                                                                                                                                                                                                                                                                                                                                                                                                              </t>
  </si>
  <si>
    <t>28,46</t>
  </si>
  <si>
    <t xml:space="preserve">TACO DE MADEIRA PARA PISO, IPE (CERNE) OU EQUIVALENTE DA REGIAO, 7 X 42 CM, E = 2 CM                                                                                                                                                                                                                                                                                                                                                                                                                      </t>
  </si>
  <si>
    <t xml:space="preserve">TALABARTE DE SEGURANCA, 2 MOSQUETOES TRAVA DUPLA *53* MM DE ABERTURA, COM ABSORVEDOR DE ENERGIA                                                                                                                                                                                                                                                                                                                                                                                                           </t>
  </si>
  <si>
    <t>190,19</t>
  </si>
  <si>
    <t xml:space="preserve">TALHA ELETRICA 3 T, VELOCIDADE  2,1 M / MIN, POTENCIA 1,3 KW                                                                                                                                                                                                                                                                                                                                                                                                                                              </t>
  </si>
  <si>
    <t>10.737,71</t>
  </si>
  <si>
    <t xml:space="preserve">TALHA MANUAL DE CORRENTE, CAPACIDADE DE 1 T COM ELEVACAO DE 3 M                                                                                                                                                                                                                                                                                                                                                                                                                                           </t>
  </si>
  <si>
    <t>776,91</t>
  </si>
  <si>
    <t xml:space="preserve">TALHA MANUAL DE CORRENTE, CAPACIDADE DE 2 T COM ELEVACAO DE 3 M                                                                                                                                                                                                                                                                                                                                                                                                                                           </t>
  </si>
  <si>
    <t>1.133,14</t>
  </si>
  <si>
    <t xml:space="preserve">TALHADEIRA COM PUNHO DE PROTECAO *20 X 250* MM                                                                                                                                                                                                                                                                                                                                                                                                                                                            </t>
  </si>
  <si>
    <t xml:space="preserve">TAMPA CEGA EM PVC PARA CONDULETE 4 X 2"                                                                                                                                                                                                                                                                                                                                                                                                                                                                   </t>
  </si>
  <si>
    <t xml:space="preserve">TAMPA DE CONCRETO ARMADO PARA FOSSA SEPTICA, DIAMETRO NOMINAL DE 3,00 M E ESPESSURA MINIMA DE 100 MM                                                                                                                                                                                                                                                                                                                                                                                                      </t>
  </si>
  <si>
    <t>1.203,59</t>
  </si>
  <si>
    <t xml:space="preserve">TAMPA DE CONCRETO ARMADO PARA FOSSA, D = *0,90* M, E = 0,05 M                                                                                                                                                                                                                                                                                                                                                                                                                                             </t>
  </si>
  <si>
    <t xml:space="preserve">TAMPA DE CONCRETO ARMADO PARA FOSSA, D = *1,10* M, E = 0,05 M                                                                                                                                                                                                                                                                                                                                                                                                                                             </t>
  </si>
  <si>
    <t>98,58</t>
  </si>
  <si>
    <t xml:space="preserve">TAMPA DE CONCRETO ARMADO PARA FOSSA, D = *1,35* M, E = 0,05 M                                                                                                                                                                                                                                                                                                                                                                                                                                             </t>
  </si>
  <si>
    <t>152,36</t>
  </si>
  <si>
    <t xml:space="preserve">TAMPA DE CONCRETO ARMADO PARA FOSSA, D = 1,50 M, E = 0,05 M                                                                                                                                                                                                                                                                                                                                                                                                                                               </t>
  </si>
  <si>
    <t>227,66</t>
  </si>
  <si>
    <t xml:space="preserve">TAMPA DE CONCRETO ARMADO PARA FOSSA, D = 2,00 M, E = 0,05 M                                                                                                                                                                                                                                                                                                                                                                                                                                               </t>
  </si>
  <si>
    <t>452,67</t>
  </si>
  <si>
    <t xml:space="preserve">TAMPA DE CONCRETO ARMADO PARA FOSSA, D = 2,50 M, E = 0,05 M                                                                                                                                                                                                                                                                                                                                                                                                                                               </t>
  </si>
  <si>
    <t>833,34</t>
  </si>
  <si>
    <t xml:space="preserve">TAMPA DE CONCRETO ARMADO PARA POCO DE INSPECAO, COM FURO E TAMPINHA, DIAMETRO NOMINAL DE 3,00 M E ESPESSURA MINIMA DE 100 MM                                                                                                                                                                                                                                                                                                                                                                              </t>
  </si>
  <si>
    <t>1.463,78</t>
  </si>
  <si>
    <t xml:space="preserve">TAMPA DE CONCRETO ARMADO PARA POCO, COM  FURO E TAMPINHA, D = *0,90* M, E = 0,05 M                                                                                                                                                                                                                                                                                                                                                                                                                        </t>
  </si>
  <si>
    <t xml:space="preserve">TAMPA DE CONCRETO ARMADO PARA POCO, COM  FURO E TAMPINHA, D = *1,10* M, E = 0,05 M                                                                                                                                                                                                                                                                                                                                                                                                                        </t>
  </si>
  <si>
    <t>119,79</t>
  </si>
  <si>
    <t xml:space="preserve">TAMPA DE CONCRETO ARMADO PARA POCO, COM  FURO E TAMPINHA, D = *1,35* M, E = 0,05 M                                                                                                                                                                                                                                                                                                                                                                                                                        </t>
  </si>
  <si>
    <t>207,77</t>
  </si>
  <si>
    <t xml:space="preserve">TAMPA DE CONCRETO ARMADO PARA POCO, COM  FURO E TAMPINHA, D = 1,50 M, E = 0,05 M                                                                                                                                                                                                                                                                                                                                                                                                                          </t>
  </si>
  <si>
    <t>319,46</t>
  </si>
  <si>
    <t xml:space="preserve">TAMPA DE CONCRETO ARMADO PARA POCO, COM  FURO E TAMPINHA, D = 2,00 M, E = 0,05 M                                                                                                                                                                                                                                                                                                                                                                                                                          </t>
  </si>
  <si>
    <t>598,99</t>
  </si>
  <si>
    <t xml:space="preserve">TAMPA DE CONCRETO ARMADO PARA POCO, COM  FURO E TAMPINHA, D = 2,50 M, E = 0,05 M                                                                                                                                                                                                                                                                                                                                                                                                                          </t>
  </si>
  <si>
    <t>921,57</t>
  </si>
  <si>
    <t xml:space="preserve">TAMPA PARA CONDULETE, EM PVC, PARA TOMADA HEXAGONAL                                                                                                                                                                                                                                                                                                                                                                                                                                                       </t>
  </si>
  <si>
    <t xml:space="preserve">TAMPA PARA CONDULETE, EM PVC, PARA 1 INTERRUPTOR                                                                                                                                                                                                                                                                                                                                                                                                                                                          </t>
  </si>
  <si>
    <t xml:space="preserve">TAMPA PARA CONDULETE, EM PVC, PARA 1 MODULO RJ                                                                                                                                                                                                                                                                                                                                                                                                                                                            </t>
  </si>
  <si>
    <t xml:space="preserve">TAMPA PARA CONDULETE, EM PVC, PARA 2 MODULOS RJ                                                                                                                                                                                                                                                                                                                                                                                                                                                           </t>
  </si>
  <si>
    <t xml:space="preserve">TAMPAO / CAP, ROSCA FEMEA, METALICO, PARA TUBO PEX, DN 1/2"                                                                                                                                                                                                                                                                                                                                                                                                                                               </t>
  </si>
  <si>
    <t xml:space="preserve">TAMPAO / CAP, ROSCA FEMEA, METALICO, PARA TUBO PEX, DN 3/4"                                                                                                                                                                                                                                                                                                                                                                                                                                               </t>
  </si>
  <si>
    <t xml:space="preserve">TAMPAO / CAP, ROSCA MACHO, PARA TUBO PEX, DN 1/2"                                                                                                                                                                                                                                                                                                                                                                                                                                                         </t>
  </si>
  <si>
    <t xml:space="preserve">TAMPAO / CAP, ROSCA MACHO, PARA TUBO PEX, DN 1"                                                                                                                                                                                                                                                                                                                                                                                                                                                           </t>
  </si>
  <si>
    <t xml:space="preserve">TAMPAO / CAP, ROSCA MACHO, PARA TUBO PEX, DN 3/4"                                                                                                                                                                                                                                                                                                                                                                                                                                                         </t>
  </si>
  <si>
    <t xml:space="preserve">TAMPAO / TERMINAL / PLUG, D = 1 1/4" , PARA DUTO CORRUGADO PEAD (CABEAMENTO SUBTERRANEO)                                                                                                                                                                                                                                                                                                                                                                                                                  </t>
  </si>
  <si>
    <t xml:space="preserve">TAMPAO / TERMINAL / PLUG, D = 2" , PARA DUTO CORRUGADO PEAD (CABEAMENTO SUBTERRANEO)                                                                                                                                                                                                                                                                                                                                                                                                                      </t>
  </si>
  <si>
    <t xml:space="preserve">TAMPAO / TERMINAL / PLUG, D = 3" , PARA DUTO CORRUGADO PEAD (CABEAMENTO SUBTERRANEO)                                                                                                                                                                                                                                                                                                                                                                                                                      </t>
  </si>
  <si>
    <t xml:space="preserve">TAMPAO / TERMINAL / PLUG, D = 4" , PARA DUTO CORRUGADO PEAD (CABEAMENTO SUBTERRANEO)                                                                                                                                                                                                                                                                                                                                                                                                                      </t>
  </si>
  <si>
    <t xml:space="preserve">TAMPAO COM CORRENTE, EM LATAO, ENGATE RAPIDO 1 1/2", PARA INSTALACAO PREDIAL DE COMBATE A INCENDIO                                                                                                                                                                                                                                                                                                                                                                                                        </t>
  </si>
  <si>
    <t>71,65</t>
  </si>
  <si>
    <t xml:space="preserve">TAMPAO COM CORRENTE, EM LATAO, ENGATE RAPIDO 2 1/2", PARA INSTALACAO PREDIAL DE COMBATE A INCENDIO                                                                                                                                                                                                                                                                                                                                                                                                        </t>
  </si>
  <si>
    <t xml:space="preserve">TAMPAO COMPLETO PARA TIL, EM PVC, OCRE, DN 100 MM, PARA REDE COLETORA DE ESGOTO                                                                                                                                                                                                                                                                                                                                                                                                                           </t>
  </si>
  <si>
    <t xml:space="preserve">TAMPAO COMPLETO PARA TIL, EM PVC, OCRE, DN 150 MM, PARA REDE COLETORA DE ESGOTO                                                                                                                                                                                                                                                                                                                                                                                                                           </t>
  </si>
  <si>
    <t xml:space="preserve">TAMPAO COMPLETO PARA TIL, EM PVC, OCRE, DN 200 MM, PARA REDE COLETORA DE ESGOTO                                                                                                                                                                                                                                                                                                                                                                                                                           </t>
  </si>
  <si>
    <t xml:space="preserve">TAMPAO COMPLETO PARA TIL, EM PVC, OCRE, DN 250 MM, PARA REDE COLETORA DE ESGOTO                                                                                                                                                                                                                                                                                                                                                                                                                           </t>
  </si>
  <si>
    <t xml:space="preserve">TAMPAO FOFO ARTICULADO P/ REGISTRO, CLASSE A15 CARGA MAX 1,5 T, *200 X 200* MM                                                                                                                                                                                                                                                                                                                                                                                                                            </t>
  </si>
  <si>
    <t>102,10</t>
  </si>
  <si>
    <t xml:space="preserve">TAMPAO FOFO ARTICULADO P/ REGISTRO, CLASSE A15 CARGA MAXIMA 1,5 T, *400 X 400* MM                                                                                                                                                                                                                                                                                                                                                                                                                         </t>
  </si>
  <si>
    <t>255,25</t>
  </si>
  <si>
    <t xml:space="preserve">TAMPAO FOFO ARTICULADO, CLASSE B125 CARGA MAX 12,5 T, REDONDO TAMPA 600 MM, REDE PLUVIAL/ESGOTO                                                                                                                                                                                                                                                                                                                                                                                                           </t>
  </si>
  <si>
    <t>647,25</t>
  </si>
  <si>
    <t xml:space="preserve">TAMPAO FOFO ARTICULADO, CLASSE D400 CARGA MAX 40 T, REDONDO TAMPA *600 MM, REDE PLUVIAL/ESGOTO                                                                                                                                                                                                                                                                                                                                                                                                            </t>
  </si>
  <si>
    <t>793,11</t>
  </si>
  <si>
    <t xml:space="preserve">TAMPAO FOFO SIMPLES COM BASE, CLASSE A15 CARGA MAX 1,5 T, *400 X 600* MM, REDE TELEFONE                                                                                                                                                                                                                                                                                                                                                                                                                   </t>
  </si>
  <si>
    <t>330,92</t>
  </si>
  <si>
    <t xml:space="preserve">TAMPAO FOFO SIMPLES COM BASE, CLASSE A15 CARGA MAX 1,5 T, 300 X 300 MM, REDE PLUVIAL/ESGOTO                                                                                                                                                                                                                                                                                                                                                                                                               </t>
  </si>
  <si>
    <t>154,97</t>
  </si>
  <si>
    <t xml:space="preserve">TAMPAO FOFO SIMPLES COM BASE, CLASSE A15 CARGA MAX 1,5 T, 400 X 400 MM, REDE PLUVIAL/ESGOTO/ELETRICA                                                                                                                                                                                                                                                                                                                                                                                                      </t>
  </si>
  <si>
    <t>237,02</t>
  </si>
  <si>
    <t xml:space="preserve">TAMPAO FOFO SIMPLES COM BASE, CLASSE B125 CARGA MAX 12,5 T, REDONDO TAMPA 500 MM, REDE PLUVIAL/ESGOTO                                                                                                                                                                                                                                                                                                                                                                                                     </t>
  </si>
  <si>
    <t>510,51</t>
  </si>
  <si>
    <t xml:space="preserve">TAMPAO FOFO SIMPLES COM BASE, CLASSE B125 CARGA MAX 12,5 T, REDONDO TAMPA 600 MM, REDE PLUVIAL/ESGOTO                                                                                                                                                                                                                                                                                                                                                                                                     </t>
  </si>
  <si>
    <t>588,00</t>
  </si>
  <si>
    <t xml:space="preserve">TAMPAO FOFO SIMPLES COM BASE, CLASSE D400 CARGA MAX 40 T, REDONDO TAMPA 600 MM, REDE PLUVIAL/ESGOTO                                                                                                                                                                                                                                                                                                                                                                                                       </t>
  </si>
  <si>
    <t>778,53</t>
  </si>
  <si>
    <t xml:space="preserve">TAMPAO FOFO SIMPLES COM BASE, CLASSE D400 CARGA MAX 40 T, REDONDO TAMPA 900 MM, REDE PLUVIAL/ESGOTO                                                                                                                                                                                                                                                                                                                                                                                                       </t>
  </si>
  <si>
    <t>2.480,53</t>
  </si>
  <si>
    <t xml:space="preserve">TAMPAO FOFO SIMPLES, CLASSE A15 CARGA MAX 1,5 T, *550 X 1100* MM, REDE TELEFONE                                                                                                                                                                                                                                                                                                                                                                                                                           </t>
  </si>
  <si>
    <t>839,60</t>
  </si>
  <si>
    <t xml:space="preserve">TAMPAO PARA TELHA ESTRUTURAL DE FIBROCIMENTO 1 ABA, DE 370 X 155 X 76 MM (SEM AMIANTO)                                                                                                                                                                                                                                                                                                                                                                                                                    </t>
  </si>
  <si>
    <t xml:space="preserve">TAMPAO PARA TELHA ESTRUTURAL DE FIBROCIMENTO 2 ABAS, DE 787 X 215 X 60 MM (SEM AMIANTO)                                                                                                                                                                                                                                                                                                                                                                                                                   </t>
  </si>
  <si>
    <t xml:space="preserve">TANQUE ACO INOXIDAVEL (ACO 304) COM ESFREGADOR E VALVULA, DE *50 X 40 X 22* CM                                                                                                                                                                                                                                                                                                                                                                                                                            </t>
  </si>
  <si>
    <t xml:space="preserve">TANQUE DE ACO CARBONO NAO REVESTIDO, PARA TRANSPORTE DE AGUA COM CAPACIDADE DE 10 M3, COM BOMBA CENTRIFUGA POR TOMADA DE FORCA, VAZAO MAXIMA *75* M3/H (INCLUI MONTAGEM, NAO INCLUI CAMINHAO)                                                                                                                                                                                                                                                                                                             </t>
  </si>
  <si>
    <t>85.950,00</t>
  </si>
  <si>
    <t xml:space="preserve">TANQUE DE ACO PARA TRANSPORTE DE AGUA COM CAPACIDADE DE 14 M3 (INCLUI MONTAGEM, NAO INCLUI CAMINHAO)                                                                                                                                                                                                                                                                                                                                                                                                      </t>
  </si>
  <si>
    <t>105.784,61</t>
  </si>
  <si>
    <t xml:space="preserve">TANQUE DE ACO PARA TRANSPORTE DE AGUA COM CAPACIDADE DE 4 M3 (INCLUI MONTAGEM, NAO INCLUI CAMINHAO)                                                                                                                                                                                                                                                                                                                                                                                                       </t>
  </si>
  <si>
    <t>60.366,21</t>
  </si>
  <si>
    <t xml:space="preserve">TANQUE DE ACO PARA TRANSPORTE DE AGUA COM CAPACIDADE DE 6 M3 (INCLUI MONTAGEM, NAO INCLUI CAMINHAO)                                                                                                                                                                                                                                                                                                                                                                                                       </t>
  </si>
  <si>
    <t>71.720,82</t>
  </si>
  <si>
    <t xml:space="preserve">TANQUE DE ACO PARA TRANSPORTE DE AGUA COM CAPACIDADE DE 8 M3 (INCLUI MONTAGEM, NAO INCLUI CAMINHAO)                                                                                                                                                                                                                                                                                                                                                                                                       </t>
  </si>
  <si>
    <t>57.060,45</t>
  </si>
  <si>
    <t xml:space="preserve">TANQUE DE ASFALTO ESTACIONARIO COM MACARICO, CAPACIDADE 20.000 L                                                                                                                                                                                                                                                                                                                                                                                                                                          </t>
  </si>
  <si>
    <t>119.510,74</t>
  </si>
  <si>
    <t xml:space="preserve">TANQUE DE ASFALTO ESTACIONARIO COM SERPENTINA, CAPACIDADE 20.000 L                                                                                                                                                                                                                                                                                                                                                                                                                                        </t>
  </si>
  <si>
    <t>125.259,91</t>
  </si>
  <si>
    <t xml:space="preserve">TANQUE DE ASFALTO ESTACIONARIO COM SERPENTINA, CAPACIDADE 30.000 L                                                                                                                                                                                                                                                                                                                                                                                                                                        </t>
  </si>
  <si>
    <t>147.034,86</t>
  </si>
  <si>
    <t xml:space="preserve">TANQUE DE LOUCA BRANCA, COM COLUNA, *30* L                                                                                                                                                                                                                                                                                                                                                                                                                                                                </t>
  </si>
  <si>
    <t>364,94</t>
  </si>
  <si>
    <t xml:space="preserve">TANQUE DE LOUCA BRANCA, SUSPENSO, *20* L                                                                                                                                                                                                                                                                                                                                                                                                                                                                  </t>
  </si>
  <si>
    <t>267,95</t>
  </si>
  <si>
    <t xml:space="preserve">TANQUE DUPLO EM MARMORE SINTETICO COM CUBA LISA E ESFREGADOR, *110 X 60* CM                                                                                                                                                                                                                                                                                                                                                                                                                               </t>
  </si>
  <si>
    <t xml:space="preserve">TANQUE SIMPLES EM MARMORE SINTETICO COM COLUNA, CAPACIDADE *22* L, *60 X 46* CM                                                                                                                                                                                                                                                                                                                                                                                                                           </t>
  </si>
  <si>
    <t xml:space="preserve">TANQUE SIMPLES EM MARMORE SINTETICO DE FIXAR NA PAREDE, CAPACIDADE *22* L, *60 X 46* CM                                                                                                                                                                                                                                                                                                                                                                                                                   </t>
  </si>
  <si>
    <t xml:space="preserve">TANQUE SIMPLES EM MARMORE SINTETICO SUSPENSO, CAPACIDADE *38* L, *60 X 60* CM                                                                                                                                                                                                                                                                                                                                                                                                                             </t>
  </si>
  <si>
    <t xml:space="preserve">TAQUEADOR OU TAQUEIRO                                                                                                                                                                                                                                                                                                                                                                                                                                                                                     </t>
  </si>
  <si>
    <t xml:space="preserve">TAQUEADOR OU TAQUEIRO (MENSALISTA)                                                                                                                                                                                                                                                                                                                                                                                                                                                                        </t>
  </si>
  <si>
    <t>4.079,11</t>
  </si>
  <si>
    <t xml:space="preserve">TARIFA "A" ENTRE  0 E 20M3 FORNECIMENTO D'AGUA                                                                                                                                                                                                                                                                                                                                                                                                                                                            </t>
  </si>
  <si>
    <t xml:space="preserve">TARJETA LIVRE / OCUPADO PARA PORTA DE BANHEIRO, CORPO EM ZAMAC E ESPELHO EM LATAO                                                                                                                                                                                                                                                                                                                                                                                                                         </t>
  </si>
  <si>
    <t>39,79</t>
  </si>
  <si>
    <t xml:space="preserve">TE CPVC, SOLDAVEL, 90 GRAUS, 15 MM, PARA AGUA QUENTE PREDIAL                                                                                                                                                                                                                                                                                                                                                                                                                                              </t>
  </si>
  <si>
    <t xml:space="preserve">TE CPVC, SOLDAVEL, 90 GRAUS, 22 MM, PARA AGUA QUENTE PREDIAL                                                                                                                                                                                                                                                                                                                                                                                                                                              </t>
  </si>
  <si>
    <t xml:space="preserve">TE CPVC, SOLDAVEL, 90 GRAUS, 28 MM, PARA AGUA QUENTE PREDIAL                                                                                                                                                                                                                                                                                                                                                                                                                                              </t>
  </si>
  <si>
    <t xml:space="preserve">TE CPVC, SOLDAVEL, 90 GRAUS, 35 MM, PARA AGUA QUENTE PREDIAL                                                                                                                                                                                                                                                                                                                                                                                                                                              </t>
  </si>
  <si>
    <t xml:space="preserve">TE CPVC, SOLDAVEL, 90 GRAUS, 42 MM, PARA AGUA QUENTE PREDIAL                                                                                                                                                                                                                                                                                                                                                                                                                                              </t>
  </si>
  <si>
    <t>51,15</t>
  </si>
  <si>
    <t xml:space="preserve">TE CPVC, SOLDAVEL, 90 GRAUS, 54 MM, PARA AGUA QUENTE PREDIAL                                                                                                                                                                                                                                                                                                                                                                                                                                              </t>
  </si>
  <si>
    <t>83,24</t>
  </si>
  <si>
    <t xml:space="preserve">TE CPVC, SOLDAVEL, 90 GRAUS, 73 MM, PARA AGUA QUENTE PREDIAL                                                                                                                                                                                                                                                                                                                                                                                                                                              </t>
  </si>
  <si>
    <t>201,01</t>
  </si>
  <si>
    <t xml:space="preserve">TE CPVC, SOLDAVEL, 90 GRAUS, 89 MM, PARA AGUA QUENTE PREDIAL                                                                                                                                                                                                                                                                                                                                                                                                                                              </t>
  </si>
  <si>
    <t>244,58</t>
  </si>
  <si>
    <t xml:space="preserve">TE DE COBRE (REF 611) SEM ANEL DE SOLDA, BOLSA X BOLSA X BOLSA, 104 MM                                                                                                                                                                                                                                                                                                                                                                                                                                    </t>
  </si>
  <si>
    <t>1.544,91</t>
  </si>
  <si>
    <t xml:space="preserve">TE DE COBRE (REF 611) SEM ANEL DE SOLDA, BOLSA X BOLSA X BOLSA, 15 MM                                                                                                                                                                                                                                                                                                                                                                                                                                     </t>
  </si>
  <si>
    <t xml:space="preserve">TE DE COBRE (REF 611) SEM ANEL DE SOLDA, BOLSA X BOLSA X BOLSA, 22 MM                                                                                                                                                                                                                                                                                                                                                                                                                                     </t>
  </si>
  <si>
    <t xml:space="preserve">TE DE COBRE (REF 611) SEM ANEL DE SOLDA, BOLSA X BOLSA X BOLSA, 28 MM                                                                                                                                                                                                                                                                                                                                                                                                                                     </t>
  </si>
  <si>
    <t xml:space="preserve">TE DE COBRE (REF 611) SEM ANEL DE SOLDA, BOLSA X BOLSA X BOLSA, 35 MM                                                                                                                                                                                                                                                                                                                                                                                                                                     </t>
  </si>
  <si>
    <t>62,31</t>
  </si>
  <si>
    <t xml:space="preserve">TE DE COBRE (REF 611) SEM ANEL DE SOLDA, BOLSA X BOLSA X BOLSA, 42 MM                                                                                                                                                                                                                                                                                                                                                                                                                                     </t>
  </si>
  <si>
    <t>80,27</t>
  </si>
  <si>
    <t xml:space="preserve">TE DE COBRE (REF 611) SEM ANEL DE SOLDA, BOLSA X BOLSA X BOLSA, 54 MM                                                                                                                                                                                                                                                                                                                                                                                                                                     </t>
  </si>
  <si>
    <t>158,65</t>
  </si>
  <si>
    <t xml:space="preserve">TE DE COBRE (REF 611) SEM ANEL DE SOLDA, BOLSA X BOLSA X BOLSA, 66 MM                                                                                                                                                                                                                                                                                                                                                                                                                                     </t>
  </si>
  <si>
    <t>451,62</t>
  </si>
  <si>
    <t xml:space="preserve">TE DE COBRE (REF 611) SEM ANEL DE SOLDA, BOLSA X BOLSA X BOLSA, 79 MM                                                                                                                                                                                                                                                                                                                                                                                                                                     </t>
  </si>
  <si>
    <t>706,58</t>
  </si>
  <si>
    <t xml:space="preserve">TE DE FERRO GALVANIZADO, DE 1 1/2"                                                                                                                                                                                                                                                                                                                                                                                                                                                                        </t>
  </si>
  <si>
    <t xml:space="preserve">TE DE FERRO GALVANIZADO, DE 1 1/4"                                                                                                                                                                                                                                                                                                                                                                                                                                                                        </t>
  </si>
  <si>
    <t xml:space="preserve">TE DE FERRO GALVANIZADO, DE 1/2"                                                                                                                                                                                                                                                                                                                                                                                                                                                                          </t>
  </si>
  <si>
    <t xml:space="preserve">TE DE FERRO GALVANIZADO, DE 1"                                                                                                                                                                                                                                                                                                                                                                                                                                                                            </t>
  </si>
  <si>
    <t xml:space="preserve">TE DE FERRO GALVANIZADO, DE 2 1/2"                                                                                                                                                                                                                                                                                                                                                                                                                                                                        </t>
  </si>
  <si>
    <t xml:space="preserve">TE DE FERRO GALVANIZADO, DE 2"                                                                                                                                                                                                                                                                                                                                                                                                                                                                            </t>
  </si>
  <si>
    <t xml:space="preserve">TE DE FERRO GALVANIZADO, DE 3/4"                                                                                                                                                                                                                                                                                                                                                                                                                                                                          </t>
  </si>
  <si>
    <t xml:space="preserve">TE DE FERRO GALVANIZADO, DE 3"                                                                                                                                                                                                                                                                                                                                                                                                                                                                            </t>
  </si>
  <si>
    <t xml:space="preserve">TE DE FERRO GALVANIZADO, DE 4"                                                                                                                                                                                                                                                                                                                                                                                                                                                                            </t>
  </si>
  <si>
    <t xml:space="preserve">TE DE FERRO GALVANIZADO, DE 5"                                                                                                                                                                                                                                                                                                                                                                                                                                                                            </t>
  </si>
  <si>
    <t xml:space="preserve">TE DE FERRO GALVANIZADO, DE 6"                                                                                                                                                                                                                                                                                                                                                                                                                                                                            </t>
  </si>
  <si>
    <t xml:space="preserve">TE DE INSPECAO, PVC,  100 X 75 MM, SERIE NORMAL PARA ESGOTO PREDIAL                                                                                                                                                                                                                                                                                                                                                                                                                                       </t>
  </si>
  <si>
    <t xml:space="preserve">TE DE INSPECAO, PVC, SERIE R, 100 X 75 MM, PARA ESGOTO OU AGUAS PLUVIAIS PREDIAIS                                                                                                                                                                                                                                                                                                                                                                                                                         </t>
  </si>
  <si>
    <t>70,16</t>
  </si>
  <si>
    <t xml:space="preserve">TE DE INSPECAO, PVC, SERIE R, 150 X 100 MM, PARA ESGOTO OU AGUAS PLUVIAIS PREDIAIS                                                                                                                                                                                                                                                                                                                                                                                                                        </t>
  </si>
  <si>
    <t>329,66</t>
  </si>
  <si>
    <t xml:space="preserve">TE DE INSPECAO, PVC, SERIE R, 75 X 75 MM, PARA ESGOTO OU AGUAS PLUVIAIS PREDIAIS                                                                                                                                                                                                                                                                                                                                                                                                                          </t>
  </si>
  <si>
    <t xml:space="preserve">TE DE REDUCAO COM ROSCA, PVC, 90 GRAUS, 1 X 3/4", PARA AGUA FRIA PREDIAL                                                                                                                                                                                                                                                                                                                                                                                                                                  </t>
  </si>
  <si>
    <t xml:space="preserve">TE DE REDUCAO COM ROSCA, PVC, 90 GRAUS, 3/4 X 1/2", PARA AGUA FRIA PREDIAL                                                                                                                                                                                                                                                                                                                                                                                                                                </t>
  </si>
  <si>
    <t xml:space="preserve">TE DE REDUCAO DE FERRO GALVANIZADO, COM ROSCA BSP, DE 1 1/2" X 1"                                                                                                                                                                                                                                                                                                                                                                                                                                         </t>
  </si>
  <si>
    <t xml:space="preserve">TE DE REDUCAO DE FERRO GALVANIZADO, COM ROSCA BSP, DE 1 1/2" X 3/4"                                                                                                                                                                                                                                                                                                                                                                                                                                       </t>
  </si>
  <si>
    <t xml:space="preserve">TE DE REDUCAO DE FERRO GALVANIZADO, COM ROSCA BSP, DE 1 1/4" X 3/4"                                                                                                                                                                                                                                                                                                                                                                                                                                       </t>
  </si>
  <si>
    <t xml:space="preserve">TE DE REDUCAO DE FERRO GALVANIZADO, COM ROSCA BSP, DE 1" X 1/2"                                                                                                                                                                                                                                                                                                                                                                                                                                           </t>
  </si>
  <si>
    <t xml:space="preserve">TE DE REDUCAO DE FERRO GALVANIZADO, COM ROSCA BSP, DE 1" X 3/4"                                                                                                                                                                                                                                                                                                                                                                                                                                           </t>
  </si>
  <si>
    <t xml:space="preserve">TE DE REDUCAO DE FERRO GALVANIZADO, COM ROSCA BSP, DE 2 1/2" X 1 1/2"                                                                                                                                                                                                                                                                                                                                                                                                                                     </t>
  </si>
  <si>
    <t xml:space="preserve">TE DE REDUCAO DE FERRO GALVANIZADO, COM ROSCA BSP, DE 2 1/2" X 1 1/4"                                                                                                                                                                                                                                                                                                                                                                                                                                     </t>
  </si>
  <si>
    <t xml:space="preserve">TE DE REDUCAO DE FERRO GALVANIZADO, COM ROSCA BSP, DE 2 1/2" X 1"                                                                                                                                                                                                                                                                                                                                                                                                                                         </t>
  </si>
  <si>
    <t xml:space="preserve">TE DE REDUCAO DE FERRO GALVANIZADO, COM ROSCA BSP, DE 2 1/2" X 2"                                                                                                                                                                                                                                                                                                                                                                                                                                         </t>
  </si>
  <si>
    <t xml:space="preserve">TE DE REDUCAO DE FERRO GALVANIZADO, COM ROSCA BSP, DE 2" X 1 1/2"                                                                                                                                                                                                                                                                                                                                                                                                                                         </t>
  </si>
  <si>
    <t xml:space="preserve">TE DE REDUCAO DE FERRO GALVANIZADO, COM ROSCA BSP, DE 2" X 1 1/4"                                                                                                                                                                                                                                                                                                                                                                                                                                         </t>
  </si>
  <si>
    <t xml:space="preserve">TE DE REDUCAO DE FERRO GALVANIZADO, COM ROSCA BSP, DE 2" X 1"                                                                                                                                                                                                                                                                                                                                                                                                                                             </t>
  </si>
  <si>
    <t xml:space="preserve">TE DE REDUCAO DE FERRO GALVANIZADO, COM ROSCA BSP, DE 3/4" X 1/2"                                                                                                                                                                                                                                                                                                                                                                                                                                         </t>
  </si>
  <si>
    <t xml:space="preserve">TE DE REDUCAO DE FERRO GALVANIZADO, COM ROSCA BSP, DE 3" X 1 1/2"                                                                                                                                                                                                                                                                                                                                                                                                                                         </t>
  </si>
  <si>
    <t xml:space="preserve">TE DE REDUCAO DE FERRO GALVANIZADO, COM ROSCA BSP, DE 3" X 1 1/4"                                                                                                                                                                                                                                                                                                                                                                                                                                         </t>
  </si>
  <si>
    <t xml:space="preserve">TE DE REDUCAO DE FERRO GALVANIZADO, COM ROSCA BSP, DE 3" X 1"                                                                                                                                                                                                                                                                                                                                                                                                                                             </t>
  </si>
  <si>
    <t xml:space="preserve">TE DE REDUCAO DE FERRO GALVANIZADO, COM ROSCA BSP, DE 3" X 2 1/2"                                                                                                                                                                                                                                                                                                                                                                                                                                         </t>
  </si>
  <si>
    <t xml:space="preserve">TE DE REDUCAO DE FERRO GALVANIZADO, COM ROSCA BSP, DE 3" X 2"                                                                                                                                                                                                                                                                                                                                                                                                                                             </t>
  </si>
  <si>
    <t xml:space="preserve">TE DE REDUCAO DE FERRO GALVANIZADO, COM ROSCA BSP, DE 4" X 2"                                                                                                                                                                                                                                                                                                                                                                                                                                             </t>
  </si>
  <si>
    <t xml:space="preserve">TE DE REDUCAO DE FERRO GALVANIZADO, COM ROSCA BSP, DE 4" X 3"                                                                                                                                                                                                                                                                                                                                                                                                                                             </t>
  </si>
  <si>
    <t xml:space="preserve">TE DE REDUCAO METALICO, PARA CONEXAO COM ANEL DESLIZANTE EM TUBO PEX, DN 16 X 20 X 16 MM                                                                                                                                                                                                                                                                                                                                                                                                                  </t>
  </si>
  <si>
    <t xml:space="preserve">TE DE REDUCAO METALICO, PARA CONEXAO COM ANEL DESLIZANTE EM TUBO PEX, DN 16 X 25 X 16 MM                                                                                                                                                                                                                                                                                                                                                                                                                  </t>
  </si>
  <si>
    <t xml:space="preserve">TE DE REDUCAO METALICO, PARA CONEXAO COM ANEL DESLIZANTE EM TUBO PEX, DN 20 X 16 X 16 MM                                                                                                                                                                                                                                                                                                                                                                                                                  </t>
  </si>
  <si>
    <t xml:space="preserve">TE DE REDUCAO METALICO, PARA CONEXAO COM ANEL DESLIZANTE EM TUBO PEX, DN 20 X 16 X 20 MM                                                                                                                                                                                                                                                                                                                                                                                                                  </t>
  </si>
  <si>
    <t xml:space="preserve">TE DE REDUCAO METALICO, PARA CONEXAO COM ANEL DESLIZANTE EM TUBO PEX, DN 20 X 20 X 16 MM                                                                                                                                                                                                                                                                                                                                                                                                                  </t>
  </si>
  <si>
    <t xml:space="preserve">TE DE REDUCAO METALICO, PARA CONEXAO COM ANEL DESLIZANTE EM TUBO PEX, DN 20 X 25 X 20 MM                                                                                                                                                                                                                                                                                                                                                                                                                  </t>
  </si>
  <si>
    <t xml:space="preserve">TE DE REDUCAO METALICO, PARA CONEXAO COM ANEL DESLIZANTE EM TUBO PEX, DN 25 X 16 X 16 MM                                                                                                                                                                                                                                                                                                                                                                                                                  </t>
  </si>
  <si>
    <t xml:space="preserve">TE DE REDUCAO METALICO, PARA CONEXAO COM ANEL DESLIZANTE EM TUBO PEX, DN 25 X 16 X 20 MM                                                                                                                                                                                                                                                                                                                                                                                                                  </t>
  </si>
  <si>
    <t xml:space="preserve">TE DE REDUCAO METALICO, PARA CONEXAO COM ANEL DESLIZANTE EM TUBO PEX, DN 25 X 16 X 25 MM                                                                                                                                                                                                                                                                                                                                                                                                                  </t>
  </si>
  <si>
    <t xml:space="preserve">TE DE REDUCAO METALICO, PARA CONEXAO COM ANEL DESLIZANTE EM TUBO PEX, DN 25 X 20 X 20 MM                                                                                                                                                                                                                                                                                                                                                                                                                  </t>
  </si>
  <si>
    <t xml:space="preserve">TE DE REDUCAO METALICO, PARA CONEXAO COM ANEL DESLIZANTE EM TUBO PEX, DN 25 X 20 X 25 MM                                                                                                                                                                                                                                                                                                                                                                                                                  </t>
  </si>
  <si>
    <t xml:space="preserve">TE DE REDUCAO METALICO, PARA CONEXAO COM ANEL DESLIZANTE EM TUBO PEX, DN 25 X 32 X 25 MM                                                                                                                                                                                                                                                                                                                                                                                                                  </t>
  </si>
  <si>
    <t xml:space="preserve">TE DE REDUCAO METALICO, PARA CONEXAO COM ANEL DESLIZANTE EM TUBO PEX, DN 32 X 20 X 32 MM                                                                                                                                                                                                                                                                                                                                                                                                                  </t>
  </si>
  <si>
    <t xml:space="preserve">TE DE REDUCAO METALICO, PARA CONEXAO COM ANEL DESLIZANTE EM TUBO PEX, DN 32 X 25 X 25 MM                                                                                                                                                                                                                                                                                                                                                                                                                  </t>
  </si>
  <si>
    <t xml:space="preserve">TE DE REDUCAO METALICO, PARA CONEXAO COM ANEL DESLIZANTE EM TUBO PEX, DN 32 X 25 X 32 MM                                                                                                                                                                                                                                                                                                                                                                                                                  </t>
  </si>
  <si>
    <t xml:space="preserve">TE DE REDUCAO, CPVC, 22 X 15 MM, PARA AGUA QUENTE PREDIAL                                                                                                                                                                                                                                                                                                                                                                                                                                                 </t>
  </si>
  <si>
    <t xml:space="preserve">TE DE REDUCAO, CPVC, 28 X 22 MM, PARA AGUA QUENTE PREDIAL                                                                                                                                                                                                                                                                                                                                                                                                                                                 </t>
  </si>
  <si>
    <t xml:space="preserve">TE DE REDUCAO, CPVC, 35 X 28 MM, PARA AGUA QUENTE PREDIAL                                                                                                                                                                                                                                                                                                                                                                                                                                                 </t>
  </si>
  <si>
    <t>33,02</t>
  </si>
  <si>
    <t xml:space="preserve">TE DE REDUCAO, CPVC, 42 X 35 MM, PARA AGUA QUENTE PREDIAL                                                                                                                                                                                                                                                                                                                                                                                                                                                 </t>
  </si>
  <si>
    <t>50,02</t>
  </si>
  <si>
    <t xml:space="preserve">TE DE REDUCAO, PVC LEVE, CURTO, 90 GRAUS, COM BOLSA PARA ANEL, 150 X 100 MM, PARA ESGOTO                                                                                                                                                                                                                                                                                                                                                                                                                  </t>
  </si>
  <si>
    <t>60,46</t>
  </si>
  <si>
    <t xml:space="preserve">TE DE REDUCAO, PVC PBA, BBB, JE, DN 100 X 50 / DE 110 X 60 MM, PARA REDE AGUA (NBR 10351)                                                                                                                                                                                                                                                                                                                                                                                                                 </t>
  </si>
  <si>
    <t>105,04</t>
  </si>
  <si>
    <t xml:space="preserve">TE DE REDUCAO, PVC PBA, BBB, JE, DN 100 X 75 / DE 110 X 85 MM, PARA REDE AGUA (NBR 10351)                                                                                                                                                                                                                                                                                                                                                                                                                 </t>
  </si>
  <si>
    <t>88,76</t>
  </si>
  <si>
    <t xml:space="preserve">TE DE REDUCAO, PVC PBA, BBB, JE, DN 75 X 50 / DE 85 X 60 MM, PARA REDE AGUA (NBR 10351)                                                                                                                                                                                                                                                                                                                                                                                                                   </t>
  </si>
  <si>
    <t xml:space="preserve">TE DE REDUCAO, PVC, BBB, JE, 90 GRAUS, DN 200 X 150 MM, PARA TUBO CORRUGADO E/OU LISO, REDE COLETORA ESGOTO (NBR 10569)                                                                                                                                                                                                                                                                                                                                                                                   </t>
  </si>
  <si>
    <t xml:space="preserve">TE DE REDUCAO, PVC, BBB, JE, 90 GRAUS, DN 250 X 150 MM, PARA TUBO CORRUGADO E/OU LISO, REDE COLETORA ESGOTO (NBR 10569)                                                                                                                                                                                                                                                                                                                                                                                   </t>
  </si>
  <si>
    <t xml:space="preserve">TE DE REDUCAO, PVC, SOLDAVEL, 90 GRAUS, 110 MM X 60 MM, PARA AGUA FRIA PREDIAL                                                                                                                                                                                                                                                                                                                                                                                                                            </t>
  </si>
  <si>
    <t>244,34</t>
  </si>
  <si>
    <t xml:space="preserve">TE DE REDUCAO, PVC, SOLDAVEL, 90 GRAUS, 25 MM X 20 MM, PARA AGUA FRIA PREDIAL                                                                                                                                                                                                                                                                                                                                                                                                                             </t>
  </si>
  <si>
    <t xml:space="preserve">TE DE REDUCAO, PVC, SOLDAVEL, 90 GRAUS, 32 MM X 25 MM, PARA AGUA FRIA PREDIAL                                                                                                                                                                                                                                                                                                                                                                                                                             </t>
  </si>
  <si>
    <t xml:space="preserve">TE DE REDUCAO, PVC, SOLDAVEL, 90 GRAUS, 40 MM X 32 MM, PARA AGUA FRIA PREDIAL                                                                                                                                                                                                                                                                                                                                                                                                                             </t>
  </si>
  <si>
    <t xml:space="preserve">TE DE REDUCAO, PVC, SOLDAVEL, 90 GRAUS, 50 MM X 20 MM, PARA AGUA FRIA PREDIAL                                                                                                                                                                                                                                                                                                                                                                                                                             </t>
  </si>
  <si>
    <t xml:space="preserve">TE DE REDUCAO, PVC, SOLDAVEL, 90 GRAUS, 50 MM X 25 MM, PARA AGUA FRIA PREDIAL                                                                                                                                                                                                                                                                                                                                                                                                                             </t>
  </si>
  <si>
    <t xml:space="preserve">TE DE REDUCAO, PVC, SOLDAVEL, 90 GRAUS, 50 MM X 32 MM, PARA AGUA FRIA PREDIAL                                                                                                                                                                                                                                                                                                                                                                                                                             </t>
  </si>
  <si>
    <t xml:space="preserve">TE DE REDUCAO, PVC, SOLDAVEL, 90 GRAUS, 50 MM X 40 MM, PARA AGUA FRIA PREDIAL                                                                                                                                                                                                                                                                                                                                                                                                                             </t>
  </si>
  <si>
    <t xml:space="preserve">TE DE REDUCAO, PVC, SOLDAVEL, 90 GRAUS, 75 MM X 50 MM, PARA AGUA FRIA PREDIAL                                                                                                                                                                                                                                                                                                                                                                                                                             </t>
  </si>
  <si>
    <t xml:space="preserve">TE DE REDUCAO, PVC, SOLDAVEL, 90 GRAUS, 85 MM X 60 MM, PARA AGUA FRIA PREDIAL                                                                                                                                                                                                                                                                                                                                                                                                                             </t>
  </si>
  <si>
    <t>120,43</t>
  </si>
  <si>
    <t xml:space="preserve">TE DE SERVICO INTEGRADO, EM POLIPROPILENO (PP), PARA TUBOS EM PEAD/PVC, 60 X 20 MM - LIGACAO PREDIAL DE AGUA                                                                                                                                                                                                                                                                                                                                                                                              </t>
  </si>
  <si>
    <t>46,86</t>
  </si>
  <si>
    <t xml:space="preserve">TE DE SERVICO INTEGRADO, EM POLIPROPILENO (PP), PARA TUBOS EM PEAD/PVC, 60 X 32 MM - LIGACAO PREDIAL DE AGUA                                                                                                                                                                                                                                                                                                                                                                                              </t>
  </si>
  <si>
    <t>64,05</t>
  </si>
  <si>
    <t xml:space="preserve">TE DE SERVICO INTEGRADO, EM POLIPROPILENO (PP), PARA TUBOS EM PEAD, 63 X 20 MM - LIGACAO PREDIAL DE AGUA                                                                                                                                                                                                                                                                                                                                                                                                  </t>
  </si>
  <si>
    <t>59,95</t>
  </si>
  <si>
    <t xml:space="preserve">TE DE SERVICO, PEAD PE 100, DE 125 X 20 MM, PARA ELETROFUSAO                                                                                                                                                                                                                                                                                                                                                                                                                                              </t>
  </si>
  <si>
    <t>250,30</t>
  </si>
  <si>
    <t xml:space="preserve">TE DE SERVICO, PEAD PE 100, DE 125 X 32 MM, PARA ELETROFUSAO                                                                                                                                                                                                                                                                                                                                                                                                                                              </t>
  </si>
  <si>
    <t>254,55</t>
  </si>
  <si>
    <t xml:space="preserve">TE DE SERVICO, PEAD PE 100, DE 125 X 63 MM, PARA ELETROFUSAO                                                                                                                                                                                                                                                                                                                                                                                                                                              </t>
  </si>
  <si>
    <t>385,83</t>
  </si>
  <si>
    <t xml:space="preserve">TE DE SERVICO, PEAD PE 100, DE 200 X 20 MM, PARA ELETROFUSAO                                                                                                                                                                                                                                                                                                                                                                                                                                              </t>
  </si>
  <si>
    <t>420,61</t>
  </si>
  <si>
    <t xml:space="preserve">TE DE SERVICO, PEAD PE 100, DE 200 X 32 MM, PARA ELETROFUSAO                                                                                                                                                                                                                                                                                                                                                                                                                                              </t>
  </si>
  <si>
    <t>427,19</t>
  </si>
  <si>
    <t xml:space="preserve">TE DE SERVICO, PEAD PE 100, DE 200 X 63 MM, PARA ELETROFUSAO                                                                                                                                                                                                                                                                                                                                                                                                                                              </t>
  </si>
  <si>
    <t>585,96</t>
  </si>
  <si>
    <t xml:space="preserve">TE DE SERVICO, PEAD PE 100, DE 63 X 20 MM, PARA ELETROFUSAO                                                                                                                                                                                                                                                                                                                                                                                                                                               </t>
  </si>
  <si>
    <t>198,67</t>
  </si>
  <si>
    <t xml:space="preserve">TE DE SERVICO, PEAD PE 100, DE 63 X 32 MM, PARA ELETROFUSAO                                                                                                                                                                                                                                                                                                                                                                                                                                               </t>
  </si>
  <si>
    <t xml:space="preserve">TE DE SERVICO, PEAD PE 100, DE 63 X 63 MM, PARA ELETROFUSAO                                                                                                                                                                                                                                                                                                                                                                                                                                               </t>
  </si>
  <si>
    <t>239,29</t>
  </si>
  <si>
    <t xml:space="preserve">TE DE TRANSICAO, CPVC, SOLDAVEL, 15 MM X 1/2", PARA AGUA QUENTE                                                                                                                                                                                                                                                                                                                                                                                                                                           </t>
  </si>
  <si>
    <t xml:space="preserve">TE DE TRANSICAO, CPVC, SOLDAVEL, 22 MM X 1/2", PARA AGUA QUENTE                                                                                                                                                                                                                                                                                                                                                                                                                                           </t>
  </si>
  <si>
    <t xml:space="preserve">TE DUPLA CURVA BRONZE/LATAO (REF 764) SEM ANEL DE SOLDA, ROSCA F X BOLSA X ROSCA F, 1/2" X 15 X 1/2"                                                                                                                                                                                                                                                                                                                                                                                                      </t>
  </si>
  <si>
    <t xml:space="preserve">TE DUPLA CURVA BRONZE/LATAO (REF 764) SEM ANEL DE SOLDA, ROSCA F X BOLSA X ROSCA F, 3/4" X 22 X 3/4"                                                                                                                                                                                                                                                                                                                                                                                                      </t>
  </si>
  <si>
    <t xml:space="preserve">TE METALICO, PARA CONEXAO COM ANEL DESLIZANTE EM TUBO PEX, DN 16 MM                                                                                                                                                                                                                                                                                                                                                                                                                                       </t>
  </si>
  <si>
    <t xml:space="preserve">TE METALICO, PARA CONEXAO COM ANEL DESLIZANTE EM TUBO PEX, DN 20 MM                                                                                                                                                                                                                                                                                                                                                                                                                                       </t>
  </si>
  <si>
    <t xml:space="preserve">TE METALICO, PARA CONEXAO COM ANEL DESLIZANTE EM TUBO PEX, DN 25 MM                                                                                                                                                                                                                                                                                                                                                                                                                                       </t>
  </si>
  <si>
    <t xml:space="preserve">TE METALICO, PARA CONEXAO COM ANEL DESLIZANTE EM TUBO PEX, DN 32 MM                                                                                                                                                                                                                                                                                                                                                                                                                                       </t>
  </si>
  <si>
    <t xml:space="preserve">TE MISTURADOR COM INSERTO METALICO, FEMEA, PPR, DN 25 MM X 3/4", PARA AGUA QUENTE E FRIA PREDIAL                                                                                                                                                                                                                                                                                                                                                                                                          </t>
  </si>
  <si>
    <t>38,03</t>
  </si>
  <si>
    <t xml:space="preserve">TE MISTURADOR DE TRANSICAO, CPVC, COM ROSCA, 22 MM X 3/4", PARA AGUA QUENTE                                                                                                                                                                                                                                                                                                                                                                                                                               </t>
  </si>
  <si>
    <t>41,89</t>
  </si>
  <si>
    <t xml:space="preserve">TE MISTURADOR METALICO, PARA CONEXAO COM ANEL DESLIZANTE EM TUBO PEX, DN 16 MM X 1/2"                                                                                                                                                                                                                                                                                                                                                                                                                     </t>
  </si>
  <si>
    <t xml:space="preserve">TE MISTURADOR METALICO, PARA CONEXAO COM ANEL DESLIZANTE EM TUBO PEX, DN 20 MM X 3/4"                                                                                                                                                                                                                                                                                                                                                                                                                     </t>
  </si>
  <si>
    <t xml:space="preserve">TE MISTURADOR, CPVC, SOLDAVEL, 15 MM, PARA AGUA QUENTE                                                                                                                                                                                                                                                                                                                                                                                                                                                    </t>
  </si>
  <si>
    <t xml:space="preserve">TE MISTURADOR, CPVC, SOLDAVEL, 22 MM, PARA AGUA QUENTE                                                                                                                                                                                                                                                                                                                                                                                                                                                    </t>
  </si>
  <si>
    <t xml:space="preserve">TE MISTURADOR, PPR, F M M, DN 20 X 20 MM, PARA AGUA QUENTE PREDIAL                                                                                                                                                                                                                                                                                                                                                                                                                                        </t>
  </si>
  <si>
    <t xml:space="preserve">TE MISTURADOR, PPR, F M M, DN 25 X 25 MM, PARA AGUA QUENTE PREDIAL                                                                                                                                                                                                                                                                                                                                                                                                                                        </t>
  </si>
  <si>
    <t xml:space="preserve">TE NORMAL, PPR, SOLDAVEL, 90 GRAUS, DN 110 X 110 X 110 MM, PARA AGUA QUENTE PREDIAL                                                                                                                                                                                                                                                                                                                                                                                                                       </t>
  </si>
  <si>
    <t xml:space="preserve">TE NORMAL, PPR, SOLDAVEL, 90 GRAUS, DN 20 X 20 X 20 MM, PARA AGUA QUENTE PREDIAL                                                                                                                                                                                                                                                                                                                                                                                                                          </t>
  </si>
  <si>
    <t xml:space="preserve">TE NORMAL, PPR, SOLDAVEL, 90 GRAUS, DN 25 X 25 X 25 MM, PARA AGUA QUENTE PREDIAL                                                                                                                                                                                                                                                                                                                                                                                                                          </t>
  </si>
  <si>
    <t xml:space="preserve">TE NORMAL, PPR, SOLDAVEL, 90 GRAUS, DN 32 X 32 X 32 MM, PARA AGUA QUENTE PREDIAL                                                                                                                                                                                                                                                                                                                                                                                                                          </t>
  </si>
  <si>
    <t xml:space="preserve">TE NORMAL, PPR, SOLDAVEL, 90 GRAUS, DN 40 X 40 X 40 MM, PARA AGUA QUENTE PREDIAL                                                                                                                                                                                                                                                                                                                                                                                                                          </t>
  </si>
  <si>
    <t xml:space="preserve">TE NORMAL, PPR, SOLDAVEL, 90 GRAUS, DN 50 X 50 X 50 MM, PARA AGUA QUENTE PREDIAL                                                                                                                                                                                                                                                                                                                                                                                                                          </t>
  </si>
  <si>
    <t xml:space="preserve">TE NORMAL, PPR, SOLDAVEL, 90 GRAUS, DN 63 X 63 X 63 MM, PARA AGUA QUENTE PREDIAL                                                                                                                                                                                                                                                                                                                                                                                                                          </t>
  </si>
  <si>
    <t xml:space="preserve">TE NORMAL, PPR, SOLDAVEL, 90 GRAUS, DN 75 X 75 X 75 MM, PARA AGUA QUENTE PREDIAL                                                                                                                                                                                                                                                                                                                                                                                                                          </t>
  </si>
  <si>
    <t xml:space="preserve">TE NORMAL, PPR, SOLDAVEL, 90 GRAUS, DN 90 X 90 X 90 MM, PARA AGUA QUENTE PREDIAL                                                                                                                                                                                                                                                                                                                                                                                                                          </t>
  </si>
  <si>
    <t>112,06</t>
  </si>
  <si>
    <t xml:space="preserve">TE PVC ROSCAVEL 90 GRAUS, 1", PARA  AGUA FRIA PREDIAL                                                                                                                                                                                                                                                                                                                                                                                                                                                     </t>
  </si>
  <si>
    <t>17,60</t>
  </si>
  <si>
    <t xml:space="preserve">TE PVC SOLDAVEL, BBB, 90 GRAUS, DN 40 MM, PARA ESGOTO SECUNDARIO PREDIAL                                                                                                                                                                                                                                                                                                                                                                                                                                  </t>
  </si>
  <si>
    <t xml:space="preserve">TE PVC, ROSCAVEL, 90 GRAUS, 1 1/2", AGUA FRIA PREDIAL                                                                                                                                                                                                                                                                                                                                                                                                                                                     </t>
  </si>
  <si>
    <t xml:space="preserve">TE PVC, ROSCAVEL, 90 GRAUS, 1 1/4", AGUA FRIA PREDIAL                                                                                                                                                                                                                                                                                                                                                                                                                                                     </t>
  </si>
  <si>
    <t>34,54</t>
  </si>
  <si>
    <t xml:space="preserve">TE PVC, ROSCAVEL, 90 GRAUS, 1/2",  AGUA FRIA PREDIAL                                                                                                                                                                                                                                                                                                                                                                                                                                                      </t>
  </si>
  <si>
    <t xml:space="preserve">TE PVC, ROSCAVEL, 90 GRAUS, 2",  AGUA FRIA PREDIAL                                                                                                                                                                                                                                                                                                                                                                                                                                                        </t>
  </si>
  <si>
    <t xml:space="preserve">TE PVC, ROSCAVEL, 90 GRAUS, 3/4", AGUA FRIA PREDIAL                                                                                                                                                                                                                                                                                                                                                                                                                                                       </t>
  </si>
  <si>
    <t xml:space="preserve">TE PVC, SOLDAVEL, COM BUCHA DE LATAO NA BOLSA CENTRAL, 90 GRAUS, 20 MM X 1/2", PARA AGUA FRIA PREDIAL                                                                                                                                                                                                                                                                                                                                                                                                     </t>
  </si>
  <si>
    <t xml:space="preserve">TE PVC, SOLDAVEL, COM BUCHA DE LATAO NA BOLSA CENTRAL, 90 GRAUS, 25 MM X 1/2", PARA AGUA FRIA PREDIAL                                                                                                                                                                                                                                                                                                                                                                                                     </t>
  </si>
  <si>
    <t xml:space="preserve">TE PVC, SOLDAVEL, COM BUCHA DE LATAO NA BOLSA CENTRAL, 90 GRAUS, 25 MM X 3/4", PARA AGUA FRIA PREDIAL                                                                                                                                                                                                                                                                                                                                                                                                     </t>
  </si>
  <si>
    <t xml:space="preserve">TE PVC, SOLDAVEL, COM BUCHA DE LATAO NA BOLSA CENTRAL, 90 GRAUS, 32 MM X 3/4", PARA AGUA FRIA PREDIAL                                                                                                                                                                                                                                                                                                                                                                                                     </t>
  </si>
  <si>
    <t xml:space="preserve">TE PVC, SOLDAVEL, COM ROSCA NA BOLSA CENTRAL, 90 GRAUS, 20 MM X 1/2", PARA AGUA FRIA PREDIAL                                                                                                                                                                                                                                                                                                                                                                                                              </t>
  </si>
  <si>
    <t xml:space="preserve">TE PVC, SOLDAVEL, COM ROSCA NA BOLSA CENTRAL, 90 GRAUS, 25 MM X 1/2", PARA AGUA FRIA PREDIAL                                                                                                                                                                                                                                                                                                                                                                                                              </t>
  </si>
  <si>
    <t xml:space="preserve">TE PVC, SOLDAVEL, COM ROSCA NA BOLSA CENTRAL, 90 GRAUS, 25 MM X 3/4", PARA AGUA FRIA PREDIAL                                                                                                                                                                                                                                                                                                                                                                                                              </t>
  </si>
  <si>
    <t xml:space="preserve">TE PVC, SOLDAVEL, COM ROSCA NA BOLSA CENTRAL, 90 GRAUS, 32 MM X 3/4", PARA AGUA FRIA PREDIAL                                                                                                                                                                                                                                                                                                                                                                                                              </t>
  </si>
  <si>
    <t xml:space="preserve">TE RANHURADO EM FERRO FUNDIDO, DN 50 (2")                                                                                                                                                                                                                                                                                                                                                                                                                                                                 </t>
  </si>
  <si>
    <t xml:space="preserve">TE RANHURADO EM FERRO FUNDIDO, DN 65 (2 1/2")                                                                                                                                                                                                                                                                                                                                                                                                                                                             </t>
  </si>
  <si>
    <t xml:space="preserve">TE RANHURADO EM FERRO FUNDIDO, DN 80 (3")                                                                                                                                                                                                                                                                                                                                                                                                                                                                 </t>
  </si>
  <si>
    <t xml:space="preserve">TE REDUCAO PVC, ROSCAVEL, 90 GRAUS,  1.1/2" X 3/4",  AGUA FRIA PREDIAL                                                                                                                                                                                                                                                                                                                                                                                                                                    </t>
  </si>
  <si>
    <t>35,24</t>
  </si>
  <si>
    <t xml:space="preserve">TE ROSCA FEMEA, METALICO, PARA CONEXAO COM ANEL DESLIZANTE EM TUBO PEX, DN 16 MM X 1/2"                                                                                                                                                                                                                                                                                                                                                                                                                   </t>
  </si>
  <si>
    <t xml:space="preserve">TE ROSCA FEMEA, METALICO, PARA CONEXAO COM ANEL DESLIZANTE EM TUBO PEX, DN 20 MM X 1/2"                                                                                                                                                                                                                                                                                                                                                                                                                   </t>
  </si>
  <si>
    <t xml:space="preserve">TE ROSCA FEMEA, METALICO, PARA CONEXAO COM ANEL DESLIZANTE EM TUBO PEX, DN 20 MM X 3/4"                                                                                                                                                                                                                                                                                                                                                                                                                   </t>
  </si>
  <si>
    <t xml:space="preserve">TE ROSCA FEMEA, METALICO, PARA CONEXAO COM ANEL DESLIZANTE EM TUBO PEX, DN 25 MM X 1/2"                                                                                                                                                                                                                                                                                                                                                                                                                   </t>
  </si>
  <si>
    <t xml:space="preserve">TE ROSCA FEMEA, METALICO, PARA CONEXAO COM ANEL DESLIZANTE EM TUBO PEX, DN 25 MM X 3/4"                                                                                                                                                                                                                                                                                                                                                                                                                   </t>
  </si>
  <si>
    <t xml:space="preserve">TE ROSCA MACHO, METALICO, PARA CONEXAO COM ANEL DESLIZANTE EM TUBO PEX, DN 16 MM X 1/2"                                                                                                                                                                                                                                                                                                                                                                                                                   </t>
  </si>
  <si>
    <t xml:space="preserve">TE ROSCA MACHO, METALICO, PARA CONEXAO COM ANEL DESLIZANTE EM TUBO PEX, DN 20 MM X 1/2"                                                                                                                                                                                                                                                                                                                                                                                                                   </t>
  </si>
  <si>
    <t xml:space="preserve">TE ROSCA MACHO, METALICO, PARA CONEXAO COM ANEL DESLIZANTE EM TUBO PEX, DN 20 MM X 3/4"                                                                                                                                                                                                                                                                                                                                                                                                                   </t>
  </si>
  <si>
    <t xml:space="preserve">TE ROSCA MACHO, METALICO, PARA CONEXAO COM ANEL DESLIZANTE EM TUBO PEX, DN 25 MM X 3/4"                                                                                                                                                                                                                                                                                                                                                                                                                   </t>
  </si>
  <si>
    <t xml:space="preserve">TE ROSCA MACHO, METALICO, PARA CONEXAO COM ANEL DESLIZANTE EM TUBO PEX, DN 32 MM X 1"                                                                                                                                                                                                                                                                                                                                                                                                                     </t>
  </si>
  <si>
    <t xml:space="preserve">TE ROSCA MACHO, METALICO, PARA CONEXAO COM ANEL DESLIZANTE EM TUBO PEX, DN 32 MM X 3/4"                                                                                                                                                                                                                                                                                                                                                                                                                   </t>
  </si>
  <si>
    <t xml:space="preserve">TE SANITARIO, PVC, DN 100 X 100 MM, SERIE NORMAL, PARA ESGOTO PREDIAL                                                                                                                                                                                                                                                                                                                                                                                                                                     </t>
  </si>
  <si>
    <t xml:space="preserve">TE SANITARIO, PVC, DN 100 X 50 MM, SERIE NORMAL, PARA ESGOTO PREDIAL                                                                                                                                                                                                                                                                                                                                                                                                                                      </t>
  </si>
  <si>
    <t xml:space="preserve">TE SANITARIO, PVC, DN 100 X 75 MM, SERIE NORMAL PARA ESGOTO PREDIAL                                                                                                                                                                                                                                                                                                                                                                                                                                       </t>
  </si>
  <si>
    <t xml:space="preserve">TE SANITARIO, PVC, DN 40 X 40 MM, SERIE NORMAL, PARA ESGOTO PREDIAL                                                                                                                                                                                                                                                                                                                                                                                                                                       </t>
  </si>
  <si>
    <t xml:space="preserve">TE SANITARIO, PVC, DN 50 X 50 MM, SERIE NORMAL, PARA ESGOTO PREDIAL                                                                                                                                                                                                                                                                                                                                                                                                                                       </t>
  </si>
  <si>
    <t xml:space="preserve">TE SANITARIO, PVC, DN 75 X 50 MM, SERIE NORMAL PARA ESGOTO PREDIAL                                                                                                                                                                                                                                                                                                                                                                                                                                        </t>
  </si>
  <si>
    <t xml:space="preserve">TE SANITARIO, PVC, DN 75 X 75 MM, SERIE NORMAL PARA ESGOTO PREDIAL                                                                                                                                                                                                                                                                                                                                                                                                                                        </t>
  </si>
  <si>
    <t>18,88</t>
  </si>
  <si>
    <t xml:space="preserve">TE SOLDAVEL, PVC, 90 GRAUS, 110 MM, PARA AGUA FRIA PREDIAL (NBR 5648)                                                                                                                                                                                                                                                                                                                                                                                                                                     </t>
  </si>
  <si>
    <t>261,65</t>
  </si>
  <si>
    <t xml:space="preserve">TE SOLDAVEL, PVC, 90 GRAUS, 20 MM, PARA AGUA FRIA PREDIAL (NBR 5648)                                                                                                                                                                                                                                                                                                                                                                                                                                      </t>
  </si>
  <si>
    <t xml:space="preserve">TE SOLDAVEL, PVC, 90 GRAUS, 25 MM, PARA AGUA FRIA PREDIAL (NBR 5648)                                                                                                                                                                                                                                                                                                                                                                                                                                      </t>
  </si>
  <si>
    <t xml:space="preserve">TE SOLDAVEL, PVC, 90 GRAUS, 32 MM, PARA AGUA FRIA PREDIAL (NBR 5648)                                                                                                                                                                                                                                                                                                                                                                                                                                      </t>
  </si>
  <si>
    <t xml:space="preserve">TE SOLDAVEL, PVC, 90 GRAUS, 40 MM, PARA AGUA FRIA PREDIAL (NBR 5648)                                                                                                                                                                                                                                                                                                                                                                                                                                      </t>
  </si>
  <si>
    <t xml:space="preserve">TE SOLDAVEL, PVC, 90 GRAUS, 60 MM, PARA AGUA FRIA PREDIAL (NBR 5648)                                                                                                                                                                                                                                                                                                                                                                                                                                      </t>
  </si>
  <si>
    <t xml:space="preserve">TE SOLDAVEL, PVC, 90 GRAUS, 75 MM, PARA AGUA FRIA PREDIAL (NBR 5648)                                                                                                                                                                                                                                                                                                                                                                                                                                      </t>
  </si>
  <si>
    <t>94,08</t>
  </si>
  <si>
    <t xml:space="preserve">TE SOLDAVEL, PVC, 90 GRAUS, 85 MM, PARA AGUA FRIA PREDIAL (NBR 5648)                                                                                                                                                                                                                                                                                                                                                                                                                                      </t>
  </si>
  <si>
    <t xml:space="preserve">TE SOLDAVEL, PVC, 90 GRAUS,50 MM, PARA AGUA FRIA PREDIAL (NBR 5648)                                                                                                                                                                                                                                                                                                                                                                                                                                       </t>
  </si>
  <si>
    <t xml:space="preserve">TE 45 GRAUS DE FERRO GALVANIZADO, COM ROSCA BSP, DE 1 1/2"                                                                                                                                                                                                                                                                                                                                                                                                                                                </t>
  </si>
  <si>
    <t xml:space="preserve">TE 45 GRAUS DE FERRO GALVANIZADO, COM ROSCA BSP, DE 1 1/4"                                                                                                                                                                                                                                                                                                                                                                                                                                                </t>
  </si>
  <si>
    <t xml:space="preserve">TE 45 GRAUS DE FERRO GALVANIZADO, COM ROSCA BSP, DE 1/2"                                                                                                                                                                                                                                                                                                                                                                                                                                                  </t>
  </si>
  <si>
    <t xml:space="preserve">TE 45 GRAUS DE FERRO GALVANIZADO, COM ROSCA BSP, DE 1"                                                                                                                                                                                                                                                                                                                                                                                                                                                    </t>
  </si>
  <si>
    <t xml:space="preserve">TE 45 GRAUS DE FERRO GALVANIZADO, COM ROSCA BSP, DE 2 1/2"                                                                                                                                                                                                                                                                                                                                                                                                                                                </t>
  </si>
  <si>
    <t xml:space="preserve">TE 45 GRAUS DE FERRO GALVANIZADO, COM ROSCA BSP, DE 2"                                                                                                                                                                                                                                                                                                                                                                                                                                                    </t>
  </si>
  <si>
    <t xml:space="preserve">TE 45 GRAUS DE FERRO GALVANIZADO, COM ROSCA BSP, DE 3/4"                                                                                                                                                                                                                                                                                                                                                                                                                                                  </t>
  </si>
  <si>
    <t xml:space="preserve">TE 45 GRAUS DE FERRO GALVANIZADO, COM ROSCA BSP, DE 3"                                                                                                                                                                                                                                                                                                                                                                                                                                                    </t>
  </si>
  <si>
    <t xml:space="preserve">TE 45 GRAUS DE FERRO GALVANIZADO, COM ROSCA BSP, DE 4"                                                                                                                                                                                                                                                                                                                                                                                                                                                    </t>
  </si>
  <si>
    <t xml:space="preserve">TE 90 GRAUS EM ACO CARBONO, SOLDAVEL, PRESSAO 3.000 LBS, DN 1 1/2"                                                                                                                                                                                                                                                                                                                                                                                                                                        </t>
  </si>
  <si>
    <t>116,32</t>
  </si>
  <si>
    <t xml:space="preserve">TE 90 GRAUS EM ACO CARBONO, SOLDAVEL, PRESSAO 3.000 LBS, DN 1 1/4"                                                                                                                                                                                                                                                                                                                                                                                                                                        </t>
  </si>
  <si>
    <t>89,27</t>
  </si>
  <si>
    <t xml:space="preserve">TE 90 GRAUS EM ACO CARBONO, SOLDAVEL, PRESSAO 3.000 LBS, DN 1/2"                                                                                                                                                                                                                                                                                                                                                                                                                                          </t>
  </si>
  <si>
    <t xml:space="preserve">TE 90 GRAUS EM ACO CARBONO, SOLDAVEL, PRESSAO 3.000 LBS, DN 1"                                                                                                                                                                                                                                                                                                                                                                                                                                            </t>
  </si>
  <si>
    <t xml:space="preserve">TE 90 GRAUS EM ACO CARBONO, SOLDAVEL, PRESSAO 3.000 LBS, DN 2 1/2"                                                                                                                                                                                                                                                                                                                                                                                                                                        </t>
  </si>
  <si>
    <t>373,18</t>
  </si>
  <si>
    <t xml:space="preserve">TE 90 GRAUS EM ACO CARBONO, SOLDAVEL, PRESSAO 3.000 LBS, DN 2"                                                                                                                                                                                                                                                                                                                                                                                                                                            </t>
  </si>
  <si>
    <t>191,11</t>
  </si>
  <si>
    <t xml:space="preserve">TE 90 GRAUS EM ACO CARBONO, SOLDAVEL, PRESSAO 3.000 LBS, DN 3/4"                                                                                                                                                                                                                                                                                                                                                                                                                                          </t>
  </si>
  <si>
    <t>37,00</t>
  </si>
  <si>
    <t xml:space="preserve">TE 90 GRAUS EM ACO CARBONO, SOLDAVEL, PRESSAO 3.000 LBS, DN 3"                                                                                                                                                                                                                                                                                                                                                                                                                                            </t>
  </si>
  <si>
    <t>610,52</t>
  </si>
  <si>
    <t xml:space="preserve">TE, PLASTICO, DN 16 MM, PARA CONEXAO COM CRIMPAGEM EM TUBO PEX                                                                                                                                                                                                                                                                                                                                                                                                                                            </t>
  </si>
  <si>
    <t xml:space="preserve">TE, PLASTICO, DN 20 MM, PARA CONEXAO COM CRIMPAGEM EM TUBO PEX                                                                                                                                                                                                                                                                                                                                                                                                                                            </t>
  </si>
  <si>
    <t xml:space="preserve">TE, PLASTICO, DN 25 MM, PARA CONEXAO COM CRIMPAGEM EM TUBO PEX                                                                                                                                                                                                                                                                                                                                                                                                                                            </t>
  </si>
  <si>
    <t xml:space="preserve">TE, PLASTICO, DN 32 MM, PARA CONEXAO COM CRIMPAGEM EM TUBO PEX                                                                                                                                                                                                                                                                                                                                                                                                                                            </t>
  </si>
  <si>
    <t xml:space="preserve">TE, PVC LEVE, CURTO, 90 GRAUS, 150 MM, PARA ESGOTO                                                                                                                                                                                                                                                                                                                                                                                                                                                        </t>
  </si>
  <si>
    <t xml:space="preserve">TE, PVC PBA, BBB, 90 GRAUS, DN 100 / DE 110 MM, PARA REDE  AGUA (NBR 10351)                                                                                                                                                                                                                                                                                                                                                                                                                               </t>
  </si>
  <si>
    <t>132,18</t>
  </si>
  <si>
    <t xml:space="preserve">TE, PVC PBA, BBB, 90 GRAUS, DN 50 / DE 60 MM, PARA REDE AGUA (NBR 10351)                                                                                                                                                                                                                                                                                                                                                                                                                                  </t>
  </si>
  <si>
    <t xml:space="preserve">TE, PVC PBA, BBB, 90 GRAUS, DN 75 / DE 85 MM, PARA REDE AGUA (NBR 10351)                                                                                                                                                                                                                                                                                                                                                                                                                                  </t>
  </si>
  <si>
    <t>62,39</t>
  </si>
  <si>
    <t xml:space="preserve">TE, PVC, SERIE R, 100 X 100 MM, PARA ESGOTO OU AGUAS PLUVIAIS PREDIAIS                                                                                                                                                                                                                                                                                                                                                                                                                                    </t>
  </si>
  <si>
    <t>69,81</t>
  </si>
  <si>
    <t xml:space="preserve">TE, PVC, SERIE R, 100 X 75 MM, PARA ESGOTO OU AGUAS PLUVIAIS PREDIAIS                                                                                                                                                                                                                                                                                                                                                                                                                                     </t>
  </si>
  <si>
    <t xml:space="preserve">TE, PVC, SERIE R, 150 X 100 MM, PARA ESGOTO OU AGUAS PLUVIAIS PREDIAIS                                                                                                                                                                                                                                                                                                                                                                                                                                    </t>
  </si>
  <si>
    <t>113,37</t>
  </si>
  <si>
    <t xml:space="preserve">TE, PVC, SERIE R, 150 X 150 MM, PARA ESGOTO OU AGUAS PLUVIAIS PREDIAIS                                                                                                                                                                                                                                                                                                                                                                                                                                    </t>
  </si>
  <si>
    <t>168,17</t>
  </si>
  <si>
    <t xml:space="preserve">TE, PVC, SERIE R, 75 X 75 MM, PARA ESGOTO OU AGUAS PLUVIAIS PREDIAIS                                                                                                                                                                                                                                                                                                                                                                                                                                      </t>
  </si>
  <si>
    <t>40,43</t>
  </si>
  <si>
    <t xml:space="preserve">TE, PVC, 90 GRAUS, BBB, JE, DN 100 MM, PARA REDE COLETORA ESGOTO (NBR 10569)                                                                                                                                                                                                                                                                                                                                                                                                                              </t>
  </si>
  <si>
    <t xml:space="preserve">TE, PVC, 90 GRAUS, BBB, JE, DN 100 MM, PARA TUBO CORRUGADO E/OU LISO, REDE COLETORA ESGOTO (NBR 10569                                                                                                                                                                                                                                                                                                                                                                                                     </t>
  </si>
  <si>
    <t xml:space="preserve">TE, PVC, 90 GRAUS, BBB, JE, DN 150 MM, PARA REDE COLETORA ESGOTO (NBR 10569)                                                                                                                                                                                                                                                                                                                                                                                                                              </t>
  </si>
  <si>
    <t xml:space="preserve">TE, PVC, 90 GRAUS, BBB, JE, DN 150 MM, PARA TUBO CORRUGADO E/OU LISO, REDE COLETORA ESGOTO (NBR 10569)                                                                                                                                                                                                                                                                                                                                                                                                    </t>
  </si>
  <si>
    <t xml:space="preserve">TE, PVC, 90 GRAUS, BBB, JE, DN 200 MM, PARA REDE COLETORA ESGOTO (NBR 10569)                                                                                                                                                                                                                                                                                                                                                                                                                              </t>
  </si>
  <si>
    <t xml:space="preserve">TE, PVC, 90 GRAUS, BBB, JE, DN 200 MM, PARA TUBO CORRUGADO E/OU LISO, REDE COLETORA ESGOTO (NBR 10569)                                                                                                                                                                                                                                                                                                                                                                                                    </t>
  </si>
  <si>
    <t xml:space="preserve">TE, PVC, 90 GRAUS, BBB, JE, DN 250 MM, PARA TUBO CORRUGADO E/OU LISO, REDE COLETORA ESGOTO (NBR 10569)                                                                                                                                                                                                                                                                                                                                                                                                    </t>
  </si>
  <si>
    <t xml:space="preserve">TE, PVC, 90 GRAUS, BBB, JE, DN 300 MM, PARA TUBO CORRUGADO E/OU LISO, REDE COLETORA ESGOTO (NBR 10569)                                                                                                                                                                                                                                                                                                                                                                                                    </t>
  </si>
  <si>
    <t xml:space="preserve">TE, PVC, 90 GRAUS, BBP, JE, DN 100 MM, PARA REDE COLETORA ESGOTO (NBR 10569)                                                                                                                                                                                                                                                                                                                                                                                                                              </t>
  </si>
  <si>
    <t xml:space="preserve">TECNICO DE EDIFICACOES                                                                                                                                                                                                                                                                                                                                                                                                                                                                                    </t>
  </si>
  <si>
    <t xml:space="preserve">TECNICO DE EDIFICACOES (MENSALISTA)                                                                                                                                                                                                                                                                                                                                                                                                                                                                       </t>
  </si>
  <si>
    <t>4.881,35</t>
  </si>
  <si>
    <t xml:space="preserve">TECNICO EM LABORATORIO E CAMPO DE CONSTRUCAO CIVIL                                                                                                                                                                                                                                                                                                                                                                                                                                                        </t>
  </si>
  <si>
    <t xml:space="preserve">TECNICO EM LABORATORIO E CAMPO DE CONSTRUCAO CIVIL (MENSALISTA)                                                                                                                                                                                                                                                                                                                                                                                                                                           </t>
  </si>
  <si>
    <t>7.892,75</t>
  </si>
  <si>
    <t xml:space="preserve">TECNICO EM SEGURANCA DO TRABALHO                                                                                                                                                                                                                                                                                                                                                                                                                                                                          </t>
  </si>
  <si>
    <t>39,68</t>
  </si>
  <si>
    <t xml:space="preserve">TECNICO EM SEGURANCA DO TRABALHO (MENSALISTA)                                                                                                                                                                                                                                                                                                                                                                                                                                                             </t>
  </si>
  <si>
    <t>6.978,20</t>
  </si>
  <si>
    <t xml:space="preserve">TECNICO EM SONDAGEM                                                                                                                                                                                                                                                                                                                                                                                                                                                                                       </t>
  </si>
  <si>
    <t xml:space="preserve">TECNICO EM SONDAGEM (MENSALISTA)                                                                                                                                                                                                                                                                                                                                                                                                                                                                          </t>
  </si>
  <si>
    <t>4.609,86</t>
  </si>
  <si>
    <t xml:space="preserve">TELA ARAME GALVANIZADO REVESTIDO COM POLIMERO, MALHA HEXAGONAL DUPLA TORCAO, 8 X 10 CM (ZN/AL REVESTIDO COM POLIMERO), FIO *2,4* MM                                                                                                                                                                                                                                                                                                                                                                       </t>
  </si>
  <si>
    <t xml:space="preserve">TELA DE ACO SOLDADA GALVANIZADA/ZINCADA PARA ALVENARIA, FIO  D = *1,20 A 1,70* MM, MALHA 15 X 15 MM, (C X L) *50 X 12* CM                                                                                                                                                                                                                                                                                                                                                                                 </t>
  </si>
  <si>
    <t>7,63</t>
  </si>
  <si>
    <t xml:space="preserve">TELA DE ACO SOLDADA GALVANIZADA/ZINCADA PARA ALVENARIA, FIO  D = *1,20 A 1,70* MM, MALHA 15 X 15 MM, (C X L) *50 X 17,5* CM                                                                                                                                                                                                                                                                                                                                                                               </t>
  </si>
  <si>
    <t xml:space="preserve">TELA DE ACO SOLDADA GALVANIZADA/ZINCADA PARA ALVENARIA, FIO D = *1,20 A 1,70* MM, MALHA 15 X 15 MM, (C X L) *50 X 10,5* CM                                                                                                                                                                                                                                                                                                                                                                                </t>
  </si>
  <si>
    <t xml:space="preserve">TELA DE ACO SOLDADA GALVANIZADA/ZINCADA PARA ALVENARIA, FIO D = *1,20 A 1,70* MM, MALHA 15 X 15 MM, (C X L) *50 X 6* CM                                                                                                                                                                                                                                                                                                                                                                                   </t>
  </si>
  <si>
    <t xml:space="preserve">TELA DE ACO SOLDADA GALVANIZADA/ZINCADA PARA ALVENARIA, FIO D = *1,20 A 1,70* MM, MALHA 15 X 15 MM, (C X L) *50 X 7,5* CM                                                                                                                                                                                                                                                                                                                                                                                 </t>
  </si>
  <si>
    <t xml:space="preserve">TELA DE ACO SOLDADA GALVANIZADA/ZINCADA PARA ALVENARIA, FIO D = *1,24 MM, MALHA 25 X 25 MM                                                                                                                                                                                                                                                                                                                                                                                                                </t>
  </si>
  <si>
    <t xml:space="preserve">TELA DE ACO SOLDADA NERVURADA, CA-60, L-159, (1,69 KG/M2), DIAMETRO DO FIO = 4,5 MM, LARGURA = 2,45 M, ESPACAMENTO DA MALHA = 30 X 10 CM                                                                                                                                                                                                                                                                                                                                                                  </t>
  </si>
  <si>
    <t xml:space="preserve">TELA DE ACO SOLDADA NERVURADA, CA-60, Q-113, (1,8 KG/M2), DIAMETRO DO FIO = 3,8 MM, LARGURA = 2,45 M, ESPACAMENTO DA MALHA = 10 X 10 CM                                                                                                                                                                                                                                                                                                                                                                   </t>
  </si>
  <si>
    <t xml:space="preserve">TELA DE ACO SOLDADA NERVURADA, CA-60, Q-138, (2,20 KG/M2), DIAMETRO DO FIO = 4,2 MM, LARGURA = 2,45 M, ESPACAMENTO DA MALHA = 10  X 10 CM                                                                                                                                                                                                                                                                                                                                                                 </t>
  </si>
  <si>
    <t xml:space="preserve">TELA DE ACO SOLDADA NERVURADA, CA-60, Q-159, (2,52 KG/M2), DIAMETRO DO FIO = 4,5 MM, LARGURA =  2,45 M, ESPACAMENTO DA MALHA = 10 X 10 CM                                                                                                                                                                                                                                                                                                                                                                 </t>
  </si>
  <si>
    <t>43,55</t>
  </si>
  <si>
    <t xml:space="preserve">TELA DE ACO SOLDADA NERVURADA, CA-60, Q-196, (3,11 KG/M2), DIAMETRO DO FIO = 5,0 MM, LARGURA = 2,45 M, ESPACAMENTO DA MALHA = 10 X 10 CM                                                                                                                                                                                                                                                                                                                                                                  </t>
  </si>
  <si>
    <t xml:space="preserve">TELA DE ACO SOLDADA NERVURADA, CA-60, Q-283 (4,48 KG/M2), DIAMETRO DO FIO = 6,0 MM, LARGURA = 2,45 X 6,00 M DE COMPRIMENTO, ESPACAMENTO DA MALHA = 10 X 10 CM                                                                                                                                                                                                                                                                                                                                             </t>
  </si>
  <si>
    <t>77,98</t>
  </si>
  <si>
    <t xml:space="preserve">TELA DE ACO SOLDADA NERVURADA, CA-60, Q-61, (0,97 KG/M2), DIAMETRO DO FIO = 3,4 MM, LARGURA = 2,45 M, ESPACAMENTO DA MALHA = 15 X 15 CM                                                                                                                                                                                                                                                                                                                                                                   </t>
  </si>
  <si>
    <t xml:space="preserve">TELA DE ACO SOLDADA NERVURADA, CA-60, Q-92, (1,48 KG/M2), DIAMETRO DO FIO = 4,2 MM, LARGURA = 2,45 X 60 M DE COMPRIMENTO, ESPACAMENTO DA MALHA = 15  X 15 CM                                                                                                                                                                                                                                                                                                                                              </t>
  </si>
  <si>
    <t xml:space="preserve">TELA DE ACO SOLDADA NERVURADA, CA-60, T-196, (2,11 KG/M2), DIAMETRO DO FIO = 5,0 MM, LARGURA = 2,45 M, ESPACAMENTO DA MALHA = 30 X 10 CM                                                                                                                                                                                                                                                                                                                                                                  </t>
  </si>
  <si>
    <t xml:space="preserve">TELA DE ANIAGEM (JUTA)                                                                                                                                                                                                                                                                                                                                                                                                                                                                                    </t>
  </si>
  <si>
    <t xml:space="preserve">TELA DE ARAME GALVANIZADA QUADRANGULAR / LOSANGULAR, FIO 2,11 MM (14 BWG), MALHA 5 X 5 CM, H = 2 M                                                                                                                                                                                                                                                                                                                                                                                                        </t>
  </si>
  <si>
    <t xml:space="preserve">TELA DE ARAME GALVANIZADA QUADRANGULAR / LOSANGULAR, FIO 2,11 MM (14 BWG), MALHA 8 X 8 CM, H = 2 M                                                                                                                                                                                                                                                                                                                                                                                                        </t>
  </si>
  <si>
    <t xml:space="preserve">TELA DE ARAME GALVANIZADA QUADRANGULAR / LOSANGULAR, FIO 2,77 MM (12 BWG), MALHA 10 X 10 CM, H = 2 M                                                                                                                                                                                                                                                                                                                                                                                                      </t>
  </si>
  <si>
    <t xml:space="preserve">TELA DE ARAME GALVANIZADA QUADRANGULAR / LOSANGULAR, FIO 2,77 MM (12 BWG), MALHA 5 X 5 CM, H = 2 M                                                                                                                                                                                                                                                                                                                                                                                                        </t>
  </si>
  <si>
    <t xml:space="preserve">TELA DE ARAME GALVANIZADA QUADRANGULAR / LOSANGULAR, FIO 2,77 MM (12 BWG), MALHA 8 X 8 CM, H = 2 M                                                                                                                                                                                                                                                                                                                                                                                                        </t>
  </si>
  <si>
    <t xml:space="preserve">TELA DE ARAME GALVANIZADA QUADRANGULAR / LOSANGULAR, FIO 3,4 MM (10 BWG), MALHA 5 X 5 CM, H = 2 M                                                                                                                                                                                                                                                                                                                                                                                                         </t>
  </si>
  <si>
    <t xml:space="preserve">TELA DE ARAME GALVANIZADA QUADRANGULAR / LOSANGULAR, FIO 4,19 MM (8 BWG), MALHA 5 X 5 CM, H = 2 M                                                                                                                                                                                                                                                                                                                                                                                                         </t>
  </si>
  <si>
    <t xml:space="preserve">TELA DE ARAME GALVANIZADA REVESTIDA EM PVC, QUADRANGULAR / LOSANGULAR, FIO 2,11 MM (14 BWG), BITOLA FINAL = *2,8* MM, MALHA *8 X 8* CM, H = 2 M                                                                                                                                                                                                                                                                                                                                                           </t>
  </si>
  <si>
    <t xml:space="preserve">TELA DE ARAME GALVANIZADA REVESTIDA EM PVC, QUADRANGULAR / LOSANGULAR, FIO 2,77 MM (12 BWG), BITOLA FINAL = *3,8* MM, MALHA 7,5 X 7,5 CM, H = 2 M                                                                                                                                                                                                                                                                                                                                                         </t>
  </si>
  <si>
    <t xml:space="preserve">TELA DE ARAME GALVANIZADA, HEXAGONAL, FIO 0,56 MM (24 BWG), MALHA 1/2", H = 1 M                                                                                                                                                                                                                                                                                                                                                                                                                           </t>
  </si>
  <si>
    <t xml:space="preserve">TELA DE ARAME ONDULADA, FIO *2,77* MM (12 BWG), MALHA 5 X 5 CM, H = 2 M                                                                                                                                                                                                                                                                                                                                                                                                                                   </t>
  </si>
  <si>
    <t xml:space="preserve">TELA DE FIBRA DE VIDRO, ACABAMENTO ANTI-ALCALINO, MALHA 10 X 10 MM                                                                                                                                                                                                                                                                                                                                                                                                                                        </t>
  </si>
  <si>
    <t xml:space="preserve">TELA EM MALHA HEXAGONAL DE DUPLA TORCAO 8 X 10 CM (ZN/AL REVESTIDO COM POLIMERO), FIO 2,7 MM, COM GEOMANTA OU BIOMANTA, DIMENSOES 4,0 X 2,0 X 0,6 M, COM INCLINACAO DE 70 GRAUS, PARA SOLO REFORCADO                                                                                                                                                                                                                                                                                                      </t>
  </si>
  <si>
    <t xml:space="preserve">TELA EM METAL PARA ESTUQUE (DEPLOYE)                                                                                                                                                                                                                                                                                                                                                                                                                                                                      </t>
  </si>
  <si>
    <t xml:space="preserve">TELA FACHADEIRA EM POLIETILENO, ROLO DE 3 X 100 M (L X C), COR BRANCA, SEM LOGOMARCA - PARA PROTECAO DE OBRAS                                                                                                                                                                                                                                                                                                                                                                                             </t>
  </si>
  <si>
    <t xml:space="preserve">TELA PLASTICA LARANJA, TIPO TAPUME PARA SINALIZACAO, MALHA RETANGULAR, ROLO 1.20 X 50 M (L X C)                                                                                                                                                                                                                                                                                                                                                                                                           </t>
  </si>
  <si>
    <t xml:space="preserve">TELA PLASTICA TECIDA LISTRADA BRANCA E LARANJA, TIPO GUARDA CORPO, EM POLIETILENO MONOFILADO, ROLO 1,20 X 50 M (L X C)                                                                                                                                                                                                                                                                                                                                                                                    </t>
  </si>
  <si>
    <t xml:space="preserve">TELHA CERAMICA TIPO AMERICANA, COMPRIMENTO DE *45* CM, RENDIMENTO DE *12* TELHAS/M2                                                                                                                                                                                                                                                                                                                                                                                                                       </t>
  </si>
  <si>
    <t xml:space="preserve">TELHA DE BARRO / CERAMICA, NAO ESMALTADA, TIPO COLONIAL, CANAL, PLAN, PAULISTA, COMPRIMENTO DE *44 A 50* CM, RENDIMENTO DE COBERTURA DE *26* TELHAS/M2                                                                                                                                                                                                                                                                                                                                                    </t>
  </si>
  <si>
    <t>765,00</t>
  </si>
  <si>
    <t xml:space="preserve">TELHA DE BARRO / CERAMICA, NAO ESMALTADA, TIPO ROMANA, AMERICANA, PORTUGUESA, FRANCESA, COMPRIMENTO DE *41* CM,  RENDIMENTO DE *16* TELHAS/M2                                                                                                                                                                                                                                                                                                                                                             </t>
  </si>
  <si>
    <t xml:space="preserve">TELHA DE CONCRETO TIPO CLASSICA, COR CINZA, COMPRIMENTO DE *42* CM,  RENDIMENTO DE *10* TELHAS/M2                                                                                                                                                                                                                                                                                                                                                                                                         </t>
  </si>
  <si>
    <t xml:space="preserve">TELHA DE FIBRA DE VIDRO ONDULADA INCOLOR, E = 0,6 MM, DE *0,50 X 2,44* M                                                                                                                                                                                                                                                                                                                                                                                                                                  </t>
  </si>
  <si>
    <t xml:space="preserve">TELHA DE FIBROCIMENTO E = 6 MM, DE 3,00 X 1,06 M (SEM AMIANTO)                                                                                                                                                                                                                                                                                                                                                                                                                                            </t>
  </si>
  <si>
    <t xml:space="preserve">TELHA DE FIBROCIMENTO E = 6 MM, DE 4,10 X 1,06 M (SEM AMIANTO)                                                                                                                                                                                                                                                                                                                                                                                                                                            </t>
  </si>
  <si>
    <t>183,04</t>
  </si>
  <si>
    <t xml:space="preserve">TELHA DE FIBROCIMENTO E = 6 MM, DE 4,60 X 1,06 M (SEM AMIANTO)                                                                                                                                                                                                                                                                                                                                                                                                                                            </t>
  </si>
  <si>
    <t>211,24</t>
  </si>
  <si>
    <t xml:space="preserve">TELHA DE FIBROCIMENTO E = 8 MM, DE 3,00 X 1,06 M (SEM AMIANTO)                                                                                                                                                                                                                                                                                                                                                                                                                                            </t>
  </si>
  <si>
    <t>172,77</t>
  </si>
  <si>
    <t xml:space="preserve">TELHA DE FIBROCIMENTO E = 8 MM, DE 4,10 X 1,06 M (SEM AMIANTO)                                                                                                                                                                                                                                                                                                                                                                                                                                            </t>
  </si>
  <si>
    <t>235,60</t>
  </si>
  <si>
    <t xml:space="preserve">TELHA DE FIBROCIMENTO E = 8 MM, DE 4,60 X 1,06 M (SEM AMIANTO)                                                                                                                                                                                                                                                                                                                                                                                                                                            </t>
  </si>
  <si>
    <t>263,87</t>
  </si>
  <si>
    <t xml:space="preserve">TELHA DE FIBROCIMENTO E= 8 MM, DE *3,70 X 1,06* M (SEM AMIANTO)                                                                                                                                                                                                                                                                                                                                                                                                                                           </t>
  </si>
  <si>
    <t xml:space="preserve">TELHA DE FIBROCIMENTO ONDULADA E = 4 MM, DE 1,22 X 0,50 M (SEM AMIANTO)                                                                                                                                                                                                                                                                                                                                                                                                                                   </t>
  </si>
  <si>
    <t xml:space="preserve">TELHA DE FIBROCIMENTO ONDULADA E = 4 MM, DE 2,13 X 0,50 M (SEM AMIANTO)                                                                                                                                                                                                                                                                                                                                                                                                                                   </t>
  </si>
  <si>
    <t xml:space="preserve">TELHA DE FIBROCIMENTO ONDULADA E = 4 MM, DE 2,44 X 0,50 M (SEM AMIANTO)                                                                                                                                                                                                                                                                                                                                                                                                                                   </t>
  </si>
  <si>
    <t xml:space="preserve">TELHA DE FIBROCIMENTO ONDULADA E = 6 MM, DE 1,53 X 1,10 M (SEM AMIANTO)                                                                                                                                                                                                                                                                                                                                                                                                                                   </t>
  </si>
  <si>
    <t>44,52</t>
  </si>
  <si>
    <t xml:space="preserve">TELHA DE FIBROCIMENTO ONDULADA E = 6 MM, DE 1,83 X 1,10 M (SEM AMIANTO)                                                                                                                                                                                                                                                                                                                                                                                                                                   </t>
  </si>
  <si>
    <t>53,27</t>
  </si>
  <si>
    <t xml:space="preserve">TELHA DE FIBROCIMENTO ONDULADA E = 6 MM, DE 2,44 X 1,10 M (SEM AMIANTO)                                                                                                                                                                                                                                                                                                                                                                                                                                   </t>
  </si>
  <si>
    <t xml:space="preserve">TELHA DE FIBROCIMENTO ONDULADA E = 6 MM, DE 3,66 X 1,10 M (SEM AMIANTO)                                                                                                                                                                                                                                                                                                                                                                                                                                   </t>
  </si>
  <si>
    <t>106,51</t>
  </si>
  <si>
    <t xml:space="preserve">TELHA DE FIBROCIMENTO ONDULADA E = 8 MM, DE 1,53 X 1,10 M (SEM AMIANTO)                                                                                                                                                                                                                                                                                                                                                                                                                                   </t>
  </si>
  <si>
    <t>58,58</t>
  </si>
  <si>
    <t xml:space="preserve">TELHA DE FIBROCIMENTO ONDULADA E = 8 MM, DE 1,83 X 1,10 M (SEM AMIANTO)                                                                                                                                                                                                                                                                                                                                                                                                                                   </t>
  </si>
  <si>
    <t xml:space="preserve">TELHA DE FIBROCIMENTO ONDULADA E = 8 MM, DE 2,44 X 1,10 M (SEM AMIANTO)                                                                                                                                                                                                                                                                                                                                                                                                                                   </t>
  </si>
  <si>
    <t>98,22</t>
  </si>
  <si>
    <t xml:space="preserve">TELHA DE FIBROCIMENTO ONDULADA E = 8 MM, DE 3,66 X 1,10 M (SEM AMIANTO)                                                                                                                                                                                                                                                                                                                                                                                                                                   </t>
  </si>
  <si>
    <t>36,57</t>
  </si>
  <si>
    <t>147,23</t>
  </si>
  <si>
    <t xml:space="preserve">TELHA DE VIDRO TIPO FRANCESA, *39 X 23* CM                                                                                                                                                                                                                                                                                                                                                                                                                                                                </t>
  </si>
  <si>
    <t xml:space="preserve">TELHA ESTRUTURAL DE FIBROCIMENTO 1 ABA, DE 0,52 X 2,00 M (SEM AMIANTO)                                                                                                                                                                                                                                                                                                                                                                                                                                    </t>
  </si>
  <si>
    <t>91,04</t>
  </si>
  <si>
    <t xml:space="preserve">TELHA ESTRUTURAL DE FIBROCIMENTO 1 ABA, DE 0,52 X 2,50 M (SEM AMIANTO)                                                                                                                                                                                                                                                                                                                                                                                                                                    </t>
  </si>
  <si>
    <t>106,10</t>
  </si>
  <si>
    <t xml:space="preserve">TELHA ESTRUTURAL DE FIBROCIMENTO 1 ABA, DE 0,52 X 3,60 M (SEM AMIANTO)                                                                                                                                                                                                                                                                                                                                                                                                                                    </t>
  </si>
  <si>
    <t>153,04</t>
  </si>
  <si>
    <t xml:space="preserve">TELHA ESTRUTURAL DE FIBROCIMENTO 1 ABA, DE 0,52 X 4,00 M (SEM AMIANTO)                                                                                                                                                                                                                                                                                                                                                                                                                                    </t>
  </si>
  <si>
    <t>169,04</t>
  </si>
  <si>
    <t xml:space="preserve">TELHA ESTRUTURAL DE FIBROCIMENTO 1 ABA, DE 0,52 X 4,50 M (SEM AMIANTO)                                                                                                                                                                                                                                                                                                                                                                                                                                    </t>
  </si>
  <si>
    <t xml:space="preserve">TELHA ESTRUTURAL DE FIBROCIMENTO 1 ABA, DE 0,52 X 5,00 M (SEM AMIANTO)                                                                                                                                                                                                                                                                                                                                                                                                                                    </t>
  </si>
  <si>
    <t>213,72</t>
  </si>
  <si>
    <t xml:space="preserve">TELHA ESTRUTURAL DE FIBROCIMENTO 1 ABA, DE 0,52 X 5,50 M (SEM AMIANTO)                                                                                                                                                                                                                                                                                                                                                                                                                                    </t>
  </si>
  <si>
    <t>235,19</t>
  </si>
  <si>
    <t xml:space="preserve">TELHA ESTRUTURAL DE FIBROCIMENTO 1 ABA, DE 0,52 X 6,00 M (SEM AMIANTO)                                                                                                                                                                                                                                                                                                                                                                                                                                    </t>
  </si>
  <si>
    <t>256,50</t>
  </si>
  <si>
    <t xml:space="preserve">TELHA ESTRUTURAL DE FIBROCIMENTO 1 ABA, DE 0,52 X 6,50 M (SEM AMIANTO)                                                                                                                                                                                                                                                                                                                                                                                                                                    </t>
  </si>
  <si>
    <t>277,89</t>
  </si>
  <si>
    <t xml:space="preserve">TELHA ESTRUTURAL DE FIBROCIMENTO 1 ABA, DE 0,52 X 7,20 M (SEM AMIANTO)                                                                                                                                                                                                                                                                                                                                                                                                                                    </t>
  </si>
  <si>
    <t>307,69</t>
  </si>
  <si>
    <t xml:space="preserve">TELHA ESTRUTURAL DE FIBROCIMENTO 2 ABAS, DE 1,00 X 3,00 M (SEM AMIANTO)                                                                                                                                                                                                                                                                                                                                                                                                                                   </t>
  </si>
  <si>
    <t xml:space="preserve">TELHA ESTRUTURAL DE FIBROCIMENTO 2 ABAS, DE 1,00 X 4,60 M (SEM AMIANTO)                                                                                                                                                                                                                                                                                                                                                                                                                                   </t>
  </si>
  <si>
    <t>324,24</t>
  </si>
  <si>
    <t xml:space="preserve">TELHA ESTRUTURAL DE FIBROCIMENTO 2 ABAS, DE 1,00 X 6,00 M (SEM AMIANTO)                                                                                                                                                                                                                                                                                                                                                                                                                                   </t>
  </si>
  <si>
    <t>425,83</t>
  </si>
  <si>
    <t xml:space="preserve">TELHA ESTRUTURAL DE FIBROCIMENTO 2 ABAS, DE 1,00 X 7,40 M (SEM AMIANTO)                                                                                                                                                                                                                                                                                                                                                                                                                                   </t>
  </si>
  <si>
    <t>523,52</t>
  </si>
  <si>
    <t xml:space="preserve">TELHA ESTRUTURAL DE FIBROCIMENTO 2 ABAS, DE 1,00 X 8,20 M (SEM AMIANTO)                                                                                                                                                                                                                                                                                                                                                                                                                                   </t>
  </si>
  <si>
    <t>582,69</t>
  </si>
  <si>
    <t xml:space="preserve">TELHA ESTRUTURAL DE FIBROCIMENTO 2 ABAS, DE 1,00 X 9,20 M (SEM AMIANTO)                                                                                                                                                                                                                                                                                                                                                                                                                                   </t>
  </si>
  <si>
    <t>652,35</t>
  </si>
  <si>
    <t xml:space="preserve">TELHA GALVALUME COM ISOLAMENTO TERMOACUSTICO EM ESPUMA RIGIDA DE POLIURETANO (PU) INJETADO, ESPESSURA DE 30 MM, DENSIDADE DE 35 KG/M3, COM DUAS FACES TRAPEZOIDAIS, ACABAMENTO NATURAL (NAO INCLUI ACESSORIOS DE FIXACAO)                                                                                                                                                                                                                                                                                 </t>
  </si>
  <si>
    <t>237,71</t>
  </si>
  <si>
    <t xml:space="preserve">TELHA ONDULADA EM ACO ZINCADO, ALTURA DE 17 MM, ESPESSURA DE 0,50 MM, LARGURA UTIL DE APROXIMADAMENTE 985 MM, SEM PINTURA                                                                                                                                                                                                                                                                                                                                                                                 </t>
  </si>
  <si>
    <t xml:space="preserve">TELHA TERMOISOLANTE REVESTIDA EM ACO GALVALUME, FACE SUPERIOR TRAPEZOIDAL E FACE INFERIOR PLANA (NAO INCLUI ACESSORIOS DE FIXACAO), REVEST COM ESPESSURA DE 0,50 MM, COM PRE-PINTURA DE COR BRANCA NAS DUAS FACES, NUCLEO EM POLIIOCIANURATO (PIR) COM ESPESSURA DE 50 MM                                                                                                                                                                                                                                 </t>
  </si>
  <si>
    <t>267,66</t>
  </si>
  <si>
    <t xml:space="preserve">TELHA TERMOISOLANTE REVESTIDA EM ACO GALVANIZADO, FACE SUPERIOR EM TELHA TRAPEZOIDAL E FACE INFERIOR EM CHAPA PLANA (SEM ACESSORIOS DE FIXACAO), REVESTIMENTO COM ESPESSURA DE 0,50 MM COM PRE-PINTURA NAS DUAS FACES, NUCLEO EM POLIESTIRENO (EPS) DE 30 MM                                                                                                                                                                                                                                              </t>
  </si>
  <si>
    <t xml:space="preserve">TELHA TERMOISOLANTE REVESTIDA EM ACO GALVANIZADO, FACE SUPERIOR EM TELHA TRAPEZOIDAL E FACE INFERIOR EM CHAPA PLANA (SEM ACESSORIOS DE FIXACAO), REVESTIMENTO COM ESPESSURA DE 0,50 MM COM PRE-PINTURA NAS DUAS FACES, NUCLEO EM POLIESTIRENO (EPS) DE 50 MM                                                                                                                                                                                                                                              </t>
  </si>
  <si>
    <t>225,50</t>
  </si>
  <si>
    <t xml:space="preserve">TELHA TERMOISOLANTE REVESTIDA EM ACO GALVANIZADO, FACES SUPERIOR E INFERIOR EM TELHA TRAPEZOIDAL (SEM ACESSORIOS DE FIXACAO), REVESTIMENTO COM ESPESSURA DE 0,50 MM COM PRE-PINTURA NAS DUAS FACES, NUCLEO EM POLIESTIRENO (EPS) DE 50 MM                                                                                                                                                                                                                                                                 </t>
  </si>
  <si>
    <t>232,86</t>
  </si>
  <si>
    <t xml:space="preserve">TELHA TRAPEZOIDAL EM ACO ZINCADO, SEM PINTURA, ALTURA DE APROXIMADAMENTE 40 MM, ESPESSURA DE 0,50 MM E LARGURA UTIL DE 980 MM                                                                                                                                                                                                                                                                                                                                                                             </t>
  </si>
  <si>
    <t>71,08</t>
  </si>
  <si>
    <t xml:space="preserve">TELHA TRAPEZOIDAL EM ALUMINIO, ALTURA DE *38* MM E ESPESSURA DE 0,5 MM (LARGURA TOTAL DE 1056 MM E COMPRIMENTO DE 5000 MM)                                                                                                                                                                                                                                                                                                                                                                                </t>
  </si>
  <si>
    <t>424,45</t>
  </si>
  <si>
    <t xml:space="preserve">TELHA TRAPEZOIDAL EM ALUMINIO, ALTURA DE *38* MM E ESPESSURA DE 0,7 MM (LARGURA TOTAL DE 1056 MM E COMPRIMENTO DE 5000 MM)                                                                                                                                                                                                                                                                                                                                                                                </t>
  </si>
  <si>
    <t>536,23</t>
  </si>
  <si>
    <t xml:space="preserve">TELHA VIDRO TIPO CANAL OU COLONIAL, C = 46 A 50 CM                                                                                                                                                                                                                                                                                                                                                                                                                                                        </t>
  </si>
  <si>
    <t>36,21</t>
  </si>
  <si>
    <t xml:space="preserve">TELHADOR                                                                                                                                                                                                                                                                                                                                                                                                                                                                                                  </t>
  </si>
  <si>
    <t xml:space="preserve">TELHADOR  (MENSALISTA)                                                                                                                                                                                                                                                                                                                                                                                                                                                                                    </t>
  </si>
  <si>
    <t>2.933,43</t>
  </si>
  <si>
    <t xml:space="preserve">TERMINAL A COMPRESSAO EM COBRE ESTANHADO PARA CABO 10 MM2, 1 FURO E 1 COMPRESSAO, PARA PARAFUSO DE FIXACAO M6                                                                                                                                                                                                                                                                                                                                                                                             </t>
  </si>
  <si>
    <t xml:space="preserve">TERMINAL A COMPRESSAO EM COBRE ESTANHADO PARA CABO 120 MM2, 1 FURO E 1 COMPRESSAO, PARA PARAFUSO DE FIXACAO M12                                                                                                                                                                                                                                                                                                                                                                                           </t>
  </si>
  <si>
    <t xml:space="preserve">TERMINAL A COMPRESSAO EM COBRE ESTANHADO PARA CABO 16 MM2, 1 FURO E 1 COMPRESSAO, PARA PARAFUSO DE FIXACAO M6                                                                                                                                                                                                                                                                                                                                                                                             </t>
  </si>
  <si>
    <t xml:space="preserve">TERMINAL A COMPRESSAO EM COBRE ESTANHADO PARA CABO 2,5 MM2, 1 FURO E 1 COMPRESSAO, PARA PARAFUSO DE FIXACAO M5                                                                                                                                                                                                                                                                                                                                                                                            </t>
  </si>
  <si>
    <t xml:space="preserve">TERMINAL A COMPRESSAO EM COBRE ESTANHADO PARA CABO 25 MM2, 1 FURO E 1 COMPRESSAO, PARA PARAFUSO DE FIXACAO M8                                                                                                                                                                                                                                                                                                                                                                                             </t>
  </si>
  <si>
    <t xml:space="preserve">TERMINAL A COMPRESSAO EM COBRE ESTANHADO PARA CABO 35 MM2, 1 FURO E 1 COMPRESSAO, PARA PARAFUSO DE FIXACAO M8                                                                                                                                                                                                                                                                                                                                                                                             </t>
  </si>
  <si>
    <t xml:space="preserve">TERMINAL A COMPRESSAO EM COBRE ESTANHADO PARA CABO 4 MM2, 1 FURO E 1 COMPRESSAO, PARA PARAFUSO DE FIXACAO M5                                                                                                                                                                                                                                                                                                                                                                                              </t>
  </si>
  <si>
    <t xml:space="preserve">TERMINAL A COMPRESSAO EM COBRE ESTANHADO PARA CABO 50 MM2, 1 FURO E 1 COMPRESSAO, PARA PARAFUSO DE FIXACAO M8                                                                                                                                                                                                                                                                                                                                                                                             </t>
  </si>
  <si>
    <t xml:space="preserve">TERMINAL A COMPRESSAO EM COBRE ESTANHADO PARA CABO 6 MM2, 1 FURO E 1 COMPRESSAO, PARA PARAFUSO DE FIXACAO M6                                                                                                                                                                                                                                                                                                                                                                                              </t>
  </si>
  <si>
    <t xml:space="preserve">TERMINAL A COMPRESSAO EM COBRE ESTANHADO PARA CABO 70 MM2, 1 FURO E 1 COMPRESSAO, PARA PARAFUSO DE FIXACAO M10                                                                                                                                                                                                                                                                                                                                                                                            </t>
  </si>
  <si>
    <t xml:space="preserve">TERMINAL A COMPRESSAO EM COBRE ESTANHADO PARA CABO 95 MM2, 1 FURO E 1 COMPRESSAO, PARA PARAFUSO DE FIXACAO M12                                                                                                                                                                                                                                                                                                                                                                                            </t>
  </si>
  <si>
    <t xml:space="preserve">TERMINAL DE VENTILACAO, 100 MM, SERIE NORMAL, ESGOTO PREDIAL                                                                                                                                                                                                                                                                                                                                                                                                                                              </t>
  </si>
  <si>
    <t xml:space="preserve">TERMINAL DE VENTILACAO, 50 MM, SERIE NORMAL, ESGOTO PREDIAL                                                                                                                                                                                                                                                                                                                                                                                                                                               </t>
  </si>
  <si>
    <t xml:space="preserve">TERMINAL DE VENTILACAO, 75 MM, SERIE NORMAL, ESGOTO PREDIAL                                                                                                                                                                                                                                                                                                                                                                                                                                               </t>
  </si>
  <si>
    <t xml:space="preserve">TERMINAL METALICO A PRESSAO PARA 1 CABO DE 120 MM2, COM 1 FURO DE FIXACAO                                                                                                                                                                                                                                                                                                                                                                                                                                 </t>
  </si>
  <si>
    <t xml:space="preserve">TERMINAL METALICO A PRESSAO PARA 1 CABO DE 150 A 185 MM2, COM 2 FUROS PARA FIXACAO                                                                                                                                                                                                                                                                                                                                                                                                                        </t>
  </si>
  <si>
    <t>120,70</t>
  </si>
  <si>
    <t xml:space="preserve">TERMINAL METALICO A PRESSAO PARA 1 CABO DE 150 MM2, COM 1 FURO DE FIXACAO                                                                                                                                                                                                                                                                                                                                                                                                                                 </t>
  </si>
  <si>
    <t xml:space="preserve">TERMINAL METALICO A PRESSAO PARA 1 CABO DE 16 A 25 MM2, COM 2 FUROS PARA FIXACAO                                                                                                                                                                                                                                                                                                                                                                                                                          </t>
  </si>
  <si>
    <t>24,98</t>
  </si>
  <si>
    <t xml:space="preserve">TERMINAL METALICO A PRESSAO PARA 1 CABO DE 16 MM2, COM 1 FURO DE FIXACAO                                                                                                                                                                                                                                                                                                                                                                                                                                  </t>
  </si>
  <si>
    <t xml:space="preserve">TERMINAL METALICO A PRESSAO PARA 1 CABO DE 185 MM2, COM 1 FURO DE FIXACAO                                                                                                                                                                                                                                                                                                                                                                                                                                 </t>
  </si>
  <si>
    <t xml:space="preserve">TERMINAL METALICO A PRESSAO PARA 1 CABO DE 240 MM2, COM 1 FURO DE FIXACAO                                                                                                                                                                                                                                                                                                                                                                                                                                 </t>
  </si>
  <si>
    <t>33,90</t>
  </si>
  <si>
    <t xml:space="preserve">TERMINAL METALICO A PRESSAO PARA 1 CABO DE 25 A 35 MM2, COM 2 FUROS PARA FIXACAO                                                                                                                                                                                                                                                                                                                                                                                                                          </t>
  </si>
  <si>
    <t xml:space="preserve">TERMINAL METALICO A PRESSAO PARA 1 CABO DE 25 MM2, COM 1 FURO DE FIXACAO                                                                                                                                                                                                                                                                                                                                                                                                                                  </t>
  </si>
  <si>
    <t xml:space="preserve">TERMINAL METALICO A PRESSAO PARA 1 CABO DE 300 MM2, COM 1 FURO DE FIXACAO                                                                                                                                                                                                                                                                                                                                                                                                                                 </t>
  </si>
  <si>
    <t xml:space="preserve">TERMINAL METALICO A PRESSAO PARA 1 CABO DE 35 MM2, COM 1 FURO DE FIXACAO                                                                                                                                                                                                                                                                                                                                                                                                                                  </t>
  </si>
  <si>
    <t xml:space="preserve">TERMINAL METALICO A PRESSAO PARA 1 CABO DE 50 A 70 MM2, COM 2 FUROS PARA FIXACAO                                                                                                                                                                                                                                                                                                                                                                                                                          </t>
  </si>
  <si>
    <t xml:space="preserve">TERMINAL METALICO A PRESSAO PARA 1 CABO DE 50 MM2, COM 1 FURO DE FIXACAO                                                                                                                                                                                                                                                                                                                                                                                                                                  </t>
  </si>
  <si>
    <t xml:space="preserve">TERMINAL METALICO A PRESSAO PARA 1 CABO DE 6 A 10 MM2, COM 1 FURO DE FIXACAO                                                                                                                                                                                                                                                                                                                                                                                                                              </t>
  </si>
  <si>
    <t>4,93</t>
  </si>
  <si>
    <t xml:space="preserve">TERMINAL METALICO A PRESSAO PARA 1 CABO DE 70 MM2, COM 1 FURO DE FIXACAO                                                                                                                                                                                                                                                                                                                                                                                                                                  </t>
  </si>
  <si>
    <t xml:space="preserve">TERMINAL METALICO A PRESSAO PARA 1 CABO DE 95 A 120 MM2, COM 2 FUROS PARA FIXACAO                                                                                                                                                                                                                                                                                                                                                                                                                         </t>
  </si>
  <si>
    <t xml:space="preserve">TERMINAL METALICO A PRESSAO PARA 1 CABO DE 95 MM2, COM 1 FURO DE FIXACAO                                                                                                                                                                                                                                                                                                                                                                                                                                  </t>
  </si>
  <si>
    <t xml:space="preserve">TERMINAL METALICO A PRESSAO 1 CABO, PARA CABOS DE 4 A 10 MM2, COM 2 FUROS PARA FIXACAO                                                                                                                                                                                                                                                                                                                                                                                                                    </t>
  </si>
  <si>
    <t xml:space="preserve">TERMOFUSORA PARA TUBOS E CONEXOES EM PPR COM DIAMETROS DE 20 A 63 MM, POTENCIA DE 800 W, TENSAO 220 V                                                                                                                                                                                                                                                                                                                                                                                                     </t>
  </si>
  <si>
    <t>1.037,71</t>
  </si>
  <si>
    <t xml:space="preserve">TERMOFUSORA PARA TUBOS E CONEXOES EM PPR COM DIAMETROS DE 75 A 110 MM, POTENCIA DE *1100* W, TENSAO 220 V                                                                                                                                                                                                                                                                                                                                                                                                 </t>
  </si>
  <si>
    <t>1.456,44</t>
  </si>
  <si>
    <t xml:space="preserve">TERRA VEGETAL (ENSACADA)                                                                                                                                                                                                                                                                                                                                                                                                                                                                                  </t>
  </si>
  <si>
    <t xml:space="preserve">TERRA VEGETAL (GRANEL)                                                                                                                                                                                                                                                                                                                                                                                                                                                                                    </t>
  </si>
  <si>
    <t>137,14</t>
  </si>
  <si>
    <t xml:space="preserve">TESTEIRA ANTIDERRAPANTE PARA PISO VINILICO *5 X 2,5* CM, E = 2 MM                                                                                                                                                                                                                                                                                                                                                                                                                                         </t>
  </si>
  <si>
    <t xml:space="preserve">TIJOLO CERAMICO LAMINADO 5,5 X 11 X 23 CM (L X A X C)                                                                                                                                                                                                                                                                                                                                                                                                                                                     </t>
  </si>
  <si>
    <t xml:space="preserve">TIJOLO CERAMICO MACICO APARENTE *6 X 12 X 24* CM (L X A X C)                                                                                                                                                                                                                                                                                                                                                                                                                                              </t>
  </si>
  <si>
    <t xml:space="preserve">TIJOLO CERAMICO MACICO APARENTE 2 FUROS, *6,5 X 10 X 20* CM (L X A X C)                                                                                                                                                                                                                                                                                                                                                                                                                                   </t>
  </si>
  <si>
    <t xml:space="preserve">TIJOLO CERAMICO MACICO COMUM *5 X 10 X 20* CM (L X A X C)                                                                                                                                                                                                                                                                                                                                                                                                                                                 </t>
  </si>
  <si>
    <t xml:space="preserve">TIJOLO CERAMICO REFRATARIO 2,5 X 11,4 X 22,9 CM (L X A X C)                                                                                                                                                                                                                                                                                                                                                                                                                                               </t>
  </si>
  <si>
    <t xml:space="preserve">TIJOLO CERAMICO REFRATARIO 6,3 X 11,4 X 22,9 CM (L X A X C)                                                                                                                                                                                                                                                                                                                                                                                                                                               </t>
  </si>
  <si>
    <t xml:space="preserve">TIL PARA LIGACAO PREDIAL, EM PVC, JE, BBB, DN 100 X 100 MM, PARA REDE COLETORA ESGOTO (NBR 10569)                                                                                                                                                                                                                                                                                                                                                                                                         </t>
  </si>
  <si>
    <t xml:space="preserve">TIL TUBO QUEDA, EM PVC, JE, BBB, DN 100 X 100 MM, PARA REDE COLETORA DE ESGOTO (NBR 10569)                                                                                                                                                                                                                                                                                                                                                                                                                </t>
  </si>
  <si>
    <t xml:space="preserve">TINTA / REVESTIMENTO A BASE DE RESINA EPOXI COM ALCATRAO, BICOMPONENTE                                                                                                                                                                                                                                                                                                                                                                                                                                    </t>
  </si>
  <si>
    <t>62,56</t>
  </si>
  <si>
    <t xml:space="preserve">TINTA A BASE DE RESINA ACRILICA EMULSIONADA EM AGUA, PARA SINALIZACAO HORIZONTAL VIARIA (NBR 13699:2012)                                                                                                                                                                                                                                                                                                                                                                                                  </t>
  </si>
  <si>
    <t xml:space="preserve">TINTA A OLEO BRILHANTE, PARA MADEIRAS E METAIS                                                                                                                                                                                                                                                                                                                                                                                                                                                            </t>
  </si>
  <si>
    <t xml:space="preserve">TINTA ACRILICA A BASE DE SOLVENTE, PARA SINALIZACAO HORIZONTAL VIARIA (NBR 11862)                                                                                                                                                                                                                                                                                                                                                                                                                         </t>
  </si>
  <si>
    <t xml:space="preserve">TINTA ACRILICA PARA CERAMICA                                                                                                                                                                                                                                                                                                                                                                                                                                                                              </t>
  </si>
  <si>
    <t xml:space="preserve">TINTA ACRILICA PREMIUM PARA PISO                                                                                                                                                                                                                                                                                                                                                                                                                                                                          </t>
  </si>
  <si>
    <t xml:space="preserve">TINTA ACRILICA PREMIUM, COR BRANCO FOSCO                                                                                                                                                                                                                                                                                                                                                                                                                                                                  </t>
  </si>
  <si>
    <t xml:space="preserve">TINTA ASFALTICA IMPERMEABILIZANTE DILUIDA EM SOLVENTE, PARA MATERIAIS CIMENTICIOS, METAL E MADEIRA                                                                                                                                                                                                                                                                                                                                                                                                        </t>
  </si>
  <si>
    <t xml:space="preserve">TINTA ASFALTICA IMPERMEABILIZANTE DISPERSA EM AGUA, PARA MATERIAIS CIMENTICIOS                                                                                                                                                                                                                                                                                                                                                                                                                            </t>
  </si>
  <si>
    <t xml:space="preserve">TINTA BORRACHA CLORADA, ACABAMENTO SEMIBRILHO, QUALQUER COR                                                                                                                                                                                                                                                                                                                                                                                                                                               </t>
  </si>
  <si>
    <t xml:space="preserve">TINTA EPOXI BASE AGUA PREMIUM, BRANCA                                                                                                                                                                                                                                                                                                                                                                                                                                                                     </t>
  </si>
  <si>
    <t>64,61</t>
  </si>
  <si>
    <t xml:space="preserve">TINTA ESMALTE BASE AGUA PREMIUM ACETINADO                                                                                                                                                                                                                                                                                                                                                                                                                                                                 </t>
  </si>
  <si>
    <t xml:space="preserve">TINTA ESMALTE BASE AGUA PREMIUM BRILHANTE                                                                                                                                                                                                                                                                                                                                                                                                                                                                 </t>
  </si>
  <si>
    <t xml:space="preserve">TINTA ESMALTE SINTETICO PREMIUM ACETINADO                                                                                                                                                                                                                                                                                                                                                                                                                                                                 </t>
  </si>
  <si>
    <t>32,35</t>
  </si>
  <si>
    <t xml:space="preserve">TINTA ESMALTE SINTETICO PREMIUM BRILHANTE                                                                                                                                                                                                                                                                                                                                                                                                                                                                 </t>
  </si>
  <si>
    <t>31,32</t>
  </si>
  <si>
    <t xml:space="preserve">TINTA ESMALTE SINTETICO PREMIUM DE DUPLA ACAO GRAFITE FOSCO PARA SUPERFICIES METALICAS FERROSAS                                                                                                                                                                                                                                                                                                                                                                                                           </t>
  </si>
  <si>
    <t xml:space="preserve">TINTA ESMALTE SINTETICO PREMIUM DE EFEITO PROTETOR DE SUPERFICIE METALICA ALUMINIO                                                                                                                                                                                                                                                                                                                                                                                                                        </t>
  </si>
  <si>
    <t>38,24</t>
  </si>
  <si>
    <t xml:space="preserve">TINTA ESMALTE SINTETICO PREMIUM FOSCO                                                                                                                                                                                                                                                                                                                                                                                                                                                                     </t>
  </si>
  <si>
    <t>31,75</t>
  </si>
  <si>
    <t xml:space="preserve">TINTA ESMALTE SINTETICO STANDARD ACETINADO                                                                                                                                                                                                                                                                                                                                                                                                                                                                </t>
  </si>
  <si>
    <t xml:space="preserve">TINTA ESMALTE SINTETICO STANDARD BRILHANTE                                                                                                                                                                                                                                                                                                                                                                                                                                                                </t>
  </si>
  <si>
    <t xml:space="preserve">TINTA ESMALTE SINTETICO STANDARD FOSCO                                                                                                                                                                                                                                                                                                                                                                                                                                                                    </t>
  </si>
  <si>
    <t xml:space="preserve">TINTA LATEX ACRILICA ECONOMICA, COR BRANCA                                                                                                                                                                                                                                                                                                                                                                                                                                                                </t>
  </si>
  <si>
    <t xml:space="preserve">TINTA LATEX ACRILICA STANDARD, COR BRANCA                                                                                                                                                                                                                                                                                                                                                                                                                                                                 </t>
  </si>
  <si>
    <t xml:space="preserve">TINTA MINERAL IMPERMEAVEL EM PO, BRANCA                                                                                                                                                                                                                                                                                                                                                                                                                                                                   </t>
  </si>
  <si>
    <t xml:space="preserve">TIRANTE COM ELO, EM ARAME GALVANIZADO RIGIDO, NUMERO 10, COMPRIMENTO 2000 MM, PARA PENDURAL DE FORRO REMOVIVEL                                                                                                                                                                                                                                                                                                                                                                                            </t>
  </si>
  <si>
    <t xml:space="preserve">TIRANTE EM FERRO GALVANIZADO PARA CONTRAVENTAMENTO DE TELHA CANALETE 90, 1/4 " X 400 MM                                                                                                                                                                                                                                                                                                                                                                                                                   </t>
  </si>
  <si>
    <t>52,75</t>
  </si>
  <si>
    <t xml:space="preserve">TOALHEIRO PLASTICO TIPO DISPENSER PARA PAPEL TOALHA INTERFOLHADO                                                                                                                                                                                                                                                                                                                                                                                                                                          </t>
  </si>
  <si>
    <t xml:space="preserve">TOMADA INDUSTRIAL DE EMBUTIR 3P+T 30 A, 440 V, COM TRAVA, COM PLACA                                                                                                                                                                                                                                                                                                                                                                                                                                       </t>
  </si>
  <si>
    <t>43,08</t>
  </si>
  <si>
    <t xml:space="preserve">TOMADA INDUSTRIAL DE EMBUTIR 3P+T 30 A, 440 V, COM TRAVA, SEM PLACA                                                                                                                                                                                                                                                                                                                                                                                                                                       </t>
  </si>
  <si>
    <t xml:space="preserve">TOMADA PARA ANTENA DE TV, CABO COAXIAL DE 9 MM (APENAS MODULO)                                                                                                                                                                                                                                                                                                                                                                                                                                            </t>
  </si>
  <si>
    <t xml:space="preserve">TOMADA PARA ANTENA DE TV, CABO COAXIAL DE 9 MM, CONJUNTO MONTADO PARA EMBUTIR 4" X 2" (PLACA + SUPORTE + MODULO)                                                                                                                                                                                                                                                                                                                                                                                          </t>
  </si>
  <si>
    <t xml:space="preserve">TOMADA RJ11, 2 FIOS (APENAS MODULO)                                                                                                                                                                                                                                                                                                                                                                                                                                                                       </t>
  </si>
  <si>
    <t xml:space="preserve">TOMADA RJ11, 2 FIOS, CONJUNTO MONTADO PARA EMBUTIR 4" X 2" (PLACA + SUPORTE + MODULO)                                                                                                                                                                                                                                                                                                                                                                                                                     </t>
  </si>
  <si>
    <t xml:space="preserve">TOMADA RJ45, 8 FIOS, CAT 5E (APENAS MODULO)                                                                                                                                                                                                                                                                                                                                                                                                                                                               </t>
  </si>
  <si>
    <t xml:space="preserve">TOMADA RJ45, 8 FIOS, CAT 5E, CONJUNTO MONTADO PARA EMBUTIR 4" X 2" (PLACA + SUPORTE + MODULO)                                                                                                                                                                                                                                                                                                                                                                                                             </t>
  </si>
  <si>
    <t xml:space="preserve">TOMADA 2P+T 10A, 250V  (APENAS MODULO)                                                                                                                                                                                                                                                                                                                                                                                                                                                                    </t>
  </si>
  <si>
    <t xml:space="preserve">TOMADA 2P+T 10A, 250V, CONJUNTO MONTADO PARA EMBUTIR 4" X 2" (PLACA + SUPORTE + MODULO)                                                                                                                                                                                                                                                                                                                                                                                                                   </t>
  </si>
  <si>
    <t xml:space="preserve">TOMADA 2P+T 10A, 250V, CONJUNTO MONTADO PARA SOBREPOR 4" X 2" (CAIXA + MODULO)                                                                                                                                                                                                                                                                                                                                                                                                                            </t>
  </si>
  <si>
    <t xml:space="preserve">TOMADA 2P+T 20A 250V, CONJUNTO MONTADO PARA EMBUTIR 4" X 2" (PLACA + SUPORTE + MODULO)                                                                                                                                                                                                                                                                                                                                                                                                                    </t>
  </si>
  <si>
    <t xml:space="preserve">TOMADA 2P+T 20A, 250V  (APENAS MODULO)                                                                                                                                                                                                                                                                                                                                                                                                                                                                    </t>
  </si>
  <si>
    <t xml:space="preserve">TOMADAS (2 MODULOS) 2P+T 10A, 250V, CONJUNTO MONTADO PARA EMBUTIR 4" X 2" (PLACA + SUPORTE + MODULOS)                                                                                                                                                                                                                                                                                                                                                                                                     </t>
  </si>
  <si>
    <t xml:space="preserve">TOPOGRAFO                                                                                                                                                                                                                                                                                                                                                                                                                                                                                                 </t>
  </si>
  <si>
    <t xml:space="preserve">TOPOGRAFO (MENSALISTA)                                                                                                                                                                                                                                                                                                                                                                                                                                                                                    </t>
  </si>
  <si>
    <t>5.117,19</t>
  </si>
  <si>
    <t xml:space="preserve">TORNEIRA CROMADA COM BICO PARA JARDIM/TANQUE 1/2 " OU 3/4 " (REF 1153)                                                                                                                                                                                                                                                                                                                                                                                                                                    </t>
  </si>
  <si>
    <t xml:space="preserve">TORNEIRA CROMADA CURTA SEM BICO PARA USO GERAL  1/2 " OU 3/4 " (REF 1152)                                                                                                                                                                                                                                                                                                                                                                                                                                 </t>
  </si>
  <si>
    <t xml:space="preserve">TORNEIRA CROMADA DE MESA PARA COZINHA BICA MOVEL COM AREJADOR 1/2 " OU 3/4 " (REF 1167)                                                                                                                                                                                                                                                                                                                                                                                                                   </t>
  </si>
  <si>
    <t>100,61</t>
  </si>
  <si>
    <t xml:space="preserve">TORNEIRA CROMADA DE MESA PARA LAVATORIO COM SENSOR DE PRESENCA                                                                                                                                                                                                                                                                                                                                                                                                                                            </t>
  </si>
  <si>
    <t>647,12</t>
  </si>
  <si>
    <t xml:space="preserve">TORNEIRA CROMADA DE MESA PARA LAVATORIO TEMPORIZADA PRESSAO BICA BAIXA                                                                                                                                                                                                                                                                                                                                                                                                                                    </t>
  </si>
  <si>
    <t xml:space="preserve">TORNEIRA CROMADA DE MESA PARA LAVATORIO, BICA ALTA (REF 1195)                                                                                                                                                                                                                                                                                                                                                                                                                                             </t>
  </si>
  <si>
    <t xml:space="preserve">TORNEIRA CROMADA DE MESA PARA LAVATORIO, PADRAO POPULAR, 1/2 " OU 3/4 " (REF 1193)                                                                                                                                                                                                                                                                                                                                                                                                                        </t>
  </si>
  <si>
    <t xml:space="preserve">TORNEIRA CROMADA DE PAREDE LONGA PARA LAVATORIO (REF 1178)                                                                                                                                                                                                                                                                                                                                                                                                                                                </t>
  </si>
  <si>
    <t>164,10</t>
  </si>
  <si>
    <t xml:space="preserve">TORNEIRA CROMADA DE PAREDE PARA COZINHA BICA MOVEL COM AREJADOR 1/2 " OU 3/4 " (REF 1168)                                                                                                                                                                                                                                                                                                                                                                                                                 </t>
  </si>
  <si>
    <t>96,05</t>
  </si>
  <si>
    <t xml:space="preserve">TORNEIRA CROMADA DE PAREDE PARA COZINHA COM AREJADOR, PADRAO POPULAR, 1/2 " OU 3/4 " (REF 1159)                                                                                                                                                                                                                                                                                                                                                                                                           </t>
  </si>
  <si>
    <t>51,24</t>
  </si>
  <si>
    <t xml:space="preserve">TORNEIRA CROMADA DE PAREDE PARA COZINHA SEM AREJADOR, PADRAO POPULAR, 1/2 " OU 3/4 " (REF 1158)                                                                                                                                                                                                                                                                                                                                                                                                           </t>
  </si>
  <si>
    <t xml:space="preserve">TORNEIRA CROMADA SEM BICO PARA TANQUE 1/2 " OU 3/4 " (REF 1143)                                                                                                                                                                                                                                                                                                                                                                                                                                           </t>
  </si>
  <si>
    <t>36,45</t>
  </si>
  <si>
    <t xml:space="preserve">TORNEIRA CROMADA SEM BICO PARA TANQUE, PADRAO POPULAR, 1/2 " OU 3/4 " (REF 1126)                                                                                                                                                                                                                                                                                                                                                                                                                          </t>
  </si>
  <si>
    <t xml:space="preserve">TORNEIRA DE BOIA BALAO METALICO, VAZAO TOTAL, PARA CAIXA D'AGUA, AGUA QUENTE, ROSCA 1/2 ", COM HASTE, TORNEIRA E BALAO METALICOS                                                                                                                                                                                                                                                                                                                                                                          </t>
  </si>
  <si>
    <t>56,75</t>
  </si>
  <si>
    <t xml:space="preserve">TORNEIRA DE BOIA BALAO METALICO, VAZAO TOTAL, PARA CAIXA D'AGUA, AGUA QUENTE, ROSCA 3/4 ", COM HASTE, TORNEIRA E BALAO METALICOS                                                                                                                                                                                                                                                                                                                                                                          </t>
  </si>
  <si>
    <t xml:space="preserve">TORNEIRA DE BOIA CONVENCIONAL PARA CAIXA D'AGUA, AGUA FRIA, 1.1/2", COM HASTE E TORNEIRA METALICOS E BALAO PLASTICO                                                                                                                                                                                                                                                                                                                                                                                       </t>
  </si>
  <si>
    <t>149,04</t>
  </si>
  <si>
    <t xml:space="preserve">TORNEIRA DE BOIA CONVENCIONAL PARA CAIXA D'AGUA, AGUA FRIA, 1.1/4", COM HASTE E TORNEIRA METALICOS E BALAO PLASTICO                                                                                                                                                                                                                                                                                                                                                                                       </t>
  </si>
  <si>
    <t>122,28</t>
  </si>
  <si>
    <t xml:space="preserve">TORNEIRA DE BOIA CONVENCIONAL PARA CAIXA D'AGUA, AGUA FRIA, 1/2", COM HASTE E TORNEIRA METALICOS E BALAO PLASTICO                                                                                                                                                                                                                                                                                                                                                                                         </t>
  </si>
  <si>
    <t xml:space="preserve">TORNEIRA DE BOIA CONVENCIONAL PARA CAIXA D'AGUA, AGUA FRIA, 3/4", COM HASTE E TORNEIRA METALICOS E BALAO PLASTICO                                                                                                                                                                                                                                                                                                                                                                                         </t>
  </si>
  <si>
    <t xml:space="preserve">TORNEIRA DE BOIA CONVENCIONAL PARA CAIXA D'AGUA, 1", AGUA FRIA, COM HASTE E TORNEIRA METALICOS E BALAO PLASTICO                                                                                                                                                                                                                                                                                                                                                                                           </t>
  </si>
  <si>
    <t xml:space="preserve">TORNEIRA DE BOIA CONVENCIONAL PARA CAIXA D'AGUA, 2", AGUA FRIA, COM HASTE E TORNEIRA METALICOS E BALAO PLASTICO                                                                                                                                                                                                                                                                                                                                                                                           </t>
  </si>
  <si>
    <t>191,23</t>
  </si>
  <si>
    <t xml:space="preserve">TORNEIRA DE BOIA VAZAO TOTAL PARA CAIXA D'AGUA, AGUA FRIA, BITOLA 1/2", COM HASTE E TORNEIRA METALICOS E BALAO PLASTICO                                                                                                                                                                                                                                                                                                                                                                                   </t>
  </si>
  <si>
    <t>44,57</t>
  </si>
  <si>
    <t xml:space="preserve">TORNEIRA DE BOIA VAZAO TOTAL PARA CAIXA D'AGUA, AGUA FRIA, BITOLA 1", COM HASTE E TORNEIRA METALICOS E BALAO PLASTICO                                                                                                                                                                                                                                                                                                                                                                                     </t>
  </si>
  <si>
    <t>81,49</t>
  </si>
  <si>
    <t xml:space="preserve">TORNEIRA DE BOIA VAZAO TOTAL PARA CAIXA D'AGUA, AGUA FRIA, BITOLA 3/4", COM HASTE E TORNEIRA METALICOS E BALAO PLASTICO                                                                                                                                                                                                                                                                                                                                                                                   </t>
  </si>
  <si>
    <t xml:space="preserve">TORNEIRA ELETRICA DE PAREDE, BICA ALTA, PARA COZINHA, 5500 W (110/220 V)                                                                                                                                                                                                                                                                                                                                                                                                                                  </t>
  </si>
  <si>
    <t>145,26</t>
  </si>
  <si>
    <t xml:space="preserve">TORNEIRA METAL AMARELO COM BICO PARA JARDIM, PADRAO POPULAR, 1/2 " OU 3/4 " (REF 1128)                                                                                                                                                                                                                                                                                                                                                                                                                    </t>
  </si>
  <si>
    <t xml:space="preserve">TORNEIRA METAL AMARELO CURTA SEM BICO PARA TANQUE, PADRAO POPULAR, 1/2 " OU 3/4 " (REF 1120)                                                                                                                                                                                                                                                                                                                                                                                                              </t>
  </si>
  <si>
    <t xml:space="preserve">TORNEIRA PLASTICA DE BOIA CONVENCIONAL PARA CAIXA DE AGUA, AGUA FRIA, 3/4 ", COM HASTE METALICA E COM TORNEIRA E BALAO PLASTICOS (PADRAO POPULAR)                                                                                                                                                                                                                                                                                                                                                         </t>
  </si>
  <si>
    <t>18,52</t>
  </si>
  <si>
    <t xml:space="preserve">TORNEIRA PLASTICA DE BOIA PARA CAIXA DE DESCARGA,  1/2", BALAO E TORNEIRA PLASTICOS, COM HASTE METALICA                                                                                                                                                                                                                                                                                                                                                                                                   </t>
  </si>
  <si>
    <t xml:space="preserve">TORNEIRA PLASTICA DE MESA, BICA MOVEL, PARA COZINHA 1/2 "                                                                                                                                                                                                                                                                                                                                                                                                                                                 </t>
  </si>
  <si>
    <t xml:space="preserve">TORNEIRA PLASTICA PARA TANQUE 1/2 " OU 3/4 " COM BICO PARA MANGUEIRA                                                                                                                                                                                                                                                                                                                                                                                                                                      </t>
  </si>
  <si>
    <t xml:space="preserve">TRANSFORMADOR TRIFASICO DE DISTRIBUICAO, POTENCIA DE 1000 KVA, TENSAO NOMINAL DE 15 KV, TENSAO SECUNDARIA DE 220/127V, EM OLEO ISOLANTE TIPO MINERAL                                                                                                                                                                                                                                                                                                                                                      </t>
  </si>
  <si>
    <t>88.927,93</t>
  </si>
  <si>
    <t xml:space="preserve">TRANSFORMADOR TRIFASICO DE DISTRIBUICAO, POTENCIA DE 112,5 KVA, TENSAO NOMINAL DE 15 KV, TENSAO SECUNDARIA DE 220/127V, EM OLEO ISOLANTE TIPO MINERAL                                                                                                                                                                                                                                                                                                                                                     </t>
  </si>
  <si>
    <t>13.746,35</t>
  </si>
  <si>
    <t xml:space="preserve">TRANSFORMADOR TRIFASICO DE DISTRIBUICAO, POTENCIA DE 15 KVA, TENSAO NOMINAL DE 15 KV, TENSAO SECUNDARIA DE 220/127V, EM OLEO ISOLANTE TIPO MINERAL                                                                                                                                                                                                                                                                                                                                                        </t>
  </si>
  <si>
    <t>6.305,66</t>
  </si>
  <si>
    <t xml:space="preserve">TRANSFORMADOR TRIFASICO DE DISTRIBUICAO, POTENCIA DE 150 KVA, TENSAO NOMINAL DE 15 KV, TENSAO SECUNDARIA DE 220/127V, EM OLEO ISOLANTE TIPO MINERAL                                                                                                                                                                                                                                                                                                                                                       </t>
  </si>
  <si>
    <t>17.337,43</t>
  </si>
  <si>
    <t xml:space="preserve">TRANSFORMADOR TRIFASICO DE DISTRIBUICAO, POTENCIA DE 1500 KVA, TENSAO NOMINAL DE 15 KV, TENSAO SECUNDARIA DE 220/127V, EM OLEO ISOLANTE TIPO MINERAL                                                                                                                                                                                                                                                                                                                                                      </t>
  </si>
  <si>
    <t>112.446,27</t>
  </si>
  <si>
    <t xml:space="preserve">TRANSFORMADOR TRIFASICO DE DISTRIBUICAO, POTENCIA DE 225 KVA, TENSAO NOMINAL DE 15 KV, TENSAO SECUNDARIA DE 220/127V, EM OLEO ISOLANTE TIPO MINERAL                                                                                                                                                                                                                                                                                                                                                       </t>
  </si>
  <si>
    <t>24.321,86</t>
  </si>
  <si>
    <t xml:space="preserve">TRANSFORMADOR TRIFASICO DE DISTRIBUICAO, POTENCIA DE 30 KVA, TENSAO NOMINAL DE 15 KV, TENSAO SECUNDARIA DE 220/127V, EM OLEO ISOLANTE TIPO MINERAL                                                                                                                                                                                                                                                                                                                                                        </t>
  </si>
  <si>
    <t>7.701,92</t>
  </si>
  <si>
    <t xml:space="preserve">TRANSFORMADOR TRIFASICO DE DISTRIBUICAO, POTENCIA DE 300 KVA, TENSAO NOMINAL DE 15 KV, TENSAO SECUNDARIA DE 220/127V, EM OLEO ISOLANTE TIPO MINERAL                                                                                                                                                                                                                                                                                                                                                       </t>
  </si>
  <si>
    <t>28.375,50</t>
  </si>
  <si>
    <t xml:space="preserve">TRANSFORMADOR TRIFASICO DE DISTRIBUICAO, POTENCIA DE 45 KVA, TENSAO NOMINAL DE 15 KV, TENSAO SECUNDARIA DE 220/127V, EM OLEO ISOLANTE TIPO MINERAL                                                                                                                                                                                                                                                                                                                                                        </t>
  </si>
  <si>
    <t>8.602,73</t>
  </si>
  <si>
    <t xml:space="preserve">TRANSFORMADOR TRIFASICO DE DISTRIBUICAO, POTENCIA DE 500 KVA, TENSAO NOMINAL DE 15 KV, TENSAO SECUNDARIA DE 220/127V, EM OLEO ISOLANTE TIPO MINERAL                                                                                                                                                                                                                                                                                                                                                       </t>
  </si>
  <si>
    <t>46.304,32</t>
  </si>
  <si>
    <t xml:space="preserve">TRANSFORMADOR TRIFASICO DE DISTRIBUICAO, POTENCIA DE 75 KVA, TENSAO NOMINAL DE 15 KV, TENSAO SECUNDARIA DE 220/127V, EM OLEO ISOLANTE TIPO MINERAL                                                                                                                                                                                                                                                                                                                                                        </t>
  </si>
  <si>
    <t>11.125,00</t>
  </si>
  <si>
    <t xml:space="preserve">TRANSFORMADOR TRIFASICO DE DISTRIBUICAO, POTENCIA DE 750 KVA, TENSAO NOMINAL DE 15 KV, TENSAO SECUNDARIA DE 220/127V, EM OLEO ISOLANTE TIPO MINERAL                                                                                                                                                                                                                                                                                                                                                       </t>
  </si>
  <si>
    <t>63.514,29</t>
  </si>
  <si>
    <t xml:space="preserve">TRANSPORTE - HORISTA (COLETADO CAIXA)                                                                                                                                                                                                                                                                                                                                                                                                                                                                     </t>
  </si>
  <si>
    <t xml:space="preserve">TRANSPORTE - MENSALISTA (COLETADO CAIXA)                                                                                                                                                                                                                                                                                                                                                                                                                                                                  </t>
  </si>
  <si>
    <t xml:space="preserve">TRATOR DE ESTEIRAS, POTENCIA BRUTA DE 133 HP, PESO OPERACIONAL DE 14 T, COM LAMINA COM CAPACIDADE DE 3,00 M3                                                                                                                                                                                                                                                                                                                                                                                              </t>
  </si>
  <si>
    <t>750.645,48</t>
  </si>
  <si>
    <t xml:space="preserve">TRATOR DE ESTEIRAS, POTENCIA BRUTA DE 347 HP, PESO OPERACIONAL DE 38,5 T, COM ESCARIFICADOR E LAMINA COM CAPACIDADE DE 4,70M3                                                                                                                                                                                                                                                                                                                                                                             </t>
  </si>
  <si>
    <t>3.092.395,29</t>
  </si>
  <si>
    <t xml:space="preserve">TRATOR DE ESTEIRAS, POTENCIA DE 100 HP, PESO OPERACIONAL DE 9,4 T, COM LAMINA COM CAPACIDADE DE 2,19 M3                                                                                                                                                                                                                                                                                                                                                                                                   </t>
  </si>
  <si>
    <t>728.235,83</t>
  </si>
  <si>
    <t xml:space="preserve">TRATOR DE ESTEIRAS, POTENCIA DE 150 HP, PESO OPERACIONAL DE 16,7 T, COM RODA MOTRIZ ELEVADA E LAMINA COM CONTATO DE 3,18M3                                                                                                                                                                                                                                                                                                                                                                                </t>
  </si>
  <si>
    <t>944.081,09</t>
  </si>
  <si>
    <t xml:space="preserve">TRATOR DE ESTEIRAS, POTENCIA DE 170 HP, PESO OPERACIONAL DE 19 T, COM LAMINA COM CAPACIDADE DE 5,2 M3                                                                                                                                                                                                                                                                                                                                                                                                     </t>
  </si>
  <si>
    <t>938.306,80</t>
  </si>
  <si>
    <t xml:space="preserve">TRATOR DE ESTEIRAS, POTENCIA DE 347 HP, PESO OPERACIONAL DE 38,5 T, COM LAMINA COM CAPACIDADE DE 8,70M3                                                                                                                                                                                                                                                                                                                                                                                                   </t>
  </si>
  <si>
    <t xml:space="preserve">TRATOR DE ESTEIRAS, POTENCIA NO VOLANTE DE 200 HP, PESO OPERACIONAL DE 20,1 T, COM RODA MOTRIZ ELEVADA E LAMINA COM CAPACIDADE DE 3,89 M3                                                                                                                                                                                                                                                                                                                                                                 </t>
  </si>
  <si>
    <t>1.390.772,86</t>
  </si>
  <si>
    <t xml:space="preserve">TRATOR DE ESTEIRAS, POTENCIA 125 HP, PESO OPERACIONAL DE 12,9 T, COM LAMINA COM CAPACIDADE DE 2,7 M3                                                                                                                                                                                                                                                                                                                                                                                                      </t>
  </si>
  <si>
    <t>762.193,86</t>
  </si>
  <si>
    <t xml:space="preserve">TRATOR DE PNEUS COM POTENCIA DE 105 CV, TRACAO 4 X 4, PESO COM LASTRO DE 5775 KG                                                                                                                                                                                                                                                                                                                                                                                                                          </t>
  </si>
  <si>
    <t>249.644,84</t>
  </si>
  <si>
    <t xml:space="preserve">TRATOR DE PNEUS COM POTENCIA DE 122 CV, TRACAO 4 X 4, PESO COM LASTRO DE 4510 KG                                                                                                                                                                                                                                                                                                                                                                                                                          </t>
  </si>
  <si>
    <t>289.271,01</t>
  </si>
  <si>
    <t xml:space="preserve">TRATOR DE PNEUS COM POTENCIA DE 15 CV, PESO COM LASTRO DE 1160 KG                                                                                                                                                                                                                                                                                                                                                                                                                                         </t>
  </si>
  <si>
    <t>85.196,24</t>
  </si>
  <si>
    <t xml:space="preserve">TRATOR DE PNEUS COM POTENCIA DE 50 CV, TRACAO 4 X 2, PESO COM LASTRO DE 2714 KG                                                                                                                                                                                                                                                                                                                                                                                                                           </t>
  </si>
  <si>
    <t>138.158,59</t>
  </si>
  <si>
    <t xml:space="preserve">TRATOR DE PNEUS COM POTENCIA DE 85 CV, TRACAO 4 X 4, PESO COM LASTRO DE 4675 KG                                                                                                                                                                                                                                                                                                                                                                                                                           </t>
  </si>
  <si>
    <t>212.000,00</t>
  </si>
  <si>
    <t xml:space="preserve">TRATOR DE PNEUS COM POTENCIA DE 85 CV, TURBO,  PESO COM LASTRO DE 4900 KG                                                                                                                                                                                                                                                                                                                                                                                                                                 </t>
  </si>
  <si>
    <t>204.223,35</t>
  </si>
  <si>
    <t xml:space="preserve">TRATOR DE PNEUS COM POTENCIA DE 95 CV, TRACAO 4 X 4, PESO MAXIMO DE 5225 KG                                                                                                                                                                                                                                                                                                                                                                                                                               </t>
  </si>
  <si>
    <t>227.850,45</t>
  </si>
  <si>
    <t xml:space="preserve">TRAVA / PRENDEDOR DE PORTA, EM LATAO CROMADO, MONTADO EM PISO                                                                                                                                                                                                                                                                                                                                                                                                                                             </t>
  </si>
  <si>
    <t xml:space="preserve">TRAVA-QUEDAS EM ACO PARA CORDA DE 12 MM, EXTENSOR DE 25 X 300 MM, COM MOSQUETAO TIPO GANCHO TRAVA DUPLA                                                                                                                                                                                                                                                                                                                                                                                                   </t>
  </si>
  <si>
    <t>167,08</t>
  </si>
  <si>
    <t xml:space="preserve">TRELICA NERVURADA (ESPACADOR), ALTURA = 120,0 MM, DIAMETRO DOS BANZOS INFERIORES E SUPERIOR = 6,0 MM, DIAMETRO DA DIAGONAL = 4,2 MM                                                                                                                                                                                                                                                                                                                                                                       </t>
  </si>
  <si>
    <t xml:space="preserve">TRILHO PANTOGRAFICO CONCAVO, TIPO U, EM ALUMINIO, COM DIMENSOES DE APROX *35 X 35* MM, PARA ROLDANA DE PORTA DE CORRER                                                                                                                                                                                                                                                                                                                                                                                    </t>
  </si>
  <si>
    <t xml:space="preserve">TRILHO PANTOGRAFICO RETO, EM ALUMINIO, TIPO U, COM DIMENSOES DE *38 X 38* MM PARA PORTA DE CORRER                                                                                                                                                                                                                                                                                                                                                                                                         </t>
  </si>
  <si>
    <t xml:space="preserve">TRILHO QUADRADO FRIZADO PARA RODIZIO (VERGALHAO MACICO), EM ALUMINIO, COM DIMENSOES DE *6 X 6* MM                                                                                                                                                                                                                                                                                                                                                                                                         </t>
  </si>
  <si>
    <t xml:space="preserve">TROLEY MANUAL CAPACIDADE 1 T                                                                                                                                                                                                                                                                                                                                                                                                                                                                              </t>
  </si>
  <si>
    <t>627,31</t>
  </si>
  <si>
    <t xml:space="preserve">TUBO / MANGUEIRA PRETA EM POLIETILENO, LINHA PESADA OU REFORCADA, TIPO ESPAGUETE, PARA INJECAO DE CALDA DE CIMENTO, D = 1/2", ESPESSURA 1,5 MM                                                                                                                                                                                                                                                                                                                                                            </t>
  </si>
  <si>
    <t xml:space="preserve">TUBO ACO CARBONO COM COSTURA, NBR 5580, CLASSE L, DN = 15 MM, E = 2,25 MM, 1,06 KG/M                                                                                                                                                                                                                                                                                                                                                                                                                      </t>
  </si>
  <si>
    <t xml:space="preserve">TUBO ACO CARBONO COM COSTURA, NBR 5580, CLASSE L, DN = 25 MM, E = 2,65 MM, 2,02 KG/M                                                                                                                                                                                                                                                                                                                                                                                                                      </t>
  </si>
  <si>
    <t xml:space="preserve">TUBO ACO CARBONO COM COSTURA, NBR 5580, CLASSE L, DN = 40 MM, E = 3,0 MM, 3,34 KG/M                                                                                                                                                                                                                                                                                                                                                                                                                       </t>
  </si>
  <si>
    <t xml:space="preserve">TUBO ACO CARBONO COM COSTURA, NBR 5580, CLASSE L, DN = 80 MM, E = 3,35 MM, 7,07 KG/M                                                                                                                                                                                                                                                                                                                                                                                                                      </t>
  </si>
  <si>
    <t xml:space="preserve">TUBO ACO CARBONO COM COSTURA, NBR 5580, CLASSE M, DN = 25 MM, E = 3,35 MM, *2,50* KG//M                                                                                                                                                                                                                                                                                                                                                                                                                   </t>
  </si>
  <si>
    <t xml:space="preserve">TUBO ACO CARBONO COM COSTURA, NBR 5580, CLASSE M, DN = 40 MM, E = 3,35 MM, *3,71* KG//M                                                                                                                                                                                                                                                                                                                                                                                                                   </t>
  </si>
  <si>
    <t xml:space="preserve">TUBO ACO CARBONO COM COSTURA, NBR 5580, CLASSE M, DN = 80 MM, E = 4,05 MM, *8,47* KG/M                                                                                                                                                                                                                                                                                                                                                                                                                    </t>
  </si>
  <si>
    <t xml:space="preserve">TUBO ACO CARBONO SEM COSTURA 1 1/2", E= *3,68 MM, SCHEDULE 40, 4,05 KG/M                                                                                                                                                                                                                                                                                                                                                                                                                                  </t>
  </si>
  <si>
    <t xml:space="preserve">TUBO ACO CARBONO SEM COSTURA 1 1/4", E= *3,56 MM, SCHEDULE 40, *3,38* KG/M                                                                                                                                                                                                                                                                                                                                                                                                                                </t>
  </si>
  <si>
    <t xml:space="preserve">TUBO ACO CARBONO SEM COSTURA 1/2", E= *2,77 MM, SCHEDULE 40, *1,27 KG/M                                                                                                                                                                                                                                                                                                                                                                                                                                   </t>
  </si>
  <si>
    <t xml:space="preserve">TUBO ACO CARBONO SEM COSTURA 1/2", E= *3,73 MM, SCHEDULE 80, *1,62 KG/M                                                                                                                                                                                                                                                                                                                                                                                                                                   </t>
  </si>
  <si>
    <t xml:space="preserve">TUBO ACO CARBONO SEM COSTURA 1", E= *3,38 MM, SCHEDULE 40, *2,50* KG/M                                                                                                                                                                                                                                                                                                                                                                                                                                    </t>
  </si>
  <si>
    <t xml:space="preserve">TUBO ACO CARBONO SEM COSTURA 14", E= *11,13 MM, SCHEDULE 40, *94,55 KG/M                                                                                                                                                                                                                                                                                                                                                                                                                                  </t>
  </si>
  <si>
    <t xml:space="preserve">TUBO ACO CARBONO SEM COSTURA 2 1/2", E = 5,16 MM, SCHEDULE 40 (8,62 KG/M)                                                                                                                                                                                                                                                                                                                                                                                                                                 </t>
  </si>
  <si>
    <t xml:space="preserve">TUBO ACO CARBONO SEM COSTURA 2", E= *3,91* MM, SCHEDULE 40, *5,43* KG/M                                                                                                                                                                                                                                                                                                                                                                                                                                   </t>
  </si>
  <si>
    <t xml:space="preserve">TUBO ACO CARBONO SEM COSTURA 20", E= *12,70 MM, SCHEDULE 30, *154,97 KG/M                                                                                                                                                                                                                                                                                                                                                                                                                                 </t>
  </si>
  <si>
    <t xml:space="preserve">TUBO ACO CARBONO SEM COSTURA 20", E= *6,35 MM,  SCHEDULE 10, *78,46 KG/M                                                                                                                                                                                                                                                                                                                                                                                                                                  </t>
  </si>
  <si>
    <t xml:space="preserve">TUBO ACO CARBONO SEM COSTURA 3/4", E= *2,87 MM, SCHEDULE 40, *1,69 KG/M                                                                                                                                                                                                                                                                                                                                                                                                                                   </t>
  </si>
  <si>
    <t xml:space="preserve">TUBO ACO CARBONO SEM COSTURA 3/4", E= *3,91 MM, SCHEDULE 80, *2,19 KG/M.                                                                                                                                                                                                                                                                                                                                                                                                                                  </t>
  </si>
  <si>
    <t xml:space="preserve">TUBO ACO CARBONO SEM COSTURA 3", E= *5,49 MM, SCHEDULE 40, *11,28* KG/M                                                                                                                                                                                                                                                                                                                                                                                                                                   </t>
  </si>
  <si>
    <t xml:space="preserve">TUBO ACO CARBONO SEM COSTURA 4", E= *6,02 MM, SCHEDULE 40, *16,06 KG/M                                                                                                                                                                                                                                                                                                                                                                                                                                    </t>
  </si>
  <si>
    <t xml:space="preserve">TUBO ACO CARBONO SEM COSTURA 4", E= *8,56 MM, SCHEDULE 80, *22,31 KG/M                                                                                                                                                                                                                                                                                                                                                                                                                                    </t>
  </si>
  <si>
    <t xml:space="preserve">TUBO ACO CARBONO SEM COSTURA 5", E= *6,55 MM, SCHEDULE 40, *21,75* KG/M                                                                                                                                                                                                                                                                                                                                                                                                                                   </t>
  </si>
  <si>
    <t xml:space="preserve">TUBO ACO CARBONO SEM COSTURA 6", E= *10,97 MM, SCHEDULE 80, *42,56 KG/M                                                                                                                                                                                                                                                                                                                                                                                                                                   </t>
  </si>
  <si>
    <t xml:space="preserve">TUBO ACO CARBONO SEM COSTURA 6", E= 7,11 MM,  SCHEDULE 40, *28,26 KG/M                                                                                                                                                                                                                                                                                                                                                                                                                                    </t>
  </si>
  <si>
    <t xml:space="preserve">TUBO ACO CARBONO SEM COSTURA 8", E= *12,70 MM, SCHEDULE 80, *64,64 KG/M                                                                                                                                                                                                                                                                                                                                                                                                                                   </t>
  </si>
  <si>
    <t xml:space="preserve">TUBO ACO CARBONO SEM COSTURA 8", E= *6,35 MM,  SCHEDULE 20, *33,27 KG/M                                                                                                                                                                                                                                                                                                                                                                                                                                   </t>
  </si>
  <si>
    <t xml:space="preserve">TUBO ACO CARBONO SEM COSTURA 8", E= *7,04 MM, SCHEDULE 30, *36,75 KG/M                                                                                                                                                                                                                                                                                                                                                                                                                                    </t>
  </si>
  <si>
    <t xml:space="preserve">TUBO ACO CARBONO SEM COSTURA 8", E= *8,18 MM, SCHEDULE 40, *42,55 KG/M                                                                                                                                                                                                                                                                                                                                                                                                                                    </t>
  </si>
  <si>
    <t xml:space="preserve">TUBO ACO GALVANIZADO COM COSTURA, CLASSE LEVE, DN 100 MM ( 4"),  E = 3,75 MM,  *10,55* KG/M (NBR 5580)                                                                                                                                                                                                                                                                                                                                                                                                    </t>
  </si>
  <si>
    <t>239,10</t>
  </si>
  <si>
    <t xml:space="preserve">TUBO ACO GALVANIZADO COM COSTURA, CLASSE LEVE, DN 15 MM ( 1/2"),  E = 2,25 MM,  *1,2* KG/M (NBR 5580)                                                                                                                                                                                                                                                                                                                                                                                                     </t>
  </si>
  <si>
    <t xml:space="preserve">TUBO ACO GALVANIZADO COM COSTURA, CLASSE LEVE, DN 20 MM ( 3/4"),  E = 2,25 MM,  *1,3* KG/M (NBR 5580)                                                                                                                                                                                                                                                                                                                                                                                                     </t>
  </si>
  <si>
    <t xml:space="preserve">TUBO ACO GALVANIZADO COM COSTURA, CLASSE LEVE, DN 25 MM ( 1"),  E = 2,65 MM,  *2,11* KG/M (NBR 5580)                                                                                                                                                                                                                                                                                                                                                                                                      </t>
  </si>
  <si>
    <t>48,83</t>
  </si>
  <si>
    <t xml:space="preserve">TUBO ACO GALVANIZADO COM COSTURA, CLASSE LEVE, DN 32 MM ( 1 1/4"),  E = 2,65 MM,  *2,71* KG/M (NBR 5580)                                                                                                                                                                                                                                                                                                                                                                                                  </t>
  </si>
  <si>
    <t>71,17</t>
  </si>
  <si>
    <t xml:space="preserve">TUBO ACO GALVANIZADO COM COSTURA, CLASSE LEVE, DN 40 MM ( 1 1/2"),  E = 3,00 MM,  *3,48* KG/M (NBR 5580)                                                                                                                                                                                                                                                                                                                                                                                                  </t>
  </si>
  <si>
    <t xml:space="preserve">TUBO ACO GALVANIZADO COM COSTURA, CLASSE LEVE, DN 50 MM ( 2"),  E = 3,00 MM,  *4,40* KG/M (NBR 5580)                                                                                                                                                                                                                                                                                                                                                                                                      </t>
  </si>
  <si>
    <t>102,63</t>
  </si>
  <si>
    <t xml:space="preserve">TUBO ACO GALVANIZADO COM COSTURA, CLASSE LEVE, DN 65 MM ( 2 1/2"),  E = 3,35 MM, * 6,23* KG/M (NBR 5580)                                                                                                                                                                                                                                                                                                                                                                                                  </t>
  </si>
  <si>
    <t xml:space="preserve">TUBO ACO GALVANIZADO COM COSTURA, CLASSE LEVE, DN 80 MM ( 3"),  E = 3,35 MM, *7,32* KG/M (NBR 5580)                                                                                                                                                                                                                                                                                                                                                                                                       </t>
  </si>
  <si>
    <t>164,98</t>
  </si>
  <si>
    <t xml:space="preserve">TUBO ACO GALVANIZADO COM COSTURA, CLASSE MEDIA, DN 1.1/2", E = *3,25* MM, PESO *3,61* KG/M (NBR 5580)                                                                                                                                                                                                                                                                                                                                                                                                     </t>
  </si>
  <si>
    <t xml:space="preserve">TUBO ACO GALVANIZADO COM COSTURA, CLASSE MEDIA, DN 1.1/4", E = *3,25* MM, PESO *3,14* KG/M (NBR 5580)                                                                                                                                                                                                                                                                                                                                                                                                     </t>
  </si>
  <si>
    <t xml:space="preserve">TUBO ACO GALVANIZADO COM COSTURA, CLASSE MEDIA, DN 1/2", E = *2,65* MM, PESO *1,22* KG/M (NBR 5580)                                                                                                                                                                                                                                                                                                                                                                                                       </t>
  </si>
  <si>
    <t xml:space="preserve">TUBO ACO GALVANIZADO COM COSTURA, CLASSE MEDIA, DN 1", E = 3,38 MM, PESO 2,50 KG/M (NBR 5580)                                                                                                                                                                                                                                                                                                                                                                                                             </t>
  </si>
  <si>
    <t xml:space="preserve">TUBO ACO GALVANIZADO COM COSTURA, CLASSE MEDIA, DN 2.1/2", E = *3,65* MM, PESO *6,51* KG/M (NBR 5580)                                                                                                                                                                                                                                                                                                                                                                                                     </t>
  </si>
  <si>
    <t>140,88</t>
  </si>
  <si>
    <t xml:space="preserve">TUBO ACO GALVANIZADO COM COSTURA, CLASSE MEDIA, DN 2", E = *3,65* MM, PESO *5,10* KG/M (NBR 5580)                                                                                                                                                                                                                                                                                                                                                                                                         </t>
  </si>
  <si>
    <t xml:space="preserve">TUBO ACO GALVANIZADO COM COSTURA, CLASSE MEDIA, DN 3/4", E = *2,65* MM, PESO *1,58* KG/M (NBR 5580)                                                                                                                                                                                                                                                                                                                                                                                                       </t>
  </si>
  <si>
    <t xml:space="preserve">TUBO ACO GALVANIZADO COM COSTURA, CLASSE MEDIA, DN 3", E = *4,05* MM, PESO *8,47* KG/M (NBR 5580)                                                                                                                                                                                                                                                                                                                                                                                                         </t>
  </si>
  <si>
    <t xml:space="preserve">TUBO ACO GALVANIZADO COM COSTURA, CLASSE MEDIA, DN 4", E = 4,50* MM, PESO 12,10* KG/M (NBR 5580)                                                                                                                                                                                                                                                                                                                                                                                                          </t>
  </si>
  <si>
    <t>261,10</t>
  </si>
  <si>
    <t xml:space="preserve">TUBO ACO GALVANIZADO COM COSTURA, CLASSE MEDIA, DN 5", E = *5,40* MM, PESO *17,80* KG/M (NBR 5580)                                                                                                                                                                                                                                                                                                                                                                                                        </t>
  </si>
  <si>
    <t>390,91</t>
  </si>
  <si>
    <t xml:space="preserve">TUBO ACO GALVANIZADO COM COSTURA, CLASSE MEDIA, DN 6", E = 4,85* MM, PESO 19,68* KG/M (NBR 5580)                                                                                                                                                                                                                                                                                                                                                                                                          </t>
  </si>
  <si>
    <t>423,95</t>
  </si>
  <si>
    <t xml:space="preserve">TUBO ACO INDUSTRIAL DN 2" (50,8 MM) E=1,50MM, PESO= 1,8237 KG/M                                                                                                                                                                                                                                                                                                                                                                                                                                           </t>
  </si>
  <si>
    <t xml:space="preserve">TUBO COLETOR DE ESGOTO PVC, JEI, DN 100 MM (NBR  7362)                                                                                                                                                                                                                                                                                                                                                                                                                                                    </t>
  </si>
  <si>
    <t xml:space="preserve">TUBO COLETOR DE ESGOTO PVC, JEI, DN 200 MM (NBR 7362)                                                                                                                                                                                                                                                                                                                                                                                                                                                     </t>
  </si>
  <si>
    <t xml:space="preserve">TUBO COLETOR DE ESGOTO PVC, JEI, DN 250 MM (NBR 7362)                                                                                                                                                                                                                                                                                                                                                                                                                                                     </t>
  </si>
  <si>
    <t xml:space="preserve">TUBO COLETOR DE ESGOTO PVC, JEI, DN 300 MM (NBR 7362)                                                                                                                                                                                                                                                                                                                                                                                                                                                     </t>
  </si>
  <si>
    <t xml:space="preserve">TUBO COLETOR DE ESGOTO PVC, JEI, DN 350 MM (NBR 7362)                                                                                                                                                                                                                                                                                                                                                                                                                                                     </t>
  </si>
  <si>
    <t xml:space="preserve">TUBO COLETOR DE ESGOTO PVC, JEI, DN 400 MM (NBR 7362)                                                                                                                                                                                                                                                                                                                                                                                                                                                     </t>
  </si>
  <si>
    <t xml:space="preserve">TUBO COLETOR DE ESGOTO, PVC, JEI, DN 150 MM  (NBR 7362)                                                                                                                                                                                                                                                                                                                                                                                                                                                   </t>
  </si>
  <si>
    <t xml:space="preserve">TUBO CORRUGADO PEAD, PAREDE DUPLA, INTERNA LISA, JEI, DN/DI *1000* MM, PARA SANEAMENTO                                                                                                                                                                                                                                                                                                                                                                                                                    </t>
  </si>
  <si>
    <t xml:space="preserve">TUBO CORRUGADO PEAD, PAREDE DUPLA, INTERNA LISA, JEI, DN/DI *400* MM, PARA SANEAMENTO                                                                                                                                                                                                                                                                                                                                                                                                                     </t>
  </si>
  <si>
    <t xml:space="preserve">TUBO CORRUGADO PEAD, PAREDE DUPLA, INTERNA LISA, JEI, DN/DI *800* MM, PARA SANEAMENTO                                                                                                                                                                                                                                                                                                                                                                                                                     </t>
  </si>
  <si>
    <t xml:space="preserve">TUBO CORRUGADO PEAD, PAREDE DUPLA, INTERNA LISA, JEI, DN/DI 1200 MM, PARA SANEAMENTO                                                                                                                                                                                                                                                                                                                                                                                                                      </t>
  </si>
  <si>
    <t xml:space="preserve">TUBO CORRUGADO PEAD, PAREDE DUPLA, INTERNA LISA, JEI, DN/DI 250 MM, PARA SANEAMENTO                                                                                                                                                                                                                                                                                                                                                                                                                       </t>
  </si>
  <si>
    <t xml:space="preserve">TUBO CORRUGADO PEAD, PAREDE DUPLA, INTERNA LISA, JEI, DN/DI 300 MM, PARA SANEAMENTO                                                                                                                                                                                                                                                                                                                                                                                                                       </t>
  </si>
  <si>
    <t xml:space="preserve">TUBO CORRUGADO PEAD, PAREDE DUPLA, INTERNA LISA, JEI, DN/DI 600 MM, PARA SANEAMENTO                                                                                                                                                                                                                                                                                                                                                                                                                       </t>
  </si>
  <si>
    <t xml:space="preserve">TUBO CPVC SOLDAVEL, 35 MM, AGUA QUENTE PREDIAL (NBR 15884)                                                                                                                                                                                                                                                                                                                                                                                                                                                </t>
  </si>
  <si>
    <t xml:space="preserve">TUBO CPVC, SOLDAVEL, 15 MM, AGUA QUENTE PREDIAL (NBR 15884)                                                                                                                                                                                                                                                                                                                                                                                                                                               </t>
  </si>
  <si>
    <t xml:space="preserve">TUBO CPVC, SOLDAVEL, 22 MM, AGUA QUENTE PREDIAL (NBR 15884)                                                                                                                                                                                                                                                                                                                                                                                                                                               </t>
  </si>
  <si>
    <t xml:space="preserve">TUBO CPVC, SOLDAVEL, 28 MM, AGUA QUENTE PREDIAL (NBR 15884)                                                                                                                                                                                                                                                                                                                                                                                                                                               </t>
  </si>
  <si>
    <t>34,46</t>
  </si>
  <si>
    <t xml:space="preserve">TUBO CPVC, SOLDAVEL, 42 MM, AGUA QUENTE PREDIAL (NBR 15884)                                                                                                                                                                                                                                                                                                                                                                                                                                               </t>
  </si>
  <si>
    <t xml:space="preserve">TUBO CPVC, SOLDAVEL, 54 MM, AGUA QUENTE PREDIAL (NBR 15884)                                                                                                                                                                                                                                                                                                                                                                                                                                               </t>
  </si>
  <si>
    <t>89,15</t>
  </si>
  <si>
    <t xml:space="preserve">TUBO CPVC, SOLDAVEL, 73 MM, AGUA QUENTE PREDIAL (NBR 15884)                                                                                                                                                                                                                                                                                                                                                                                                                                               </t>
  </si>
  <si>
    <t>136,93</t>
  </si>
  <si>
    <t xml:space="preserve">TUBO CPVC, SOLDAVEL, 89 MM, AGUA QUENTE PREDIAL (NBR 15884)                                                                                                                                                                                                                                                                                                                                                                                                                                               </t>
  </si>
  <si>
    <t>216,98</t>
  </si>
  <si>
    <t xml:space="preserve">TUBO DE BORRACHA ELASTOMERICA FLEXIVEL, PRETA, PARA ISOLAMENTO TERMICO DE TUBULACAO, DN 1 1/8" (28 MM), E= 32 MM, COEFICIENTE DE CONDUTIVIDADE TERMICA 0,036W/mK, VAPOR DE AGUA MAIOR OU IGUAL A 10.000                                                                                                                                                                                                                                                                                                   </t>
  </si>
  <si>
    <t>70,56</t>
  </si>
  <si>
    <t xml:space="preserve">TUBO DE BORRACHA ELASTOMERICA FLEXIVEL, PRETA, PARA ISOLAMENTO TERMICO DE TUBULACAO, DN 1 3/8" (35 MM), E= 32 MM, COEFICIENTE DE CONDUTIVIDADE TERMICA 0,036W/mK, VAPOR DE AGUA MAIOR OU IGUAL A 10.000                                                                                                                                                                                                                                                                                                   </t>
  </si>
  <si>
    <t>83,70</t>
  </si>
  <si>
    <t xml:space="preserve">TUBO DE BORRACHA ELASTOMERICA FLEXIVEL, PRETA, PARA ISOLAMENTO TERMICO DE TUBULACAO, DN 1 5/8" (42 MM), E= 32 MM, COEFICIENTE DE CONDUTIVIDADE TERMICA 0,036W/mK, VAPOR DE AGUA MAIOR OU IGUAL A 10.000                                                                                                                                                                                                                                                                                                   </t>
  </si>
  <si>
    <t>95,52</t>
  </si>
  <si>
    <t xml:space="preserve">TUBO DE BORRACHA ELASTOMERICA FLEXIVEL, PRETA, PARA ISOLAMENTO TERMICO DE TUBULACAO, DN 1/2" (12 MM), E= 19 MM, COEFICIENTE DE CONDUTIVIDADE TERMICA 0,036W/mK, VAPOR DE AGUA MAIOR OU IGUAL A 10.000                                                                                                                                                                                                                                                                                                     </t>
  </si>
  <si>
    <t xml:space="preserve">TUBO DE BORRACHA ELASTOMERICA FLEXIVEL, PRETA, PARA ISOLAMENTO TERMICO DE TUBULACAO, DN 1/4" (6 MM), E= 9 MM, COEFICIENTE DE CONDUTIVIDADE TERMICA 0,036W/mK, VAPOR DE AGUA MAIOR OU IGUAL A 10.000                                                                                                                                                                                                                                                                                                       </t>
  </si>
  <si>
    <t xml:space="preserve">TUBO DE BORRACHA ELASTOMERICA FLEXIVEL, PRETA, PARA ISOLAMENTO TERMICO DE TUBULACAO, DN 1" (25 MM), E= 32 MM, COEFICIENTE DE CONDUTIVIDADE TERMICA 0,036W/mK, VAPOR DE AGUA MAIOR OU IGUAL A 10.000                                                                                                                                                                                                                                                                                                       </t>
  </si>
  <si>
    <t xml:space="preserve">TUBO DE BORRACHA ELASTOMERICA FLEXIVEL, PRETA, PARA ISOLAMENTO TERMICO DE TUBULACAO, DN 2 1/8" (54 MM), E= 32 MM, COEFICIENTE DE CONDUTIVIDADE TERMICA 0,036W/mK, VAPOR DE AGUA MAIOR OU IGUAL A 10.000                                                                                                                                                                                                                                                                                                   </t>
  </si>
  <si>
    <t xml:space="preserve">TUBO DE BORRACHA ELASTOMERICA FLEXIVEL, PRETA, PARA ISOLAMENTO TERMICO DE TUBULACAO, DN 2 5/8" (*64* MM), E= *32* MM, COEFICIENTE DE CONDUTIVIDADE TERMICA 0,036W/MK, VAPOR DE AGUA MAIOR OU IGUAL A 10.000                                                                                                                                                                                                                                                                                               </t>
  </si>
  <si>
    <t>115,93</t>
  </si>
  <si>
    <t xml:space="preserve">TUBO DE BORRACHA ELASTOMERICA FLEXIVEL, PRETA, PARA ISOLAMENTO TERMICO DE TUBULACAO, DN 3/4" (18 MM), E= 32 MM, COEFICIENTE DE CONDUTIVIDADE TERMICA 0,036W/mK, VAPOR DE AGUA MAIOR OU IGUAL A 10.000                                                                                                                                                                                                                                                                                                     </t>
  </si>
  <si>
    <t xml:space="preserve">TUBO DE BORRACHA ELASTOMERICA FLEXIVEL, PRETA, PARA ISOLAMENTO TERMICO DE TUBULACAO, DN 3/8" (10 MM), E= 19 MM, COEFICIENTE DE CONDUTIVIDADE TERMICA 0,036W/mK, VAPOR DE AGUA MAIOR OU IGUAL A 10.000                                                                                                                                                                                                                                                                                                     </t>
  </si>
  <si>
    <t xml:space="preserve">TUBO DE BORRACHA ELASTOMERICA FLEXIVEL, PRETA, PARA ISOLAMENTO TERMICO DE TUBULACAO, DN 5/8" (15 MM), E= 19 MM, COEFICIENTE DE CONDUTIVIDADE TERMICA 0,036W/MK, VAPOR DE AGUA MAIOR OU IGUAL A 10.000                                                                                                                                                                                                                                                                                                     </t>
  </si>
  <si>
    <t xml:space="preserve">TUBO DE BORRACHA ELASTOMERICA FLEXIVEL, PRETA, PARA ISOLAMENTO TERMICO DE TUBULACAO, DN 7/8" (22 MM), E= 32 MM, COEFICIENTE DE CONDUTIVIDADE TERMICA 0,036W/mK, VAPOR DE AGUA MAIOR OU IGUAL A 10.000                                                                                                                                                                                                                                                                                                     </t>
  </si>
  <si>
    <t xml:space="preserve">TUBO DE COBRE CLASSE "A", DN = 1 " (28 MM), PARA INSTALACOES DE MEDIA PRESSAO PARA GASES COMBUSTIVEIS E MEDICINAIS                                                                                                                                                                                                                                                                                                                                                                                        </t>
  </si>
  <si>
    <t>108,45</t>
  </si>
  <si>
    <t xml:space="preserve">TUBO DE COBRE CLASSE "A", DN = 1 1/2 " (42 MM), PARA INSTALACOES DE MEDIA PRESSAO PARA GASES COMBUSTIVEIS E MEDICINAIS                                                                                                                                                                                                                                                                                                                                                                                    </t>
  </si>
  <si>
    <t>197,07</t>
  </si>
  <si>
    <t xml:space="preserve">TUBO DE COBRE CLASSE "A", DN = 1 1/4 " (35 MM), PARA INSTALACOES DE MEDIA PRESSAO PARA GASES COMBUSTIVEIS E MEDICINAIS                                                                                                                                                                                                                                                                                                                                                                                    </t>
  </si>
  <si>
    <t>163,80</t>
  </si>
  <si>
    <t xml:space="preserve">TUBO DE COBRE CLASSE "A", DN = 1/2 " (15 MM), PARA INSTALACOES DE MEDIA PRESSAO PARA GASES COMBUSTIVEIS E MEDICINAIS                                                                                                                                                                                                                                                                                                                                                                                      </t>
  </si>
  <si>
    <t>52,69</t>
  </si>
  <si>
    <t xml:space="preserve">TUBO DE COBRE CLASSE "A", DN = 2 1/2 " (66 MM), PARA INSTALACOES DE MEDIA PRESSAO PARA GASES COMBUSTIVEIS E MEDICINAIS                                                                                                                                                                                                                                                                                                                                                                                    </t>
  </si>
  <si>
    <t>362,75</t>
  </si>
  <si>
    <t xml:space="preserve">TUBO DE COBRE CLASSE "A", DN = 3 " (79 MM), PARA INSTALACOES DE MEDIA PRESSAO PARA GASES COMBUSTIVEIS E MEDICINAIS                                                                                                                                                                                                                                                                                                                                                                                        </t>
  </si>
  <si>
    <t>534,43</t>
  </si>
  <si>
    <t xml:space="preserve">TUBO DE COBRE CLASSE "A", DN = 3/4 " (22 MM), PARA INSTALACOES DE MEDIA PRESSAO PARA GASES COMBUSTIVEIS E MEDICINAIS                                                                                                                                                                                                                                                                                                                                                                                      </t>
  </si>
  <si>
    <t>85,25</t>
  </si>
  <si>
    <t xml:space="preserve">TUBO DE COBRE CLASSE "A", DN = 4 " (104 MM), PARA INSTALACOES DE MEDIA PRESSAO PARA GASES COMBUSTIVEIS E MEDICINAIS                                                                                                                                                                                                                                                                                                                                                                                       </t>
  </si>
  <si>
    <t>810,32</t>
  </si>
  <si>
    <t xml:space="preserve">TUBO DE COBRE CLASSE "E", DN = 104 MM, PARA INSTALACAO HIDRAULICA PREDIAL                                                                                                                                                                                                                                                                                                                                                                                                                                 </t>
  </si>
  <si>
    <t>641,64</t>
  </si>
  <si>
    <t xml:space="preserve">TUBO DE COBRE CLASSE "E", DN = 15 MM, PARA INSTALACAO HIDRAULICA PREDIAL                                                                                                                                                                                                                                                                                                                                                                                                                                  </t>
  </si>
  <si>
    <t xml:space="preserve">TUBO DE COBRE CLASSE "E", DN = 22 MM, PARA INSTALACAO HIDRAULICA PREDIAL                                                                                                                                                                                                                                                                                                                                                                                                                                  </t>
  </si>
  <si>
    <t>58,54</t>
  </si>
  <si>
    <t xml:space="preserve">TUBO DE COBRE CLASSE "E", DN = 28 MM, PARA INSTALACAO HIDRAULICA PREDIAL                                                                                                                                                                                                                                                                                                                                                                                                                                  </t>
  </si>
  <si>
    <t>74,29</t>
  </si>
  <si>
    <t xml:space="preserve">TUBO DE COBRE CLASSE "E", DN = 35 MM, PARA INSTALACAO HIDRAULICA PREDIAL                                                                                                                                                                                                                                                                                                                                                                                                                                  </t>
  </si>
  <si>
    <t>107,89</t>
  </si>
  <si>
    <t xml:space="preserve">TUBO DE COBRE CLASSE "E", DN = 42 MM, PARA INSTALACAO HIDRAULICA PREDIAL                                                                                                                                                                                                                                                                                                                                                                                                                                  </t>
  </si>
  <si>
    <t>145,69</t>
  </si>
  <si>
    <t xml:space="preserve">TUBO DE COBRE CLASSE "E", DN = 54 MM, PARA INSTALACAO HIDRAULICA PREDIAL                                                                                                                                                                                                                                                                                                                                                                                                                                  </t>
  </si>
  <si>
    <t>211,29</t>
  </si>
  <si>
    <t xml:space="preserve">TUBO DE COBRE CLASSE "E", DN = 66 MM, PARA INSTALACAO HIDRAULICA PREDIAL                                                                                                                                                                                                                                                                                                                                                                                                                                  </t>
  </si>
  <si>
    <t>297,66</t>
  </si>
  <si>
    <t xml:space="preserve">TUBO DE COBRE CLASSE "E", DN = 79 MM, PARA INSTALACAO HIDRAULICA PREDIAL                                                                                                                                                                                                                                                                                                                                                                                                                                  </t>
  </si>
  <si>
    <t>435,14</t>
  </si>
  <si>
    <t xml:space="preserve">TUBO DE COBRE CLASSE "I", DN = 1 " (28 MM), PARA INSTALACOES INDUSTRIAIS DE ALTA PRESSAO E VAPOR                                                                                                                                                                                                                                                                                                                                                                                                          </t>
  </si>
  <si>
    <t>142,92</t>
  </si>
  <si>
    <t xml:space="preserve">TUBO DE COBRE CLASSE "I", DN = 1 1/2 " (42 MM), PARA INSTALACOES INDUSTRIAIS DE ALTA PRESSAO E VAPOR                                                                                                                                                                                                                                                                                                                                                                                                      </t>
  </si>
  <si>
    <t>251,19</t>
  </si>
  <si>
    <t xml:space="preserve">TUBO DE COBRE CLASSE "I", DN = 1 1/4 " (35 MM), PARA INSTALACOES INDUSTRIAIS DE ALTA PRESSAO E VAPOR                                                                                                                                                                                                                                                                                                                                                                                                      </t>
  </si>
  <si>
    <t>206,72</t>
  </si>
  <si>
    <t xml:space="preserve">TUBO DE COBRE CLASSE "I", DN = 1/2 " (15 MM), PARA INSTALACOES INDUSTRIAIS DE ALTA PRESSAO E VAPOR                                                                                                                                                                                                                                                                                                                                                                                                        </t>
  </si>
  <si>
    <t>63,29</t>
  </si>
  <si>
    <t xml:space="preserve">TUBO DE COBRE CLASSE "I", DN = 2 " (54 MM), PARA INSTALACOES INDUSTRIAIS DE ALTA PRESSAO E VAPOR                                                                                                                                                                                                                                                                                                                                                                                                          </t>
  </si>
  <si>
    <t>347,86</t>
  </si>
  <si>
    <t xml:space="preserve">TUBO DE COBRE CLASSE "I", DN = 2 1/2 " (66 MM), PARA INSTALACOES INDUSTRIAIS DE ALTA PRESSAO E VAPOR                                                                                                                                                                                                                                                                                                                                                                                                      </t>
  </si>
  <si>
    <t>451,33</t>
  </si>
  <si>
    <t xml:space="preserve">TUBO DE COBRE CLASSE "I", DN = 3 " (79 MM), PARA INSTALACOES INDUSTRIAIS DE ALTA PRESSAO E VAPOR                                                                                                                                                                                                                                                                                                                                                                                                          </t>
  </si>
  <si>
    <t>668,45</t>
  </si>
  <si>
    <t xml:space="preserve">TUBO DE COBRE CLASSE "I", DN = 3/4 " (22 MM), PARA INSTALACOES INDUSTRIAIS DE ALTA PRESSAO E VAPOR                                                                                                                                                                                                                                                                                                                                                                                                        </t>
  </si>
  <si>
    <t>103,16</t>
  </si>
  <si>
    <t xml:space="preserve">TUBO DE COBRE CLASSE "I", DN = 4" (104 MM), PARA INSTALACOES INDUSTRIAIS DE ALTA PRESSAO E VAPOR                                                                                                                                                                                                                                                                                                                                                                                                          </t>
  </si>
  <si>
    <t>983,92</t>
  </si>
  <si>
    <t xml:space="preserve">TUBO DE COBRE FLEXIVEL, D = 1/2 ", E = 0,79 MM, PARA AR-CONDICIONADO/ INSTALACOES GAS RESIDENCIAIS E COMERCIAIS                                                                                                                                                                                                                                                                                                                                                                                           </t>
  </si>
  <si>
    <t xml:space="preserve">TUBO DE COBRE FLEXIVEL, D = 1/4 ", E = 0,79 MM, PARA AR-CONDICIONADO/ INSTALACOES GAS RESIDENCIAIS E COMERCIAIS                                                                                                                                                                                                                                                                                                                                                                                           </t>
  </si>
  <si>
    <t xml:space="preserve">TUBO DE COBRE FLEXIVEL, D = 3/16 ", E = 0,79 MM, PARA AR-CONDICIONADO/ INSTALACOES GAS RESIDENCIAIS E COMERCIAIS                                                                                                                                                                                                                                                                                                                                                                                          </t>
  </si>
  <si>
    <t xml:space="preserve">TUBO DE COBRE FLEXIVEL, D = 3/4 ", E = 0,79 MM, PARA AR-CONDICIONADO/ INSTALACOES GAS RESIDENCIAIS E COMERCIAIS                                                                                                                                                                                                                                                                                                                                                                                           </t>
  </si>
  <si>
    <t>67,45</t>
  </si>
  <si>
    <t xml:space="preserve">TUBO DE COBRE FLEXIVEL, D = 3/8 ", E = 0,79 MM, PARA AR-CONDICIONADO/ INSTALACOES GAS RESIDENCIAIS E COMERCIAIS                                                                                                                                                                                                                                                                                                                                                                                           </t>
  </si>
  <si>
    <t xml:space="preserve">TUBO DE COBRE FLEXIVEL, D = 5/16 ", E = 0,79 MM, PARA AR-CONDICIONADO/ INSTALACOES GAS RESIDENCIAIS E COMERCIAIS                                                                                                                                                                                                                                                                                                                                                                                          </t>
  </si>
  <si>
    <t xml:space="preserve">TUBO DE COBRE FLEXIVEL, D = 5/8 ", E = 0,79 MM, PARA AR-CONDICIONADO/ INSTALACOES GAS RESIDENCIAIS E COMERCIAIS                                                                                                                                                                                                                                                                                                                                                                                           </t>
  </si>
  <si>
    <t xml:space="preserve">TUBO DE COBRE, CLASSE "A", DN = 2" (54 MM), PARA INSTALACOES DE MEDIA PRESSAO PARA GASES COMBUSTIVEIS E MEDICINAIS                                                                                                                                                                                                                                                                                                                                                                                        </t>
  </si>
  <si>
    <t>280,41</t>
  </si>
  <si>
    <t xml:space="preserve">TUBO DE CONCRETO ARMADO PARA AGUAS PLUVIAIS, CLASSE PA-1, COM ENCAIXE PONTA E BOLSA, DIAMETRO NOMINAL DE = 600 MM                                                                                                                                                                                                                                                                                                                                                                                         </t>
  </si>
  <si>
    <t>148,50</t>
  </si>
  <si>
    <t xml:space="preserve">TUBO DE CONCRETO ARMADO PARA AGUAS PLUVIAIS, CLASSE PA-1, COM ENCAIXE PONTA E BOLSA, DIAMETRO NOMINAL DE 1000 MM                                                                                                                                                                                                                                                                                                                                                                                          </t>
  </si>
  <si>
    <t>289,51</t>
  </si>
  <si>
    <t xml:space="preserve">TUBO DE CONCRETO ARMADO PARA AGUAS PLUVIAIS, CLASSE PA-1, COM ENCAIXE PONTA E BOLSA, DIAMETRO NOMINAL DE 1100 MM                                                                                                                                                                                                                                                                                                                                                                                          </t>
  </si>
  <si>
    <t>405,56</t>
  </si>
  <si>
    <t xml:space="preserve">TUBO DE CONCRETO ARMADO PARA AGUAS PLUVIAIS, CLASSE PA-1, COM ENCAIXE PONTA E BOLSA, DIAMETRO NOMINAL DE 1200 MM                                                                                                                                                                                                                                                                                                                                                                                          </t>
  </si>
  <si>
    <t>432,39</t>
  </si>
  <si>
    <t xml:space="preserve">TUBO DE CONCRETO ARMADO PARA AGUAS PLUVIAIS, CLASSE PA-1, COM ENCAIXE PONTA E BOLSA, DIAMETRO NOMINAL DE 1500 MM                                                                                                                                                                                                                                                                                                                                                                                          </t>
  </si>
  <si>
    <t>626,44</t>
  </si>
  <si>
    <t xml:space="preserve">TUBO DE CONCRETO ARMADO PARA AGUAS PLUVIAIS, CLASSE PA-1, COM ENCAIXE PONTA E BOLSA, DIAMETRO NOMINAL DE 2000 MM                                                                                                                                                                                                                                                                                                                                                                                          </t>
  </si>
  <si>
    <t>1.735,87</t>
  </si>
  <si>
    <t xml:space="preserve">TUBO DE CONCRETO ARMADO PARA AGUAS PLUVIAIS, CLASSE PA-1, COM ENCAIXE PONTA E BOLSA, DIAMETRO NOMINAL DE 300 MM                                                                                                                                                                                                                                                                                                                                                                                           </t>
  </si>
  <si>
    <t xml:space="preserve">TUBO DE CONCRETO ARMADO PARA AGUAS PLUVIAIS, CLASSE PA-1, COM ENCAIXE PONTA E BOLSA, DIAMETRO NOMINAL DE 400 MM                                                                                                                                                                                                                                                                                                                                                                                           </t>
  </si>
  <si>
    <t xml:space="preserve">TUBO DE CONCRETO ARMADO PARA AGUAS PLUVIAIS, CLASSE PA-1, COM ENCAIXE PONTA E BOLSA, DIAMETRO NOMINAL DE 500 MM                                                                                                                                                                                                                                                                                                                                                                                           </t>
  </si>
  <si>
    <t>91,72</t>
  </si>
  <si>
    <t xml:space="preserve">TUBO DE CONCRETO ARMADO PARA AGUAS PLUVIAIS, CLASSE PA-1, COM ENCAIXE PONTA E BOLSA, DIAMETRO NOMINAL DE 700 MM                                                                                                                                                                                                                                                                                                                                                                                           </t>
  </si>
  <si>
    <t>202,40</t>
  </si>
  <si>
    <t xml:space="preserve">TUBO DE CONCRETO ARMADO PARA AGUAS PLUVIAIS, CLASSE PA-1, COM ENCAIXE PONTA E BOLSA, DIAMETRO NOMINAL DE 800 MM                                                                                                                                                                                                                                                                                                                                                                                           </t>
  </si>
  <si>
    <t>247,08</t>
  </si>
  <si>
    <t xml:space="preserve">TUBO DE CONCRETO ARMADO PARA AGUAS PLUVIAIS, CLASSE PA-1, COM ENCAIXE PONTA E BOLSA, DIAMETRO NOMINAL DE 900 MM                                                                                                                                                                                                                                                                                                                                                                                           </t>
  </si>
  <si>
    <t>283,89</t>
  </si>
  <si>
    <t xml:space="preserve">TUBO DE CONCRETO ARMADO PARA AGUAS PLUVIAIS, CLASSE PA-2, COM ENCAIXE PONTA E BOLSA, DIAMETRO NOMINAL DE 1000 MM                                                                                                                                                                                                                                                                                                                                                                                          </t>
  </si>
  <si>
    <t>318,21</t>
  </si>
  <si>
    <t xml:space="preserve">TUBO DE CONCRETO ARMADO PARA AGUAS PLUVIAIS, CLASSE PA-2, COM ENCAIXE PONTA E BOLSA, DIAMETRO NOMINAL DE 1100 MM                                                                                                                                                                                                                                                                                                                                                                                          </t>
  </si>
  <si>
    <t>439,26</t>
  </si>
  <si>
    <t xml:space="preserve">TUBO DE CONCRETO ARMADO PARA AGUAS PLUVIAIS, CLASSE PA-2, COM ENCAIXE PONTA E BOLSA, DIAMETRO NOMINAL DE 1200 MM                                                                                                                                                                                                                                                                                                                                                                                          </t>
  </si>
  <si>
    <t>466,71</t>
  </si>
  <si>
    <t xml:space="preserve">TUBO DE CONCRETO ARMADO PARA AGUAS PLUVIAIS, CLASSE PA-2, COM ENCAIXE PONTA E BOLSA, DIAMETRO NOMINAL DE 1500 MM                                                                                                                                                                                                                                                                                                                                                                                          </t>
  </si>
  <si>
    <t>670,12</t>
  </si>
  <si>
    <t xml:space="preserve">TUBO DE CONCRETO ARMADO PARA AGUAS PLUVIAIS, CLASSE PA-2, COM ENCAIXE PONTA E BOLSA, DIAMETRO NOMINAL DE 2000 MM                                                                                                                                                                                                                                                                                                                                                                                          </t>
  </si>
  <si>
    <t>1.946,72</t>
  </si>
  <si>
    <t xml:space="preserve">TUBO DE CONCRETO ARMADO PARA AGUAS PLUVIAIS, CLASSE PA-2, COM ENCAIXE PONTA E BOLSA, DIAMETRO NOMINAL DE 300 MM                                                                                                                                                                                                                                                                                                                                                                                           </t>
  </si>
  <si>
    <t xml:space="preserve">TUBO DE CONCRETO ARMADO PARA AGUAS PLUVIAIS, CLASSE PA-2, COM ENCAIXE PONTA E BOLSA, DIAMETRO NOMINAL DE 400 MM                                                                                                                                                                                                                                                                                                                                                                                           </t>
  </si>
  <si>
    <t>81,11</t>
  </si>
  <si>
    <t xml:space="preserve">TUBO DE CONCRETO ARMADO PARA AGUAS PLUVIAIS, CLASSE PA-2, COM ENCAIXE PONTA E BOLSA, DIAMETRO NOMINAL DE 500 MM                                                                                                                                                                                                                                                                                                                                                                                           </t>
  </si>
  <si>
    <t xml:space="preserve">TUBO DE CONCRETO ARMADO PARA AGUAS PLUVIAIS, CLASSE PA-2, COM ENCAIXE PONTA E BOLSA, DIAMETRO NOMINAL DE 600 MM                                                                                                                                                                                                                                                                                                                                                                                           </t>
  </si>
  <si>
    <t>128,84</t>
  </si>
  <si>
    <t xml:space="preserve">TUBO DE CONCRETO ARMADO PARA AGUAS PLUVIAIS, CLASSE PA-2, COM ENCAIXE PONTA E BOLSA, DIAMETRO NOMINAL DE 700 MM                                                                                                                                                                                                                                                                                                                                                                                           </t>
  </si>
  <si>
    <t>197,16</t>
  </si>
  <si>
    <t xml:space="preserve">TUBO DE CONCRETO ARMADO PARA AGUAS PLUVIAIS, CLASSE PA-2, COM ENCAIXE PONTA E BOLSA, DIAMETRO NOMINAL DE 800 MM                                                                                                                                                                                                                                                                                                                                                                                           </t>
  </si>
  <si>
    <t xml:space="preserve">TUBO DE CONCRETO ARMADO PARA AGUAS PLUVIAIS, CLASSE PA-2, COM ENCAIXE PONTA E BOLSA, DIAMETRO NOMINAL DE 900 MM                                                                                                                                                                                                                                                                                                                                                                                           </t>
  </si>
  <si>
    <t>287,01</t>
  </si>
  <si>
    <t xml:space="preserve">TUBO DE CONCRETO ARMADO PARA AGUAS PLUVIAIS, CLASSE PA-3, COM ENCAIXE PONTA E BOLSA, DIAMETRO NOMINAL DE 1000 MM                                                                                                                                                                                                                                                                                                                                                                                          </t>
  </si>
  <si>
    <t xml:space="preserve">TUBO DE CONCRETO ARMADO PARA AGUAS PLUVIAIS, CLASSE PA-3, COM ENCAIXE PONTA E BOLSA, DIAMETRO NOMINAL DE 1100 MM                                                                                                                                                                                                                                                                                                                                                                                          </t>
  </si>
  <si>
    <t>533,47</t>
  </si>
  <si>
    <t xml:space="preserve">TUBO DE CONCRETO ARMADO PARA AGUAS PLUVIAIS, CLASSE PA-3, COM ENCAIXE PONTA E BOLSA, DIAMETRO NOMINAL DE 1200 MM                                                                                                                                                                                                                                                                                                                                                                                          </t>
  </si>
  <si>
    <t>645,03</t>
  </si>
  <si>
    <t xml:space="preserve">TUBO DE CONCRETO ARMADO PARA AGUAS PLUVIAIS, CLASSE PA-3, COM ENCAIXE PONTA E BOLSA, DIAMETRO NOMINAL DE 1500 MM                                                                                                                                                                                                                                                                                                                                                                                          </t>
  </si>
  <si>
    <t>979,60</t>
  </si>
  <si>
    <t xml:space="preserve">TUBO DE CONCRETO ARMADO PARA AGUAS PLUVIAIS, CLASSE PA-3, COM ENCAIXE PONTA E BOLSA, DIAMETRO NOMINAL DE 400 MM                                                                                                                                                                                                                                                                                                                                                                                           </t>
  </si>
  <si>
    <t>118,55</t>
  </si>
  <si>
    <t xml:space="preserve">TUBO DE CONCRETO ARMADO PARA AGUAS PLUVIAIS, CLASSE PA-3, COM ENCAIXE PONTA E BOLSA, DIAMETRO NOMINAL DE 500 MM                                                                                                                                                                                                                                                                                                                                                                                           </t>
  </si>
  <si>
    <t>159,73</t>
  </si>
  <si>
    <t xml:space="preserve">TUBO DE CONCRETO ARMADO PARA AGUAS PLUVIAIS, CLASSE PA-3, COM ENCAIXE PONTA E BOLSA, DIAMETRO NOMINAL DE 600 MM                                                                                                                                                                                                                                                                                                                                                                                           </t>
  </si>
  <si>
    <t>193,42</t>
  </si>
  <si>
    <t xml:space="preserve">TUBO DE CONCRETO ARMADO PARA AGUAS PLUVIAIS, CLASSE PA-3, COM ENCAIXE PONTA E BOLSA, DIAMETRO NOMINAL DE 700 MM                                                                                                                                                                                                                                                                                                                                                                                           </t>
  </si>
  <si>
    <t>333,18</t>
  </si>
  <si>
    <t xml:space="preserve">TUBO DE CONCRETO ARMADO PARA AGUAS PLUVIAIS, CLASSE PA-3, COM ENCAIXE PONTA E BOLSA, DIAMETRO NOMINAL DE 800 MM                                                                                                                                                                                                                                                                                                                                                                                           </t>
  </si>
  <si>
    <t>347,16</t>
  </si>
  <si>
    <t xml:space="preserve">TUBO DE CONCRETO ARMADO PARA AGUAS PLUVIAIS, CLASSE PA-3, COM ENCAIXE PONTA E BOLSA, DIAMETRO NOMINAL DE 900 MM                                                                                                                                                                                                                                                                                                                                                                                           </t>
  </si>
  <si>
    <t>371,87</t>
  </si>
  <si>
    <t xml:space="preserve">TUBO DE CONCRETO ARMADO PARA ESGOTO SANITARIO, CLASSE EA-2, COM ENCAIXE PONTA E BOLSA, COM JUNTA ELASTICA, DIAMETRO NOMINAL DE 1000 MM                                                                                                                                                                                                                                                                                                                                                                    </t>
  </si>
  <si>
    <t>581,52</t>
  </si>
  <si>
    <t xml:space="preserve">TUBO DE CONCRETO ARMADO PARA ESGOTO SANITARIO, CLASSE EA-2, COM ENCAIXE PONTA E BOLSA, COM JUNTA ELASTICA, DIAMETRO NOMINAL DE 300 MM                                                                                                                                                                                                                                                                                                                                                                     </t>
  </si>
  <si>
    <t>121,67</t>
  </si>
  <si>
    <t xml:space="preserve">TUBO DE CONCRETO ARMADO PARA ESGOTO SANITARIO, CLASSE EA-2, COM ENCAIXE PONTA E BOLSA, COM JUNTA ELASTICA, DIAMETRO NOMINAL DE 400 MM                                                                                                                                                                                                                                                                                                                                                                     </t>
  </si>
  <si>
    <t>124,78</t>
  </si>
  <si>
    <t xml:space="preserve">TUBO DE CONCRETO ARMADO PARA ESGOTO SANITARIO, CLASSE EA-2, COM ENCAIXE PONTA E BOLSA, COM JUNTA ELASTICA, DIAMETRO NOMINAL DE 500 MM                                                                                                                                                                                                                                                                                                                                                                     </t>
  </si>
  <si>
    <t>230,86</t>
  </si>
  <si>
    <t xml:space="preserve">TUBO DE CONCRETO ARMADO PARA ESGOTO SANITARIO, CLASSE EA-2, COM ENCAIXE PONTA E BOLSA, COM JUNTA ELASTICA, DIAMETRO NOMINAL DE 600 MM                                                                                                                                                                                                                                                                                                                                                                     </t>
  </si>
  <si>
    <t>283,27</t>
  </si>
  <si>
    <t xml:space="preserve">TUBO DE CONCRETO ARMADO PARA ESGOTO SANITARIO, CLASSE EA-2, COM ENCAIXE PONTA E BOLSA, COM JUNTA ELASTICA, DIAMETRO NOMINAL DE 700 MM                                                                                                                                                                                                                                                                                                                                                                     </t>
  </si>
  <si>
    <t>370,00</t>
  </si>
  <si>
    <t xml:space="preserve">TUBO DE CONCRETO ARMADO PARA ESGOTO SANITARIO, CLASSE EA-2, COM ENCAIXE PONTA E BOLSA, COM JUNTA ELASTICA, DIAMETRO NOMINAL DE 800 MM                                                                                                                                                                                                                                                                                                                                                                     </t>
  </si>
  <si>
    <t>378,17</t>
  </si>
  <si>
    <t xml:space="preserve">TUBO DE CONCRETO ARMADO PARA ESGOTO SANITARIO, CLASSE EA-2, COM ENCAIXE PONTA E BOLSA, COM JUNTA ELASTICA, DIAMETRO NOMINAL DE 900 MM                                                                                                                                                                                                                                                                                                                                                                     </t>
  </si>
  <si>
    <t>573,40</t>
  </si>
  <si>
    <t xml:space="preserve">TUBO DE CONCRETO ARMADO PARA ESGOTO SANITARIO, CLASSE EA-3, COM ENCAIXE PONTA E BOLSA, COM JUNTA ELASTICA, DIAMETRO NOMINAL DE 1000 MM                                                                                                                                                                                                                                                                                                                                                                    </t>
  </si>
  <si>
    <t>742,50</t>
  </si>
  <si>
    <t xml:space="preserve">TUBO DE CONCRETO ARMADO PARA ESGOTO SANITARIO, CLASSE EA-3, COM ENCAIXE PONTA E BOLSA, COM JUNTA ELASTICA, DIAMETRO NOMINAL DE 400 MM                                                                                                                                                                                                                                                                                                                                                                     </t>
  </si>
  <si>
    <t>147,25</t>
  </si>
  <si>
    <t xml:space="preserve">TUBO DE CONCRETO ARMADO PARA ESGOTO SANITARIO, CLASSE EA-3, COM ENCAIXE PONTA E BOLSA, COM JUNTA ELASTICA, DIAMETRO NOMINAL DE 500 MM                                                                                                                                                                                                                                                                                                                                                                     </t>
  </si>
  <si>
    <t>306,98</t>
  </si>
  <si>
    <t xml:space="preserve">TUBO DE CONCRETO ARMADO PARA ESGOTO SANITARIO, CLASSE EA-3, COM ENCAIXE PONTA E BOLSA, COM JUNTA ELASTICA, DIAMETRO NOMINAL DE 600 MM                                                                                                                                                                                                                                                                                                                                                                     </t>
  </si>
  <si>
    <t>325,07</t>
  </si>
  <si>
    <t xml:space="preserve">TUBO DE CONCRETO ARMADO PARA ESGOTO SANITARIO, CLASSE EA-3, COM ENCAIXE PONTA E BOLSA, COM JUNTA ELASTICA, DIAMETRO NOMINAL DE 700 MM                                                                                                                                                                                                                                                                                                                                                                     </t>
  </si>
  <si>
    <t>424,28</t>
  </si>
  <si>
    <t xml:space="preserve">TUBO DE CONCRETO ARMADO PARA ESGOTO SANITARIO, CLASSE EA-3, COM ENCAIXE PONTA E BOLSA, COM JUNTA ELASTICA, DIAMETRO NOMINAL DE 800 MM                                                                                                                                                                                                                                                                                                                                                                     </t>
  </si>
  <si>
    <t>464,84</t>
  </si>
  <si>
    <t xml:space="preserve">TUBO DE CONCRETO ARMADO PARA ESGOTO SANITARIO, CLASSE EA-3, COM ENCAIXE PONTA E BOLSA, COM JUNTA ELASTICA, DIAMETRO NOMINAL DE 900 MM                                                                                                                                                                                                                                                                                                                                                                     </t>
  </si>
  <si>
    <t>658,26</t>
  </si>
  <si>
    <t xml:space="preserve">TUBO DE CONCRETO SIMPLES PARA AGUAS PLUVIAIS, CLASSE PS1, COM ENCAIXE MACHO E FEMEA, DIAMETRO NOMINAL DE 200 MM                                                                                                                                                                                                                                                                                                                                                                                           </t>
  </si>
  <si>
    <t>24,37</t>
  </si>
  <si>
    <t xml:space="preserve">TUBO DE CONCRETO SIMPLES PARA AGUAS PLUVIAIS, CLASSE PS1, COM ENCAIXE MACHO E FEMEA, DIAMETRO NOMINAL DE 300 MM                                                                                                                                                                                                                                                                                                                                                                                           </t>
  </si>
  <si>
    <t xml:space="preserve">TUBO DE CONCRETO SIMPLES PARA AGUAS PLUVIAIS, CLASSE PS1, COM ENCAIXE MACHO E FEMEA, DIAMETRO NOMINAL DE 400 MM                                                                                                                                                                                                                                                                                                                                                                                           </t>
  </si>
  <si>
    <t>47,64</t>
  </si>
  <si>
    <t xml:space="preserve">TUBO DE CONCRETO SIMPLES PARA AGUAS PLUVIAIS, CLASSE PS1, COM ENCAIXE MACHO E FEMEA, DIAMETRO NOMINAL DE 500 MM                                                                                                                                                                                                                                                                                                                                                                                           </t>
  </si>
  <si>
    <t xml:space="preserve">TUBO DE CONCRETO SIMPLES PARA AGUAS PLUVIAIS, CLASSE PS1, COM ENCAIXE MACHO E FEMEA, DIAMETRO NOMINAL DE 600 MM                                                                                                                                                                                                                                                                                                                                                                                           </t>
  </si>
  <si>
    <t>79,75</t>
  </si>
  <si>
    <t xml:space="preserve">TUBO DE CONCRETO SIMPLES PARA AGUAS PLUVIAIS, CLASSE PS1, COM ENCAIXE PONTA E BOLSA, DIAMETRO NOMINAL DE 200 MM                                                                                                                                                                                                                                                                                                                                                                                           </t>
  </si>
  <si>
    <t xml:space="preserve">TUBO DE CONCRETO SIMPLES PARA AGUAS PLUVIAIS, CLASSE PS1, COM ENCAIXE PONTA E BOLSA, DIAMETRO NOMINAL DE 300 MM                                                                                                                                                                                                                                                                                                                                                                                           </t>
  </si>
  <si>
    <t>41,00</t>
  </si>
  <si>
    <t xml:space="preserve">TUBO DE CONCRETO SIMPLES PARA AGUAS PLUVIAIS, CLASSE PS1, COM ENCAIXE PONTA E BOLSA, DIAMETRO NOMINAL DE 400 MM                                                                                                                                                                                                                                                                                                                                                                                           </t>
  </si>
  <si>
    <t xml:space="preserve">TUBO DE CONCRETO SIMPLES PARA AGUAS PLUVIAIS, CLASSE PS1, COM ENCAIXE PONTA E BOLSA, DIAMETRO NOMINAL DE 500 MM                                                                                                                                                                                                                                                                                                                                                                                           </t>
  </si>
  <si>
    <t xml:space="preserve">TUBO DE CONCRETO SIMPLES PARA AGUAS PLUVIAIS, CLASSE PS1, COM ENCAIXE PONTA E BOLSA, DIAMETRO NOMINAL DE 600 MM                                                                                                                                                                                                                                                                                                                                                                                           </t>
  </si>
  <si>
    <t xml:space="preserve">TUBO DE CONCRETO SIMPLES PARA AGUAS PLUVIAIS, CLASSE PS2, COM ENCAIXE PONTA E BOLSA, DIAMETRO NOMINAL DE 200 MM                                                                                                                                                                                                                                                                                                                                                                                           </t>
  </si>
  <si>
    <t xml:space="preserve">TUBO DE CONCRETO SIMPLES PARA AGUAS PLUVIAIS, CLASSE PS2, COM ENCAIXE PONTA E BOLSA, DIAMETRO NOMINAL DE 300 MM                                                                                                                                                                                                                                                                                                                                                                                           </t>
  </si>
  <si>
    <t xml:space="preserve">TUBO DE CONCRETO SIMPLES PARA AGUAS PLUVIAIS, CLASSE PS2, COM ENCAIXE PONTA E BOLSA, DIAMETRO NOMINAL DE 400 MM                                                                                                                                                                                                                                                                                                                                                                                           </t>
  </si>
  <si>
    <t>53,18</t>
  </si>
  <si>
    <t xml:space="preserve">TUBO DE CONCRETO SIMPLES PARA AGUAS PLUVIAIS, CLASSE PS2, COM ENCAIXE PONTA E BOLSA, DIAMETRO NOMINAL DE 500 MM                                                                                                                                                                                                                                                                                                                                                                                           </t>
  </si>
  <si>
    <t xml:space="preserve">TUBO DE CONCRETO SIMPLES PARA AGUAS PLUVIAIS, CLASSE PS2, COM ENCAIXE PONTA E BOLSA, DIAMETRO NOMINAL DE 600 MM                                                                                                                                                                                                                                                                                                                                                                                           </t>
  </si>
  <si>
    <t xml:space="preserve">TUBO DE CONCRETO SIMPLES PARA ESGOTO SANITARIO, CLASSE ES, COM ENCAIXE PONTA E BOLSA, COM JUNTA ELASTICA, DIAMETRO NOMINAL DE 400 MM                                                                                                                                                                                                                                                                                                                                                                      </t>
  </si>
  <si>
    <t>77,56</t>
  </si>
  <si>
    <t xml:space="preserve">TUBO DE CONCRETO SIMPLES PARA ESGOTO SANITARIO, CLASSE ES, COM ENCAIXE PONTA E BOLSA, COM JUNTA ELASTICA, DIAMETRO NOMINAL DE 500 MM                                                                                                                                                                                                                                                                                                                                                                      </t>
  </si>
  <si>
    <t xml:space="preserve">TUBO DE CONCRETO SIMPLES PARA ESGOTO SANITARIO, CLASSE ES, COM ENCAIXE PONTA E BOLSA, COM JUNTA ELASTICA, DIAMETRO NOMINAL DE 600 MM                                                                                                                                                                                                                                                                                                                                                                      </t>
  </si>
  <si>
    <t>127,43</t>
  </si>
  <si>
    <t xml:space="preserve">TUBO DE CONCRETO SIMPLES POROSO PARA DRENAGEM (DRENO POROSO), COM ENCAIXE MACHO E FEMEA, DIAMETRO NOMINAL DE 200 MM                                                                                                                                                                                                                                                                                                                                                                                       </t>
  </si>
  <si>
    <t xml:space="preserve">TUBO DE CONCRETO SIMPLES POROSO PARA DRENAGEM (DRENO POROSO), COM ENCAIXE MACHO E FEMEA, DIAMETRO NOMINAL DE 300 MM                                                                                                                                                                                                                                                                                                                                                                                       </t>
  </si>
  <si>
    <t xml:space="preserve">TUBO DE DESCARGA, TIPO BENGALA, PARA LIGACAO CAIXA DE DESCARGA - EMBUTIR, PVC, 40 MM X 150 CM                                                                                                                                                                                                                                                                                                                                                                                                             </t>
  </si>
  <si>
    <t>20,06</t>
  </si>
  <si>
    <t xml:space="preserve">TUBO DE DESCIDA EXTERNO DE PVC PARA CAIXA DE DESCARGA EXTERNA ALTA - 40 MM X 1,60 M                                                                                                                                                                                                                                                                                                                                                                                                                       </t>
  </si>
  <si>
    <t xml:space="preserve">TUBO DE ESPUMA DE POLIETILENO EXPANDIDO FLEXIVEL PARA ISOLAMENTO TERMICO DE TUBULACAO DE AR CONDICIONADO, AGUA QUENTE,  DN 1 1/2", E= 10 MM                                                                                                                                                                                                                                                                                                                                                               </t>
  </si>
  <si>
    <t xml:space="preserve">TUBO DE ESPUMA DE POLIETILENO EXPANDIDO FLEXIVEL PARA ISOLAMENTO TERMICO DE TUBULACAO DE AR CONDICIONADO, AGUA QUENTE,  DN 1 1/4", E= 10 MM                                                                                                                                                                                                                                                                                                                                                               </t>
  </si>
  <si>
    <t xml:space="preserve">TUBO DE ESPUMA DE POLIETILENO EXPANDIDO FLEXIVEL PARA ISOLAMENTO TERMICO DE TUBULACAO DE AR CONDICIONADO, AGUA QUENTE,  DN 1 1/8", E= 10 MM                                                                                                                                                                                                                                                                                                                                                               </t>
  </si>
  <si>
    <t xml:space="preserve">TUBO DE ESPUMA DE POLIETILENO EXPANDIDO FLEXIVEL PARA ISOLAMENTO TERMICO DE TUBULACAO DE AR CONDICIONADO, AGUA QUENTE,  DN 1 3/8", E= 10 MM                                                                                                                                                                                                                                                                                                                                                               </t>
  </si>
  <si>
    <t xml:space="preserve">TUBO DE ESPUMA DE POLIETILENO EXPANDIDO FLEXIVEL PARA ISOLAMENTO TERMICO DE TUBULACAO DE AR CONDICIONADO, AGUA QUENTE,  DN 1 5/8", E= 10 MM                                                                                                                                                                                                                                                                                                                                                               </t>
  </si>
  <si>
    <t xml:space="preserve">TUBO DE ESPUMA DE POLIETILENO EXPANDIDO FLEXIVEL PARA ISOLAMENTO TERMICO DE TUBULACAO DE AR CONDICIONADO, AGUA QUENTE,  DN 1/2", E= 10 MM                                                                                                                                                                                                                                                                                                                                                                 </t>
  </si>
  <si>
    <t xml:space="preserve">TUBO DE ESPUMA DE POLIETILENO EXPANDIDO FLEXIVEL PARA ISOLAMENTO TERMICO DE TUBULACAO DE AR CONDICIONADO, AGUA QUENTE,  DN 1/4", E= 10 MM                                                                                                                                                                                                                                                                                                                                                                 </t>
  </si>
  <si>
    <t xml:space="preserve">TUBO DE ESPUMA DE POLIETILENO EXPANDIDO FLEXIVEL PARA ISOLAMENTO TERMICO DE TUBULACAO DE AR CONDICIONADO, AGUA QUENTE,  DN 1", E= 10 MM                                                                                                                                                                                                                                                                                                                                                                   </t>
  </si>
  <si>
    <t xml:space="preserve">TUBO DE ESPUMA DE POLIETILENO EXPANDIDO FLEXIVEL PARA ISOLAMENTO TERMICO DE TUBULACAO DE AR CONDICIONADO, AGUA QUENTE,  DN 3/4", E= 10 MM                                                                                                                                                                                                                                                                                                                                                                 </t>
  </si>
  <si>
    <t xml:space="preserve">TUBO DE ESPUMA DE POLIETILENO EXPANDIDO FLEXIVEL PARA ISOLAMENTO TERMICO DE TUBULACAO DE AR CONDICIONADO, AGUA QUENTE,  DN 3/8", E= 10 MM                                                                                                                                                                                                                                                                                                                                                                 </t>
  </si>
  <si>
    <t xml:space="preserve">TUBO DE ESPUMA DE POLIETILENO EXPANDIDO FLEXIVEL PARA ISOLAMENTO TERMICO DE TUBULACAO DE AR CONDICIONADO, AGUA QUENTE,  DN 7/8", E= 10 MM                                                                                                                                                                                                                                                                                                                                                                 </t>
  </si>
  <si>
    <t xml:space="preserve">TUBO DE POLIETILENO DE ALTA DENSIDADE (PEAD), PE-80, DE = 20 MM X 2,3 MM DE PAREDE, PARA LIGACAO DE AGUA PREDIAL (NBR 15561)                                                                                                                                                                                                                                                                                                                                                                              </t>
  </si>
  <si>
    <t xml:space="preserve">TUBO DE POLIETILENO DE ALTA DENSIDADE (PEAD), PE-80, DE = 32 MM X 3,0 MM DE PAREDE, PARA LIGACAO DE AGUA PREDIAL (NBR 15561)                                                                                                                                                                                                                                                                                                                                                                              </t>
  </si>
  <si>
    <t xml:space="preserve">TUBO DE POLIETILENO DE ALTA DENSIDADE, PEAD, PE-80, DE = 1000 MM X 38,5 MM PAREDE, ( SDR 26 - PN 05 ) PARA REDE DE AGUA OU ESGOTO (NBR 15561)                                                                                                                                                                                                                                                                                                                                                             </t>
  </si>
  <si>
    <t>6.682,13</t>
  </si>
  <si>
    <t xml:space="preserve">TUBO DE POLIETILENO DE ALTA DENSIDADE, PEAD, PE-80, DE = 110 MM X 10,0 MM PAREDE, ( SDR 11 - PN 12,5 ) PARA REDE DE AGUA OU ESGOTO (NBR 15561)                                                                                                                                                                                                                                                                                                                                                            </t>
  </si>
  <si>
    <t xml:space="preserve">TUBO DE POLIETILENO DE ALTA DENSIDADE, PEAD, PE-80, DE = 1200 MM X 37,2 MM PAREDE ( SDR 32,25 - PN 04 ) PARA REDE DE AGUA OU ESGOTO (NBR 15561)                                                                                                                                                                                                                                                                                                                                                           </t>
  </si>
  <si>
    <t>11.719,45</t>
  </si>
  <si>
    <t xml:space="preserve">TUBO DE POLIETILENO DE ALTA DENSIDADE, PEAD, PE-80, DE = 1400 MM X 42,9 MM PAREDE, (SDR 32,25 - PN 04 ) PARA REDE DE AGUA OU ESGOTO (NBR 15561)                                                                                                                                                                                                                                                                                                                                                           </t>
  </si>
  <si>
    <t>15.991,63</t>
  </si>
  <si>
    <t xml:space="preserve">TUBO DE POLIETILENO DE ALTA DENSIDADE, PEAD, PE-80, DE = 160 MM X 14,6 MM PAREDE, (SDR 11 - PN 12,5 ) PARA REDE DE AGUA OU ESGOTO (NBR 15561)                                                                                                                                                                                                                                                                                                                                                             </t>
  </si>
  <si>
    <t>351,53</t>
  </si>
  <si>
    <t xml:space="preserve">TUBO DE POLIETILENO DE ALTA DENSIDADE, PEAD, PE-80, DE = 1600 MM X 49,0 MM PAREDE, ( SDR 32,25 - PN 04 ) PARA REDE DE AGUA OU ESGOTO (NBR 15561)                                                                                                                                                                                                                                                                                                                                                          </t>
  </si>
  <si>
    <t>15.169,97</t>
  </si>
  <si>
    <t xml:space="preserve">TUBO DE POLIETILENO DE ALTA DENSIDADE, PEAD, PE-80, DE = 900 MM X 34,7 MM PAREDE, ( SDR 26 - PN 05 ) PARA REDE DE AGUA OU ESGOTO (NBR 15561)                                                                                                                                                                                                                                                                                                                                                              </t>
  </si>
  <si>
    <t>6.060,65</t>
  </si>
  <si>
    <t xml:space="preserve">TUBO DE POLIETILENO DE ALTA DENSIDADE, PEAD, PE-80, DE= 200 MM X 18,2 MM PAREDE, ( SDR 11 - PN 12,5 ) PARA REDE DE AGUA OU ESGOTO (NBR 15561)                                                                                                                                                                                                                                                                                                                                                             </t>
  </si>
  <si>
    <t>548,00</t>
  </si>
  <si>
    <t xml:space="preserve">TUBO DE POLIETILENO DE ALTA DENSIDADE, PEAD, PE-80, DE= 315 MM X 28,7 MM PAREDE, ( SDR 11 - PN 12,5 ) PARA REDE DE AGUA OU ESGOTO (NBR 15561)                                                                                                                                                                                                                                                                                                                                                             </t>
  </si>
  <si>
    <t>1.342,74</t>
  </si>
  <si>
    <t xml:space="preserve">TUBO DE POLIETILENO DE ALTA DENSIDADE, PEAD, PE-80, DE= 400 MM X 36,4 MM PAREDE, ( SDR 11 - PN 12,5 ) PARA REDE DE AGUA OU ESGOTO (NBR 15561)                                                                                                                                                                                                                                                                                                                                                             </t>
  </si>
  <si>
    <t>2.162,66</t>
  </si>
  <si>
    <t xml:space="preserve">TUBO DE POLIETILENO DE ALTA DENSIDADE, PEAD, PE-80, DE= 50 MM X 4,6 MM PAREDE, (SDR 11 - PN 12,5) PARA REDE DE AGUA OU ESGOTO (NBR 15561)                                                                                                                                                                                                                                                                                                                                                                 </t>
  </si>
  <si>
    <t xml:space="preserve">TUBO DE POLIETILENO DE ALTA DENSIDADE, PEAD, PE-80, DE= 500 MM X 45,5 MM PAREDE, ( SDR 11 - PN 12,5 ) PARA REDE DE AGUA OU ESGOTO (NBR 15561)                                                                                                                                                                                                                                                                                                                                                             </t>
  </si>
  <si>
    <t>3.796,83</t>
  </si>
  <si>
    <t xml:space="preserve">TUBO DE POLIETILENO DE ALTA DENSIDADE, PEAD, PE-80, DE= 630 MM X 57,3 MM PAREDE (SDR 11 - PN 12,5 ) PARA REDE DE AGUA OU ESGOTO (NBR 15561)                                                                                                                                                                                                                                                                                                                                                               </t>
  </si>
  <si>
    <t>5.646,96</t>
  </si>
  <si>
    <t xml:space="preserve">TUBO DE POLIETILENO DE ALTA DENSIDADE, PEAD, PE-80, DE= 730 MM X 34,1 MM PAREDE, ( SDR 21 - PN 06 ) PARA REDE DE AGUA OU ESGOTO (NBR 15561)                                                                                                                                                                                                                                                                                                                                                               </t>
  </si>
  <si>
    <t>2.831,81</t>
  </si>
  <si>
    <t xml:space="preserve">TUBO DE POLIETILENO DE ALTA DENSIDADE, PEAD, PE-80, DE= 75 MM X 6,9 MM PAREDE, ( SRD 11 - PN 12,5 ) PARA REDE DE AGUA OU ESGOTO (NBR 15561)                                                                                                                                                                                                                                                                                                                                                               </t>
  </si>
  <si>
    <t>78,03</t>
  </si>
  <si>
    <t xml:space="preserve">TUBO DE POLIETILENO DE ALTA DENSIDADE, PEAD, PE-80, DE= 800 MM X 30,8 MM PAREDE, ( SDR 26 - PN 05 ) PARA REDE DE AGUA OU ESGOTO (NBR 15561)                                                                                                                                                                                                                                                                                                                                                               </t>
  </si>
  <si>
    <t>3.694,56</t>
  </si>
  <si>
    <t xml:space="preserve">TUBO DE PVC, PBL, TIPO LEVE, DN = 125 MM,  PARA VENTILACAO                                                                                                                                                                                                                                                                                                                                                                                                                                                </t>
  </si>
  <si>
    <t xml:space="preserve">TUBO DE PVC, PBL, TIPO LEVE, DN = 250 MM,  PARA VENTILACAO                                                                                                                                                                                                                                                                                                                                                                                                                                                </t>
  </si>
  <si>
    <t xml:space="preserve">TUBO DE PVC, PBL, TIPO LEVE, DN = 300 MM,  PARA VENTILACAO                                                                                                                                                                                                                                                                                                                                                                                                                                                </t>
  </si>
  <si>
    <t>136,37</t>
  </si>
  <si>
    <t xml:space="preserve">TUBO DE PVC, PBL, TIPO LEVE, DN = 400 MM,  PARA VENTILACAO                                                                                                                                                                                                                                                                                                                                                                                                                                                </t>
  </si>
  <si>
    <t>325,49</t>
  </si>
  <si>
    <t xml:space="preserve">TUBO DE REVESTIMENTO, EM ACO, CORPO SCHEDULE 40, PONTEIRA SCHEDULE 80, ROSQUEAVEL E SEGMENTADO PARA PERFURACAO, DIAMETRO 10'' (310 MM)                                                                                                                                                                                                                                                                                                                                                                    </t>
  </si>
  <si>
    <t xml:space="preserve">TUBO DE REVESTIMENTO, EM ACO, CORPO SCHEDULE 40, PONTEIRA SCHEDULE 80, ROSQUEAVEL E SEGMENTADO PARA PERFURACAO, DIAMETRO 12" (320 MM)                                                                                                                                                                                                                                                                                                                                                                     </t>
  </si>
  <si>
    <t xml:space="preserve">TUBO DE REVESTIMENTO, EM ACO, CORPO SCHEDULE 40, PONTEIRA SCHEDULE 80, ROSQUEAVEL E SEGMENTADO PARA PERFURACAO, DIAMETRO 14'' (400 MM)                                                                                                                                                                                                                                                                                                                                                                    </t>
  </si>
  <si>
    <t xml:space="preserve">TUBO DE REVESTIMENTO, EM ACO, CORPO SCHEDULE 40, PONTEIRA SCHEDULE 80, ROSQUEAVEL E SEGMENTADO PARA PERFURACAO, DIAMETRO 16'' (450 MM)                                                                                                                                                                                                                                                                                                                                                                    </t>
  </si>
  <si>
    <t xml:space="preserve">TUBO DE REVESTIMENTO, EM ACO, CORPO SCHEDULE 40, PONTEIRA SCHEDULE 80, ROSQUEAVEL E SEGMENTADO PARA PERFURACAO, DIAMETRO 4'' (450 MM)                                                                                                                                                                                                                                                                                                                                                                     </t>
  </si>
  <si>
    <t xml:space="preserve">TUBO DE REVESTIMENTO, EM ACO, CORPO SCHEDULE 40, PONTEIRA SCHEDULE 80, ROSQUEAVEL E SEGMENTADO PARA PERFURACAO, DIAMETRO 6'' (200 MM)                                                                                                                                                                                                                                                                                                                                                                     </t>
  </si>
  <si>
    <t xml:space="preserve">TUBO DE REVESTIMENTO, EM ACO, CORPO SCHEDULE 40, PONTEIRA SCHEDULE 80, ROSQUEAVEL E SEGMENTADO PARA PERFURACAO, DIAMETRO 8'' (450 MM)                                                                                                                                                                                                                                                                                                                                                                     </t>
  </si>
  <si>
    <t xml:space="preserve">TUBO DRENO, CORRUGADO, ESPIRALADO, FLEXIVEL, PERFURADO, EM POLIETILENO DE ALTA DENSIDADE (PEAD), DN *160* MM, (6") PARA DRENAGEM - EM BARRA (NORMA DNIT 093/2006 - EM)                                                                                                                                                                                                                                                                                                                                    </t>
  </si>
  <si>
    <t xml:space="preserve">TUBO DRENO, CORRUGADO, ESPIRALADO, FLEXIVEL, PERFURADO, EM POLIETILENO DE ALTA DENSIDADE (PEAD), DN *200* MM, (8") PARA DRENAGEM - EM BARRA (NORMA DNIT 093/2006 - EM)                                                                                                                                                                                                                                                                                                                                    </t>
  </si>
  <si>
    <t xml:space="preserve">TUBO DRENO, CORRUGADO, ESPIRALADO, FLEXIVEL, PERFURADO, EM POLIETILENO DE ALTA DENSIDADE (PEAD), DN 100 MM, (4") PARA DRENAGEM - EM ROLO (NORMA DNIT 093/2006 - E.M)                                                                                                                                                                                                                                                                                                                                      </t>
  </si>
  <si>
    <t xml:space="preserve">TUBO DRENO, CORRUGADO, ESPIRALADO, FLEXIVEL, PERFURADO, EM POLIETILENO DE ALTA DENSIDADE (PEAD), DN 65 MM, (2 1/2") PARA DRENAGEM - EM ROLO (NORMA DNIT 093/2006 - EM)                                                                                                                                                                                                                                                                                                                                    </t>
  </si>
  <si>
    <t xml:space="preserve">TUBO MONOCAMADA PEX, DN 16 MM                                                                                                                                                                                                                                                                                                                                                                                                                                                                             </t>
  </si>
  <si>
    <t xml:space="preserve">TUBO MONOCAMADA PEX, DN 20 MM                                                                                                                                                                                                                                                                                                                                                                                                                                                                             </t>
  </si>
  <si>
    <t xml:space="preserve">TUBO MONOCAMADA PEX, DN 25 MM                                                                                                                                                                                                                                                                                                                                                                                                                                                                             </t>
  </si>
  <si>
    <t xml:space="preserve">TUBO MONOCAMADA PEX, DN 32 MM                                                                                                                                                                                                                                                                                                                                                                                                                                                                             </t>
  </si>
  <si>
    <t xml:space="preserve">TUBO MULTICAMADA PEX, DN *26* MM, PARA INSTALACOES A GAS (AMARELO)                                                                                                                                                                                                                                                                                                                                                                                                                                        </t>
  </si>
  <si>
    <t>26,38</t>
  </si>
  <si>
    <t xml:space="preserve">TUBO MULTICAMADA PEX, DN 16 MM, PARA INSTALACOES A GAS (AMARELO)                                                                                                                                                                                                                                                                                                                                                                                                                                          </t>
  </si>
  <si>
    <t xml:space="preserve">TUBO MULTICAMADA PEX, DN 20 MM, PARA INSTALACOES A GAS (AMARELO)                                                                                                                                                                                                                                                                                                                                                                                                                                          </t>
  </si>
  <si>
    <t xml:space="preserve">TUBO MULTICAMADA PEX, DN 32 MM, PARA INSTALACOES A GAS (AMARELO)                                                                                                                                                                                                                                                                                                                                                                                                                                          </t>
  </si>
  <si>
    <t>36,79</t>
  </si>
  <si>
    <t xml:space="preserve">TUBO PPR PN 20, DN 20 MM, PARA AGUA QUENTE PREDIAL                                                                                                                                                                                                                                                                                                                                                                                                                                                        </t>
  </si>
  <si>
    <t xml:space="preserve">TUBO PPR PN 20, DN 25 MM, PARA AGUA QUENTE PREDIAL                                                                                                                                                                                                                                                                                                                                                                                                                                                        </t>
  </si>
  <si>
    <t xml:space="preserve">TUBO PPR, CLASSE PN 12, DN 110 MM                                                                                                                                                                                                                                                                                                                                                                                                                                                                         </t>
  </si>
  <si>
    <t>174,85</t>
  </si>
  <si>
    <t xml:space="preserve">TUBO PPR, CLASSE PN 12, DN 32 MM                                                                                                                                                                                                                                                                                                                                                                                                                                                                          </t>
  </si>
  <si>
    <t xml:space="preserve">TUBO PPR, CLASSE PN 12, DN 40 MM                                                                                                                                                                                                                                                                                                                                                                                                                                                                          </t>
  </si>
  <si>
    <t xml:space="preserve">TUBO PPR, CLASSE PN 12, DN 50 MM                                                                                                                                                                                                                                                                                                                                                                                                                                                                          </t>
  </si>
  <si>
    <t xml:space="preserve">TUBO PPR, CLASSE PN 12, DN 63 MM                                                                                                                                                                                                                                                                                                                                                                                                                                                                          </t>
  </si>
  <si>
    <t xml:space="preserve">TUBO PPR, CLASSE PN 12, DN 75 MM                                                                                                                                                                                                                                                                                                                                                                                                                                                                          </t>
  </si>
  <si>
    <t>70,53</t>
  </si>
  <si>
    <t xml:space="preserve">TUBO PPR, CLASSE PN 12, DN 90 MM                                                                                                                                                                                                                                                                                                                                                                                                                                                                          </t>
  </si>
  <si>
    <t>98,91</t>
  </si>
  <si>
    <t xml:space="preserve">TUBO PPR, CLASSE PN 25, DN 110 MM, PARA AGUA QUENTE E FRIA PREDIAL                                                                                                                                                                                                                                                                                                                                                                                                                                        </t>
  </si>
  <si>
    <t>199,05</t>
  </si>
  <si>
    <t xml:space="preserve">TUBO PPR, CLASSE PN 25, DN 20 MM, PARA AGUA QUENTE E FRIA PREDIAL                                                                                                                                                                                                                                                                                                                                                                                                                                         </t>
  </si>
  <si>
    <t xml:space="preserve">TUBO PPR, CLASSE PN 25, DN 25 MM, PARA AGUA QUENTE E FRIA PREDIAL                                                                                                                                                                                                                                                                                                                                                                                                                                         </t>
  </si>
  <si>
    <t xml:space="preserve">TUBO PPR, CLASSE PN 25, DN 32 MM, PARA AGUA QUENTE E FRIA PREDIAL                                                                                                                                                                                                                                                                                                                                                                                                                                         </t>
  </si>
  <si>
    <t xml:space="preserve">TUBO PPR, CLASSE PN 25, DN 40 MM, PARA AGUA QUENTE E FRIA PREDIAL                                                                                                                                                                                                                                                                                                                                                                                                                                         </t>
  </si>
  <si>
    <t xml:space="preserve">TUBO PPR, CLASSE PN 25, DN 50 MM, PARA AGUA QUENTE E FRIA PREDIAL                                                                                                                                                                                                                                                                                                                                                                                                                                         </t>
  </si>
  <si>
    <t xml:space="preserve">TUBO PPR, CLASSE PN 25, DN 63 MM, PARA AGUA QUENTE E FRIA PREDIAL                                                                                                                                                                                                                                                                                                                                                                                                                                         </t>
  </si>
  <si>
    <t xml:space="preserve">TUBO PPR, CLASSE PN 25, DN 75 MM, PARA AGUA QUENTE E FRIA PREDIAL                                                                                                                                                                                                                                                                                                                                                                                                                                         </t>
  </si>
  <si>
    <t>98,98</t>
  </si>
  <si>
    <t xml:space="preserve">TUBO PPR, CLASSE PN 25, DN 90 MM, PARA AGUA QUENTE E FRIA PREDIAL                                                                                                                                                                                                                                                                                                                                                                                                                                         </t>
  </si>
  <si>
    <t xml:space="preserve">TUBO PVC  SERIE NORMAL, DN 100 MM, PARA ESGOTO  PREDIAL (NBR 5688)                                                                                                                                                                                                                                                                                                                                                                                                                                        </t>
  </si>
  <si>
    <t>19,49</t>
  </si>
  <si>
    <t xml:space="preserve">TUBO PVC  SERIE NORMAL, DN 150 MM, PARA ESGOTO  PREDIAL (NBR 5688)                                                                                                                                                                                                                                                                                                                                                                                                                                        </t>
  </si>
  <si>
    <t>49,86</t>
  </si>
  <si>
    <t xml:space="preserve">TUBO PVC  SERIE NORMAL, DN 40 MM, PARA ESGOTO  PREDIAL (NBR 5688)                                                                                                                                                                                                                                                                                                                                                                                                                                         </t>
  </si>
  <si>
    <t xml:space="preserve">TUBO PVC CORRUGADO, PAREDE DUPLA, JE, DN 150 MM, REDE COLETORA ESGOTO                                                                                                                                                                                                                                                                                                                                                                                                                                     </t>
  </si>
  <si>
    <t xml:space="preserve">TUBO PVC CORRUGADO, PAREDE DUPLA, JE, DN 200 MM, REDE COLETORA ESGOTO                                                                                                                                                                                                                                                                                                                                                                                                                                     </t>
  </si>
  <si>
    <t xml:space="preserve">TUBO PVC CORRUGADO, PAREDE DUPLA, JE, DN 250 MM, REDE COLETORA ESGOTO                                                                                                                                                                                                                                                                                                                                                                                                                                     </t>
  </si>
  <si>
    <t xml:space="preserve">TUBO PVC CORRUGADO, PAREDE DUPLA, JE, DN 300 MM, REDE COLETORA ESGOTO                                                                                                                                                                                                                                                                                                                                                                                                                                     </t>
  </si>
  <si>
    <t xml:space="preserve">TUBO PVC CORRUGADO, PAREDE DUPLA, JE, DN 350 MM, REDE COLETORA ESGOTO                                                                                                                                                                                                                                                                                                                                                                                                                                     </t>
  </si>
  <si>
    <t xml:space="preserve">TUBO PVC CORRUGADO, PAREDE DUPLA, JE, DN 400 MM, REDE COLETORA ESGOTO                                                                                                                                                                                                                                                                                                                                                                                                                                     </t>
  </si>
  <si>
    <t xml:space="preserve">TUBO PVC DE REVESTIMENTO GEOMECANICO NERVURADO REFORCADO, DN = 150 MM, COMPRIMENTO = 2 M                                                                                                                                                                                                                                                                                                                                                                                                                  </t>
  </si>
  <si>
    <t>143,38</t>
  </si>
  <si>
    <t xml:space="preserve">TUBO PVC DE REVESTIMENTO GEOMECANICO NERVURADO REFORCADO, DN = 200 MM, COMPRIMENTO = 2 M                                                                                                                                                                                                                                                                                                                                                                                                                  </t>
  </si>
  <si>
    <t xml:space="preserve">TUBO PVC DE REVESTIMENTO GEOMECANICO NERVURADO STANDARD, DN = 154 MM, COMPRIMENTO = 2 M                                                                                                                                                                                                                                                                                                                                                                                                                   </t>
  </si>
  <si>
    <t>111,71</t>
  </si>
  <si>
    <t xml:space="preserve">TUBO PVC DE REVESTIMENTO GEOMECANICO NERVURADO STANDARD, DN = 206 MM, COMPRIMENTO = 2 M                                                                                                                                                                                                                                                                                                                                                                                                                   </t>
  </si>
  <si>
    <t>193,72</t>
  </si>
  <si>
    <t xml:space="preserve">TUBO PVC DE REVESTIMENTO GEOMECANICO NERVURADO STANDARD, DN = 250 MM, COMPRIMENTO = 2 M                                                                                                                                                                                                                                                                                                                                                                                                                   </t>
  </si>
  <si>
    <t>324,01</t>
  </si>
  <si>
    <t xml:space="preserve">TUBO PVC DEFOFO, JEI, 1 MPA, DN 100 MM, PARA REDE DE AGUA (NBR 7665)                                                                                                                                                                                                                                                                                                                                                                                                                                      </t>
  </si>
  <si>
    <t>53,57</t>
  </si>
  <si>
    <t xml:space="preserve">TUBO PVC DEFOFO, JEI, 1 MPA, DN 150 MM, PARA REDE DE  AGUA (NBR 7665)                                                                                                                                                                                                                                                                                                                                                                                                                                     </t>
  </si>
  <si>
    <t>144,16</t>
  </si>
  <si>
    <t xml:space="preserve">TUBO PVC DEFOFO, JEI, 1 MPA, DN 200 MM, PARA REDE DE AGUA (NBR 7665)                                                                                                                                                                                                                                                                                                                                                                                                                                      </t>
  </si>
  <si>
    <t>244,31</t>
  </si>
  <si>
    <t xml:space="preserve">TUBO PVC DEFOFO, JEI, 1 MPA, DN 250 MM, PARA REDE DE AGUA (NBR 7665)                                                                                                                                                                                                                                                                                                                                                                                                                                      </t>
  </si>
  <si>
    <t>371,93</t>
  </si>
  <si>
    <t xml:space="preserve">TUBO PVC DEFOFO, JEI, 1 MPA, DN 300 MM, PARA REDE DE AGUA (NBR 7665)                                                                                                                                                                                                                                                                                                                                                                                                                                      </t>
  </si>
  <si>
    <t>528,14</t>
  </si>
  <si>
    <t xml:space="preserve">TUBO PVC PBA JEI, CLASSE 12, DN 100 MM, PARA REDE DE AGUA (NBR 5647)                                                                                                                                                                                                                                                                                                                                                                                                                                      </t>
  </si>
  <si>
    <t>64,20</t>
  </si>
  <si>
    <t xml:space="preserve">TUBO PVC PBA JEI, CLASSE 12, DN 50 MM, PARA REDE DE AGUA (NBR 5647)                                                                                                                                                                                                                                                                                                                                                                                                                                       </t>
  </si>
  <si>
    <t xml:space="preserve">TUBO PVC PBA JEI, CLASSE 12, DN 75 MM, PARA REDE DE AGUA (NBR 5647)                                                                                                                                                                                                                                                                                                                                                                                                                                       </t>
  </si>
  <si>
    <t>39,50</t>
  </si>
  <si>
    <t xml:space="preserve">TUBO PVC PBA JEI, CLASSE 15, DN 100 MM, PARA REDE DE AGUA (NBR 5647)                                                                                                                                                                                                                                                                                                                                                                                                                                      </t>
  </si>
  <si>
    <t>77,01</t>
  </si>
  <si>
    <t xml:space="preserve">TUBO PVC PBA JEI, CLASSE 15, DN 50 MM, PARA REDE DE AGUA (NBR 5647)                                                                                                                                                                                                                                                                                                                                                                                                                                       </t>
  </si>
  <si>
    <t xml:space="preserve">TUBO PVC PBA JEI, CLASSE 15, DN 75 MM, PARA REDE DE AGUA (NBR 5647)                                                                                                                                                                                                                                                                                                                                                                                                                                       </t>
  </si>
  <si>
    <t xml:space="preserve">TUBO PVC PBA JEI, CLASSE 20, DN 100 MM, PARA REDE DE AGUA (NBR 5647)                                                                                                                                                                                                                                                                                                                                                                                                                                      </t>
  </si>
  <si>
    <t>96,30</t>
  </si>
  <si>
    <t xml:space="preserve">TUBO PVC PBA JEI, CLASSE 20, DN 50 MM, PARA REDE DE AGUA (NBR 5647)                                                                                                                                                                                                                                                                                                                                                                                                                                       </t>
  </si>
  <si>
    <t xml:space="preserve">TUBO PVC PBA JEI, CLASSE 20, DN 75 MM, PARA REDE DE AGUA (NBR 5647)                                                                                                                                                                                                                                                                                                                                                                                                                                       </t>
  </si>
  <si>
    <t>58,17</t>
  </si>
  <si>
    <t xml:space="preserve">TUBO PVC ROSCAVEL, 3/4",  AGUA FRIA PREDIAL                                                                                                                                                                                                                                                                                                                                                                                                                                                               </t>
  </si>
  <si>
    <t xml:space="preserve">TUBO PVC SERIE NORMAL, DN 50 MM, PARA ESGOTO PREDIAL (NBR 5688)                                                                                                                                                                                                                                                                                                                                                                                                                                           </t>
  </si>
  <si>
    <t xml:space="preserve">TUBO PVC SERIE NORMAL, DN 75 MM, PARA ESGOTO PREDIAL (NBR 5688)                                                                                                                                                                                                                                                                                                                                                                                                                                           </t>
  </si>
  <si>
    <t xml:space="preserve">TUBO PVC, FLEXIVEL, CORRUGADO, PERFURADO, DN 110 MM, PARA DRENAGEM, SISTEMA IRRIGACAO                                                                                                                                                                                                                                                                                                                                                                                                                     </t>
  </si>
  <si>
    <t xml:space="preserve">TUBO PVC, FLEXIVEL, CORRUGADO, PERFURADO, DN 65 MM, PARA DRENAGEM, SISTEMA IRRIGACAO                                                                                                                                                                                                                                                                                                                                                                                                                      </t>
  </si>
  <si>
    <t xml:space="preserve">TUBO PVC, RIGIDO, CORRUGADO, PERFURADO, DN 150 MM, PARA DRENAGEM, SISTEMA IRRIGACAO                                                                                                                                                                                                                                                                                                                                                                                                                       </t>
  </si>
  <si>
    <t xml:space="preserve">TUBO PVC, ROSCAVEL,  2 1/2", AGUA FRIA PREDIAL                                                                                                                                                                                                                                                                                                                                                                                                                                                            </t>
  </si>
  <si>
    <t>112,84</t>
  </si>
  <si>
    <t xml:space="preserve">TUBO PVC, ROSCAVEL,  2", PARA AGUA FRIA PREDIAL                                                                                                                                                                                                                                                                                                                                                                                                                                                           </t>
  </si>
  <si>
    <t>72,45</t>
  </si>
  <si>
    <t xml:space="preserve">TUBO PVC, ROSCAVEL, 1 1/2",  AGUA FRIA PREDIAL                                                                                                                                                                                                                                                                                                                                                                                                                                                            </t>
  </si>
  <si>
    <t xml:space="preserve">TUBO PVC, ROSCAVEL, 1 1/4", AGUA FRIA PREDIAL                                                                                                                                                                                                                                                                                                                                                                                                                                                             </t>
  </si>
  <si>
    <t>41,09</t>
  </si>
  <si>
    <t xml:space="preserve">TUBO PVC, ROSCAVEL, 1/2", AGUA FRIA PREDIAL                                                                                                                                                                                                                                                                                                                                                                                                                                                               </t>
  </si>
  <si>
    <t xml:space="preserve">TUBO PVC, ROSCAVEL, 1", AGUA FRIA PREDIAL                                                                                                                                                                                                                                                                                                                                                                                                                                                                 </t>
  </si>
  <si>
    <t xml:space="preserve">TUBO PVC, ROSCAVEL, 3", AGUA FRIA PREDIAL                                                                                                                                                                                                                                                                                                                                                                                                                                                                 </t>
  </si>
  <si>
    <t>145,94</t>
  </si>
  <si>
    <t xml:space="preserve">TUBO PVC, ROSCAVEL, 4",  AGUA FRIA PREDIAL                                                                                                                                                                                                                                                                                                                                                                                                                                                                </t>
  </si>
  <si>
    <t>176,19</t>
  </si>
  <si>
    <t xml:space="preserve">TUBO PVC, ROSCAVEL, 5",  AGUA FRIA PREDIAL                                                                                                                                                                                                                                                                                                                                                                                                                                                                </t>
  </si>
  <si>
    <t>253,38</t>
  </si>
  <si>
    <t xml:space="preserve">TUBO PVC, ROSCAVEL, 6",  AGUA FRIA PREDIAL                                                                                                                                                                                                                                                                                                                                                                                                                                                                </t>
  </si>
  <si>
    <t>265,64</t>
  </si>
  <si>
    <t xml:space="preserve">TUBO PVC, SERIE R, DN 100 MM, PARA ESGOTO OU AGUAS PLUVIAIS PREDIAIS (NBR 5688)                                                                                                                                                                                                                                                                                                                                                                                                                           </t>
  </si>
  <si>
    <t xml:space="preserve">TUBO PVC, SERIE R, DN 150 MM, PARA ESGOTO OU AGUAS PLUVIAIS PREDIAIS (NBR 5688)                                                                                                                                                                                                                                                                                                                                                                                                                           </t>
  </si>
  <si>
    <t>97,76</t>
  </si>
  <si>
    <t xml:space="preserve">TUBO PVC, SERIE R, DN 40 MM, PARA ESGOTO OU AGUAS PLUVIAIS PREDIAIS (NBR 5688)                                                                                                                                                                                                                                                                                                                                                                                                                            </t>
  </si>
  <si>
    <t xml:space="preserve">TUBO PVC, SERIE R, DN 50 MM, PARA ESGOTO OU AGUAS PLUVIAIS PREDIAIS (NBR 5688)                                                                                                                                                                                                                                                                                                                                                                                                                            </t>
  </si>
  <si>
    <t xml:space="preserve">TUBO PVC, SERIE R, DN 75 MM, PARA ESGOTO OU AGUAS PLUVIAIS PREDIAIS (NBR 5688)                                                                                                                                                                                                                                                                                                                                                                                                                            </t>
  </si>
  <si>
    <t xml:space="preserve">TUBO PVC, SOLDAVEL, DN 110 MM, AGUA FRIA (NBR-5648)                                                                                                                                                                                                                                                                                                                                                                                                                                                       </t>
  </si>
  <si>
    <t>123,05</t>
  </si>
  <si>
    <t xml:space="preserve">TUBO PVC, SOLDAVEL, DN 20 MM, AGUA FRIA (NBR-5648)                                                                                                                                                                                                                                                                                                                                                                                                                                                        </t>
  </si>
  <si>
    <t xml:space="preserve">TUBO PVC, SOLDAVEL, DN 25 MM, AGUA FRIA (NBR-5648)                                                                                                                                                                                                                                                                                                                                                                                                                                                        </t>
  </si>
  <si>
    <t xml:space="preserve">TUBO PVC, SOLDAVEL, DN 32 MM, AGUA FRIA (NBR-5648)                                                                                                                                                                                                                                                                                                                                                                                                                                                        </t>
  </si>
  <si>
    <t xml:space="preserve">TUBO PVC, SOLDAVEL, DN 40 MM, AGUA FRIA (NBR-5648)                                                                                                                                                                                                                                                                                                                                                                                                                                                        </t>
  </si>
  <si>
    <t xml:space="preserve">TUBO PVC, SOLDAVEL, DN 50 MM, PARA AGUA FRIA (NBR-5648)                                                                                                                                                                                                                                                                                                                                                                                                                                                   </t>
  </si>
  <si>
    <t xml:space="preserve">TUBO PVC, SOLDAVEL, DN 60 MM, AGUA FRIA (NBR-5648)                                                                                                                                                                                                                                                                                                                                                                                                                                                        </t>
  </si>
  <si>
    <t xml:space="preserve">TUBO PVC, SOLDAVEL, DN 75 MM, AGUA FRIA (NBR-5648)                                                                                                                                                                                                                                                                                                                                                                                                                                                        </t>
  </si>
  <si>
    <t xml:space="preserve">TUBO PVC, SOLDAVEL, DN 85 MM, AGUA FRIA (NBR-5648)                                                                                                                                                                                                                                                                                                                                                                                                                                                        </t>
  </si>
  <si>
    <t>76,70</t>
  </si>
  <si>
    <t xml:space="preserve">TUBO 26" EM CHAPA PRETA, E= 3/16", 147 KG/6 M                                                                                                                                                                                                                                                                                                                                                                                                                                                             </t>
  </si>
  <si>
    <t xml:space="preserve">TUBO 30" EM CHAPA PRETA, E= 1/4", 175 KG/6 M                                                                                                                                                                                                                                                                                                                                                                                                                                                              </t>
  </si>
  <si>
    <t xml:space="preserve">TUBO 30" EM CHAPA PRETA, E= 3/8", 177 KG/6 M                                                                                                                                                                                                                                                                                                                                                                                                                                                              </t>
  </si>
  <si>
    <t xml:space="preserve">UNIAO COM ASSENTO CONICO DE BRONZE, DIAMETRO 1/2"                                                                                                                                                                                                                                                                                                                                                                                                                                                         </t>
  </si>
  <si>
    <t xml:space="preserve">UNIAO COM ASSENTO CONICO DE BRONZE, DIAMETRO 1"                                                                                                                                                                                                                                                                                                                                                                                                                                                           </t>
  </si>
  <si>
    <t xml:space="preserve">UNIAO COM ASSENTO CONICO DE BRONZE, DIAMETRO 2 1/2"                                                                                                                                                                                                                                                                                                                                                                                                                                                       </t>
  </si>
  <si>
    <t xml:space="preserve">UNIAO COM ASSENTO CONICO DE BRONZE, DIAMETRO 2'                                                                                                                                                                                                                                                                                                                                                                                                                                                           </t>
  </si>
  <si>
    <t xml:space="preserve">UNIAO COM ASSENTO CONICO DE BRONZE, DIAMETRO 3/4"                                                                                                                                                                                                                                                                                                                                                                                                                                                         </t>
  </si>
  <si>
    <t xml:space="preserve">UNIAO COM ASSENTO CONICO DE BRONZE, DIAMETRO 3"                                                                                                                                                                                                                                                                                                                                                                                                                                                           </t>
  </si>
  <si>
    <t xml:space="preserve">UNIAO COM ASSENTO CONICO DE BRONZE, DIAMETRO 4"                                                                                                                                                                                                                                                                                                                                                                                                                                                           </t>
  </si>
  <si>
    <t xml:space="preserve">UNIAO COM ASSENTO CONICO DE FERRO LONGO (MACHO-FEMEA), DIAMETRO 1 1/2"                                                                                                                                                                                                                                                                                                                                                                                                                                    </t>
  </si>
  <si>
    <t xml:space="preserve">UNIAO COM ASSENTO CONICO DE FERRO LONGO (MACHO-FEMEA), DIAMETRO 1/2"                                                                                                                                                                                                                                                                                                                                                                                                                                      </t>
  </si>
  <si>
    <t xml:space="preserve">UNIAO COM ASSENTO CONICO DE FERRO LONGO (MACHO-FEMEA), DIAMETRO 1"                                                                                                                                                                                                                                                                                                                                                                                                                                        </t>
  </si>
  <si>
    <t xml:space="preserve">UNIAO COM ASSENTO CONICO DE FERRO LONGO (MACHO-FEMEA), DIAMETRO 2 1/2"                                                                                                                                                                                                                                                                                                                                                                                                                                    </t>
  </si>
  <si>
    <t xml:space="preserve">UNIAO COM ASSENTO CONICO DE FERRO LONGO (MACHO-FEMEA), DIAMETRO 2"                                                                                                                                                                                                                                                                                                                                                                                                                                        </t>
  </si>
  <si>
    <t xml:space="preserve">UNIAO COM ASSENTO CONICO DE FERRO LONGO (MACHO-FEMEA), DIAMETRO 3/4"                                                                                                                                                                                                                                                                                                                                                                                                                                      </t>
  </si>
  <si>
    <t xml:space="preserve">UNIAO COM ASSENTO CONICO DE FERRO LONGO (MACHO-FEMEA), DIAMETRO 3'                                                                                                                                                                                                                                                                                                                                                                                                                                        </t>
  </si>
  <si>
    <t xml:space="preserve">UNIAO COM ASSENTO CONICO DE FERRO LONGO (MACHO-FEMEA), DIAMETRO 4"                                                                                                                                                                                                                                                                                                                                                                                                                                        </t>
  </si>
  <si>
    <t xml:space="preserve">UNIAO COM FLANGE PPR, DN 40 MM, PARA AGUA QUENTE PREDIAL                                                                                                                                                                                                                                                                                                                                                                                                                                                  </t>
  </si>
  <si>
    <t>150,68</t>
  </si>
  <si>
    <t xml:space="preserve">UNIAO DE FERRO GALVANIZADO, COM ASSENTO CONICO DE BRONZE, DE 1 1/2"                                                                                                                                                                                                                                                                                                                                                                                                                                       </t>
  </si>
  <si>
    <t xml:space="preserve">UNIAO DE FERRO GALVANIZADO, COM ASSENTO CONICO DE BRONZE, DE 1 1/4"                                                                                                                                                                                                                                                                                                                                                                                                                                       </t>
  </si>
  <si>
    <t xml:space="preserve">UNIAO DE FERRO GALVANIZADO, COM ROSCA BSP, COM ASSENTO PLANO, DE 1 1/2"                                                                                                                                                                                                                                                                                                                                                                                                                                   </t>
  </si>
  <si>
    <t xml:space="preserve">UNIAO DE FERRO GALVANIZADO, COM ROSCA BSP, COM ASSENTO PLANO, DE 1 1/4"                                                                                                                                                                                                                                                                                                                                                                                                                                   </t>
  </si>
  <si>
    <t xml:space="preserve">UNIAO DE FERRO GALVANIZADO, COM ROSCA BSP, COM ASSENTO PLANO, DE 1/2"                                                                                                                                                                                                                                                                                                                                                                                                                                     </t>
  </si>
  <si>
    <t xml:space="preserve">UNIAO DE FERRO GALVANIZADO, COM ROSCA BSP, COM ASSENTO PLANO, DE 1"                                                                                                                                                                                                                                                                                                                                                                                                                                       </t>
  </si>
  <si>
    <t xml:space="preserve">UNIAO DE FERRO GALVANIZADO, COM ROSCA BSP, COM ASSENTO PLANO, DE 2 1/2"                                                                                                                                                                                                                                                                                                                                                                                                                                   </t>
  </si>
  <si>
    <t xml:space="preserve">UNIAO DE FERRO GALVANIZADO, COM ROSCA BSP, COM ASSENTO PLANO, DE 2"                                                                                                                                                                                                                                                                                                                                                                                                                                       </t>
  </si>
  <si>
    <t xml:space="preserve">UNIAO DE FERRO GALVANIZADO, COM ROSCA BSP, COM ASSENTO PLANO, DE 3/4"                                                                                                                                                                                                                                                                                                                                                                                                                                     </t>
  </si>
  <si>
    <t xml:space="preserve">UNIAO DE FERRO GALVANIZADO, COM ROSCA BSP, COM ASSENTO PLANO, DE 3"                                                                                                                                                                                                                                                                                                                                                                                                                                       </t>
  </si>
  <si>
    <t xml:space="preserve">UNIAO DE FERRO GALVANIZADO, COM ROSCA BSP, COM ASSENTO PLANO, DE 4"                                                                                                                                                                                                                                                                                                                                                                                                                                       </t>
  </si>
  <si>
    <t xml:space="preserve">UNIAO DE REDUCAO METALICA, PARA CONEXAO COM ANEL DESLIZANTE EM TUBO PEX, DN 20 X 16 MM                                                                                                                                                                                                                                                                                                                                                                                                                    </t>
  </si>
  <si>
    <t xml:space="preserve">UNIAO DE REDUCAO METALICA, PARA CONEXAO COM ANEL DESLIZANTE EM TUBO PEX, DN 25 X 16 MM                                                                                                                                                                                                                                                                                                                                                                                                                    </t>
  </si>
  <si>
    <t xml:space="preserve">UNIAO DE REDUCAO METALICA, PARA CONEXAO COM ANEL DESLIZANTE EM TUBO PEX, DN 25 X 20 MM                                                                                                                                                                                                                                                                                                                                                                                                                    </t>
  </si>
  <si>
    <t xml:space="preserve">UNIAO DE REDUCAO METALICA, PARA CONEXAO COM ANEL DESLIZANTE EM TUBO PEX, DN 32 X 25 MM                                                                                                                                                                                                                                                                                                                                                                                                                    </t>
  </si>
  <si>
    <t xml:space="preserve">UNIAO DUPLA PPR DN 20 MM, PARA AGUA QUENTE PREDIAL                                                                                                                                                                                                                                                                                                                                                                                                                                                        </t>
  </si>
  <si>
    <t xml:space="preserve">UNIAO DUPLA PPR DN 25 MM, PARA AGUA QUENTE PREDIAL                                                                                                                                                                                                                                                                                                                                                                                                                                                        </t>
  </si>
  <si>
    <t xml:space="preserve">UNIAO EM POLIPROPILENO (PP), PARA TUBO EM PEAD, 20 MM - LIGACAO PREDIAL DE AGUA                                                                                                                                                                                                                                                                                                                                                                                                                           </t>
  </si>
  <si>
    <t xml:space="preserve">UNIAO EM POLIPROPILENO (PP), PARA TUBO EM PEAD, 32 MM - LIGACAO PREDIAL DE AGUA                                                                                                                                                                                                                                                                                                                                                                                                                           </t>
  </si>
  <si>
    <t xml:space="preserve">UNIAO METALICA, PARA CONEXAO COM ANEL DESLIZANTE EM TUBO PEX, DN 16 MM                                                                                                                                                                                                                                                                                                                                                                                                                                    </t>
  </si>
  <si>
    <t xml:space="preserve">UNIAO METALICA, PARA CONEXAO COM ANEL DESLIZANTE EM TUBO PEX, DN 20 MM                                                                                                                                                                                                                                                                                                                                                                                                                                    </t>
  </si>
  <si>
    <t xml:space="preserve">UNIAO METALICA, PARA CONEXAO COM ANEL DESLIZANTE EM TUBO PEX, DN 25 MM                                                                                                                                                                                                                                                                                                                                                                                                                                    </t>
  </si>
  <si>
    <t xml:space="preserve">UNIAO METALICA, PARA CONEXAO COM ANEL DESLIZANTE EM TUBO PEX, DN 32 MM                                                                                                                                                                                                                                                                                                                                                                                                                                    </t>
  </si>
  <si>
    <t xml:space="preserve">UNIAO PVC, ROSCAVEL 1/2",  AGUA FRIA PREDIAL                                                                                                                                                                                                                                                                                                                                                                                                                                                              </t>
  </si>
  <si>
    <t xml:space="preserve">UNIAO PVC, ROSCAVEL 2",  AGUA FRIA PREDIAL                                                                                                                                                                                                                                                                                                                                                                                                                                                                </t>
  </si>
  <si>
    <t>133,84</t>
  </si>
  <si>
    <t xml:space="preserve">UNIAO PVC, ROSCAVEL, 1 1/2",  AGUA FRIA PREDIAL                                                                                                                                                                                                                                                                                                                                                                                                                                                           </t>
  </si>
  <si>
    <t xml:space="preserve">UNIAO PVC, ROSCAVEL, 1 1/4",  AGUA FRIA PREDIAL                                                                                                                                                                                                                                                                                                                                                                                                                                                           </t>
  </si>
  <si>
    <t>53,53</t>
  </si>
  <si>
    <t xml:space="preserve">UNIAO PVC, ROSCAVEL, 1",  AGUA FRIA PREDIAL                                                                                                                                                                                                                                                                                                                                                                                                                                                               </t>
  </si>
  <si>
    <t xml:space="preserve">UNIAO PVC, ROSCAVEL, 2 1/2",  AGUA FRIA PREDIAL                                                                                                                                                                                                                                                                                                                                                                                                                                                           </t>
  </si>
  <si>
    <t>275,21</t>
  </si>
  <si>
    <t xml:space="preserve">UNIAO PVC, ROSCAVEL, 3/4",  AGUA FRIA PREDIAL                                                                                                                                                                                                                                                                                                                                                                                                                                                             </t>
  </si>
  <si>
    <t xml:space="preserve">UNIAO PVC, ROSCAVEL, 3",  AGUA FRIA PREDIAL                                                                                                                                                                                                                                                                                                                                                                                                                                                               </t>
  </si>
  <si>
    <t>348,51</t>
  </si>
  <si>
    <t xml:space="preserve">UNIAO PVC, SOLDAVEL, 110 MM,  PARA AGUA FRIA PREDIAL                                                                                                                                                                                                                                                                                                                                                                                                                                                      </t>
  </si>
  <si>
    <t>694,88</t>
  </si>
  <si>
    <t xml:space="preserve">UNIAO PVC, SOLDAVEL, 20 MM,  PARA AGUA FRIA PREDIAL                                                                                                                                                                                                                                                                                                                                                                                                                                                       </t>
  </si>
  <si>
    <t xml:space="preserve">UNIAO PVC, SOLDAVEL, 25 MM,  PARA AGUA FRIA PREDIAL                                                                                                                                                                                                                                                                                                                                                                                                                                                       </t>
  </si>
  <si>
    <t xml:space="preserve">UNIAO PVC, SOLDAVEL, 32 MM,  PARA AGUA FRIA PREDIAL                                                                                                                                                                                                                                                                                                                                                                                                                                                       </t>
  </si>
  <si>
    <t xml:space="preserve">UNIAO PVC, SOLDAVEL, 40 MM,  PARA AGUA FRIA PREDIAL                                                                                                                                                                                                                                                                                                                                                                                                                                                       </t>
  </si>
  <si>
    <t>44,47</t>
  </si>
  <si>
    <t xml:space="preserve">UNIAO PVC, SOLDAVEL, 50 MM,  PARA AGUA FRIA PREDIAL                                                                                                                                                                                                                                                                                                                                                                                                                                                       </t>
  </si>
  <si>
    <t xml:space="preserve">UNIAO PVC, SOLDAVEL, 60 MM,  PARA AGUA FRIA PREDIAL                                                                                                                                                                                                                                                                                                                                                                                                                                                       </t>
  </si>
  <si>
    <t>121,18</t>
  </si>
  <si>
    <t xml:space="preserve">UNIAO PVC, SOLDAVEL, 75 MM,  PARA AGUA FRIA PREDIAL                                                                                                                                                                                                                                                                                                                                                                                                                                                       </t>
  </si>
  <si>
    <t xml:space="preserve">UNIAO PVC, SOLDAVEL, 85 MM,  PARA AGUA FRIA PREDIAL                                                                                                                                                                                                                                                                                                                                                                                                                                                       </t>
  </si>
  <si>
    <t xml:space="preserve">UNIAO TIPO STORZ, COM EMPATACAO INTERNA TIPO ANEL DE EXPANSAO, ENGATE RAPIDO 1 1/2", PARA MANGUEIRA DE COMBATE A INCENDIO PREDIAL                                                                                                                                                                                                                                                                                                                                                                         </t>
  </si>
  <si>
    <t>112,38</t>
  </si>
  <si>
    <t xml:space="preserve">UNIAO TIPO STORZ, COM EMPATACAO INTERNA TIPO ANEL DE EXPANSAO, ENGATE RAPIDO 2 1/2", PARA MANGUEIRA DE COMBATE A INCENDIO PREDIAL                                                                                                                                                                                                                                                                                                                                                                         </t>
  </si>
  <si>
    <t>160,78</t>
  </si>
  <si>
    <t xml:space="preserve">UNIAO, CPVC, SOLDAVEL, 15 MM, PARA AGUA QUENTE PREDIAL                                                                                                                                                                                                                                                                                                                                                                                                                                                    </t>
  </si>
  <si>
    <t>13,69</t>
  </si>
  <si>
    <t xml:space="preserve">UNIAO, CPVC, SOLDAVEL, 22 MM, PARA AGUA QUENTE PREDIAL                                                                                                                                                                                                                                                                                                                                                                                                                                                    </t>
  </si>
  <si>
    <t xml:space="preserve">UNIAO, CPVC, SOLDAVEL, 28 MM, PARA AGUA QUENTE PREDIAL                                                                                                                                                                                                                                                                                                                                                                                                                                                    </t>
  </si>
  <si>
    <t>25,16</t>
  </si>
  <si>
    <t xml:space="preserve">UNIAO, CPVC, SOLDAVEL, 35 MM, PARA AGUA QUENTE PREDIAL                                                                                                                                                                                                                                                                                                                                                                                                                                                    </t>
  </si>
  <si>
    <t>38,43</t>
  </si>
  <si>
    <t xml:space="preserve">UNIAO, CPVC, SOLDAVEL, 42 MM, PARA AGUA QUENTE PREDIAL                                                                                                                                                                                                                                                                                                                                                                                                                                                    </t>
  </si>
  <si>
    <t xml:space="preserve">UNIAO, CPVC, SOLDAVEL, 54 MM, PARA AGUA QUENTE PREDIAL                                                                                                                                                                                                                                                                                                                                                                                                                                                    </t>
  </si>
  <si>
    <t>137,07</t>
  </si>
  <si>
    <t xml:space="preserve">UNIAO, CPVC, SOLDAVEL, 73 MM, PARA AGUA QUENTE PREDIAL                                                                                                                                                                                                                                                                                                                                                                                                                                                    </t>
  </si>
  <si>
    <t>198,95</t>
  </si>
  <si>
    <t xml:space="preserve">UNIAO, CPVC, SOLDAVEL, 89 MM, PARA AGUA QUENTE PREDIAL                                                                                                                                                                                                                                                                                                                                                                                                                                                    </t>
  </si>
  <si>
    <t>293,34</t>
  </si>
  <si>
    <t xml:space="preserve">USINA DE ASFALTO A FRIO, CAPACIDADE DE 30 A 40 T/H, ELETRICA, POTENCIA DE 30 CV                                                                                                                                                                                                                                                                                                                                                                                                                           </t>
  </si>
  <si>
    <t>122.695,21</t>
  </si>
  <si>
    <t xml:space="preserve">USINA DE ASFALTO A FRIO, CAPACIDADE DE 40 A 60 T/H, ELETRICA, POTENCIA DE 30 CV                                                                                                                                                                                                                                                                                                                                                                                                                           </t>
  </si>
  <si>
    <t>152.815,25</t>
  </si>
  <si>
    <t xml:space="preserve">USINA DE ASFALTO A QUENTE, FIXA, TIPO CONTRA FLUXO, CAPACIDADE DE 100 A 140 T/H, POTENCIA DE 280 KW, COM MISTURADOR EXTERNO ROTATIVO                                                                                                                                                                                                                                                                                                                                                                      </t>
  </si>
  <si>
    <t>2.972.561,50</t>
  </si>
  <si>
    <t xml:space="preserve">USINA DE ASFALTO, GRAVIMETRICA, CAPACIDADE DE 150 T/H, POTENCIA DE 400 KW                                                                                                                                                                                                                                                                                                                                                                                                                                 </t>
  </si>
  <si>
    <t>7.826.649,53</t>
  </si>
  <si>
    <t xml:space="preserve">USINA DE CONCRETO FIXA, CAPACIDADE NOMINAL DE 40 M3/H, SEM SILO                                                                                                                                                                                                                                                                                                                                                                                                                                           </t>
  </si>
  <si>
    <t xml:space="preserve">USINA DE CONCRETO FIXA, CAPACIDADE NOMINAL DE 60 M3/H, SEM SILO                                                                                                                                                                                                                                                                                                                                                                                                                                           </t>
  </si>
  <si>
    <t xml:space="preserve">USINA DE CONCRETO FIXA, CAPACIDADE NOMINAL DE 80 M3/H, SEM SILO                                                                                                                                                                                                                                                                                                                                                                                                                                           </t>
  </si>
  <si>
    <t xml:space="preserve">USINA DE CONCRETO FIXA, CAPACIDADE NOMINAL DE 90 A 120 M3/H, SEM SILO                                                                                                                                                                                                                                                                                                                                                                                                                                     </t>
  </si>
  <si>
    <t xml:space="preserve">USINA DE LAMA ASFALTICA, PROD 30 A 50 T/H, SILO DE AGREGADO 7 M3, RESERVATORIOS PARA EMULSAO E AGUA DE 2,3 M3 CADA, MISTURADOR TIPO PUGG-MILL A SER MONTADO SOBRE CAMINHAO                                                                                                                                                                                                                                                                                                                                </t>
  </si>
  <si>
    <t>629.775,55</t>
  </si>
  <si>
    <t xml:space="preserve">USINA DE MISTURAS ASFALTICAS A QUENTE, MOVEL, TIPO CONTRA FLUXO, CAPACIDADE DE 40 A 80 T/H                                                                                                                                                                                                                                                                                                                                                                                                                </t>
  </si>
  <si>
    <t>2.420.000,00</t>
  </si>
  <si>
    <t xml:space="preserve">USINA MISTURADORA DE SOLOS,  DOSADORES TRIPLOS, CALHA VIBRATORIA CAPACIDADE DE 200 A 500 T/H, POTENCIA DE 75 KW                                                                                                                                                                                                                                                                                                                                                                                           </t>
  </si>
  <si>
    <t>1.248.350,46</t>
  </si>
  <si>
    <t xml:space="preserve">VALVULA DE DESCARGA EM METAL CROMADO PARA MICTORIO COM ACIONAMENTO POR PRESSAO E FECHAMENTO AUTOMATICO                                                                                                                                                                                                                                                                                                                                                                                                    </t>
  </si>
  <si>
    <t>187,95</t>
  </si>
  <si>
    <t xml:space="preserve">VALVULA DE DESCARGA METALICA, BASE 1 1/2 " E ACABAMENTO METALICO CROMADO                                                                                                                                                                                                                                                                                                                                                                                                                                  </t>
  </si>
  <si>
    <t>218,35</t>
  </si>
  <si>
    <t xml:space="preserve">VALVULA DE DESCARGA METALICA, BASE 1 1/4 " E ACABAMENTO METALICO CROMADO                                                                                                                                                                                                                                                                                                                                                                                                                                  </t>
  </si>
  <si>
    <t>176,89</t>
  </si>
  <si>
    <t xml:space="preserve">VALVULA DE ESFERA BRUTA EM BRONZE, BITOLA 1 " (REF 1552-B)                                                                                                                                                                                                                                                                                                                                                                                                                                                </t>
  </si>
  <si>
    <t>72,53</t>
  </si>
  <si>
    <t xml:space="preserve">VALVULA DE ESFERA BRUTA EM BRONZE, BITOLA 1 1/2 " (REF 1552-B)                                                                                                                                                                                                                                                                                                                                                                                                                                            </t>
  </si>
  <si>
    <t>130,27</t>
  </si>
  <si>
    <t xml:space="preserve">VALVULA DE ESFERA BRUTA EM BRONZE, BITOLA 1 1/4 " (REF 1552-B)                                                                                                                                                                                                                                                                                                                                                                                                                                            </t>
  </si>
  <si>
    <t>108,10</t>
  </si>
  <si>
    <t xml:space="preserve">VALVULA DE ESFERA BRUTA EM BRONZE, BITOLA 1/2 " (REF 1552-B)                                                                                                                                                                                                                                                                                                                                                                                                                                              </t>
  </si>
  <si>
    <t>46,54</t>
  </si>
  <si>
    <t xml:space="preserve">VALVULA DE ESFERA BRUTA EM BRONZE, BITOLA 2 " (REF 1552-B)                                                                                                                                                                                                                                                                                                                                                                                                                                                </t>
  </si>
  <si>
    <t xml:space="preserve">VALVULA DE ESFERA BRUTA EM BRONZE, BITOLA 3/4 " (REF 1552-B)                                                                                                                                                                                                                                                                                                                                                                                                                                              </t>
  </si>
  <si>
    <t xml:space="preserve">VALVULA DE RETENCAO DE BRONZE, PE COM CRIVOS, EXTREMIDADE COM ROSCA, DE 1 1/2", PARA FUNDO DE POCO                                                                                                                                                                                                                                                                                                                                                                                                        </t>
  </si>
  <si>
    <t xml:space="preserve">VALVULA DE RETENCAO DE BRONZE, PE COM CRIVOS, EXTREMIDADE COM ROSCA, DE 1 1/4", PARA FUNDO DE POCO                                                                                                                                                                                                                                                                                                                                                                                                        </t>
  </si>
  <si>
    <t xml:space="preserve">VALVULA DE RETENCAO DE BRONZE, PE COM CRIVOS, EXTREMIDADE COM ROSCA, DE 1", PARA FUNDO DE POCO                                                                                                                                                                                                                                                                                                                                                                                                            </t>
  </si>
  <si>
    <t xml:space="preserve">VALVULA DE RETENCAO DE BRONZE, PE COM CRIVOS, EXTREMIDADE COM ROSCA, DE 2 1/2", PARA FUNDO DE POCO                                                                                                                                                                                                                                                                                                                                                                                                        </t>
  </si>
  <si>
    <t xml:space="preserve">VALVULA DE RETENCAO DE BRONZE, PE COM CRIVOS, EXTREMIDADE COM ROSCA, DE 2", PARA FUNDO DE POCO                                                                                                                                                                                                                                                                                                                                                                                                            </t>
  </si>
  <si>
    <t xml:space="preserve">VALVULA DE RETENCAO DE BRONZE, PE COM CRIVOS, EXTREMIDADE COM ROSCA, DE 3/4", PARA FUNDO DE POCO                                                                                                                                                                                                                                                                                                                                                                                                          </t>
  </si>
  <si>
    <t xml:space="preserve">VALVULA DE RETENCAO DE BRONZE, PE COM CRIVOS, EXTREMIDADE COM ROSCA, DE 3", PARA FUNDO DE POCO                                                                                                                                                                                                                                                                                                                                                                                                            </t>
  </si>
  <si>
    <t xml:space="preserve">VALVULA DE RETENCAO DE BRONZE, PE COM CRIVOS, EXTREMIDADE COM ROSCA, DE 4", PARA FUNDO DE POCO                                                                                                                                                                                                                                                                                                                                                                                                            </t>
  </si>
  <si>
    <t xml:space="preserve">VALVULA DE RETENCAO HORIZONTAL, DE BRONZE (PN-25), 1 1/2", 400 PSI, TAMPA DE PORCA DE UNIAO, EXTREMIDADES COM ROSCA                                                                                                                                                                                                                                                                                                                                                                                       </t>
  </si>
  <si>
    <t xml:space="preserve">VALVULA DE RETENCAO HORIZONTAL, DE BRONZE (PN-25), 1 1/4", 400 PSI, TAMPA DE PORCA DE UNIAO, EXTREMIDADES COM ROSCA                                                                                                                                                                                                                                                                                                                                                                                       </t>
  </si>
  <si>
    <t xml:space="preserve">VALVULA DE RETENCAO HORIZONTAL, DE BRONZE (PN-25), 1/2", 400 PSI, TAMPA DE PORCA DE UNIAO, EXTREMIDADES COM ROSCA                                                                                                                                                                                                                                                                                                                                                                                         </t>
  </si>
  <si>
    <t xml:space="preserve">VALVULA DE RETENCAO HORIZONTAL, DE BRONZE (PN-25), 1", 400 PSI, TAMPA DE PORCA DE UNIAO, EXTREMIDADES COM ROSCA                                                                                                                                                                                                                                                                                                                                                                                           </t>
  </si>
  <si>
    <t xml:space="preserve">VALVULA DE RETENCAO HORIZONTAL, DE BRONZE (PN-25), 2 1/2", 400 PSI, TAMPA DE PORCA DE UNIAO, EXTREMIDADES COM ROSCA                                                                                                                                                                                                                                                                                                                                                                                       </t>
  </si>
  <si>
    <t xml:space="preserve">VALVULA DE RETENCAO HORIZONTAL, DE BRONZE (PN-25), 2", 400 PSI, TAMPA DE PORCA DE UNIAO, EXTREMIDADES COM ROSCA                                                                                                                                                                                                                                                                                                                                                                                           </t>
  </si>
  <si>
    <t xml:space="preserve">VALVULA DE RETENCAO HORIZONTAL, DE BRONZE (PN-25), 3/4", 400 PSI, TAMPA DE PORCA DE UNIAO, EXTREMIDADES COM ROSCA                                                                                                                                                                                                                                                                                                                                                                                         </t>
  </si>
  <si>
    <t xml:space="preserve">VALVULA DE RETENCAO HORIZONTAL, DE BRONZE (PN-25), 3", 400 PSI, TAMPA DE PORCA DE UNIAO, EXTREMIDADES COM ROSCA                                                                                                                                                                                                                                                                                                                                                                                           </t>
  </si>
  <si>
    <t xml:space="preserve">VALVULA DE RETENCAO HORIZONTAL, DE BRONZE (PN-25), 4", 400 PSI, TAMPA DE PORCA DE UNIAO, EXTREMIDADES COM ROSCA                                                                                                                                                                                                                                                                                                                                                                                           </t>
  </si>
  <si>
    <t xml:space="preserve">VALVULA DE RETENCAO VERTICAL, DE BRONZE (PN-16), 1 1/2", 200 PSI, EXTREMIDADES COM ROSCA                                                                                                                                                                                                                                                                                                                                                                                                                  </t>
  </si>
  <si>
    <t xml:space="preserve">VALVULA DE RETENCAO VERTICAL, DE BRONZE (PN-16), 1 1/4", 200 PSI, EXTREMIDADES COM ROSCA                                                                                                                                                                                                                                                                                                                                                                                                                  </t>
  </si>
  <si>
    <t xml:space="preserve">VALVULA DE RETENCAO VERTICAL, DE BRONZE (PN-16), 1/2", 200 PSI, EXTREMIDADES COM ROSCA                                                                                                                                                                                                                                                                                                                                                                                                                    </t>
  </si>
  <si>
    <t xml:space="preserve">VALVULA DE RETENCAO VERTICAL, DE BRONZE (PN-16), 1", 200 PSI, EXTREMIDADES COM ROSCA                                                                                                                                                                                                                                                                                                                                                                                                                      </t>
  </si>
  <si>
    <t xml:space="preserve">VALVULA DE RETENCAO VERTICAL, DE BRONZE (PN-16), 2 1/2", 200 PSI, EXTREMIDADES COM ROSCA                                                                                                                                                                                                                                                                                                                                                                                                                  </t>
  </si>
  <si>
    <t xml:space="preserve">VALVULA DE RETENCAO VERTICAL, DE BRONZE (PN-16), 2", 200 PSI, EXTREMIDADES COM ROSCA                                                                                                                                                                                                                                                                                                                                                                                                                      </t>
  </si>
  <si>
    <t xml:space="preserve">VALVULA DE RETENCAO VERTICAL, DE BRONZE (PN-16), 3/4", 200 PSI, EXTREMIDADES COM ROSCA                                                                                                                                                                                                                                                                                                                                                                                                                    </t>
  </si>
  <si>
    <t xml:space="preserve">VALVULA DE RETENCAO VERTICAL, DE BRONZE (PN-16), 3", 200 PSI, EXTREMIDADES COM ROSCA                                                                                                                                                                                                                                                                                                                                                                                                                      </t>
  </si>
  <si>
    <t xml:space="preserve">VALVULA DE RETENCAO VERTICAL, DE BRONZE (PN-16), 4", 200 PSI, EXTREMIDADES COM ROSCA                                                                                                                                                                                                                                                                                                                                                                                                                      </t>
  </si>
  <si>
    <t xml:space="preserve">VALVULA EM METAL CROMADO PARA LAVATORIO, 1 " SEM LADRAO                                                                                                                                                                                                                                                                                                                                                                                                                                                   </t>
  </si>
  <si>
    <t>37,81</t>
  </si>
  <si>
    <t xml:space="preserve">VALVULA EM METAL CROMADO PARA PIA AMERICANA 3.1/2 X 1.1/2 "                                                                                                                                                                                                                                                                                                                                                                                                                                               </t>
  </si>
  <si>
    <t xml:space="preserve">VALVULA EM METAL CROMADO PARA TANQUE, 1.1/2 " SEM LADRAO                                                                                                                                                                                                                                                                                                                                                                                                                                                  </t>
  </si>
  <si>
    <t xml:space="preserve">VALVULA EM PLASTICO BRANCO COM SAIDA LISA PARA TANQUE 1.1/4 " X 1.1/2 "                                                                                                                                                                                                                                                                                                                                                                                                                                   </t>
  </si>
  <si>
    <t xml:space="preserve">VALVULA EM PLASTICO BRANCO PARA LAVATORIO 1 ", SEM UNHO, COM LADRAO                                                                                                                                                                                                                                                                                                                                                                                                                                       </t>
  </si>
  <si>
    <t xml:space="preserve">VALVULA EM PLASTICO BRANCO PARA TANQUE OU LAVATORIO 1 ", SEM UNHO E SEM LADRAO                                                                                                                                                                                                                                                                                                                                                                                                                            </t>
  </si>
  <si>
    <t xml:space="preserve">VALVULA EM PLASTICO BRANCO PARA TANQUE 1.1/4 " X 1.1/2 ", SEM UNHO E SEM LADRAO                                                                                                                                                                                                                                                                                                                                                                                                                           </t>
  </si>
  <si>
    <t xml:space="preserve">VALVULA EM PLASTICO CROMADO PARA LAVATORIO 1 ", SEM UNHO, COM LADRAO                                                                                                                                                                                                                                                                                                                                                                                                                                      </t>
  </si>
  <si>
    <t xml:space="preserve">VALVULA EM PLASTICO CROMADO TIPO AMERICANA PARA PIA DE COZINHA 3.1/2 " X 1.1/2 ", SEM ADAPTADOR                                                                                                                                                                                                                                                                                                                                                                                                           </t>
  </si>
  <si>
    <t xml:space="preserve">VARA FINA PARA CREMONA, EM FERRO ZINCADO BRANCO, COM DIAMETRO DE APROX 10 MM E COMPRIMENTO DE 1,20 M                                                                                                                                                                                                                                                                                                                                                                                                      </t>
  </si>
  <si>
    <t xml:space="preserve">VARA FINA PARA CREMONA, EM FERRO ZINCADO BRANCO, COM DIAMETRO DE APROX 10 MM E COMPRIMENTO DE 1,50 M                                                                                                                                                                                                                                                                                                                                                                                                      </t>
  </si>
  <si>
    <t xml:space="preserve">VARIADOR DE LUMINOSIDADE ROTATIVO (DIMMER) 127 V, 300 W (APENAS MODULO)                                                                                                                                                                                                                                                                                                                                                                                                                                   </t>
  </si>
  <si>
    <t xml:space="preserve">VARIADOR DE LUMINOSIDADE ROTATIVO (DIMMER) 127V, 300W, CONJUNTO MONTADO PARA EMBUTIR 4" X 2" (PLACA + SUPORTE + MODULO)                                                                                                                                                                                                                                                                                                                                                                                   </t>
  </si>
  <si>
    <t xml:space="preserve">VARIADOR DE LUMINOSIDADE ROTATIVO (DIMMER) 220 V, 600 W (APENAS MODULO)                                                                                                                                                                                                                                                                                                                                                                                                                                   </t>
  </si>
  <si>
    <t>72,83</t>
  </si>
  <si>
    <t xml:space="preserve">VARIADOR DE LUMINOSIDADE ROTATIVO (DIMMER) 220V, 600W, CONJUNTO MONTADO PARA EMBUTIR 4" X 2" (PLACA + SUPORTE + MODULO)                                                                                                                                                                                                                                                                                                                                                                                   </t>
  </si>
  <si>
    <t>76,58</t>
  </si>
  <si>
    <t xml:space="preserve">VARIADOR DE VELOCIDADE PARA VENTILADOR 127 V, 150 W (APENAS MODULO)                                                                                                                                                                                                                                                                                                                                                                                                                                       </t>
  </si>
  <si>
    <t xml:space="preserve">VARIADOR DE VELOCIDADE PARA VENTILADOR 127V, 150W + 2 INTERRUPTORES PARALELOS, PARA REVERSAO E LAMPADA, CONJUNTO MONTADO PARA EMBUTIR 4" X 2" (PLACA + SUPORTE + MODULOS)                                                                                                                                                                                                                                                                                                                                 </t>
  </si>
  <si>
    <t>48,82</t>
  </si>
  <si>
    <t xml:space="preserve">VARIADOR DE VELOCIDADE PARA VENTILADOR 220 V, 250 W (APENAS MODULO)                                                                                                                                                                                                                                                                                                                                                                                                                                       </t>
  </si>
  <si>
    <t xml:space="preserve">VARIADOR DE VELOCIDADE PARA VENTILADOR 220V, 250W + 2 INTERRUPTORES PARALELOS, PARA REVERSAO E LAMPADA, CONJUNTO MONTADO PARA EMBUTIR 4" X 2" (PLACA + SUPORTE + MODULOS)                                                                                                                                                                                                                                                                                                                                 </t>
  </si>
  <si>
    <t xml:space="preserve">VASSOURA MECANICA REBOCAVEL COM ESCOVA CILINDRICA LARGURA UTIL DE VARRIMENTO = 2,44M                                                                                                                                                                                                                                                                                                                                                                                                                      </t>
  </si>
  <si>
    <t>77.066,32</t>
  </si>
  <si>
    <t xml:space="preserve">VASSOURA 40 CM COM CABO                                                                                                                                                                                                                                                                                                                                                                                                                                                                                   </t>
  </si>
  <si>
    <t xml:space="preserve">VEDACAO DE CALHA, EM BORRACHA COR PRETA, MEDIDA ENTRE 119 E 170 MM, PARA DRENAGEM PLUVIAL PREDIAL                                                                                                                                                                                                                                                                                                                                                                                                         </t>
  </si>
  <si>
    <t xml:space="preserve">VERGALHAO ZINCADO ROSCA TOTAL, 1/4 " (6,3 MM)                                                                                                                                                                                                                                                                                                                                                                                                                                                             </t>
  </si>
  <si>
    <t xml:space="preserve">VERNIZ POLIURETANO BRILHANTE PARA MADEIRA, COM FILTRO SOLAR, USO INTERNO E EXTERNO                                                                                                                                                                                                                                                                                                                                                                                                                        </t>
  </si>
  <si>
    <t>30,17</t>
  </si>
  <si>
    <t xml:space="preserve">VERNIZ SINTETICO BRILHANTE PARA MADEIRA TIPO COPAL, USO INTERNO                                                                                                                                                                                                                                                                                                                                                                                                                                           </t>
  </si>
  <si>
    <t xml:space="preserve">VERNIZ SINTETICO BRILHANTE PARA MADEIRA, COM FILTRO SOLAR, USO INTERNO E EXTERNO (BASE SOLVENTE)                                                                                                                                                                                                                                                                                                                                                                                                          </t>
  </si>
  <si>
    <t xml:space="preserve">VEU DE VIDRO/VEU DE SUPERFICIE 30 A 35 G/M2                                                                                                                                                                                                                                                                                                                                                                                                                                                               </t>
  </si>
  <si>
    <t xml:space="preserve">VEU POLIESTER                                                                                                                                                                                                                                                                                                                                                                                                                                                                                             </t>
  </si>
  <si>
    <t xml:space="preserve">VIBRADOR DE IMERSAO, COM PONTEIRA DE *35* MM, MANGOTE DE 5 M, SEM MOTOR                                                                                                                                                                                                                                                                                                                                                                                                                                   </t>
  </si>
  <si>
    <t>1.162,70</t>
  </si>
  <si>
    <t xml:space="preserve">VIBRADOR DE IMERSAO, COM PONTEIRA DE *45* MM, MANGOTE DE 5 M, SEM MOTOR.                                                                                                                                                                                                                                                                                                                                                                                                                                  </t>
  </si>
  <si>
    <t>1.263,81</t>
  </si>
  <si>
    <t xml:space="preserve">VIBRADOR DE IMERSAO, COM PONTEIRA DE *60* MM, MANGOTE DE 5 M, SEM MOTOR.                                                                                                                                                                                                                                                                                                                                                                                                                                  </t>
  </si>
  <si>
    <t>1.417,69</t>
  </si>
  <si>
    <t xml:space="preserve">VIBRADOR DE IMERSAO, DIAMETRO DA PONTEIRA DE *35* MM, COM MOTOR 4 TEMPOS A GASOLINA DE 5,5 HP (5,5 CV)                                                                                                                                                                                                                                                                                                                                                                                                    </t>
  </si>
  <si>
    <t>3.050,00</t>
  </si>
  <si>
    <t xml:space="preserve">VIBRADOR DE IMERSAO, DIAMETRO DA PONTEIRA DE *45* MM, COM MOTOR ELETRICO TRIFASICO DE 2 HP (2 CV)                                                                                                                                                                                                                                                                                                                                                                                                         </t>
  </si>
  <si>
    <t>2.736,11</t>
  </si>
  <si>
    <t xml:space="preserve">VIBRADOR DE IMERSAO, DIAMETRO DA PONTEIRA DE *45* MM, COM MOTOR 4 TEMPOS A GASOLINA DE 5,5 HP (5,5 CV)                                                                                                                                                                                                                                                                                                                                                                                                    </t>
  </si>
  <si>
    <t>3.332,92</t>
  </si>
  <si>
    <t xml:space="preserve">VIBROACABADORA DE ASFALTO SOBRE ESTEIRAS, LARG. PAVIM. MAX. 8,00 M, POT. 100 KW/ 134 HP, CAP. 600 T/ H                                                                                                                                                                                                                                                                                                                                                                                                    </t>
  </si>
  <si>
    <t>4.382.347,25</t>
  </si>
  <si>
    <t xml:space="preserve">VIBROACABADORA DE ASFALTO SOBRE ESTEIRAS, LARG. PAVIM. 2,13 M A 4,55 M, POT. 74 KW/ 100 HP, CAP. 400 T/ H                                                                                                                                                                                                                                                                                                                                                                                                 </t>
  </si>
  <si>
    <t>1.844.917,33</t>
  </si>
  <si>
    <t xml:space="preserve">VIBROACABADORA DE ASFALTO SOBRE ESTEIRAS, LARG. PAVIM. 2,60 M A 5,75 M, POT. 110 HP, CAP. 450 T/ H                                                                                                                                                                                                                                                                                                                                                                                                        </t>
  </si>
  <si>
    <t>1.858.286,42</t>
  </si>
  <si>
    <t xml:space="preserve">VIBROACABADORA DE ASFALTO SOBRE ESTEIRAS, LARG. PAVIMENT. 1,90 A 5,3 M, POT. 78 KW/105 HP, CAP. 450 T/H                                                                                                                                                                                                                                                                                                                                                                                                   </t>
  </si>
  <si>
    <t>2.251.334,00</t>
  </si>
  <si>
    <t xml:space="preserve">VIBROACABADORA DE ASFALTO SOBRE RODAS, LARGURA DE PAVIMENTACAO DE 1,70 A 4,20 M, POTENCIA 78 KW/105 HP, CAPACIDADE 300 T/H                                                                                                                                                                                                                                                                                                                                                                                </t>
  </si>
  <si>
    <t>1.994.649,72</t>
  </si>
  <si>
    <t xml:space="preserve">VIDRACEIRO                                                                                                                                                                                                                                                                                                                                                                                                                                                                                                </t>
  </si>
  <si>
    <t xml:space="preserve">VIDRACEIRO (MENSALISTA)                                                                                                                                                                                                                                                                                                                                                                                                                                                                                   </t>
  </si>
  <si>
    <t>3.139,51</t>
  </si>
  <si>
    <t xml:space="preserve">VIDRO COMUM LAMINADO LISO INCOLOR DUPLO, ESPESSURA TOTAL 8 MM (CADA CAMADA DE 4 MM) - COLOCADO                                                                                                                                                                                                                                                                                                                                                                                                            </t>
  </si>
  <si>
    <t>961,59</t>
  </si>
  <si>
    <t xml:space="preserve">VIDRO COMUM LAMINADO, LISO, INCOLOR, DUPLO, ESPESSURA TOTAL 6 MM (CADA CAMADA E= 3 MM) - COLOCADO                                                                                                                                                                                                                                                                                                                                                                                                         </t>
  </si>
  <si>
    <t>837,05</t>
  </si>
  <si>
    <t xml:space="preserve">VIDRO COMUM LAMINADO, LISO, INCOLOR, TRIPLO, ESPESSURA TOTAL 12 MM (CADA CAMADA E=  4 MM) - COLOCADO                                                                                                                                                                                                                                                                                                                                                                                                      </t>
  </si>
  <si>
    <t>2.176,34</t>
  </si>
  <si>
    <t xml:space="preserve">VIDRO COMUM LAMINADO, LISO, INCOLOR, TRIPLO, ESPESSURA TOTAL 15 MM (CADA CAMADA E = 5 MM) - COLOCADO                                                                                                                                                                                                                                                                                                                                                                                                      </t>
  </si>
  <si>
    <t>2.544,64</t>
  </si>
  <si>
    <t xml:space="preserve">VIDRO CRISTAL COLORIDO, 10 MM, PINTADO NA COR BRANCA                                                                                                                                                                                                                                                                                                                                                                                                                                                      </t>
  </si>
  <si>
    <t>750,00</t>
  </si>
  <si>
    <t xml:space="preserve">VIDRO CRISTAL COLORIDO, 4 MM, PINTADO NA COR BRANCA                                                                                                                                                                                                                                                                                                                                                                                                                                                       </t>
  </si>
  <si>
    <t>234,37</t>
  </si>
  <si>
    <t xml:space="preserve">VIDRO CRISTAL COLORIDO, 6 MM, PINTADO NA COR BRANCA                                                                                                                                                                                                                                                                                                                                                                                                                                                       </t>
  </si>
  <si>
    <t xml:space="preserve">VIDRO CRISTAL COLORIDO, 8 MM, PINTADO NA COR BRANCA                                                                                                                                                                                                                                                                                                                                                                                                                                                       </t>
  </si>
  <si>
    <t>540,73</t>
  </si>
  <si>
    <t xml:space="preserve">VIDRO LISO FUME E = 4MM - SEM COLOCACAO                                                                                                                                                                                                                                                                                                                                                                                                                                                                   </t>
  </si>
  <si>
    <t>267,85</t>
  </si>
  <si>
    <t xml:space="preserve">VIDRO LISO FUME E = 6MM - SEM COLOCACAO                                                                                                                                                                                                                                                                                                                                                                                                                                                                   </t>
  </si>
  <si>
    <t>401,78</t>
  </si>
  <si>
    <t xml:space="preserve">VIDRO LISO FUME, E = 5 MM - SEM COLOCACAO                                                                                                                                                                                                                                                                                                                                                                                                                                                                 </t>
  </si>
  <si>
    <t xml:space="preserve">VIDRO LISO INCOLOR 10 MM - SEM COLOCACAO                                                                                                                                                                                                                                                                                                                                                                                                                                                                  </t>
  </si>
  <si>
    <t>502,23</t>
  </si>
  <si>
    <t xml:space="preserve">VIDRO LISO INCOLOR 2 A 3 MM - SEM COLOCACAO                                                                                                                                                                                                                                                                                                                                                                                                                                                               </t>
  </si>
  <si>
    <t>150,67</t>
  </si>
  <si>
    <t xml:space="preserve">VIDRO LISO INCOLOR 4MM - SEM COLOCACAO                                                                                                                                                                                                                                                                                                                                                                                                                                                                    </t>
  </si>
  <si>
    <t>200,89</t>
  </si>
  <si>
    <t xml:space="preserve">VIDRO LISO INCOLOR 5MM - SEM COLOCACAO                                                                                                                                                                                                                                                                                                                                                                                                                                                                    </t>
  </si>
  <si>
    <t xml:space="preserve">VIDRO LISO INCOLOR 6 MM - SEM COLOCACAO                                                                                                                                                                                                                                                                                                                                                                                                                                                                   </t>
  </si>
  <si>
    <t>284,59</t>
  </si>
  <si>
    <t xml:space="preserve">VIDRO LISO INCOLOR 8MM  -  SEM COLOCACAO                                                                                                                                                                                                                                                                                                                                                                                                                                                                  </t>
  </si>
  <si>
    <t>415,17</t>
  </si>
  <si>
    <t xml:space="preserve">VIDRO MARTELADO OU CANELADO, 4 MM - SEM COLOCACAO                                                                                                                                                                                                                                                                                                                                                                                                                                                         </t>
  </si>
  <si>
    <t>167,41</t>
  </si>
  <si>
    <t xml:space="preserve">VIDRO PLANO ARAMADO E = 6 MM - SEM COLOCACAO                                                                                                                                                                                                                                                                                                                                                                                                                                                              </t>
  </si>
  <si>
    <t xml:space="preserve">VIDRO PLANO ARMADO E = 7MM - SEM COLOCACAO                                                                                                                                                                                                                                                                                                                                                                                                                                                                </t>
  </si>
  <si>
    <t>518,97</t>
  </si>
  <si>
    <t xml:space="preserve">VIDRO TEMPERADO INCOLOR E = 10 MM, SEM COLOCACAO                                                                                                                                                                                                                                                                                                                                                                                                                                                          </t>
  </si>
  <si>
    <t>461,06</t>
  </si>
  <si>
    <t xml:space="preserve">VIDRO TEMPERADO INCOLOR E = 6 MM, SEM COLOCACAO                                                                                                                                                                                                                                                                                                                                                                                                                                                           </t>
  </si>
  <si>
    <t>272,06</t>
  </si>
  <si>
    <t xml:space="preserve">VIDRO TEMPERADO INCOLOR E = 8 MM, SEM COLOCACAO                                                                                                                                                                                                                                                                                                                                                                                                                                                           </t>
  </si>
  <si>
    <t>355,15</t>
  </si>
  <si>
    <t xml:space="preserve">VIDRO TEMPERADO INCOLOR PARA PORTA DE ABRIR, E = 10 MM (SEM FERRAGENS E SEM COLOCACAO)                                                                                                                                                                                                                                                                                                                                                                                                                    </t>
  </si>
  <si>
    <t>498,69</t>
  </si>
  <si>
    <t xml:space="preserve">VIDRO TEMPERADO VERDE E = 10 MM, SEM COLOCACAO                                                                                                                                                                                                                                                                                                                                                                                                                                                            </t>
  </si>
  <si>
    <t>581,09</t>
  </si>
  <si>
    <t xml:space="preserve">VIDRO TEMPERADO VERDE E = 6 MM, SEM COLOCACAO                                                                                                                                                                                                                                                                                                                                                                                                                                                             </t>
  </si>
  <si>
    <t>328,30</t>
  </si>
  <si>
    <t xml:space="preserve">VIDRO TEMPERADO VERDE E = 8 MM, SEM COLOCACAO                                                                                                                                                                                                                                                                                                                                                                                                                                                             </t>
  </si>
  <si>
    <t>443,53</t>
  </si>
  <si>
    <t xml:space="preserve">VIGA *7,5 X 10* CM EM PINUS, MISTA OU EQUIVALENTE DA REGIAO - BRUTA                                                                                                                                                                                                                                                                                                                                                                                                                                       </t>
  </si>
  <si>
    <t xml:space="preserve">VIGA *7,5 X 15 CM EM PINUS, MISTA OU EQUIVALENTE DA REGIAO - BRUTA                                                                                                                                                                                                                                                                                                                                                                                                                                        </t>
  </si>
  <si>
    <t xml:space="preserve">VIGA APARELHADA  *6 X 12* CM, EM MACARANDUBA, ANGELIM OU EQUIVALENTE DA REGIAO                                                                                                                                                                                                                                                                                                                                                                                                                            </t>
  </si>
  <si>
    <t xml:space="preserve">VIGA APARELHADA *6 X 16* CM, EM MACARANDUBA, ANGELIM OU EQUIVALENTE DA REGIAO                                                                                                                                                                                                                                                                                                                                                                                                                             </t>
  </si>
  <si>
    <t xml:space="preserve">VIGA DE ESCORAMAENTO H20, DE MADEIRA, PESO DE 5,00 A 5,20 KG/M, COM EXTREMIDADES PLASTICAS                                                                                                                                                                                                                                                                                                                                                                                                                </t>
  </si>
  <si>
    <t>93,79</t>
  </si>
  <si>
    <t xml:space="preserve">VIGA NAO APARELHADA  *6 X 12* CM, EM MACARANDUBA, ANGELIM OU EQUIVALENTE DA REGIAO - BRUTA                                                                                                                                                                                                                                                                                                                                                                                                                </t>
  </si>
  <si>
    <t xml:space="preserve">VIGA NAO APARELHADA *6 X 16* CM, EM MACARANDUBA, ANGELIM OU EQUIVALENTE DA REGIAO -  BRUTA                                                                                                                                                                                                                                                                                                                                                                                                                </t>
  </si>
  <si>
    <t>36,46</t>
  </si>
  <si>
    <t xml:space="preserve">VIGA NAO APARELHADA *6 X 20* CM, EM MACARANDUBA, ANGELIM OU EQUIVALENTE DA REGIAO - BRUTA                                                                                                                                                                                                                                                                                                                                                                                                                 </t>
  </si>
  <si>
    <t xml:space="preserve">VIGA NAO APARELHADA *8 X 16* CM EM MACARANDUBA, ANGELIM OU EQUIVALENTE DA REGIAO -  BRUTA                                                                                                                                                                                                                                                                                                                                                                                                                 </t>
  </si>
  <si>
    <t>56,42</t>
  </si>
  <si>
    <t xml:space="preserve">VIGIA DIURNO                                                                                                                                                                                                                                                                                                                                                                                                                                                                                              </t>
  </si>
  <si>
    <t xml:space="preserve">VIGIA DIURNO (MENSALISTA)                                                                                                                                                                                                                                                                                                                                                                                                                                                                                 </t>
  </si>
  <si>
    <t>2.162,48</t>
  </si>
  <si>
    <t xml:space="preserve">VIGIA NOTURNO, HORA EFETIVAMENTE TRABALHADA DE 22 H AS 5 H (COM ADICIONAL NOTURNO)                                                                                                                                                                                                                                                                                                                                                                                                                        </t>
  </si>
  <si>
    <r>
      <t>LS:</t>
    </r>
    <r>
      <rPr>
        <sz val="10"/>
        <rFont val="Arial"/>
        <family val="2"/>
      </rPr>
      <t xml:space="preserve"> 116,15%</t>
    </r>
  </si>
  <si>
    <t>Engenheiro (dedicação de 8h semanal)</t>
  </si>
  <si>
    <r>
      <t xml:space="preserve">LS: </t>
    </r>
    <r>
      <rPr>
        <sz val="10"/>
        <rFont val="Arial"/>
        <family val="2"/>
      </rPr>
      <t>116,15%</t>
    </r>
  </si>
  <si>
    <t>Encarregado (dedicação de 40h semanal)</t>
  </si>
  <si>
    <t>Placa de obra nas dimensões de 2.0 x 4.0 m, padrão DER</t>
  </si>
  <si>
    <t>PORTA EM MADEIRA DE LEI TIPO ANGELIM PEDRA OU EQUIV.,ESP. 30 MM, MACIÇA C/ FRISO P/ VERNIZ, PADRÃO SEDU, COM VISOR, INCLUSIVE ALIZARES, DOBRADIÇAS E FECHADURA DE BOLA EXTERNA, EXCLUSIVE MARCO</t>
  </si>
  <si>
    <t>Forro PVC branco L = 20 cm, frisado, estruturado por perfis de aço galvanizado e tirantes rígidos fabricado de acordo com a NBR-14285, colocado</t>
  </si>
  <si>
    <t>Tubos de concreto simples PS1, diâmetro 200 mm, com rejuntamento de argamassa de cimento, cal hidratada e areia no traço 1:2:6, incluindo escavação e berço, conf. normas e especificações.</t>
  </si>
  <si>
    <t>Tubos de concreto simples PS1, diâmetro 300 mm, com rejuntamento de argamassa de cimento, cal hidratada e areia no traço 1:2:6, incluindo escavação e berço, conforme normas e especificações.</t>
  </si>
  <si>
    <t>Padrão de entrada de energia elétrica, trifásico, entrada aérea, a 4 fios, carga instalada em muro de 41001 até 57000W - 220/127V</t>
  </si>
  <si>
    <t>Padrão de entrada de energia elétrica, trifásico, entrada subterrânea, a 4 fios, carga instalada em muro de 41001 até 57000W - 220/127V, exclusive derivação de ramal de entrada subterrânea</t>
  </si>
  <si>
    <t>(COMPOSIÇÃO REPRESENTATIVA) - MONTAGEM MECANICA E ELETRICA, TESTE DE ACEITAÇÃO DE QUADROS DE FABRICAÇÃO ESPECIAL COM ATESTADOS TTA/PTTA</t>
  </si>
  <si>
    <t>(composição representativa) Montagem mecânica de quadro de distribuição até 16 circuitos (600x500mm)</t>
  </si>
  <si>
    <t>(composição representativa) Montagem mecânica de Quadro de distribuição até 32 circuitos (1000x600mm)</t>
  </si>
  <si>
    <t>(composição representativa) Montagem mecânica de Quadro de distribuição até 64 circuitos (2000x800mm)</t>
  </si>
  <si>
    <t>(composição representativa) Montagem mecânica de Barramento de cobre de 1/2" x 1/16" (85A) até 2.1/2" x 5/16" (905A)</t>
  </si>
  <si>
    <t>(composição representativa) Montagem mecânica de Barramento de cobre de 2.1/4" x 1/2" (1086A) até 8" x 1/2" (3195A)</t>
  </si>
  <si>
    <t>(composição representativa) Montagem mecânica de Isolador p/ barra de 1000V</t>
  </si>
  <si>
    <t>(composição representativa) Montagem mecânica de trilho metálico DIN 35mm</t>
  </si>
  <si>
    <t>(composição representativa) Montagem elétrica de Programador logico</t>
  </si>
  <si>
    <t>(composição representativa) Montagem elétrica de Disjuntor Tripolar até 400A</t>
  </si>
  <si>
    <t>(composição representativa) Montagem elétrica de Disjuntor Tripolar Geral até 1000A</t>
  </si>
  <si>
    <t>(composição representativa) Montagem elétrica de Disjuntor Tripolar Geral até 1600A</t>
  </si>
  <si>
    <t>(composição representativa) Montagem elétrica de Disjuntor Tripolar Geral até 3150A</t>
  </si>
  <si>
    <t>(composição representativa) Montagem elétrica de Dispositivo Diferencial Residual (DR) Monopolar</t>
  </si>
  <si>
    <t>(composição representativa) Montagem elétrica de Dispositivo Diferencial Residual (DR) Bipolar e Tetrapolar</t>
  </si>
  <si>
    <t>(composição representativa) Montagem elétrica de Dispositivo de Proteção Contra Surto (DPS)</t>
  </si>
  <si>
    <t>(composição representativa) Montagem elétrica de Base e Fusível Tipo Diazed até 63A</t>
  </si>
  <si>
    <t>(composição representativa) Montagem elétrica de Base e Fusível Tipo NH 00 até 125A</t>
  </si>
  <si>
    <t>(composição representativa) Montagem elétrica de Base e Fusível Tipo NH 01 até 250A</t>
  </si>
  <si>
    <t>(composição representativa) Montagem elétrica de Base e Fusível Tipo NH 02 até 400A</t>
  </si>
  <si>
    <t>(composição representativa) Montagem elétrica de Base e Fusível Tipo NH 03 até 630A</t>
  </si>
  <si>
    <t>(composição representativa) Montagem elétrica de Base e Fusível Tipo NH 04 até 1250A</t>
  </si>
  <si>
    <t>(composição representativa) Montagem elétrica de Comutador 2 ou 3 posições</t>
  </si>
  <si>
    <t>(composição representativa) Montagem elétrica de Botões de comando</t>
  </si>
  <si>
    <t>(composição representativa) Montagem elétrica de Contator auxiliares</t>
  </si>
  <si>
    <t>(composição representativa) Montagem elétrica de Relê de sobre corrente</t>
  </si>
  <si>
    <t>(composição representativa) Montagem elétrica de Voltímetro Seletor</t>
  </si>
  <si>
    <t>(composição representativa) Montagem elétrica de Amperímetro Seletor</t>
  </si>
  <si>
    <t>(composição representativa) Montagem elétrica de Conectores de borne</t>
  </si>
  <si>
    <t>(composição representativa) Montagem elétrica de Terminais de compressão</t>
  </si>
  <si>
    <t>(composição representativa) Teste ponto a ponto por circuitos</t>
  </si>
  <si>
    <t>(composição representativa) Teste funcional por circuitos</t>
  </si>
  <si>
    <t>(composição representativa) Teste Dielétrico por circuitos</t>
  </si>
  <si>
    <t>(composição representativa) Teste de aceitação para Quadro de distribuição até 16 circuitos, com emissão de ART e laudo PTTA/TTA</t>
  </si>
  <si>
    <t>(composição representativa) Teste de aceitação para Quadro de distribuição até 32 circuitos, com emissão de ART e laudo PTTA/TTA</t>
  </si>
  <si>
    <t>(composição representativa) Teste de aceitação para Quadro de distribuição até 64 circuitos, com emissão de ART e laudo PTTA/TTA</t>
  </si>
  <si>
    <t>(composição representativa) Montagem mecânica de canaleta PVC aberta 50x80mm</t>
  </si>
  <si>
    <t>(composição representativa) Montagem mecânica de Botão sinalizador luminoso LED 22mm</t>
  </si>
  <si>
    <t>Caixa de telefone em chapa de aço padrão TELEBRAS do tipo CIE-5 800x800x120 mm</t>
  </si>
  <si>
    <t>Caixa de telefone em chapa de aço padrão TELEBRAS do tipo CIE-6 1200x1200x150 mm</t>
  </si>
  <si>
    <t>Caixa de telefone em chapa de aço padrão TELEBRAS do tipo CIE-7 1500x1500x150 mm</t>
  </si>
  <si>
    <t>Cabo telefônico CI, diâmetro do condutor 50mm, 20 pares</t>
  </si>
  <si>
    <t>Cabo telefônico CI, diâmetro do condutor 50mm, 100 pares</t>
  </si>
  <si>
    <t>Cabo telefônico CI, diâmetro do condutor 50mm, 50 pares</t>
  </si>
  <si>
    <t>Manômetro com caixa e anel tipo cravado em aço inox, mostrador duplo 63 mm escalas de 0 à 4 kgf/cm2 e 0 à 60 PSI, saída traseira de 1/4" BSP</t>
  </si>
  <si>
    <t>Manômetro com caixa e anel tipo cravado em aço inox, mostrador duplo 100 mm escalas de 0 à 7 kgf/cm2 e 0 à 100 PSI, saída traseira de 1/4" BSP</t>
  </si>
  <si>
    <t>Manômetro com caixa e anel tipo cravado em aço inox, mostrador duplo 100 mm escalas de 0 à 10 kgf/cm2 e 0 à 150 PSI, saída traseira de 1/4" BSP</t>
  </si>
  <si>
    <t>Pressostato 80 / 120 PSI com válvula, capacidade elétrica até 5CV em 250VCA, Margirius ou equivalente</t>
  </si>
  <si>
    <t>Pressostato 100 / 150 PSI sem válvula, capacidade elétrica até 5CV em 250VCA, Margirius ou equivalente</t>
  </si>
  <si>
    <t>INSTALAÇÕES DE REDE LOGICA</t>
  </si>
  <si>
    <t>Fornecimento e instalação de Mini Rack de Parede Padrão 19" - 06 U´s x 470mm</t>
  </si>
  <si>
    <t>Fornecimento e instalação de Mini Rack de Parede Padrão 19" - 08 U´s x 470mm</t>
  </si>
  <si>
    <t>Fornecimento e instalação de Mini Rack de Parede Padrão 19" - 12 U´s x 570mm</t>
  </si>
  <si>
    <t>Fornecimento e instalação de Mini Rack de Parede Padrão 19" - 16 U´s x 570mm</t>
  </si>
  <si>
    <t>Fornecimento e instalação de Rack de Piso Fechado Padrão 19" - 32 U´s x 670mm</t>
  </si>
  <si>
    <t>Fornecimento e instalação de Rack de Piso Fechado Padrão 19" - 36 U´s x 670mm</t>
  </si>
  <si>
    <t>Fornecimento e instalação de Rack de Piso Fechado Padrão 19" - 40 U´s x 670mm</t>
  </si>
  <si>
    <t>Fornecimento e instalação de Rack de Piso Fechado Padrão 19" - 44 U´s x 670mm</t>
  </si>
  <si>
    <t>Calha com 6 Tomadas 20A, inclusive fixação em rack padrão 19", com chicote de 2 metros de comprimento</t>
  </si>
  <si>
    <t>Calha com 8 Tomadas 20A, inclusive fixação em rack padrão 19", com chicote de 2 metros de comprimento</t>
  </si>
  <si>
    <t>Guia de Cabos Fechado Horizontal Padrão 19" - 1 U´s, inclusive fixação em Rack 19"</t>
  </si>
  <si>
    <t>Guia de Cabos Fechado Horizontal Padrão 19" - 2 U´s, inclusive fixação em Rack 19"</t>
  </si>
  <si>
    <t>Guia de Cabos Vertical para Rack Aberto Padrão 19" - 40 U´s x 1763 x 50mm</t>
  </si>
  <si>
    <t>Guia de Cabos Vertical para Rack Aberto Padrão 19" - 44 U´s x 1940 x 50mm</t>
  </si>
  <si>
    <t>Painel de Fechamento Frontal 1 U, inclusive fixação em Rack 19"</t>
  </si>
  <si>
    <t>Painel de Fechamento Frontal 2 Us, inclusive fixação em Rack 19"</t>
  </si>
  <si>
    <t>Bandeja Simples Fixa 1 U x 290mm carga máxima 20kg, inclusive fixação em Rack 19"</t>
  </si>
  <si>
    <t>Bandeja Simples Fixa 2 Us x 390mm carga máxima 20kg, inclusive fixação em Rack 19"</t>
  </si>
  <si>
    <t>Bandeja Fixação Dupla 1 U x 500mm carga máxima 20kg, inclusive fixação em Rack 19"</t>
  </si>
  <si>
    <t>Bandeja Deslizante 1 U x 500mm carga máxima 20kg, inclusive fixação em Rack 19"</t>
  </si>
  <si>
    <t>Kit Ventilação composto por 2 Ventiladores Bi-Volts, inclusive fixação em Rack 19"</t>
  </si>
  <si>
    <t>Kit Ventilação composto por 4 Ventiladores Bi-Volts, inclusive fixação em Rack 19"</t>
  </si>
  <si>
    <t>Kit Rodizio Composto por 4 rodas (2 c/ travas), inclusive fixação em Rack 19"</t>
  </si>
  <si>
    <t>Kit M5 Porca-Gaiola com 100 und com Parafuso Philips e Arruela</t>
  </si>
  <si>
    <t>Velcro Rolo 20mm - Preto</t>
  </si>
  <si>
    <t>Patch Panel 24 Portas RJ45/IDC Cat.5e, inclusive fixação em Rack 19"</t>
  </si>
  <si>
    <t>Patch Panel de Emenda 24 Portas RJ45/RJ45 Cat.5e, inclusive fixação em Rack 19"</t>
  </si>
  <si>
    <t>Patch Panel 48 Portas RJ45/IDC Cat.5e, inclusive fixação em Rack 19"</t>
  </si>
  <si>
    <t>Patch Panel 48 Portas RJ45/IDC Cat.6, inclusive fixação em Rack 19"</t>
  </si>
  <si>
    <t>Patch Cord Multilan Extra Flexível CAT 5e U/UTP RJ-45 - 1,50 m</t>
  </si>
  <si>
    <t>Patch Cord Multilan Extra Flexível CAT 5e U/UTP RJ-45 - 3,00 m</t>
  </si>
  <si>
    <t>Patch Cord Gigalan Extra Flexível CAT 6 U/UTP RJ-45 - 1,50 m</t>
  </si>
  <si>
    <t>Patch Cord Gigalan Extra Flexível CAT 6 U/UTP RJ-45 - 3,00 m</t>
  </si>
  <si>
    <t>Fornecimento e instalação de Cabo de rede par trançado 4 pares Categoria 6</t>
  </si>
  <si>
    <t>Switch 24 portas RJ-45 10/100 + 2 10/100/1000, inclusive fixação em Rack 19"</t>
  </si>
  <si>
    <t>Switch 48 portas RJ-45 10/100 + 2 10/100/1000, inclusive fixação em Rack 19"</t>
  </si>
  <si>
    <t>No Break 1400VA (980W) Senoidal, tensão de entrada: 120V e tensão de saida: 120V, Interface Port DB-9 RS-232, SmartSlot, USB, inclusive fixação em rack 19"</t>
  </si>
  <si>
    <t>No Break 2200VA (1980W) Senoidal, tensão de entrada: 220V e tensão de saida: 220V, Interface Port DB-9 RS-232, SmartSlot, USB, inclusive fixação em rack 19"</t>
  </si>
  <si>
    <t>Certificação avulsa dos pontos com emissão de relatório do equipamento de teste até 100 pontos</t>
  </si>
  <si>
    <t>Certificação avulsa dos pontos com emissão de relatório do equipamento de teste mais de 101 pontos</t>
  </si>
  <si>
    <t>Espelho 4" x 4" com 2 conector RJ 45 fêmea CAT. 5e</t>
  </si>
  <si>
    <t>Espelho 4" x 2" com conector RJ 45 fêmea CAT. 6</t>
  </si>
  <si>
    <t>Espelho 4" x 4" com 2 conectores RJ 45 fêmea CAT. 6</t>
  </si>
  <si>
    <t>INSTALAÇÃO DO SISTEMA DE CLIMATIZAÇÃO</t>
  </si>
  <si>
    <t>Tubo de cobre com isolamento térmico - ø 1/4" esp. 9mm</t>
  </si>
  <si>
    <t>Tubo de cobre com isolamento térmico - ø 3/8" esp. 9mm</t>
  </si>
  <si>
    <t>Tubo de cobre com isolamento térmico - ø 1/2" esp. 9mm</t>
  </si>
  <si>
    <t>Tubo de cobre com isolamento térmico - ø 5/8" esp. 9mm</t>
  </si>
  <si>
    <t>Tubo de cobre com isolamento térmico - ø 3/4" esp. 9mm</t>
  </si>
  <si>
    <t>Tubo de cobre com isolamento térmico - ø 7/8" esp. 9mm</t>
  </si>
  <si>
    <t>Tubo de cobre com isolamento térmico - ø 1.1/8" esp. 9mm</t>
  </si>
  <si>
    <t>Tubo de cobre com isolamento térmico - ø 1.3/8" esp. 9mm</t>
  </si>
  <si>
    <t>Tubo de cobre com isolamento térmico - ø 1.5/8" esp. 9 mm</t>
  </si>
  <si>
    <t>Emenda de tubos e conexões de cobre por processo de solda - ø 1/4" até 1/2"</t>
  </si>
  <si>
    <t>Emenda de tubos e conexões de cobre por processo de solda - ø 5/8" até 7/8"</t>
  </si>
  <si>
    <t>Emenda de tubos e conexões de cobre por processo de solda - ø 1.1/8" até 1.5/8"</t>
  </si>
  <si>
    <t>Gás refrigerante R22</t>
  </si>
  <si>
    <t>Gás refrigerante R407</t>
  </si>
  <si>
    <t>Gás refrigerante R410A</t>
  </si>
  <si>
    <t>Duto em chapa de aço galvanizada #22, exclusive acessórios de fixação</t>
  </si>
  <si>
    <t>Duto em chapa de aço galvanizada #24, exclusive acessórios de fixação</t>
  </si>
  <si>
    <t>Duto em chapa de aço galvanizada #26, exclusive acessórios de fixação</t>
  </si>
  <si>
    <t>ACESSIBILIDADE - NBR 9050</t>
  </si>
  <si>
    <t>Bacia sifonada de louça branca sem abertura frontal p/ banheiro PNE, consumo 6 litros por fluxo, Vogue Plus Conforto - P.510.17, Ref. Deca ou equiv., incl. tubo de ligação inox c/ canopla, anel de vedação, paraf. e rejunte epoxi p/ vedação</t>
  </si>
  <si>
    <t>Lavatório de louça branca com coluna suspensa p/ banheiro PNE, Vougle Plus Conforto L.51.17 + CS.1.17, Ref., Deca ou equivalente, incl. sifão, válvula e engates metálicos cromados, exclusive torneira</t>
  </si>
  <si>
    <t>Lavátorio de louça branca de canto p/ banheiro PNE, Coleção Master L.76.17, Ref. Deca ou equivalente, incl. válvula, sifão e engates metálicos cromados, exclusive torneira</t>
  </si>
  <si>
    <t>AR REFRIGERADO</t>
  </si>
  <si>
    <t>Fornecimento e Instalação de Unidade Evaporadora e Condensadora de Ar Condicionado tipo Split Inverter Hi-Wall (Parede) de 9.000 BTU´s 220V - Ciclo Frio - Classificação A (Selo PROCEL), inclusive amortecedores vibra-stop</t>
  </si>
  <si>
    <t>Fornecimento e Instalação de Unidade Evaporadora e Condensadora de Ar Condicionado tipo Split Inverter Hi-Wall (Parede) de 12.000 BTU´s 220V - Ciclo Frio - Classificação A (Selo PROCEL), inclusive amortecedores vibra-stop</t>
  </si>
  <si>
    <t>Fornecimento e Instalação de Unidade Evaporadora e Condensadora de Ar Condicionado tipo Split Inverter Hi-Wall (Parede) de 18.000 BTU´s 220V - Ciclo Frio - Classificação A (Selo PROCEL), inclusive amortecedores vibra-stop</t>
  </si>
  <si>
    <t>Fornecimento e Instalação de Unidade Evaporadora e Condensadora de Ar Condicionado tipo Split Inverter Hi-Wall (Parede) de 22.000 BTU´s 220V - Ciclo Frio - Classificação A (Selo PROCEL), inclusive amortecedores vibra-stop</t>
  </si>
  <si>
    <t>Fornecimento e Instalação de Unidade Evaporadora e Condensadora de Ar Condicionado tipo Split Inverter Hi-Wall (Parede) de 24.000 BTU´s 220V - Ciclo Frio - Classificação A (Selo PROCEL), inclusive amortecedores vibra-stop</t>
  </si>
  <si>
    <t>Fornecimento e Instalação de Unidade Evaporadora e Condensadora de Ar Condicionado tipo Split Inverter Hi-Wall (Parede) de 30.000 BTU´s 220V - Ciclo Quente/Frio - Classificação A (Selo PROCEL), inclusive amortecedores vibra-stop</t>
  </si>
  <si>
    <t>Fornecimento e Instalação de Unidade Evaporadora e Condensadora de Ar Condicionado tipo Split Inverter Piso Teto de 36.000 BTU´s 220V - Ciclo Quente/Frio Classificação Energética A ou B (Selo PROCEL), inclusive amortecedores vibra-stop</t>
  </si>
  <si>
    <t>Fornecimento e Instalação de Unidade Evaporadora e Condensadora de Ar Condicionado tipo Split Inverter Piso Teto de 48.000 BTU´s 220V Trifásico - Ciclo Quente/Frio Classificação Energética A ou B (Selo PROCEL), inclusive amortecedores vibra-stop</t>
  </si>
  <si>
    <t>Luminaria sobrepor compl., corpo ch. aço pintada branca, refletor, aletas parabólicas alum.alta pureza e refletância inclusive 2 lâmpadas LED T8 9/10W temp. de cor 5000k c/ 60cm - Ref. CS216AL-N - AMES, 1261 - LUMAVI OU EQUIVALENTE</t>
  </si>
  <si>
    <t>Luminaria sobrepor compl., corpo ch. aço pintada branca, refletor aletas parabólicas alum.alta pureza e refletância inclusive 2 lâmpadas LED T8 20W temp. de cor 5000k bivolt c/ 1,20m - Ref. CS232AL-N - AMES, 2447 - LUMAVI OU EQUIVALENTE</t>
  </si>
  <si>
    <t>Luminaria embutir compl., corpo ch. aço pintada branca, refletor aletas parabólicas alum.alta pureza e refletância inclusive 2 lâmpadas LED T8 9W temp. de cor 5000k c/ 60cm - REF. CE216AL-N - AMES, 6024 - LUMAVI OU EQUIVALENTE</t>
  </si>
  <si>
    <t>Luminaria embutir compl., corpo ch. aço pintada branca, refletor, aletas parabólicas alum.alta pureza e refletância inclusive 2 lâmpadas LED T8 18W temp. de cor 5000k c/ 1,20m - Ref. CE232AL-N - AMES, 6025 - LUMAVI -LDEF 2X32W - LUMILUZ OU EQUIVALENTE</t>
  </si>
  <si>
    <t>Luminária sobrepor compl., corpo ch. aço pintada branca, refletor,aletas parabólicas alum.alta pureza e refletância inclusive 4 lâmpadas LED T8 9W temp. de cor 5000k bivolt c/ 60cm - CS416AL-N - AMES, 1452 - LUMAVI OU EQUIVALENTE</t>
  </si>
  <si>
    <t>Quadro pincel novo, completo, de laminado melamínico alta pressão, "LOUSA" quadriculado, cor branco brilhante, linha Lousas, padrão F608 Brancoline, esp. 1mm, incl. requadro madeira 2.5 x 5.0 cm e porta pincel, dim. 3.95 x 1.29 m</t>
  </si>
  <si>
    <t>Corrimão de tubo de ferro galvanizado diâmetro 3" fixado na parede a cada 1.50m, inclusive pintura a óleo ou esmalte</t>
  </si>
  <si>
    <t>(Gol 1.0 total flex - gasolina - preço LABOR) Seguro total, manutenção, combustível, eventuais taxas e emolumentos, bem como eventual substituição do veículo (se necessário), sem motorista, utilização até 2.000 (dois mil) km/mês</t>
  </si>
  <si>
    <t xml:space="preserve">Porta </t>
  </si>
  <si>
    <t>12.02.02</t>
  </si>
  <si>
    <t>12.03</t>
  </si>
  <si>
    <t>12.03.01</t>
  </si>
  <si>
    <t>12.03.02</t>
  </si>
  <si>
    <t>13</t>
  </si>
  <si>
    <t>13.01.01</t>
  </si>
  <si>
    <t>13.01.02</t>
  </si>
  <si>
    <t>13.02.01</t>
  </si>
  <si>
    <t>13.03.01</t>
  </si>
  <si>
    <t>13.03.02</t>
  </si>
  <si>
    <t>14</t>
  </si>
  <si>
    <t>14.01.01</t>
  </si>
  <si>
    <t>15</t>
  </si>
  <si>
    <t>15.01.01</t>
  </si>
  <si>
    <t>16</t>
  </si>
  <si>
    <t>16.01.01</t>
  </si>
  <si>
    <t>13.03.03</t>
  </si>
  <si>
    <t>07.01.02</t>
  </si>
  <si>
    <t xml:space="preserve">Empoamento </t>
  </si>
  <si>
    <t>23,74</t>
  </si>
  <si>
    <t>12,80</t>
  </si>
  <si>
    <t>52,21</t>
  </si>
  <si>
    <t>24,58</t>
  </si>
  <si>
    <t>27,26</t>
  </si>
  <si>
    <t>2,64</t>
  </si>
  <si>
    <t>103089</t>
  </si>
  <si>
    <t>ASSENTAMENTO DE TUBO DE FERRO FUNDIDO PARA REDE DE ÁGUA, DN 80 MM, JUNTA FLANGEADA (NÃO INCLUI O FORNECIMENTO). AF_09/2021</t>
  </si>
  <si>
    <t>10,69</t>
  </si>
  <si>
    <t>103090</t>
  </si>
  <si>
    <t>ASSENTAMENTO DE TUBO DE FERRO FUNDIDO PARA REDE DE ÁGUA, DN 100 MM, JUNTA FLANGEADA (NÃO INCLUI O FORNECIMENTO). AF_09/2021</t>
  </si>
  <si>
    <t>103091</t>
  </si>
  <si>
    <t>ASSENTAMENTO DE TUBO DE FERRO FUNDIDO PARA REDE DE ÁGUA, DN 150 MM, JUNTA FLANGEADA (NÃO INCLUI O FORNECIMENTO). AF_09/2021</t>
  </si>
  <si>
    <t>17,93</t>
  </si>
  <si>
    <t>103092</t>
  </si>
  <si>
    <t>ASSENTAMENTO DE TUBO DE FERRO FUNDIDO PARA REDE DE ÁGUA, DN 200 MM, JUNTA FLANGEADA (NÃO INCLUI O FORNECIMENTO). AF_09/2021</t>
  </si>
  <si>
    <t>103093</t>
  </si>
  <si>
    <t>ASSENTAMENTO DE TUBO DE FERRO FUNDIDO PARA REDE DE ÁGUA, DN 250 MM, JUNTA FLANGEADA (NÃO INCLUI O FORNECIMENTO). AF_09/2021</t>
  </si>
  <si>
    <t>103094</t>
  </si>
  <si>
    <t>ASSENTAMENTO DE TUBO DE FERRO FUNDIDO PARA REDE DE ÁGUA, DN 300 MM, JUNTA FLANGEADA (NÃO INCLUI O FORNECIMENTO). AF_09/2021</t>
  </si>
  <si>
    <t>103095</t>
  </si>
  <si>
    <t>ASSENTAMENTO DE TUBO DE FERRO FUNDIDO PARA REDE DE ÁGUA, DN 350 MM, JUNTA FLANGEADA (NÃO INCLUI O FORNECIMENTO). AF_09/2021</t>
  </si>
  <si>
    <t>103096</t>
  </si>
  <si>
    <t>ASSENTAMENTO DE TUBO DE FERRO FUNDIDO PARA REDE DE ÁGUA, DN 400 MM, JUNTA FLANGEADA (NÃO INCLUI O FORNECIMENTO). AF_09/2021</t>
  </si>
  <si>
    <t>103097</t>
  </si>
  <si>
    <t>ASSENTAMENTO DE TUBO DE FERRO FUNDIDO PARA REDE DE ÁGUA, DN 450 MM, JUNTA FLANGEADA (NÃO INCLUI O FORNECIMENTO). AF_09/2021</t>
  </si>
  <si>
    <t>103098</t>
  </si>
  <si>
    <t>ASSENTAMENTO DE TUBO DE FERRO FUNDIDO PARA REDE DE ÁGUA, DN 500 MM, JUNTA FLANGEADA (NÃO INCLUI O FORNECIMENTO). AF_09/2021</t>
  </si>
  <si>
    <t>103099</t>
  </si>
  <si>
    <t>ASSENTAMENTO DE TUBO DE FERRO FUNDIDO PARA REDE DE ÁGUA, DN 600 MM, JUNTA FLANGEADA (NÃO INCLUI O FORNECIMENTO). AF_09/2021</t>
  </si>
  <si>
    <t>103100</t>
  </si>
  <si>
    <t>ASSENTAMENTO DE TUBO DE FERRO FUNDIDO PARA REDE DE ÁGUA, DN 700 MM, JUNTA FLANGEADA (NÃO INCLUI O FORNECIMENTO). AF_09/2021</t>
  </si>
  <si>
    <t>103101</t>
  </si>
  <si>
    <t>ASSENTAMENTO DE TUBO DE FERRO FUNDIDO PARA REDE DE ÁGUA, DN 800 MM, JUNTA FLANGEADA (NÃO INCLUI O FORNECIMENTO). AF_09/2021</t>
  </si>
  <si>
    <t>103102</t>
  </si>
  <si>
    <t>ASSENTAMENTO DE TUBO DE FERRO FUNDIDO PARA REDE DE ÁGUA, DN 900 MM, JUNTA FLANGEADA (NÃO INCLUI O FORNECIMENTO). AF_09/2021</t>
  </si>
  <si>
    <t>103103</t>
  </si>
  <si>
    <t>ASSENTAMENTO DE TUBO DE FERRO FUNDIDO PARA REDE DE ÁGUA, DN 1000 MM, JUNTA FLANGEADA (NÃO INCLUI O FORNECIMENTO). AF_09/2021</t>
  </si>
  <si>
    <t>103104</t>
  </si>
  <si>
    <t>ASSENTAMENTO DE TUBO DE FERRO FUNDIDO PARA REDE DE ÁGUA, DN 1200 MM, JUNTA FLANGEADA (NÃO INCLUI O FORNECIMENTO). AF_09/2021</t>
  </si>
  <si>
    <t>103105</t>
  </si>
  <si>
    <t>ASSENTAMENTO DE CONEXÃO COM 2 ACESSOS, FERRO FUNDIDO PARA REDE DE ÁGUA, DN  80 MM, JUNTA FLANGEADA (NÃO INCLUI O FORNECIMENTO). AF_09/2021</t>
  </si>
  <si>
    <t>103106</t>
  </si>
  <si>
    <t>ASSENTAMENTO DE CONEXÃO COM 2 ACESSOS, FERRO FUNDIDO PARA REDE DE ÁGUA, DN  100 MM, JUNTA FLANGEADA (NÃO INCLUI O FORNECIMENTO). AF_09/2021</t>
  </si>
  <si>
    <t>103107</t>
  </si>
  <si>
    <t>ASSENTAMENTO DE CONEXÃO COM 2 ACESSOS, FERRO FUNDIDO PARA REDE DE ÁGUA, DN  150 MM, JUNTA FLANGEADA (NÃO INCLUI O FORNECIMENTO). AF_09/2021</t>
  </si>
  <si>
    <t>103108</t>
  </si>
  <si>
    <t>ASSENTAMENTO DE CONEXÃO COM 2 ACESSOS, FERRO FUNDIDO PARA REDE DE ÁGUA, DN  200 MM, JUNTA FLANGEADA (NÃO INCLUI O FORNECIMENTO). AF_09/2021</t>
  </si>
  <si>
    <t>103109</t>
  </si>
  <si>
    <t>ASSENTAMENTO DE CONEXÃO COM 2 ACESSOS, FERRO FUNDIDO PARA REDE DE ÁGUA, DN  250 MM, JUNTA FLANGEADA (NÃO INCLUI O FORNECIMENTO). AF_09/2021</t>
  </si>
  <si>
    <t>103110</t>
  </si>
  <si>
    <t>ASSENTAMENTO DE CONEXÃO COM 2 ACESSOS, FERRO FUNDIDO PARA REDE DE ÁGUA, DN  300 MM, JUNTA FLANGEADA (NÃO INCLUI O FORNECIMENTO). AF_09/2021</t>
  </si>
  <si>
    <t>103111</t>
  </si>
  <si>
    <t>ASSENTAMENTO DE CONEXÃO COM 2 ACESSOS, FERRO FUNDIDO PARA REDE DE ÁGUA, DN  350 MM, JUNTA FLANGEADA (NÃO INCLUI O FORNECIMENTO). AF_09/2021</t>
  </si>
  <si>
    <t>103112</t>
  </si>
  <si>
    <t>ASSENTAMENTO DE CONEXÃO COM 2 ACESSOS, FERRO FUNDIDO PARA REDE DE ÁGUA, DN  400 MM, JUNTA FLANGEADA (NÃO INCLUI O FORNECIMENTO). AF_09/2021</t>
  </si>
  <si>
    <t>103113</t>
  </si>
  <si>
    <t>ASSENTAMENTO DE CONEXÃO COM 2 ACESSOS, FERRO FUNDIDO PARA REDE DE ÁGUA, DN  450 MM, JUNTA FLANGEADA (NÃO INCLUI O FORNECIMENTO). AF_09/2021</t>
  </si>
  <si>
    <t>103114</t>
  </si>
  <si>
    <t>ASSENTAMENTO DE CONEXÃO COM 2 ACESSOS, FERRO FUNDIDO PARA REDE DE ÁGUA, DN  500 MM, JUNTA FLANGEADA (NÃO INCLUI O FORNECIMENTO). AF_09/2021</t>
  </si>
  <si>
    <t>103115</t>
  </si>
  <si>
    <t>ASSENTAMENTO DE CONEXÃO COM 2 ACESSOS, FERRO FUNDIDO PARA REDE DE ÁGUA, DN  600 MM, JUNTA FLANGEADA (NÃO INCLUI O FORNECIMENTO). AF_09/2021</t>
  </si>
  <si>
    <t>103116</t>
  </si>
  <si>
    <t>ASSENTAMENTO DE CONEXÃO COM 2 ACESSOS, FERRO FUNDIDO PARA REDE DE ÁGUA, DN  700 MM, JUNTA FLANGEADA (NÃO INCLUI O FORNECIMENTO). AF_09/2021</t>
  </si>
  <si>
    <t>103117</t>
  </si>
  <si>
    <t>ASSENTAMENTO DE CONEXÃO COM 2 ACESSOS, FERRO FUNDIDO PARA REDE DE ÁGUA, DN  800 MM, JUNTA FLANGEADA (NÃO INCLUI O FORNECIMENTO). AF_09/2021</t>
  </si>
  <si>
    <t>103118</t>
  </si>
  <si>
    <t>ASSENTAMENTO DE CONEXÃO COM 2 ACESSOS, FERRO FUNDIDO PARA REDE DE ÁGUA, DN  900 MM, JUNTA FLANGEADA (NÃO INCLUI O FORNECIMENTO). AF_09/2021</t>
  </si>
  <si>
    <t>103119</t>
  </si>
  <si>
    <t>ASSENTAMENTO DE CONEXÃO COM 2 ACESSOS, FERRO FUNDIDO PARA REDE DE ÁGUA, DN  1000 MM, JUNTA FLANGEADA (NÃO INCLUI O FORNECIMENTO). AF_09/2021</t>
  </si>
  <si>
    <t>103120</t>
  </si>
  <si>
    <t>ASSENTAMENTO DE CONEXÃO COM 2 ACESSOS, FERRO FUNDIDO PARA REDE DE ÁGUA, DN  1200 MM, JUNTA FLANGEADA (NÃO INCLUI O FORNECIMENTO). AF_09/2021</t>
  </si>
  <si>
    <t>103121</t>
  </si>
  <si>
    <t>ASSENTAMENTO DE CONEXÃO COM 3 ACESSOS, FERRO FUNDIDO PARA REDE DE ÁGUA, DN  80 MM, JUNTA FLANGEADA (NÃO INCLUI O FORNECIMENTO). AF_09/2021</t>
  </si>
  <si>
    <t>103122</t>
  </si>
  <si>
    <t>ASSENTAMENTO DE CONEXÃO COM 3 ACESSOS, FERRO FUNDIDO PARA REDE DE ÁGUA, DN  100 MM, JUNTA FLANGEADA (NÃO INCLUI O FORNECIMENTO). AF_09/2021</t>
  </si>
  <si>
    <t>103123</t>
  </si>
  <si>
    <t>ASSENTAMENTO DE CONEXÃO COM 3 ACESSOS, FERRO FUNDIDO PARA REDE DE ÁGUA, DN  150 MM, JUNTA FLANGEADA (NÃO INCLUI O FORNECIMENTO). AF_09/2021</t>
  </si>
  <si>
    <t>103124</t>
  </si>
  <si>
    <t>ASSENTAMENTO DE CONEXÃO COM 3 ACESSOS, FERRO FUNDIDO PARA REDE DE ÁGUA, DN  200 MM, JUNTA FLANGEADA (NÃO INCLUI O FORNECIMENTO). AF_09/2021</t>
  </si>
  <si>
    <t>103125</t>
  </si>
  <si>
    <t>ASSENTAMENTO DE CONEXÃO COM 3 ACESSOS, FERRO FUNDIDO PARA REDE DE ÁGUA, DN  250 MM, JUNTA FLANGEADA (NÃO INCLUI O FORNECIMENTO). AF_09/2021</t>
  </si>
  <si>
    <t>103126</t>
  </si>
  <si>
    <t>ASSENTAMENTO DE CONEXÃO COM 3 ACESSOS, FERRO FUNDIDO PARA REDE DE ÁGUA, DN  300 MM, JUNTA FLANGEADA (NÃO INCLUI O FORNECIMENTO). AF_09/2021</t>
  </si>
  <si>
    <t>103127</t>
  </si>
  <si>
    <t>ASSENTAMENTO DE CONEXÃO COM 3 ACESSOS, FERRO FUNDIDO PARA REDE DE ÁGUA, DN  350 MM, JUNTA FLANGEADA (NÃO INCLUI O FORNECIMENTO). AF_09/2021</t>
  </si>
  <si>
    <t>103128</t>
  </si>
  <si>
    <t>ASSENTAMENTO DE CONEXÃO COM 3 ACESSOS, FERRO FUNDIDO PARA REDE DE ÁGUA, DN  400 MM, JUNTA FLANGEADA (NÃO INCLUI O FORNECIMENTO). AF_09/2021</t>
  </si>
  <si>
    <t>103129</t>
  </si>
  <si>
    <t>ASSENTAMENTO DE CONEXÃO COM 3 ACESSOS, FERRO FUNDIDO PARA REDE DE ÁGUA, DN  450 MM, JUNTA FLANGEADA (NÃO INCLUI O FORNECIMENTO). AF_09/2021</t>
  </si>
  <si>
    <t>103130</t>
  </si>
  <si>
    <t>ASSENTAMENTO DE CONEXÃO COM 3 ACESSOS, FERRO FUNDIDO PARA REDE DE ÁGUA, DN  500 MM, JUNTA FLANGEADA (NÃO INCLUI O FORNECIMENTO). AF_09/2021</t>
  </si>
  <si>
    <t>103131</t>
  </si>
  <si>
    <t>ASSENTAMENTO DE CONEXÃO COM 3 ACESSOS, FERRO FUNDIDO PARA REDE DE ÁGUA, DN  600 MM, JUNTA FLANGEADA (NÃO INCLUI O FORNECIMENTO). AF_09/2021</t>
  </si>
  <si>
    <t>103132</t>
  </si>
  <si>
    <t>ASSENTAMENTO DE CONEXÃO COM 3 ACESSOS, FERRO FUNDIDO PARA REDE DE ÁGUA, DN  700 MM, JUNTA FLANGEADA (NÃO INCLUI O FORNECIMENTO). AF_09/2021</t>
  </si>
  <si>
    <t>103133</t>
  </si>
  <si>
    <t>ASSENTAMENTO DE CONEXÃO COM 3 ACESSOS, FERRO FUNDIDO PARA REDE DE ÁGUA, DN  800 MM, JUNTA FLANGEADA (NÃO INCLUI O FORNECIMENTO). AF_09/2021</t>
  </si>
  <si>
    <t>103134</t>
  </si>
  <si>
    <t>ASSENTAMENTO DE CONEXÃO COM 3 ACESSOS, FERRO FUNDIDO PARA REDE DE ÁGUA, DN  900 MM, JUNTA FLANGEADA (NÃO INCLUI O FORNECIMENTO). AF_09/2021</t>
  </si>
  <si>
    <t>103135</t>
  </si>
  <si>
    <t>ASSENTAMENTO DE CONEXÃO COM 3 ACESSOS, FERRO FUNDIDO PARA REDE DE ÁGUA, DN  1000 MM, JUNTA FLANGEADA (NÃO INCLUI O FORNECIMENTO). AF_09/2021</t>
  </si>
  <si>
    <t>103136</t>
  </si>
  <si>
    <t>ASSENTAMENTO DE CONEXÃO COM 3 ACESSOS, FERRO FUNDIDO PARA REDE DE ÁGUA, DN  1200 MM, JUNTA FLANGEADA (NÃO INCLUI O FORNECIMENTO). AF_09/2021</t>
  </si>
  <si>
    <t>103137</t>
  </si>
  <si>
    <t>ASSENTAMENTO DE CONEXÃO COM 1 ACESSO, FERRO FUNDIDO PARA REDE DE ÁGUA, DN  80 MM, JUNTA FLANGEADA (NÃO INCLUI O FORNECIMENTO). AF_09/2021</t>
  </si>
  <si>
    <t>31,09</t>
  </si>
  <si>
    <t>103138</t>
  </si>
  <si>
    <t>ASSENTAMENTO DE CONEXÃO COM 1 ACESSO, FERRO FUNDIDO PARA REDE DE ÁGUA, DN  100 MM, JUNTA FLANGEADA (NÃO INCLUI O FORNECIMENTO). AF_09/2021</t>
  </si>
  <si>
    <t>103139</t>
  </si>
  <si>
    <t>ASSENTAMENTO DE CONEXÃO COM 1 ACESSO, FERRO FUNDIDO PARA REDE DE ÁGUA, DN  150 MM, JUNTA FLANGEADA (NÃO INCLUI O FORNECIMENTO). AF_09/2021</t>
  </si>
  <si>
    <t>103140</t>
  </si>
  <si>
    <t>ASSENTAMENTO DE CONEXÃO COM 1 ACESSO, FERRO FUNDIDO PARA REDE DE ÁGUA, DN  200 MM, JUNTA FLANGEADA (NÃO INCLUI O FORNECIMENTO). AF_09/2021</t>
  </si>
  <si>
    <t>103141</t>
  </si>
  <si>
    <t>ASSENTAMENTO DE CONEXÃO COM 1 ACESSO, FERRO FUNDIDO PARA REDE DE ÁGUA, DN  250 MM, JUNTA FLANGEADA (NÃO INCLUI O FORNECIMENTO). AF_09/2021</t>
  </si>
  <si>
    <t>103142</t>
  </si>
  <si>
    <t>ASSENTAMENTO DE CONEXÃO COM 1 ACESSO, FERRO FUNDIDO PARA REDE DE ÁGUA, DN  300 MM, JUNTA FLANGEADA (NÃO INCLUI O FORNECIMENTO). AF_09/2021</t>
  </si>
  <si>
    <t>103143</t>
  </si>
  <si>
    <t>ASSENTAMENTO DE CONEXÃO COM 1 ACESSO, FERRO FUNDIDO PARA REDE DE ÁGUA, DN  350 MM, JUNTA FLANGEADA (NÃO INCLUI O FORNECIMENTO). AF_09/2021</t>
  </si>
  <si>
    <t>103144</t>
  </si>
  <si>
    <t>ASSENTAMENTO DE CONEXÃO COM 1 ACESSO, FERRO FUNDIDO PARA REDE DE ÁGUA, DN  400 MM, JUNTA FLANGEADA (NÃO INCLUI O FORNECIMENTO). AF_09/2021</t>
  </si>
  <si>
    <t>103145</t>
  </si>
  <si>
    <t>ASSENTAMENTO DE CONEXÃO COM 1 ACESSO, FERRO FUNDIDO PARA REDE DE ÁGUA, DN  450 MM, JUNTA FLANGEADA (NÃO INCLUI O FORNECIMENTO). AF_09/2021</t>
  </si>
  <si>
    <t>103146</t>
  </si>
  <si>
    <t>ASSENTAMENTO DE CONEXÃO COM 1 ACESSO, FERRO FUNDIDO PARA REDE DE ÁGUA, DN  500 MM, JUNTA FLANGEADA (NÃO INCLUI O FORNECIMENTO). AF_09/2021</t>
  </si>
  <si>
    <t>103147</t>
  </si>
  <si>
    <t>ASSENTAMENTO DE CONEXÃO COM 1 ACESSO, FERRO FUNDIDO PARA REDE DE ÁGUA, DN  600 MM, JUNTA FLANGEADA (NÃO INCLUI O FORNECIMENTO). AF_09/2021</t>
  </si>
  <si>
    <t>103148</t>
  </si>
  <si>
    <t>ASSENTAMENTO DE CONEXÃO COM 1 ACESSO, FERRO FUNDIDO PARA REDE DE ÁGUA, DN  700 MM, JUNTA FLANGEADA (NÃO INCLUI O FORNECIMENTO). AF_09/2021</t>
  </si>
  <si>
    <t>103149</t>
  </si>
  <si>
    <t>ASSENTAMENTO DE CONEXÃO COM 1 ACESSO, FERRO FUNDIDO PARA REDE DE ÁGUA, DN  800 MM, JUNTA FLANGEADA (NÃO INCLUI O FORNECIMENTO). AF_09/2021</t>
  </si>
  <si>
    <t>103150</t>
  </si>
  <si>
    <t>ASSENTAMENTO DE CONEXÃO COM 1 ACESSO, FERRO FUNDIDO PARA REDE DE ÁGUA, DN  900 MM, JUNTA FLANGEADA (NÃO INCLUI O FORNECIMENTO). AF_09/2021</t>
  </si>
  <si>
    <t>103151</t>
  </si>
  <si>
    <t>ASSENTAMENTO DE CONEXÃO COM 1 ACESSO, FERRO FUNDIDO PARA REDE DE ÁGUA, DN  1000 MM, JUNTA FLANGEADA (NÃO INCLUI O FORNECIMENTO). AF_09/2021</t>
  </si>
  <si>
    <t>103152</t>
  </si>
  <si>
    <t>ASSENTAMENTO DE CONEXÃO COM 1 ACESSO, FERRO FUNDIDO PARA REDE DE ÁGUA, DN  1200 MM, JUNTA FLANGEADA (NÃO INCLUI O FORNECIMENTO). AF_09/2021</t>
  </si>
  <si>
    <t>103372</t>
  </si>
  <si>
    <t>TUBO PEAD LISO PARA REDE DE ÁGUA OU ESGOTO, DIÂMETRO DE 20 MM, JUNTA SOLDADA (NÃO INCLUI A EXECUÇÃO DE SOLDA) - FORNECIMENTO E ASSENTAMENTO. AF_12/2021</t>
  </si>
  <si>
    <t>103373</t>
  </si>
  <si>
    <t>TUBO PEAD LISO PARA REDE DE ÁGUA OU ESGOTO, DIÂMETRO DE 32 MM, JUNTA SOLDADA (NÃO INCLUI A EXECUÇÃO DE SOLDA) - FORNECIMENTO E ASSENTAMENTO. AF_12/2021</t>
  </si>
  <si>
    <t>103376</t>
  </si>
  <si>
    <t>TUBO PEAD LISO PARA REDE DE ÁGUA OU ESGOTO, DIÂMETRO DE 110 MM, JUNTA SOLDADA (NÃO INCLUI A EXECUÇÃO DE SOLDA) - FORNECIMENTO E ASSENTAMENTO. AF_12/2021</t>
  </si>
  <si>
    <t>103377</t>
  </si>
  <si>
    <t>TUBO PEAD LISO PARA REDE DE ÁGUA OU ESGOTO, DIÂMETRO DE 160 MM, JUNTA SOLDADA (NÃO INCLUI A EXECUÇÃO DE SOLDA) - FORNECIMENTO E ASSENTAMENTO. AF_12/2021</t>
  </si>
  <si>
    <t>103379</t>
  </si>
  <si>
    <t>TUBO PEAD LISO PARA REDE DE ÁGUA OU ESGOTO, DIÂMETRO DE 200 MM, JUNTA SOLDADA (NÃO INCLUI A EXECUÇÃO DE SOLDA) - FORNECIMENTO E ASSENTAMENTO. AF_12/2021</t>
  </si>
  <si>
    <t>103383</t>
  </si>
  <si>
    <t>TUBO PEAD LISO PARA REDE DE ÁGUA OU ESGOTO, DIÂMETRO DE 315 MM, JUNTA SOLDADA (NÃO INCLUI A EXECUÇÃO DE SOLDA) - FORNECIMENTO E ASSENTAMENTO. AF_12/2021</t>
  </si>
  <si>
    <t>103385</t>
  </si>
  <si>
    <t>TUBO PEAD LISO PARA REDE DE ÁGUA OU ESGOTO, DIÂMETRO DE 400 MM, JUNTA SOLDADA (NÃO INCLUI A EXECUÇÃO DE SOLDA) - FORNECIMENTO E ASSENTAMENTO. AF_12/2021</t>
  </si>
  <si>
    <t>103387</t>
  </si>
  <si>
    <t>TUBO PEAD LISO PARA REDE DE ÁGUA OU ESGOTO, DIÂMETRO DE 500 MM, JUNTA SOLDADA (NÃO INCLUI A EXECUÇÃO DE SOLDA) - FORNECIMENTO E ASSENTAMENTO. AF_12/2021</t>
  </si>
  <si>
    <t>103389</t>
  </si>
  <si>
    <t>TUBO PEAD LISO PARA REDE DE ÁGUA OU ESGOTO, DIÂMETRO DE 630 MM, JUNTA SOLDADA (NÃO INCLUI A EXECUÇÃO DE SOLDA) - FORNECIMENTO E ASSENTAMENTO. AF_12/2021</t>
  </si>
  <si>
    <t>103391</t>
  </si>
  <si>
    <t>TUBO PEAD LISO PARA REDE DE ÁGUA OU ESGOTO, DIÂMETRO DE 800 MM, JUNTA SOLDADA (NÃO INCLUI A EXECUÇÃO DE SOLDA) - FORNECIMENTO E ASSENTAMENTO. AF_12/2021</t>
  </si>
  <si>
    <t>103392</t>
  </si>
  <si>
    <t>TUBO PEAD LISO PARA REDE DE ÁGUA OU ESGOTO, DIÂMETRO DE 900 MM, JUNTA SOLDADA (NÃO INCLUI A EXECUÇÃO DE SOLDA) - FORNECIMENTO E ASSENTAMENTO. AF_12/2021</t>
  </si>
  <si>
    <t>103393</t>
  </si>
  <si>
    <t>TUBO PEAD LISO PARA REDE DE ÁGUA OU ESGOTO, DIÂMETRO DE 1000 MM, JUNTA SOLDADA (NÃO INCLUI A EXECUÇÃO DE SOLDA) - FORNECIMENTO E ASSENTAMENTO. AF_12/2021</t>
  </si>
  <si>
    <t>103397</t>
  </si>
  <si>
    <t>ASSENTAMENTO DE CONEXÃO COM 2 ACESSOS, EM PEAD LISO PARA REDE DE ÁGUA OU ESGOTO, DIÂMETRO DE 20 MM, JUNTA SOLDADA (NÃO INCLUI O FORNECIMENTO E EXECUÇÃO DE SOLDA). AF_12/2021</t>
  </si>
  <si>
    <t>103398</t>
  </si>
  <si>
    <t>ASSENTAMENTO DE CONEXÃO COM 2 ACESSOS, EM PEAD LISO PARA REDE DE ÁGUA OU ESGOTO, DIÂMETRO DE 32 MM, JUNTA SOLDADA (NÃO INCLUI O FORNECIMENTO E EXECUÇÃO DE SOLDA). AF_12/2021</t>
  </si>
  <si>
    <t>103399</t>
  </si>
  <si>
    <t>ASSENTAMENTO DE CONEXÃO COM 2 ACESSOS, EM PEAD LISO PARA REDE DE ÁGUA OU ESGOTO, DIÂMETRO DE 63 MM, JUNTA SOLDADA (NÃO INCLUI O FORNECIMENTO E EXECUÇÃO DE SOLDA). AF_12/2021</t>
  </si>
  <si>
    <t>103400</t>
  </si>
  <si>
    <t>ASSENTAMENTO DE CONEXÃO COM 2 ACESSOS, EM PEAD LISO PARA REDE DE ÁGUA OU ESGOTO, DIÂMETRO DE 90 MM, JUNTA SOLDADA (NÃO INCLUI O FORNECIMENTO E EXECUÇÃO DE SOLDA). AF_12/2021</t>
  </si>
  <si>
    <t>103401</t>
  </si>
  <si>
    <t>ASSENTAMENTO DE CONEXÃO COM 2 ACESSOS, EM PEAD LISO PARA REDE DE ÁGUA OU ESGOTO, DIÂMETRO DE 110 MM, JUNTA SOLDADA (NÃO INCLUI O FORNECIMENTO E EXECUÇÃO DE SOLDA). AF_12/2021</t>
  </si>
  <si>
    <t>103402</t>
  </si>
  <si>
    <t>ASSENTAMENTO DE CONEXÃO COM 2 ACESSOS, EM PEAD LISO PARA REDE DE ÁGUA OU ESGOTO, DIÂMETRO DE 160 MM, JUNTA SOLDADA (NÃO INCLUI O FORNECIMENTO E EXECUÇÃO DE SOLDA). AF_12/2021</t>
  </si>
  <si>
    <t>103403</t>
  </si>
  <si>
    <t>ASSENTAMENTO DE CONEXÃO COM 2 ACESSOS, EM PEAD LISO PARA REDE DE ÁGUA OU ESGOTO, DIÂMETRO DE 180 MM, JUNTA SOLDADA (NÃO INCLUI O FORNECIMENTO E EXECUÇÃO DE SOLDA). AF_12/2021</t>
  </si>
  <si>
    <t>103404</t>
  </si>
  <si>
    <t>ASSENTAMENTO DE CONEXÃO COM 2 ACESSOS, EM PEAD LISO PARA REDE DE ÁGUA OU ESGOTO, DIÂMETRO DE 200 MM, JUNTA SOLDADA (NÃO INCLUI O FORNECIMENTO E EXECUÇÃO DE SOLDA). AF_12/2021</t>
  </si>
  <si>
    <t>41,42</t>
  </si>
  <si>
    <t>103405</t>
  </si>
  <si>
    <t>ASSENTAMENTO DE CONEXÃO COM 2 ACESSOS, EM PEAD LISO PARA REDE DE ÁGUA OU ESGOTO, DIÂMETRO DE 225 MM, JUNTA SOLDADA (NÃO INCLUI O FORNECIMENTO E EXECUÇÃO DE SOLDA). AF_12/2021</t>
  </si>
  <si>
    <t>103406</t>
  </si>
  <si>
    <t>ASSENTAMENTO DE CONEXÃO COM 2 ACESSOS, EM PEAD LISO PARA REDE DE ÁGUA OU ESGOTO, DIÂMETRO DE 250 MM, JUNTA SOLDADA (NÃO INCLUI O FORNECIMENTO E EXECUÇÃO DE SOLDA). AF_12/2021</t>
  </si>
  <si>
    <t>103407</t>
  </si>
  <si>
    <t>ASSENTAMENTO DE CONEXÃO COM 2 ACESSOS, EM PEAD LISO PARA REDE DE ÁGUA OU ESGOTO, DIÂMETRO DE 280 MM, JUNTA SOLDADA (NÃO INCLUI O FORNECIMENTO E EXECUÇÃO DE SOLDA). AF_12/2021</t>
  </si>
  <si>
    <t>103408</t>
  </si>
  <si>
    <t>ASSENTAMENTO DE CONEXÃO COM 2 ACESSOS, EM PEAD LISO PARA REDE DE ÁGUA OU ESGOTO, DIÂMETRO DE 315 MM, JUNTA SOLDADA (NÃO INCLUI O FORNECIMENTO E EXECUÇÃO DE SOLDA). AF_12/2021</t>
  </si>
  <si>
    <t>103409</t>
  </si>
  <si>
    <t>ASSENTAMENTO DE CONEXÃO COM 2 ACESSOS, EM PEAD LISO PARA REDE DE ÁGUA OU ESGOTO, DIÂMETRO DE 355 MM, JUNTA SOLDADA (NÃO INCLUI O FORNECIMENTO E EXECUÇÃO DE SOLDA). AF_12/2021</t>
  </si>
  <si>
    <t>73,53</t>
  </si>
  <si>
    <t>103410</t>
  </si>
  <si>
    <t>ASSENTAMENTO DE CONEXÃO COM 2 ACESSOS, EM PEAD LISO PARA REDE DE ÁGUA OU ESGOTO, DIÂMETRO DE 400 MM, JUNTA SOLDADA (NÃO INCLUI O FORNECIMENTO E EXECUÇÃO DE SOLDA). AF_12/2021</t>
  </si>
  <si>
    <t>103411</t>
  </si>
  <si>
    <t>ASSENTAMENTO DE CONEXÃO COM 3 ACESSOS, EM PEAD LISO PARA REDE DE ÁGUA OU ESGOTO, DIÂMETRO DE 20 MM, JUNTA SOLDADA (NÃO INCLUI O FORNECIMENTO E EXECUÇÃO DE SOLDA). AF_12/2021</t>
  </si>
  <si>
    <t>103412</t>
  </si>
  <si>
    <t>ASSENTAMENTO DE CONEXÃO COM 3 ACESSOS, EM PEAD LISO PARA REDE DE ÁGUA OU ESGOTO, DIÂMETRO DE 32 MM, JUNTA SOLDADA (NÃO INCLUI O FORNECIMENTO E EXECUÇÃO DE SOLDA). AF_12/2021</t>
  </si>
  <si>
    <t>103413</t>
  </si>
  <si>
    <t>ASSENTAMENTO DE CONEXÃO COM 3 ACESSOS, EM PEAD LISO PARA REDE DE ÁGUA OU ESGOTO, DIÂMETRO DE 63 MM, JUNTA SOLDADA (NÃO INCLUI O FORNECIMENTO E EXECUÇÃO DE SOLDA). AF_12/2021</t>
  </si>
  <si>
    <t>103414</t>
  </si>
  <si>
    <t>ASSENTAMENTO DE CONEXÃO COM 3 ACESSOS, EM PEAD LISO PARA REDE DE ÁGUA OU ESGOTO, DIÂMETRO DE 90 MM, JUNTA SOLDADA (NÃO INCLUI O FORNECIMENTO E EXECUÇÃO DE SOLDA). AF_12/2021</t>
  </si>
  <si>
    <t>103415</t>
  </si>
  <si>
    <t>ASSENTAMENTO DE CONEXÃO COM 3 ACESSOS, EM PEAD LISO PARA REDE DE ÁGUA OU ESGOTO, DIÂMETRO DE 110 MM, JUNTA SOLDADA (NÃO INCLUI O FORNECIMENTO E EXECUÇÃO DE SOLDA). AF_12/2021</t>
  </si>
  <si>
    <t>103416</t>
  </si>
  <si>
    <t>ASSENTAMENTO DE CONEXÃO COM 3 ACESSOS, EM PEAD LISO PARA REDE DE ÁGUA OU ESGOTO, DIÂMETRO DE 160 MM, JUNTA SOLDADA (NÃO INCLUI O FORNECIMENTO E EXECUÇÃO DE SOLDA). AF_12/2021</t>
  </si>
  <si>
    <t>103417</t>
  </si>
  <si>
    <t>ASSENTAMENTO DE CONEXÃO COM 3 ACESSOS, EM PEAD LISO PARA REDE DE ÁGUA OU ESGOTO, DIÂMETRO DE 180 MM, JUNTA SOLDADA (NÃO INCLUI O FORNECIMENTO E EXECUÇÃO DE SOLDA). AF_12/2021</t>
  </si>
  <si>
    <t>103418</t>
  </si>
  <si>
    <t>ASSENTAMENTO DE CONEXÃO COM 3 ACESSOS, EM PEAD LISO PARA REDE DE ÁGUA OU ESGOTO, DIÂMETRO DE 200 MM, JUNTA SOLDADA (NÃO INCLUI O FORNECIMENTO E EXECUÇÃO DE SOLDA). AF_12/2021</t>
  </si>
  <si>
    <t>103419</t>
  </si>
  <si>
    <t>ASSENTAMENTO DE CONEXÃO COM 3 ACESSOS, EM PEAD LISO PARA REDE DE ÁGUA OU ESGOTO, DIÂMETRO DE 225 MM, JUNTA SOLDADA (NÃO INCLUI O FORNECIMENTO E EXECUÇÃO DE SOLDA). AF_12/2021</t>
  </si>
  <si>
    <t>103420</t>
  </si>
  <si>
    <t>ASSENTAMENTO DE CONEXÃO COM 3 ACESSOS, EM PEAD LISO PARA REDE DE ÁGUA OU ESGOTO, DIÂMETRO DE 250 MM, JUNTA SOLDADA (NÃO INCLUI O FORNECIMENTO E EXECUÇÃO DE SOLDA). AF_12/2021</t>
  </si>
  <si>
    <t>103421</t>
  </si>
  <si>
    <t>ASSENTAMENTO DE CONEXÃO COM 3 ACESSOS, EM PEAD LISO PARA REDE DE ÁGUA OU ESGOTO, DIÂMETRO DE 280 MM, JUNTA SOLDADA (NÃO INCLUI O FORNECIMENTO E EXECUÇÃO DE SOLDA). AF_12/2021</t>
  </si>
  <si>
    <t>103422</t>
  </si>
  <si>
    <t>ASSENTAMENTO DE CONEXÃO COM 3 ACESSOS, EM PEAD LISO PARA REDE DE ÁGUA OU ESGOTO, DIÂMETRO DE 315 MM, JUNTA SOLDADA (NÃO INCLUI O FORNECIMENTO E EXECUÇÃO DE SOLDA). AF_12/2021</t>
  </si>
  <si>
    <t>103423</t>
  </si>
  <si>
    <t>ASSENTAMENTO DE CONEXÃO COM 3 ACESSOS, EM PEAD LISO PARA REDE DE ÁGUA OU ESGOTO, DIÂMETRO DE 355 MM, JUNTA SOLDADA (NÃO INCLUI O FORNECIMENTO E EXECUÇÃO DE SOLDA). AF_12/2021</t>
  </si>
  <si>
    <t>103424</t>
  </si>
  <si>
    <t>ASSENTAMENTO DE CONEXÃO COM 3 ACESSOS, EM PEAD LISO PARA REDE DE ÁGUA OU ESGOTO, DIÂMETRO DE 400 MM, JUNTA SOLDADA (NÃO INCLUI O FORNECIMENTO E EXECUÇÃO DE SOLDA). AF_12/2021</t>
  </si>
  <si>
    <t>103425</t>
  </si>
  <si>
    <t>LUVA, EM PEAD LISO PARA REDE DE ÁGUA OU ESGOTO, DIÂMETRO DE 20 MM, JUNTA SOLDADA POR ELETROFUSÃO (NÃO INCLUI A EXECUÇÃO DE SOLDA). AF_12/2021</t>
  </si>
  <si>
    <t>103426</t>
  </si>
  <si>
    <t>LUVA, EM PEAD LISO PARA REDE DE ÁGUA OU ESGOTO, DIÂMETRO DE 32 MM, JUNTA SOLDADA POR ELETROFUSÃO (NÃO INCLUI A EXECUÇÃO DE SOLDA). AF_12/2021</t>
  </si>
  <si>
    <t>103427</t>
  </si>
  <si>
    <t>LUVA, EM PEAD LISO PARA REDE DE ÁGUA OU ESGOTO, DIÂMETRO DE 63 MM, JUNTA SOLDADA POR ELETROFUSÃO (NÃO INCLUI A EXECUÇÃO DE SOLDA). AF_12/2021</t>
  </si>
  <si>
    <t>103428</t>
  </si>
  <si>
    <t>LUVA, EM PEAD LISO PARA REDE DE ÁGUA OU ESGOTO, DIÂMETRO DE 200 MM, JUNTA SOLDADA POR ELETROFUSÃO (NÃO INCLUI A EXECUÇÃO DE SOLDA). AF_12/2021</t>
  </si>
  <si>
    <t>103429</t>
  </si>
  <si>
    <t>LUVA, EM PEAD LISO PARA REDE DE ÁGUA OU ESGOTO, DIÂMETRO DE 400 MM, JUNTA SOLDADA POR ELETROFUSÃO (NÃO INCLUI A EXECUÇÃO DE SOLDA). AF_12/2021</t>
  </si>
  <si>
    <t>103430</t>
  </si>
  <si>
    <t>COTOVELO 45 GRAUS, EM PEAD LISO PARA REDE DE ÁGUA OU ESGOTO, DIÂMETRO DE 32 MM, JUNTA SOLDADA POR ELETROFUSÃO (NÃO INCLUI A EXECUÇÃO DE SOLDA). AF_12/2021</t>
  </si>
  <si>
    <t>103431</t>
  </si>
  <si>
    <t>COTOVELO 45 GRAUS, EM PEAD LISO PARA REDE DE ÁGUA OU ESGOTO, DIÂMETRO DE 63 MM, JUNTA SOLDADA POR ELETROFUSÃO (NÃO INCLUI A EXECUÇÃO DE SOLDA). AF_12/2021</t>
  </si>
  <si>
    <t>103432</t>
  </si>
  <si>
    <t>COTOVELO 45 GRAUS, EM PEAD LISO PARA REDE DE ÁGUA OU ESGOTO, DIÂMETRO DE 200 MM, JUNTA SOLDADA POR ELETROFUSÃO (NÃO INCLUI A EXECUÇÃO DE SOLDA). AF_12/2021</t>
  </si>
  <si>
    <t>103433</t>
  </si>
  <si>
    <t>COTOVELO 90 GRAUS, EM PEAD LISO PARA REDE DE ÁGUA OU ESGOTO, DIÂMETRO DE 20 MM, JUNTA SOLDADA POR ELETROFUSÃO (NÃO INCLUI A EXECUÇÃO DE SOLDA). AF_12/2021</t>
  </si>
  <si>
    <t>103434</t>
  </si>
  <si>
    <t>COTOVELO 90 GRAUS, EM PEAD LISO PARA REDE DE ÁGUA OU ESGOTO, DIÂMETRO DE 32 MM, JUNTA SOLDADA POR ELETROFUSÃO (NÃO INCLUI A EXECUÇÃO DE SOLDA). AF_12/2021</t>
  </si>
  <si>
    <t>103435</t>
  </si>
  <si>
    <t>COTOVELO 90 GRAUS, EM PEAD LISO PARA REDE DE ÁGUA OU ESGOTO, DIÂMETRO DE 63 MM, JUNTA SOLDADA POR ELETROFUSÃO (NÃO INCLUI A EXECUÇÃO DE SOLDA). AF_12/2021</t>
  </si>
  <si>
    <t>103436</t>
  </si>
  <si>
    <t>COTOVELO 90 GRAUS, POLIETILENO DE ALTA DENSIDADE (PEAD) PARA REDE DE ÁGUA OU ESGOTO, DIÂMETRO DE 200 MM, JUNTA SOLDADA POR ELETROFUSÃO (NÃO INCLUI A EXECUÇÃO DE SOLDA). AF_12/2021</t>
  </si>
  <si>
    <t>103437</t>
  </si>
  <si>
    <t>TÊ DE SERVIÇO, EM PEAD LISO PARA REDE DE ÁGUA OU ESGOTO, DIÂMETRO DE 63 X 20 MM, JUNTA SOLDADA POR ELETROFUSÃO (NÃO INCLUI A EXECUÇÃO DE SOLDA). AF_12/2021</t>
  </si>
  <si>
    <t>103438</t>
  </si>
  <si>
    <t>TÊ DE SERVIÇO, EM PEAD LISO PARA REDE DE ÁGUA OU ESGOTO, DIÂMETRO DE 63 X 32 MM, JUNTA SOLDADA POR ELETROFUSÃO (NÃO INCLUI A EXECUÇÃO DE SOLDA). AF_12/2021</t>
  </si>
  <si>
    <t>103439</t>
  </si>
  <si>
    <t>TÊ DE SERVIÇO, EM PEAD LISO PARA REDE DE ÁGUA OU ESGOTO, DIÂMETRO DE 63 X 63 MM, JUNTA SOLDADA POR ELETROFUSÃO (NÃO INCLUI A EXECUÇÃO DE SOLDA). AF_12/2021</t>
  </si>
  <si>
    <t>103440</t>
  </si>
  <si>
    <t>TÊ DE SERVIÇO, EM PEAD LISO PARA REDE DE ÁGUA OU ESGOTO, DIÂMETRO DE 200 X 20 MM, JUNTA SOLDADA POR ELETROFUSÃO (NÃO INCLUI A EXECUÇÃO DE SOLDA). AF_12/2021</t>
  </si>
  <si>
    <t>103441</t>
  </si>
  <si>
    <t>TÊ DE SERVIÇO, EM PEAD LISO PARA REDE DE ÁGUA OU ESGOTO, DIÂMETRO DE 200 X 32 MM, JUNTA SOLDADA POR ELETROFUSÃO (NÃO INCLUI A EXECUÇÃO DE SOLDA). AF_12/2021</t>
  </si>
  <si>
    <t>103442</t>
  </si>
  <si>
    <t>TÊ DE SERVIÇO, EM PEAD LISO PARA REDE DE ÁGUA OU ESGOTO, DIÂMETRO DE 200 X 63 MM, JUNTA SOLDADA POR ELETROFUSÃO (NÃO INCLUI A EXECUÇÃO DE SOLDA). AF_12/2021</t>
  </si>
  <si>
    <t>10,27</t>
  </si>
  <si>
    <t>104091</t>
  </si>
  <si>
    <t>TERMOFUSORA PARA TUBOS E CONEXÕES EM PPR COM DIÂMETROS DE 20 A 63 MM, POTÊNCIA DE 800 W, TENSAO 220 V - CHP DIURNO. AF_05/2022</t>
  </si>
  <si>
    <t>104097</t>
  </si>
  <si>
    <t>TERMOFUSORA PARA TUBOS E CONEXÕES EM PPR COM DIÂMETROS DE 75 A 110 MM, POTÊNCIA DE *1100* W, TENSÃO 220 V - CHP DIURNO. AF_05/2022</t>
  </si>
  <si>
    <t>0,87</t>
  </si>
  <si>
    <t>8,17</t>
  </si>
  <si>
    <t>27,30</t>
  </si>
  <si>
    <t>0,73</t>
  </si>
  <si>
    <t>0,54</t>
  </si>
  <si>
    <t>104092</t>
  </si>
  <si>
    <t>TERMOFUSORA PARA TUBOS E CONEXÕES EM PPR COM DIÂMETROS DE 20 A 63 MM, POTÊNCIA DE 800 W, TENSAO 220 V - CHI DIURNO. AF_05/2022</t>
  </si>
  <si>
    <t>104098</t>
  </si>
  <si>
    <t>TERMOFUSORA PARA TUBOS E CONEXÕES EM PPR COM DIÂMETROS DE 75 A 110 MM, POTÊNCIA DE *1100* W, TENSÃO 220 V - CHI DIURNO. AF_05/2022</t>
  </si>
  <si>
    <t>18,43</t>
  </si>
  <si>
    <t>21,76</t>
  </si>
  <si>
    <t>10,26</t>
  </si>
  <si>
    <t>4,91</t>
  </si>
  <si>
    <t>9,21</t>
  </si>
  <si>
    <t>0,59</t>
  </si>
  <si>
    <t>8,29</t>
  </si>
  <si>
    <t>3,63</t>
  </si>
  <si>
    <t>82,04</t>
  </si>
  <si>
    <t>25,79</t>
  </si>
  <si>
    <t>34,66</t>
  </si>
  <si>
    <t>15,91</t>
  </si>
  <si>
    <t>38,56</t>
  </si>
  <si>
    <t>22,95</t>
  </si>
  <si>
    <t>27,90</t>
  </si>
  <si>
    <t>23,65</t>
  </si>
  <si>
    <t>67,82</t>
  </si>
  <si>
    <t>BETONEIRA CAPACIDADE NOMINAL 400 L, CAPACIDADE DE MISTURA 310 L, MOTOR A GASOLINA POTÊNCIA 5,5 CV, SEM CARREGADOR - DEPRECIAÇÃO. AF_02/2016</t>
  </si>
  <si>
    <t>BETONEIRA CAPACIDADE NOMINAL 400 L, CAPACIDADE DE MISTURA 310 L, MOTOR A GASOLINA POTÊNCIA 5,5 CV, SEM CARREGADOR - JUROS. AF_02/2016</t>
  </si>
  <si>
    <t>BETONEIRA CAPACIDADE NOMINAL 400 L, CAPACIDADE DE MISTURA 310 L, MOTOR A GASOLINA POTÊNCIA 5,5 CV, SEM CARREGADOR - MANUTENÇÃO. AF_02/2016</t>
  </si>
  <si>
    <t>BETONEIRA CAPACIDADE NOMINAL 400 L, CAPACIDADE DE MISTURA 310 L, MOTOR A GASOLINA POTÊNCIA 5,5 CV, SEM CARREGADOR - MATERIAIS NA OPERAÇÃO. AF_02/2016</t>
  </si>
  <si>
    <t>25,18</t>
  </si>
  <si>
    <t>22,43</t>
  </si>
  <si>
    <t>3,60</t>
  </si>
  <si>
    <t>7,32</t>
  </si>
  <si>
    <t>23,37</t>
  </si>
  <si>
    <t>102809</t>
  </si>
  <si>
    <t>102815</t>
  </si>
  <si>
    <t>CENTRAL DE LAMA BENTONÍTICA (DEPÓSITO DE BENTONITA, MISTURADOR DE ALTA TURBULÊNCIA, SILOS DE ARMAZENAMENTO DE LAMA E ÁGUA, LABORATÓRIO DE CONTROLE DE QUALIDADE DA LAMA) - MATERIAIS NA OPERAÇÃO. AF_04/2019</t>
  </si>
  <si>
    <t>102826</t>
  </si>
  <si>
    <t>102832</t>
  </si>
  <si>
    <t>102843</t>
  </si>
  <si>
    <t>GUINDASTE HIDRAULICO AUTOPROPELIDO, COM LANÇA TRELIÇADA 40 M, CAPACIDADE MÁXIMA 75 T, EQUIPADO COM CLAMSHELL - MATERIAIS NA OPERAÇÃO. AF_04/2019</t>
  </si>
  <si>
    <t>102849</t>
  </si>
  <si>
    <t>GUINDASTE SOBRE ESTEIRAS, COM LANÇA TRELIÇADA 40 M, CAPACIDADE MÁXIMA 75 T - MATERIAIS NA OPERAÇÃO. AF_04/2019</t>
  </si>
  <si>
    <t>102855</t>
  </si>
  <si>
    <t>GUINDASTE SOBRE ESTEIRAS, COM LANÇA TRELIÇADA 40 M, CAPACIDADE MÁXIMA 75 T, EQUIPADO COM CLAMSHELL - MATERIAIS NA OPERAÇÃO. AF_04/2019</t>
  </si>
  <si>
    <t>102861</t>
  </si>
  <si>
    <t>102867</t>
  </si>
  <si>
    <t>102873</t>
  </si>
  <si>
    <t>PERFURATRIZ HIDRÁULICA SOBRE ESTEIRA, TORQUE MÁXIMO 161 KNM, PROFUNDIDADE MÁXIMA 54 M, DIÂMETRO MÁXIMO 1500 MM, POTÊNCIA MOTOR 268 HP - MATERIAIS NA OPERAÇÃO. AF_04/2019</t>
  </si>
  <si>
    <t>102879</t>
  </si>
  <si>
    <t>PERFURATRIZ PARA EXECUÇÃO DE ESTACAS SECANTES, TIPO HÉLICE CONTÍNUA COM CABEÇOTE DUPLO E TUBO METÁLICO - MATERIAIS NA OPERAÇÃO. AF_04/2019</t>
  </si>
  <si>
    <t>102885</t>
  </si>
  <si>
    <t>PLATAFORMA ELEVATÓRIA - MATERIAIS NA OPERAÇÃO. AF_04/2019</t>
  </si>
  <si>
    <t>102891</t>
  </si>
  <si>
    <t>PÓRTICO ROLANTE MONOVIGA, PERFIL I, 4 PERNAS, CAPACIDADE 5 T  - MATERIAIS NA OPERAÇÃO. AF_04/2019</t>
  </si>
  <si>
    <t>102897</t>
  </si>
  <si>
    <t>ESCAVADEIRA HIDRÁULICA SOBRE ESTEIRA, PESO OPERACIONAL ENTRE 22,00 E 23,50 T, POTÊNCIA NOMINAL 139 HP, COM MARTELO ROMPEDOR HIDRÁULICO 1700 KG - MATERIAIS NA OPERAÇÃO. AF_04/2019</t>
  </si>
  <si>
    <t>102903</t>
  </si>
  <si>
    <t>102909</t>
  </si>
  <si>
    <t>102915</t>
  </si>
  <si>
    <t>102927</t>
  </si>
  <si>
    <t>0,82</t>
  </si>
  <si>
    <t>102933</t>
  </si>
  <si>
    <t>FURADEIRA ELETROMAGNÉTICA, VELOCIDADE (SEM CARGA/ COM CARGA) 450/ 270 RPM, ESPESSURA MÁXIMA DA CHAPA A SER FURADA 50 MM, PORÇA DE ADESÃO MAGNÉTICA 17000 N, POTÊNCIA 1100 W, ALIMENTÇÃO 220 - 60 HZ, MONOFÁSICA - MATERIAIS NA OPERAÇÃO. AF_08/2019</t>
  </si>
  <si>
    <t>102939</t>
  </si>
  <si>
    <t>102945</t>
  </si>
  <si>
    <t>102951</t>
  </si>
  <si>
    <t>102957</t>
  </si>
  <si>
    <t>RETROESCAVADEIRA SOBRE RODAS COM CARREGADEIRA , PESO OPERACIONAL MÍN. 6,674, POTÊNCIA LÍQ 88 HP, COM MARTELO ROMPEDOR HIDRÁULICO ENTRE  275 A 362 KG - MATERIAIS NA OPERAÇÃO. AF_02/2021</t>
  </si>
  <si>
    <t>102963</t>
  </si>
  <si>
    <t>PERFURATRIZ HIDRÁULICA SOBRE ESTEIRA, TORQUE MÁXIMO 98 KNM, PROFUNDIDADE MÁXIMA 25 M, DIÂMETRO MÁXIMO 115 MM, POTÊNCIA MOTOR 190 HP - MATERIAIS NA OPERAÇÃO. AF_02/2021</t>
  </si>
  <si>
    <t>102969</t>
  </si>
  <si>
    <t>102985</t>
  </si>
  <si>
    <t>MÁQUINA DEMARCADORA DE FAIXA DE TRÁFEGO À FRIO, TRAÇÃO MANUAL, 4 CV, PRESSÃO MAX 3300 PSI, TANQUE 20 L - MATERIAIS NA OPERAÇÃO. AF_06/2021</t>
  </si>
  <si>
    <t>103156</t>
  </si>
  <si>
    <t>103162</t>
  </si>
  <si>
    <t>103168</t>
  </si>
  <si>
    <t>103174</t>
  </si>
  <si>
    <t>103180</t>
  </si>
  <si>
    <t>103223</t>
  </si>
  <si>
    <t>103229</t>
  </si>
  <si>
    <t>103235</t>
  </si>
  <si>
    <t>103241</t>
  </si>
  <si>
    <t>103660</t>
  </si>
  <si>
    <t>103666</t>
  </si>
  <si>
    <t>103792</t>
  </si>
  <si>
    <t>103937</t>
  </si>
  <si>
    <t>CONJUNTO MACACO HIDRÁULICO E CENTRAL DE BOMBEAMENTO MOTORIZADO 1,8 KW PARA PROTENSÃO DE MONOCABOS PARA CONCRETO PROTENDIDO, ESFORÇO MÁXIMO DE 20 TONELADAS  - MATERIAIS NA OPERAÇÃO. AF_05/2022</t>
  </si>
  <si>
    <t>103943</t>
  </si>
  <si>
    <t>CONJUNTO MACACO HIDRÁULICO E CENTRAL DE BOMBEAMENTO MOTORIZADO 1,8 KW PARA PROTENSÃO DE MONOCABOS PARA CONCRETO PROTENDIDO, ESFORÇO MÁXIMO DE 30 TONELADAS  - MATERIAIS NA OPERAÇÃO. AF_05/2022</t>
  </si>
  <si>
    <t>104087</t>
  </si>
  <si>
    <t>TERMOFUSORA PARA TUBOS E CONEXÕES EM PPR COM DIÂMETROS DE 20 A 63 MM, POTÊNCIA DE 800 W, TENSAO 220 V - DEPRECIAÇÃO. AF_05/2022</t>
  </si>
  <si>
    <t>104088</t>
  </si>
  <si>
    <t>TERMOFUSORA PARA TUBOS E CONEXÕES EM PPR COM DIÂMETROS DE 20 A 63 MM, POTÊNCIA DE 800 W, TENSAO 220 V - JUROS. AF_05/2022</t>
  </si>
  <si>
    <t>104089</t>
  </si>
  <si>
    <t>TERMOFUSORA PARA TUBOS E CONEXÕES EM PPR COM DIÂMETROS DE 20 A 63 MM, POTÊNCIA DE 800 W, TENSAO 220 V - MANUTENÇÃO. AF_05/2022</t>
  </si>
  <si>
    <t>104090</t>
  </si>
  <si>
    <t>TERMOFUSORA PARA TUBOS E CONEXÕES EM PPR COM DIÂMETROS DE 20 A 63 MM, POTÊNCIA DE 800 W, TENSAO 220 V - MATERIAIS NA OPERAÇÃO. AF_05/2022</t>
  </si>
  <si>
    <t>104093</t>
  </si>
  <si>
    <t>TERMOFUSORA PARA TUBOS E CONEXÕES EM PPR COM DIÂMETROS DE 75 A 110 MM, POTÊNCIA DE *1100* W, TENSÃO 220 V - DEPRECIAÇÃO. AF_05/2022</t>
  </si>
  <si>
    <t>104094</t>
  </si>
  <si>
    <t>TERMOFUSORA PARA TUBOS E CONEXÕES EM PPR COM DIÂMETROS DE 75 A 110 MM, POTÊNCIA DE *1100* W, TENSÃO 220 V - JUROS. AF_05/2022</t>
  </si>
  <si>
    <t>104095</t>
  </si>
  <si>
    <t>TERMOFUSORA PARA TUBOS E CONEXÕES EM PPR COM DIÂMETROS DE 75 A 110 MM, POTÊNCIA DE *1100* W, TENSÃO 220 V - MANUTENÇÃO. AF_05/2022</t>
  </si>
  <si>
    <t>104096</t>
  </si>
  <si>
    <t>TERMOFUSORA PARA TUBOS E CONEXÕES EM PPR COM DIÂMETROS DE 75 A 110 MM, POTÊNCIA DE *1100* W, TENSÃO 220 V - MATERIAIS NA OPERAÇÃO. AF_05/2022</t>
  </si>
  <si>
    <t>104519</t>
  </si>
  <si>
    <t>LIXADEIRA DE PAREDE, COM LED, POTÊNCIA 750 W, FREQUÊNCIA 60 HZ, VELOCIDADE 1000 A 2100 RPM, DIÂMETRO DA LIXA 225 MM - MATERIAIS NA OPERAÇÃO. AF_12/2022</t>
  </si>
  <si>
    <t>25,93</t>
  </si>
  <si>
    <t>27,39</t>
  </si>
  <si>
    <t>TELHAMENTO COM TELHA ESTRUTURAL DE FIBROCIMENTO E= 8 MM, COM ATÉ 2 ÁGUAS, INCLUSO IÇAMENTO. AF_07/2019_PS</t>
  </si>
  <si>
    <t>55,61</t>
  </si>
  <si>
    <t>104314</t>
  </si>
  <si>
    <t>TRAMA DE AÇO COMPOSTA POR TERÇAS PARA TELHADOS DE ATÉ 2 ÁGUAS PARA TELHA ONDULADA DE FIBROCIMENTO, METÁLICA, PLÁSTICA OU TERMOACÚSTICA, INCLUSO TRANSPORTE VERTICAL (EM KG). AF_07/2019</t>
  </si>
  <si>
    <t>104482</t>
  </si>
  <si>
    <t>ESGOTAMENTO DE VALA COM BOMBA SUBMERSÍVEL. AF_12/2022</t>
  </si>
  <si>
    <t>104184</t>
  </si>
  <si>
    <t>INSTALAÇÃO E DESINSTALAÇÃO DE REGISTRO DE PVC PARA SISTEMA DE REBAIXAMENTO DE LENÇOL FREÁTICO POR PONTEIRAS FILTRANTES. AF_12/2022</t>
  </si>
  <si>
    <t>104185</t>
  </si>
  <si>
    <t>INSTALAÇÃO E DESINSTALAÇÃO DE CONJUNTO DE BOMBAS, À VÁCUO E CENTRÍFUGA, PARA SISTEMA DE REBAIXAMENTO DE LENÇOL FREÁTICO POR PONTEIRAS FILTRANTES (EXCLUI O FORNECIMENTO DE BOMBAS). AF_12/2022</t>
  </si>
  <si>
    <t>26,04</t>
  </si>
  <si>
    <t>104189</t>
  </si>
  <si>
    <t>INSTALAÇÃO DE MATERIAL GRANULAR FILTRANTE PARA SISTEMA DE REBAIXAMENTO DE LENÇOL FREÁTICO POR POÇOS PROFUNDOSA, DIÂMETRO DO POÇO DE 400 MM. AF_12/2022</t>
  </si>
  <si>
    <t>104190</t>
  </si>
  <si>
    <t>INSTALAÇÃO E DESINSTALAÇÃO DE SISTEMA DE BOMBA PARA SISTEMA DE REBAIXAMENTO DE LENÇOL FREÁTICO POR POÇOS PROFUNDOS (EXCLUI O FORNECIMENTO DE BOMBA). AF_12/2022</t>
  </si>
  <si>
    <t>102662</t>
  </si>
  <si>
    <t>DRENO SUBSUPERFICIAL (SEÇÃO 0,40 X 0,40 M), COM TUBO DE PVC CORRUGADO RÍGIDO PERFURADO, DN 100 MM, ENCHIMENTO COM AREIA. AF_07/2021</t>
  </si>
  <si>
    <t>102668</t>
  </si>
  <si>
    <t>DRENO SUBSUPERFICIAL (SEÇÃO 0,40 X 0,40 M), COM TUBO DE PVC CORRUGADO RÍGIDO PERFURADO, DN 100 MM, ENCHIMENTO COM BRITA, ENVOLVIDO COM MANTA GEOTÊXTIL. AF_07/2021</t>
  </si>
  <si>
    <t>102672</t>
  </si>
  <si>
    <t>DRENO PROFUNDO (SEÇÃO 0,50 X 1,50 M), COM TUBO DE PVC CORRUGADO RÍGIDO PERFURADO, DN 100 MM, ENCHIMENTO COM AREIA, COM SELO DE ARGILA. AF_07/2021</t>
  </si>
  <si>
    <t>102676</t>
  </si>
  <si>
    <t>DRENO PROFUNDO (SEÇÃO 0,50 X 1,50 M), COM TUBO DE PVC CORRUGADO RÍGIDO PERFURADO, DN 100 MM, ENCHIMENTO COM AREIA. AF_07/2021</t>
  </si>
  <si>
    <t>102681</t>
  </si>
  <si>
    <t>DRENO PROFUNDO (SEÇÃO 0,50 X 1,50 M), COM TUBO DE PVC CORRUGADO RÍGIDO PERFURADO, DN 100 MM, ENCHIMENTO COM BRITA, ENVOLVIDO COM MANTA GEOTÊXTIL, COM SELO DE ARGILA. AF_07/2021</t>
  </si>
  <si>
    <t>102685</t>
  </si>
  <si>
    <t>DRENO PROFUNDO (SEÇÃO 0,50 X 1,50 M), COM TUBO DE PVC CORRUGADO RÍGIDO PERFURADO, DN 100 MM, ENCHIMENTO COM BRITA, ENVOLVIDO COM MANTA GEOTÊXTIL. AF_07/2021</t>
  </si>
  <si>
    <t>102689</t>
  </si>
  <si>
    <t>102693</t>
  </si>
  <si>
    <t>102696</t>
  </si>
  <si>
    <t>102703</t>
  </si>
  <si>
    <t>102705</t>
  </si>
  <si>
    <t>TUBO DE PVC CORRUGADO RÍGIDO PERFURADO, DN 100 MM, PARA DRENO - FORNECIMENTO E ASSENTAMENTO. AF_07/2021</t>
  </si>
  <si>
    <t>103653</t>
  </si>
  <si>
    <t>GEOTÊXTIL NÃO TECIDO 100% POLIÉSTER, RESISTÊNCIA A TRAÇÃO DE 31 KN/M (RT-31), INSTALADO EM DRENO - FORNECIMENTO E INSTALAÇÃO. AF_07/2021</t>
  </si>
  <si>
    <t>29,73</t>
  </si>
  <si>
    <t>CAIXA COM GRELHA DUPLA RETANGULAR, EM CONCRETO PRÉ-MOLDADO, DIMENSÕES INTERNAS: 0,5X2,2X1,0 M. AF_12/2020</t>
  </si>
  <si>
    <t>POÇO DE INSPEÇÃO CIRCULAR PARA ESGOTO, EM CONCRETO PRÉ-MOLDADO, DIÂMETRO INTERNO = 0,60 M, PROFUNDIDADE = 0,90 M, EXCLUINDO TAMPÃO. AF_12/2020_PA</t>
  </si>
  <si>
    <t>POÇO DE INSPEÇÃO CIRCULAR PARA ESGOTO, EM CONCRETO PRÉ-MOLDADO, DIÂMETRO INTERNO = 0,60 M, PROFUNDIDADE = 1,40 M, EXCLUINDO TAMPÃO. AF_12/2020_PA</t>
  </si>
  <si>
    <t>POÇO DE INSPEÇÃO CIRCULAR PARA ESGOTO, EM ALVENARIA COM TIJOLOS CERÂMICOS MACIÇOS, DIÂMETRO INTERNO = 0,60 M, PROFUNDIDADE = 0,95 M, EXCLUINDO TAMPÃO. AF_12/2020_PA</t>
  </si>
  <si>
    <t>POÇO DE INSPEÇÃO CIRCULAR PARA ESGOTO, EM ALVENARIA COM TIJOLOS CERÂMICOS MACIÇOS, DIÂMETRO INTERNO = 0,60 M, PROFUNDIDADE = 1,45 M, EXCLUINDO TAMPÃO. AF_12/2020_PA</t>
  </si>
  <si>
    <t>BASE PARA POÇO DE VISITA CIRCULAR PARA ESGOTO, EM CONCRETO PRÉ-MOLDADO, DIÂMETRO INTERNO = 0,80 M, PROFUNDIDADE = 1,35 M, EXCLUINDO TAMPÃO. AF_12/2020_PA</t>
  </si>
  <si>
    <t>BASE PARA POÇO DE VISITA CIRCULAR PARA  ESGOTO, EM ALVENARIA COM TIJOLOS CERÂMICOS MACIÇOS, DIÂMETRO INTERNO = 0,80 M, PROFUNDIDADE = 1,40 M, EXCLUINDO TAMPÃO. AF_12/2020_PA</t>
  </si>
  <si>
    <t>BASE PARA POÇO DE VISITA CIRCULAR PARA  ESGOTO, EM ALVENARIA COM TIJOLOS CERÂMICOS MACIÇOS, DIÂMETRO INTERNO = 1,20 M, PROFUNDIDADE = 1,40 M, EXCLUINDO TAMPÃO. AF_12/2020_PA</t>
  </si>
  <si>
    <t>BASE PARA POÇO DE VISITA CIRCULAR PARA ESGOTO, EM ALVENARIA COM TIJOLOS CERÂMICOS MACIÇOS, DIÂMETRO INTERNO = 1,50 M, PROFUNDIDADE = 1,40 M, EXCLUINDO TAMPÃO. AF_12/2020_PA</t>
  </si>
  <si>
    <t>BASE PARA POÇO DE VISITA RETANGULAR PARA  ESGOTO, EM ALVENARIA COM BLOCOS DE CONCRETO, DIMENSÕES INTERNAS = 1X1 M, PROFUNDIDADE = 1,40 M, EXCLUINDO TAMPÃO. AF_12/2020_PA</t>
  </si>
  <si>
    <t>BASE PARA POÇO DE VISITA RETANGULAR PARA ESGOTO, EM ALVENARIA COM BLOCOS DE CONCRETO, DIMENSÕES INTERNAS = 1X1,5 M, PROFUNDIDADE = 1,40 M, EXCLUINDO TAMPÃO. AF_12/2020_PA</t>
  </si>
  <si>
    <t>BASE PARA POÇO DE VISITA RETANGULAR PARA ESGOTO, EM ALVENARIA COM BLOCOS DE CONCRETO, DIMENSÕES INTERNAS = 1X3 M, PROFUNDIDADE = 1,40 M, EXCLUINDO TAMPÃO. AF_12/2020_PA</t>
  </si>
  <si>
    <t>BASE PARA POÇO DE VISITA RETANGULAR PARA ESGOTO, EM ALVENARIA COM BLOCOS DE CONCRETO, DIMENSÕES INTERNAS = 1X4 M, PROFUNDIDADE = 1,40 M, EXCLUINDO TAMPÃO. AF_12/2020_PA</t>
  </si>
  <si>
    <t>BASE PARA POÇO DE VISITA RETANGULAR PARA ESGOTO, EM ALVENARIA COM BLOCOS DE CONCRETO, DIMENSÕES INTERNAS = 1,5X1,5 M, PROFUNDIDADE = 1,45 M, EXCLUINDO TAMPÃO . AF_12/2020_PA</t>
  </si>
  <si>
    <t>BASE PARA POÇO DE VISITA RETANGULAR PARA ESGOTO, EM ALVENARIA COM BLOCOS DE CONCRETO, DIMENSÕES INTERNAS = 1,5X2 M, PROFUNDIDADE = 1,40 M, EXCLUINDO TAMPÃO. AF_12/2020_PA</t>
  </si>
  <si>
    <t>BASE PARA POÇO DE VISITA RETANGULAR PARA ESGOTO, EM ALVENARIA COM BLOCOS DE CONCRETO, DIMENSÕES INTERNAS = 1,5X2,5 M, PROFUNDIDADE = 1,40 M, EXCLUINDO TAMPÃO. AF_12/2020_PA</t>
  </si>
  <si>
    <t>BASE PARA POÇO DE VISITA RETANGULAR PARA ESGOTO, EM ALVENARIA COM BLOCOS DE CONCRETO, DIMENSÕES INTERNAS = 1,5X3 M, PROFUNDIDADE = 1,40 M, EXCLUINDO TAMPÃO. AF_12/2020_PA</t>
  </si>
  <si>
    <t>BASE PARA POÇO DE VISITA RETANGULAR PARA ESGOTO, EM ALVENARIA COM BLOCOS DE CONCRETO, DIMENSÕES INTERNAS = 1,5X3,5 M, PROFUNDIDADE = 1,40 M, EXCLUINDO TAMPÃO. AF_12/2020_PA</t>
  </si>
  <si>
    <t>BASE PARA POÇO DE VISITA RETANGULAR PARA ESGOTO, EM ALVENARIA COM BLOCOS DE CONCRETO, DIMENSÕES INTERNAS = 1,5X4 M, PROFUNDIDADE = 1,40 M, EXCLUINDO TAMPÃO. AF_12/2020_PA</t>
  </si>
  <si>
    <t>BASE PARA POÇO DE VISITA RETANGULAR PARA ESGOTO, EM ALVENARIA COM BLOCOS DE CONCRETO, DIMENSÕES INTERNAS = 2X2 M, PROFUNDIDADE = 1,40 M, EXCLUINDO TAMPÃO. AF_12/2020_PA</t>
  </si>
  <si>
    <t>BASE PARA POÇO DE VISITA RETANGULAR PARA ESGOTO, EM ALVENARIA COM BLOCOS DE CONCRETO, DIMENSÕES INTERNAS = 2X2,5 M, PROFUNDIDADE = 1,40 M, EXCLUINDO TAMPÃO. AF_12/2020_PA</t>
  </si>
  <si>
    <t>BASE PARA POÇO DE VISITA RETANGULAR PARA ESGOTO, EM ALVENARIA COM BLOCOS DE CONCRETO, DIMENSÕES INTERNAS = 2X3 M, PROFUNDIDADE = 1,40 M, EXCLUINDO TAMPÃO. AF_12/2020_PA</t>
  </si>
  <si>
    <t>BASE PARA POÇO DE VISITA RETANGULAR PARA ESGOTO, EM ALVENARIA COM BLOCOS DE CONCRETO, DIMENSÕES INTERNAS = 2X3,5 M, PROFUNDIDADE = 1,40 M, EXCLUINDO TAMPÃO. AF_12/2020_PA</t>
  </si>
  <si>
    <t>BASE PARA POÇO DE VISITA RETANGULAR PARA ESGOTO, EM ALVENARIA COM BLOCOS DE CONCRETO, DIMENSÕES INTERNAS = 2X4 M, PROFUNDIDADE = 1,40 M, EXCLUINDO TAMPÃO. AF_12/2020_PA</t>
  </si>
  <si>
    <t>BASE PARA POÇO DE VISITA RETANGULAR PARA ESGOTO, EM ALVENARIA COM BLOCOS DE CONCRETO, DIMENSÕES INTERNAS = 2,5X2,5 M, PROFUNDIDADE = 1,40 M, EXCLUINDO TAMPÃO. AF_12/2020_PA</t>
  </si>
  <si>
    <t>BASE PARA POÇO DE VISITA RETANGULAR PARA ESGOTO, EM ALVENARIA COM BLOCOS DE CONCRETO, DIMENSÕES INTERNAS = 2,5X3 M, PROFUNDIDADE = 1,40 M, EXCLUINDO TAMPÃO. AF_12/2020_PA</t>
  </si>
  <si>
    <t>BASE PARA POÇO DE VISITA RETANGULAR PARA ESGOTO, EM ALVENARIA COM BLOCOS DE CONCRETO, DIMENSÕES INTERNAS = 2,5X3,5 M, PROFUNDIDADE = 1,40 M, EXCLUINDO TAMPÃO. AF_12/2020_PA</t>
  </si>
  <si>
    <t>BASE PARA POÇO DE VISITA RETANGULAR PARA ESGOTO, EM ALVENARIA COM BLOCOS DE CONCRETO, DIMENSÕES INTERNAS = 2,5X4 M, PROFUNDIDADE = 1,40 M, EXCLUINDO TAMPÃO. AF_12/2020_PA</t>
  </si>
  <si>
    <t>BASE PARA POÇO DE VISITA RETANGULAR PARA ESGOTO, EM ALVENARIA COM BLOCOS DE CONCRETO, DIMENSÕES INTERNAS = 3X3 M, PROFUNDIDADE = 1,40 M, EXCLUINDO TAMPÃO. AF_12/2020_PA</t>
  </si>
  <si>
    <t>BASE PARA POÇO DE VISITA RETANGULAR PARA ESGOTO, EM ALVENARIA COM BLOCOS DE CONCRETO, DIMENSÕES INTERNAS = 3X3,5 M, PROFUNDIDADE = 1,40 M, EXCLUINDO TAMPÃO. AF_12/2020_PA</t>
  </si>
  <si>
    <t>BASE PARA POÇO DE VISITA RETANGULAR PARA ESGOTO, EM ALVENARIA COM BLOCOS DE CONCRETO, DIMENSÕES INTERNAS = 3X4 M, PROFUNDIDADE = 1,40 M, EXCLUINDO TAMPÃO. AF_12/2020_PA</t>
  </si>
  <si>
    <t>BASE PARA POÇO DE VISITA RETANGULAR PARA ESGOTO, EM ALVENARIA COM BLOCOS DE CONCRETO, DIMENSÕES INTERNAS = 3,5X3,5 M, PROFUNDIDADE = 1,40 M, EXCLUINDO TAMPÃO. AF_12/2020_PA</t>
  </si>
  <si>
    <t>BASE PARA POÇO DE VISITA RETANGULAR PARA ESGOTO, EM ALVENARIA COM BLOCOS DE CONCRETO, DIMENSÕES INTERNAS = 3,5X4 M, PROFUNDIDADE = 1,40 M, EXCLUINDO TAMPÃO. AF_12/2020_PA</t>
  </si>
  <si>
    <t>BASE PARA POÇO DE VISITA RETANGULAR PARA ESGOTO, EM ALVENARIA COM BLOCOS DE CONCRETO, DIMENSÕES INTERNAS = 4X4 M, PROFUNDIDADE = 1,45 M, EXCLUINDO TAMPÃO. AF_12/2020_PA</t>
  </si>
  <si>
    <t>BASE PARA POÇO DE VISITA CIRCULAR PARA  ESGOTO, EM ALVENARIA COM TIJOLOS CERÂMICOS MACIÇOS, DIÂMETRO INTERNO = 1,0 M, PROFUNDIDADE = 1,40 M, EXCLUINDO TAMPÃO. AF_12/2020_PA</t>
  </si>
  <si>
    <t>BASE PARA POÇO DE VISITA RETANGULAR PARA ESGOTO, EM ALVENARIA COM BLOCOS DE CONCRETO, DIMENSÕES INTERNAS = 1X3,5 M, PROFUNDIDADE = 1,40 M, EXCLUINDO TAMPÃO. AF_12/2020_PA</t>
  </si>
  <si>
    <t>BASE PARA POÇO DE VISITA RETANGULAR PARA ESGOTO, EM ALVENARIA COM BLOCOS DE CONCRETO, DIMENSÕES INTERNAS = 1X2 M, PROFUNDIDADE = 1,40 M, EXCLUINDO TAMPÃO. AF_12/2020_PA</t>
  </si>
  <si>
    <t>BASE PARA POÇO DE VISITA RETANGULAR PARA ESGOTO, EM ALVENARIA COM BLOCOS DE CONCRETO, DIMENSÕES INTERNAS = 1X2,5 M, PROFUNDIDADE = 1,40 M, EXCLUINDO TAMPÃO. AF_12/2020_PA</t>
  </si>
  <si>
    <t>BASE PARA POÇO DE VISITA CIRCULAR PARA ESGOTO, EM CONCRETO PRÉ-MOLDADO, DIÂMETRO INTERNO = 1,0 M, PROFUNDIDADE = 1,35 M, EXCLUINDO TAMPÃO. AF_12/2020_PA</t>
  </si>
  <si>
    <t>BASE PARA POÇO DE VISITA CIRCULAR PARA DRENAGEM, EM ALVENARIA COM TIJOLOS CERÂMICOS MACIÇOS, DIÂMETRO INTERNO = 1,2 M, PROFUNDIDADE = 1,40 M, EXCLUINDO TAMPÃO. AF_12/2020_PA</t>
  </si>
  <si>
    <t>BASE PARA POÇO DE VISITA RETANGULAR PARA DRENAGEM, EM ALVENARIA COM BLOCOS DE CONCRETO, DIMENSÕES INTERNAS = 1,5X2 M, PROFUNDIDADE = 1,40 M, EXCLUINDO TAMPÃO. AF_12/2020_PA</t>
  </si>
  <si>
    <t>BASE PARA POÇO DE VISITA CIRCULAR PARA DRENAGEM, EM ALVENARIA COM TIJOLOS CERÂMICOS MACIÇOS, DIÂMETRO INTERNO = 1,50 M, PROFUNDIDADE = 1,40 M, EXCLUINDO TAMPÃO. AF_12/2020_PA</t>
  </si>
  <si>
    <t>BASE PARA POÇO DE VISITA RETANGULAR PARA DRENAGEM, EM ALVENARIA COM BLOCOS DE CONCRETO, DIMENSÕES INTERNAS = 1X1 M, PROFUNDIDADE = 1,40 M, EXCLUINDO TAMPÃO. AF_12/2020_PA</t>
  </si>
  <si>
    <t>BASE PARA POÇO DE VISITA RETANGULAR PARA DRENAGEM, EM ALVENARIA COM BLOCOS DE CONCRETO, DIMENSÕES INTERNAS = 1,5X2,5 M, PROFUNDIDADE = 1,40 M, EXCLUINDO TAMPÃO. AF_12/2020_PA</t>
  </si>
  <si>
    <t>BASE PARA POÇO DE VISITA RETANGULAR PARA DRENAGEM, EM ALVENARIA COM BLOCOS DE CONCRETO, DIMENSÕES INTERNAS = 1X1,5 M, PROFUNDIDADE = 1,40 M, EXCLUINDO TAMPÃO. AF_12/2020_PA</t>
  </si>
  <si>
    <t>BASE PARA POÇO DE VISITA RETANGULAR PARA DRENAGEM, EM ALVENARIA COM BLOCOS DE CONCRETO, DIMENSÕES INTERNAS = 1X2 M, PROFUNDIDADE = 1,40 M, EXCLUINDO TAMPÃO. AF_12/2020_PA</t>
  </si>
  <si>
    <t>BASE PARA POÇO DE VISITA RETANGULAR PARA DRENAGEM, EM ALVENARIA COM BLOCOS DE CONCRETO, DIMENSÕES INTERNAS = 1X2,5 M, PROFUNDIDADE = 1,40 M, EXCLUINDO TAMPÃO. AF_12/2020_PA</t>
  </si>
  <si>
    <t>POÇO DE INSPEÇÃO CIRCULAR PARA DRENAGEM, EM CONCRETO PRÉ-MOLDADO, DIÂMETRO INTERNO = 0,60 M, PROFUNDIDADE = 0,90 M, EXCLUINDO TAMPÃO. AF_12/2020_PA</t>
  </si>
  <si>
    <t>POÇO DE INSPEÇÃO CIRCULAR PARA DRENAGEM, EM CONCRETO PRÉ-MOLDADO, DIÂMETRO INTERNO = 0,60 M, PROFUNDIDADE = 1,40 M, EXCLUINDO TAMPÃO. AF_12/2020_PA</t>
  </si>
  <si>
    <t>BASE PARA POÇO DE VISITA RETANGULAR PARA DRENAGEM, EM ALVENARIA COM BLOCOS DE CONCRETO, DIMENSÕES INTERNAS = 1,5X3 M, PROFUNDIDADE = 1,40 M, EXCLUINDO TAMPÃO. AF_12/2020_PA</t>
  </si>
  <si>
    <t>POÇO DE INSPEÇÃO CIRCULAR PARA DRENAGEM, EM ALVENARIA COM TIJOLOS CERÂMICOS MACIÇOS, DIÂMETRO INTERNO = 0,60 M, PROFUNDIDADE = 0,95 M, EXCLUINDO TAMPÃO. AF_12/2020_PA</t>
  </si>
  <si>
    <t>POÇO DE INSPEÇÃO CIRCULAR PARA DRENAGEM, EM ALVENARIA COM TIJOLOS CERÂMICOS MACIÇOS, DIÂMETRO INTERNO = 0,60 M, PROFUNDIDADE = 1,45 M, EXCLUINDO TAMPÃO. AF_12/2020_PA</t>
  </si>
  <si>
    <t>BASE PARA POÇO DE VISITA RETANGULAR PARA DRENAGEM, EM ALVENARIA COM BLOCOS DE CONCRETO, DIMENSÕES INTERNAS = 1X3 M, PROFUNDIDADE = 1,40 M, EXCLUINDO TAMPÃO. AF_12/2020_PA</t>
  </si>
  <si>
    <t>BASE PARA POÇO DE VISITA CIRCULAR PARA DRENAGEM, EM CONCRETO PRÉ-MOLDADO, DIÂMETRO INTERNO = 0,80 M, PROFUNDIDADE = 1,35 M, EXCLUINDO TAMPÃO. AF_12/2020_PA</t>
  </si>
  <si>
    <t>BASE PARA POÇO DE VISITA RETANGULAR PARA DRENAGEM, EM ALVENARIA COM BLOCOS DE CONCRETO, DIMENSÕES INTERNAS = 1X3,5 M, PROFUNDIDADE = 1,40 M, EXCLUINDO TAMPÃO. AF_12/2020_PA</t>
  </si>
  <si>
    <t>BASE PARA POÇO DE VISITA CIRCULAR PARA DRENAGEM, EM ALVENARIA COM TIJOLOS CERÂMICOS MACIÇOS, DIÂMETRO INTERNO = 0,80 M, PROFUNDIDADE = 1,40 M, EXCLUINDO TAMPÃO. AF_12/2020_PA</t>
  </si>
  <si>
    <t>BASE PARA POÇO DE VISITA RETANGULAR PARA DRENAGEM, EM ALVENARIA COM BLOCOS DE CONCRETO, DIMENSÕES INTERNAS = 1,5X3,5 M, PROFUNDIDADE = 1,40 M, EXCLUINDO TAMPÃO. AF_12/2020_PA</t>
  </si>
  <si>
    <t>BASE PARA POÇO DE VISITA CIRCULAR PARA DRENAGEM, EM CONCRETO PRÉ-MOLDADO, DIÂMETRO INTERNO = 1,0 M, PROFUNDIDADE = 1,35 M, EXCLUINDO TAMPÃO. AF_05/2018_PA</t>
  </si>
  <si>
    <t>BASE PARA POÇO DE VISITA RETANGULAR PARA DRENAGEM, EM ALVENARIA COM BLOCOS DE CONCRETO, DIMENSÕES INTERNAS = 1X4 M, PROFUNDIDADE = 1,40 M, EXCLUINDO TAMPÃO. AF_12/2020_PA</t>
  </si>
  <si>
    <t>BASE PARA POÇO DE VISITA RETANGULAR PARA DRENAGEM, EM ALVENARIA COM BLOCOS DE CONCRETO, DIMENSÕES INTERNAS = 2,5X3 M, PROFUNDIDADE = 1,40 M, EXCLUINDO TAMPÃO. AF_12/2020_PA</t>
  </si>
  <si>
    <t>BASE PARA POÇO DE VISITA RETANGULAR PARA DRENAGEM, EM ALVENARIA COM BLOCOS DE CONCRETO, DIMENSÕES INTERNAS = 1,5X1,5 M, PROFUNDIDADE = 1,40 M, EXCLUINDO TAMPÃO. AF_12/2020_PA</t>
  </si>
  <si>
    <t>BASE PARA POÇO DE VISITA CIRCULAR PARA DRENAGEM, EM ALVENARIA COM TIJOLOS CERÂMICOS MACIÇOS, DIÂMETRO INTERNO = 1,0 M, PROFUNDIDADE = 1,40 M, EXCLUINDO TAMPÃO. AF_12/2020_PA</t>
  </si>
  <si>
    <t>BASE PARA POÇO DE VISITA RETANGULAR PARA DRENAGEM, EM ALVENARIA COM BLOCOS DE CONCRETO, DIMENSÕES INTERNAS = 1,5X4 M, PROFUNDIDADE = 1,40 M, EXCLUINDO TAMPÃO. AF_12/2020_PA</t>
  </si>
  <si>
    <t>BASE PARA POÇO DE VISITA RETANGULAR PARA DRENAGEM, EM ALVENARIA COM BLOCOS DE CONCRETO, DIMENSÕES INTERNAS = 2,5X3,5 M, PROFUNDIDADE = 1,40 M, EXCLUINDO TAMPÃO. AF_12/2020_PA</t>
  </si>
  <si>
    <t>BASE PARA POÇO DE VISITA RETANGULAR PARA DRENAGEM, EM ALVENARIA COM BLOCOS DE CONCRETO, DIMENSÕES INTERNAS = 2,5X4 M, PROFUNDIDADE = 1,40 M, EXCLUINDO TAMPÃO. AF_12/2020_PA</t>
  </si>
  <si>
    <t>BASE PARA POÇO DE VISITA RETANGULAR PARA DRENAGEM, EM ALVENARIA COM BLOCOS DE CONCRETO, DIMENSÕES INTERNAS = 2X2 M, PROFUNDIDADE = 1,40 M, EXCLUINDO TAMPÃO. AF_12/2020_PA</t>
  </si>
  <si>
    <t>BASE PARA POÇO DE VISITA RETANGULAR PARA DRENAGEM, EM ALVENARIA COM BLOCOS DE CONCRETO, DIMENSÕES INTERNAS = 3X3 M, PROFUNDIDADE = 1,40 M, EXCLUINDO TAMPÃO. AF_12/2020_PA</t>
  </si>
  <si>
    <t>BASE PARA POÇO DE VISITA RETANGULAR PARA DRENAGEM, EM ALVENARIA COM BLOCOS DE CONCRETO, DIMENSÕES INTERNAS = 3X3,5 M, PROFUNDIDADE = 1,40 M, EXCLUINDO TAMPÃO. AF_12/2020_PA</t>
  </si>
  <si>
    <t>BASE PARA POÇO DE VISITA RETANGULAR PARA DRENAGEM, EM ALVENARIA COM BLOCOS DE CONCRETO, DIMENSÕES INTERNAS = 3X4 M, PROFUNDIDADE = 1,40 M, EXCLUINDO TAMPÃO. AF_12/2020_PA</t>
  </si>
  <si>
    <t>BASE PARA POÇO DE VISITA RETANGULAR PARA DRENAGEM, EM ALVENARIA COM BLOCOS DE CONCRETO, DIMENSÕES INTERNAS = 3,5X3,5 M, PROFUNDIDADE = 1,40 M, EXCLUINDO TAMPÃO. AF_12/2020_PA</t>
  </si>
  <si>
    <t>BASE PARA POÇO DE VISITA RETANGULAR PARA DRENAGEM, EM ALVENARIA COM BLOCOS DE CONCRETO, DIMENSÕES INTERNAS = 2X2,5 M, PROFUNDIDADE = 1,40 M, EXCLUINDO TAMPÃO. AF_12/2020_PA</t>
  </si>
  <si>
    <t>BASE PARA POÇO DE VISITA RETANGULAR PARA DRENAGEM, EM ALVENARIA COM BLOCOS DE CONCRETO, DIMENSÕES INTERNAS = 3,5X4 M, PROFUNDIDADE = 1,40 M, EXCLUINDO TAMPÃO. AF_12/2020_PA</t>
  </si>
  <si>
    <t>BASE PARA POÇO DE VISITA RETANGULAR PARA DRENAGEM, EM ALVENARIA COM BLOCOS DE CONCRETO, DIMENSÕES INTERNAS = 4X4 M, PROFUNDIDADE = 1,40 M, EXCLUINDO TAMPÃO. AF_12/2020_PA</t>
  </si>
  <si>
    <t>BASE PARA POÇO DE VISITA RETANGULAR PARA DRENAGEM, EM ALVENARIA COM BLOCOS DE CONCRETO, DIMENSÕES INTERNAS = 2X3 M, PROFUNDIDADE = 1,40 M, EXCLUINDO TAMPÃO. AF_12/2020_PA</t>
  </si>
  <si>
    <t>BASE PARA POÇO DE VISITA RETANGULAR PARA DRENAGEM, EM ALVENARIA COM BLOCOS DE CONCRETO, DIMENSÕES INTERNAS = 2X3,5 M, PROFUNDIDADE = 1,40 M, EXCLUINDO TAMPÃO. AF_12/2020_PA</t>
  </si>
  <si>
    <t>BASE PARA POÇO DE VISITA RETANGULAR PARA DRENAGEM, EM ALVENARIA COM BLOCOS DE CONCRETO, DIMENSÕES INTERNAS = 2X4 M, PROFUNDIDADE = 1,40 M, EXCLUINDO TAMPÃO. AF_12/2020_PA</t>
  </si>
  <si>
    <t>BASE PARA POÇO DE VISITA RETANGULAR PARA DRENAGEM, EM ALVENARIA COM BLOCOS DE CONCRETO, DIMENSÕES INTERNAS = 2,5X2,5 M, PROFUNDIDADE = 1,40 M, EXCLUINDO TAMPÃO. AF_12/2020_PA</t>
  </si>
  <si>
    <t>CAIXA ENTERRADA DISTRIBUIDORA DE VAZÃO (SUMIDOUROS MÚLTIPLOS), RETANGULAR, EM ALVENARIA COM TIJOLOS MACIÇOS, DIMENSÕES INTERNAS: 0,60 X 0,60 X H=0,50 M. AF_12/2020</t>
  </si>
  <si>
    <t>CAIXA ENTERRADA DISTRIBUIDORA DE VAZÃO (SUMIDOUROS MÚLTIPLOS), RETANGULAR, EM ALVENARIA COM BLOCOS DE CONCRETO, DIMENSÕES INTERNAS: 0,60 X 0,60 X H=0,50 M. AF_12/2020</t>
  </si>
  <si>
    <t>CAIXA ENTERRADA DISTRIBUIDORA DE VAZÃO (SUMIDOUROS MÚLTIPLOS), RETANGULAR, EM CONCRETO PRÉ-MOLDADO, DIMENSÕES INTERNAS: 0,60 X 0,60 X H=0,50 M. AF_12/2020</t>
  </si>
  <si>
    <t>BASE PARA POCO DE VISITA RETANGULAR PARA ESGOTO E DRENAGEM, EM CONCRETO ESTRUTURAL, DIMENSÕES INTERNAS DE 90X150 M, PROFUNDIDADE DE 1,25 M, EXCLUINDO TAMPÃO. AF_12/2020_PA</t>
  </si>
  <si>
    <t>BASE PARA POÇO DE VISITA CIRCULAR PARA  ESGOTO, EM CONCRETO PRÉ-MOLDADO, DIÂMETRO INTERNO = 1,20 M, PROFUNDIDADE = 1,60 M, EXCLUINDO TAMPÃO. AF_12/2020_PA</t>
  </si>
  <si>
    <t>BASE PARA POÇO DE VISITA CIRCULAR PARA  ESGOTO, EM CONCRETO PRÉ-MOLDADO, DIÂMETRO INTERNO = 1,50 M, PROFUNDIDADE = 1,35 M, EXCLUINDO TAMPÃO. AF_12/2020_PA</t>
  </si>
  <si>
    <t>BASE PARA POÇO DE VISITA CIRCULAR PARA DRENAGEM, EM CONCRETO PRÉ-MOLDADO, DIÂMETRO INTERNO = 1,50 M, PROFUNDIDADE = 1,35 M, EXCLUINDO TAMPÃO. AF_12/2020_PA</t>
  </si>
  <si>
    <t>BASE PARA POÇO DE VISITA CIRCULAR PARA DRENAGEM, EM CONCRETO PRÉ-MOLDADO, DIÂMETRO INTERNO = 1,20 M, PROFUNDIDADE = 1,60 M, EXCLUINDO TAMPÃO. AF_05/2021_PA</t>
  </si>
  <si>
    <t>104491</t>
  </si>
  <si>
    <t>ADUELA/ GALERIA FECHADA PRE-MOLDADA DE CONCRETO ARMADO, SECAO QUADRANGULAR INTERNA DE 1,50 X 1,50 M (L X A), MISULA DE 20 X 20 CM, C = 1,00 M, ESPESSURA MIN = 15 CM, TB-45 E FCK DO CONCRETO = 30 MPA   FORNECIMENTO E ASSENTAMENTO. AF_01/2023</t>
  </si>
  <si>
    <t>104492</t>
  </si>
  <si>
    <t>ADUELA/ GALERIA FECHADA PRE-MOLDADA DE CONCRETO ARMADO, SECAO QUADRANGULAR INTERNA DE 2,00 X 2,00 M (L X A), MISULA DE 20 X 20 CM, C = 1,00 M, ESPESSURA MIN = 15 CM, TB-45 E FCK DO CONCRETO = 30 MPA   FORNECIMENTO E ASSENTAMENTO. AF_01/2023</t>
  </si>
  <si>
    <t>104494</t>
  </si>
  <si>
    <t>ADUELA/ GALERIA FECHADA PRE-MOLDADA DE CONCRETO ARMADO, SECAO QUADRANGULAR INTERNA DE 2,50 X 2,50 M (L X A), MISULA DE 20 X 20 CM, C = 1,00 M, ESPESSURA MIN = 15 CM, TB-45 E FCK DO CONCRETO = 30 MPA   FORNECIMENTO E ASSENTAMENTO. AF_01/2023</t>
  </si>
  <si>
    <t>104497</t>
  </si>
  <si>
    <t>ADUELA/ GALERIA FECHADA PRE-MOLDADA DE CONCRETO ARMADO, SECAO QUADRANGULAR INTERNA DE 3,00 X 3,00 M (L X A), MISULA DE 20 X 20 CM, C = 1,00 M, ESPESSURA MIN = 20 CM, TB-45 E FCK DO CONCRETO = 30 MPA   FORNECIMENTO E ASSENTAMENTO. AF_01/2023</t>
  </si>
  <si>
    <t>104515</t>
  </si>
  <si>
    <t>APLICAÇÃO DE MANTA GEOTÊXTIL NAS JUNTAS RÍGIDAS DE ADUELAS PRÉ-MOLDADAS DE CONCRETO ARMADO. AF_01/2023</t>
  </si>
  <si>
    <t>12,91</t>
  </si>
  <si>
    <t>14,54</t>
  </si>
  <si>
    <t>BATENTE PARA PORTA DE MADEIRA, FIXAÇÃO COM ARGAMASSA, PADRÃO MÉDIO - FORNECIMENTO E INSTALAÇÃO. AF_12/2019</t>
  </si>
  <si>
    <t>BATENTE PARA PORTA DE MADEIRA, FIXAÇÃO COM ARGAMASSA, PADRÃO POPULAR. FORNECIMENTO E INSTALAÇÃO. AF_12/2019</t>
  </si>
  <si>
    <t>GUARDA-CORPO DE AÇO GALVANIZADO DE 1,10M DE ALTURA, MONTANTES TUBULARES DE 1.1/2  ESPAÇADOS DE 1,20M, TRAVESSA SUPERIOR DE 2 , GRADIL FORMADO POR BARRAS CHATAS EM FERRO DE 32X4,8MM, FIXADO COM CHUMBADOR MECÂNICO. AF_04/2019_PS</t>
  </si>
  <si>
    <t>GUARDA-CORPO PANORÂMICO COM PERFIS DE ALUMÍNIO E VIDRO LAMINADO 8 MM, FIXADO COM CHUMBADOR MECÂNICO. AF_04/2019_PS</t>
  </si>
  <si>
    <t>32,51</t>
  </si>
  <si>
    <t>INSTALAÇÃO DE VIDRO LISO INCOLOR, E = 3 MM, EM ESQUADRIA DE ALUMÍNIO OU PVC, FIXADO COM BAGUETE. AF_01/2021_PS</t>
  </si>
  <si>
    <t>INSTALAÇÃO DE VIDRO LISO INCOLOR, E = 4 MM, EM ESQUADRIA DE ALUMÍNIO OU PVC, FIXADO COM BAGUETE. AF_01/2021_PS</t>
  </si>
  <si>
    <t>INSTALAÇÃO DE VIDRO LISO FUME, E = 4 MM, EM ESQUADRIA DE ALUMÍNIO OU PVC, FIXADO COM BAGUETE. AF_01/2021_PS</t>
  </si>
  <si>
    <t>INSTALAÇÃO DE VIDRO LISO INCOLOR, E = 5 MM, EM ESQUADRIA DE ALUMÍNIO OU PVC, FIXADO COM BAGUETE. AF_01/2021_PS</t>
  </si>
  <si>
    <t>INSTALAÇÃO DE VIDRO LISO FUME, E = 5 MM, EM ESQUADRIA DE ALUMÍNIO OU PVC, FIXADO COM BAGUETE. AF_01/2021_PS</t>
  </si>
  <si>
    <t>INSTALAÇÃO DE VIDRO LISO INCOLOR, E = 6 MM, EM ESQUADRIA DE ALUMÍNIO OU PVC, FIXADO COM BAGUETE. AF_01/2021_PS</t>
  </si>
  <si>
    <t>INSTALAÇÃO DE VIDRO LISO FUME, E = 6 MM, EM ESQUADRIA DE ALUMÍNIO OU PVC, FIXADO COM BAGUETE. AF_01/2021_PS</t>
  </si>
  <si>
    <t>INSTALAÇÃO DE VIDRO LISO INCOLOR, E = 8 MM, EM ESQUADRIA DE ALUMÍNIO OU PVC, FIXADO COM BAGUETE. AF_01/2021_PS</t>
  </si>
  <si>
    <t>INSTALAÇÃO DE VIDRO LISO INCOLOR, E = 10 MM, EM ESQUADRIA DE ALUMÍNIO OU PVC, FIXADO COM BAGUETE. AF_01/2021_PS</t>
  </si>
  <si>
    <t>INSTALAÇÃO DE VIDRO IMPRESSO, E = 4 MM, EM ESQUADRIA DE ALUMÍNIO OU PVC, FIXADO COM BAGUETE. AF_01/2021_PS</t>
  </si>
  <si>
    <t>INSTALAÇÃO DE VIDRO ARAMADO, E = 6 MM, EM ESQUADRIA DE ALUMÍNIO OU PVC, FIXADO COM BAGUETE. AF_01/2021_PS</t>
  </si>
  <si>
    <t>INSTALAÇÃO DE VIDRO ARAMADO, E = 7 MM, EM ESQUADRIA DE ALUMÍNIO OU PVC, FIXADO COM BAGUETE. AF_01/2021_PS</t>
  </si>
  <si>
    <t>INSTALAÇÃO DE VIDRO LAMINADO, E = 8 MM (4+4), ENCAIXADO EM PERFIL U. AF_01/2021_PS</t>
  </si>
  <si>
    <t>INSTALAÇÃO DE VIDRO LAMINADO, E = 12 MM (4+4+4), ENCAIXADO EM PERFIL U. AF_01/2021_PS</t>
  </si>
  <si>
    <t>INSTALAÇÃO DE VIDRO LAMINADO, E = 15 MM (5+5+5), ENCAIXADO EM PERFIL U. AF_01/2021_PS</t>
  </si>
  <si>
    <t>INSTALAÇÃO DE VIDRO TEMPERADO, E = 6 MM, ENCAIXADO EM PERFIL U. AF_01/2021_PS</t>
  </si>
  <si>
    <t>INSTALAÇÃO DE VIDRO TEMPERADO, E = 8 MM, ENCAIXADO EM PERFIL U. AF_01/2021_PS</t>
  </si>
  <si>
    <t>INSTALAÇÃO DE VIDRO TEMPERADO, E = 10 MM, ENCAIXADO EM PERFIL U. AF_01/2021_PS</t>
  </si>
  <si>
    <t>94589</t>
  </si>
  <si>
    <t>94590</t>
  </si>
  <si>
    <t>TUBULÃO A CÉU ABERTO, DIÂMETRO DO FUSTE DE 70CM, ESCAVAÇÃO MANUAL, SEM ALARGAMENTO DE BASE, CONCRETO FEITO EM OBRA E LANÇADO COM JERICA. AF_05/2020_PA</t>
  </si>
  <si>
    <t>TUBULÃO A CÉU ABERTO, DIÂMETRO DO FUSTE DE 80CM, ESCAVAÇÃO MANUAL, SEM ALARGAMENTO DE BASE, CONCRETO FEITO EM OBRA E LANÇADO COM JERICA. AF_05/2020_PA</t>
  </si>
  <si>
    <t>TUBULÃO A CÉU ABERTO, DIÂMETRO DO FUSTE DE 100CM, ESCAVAÇÃO MANUAL, SEM ALARGAMENTO DE BASE, CONCRETO FEITO EM OBRA E LANÇADO COM JERICA. AF_05/2020_PA</t>
  </si>
  <si>
    <t>TUBULÃO A CÉU ABERTO, DIÂMETRO DO FUSTE DE 120CM, ESCAVAÇÃO MANUAL, SEM ALARGAMENTO DE BASE, CONCRETO FEITO EM OBRA E LANÇADO COM JERICA. AF_05/2020_PA</t>
  </si>
  <si>
    <t>TUBULÃO A CÉU ABERTO, DIÂMETRO DO FUSTE DE 70CM, ESCAVAÇÃO MECÂNICA, SEM ALARGAMENTO DE BASE, CONCRETO FEITO EM OBRA E LANÇADO COM JERICA. AF_05/2020_PA</t>
  </si>
  <si>
    <t>TUBULÃO A CÉU ABERTO, DIÂMETRO DO FUSTE DE 80CM, ESCAVAÇÃO MECÂNICA, SEM ALARGAMENTO DE BASE, CONCRETO FEITO EM OBRA E LANÇADO COM JERICA (EXCLUSIVE MOBILIZAÇÃO E DESMOBILIZAÇÃO). AF_05/2020_PA</t>
  </si>
  <si>
    <t>TUBULÃO A CÉU ABERTO, DIÂMETRO DO FUSTE DE 100CM, ESCAVAÇÃO MECÂNICA, SEM ALARGAMENTO DE BASE, CONCRETO FEITO EM OBRA E LANÇADO COM JERICA (EXCLUSIVE MOBILIZAÇÃO E DESMOBILIZAÇÃO). AF_05/2020_PA</t>
  </si>
  <si>
    <t>TUBULÃO A CÉU ABERTO, DIÂMETRO DO FUSTE DE 120CM, ESCAVAÇÃO MECÂNICA, SEM ALARGAMENTO DE BASE, CONCRETO FEITO EM OBRA E LANÇADO COM JERICA (EXCLUSIVE MOBILIZAÇÃO E DESMOBILIZAÇÃO). AF_05/2020_PA</t>
  </si>
  <si>
    <t>TUBULÃO A CÉU ABERTO, DIÂMETRO DO FUSTE DE 70CM, ESCAVAÇÃO MANUAL, SEM ALARGAMENTO DE BASE, CONCRETO USINADO E LANÇADO COM BOMBA OU DIRETAMENTE DO CAMINHÃO (EXCLUSIVE BOMBEAMENTO). AF_05/2020_PA</t>
  </si>
  <si>
    <t>TUBULÃO A CÉU ABERTO, DIÂMETRO DO FUSTE DE 80CM, ESCAVAÇÃO MANUAL, SEM ALARGAMENTO DE BASE, CONCRETO USINADO E LANÇADO COM BOMBA OU DIRETAMENTE DO CAMINHÃO (EXCLUSIVE BOMBEAMENTO). AF_05/2020_PA</t>
  </si>
  <si>
    <t>TUBULÃO A CÉU ABERTO, DIÂMETRO DO FUSTE DE 100CM, ESCAVAÇÃO MANUAL, SEM ALARGAMENTO DE BASE, CONCRETO USINADO E LANÇADO COM BOMBA OU DIRETAMENTE DO CAMINHÃO (EXCLUSIVE BOMBEAMENTO). AF_05/2020_PA</t>
  </si>
  <si>
    <t>TUBULÃO A CÉU ABERTO, DIÂMETRO DO FUSTE DE 120CM, ESCAVAÇÃO MANUAL, SEM ALARGAMENTO DE BASE, CONCRETO USINADO E LANÇADO COM BOMBA OU DIRETAMENTE DO CAMINHÃO (EXCLUSIVE BOMBEAMENTO). AF_05/2020_PA</t>
  </si>
  <si>
    <t>TUBULÃO A CÉU ABERTO, DIÂMETRO DO FUSTE DE 70CM, ESCAVAÇÃO MECÂNICA, SEM ALARGAMENTO DE BASE, CONCRETO USINADO E LANÇADO COM BOMBA OU DIRETAMENTE DO CAMINHÃO (EXCLUSIVE BOMBEAMENTO, MOBILIZAÇÃO E DESMOBILIZAÇÃO). AF_05/2020_PA</t>
  </si>
  <si>
    <t>TUBULÃO A CÉU ABERTO, DIÂMETRO DO FUSTE DE 80CM, ESCAVAÇÃO MECÂNICA, SEM ALARGAMENTO DE BASE, CONCRETO USINADO E LANÇADO COM BOMBA OU DIRETAMENTE DO CAMINHÃO (EXCLUSIVE BOMBEAMENTO, MOBILIZAÇÃO E DESMOBILIZAÇÃO). AF_05/2020_PA</t>
  </si>
  <si>
    <t>TUBULÃO A CÉU ABERTO, DIÂMETRO DO FUSTE DE 100CM, ESCAVAÇÃO MECÂNICA, SEM ALARGAMENTO DE BASE, CONCRETO USINADO E LANÇADO COM BOMBA OU DIRETAMENTE DO CAMINHÃO (EXCLUSIVE BOMBEAMENTO, MOBILIZAÇÃO E DESMOBILIZAÇÃO). AF_05/2020_PA</t>
  </si>
  <si>
    <t>TUBULÃO A CÉU ABERTO, DIÂMETRO DO FUSTE DE 120CM, ESCAVAÇÃO MECÂNICA, SEM ALARGAMENTO DE BASE, CONCRETO USINADO E LANÇADO COM BOMBA OU DIRETAMENTE DO CAMINHÃO (EXCLUSIVE BOMBEAMENTO, MOBILIZAÇÃO E DESMOBILIZAÇÃO). AF_05/2020_PA</t>
  </si>
  <si>
    <t>ALARGAMENTO DE BASE DE TUBULÃO A CÉU ABERTO, ESCAVAÇÃO MANUAL, CONCRETO USINADO E LANÇADO COM BOMBA OU DIRETAMENTE DO CAMINHÃO (EXCLUSIVE BOMBEAMENTO). AF_05/2020</t>
  </si>
  <si>
    <t>40,70</t>
  </si>
  <si>
    <t>85,72</t>
  </si>
  <si>
    <t>18,13</t>
  </si>
  <si>
    <t>ESCAVAÇÃO MANUAL DE VIGA DE BORDA PARA RADIER. AF_09/2021</t>
  </si>
  <si>
    <t>COMPACTAÇÃO MECÂNICA DE SOLO PARA EXECUÇÃO DE RADIER, PISO DE CONCRETO OU LAJE SOBRE SOLO, COM COMPACTADOR DE SOLOS A PERCUSSÃO. AF_09/2021</t>
  </si>
  <si>
    <t>COMPACTAÇÃO MECÂNICA DE SOLO PARA EXECUÇÃO DE RADIER, PISO DE CONCRETO OU LAJE SOBRE SOLO, COM COMPACTADOR DE SOLOS TIPO PLACA VIBRATÓRIA. AF_09/2021</t>
  </si>
  <si>
    <t>FABRICAÇÃO, MONTAGEM E DESMONTAGEM DE FORMA PARA RADIER, PISO DE CONCRETO OU LAJE SOBRE SOLO, EM MADEIRA SERRADA, 4 UTILIZAÇÕES. AF_09/2021</t>
  </si>
  <si>
    <t>CAMADA SEPARADORA PARA EXECUÇÃO DE RADIER, PISO DE CONCRETO OU LAJE SOBRE SOLO, EM LONA PLÁSTICA. AF_09/2021</t>
  </si>
  <si>
    <t>ARMAÇÃO PARA EXECUÇÃO DE RADIER, PISO DE CONCRETO OU LAJE SOBRE SOLO, COM USO DE TELA Q-92. AF_09/2021</t>
  </si>
  <si>
    <t>ARMAÇÃO PARA EXECUÇÃO DE RADIER, PISO DE CONCRETO OU LAJE SOBRE SOLO, COM USO DE TELA Q-113. AF_09/2021</t>
  </si>
  <si>
    <t>ARMAÇÃO PARA EXECUÇÃO DE RADIER, PISO DE CONCRETO OU LAJE SOBRE SOLO, COM USO DE TELA Q-138. AF_09/2021</t>
  </si>
  <si>
    <t>ARMAÇÃO PARA EXECUÇÃO DE RADIER, PISO DE CONCRETO OU LAJE SOBRE SOLO, COM USO DE TELA Q-159. AF_09/2021</t>
  </si>
  <si>
    <t>ARMAÇÃO PARA EXECUÇÃO DE RADIER, PISO DE CONCRETO OU LAJE SOBRE SOLO, COM USO DE TELA Q-196. AF_09/2021</t>
  </si>
  <si>
    <t>ARMAÇÃO PARA EXECUÇÃO DE RADIER, PISO DE CONCRETO OU LAJE SOBRE SOLO, COM USO DE TELA Q-283. AF_09/2021</t>
  </si>
  <si>
    <t>CONCRETAGEM DE RADIER, PISO DE CONCRETO OU LAJE SOBRE SOLO, FCK 30 MPA - LANÇAMENTO, ADENSAMENTO E ACABAMENTO. AF_09/2021</t>
  </si>
  <si>
    <t>ACABAMENTO POLIDO PARA PISO DE CONCRETO ARMADO OU LAJE SOBRE SOLO DE ALTA RESISTÊNCIA. AF_09/2021</t>
  </si>
  <si>
    <t>EXECUÇÃO DE RADIER, ESPESSURA DE 10 CM, FCK = 30 MPA, COM USO DE FORMAS EM MADEIRA SERRADA. AF_09/2021</t>
  </si>
  <si>
    <t>EXECUÇÃO DE RADIER, ESPESSURA DE 15 CM, FCK = 30 MPA, COM USO DE FORMAS EM MADEIRA SERRADA. AF_09/2021</t>
  </si>
  <si>
    <t>EXECUÇÃO DE RADIER, ESPESSURA DE 20 CM, FCK = 30 MPA, COM USO DE FORMAS EM MADEIRA SERRADA. AF_09/2021</t>
  </si>
  <si>
    <t>103072</t>
  </si>
  <si>
    <t>EXECUÇÃO DE RADIER, ESPESSURA DE 25 CM, FCK = 30 MPA, COM USO DE FORMAS EM MADEIRA SERRADA. AF_09/2021</t>
  </si>
  <si>
    <t>103073</t>
  </si>
  <si>
    <t>EXECUÇÃO DE RADIER, ESPESSURA DE 30 CM, FCK = 30 MPA, COM USO DE FORMAS EM MADEIRA SERRADA. AF_09/2021</t>
  </si>
  <si>
    <t>103074</t>
  </si>
  <si>
    <t>EXECUÇÃO DE PISO DE CONCRETO, SEM ACABAMENTO SUPERFICIAL, ESPESSURA DE 15 CM, FCK = 30 MPA, COM USO DE FORMAS EM MADEIRA SERRADA. AF_09/2021</t>
  </si>
  <si>
    <t>103075</t>
  </si>
  <si>
    <t>EXECUÇÃO DE PISO DE CONCRETO, COM ACABAMENTO SUPERFICIAL, ESPESSURA DE 15 CM, FCK = 30 MPA, COM USO DE FORMAS EM MADEIRA SERRADA. AF_09/2021</t>
  </si>
  <si>
    <t>103076</t>
  </si>
  <si>
    <t>EXECUÇÃO DE LAJE SOBRE SOLO, ESPESSURA DE 10 CM, FCK = 30 MPA, COM USO DE FORMAS EM MADEIRA SERRADA. AF_09/2021</t>
  </si>
  <si>
    <t>103077</t>
  </si>
  <si>
    <t>EXECUÇÃO DE LAJE SOBRE SOLO, ESPESSURA DE 15 CM, FCK = 30 MPA, COM USO DE FORMAS EM MADEIRA SERRADA. AF_09/2021</t>
  </si>
  <si>
    <t>103078</t>
  </si>
  <si>
    <t>EXECUÇÃO DE LAJE SOBRE SOLO, ESPESSURA DE 20 CM, FCK = 30 MPA, COM USO DE FORMAS EM MADEIRA SERRADA. AF_09/2021</t>
  </si>
  <si>
    <t>103079</t>
  </si>
  <si>
    <t>EXECUÇÃO DE LAJE SOBRE SOLO, ESPESSURA DE 25 CM, FCK = 30 MPA, COM USO DE FORMAS EM MADEIRA SERRADA. AF_09/2021</t>
  </si>
  <si>
    <t>103080</t>
  </si>
  <si>
    <t>EXECUÇÃO DE LAJE SOBRE SOLO, ESPESSURA DE 30 CM, FCK = 30 MPA, COM USO DE FORMAS EM MADEIRA SERRADA. AF_09/2021</t>
  </si>
  <si>
    <t>MONTAGEM E DESMONTAGEM DE FÔRMA DE LAJE MACIÇA, PÉ-DIREITO DUPLO, EM CHAPA DE MADEIRA COMPENSADA PLASTIFICADA, 10 UTILIZAÇÕES. AF_09/2020</t>
  </si>
  <si>
    <t>25,84</t>
  </si>
  <si>
    <t>103760</t>
  </si>
  <si>
    <t>MONTAGEM E DESMONTAGEM DE FÔRMA DE LAJE MACIÇA, PÉ-DIREITO SIMPLES, EM CHAPA DE MADEIRA COMPENSADA RESINADA E CIMBRAMENTO DE MADEIRA, 2 UTILIZAÇÕES. AF_03/2022</t>
  </si>
  <si>
    <t>103761</t>
  </si>
  <si>
    <t>MONTAGEM E DESMONTAGEM DE FÔRMA DE LAJE MACIÇA, PÉ-DIREITO SIMPLES, EM CHAPA DE MADEIRA COMPENSADA RESINADA E CIMBRAMENTO DE MADEIRA, 4 UTILIZAÇÕES. AF_03/2022</t>
  </si>
  <si>
    <t>84,86</t>
  </si>
  <si>
    <t>103762</t>
  </si>
  <si>
    <t>MONTAGEM E DESMONTAGEM DE FÔRMA DE LAJE MACIÇA, PÉ-DIREITO SIMPLES, EM CHAPA DE MADEIRA COMPENSADA RESINADA E CIMBRAMENTO DE MADEIRA, 6 UTILIZAÇÕES. AF_03/2022</t>
  </si>
  <si>
    <t>103763</t>
  </si>
  <si>
    <t>MONTAGEM E DESMONTAGEM DE FÔRMA DE LAJE MACIÇA, PÉ-DIREITO SIMPLES, EM CHAPA DE MADEIRA COMPENSADA RESINADA E CIMBRAMENTO DE MADEIRA, 8 UTILIZAÇÕES. AF_03/2022</t>
  </si>
  <si>
    <t>ARMAÇÃO VERTICAL DE ALVENARIA ESTRUTURAL; DIÂMETRO DE 10,0 MM. AF_09/2021</t>
  </si>
  <si>
    <t>ARMAÇÃO VERTICAL DE ALVENARIA ESTRUTURAL; DIÂMETRO DE 12,5 MM. AF_09/2021</t>
  </si>
  <si>
    <t>ARMAÇÃO DE CINTA DE ALVENARIA ESTRUTURAL; DIÂMETRO DE 10,0 MM. AF_09/2021</t>
  </si>
  <si>
    <t>ARMAÇÃO DE VERGA E CONTRAVERGA DE ALVENARIA ESTRUTURAL; DIÂMETRO DE 8,0 MM. AF_09/2021</t>
  </si>
  <si>
    <t>ARMAÇÃO DE VERGA E CONTRAVERGA DE ALVENARIA ESTRUTURAL; DIÂMETRO DE 10,0 MM. AF_09/2021</t>
  </si>
  <si>
    <t>11,59</t>
  </si>
  <si>
    <t>ARMAÇÃO DE PILAR OU VIGA DE ESTRUTURA CONVENCIONAL DE CONCRETO ARMADO UTILIZANDO AÇO CA-60 DE 5,0 MM - MONTAGEM. AF_06/2022</t>
  </si>
  <si>
    <t>ARMAÇÃO DE PILAR OU VIGA DE ESTRUTURA CONVENCIONAL DE CONCRETO ARMADO UTILIZANDO AÇO CA-50 DE 6,3 MM - MONTAGEM. AF_06/2022</t>
  </si>
  <si>
    <t>ARMAÇÃO DE PILAR OU VIGA DE ESTRUTURA CONVENCIONAL DE CONCRETO ARMADO UTILIZANDO AÇO CA-50 DE 8,0 MM - MONTAGEM. AF_06/2022</t>
  </si>
  <si>
    <t>ARMAÇÃO DE PILAR OU VIGA DE ESTRUTURA CONVENCIONAL DE CONCRETO ARMADO UTILIZANDO AÇO CA-50 DE 10,0 MM - MONTAGEM. AF_06/2022</t>
  </si>
  <si>
    <t>ARMAÇÃO DE PILAR OU VIGA DE ESTRUTURA CONVENCIONAL DE CONCRETO ARMADO UTILIZANDO AÇO CA-50 DE 12,5 MM - MONTAGEM. AF_06/2022</t>
  </si>
  <si>
    <t>ARMAÇÃO DE PILAR OU VIGA DE ESTRUTURA CONVENCIONAL DE CONCRETO ARMADO UTILIZANDO AÇO CA-50 DE 16,0 MM - MONTAGEM. AF_06/2022</t>
  </si>
  <si>
    <t>12,49</t>
  </si>
  <si>
    <t>ARMAÇÃO DE PILAR OU VIGA DE ESTRUTURA CONVENCIONAL DE CONCRETO ARMADO UTILIZANDO AÇO CA-50 DE 20,0 MM - MONTAGEM. AF_06/2022</t>
  </si>
  <si>
    <t>ARMAÇÃO DE PILAR OU VIGA DE ESTRUTURA CONVENCIONAL DE CONCRETO ARMADO UTILIZANDO AÇO CA-50 DE 25,0 MM - MONTAGEM. AF_06/2022</t>
  </si>
  <si>
    <t>ARMAÇÃO DE LAJE DE ESTRUTURA CONVENCIONAL DE CONCRETO ARMADO UTILIZANDO AÇO CA-60 DE 4,2 MM - MONTAGEM. AF_06/2022</t>
  </si>
  <si>
    <t>ARMAÇÃO DE LAJE DE ESTRUTURA CONVENCIONAL DE CONCRETO ARMADO UTILIZANDO AÇO CA-60 DE 5,0 MM - MONTAGEM. AF_06/2022</t>
  </si>
  <si>
    <t>ARMAÇÃO DE LAJE DE ESTRUTURA CONVENCIONAL DE CONCRETO ARMADO UTILIZANDO AÇO CA-50 DE 6,3 MM - MONTAGEM. AF_06/2022</t>
  </si>
  <si>
    <t>ARMAÇÃO DE LAJE DE ESTRUTURA CONVENCIONAL DE CONCRETO ARMADO UTILIZANDO AÇO CA-50 DE 8,0 MM - MONTAGEM. AF_06/2022</t>
  </si>
  <si>
    <t>ARMAÇÃO DE LAJE DE ESTRUTURA CONVENCIONAL DE CONCRETO ARMADO UTILIZANDO AÇO CA-50 DE 10,0 MM - MONTAGEM. AF_06/2022</t>
  </si>
  <si>
    <t>14,62</t>
  </si>
  <si>
    <t>ARMAÇÃO DE LAJE DE ESTRUTURA CONVENCIONAL DE CONCRETO ARMADO UTILIZANDO AÇO CA-50 DE 12,5 MM - MONTAGEM. AF_06/2022</t>
  </si>
  <si>
    <t>ARMAÇÃO DE LAJE DE ESTRUTURA CONVENCIONAL DE CONCRETO ARMADO UTILIZANDO AÇO CA-50 DE 16,0 MM - MONTAGEM. AF_06/2022</t>
  </si>
  <si>
    <t>12,23</t>
  </si>
  <si>
    <t>ARMAÇÃO DE LAJE DE ESTRUTURA CONVENCIONAL DE CONCRETO ARMADO UTILIZANDO AÇO CA-50 DE 20,0 MM - MONTAGEM. AF_06/2022</t>
  </si>
  <si>
    <t>14,19</t>
  </si>
  <si>
    <t>CORTE E DOBRA DE AÇO CA-50, DIÂMETRO DE 25,0 MM. AF_06/2022</t>
  </si>
  <si>
    <t>13,09</t>
  </si>
  <si>
    <t>CORTE E DOBRA DE AÇO CA-60, DIÂMETRO DE 4,2 MM. AF_06/2022</t>
  </si>
  <si>
    <t>CORTE E DOBRA DE AÇO CA-60, DIÂMETRO DE 5,0 MM. AF_06/2022</t>
  </si>
  <si>
    <t>CORTE E DOBRA DE AÇO CA-50, DIÂMETRO DE 6,3 MM. AF_06/2022</t>
  </si>
  <si>
    <t>CORTE E DOBRA DE AÇO CA-50, DIÂMETRO DE 8,0 MM. AF_06/2022</t>
  </si>
  <si>
    <t>CORTE E DOBRA DE AÇO CA-50, DIÂMETRO DE 10,0 MM. AF_06/2022</t>
  </si>
  <si>
    <t>CORTE E DOBRA DE AÇO CA-50, DIÂMETRO DE 12,5 MM. AF_06/2022</t>
  </si>
  <si>
    <t>CORTE E DOBRA DE AÇO CA-50, DIÂMETRO DE 16,0 MM. AF_06/2022</t>
  </si>
  <si>
    <t>CORTE E DOBRA DE AÇO CA-50, DIÂMETRO DE 20,0 MM. AF_06/2022</t>
  </si>
  <si>
    <t>CORTE E DOBRA DE AÇO CA-25, DIÂMETRO DE 6,3 MM. AF_06/2022</t>
  </si>
  <si>
    <t>CORTE E DOBRA DE AÇO CA-25, DIÂMETRO DE 8,0 MM. AF_06/2022</t>
  </si>
  <si>
    <t>CORTE E DOBRA DE AÇO CA-25, DIÂMETRO DE 10,0 MM. AF_06/2022</t>
  </si>
  <si>
    <t>CORTE E DOBRA DE AÇO CA-25, DIÂMETRO DE 12,5 MM. AF_06/2022</t>
  </si>
  <si>
    <t>CORTE E DOBRA DE AÇO CA-25, DIÂMETRO DE 16,0 MM. AF_06/2022</t>
  </si>
  <si>
    <t>13,78</t>
  </si>
  <si>
    <t>CORTE E DOBRA DE AÇO CA-25, DIÂMETRO DE 20,0 MM. AF_06/2022</t>
  </si>
  <si>
    <t>CORTE E DOBRA DE AÇO CA-25, DIÂMETRO DE 25,0 MM. AF_06/2022</t>
  </si>
  <si>
    <t>ARMAÇÃO UTILIZANDO AÇO CA-25 DE 6,3 MM - MONTAGEM. AF_06/2022</t>
  </si>
  <si>
    <t>ARMAÇÃO UTILIZANDO AÇO CA-25 DE 8,0 MM - MONTAGEM. AF_06/2022</t>
  </si>
  <si>
    <t>ARMAÇÃO UTILIZANDO AÇO CA-25 DE 10,0 MM - MONTAGEM. AF_06/2022</t>
  </si>
  <si>
    <t>ARMAÇÃO UTILIZANDO AÇO CA-25 DE 12,5 MM - MONTAGEM. AF_06/2022</t>
  </si>
  <si>
    <t>ARMAÇÃO UTILIZANDO AÇO CA-25 DE 16,0 MM - MONTAGEM. AF_06/2022</t>
  </si>
  <si>
    <t>ARMAÇÃO UTILIZANDO AÇO CA-25 DE 20,0 MM - MONTAGEM. AF_06/2022</t>
  </si>
  <si>
    <t>ARMAÇÃO UTILIZANDO AÇO CA-25 DE 25,0 MM - MONTAGEM. AF_06/2022</t>
  </si>
  <si>
    <t>ARMAÇÃO DE ESTRUTURAS DIVERSAS DE CONCRETO ARMADO, EXCETO VIGAS, PILARES, LAJES E FUNDAÇÕES, UTILIZANDO AÇO CA-60 DE 5,0 MM - MONTAGEM. AF_06/2022</t>
  </si>
  <si>
    <t>ARMAÇÃO DE ESTRUTURAS DIVERSAS DE CONCRETO ARMADO, EXCETO VIGAS, PILARES, LAJES E FUNDAÇÕES, UTILIZANDO AÇO CA-50 DE 6,3 MM - MONTAGEM. AF_06/2022</t>
  </si>
  <si>
    <t>ARMAÇÃO DE ESTRUTURAS DIVERSAS DE CONCRETO ARMADO, EXCETO VIGAS, PILARES, LAJES E FUNDAÇÕES, UTILIZANDO AÇO CA-50 DE 8,0 MM - MONTAGEM. AF_06/2022</t>
  </si>
  <si>
    <t>ARMAÇÃO DE ESTRUTURAS DIVERSAS DE CONCRETO ARMADO, EXCETO VIGAS, PILARES, LAJES E FUNDAÇÕES, UTILIZANDO AÇO CA-50 DE 10,0 MM - MONTAGEM. AF_06/2022</t>
  </si>
  <si>
    <t>ARMAÇÃO DE ESTRUTURAS DIVERSAS DE CONCRETO ARMADO, EXCETO VIGAS, PILARES, LAJES E FUNDAÇÕES, UTILIZANDO AÇO CA-50 DE 12,5 MM - MONTAGEM. AF_06/2022</t>
  </si>
  <si>
    <t>ARMAÇÃO DE ESTRUTURAS DIVERSAS DE CONCRETO ARMADO, EXCETO VIGAS, PILARES, LAJES E FUNDAÇÕES, UTILIZANDO AÇO CA-50 DE 16,0 MM - MONTAGEM. AF_06/2022</t>
  </si>
  <si>
    <t>ARMAÇÃO DE ESTRUTURAS DIVERSAS DE CONCRETO ARMADO, EXCETO VIGAS, PILARES, LAJES E FUNDAÇÕES, UTILIZANDO AÇO CA-50 DE 20,0 MM - MONTAGEM. AF_06/2022</t>
  </si>
  <si>
    <t>ARMAÇÃO DE ESTRUTURAS DIVERSAS DE CONCRETO ARMADO, EXCETO VIGAS, PILARES, LAJES E FUNDAÇÕES, UTILIZANDO AÇO CA-50 DE 25,0 MM - MONTAGEM. AF_06/2022</t>
  </si>
  <si>
    <t>14,51</t>
  </si>
  <si>
    <t>MONTAGEM DE ARMADURA DE ESTACAS, DIÂMETRO = 8,0 MM. AF_09/2021_PS</t>
  </si>
  <si>
    <t>MONTAGEM DE ARMADURA DE ESTACAS, DIÂMETRO = 10,0 MM. AF_09/2021_PS</t>
  </si>
  <si>
    <t>MONTAGEM DE ARMADURA DE ESTACAS, DIÂMETRO = 12,5 MM. AF_09/2021_PS</t>
  </si>
  <si>
    <t>MONTAGEM DE ARMADURA DE ESTACAS, DIÂMETRO = 16,0 MM. AF_09/2021_PS</t>
  </si>
  <si>
    <t>MONTAGEM DE ARMADURA DE ESTACAS, DIÂMETRO = 20,0 MM. AF_09/2021_PS</t>
  </si>
  <si>
    <t>MONTAGEM DE ARMADURA DE ESTACAS, DIÂMETRO = 25,0 MM. AF_09/2021_PS</t>
  </si>
  <si>
    <t>MONTAGEM DE ARMADURA TRANSVERSAL DE ESTACAS DE SEÇÃO CIRCULAR, DIÂMETRO = 5,0 MM. AF_09/2021_PS</t>
  </si>
  <si>
    <t>MONTAGEM DE ARMADURA TRANSVERSAL DE ESTACAS DE SEÇÃO CIRCULAR, DIÂMETRO = 6,30 MM. AF_09/2021_PS</t>
  </si>
  <si>
    <t>MONTAGEM DE ARMADURA TRANVERSAL DE ESTACAS DE SEÇÃO RETANGULAR, DIÂMETRO = 5,0 MM. AF_09/2021_PS</t>
  </si>
  <si>
    <t>MONTAGEM DE ARMADURA TRANSVERSAL DE ESTACAS DE SEÇÃO RETANGULAR, DIÂMETRO = 6,30 MM. AF_09/2021_PS</t>
  </si>
  <si>
    <t>102920</t>
  </si>
  <si>
    <t>ARMAÇÃO DE CINTA DE ALVENARIA ESTRUTURAL; DIÂMETRO DE 12,5 MM. AF_09/2021</t>
  </si>
  <si>
    <t>102921</t>
  </si>
  <si>
    <t>ARMAÇÃO VERTICAL DE ALVENARIA ESTRUTURAL; DIÂMETRO DE 16,0 MM. AF_09/2021</t>
  </si>
  <si>
    <t>10,89</t>
  </si>
  <si>
    <t>102922</t>
  </si>
  <si>
    <t>ARMAÇÃO DE VERGA E CONTRAVERGA DE ALVENARIA ESTRUTURAL; DIÂMETRO DE 16,0 MM. AF_09/2021</t>
  </si>
  <si>
    <t>102923</t>
  </si>
  <si>
    <t>ARMAÇÃO DE CINTA DE ALVENARIA ESTRUTURAL; DIÂMETRO DE 16,0 MM. AF_09/2021</t>
  </si>
  <si>
    <t>103088</t>
  </si>
  <si>
    <t>ARMAÇÃO DE VERGA E CONTRAVERGA DE ALVENARIA ESTRUTURAL; DIÂMETRO DE 12,5 MM. AF_09/2021</t>
  </si>
  <si>
    <t>104104</t>
  </si>
  <si>
    <t>ARMAÇÃO DE ESTRUTURAS DIVERSAS DE CONCRETO ARMADO, EXCETO VIGAS, PILARES, LAJES E FUNDAÇÕES, UTILIZANDO AÇO CA-50 DE 32,0 MM - MONTAGEM. AF_06/2022</t>
  </si>
  <si>
    <t>104105</t>
  </si>
  <si>
    <t>ARMAÇÃO DE PILAR OU VIGA DE ESTRUTURA CONVENCIONAL DE CONCRETO ARMADO UTILIZANDO AÇO CA-50 DE 32,0 MM. AF_06/2022</t>
  </si>
  <si>
    <t>104106</t>
  </si>
  <si>
    <t>ARMAÇÃO DE PILAR OU VIGA DE ESTRUTURA DE CONCRETO ARMADO EMBUTIDA EM ALVENARIA DE VEDAÇÃO UTILIZANDO AÇO CA-50 DE 16,0 MM - MONTAGEM. AF_06/2022</t>
  </si>
  <si>
    <t>104107</t>
  </si>
  <si>
    <t>ARMAÇÃO DE PILAR OU VIGA DE ESTRUTURA DE CONCRETO ARMADO EMBUTIDA EM ALVENARIA DE VEDAÇÃO UTILIZANDO AÇO CA-50 DE 12,5 MM - MONTAGEM. AF_06/2022</t>
  </si>
  <si>
    <t>104108</t>
  </si>
  <si>
    <t>ARMAÇÃO DE PILAR OU VIGA DE ESTRUTURA DE CONCRETO ARMADO EMBUTIDA EM ALVENARIA DE VEDAÇÃO UTILIZANDO AÇO CA-50 DE 10,0 MM - MONTAGEM. AF_06/2022</t>
  </si>
  <si>
    <t>104109</t>
  </si>
  <si>
    <t>ARMAÇÃO DE PILAR OU VIGA DE ESTRUTURA DE CONCRETO ARMADO EMBUTIDA EM ALVENARIA DE VEDAÇÃO UTILIZANDO AÇO CA-50 DE 8,0 MM - MONTAGEM. AF_06/2022</t>
  </si>
  <si>
    <t>19,81</t>
  </si>
  <si>
    <t>104110</t>
  </si>
  <si>
    <t>ARMAÇÃO DE PILAR OU VIGA DE ESTRUTURA DE CONCRETO ARMADO EMBUTIDA EM ALVENARIA DE VEDAÇÃO UTILIZANDO AÇO CA-50 DE 6,3 MM - MONTAGEM. AF_06/2022</t>
  </si>
  <si>
    <t>104111</t>
  </si>
  <si>
    <t>ARMAÇÃO DE PILAR OU VIGA DE ESTRUTURA DE CONCRETO ARMADO EMBUTIDA EM ALVENARIA DE VEDAÇÃO UTILIZANDO AÇO CA-60 DE 5,0 MM - MONTAGEM. AF_06/2022</t>
  </si>
  <si>
    <t>GRAUTEAMENTO VERTICAL EM ALVENARIA ESTRUTURAL. AF_09/2021</t>
  </si>
  <si>
    <t>GRAUTEAMENTO DE CINTA INTERMEDIÁRIA OU DE CONTRAVERGA EM ALVENARIA ESTRUTURAL. AF_09/2021</t>
  </si>
  <si>
    <t>GRAUTEAMENTO DE CINTA SUPERIOR OU DE VERGA EM ALVENARIA ESTRUTURAL. AF_09/2021</t>
  </si>
  <si>
    <t>GRAUTE FGK=15 MPA; TRAÇO 1:0,04:2,2:2,5 (EM MASSA SECA DE CIMENTO/CAL/AREIA GROSSA/BRITA 0) - PREPARO MECÂNICO COM BETONEIRA 400 L. AF_09/2021</t>
  </si>
  <si>
    <t>GRAUTE FGK=20 MPA; TRAÇO 1:0,04:1,8:2,1 (EM MASSA SECA DE CIMENTO/ CAL/ AREIA GROSSA/ BRITA 0) - PREPARO MECÂNICO COM BETONEIRA 400 L. AF_09/2021</t>
  </si>
  <si>
    <t>GRAUTE FGK=25 MPA; TRAÇO 1:0,02:1,3:1,6 (EM MASSA SECA DE CIMENTO/ CAL/ AREIA GROSSA/ BRITA 0) - PREPARO MECÂNICO COM BETONEIRA 400 L. AF_09/2021</t>
  </si>
  <si>
    <t>GRAUTE FGK=30 MPA; TRAÇO 1:0,02:0,9:1,2 (EM MASSA SECA DE CIMENTO/ CAL/ AREIA GROSSA/ BRITA 0) - PREPARO MECÂNICO COM BETONEIRA 400 L. AF_09/2021</t>
  </si>
  <si>
    <t>GRAUTE FGK=15 MPA; TRAÇO 1:2,2:2,5:0,3 (EM MASSA SECA DE CIMENTO/ AREIA GROSSA/ BRITA 0/ ADITIVO) - PREPARO MECÂNICO COM BETONEIRA 400 L. AF_09/2021</t>
  </si>
  <si>
    <t>GRAUTE FGK=20 MPA; TRAÇO 1:1,8:2,1:0,4 (EM MASSA SECA DE CIMENTO/ AREIA GROSSA/ BRITA 0/ ADITIVO) - PREPARO MECÂNICO COM BETONEIRA 400 L. AF_09/2021</t>
  </si>
  <si>
    <t>GRAUTE FGK=25 MPA; TRAÇO 1:1,3:1,6:0,4 (EM MASSA SECA DE CIMENTO/ AREIA GROSSA/ BRITA 0/ ADITIVO) - PREPARO MECÂNICO COM BETONEIRA 400 L. AF_09/2021</t>
  </si>
  <si>
    <t>GRAUTE FGK=30 MPA; TRAÇO 1:0,9:1,2:0,6 (EM MASSA SECA DE CIMENTO/ AREIA GROSSA/ BRITA 0/ ADITIVO) - PREPARO MECÂNICO COM BETONEIRA 400 L. AF_09/2021</t>
  </si>
  <si>
    <t>103183</t>
  </si>
  <si>
    <t>103184</t>
  </si>
  <si>
    <t>103669</t>
  </si>
  <si>
    <t>CONCRETAGEM DE PILARES, FCK = 25 MPA,  COM USO DE BALDES - LANÇAMENTO, ADENSAMENTO E ACABAMENTO. AF_02/2022</t>
  </si>
  <si>
    <t>103670</t>
  </si>
  <si>
    <t>LANÇAMENTO COM USO DE BALDES, ADENSAMENTO E ACABAMENTO DE CONCRETO EM ESTRUTURAS. AF_02/2022</t>
  </si>
  <si>
    <t>103671</t>
  </si>
  <si>
    <t>CONCRETAGEM DE PILARES, FCK = 25 MPA, COM USO DE GRUA - LANÇAMENTO, ADENSAMENTO E ACABAMENTO. AF_02/2022</t>
  </si>
  <si>
    <t>103672</t>
  </si>
  <si>
    <t>CONCRETAGEM DE PILARES, FCK = 25 MPA, COM USO DE BOMBA - LANÇAMENTO, ADENSAMENTO E ACABAMENTO. AF_02/2022_PS</t>
  </si>
  <si>
    <t>103673</t>
  </si>
  <si>
    <t>LANÇAMENTO COM USO DE BOMBA, ADENSAMENTO E ACABAMENTO DE CONCRETO EM ESTRUTURAS. AF_02/2022</t>
  </si>
  <si>
    <t>103674</t>
  </si>
  <si>
    <t>CONCRETAGEM DE VIGAS E LAJES, FCK=25 MPA, PARA LAJES PREMOLDADAS COM USO DE BOMBA - LANÇAMENTO, ADENSAMENTO E ACABAMENTO. AF_02/2022_PS</t>
  </si>
  <si>
    <t>103675</t>
  </si>
  <si>
    <t>CONCRETAGEM DE VIGAS E LAJES, FCK=25 MPA, PARA LAJES MACIÇAS OU NERVURADAS COM USO DE BOMBA - LANÇAMENTO, ADENSAMENTO E ACABAMENTO. AF_02/2022_PS</t>
  </si>
  <si>
    <t>103676</t>
  </si>
  <si>
    <t>CONCRETAGEM DE VIGAS E LAJES, FCK=25 MPA, PARA LAJES PREMOLDADAS COM JERICAS EM ELEVADOR DE CABO EM EDIFICAÇÃO DE MULTIPAVIMENTOS ATÉ 16 ANDARES - LANÇAMENTO, ADENSAMENTO E ACABAMENTO. AF_02/2022</t>
  </si>
  <si>
    <t>103677</t>
  </si>
  <si>
    <t>CONCRETAGEM DE VIGAS E LAJES, FCK=25 MPA, PARA LAJES MACIÇAS OU NERVURADAS COM JERICAS EM ELEVADOR DE CABO EM EDIFICAÇÃO DE MULTIPAVIMENTOS ATÉ 16 ANDARES  - LANÇAMENTO, ADENSAMENTO E ACABAMENTO. AF_02/2022</t>
  </si>
  <si>
    <t>103678</t>
  </si>
  <si>
    <t>CONCRETAGEM DE VIGAS E LAJES, FCK=25 MPA, PARA LAJES PREMOLDADAS COM JERICAS EM CREMALHEIRA EM EDIFICAÇÃO DE MULTIPAVIMENTOS ATÉ 16 ANDARES  - LANÇAMENTO, ADENSAMENTO E ACABAMENTO. AF_02/2022</t>
  </si>
  <si>
    <t>103679</t>
  </si>
  <si>
    <t>CONCRETAGEM DE VIGAS E LAJES, FCK=25 MPA, PARA LAJES MACIÇAS OU NERVURADAS COM JERICAS EM CREMALHEIRA EM EDIFICAÇÃO DE MULTIPAVIMENTOS ATÉ 16 ANDARES - LANÇAMENTO, ADENSAMENTO E ACABAMENTO. AF_02/2022</t>
  </si>
  <si>
    <t>103680</t>
  </si>
  <si>
    <t>CONCRETAGEM DE VIGAS E LAJES, FCK=25 MPA, PARA LAJES PREMOLDADAS COM GRUA DE CAÇAMBA DE 350 L EM EDIFICAÇÃO DE MULTIPAVIMENTOS ATÉ 16 ANDARES - LANÇAMENTO, ADENSAMENTO E ACABAMENTO. AF_02/2022</t>
  </si>
  <si>
    <t>103681</t>
  </si>
  <si>
    <t>CONCRETAGEM DE VIGAS E LAJES, FCK=25 MPA, PARA LAJES MACIÇAS OU NERVURADAS COM GRUA DE CAÇAMBA DE 500 L EM EDIFICAÇÃO DE MULTIPAVIMENTOS ATÉ 16 ANDARES - LANÇAMENTO, ADENSAMENTO E ACABAMENTO. AF_02/2022</t>
  </si>
  <si>
    <t>103682</t>
  </si>
  <si>
    <t>CONCRETAGEM DE VIGAS E LAJES, FCK=25 MPA, PARA QUALQUER TIPO DE LAJE COM BALDES EM EDIFICAÇÃO TÉRREA - LANÇAMENTO, ADENSAMENTO E ACABAMENTO. AF_02/2022</t>
  </si>
  <si>
    <t>103683</t>
  </si>
  <si>
    <t>CONCRETAGEM DE VIGAS E LAJES, FCK=25 MPA, PARA QUALQUER TIPO DE LAJE COM BALDES EM EDIFICAÇÃO DE MULTIPAVIMENTOS ATÉ 04 ANDARES - LANÇAMENTO, ADENSAMENTO E ACABAMENTO. AF_02/2022</t>
  </si>
  <si>
    <t>103684</t>
  </si>
  <si>
    <t>CONCRETAGEM DE RESERVATÓRIOS, FCK=25 MPA, COM USO DE BOMBA - LANÇAMENTO, ADENSAMENTO E ACABAMENTO. AF_02/2022_PS</t>
  </si>
  <si>
    <t>103685</t>
  </si>
  <si>
    <t>CONCRETAGEM DE MURETAS, FCK=25 MPA, COM USO DE BOMBA - LANÇAMENTO, ADENSAMENTO E ACABAMENTO. AF_02/2022_PS</t>
  </si>
  <si>
    <t>103686</t>
  </si>
  <si>
    <t>CONCRETAGEM DE ESCADAS, FCK=25 MPA, COM USO DE BOMBA - LANÇAMENTO, ADENSAMENTO E ACABAMENTO. AF_02/2022_PS</t>
  </si>
  <si>
    <t>103687</t>
  </si>
  <si>
    <t>CONCRETAGEM DE PILARES, FCK=25 MPA, COM USO DE JERICAS EM ELEVADOR DE CABO - LANÇAMENTO, ADENSAMENTO E ACABAMENTO. AF_02/2022</t>
  </si>
  <si>
    <t>103688</t>
  </si>
  <si>
    <t>CONCRETAGEM DE PILARES, FCK=25 MPA, COM USO DE JERICAS EM CREMALHEIRA - LANÇAMENTO, ADENSAMENTO E ACABAMENTO. AF_02/2022</t>
  </si>
  <si>
    <t>98575</t>
  </si>
  <si>
    <t>98577</t>
  </si>
  <si>
    <t>50,78</t>
  </si>
  <si>
    <t>89,04</t>
  </si>
  <si>
    <t>VIGA METÁLICA EM PERFIL LAMINADO OU SOLDADO EM AÇO ESTRUTURAL, COM CONEXÕES PARAFUSADAS, INCLUSOS MÃO DE OBRA, TRANSPORTE E IÇAMENTO UTILIZANDO GUINDASTE - FORNECIMENTO E INSTALAÇÃO. AF_01/2020_PSA</t>
  </si>
  <si>
    <t>VIGA METÁLICA EM PERFIL LAMINADO OU SOLDADO EM AÇO ESTRUTURAL, COM CONEXÕES SOLDADAS, INCLUSOS MÃO DE OBRA, TRANSPORTE E IÇAMENTO UTILIZANDO GUINDASTE - FORNECIMENTO E INSTALAÇÃO. AF_01/2020_PA</t>
  </si>
  <si>
    <t>PILAR METÁLICO PERFIL LAMINADO/SOLDADO EM AÇO ESTRUTURAL, COM CONEXÕES PARAFUSADAS, INCLUSOS MÃO DE OBRA, TRANSPORTE E IÇAMENTO UTILIZANDO GUINDASTE - FORNECIMENTO E INSTALAÇÃO. AF_01/2020_PSA</t>
  </si>
  <si>
    <t>PILAR METÁLICO PERFIL LAMINADO OU SOLDADO EM AÇO ESTRUTURAL, COM CONEXÕES SOLDADAS, INCLUSOS MÃO DE OBRA, TRANSPORTE E IÇAMENTO UTILIZANDO GUINDASTE - FORNECIMENTO E INSTALAÇÃO. AF_01/2020_PA</t>
  </si>
  <si>
    <t>CONTRAVENTAMENTO COM CANTONEIRAS DE AÇO, ABAS IGUAIS, COM CONEXÕES PARAFUSADAS, INCLUSOS MÃO DE OBRA, TRANSPORTE E IÇAMENTO UTILIZANDO TALHA MANUAL, PARA EDIFÍCIOS DE ATÉ 2 PAVIMENTOS - FORNECIMENTO E INSTALAÇÃO. AF_01/2020_PSA</t>
  </si>
  <si>
    <t>CONTRAVENTAMENTO COM CANTONEIRAS DE AÇO, ABAS IGUAIS, COM CONEXÕES SOLDADAS, INCLUSOS MÃO DE OBRA, TRANSPORTE E IÇAMENTO UTILIZANDO TALHA MANUAL, PARA EDIFÍCIOS DE ATÉ 2 PAVIMENTOS - FORNECIMENTO E INSTALAÇÃO. AF_01/2020_PA</t>
  </si>
  <si>
    <t>CONTRAVENTAMENTO COM CANTONEIRAS DE AÇO, ABAS IGUAIS, COM CONEXÕES PARAFUSADAS, INCLUSOS MÃO DE OBRA, TRANSPORTE E IÇAMENTO UTILIZANDO GUINDASTE, PARA EDIFÍCIOS DE 3 A 5 PAVIMENTOS - FORNECIMENTO E INSTALAÇÃO. AF_01/2020_PSA</t>
  </si>
  <si>
    <t>CONTRAVENTAMENTO COM CANTONEIRAS DE AÇO, ABAS IGUAIS, COM CONEXÕES SOLDADAS, INCLUSOS MÃO DE OBRA, TRANSPORTE E IÇAMENTO UTILIZANDO GUINDASTE, PARA EDIFÍCIOS DE 3 A 5 PAVIMENTOS - FORNECIMENTO E INSTALAÇÃO. AF_01/2020_PA</t>
  </si>
  <si>
    <t>24,59</t>
  </si>
  <si>
    <t>CONTRAVENTAMENTO COM CANTONEIRAS DE AÇO, ABAS IGUAIS, COM CONEXÕES PARAFUSADAS, INCLUSOS MÃO DE OBRA, TRANSPORTE E IÇAMENTO UTILIZANDO GRUA, PARA EDIFÍCIOS DE 6 A 10 PAVIMENTOS - FORNECIMENTO E INSTALAÇÃO. AF_01/2020_PSA</t>
  </si>
  <si>
    <t>CONTRAVENTAMENTO COM CANTONEIRAS DE AÇO, ABAS IGUAIS, COM CONEXÕES SOLDADAS, INCLUSOS MÃO DE OBRA, TRANSPORTE E IÇAMENTO UTILIZANDO GRUA, PARA EDIFÍCIOS DE 6 A 10 PAVIMENTOS - FORNECIMENTO E INSTALAÇÃO. AF_01/2020_PA</t>
  </si>
  <si>
    <t>ESTRUTURA TRELIÇADA DE COBERTURA, TIPO ARCO, COM LIGAÇÕES SOLDADAS, INCLUSOS PERFIS METÁLICOS, CHAPAS METÁLICAS, MÃO DE OBRA E TRANSPORTE COM GUINDASTE - FORNECIMENTO E INSTALAÇÃO. AF_01/2020_PSA</t>
  </si>
  <si>
    <t>ESTRUTURA TRELIÇADA DE COBERTURA, TIPO SHED, COM LIGAÇÕES SOLDADAS, INCLUSOS PERFIS METÁLICOS, CHAPAS METÁLICAS, MÃO DE OBRA E TRANSPORTE COM GUINDASTE - FORNECIMENTO E INSTALAÇÃO. AF_01/2020_PSA</t>
  </si>
  <si>
    <t>ESTRUTURA TRELIÇADA DE COBERTURA, TIPO FINK, COM LIGAÇÕES SOLDADAS, INCLUSOS PERFIS METÁLICOS, CHAPAS METÁLICAS, MÃO DE OBRA E TRANSPORTE COM GUINDASTE - FORNECIMENTO E INSTALAÇÃO. AF_01/2020_PSA</t>
  </si>
  <si>
    <t>ESTRUTURA TRELIÇADA DE COBERTURA, TIPO ARCO, COM LIGAÇÕES PARAFUSADAS, INCLUSOS PERFIS METÁLICOS, CHAPAS METÁLICAS, MÃO DE OBRA E TRANSPORTE COM GUINDASTE - FORNECIMENTO E INSTALAÇÃO. AF_01/2020_PSA</t>
  </si>
  <si>
    <t>ESTRUTURA TRELIÇADA DE COBERTURA, TIPO SHED, COM LIGAÇÕES PARAFUSADAS, INCLUSOS PERFIS METÁLICOS, CHAPAS METÁLICAS, MÃO DE OBRA E TRANSPORTE COM GUINDASTE - FORNECIMENTO E INSTALAÇÃO. AF_01/2020_PSA</t>
  </si>
  <si>
    <t>ESTRUTURA TRELIÇADA DE COBERTURA, TIPO FINK, COM LIGAÇÕES PARAFUSADAS, INCLUSOS PERFIS METÁLICOS, CHAPAS METÁLICAS, MÃO DE OBRA E TRANSPORTE COM GUINDASTE - FORNECIMENTO E INSTALAÇÃO. AF_01/2020_PSA</t>
  </si>
  <si>
    <t>103795</t>
  </si>
  <si>
    <t>FABRICAÇÃO, MONTAGEM E DESMONTAGEM DE FÔRMA PARA ESCADA HIDRÁULICA, EM CHAPA DE MADEIRA COMPENSADA RESINADA, E = 17 MM, 3 UTILIZAÇÕES. AF_08/2022</t>
  </si>
  <si>
    <t>103796</t>
  </si>
  <si>
    <t>FABRICAÇÃO, MONTAGEM E DESMONTAGEM DE FÔRMA PARA BACIA DE DISSIPAÇÃO, EM MADEIRA SERRADA, E = 25 MM, 2 UTILIZAÇÕES. AF_08/2022</t>
  </si>
  <si>
    <t>103797</t>
  </si>
  <si>
    <t>103798</t>
  </si>
  <si>
    <t>CONCRETAGEM DE DISSIPADOR DE ENERGIA, CONCRETO USINADO, FCK = 20 MPA, COM USO DE BOMBA - LANÇAMENTO, ADENSAMENTO E ACABAMENTO. AF_08/2022</t>
  </si>
  <si>
    <t>103799</t>
  </si>
  <si>
    <t>PEDRA DE MÃO FIXADA COM CONCRETO PARA BACIA DE DISSIPAÇÃO, 40% DE CONCRETO EM VOLUME, FCK = 20 MPA, COM USO DE JERICA E PREPARO EM BETONEIRA DE 600 L - AREIA, BRITA E PEDRA DE MÃO COMERCIAIS - LANÇAMENTO, ADENSAMENTO E ACABAMENTO. AF_08/2022</t>
  </si>
  <si>
    <t>103800</t>
  </si>
  <si>
    <t>PEDRA ARGAMASSADA COM CIMENTO E AREIA 1:3, 40% DE ARGAMASSA EM VOLUME - AREIA E PEDRA DE MÃO COMERCIAIS - FORNECIMENTO E ASSENTAMENTO. AF_08/2022</t>
  </si>
  <si>
    <t>103801</t>
  </si>
  <si>
    <t>CONCRETAGEM DE DISSIPADOR DE ENERGIA, FCK = 20 MPA, COM USO DE JERICAS E PREPARO EM BETONEIRA DE 600 L - AREIA E BRITA COMERCIAIS - LANÇAMENTO, ADENSAMENTO E ACABAMENTO. AF_08/2022</t>
  </si>
  <si>
    <t>103925</t>
  </si>
  <si>
    <t>103926</t>
  </si>
  <si>
    <t>103928</t>
  </si>
  <si>
    <t>BACIA DE DISSIPAÇÃO, TIPO BACIA EM PEDRA DE MÃO ARGAMASSADA (DES 01, 02, 03, 04), LANÇADO MANUALMENTE, INCLUINDO MATERIAIS E FÔRMAS (2 UTILIZAÇÕES). AF_08/2022</t>
  </si>
  <si>
    <t>103929</t>
  </si>
  <si>
    <t>BACIA DE DISSIPAÇÃO, TIPO BACIA COM DENTES DE CONCRETO (01), COM PREPARO MANUAL, FCK = 20 MPA, LANÇADO MANUALMENTE, INCLUINDO MATERIAIS E FÔRMAS (2 UTILIZAÇÕES). AF_08/2022</t>
  </si>
  <si>
    <t>103930</t>
  </si>
  <si>
    <t>BACIA DE DISSIPAÇÃO, LARGURA ATÉ 1 M, TIPO BACIA EM PEDRA DE MÃO FIXADA COM CONCRETO (DEB 01, 02), COM PREPARO MANUAL, FCK = 20 MPA, LANÇADO MANUALMENTE, INCLUINDO MATERIAIS E FÔRMAS (2 UTILIZAÇÕES). AF_08/2022</t>
  </si>
  <si>
    <t>103931</t>
  </si>
  <si>
    <t>BACIA DE DISSIPAÇÃO, LARGURA DE 1 A 4 M, TIPO BACIA EM PEDRA DE MÃO FIXADA COM CONCRETO (DEB 03, 04, 05, 06), COM PREPARO MANUAL, FCK = 20 MPA, LANÇADO MANUALMENTE, INCLUINDO MATERIAIS E FÔRMAS (2 UTILIZAÇÕES). AF_08/2022</t>
  </si>
  <si>
    <t>103932</t>
  </si>
  <si>
    <t>BACIA DE DISSIPAÇÃO, LARGURA DE 4 A 9,2 M, TIPO BACIA EM PEDRA DE MÃO FIXADA COM CONCRETO (DEB 07, 08, 09, 10, 11, 12, 13), COM PREPARO MANUAL, FCK = 20 MPA, LANÇADO MANUALMENTE, INCLUINDO MATERIAIS E FÔRMAS (2 UTILIZAÇÕES). AF_08/2022</t>
  </si>
  <si>
    <t>103933</t>
  </si>
  <si>
    <t>DESCIDA D'ÁGUA RÁPIDA (DAR 03), EM CONCRETO USINADO, FCK = 20 MPA, LANÇADO COM BOMBA, INCLUINDO ARMAÇÃO, MATERIAIS E FÔRMAS (2 UTILIZAÇÕES). AF_08/2022</t>
  </si>
  <si>
    <t>30,05</t>
  </si>
  <si>
    <t>25,70</t>
  </si>
  <si>
    <t>67,00</t>
  </si>
  <si>
    <t>ELETRODUTO FLEXÍVEL CORRUGADO REFORÇADO, PVC, DN 20 MM (1/2"), PARA CIRCUITOS TERMINAIS, INSTALADO EM LAJE - FORNECIMENTO E INSTALAÇÃO. AF_03/2023</t>
  </si>
  <si>
    <t>ELETRODUTO FLEXÍVEL CORRUGADO REFORÇADO, PVC, DN 25 MM (3/4"), PARA CIRCUITOS TERMINAIS, INSTALADO EM LAJE - FORNECIMENTO E INSTALAÇÃO. AF_03/2023</t>
  </si>
  <si>
    <t>ELETRODUTO FLEXÍVEL CORRUGADO REFORÇADO, PVC, DN 32 MM (1"), PARA CIRCUITOS TERMINAIS, INSTALADO EM LAJE - FORNECIMENTO E INSTALAÇÃO. AF_03/2023</t>
  </si>
  <si>
    <t>ELETRODUTO FLEXÍVEL LISO, PEAD, DN 32 MM (1"), PARA CIRCUITOS TERMINAIS, INSTALADO EM LAJE - FORNECIMENTO E INSTALAÇÃO. AF_03/2023</t>
  </si>
  <si>
    <t>ELETRODUTO FLEXÍVEL CORRUGADO, PEAD, DN 40 MM (1 1/4"), PARA CIRCUITOS TERMINAIS, INSTALADO EM LAJE - FORNECIMENTO E INSTALAÇÃO. AF_03/2023</t>
  </si>
  <si>
    <t>10,85</t>
  </si>
  <si>
    <t>ELETRODUTO FLEXÍVEL LISO, PEAD, DN 40 MM (1 1/4"), PARA CIRCUITOS TERMINAIS, INSTALADO EM LAJE - FORNECIMENTO E INSTALAÇÃO. AF_03/2023</t>
  </si>
  <si>
    <t>ELETRODUTO FLEXÍVEL CORRUGADO, PVC, DN 20 MM (1/2"), PARA CIRCUITOS TERMINAIS, INSTALADO EM PAREDE - FORNECIMENTO E INSTALAÇÃO. AF_03/2023</t>
  </si>
  <si>
    <t>ELETRODUTO FLEXÍVEL CORRUGADO REFORÇADO, PVC, DN 20 MM (1/2"), PARA CIRCUITOS TERMINAIS, INSTALADO EM PAREDE - FORNECIMENTO E INSTALAÇÃO. AF_03/2023</t>
  </si>
  <si>
    <t>ELETRODUTO FLEXÍVEL CORRUGADO, PVC, DN 25 MM (3/4"), PARA CIRCUITOS TERMINAIS, INSTALADO EM PAREDE - FORNECIMENTO E INSTALAÇÃO. AF_03/2023</t>
  </si>
  <si>
    <t>ELETRODUTO FLEXÍVEL CORRUGADO REFORÇADO, PVC, DN 25 MM (3/4"), PARA CIRCUITOS TERMINAIS, INSTALADO EM PAREDE - FORNECIMENTO E INSTALAÇÃO. AF_03/2023</t>
  </si>
  <si>
    <t>ELETRODUTO FLEXÍVEL CORRUGADO, PVC, DN 32 MM (1"), PARA CIRCUITOS TERMINAIS, INSTALADO EM PAREDE - FORNECIMENTO E INSTALAÇÃO. AF_03/2023</t>
  </si>
  <si>
    <t>ELETRODUTO FLEXÍVEL CORRUGADO REFORÇADO, PVC, DN 32 MM (1"), PARA CIRCUITOS TERMINAIS, INSTALADO EM PAREDE - FORNECIMENTO E INSTALAÇÃO. AF_03/2023</t>
  </si>
  <si>
    <t>ELETRODUTO FLEXÍVEL LISO, PEAD, DN 32 MM (1"), PARA CIRCUITOS TERMINAIS, INSTALADO EM PAREDE - FORNECIMENTO E INSTALAÇÃO. AF_03/2023</t>
  </si>
  <si>
    <t>11,37</t>
  </si>
  <si>
    <t>ELETRODUTO FLEXÍVEL CORRUGADO, PEAD, DN 40 MM (1 1/4"), PARA CIRCUITOS TERMINAIS, INSTALADO EM PAREDE - FORNECIMENTO E INSTALAÇÃO. AF_03/2023</t>
  </si>
  <si>
    <t>ELETRODUTO FLEXÍVEL LISO, PEAD, DN 40 MM (1 1/4"), PARA CIRCUITOS TERMINAIS, INSTALADO EM PAREDE - FORNECIMENTO E INSTALAÇÃO. AF_03/2023</t>
  </si>
  <si>
    <t>ELETRODUTO RÍGIDO ROSCÁVEL, PVC, DN 20 MM (1/2"), PARA CIRCUITOS TERMINAIS, INSTALADO EM FORRO - FORNECIMENTO E INSTALAÇÃO. AF_03/2023</t>
  </si>
  <si>
    <t>ELETRODUTO RÍGIDO ROSCÁVEL, PVC, DN 25 MM (3/4"), PARA CIRCUITOS TERMINAIS, INSTALADO EM FORRO - FORNECIMENTO E INSTALAÇÃO. AF_03/2023</t>
  </si>
  <si>
    <t>ELETRODUTO RÍGIDO ROSCÁVEL, PVC, DN 32 MM (1"), PARA CIRCUITOS TERMINAIS, INSTALADO EM FORRO - FORNECIMENTO E INSTALAÇÃO. AF_03/2023</t>
  </si>
  <si>
    <t>ELETRODUTO RÍGIDO ROSCÁVEL, PVC, DN 40 MM (1 1/4"), PARA CIRCUITOS TERMINAIS, INSTALADO EM FORRO - FORNECIMENTO E INSTALAÇÃO. AF_03/2023</t>
  </si>
  <si>
    <t>ELETRODUTO RÍGIDO ROSCÁVEL, PVC, DN 20 MM (1/2"), PARA CIRCUITOS TERMINAIS, INSTALADO EM LAJE - FORNECIMENTO E INSTALAÇÃO. AF_03/2023</t>
  </si>
  <si>
    <t>ELETRODUTO RÍGIDO ROSCÁVEL, PVC, DN 25 MM (3/4"), PARA CIRCUITOS TERMINAIS, INSTALADO EM LAJE - FORNECIMENTO E INSTALAÇÃO. AF_03/2023</t>
  </si>
  <si>
    <t>ELETRODUTO RÍGIDO ROSCÁVEL, PVC, DN 32 MM (1"), PARA CIRCUITOS TERMINAIS, INSTALADO EM LAJE - FORNECIMENTO E INSTALAÇÃO. AF_03/2023</t>
  </si>
  <si>
    <t>ELETRODUTO RÍGIDO ROSCÁVEL, PVC, DN 40 MM (1 1/4"), PARA CIRCUITOS TERMINAIS, INSTALADO EM LAJE - FORNECIMENTO E INSTALAÇÃO. AF_03/2023</t>
  </si>
  <si>
    <t>ELETRODUTO RÍGIDO ROSCÁVEL, PVC, DN 20 MM (1/2"), PARA CIRCUITOS TERMINAIS, INSTALADO EM PAREDE - FORNECIMENTO E INSTALAÇÃO. AF_03/2023</t>
  </si>
  <si>
    <t>ELETRODUTO RÍGIDO ROSCÁVEL, PVC, DN 25 MM (3/4"), PARA CIRCUITOS TERMINAIS, INSTALADO EM PAREDE - FORNECIMENTO E INSTALAÇÃO. AF_03/2023</t>
  </si>
  <si>
    <t>ELETRODUTO RÍGIDO ROSCÁVEL, PVC, DN 32 MM (1"), PARA CIRCUITOS TERMINAIS, INSTALADO EM PAREDE - FORNECIMENTO E INSTALAÇÃO. AF_03/2023</t>
  </si>
  <si>
    <t>ELETRODUTO RÍGIDO ROSCÁVEL, PVC, DN 40 MM (1 1/4"), PARA CIRCUITOS TERMINAIS, INSTALADO EM PAREDE - FORNECIMENTO E INSTALAÇÃO. AF_03/2023</t>
  </si>
  <si>
    <t>ELETRODUTO RÍGIDO ROSCÁVEL, PVC, DN 50 MM (1 1/2"), PARA REDE ENTERRADA DE DISTRIBUIÇÃO DE ENERGIA ELÉTRICA - FORNECIMENTO E INSTALAÇÃO. AF_12/2021</t>
  </si>
  <si>
    <t>ELETRODUTO RÍGIDO ROSCÁVEL, PVC, DN 60 MM (2"), PARA REDE ENTERRADA DE DISTRIBUIÇÃO DE ENERGIA ELÉTRICA - FORNECIMENTO E INSTALAÇÃO. AF_12/2021</t>
  </si>
  <si>
    <t>ELETRODUTO RÍGIDO ROSCÁVEL, PVC, DN 75 MM (2 1/2"), PARA REDE ENTERRADA DE DISTRIBUIÇÃO DE ENERGIA ELÉTRICA - FORNECIMENTO E INSTALAÇÃO. AF_12/2021</t>
  </si>
  <si>
    <t>ELETRODUTO RÍGIDO ROSCÁVEL, PVC, DN 85 MM (3"), PARA REDE ENTERRADA DE DISTRIBUIÇÃO DE ENERGIA ELÉTRICA - FORNECIMENTO E INSTALAÇÃO. AF_12/2021</t>
  </si>
  <si>
    <t>ELETRODUTO RÍGIDO ROSCÁVEL, PVC, DN 110 MM (4"), PARA REDE ENTERRADA DE DISTRIBUIÇÃO DE ENERGIA ELÉTRICA - FORNECIMENTO E INSTALAÇÃO. AF_12/2021</t>
  </si>
  <si>
    <t>ELETRODUTO FLEXÍVEL CORRUGADO, PEAD, DN 50 (1 1/2"), PARA REDE ENTERRADA DE DISTRIBUIÇÃO DE ENERGIA ELÉTRICA - FORNECIMENTO E INSTALAÇÃO. AF_12/2021</t>
  </si>
  <si>
    <t>ELETRODUTO FLEXÍVEL CORRUGADO, PEAD, DN 63 (2"), PARA REDE ENTERRADA DE DISTRIBUIÇÃO DE ENERGIA ELÉTRICA - FORNECIMENTO E INSTALAÇÃO. AF_12/2021</t>
  </si>
  <si>
    <t>ELETRODUTO FLEXÍVEL CORRUGADO, PEAD, DN 90 (3"), PARA REDE ENTERRADA DE DISTRIBUIÇÃO DE ENERGIA ELÉTRICA - FORNECIMENTO E INSTALAÇÃO. AF_12/2021</t>
  </si>
  <si>
    <t>ELETRODUTO FLEXÍVEL CORRUGADO, PEAD, DN 100 (4"), PARA REDE ENTERRADA DE DISTRIBUIÇÃO DE ENERGIA ELÉTRICA - FORNECIMENTO E INSTALAÇÃO. AF_12/2021</t>
  </si>
  <si>
    <t>LUVA PARA ELETRODUTO, PVC, ROSCÁVEL, DN 20 MM (1/2"), PARA CIRCUITOS TERMINAIS, INSTALADA EM FORRO - FORNECIMENTO E INSTALAÇÃO. AF_03/2023</t>
  </si>
  <si>
    <t>LUVA PARA ELETRODUTO, PVC, ROSCÁVEL, DN 25 MM (3/4"), PARA CIRCUITOS TERMINAIS, INSTALADA EM FORRO - FORNECIMENTO E INSTALAÇÃO. AF_03/2023</t>
  </si>
  <si>
    <t>LUVA PARA ELETRODUTO, PVC, ROSCÁVEL, DN 32 MM (1"), PARA CIRCUITOS TERMINAIS, INSTALADA EM FORRO - FORNECIMENTO E INSTALAÇÃO. AF_03/2023</t>
  </si>
  <si>
    <t>10,71</t>
  </si>
  <si>
    <t>LUVA PARA ELETRODUTO, PVC, ROSCÁVEL, DN 40 MM (1 1/4"), PARA CIRCUITOS TERMINAIS, INSTALADA EM FORRO - FORNECIMENTO E INSTALAÇÃO. AF_03/2023</t>
  </si>
  <si>
    <t>LUVA PARA ELETRODUTO, PVC, ROSCÁVEL, DN 20 MM (1/2"), PARA CIRCUITOS TERMINAIS, INSTALADA EM LAJE - FORNECIMENTO E INSTALAÇÃO. AF_03/2023</t>
  </si>
  <si>
    <t>LUVA PARA ELETRODUTO, PVC, ROSCÁVEL, DN 25 MM (3/4"), PARA CIRCUITOS TERMINAIS, INSTALADA EM LAJE - FORNECIMENTO E INSTALAÇÃO. AF_03/2023</t>
  </si>
  <si>
    <t>LUVA PARA ELETRODUTO, PVC, ROSCÁVEL, DN 32 MM (1"), PARA CIRCUITOS TERMINAIS, INSTALADA EM LAJE - FORNECIMENTO E INSTALAÇÃO. AF_03/2023</t>
  </si>
  <si>
    <t>LUVA PARA ELETRODUTO, PVC, ROSCÁVEL, DN 40 MM (1 1/4"), PARA CIRCUITOS TERMINAIS, INSTALADA EM LAJE - FORNECIMENTO E INSTALAÇÃO. AF_03/2023</t>
  </si>
  <si>
    <t>LUVA PARA ELETRODUTO, PVC, ROSCÁVEL, DN 20 MM (1/2"), PARA CIRCUITOS TERMINAIS, INSTALADA EM PAREDE - FORNECIMENTO E INSTALAÇÃO. AF_03/2023</t>
  </si>
  <si>
    <t>LUVA PARA ELETRODUTO, PVC, ROSCÁVEL, DN 25 MM (3/4"), PARA CIRCUITOS TERMINAIS, INSTALADA EM PAREDE - FORNECIMENTO E INSTALAÇÃO. AF_03/2023</t>
  </si>
  <si>
    <t>LUVA PARA ELETRODUTO, PVC, ROSCÁVEL, DN 32 MM (1"), PARA CIRCUITOS TERMINAIS, INSTALADA EM PAREDE - FORNECIMENTO E INSTALAÇÃO. AF_03/2023</t>
  </si>
  <si>
    <t>LUVA PARA ELETRODUTO, PVC, ROSCÁVEL, DN 40 MM (1 1/4"), PARA CIRCUITOS TERMINAIS, INSTALADA EM PAREDE - FORNECIMENTO E INSTALAÇÃO. AF_03/2023</t>
  </si>
  <si>
    <t>CURVA 90 GRAUS PARA ELETRODUTO, PVC, ROSCÁVEL, DN 20 MM (1/2"), PARA CIRCUITOS TERMINAIS, INSTALADA EM FORRO - FORNECIMENTO E INSTALAÇÃO. AF_03/2023</t>
  </si>
  <si>
    <t>CURVA 180 GRAUS PARA ELETRODUTO, PVC, ROSCÁVEL, DN 20 MM (1/2"), PARA CIRCUITOS TERMINAIS, INSTALADA EM FORRO - FORNECIMENTO E INSTALAÇÃO. AF_03/2023</t>
  </si>
  <si>
    <t>CURVA 90 GRAUS PARA ELETRODUTO, PVC, ROSCÁVEL, DN 25 MM (3/4"), PARA CIRCUITOS TERMINAIS, INSTALADA EM FORRO - FORNECIMENTO E INSTALAÇÃO. AF_03/2023</t>
  </si>
  <si>
    <t>CURVA 180 GRAUS PARA ELETRODUTO, PVC, ROSCÁVEL, DN 25 MM (3/4"), PARA CIRCUITOS TERMINAIS, INSTALADA EM FORRO - FORNECIMENTO E INSTALAÇÃO. AF_03/2023</t>
  </si>
  <si>
    <t>CURVA 90 GRAUS PARA ELETRODUTO, PVC, ROSCÁVEL, DN 32 MM (1"), PARA CIRCUITOS TERMINAIS, INSTALADA EM FORRO - FORNECIMENTO E INSTALAÇÃO. AF_03/2023</t>
  </si>
  <si>
    <t>17,92</t>
  </si>
  <si>
    <t>CURVA 180 GRAUS PARA ELETRODUTO, PVC, ROSCÁVEL, DN 32 MM (1"), PARA CIRCUITOS TERMINAIS, INSTALADA EM FORRO - FORNECIMENTO E INSTALAÇÃO. AF_03/2023</t>
  </si>
  <si>
    <t>CURVA 90 GRAUS PARA ELETRODUTO, PVC, ROSCÁVEL, DN 40 MM (1 1/4"), PARA CIRCUITOS TERMINAIS, INSTALADA EM FORRO - FORNECIMENTO E INSTALAÇÃO. AF_03/2023</t>
  </si>
  <si>
    <t>CURVA 180 GRAUS PARA ELETRODUTO, PVC, ROSCÁVEL, DN 40 MM (1 1/4"), PARA CIRCUITOS TERMINAIS, INSTALADA EM FORRO - FORNECIMENTO E INSTALAÇÃO. AF_03/2023</t>
  </si>
  <si>
    <t>CURVA 90 GRAUS PARA ELETRODUTO, PVC, ROSCÁVEL, DN 20 MM (1/2"), PARA CIRCUITOS TERMINAIS, INSTALADA EM LAJE - FORNECIMENTO E INSTALAÇÃO. AF_03/2023</t>
  </si>
  <si>
    <t>CURVA 180 GRAUS PARA ELETRODUTO, PVC, ROSCÁVEL, DN 20 MM (1/2"), PARA CIRCUITOS TERMINAIS, INSTALADA EM LAJE - FORNECIMENTO E INSTALAÇÃO. AF_03/2023</t>
  </si>
  <si>
    <t>CURVA 90 GRAUS PARA ELETRODUTO, PVC, ROSCÁVEL, DN 25 MM (3/4"), PARA CIRCUITOS TERMINAIS, INSTALADA EM LAJE - FORNECIMENTO E INSTALAÇÃO. AF_03/2023</t>
  </si>
  <si>
    <t>CURVA 180 GRAUS PARA ELETRODUTO, PVC, ROSCÁVEL, DN 25 MM (3/4"), PARA CIRCUITOS TERMINAIS, INSTALADA EM LAJE - FORNECIMENTO E INSTALAÇÃO. AF_03/2023</t>
  </si>
  <si>
    <t>CURVA 90 GRAUS PARA ELETRODUTO, PVC, ROSCÁVEL, DN 32 MM (1"), PARA CIRCUITOS TERMINAIS, INSTALADA EM LAJE - FORNECIMENTO E INSTALAÇÃO. AF_03/2023</t>
  </si>
  <si>
    <t>15,48</t>
  </si>
  <si>
    <t>CURVA 180 GRAUS PARA ELETRODUTO, PVC, ROSCÁVEL, DN 32 MM (1"), PARA CIRCUITOS TERMINAIS, INSTALADA EM LAJE - FORNECIMENTO E INSTALAÇÃO. AF_03/2023</t>
  </si>
  <si>
    <t>CURVA 90 GRAUS PARA ELETRODUTO, PVC, ROSCÁVEL, DN 40 MM (1 1/4"), PARA CIRCUITOS TERMINAIS, INSTALADA EM LAJE - FORNECIMENTO E INSTALAÇÃO. AF_03/2023</t>
  </si>
  <si>
    <t>CURVA 180 GRAUS PARA ELETRODUTO, PVC, ROSCÁVEL, DN 40 MM (1 1/4"), PARA CIRCUITOS TERMINAIS, INSTALADA EM LAJE - FORNECIMENTO E INSTALAÇÃO. AF_03/2023</t>
  </si>
  <si>
    <t>CURVA 90 GRAUS PARA ELETRODUTO, PVC, ROSCÁVEL, DN 20 MM (1/2"), PARA CIRCUITOS TERMINAIS, INSTALADA EM PAREDE - FORNECIMENTO E INSTALAÇÃO. AF_03/2023</t>
  </si>
  <si>
    <t>CURVA 180 GRAUS PARA ELETRODUTO, PVC, ROSCÁVEL, DN 20 MM (1/2"), PARA CIRCUITOS TERMINAIS, INSTALADA EM PAREDE - FORNECIMENTO E INSTALAÇÃO. AF_03/2023</t>
  </si>
  <si>
    <t>CURVA 90 GRAUS PARA ELETRODUTO, PVC, ROSCÁVEL, DN 25 MM (3/4"), PARA CIRCUITOS TERMINAIS, INSTALADA EM PAREDE - FORNECIMENTO E INSTALAÇÃO. AF_03/2023</t>
  </si>
  <si>
    <t>CURVA 180 GRAUS PARA ELETRODUTO, PVC, ROSCÁVEL, DN 25 MM (3/4"), PARA CIRCUITOS TERMINAIS, INSTALADA EM PAREDE - FORNECIMENTO E INSTALAÇÃO. AF_03/2023</t>
  </si>
  <si>
    <t>CURVA 90 GRAUS PARA ELETRODUTO, PVC, ROSCÁVEL, DN 32 MM (1"), PARA CIRCUITOS TERMINAIS, INSTALADA EM PAREDE - FORNECIMENTO E INSTALAÇÃO. AF_03/2023</t>
  </si>
  <si>
    <t>CURVA 180 GRAUS PARA ELETRODUTO, PVC, ROSCÁVEL, DN 32 MM (1"), PARA CIRCUITOS TERMINAIS, INSTALADA EM PAREDE - FORNECIMENTO E INSTALAÇÃO. AF_03/2023</t>
  </si>
  <si>
    <t>CURVA 90 GRAUS PARA ELETRODUTO, PVC, ROSCÁVEL, DN 40 MM (1 1/4"), PARA CIRCUITOS TERMINAIS, INSTALADA EM PAREDE - FORNECIMENTO E INSTALAÇÃO. AF_03/2023</t>
  </si>
  <si>
    <t>CURVA 180 GRAUS PARA ELETRODUTO, PVC, ROSCÁVEL, DN 40 MM (1 1/4"), PARA CIRCUITOS TERMINAIS, INSTALADA EM PAREDE - FORNECIMENTO E INSTALAÇÃO. AF_03/2023</t>
  </si>
  <si>
    <t>LUVA PARA ELETRODUTO, PVC, ROSCÁVEL, DN 50 MM (1 1/2"), PARA REDE ENTERRADA DE DISTRIBUIÇÃO DE ENERGIA ELÉTRICA - FORNECIMENTO E INSTALAÇÃO. AF_12/2021</t>
  </si>
  <si>
    <t>LUVA PARA ELETRODUTO, PVC, ROSCÁVEL, DN 60 MM (2"), PARA REDE ENTERRADA DE DISTRIBUIÇÃO DE ENERGIA ELÉTRICA - FORNECIMENTO E INSTALAÇÃO. AF_12/2021</t>
  </si>
  <si>
    <t>LUVA PARA ELETRODUTO, PVC, ROSCÁVEL, DN 75 MM (2 1/2"), PARA REDE ENTERRADA DE DISTRIBUIÇÃO DE ENERGIA ELÉTRICA - FORNECIMENTO E INSTALAÇÃO. AF_12/2021</t>
  </si>
  <si>
    <t>LUVA PARA ELETRODUTO, PVC, ROSCÁVEL, DN 85 MM (3"), PARA REDE ENTERRADA DE DISTRIBUIÇÃO DE ENERGIA ELÉTRICA - FORNECIMENTO E INSTALAÇÃO. AF_12/2021</t>
  </si>
  <si>
    <t>LUVA PARA ELETRODUTO, PVC, ROSCÁVEL, DN 110 MM (4"), PARA REDE ENTERRADA DE DISTRIBUIÇÃO DE ENERGIA ELÉTRICA - FORNECIMENTO E INSTALAÇÃO. AF_12/2021</t>
  </si>
  <si>
    <t>CURVA 90 GRAUS PARA ELETRODUTO, PVC, ROSCÁVEL, DN 50 MM (1 1/2"), PARA REDE ENTERRADA DE DISTRIBUIÇÃO DE ENERGIA ELÉTRICA - FORNECIMENTO E INSTALAÇÃO. AF_12/2021</t>
  </si>
  <si>
    <t>CURVA 90 GRAUS PARA ELETRODUTO, PVC, ROSCÁVEL, DN 60 MM (2"), PARA REDE ENTERRADA DE DISTRIBUIÇÃO DE ENERGIA ELÉTRICA - FORNECIMENTO E INSTALAÇÃO. AF_12/2021</t>
  </si>
  <si>
    <t>CURVA 90 GRAUS PARA ELETRODUTO, PVC, ROSCÁVEL, DN 75 MM (2 1/2"), PARA REDE ENTERRADA DE DISTRIBUIÇÃO DE ENERGIA ELÉTRICA - FORNECIMENTO E INSTALAÇÃO. AF_12/2021</t>
  </si>
  <si>
    <t>CURVA 90 GRAUS PARA ELETRODUTO, PVC, ROSCÁVEL, DN 85 MM (3"), PARA REDE ENTERRADA DE DISTRIBUIÇÃO DE ENERGIA ELÉTRICA - FORNECIMENTO E INSTALAÇÃO. AF_12/2021</t>
  </si>
  <si>
    <t>CURVA 90 GRAUS PARA ELETRODUTO, PVC, ROSCÁVEL, DN 110 MM (4"), PARA REDE ENTERRADA DE DISTRIBUIÇÃO DE ENERGIA ELÉTRICA - FORNECIMENTO E INSTALAÇÃO. AF_12/2021</t>
  </si>
  <si>
    <t>CURVA 135 GRAUS PARA ELETRODUTO, PVC, ROSCÁVEL, DN 25 MM (3/4"), PARA CIRCUITOS TERMINAIS, INSTALADA EM FORRO - FORNECIMENTO E INSTALAÇÃO. AF_03/2023</t>
  </si>
  <si>
    <t>CURVA 135 GRAUS PARA ELETRODUTO, PVC, ROSCÁVEL, DN 25 MM (3/4"), PARA CIRCUITOS TERMINAIS, INSTALADA EM LAJE - FORNECIMENTO E INSTALAÇÃO. AF_03/2023</t>
  </si>
  <si>
    <t>CURVA 135 GRAUS PARA ELETRODUTO, PVC, ROSCÁVEL, DN 25 MM (3/4"), PARA CIRCUITOS TERMINAIS, INSTALADA EM PAREDE - FORNECIMENTO E INSTALAÇÃO. AF_03/2023</t>
  </si>
  <si>
    <t>19,16</t>
  </si>
  <si>
    <t>104395</t>
  </si>
  <si>
    <t>CONDULETE DE PVC, TIPO E, PARA ELETRODUTO DE PVC SOLDÁVEL DN 20 MM (1/2''), APARENTE - FORNECIMENTO E INSTALAÇÃO. AF_10/2022</t>
  </si>
  <si>
    <t>CABO DE COBRE FLEXÍVEL ISOLADO, 1,5 MM², ANTI-CHAMA 450/750 V, PARA CIRCUITOS TERMINAIS - FORNECIMENTO E INSTALAÇÃO. AF_03/2023</t>
  </si>
  <si>
    <t>CABO DE COBRE FLEXÍVEL ISOLADO, 1,5 MM², ANTI-CHAMA 0,6/1,0 KV, PARA CIRCUITOS TERMINAIS - FORNECIMENTO E INSTALAÇÃO. AF_03/2023</t>
  </si>
  <si>
    <t>CABO DE COBRE FLEXÍVEL ISOLADO, 2,5 MM², ANTI-CHAMA 450/750 V, PARA CIRCUITOS TERMINAIS - FORNECIMENTO E INSTALAÇÃO. AF_03/2023</t>
  </si>
  <si>
    <t>CABO DE COBRE FLEXÍVEL ISOLADO, 2,5 MM², ANTI-CHAMA 0,6/1,0 KV, PARA CIRCUITOS TERMINAIS - FORNECIMENTO E INSTALAÇÃO. AF_03/2023</t>
  </si>
  <si>
    <t>CABO DE COBRE FLEXÍVEL ISOLADO, 4 MM², ANTI-CHAMA 450/750 V, PARA CIRCUITOS TERMINAIS - FORNECIMENTO E INSTALAÇÃO. AF_03/2023</t>
  </si>
  <si>
    <t>CABO DE COBRE FLEXÍVEL ISOLADO, 4 MM², ANTI-CHAMA 0,6/1,0 KV, PARA CIRCUITOS TERMINAIS - FORNECIMENTO E INSTALAÇÃO. AF_03/2023</t>
  </si>
  <si>
    <t>6,70</t>
  </si>
  <si>
    <t>CABO DE COBRE FLEXÍVEL ISOLADO, 6 MM², ANTI-CHAMA 450/750 V, PARA CIRCUITOS TERMINAIS - FORNECIMENTO E INSTALAÇÃO. AF_03/2023</t>
  </si>
  <si>
    <t>CABO DE COBRE FLEXÍVEL ISOLADO, 6 MM², ANTI-CHAMA 0,6/1,0 KV, PARA CIRCUITOS TERMINAIS - FORNECIMENTO E INSTALAÇÃO. AF_03/2023</t>
  </si>
  <si>
    <t>CABO DE COBRE FLEXÍVEL ISOLADO, 10 MM², ANTI-CHAMA 450/750 V, PARA CIRCUITOS TERMINAIS - FORNECIMENTO E INSTALAÇÃO. AF_03/2023</t>
  </si>
  <si>
    <t>CABO DE COBRE FLEXÍVEL ISOLADO, 10 MM², ANTI-CHAMA 0,6/1,0 KV, PARA CIRCUITOS TERMINAIS - FORNECIMENTO E INSTALAÇÃO. AF_03/2023</t>
  </si>
  <si>
    <t>CABO DE COBRE FLEXÍVEL ISOLADO, 16 MM², ANTI-CHAMA 450/750 V, PARA CIRCUITOS TERMINAIS - FORNECIMENTO E INSTALAÇÃO. AF_03/2023</t>
  </si>
  <si>
    <t>CABO DE COBRE FLEXÍVEL ISOLADO, 16 MM², ANTI-CHAMA 0,6/1,0 KV, PARA CIRCUITOS TERMINAIS - FORNECIMENTO E INSTALAÇÃO. AF_03/2023</t>
  </si>
  <si>
    <t>CABO DE COBRE FLEXÍVEL ISOLADO, 25 MM², ANTI-CHAMA 0,6/1,0 KV, PARA REDE ENTERRADA DE DISTRIBUIÇÃO DE ENERGIA ELÉTRICA - FORNECIMENTO E INSTALAÇÃO. AF_12/2021</t>
  </si>
  <si>
    <t>CABO DE COBRE FLEXÍVEL ISOLADO, 35 MM², ANTI-CHAMA 0,6/1,0 KV, PARA REDE ENTERRADA DE DISTRIBUIÇÃO DE ENERGIA ELÉTRICA - FORNECIMENTO E INSTALAÇÃO. AF_12/2021</t>
  </si>
  <si>
    <t>CABO DE COBRE FLEXÍVEL ISOLADO, 50 MM², ANTI-CHAMA 0,6/1,0 KV, PARA REDE ENTERRADA DE DISTRIBUIÇÃO DE ENERGIA ELÉTRICA - FORNECIMENTO E INSTALAÇÃO. AF_12/2021</t>
  </si>
  <si>
    <t>CABO DE COBRE FLEXÍVEL ISOLADO, 70 MM², ANTI-CHAMA 0,6/1,0 KV, PARA REDE ENTERRADA DE DISTRIBUIÇÃO DE ENERGIA ELÉTRICA - FORNECIMENTO E INSTALAÇÃO. AF_12/2021</t>
  </si>
  <si>
    <t>CABO DE COBRE FLEXÍVEL ISOLADO, 95 MM², ANTI-CHAMA 0,6/1,0 KV, PARA REDE ENTERRADA DE DISTRIBUIÇÃO DE ENERGIA ELÉTRICA - FORNECIMENTO E INSTALAÇÃO. AF_12/2021</t>
  </si>
  <si>
    <t>CABO DE COBRE FLEXÍVEL ISOLADO, 120 MM², ANTI-CHAMA 0,6/1,0 KV, PARA REDE ENTERRADA DE DISTRIBUIÇÃO DE ENERGIA ELÉTRICA - FORNECIMENTO E INSTALAÇÃO. AF_12/2021</t>
  </si>
  <si>
    <t>CABO DE COBRE FLEXÍVEL ISOLADO, 150 MM², ANTI-CHAMA 0,6/1,0 KV, PARA REDE ENTERRADA DE DISTRIBUIÇÃO DE ENERGIA ELÉTRICA - FORNECIMENTO E INSTALAÇÃO. AF_12/2021</t>
  </si>
  <si>
    <t>CABO DE COBRE FLEXÍVEL ISOLADO, 185 MM², ANTI-CHAMA 0,6/1,0 KV, PARA REDE ENTERRADA DE DISTRIBUIÇÃO DE ENERGIA ELÉTRICA - FORNECIMENTO E INSTALAÇÃO. AF_12/2021</t>
  </si>
  <si>
    <t>CABO DE COBRE FLEXÍVEL ISOLADO, 240 MM², ANTI-CHAMA 0,6/1,0 KV, PARA REDE ENTERRADA DE DISTRIBUIÇÃO DE ENERGIA ELÉTRICA - FORNECIMENTO E INSTALAÇÃO. AF_12/2021</t>
  </si>
  <si>
    <t>CABO DE COBRE FLEXÍVEL ISOLADO, 300 MM², ANTI-CHAMA 0,6/1,0 KV, PARA REDE ENTERRADA DE DISTRIBUIÇÃO DE ENERGIA ELÉTRICA - FORNECIMENTO E INSTALAÇÃO. AF_12/2021</t>
  </si>
  <si>
    <t>CAIXA OCTOGONAL 4" X 4", PVC, INSTALADA EM LAJE - FORNECIMENTO E INSTALAÇÃO. AF_03/2023</t>
  </si>
  <si>
    <t>CAIXA OCTOGONAL 3" X 3", PVC, INSTALADA EM LAJE - FORNECIMENTO E INSTALAÇÃO. AF_03/2023</t>
  </si>
  <si>
    <t>CAIXA RETANGULAR 4" X 2" ALTA (2,00 M DO PISO), PVC, INSTALADA EM PAREDE - FORNECIMENTO E INSTALAÇÃO. AF_03/2023</t>
  </si>
  <si>
    <t>CAIXA RETANGULAR 4" X 2" MÉDIA (1,30 M DO PISO), PVC, INSTALADA EM PAREDE - FORNECIMENTO E INSTALAÇÃO. AF_03/2023</t>
  </si>
  <si>
    <t>CAIXA RETANGULAR 4" X 2" BAIXA (0,30 M DO PISO), PVC, INSTALADA EM PAREDE - FORNECIMENTO E INSTALAÇÃO. AF_03/2023</t>
  </si>
  <si>
    <t>CAIXA RETANGULAR 4" X 4" ALTA (2,00 M DO PISO), PVC, INSTALADA EM PAREDE - FORNECIMENTO E INSTALAÇÃO. AF_03/2023</t>
  </si>
  <si>
    <t>CAIXA RETANGULAR 4" X 4" MÉDIA (1,30 M DO PISO), PVC, INSTALADA EM PAREDE - FORNECIMENTO E INSTALAÇÃO. AF_03/2023</t>
  </si>
  <si>
    <t>CAIXA RETANGULAR 4" X 4" BAIXA (0,30 M DO PISO), PVC, INSTALADA EM PAREDE - FORNECIMENTO E INSTALAÇÃO. AF_03/2023</t>
  </si>
  <si>
    <t>CAIXA OCTOGONAL 4" X 4", METÁLICA, INSTALADA EM LAJE - FORNECIMENTO E INSTALAÇÃO. AF_03/2023</t>
  </si>
  <si>
    <t>CAIXA SEXTAVADA 3" X 3", METÁLICA, INSTALADA EM LAJE - FORNECIMENTO E INSTALAÇÃO. AF_03/2023</t>
  </si>
  <si>
    <t>CAIXA RETANGULAR 4" X 2" ALTA (2,00 M DO PISO), METÁLICA, INSTALADA EM PAREDE - FORNECIMENTO E INSTALAÇÃO. AF_03/2023</t>
  </si>
  <si>
    <t>CAIXA RETANGULAR 4" X 2" MÉDIA (1,30 M DO PISO), METÁLICA, INSTALADA EM PAREDE - FORNECIMENTO E INSTALAÇÃO. AF_03/2023</t>
  </si>
  <si>
    <t>CAIXA RETANGULAR 4" X 2" BAIXA (0,30 M DO PISO), METÁLICA, INSTALADA EM PAREDE - FORNECIMENTO E INSTALAÇÃO. AF_03/2023</t>
  </si>
  <si>
    <t>CAIXA RETANGULAR 4" X 4" ALTA (2,00 M DO PISO), METÁLICA, INSTALADA EM PAREDE - FORNECIMENTO E INSTALAÇÃO. AF_03/2023</t>
  </si>
  <si>
    <t>CAIXA RETANGULAR 4" X 4" MÉDIA (1,30 M DO PISO), METÁLICA, INSTALADA EM PAREDE - FORNECIMENTO E INSTALAÇÃO. AF_03/2023</t>
  </si>
  <si>
    <t>CAIXA RETANGULAR 4" X 4" BAIXA (0,30 M DO PISO), METÁLICA, INSTALADA EM PAREDE - FORNECIMENTO E INSTALAÇÃO. AF_03/2023</t>
  </si>
  <si>
    <t>CONDULETE DE ALUMÍNIO, TIPO B, PARA ELETRODUTO DE AÇO GALVANIZADO DN 20 MM (3/4''), APARENTE - FORNECIMENTO E INSTALAÇÃO. AF_10/2022</t>
  </si>
  <si>
    <t>CONDULETE DE ALUMÍNIO, TIPO C, PARA ELETRODUTO DE AÇO GALVANIZADO DN 20 MM (3/4''), APARENTE - FORNECIMENTO E INSTALAÇÃO. AF_10/2022</t>
  </si>
  <si>
    <t>CONDULETE DE ALUMÍNIO, TIPO E, PARA ELETRODUTO DE AÇO GALVANIZADO DN 20 MM (3/4''), APARENTE - FORNECIMENTO E INSTALAÇÃO. AF_10/2022</t>
  </si>
  <si>
    <t>CONDULETE DE ALUMÍNIO, TIPO B, PARA ELETRODUTO DE AÇO GALVANIZADO DN 25 MM (1''), APARENTE - FORNECIMENTO E INSTALAÇÃO. AF_10/2022</t>
  </si>
  <si>
    <t>CONDULETE DE ALUMÍNIO, TIPO C, PARA ELETRODUTO DE AÇO GALVANIZADO DN 25 MM (1''), APARENTE - FORNECIMENTO E INSTALAÇÃO. AF_10/2022</t>
  </si>
  <si>
    <t>CONDULETE DE ALUMÍNIO, TIPO E, ELETRODUTO DE AÇO GALVANIZADO DN 25 MM (1''), APARENTE - FORNECIMENTO E INSTALAÇÃO. AF_10/2022</t>
  </si>
  <si>
    <t>CONDULETE DE ALUMÍNIO, TIPO E, PARA ELETRODUTO DE AÇO GALVANIZADO DN 32 MM (1 1/4''), APARENTE - FORNECIMENTO E INSTALAÇÃO. AF_10/2022</t>
  </si>
  <si>
    <t>CONDULETE DE ALUMÍNIO, TIPO LR, PARA ELETRODUTO DE AÇO GALVANIZADO DN 20 MM (3/4''), APARENTE - FORNECIMENTO E INSTALAÇÃO. AF_10/2022</t>
  </si>
  <si>
    <t>CONDULETE DE ALUMÍNIO, TIPO LR, PARA ELETRODUTO DE AÇO GALVANIZADO DN 25 MM (1''), APARENTE - FORNECIMENTO E INSTALAÇÃO. AF_10/2022</t>
  </si>
  <si>
    <t>CONDULETE DE ALUMÍNIO, TIPO LR, PARA ELETRODUTO DE AÇO GALVANIZADO DN 32 MM (1 1/4''), APARENTE - FORNECIMENTO E INSTALAÇÃO. AF_10/2022</t>
  </si>
  <si>
    <t>CONDULETE DE ALUMÍNIO, TIPO T, PARA ELETRODUTO DE AÇO GALVANIZADO DN 20 MM (3/4''), APARENTE - FORNECIMENTO E INSTALAÇÃO. AF_10/2022</t>
  </si>
  <si>
    <t>CONDULETE DE ALUMÍNIO, TIPO T, PARA ELETRODUTO DE AÇO GALVANIZADO DN 25 MM (1''), APARENTE - FORNECIMENTO E INSTALAÇÃO. AF_10/2022</t>
  </si>
  <si>
    <t>CONDULETE DE ALUMÍNIO, TIPO T, PARA ELETRODUTO DE AÇO GALVANIZADO DN 32 MM (1 1/4''), APARENTE - FORNECIMENTO E INSTALAÇÃO. AF_10/2022</t>
  </si>
  <si>
    <t>CONDULETE DE ALUMÍNIO, TIPO X, PARA ELETRODUTO DE AÇO GALVANIZADO DN 20 MM (3/4''), APARENTE - FORNECIMENTO E INSTALAÇÃO. AF_10/2022</t>
  </si>
  <si>
    <t>39,94</t>
  </si>
  <si>
    <t>CONDULETE DE ALUMÍNIO, TIPO X, PARA ELETRODUTO DE AÇO GALVANIZADO DN 25 MM (1''), APARENTE - FORNECIMENTO E INSTALAÇÃO. AF_10/2022</t>
  </si>
  <si>
    <t>CONDULETE DE ALUMÍNIO, TIPO X, PARA ELETRODUTO DE AÇO GALVANIZADO DN 32 MM (1 1/4''), APARENTE - FORNECIMENTO E INSTALAÇÃO. AF_10/2022</t>
  </si>
  <si>
    <t>CONDULETE DE PVC, TIPO B, PARA ELETRODUTO DE PVC SOLDÁVEL DN 20 MM (1/2''), APARENTE - FORNECIMENTO E INSTALAÇÃO. AF_10/2022</t>
  </si>
  <si>
    <t>CONDULETE DE PVC, TIPO B, PARA ELETRODUTO DE PVC SOLDÁVEL DN 25 MM (3/4''), APARENTE - FORNECIMENTO E INSTALAÇÃO. AF_10/2022</t>
  </si>
  <si>
    <t>CONDULETE DE PVC, TIPO B, PARA ELETRODUTO DE PVC SOLDÁVEL DN 32 MM (1''), APARENTE - FORNECIMENTO E INSTALAÇÃO. AF_10/2022</t>
  </si>
  <si>
    <t>CONDULETE DE PVC, TIPO LL, PARA ELETRODUTO DE PVC SOLDÁVEL DN 20 MM (1/2''), APARENTE - FORNECIMENTO E INSTALAÇÃO. AF_10/2022</t>
  </si>
  <si>
    <t>CONDULETE DE PVC, TIPO LL, PARA ELETRODUTO DE PVC SOLDÁVEL DN 25 MM (3/4''), APARENTE - FORNECIMENTO E INSTALAÇÃO. AF_10/2022</t>
  </si>
  <si>
    <t>CONDULETE DE PVC, TIPO LL, PARA ELETRODUTO DE PVC SOLDÁVEL DN 32 MM (1''), APARENTE - FORNECIMENTO E INSTALAÇÃO. AF_10/2022</t>
  </si>
  <si>
    <t>CONDULETE DE PVC, TIPO LB, PARA ELETRODUTO DE PVC SOLDÁVEL DN 20 MM (1/2''), APARENTE - FORNECIMENTO E INSTALAÇÃO. AF_10/2022</t>
  </si>
  <si>
    <t>CONDULETE DE PVC, TIPO LB, PARA ELETRODUTO DE PVC SOLDÁVEL DN 25 MM (3/4''), APARENTE - FORNECIMENTO E INSTALAÇÃO. AF_10/2022</t>
  </si>
  <si>
    <t>CONDULETE DE PVC, TIPO LB, PARA ELETRODUTO DE PVC SOLDÁVEL DN 32 MM (1''), APARENTE - FORNECIMENTO E INSTALAÇÃO. AF_10/2022</t>
  </si>
  <si>
    <t>CONDULETE DE PVC, TIPO TB, PARA ELETRODUTO DE PVC SOLDÁVEL DN 20 MM (1/2''), APARENTE - FORNECIMENTO E INSTALAÇÃO. AF_10/2022</t>
  </si>
  <si>
    <t>CONDULETE DE PVC, TIPO TB, PARA ELETRODUTO DE PVC SOLDÁVEL DN 25 MM (3/4''), APARENTE - FORNECIMENTO E INSTALAÇÃO. AF_10/2022</t>
  </si>
  <si>
    <t>25,01</t>
  </si>
  <si>
    <t>CONDULETE DE PVC, TIPO TB, PARA ELETRODUTO DE PVC SOLDÁVEL DN 32 MM (1''), APARENTE - FORNECIMENTO E INSTALAÇÃO. AF_10/2022</t>
  </si>
  <si>
    <t>37,02</t>
  </si>
  <si>
    <t>CONDULETE DE PVC, TIPO X, PARA ELETRODUTO DE PVC SOLDÁVEL DN 20 MM (1/2''), APARENTE - FORNECIMENTO E INSTALAÇÃO. AF_10/2022</t>
  </si>
  <si>
    <t>CONDULETE DE PVC, TIPO X, PARA ELETRODUTO DE PVC SOLDÁVEL DN 32 MM (1''), APARENTE - FORNECIMENTO E INSTALAÇÃO. AF_10/2022</t>
  </si>
  <si>
    <t>104396</t>
  </si>
  <si>
    <t>CONDULETE DE PVC, TIPO E, PARA ELETRODUTO DE PVC SOLDÁVEL DN 25 MM (3/4''), APARENTE - FORNECIMENTO E INSTALAÇÃO. AF_10/2022</t>
  </si>
  <si>
    <t>104397</t>
  </si>
  <si>
    <t>CONDULETE DE PVC, TIPO E, PARA ELETRODUTO DE PVC SOLDÁVEL DN 32 MM (1''), APARENTE - FORNECIMENTO E INSTALAÇÃO. AF_10/2022</t>
  </si>
  <si>
    <t>104398</t>
  </si>
  <si>
    <t>CONDULETE DE PVC, TIPO LR, PARA ELETRODUTO DE PVC SOLDÁVEL DN 20 MM (1/2''), APARENTE - FORNECIMENTO E INSTALAÇÃO. AF_10/2022</t>
  </si>
  <si>
    <t>104399</t>
  </si>
  <si>
    <t>CONDULETE DE PVC, TIPO LR, PARA ELETRODUTO DE PVC SOLDÁVEL DN 25 MM (3/4''), APARENTE - FORNECIMENTO E INSTALAÇÃO. AF_10/2022</t>
  </si>
  <si>
    <t>104400</t>
  </si>
  <si>
    <t>CONDULETE DE PVC, TIPO LR, PARA ELETRODUTO DE PVC SOLDÁVEL DN 32 MM (1''), APARENTE - FORNECIMENTO E INSTALAÇÃO. AF_10/2022</t>
  </si>
  <si>
    <t>104401</t>
  </si>
  <si>
    <t>CONDULETE DE PVC, TIPO C, PARA ELETRODUTO DE PVC SOLDÁVEL DN 20 MM (1/2''), APARENTE - FORNECIMENTO E INSTALAÇÃO. AF_10/2022</t>
  </si>
  <si>
    <t>104402</t>
  </si>
  <si>
    <t>CONDULETE DE PVC, TIPO C, PARA ELETRODUTO DE PVC SOLDÁVEL DN 25 MM (3/4''), APARENTE - FORNECIMENTO E INSTALAÇÃO. AF_10/2022</t>
  </si>
  <si>
    <t>104403</t>
  </si>
  <si>
    <t>CONDULETE DE PVC, TIPO C, PARA ELETRODUTO DE PVC SOLDÁVEL DN 32 MM (1''), APARENTE - FORNECIMENTO E INSTALAÇÃO. AF_10/2022</t>
  </si>
  <si>
    <t>104404</t>
  </si>
  <si>
    <t>CONDULETE DE PVC, TIPO T, PARA ELETRODUTO DE PVC SOLDÁVEL DN 25 MM (3/4''), APARENTE - FORNECIMENTO E INSTALAÇÃO. AF_10/2022</t>
  </si>
  <si>
    <t>104405</t>
  </si>
  <si>
    <t>CONDULETE DE PVC, TIPO T, PARA ELETRODUTO DE PVC SOLDÁVEL DN 32 MM (1''), APARENTE - FORNECIMENTO E INSTALAÇÃO. AF_10/2022</t>
  </si>
  <si>
    <t>24,96</t>
  </si>
  <si>
    <t>127,07</t>
  </si>
  <si>
    <t>SUPORTE PARAFUSADO COM PLACA DE ENCAIXE 4" X 2" ALTO (2,00 M DO PISO) PARA PONTO ELÉTRICO - FORNECIMENTO E INSTALAÇÃO. AF_03/2023</t>
  </si>
  <si>
    <t>SUPORTE PARAFUSADO COM PLACA DE ENCAIXE 4" X 2" MÉDIO (1,30 M DO PISO) PARA PONTO ELÉTRICO - FORNECIMENTO E INSTALAÇÃO. AF_03/2023</t>
  </si>
  <si>
    <t>SUPORTE PARAFUSADO COM PLACA DE ENCAIXE 4" X 2" BAIXO (0,30 M DO PISO) PARA PONTO ELÉTRICO - FORNECIMENTO E INSTALAÇÃO. AF_03/2023</t>
  </si>
  <si>
    <t>SUPORTE PARAFUSADO COM PLACA DE ENCAIXE 4" X 4" ALTO (2,00 M DO PISO) PARA PONTO ELÉTRICO - FORNECIMENTO E INSTALAÇÃO. AF_03/2023</t>
  </si>
  <si>
    <t>SUPORTE PARAFUSADO COM PLACA DE ENCAIXE 4" X 4" MÉDIO (1,30 M DO PISO) PARA PONTO ELÉTRICO - FORNECIMENTO E INSTALAÇÃO. AF_03/2023</t>
  </si>
  <si>
    <t>SUPORTE PARAFUSADO COM PLACA DE ENCAIXE 4" X 4" BAIXO (0,30 M DO PISO) PARA PONTO ELÉTRICO - FORNECIMENTO E INSTALAÇÃO. AF_03/2023</t>
  </si>
  <si>
    <t>INTERRUPTOR SIMPLES (1 MÓDULO), 10A/250V, SEM SUPORTE E SEM PLACA - FORNECIMENTO E INSTALAÇÃO. AF_03/2023</t>
  </si>
  <si>
    <t>INTERRUPTOR SIMPLES (1 MÓDULO), 10A/250V, INCLUINDO SUPORTE E PLACA - FORNECIMENTO E INSTALAÇÃO. AF_03/2023</t>
  </si>
  <si>
    <t>32,19</t>
  </si>
  <si>
    <t>INTERRUPTOR PARALELO (1 MÓDULO), 10A/250V, SEM SUPORTE E SEM PLACA - FORNECIMENTO E INSTALAÇÃO. AF_03/2023</t>
  </si>
  <si>
    <t>INTERRUPTOR PARALELO (1 MÓDULO), 10A/250V, INCLUINDO SUPORTE E PLACA - FORNECIMENTO E INSTALAÇÃO. AF_03/2023</t>
  </si>
  <si>
    <t>INTERRUPTOR SIMPLES (1 MÓDULO) COM INTERRUPTOR PARALELO (1 MÓDULO), 10A/250V, SEM SUPORTE E SEM PLACA - FORNECIMENTO E INSTALAÇÃO. AF_03/2023</t>
  </si>
  <si>
    <t>INTERRUPTOR SIMPLES (1 MÓDULO) COM INTERRUPTOR PARALELO (1 MÓDULO), 10A/250V, INCLUINDO SUPORTE E PLACA - FORNECIMENTO E INSTALAÇÃO. AF_03/2023</t>
  </si>
  <si>
    <t>INTERRUPTOR SIMPLES (2 MÓDULOS), 10A/250V, SEM SUPORTE E SEM PLACA - FORNECIMENTO E INSTALAÇÃO. AF_03/2023</t>
  </si>
  <si>
    <t>INTERRUPTOR SIMPLES (2 MÓDULOS), 10A/250V, INCLUINDO SUPORTE E PLACA - FORNECIMENTO E INSTALAÇÃO. AF_03/2023</t>
  </si>
  <si>
    <t>INTERRUPTOR PARALELO (2 MÓDULOS), 10A/250V, SEM SUPORTE E SEM PLACA - FORNECIMENTO E INSTALAÇÃO. AF_03/2023</t>
  </si>
  <si>
    <t>INTERRUPTOR PARALELO (2 MÓDULOS), 10A/250V, INCLUINDO SUPORTE E PLACA - FORNECIMENTO E INSTALAÇÃO. AF_03/2023</t>
  </si>
  <si>
    <t>INTERRUPTOR SIMPLES (1 MÓDULO) COM INTERRUPTOR PARALELO (2 MÓDULOS), 10A/250V, SEM SUPORTE E SEM PLACA - FORNECIMENTO E INSTALAÇÃO. AF_03/2023</t>
  </si>
  <si>
    <t>INTERRUPTOR SIMPLES (1 MÓDULO) COM INTERRUPTOR PARALELO (2 MÓDULOS), 10A/250V, INCLUINDO SUPORTE E PLACA - FORNECIMENTO E INSTALAÇÃO. AF_03/2023</t>
  </si>
  <si>
    <t>INTERRUPTOR SIMPLES (2 MÓDULOS) COM INTERRUPTOR PARALELO (1 MÓDULO), 10A/250V, SEM SUPORTE E SEM PLACA - FORNECIMENTO E INSTALAÇÃO. AF_03/2023</t>
  </si>
  <si>
    <t>INTERRUPTOR SIMPLES (2 MÓDULOS) COM INTERRUPTOR PARALELO (1 MÓDULO), 10A/250V, INCLUINDO SUPORTE E PLACA - FORNECIMENTO E INSTALAÇÃO. AF_03/2023</t>
  </si>
  <si>
    <t>INTERRUPTOR SIMPLES (3 MÓDULOS), 10A/250V, SEM SUPORTE E SEM PLACA - FORNECIMENTO E INSTALAÇÃO. AF_03/2023</t>
  </si>
  <si>
    <t>INTERRUPTOR SIMPLES (3 MÓDULOS), 10A/250V, INCLUINDO SUPORTE E PLACA - FORNECIMENTO E INSTALAÇÃO. AF_03/2023</t>
  </si>
  <si>
    <t>INTERRUPTOR PARALELO (3 MÓDULOS), 10A/250V, SEM SUPORTE E SEM PLACA - FORNECIMENTO E INSTALAÇÃO. AF_03/2023</t>
  </si>
  <si>
    <t>INTERRUPTOR PARALELO (3 MÓDULOS), 10A/250V, INCLUINDO SUPORTE E PLACA - FORNECIMENTO E INSTALAÇÃO. AF_03/2023</t>
  </si>
  <si>
    <t>INTERRUPTOR SIMPLES (3 MÓDULOS) COM INTERRUPTOR PARALELO (1 MÓDULO), 10A/250V, SEM SUPORTE E SEM PLACA - FORNECIMENTO E INSTALAÇÃO. AF_03/2023</t>
  </si>
  <si>
    <t>INTERRUPTOR SIMPLES (3 MÓDULOS) COM INTERRUPTOR PARALELO (1 MÓDULO), 10A/250V, INCLUINDO SUPORTE E PLACA - FORNECIMENTO E INSTALAÇÃO. AF_03/2023</t>
  </si>
  <si>
    <t>INTERRUPTOR SIMPLES (2 MÓDULOS) COM INTERRUPTOR PARALELO (2 MÓDULOS), 10A/250V, SEM SUPORTE E SEM PLACA - FORNECIMENTO E INSTALAÇÃO. AF_03/2023</t>
  </si>
  <si>
    <t>INTERRUPTOR SIMPLES (2 MÓDULOS) COM INTERRUPTOR PARALELO (2 MÓDULOS), 10A/250V, INCLUINDO SUPORTE E PLACA - FORNECIMENTO E INSTALAÇÃO. AF_03/2023</t>
  </si>
  <si>
    <t>INTERRUPTOR SIMPLES (4 MÓDULOS), 10A/250V, SEM SUPORTE E SEM PLACA - FORNECIMENTO E INSTALAÇÃO. AF_03/2023</t>
  </si>
  <si>
    <t>INTERRUPTOR SIMPLES (4 MÓDULOS), 10A/250V, INCLUINDO SUPORTE E PLACA - FORNECIMENTO E INSTALAÇÃO. AF_03/2023</t>
  </si>
  <si>
    <t>INTERRUPTOR SIMPLES (6 MÓDULOS), 10A/250V, SEM SUPORTE E SEM PLACA - FORNECIMENTO E INSTALAÇÃO. AF_03/2023</t>
  </si>
  <si>
    <t>INTERRUPTOR SIMPLES (6 MÓDULOS), 10A/250V, INCLUINDO SUPORTE E PLACA - FORNECIMENTO E INSTALAÇÃO. AF_03/2023</t>
  </si>
  <si>
    <t>INTERRUPTOR INTERMEDIÁRIO (1 MÓDULO), 10A/250V, SEM SUPORTE E SEM PLACA - FORNECIMENTO E INSTALAÇÃO. AF_03/2023</t>
  </si>
  <si>
    <t>INTERRUPTOR INTERMEDIÁRIO (1 MÓDULO), 10A/250V, INCLUINDO SUPORTE E PLACA - FORNECIMENTO E INSTALAÇÃO. AF_03/2023</t>
  </si>
  <si>
    <t>INTERRUPTOR BIPOLAR (1 MÓDULO), 10A/250V, SEM SUPORTE E SEM PLACA - FORNECIMENTO E INSTALAÇÃO. AF_03/2023</t>
  </si>
  <si>
    <t>INTERRUPTOR BIPOLAR (1 MÓDULO), 10A/250V, INCLUINDO SUPORTE E PLACA - FORNECIMENTO E INSTALAÇÃO. AF_03/2023</t>
  </si>
  <si>
    <t>DIMMER ROTATIVO (1 MÓDULO), 220V/600W, SEM SUPORTE E SEM PLACA - FORNECIMENTO E INSTALAÇÃO. AF_03/2023</t>
  </si>
  <si>
    <t>DIMMER ROTATIVO (1 MÓDULO), 220V/600W, INCLUINDO SUPORTE E PLACA - FORNECIMENTO E INSTALAÇÃO. AF_03/2023</t>
  </si>
  <si>
    <t>INTERRUPTOR PULSADOR CAMPAINHA (1 MÓDULO), 10A/250V, SEM SUPORTE E SEM PLACA - FORNECIMENTO E INSTALAÇÃO. AF_03/2023</t>
  </si>
  <si>
    <t>INTERRUPTOR PULSADOR CAMPAINHA (1 MÓDULO), 10A/250V, INCLUINDO SUPORTE E PLACA - FORNECIMENTO E INSTALAÇÃO. AF_03/2023</t>
  </si>
  <si>
    <t>CAMPAINHA CIGARRA (1 MÓDULO), 10A/250V, SEM SUPORTE E SEM PLACA - FORNECIMENTO E INSTALAÇÃO. AF_03/2023</t>
  </si>
  <si>
    <t>CAMPAINHA CIGARRA (1 MÓDULO), 10A/250V, INCLUINDO SUPORTE E PLACA - FORNECIMENTO E INSTALAÇÃO. AF_03/2023</t>
  </si>
  <si>
    <t>INTERRUPTOR PULSADOR MINUTERIA (1 MÓDULO), 10A/250V, SEM SUPORTE E SEM PLACA - FORNECIMENTO E INSTALAÇÃO. AF_03/2023</t>
  </si>
  <si>
    <t>INTERRUPTOR PULSADOR MINUTERIA (1 MÓDULO), 10A/250V, INCLUINDO SUPORTE E PLACA - FORNECIMENTO E INSTALAÇÃO. AF_03/2023</t>
  </si>
  <si>
    <t>TOMADA ALTA DE EMBUTIR (1 MÓDULO), 2P+T 10 A, SEM SUPORTE E SEM PLACA - FORNECIMENTO E INSTALAÇÃO. AF_03/2023</t>
  </si>
  <si>
    <t>TOMADA ALTA DE EMBUTIR (1 MÓDULO), 2P+T 20 A, SEM SUPORTE E SEM PLACA - FORNECIMENTO E INSTALAÇÃO. AF_03/2023</t>
  </si>
  <si>
    <t>TOMADA ALTA DE EMBUTIR (1 MÓDULO), 2P+T 10 A, INCLUINDO SUPORTE E PLACA - FORNECIMENTO E INSTALAÇÃO. AF_03/2023</t>
  </si>
  <si>
    <t>TOMADA ALTA DE EMBUTIR (1 MÓDULO), 2P+T 20 A, INCLUINDO SUPORTE E PLACA - FORNECIMENTO E INSTALAÇÃO. AF_03/2023</t>
  </si>
  <si>
    <t>TOMADA MÉDIA DE EMBUTIR (1 MÓDULO), 2P+T 10 A, SEM SUPORTE E SEM PLACA - FORNECIMENTO E INSTALAÇÃO. AF_03/2023</t>
  </si>
  <si>
    <t>TOMADA MÉDIA DE EMBUTIR (1 MÓDULO), 2P+T 20 A, SEM SUPORTE E SEM PLACA - FORNECIMENTO E INSTALAÇÃO. AF_03/2023</t>
  </si>
  <si>
    <t>TOMADA MÉDIA DE EMBUTIR (1 MÓDULO), 2P+T 10 A, INCLUINDO SUPORTE E PLACA - FORNECIMENTO E INSTALAÇÃO. AF_03/2023</t>
  </si>
  <si>
    <t>TOMADA MÉDIA DE EMBUTIR (1 MÓDULO), 2P+T 20 A, INCLUINDO SUPORTE E PLACA - FORNECIMENTO E INSTALAÇÃO. AF_03/2023</t>
  </si>
  <si>
    <t>TOMADA BAIXA DE EMBUTIR (1 MÓDULO), 2P+T 10 A, SEM SUPORTE E SEM PLACA - FORNECIMENTO E INSTALAÇÃO. AF_03/2023</t>
  </si>
  <si>
    <t>TOMADA BAIXA DE EMBUTIR (1 MÓDULO), 2P+T 20 A, SEM SUPORTE E SEM PLACA - FORNECIMENTO E INSTALAÇÃO. AF_03/2023</t>
  </si>
  <si>
    <t>TOMADA BAIXA DE EMBUTIR (1 MÓDULO), 2P+T 10 A, INCLUINDO SUPORTE E PLACA - FORNECIMENTO E INSTALAÇÃO. AF_03/2023</t>
  </si>
  <si>
    <t>TOMADA BAIXA DE EMBUTIR (1 MÓDULO), 2P+T 20 A, INCLUINDO SUPORTE E PLACA - FORNECIMENTO E INSTALAÇÃO. AF_03/2023</t>
  </si>
  <si>
    <t>TOMADA MÉDIA DE EMBUTIR (2 MÓDULOS), 2P+T 10 A, SEM SUPORTE E SEM PLACA - FORNECIMENTO E INSTALAÇÃO. AF_03/2023</t>
  </si>
  <si>
    <t>TOMADA MÉDIA DE EMBUTIR (2 MÓDULOS), 2P+T 20 A, SEM SUPORTE E SEM PLACA - FORNECIMENTO E INSTALAÇÃO. AF_03/2023</t>
  </si>
  <si>
    <t>TOMADA MÉDIA DE EMBUTIR (2 MÓDULOS), 2P+T 10 A, INCLUINDO SUPORTE E PLACA - FORNECIMENTO E INSTALAÇÃO. AF_03/2023</t>
  </si>
  <si>
    <t>TOMADA MÉDIA DE EMBUTIR (2 MÓDULOS), 2P+T 20 A, INCLUINDO SUPORTE E PLACA - FORNECIMENTO E INSTALAÇÃO. AF_03/2023</t>
  </si>
  <si>
    <t>TOMADA BAIXA DE EMBUTIR (2 MÓDULOS), 2P+T 10 A, SEM SUPORTE E SEM PLACA - FORNECIMENTO E INSTALAÇÃO. AF_03/2023</t>
  </si>
  <si>
    <t>TOMADA BAIXA DE EMBUTIR (2 MÓDULOS), 2P+T 20 A, SEM SUPORTE E SEM PLACA - FORNECIMENTO E INSTALAÇÃO. AF_03/2023</t>
  </si>
  <si>
    <t>TOMADA BAIXA DE EMBUTIR (2 MÓDULOS), 2P+T 10 A, INCLUINDO SUPORTE E PLACA - FORNECIMENTO E INSTALAÇÃO. AF_03/2023</t>
  </si>
  <si>
    <t>TOMADA BAIXA DE EMBUTIR (2 MÓDULOS), 2P+T 20 A, INCLUINDO SUPORTE E PLACA - FORNECIMENTO E INSTALAÇÃO. AF_03/2023</t>
  </si>
  <si>
    <t>TOMADA MÉDIA DE EMBUTIR (3 MÓDULOS), 2P+T 10 A, SEM SUPORTE E SEM PLACA - FORNECIMENTO E INSTALAÇÃO. AF_03/2023</t>
  </si>
  <si>
    <t>TOMADA MÉDIA DE EMBUTIR (3 MÓDULOS), 2P+T 20 A, SEM SUPORTE E SEM PLACA - FORNECIMENTO E INSTALAÇÃO. AF_03/2023</t>
  </si>
  <si>
    <t>TOMADA MÉDIA DE EMBUTIR (3 MÓDULOS), 2P+T 10 A, INCLUINDO SUPORTE E PLACA - FORNECIMENTO E INSTALAÇÃO. AF_03/2023</t>
  </si>
  <si>
    <t>TOMADA MÉDIA DE EMBUTIR (3 MÓDULOS), 2P+T 20 A, INCLUINDO SUPORTE E PLACA - FORNECIMENTO E INSTALAÇÃO. AF_03/2023</t>
  </si>
  <si>
    <t>TOMADA BAIXA DE EMBUTIR (3 MÓDULOS), 2P+T 10 A, SEM SUPORTE E SEM PLACA - FORNECIMENTO E INSTALAÇÃO. AF_03/2023</t>
  </si>
  <si>
    <t>TOMADA BAIXA DE EMBUTIR (3 MÓDULOS), 2P+T 20 A, SEM SUPORTE E SEM PLACA - FORNECIMENTO E INSTALAÇÃO. AF_03/2023</t>
  </si>
  <si>
    <t>TOMADA BAIXA DE EMBUTIR (3 MÓDULOS), 2P+T 10 A, INCLUINDO SUPORTE E PLACA - FORNECIMENTO E INSTALAÇÃO. AF_03/2023</t>
  </si>
  <si>
    <t>TOMADA BAIXA DE EMBUTIR (3 MÓDULOS), 2P+T 20 A, INCLUINDO SUPORTE E PLACA - FORNECIMENTO E INSTALAÇÃO. AF_03/2023</t>
  </si>
  <si>
    <t>TOMADA BAIXA DE EMBUTIR (4 MÓDULOS), 2P+T 10 A, SEM SUPORTE E SEM PLACA - FORNECIMENTO E INSTALAÇÃO. AF_03/2023</t>
  </si>
  <si>
    <t>TOMADA BAIXA DE EMBUTIR (4 MÓDULOS), 2P+T 10 A, INCLUINDO SUPORTE E PLACA - FORNECIMENTO E INSTALAÇÃO. AF_03/2023</t>
  </si>
  <si>
    <t>TOMADA BAIXA DE EMBUTIR (6 MÓDULOS), 2P+T 10 A, SEM SUPORTE E SEM PLACA - FORNECIMENTO E INSTALAÇÃO. AF_03/2023</t>
  </si>
  <si>
    <t>TOMADA BAIXA DE EMBUTIR (6 MÓDULOS), 2P+T 10 A, INCLUINDO SUPORTE E PLACA - FORNECIMENTO E INSTALAÇÃO. AF_03/2023</t>
  </si>
  <si>
    <t>INTERRUPTOR SIMPLES (1 MÓDULO) COM 1 TOMADA DE EMBUTIR 2P+T 10 A, SEM SUPORTE E SEM PLACA - FORNECIMENTO E INSTALAÇÃO. AF_03/2023</t>
  </si>
  <si>
    <t>INTERRUPTOR SIMPLES (1 MÓDULO) COM 1 TOMADA DE EMBUTIR 2P+T 10 A, INCLUINDO SUPORTE E PLACA - FORNECIMENTO E INSTALAÇÃO. AF_03/2023</t>
  </si>
  <si>
    <t>INTERRUPTOR SIMPLES (1 MÓDULO) COM 2 TOMADAS DE EMBUTIR 2P+T 10 A, SEM SUPORTE E SEM PLACA - FORNECIMENTO E INSTALAÇÃO. AF_03/2023</t>
  </si>
  <si>
    <t>INTERRUPTOR SIMPLES (1 MÓDULO) COM 2 TOMADAS DE EMBUTIR 2P+T 10 A, INCLUINDO SUPORTE E PLACA - FORNECIMENTO E INSTALAÇÃO. AF_03/2023</t>
  </si>
  <si>
    <t>INTERRUPTOR SIMPLES (2 MÓDULOS) COM 1 TOMADA DE EMBUTIR 2P+T 10 A, SEM SUPORTE E SEM PLACA - FORNECIMENTO E INSTALAÇÃO. AF_03/2023</t>
  </si>
  <si>
    <t>INTERRUPTOR SIMPLES (2 MÓDULOS) COM 1 TOMADA DE EMBUTIR 2P+T 10 A, INCLUINDO SUPORTE E PLACA - FORNECIMENTO E INSTALAÇÃO. AF_03/2023</t>
  </si>
  <si>
    <t>INTERRUPTOR PARALELO (1 MÓDULO) COM 1 TOMADA DE EMBUTIR 2P+T 10 A, SEM SUPORTE E SEM PLACA - FORNECIMENTO E INSTALAÇÃO. AF_03/2023</t>
  </si>
  <si>
    <t>INTERRUPTOR PARALELO (1 MÓDULO) COM 1 TOMADA DE EMBUTIR 2P+T 10 A, INCLUINDO SUPORTE E PLACA - FORNECIMENTO E INSTALAÇÃO. AF_03/2023</t>
  </si>
  <si>
    <t>INTERRUPTOR PARALELO (1 MÓDULO) COM 2 TOMADAS DE EMBUTIR 2P+T 10 A, SEM SUPORTE E SEM PLACA - FORNECIMENTO E INSTALAÇÃO. AF_03/2023</t>
  </si>
  <si>
    <t>INTERRUPTOR PARALELO (1 MÓDULO) COM 2 TOMADAS DE EMBUTIR 2P+T 10 A, INCLUINDO SUPORTE E PLACA - FORNECIMENTO E INSTALAÇÃO. AF_03/2023</t>
  </si>
  <si>
    <t>INTERRUPTOR PARALELO (2 MÓDULOS) COM 1 TOMADA DE EMBUTIR 2P+T 10 A, SEM SUPORTE E SEM PLACA - FORNECIMENTO E INSTALAÇÃO. AF_03/2023</t>
  </si>
  <si>
    <t>INTERRUPTOR PARALELO (2 MÓDULOS) COM 1 TOMADA DE EMBUTIR 2P+T 10 A, INCLUINDO SUPORTE E PLACA - FORNECIMENTO E INSTALAÇÃO. AF_03/2023</t>
  </si>
  <si>
    <t>INTERRUPTOR SIMPLES (1 MÓDULO), INTERRUPTOR PARALELO (1 MÓDULO) E 1 TOMADA DE EMBUTIR 2P+T 10 A, SEM SUPORTE E SEM PLACA - FORNECIMENTO E INSTALAÇÃO. AF_03/2023</t>
  </si>
  <si>
    <t>INTERRUPTOR SIMPLES (1 MÓDULO), INTERRUPTOR PARALELO (1 MÓDULO) E 1 TOMADA DE EMBUTIR 2P+T 10 A, INCLUINDO SUPORTE E PLACA - FORNECIMENTO E INSTALAÇÃO. AF_03/2023</t>
  </si>
  <si>
    <t>94,21</t>
  </si>
  <si>
    <t>50,89</t>
  </si>
  <si>
    <t>103782</t>
  </si>
  <si>
    <t>39,06</t>
  </si>
  <si>
    <t>ENTRADA DE ENERGIA ELÉTRICA, AÉREA, MONOFÁSICA, COM CAIXA DE SOBREPOR, CABO DE 10 MM2 E DISJUNTOR DIN 50A (NÃO INCLUSO O POSTE DE CONCRETO). AF_07/2020_PS</t>
  </si>
  <si>
    <t>ENTRADA DE ENERGIA ELÉTRICA, AÉREA, MONOFÁSICA, COM CAIXA DE SOBREPOR, CABO DE 16 MM2 E DISJUNTOR DIN 50A (NÃO INCLUSO O POSTE DE CONCRETO). AF_07/2020_PS</t>
  </si>
  <si>
    <t>ENTRADA DE ENERGIA ELÉTRICA, AÉREA, MONOFÁSICA, COM CAIXA DE SOBREPOR, CABO DE 25 MM2 E DISJUNTOR DIN 50A (NÃO INCLUSO O POSTE DE CONCRETO). AF_07/2020_PS</t>
  </si>
  <si>
    <t>ENTRADA DE ENERGIA ELÉTRICA, AÉREA, MONOFÁSICA, COM CAIXA DE SOBREPOR, CABO DE 35 MM2 E DISJUNTOR DIN 50A (NÃO INCLUSO O POSTE DE CONCRETO). AF_07/2020_PS</t>
  </si>
  <si>
    <t>ENTRADA DE ENERGIA ELÉTRICA, AÉREA, MONOFÁSICA, COM CAIXA DE EMBUTIR, CABO DE 10 MM2 E DISJUNTOR DIN 50A (NÃO INCLUSO O POSTE DE CONCRETO). AF_07/2020_PS</t>
  </si>
  <si>
    <t>ENTRADA DE ENERGIA ELÉTRICA, AÉREA, MONOFÁSICA, COM CAIXA DE EMBUTIR, CABO DE 16 MM2 E DISJUNTOR DIN 50A (NÃO INCLUSO O POSTE DE CONCRETO). AF_07/2020_PS</t>
  </si>
  <si>
    <t>ENTRADA DE ENERGIA ELÉTRICA, AÉREA, MONOFÁSICA, COM CAIXA DE EMBUTIR, CABO DE 25 MM2 E DISJUNTOR DIN 50A (NÃO INCLUSO O POSTE DE CONCRETO). AF_07/2020_PS</t>
  </si>
  <si>
    <t>ENTRADA DE ENERGIA ELÉTRICA, AÉREA, MONOFÁSICA, COM CAIXA DE EMBUTIR, CABO DE 35 MM2 E DISJUNTOR DIN 50A (NÃO INCLUSO O POSTE DE CONCRETO). AF_07/2020_PS</t>
  </si>
  <si>
    <t>ENTRADA DE ENERGIA ELÉTRICA, AÉREA, BIFÁSICA, COM CAIXA DE SOBREPOR, CABO DE 10 MM2 E DISJUNTOR DIN 50A (NÃO INCLUSO O POSTE DE CONCRETO). AF_07/2020_PS</t>
  </si>
  <si>
    <t>ENTRADA DE ENERGIA ELÉTRICA, AÉREA, BIFÁSICA, COM CAIXA DE SOBREPOR, CABO DE 16 MM2 E DISJUNTOR DIN 50A (NÃO INCLUSO O POSTE DE CONCRETO). AF_07/2020_PS</t>
  </si>
  <si>
    <t>ENTRADA DE ENERGIA ELÉTRICA, AÉREA, BIFÁSICA, COM CAIXA DE SOBREPOR, CABO DE 25 MM2 E DISJUNTOR DIN 50A (NÃO INCLUSO O POSTE DE CONCRETO). AF_07/2020_PS</t>
  </si>
  <si>
    <t>ENTRADA DE ENERGIA ELÉTRICA, AÉREA, BIFÁSICA, COM CAIXA DE SOBREPOR, CABO DE 35 MM2 E DISJUNTOR DIN 50A (NÃO INCLUSO O POSTE DE CONCRETO). AF_07/2020_PS</t>
  </si>
  <si>
    <t>ENTRADA DE ENERGIA ELÉTRICA, AÉREA, BIFÁSICA, COM CAIXA DE EMBUTIR, CABO DE 10 MM2 E DISJUNTOR DIN 50A (NÃO INCLUSO O POSTE DE CONCRETO). AF_07/2020_PS</t>
  </si>
  <si>
    <t>ENTRADA DE ENERGIA ELÉTRICA, AÉREA, BIFÁSICA, COM CAIXA DE EMBUTIR, CABO DE 16 MM2 E DISJUNTOR DIN 50A (NÃO INCLUSO O POSTE DE CONCRETO). AF_07/2020_PS</t>
  </si>
  <si>
    <t>ENTRADA DE ENERGIA ELÉTRICA, AÉREA, BIFÁSICA, COM CAIXA DE EMBUTIR, CABO DE 25 MM2 E DISJUNTOR DIN 50A (NÃO INCLUSO O POSTE DE CONCRETO). AF_07/2020_PS</t>
  </si>
  <si>
    <t>ENTRADA DE ENERGIA ELÉTRICA, AÉREA, BIFÁSICA, COM CAIXA DE EMBUTIR, CABO DE 35 MM2 E DISJUNTOR DIN 50A (NÃO INCLUSO O POSTE DE CONCRETO). AF_07/2020_PS</t>
  </si>
  <si>
    <t>ENTRADA DE ENERGIA ELÉTRICA, AÉREA, TRIFÁSICA, COM CAIXA DE SOBREPOR, CABO DE 10 MM2 E DISJUNTOR DIN 50A (NÃO INCLUSO O POSTE DE CONCRETO). AF_07/2020_PS</t>
  </si>
  <si>
    <t>ENTRADA DE ENERGIA ELÉTRICA, AÉREA, TRIFÁSICA, COM CAIXA DE SOBREPOR, CABO DE 16 MM2 E DISJUNTOR DIN 50A (NÃO INCLUSO O POSTE DE CONCRETO). AF_07/2020_PS</t>
  </si>
  <si>
    <t>ENTRADA DE ENERGIA ELÉTRICA, AÉREA, TRIFÁSICA, COM CAIXA DE SOBREPOR, CABO DE 25 MM2 E DISJUNTOR DIN 50A (NÃO INCLUSO O POSTE DE CONCRETO). AF_07/2020_PS</t>
  </si>
  <si>
    <t>ENTRADA DE ENERGIA ELÉTRICA, AÉREA, TRIFÁSICA, COM CAIXA DE SOBREPOR, CABO DE 35 MM2 E DISJUNTOR DIN 50A (NÃO INCLUSO O POSTE DE CONCRETO). AF_07/2020_PS</t>
  </si>
  <si>
    <t>ENTRADA DE ENERGIA ELÉTRICA, SUBTERRÂNEA, MONOFÁSICA, COM CAIXA DE SOBREPOR, CABO DE 10 MM2 E DISJUNTOR DIN 50A (NÃO INCLUSA MURETA DE ALVENARIA). AF_07/2020_PS</t>
  </si>
  <si>
    <t>ENTRADA DE ENERGIA ELÉTRICA, SUBTERRÂNEA, MONOFÁSICA, COM CAIXA DE SOBREPOR, CABO DE 16 MM2 E DISJUNTOR DIN 50A (NÃO INCLUSA MURETA DE ALVENARIA). AF_07/2020_PS</t>
  </si>
  <si>
    <t>ENTRADA DE ENERGIA ELÉTRICA, SUBTERRÂNEA, MONOFÁSICA, COM CAIXA DE SOBREPOR, CABO DE 25 MM2 E DISJUNTOR DIN 50A (NÃO INCLUSA MURETA DE ALVENARIA). AF_07/2020_PS</t>
  </si>
  <si>
    <t>ENTRADA DE ENERGIA ELÉTRICA, SUBTERRÂNEA, MONOFÁSICA, COM CAIXA DE SOBREPOR, CABO DE 35 MM2 E DISJUNTOR DIN 50A (NÃO INCLUSA MURETA DE ALVENARIA). AF_07/2020_PS</t>
  </si>
  <si>
    <t>ENTRADA DE ENERGIA ELÉTRICA, SUBTERRÂNEA, MONOFÁSICA, COM CAIXA DE EMBUTIR, CABO DE 10 MM2 E DISJUNTOR DIN 50A (NÃO INCLUSA MURETA DE ALVENARIA). AF_07/2020_PS</t>
  </si>
  <si>
    <t>ENTRADA DE ENERGIA ELÉTRICA, SUBTERRÂNEA, MONOFÁSICA, COM CAIXA DE EMBUTIR, CABO DE 16 MM2 E DISJUNTOR DIN 50A (NÃO INCLUSA MURETA DE ALVENARIA). AF_07/2020_PS</t>
  </si>
  <si>
    <t>ENTRADA DE ENERGIA ELÉTRICA, SUBTERRÂNEA, MONOFÁSICA, COM CAIXA DE EMBUTIR, CABO DE 25 MM2 E DISJUNTOR DIN 50A (NÃO INCLUSA MURETA DE ALVENARIA). AF_07/2020_PS</t>
  </si>
  <si>
    <t>ENTRADA DE ENERGIA ELÉTRICA, SUBTERRÂNEA, MONOFÁSICA, COM CAIXA DE EMBUTIR, CABO DE 35 MM2 E DISJUNTOR DIN 50A (NÃO INCLUSA MURETA DE ALVENARIA). AF_07/2020_PS</t>
  </si>
  <si>
    <t>ENTRADA DE ENERGIA ELÉTRICA, SUBTERRÂNEA, BIFÁSICA, COM CAIXA DE SOBREPOR, CABO DE 10 MM2 E DISJUNTOR DIN 50A (NÃO INCLUSA MURETA DE ALVENARIA). AF_07/2020_PS</t>
  </si>
  <si>
    <t>ENTRADA DE ENERGIA ELÉTRICA, SUBTERRÂNEA, BIFÁSICA, COM CAIXA DE SOBREPOR, CABO DE 16 MM2 E DISJUNTOR DIN 50A (NÃO INCLUSA MURETA DE ALVENARIA). AF_07/2020_PS</t>
  </si>
  <si>
    <t>ENTRADA DE ENERGIA ELÉTRICA, SUBTERRÂNEA, BIFÁSICA, COM CAIXA DE SOBREPOR, CABO DE 25 MM2 E DISJUNTOR DIN 50A (NÃO INCLUSA MURETA DE ALVENARIA). AF_07/2020_PS</t>
  </si>
  <si>
    <t>ENTRADA DE ENERGIA ELÉTRICA, SUBTERRÂNEA, BIFÁSICA, COM CAIXA DE SOBREPOR, CABO DE 35 MM2 E DISJUNTOR DIN 50A (NÃO INCLUSA MURETA DE ALVENARIA). AF_07/2020_PS</t>
  </si>
  <si>
    <t>ENTRADA DE ENERGIA ELÉTRICA, SUBTERRÂNEA, BIFÁSICA, COM CAIXA DE EMBUTIR, CABO DE 10 MM2 E DISJUNTOR DIN 50A (NÃO INCLUSA MURETA DE ALVENARIA). AF_07/2020_PS</t>
  </si>
  <si>
    <t>ENTRADA DE ENERGIA ELÉTRICA, SUBTERRÂNEA, BIFÁSICA, COM CAIXA DE EMBUTIR, CABO DE 16 MM2 E DISJUNTOR DIN 50A (NÃO INCLUSA MURETA DE ALVENARIA). AF_07/2020_PS</t>
  </si>
  <si>
    <t>ENTRADA DE ENERGIA ELÉTRICA, SUBTERRÂNEA, BIFÁSICA, COM CAIXA DE EMBUTIR, CABO DE 25 MM2 E DISJUNTOR DIN 50A (NÃO INCLUSA MURETA DE ALVENARIA). AF_07/2020_PS</t>
  </si>
  <si>
    <t>ENTRADA DE ENERGIA ELÉTRICA, SUBTERRÂNEA, BIFÁSICA, COM CAIXA DE EMBUTIR, CABO DE 35 MM2 E DISJUNTOR DIN 50A (NÃO INCLUSA MURETA DE ALVENARIA). AF_07/2020_PS</t>
  </si>
  <si>
    <t>ENTRADA DE ENERGIA ELÉTRICA, SUBTERRÂNEA, TRIFÁSICA, COM CAIXA DE SOBREPOR, CABO DE 10 MM2 E DISJUNTOR DIN 50A (NÃO INCLUSA MURETA DE ALVENARIA). AF_07/2020_PS</t>
  </si>
  <si>
    <t>ENTRADA DE ENERGIA ELÉTRICA, SUBTERRÂNEA, TRIFÁSICA, COM CAIXA DE SOBREPOR, CABO DE 16 MM2 E DISJUNTOR DIN 50A (NÃO INCLUSA MURETA DE ALVENARIA). AF_07/2020_PS</t>
  </si>
  <si>
    <t>ENTRADA DE ENERGIA ELÉTRICA, SUBTERRÂNEA, TRIFÁSICA, COM CAIXA DE SOBREPOR, CABO DE 25 MM2 E DISJUNTOR DIN 50A (NÃO INCLUSA MURETA DE ALVENARIA). AF_07/2020_PS</t>
  </si>
  <si>
    <t>ENTRADA DE ENERGIA ELÉTRICA, SUBTERRÂNEA, TRIFÁSICA, COM CAIXA DE SOBREPOR, CABO DE 35 MM2 E DISJUNTOR DIN 50A (NÃO INCLUSA MURETA DE ALVENARIA). AF_07/2020_PS</t>
  </si>
  <si>
    <t>7,85</t>
  </si>
  <si>
    <t>22,27</t>
  </si>
  <si>
    <t>69,59</t>
  </si>
  <si>
    <t>27,09</t>
  </si>
  <si>
    <t>103654</t>
  </si>
  <si>
    <t>TRANSFORMADOR DE DISTRIBUIÇÃO, 500KVA, TRIFÁSICO, 60 HZ, CLASSE 15 KV, IMERSO EM ÓLEO MINERAL, INSTALAÇÃO EM SOLO (NÃO INCLUSO ABRIGO) - FORNECIMENTO E INSTALAÇÃO. AF_02/2022</t>
  </si>
  <si>
    <t>103655</t>
  </si>
  <si>
    <t>TRANSFORMADOR DE DISTRIBUIÇÃO, 750 KVA, TRIFÁSICO, 60 HZ, CLASSE 15 KV, IMERSO EM ÓLEO MINERAL, INSTALAÇÃO EM SOLO (NÃO INCLUSO ABRIGO) - FORNECIMENTO E INSTALAÇÃO. AF_02/2022</t>
  </si>
  <si>
    <t>103656</t>
  </si>
  <si>
    <t>TRANSFORMADOR DE DISTRIBUIÇÃO, 1000 KVA, TRIFÁSICO, 60 HZ, CLASSE 15 KV, IMERSO EM ÓLEO MINERAL, INSTALAÇÃO EM SOLO (NÃO INCLUSO ABRIGO) - FORNECIMENTO E INSTALAÇÃO. AF_02/2022</t>
  </si>
  <si>
    <t>60,77</t>
  </si>
  <si>
    <t>103490</t>
  </si>
  <si>
    <t>PLACA DE CONCRETO PRÉ-MOLDADO COMO PROTEÇÃO MECÂNICA ADICIONAL NO REATERRO PARA REDE ENTERRADA DE DISTRIBUIÇÃO DE ENERGIA ELÉTRICA - FORNECIMENTO E INSTALAÇÃO. AF_12/2021</t>
  </si>
  <si>
    <t>103491</t>
  </si>
  <si>
    <t>CONCRETAGEM COMO PROTEÇÃO MECÂNICA ADICIONAL NO REATERRO PARA REDE ENTERRADA DE DISTRIBUIÇÃO DE ENERGIA ELÉTRICA - FORNECIMENTO E INSTALAÇÃO. AF_12/2021</t>
  </si>
  <si>
    <t>EXTINTOR DE INCÊNDIO PORTÁTIL COM CARGA DE ÁGUA PRESSURIZADA DE 10 L, CLASSE A - FORNECIMENTO E INSTALAÇÃO. AF_10/2020_PE</t>
  </si>
  <si>
    <t>EXTINTOR DE INCÊNDIO PORTÁTIL COM CARGA DE CO2 DE 4 KG, CLASSE BC - FORNECIMENTO E INSTALAÇÃO. AF_10/2020_PE</t>
  </si>
  <si>
    <t>EXTINTOR DE INCÊNDIO PORTÁTIL COM CARGA DE CO2 DE 6 KG, CLASSE BC - FORNECIMENTO E INSTALAÇÃO. AF_10/2020_PE</t>
  </si>
  <si>
    <t>EXTINTOR DE INCÊNDIO PORTÁTIL COM CARGA DE PQS DE 4 KG, CLASSE BC - FORNECIMENTO E INSTALAÇÃO. AF_10/2020_PE</t>
  </si>
  <si>
    <t>EXTINTOR DE INCÊNDIO PORTÁTIL COM CARGA DE PQS DE 6 KG, CLASSE BC - FORNECIMENTO E INSTALAÇÃO. AF_10/2020_PE</t>
  </si>
  <si>
    <t>EXTINTOR DE INCÊNDIO PORTÁTIL COM CARGA DE PQS DE 8 KG, CLASSE BC - FORNECIMENTO E INSTALAÇÃO. AF_10/2020_PE</t>
  </si>
  <si>
    <t>EXTINTOR DE INCÊNDIO PORTÁTIL COM CARGA DE PQS DE 12 KG, CLASSE BC - FORNECIMENTO E INSTALAÇÃO. AF_10/2020_PE</t>
  </si>
  <si>
    <t>7,13</t>
  </si>
  <si>
    <t>103244</t>
  </si>
  <si>
    <t>AR CONDICIONADO SPLIT INVERTER, HI-WALL (PAREDE), 9000 BTU/H, CICLO FRIO - FORNECIMENTO E INSTALAÇÃO. AF_11/2021_PE</t>
  </si>
  <si>
    <t>103245</t>
  </si>
  <si>
    <t>AR CONDICIONADO SPLIT ON/OFF, HI-WALL (PAREDE), 9000 BTUS/H, CICLO FRIO - FORNECIMENTO E INSTALAÇÃO. AF_11/2021_PE</t>
  </si>
  <si>
    <t>103246</t>
  </si>
  <si>
    <t>AR CONDICIONADO SPLIT ON/OFF, HI-WALL (PAREDE), 9000 BTUS/H, CICLO QUENTE/FRIO - FORNECIMENTO E INSTALAÇÃO. AF_11/2021_PE</t>
  </si>
  <si>
    <t>103247</t>
  </si>
  <si>
    <t>AR CONDICIONADO SPLIT INVERTER, HI-WALL (PAREDE), 12000 BTU/H, CICLO FRIO - FORNECIMENTO E INSTALAÇÃO. AF_11/2021_PE</t>
  </si>
  <si>
    <t>103248</t>
  </si>
  <si>
    <t>AR CONDICIONADO SPLIT ON/OFF, HI-WALL (PAREDE), 12000 BTUS/H, CICLO FRIO - FORNECIMENTO E INSTALAÇÃO. AF_11/2021_PE</t>
  </si>
  <si>
    <t>103249</t>
  </si>
  <si>
    <t>AR CONDICIONADO SPLIT ON/OFF, HI-WALL (PAREDE), 12000 BTUS/H, CICLO QUENTE/FRIO - FORNECIMENTO E INSTALAÇÃO. AF_11/2021_PE</t>
  </si>
  <si>
    <t>103250</t>
  </si>
  <si>
    <t>AR CONDICIONADO SPLIT INVERTER, HI-WALL (PAREDE), 18000 BTU/H, CICLO FRIO - FORNECIMENTO E INSTALAÇÃO. AF_11/2021_PE</t>
  </si>
  <si>
    <t>103251</t>
  </si>
  <si>
    <t>AR CONDICIONADO SPLIT ON/OFF, HI-WALL (PAREDE), 18000 BTUS/H, CICLO FRIO - FORNECIMENTO E INSTALAÇÃO. AF_11/2021_PE</t>
  </si>
  <si>
    <t>103252</t>
  </si>
  <si>
    <t>AR CONDICIONADO SPLIT ON/OFF, HI-WALL (PAREDE), 18000 BTUS/H, CICLO QUENTE/FRIO - FORNECIMENTO E INSTALAÇÃO. AF_11/2021_PE</t>
  </si>
  <si>
    <t>103253</t>
  </si>
  <si>
    <t>AR CONDICIONADO SPLIT INVERTER, HI-WALL (PAREDE), 24000 BTU/H, CICLO FRIO - FORNECIMENTO E INSTALAÇÃO. AF_11/2021_PE</t>
  </si>
  <si>
    <t>103254</t>
  </si>
  <si>
    <t>AR CONDICIONADO SPLIT ON/OFF, HI-WALL (PAREDE), 24000 BTUS/H, CICLO FRIO - FORNECIMENTO E INSTALAÇÃO. AF_11/2021_PE</t>
  </si>
  <si>
    <t>103255</t>
  </si>
  <si>
    <t>AR CONDICIONADO SPLIT ON/OFF, HI-WALL (PAREDE), 24000 BTUS/H, CICLO QUENTE/FRIO - FORNECIMENTO E INSTALAÇÃO. AF_11/2021_PE</t>
  </si>
  <si>
    <t>103256</t>
  </si>
  <si>
    <t>103257</t>
  </si>
  <si>
    <t>103258</t>
  </si>
  <si>
    <t>103259</t>
  </si>
  <si>
    <t>103260</t>
  </si>
  <si>
    <t>103261</t>
  </si>
  <si>
    <t>103262</t>
  </si>
  <si>
    <t>103263</t>
  </si>
  <si>
    <t>AR CONDICIONADO SPLIT INVERTER, PISO TETO, 48000 BTU/H, CICLO FRIO - FORNECIMENTO E INSTALAÇÃO. AF_11/2021_PE</t>
  </si>
  <si>
    <t>103264</t>
  </si>
  <si>
    <t>AR CONDICIONADO SPLIT ON/OFF, PISO TETO, 48.000 BTU/H, CICLO FRIO - FORNECIMENTO E INSTALAÇÃO. AF_11/2021_PE</t>
  </si>
  <si>
    <t>103265</t>
  </si>
  <si>
    <t>AR CONDICIONADO SPLIT INVERTER, PISO TETO, APRESENTANDO ENTRE 54000 E 58000 BTU/H, CICLO FRIO - FORNECIMENTO E INSTALAÇÃO. AF_11/2021_PE</t>
  </si>
  <si>
    <t>103266</t>
  </si>
  <si>
    <t>AR CONDICIONADO SPLIT ON/OFF, PISO TETO, 60.000 BTU/H, CICLO FRIO - FORNECIMENTO E INSTALAÇÃO. AF_11/2021_PE</t>
  </si>
  <si>
    <t>103267</t>
  </si>
  <si>
    <t>AR CONDICIONADO SPLIT ON/OFF, CASSETE (TETO), FRIO 4 VIAS 18000 BTU/H - FORNECIMENTO E INSTALAÇÃO. AF_11/2021_PE</t>
  </si>
  <si>
    <t>103268</t>
  </si>
  <si>
    <t>AR CONDICIONADO SPLIT ON/OFF, CASSETE (TETO), 18000 BTU/H, CICLO QUENTE/FRIO - FORNECIMENTO E INSTALAÇÃO. AF_11/2021_PE</t>
  </si>
  <si>
    <t>103269</t>
  </si>
  <si>
    <t>AR CONDICIONADO SPLIT ON/OFF, CASSETE (TETO), FRIO 4 VIAS 24000 BTU/H - FORNECIMENTO E INSTALAÇÃO. AF_11/2021_PE</t>
  </si>
  <si>
    <t>103270</t>
  </si>
  <si>
    <t>AR CONDICIONADO SPLIT ON/OFF, CASSETE (TETO), 24000 BTU/H, CICLO QUENTE/FRIO - FORNECIMENTO E INSTALAÇÃO. AF_11/2021_PE</t>
  </si>
  <si>
    <t>103271</t>
  </si>
  <si>
    <t>AR CONDICIONADO SPLIT ON/OFF, CASSETE (TETO), FRIO 4 VIAS 36000 BTU/H - FORNECIMENTO E INSTALAÇÃO. AF_11/2021_PE</t>
  </si>
  <si>
    <t>103272</t>
  </si>
  <si>
    <t>AR CONDICIONADO SPLIT ON/OFF, CASSETE (TETO), 36000 BTU/H, CICLO QUENTE/FRIO - FORNECIMENTO E INSTALAÇÃO. AF_11/2021_PE</t>
  </si>
  <si>
    <t>103273</t>
  </si>
  <si>
    <t>AR CONDICIONADO SPLIT ON/OFF, CASSETE (TETO), FRIO 4 VIAS 48000 BTU/H - FORNECIMENTO E INSTALAÇÃO. AF_11/2021_PE</t>
  </si>
  <si>
    <t>103274</t>
  </si>
  <si>
    <t>AR CONDICIONADO SPLIT ON/OFF, CASSETE (TETO), 48000 BTU/H, CICLO QUENTE/FRIO - FORNECIMENTO E INSTALAÇÃO. AF_11/2021_PE</t>
  </si>
  <si>
    <t>103275</t>
  </si>
  <si>
    <t>AR CONDICIONADO SPLIT ON/OFF, CASSETE (TETO), FRIO 4 VIAS 60000 BTU/H - FORNECIMENTO E INSTALAÇÃO. AF_11/2021_PE</t>
  </si>
  <si>
    <t>103276</t>
  </si>
  <si>
    <t>AR CONDICIONADO SPLIT ON/OFF, CASSETE (TETO), 60000 BTU/H, CICLO QUENTE/FRIO - FORNECIMENTO E INSTALAÇÃO. AF_11/2021_PE</t>
  </si>
  <si>
    <t>103277</t>
  </si>
  <si>
    <t>AR CONDICIONADO SPLITÃO 10 TR - FORNECIMENTO E INSTALAÇÃO. AF_11/2021_PE</t>
  </si>
  <si>
    <t>103278</t>
  </si>
  <si>
    <t>AR CONDICIONADO SPLITÃO 15 TR - FORNECIMENTO E INSTALAÇÃO. AF_11/2021_PE</t>
  </si>
  <si>
    <t>103288</t>
  </si>
  <si>
    <t>RASGO E CHUMBAMENTO EM ALVENARIA PARA TUBOS DE SPLIT PAREDE DE 9000 A 24000 BTUS/H. AF_11/2021</t>
  </si>
  <si>
    <t>103289</t>
  </si>
  <si>
    <t>103290</t>
  </si>
  <si>
    <t>103291</t>
  </si>
  <si>
    <t>103292</t>
  </si>
  <si>
    <t>98298</t>
  </si>
  <si>
    <t>CABO ELETRÔNICO CATEGORIA 6A, INSTALADO EM EDIFICAÇÃO RESIDENCIAL - FORNECIMENTO E INSTALAÇÃO. AF_11/2019</t>
  </si>
  <si>
    <t>98299</t>
  </si>
  <si>
    <t>CABO ELETRÔNICO CATEGORIA 6A, INSTALADO EM EDIFICAÇÃO INSTITUCIONAL - FORNECIMENTO E INSTALAÇÃO. AF_11/2019</t>
  </si>
  <si>
    <t>98300</t>
  </si>
  <si>
    <t>CABO COAXIAL RG6 95% - FORNECIMENTO E INSTALAÇÃO. AF_11/2019</t>
  </si>
  <si>
    <t>98305</t>
  </si>
  <si>
    <t>RACK FECHADO PARA SERVIDOR - FORNECIMENTO E INSTALAÇÃO. AF_11/2019</t>
  </si>
  <si>
    <t>98306</t>
  </si>
  <si>
    <t>BLOCO DE ENGATE RÁPIDO PARA BASTIDOR TIPO M10 - FORNECIMENTO E INSTALAÇÃO. AF_11/2019</t>
  </si>
  <si>
    <t>100553</t>
  </si>
  <si>
    <t>CABO COAXIAL RG11 95% - FORNECIMENTO E INSTALAÇÃO. AF_11/2019</t>
  </si>
  <si>
    <t>100554</t>
  </si>
  <si>
    <t>CABO COAXIAL RG59 95% - FORNECIMENTO E INSTALAÇÃO. AF_11/2019</t>
  </si>
  <si>
    <t>100555</t>
  </si>
  <si>
    <t>RACK ABERTO EM COLUNA 44U PARA SERVIDOR - FORNECIMENTO E INSTALAÇÃO. AF_11/2019</t>
  </si>
  <si>
    <t>TUBO PVC, SÉRIE R, ÁGUA PLUVIAL, DN 40 MM, FORNECIDO E INSTALADO EM RAMAL DE ENCAMINHAMENTO. AF_06/2022</t>
  </si>
  <si>
    <t>TUBO PVC, SÉRIE R, ÁGUA PLUVIAL, DN 50 MM, FORNECIDO E INSTALADO EM RAMAL DE ENCAMINHAMENTO. AF_06/2022</t>
  </si>
  <si>
    <t>TUBO PVC, SÉRIE R, ÁGUA PLUVIAL, DN 75 MM, FORNECIDO E INSTALADO EM RAMAL DE ENCAMINHAMENTO. AF_06/2022</t>
  </si>
  <si>
    <t>TUBO PVC, SÉRIE R, ÁGUA PLUVIAL, DN 100 MM, FORNECIDO E INSTALADO EM RAMAL DE ENCAMINHAMENTO. AF_06/2022</t>
  </si>
  <si>
    <t>TUBO PVC, SÉRIE R, ÁGUA PLUVIAL, DN 75 MM, FORNECIDO E INSTALADO EM CONDUTORES VERTICAIS DE ÁGUAS PLUVIAIS. AF_06/2022</t>
  </si>
  <si>
    <t>TUBO PVC, SÉRIE R, ÁGUA PLUVIAL, DN 100 MM, FORNECIDO E INSTALADO EM CONDUTORES VERTICAIS DE ÁGUAS PLUVIAIS. AF_06/2022</t>
  </si>
  <si>
    <t>TUBO PVC, SÉRIE R, ÁGUA PLUVIAL, DN 150 MM, FORNECIDO E INSTALADO EM CONDUTORES VERTICAIS DE ÁGUAS PLUVIAIS. AF_06/2022</t>
  </si>
  <si>
    <t>TUBO, CPVC, SOLDÁVEL, DN 15MM, INSTALADO EM RAMAL OU SUB-RAMAL DE ÁGUA - FORNECIMENTO E INSTALAÇÃO. AF_06/2022</t>
  </si>
  <si>
    <t>TUBO, CPVC, SOLDÁVEL, DN 22MM, INSTALADO EM RAMAL OU SUB-RAMAL DE ÁGUA - FORNECIMENTO E INSTALAÇÃO. AF_06/2022</t>
  </si>
  <si>
    <t>TUBO, CPVC, SOLDÁVEL, DN 28MM, INSTALADO EM RAMAL OU SUB-RAMAL DE ÁGUA - FORNECIMENTO E INSTALAÇÃO. AF_06/2022</t>
  </si>
  <si>
    <t>TUBO, CPVC, SOLDÁVEL, DN 35MM, INSTALADO EM RAMAL OU SUB-RAMAL DE ÁGUA   FORNECIMENTO E INSTALAÇÃO. AF_06/2022</t>
  </si>
  <si>
    <t>TUBO PVC, SERIE NORMAL, ESGOTO PREDIAL, DN 40 MM, FORNECIDO E INSTALADO EM RAMAL DE DESCARGA OU RAMAL DE ESGOTO SANITÁRIO. AF_08/2022</t>
  </si>
  <si>
    <t>TUBO PVC, SERIE NORMAL, ESGOTO PREDIAL, DN 50 MM, FORNECIDO E INSTALADO EM RAMAL DE DESCARGA OU RAMAL DE ESGOTO SANITÁRIO. AF_08/2022</t>
  </si>
  <si>
    <t>TUBO PVC, SERIE NORMAL, ESGOTO PREDIAL, DN 75 MM, FORNECIDO E INSTALADO EM RAMAL DE DESCARGA OU RAMAL DE ESGOTO SANITÁRIO. AF_08/2022</t>
  </si>
  <si>
    <t>TUBO PVC, SERIE NORMAL, ESGOTO PREDIAL, DN 100 MM, FORNECIDO E INSTALADO EM RAMAL DE DESCARGA OU RAMAL DE ESGOTO SANITÁRIO. AF_08/2022</t>
  </si>
  <si>
    <t>TUBO, CPVC, SOLDÁVEL, DN 22MM, INSTALADO EM RAMAL DE DISTRIBUIÇÃO DE ÁGUA - FORNECIMENTO E INSTALAÇÃO. AF_06/2022</t>
  </si>
  <si>
    <t>TUBO, CPVC, SOLDÁVEL, DN 28MM, INSTALADO EM RAMAL DE DISTRIBUIÇÃO DE ÁGUA - FORNECIMENTO E INSTALAÇÃO. AF_06/2022</t>
  </si>
  <si>
    <t>TUBO, CPVC, SOLDÁVEL, DN 35MM, INSTALADO EM PRUMADA DE ÁGUA   FORNECIMENTO E INSTALAÇÃO. AF_06/2022</t>
  </si>
  <si>
    <t>TUBO, CPVC, SOLDÁVEL, DN 42MM, INSTALADO EM PRUMADA DE ÁGUA   FORNECIMENTO E INSTALAÇÃO. AF_06/2022</t>
  </si>
  <si>
    <t>TUBO, CPVC, SOLDÁVEL, DN 73MM, INSTALADO EM PRUMADA DE ÁGUA   FORNECIMENTO E INSTALAÇÃO. AF_06/2022</t>
  </si>
  <si>
    <t>TUBO, CPVC, SOLDÁVEL, DN 89MM, INSTALADO EM PRUMADA DE ÁGUA   FORNECIMENTO E INSTALAÇÃO. AF_06/2022</t>
  </si>
  <si>
    <t>TUBO PVC, SERIE NORMAL, ESGOTO PREDIAL, DN 50 MM, FORNECIDO E INSTALADO EM PRUMADA DE ESGOTO SANITÁRIO OU VENTILAÇÃO. AF_08/2022</t>
  </si>
  <si>
    <t>TUBO PVC, SERIE NORMAL, ESGOTO PREDIAL, DN 75 MM, FORNECIDO E INSTALADO EM PRUMADA DE ESGOTO SANITÁRIO OU VENTILAÇÃO. AF_08/2022</t>
  </si>
  <si>
    <t>TUBO PVC, SERIE NORMAL, ESGOTO PREDIAL, DN 100 MM, FORNECIDO E INSTALADO EM PRUMADA DE ESGOTO SANITÁRIO OU VENTILAÇÃO. AF_08/2022</t>
  </si>
  <si>
    <t>TUBO PVC, SERIE NORMAL, ESGOTO PREDIAL, DN 100 MM, FORNECIDO E INSTALADO EM SUBCOLETOR AÉREO DE ESGOTO SANITÁRIO. AF_08/2022</t>
  </si>
  <si>
    <t>TUBO PVC, SERIE NORMAL, ESGOTO PREDIAL, DN 150 MM, FORNECIDO E INSTALADO EM SUBCOLETOR AÉREO DE ESGOTO SANITÁRIO. AF_08/2022</t>
  </si>
  <si>
    <t>TUBO EM COBRE RÍGIDO, DN 22 MM, CLASSE E, SEM ISOLAMENTO, INSTALADO EM PRUMADA DE HIDRÁULICA PREDIAL - FORNECIMENTO E INSTALAÇÃO. AF_04/2022</t>
  </si>
  <si>
    <t>TUBO EM COBRE RÍGIDO, DN 28 MM, CLASSE E, SEM ISOLAMENTO, INSTALADO EM PRUMADA DE HIDRÁULICA PREDIAL - FORNECIMENTO E INSTALAÇÃO. AF_04/2022</t>
  </si>
  <si>
    <t>TUBO EM COBRE RÍGIDO, DN 35 MM, CLASSE E, SEM ISOLAMENTO, INSTALADO EM PRUMADA DE HIDRÁULICA PREDIAL - FORNECIMENTO E INSTALAÇÃO. AF_04/2022</t>
  </si>
  <si>
    <t>TUBO EM COBRE RÍGIDO, DN 42 MM, CLASSE E, SEM ISOLAMENTO, INSTALADO EM PRUMADA DE HIDRÁULICA PREDIAL - FORNECIMENTO E INSTALAÇÃO. AF_04/2022</t>
  </si>
  <si>
    <t>135,71</t>
  </si>
  <si>
    <t>TUBO EM COBRE RÍGIDO, DN 54 MM, CLASSE E, SEM ISOLAMENTO, INSTALADO EM PRUMADA DE HIDRÁULICA PREDIAL - FORNECIMENTO E INSTALAÇÃO. AF_04/2022</t>
  </si>
  <si>
    <t>TUBO EM COBRE RÍGIDO, DN 66 MM, CLASSE E, SEM ISOLAMENTO, INSTALADO EM PRUMADA DE HIDRÁULICA PREDIAL - FORNECIMENTO E INSTALAÇÃO. AF_04/2022</t>
  </si>
  <si>
    <t>TUBO EM COBRE RÍGIDO, DN 22 MM, CLASSE E, COM ISOLAMENTO, INSTALADO EM PRUMADA DE HIDRÁULICA PREDIAL - FORNECIMENTO E INSTALAÇÃO. AF_04/2022</t>
  </si>
  <si>
    <t>TUBO EM COBRE RÍGIDO, DN 28 MM, CLASSE E, COM ISOLAMENTO, INSTALADO EM PRUMADA DE HIDRÁULICA PREDIAL - FORNECIMENTO E INSTALAÇÃO. AF_04/2022</t>
  </si>
  <si>
    <t>TUBO EM COBRE RÍGIDO, DN 35 MM, CLASSE E, COM ISOLAMENTO, INSTALADO EM PRUMADA DE HIDRÁULICA PREDIAL - FORNECIMENTO E INSTALAÇÃO. AF_04/2022</t>
  </si>
  <si>
    <t>TUBO EM COBRE RÍGIDO, DN 42 MM, CLASSE E, COM ISOLAMENTO, INSTALADO EM PRUMADA DE HIDRÁULICA PREDIAL - FORNECIMENTO E INSTALAÇÃO. AF_04/2022</t>
  </si>
  <si>
    <t>TUBO EM COBRE RÍGIDO, DN 54 MM, CLASSE E, COM ISOLAMENTO, INSTALADO EM PRUMADA DE HIDRÁULICA PREDIAL - FORNECIMENTO E INSTALAÇÃO. AF_04/2022</t>
  </si>
  <si>
    <t>TUBO EM COBRE RÍGIDO, DN 66 MM, CLASSE E, COM ISOLAMENTO, INSTALADO EM PRUMADA DE HIDRÁULICA PREDIAL - FORNECIMENTO E INSTALAÇÃO. AF_04/2022</t>
  </si>
  <si>
    <t>TUBO EM COBRE RÍGIDO, DN 15 MM, CLASSE E, SEM ISOLAMENTO, INSTALADO EM RAMAL DE DISTRIBUIÇÃO DE HIDRÁULICA PREDIAL - FORNECIMENTO E INSTALAÇÃO. AF_04/2022</t>
  </si>
  <si>
    <t>TUBO EM COBRE RÍGIDO, DN 22 MM, CLASSE E, SEM ISOLAMENTO, INSTALADO EM RAMAL DE DISTRIBUIÇÃO DE HIDRÁULICA PREDIAL - FORNECIMENTO E INSTALAÇÃO. AF_04/2022</t>
  </si>
  <si>
    <t>TUBO EM COBRE RÍGIDO, DN 28 MM, CLASSE E, SEM ISOLAMENTO, INSTALADO EM RAMAL DE DISTRIBUIÇÃO DE HIDRÁULICA PREDIAL - FORNECIMENTO E INSTALAÇÃO. AF_04/2022</t>
  </si>
  <si>
    <t>TUBO EM COBRE RÍGIDO, DN 15 MM, CLASSE E, COM ISOLAMENTO, INSTALADO EM RAMAL DE DISTRIBUIÇÃO DE HIDRÁULICA PREDIAL - FORNECIMENTO E INSTALAÇÃO. AF_04/2022</t>
  </si>
  <si>
    <t>TUBO EM COBRE RÍGIDO, DN 22 MM, CLASSE E, COM ISOLAMENTO, INSTALADO EM RAMAL DE DISTRIBUIÇÃO DE HIDRÁULICA PREDIAL - FORNECIMENTO E INSTALAÇÃO. AF_04/2022</t>
  </si>
  <si>
    <t>TUBO EM COBRE RÍGIDO, DN 28 MM, CLASSE E, COM ISOLAMENTO, INSTALADO EM RAMAL DE DISTRIBUIÇÃO DE HIDRÁULICA PREDIAL - FORNECIMENTO E INSTALAÇÃO. AF_04/2022</t>
  </si>
  <si>
    <t>TUBO EM COBRE RÍGIDO, DN 15 MM, CLASSE E, SEM ISOLAMENTO, INSTALADO EM RAMAL E SUB-RAMAL DE HIDRÁULICA PREDIAL - FORNECIMENTO E INSTALAÇÃO. AF_04/2022</t>
  </si>
  <si>
    <t>TUBO EM COBRE RÍGIDO, DN 22 MM, CLASSE E, SEM ISOLAMENTO, INSTALADO EM RAMAL E SUB-RAMAL DE HIDRÁULICA PREDIAL - FORNECIMENTO E INSTALAÇÃO. AF_04/2022</t>
  </si>
  <si>
    <t>TUBO EM COBRE RÍGIDO, DN 28 MM, CLASSE E, SEM ISOLAMENTO, INSTALADO EM RAMAL E SUB-RAMAL DE HIDRÁULICA PREDIAL - FORNECIMENTO E INSTALAÇÃO. AF_04/2022</t>
  </si>
  <si>
    <t>TUBO EM COBRE RÍGIDO, DN 15 MM, CLASSE E, COM ISOLAMENTO, INSTALADO EM RAMAL E SUB-RAMAL DE HIDRÁULICA PREDIAL - FORNECIMENTO E INSTALAÇÃO. AF_04/2022</t>
  </si>
  <si>
    <t>TUBO EM COBRE RÍGIDO, DN 22 MM, CLASSE E, COM ISOLAMENTO, INSTALADO EM RAMAL E SUB-RAMAL DE HIDRÁULICA PREDIAL - FORNECIMENTO E INSTALAÇÃO. AF_04/2022</t>
  </si>
  <si>
    <t>TUBO EM COBRE RÍGIDO, DN 28 MM, CLASSE E, COM ISOLAMENTO, INSTALADO EM RAMAL E SUB-RAMAL DE HIDRÁULICA PREDIAL - FORNECIMENTO E INSTALAÇÃO. AF_04/2022</t>
  </si>
  <si>
    <t>19,37</t>
  </si>
  <si>
    <t>94723</t>
  </si>
  <si>
    <t>TUBO, PPR, DN 25, CLASSE PN 20,  INSTALADO EM RAMAL OU SUB-RAMAL DE ÁGUA   FORNECIMENTO E INSTALAÇÃO. AF_08/2022</t>
  </si>
  <si>
    <t>TUBO, PPR, DN 25, CLASSE PN 25 INSTALADO EM RAMAL OU SUB-RAMAL DE ÁGUA   FORNECIMENTO E INSTALAÇÃO. AF_08/2022</t>
  </si>
  <si>
    <t>TUBO, PPR, DN 25, CLASSE PN 20,  INSTALADO EM RAMAL DE DISTRIBUIÇÃO DE ÁGUA   FORNECIMENTO E INSTALAÇÃO. AF_08/2022</t>
  </si>
  <si>
    <t>20,56</t>
  </si>
  <si>
    <t>TUBO, PPR, DN 32, CLASSE PN 12,  INSTALADO EM RAMAL DE DISTRIBUIÇÃO DE ÁGUA   FORNECIMENTO E INSTALAÇÃO. AF_08/2022</t>
  </si>
  <si>
    <t>18,17</t>
  </si>
  <si>
    <t>TUBO, PPR, DN 40, CLASSE PN 12,  INSTALADO EM RAMAL DE DISTRIBUIÇÃO DE ÁGUA   FORNECIMENTO E INSTALAÇÃO. AF_08/2022</t>
  </si>
  <si>
    <t>TUBO, PPR, DN 25, CLASSE PN 25,  INSTALADO EM RAMAL DE DISTRIBUIÇÃO DE ÁGUA   FORNECIMENTO E INSTALAÇÃO. AF_08/2022</t>
  </si>
  <si>
    <t>TUBO, PPR, DN 32, CLASSE PN 25,  INSTALADO EM RAMAL DE DISTRIBUIÇÃO DE ÁGUA   FORNECIMENTO E INSTALAÇÃO. AF_08/2022</t>
  </si>
  <si>
    <t>TUBO, PPR, DN 40, CLASSE PN 25,  INSTALADO EM RAMAL DE DISTRIBUIÇÃO DE ÁGUA   FORNECIMENTO E INSTALAÇÃO. AF_08/2022</t>
  </si>
  <si>
    <t>TUBO, PPR, DN 25, CLASSE PN 20,  INSTALADO EM PRUMADA DE ÁGUA   FORNECIMENTO E INSTALAÇÃO. AF_08/2022</t>
  </si>
  <si>
    <t>TUBO, PPR, DN 32, CLASSE PN 12,  INSTALADO EM PRUMADA DE ÁGUA   FORNECIMENTO E INSTALAÇÃO. AF_08/2022</t>
  </si>
  <si>
    <t>TUBO, PPR, DN 40, CLASSE PN 12,  INSTALADO EM PRUMADA DE ÁGUA   FORNECIMENTO E INSTALAÇÃO. AF_08/2022</t>
  </si>
  <si>
    <t>TUBO, PPR, DN 50, CLASSE PN 12,  INSTALADO EM PRUMADA DE ÁGUA   FORNECIMENTO E INSTALAÇÃO. AF_08/2022</t>
  </si>
  <si>
    <t>TUBO, PPR, DN 63, CLASSE PN 12,  INSTALADO EM PRUMADA DE ÁGUA   FORNECIMENTO E INSTALAÇÃO. AF_08/2022</t>
  </si>
  <si>
    <t>TUBO, PPR, DN 75, CLASSE PN 12,  INSTALADO EM PRUMADA DE ÁGUA   FORNECIMENTO E INSTALAÇÃO. AF_08/2022</t>
  </si>
  <si>
    <t>TUBO, PPR, DN 90, CLASSE PN 12,  INSTALADO EM PRUMADA DE ÁGUA   FORNECIMENTO E INSTALAÇÃO. AF_08/2022</t>
  </si>
  <si>
    <t>TUBO, PPR, DN 110, CLASSE PN 12,  INSTALADO EM PRUMADA DE ÁGUA   FORNECIMENTO E INSTALAÇÃO. AF_08/2022</t>
  </si>
  <si>
    <t>TUBO, PPR, DN 25, CLASSE PN 25,  INSTALADO EM PRUMADA DE ÁGUA   FORNECIMENTO E INSTALAÇÃO. AF_08/2022</t>
  </si>
  <si>
    <t>TUBO, PPR, DN 32, CLASSE PN 25,  INSTALADO EM PRUMADA DE ÁGUA   FORNECIMENTO E INSTALAÇÃO. AF_08/2022</t>
  </si>
  <si>
    <t>TUBO, PPR, DN 40, CLASSE PN 25,  INSTALADO EM PRUMADA DE ÁGUA   FORNECIMENTO E INSTALAÇÃO. AF_08/2022</t>
  </si>
  <si>
    <t>TUBO, PPR, DN 50, CLASSE PN 25,  INSTALADO EM PRUMADA DE ÁGUA   FORNECIMENTO E INSTALAÇÃO. AF_08/2022</t>
  </si>
  <si>
    <t>TUBO, PPR, DN 63, CLASSE PN 25,  INSTALADO EM PRUMADA DE ÁGUA   FORNECIMENTO E INSTALAÇÃO. AF_08/2022</t>
  </si>
  <si>
    <t>TUBO, PPR, DN 75, CLASSE PN 25,  INSTALADO EM PRUMADA DE ÁGUA   FORNECIMENTO E INSTALAÇÃO. AF_08/2022</t>
  </si>
  <si>
    <t>TUBO, PPR, DN 90, CLASSE PN 25,  INSTALADO EM PRUMADA DE ÁGUA   FORNECIMENTO E INSTALAÇÃO. AF_08/2022</t>
  </si>
  <si>
    <t>TUBO, PPR, DN 110, CLASSE PN 25,  INSTALADO EM PRUMADA DE ÁGUA   FORNECIMENTO E INSTALAÇÃO. AF_08/2022</t>
  </si>
  <si>
    <t>16,88</t>
  </si>
  <si>
    <t>TUBO, PEX, MONOCAMADA, DN 16, INSTALADO EM RAMAL/SUB-RAMAL OU DISTRIBUIÇÃO DE ÁGUA - FORNECIMENTO E INSTALAÇÃO. AF_02/2023</t>
  </si>
  <si>
    <t>TUBO, PEX, MONOCAMADA, DN 20, INSTALADO EM RAMAL/SUB-RAMAL OU DISTRIBUIÇÃO DE ÁGUA - FORNECIMENTO E INSTALAÇÃO. AF_02/2023</t>
  </si>
  <si>
    <t>TUBO, PEX, MONOCAMADA, DN 25, INSTALADO EM RAMAL/SUB-RAMAL OU DISTRIBUIÇÃO DE ÁGUA - FORNECIMENTO E INSTALAÇÃO. AF_02/2023</t>
  </si>
  <si>
    <t>TUBO, PEX, MONOCAMADA, DN 32, INSTALADO EM RAMAL/SUB-RAMAL OU DISTRIBUIÇÃO DE ÁGUA - FORNECIMENTO E INSTALAÇÃO. AF_02/2023</t>
  </si>
  <si>
    <t>41,94</t>
  </si>
  <si>
    <t>TUBO EM COBRE RÍGIDO, DN 22 MM, CLASSE A, SEM ISOLAMENTO, INSTALADO EM PRUMADA DE GÁS COMBUSTÍVEL - FORNECIMENTO E INSTALAÇÃO. AF_04/2022</t>
  </si>
  <si>
    <t>TUBO EM COBRE RÍGIDO, DN 28 MM, CLASSE A, SEM ISOLAMENTO, INSTALADO EM PRUMADA DE GÁS COMBUSTÍVEL - FORNECIMENTO E INSTALAÇÃO. AF_04/2022</t>
  </si>
  <si>
    <t>TUBO EM COBRE RÍGIDO, DN 35 MM, CLASSE A, SEM ISOLAMENTO, INSTALADO EM PRUMADA DE GÁS COMBUSTÍVEL - FORNECIMENTO E INSTALAÇÃO. AF_04/2022</t>
  </si>
  <si>
    <t>TUBO EM COBRE RÍGIDO, DN 42 MM, CLASSE A, SEM ISOLAMENTO, INSTALADO EM PRUMADA DE GÁS COMBUSTÍVEL - FORNECIMENTO E INSTALAÇÃO. AF_04/2022</t>
  </si>
  <si>
    <t>TUBO EM COBRE RÍGIDO, DN 54 MM, CLASSE A, SEM ISOLAMENTO, INSTALADO EM PRUMADA DE GÁS COMBUSTÍVEL - FORNECIMENTO E INSTALAÇÃO. AF_04/2022</t>
  </si>
  <si>
    <t>TUBO EM COBRE RÍGIDO, DN 66 MM, CLASSE A, SEM ISOLAMENTO, INSTALADO EM PRUMADA DE GÁS COMBUSTÍVEL - FORNECIMENTO E INSTALAÇÃO. AF_04/2022</t>
  </si>
  <si>
    <t>46,95</t>
  </si>
  <si>
    <t>23,39</t>
  </si>
  <si>
    <t>103802</t>
  </si>
  <si>
    <t>TUBO EM COBRE RÍGIDO, DN 15 MM, CLASSE E, SEM ISOLAMENTO, INSTALADO EM RAMAL E SUB-RAMAL DE GÁS COMBUSTÍVEL - FORNECIMENTO E INSTALAÇÃO. AF_04/2022</t>
  </si>
  <si>
    <t>103803</t>
  </si>
  <si>
    <t>TUBO EM COBRE RÍGIDO, DN 22 MM, CLASSE E, SEM ISOLAMENTO, INSTALADO EM RAMAL E SUB-RAMAL DE GÁS COMBUSTÍVEL - FORNECIMENTO E INSTALAÇÃO. AF_04/2022</t>
  </si>
  <si>
    <t>103804</t>
  </si>
  <si>
    <t>TUBO EM COBRE RÍGIDO, DN 28 MM, CLASSE E, SEM ISOLAMENTO, INSTALADO EM RAMAL E SUB-RAMAL DE GÁS COMBUSTÍVEL - FORNECIMENTO E INSTALAÇÃO. AF_04/2022</t>
  </si>
  <si>
    <t>103835</t>
  </si>
  <si>
    <t>TUBO EM COBRE RÍGIDO, DN 15 MM, CLASSE A, SEM ISOLAMENTO, INSTALADO EM RAMAL E SUB-RAMAL DE GÁS MEDICINAL - FORNECIMENTO E INSTALAÇÃO. AF_04/2022</t>
  </si>
  <si>
    <t>103836</t>
  </si>
  <si>
    <t>TUBO EM COBRE RÍGIDO, DN 22 MM, CLASSE A, SEM ISOLAMENTO, INSTALADO EM RAMAL E SUB-RAMAL DE GÁS MEDICINAL - FORNECIMENTO E INSTALAÇÃO. AF_04/2022</t>
  </si>
  <si>
    <t>103837</t>
  </si>
  <si>
    <t>TUBO EM COBRE RÍGIDO, DN 28 MM, CLASSE A, SEM ISOLAMENTO, INSTALADO EM RAMAL E SUB-RAMAL DE GÁS MEDICINAL - FORNECIMENTO E INSTALAÇÃO. AF_04/2022</t>
  </si>
  <si>
    <t>103868</t>
  </si>
  <si>
    <t>TUBO EM COBRE RÍGIDO, DN 15 MM, CLASSE E, SEM ISOLAMENTO, INSTALADO EM RAMAL E SUB-RAMAL DE AQUECIMENTO SOLAR - FORNECIMENTO E INSTALAÇÃO. AF_04/2022</t>
  </si>
  <si>
    <t>103869</t>
  </si>
  <si>
    <t>TUBO EM COBRE RÍGIDO, DN 22 MM, CLASSE E, SEM ISOLAMENTO, INSTALADO EM RAMAL E SUB-RAMAL DE AQUECIMENTO SOLAR - FORNECIMENTO E INSTALAÇÃO. AF_04/2022</t>
  </si>
  <si>
    <t>103870</t>
  </si>
  <si>
    <t>TUBO EM COBRE RÍGIDO, DN 28 MM, CLASSE E, SEM ISOLAMENTO, INSTALADO EM RAMAL E SUB-RAMAL DE AQUECIMENTO SOLAR - FORNECIMENTO E INSTALAÇÃO. AF_04/2022</t>
  </si>
  <si>
    <t>103871</t>
  </si>
  <si>
    <t>TUBO EM COBRE RÍGIDO, DN 15 MM, CLASSE E, COM ISOLAMENTO, INSTALADO EM RAMAL E SUB-RAMAL DE AQUECIMENTO SOLAR - FORNECIMENTO E INSTALAÇÃO. AF_04/2022</t>
  </si>
  <si>
    <t>103872</t>
  </si>
  <si>
    <t>TUBO EM COBRE RÍGIDO, DN 22 MM, CLASSE E, COM ISOLAMENTO, INSTALADO EM RAMAL E SUB-RAMAL DE AQUECIMENTO SOLAR - FORNECIMENTO E INSTALAÇÃO. AF_04/2022</t>
  </si>
  <si>
    <t>103873</t>
  </si>
  <si>
    <t>TUBO EM COBRE RÍGIDO, DN 28 MM, CLASSE E, COM ISOLAMENTO, INSTALADO EM RAMAL E SUB-RAMAL DE AQUECIMENTO SOLAR - FORNECIMENTO E INSTALAÇÃO. AF_04/2022</t>
  </si>
  <si>
    <t>103978</t>
  </si>
  <si>
    <t>103979</t>
  </si>
  <si>
    <t>104021</t>
  </si>
  <si>
    <t>TUBO, CPVC, SOLDÁVEL, DN 42MM, INSTALADO EM RAMAL DE DISTRIBUIÇÃO DE ÁGUA - FORNECIMENTO E INSTALAÇÃO. AF_06/2022</t>
  </si>
  <si>
    <t>104166</t>
  </si>
  <si>
    <t>TUBO PVC, SÉRIE R, ÁGUA PLUVIAL, DN 150 MM, FORNECIDO E INSTALADO EM RAMAL DE ENCAMINHAMENTO. AF_06/2022</t>
  </si>
  <si>
    <t>104194</t>
  </si>
  <si>
    <t>TUBO, PPR, DN 20, CLASSE PN20, INSTALADO EM RAMAL OU SUB-RAMAL DE ÁGUA - FORNECIMENTO E INSTALAÇÃO. AF_08/2022</t>
  </si>
  <si>
    <t>104195</t>
  </si>
  <si>
    <t>TUBO, PPR, DN 20, CLASSE PN25, INSTALADO EM RAMAL OU SUB-RAMAL DE ÁGUA - FORNECIMENTO E INSTALAÇÃO. AF_08/2022</t>
  </si>
  <si>
    <t>104315</t>
  </si>
  <si>
    <t>104316</t>
  </si>
  <si>
    <t>JOELHO 90 GRAUS, PVC, SOLDÁVEL, DN 20MM, INSTALADO EM RAMAL OU SUB-RAMAL DE ÁGUA - FORNECIMENTO E INSTALAÇÃO. AF_06/2022</t>
  </si>
  <si>
    <t>JOELHO 45 GRAUS, PVC, SOLDÁVEL, DN 20MM, INSTALADO EM RAMAL OU SUB-RAMAL DE ÁGUA - FORNECIMENTO E INSTALAÇÃO. AF_06/2022</t>
  </si>
  <si>
    <t>CURVA 90 GRAUS, PVC, SOLDÁVEL, DN 20MM, INSTALADO EM RAMAL OU SUB-RAMAL DE ÁGUA - FORNECIMENTO E INSTALAÇÃO. AF_06/2022</t>
  </si>
  <si>
    <t>CURVA 45 GRAUS, PVC, SOLDÁVEL, DN 20MM, INSTALADO EM RAMAL OU SUB-RAMAL DE ÁGUA - FORNECIMENTO E INSTALAÇÃO. AF_06/2022</t>
  </si>
  <si>
    <t>JOELHO 90 GRAUS, PVC, SOLDÁVEL, DN 25MM, INSTALADO EM RAMAL OU SUB-RAMAL DE ÁGUA - FORNECIMENTO E INSTALAÇÃO. AF_06/2022</t>
  </si>
  <si>
    <t>JOELHO 45 GRAUS, PVC, SOLDÁVEL, DN 25MM, INSTALADO EM RAMAL OU SUB-RAMAL DE ÁGUA - FORNECIMENTO E INSTALAÇÃO. AF_06/2022</t>
  </si>
  <si>
    <t>CURVA 90 GRAUS, PVC, SOLDÁVEL, DN 25MM, INSTALADO EM RAMAL OU SUB-RAMAL DE ÁGUA - FORNECIMENTO E INSTALAÇÃO. AF_06/2022</t>
  </si>
  <si>
    <t>CURVA 45 GRAUS, PVC, SOLDÁVEL, DN 25MM, INSTALADO EM RAMAL OU SUB-RAMAL DE ÁGUA - FORNECIMENTO E INSTALAÇÃO. AF_06/2022</t>
  </si>
  <si>
    <t>JOELHO 90 GRAUS COM BUCHA DE LATÃO, PVC, SOLDÁVEL, DN 25MM, X 3/4  INSTALADO EM RAMAL OU SUB-RAMAL DE ÁGUA - FORNECIMENTO E INSTALAÇÃO. AF_06/2022</t>
  </si>
  <si>
    <t>JOELHO 90 GRAUS, PVC, SOLDÁVEL, DN 32MM, INSTALADO EM RAMAL OU SUB-RAMAL DE ÁGUA - FORNECIMENTO E INSTALAÇÃO. AF_06/2022</t>
  </si>
  <si>
    <t>JOELHO 45 GRAUS, PVC, SOLDÁVEL, DN 32MM, INSTALADO EM RAMAL OU SUB-RAMAL DE ÁGUA - FORNECIMENTO E INSTALAÇÃO. AF_06/2022</t>
  </si>
  <si>
    <t>CURVA 90 GRAUS, PVC, SOLDÁVEL, DN 32MM, INSTALADO EM RAMAL OU SUB-RAMAL DE ÁGUA - FORNECIMENTO E INSTALAÇÃO. AF_06/2022</t>
  </si>
  <si>
    <t>CURVA 45 GRAUS, PVC, SOLDÁVEL, DN 32MM, INSTALADO EM RAMAL OU SUB-RAMAL DE ÁGUA - FORNECIMENTO E INSTALAÇÃO. AF_06/2022</t>
  </si>
  <si>
    <t>LUVA, PVC, SOLDÁVEL, DN 20MM, INSTALADO EM RAMAL OU SUB-RAMAL DE ÁGUA - FORNECIMENTO E INSTALAÇÃO. AF_06/2022</t>
  </si>
  <si>
    <t>LUVA DE CORRER, PVC, SOLDÁVEL, DN 20MM, INSTALADO EM RAMAL OU SUB-RAMAL DE ÁGUA - FORNECIMENTO E INSTALAÇÃO. AF_06/2022</t>
  </si>
  <si>
    <t>LUVA DE REDUÇÃO, PVC, SOLDÁVEL, DN 25MM X 20MM, INSTALADO EM RAMAL OU SUB-RAMAL DE ÁGUA - FORNECIMENTO E INSTALAÇÃO. AF_06/2022</t>
  </si>
  <si>
    <t>LUVA COM BUCHA DE LATÃO, PVC, SOLDÁVEL, DN 20MM X 1/2", INSTALADO EM RAMAL OU SUB-RAMAL DE ÁGUA - FORNECIMENTO E INSTALAÇÃO. AF_06/2022</t>
  </si>
  <si>
    <t>UNIÃO, PVC, SOLDÁVEL, DN 20MM, INSTALADO EM RAMAL OU SUB-RAMAL DE ÁGUA - FORNECIMENTO E INSTALAÇÃO. AF_06/2022</t>
  </si>
  <si>
    <t>14,27</t>
  </si>
  <si>
    <t>ADAPTADOR CURTO COM BOLSA E ROSCA PARA REGISTRO, PVC, SOLDÁVEL, DN 20MM X 1/2 , INSTALADO EM RAMAL OU SUB-RAMAL DE ÁGUA - FORNECIMENTO E INSTALAÇÃO. AF_06/2022</t>
  </si>
  <si>
    <t>CURVA DE TRANSPOSIÇÃO, PVC, SOLDÁVEL, DN 20MM, INSTALADO EM RAMAL OU SUB-RAMAL DE ÁGUA - FORNECIMENTO E INSTALAÇÃO. AF_06/2022</t>
  </si>
  <si>
    <t>LUVA, PVC, SOLDÁVEL, DN 25MM, INSTALADO EM RAMAL OU SUB-RAMAL DE ÁGUA - FORNECIMENTO E INSTALAÇÃO. AF_06/2022</t>
  </si>
  <si>
    <t>LUVA DE REDUÇÃO, PVC, SOLDÁVEL, DN 32MM X 25MM, INSTALADO EM RAMAL OU SUB-RAMAL DE ÁGUA - FORNECIMENTO E INSTALAÇÃO. AF_06/2022</t>
  </si>
  <si>
    <t>LUVA COM BUCHA DE LATÃO, PVC, SOLDÁVEL, DN 25MM X 3/4 , INSTALADO EM RAMAL OU SUB-RAMAL DE ÁGUA - FORNECIMENTO E INSTALAÇÃO. AF_06/2022</t>
  </si>
  <si>
    <t>UNIÃO, PVC, SOLDÁVEL, DN 25MM, INSTALADO EM RAMAL OU SUB-RAMAL DE ÁGUA - FORNECIMENTO E INSTALAÇÃO. AF_06/2022</t>
  </si>
  <si>
    <t>ADAPTADOR CURTO COM BOLSA E ROSCA PARA REGISTRO, PVC, SOLDÁVEL, DN 25MM X 3/4 , INSTALADO EM RAMAL OU SUB-RAMAL DE ÁGUA - FORNECIMENTO E INSTALAÇÃO. AF_06/2022</t>
  </si>
  <si>
    <t>CURVA DE TRANSPOSIÇÃO, PVC, SOLDÁVEL, DN 25MM, INSTALADO EM RAMAL OU SUB-RAMAL DE ÁGUA   FORNECIMENTO E INSTALAÇÃO. AF_06/2022</t>
  </si>
  <si>
    <t>LUVA SOLDÁVEL E COM ROSCA, PVC, SOLDÁVEL, DN 25MM X 3/4 , INSTALADO EM RAMAL OU SUB-RAMAL DE ÁGUA - FORNECIMENTO E INSTALAÇÃO. AF_06/2022</t>
  </si>
  <si>
    <t>LUVA, PVC, SOLDÁVEL, DN 32MM, INSTALADO EM RAMAL OU SUB-RAMAL DE ÁGUA - FORNECIMENTO E INSTALAÇÃO. AF_06/2022</t>
  </si>
  <si>
    <t>LUVA DE CORRER, PVC, SOLDÁVEL, DN 32MM, INSTALADO EM RAMAL OU SUB-RAMAL DE ÁGUA   FORNECIMENTO E INSTALAÇÃO. AF_06/2022</t>
  </si>
  <si>
    <t>LUVA SOLDÁVEL E COM ROSCA, PVC, SOLDÁVEL, DN 32MM X 1 , INSTALADO EM RAMAL OU SUB-RAMAL DE ÁGUA - FORNECIMENTO E INSTALAÇÃO. AF_06/2022</t>
  </si>
  <si>
    <t>UNIÃO, PVC, SOLDÁVEL, DN 32MM, INSTALADO EM RAMAL OU SUB-RAMAL DE ÁGUA - FORNECIMENTO E INSTALAÇÃO. AF_06/2022</t>
  </si>
  <si>
    <t>ADAPTADOR CURTO COM BOLSA E ROSCA PARA REGISTRO, PVC, SOLDÁVEL, DN 32MM X 1 , INSTALADO EM RAMAL OU SUB-RAMAL DE ÁGUA - FORNECIMENTO E INSTALAÇÃO. AF_06/2022</t>
  </si>
  <si>
    <t>CURVA DE TRANSPOSIÇÃO, PVC, SOLDÁVEL, DN 32MM, INSTALADO EM RAMAL OU SUB-RAMAL DE ÁGUA   FORNECIMENTO E INSTALAÇÃO. AF_06/2022</t>
  </si>
  <si>
    <t>TE, PVC, SOLDÁVEL, DN 20MM, INSTALADO EM RAMAL OU SUB-RAMAL DE ÁGUA - FORNECIMENTO E INSTALAÇÃO. AF_06/2022</t>
  </si>
  <si>
    <t>10,52</t>
  </si>
  <si>
    <t>TÊ COM BUCHA DE LATÃO NA BOLSA CENTRAL, PVC, SOLDÁVEL, DN 20MM X 1/2 , INSTALADO EM RAMAL OU SUB-RAMAL DE ÁGUA - FORNECIMENTO E INSTALAÇÃO. AF_06/2022</t>
  </si>
  <si>
    <t>TE, PVC, SOLDÁVEL, DN 25MM, INSTALADO EM RAMAL OU SUB-RAMAL DE ÁGUA - FORNECIMENTO E INSTALAÇÃO. AF_06/2022</t>
  </si>
  <si>
    <t>TÊ COM BUCHA DE LATÃO NA BOLSA CENTRAL, PVC, SOLDÁVEL, DN 25MM X 1/2 , INSTALADO EM RAMAL OU SUB-RAMAL DE ÁGUA - FORNECIMENTO E INSTALAÇÃO. AF_06/2022</t>
  </si>
  <si>
    <t>TÊ DE REDUÇÃO, PVC, SOLDÁVEL, DN 25MM X 20MM, INSTALADO EM RAMAL OU SUB-RAMAL DE ÁGUA - FORNECIMENTO E INSTALAÇÃO. AF_06/2022</t>
  </si>
  <si>
    <t>TE, PVC, SOLDÁVEL, DN 32MM, INSTALADO EM RAMAL OU SUB-RAMAL DE ÁGUA - FORNECIMENTO E INSTALAÇÃO. AF_06/2022</t>
  </si>
  <si>
    <t>TÊ COM BUCHA DE LATÃO NA BOLSA CENTRAL, PVC, SOLDÁVEL, DN 32MM X 3/4 , INSTALADO EM RAMAL OU SUB-RAMAL DE ÁGUA - FORNECIMENTO E INSTALAÇÃO. AF_06/2022</t>
  </si>
  <si>
    <t>TÊ DE REDUÇÃO, PVC, SOLDÁVEL, DN 32MM X 25MM, INSTALADO EM RAMAL OU SUB-RAMAL DE ÁGUA - FORNECIMENTO E INSTALAÇÃO. AF_06/2022</t>
  </si>
  <si>
    <t>JOELHO 90 GRAUS, PVC, SOLDÁVEL, DN 20MM, INSTALADO EM RAMAL DE DISTRIBUIÇÃO DE ÁGUA - FORNECIMENTO E INSTALAÇÃO. AF_06/2022</t>
  </si>
  <si>
    <t>JOELHO 45 GRAUS, PVC, SOLDÁVEL, DN 20MM, INSTALADO EM RAMAL DE DISTRIBUIÇÃO DE ÁGUA - FORNECIMENTO E INSTALAÇÃO. AF_06/2022</t>
  </si>
  <si>
    <t>CURVA 90 GRAUS, PVC, SOLDÁVEL, DN 20MM, INSTALADO EM RAMAL DE DISTRIBUIÇÃO DE ÁGUA - FORNECIMENTO E INSTALAÇÃO. AF_06/2022</t>
  </si>
  <si>
    <t>CURVA 45 GRAUS, PVC, SOLDÁVEL, DN 20MM, INSTALADO EM RAMAL DE DISTRIBUIÇÃO DE ÁGUA - FORNECIMENTO E INSTALAÇÃO. AF_06/2022</t>
  </si>
  <si>
    <t>JOELHO 90 GRAUS, PVC, SOLDÁVEL, DN 25MM, INSTALADO EM RAMAL DE DISTRIBUIÇÃO DE ÁGUA - FORNECIMENTO E INSTALAÇÃO. AF_06/2022</t>
  </si>
  <si>
    <t>JOELHO 45 GRAUS, PVC, SOLDÁVEL, DN 25MM, INSTALADO EM RAMAL DE DISTRIBUIÇÃO DE ÁGUA - FORNECIMENTO E INSTALAÇÃO. AF_06/2022</t>
  </si>
  <si>
    <t>CURVA 90 GRAUS, PVC, SOLDÁVEL, DN 25MM, INSTALADO EM RAMAL DE DISTRIBUIÇÃO DE ÁGUA - FORNECIMENTO E INSTALAÇÃO. AF_06/2022</t>
  </si>
  <si>
    <t>CURVA 45 GRAUS, PVC, SOLDÁVEL, DN 25MM, INSTALADO EM RAMAL DE DISTRIBUIÇÃO DE ÁGUA - FORNECIMENTO E INSTALAÇÃO. AF_06/2022</t>
  </si>
  <si>
    <t>JOELHO 90 GRAUS, PVC, SOLDÁVEL, DN 25MM, X 3/4  INSTALADO EM RAMAL DE DISTRIBUIÇÃO DE ÁGUA - FORNECIMENTO E INSTALAÇÃO. AF_06/2022</t>
  </si>
  <si>
    <t>JOELHO 90 GRAUS, PVC, SOLDÁVEL, DN 32MM, INSTALADO EM RAMAL DE DISTRIBUIÇÃO DE ÁGUA - FORNECIMENTO E INSTALAÇÃO. AF_06/2022</t>
  </si>
  <si>
    <t>JOELHO 45 GRAUS, PVC, SOLDÁVEL, DN 32MM, INSTALADO EM RAMAL DE DISTRIBUIÇÃO DE ÁGUA - FORNECIMENTO E INSTALAÇÃO. AF_06/2022</t>
  </si>
  <si>
    <t>CURVA 90 GRAUS, PVC, SOLDÁVEL, DN 32MM, INSTALADO EM RAMAL DE DISTRIBUIÇÃO DE ÁGUA - FORNECIMENTO E INSTALAÇÃO. AF_06/2022</t>
  </si>
  <si>
    <t>CURVA 45 GRAUS, PVC, SOLDÁVEL, DN 32MM, INSTALADO EM RAMAL DE DISTRIBUIÇÃO DE ÁGUA - FORNECIMENTO E INSTALAÇÃO. AF_06/2022</t>
  </si>
  <si>
    <t>LUVA, PVC, SOLDÁVEL, DN 20MM, INSTALADO EM RAMAL DE DISTRIBUIÇÃO DE ÁGUA - FORNECIMENTO E INSTALAÇÃO. AF_06/2022</t>
  </si>
  <si>
    <t>LUVA DE CORRER, PVC, SOLDÁVEL, DN 20MM, INSTALADO EM RAMAL DE DISTRIBUIÇÃO DE ÁGUA - FORNECIMENTO E INSTALAÇÃO. AF_06/2022</t>
  </si>
  <si>
    <t>LUVA DE REDUÇÃO, PVC, SOLDÁVEL, DN 25MM X 20MM, INSTALADO EM RAMAL DE DISTRIBUIÇÃO DE ÁGUA - FORNECIMENTO E INSTALAÇÃO. AF_06/2022</t>
  </si>
  <si>
    <t>UNIÃO, PVC, SOLDÁVEL, DN 20MM, INSTALADO EM RAMAL DE DISTRIBUIÇÃO DE ÁGUA - FORNECIMENTO E INSTALAÇÃO. AF_06/2022</t>
  </si>
  <si>
    <t>13,84</t>
  </si>
  <si>
    <t>CURVA DE TRANSPOSIÇÃO, PVC, SOLDÁVEL, DN 20MM, INSTALADO EM RAMAL DE DISTRIBUIÇÃO DE ÁGUA   FORNECIMENTO E INSTALAÇÃO. AF_06/2022</t>
  </si>
  <si>
    <t>LUVA, PVC, SOLDÁVEL, DN 25MM, INSTALADO EM RAMAL DE DISTRIBUIÇÃO DE ÁGUA - FORNECIMENTO E INSTALAÇÃO. AF_06/2022</t>
  </si>
  <si>
    <t>LUVA DE CORRER, PVC, SOLDÁVEL, DN 25MM, INSTALADO EM RAMAL DE DISTRIBUIÇÃO DE ÁGUA - FORNECIMENTO E INSTALAÇÃO. AF_06/2022</t>
  </si>
  <si>
    <t>LUVA DE REDUÇÃO, PVC, SOLDÁVEL, DN 32MM X 25MM, INSTALADO EM RAMAL DE DISTRIBUIÇÃO DE ÁGUA - FORNECIMENTO E INSTALAÇÃO. AF_06/2022</t>
  </si>
  <si>
    <t>LUVA COM BUCHA DE LATÃO, PVC, SOLDÁVEL, DN 25MM X 3/4 , INSTALADO EM RAMAL DE DISTRIBUIÇÃO DE ÁGUA - FORNECIMENTO E INSTALAÇÃO. AF_06/2022</t>
  </si>
  <si>
    <t>UNIÃO, PVC, SOLDÁVEL, DN 25MM, INSTALADO EM RAMAL DE DISTRIBUIÇÃO DE ÁGUA - FORNECIMENTO E INSTALAÇÃO. AF_06/2022</t>
  </si>
  <si>
    <t>ADAPTADOR CURTO COM BOLSA E ROSCA PARA REGISTRO, PVC, SOLDÁVEL, DN 25MM X 3/4 , INSTALADO EM RAMAL DE DISTRIBUIÇÃO DE ÁGUA - FORNECIMENTO E INSTALAÇÃO. AF_06/2022</t>
  </si>
  <si>
    <t>CURVA DE TRANSPOSIÇÃO, PVC, SOLDÁVEL, DN 25MM, INSTALADO EM RAMAL DE DISTRIBUIÇÃO DE ÁGUA   FORNECIMENTO E INSTALAÇÃO. AF_06/2022</t>
  </si>
  <si>
    <t>LUVA, PVC, SOLDÁVEL, DN 32MM, INSTALADO EM RAMAL DE DISTRIBUIÇÃO DE ÁGUA - FORNECIMENTO E INSTALAÇÃO. AF_06/2022</t>
  </si>
  <si>
    <t>9,23</t>
  </si>
  <si>
    <t>LUVA DE CORRER, PVC, SOLDÁVEL, DN 32MM, INSTALADO EM RAMAL DE DISTRIBUIÇÃO DE ÁGUA   FORNECIMENTO E INSTALAÇÃO. AF_06/2022</t>
  </si>
  <si>
    <t>LUVA DE REDUÇÃO, PVC, SOLDÁVEL, DN 40MM X 32MM, INSTALADO EM RAMAL DE DISTRIBUIÇÃO DE ÁGUA - FORNECIMENTO E INSTALAÇÃO. AF_06/2022</t>
  </si>
  <si>
    <t>LUVA SOLDÁVEL E COM ROSCA, PVC, SOLDÁVEL, DN 32MM X 1 , INSTALADO EM RAMAL DE DISTRIBUIÇÃO DE ÁGUA - FORNECIMENTO E INSTALAÇÃO. AF_06/2022</t>
  </si>
  <si>
    <t>UNIÃO, PVC, SOLDÁVEL, DN 32MM, INSTALADO EM RAMAL DE DISTRIBUIÇÃO DE ÁGUA - FORNECIMENTO E INSTALAÇÃO. AF_06/2022</t>
  </si>
  <si>
    <t>25,78</t>
  </si>
  <si>
    <t>ADAPTADOR CURTO COM BOLSA E ROSCA PARA REGISTRO, PVC, SOLDÁVEL, DN 32MM X 1 , INSTALADO EM RAMAL DE DISTRIBUIÇÃO DE ÁGUA - FORNECIMENTO E INSTALAÇÃO. AF_06/2022</t>
  </si>
  <si>
    <t>CURVA DE TRANSPOSIÇÃO, PVC, SOLDÁVEL, DN 32MM, INSTALADO EM RAMAL DE DISTRIBUIÇÃO DE ÁGUA   FORNECIMENTO E INSTALAÇÃO. AF_06/2022</t>
  </si>
  <si>
    <t>TE, PVC, SOLDÁVEL, DN 20MM, INSTALADO EM RAMAL DE DISTRIBUIÇÃO DE ÁGUA - FORNECIMENTO E INSTALAÇÃO. AF_06/2022</t>
  </si>
  <si>
    <t>TÊ SOLDÁVEL E COM ROSCA NA BOLSA CENTRAL, PVC, SOLDÁVEL, DN 20MM X 1/2 , INSTALADO EM RAMAL DE DISTRIBUIÇÃO DE ÁGUA - FORNECIMENTO E INSTALAÇÃO. AF_06/2022</t>
  </si>
  <si>
    <t>TE, PVC, SOLDÁVEL, DN 25MM, INSTALADO EM RAMAL DE DISTRIBUIÇÃO DE ÁGUA - FORNECIMENTO E INSTALAÇÃO. AF_06/2022</t>
  </si>
  <si>
    <t>TÊ DE REDUÇÃO, PVC, SOLDÁVEL, DN 25MM X 20MM, INSTALADO EM RAMAL DE DISTRIBUIÇÃO DE ÁGUA - FORNECIMENTO E INSTALAÇÃO. AF_06/2022</t>
  </si>
  <si>
    <t>14,50</t>
  </si>
  <si>
    <t>TE, PVC, SOLDÁVEL, DN 32MM, INSTALADO EM RAMAL DE DISTRIBUIÇÃO DE ÁGUA - FORNECIMENTO E INSTALAÇÃO. AF_06/2022</t>
  </si>
  <si>
    <t>TÊ COM BUCHA DE LATÃO NA BOLSA CENTRAL, PVC, SOLDÁVEL, DN 32MM X 3/4 , INSTALADO EM RAMAL DE DISTRIBUIÇÃO DE ÁGUA - FORNECIMENTO E INSTALAÇÃO. AF_06/2022</t>
  </si>
  <si>
    <t>TÊ DE REDUÇÃO, PVC, SOLDÁVEL, DN 32MM X 25MM, INSTALADO EM RAMAL DE DISTRIBUIÇÃO DE ÁGUA - FORNECIMENTO E INSTALAÇÃO. AF_06/2022</t>
  </si>
  <si>
    <t>JOELHO 90 GRAUS, PVC, SOLDÁVEL, DN 25MM, INSTALADO EM PRUMADA DE ÁGUA - FORNECIMENTO E INSTALAÇÃO. AF_06/2022</t>
  </si>
  <si>
    <t>JOELHO 45 GRAUS, PVC, SOLDÁVEL, DN 25MM, INSTALADO EM PRUMADA DE ÁGUA - FORNECIMENTO E INSTALAÇÃO. AF_06/2022</t>
  </si>
  <si>
    <t>CURVA 90 GRAUS, PVC, SOLDÁVEL, DN 25MM, INSTALADO EM PRUMADA DE ÁGUA - FORNECIMENTO E INSTALAÇÃO. AF_06/2022</t>
  </si>
  <si>
    <t>CURVA 45 GRAUS, PVC, SOLDÁVEL, DN 25MM, INSTALADO EM PRUMADA DE ÁGUA - FORNECIMENTO E INSTALAÇÃO. AF_06/2022</t>
  </si>
  <si>
    <t>JOELHO 90 GRAUS, PVC, SOLDÁVEL, DN 32MM, INSTALADO EM PRUMADA DE ÁGUA - FORNECIMENTO E INSTALAÇÃO. AF_06/2022</t>
  </si>
  <si>
    <t>JOELHO 45 GRAUS, PVC, SOLDÁVEL, DN 32MM, INSTALADO EM PRUMADA DE ÁGUA - FORNECIMENTO E INSTALAÇÃO. AF_06/2022</t>
  </si>
  <si>
    <t>CURVA 90 GRAUS, PVC, SOLDÁVEL, DN 32MM, INSTALADO EM PRUMADA DE ÁGUA - FORNECIMENTO E INSTALAÇÃO. AF_06/2022</t>
  </si>
  <si>
    <t>CURVA 45 GRAUS, PVC, SOLDÁVEL, DN 32MM, INSTALADO EM PRUMADA DE ÁGUA - FORNECIMENTO E INSTALAÇÃO. AF_06/2022</t>
  </si>
  <si>
    <t>JOELHO 90 GRAUS, PVC, SOLDÁVEL, DN 40MM, INSTALADO EM PRUMADA DE ÁGUA - FORNECIMENTO E INSTALAÇÃO. AF_06/2022</t>
  </si>
  <si>
    <t>JOELHO 45 GRAUS, PVC, SOLDÁVEL, DN 40MM, INSTALADO EM PRUMADA DE ÁGUA - FORNECIMENTO E INSTALAÇÃO. AF_06/2022</t>
  </si>
  <si>
    <t>CURVA 90 GRAUS, PVC, SOLDÁVEL, DN 40MM, INSTALADO EM PRUMADA DE ÁGUA - FORNECIMENTO E INSTALAÇÃO. AF_06/2022</t>
  </si>
  <si>
    <t>CURVA 45 GRAUS, PVC, SOLDÁVEL, DN 40MM, INSTALADO EM PRUMADA DE ÁGUA - FORNECIMENTO E INSTALAÇÃO. AF_06/2022</t>
  </si>
  <si>
    <t>JOELHO 90 GRAUS, PVC, SOLDÁVEL, DN 50MM, INSTALADO EM PRUMADA DE ÁGUA - FORNECIMENTO E INSTALAÇÃO. AF_06/2022</t>
  </si>
  <si>
    <t>JOELHO 45 GRAUS, PVC, SOLDÁVEL, DN 50MM, INSTALADO EM PRUMADA DE ÁGUA - FORNECIMENTO E INSTALAÇÃO. AF_06/2022</t>
  </si>
  <si>
    <t>CURVA 90 GRAUS, PVC, SOLDÁVEL, DN 50MM, INSTALADO EM PRUMADA DE ÁGUA - FORNECIMENTO E INSTALAÇÃO. AF_06/2022</t>
  </si>
  <si>
    <t>CURVA 45 GRAUS, PVC, SOLDÁVEL, DN 50MM, INSTALADO EM PRUMADA DE ÁGUA - FORNECIMENTO E INSTALAÇÃO. AF_06/2022</t>
  </si>
  <si>
    <t>21,89</t>
  </si>
  <si>
    <t>JOELHO 90 GRAUS, PVC, SOLDÁVEL, DN 60MM, INSTALADO EM PRUMADA DE ÁGUA - FORNECIMENTO E INSTALAÇÃO. AF_06/2022</t>
  </si>
  <si>
    <t>JOELHO 45 GRAUS, PVC, SOLDÁVEL, DN 60MM, INSTALADO EM PRUMADA DE ÁGUA - FORNECIMENTO E INSTALAÇÃO. AF_06/2022</t>
  </si>
  <si>
    <t>CURVA 90 GRAUS, PVC, SOLDÁVEL, DN 60MM, INSTALADO EM PRUMADA DE ÁGUA - FORNECIMENTO E INSTALAÇÃO. AF_06/2022</t>
  </si>
  <si>
    <t>CURVA 45 GRAUS, PVC, SOLDÁVEL, DN 60MM, INSTALADO EM PRUMADA DE ÁGUA - FORNECIMENTO E INSTALAÇÃO. AF_06/2022</t>
  </si>
  <si>
    <t>JOELHO 90 GRAUS, PVC, SOLDÁVEL, DN 75MM, INSTALADO EM PRUMADA DE ÁGUA - FORNECIMENTO E INSTALAÇÃO. AF_06/2022</t>
  </si>
  <si>
    <t>JOELHO 90 GRAUS, PVC, SERIE R, ÁGUA PLUVIAL, DN 40 MM, JUNTA SOLDÁVEL, FORNECIDO E INSTALADO EM RAMAL DE ENCAMINHAMENTO. AF_06/2022</t>
  </si>
  <si>
    <t>JOELHO 45 GRAUS, PVC, SOLDÁVEL, DN 75MM, INSTALADO EM PRUMADA DE ÁGUA - FORNECIMENTO E INSTALAÇÃO. AF_06/2022</t>
  </si>
  <si>
    <t>JOELHO 45 GRAUS, PVC, SERIE R, ÁGUA PLUVIAL, DN 40 MM, JUNTA SOLDÁVEL, FORNECIDO E INSTALADO EM RAMAL DE ENCAMINHAMENTO. AF_06/2022</t>
  </si>
  <si>
    <t>CURVA 90 GRAUS, PVC, SOLDÁVEL, DN 75MM, INSTALADO EM PRUMADA DE ÁGUA - FORNECIMENTO E INSTALAÇÃO. AF_06/2022</t>
  </si>
  <si>
    <t>JOELHO 90 GRAUS, PVC, SERIE R, ÁGUA PLUVIAL, DN 50 MM, JUNTA ELÁSTICA, FORNECIDO E INSTALADO EM RAMAL DE ENCAMINHAMENTO. AF_06/2022</t>
  </si>
  <si>
    <t>CURVA 45 GRAUS, PVC, SOLDÁVEL, DN 75MM, INSTALADO EM PRUMADA DE ÁGUA - FORNECIMENTO E INSTALAÇÃO. AF_06/2022</t>
  </si>
  <si>
    <t>JOELHO 45 GRAUS, PVC, SERIE R, ÁGUA PLUVIAL, DN 50 MM, JUNTA ELÁSTICA, FORNECIDO E INSTALADO EM RAMAL DE ENCAMINHAMENTO. AF_06/2022</t>
  </si>
  <si>
    <t>JOELHO 90 GRAUS, PVC, SOLDÁVEL, DN 85MM, INSTALADO EM PRUMADA DE ÁGUA - FORNECIMENTO E INSTALAÇÃO. AF_06/2022</t>
  </si>
  <si>
    <t>JOELHO 90 GRAUS, PVC, SERIE R, ÁGUA PLUVIAL, DN 75 MM, JUNTA ELÁSTICA, FORNECIDO E INSTALADO EM RAMAL DE ENCAMINHAMENTO. AF_06/2022</t>
  </si>
  <si>
    <t>JOELHO 45 GRAUS, PVC, SOLDÁVEL, DN 85MM, INSTALADO EM PRUMADA DE ÁGUA - FORNECIMENTO E INSTALAÇÃO. AF_06/2022</t>
  </si>
  <si>
    <t>JOELHO 45 GRAUS, PVC, SERIE R, ÁGUA PLUVIAL, DN 75 MM, JUNTA ELÁSTICA, FORNECIDO E INSTALADO EM RAMAL DE ENCAMINHAMENTO. AF_06/2022</t>
  </si>
  <si>
    <t>CURVA 90 GRAUS, PVC, SOLDÁVEL, DN 85MM, INSTALADO EM PRUMADA DE ÁGUA - FORNECIMENTO E INSTALAÇÃO. AF_06/2022</t>
  </si>
  <si>
    <t>CURVA 87 GRAUS E 30 MINUTOS, PVC, SERIE R, ÁGUA PLUVIAL, DN 75 MM, JUNTA ELÁSTICA, FORNECIDO E INSTALADO EM RAMAL DE ENCAMINHAMENTO. AF_06/2022</t>
  </si>
  <si>
    <t>CURVA 45 GRAUS, PVC, SOLDÁVEL, DN 85MM, INSTALADO EM PRUMADA DE ÁGUA - FORNECIMENTO E INSTALAÇÃO. AF_06/2022</t>
  </si>
  <si>
    <t>LUVA, PVC, SOLDÁVEL, DN 25MM, INSTALADO EM PRUMADA DE ÁGUA - FORNECIMENTO E INSTALAÇÃO. AF_06/2022</t>
  </si>
  <si>
    <t>JOELHO 90 GRAUS, PVC, SERIE R, ÁGUA PLUVIAL, DN 100 MM, JUNTA ELÁSTICA, FORNECIDO E INSTALADO EM RAMAL DE ENCAMINHAMENTO. AF_06/2022</t>
  </si>
  <si>
    <t>LUVA DE CORRER, PVC, SOLDÁVEL, DN 25MM, INSTALADO EM PRUMADA DE ÁGUA - FORNECIMENTO E INSTALAÇÃO. AF_06/2022</t>
  </si>
  <si>
    <t>JOELHO 45 GRAUS, PVC, SERIE R, ÁGUA PLUVIAL, DN 100 MM, JUNTA ELÁSTICA, FORNECIDO E INSTALADO EM RAMAL DE ENCAMINHAMENTO. AF_06/2022</t>
  </si>
  <si>
    <t>LUVA DE REDUÇÃO, PVC, SOLDÁVEL, DN 32MM X 25MM, INSTALADO EM PRUMADA DE ÁGUA - FORNECIMENTO E INSTALAÇÃO. AF_06/2022</t>
  </si>
  <si>
    <t>CURVA 87 GRAUS E 30 MINUTOS, PVC, SERIE R, ÁGUA PLUVIAL, DN 100 MM, JUNTA ELÁSTICA, FORNECIDO E INSTALADO EM RAMAL DE ENCAMINHAMENTO. AF_06/2022</t>
  </si>
  <si>
    <t>UNIÃO, PVC, SOLDÁVEL, DN 25MM, INSTALADO EM PRUMADA DE ÁGUA - FORNECIMENTO E INSTALAÇÃO. AF_06/2022</t>
  </si>
  <si>
    <t>CURVA DE TRANSPOSIÇÃO, PVC, SOLDÁVEL, DN 25MM, INSTALADO EM PRUMADA DE ÁGUA  - FORNECIMENTO E INSTALAÇÃO. AF_06/2022</t>
  </si>
  <si>
    <t>LUVA, PVC, SOLDÁVEL, DN 32MM, INSTALADO EM PRUMADA DE ÁGUA - FORNECIMENTO E INSTALAÇÃO. AF_06/2022</t>
  </si>
  <si>
    <t>LUVA DE CORRER, PVC, SOLDÁVEL, DN 32MM, INSTALADO EM PRUMADA DE ÁGUA - FORNECIMENTO E INSTALAÇÃO. AF_06/2022</t>
  </si>
  <si>
    <t>LUVA SIMPLES, PVC, SERIE R, ÁGUA PLUVIAL, DN 40 MM, JUNTA SOLDÁVEL, FORNECIDO E INSTALADO EM RAMAL DE ENCAMINHAMENTO. AF_06/2022</t>
  </si>
  <si>
    <t>LUVA SIMPLES, PVC, SERIE R, ÁGUA PLUVIAL, DN 50 MM, JUNTA ELÁSTICA, FORNECIDO E INSTALADO EM RAMAL DE ENCAMINHAMENTO. AF_06/2022</t>
  </si>
  <si>
    <t>BUCHA DE REDUÇÃO LONGA, PVC, SERIE R, ÁGUA PLUVIAL, DN 50 X 40 MM, JUNTA ELÁSTICA, FORNECIDO E INSTALADO EM RAMAL DE ENCAMINHAMENTO. AF_06/2022</t>
  </si>
  <si>
    <t>LUVA SIMPLES, PVC, SERIE R, ÁGUA PLUVIAL, DN 75 MM, JUNTA ELÁSTICA, FORNECIDO E INSTALADO EM RAMAL DE ENCAMINHAMENTO. AF_06/2022</t>
  </si>
  <si>
    <t>LUVA DE CORRER, PVC, SERIE R, ÁGUA PLUVIAL, DN 75 MM, JUNTA ELÁSTICA, FORNECIDO E INSTALADO EM RAMAL DE ENCAMINHAMENTO. AF_06/2022</t>
  </si>
  <si>
    <t>REDUÇÃO EXCÊNTRICA, PVC, SERIE R, ÁGUA PLUVIAL, DN 75 X 50 MM, JUNTA ELÁSTICA, FORNECIDO E INSTALADO EM RAMAL DE ENCAMINHAMENTO. AF_06/2022</t>
  </si>
  <si>
    <t>TÊ DE INSPEÇÃO, PVC, SERIE R, ÁGUA PLUVIAL, DN 75 MM, JUNTA ELÁSTICA, FORNECIDO E INSTALADO EM RAMAL DE ENCAMINHAMENTO. AF_06/2022</t>
  </si>
  <si>
    <t>LUVA SOLDÁVEL E COM ROSCA, PVC, SOLDÁVEL, DN 32MM X 1 , INSTALADO EM PRUMADA DE ÁGUA - FORNECIMENTO E INSTALAÇÃO. AF_06/2022</t>
  </si>
  <si>
    <t>10,13</t>
  </si>
  <si>
    <t>UNIÃO, PVC, SOLDÁVEL, DN 32MM, INSTALADO EM PRUMADA DE ÁGUA - FORNECIMENTO E INSTALAÇÃO. AF_06/2022</t>
  </si>
  <si>
    <t>ADAPTADOR CURTO COM BOLSA E ROSCA PARA REGISTRO, PVC, SOLDÁVEL, DN 32MM X 1 , INSTALADO EM PRUMADA DE ÁGUA - FORNECIMENTO E INSTALAÇÃO. AF_06/2022</t>
  </si>
  <si>
    <t>LUVA SIMPLES, PVC, SERIE R, ÁGUA PLUVIAL, DN 100 MM, JUNTA ELÁSTICA, FORNECIDO E INSTALADO EM RAMAL DE ENCAMINHAMENTO. AF_06/2022</t>
  </si>
  <si>
    <t>CURVA DE TRANSPOSIÇÃO, PVC, SOLDÁVEL, DN 32MM, INSTALADO EM PRUMADA DE ÁGUA   FORNECIMENTO E INSTALAÇÃO. AF_06/2022</t>
  </si>
  <si>
    <t>LUVA DE CORRER, PVC, SERIE R, ÁGUA PLUVIAL, DN 100 MM, JUNTA ELÁSTICA, FORNECIDO E INSTALADO EM RAMAL DE ENCAMINHAMENTO. AF_06/2022</t>
  </si>
  <si>
    <t>REDUÇÃO EXCÊNTRICA, PVC, SERIE R, ÁGUA PLUVIAL, DN 100 X 75 MM, JUNTA ELÁSTICA, FORNECIDO E INSTALADO EM RAMAL DE ENCAMINHAMENTO. AF_06/2022</t>
  </si>
  <si>
    <t>LUVA, PVC, SOLDÁVEL, DN 40MM, INSTALADO EM PRUMADA DE ÁGUA - FORNECIMENTO E INSTALAÇÃO. AF_06/2022</t>
  </si>
  <si>
    <t>TÊ DE INSPEÇÃO, PVC, SERIE R, ÁGUA PLUVIAL, DN 100 MM, JUNTA ELÁSTICA, FORNECIDO E INSTALADO EM RAMAL DE ENCAMINHAMENTO. AF_06/2022</t>
  </si>
  <si>
    <t>89560</t>
  </si>
  <si>
    <t>LUVA DE CORRER, PVC, SOLDÁVEL, DN 40MM, INSTALADO EM PRUMADA DE ÁGUA   FORNECIMENTO E INSTALAÇÃO. AF_06/2022</t>
  </si>
  <si>
    <t>JUNÇÃO SIMPLES, PVC, SERIE R, ÁGUA PLUVIAL, DN 40 MM, JUNTA SOLDÁVEL, FORNECIDO E INSTALADO EM RAMAL DE ENCAMINHAMENTO. AF_06/2022</t>
  </si>
  <si>
    <t>18,90</t>
  </si>
  <si>
    <t>LUVA DE REDUÇÃO, PVC, SOLDÁVEL, DN 40MM X 32MM, INSTALADO EM PRUMADA DE ÁGUA - FORNECIMENTO E INSTALAÇÃO. AF_06/2022</t>
  </si>
  <si>
    <t>JUNÇÃO SIMPLES, PVC, SERIE R, ÁGUA PLUVIAL, DN 50 MM, JUNTA ELÁSTICA, FORNECIDO E INSTALADO EM RAMAL DE ENCAMINHAMENTO. AF_06/2022</t>
  </si>
  <si>
    <t>LUVA COM ROSCA, PVC, SOLDÁVEL, DN 40MM X 1.1/4 , INSTALADO EM PRUMADA DE ÁGUA - FORNECIMENTO E INSTALAÇÃO. AF_06/2022</t>
  </si>
  <si>
    <t>JUNÇÃO SIMPLES, PVC, SERIE R, ÁGUA PLUVIAL, DN 75 X 75 MM, JUNTA ELÁSTICA, FORNECIDO E INSTALADO EM RAMAL DE ENCAMINHAMENTO. AF_06/2022</t>
  </si>
  <si>
    <t>TÊ, PVC, SERIE R, ÁGUA PLUVIAL, DN 75 MM, JUNTA ELÁSTICA, FORNECIDO E INSTALADO EM RAMAL DE ENCAMINHAMENTO. AF_06/2022</t>
  </si>
  <si>
    <t>JUNÇÃO SIMPLES, PVC, SERIE R, ÁGUA PLUVIAL, DN 100 X 100 MM, JUNTA ELÁSTICA, FORNECIDO E INSTALADO EM RAMAL DE ENCAMINHAMENTO. AF_06/2022</t>
  </si>
  <si>
    <t>UNIÃO, PVC, SOLDÁVEL, DN 40MM, INSTALADO EM PRUMADA DE ÁGUA - FORNECIMENTO E INSTALAÇÃO. AF_06/2022</t>
  </si>
  <si>
    <t>JUNÇÃO SIMPLES, PVC, SERIE R, ÁGUA PLUVIAL, DN 100 X 75 MM, JUNTA ELÁSTICA, FORNECIDO E INSTALADO EM RAMAL DE ENCAMINHAMENTO. AF_06/2022</t>
  </si>
  <si>
    <t>ADAPTADOR CURTO COM BOLSA E ROSCA PARA REGISTRO, PVC, SOLDÁVEL, DN 40MM X 1.1/2 , INSTALADO EM PRUMADA DE ÁGUA - FORNECIMENTO E INSTALAÇÃO. AF_06/2022</t>
  </si>
  <si>
    <t>TÊ, PVC, SERIE R, ÁGUA PLUVIAL, DN 100 X 100 MM, JUNTA ELÁSTICA, FORNECIDO E INSTALADO EM RAMAL DE ENCAMINHAMENTO. AF_06/2022</t>
  </si>
  <si>
    <t>ADAPTADOR CURTO COM BOLSA E ROSCA PARA REGISTRO, PVC, SOLDÁVEL, DN 40MM X 1.1/4 , INSTALADO EM PRUMADA DE ÁGUA - FORNECIMENTO E INSTALAÇÃO. AF_06/2022</t>
  </si>
  <si>
    <t>TÊ, PVC, SERIE R, ÁGUA PLUVIAL, DN 100 X 75 MM, JUNTA ELÁSTICA, FORNECIDO E INSTALADO EM RAMAL DE ENCAMINHAMENTO. AF_06/2022</t>
  </si>
  <si>
    <t>JUNÇÃO DUPLA, PVC, SERIE R, ÁGUA PLUVIAL, DN 100 X 100 X 100 MM, JUNTA ELÁSTICA, FORNECIDO E INSTALADO EM RAMAL DE ENCAMINHAMENTO. AF_06/2022</t>
  </si>
  <si>
    <t>LUVA, PVC, SOLDÁVEL, DN 50MM, INSTALADO EM PRUMADA DE ÁGUA - FORNECIMENTO E INSTALAÇÃO. AF_06/2022</t>
  </si>
  <si>
    <t>LUVA DE CORRER, PVC, SOLDÁVEL, DN 50MM, INSTALADO EM PRUMADA DE ÁGUA - FORNECIMENTO E INSTALAÇÃO. AF_06/2022</t>
  </si>
  <si>
    <t>LUVA DE REDUÇÃO, PVC, SOLDÁVEL, DN 50MM X 25MM, INSTALADO EM PRUMADA DE ÁGUA   FORNECIMENTO E INSTALAÇÃO. AF_06/2022</t>
  </si>
  <si>
    <t>JOELHO 90 GRAUS, PVC, SERIE R, ÁGUA PLUVIAL, DN 75 MM, JUNTA ELÁSTICA, FORNECIDO E INSTALADO EM CONDUTORES VERTICAIS DE ÁGUAS PLUVIAIS. AF_06/2022</t>
  </si>
  <si>
    <t>JOELHO 45 GRAUS, PVC, SERIE R, ÁGUA PLUVIAL, DN 75 MM, JUNTA ELÁSTICA, FORNECIDO E INSTALADO EM CONDUTORES VERTICAIS DE ÁGUAS PLUVIAIS. AF_06/2022</t>
  </si>
  <si>
    <t>CURVA 87 GRAUS E 30 MINUTOS, PVC, SERIE R, ÁGUA PLUVIAL, DN 75 MM, JUNTA ELÁSTICA, FORNECIDO E INSTALADO EM CONDUTORES VERTICAIS DE ÁGUAS PLUVIAIS. AF_06/2022</t>
  </si>
  <si>
    <t>JOELHO 90 GRAUS, PVC, SERIE R, ÁGUA PLUVIAL, DN 100 MM, JUNTA ELÁSTICA, FORNECIDO E INSTALADO EM CONDUTORES VERTICAIS DE ÁGUAS PLUVIAIS. AF_06/2022</t>
  </si>
  <si>
    <t>53,38</t>
  </si>
  <si>
    <t>JOELHO 45 GRAUS, PVC, SERIE R, ÁGUA PLUVIAL, DN 100 MM, JUNTA ELÁSTICA, FORNECIDO E INSTALADO EM CONDUTORES VERTICAIS DE ÁGUAS PLUVIAIS. AF_06/2022</t>
  </si>
  <si>
    <t>CURVA 87 GRAUS E 30 MINUTOS, PVC, SERIE R, ÁGUA PLUVIAL, DN 100 MM, JUNTA ELÁSTICA, FORNECIDO E INSTALADO EM CONDUTORES VERTICAIS DE ÁGUAS PLUVIAIS. AF_06/2022</t>
  </si>
  <si>
    <t>JOELHO 90 GRAUS, PVC, SERIE R, ÁGUA PLUVIAL, DN 150 MM, JUNTA ELÁSTICA, FORNECIDO E INSTALADO EM CONDUTORES VERTICAIS DE ÁGUAS PLUVIAIS. AF_06/2022</t>
  </si>
  <si>
    <t>JOELHO 45 GRAUS, PVC, SERIE R, ÁGUA PLUVIAL, DN 150 MM, JUNTA ELÁSTICA, FORNECIDO E INSTALADO EM CONDUTORES VERTICAIS DE ÁGUAS PLUVIAIS. AF_06/2022</t>
  </si>
  <si>
    <t>CURVA 87 GRAUS E 30 MINUTOS, PVC, SERIE R, ÁGUA PLUVIAL, DN 150 MM, JUNTA ELÁSTICA, FORNECIDO E INSTALADO EM CONDUTORES VERTICAIS DE ÁGUAS PLUVIAIS. AF_06/2022</t>
  </si>
  <si>
    <t>LUVA COM ROSCA, PVC, SOLDÁVEL, DN 50MM X 1.1/2 , INSTALADO EM PRUMADA DE ÁGUA - FORNECIMENTO E INSTALAÇÃO. AF_06/2022</t>
  </si>
  <si>
    <t>UNIÃO, PVC, SOLDÁVEL, DN 50MM, INSTALADO EM PRUMADA DE ÁGUA - FORNECIMENTO E INSTALAÇÃO. AF_06/2022</t>
  </si>
  <si>
    <t>ADAPTADOR CURTO COM BOLSA E ROSCA PARA REGISTRO, PVC, SOLDÁVEL, DN 50MM X 1.1/4 , INSTALADO EM PRUMADA DE ÁGUA - FORNECIMENTO E INSTALAÇÃO. AF_06/2022</t>
  </si>
  <si>
    <t>ADAPTADOR CURTO COM BOLSA E ROSCA PARA REGISTRO, PVC, SOLDÁVEL, DN 50MM X 1.1/2 , INSTALADO EM PRUMADA DE ÁGUA - FORNECIMENTO E INSTALAÇÃO. AF_06/2022</t>
  </si>
  <si>
    <t>LUVA, PVC, SOLDÁVEL, DN 60MM, INSTALADO EM PRUMADA DE ÁGUA - FORNECIMENTO E INSTALAÇÃO. AF_06/2022</t>
  </si>
  <si>
    <t>LUVA DE CORRER, PVC, SOLDÁVEL, DN 60MM, INSTALADO EM PRUMADA DE ÁGUA   FORNECIMENTO E INSTALAÇÃO. AF_06/2022</t>
  </si>
  <si>
    <t>LUVA SIMPLES, PVC, SERIE R, ÁGUA PLUVIAL, DN 75 MM, JUNTA ELÁSTICA, FORNECIDO E INSTALADO EM CONDUTORES VERTICAIS DE ÁGUAS PLUVIAIS. AF_06/2022</t>
  </si>
  <si>
    <t>LUVA DE CORRER, PVC, SERIE R, ÁGUA PLUVIAL, DN 75 MM, JUNTA ELÁSTICA, FORNECIDO E INSTALADO EM CONDUTORES VERTICAIS DE ÁGUAS PLUVIAIS. AF_06/2022</t>
  </si>
  <si>
    <t>LUVA DE REDUÇÃO, PVC, SOLDÁVEL, DN 60MM X 50MM, INSTALADO EM PRUMADA DE ÁGUA - FORNECIMENTO E INSTALAÇÃO. AF_06/2022</t>
  </si>
  <si>
    <t>UNIÃO, PVC, SOLDÁVEL, DN 60MM, INSTALADO EM PRUMADA DE ÁGUA - FORNECIMENTO E INSTALAÇÃO. AF_06/2022</t>
  </si>
  <si>
    <t>ADAPTADOR CURTO COM BOLSA E ROSCA PARA REGISTRO, PVC, SOLDÁVEL, DN 60MM X 2 , INSTALADO EM PRUMADA DE ÁGUA - FORNECIMENTO E INSTALAÇÃO. AF_06/2022</t>
  </si>
  <si>
    <t>23,54</t>
  </si>
  <si>
    <t>LUVA, PVC, SOLDÁVEL, DN 75MM, INSTALADO EM PRUMADA DE ÁGUA - FORNECIMENTO E INSTALAÇÃO. AF_06/2022</t>
  </si>
  <si>
    <t>UNIÃO, PVC, SOLDÁVEL, DN 75MM, INSTALADO EM PRUMADA DE ÁGUA - FORNECIMENTO E INSTALAÇÃO. AF_06/2022</t>
  </si>
  <si>
    <t>LUVA, PVC, SOLDÁVEL, DN 85MM, INSTALADO EM PRUMADA DE ÁGUA - FORNECIMENTO E INSTALAÇÃO. AF_06/2022</t>
  </si>
  <si>
    <t>UNIÃO, PVC, SOLDÁVEL, DN 85MM, INSTALADO EM PRUMADA DE ÁGUA - FORNECIMENTO E INSTALAÇÃO. AF_06/2022</t>
  </si>
  <si>
    <t>ADAPTADOR CURTO COM BOLSA E ROSCA PARA REGISTRO, PVC, SOLDÁVEL, DN 85MM X 3 , INSTALADO EM PRUMADA DE ÁGUA - FORNECIMENTO E INSTALAÇÃO. AF_06/2022</t>
  </si>
  <si>
    <t>TE, PVC, SOLDÁVEL, DN 25MM, INSTALADO EM PRUMADA DE ÁGUA - FORNECIMENTO E INSTALAÇÃO. AF_06/2022</t>
  </si>
  <si>
    <t>TE, PVC, SOLDÁVEL, DN 32MM, INSTALADO EM PRUMADA DE ÁGUA - FORNECIMENTO E INSTALAÇÃO. AF_06/2022</t>
  </si>
  <si>
    <t>TÊ DE REDUÇÃO, PVC, SOLDÁVEL, DN 32MM X 25MM, INSTALADO EM PRUMADA DE ÁGUA - FORNECIMENTO E INSTALAÇÃO. AF_06/2022</t>
  </si>
  <si>
    <t>TE, PVC, SOLDÁVEL, DN 40MM, INSTALADO EM PRUMADA DE ÁGUA - FORNECIMENTO E INSTALAÇÃO. AF_06/2022</t>
  </si>
  <si>
    <t>22,39</t>
  </si>
  <si>
    <t>TÊ DE REDUÇÃO, PVC, SOLDÁVEL, DN 40MM X 32MM, INSTALADO EM PRUMADA DE ÁGUA - FORNECIMENTO E INSTALAÇÃO. AF_06/2022</t>
  </si>
  <si>
    <t>TE, PVC, SOLDÁVEL, DN 50MM, INSTALADO EM PRUMADA DE ÁGUA - FORNECIMENTO E INSTALAÇÃO. AF_06/2022</t>
  </si>
  <si>
    <t>TÊ DE REDUÇÃO, PVC, SOLDÁVEL, DN 50MM X 40MM, INSTALADO EM PRUMADA DE ÁGUA - FORNECIMENTO E INSTALAÇÃO. AF_06/2022</t>
  </si>
  <si>
    <t>TÊ DE REDUÇÃO, PVC, SOLDÁVEL, DN 50MM X 25MM, INSTALADO EM PRUMADA DE ÁGUA - FORNECIMENTO E INSTALAÇÃO. AF_06/2022</t>
  </si>
  <si>
    <t>23,52</t>
  </si>
  <si>
    <t>TE, PVC, SOLDÁVEL, DN 60MM, INSTALADO EM PRUMADA DE ÁGUA - FORNECIMENTO E INSTALAÇÃO. AF_06/2022</t>
  </si>
  <si>
    <t>TE, PVC, SOLDÁVEL, DN 75MM, INSTALADO EM PRUMADA DE ÁGUA - FORNECIMENTO E INSTALAÇÃO. AF_06/2022</t>
  </si>
  <si>
    <t>TE DE REDUÇÃO, PVC, SOLDÁVEL, DN 75MM X 50MM, INSTALADO EM PRUMADA DE ÁGUA - FORNECIMENTO E INSTALAÇÃO. AF_06/2022</t>
  </si>
  <si>
    <t>TE, PVC, SOLDÁVEL, DN 85MM, INSTALADO EM PRUMADA DE ÁGUA - FORNECIMENTO E INSTALAÇÃO. AF_06/2022</t>
  </si>
  <si>
    <t>TE DE REDUÇÃO, PVC, SOLDÁVEL, DN 85MM X 60MM, INSTALADO EM PRUMADA DE ÁGUA - FORNECIMENTO E INSTALAÇÃO. AF_06/2022</t>
  </si>
  <si>
    <t>JOELHO 90 GRAUS, CPVC, SOLDÁVEL, DN 15MM, INSTALADO EM RAMAL OU SUB-RAMAL DE ÁGUA - FORNECIMENTO E INSTALAÇÃO. AF_06/2022</t>
  </si>
  <si>
    <t>JOELHO 45 GRAUS, CPVC, SOLDÁVEL, DN 15MM, INSTALADO EM RAMAL OU SUB-RAMAL DE ÁGUA - FORNECIMENTO E INSTALAÇÃO. AF_06/2022</t>
  </si>
  <si>
    <t>CURVA 90 GRAUS, CPVC, SOLDÁVEL, DN 15MM, INSTALADO EM RAMAL OU SUB-RAMAL DE ÁGUA - FORNECIMENTO E INSTALAÇÃO. AF_06/2022</t>
  </si>
  <si>
    <t>JOELHO 90 GRAUS, CPVC, SOLDÁVEL, DN 22MM, INSTALADO EM RAMAL OU SUB-RAMAL DE ÁGUA - FORNECIMENTO E INSTALAÇÃO. AF_06/2022</t>
  </si>
  <si>
    <t>JOELHO 45 GRAUS, CPVC, SOLDÁVEL, DN 22MM, INSTALADO EM RAMAL OU SUB-RAMAL DE ÁGUA - FORNECIMENTO E INSTALAÇÃO. AF_06/2022</t>
  </si>
  <si>
    <t>CURVA 90 GRAUS, CPVC, SOLDÁVEL, DN 22MM, INSTALADO EM RAMAL OU SUB-RAMAL DE ÁGUA - FORNECIMENTO E INSTALAÇÃO. AF_06/2022</t>
  </si>
  <si>
    <t>JOELHO 90 GRAUS, CPVC, SOLDÁVEL, DN 28MM, INSTALADO EM RAMAL OU SUB-RAMAL DE ÁGUA - FORNECIMENTO E INSTALAÇÃO. AF_06/2022</t>
  </si>
  <si>
    <t>20,87</t>
  </si>
  <si>
    <t>JOELHO 45 GRAUS, CPVC, SOLDÁVEL, DN 28MM, INSTALADO EM RAMAL OU SUB-RAMAL DE ÁGUA   FORNECIMENTO E INSTALAÇÃO. AF_06/2022</t>
  </si>
  <si>
    <t>CURVA 90 GRAUS, CPVC, SOLDÁVEL, DN 28MM, INSTALADO EM RAMAL OU SUB-RAMAL DE ÁGUA   FORNECIMENTO E INSTALAÇÃO. AF_06/2022</t>
  </si>
  <si>
    <t>JOELHO 90 GRAUS, CPVC, SOLDÁVEL, DN 35MM, INSTALADO EM RAMAL OU SUB-RAMAL DE ÁGUA   FORNECIMENTO E INSTALAÇÃO. AF_06/2022</t>
  </si>
  <si>
    <t>JOELHO 45 GRAUS, CPVC, SOLDÁVEL, DN 35MM, INSTALADO EM RAMAL OU SUB-RAMAL DE ÁGUA   FORNECIMENTO E INSTALAÇÃO. AF_06/2022</t>
  </si>
  <si>
    <t>LUVA, CPVC, SOLDÁVEL, DN 15MM, INSTALADO EM RAMAL OU SUB-RAMAL DE ÁGUA - FORNECIMENTO E INSTALAÇÃO. AF_06/2022</t>
  </si>
  <si>
    <t>7,10</t>
  </si>
  <si>
    <t>LUVA DE CORRER, CPVC, SOLDÁVEL, DN 15MM, INSTALADO EM RAMAL OU SUB-RAMAL DE ÁGUA   FORNECIMENTO E INSTALAÇÃO. AF_06/2022</t>
  </si>
  <si>
    <t>UNIÃO, CPVC, SOLDÁVEL, DN15MM, INSTALADO EM RAMAL OU SUB-RAMAL DE ÁGUA   FORNECIMENTO E INSTALAÇÃO. AF_06/2022</t>
  </si>
  <si>
    <t>20,98</t>
  </si>
  <si>
    <t>CONECTOR, CPVC, SOLDÁVEL, DN 15MM X 1/2 , INSTALADO EM RAMAL OU SUB-RAMAL DE ÁGUA   FORNECIMENTO E INSTALAÇÃO. AF_06/2022</t>
  </si>
  <si>
    <t>ADAPTADOR, CPVC, SOLDÁVEL, DN15MM, INSTALADO EM RAMAL OU SUB-RAMAL DE ÁGUA   FORNECIMENTO E INSTALAÇÃO. AF_06/2022</t>
  </si>
  <si>
    <t>CURVA DE TRANSPOSIÇÃO, CPVC, SOLDÁVEL, DN15MM, INSTALADO EM RAMAL OU SUB-RAMAL DE ÁGUA   FORNECIMENTO E INSTALAÇÃO. AF_06/2022</t>
  </si>
  <si>
    <t>LUVA, CPVC, SOLDÁVEL, DN 22MM, INSTALADO EM RAMAL OU SUB-RAMAL DE ÁGUA   FORNECIMENTO E INSTALAÇÃO. AF_06/2022</t>
  </si>
  <si>
    <t>LUVA DE CORRER, CPVC, SOLDÁVEL, DN 22MM, INSTALADO EM RAMAL OU SUB-RAMAL DE ÁGUA   FORNECIMENTO E INSTALAÇÃO. AF_06/2022</t>
  </si>
  <si>
    <t>LUVA DE TRANSIÇÃO, CPVC, SOLDÁVEL, DN22MM X 25MM, INSTALADO EM RAMAL OU SUB-RAMAL DE ÁGUA - FORNECIMENTO E INSTALAÇÃO. AF_06/2022</t>
  </si>
  <si>
    <t>UNIÃO, CPVC, SOLDÁVEL, DN22MM, INSTALADO EM RAMAL OU SUB-RAMAL DE ÁGUA   FORNECIMENTO E INSTALAÇÃO. AF_06/2022</t>
  </si>
  <si>
    <t>CONECTOR, CPVC, SOLDÁVEL, DN 22MM X 1/2 , INSTALADO EM RAMAL OU SUB-RAMAL DE ÁGUA   FORNECIMENTO E INSTALAÇÃO. AF_06/2022</t>
  </si>
  <si>
    <t>ADAPTADOR, CPVC, SOLDÁVEL, DN22MM, INSTALADO EM RAMAL OU SUB-RAMAL DE ÁGUA   FORNECIMENTO E INSTALAÇÃO. AF_06/2022</t>
  </si>
  <si>
    <t>CURVA DE TRANSPOSIÇÃO, CPVC, SOLDÁVEL, DN22MM, INSTALADO EM RAMAL OU SUB-RAMAL DE ÁGUA   FORNECIMENTO E INSTALAÇÃO. AF_06/2022</t>
  </si>
  <si>
    <t>BUCHA DE REDUÇÃO, CPVC, SOLDÁVEL, DN22MM X 15MM, INSTALADO EM RAMAL OU SUB-RAMAL DE ÁGUA   FORNECIMENTO E INSTALAÇÃO. AF_06/2022</t>
  </si>
  <si>
    <t>TÊ DE INSPEÇÃO, PVC, SERIE R, ÁGUA PLUVIAL, DN 75 MM, JUNTA ELÁSTICA, FORNECIDO E INSTALADO EM CONDUTORES VERTICAIS DE ÁGUAS PLUVIAIS. AF_06/2022</t>
  </si>
  <si>
    <t>LUVA SIMPLES, PVC, SERIE R, ÁGUA PLUVIAL, DN 100 MM, JUNTA ELÁSTICA, FORNECIDO E INSTALADO EM CONDUTORES VERTICAIS DE ÁGUAS PLUVIAIS. AF_06/2022</t>
  </si>
  <si>
    <t>LUVA, CPVC, SOLDÁVEL, DN 28MM, INSTALADO EM RAMAL OU SUB-RAMAL DE ÁGUA   FORNECIMENTO E INSTALAÇÃO. AF_06/2022</t>
  </si>
  <si>
    <t>LUVA DE CORRER, PVC, SERIE R, ÁGUA PLUVIAL, DN 100 MM, JUNTA ELÁSTICA, FORNECIDO E INSTALADO EM CONDUTORES VERTICAIS DE ÁGUAS PLUVIAIS. AF_06/2022</t>
  </si>
  <si>
    <t>LUVA DE CORRER, CPVC, SOLDÁVEL, DN 28MM, INSTALADO EM RAMAL OU SUB-RAMAL DE ÁGUA   FORNECIMENTO E INSTALAÇÃO. AF_06/2022</t>
  </si>
  <si>
    <t>REDUÇÃO EXCÊNTRICA, PVC, SERIE R, ÁGUA PLUVIAL, DN 100 X 75 MM, JUNTA ELÁSTICA, FORNECIDO E INSTALADO EM CONDUTORES VERTICAIS DE ÁGUAS PLUVIAIS. AF_06/2022</t>
  </si>
  <si>
    <t>UNIÃO, CPVC, SOLDÁVEL, DN28MM, INSTALADO EM RAMAL OU SUB-RAMAL DE ÁGUA   FORNECIMENTO E INSTALAÇÃO. AF_06/2022</t>
  </si>
  <si>
    <t>TÊ DE INSPEÇÃO, PVC, SERIE R, ÁGUA PLUVIAL, DN 100 MM, JUNTA ELÁSTICA, FORNECIDO E INSTALADO EM CONDUTORES VERTICAIS DE ÁGUAS PLUVIAIS. AF_06/2022</t>
  </si>
  <si>
    <t>CONECTOR, CPVC, SOLDÁVEL, DN 28MM X 1 , INSTALADO EM RAMAL OU SUB-RAMAL DE ÁGUA   FORNECIMENTO E INSTALAÇÃO. AF_06/2022</t>
  </si>
  <si>
    <t>LUVA SIMPLES, PVC, SERIE R, ÁGUA PLUVIAL, DN 150 MM, JUNTA ELÁSTICA, FORNECIDO E INSTALADO EM CONDUTORES VERTICAIS DE ÁGUAS PLUVIAIS. AF_06/2022</t>
  </si>
  <si>
    <t>BUCHA DE REDUÇÃO, CPVC, SOLDÁVEL, DN28MM X 22MM, INSTALADO EM RAMAL OU SUB-RAMAL DE ÁGUA   FORNECIMENTO E INSTALAÇÃO. AF_06/2022</t>
  </si>
  <si>
    <t>LUVA DE CORRER, PVC, SERIE R, ÁGUA PLUVIAL, DN 150 MM, JUNTA ELÁSTICA, FORNECIDO E INSTALADO EM CONDUTORES VERTICAIS DE ÁGUAS PLUVIAIS. AF_06/2022</t>
  </si>
  <si>
    <t>LUVA, CPVC, SOLDÁVEL, DN 35MM, INSTALADO EM RAMAL OU SUB-RAMAL DE ÁGUA   FORNECIMENTO E INSTALAÇÃO. AF_06/2022</t>
  </si>
  <si>
    <t>REDUÇÃO EXCÊNTRICA, PVC, SERIE R, ÁGUA PLUVIAL, DN 150 X 100 MM, JUNTA ELÁSTICA, FORNECIDO E INSTALADO EM CONDUTORES VERTICAIS DE ÁGUAS PLUVIAIS. AF_06/2022</t>
  </si>
  <si>
    <t>LUVA DE CORRER, CPVC, SOLDÁVEL, DN 35MM, INSTALADO EM RAMAL OU SUB-RAMAL DE ÁGUA   FORNECIMENTO E INSTALAÇÃO. AF_06/2022</t>
  </si>
  <si>
    <t>32,74</t>
  </si>
  <si>
    <t>TÊ DE INSPEÇÃO, PVC, SERIE R, ÁGUA PLUVIAL, DN 150 X 100 MM, JUNTA ELÁSTICA, FORNECIDO E INSTALADO EM CONDUTORES VERTICAIS DE ÁGUAS PLUVIAIS. AF_06/2022</t>
  </si>
  <si>
    <t>UNIÃO, CPVC, SOLDÁVEL, DN35MM, INSTALADO EM RAMAL OU SUB-RAMAL DE ÁGUA   FORNECIMENTO E INSTALAÇÃO. AF_06/2022</t>
  </si>
  <si>
    <t>JUNÇÃO SIMPLES, PVC, SERIE R, ÁGUA PLUVIAL, DN 75 X 75 MM, JUNTA ELÁSTICA, FORNECIDO E INSTALADO EM CONDUTORES VERTICAIS DE ÁGUAS PLUVIAIS. AF_06/2022</t>
  </si>
  <si>
    <t>CONECTOR, CPVC, SOLDÁVEL, DN 35MM X 1 1/4 , INSTALADO EM RAMAL OU SUB-RAMAL DE ÁGUA   FORNECIMENTO E INSTALAÇÃO. AF_06/2022</t>
  </si>
  <si>
    <t>TÊ, PVC, SERIE R, ÁGUA PLUVIAL, DN 75 X 75 MM, JUNTA ELÁSTICA, FORNECIDO E INSTALADO EM CONDUTORES VERTICAIS DE ÁGUAS PLUVIAIS. AF_06/2022</t>
  </si>
  <si>
    <t>BUCHA DE REDUÇÃO, CPVC, SOLDÁVEL, DN35MM X 28MM, INSTALADO EM RAMAL OU SUB-RAMAL DE ÁGUA   FORNECIMENTO E INSTALAÇÃO. AF_06/2022</t>
  </si>
  <si>
    <t>JUNÇÃO SIMPLES, PVC, SERIE R, ÁGUA PLUVIAL, DN 100 X 100 MM, JUNTA ELÁSTICA, FORNECIDO E INSTALADO EM CONDUTORES VERTICAIS DE ÁGUAS PLUVIAIS. AF_06/2022</t>
  </si>
  <si>
    <t>TE, CPVC, SOLDÁVEL, DN 15MM, INSTALADO EM RAMAL OU SUB-RAMAL DE ÁGUA - FORNECIMENTO E INSTALAÇÃO. AF_06/2022</t>
  </si>
  <si>
    <t>JUNÇÃO SIMPLES, PVC, SERIE R, ÁGUA PLUVIAL, DN 100 X 75 MM, JUNTA ELÁSTICA, FORNECIDO E INSTALADO EM CONDUTORES VERTICAIS DE ÁGUAS PLUVIAIS. AF_06/2022</t>
  </si>
  <si>
    <t>TÊ, PVC, SERIE R, ÁGUA PLUVIAL, DN 100 X 100 MM, JUNTA ELÁSTICA, FORNECIDO E INSTALADO EM CONDUTORES VERTICAIS DE ÁGUAS PLUVIAIS. AF_06/2022</t>
  </si>
  <si>
    <t>TE DE TRANSIÇÃO, CPVC, SOLDÁVEL, DN 15MM X 1/2 , INSTALADO EM RAMAL OU SUB-RAMAL DE ÁGUA   FORNECIMENTO E INSTALAÇÃO. AF_06/2022</t>
  </si>
  <si>
    <t>TÊ MISTURADOR, CPVC, SOLDÁVEL, DN15MM, INSTALADO EM RAMAL OU SUB-RAMAL DE ÁGUA   FORNECIMENTO E INSTALAÇÃO. AF_06/2022</t>
  </si>
  <si>
    <t>TÊ, PVC, SERIE R, ÁGUA PLUVIAL, DN 100 X 75 MM, JUNTA ELÁSTICA, FORNECIDO E INSTALADO EM CONDUTORES VERTICAIS DE ÁGUAS PLUVIAIS. AF_06/2022</t>
  </si>
  <si>
    <t>TE, CPVC, SOLDÁVEL, DN 22MM, INSTALADO EM RAMAL OU SUB-RAMAL DE ÁGUA - FORNECIMENTO E INSTALAÇÃO. AF_06/2022</t>
  </si>
  <si>
    <t>JUNÇÃO SIMPLES, PVC, SERIE R, ÁGUA PLUVIAL, DN 150 X 150 MM, JUNTA ELÁSTICA, FORNECIDO E INSTALADO EM CONDUTORES VERTICAIS DE ÁGUAS PLUVIAIS. AF_06/2022</t>
  </si>
  <si>
    <t>JUNÇÃO SIMPLES, PVC, SERIE R, ÁGUA PLUVIAL, DN 150 X 100 MM, JUNTA ELÁSTICA, FORNECIDO E INSTALADO EM CONDUTORES VERTICAIS DE ÁGUAS PLUVIAIS. AF_06/2022</t>
  </si>
  <si>
    <t>TE DE TRANSIÇÃO, CPVC, SOLDÁVEL, DN 22MM X 1/2 , INSTALADO EM RAMAL OU SUB-RAMAL DE ÁGUA   FORNECIMENTO E INSTALAÇÃO. AF_06/2022</t>
  </si>
  <si>
    <t>TÊ, PVC, SERIE R, ÁGUA PLUVIAL, DN 150 X 150 MM, JUNTA ELÁSTICA, FORNECIDO E INSTALADO EM CONDUTORES VERTICAIS DE ÁGUAS PLUVIAIS. AF_06/2022</t>
  </si>
  <si>
    <t>TÊ MISTURADOR, CPVC, SOLDÁVEL, DN22MM, INSTALADO EM RAMAL OU SUB-RAMAL DE ÁGUA   FORNECIMENTO E INSTALAÇÃO. AF_06/2022</t>
  </si>
  <si>
    <t>49,77</t>
  </si>
  <si>
    <t>TÊ, PVC, SERIE R, ÁGUA PLUVIAL, DN 150 X 100 MM, JUNTA ELÁSTICA, FORNECIDO E INSTALADO EM CONDUTORES VERTICAIS DE ÁGUAS PLUVIAIS. AF_06/2022</t>
  </si>
  <si>
    <t>TÊ, CPVC, SOLDÁVEL, DN28MM, INSTALADO EM RAMAL OU SUB-RAMAL DE ÁGUA   FORNECIMENTO E INSTALAÇÃO. AF_06/2022</t>
  </si>
  <si>
    <t>TÊ, CPVC, SOLDÁVEL, DN35MM, INSTALADO EM RAMAL OU SUB-RAMAL DE ÁGUA   FORNECIMENTO E INSTALAÇÃO. AF_06/2022</t>
  </si>
  <si>
    <t>TUBO, CPVC, SOLDÁVEL, DN 35MM, INSTALADO EM RAMAL DE DISTRIBUIÇÃO DE ÁGUA   FORNECIMENTO E INSTALAÇÃO. AF_06/2022</t>
  </si>
  <si>
    <t>JOELHO 90 GRAUS, CPVC, SOLDÁVEL, DN 22MM, INSTALADO EM RAMAL DE DISTRIBUIÇÃO DE ÁGUA   FORNECIMENTO E INSTALAÇÃO. AF_06/2022</t>
  </si>
  <si>
    <t>JOELHO 45 GRAUS, CPVC, SOLDÁVEL, DN 22MM, INSTALADO EM RAMAL DE DISTRIBUIÇÃO DE ÁGUA   FORNECIMENTO E INSTALAÇÃO. AF_06/2022</t>
  </si>
  <si>
    <t>CURVA 90 GRAUS, CPVC, SOLDÁVEL, DN 22MM, INSTALADO EM RAMAL DE DISTRIBUIÇÃO DE ÁGUA - FORNECIMENTO E INSTALAÇÃO. AF_06/2022</t>
  </si>
  <si>
    <t>JOELHO 90 GRAUS, CPVC, SOLDÁVEL, DN 28MM, INSTALADO EM RAMAL DE DISTRIBUIÇÃO DE ÁGUA   FORNECIMENTO E INSTALAÇÃO. AF_06/2022</t>
  </si>
  <si>
    <t>JOELHO 90 GRAUS, PVC, SERIE NORMAL, ESGOTO PREDIAL, DN 40 MM, JUNTA SOLDÁVEL, FORNECIDO E INSTALADO EM RAMAL DE DESCARGA OU RAMAL DE ESGOTO SANITÁRIO. AF_08/2022</t>
  </si>
  <si>
    <t>JOELHO 45 GRAUS, CPVC, SOLDÁVEL, DN 28MM, INSTALADO EM RAMAL DE DISTRIBUIÇÃO DE ÁGUA   FORNECIMENTO E INSTALAÇÃO. AF_06/2022</t>
  </si>
  <si>
    <t>JOELHO 45 GRAUS, PVC, SERIE NORMAL, ESGOTO PREDIAL, DN 40 MM, JUNTA SOLDÁVEL, FORNECIDO E INSTALADO EM RAMAL DE DESCARGA OU RAMAL DE ESGOTO SANITÁRIO. AF_08/2022</t>
  </si>
  <si>
    <t>CURVA 90 GRAUS, CPVC, SOLDÁVEL, DN 28MM, INSTALADO EM RAMAL DE DISTRIBUIÇÃO DE ÁGUA   FORNECIMENTO E INSTALAÇÃO. AF_06/2022</t>
  </si>
  <si>
    <t>CURVA CURTA 90 GRAUS, PVC, SERIE NORMAL, ESGOTO PREDIAL, DN 40 MM, JUNTA SOLDÁVEL, FORNECIDO E INSTALADO EM RAMAL DE DESCARGA OU RAMAL DE ESGOTO SANITÁRIO. AF_08/2022</t>
  </si>
  <si>
    <t>JOELHO 90 GRAUS, CPVC, SOLDÁVEL, DN 35MM, INSTALADO EM RAMAL DE DISTRIBUIÇÃO DE ÁGUA   FORNECIMENTO E INSTALAÇÃO. AF_06/2022</t>
  </si>
  <si>
    <t>CURVA LONGA 90 GRAUS, PVC, SERIE NORMAL, ESGOTO PREDIAL, DN 40 MM, JUNTA SOLDÁVEL, FORNECIDO E INSTALADO EM RAMAL DE DESCARGA OU RAMAL DE ESGOTO SANITÁRIO. AF_08/2022</t>
  </si>
  <si>
    <t>18,16</t>
  </si>
  <si>
    <t>JOELHO 90 GRAUS, PVC, SERIE NORMAL, ESGOTO PREDIAL, DN 50 MM, JUNTA ELÁSTICA, FORNECIDO E INSTALADO EM RAMAL DE DESCARGA OU RAMAL DE ESGOTO SANITÁRIO. AF_08/2022</t>
  </si>
  <si>
    <t>JOELHO 45 GRAUS, PVC, SERIE NORMAL, ESGOTO PREDIAL, DN 50 MM, JUNTA ELÁSTICA, FORNECIDO E INSTALADO EM RAMAL DE DESCARGA OU RAMAL DE ESGOTO SANITÁRIO. AF_08/2022</t>
  </si>
  <si>
    <t>CURVA CURTA 90 GRAUS, PVC, SERIE NORMAL, ESGOTO PREDIAL, DN 50 MM, JUNTA ELÁSTICA, FORNECIDO E INSTALADO EM RAMAL DE DESCARGA OU RAMAL DE ESGOTO SANITÁRIO. AF_08/2022</t>
  </si>
  <si>
    <t>JOELHO 45 GRAUS, CPVC, SOLDÁVEL, DN 35MM, INSTALADO EM RAMAL DE DISTRIBUIÇÃO DE ÁGUA   FORNECIMENTO E INSTALAÇÃO. AF_06/2022</t>
  </si>
  <si>
    <t>CURVA LONGA 90 GRAUS, PVC, SERIE NORMAL, ESGOTO PREDIAL, DN 50 MM, JUNTA ELÁSTICA, FORNECIDO E INSTALADO EM RAMAL DE DESCARGA OU RAMAL DE ESGOTO SANITÁRIO. AF_08/2022</t>
  </si>
  <si>
    <t>LUVA, CPVC, SOLDÁVEL, DN 22MM, INSTALADO EM RAMAL DE DISTRIBUIÇÃO DE ÁGUA   FORNECIMENTO E INSTALAÇÃO. AF_06/2022</t>
  </si>
  <si>
    <t>JOELHO 90 GRAUS, PVC, SERIE NORMAL, ESGOTO PREDIAL, DN 75 MM, JUNTA ELÁSTICA, FORNECIDO E INSTALADO EM RAMAL DE DESCARGA OU RAMAL DE ESGOTO SANITÁRIO. AF_08/2022</t>
  </si>
  <si>
    <t>JOELHO 45 GRAUS, PVC, SERIE NORMAL, ESGOTO PREDIAL, DN 75 MM, JUNTA ELÁSTICA, FORNECIDO E INSTALADO EM RAMAL DE DESCARGA OU RAMAL DE ESGOTO SANITÁRIO. AF_08/2022</t>
  </si>
  <si>
    <t>LUVA DE TRANSIÇÃO, CPVC, SOLDÁVEL, DN 22MM X 25MM, INSTALADO EM RAMAL DE DISTRIBUIÇÃO DE ÁGUA   FORNECIMENTO E INSTALAÇÃO. AF_06/2022</t>
  </si>
  <si>
    <t>UNIÃO, CPVC, SOLDÁVEL, DN 22MM, INSTALADO EM RAMAL DE DISTRIBUIÇÃO DE ÁGUA   FORNECIMENTO E INSTALAÇÃO. AF_06/2022</t>
  </si>
  <si>
    <t>CURVA CURTA 90 GRAUS, PVC, SERIE NORMAL, ESGOTO PREDIAL, DN 75 MM, JUNTA ELÁSTICA, FORNECIDO E INSTALADO EM RAMAL DE DESCARGA OU RAMAL DE ESGOTO SANITÁRIO. AF_08/2022</t>
  </si>
  <si>
    <t>CURVA LONGA 90 GRAUS, PVC, SERIE NORMAL, ESGOTO PREDIAL, DN 75 MM, JUNTA ELÁSTICA, FORNECIDO E INSTALADO EM RAMAL DE DESCARGA OU RAMAL DE ESGOTO SANITÁRIO. AF_08/2022</t>
  </si>
  <si>
    <t>JOELHO 90 GRAUS, PVC, SERIE NORMAL, ESGOTO PREDIAL, DN 100 MM, JUNTA ELÁSTICA, FORNECIDO E INSTALADO EM RAMAL DE DESCARGA OU RAMAL DE ESGOTO SANITÁRIO. AF_08/2022</t>
  </si>
  <si>
    <t>JOELHO 45 GRAUS, PVC, SERIE NORMAL, ESGOTO PREDIAL, DN 100 MM, JUNTA ELÁSTICA, FORNECIDO E INSTALADO EM RAMAL DE DESCARGA OU RAMAL DE ESGOTO SANITÁRIO. AF_08/2022</t>
  </si>
  <si>
    <t>ADAPTADOR, CPVC, SOLDÁVEL, DN 22MM, INSTALADO EM RAMAL DE DISTRIBUIÇÃO DE ÁGUA   FORNECIMENTO E INSTALAÇÃO. AF_06/2022</t>
  </si>
  <si>
    <t>CURVA CURTA 90 GRAUS, PVC, SERIE NORMAL, ESGOTO PREDIAL, DN 100 MM, JUNTA ELÁSTICA, FORNECIDO E INSTALADO EM RAMAL DE DESCARGA OU RAMAL DE ESGOTO SANITÁRIO. AF_08/2022</t>
  </si>
  <si>
    <t>CURVA DE TRANSPOSIÇÃO, CPVC, SOLDÁVEL, DN 22MM, INSTALADO EM RAMAL DE DISTRIBUIÇÃO DE ÁGUA   FORNECIMENTO E INSTALAÇÃO. AF_06/2022</t>
  </si>
  <si>
    <t>CURVA LONGA 90 GRAUS, PVC, SERIE NORMAL, ESGOTO PREDIAL, DN 100 MM, JUNTA ELÁSTICA, FORNECIDO E INSTALADO EM RAMAL DE DESCARGA OU RAMAL DE ESGOTO SANITÁRIO. AF_08/2022</t>
  </si>
  <si>
    <t>LUVA SIMPLES, PVC, SERIE NORMAL, ESGOTO PREDIAL, DN 40 MM, JUNTA SOLDÁVEL, FORNECIDO E INSTALADO EM RAMAL DE DESCARGA OU RAMAL DE ESGOTO SANITÁRIO. AF_08/2022</t>
  </si>
  <si>
    <t>LUVA SIMPLES, PVC, SERIE NORMAL, ESGOTO PREDIAL, DN 50 MM, JUNTA ELÁSTICA, FORNECIDO E INSTALADO EM RAMAL DE DESCARGA OU RAMAL DE ESGOTO SANITÁRIO. AF_08/2022</t>
  </si>
  <si>
    <t>LUVA DE CORRER, PVC, SERIE NORMAL, ESGOTO PREDIAL, DN 50 MM, JUNTA ELÁSTICA, FORNECIDO E INSTALADO EM RAMAL DE DESCARGA OU RAMAL DE ESGOTO SANITÁRIO. AF_08/2022</t>
  </si>
  <si>
    <t>LUVA, CPVC, SOLDÁVEL, DN 28MM, INSTALADO EM RAMAL DE DISTRIBUIÇÃO DE ÁGUA   FORNECIMENTO E INSTALAÇÃO. AF_06/2022</t>
  </si>
  <si>
    <t>LUVA DE CORRER, CPVC, SOLDÁVEL, DN 28MM, INSTALADO EM RAMAL DE DISTRIBUIÇÃO DE ÁGUA   FORNECIMENTO E INSTALAÇÃO. AF_06/2022</t>
  </si>
  <si>
    <t>UNIÃO, CPVC, SOLDÁVEL, DN 28MM, INSTALADO EM RAMAL DE DISTRIBUIÇÃO DE ÁGUA   FORNECIMENTO E INSTALAÇÃO. AF_06/2022</t>
  </si>
  <si>
    <t>CONECTOR, CPVC, SOLDÁVEL, DN 28MM X 1 , INSTALADO EM RAMAL DE DISTRIBUIÇÃO DE ÁGUA   FORNECIMENTO E INSTALAÇÃO. AF_06/2022</t>
  </si>
  <si>
    <t>BUCHA DE REDUÇÃO, CPVC, SOLDÁVEL, DN 28MM X 22MM, INSTALADO EM RAMAL DE DISTRIBUIÇÃO DE ÁGUA - FORNECIMENTO E INSTALAÇÃO. AF_06/2022</t>
  </si>
  <si>
    <t>LUVA, CPVC, SOLDÁVEL, DN 35MM, INSTALADO EM RAMAL DE DISTRIBUIÇÃO DE ÁGUA - FORNECIMENTO E INSTALAÇÃO. AF_06/2022</t>
  </si>
  <si>
    <t>22,52</t>
  </si>
  <si>
    <t>LUVA DE CORRER, CPVC, SOLDÁVEL, DN 35MM, INSTALADO EM RAMAL DE DISTRIBUIÇÃO DE ÁGUA - FORNECIMENTO E INSTALAÇÃO. AF_06/2022</t>
  </si>
  <si>
    <t>UNIÃO, CPVC, SOLDÁVEL, DN35MM, INSTALADO EM RAMAL DE DISTRIBUIÇÃO DE ÁGUA - FORNECIMENTO E INSTALAÇÃO. AF_06/2022</t>
  </si>
  <si>
    <t>CONECTOR, CPVC, SOLDÁVEL, DN 35MM X 1 1/4 , INSTALADO EM RAMAL DE DISTRIBUIÇÃO DE ÁGUA - FORNECIMENTO E INSTALAÇÃO. AF_06/2022</t>
  </si>
  <si>
    <t>BUCHA DE REDUÇÃO, CPVC, SOLDÁVEL, DN35MM X 28MM, INSTALADO EM RAMAL DE DISTRIBUIÇÃO DE ÁGUA - FORNECIMENTO E INSTALAÇÃO. AF_06/2022</t>
  </si>
  <si>
    <t>TE, CPVC, SOLDÁVEL, DN 22MM, INSTALADO EM RAMAL DE DISTRIBUIÇÃO DE ÁGUA - FORNECIMENTO E INSTALAÇÃO. AF_06/2022</t>
  </si>
  <si>
    <t>TÊ MISTURADOR, CPVC, SOLDÁVEL, DN 22MM, INSTALADO EM RAMAL DE DISTRIBUIÇÃO DE ÁGUA - FORNECIMENTO E INSTALAÇÃO. AF_06/2022</t>
  </si>
  <si>
    <t>TÊ, CPVC, SOLDÁVEL, DN 28MM, INSTALADO EM RAMAL DE DISTRIBUIÇÃO DE ÁGUA - FORNECIMENTO E INSTALAÇÃO. AF_06/2022</t>
  </si>
  <si>
    <t>TÊ, CPVC, SOLDÁVEL, DN35MM, INSTALADO EM RAMAL DE DISTRIBUIÇÃO DE ÁGUA - FORNECIMENTO E INSTALAÇÃO. AF_06/2022</t>
  </si>
  <si>
    <t>TUBO, CPVC, SOLDÁVEL, DN 54MM, INSTALADO EM PRUMADA DE ÁGUA   FORNECIMENTO E INSTALAÇÃO. AF_06/2022</t>
  </si>
  <si>
    <t>LUVA SIMPLES, PVC, SERIE NORMAL, ESGOTO PREDIAL, DN 75 MM, JUNTA ELÁSTICA, FORNECIDO E INSTALADO EM RAMAL DE DESCARGA OU RAMAL DE ESGOTO SANITÁRIO. AF_08/2022</t>
  </si>
  <si>
    <t>LUVA DE CORRER, PVC, SERIE NORMAL, ESGOTO PREDIAL, DN 75 MM, JUNTA ELÁSTICA, FORNECIDO E INSTALADO EM RAMAL DE DESCARGA OU RAMAL DE ESGOTO SANITÁRIO. AF_08/2022</t>
  </si>
  <si>
    <t>JOELHO 90 GRAUS, CPVC, SOLDÁVEL, DN 35MM, INSTALADO EM PRUMADA DE ÁGUA   FORNECIMENTO E INSTALAÇÃO. AF_06/2022</t>
  </si>
  <si>
    <t>LUVA SIMPLES, PVC, SERIE NORMAL, ESGOTO PREDIAL, DN 100 MM, JUNTA ELÁSTICA, FORNECIDO E INSTALADO EM RAMAL DE DESCARGA OU RAMAL DE ESGOTO SANITÁRIO. AF_08/2022</t>
  </si>
  <si>
    <t>LUVA DE CORRER, PVC, SERIE NORMAL, ESGOTO PREDIAL, DN 100 MM, JUNTA ELÁSTICA, FORNECIDO E INSTALADO EM RAMAL DE DESCARGA OU RAMAL DE ESGOTO SANITÁRIO. AF_08/2022</t>
  </si>
  <si>
    <t>JOELHO 45 GRAUS, CPVC, SOLDÁVEL, DN 35MM, INSTALADO EM PRUMADA DE ÁGUA - FORNECIMENTO E INSTALAÇÃO. AF_06/2022</t>
  </si>
  <si>
    <t>JOELHO 90 GRAUS, CPVC, SOLDÁVEL, DN 42MM, INSTALADO EM PRUMADA DE ÁGUA   FORNECIMENTO E INSTALAÇÃO. AF_06/2022</t>
  </si>
  <si>
    <t>TE, PVC, SERIE NORMAL, ESGOTO PREDIAL, DN 40 X 40 MM, JUNTA SOLDÁVEL, FORNECIDO E INSTALADO EM RAMAL DE DESCARGA OU RAMAL DE ESGOTO SANITÁRIO. AF_08/2022</t>
  </si>
  <si>
    <t>JUNÇÃO SIMPLES, PVC, SERIE NORMAL, ESGOTO PREDIAL, DN 40 MM, JUNTA SOLDÁVEL, FORNECIDO E INSTALADO EM RAMAL DE DESCARGA OU RAMAL DE ESGOTO SANITÁRIO. AF_08/2022</t>
  </si>
  <si>
    <t>TE, PVC, SERIE NORMAL, ESGOTO PREDIAL, DN 50 X 50 MM, JUNTA ELÁSTICA, FORNECIDO E INSTALADO EM RAMAL DE DESCARGA OU RAMAL DE ESGOTO SANITÁRIO. AF_08/2022</t>
  </si>
  <si>
    <t>JUNÇÃO SIMPLES, PVC, SERIE NORMAL, ESGOTO PREDIAL, DN 50 X 50 MM, JUNTA ELÁSTICA, FORNECIDO E INSTALADO EM RAMAL DE DESCARGA OU RAMAL DE ESGOTO SANITÁRIO. AF_08/2022</t>
  </si>
  <si>
    <t>TE, PVC, SERIE NORMAL, ESGOTO PREDIAL, DN 75 X 75 MM, JUNTA ELÁSTICA, FORNECIDO E INSTALADO EM RAMAL DE DESCARGA OU RAMAL DE ESGOTO SANITÁRIO. AF_08/2022</t>
  </si>
  <si>
    <t>JOELHO 45 GRAUS, CPVC, SOLDÁVEL, DN 42MM, INSTALADO EM PRUMADA DE ÁGUA   FORNECIMENTO E INSTALAÇÃO. AF_06/2022</t>
  </si>
  <si>
    <t>JOELHO 90 GRAUS, CPVC, SOLDÁVEL, DN 54MM, INSTALADO EM PRUMADA DE ÁGUA   FORNECIMENTO E INSTALAÇÃO. AF_06/2022</t>
  </si>
  <si>
    <t>JOELHO 45 GRAUS, CPVC, SOLDÁVEL, DN 54MM, INSTALADO EM PRUMADA DE ÁGUA   FORNECIMENTO E INSTALAÇÃO. AF_06/2022</t>
  </si>
  <si>
    <t>JOELHO 90 GRAUS, CPVC, SOLDÁVEL, DN 73MM, INSTALADO EM PRUMADA DE ÁGUA   FORNECIMENTO E INSTALAÇÃO. AF_06/2022</t>
  </si>
  <si>
    <t>JOELHO 45 GRAUS, CPVC, SOLDÁVEL, DN 73MM, INSTALADO EM PRUMADA DE ÁGUA   FORNECIMENTO E INSTALAÇÃO. AF_06/2022</t>
  </si>
  <si>
    <t>JOELHO 90 GRAUS, CPVC, SOLDÁVEL, DN 89MM, INSTALADO EM PRUMADA DE ÁGUA   FORNECIMENTO E INSTALAÇÃO. AF_06/2022</t>
  </si>
  <si>
    <t>JOELHO 45 GRAUS, CPVC, SOLDÁVEL, DN 89MM, INSTALADO EM PRUMADA DE ÁGUA   FORNECIMENTO E INSTALAÇÃO. AF_06/2022</t>
  </si>
  <si>
    <t>LUVA, CPVC, SOLDÁVEL, DN 35MM, INSTALADO EM PRUMADA DE ÁGUA   FORNECIMENTO E INSTALAÇÃO. AF_06/2022</t>
  </si>
  <si>
    <t>JUNÇÃO SIMPLES, PVC, SERIE NORMAL, ESGOTO PREDIAL, DN 75 X 75 MM, JUNTA ELÁSTICA, FORNECIDO E INSTALADO EM RAMAL DE DESCARGA OU RAMAL DE ESGOTO SANITÁRIO. AF_08/2022</t>
  </si>
  <si>
    <t>TE, PVC, SERIE NORMAL, ESGOTO PREDIAL, DN 100 X 100 MM, JUNTA ELÁSTICA, FORNECIDO E INSTALADO EM RAMAL DE DESCARGA OU RAMAL DE ESGOTO SANITÁRIO. AF_08/2022</t>
  </si>
  <si>
    <t>JUNÇÃO SIMPLES, PVC, SERIE NORMAL, ESGOTO PREDIAL, DN 100 X 100 MM, JUNTA ELÁSTICA, FORNECIDO E INSTALADO EM RAMAL DE DESCARGA OU RAMAL DE ESGOTO SANITÁRIO. AF_08/2022</t>
  </si>
  <si>
    <t>JOELHO 90 GRAUS, PVC, SERIE NORMAL, ESGOTO PREDIAL, DN 50 MM, JUNTA ELÁSTICA, FORNECIDO E INSTALADO EM PRUMADA DE ESGOTO SANITÁRIO OU VENTILAÇÃO. AF_08/2022</t>
  </si>
  <si>
    <t>JOELHO 45 GRAUS, PVC, SERIE NORMAL, ESGOTO PREDIAL, DN 50 MM, JUNTA ELÁSTICA, FORNECIDO E INSTALADO EM PRUMADA DE ESGOTO SANITÁRIO OU VENTILAÇÃO. AF_08/2022</t>
  </si>
  <si>
    <t>CURVA CURTA 90 GRAUS, PVC, SERIE NORMAL, ESGOTO PREDIAL, DN 50 MM, JUNTA ELÁSTICA, FORNECIDO E INSTALADO EM PRUMADA DE ESGOTO SANITÁRIO OU VENTILAÇÃO. AF_08/2022</t>
  </si>
  <si>
    <t>CURVA LONGA 90 GRAUS, PVC, SERIE NORMAL, ESGOTO PREDIAL, DN 50 MM, JUNTA ELÁSTICA, FORNECIDO E INSTALADO EM PRUMADA DE ESGOTO SANITÁRIO OU VENTILAÇÃO. AF_08/2022</t>
  </si>
  <si>
    <t>JOELHO 90 GRAUS, PVC, SERIE NORMAL, ESGOTO PREDIAL, DN 75 MM, JUNTA ELÁSTICA, FORNECIDO E INSTALADO EM PRUMADA DE ESGOTO SANITÁRIO OU VENTILAÇÃO. AF_08/2022</t>
  </si>
  <si>
    <t>24,11</t>
  </si>
  <si>
    <t>JOELHO 45 GRAUS, PVC, SERIE NORMAL, ESGOTO PREDIAL, DN 75 MM, JUNTA ELÁSTICA, FORNECIDO E INSTALADO EM PRUMADA DE ESGOTO SANITÁRIO OU VENTILAÇÃO. AF_08/2022</t>
  </si>
  <si>
    <t>CURVA CURTA 90 GRAUS, PVC, SERIE NORMAL, ESGOTO PREDIAL, DN 75 MM, JUNTA ELÁSTICA, FORNECIDO E INSTALADO EM PRUMADA DE ESGOTO SANITÁRIO OU VENTILAÇÃO. AF_08/2022</t>
  </si>
  <si>
    <t>CURVA LONGA 90 GRAUS, PVC, SERIE NORMAL, ESGOTO PREDIAL, DN 75 MM, JUNTA ELÁSTICA, FORNECIDO E INSTALADO EM PRUMADA DE ESGOTO SANITÁRIO OU VENTILAÇÃO. AF_08/2022</t>
  </si>
  <si>
    <t>JOELHO 90 GRAUS, PVC, SERIE NORMAL, ESGOTO PREDIAL, DN 100 MM, JUNTA ELÁSTICA, FORNECIDO E INSTALADO EM PRUMADA DE ESGOTO SANITÁRIO OU VENTILAÇÃO. AF_08/2022</t>
  </si>
  <si>
    <t>JOELHO 45 GRAUS, PVC, SERIE NORMAL, ESGOTO PREDIAL, DN 100 MM, JUNTA ELÁSTICA, FORNECIDO E INSTALADO EM PRUMADA DE ESGOTO SANITÁRIO OU VENTILAÇÃO. AF_08/2022</t>
  </si>
  <si>
    <t>CURVA CURTA 90 GRAUS, PVC, SERIE NORMAL, ESGOTO PREDIAL, DN 100 MM, JUNTA ELÁSTICA, FORNECIDO E INSTALADO EM PRUMADA DE ESGOTO SANITÁRIO OU VENTILAÇÃO. AF_08/2022</t>
  </si>
  <si>
    <t>CURVA LONGA 90 GRAUS, PVC, SERIE NORMAL, ESGOTO PREDIAL, DN 100 MM, JUNTA ELÁSTICA, FORNECIDO E INSTALADO EM PRUMADA DE ESGOTO SANITÁRIO OU VENTILAÇÃO. AF_08/2022</t>
  </si>
  <si>
    <t>LUVA SIMPLES, PVC, SERIE NORMAL, ESGOTO PREDIAL, DN 50 MM, JUNTA ELÁSTICA, FORNECIDO E INSTALADO EM PRUMADA DE ESGOTO SANITÁRIO OU VENTILAÇÃO. AF_08/2022</t>
  </si>
  <si>
    <t>LUVA DE CORRER, PVC, SERIE NORMAL, ESGOTO PREDIAL, DN 50 MM, JUNTA ELÁSTICA, FORNECIDO E INSTALADO EM PRUMADA DE ESGOTO SANITÁRIO OU VENTILAÇÃO. AF_08/2022</t>
  </si>
  <si>
    <t>LUVA DE CORRER, CPVC, SOLDÁVEL, DN 35MM, INSTALADO EM PRUMADA DE ÁGUA   FORNECIMENTO E INSTALAÇÃO. AF_06/2022</t>
  </si>
  <si>
    <t>UNIÃO, CPVC, SOLDÁVEL, DN35MM, INSTALADO EM PRUMADA DE ÁGUA   FORNECIMENTO E INSTALAÇÃO. AF_06/2022</t>
  </si>
  <si>
    <t>LUVA SIMPLES, PVC, SERIE NORMAL, ESGOTO PREDIAL, DN 75 MM, JUNTA ELÁSTICA, FORNECIDO E INSTALADO EM PRUMADA DE ESGOTO SANITÁRIO OU VENTILAÇÃO. AF_08/2022</t>
  </si>
  <si>
    <t>CONECTOR, CPVC, SOLDÁVEL, DN 35MM X 1 1/4 , INSTALADO EM PRUMADA DE ÁGUA   FORNECIMENTO E INSTALAÇÃO. AF_06/2022</t>
  </si>
  <si>
    <t>LUVA DE CORRER, PVC, SERIE NORMAL, ESGOTO PREDIAL, DN 75 MM, JUNTA ELÁSTICA, FORNECIDO E INSTALADO EM PRUMADA DE ESGOTO SANITÁRIO OU VENTILAÇÃO. AF_08/2022</t>
  </si>
  <si>
    <t>LUVA SIMPLES, PVC, SERIE NORMAL, ESGOTO PREDIAL, DN 100 MM, JUNTA ELÁSTICA, FORNECIDO E INSTALADO EM PRUMADA DE ESGOTO SANITÁRIO OU VENTILAÇÃO. AF_08/2022</t>
  </si>
  <si>
    <t>LUVA, CPVC, SOLDÁVEL, DN 42MM, INSTALADO EM PRUMADA DE ÁGUA   FORNECIMENTO E INSTALAÇÃO. AF_06/2022</t>
  </si>
  <si>
    <t>26,46</t>
  </si>
  <si>
    <t>LUVA DE CORRER, PVC, SERIE NORMAL, ESGOTO PREDIAL, DN 100 MM, JUNTA ELÁSTICA, FORNECIDO E INSTALADO EM PRUMADA DE ESGOTO SANITÁRIO OU VENTILAÇÃO. AF_08/2022</t>
  </si>
  <si>
    <t>LUVA DE CORRER, CPVC, SOLDÁVEL, DN 42MM, INSTALADO EM PRUMADA DE ÁGUA   FORNECIMENTO E INSTALAÇÃO. AF_06/2022</t>
  </si>
  <si>
    <t>TE, PVC, SERIE NORMAL, ESGOTO PREDIAL, DN 50 X 50 MM, JUNTA ELÁSTICA, FORNECIDO E INSTALADO EM PRUMADA DE ESGOTO SANITÁRIO OU VENTILAÇÃO. AF_08/2022</t>
  </si>
  <si>
    <t>LUVA DE TRANSIÇÃO, CPVC, SOLDÁVEL, DN42MM X 1.1/2 , INSTALADO EM PRUMADA DE ÁGUA   FORNECIMENTO E INSTALAÇÃO. AF_06/2022</t>
  </si>
  <si>
    <t>JUNÇÃO SIMPLES, PVC, SERIE NORMAL, ESGOTO PREDIAL, DN 50 X 50 MM, JUNTA ELÁSTICA, FORNECIDO E INSTALADO EM PRUMADA DE ESGOTO SANITÁRIO OU VENTILAÇÃO. AF_08/2022</t>
  </si>
  <si>
    <t>UNIÃO, CPVC, SOLDÁVEL, DN42MM, INSTALADO EM PRUMADA DE ÁGUA   FORNECIMENTO E INSTALAÇÃO. AF_06/2022</t>
  </si>
  <si>
    <t>TE, PVC, SERIE NORMAL, ESGOTO PREDIAL, DN 75 X 75 MM, JUNTA ELÁSTICA, FORNECIDO E INSTALADO EM PRUMADA DE ESGOTO SANITÁRIO OU VENTILAÇÃO. AF_08/2022</t>
  </si>
  <si>
    <t>JUNÇÃO SIMPLES, PVC, SERIE NORMAL, ESGOTO PREDIAL, DN 75 X 75 MM, JUNTA ELÁSTICA, FORNECIDO E INSTALADO EM PRUMADA DE ESGOTO SANITÁRIO OU VENTILAÇÃO. AF_08/2022</t>
  </si>
  <si>
    <t>CONECTOR, CPVC, SOLDÁVEL, DN 42MM X 1.1/2 , INSTALADO EM PRUMADA DE ÁGUA   FORNECIMENTO E INSTALAÇÃO. AF_06/2022</t>
  </si>
  <si>
    <t>BUCHA DE REDUÇÃO, CPVC, SOLDÁVEL, DN 42MM X 22MM, INSTALADO EM RAMAL DE DISTRIBUIÇÃO DE ÁGUA - FORNECIMENTO E INSTALAÇÃO. AF_06/2022</t>
  </si>
  <si>
    <t>TE, PVC, SERIE NORMAL, ESGOTO PREDIAL, DN 100 X 100 MM, JUNTA ELÁSTICA, FORNECIDO E INSTALADO EM PRUMADA DE ESGOTO SANITÁRIO OU VENTILAÇÃO. AF_08/2022</t>
  </si>
  <si>
    <t>JUNÇÃO SIMPLES, PVC, SERIE NORMAL, ESGOTO PREDIAL, DN 100 X 100 MM, JUNTA ELÁSTICA, FORNECIDO E INSTALADO EM PRUMADA DE ESGOTO SANITÁRIO OU VENTILAÇÃO. AF_08/2022</t>
  </si>
  <si>
    <t>LUVA, CPVC, SOLDÁVEL, DN 54MM, INSTALADO EM PRUMADA DE ÁGUA   FORNECIMENTO E INSTALAÇÃO. AF_06/2022</t>
  </si>
  <si>
    <t>LUVA DE TRANSIÇÃO, CPVC, SOLDÁVEL, DN 54MM X 2 , INSTALADO EM PRUMADA DE ÁGUA   FORNECIMENTO E INSTALAÇÃO. AF_06/2022</t>
  </si>
  <si>
    <t>UNIÃO, CPVC, SOLDÁVEL, DN 54MM, INSTALADO EM PRUMADA DE ÁGUA   FORNECIMENTO E INSTALAÇÃO. AF_06/2022</t>
  </si>
  <si>
    <t>LUVA, CPVC, SOLDÁVEL, DN 73MM, INSTALADO EM PRUMADA DE ÁGUA   FORNECIMENTO E INSTALAÇÃO. AF_06/2022</t>
  </si>
  <si>
    <t>UNIÃO, CPVC, SOLDÁVEL, DN 73MM, INSTALADO EM PRUMADA DE ÁGUA   FORNECIMENTO E INSTALAÇÃO. AF_06/2022</t>
  </si>
  <si>
    <t>LUVA, CPVC, SOLDÁVEL, DN 89MM, INSTALADO EM PRUMADA DE ÁGUA   FORNECIMENTO E INSTALAÇÃO. AF_06/2022</t>
  </si>
  <si>
    <t>UNIÃO, CPVC, SOLDÁVEL, DN 89MM, INSTALADO EM PRUMADA DE ÁGUA   FORNECIMENTO E INSTALAÇÃO. AF_06/2022</t>
  </si>
  <si>
    <t>TÊ, CPVC, SOLDÁVEL, DN 35MM, INSTALADO EM PRUMADA DE ÁGUA   FORNECIMENTO E INSTALAÇÃO. AF_06/2022</t>
  </si>
  <si>
    <t>TE, CPVC, SOLDÁVEL, DN  42MM, INSTALADO EM PRUMADA DE ÁGUA   FORNECIMENTO E INSTALAÇÃO. AF_06/2022</t>
  </si>
  <si>
    <t>TÊ, CPVC, SOLDÁVEL, DN 54 MM, INSTALADO EM PRUMADA DE ÁGUA   FORNECIMENTO E INSTALAÇÃO. AF_06/2022</t>
  </si>
  <si>
    <t>TÊ, CPVC, SOLDÁVEL, DN 73MM, INSTALADO EM PRUMADA DE ÁGUA   FORNECIMENTO E INSTALAÇÃO. AF_06/2022</t>
  </si>
  <si>
    <t>TÊ, CPVC, SOLDÁVEL, DN 89MM, INSTALADO EM PRUMADA DE ÁGUA   FORNECIMENTO E INSTALAÇÃO. AF_06/2022</t>
  </si>
  <si>
    <t>JOELHO 90 GRAUS, PVC, SERIE NORMAL, ESGOTO PREDIAL, DN 100 MM, JUNTA ELÁSTICA, FORNECIDO E INSTALADO EM SUBCOLETOR AÉREO DE ESGOTO SANITÁRIO. AF_08/2022</t>
  </si>
  <si>
    <t>JOELHO 45 GRAUS, PVC, SERIE NORMAL, ESGOTO PREDIAL, DN 100 MM, JUNTA ELÁSTICA, FORNECIDO E INSTALADO EM SUBCOLETOR AÉREO DE ESGOTO SANITÁRIO. AF_08/2022</t>
  </si>
  <si>
    <t>CURVA CURTA 90 GRAUS, PVC, SERIE NORMAL, ESGOTO PREDIAL, DN 100 MM, JUNTA ELÁSTICA, FORNECIDO E INSTALADO EM SUBCOLETOR AÉREO DE ESGOTO SANITÁRIO. AF_08/2022</t>
  </si>
  <si>
    <t>CURVA LONGA 90 GRAUS, PVC, SERIE NORMAL, ESGOTO PREDIAL, DN 100 MM, JUNTA ELÁSTICA, FORNECIDO E INSTALADO EM SUBCOLETOR AÉREO DE ESGOTO SANITÁRIO. AF_08/2022</t>
  </si>
  <si>
    <t>JOELHO 90 GRAUS, PVC, SERIE NORMAL, ESGOTO PREDIAL, DN 150 MM, JUNTA ELÁSTICA, FORNECIDO E INSTALADO EM SUBCOLETOR AÉREO DE ESGOTO SANITÁRIO. AF_08/2022</t>
  </si>
  <si>
    <t>JOELHO 45 GRAUS, PVC, SERIE NORMAL, ESGOTO PREDIAL, DN 150 MM, JUNTA ELÁSTICA, FORNECIDO E INSTALADO EM SUBCOLETOR AÉREO DE ESGOTO SANITÁRIO. AF_08/2022</t>
  </si>
  <si>
    <t>LUVA SIMPLES, PVC, SERIE NORMAL, ESGOTO PREDIAL, DN 100 MM, JUNTA ELÁSTICA, FORNECIDO E INSTALADO EM SUBCOLETOR AÉREO DE ESGOTO SANITÁRIO. AF_08/2022</t>
  </si>
  <si>
    <t>LUVA DE CORRER, PVC, SERIE NORMAL, ESGOTO PREDIAL, DN 100 MM, JUNTA ELÁSTICA, FORNECIDO E INSTALADO EM SUBCOLETOR AÉREO DE ESGOTO SANITÁRIO. AF_08/2022</t>
  </si>
  <si>
    <t>TE, PVC, SERIE NORMAL, ESGOTO PREDIAL, DN 100 X 100 MM, JUNTA ELÁSTICA, FORNECIDO E INSTALADO EM SUBCOLETOR AÉREO DE ESGOTO SANITÁRIO. AF_08/2022</t>
  </si>
  <si>
    <t>JUNÇÃO SIMPLES, PVC, SERIE NORMAL, ESGOTO PREDIAL, DN 100 X 100 MM, JUNTA ELÁSTICA, FORNECIDO E INSTALADO EM SUBCOLETOR AÉREO DE ESGOTO SANITÁRIO. AF_08/2022</t>
  </si>
  <si>
    <t>JOELHO 90 GRAUS, PVC, SOLDÁVEL, DN 25MM, INSTALADO EM DRENO DE AR-CONDICIONADO - FORNECIMENTO E INSTALAÇÃO. AF_08/2022</t>
  </si>
  <si>
    <t>JOELHO 45 GRAUS, PVC, SOLDÁVEL, DN 25MM, INSTALADO EM DRENO DE AR-CONDICIONADO - FORNECIMENTO E INSTALAÇÃO. AF_08/2022</t>
  </si>
  <si>
    <t>LUVA, PVC, SOLDÁVEL, DN 25MM, INSTALADO EM DRENO DE AR-CONDICIONADO - FORNECIMENTO E INSTALAÇÃO. AF_08/2022</t>
  </si>
  <si>
    <t>TE, PVC, SOLDÁVEL, DN 25MM, INSTALADO EM DRENO DE AR-CONDICIONADO - FORNECIMENTO E INSTALAÇÃO. AF_08/2022</t>
  </si>
  <si>
    <t>LUVA COM BUCHA DE LATÃO, PVC, SOLDÁVEL, DN 32MM X 1 , INSTALADO EM RAMAL OU SUB-RAMAL DE ÁGUA   FORNECIMENTO E INSTALAÇÃO. AF_06/2022</t>
  </si>
  <si>
    <t>LUVA SOLDÁVEL E COM BUCHA DE LATÃO, PVC, SOLDÁVEL, DN 32MM X 1 , INSTALADO EM PRUMADA DE ÁGUA   FORNECIMENTO E INSTALAÇÃO. AF_06/2022</t>
  </si>
  <si>
    <t>JOELHO 90 GRAUS COM BUCHA DE LATÃO, PVC, SOLDÁVEL, DN 25MM, X 1/2  INSTALADO EM RAMAL OU SUB-RAMAL DE ÁGUA - FORNECIMENTO E INSTALAÇÃO. AF_06/2022</t>
  </si>
  <si>
    <t>TÊ COM BUCHA DE LATÃO NA BOLSA CENTRAL, PVC, SOLDÁVEL, DN 25MM X 3/4 , INSTALADO EM RAMAL OU SUB-RAMAL DE ÁGUA - FORNECIMENTO E INSTALAÇÃO. AF_06/2022</t>
  </si>
  <si>
    <t>COTOVELO EM COBRE, DN 22 MM, 90 GRAUS, SEM ANEL DE SOLDA, INSTALADO EM PRUMADA DE HIDRÁULICA PREDIAL - FORNECIMENTO E INSTALAÇÃO. AF_04/2022</t>
  </si>
  <si>
    <t>COTOVELO EM COBRE, DN 28 MM, 90 GRAUS, SEM ANEL DE SOLDA, INSTALADO EM PRUMADA DE HIDRÁULICA PREDIAL - FORNECIMENTO E INSTALAÇÃO. AF_04/2022</t>
  </si>
  <si>
    <t>COTOVELO EM COBRE, DN 35 MM, 90 GRAUS, SEM ANEL DE SOLDA, INSTALADO EM PRUMADA DE HIDRÁULICA PREDIAL - FORNECIMENTO E INSTALAÇÃO. AF_04/2022</t>
  </si>
  <si>
    <t>COTOVELO EM COBRE, DN 42 MM, 90 GRAUS, SEM ANEL DE SOLDA, INSTALADO EM PRUMADA DE HIDRÁULICA PREDIAL - FORNECIMENTO E INSTALAÇÃO. AF_04/2022</t>
  </si>
  <si>
    <t>COTOVELO EM COBRE, DN 54 MM, 90 GRAUS, SEM ANEL DE SOLDA, INSTALADO EM PRUMADA DE HIDRÁULICA PREDIAL - FORNECIMENTO E INSTALAÇÃO. AF_04/2022</t>
  </si>
  <si>
    <t>COTOVELO EM COBRE, DN 66 MM, 90 GRAUS, SEM ANEL DE SOLDA, INSTALADO EM PRUMADA DE HIDRÁULICA PREDIAL - FORNECIMENTO E INSTALAÇÃO. AF_04/2022</t>
  </si>
  <si>
    <t>LUVA EM COBRE, DN 22 MM, SEM ANEL DE SOLDA, INSTALADO EM PRUMADA DE HIDRÁULICA PREDIAL - FORNECIMENTO E INSTALAÇÃO. AF_04/2022</t>
  </si>
  <si>
    <t>LUVA EM COBRE, DN 28 MM, SEM ANEL DE SOLDA, INSTALADO EM PRUMADA DE HIDRÁULICA PREDIAL - FORNECIMENTO E INSTALAÇÃO. AF_04/2022</t>
  </si>
  <si>
    <t>LUVA EM COBRE, DN 35 MM, SEM ANEL DE SOLDA, INSTALADO EM PRUMADA DE HIDRÁULICA PREDIAL - FORNECIMENTO E INSTALAÇÃO. AF_04/2022</t>
  </si>
  <si>
    <t>LUVA EM COBRE, DN 42 MM, SEM ANEL DE SOLDA, INSTALADO EM PRUMADA DE HIDRÁULICA PREDIAL - FORNECIMENTO E INSTALAÇÃO. AF_04/2022</t>
  </si>
  <si>
    <t>40,93</t>
  </si>
  <si>
    <t>LUVA EM COBRE, DN 54 MM, SEM ANEL DE SOLDA, INSTALADO EM PRUMADA DE HIDRÁULICA PREDIAL - FORNECIMENTO E INSTALAÇÃO. AF_04/2022</t>
  </si>
  <si>
    <t>LUVA EM COBRE, DN 66 MM, SEM ANEL DE SOLDA, INSTALADO EM PRUMADA DE HIDRÁULICA PREDIAL - FORNECIMENTO E INSTALAÇÃO. AF_04/2022</t>
  </si>
  <si>
    <t>TE EM COBRE, DN 22 MM, SEM ANEL DE SOLDA, INSTALADO EM PRUMADA DE HIDRÁULICA PREDIAL - FORNECIMENTO E INSTALAÇÃO. AF_04/2022</t>
  </si>
  <si>
    <t>TE EM COBRE, DN 28 MM, SEM ANEL DE SOLDA, INSTALADO EM PRUMADA DE HIDRÁULICA PREDIAL - FORNECIMENTO E INSTALAÇÃO. AF_04/2022</t>
  </si>
  <si>
    <t>TE EM COBRE, DN 35 MM, SEM ANEL DE SOLDA, INSTALADO EM PRUMADA DE HIDRÁULICA PREDIAL - FORNECIMENTO E INSTALAÇÃO. AF_04/2022</t>
  </si>
  <si>
    <t>TE EM COBRE, DN 42 MM, SEM ANEL DE SOLDA, INSTALADO EM PRUMADA DE HIDRÁULICA PREDIAL - FORNECIMENTO E INSTALAÇÃO. AF_04/2022</t>
  </si>
  <si>
    <t>TE EM COBRE, DN 54 MM, SEM ANEL DE SOLDA, INSTALADO EM PRUMADA DE HIDRÁULICA PREDIAL - FORNECIMENTO E INSTALAÇÃO. AF_04/2022</t>
  </si>
  <si>
    <t>TE EM COBRE, DN 66 MM, SEM ANEL DE SOLDA, INSTALADO EM PRUMADA DE HIDRÁULICA PREDIAL - FORNECIMENTO E INSTALAÇÃO. AF_04/2022</t>
  </si>
  <si>
    <t>COTOVELO EM COBRE, DN 15 MM, 90 GRAUS, SEM ANEL DE SOLDA, INSTALADO EM RAMAL DE DISTRIBUIÇÃO   FORNECIMENTO E INSTALAÇÃO. AF_04/2022</t>
  </si>
  <si>
    <t>COTOVELO EM COBRE, DN 22 MM, 90 GRAUS, SEM ANEL DE SOLDA, INSTALADO EM RAMAL DE DISTRIBUIÇÃO DE HIDRÁULICA PREDIAL - FORNECIMENTO E INSTALAÇÃO. AF_04/2022</t>
  </si>
  <si>
    <t>COTOVELO EM COBRE, DN 28 MM, 90 GRAUS, SEM ANEL DE SOLDA, INSTALADO EM RAMAL DE DISTRIBUIÇÃO DE HIDRÁULICA PREDIAL - FORNECIMENTO E INSTALAÇÃO. AF_04/2022</t>
  </si>
  <si>
    <t>LUVA EM COBRE, DN 15 MM, SEM ANEL DE SOLDA, INSTALADO EM RAMAL DE DISTRIBUIÇÃO DE HIDRÁULICA PREDIAL - FORNECIMENTO E INSTALAÇÃO. AF_04/2022</t>
  </si>
  <si>
    <t>LUVA EM COBRE, DN 22 MM, SEM ANEL DE SOLDA, INSTALADO EM RAMAL DE DISTRIBUIÇÃO DE HIDRÁULICA PREDIAL - FORNECIMENTO E INSTALAÇÃO. AF_04/2022</t>
  </si>
  <si>
    <t>LUVA EM COBRE, DN 28 MM, SEM ANEL DE SOLDA, INSTALADO EM RAMAL DE DISTRIBUIÇÃO DE HIDRÁULICA PREDIAL - FORNECIMENTO E INSTALAÇÃO. AF_04/2022</t>
  </si>
  <si>
    <t>TE EM COBRE, DN 15 MM, SEM ANEL DE SOLDA, INSTALADO EM RAMAL DE DISTRIBUIÇÃO DE HIDRÁULICA PREDIAL - FORNECIMENTO E INSTALAÇÃO. AF_04/2022</t>
  </si>
  <si>
    <t>TE EM COBRE, DN 22 MM, SEM ANEL DE SOLDA, INSTALADO EM RAMAL DE DISTRIBUIÇÃO DE HIDRÁULICA PREDIAL - FORNECIMENTO E INSTALAÇÃO. AF_04/2022</t>
  </si>
  <si>
    <t>TE EM COBRE, DN 28 MM, SEM ANEL DE SOLDA, INSTALADO EM RAMAL DE DISTRIBUIÇÃO DE HIDRÁULICA PREDIAL - FORNECIMENTO E INSTALAÇÃO. AF_04/2022</t>
  </si>
  <si>
    <t>COTOVELO EM COBRE, DN 15 MM, 90 GRAUS, SEM ANEL DE SOLDA, INSTALADO EM RAMAL E SUB-RAMAL DE HIDRÁULICA PREDIAL - FORNECIMENTO E INSTALAÇÃO. AF_04/2022</t>
  </si>
  <si>
    <t>COTOVELO EM COBRE, DN 22 MM, 90 GRAUS, SEM ANEL DE SOLDA, INSTALADO EM RAMAL E SUB-RAMAL DE HIDRÁULICA PREDIAL - FORNECIMENTO E INSTALAÇÃO. AF_04/2022</t>
  </si>
  <si>
    <t>COTOVELO EM COBRE, DN 28 MM, 90 GRAUS, SEM ANEL DE SOLDA, INSTALADO EM RAMAL E SUB-RAMAL DE HIDRÁULICA PREDIAL - FORNECIMENTO E INSTALAÇÃO. AF_04/2022</t>
  </si>
  <si>
    <t>LUVA EM COBRE, DN 15 MM, SEM ANEL DE SOLDA, INSTALADO EM RAMAL E SUB-RAMAL DE HIDRÁULICA PREDIAL - FORNECIMENTO E INSTALAÇÃO. AF_04/2022</t>
  </si>
  <si>
    <t>LUVA EM COBRE, DN 22 MM, SEM ANEL DE SOLDA, INSTALADO EM RAMAL E SUB-RAMAL DE HIDRÁULICA PREDIAL - FORNECIMENTO E INSTALAÇÃO. AF_04/2022</t>
  </si>
  <si>
    <t>LUVA EM COBRE, DN 28 MM, SEM ANEL DE SOLDA, INSTALADO EM RAMAL E SUB-RAMAL DE HIDRÁULICA PREDIAL - FORNECIMENTO E INSTALAÇÃO. AF_04/2022</t>
  </si>
  <si>
    <t>TE EM COBRE, DN 15 MM, SEM ANEL DE SOLDA, INSTALADO EM RAMAL E SUB-RAMAL DE HIDRÁULICA PREDIAL - FORNECIMENTO E INSTALAÇÃO. AF_04/2022</t>
  </si>
  <si>
    <t>TE EM COBRE, DN 22 MM, SEM ANEL DE SOLDA, INSTALADO EM RAMAL E SUB-RAMAL DE HIDRÁULICA PREDIAL - FORNECIMENTO E INSTALAÇÃO. AF_04/2022</t>
  </si>
  <si>
    <t>TE EM COBRE, DN 28 MM, SEM ANEL DE SOLDA, INSTALADO EM RAMAL E SUB-RAMAL DE HIDRÁULICA PREDIAL - FORNECIMENTO E INSTALAÇÃO. AF_04/2022</t>
  </si>
  <si>
    <t>45,10</t>
  </si>
  <si>
    <t>49,47</t>
  </si>
  <si>
    <t>30,62</t>
  </si>
  <si>
    <t>46,57</t>
  </si>
  <si>
    <t>35,15</t>
  </si>
  <si>
    <t>LUVA PASSANTE EM COBRE, DN 22 MM, SEM ANEL DE SOLDA, INSTALADO EM PRUMADA DE HIDRÁULICA PREDIAL - FORNECIMENTO E INSTALAÇÃO. AF_04/2022</t>
  </si>
  <si>
    <t>JUNTA DE EXPANSÃO EM COBRE, DN 22 MM, PONTA X PONTA, INSTALADO EM PRUMADA DE HIDRÁULICA PREDIAL - FORNECIMENTO E INSTALAÇÃO. AF_04/2022</t>
  </si>
  <si>
    <t>CONECTOR EM BRONZE/LATÃO, DN 22 MM X 3/4", SEM ANEL DE SOLDA, BOLSA X ROSCA F, INSTALADO EM PRUMADA DE HIDRÁULICA PREDIAL - FORNECIMENTO E INSTALAÇÃO. AF_04/2022</t>
  </si>
  <si>
    <t>CURVA DE TRANSPOSIÇÃO EM BRONZE/LATÃO, DN 22 MM, SEM ANEL DE SOLDA, BOLSA X BOLSA, INSTALADO EM PRUMADA DE HIDRÁULICA PREDIAL - FORNECIMENTO E INSTALAÇÃO. AF_04/2022</t>
  </si>
  <si>
    <t>LUVA PASSANTE EM COBRE, DN 28 MM, SEM ANEL DE SOLDA, INSTALADO EM PRUMADA DE HIDRÁULICA PREDIAL - FORNECIMENTO E INSTALAÇÃO. AF_04/2022</t>
  </si>
  <si>
    <t>BUCHA DE REDUÇÃO EM COBRE, DN 28 MM X 22 MM, SEM ANEL DE SOLDA, PONTA X BOLSA, INSTALADO EM PRUMADA DE HIDRÁULICA PREDIAL - FORNECIMENTO E INSTALAÇÃO. AF_04/2022</t>
  </si>
  <si>
    <t>JUNTA DE EXPANSÃO EM COBRE, DN 28 MM, PONTA X PONTA, INSTALADO EM PRUMADA DE HIDRÁULICA PREDIAL - FORNECIMENTO E INSTALAÇÃO. AF_04/2022</t>
  </si>
  <si>
    <t>CONECTOR EM BRONZE/LATÃO, DN 28 MM X 1/2", SEM ANEL DE SOLDA, BOLSA X ROSCA F, INSTALADO EM PRUMADA DE HIDRÁULICA PREDIAL - FORNECIMENTO E INSTALAÇÃO. AF_04/2022</t>
  </si>
  <si>
    <t>CURVA DE TRANSPOSIÇÃO EM BRONZE/LATÃO, DN 28 MM, SEM ANEL DE SOLDA, BOLSA X BOLSA, INSTALADO EM PRUMADA DE HIDRÁULICA PREDIAL - FORNECIMENTO E INSTALAÇÃO. AF_04/2022</t>
  </si>
  <si>
    <t>LUVA PASSANTE EM COBRE, DN 35 MM, SEM ANEL DE SOLDA, INSTALADO EM PRUMADA DE HIDRÁULICA PREDIAL - FORNECIMENTO E INSTALAÇÃO. AF_04/2022</t>
  </si>
  <si>
    <t>BUCHA DE REDUÇÃO EM COBRE, DN 35 MM X 28 MM, SEM ANEL DE SOLDA, PONTA X BOLSA, INSTALADO EM PRUMADA DE HIDRÁULICA PREDIAL - FORNECIMENTO E INSTALAÇÃO. AF_04/2022</t>
  </si>
  <si>
    <t>JUNTA DE EXPANSÃO EM BRONZE/LATÃO, DN 35 MM, PONTA X PONTA, INSTALADO EM PRUMADA DE HIDRÁULICA PREDIAL - FORNECIMENTO E INSTALAÇÃO. AF_04/2022</t>
  </si>
  <si>
    <t>LUVA PASSANTE EM COBRE, DN 42 MM, SEM ANEL DE SOLDA, INSTALADO EM PRUMADA DE HIDRÁULICA PREDIAL - FORNECIMENTO E INSTALAÇÃO. AF_04/2022</t>
  </si>
  <si>
    <t>BUCHA DE REDUÇÃO EM COBRE, DN 42 MM X 35 MM, SEM ANEL DE SOLDA, PONTA X BOLSA, INSTALADO EM PRUMADA DE HIDRÁULICA PREDIAL - FORNECIMENTO E INSTALAÇÃO. AF_04/2022</t>
  </si>
  <si>
    <t>JUNTA DE EXPANSÃO EM BRONZE/LATÃO, DN 42 MM, PONTA X PONTA, INSTALADO EM PRUMADA DE HIDRÁULICA PREDIAL - FORNECIMENTO E INSTALAÇÃO. AF_04/2022</t>
  </si>
  <si>
    <t>LUVA PASSANTE EM COBRE, DN 54 MM, SEM ANEL DE SOLDA, INSTALADO EM PRUMADA DE HIDRÁULICA PREDIAL - FORNECIMENTO E INSTALAÇÃO. AF_04/2022</t>
  </si>
  <si>
    <t>BUCHA DE REDUÇÃO EM COBRE, DN 54 MM X 42 MM, SEM ANEL DE SOLDA, PONTA X BOLSA, INSTALADO EM PRUMADA DE HIDRÁULICA PREDIAL - FORNECIMENTO E INSTALAÇÃO. AF_04/2022</t>
  </si>
  <si>
    <t>JUNTA DE EXPANSÃO EM BRONZE/LATÃO, DN 54 MM, PONTA X PONTA, INSTALADO EM PRUMADA DE HIDRÁULICA PREDIAL - FORNECIMENTO E INSTALAÇÃO. AF_04/2022</t>
  </si>
  <si>
    <t>LUVA PASSANTE EM COBRE, DN 66 MM, SEM ANEL DE SOLDA, INSTALADO EM PRUMADA DE HIDRÁULICA PREDIAL - FORNECIMENTO E INSTALAÇÃO. AF_04/2022</t>
  </si>
  <si>
    <t>BUCHA DE REDUÇÃO EM COBRE, DN 66 MM X 54 MM, SEM ANEL DE SOLDA, PONTA X BOLSA, INSTALADO EM PRUMADA DE HIDRÁULICA PREDIAL - FORNECIMENTO E INSTALAÇÃO. AF_04/2022</t>
  </si>
  <si>
    <t>JUNTA DE EXPANSÃO EM BRONZE/LATÃO, DN 66 MM, PONTA X PONTA, INSTALADO EM PRUMADA DE HIDRÁULICA PREDIAL - FORNECIMENTO E INSTALAÇÃO. AF_04/2022</t>
  </si>
  <si>
    <t>CURVA EM COBRE, DN 15 MM, 45 GRAUS, SEM ANEL DE SOLDA, BOLSA X BOLSA, INSTALADO EM RAMAL DE DISTRIBUIÇÃO DE HIDRÁULICA PREDIAL - FORNECIMENTO E INSTALAÇÃO. AF_04/2022</t>
  </si>
  <si>
    <t>COTOVELO EM BRONZE/LATÃO, DN 15 MM X 1/2", 90 GRAUS, SEM ANEL DE SOLDA, BOLSA X ROSCA F, INSTALADO EM RAMAL DE DISTRIBUIÇÃO DE HIDRÁULICA PREDIAL - FORNECIMENTO E INSTALAÇÃO. AF_04/2022</t>
  </si>
  <si>
    <t>CURVA EM COBRE, DN 22 MM, 45 GRAUS, SEM ANEL DE SOLDA, BOLSA X BOLSA, INSTALADO EM RAMAL DE DISTRIBUIÇÃO DE HIDRÁULICA PREDIAL - FORNECIMENTO E INSTALAÇÃO. AF_04/2022</t>
  </si>
  <si>
    <t>COTOVELO EM BRONZE/LATÃO, DN 22 MM X 1/2", 90 GRAUS, SEM ANEL DE SOLDA, BOLSA X ROSCA F, INSTALADO EM RAMAL DE DISTRIBUIÇÃO DE HIDRÁULICA PREDIAL - FORNECIMENTO E INSTALAÇÃO. AF_04/2022</t>
  </si>
  <si>
    <t>COTOVELO EM BRONZE/LATÃO, DN 22 MM X 3/4", 90 GRAUS, SEM ANEL DE SOLDA, BOLSA X ROSCA F, INSTALADO EM RAMAL DE DISTRIBUIÇÃO DE HIDRÁULICA PREDIAL - FORNECIMENTO E INSTALAÇÃO. AF_04/2022</t>
  </si>
  <si>
    <t>CURVA EM COBRE, DN 28 MM, 45 GRAUS, SEM ANEL DE SOLDA, BOLSA X BOLSA, INSTALADO EM RAMAL DE DISTRIBUIÇÃO DE HIDRÁULICA PREDIAL - FORNECIMENTO E INSTALAÇÃO. AF_04/2022</t>
  </si>
  <si>
    <t>LUVA PASSANTE EM COBRE, DN 15 MM, SEM ANEL DE SOLDA, INSTALADO EM RAMAL DE DISTRIBUIÇÃO DE HIDRÁULICA PREDIAL - FORNECIMENTO E INSTALAÇÃO. AF_04/2022</t>
  </si>
  <si>
    <t>CONECTOR EM BRONZE/LATÃO, DN 15 MM X 1/2", SEM ANEL DE SOLDA, BOLSA X ROSCA F, INSTALADO EM RAMAL DE DISTRIBUIÇÃO DE HIDRÁULICA PREDIAL - FORNECIMENTO E INSTALAÇÃO. AF_04/2022</t>
  </si>
  <si>
    <t>CURVA DE TRANSPOSIÇÃO EM BRONZE/LATÃO, DN 15 MM, SEM ANEL DE SOLDA, BOLSA X BOLSA, INSTALADO EM RAMAL DE DISTRIBUIÇÃO DE HIDRÁULICA PREDIAL - FORNECIMENTO E INSTALAÇÃO. AF_04/2022</t>
  </si>
  <si>
    <t>JUNTA DE EXPANSÃO EM COBRE, DN 15 MM, PONTA X PONTA, INSTALADO EM RAMAL DE DISTRIBUIÇÃO DE HIDRÁULICA PREDIAL - FORNECIMENTO E INSTALAÇÃO. AF_04/2022</t>
  </si>
  <si>
    <t>LUVA PASSANTE EM COBRE, DN 22 MM, SEM ANEL DE SOLDA, INSTALADO EM RAMAL DE DISTRIBUIÇÃO DE HIDRÁULICA PREDIAL - FORNECIMENTO E INSTALAÇÃO. AF_04/2022</t>
  </si>
  <si>
    <t>BUCHA DE REDUÇÃO EM COBRE, DN 22 MM X 15 MM, SEM ANEL DE SOLDA, PONTA X BOLSA, INSTALADO EM RAMAL DE DISTRIBUIÇÃO DE HIDRÁULICA PREDIAL - FORNECIMENTO E INSTALAÇÃO. AF_04/2022</t>
  </si>
  <si>
    <t>JUNTA DE EXPANSÃO EM COBRE, DN 22 MM, PONTA X PONTA, INSTALADO EM RAMAL DE DISTRIBUIÇÃO DE HIDRÁULICA PREDIAL - FORNECIMENTO E INSTALAÇÃO. AF_04/2022</t>
  </si>
  <si>
    <t>CONECTOR EM BRONZE/LATÃO, DN 22 MM X 1/2", SEM ANEL DE SOLDA, BOLSA X ROSCA F, INSTALADO EM RAMAL DE DISTRIBUIÇÃO DE HIDRÁULICA PREDIAL - FORNECIMENTO E INSTALAÇÃO. AF_04/2022</t>
  </si>
  <si>
    <t>CONECTOR EM BRONZE/LATÃO, DN 22 MM X 3/4", SEM ANEL DE SOLDA, BOLSA X ROSCA F, INSTALADO EM RAMAL DE DISTRIBUIÇÃO DE HIDRÁULICA PREDIAL - FORNECIMENTO E INSTALAÇÃO. AF_04/2022</t>
  </si>
  <si>
    <t>CURVA DE TRANSPOSIÇÃO EM BRONZE/LATÃO, DN 22 MM, SEM ANEL DE SOLDA, BOLSA X BOLSA, INSTALADO EM RAMAL DE DISTRIBUIÇÃO DE HIDRÁULICA PREDIAL - FORNECIMENTO E INSTALAÇÃO. AF_04/2022</t>
  </si>
  <si>
    <t>46,41</t>
  </si>
  <si>
    <t>LUVA PASSANTE EM COBRE, DN 28 MM, SEM ANEL DE SOLDA, INSTALADO EM RAMAL DE DISTRIBUIÇÃO DE HIDRÁULICA PREDIAL - FORNECIMENTO E INSTALAÇÃO. AF_04/2022</t>
  </si>
  <si>
    <t>BUCHA DE REDUÇÃO EM COBRE, DN 28 MM X 22 MM, SEM ANEL DE SOLDA, INSTALADO EM RAMAL DE DISTRIBUIÇÃO DE HIDRÁULICA PREDIAL - FORNECIMENTO E INSTALAÇÃO. AF_04/2022</t>
  </si>
  <si>
    <t>JUNTA DE EXPANSÃO EM COBRE, DN 28 MM, PONTA X PONTA, INSTALADO EM RAMAL DE DISTRIBUIÇÃO DE HIDRÁULICA PREDIAL - FORNECIMENTO E INSTALAÇÃO. AF_04/2022</t>
  </si>
  <si>
    <t>CONECTOR EM BRONZE/LATÃO, DN 28 MM X 1/2", SEM ANEL DE SOLDA, BOLSA X ROSCA F, INSTALADO EM RAMAL DE DISTRIBUIÇÃO DE HIDRÁULICA PREDIAL - FORNECIMENTO E INSTALAÇÃO. AF_04/2022</t>
  </si>
  <si>
    <t>CURVA DE TRANSPOSIÇÃO EM BRONZE/LATÃO, DN 28 MM, SEM ANEL DE SOLDA, BOLSA X BOLSA, INSTALADO EM RAMAL DE DISTRIBUIÇÃO DE HIDRÁULICA PREDIAL - FORNECIMENTO E INSTALAÇÃO. AF_04/2022</t>
  </si>
  <si>
    <t>CURVA EM COBRE, DN 15 MM, 45 GRAUS, SEM ANEL DE SOLDA, BOLSA X BOLSA, INSTALADO EM RAMAL E SUB-RAMAL DE HIDRÁULICA PREDIAL - FORNECIMENTO E INSTALAÇÃO. AF_04/2022</t>
  </si>
  <si>
    <t>COTOVELO EM BRONZE/LATÃO, DN 15 MM X 1/2", 90 GRAUS, SEM ANEL DE SOLDA, BOLSA X ROSCA F, INSTALADO EM RAMAL E SUB-RAMAL DE HIDRÁULICA PREDIAL - FORNECIMENTO E INSTALAÇÃO. AF_04/2022</t>
  </si>
  <si>
    <t>CURVA EM COBRE, DN 22 MM, 45 GRAUS, SEM ANEL DE SOLDA, BOLSA X BOLSA, INSTALADO EM RAMAL E SUB-RAMAL DE HIDRÁULICA PREDIAL - FORNECIMENTO E INSTALAÇÃO. AF_04/2022</t>
  </si>
  <si>
    <t>COTOVELO EM BRONZE/LATÃO, DN 22 MM X 1/2", 90 GRAUS, SEM ANEL DE SOLDA, BOLSA X ROSCA F, INSTALADO EM RAMAL E SUB-RAMAL DE HIDRÁULICA PREDIAL - FORNECIMENTO E INSTALAÇÃO. AF_04/2022</t>
  </si>
  <si>
    <t>COTOVELO EM BRONZE/LATÃO, DN 22 MM X 3/4", 90 GRAUS, SEM ANEL DE SOLDA, BOLSA X ROSCA F, INSTALADO EM RAMAL E SUB-RAMAL DE HIDRÁULICA PREDIAL - FORNECIMENTO E INSTALAÇÃO. AF_04/2022</t>
  </si>
  <si>
    <t>CURVA EM COBRE, DN 28 MM, 45 GRAUS, SEM ANEL DE SOLDA, BOLSA X BOLSA, INSTALADO EM RAMAL E SUB-RAMAL DE HIDRÁULICA PREDIAL - FORNECIMENTO E INSTALAÇÃO. AF_04/2022</t>
  </si>
  <si>
    <t>LUVA PASSANTE EM COBRE, DN 15 MM, SEM ANEL DE SOLDA, INSTALADO EM RAMAL E SUB-RAMAL DE HIDRÁULICA PREDIAL - FORNECIMENTO E INSTALAÇÃO. AF_04/2022</t>
  </si>
  <si>
    <t>CONECTOR EM BRONZE/LATÃO, DN 15 MM X 1/2", SEM ANEL DE SOLDA, BOLSA X ROSCA F, INSTALADO EM RAMAL E SUB-RAMAL DE HIDRÁULICA PREDIAL - FORNECIMENTO E INSTALAÇÃO. AF_04/2022</t>
  </si>
  <si>
    <t>CURVA DE TRANSPOSIÇÃO EM BRONZE/LATÃO, DN 15 MM, SEM ANEL DE SOLDA, BOLSA X BOLSA, INSTALADO EM RAMAL E SUB-RAMAL DE HIDRÁULICA PREDIAL - FORNECIMENTO E INSTALAÇÃO. AF_04/2022</t>
  </si>
  <si>
    <t>JUNTA DE EXPANSÃO EM COBRE, DN 15 MM, PONTA X PONTA, INSTALADO EM RAMAL E SUB-RAMAL DE HIDRÁULICA PREDIAL - FORNECIMENTO E INSTALAÇÃO. AF_04/2022</t>
  </si>
  <si>
    <t>LUVA PASSANTE EM COBRE, DN 22 MM, SEM ANEL DE SOLDA, INSTALADO EM RAMAL E SUB-RAMAL DE HIDRÁULICA PREDIAL - FORNECIMENTO E INSTALAÇÃO. AF_04/2022</t>
  </si>
  <si>
    <t>BUCHA DE REDUÇÃO EM COBRE, DN 22 MM X 15 MM, SEM ANEL DE SOLDA, PONTA X BOLSA, INSTALADO EM RAMAL E SUB-RAMAL DE HIDRÁULICA PREDIAL - FORNECIMENTO E INSTALAÇÃO. AF_04/2022</t>
  </si>
  <si>
    <t>JUNTA DE EXPANSÃO EM COBRE, DN 22 MM, PONTA X PONTA, INSTALADO EM RAMAL E SUB-RAMAL DE HIDRÁULICA PREDIAL - FORNECIMENTO E INSTALAÇÃO. AF_04/2022</t>
  </si>
  <si>
    <t>CONECTOR EM BRONZE/LATÃO, DN 22 MM X 1/2", SEM ANEL DE SOLDA, BOLSA X ROSCA F, INSTALADO EM RAMAL E SUB-RAMAL DE HIDRÁULICA PREDIAL - FORNECIMENTO E INSTALAÇÃO. AF_04/2022</t>
  </si>
  <si>
    <t>CONECTOR EM BRONZE/LATÃO, DN 22 MM X 3/4", SEM ANEL DE SOLDA, BOLSA X ROSCA F, INSTALADO EM RAMAL E SUB-RAMAL DE HIDRÁULICA PREDIAL - FORNECIMENTO E INSTALAÇÃO. AF_04/2022</t>
  </si>
  <si>
    <t>CURVA DE TRANSPOSIÇÃO EM BRONZE/LATÃO, DN 22 MM, SEM ANEL DE SOLDA, BOLSA X BOLSA, INSTALADO EM RAMAL E SUB-RAMAL DE HIDRÁULICA PREDIAL - FORNECIMENTO E INSTALAÇÃO. AF_04/2022</t>
  </si>
  <si>
    <t>LUVA PASSANTE EM COBRE, DN 28 MM, SEM ANEL DE SOLDA, INSTALADO EM RAMAL E SUB-RAMAL  DE HIDRÁULICA PREDIAL - FORNECIMENTO E INSTALAÇÃO. AF_04/2022</t>
  </si>
  <si>
    <t>CONECTOR EM BRONZE/LATÃO, DN 28 MM X 1/2", SEM ANEL DE SOLDA, BOLSA X ROSCA F, INSTALADO EM RAMAL E SUB-RAMAL DE HIDRÁULICA PREDIAL - FORNECIMENTO E INSTALAÇÃO. AF_04/2022</t>
  </si>
  <si>
    <t>CURVA DE TRANSPOSIÇÃO EM BRONZE/LATÃO, DN 28 MM, SEM ANEL DE SOLDA, BOLSA X BOLSA, INSTALADO EM RAMAL E SUB-RAMAL DE HIDRÁULICA PREDIAL - FORNECIMENTO E INSTALAÇÃO. AF_04/2022</t>
  </si>
  <si>
    <t>JUNTA DE EXPANSÃO EM COBRE, DN 28 MM, PONTA X PONTA, INSTALADO EM RAMAL E SUB-RAMAL DE HIDRÁULICA PREDIAL - FORNECIMENTO E INSTALAÇÃO. AF_04/2022</t>
  </si>
  <si>
    <t>TE DUPLA CURVA EM BRONZE/LATÃO, DN 1/2" X 15 MM X 1/2", SEM ANEL DE SOLDA, ROSCA F X BOLSA X ROSCA F, INSTALADO EM RAMAL E SUB-RAMAL DE HIDRÁULICA PREDIAL - FORNECIMENTO E INSTALAÇÃO. AF_04/2022</t>
  </si>
  <si>
    <t>TE DUPLA CURVA EM BRONZE/LATÃO, DN 3/4" X 22 MM X 3/4", SEM ANEL DE SOLDA, ROSCA F X BOLSA X ROSCA F, INSTALADO EM RAMAL E SUB-RAMAL DE HIDRÁULICA PREDIAL - FORNECIMENTO E INSTALAÇÃO. AF_04/2022</t>
  </si>
  <si>
    <t>CURVA EM COBRE, DN 22 MM, 45 GRAUS, SEM ANEL DE SOLDA, BOLSA X BOLSA, INSTALADO EM PRUMADA DE HIDRÁULICA PREDIAL - FORNECIMENTO E INSTALAÇÃO. AF_04/2022</t>
  </si>
  <si>
    <t>COTOVELO EM BRONZE/LATÃO, DN 22 MM X 1/2", 90 GRAUS, SEM ANEL DE SOLDA, BOLSA X ROSCA F, INSTALADO EM PRUMADA DE HIDRÁULICA PREDIAL - FORNECIMENTO E INSTALAÇÃO. AF_04/2022</t>
  </si>
  <si>
    <t>COTOVELO EM BRONZE/LATÃO, DN 22 MM X 3/4", 90 GRAUS, SEM ANEL DE SOLDA, BOLSA X ROSCA F, INSTALADO EM PRUMADA DE HIDRÁULICA PREDIAL - FORNECIMENTO E INSTALAÇÃO. AF_04/2022</t>
  </si>
  <si>
    <t>CURVA EM COBRE, DN 28 MM, 45 GRAUS, SEM ANEL DE SOLDA, BOLSA X BOLSA, INSTALADO EM PRUMADA DE HIDRÁULICA PREDIAL - FORNECIMENTO E INSTALAÇÃO. AF_04/2022</t>
  </si>
  <si>
    <t>CURVA EM COBRE, DN 35 MM, 45 GRAUS, SEM ANEL DE SOLDA, BOLSA X BOLSA, INSTALADO EM PRUMADA DE HIDRÁULICA PREDIAL -  FORNECIMENTO E INSTALAÇÃO. AF_04/2022</t>
  </si>
  <si>
    <t>CURVA EM COBRE, DN 42 MM, 45 GRAUS, SEM ANEL DE SOLDA, BOLSA X BOLSA, INSTALADO EM PRUMADA DE HIDRÁULICA PREDIAL - FORNECIMENTO E INSTALAÇÃO. AF_04/2022</t>
  </si>
  <si>
    <t>CURVA EM COBRE, DN 54 MM, 45 GRAUS, SEM ANEL DE SOLDA, BOLSA X BOLSA, INSTALADO EM PRUMADA DE HIDRÁULICA PREDIAL - FORNECIMENTO E INSTALAÇÃO. AF_04/2022</t>
  </si>
  <si>
    <t>CURVA EM COBRE, DN 66 MM, 45 GRAUS, SEM ANEL DE SOLDA, BOLSA X BOLSA, INSTALADO EM PRUMADA DE HIDRÁULICA PREDIAL - FORNECIMENTO E INSTALAÇÃO. AF_04/2022</t>
  </si>
  <si>
    <t>BUCHA DE REDUÇÃO EM COBRE, DN 28 MM X 22 MM, SEM ANEL DE SOLDA, INSTALADO EM RAMAL E SUB-RAMAL DE HIDRÁULICA PREDIAL - FORNECIMENTO E INSTALAÇÃO. AF_04/2022</t>
  </si>
  <si>
    <t>43,01</t>
  </si>
  <si>
    <t>14,94</t>
  </si>
  <si>
    <t>65,31</t>
  </si>
  <si>
    <t>94732</t>
  </si>
  <si>
    <t>94734</t>
  </si>
  <si>
    <t>94736</t>
  </si>
  <si>
    <t>94738</t>
  </si>
  <si>
    <t>94739</t>
  </si>
  <si>
    <t>25,20</t>
  </si>
  <si>
    <t>82,70</t>
  </si>
  <si>
    <t>94754</t>
  </si>
  <si>
    <t>94763</t>
  </si>
  <si>
    <t>94764</t>
  </si>
  <si>
    <t>94765</t>
  </si>
  <si>
    <t>94766</t>
  </si>
  <si>
    <t>94767</t>
  </si>
  <si>
    <t>94768</t>
  </si>
  <si>
    <t>94769</t>
  </si>
  <si>
    <t>LUVA COM BUCHA DE LATÃO, PVC, SOLDÁVEL, DN 32MM X 1 , INSTALADO EM RAMAL DE DISTRIBUIÇÃO DE ÁGUA   FORNECIMENTO E INSTALAÇÃO. AF_06/2022</t>
  </si>
  <si>
    <t>LUVA SIMPLES, PVC, SÉRIE NORMAL, ESGOTO PREDIAL, DN 150 MM, JUNTA ELÁSTICA, FORNECIDO E INSTALADO EM SUBCOLETOR AÉREO DE ESGOTO SANITÁRIO. AF_08/2022</t>
  </si>
  <si>
    <t>CURVA 90 GRAUS, PVC, SERIE R, ÁGUA PLUVIAL, DN 100 MM, JUNTA ELÁSTICA, FORNECIDO E INSTALADO EM RAMAL DE ENCAMINHAMENTO. AF_06/2022</t>
  </si>
  <si>
    <t>CURVA 90 GRAUS, PVC, SERIE R, ÁGUA PLUVIAL, DN 100 MM, JUNTA ELÁSTICA, FORNECIDO E INSTALADO EM CONDUTORES VERTICAIS DE ÁGUAS PLUVIAIS. AF_06/2022</t>
  </si>
  <si>
    <t>JOELHO 90 GRAUS, PPR, DN 25 MM, CLASSE PN 25, INSTALADO EM RAMAL OU SUB-RAMAL DE ÁGUA   FORNECIMENTO E INSTALAÇÃO. AF_08/2022</t>
  </si>
  <si>
    <t>JOELHO 45 GRAUS, PPR, DN 25 MM, CLASSE PN 25, INSTALADO EM RAMAL OU SUB-RAMAL DE ÁGUA   FORNECIMENTO E INSTALAÇÃO. AF_08/2022</t>
  </si>
  <si>
    <t>LUVA, PPR, DN 25 MM, CLASSE PN 25, INSTALADO EM RAMAL OU SUB-RAMAL DE ÁGUA   FORNECIMENTO E INSTALAÇÃO. AF_08/2022</t>
  </si>
  <si>
    <t>CONECTOR MACHO, PPR, 25 X 1/2  , CLASSE PN 25, INSTALADO EM RAMAL OU SUB-RAMAL DE ÁGUA   FORNECIMENTO E INSTALAÇÃO. AF_08/2022</t>
  </si>
  <si>
    <t>CONECTOR FÊMEA, PPR, 25 X 1/2  , CLASSE PN 25, INSTALADO EM RAMAL OU SUB-RAMAL DE ÁGUA   FORNECIMENTO E INSTALAÇÃO. AF_08/2022</t>
  </si>
  <si>
    <t>TÊ NORMAL, PPR, DN 25 MM, CLASSE PN 25, INSTALADO EM RAMAL OU SUB-RAMAL DE ÁGUA   FORNECIMENTO E INSTALAÇÃO. AF_08/2022</t>
  </si>
  <si>
    <t>TÊ MISTURADOR, PPR, 25 X 3/4   , CLASSE PN 25, INSTALADO EM RAMAL OU SUB-RAMAL DE ÁGUA   FORNECIMENTO E INSTALAÇÃO. AF_08/2022</t>
  </si>
  <si>
    <t>JOELHO 90 GRAUS, PPR, DN 25 MM, CLASSE PN 25, INSTALADO EM RAMAL DE DISTRIBUIÇÃO   FORNECIMENTO E INSTALAÇÃO. AF_08/2022</t>
  </si>
  <si>
    <t>JOELHO 45 GRAUS, PPR, DN 25 MM, CLASSE PN 25, INSTALADO EM RAMAL DE DISTRIBUIÇÃO DE ÁGUA   FORNECIMENTO E INSTALAÇÃO. AF_08/2022</t>
  </si>
  <si>
    <t>JOELHO 90 GRAUS, PPR, DN 32 MM, CLASSE PN 25, INSTALADO EM RAMAL DE DISTRIBUIÇÃO - FORNECIMENTO E INSTALAÇÃO. AF_08/2022</t>
  </si>
  <si>
    <t>JOELHO 45 GRAUS, PPR, DN 32 MM, CLASSE PN 25, INSTALADO EM RAMAL DE DISTRIBUIÇÃO DE ÁGUA - FORNECIMENTO E INSTALAÇÃO. AF_08/2022</t>
  </si>
  <si>
    <t>JOELHO 90 GRAUS, PPR, DN 40 MM, CLASSE PN 25, INSTALADO EM RAMAL DE DISTRIBUIÇÃO - FORNECIMENTO E INSTALAÇÃO. AF_08/2022</t>
  </si>
  <si>
    <t>JOELHO 45 GRAUS, PPR, DN 40 MM, CLASSE PN 25, INSTALADO EM RAMAL DE DISTRIBUIÇÃO DE ÁGUA - FORNECIMENTO E INSTALAÇÃO. AF_08/2022</t>
  </si>
  <si>
    <t>LUVA, PPR, DN 25 MM, CLASSE PN 25, INSTALADO EM RAMAL DE DISTRIBUIÇÃO DE ÁGUA   FORNECIMENTO E INSTALAÇÃO. AF_08/2022</t>
  </si>
  <si>
    <t>CONECTOR MACHO, PPR, 25 X 1/2, CLASSE PN 25, INSTALADO EM RAMAL DE DISTRIBUIÇÃO DE ÁGUA   FORNECIMENTO E INSTALAÇÃO. AF_08/2022</t>
  </si>
  <si>
    <t>21,50</t>
  </si>
  <si>
    <t>CONECTOR FÊMEA, PPR, 25 X 1/2  , CLASSE PN 25, INSTALADO EM RAMAL DE DISTRIBUIÇÃO DE ÁGUA   FORNECIMENTO E INSTALAÇÃO. AF_08/2022</t>
  </si>
  <si>
    <t>LUVA, PPR, DN 32 MM, CLASSE PN 25, INSTALADO EM RAMAL DE DISTRIBUIÇÃO DE ÁGUA   FORNECIMENTO E INSTALAÇÃO. AF_08/2022</t>
  </si>
  <si>
    <t>BUCHA DE REDUÇÃO, PPR, 32 X 25, CLASSE PN 25, INSTALADO EM RAMAL DE DISTRIBUIÇÃO DE ÁGUA   FORNECIMENTO E INSTALAÇÃO. AF_08/2022</t>
  </si>
  <si>
    <t>LUVA, PPR, DN 40 MM, CLASSE PN 25, INSTALADO EM RAMAL DE DISTRIBUIÇÃO DE ÁGUA   FORNECIMENTO E INSTALAÇÃO. AF_08/2022</t>
  </si>
  <si>
    <t>BUCHA DE REDUÇÃO, PPR, 40 X 25, CLASSE PN 25, INSTALADO EM RAMAL DE DISTRIBUIÇÃO DE ÁGUA   FORNECIMENTO E INSTALAÇÃO. AF_08/2022</t>
  </si>
  <si>
    <t>TÊ NORMAL, PPR, DN 25 MM, CLASSE PN 25, INSTALADO EM RAMAL DE DISTRIBUIÇÃO DE ÁGUA   FORNECIMENTO E INSTALAÇÃO. AF_08/2022</t>
  </si>
  <si>
    <t>TÊ NORMAL, PPR, DN 32 MM, CLASSE PN 25, INSTALADO EM RAMAL DE DISTRIBUIÇÃO DE ÁGUA   FORNECIMENTO E INSTALAÇÃO. AF_08/2022</t>
  </si>
  <si>
    <t>TÊ NORMAL, PPR, DN 40 MM, CLASSE PN 25, INSTALADO EM RAMAL DE DISTRIBUIÇÃO DE ÁGUA   FORNECIMENTO E INSTALAÇÃO. AF_08/2022</t>
  </si>
  <si>
    <t>JOELHO 90 GRAUS, PPR, DN 25 MM, CLASSE PN 25, INSTALADO EM PRUMADA DE ÁGUA   FORNECIMENTO E INSTALAÇÃO . AF_08/2022</t>
  </si>
  <si>
    <t>JOELHO 45 GRAUS, PPR, DN 25 MM, CLASSE PN 25, INSTALADO EM PRUMADA DE ÁGUA   FORNECIMENTO E INSTALAÇÃO . AF_08/2022</t>
  </si>
  <si>
    <t>JOELHO 90 GRAUS, PPR, DN 32 MM, CLASSE PN 25, INSTALADO EM PRUMADA DE ÁGUA   FORNECIMENTO E INSTALAÇÃO . AF_08/2022</t>
  </si>
  <si>
    <t>JOELHO 45 GRAUS, PPR, DN 32 MM, CLASSE PN 25, INSTALADO EM PRUMADA DE ÁGUA   FORNECIMENTO E INSTALAÇÃO . AF_08/2022</t>
  </si>
  <si>
    <t>JOELHO 90 GRAUS, PPR, DN 40 MM, CLASSE PN 25, INSTALADO EM PRUMADA DE ÁGUA   FORNECIMENTO E INSTALAÇÃO . AF_08/2022</t>
  </si>
  <si>
    <t>JOELHO 45 GRAUS, PPR, DN 40 MM, CLASSE PN 25, INSTALADO EM PRUMADA DE ÁGUA   FORNECIMENTO E INSTALAÇÃO . AF_08/2022</t>
  </si>
  <si>
    <t>JOELHO 90 GRAUS, PPR, DN 50 MM, CLASSE PN 25, INSTALADO EM PRUMADA DE ÁGUA   FORNECIMENTO E INSTALAÇÃO . AF_08/2022</t>
  </si>
  <si>
    <t>JOELHO 45 GRAUS, PPR, DN 50 MM, CLASSE PN 25, INSTALADO EM PRUMADA DE ÁGUA   FORNECIMENTO E INSTALAÇÃO . AF_08/2022</t>
  </si>
  <si>
    <t>JOELHO 90 GRAUS, PPR, DN 63 MM, CLASSE PN 25, INSTALADO EM PRUMADA DE ÁGUA   FORNECIMENTO E INSTALAÇÃO . AF_08/2022</t>
  </si>
  <si>
    <t>JOELHO 45 GRAUS, PPR, DN 63 MM, CLASSE PN 25, INSTALADO EM PRUMADA DE ÁGUA   FORNECIMENTO E INSTALAÇÃO . AF_08/2022</t>
  </si>
  <si>
    <t>JOELHO 90 GRAUS, PPR, DN 75 MM, CLASSE PN 25, INSTALADO EM PRUMADA DE ÁGUA   FORNECIMENTO E INSTALAÇÃO . AF_08/2022</t>
  </si>
  <si>
    <t>JOELHO 45 GRAUS, PPR, DN 75 MM, CLASSE PN 25, INSTALADO EM PRUMADA DE ÁGUA   FORNECIMENTO E INSTALAÇÃO . AF_08/2022</t>
  </si>
  <si>
    <t>JOELHO 90 GRAUS, PPR, DN 90 MM, CLASSE PN 25, INSTALADO EM PRUMADA DE ÁGUA   FORNECIMENTO E INSTALAÇÃO . AF_08/2022</t>
  </si>
  <si>
    <t>JOELHO 90 GRAUS, PPR, DN 110 MM, CLASSE PN 25, INSTALADO EM PRUMADA DE ÁGUA   FORNECIMENTO E INSTALAÇÃO . AF_08/2022</t>
  </si>
  <si>
    <t>LUVA, PPR, DN 25 MM, CLASSE PN 25, INSTALADO EM PRUMADA DE ÁGUA   FORNECIMENTO E INSTALAÇÃO . AF_08/2022</t>
  </si>
  <si>
    <t>LUVA, PPR, DN 32 MM, CLASSE PN 25, INSTALADO EM PRUMADA DE ÁGUA   FORNECIMENTO E INSTALAÇÃO. AF_08/2022</t>
  </si>
  <si>
    <t>BUCHA DE REDUÇÃO, PPR, 32 X 25, CLASSE PN 25, INSTALADO EM PRUMADA DE ÁGUA   FORNECIMENTO E INSTALAÇÃO . AF_08/2022</t>
  </si>
  <si>
    <t>LUVA, PPR, DN 40 MM, CLASSE PN 25, INSTALADO EM PRUMADA DE ÁGUA   FORNECIMENTO E INSTALAÇÃO. AF_08/2022</t>
  </si>
  <si>
    <t>BUCHA DE REDUÇÃO, PPR, 40 X 25, CLASSE PN 25, INSTALADO EM PRUMADA DE ÁGUA   FORNECIMENTO E INSTALAÇÃO . AF_08/2022</t>
  </si>
  <si>
    <t>LUVA, PPR, DN 50 MM, CLASSE PN 25, INSTALADO EM PRUMADA DE ÁGUA   FORNECIMENTO E INSTALAÇÃO. AF_08/2022</t>
  </si>
  <si>
    <t>LUVA, PPR, DN 63 MM, CLASSE PN 25, INSTALADO EM PRUMADA DE ÁGUA   FORNECIMENTO E INSTALAÇÃO. AF_08/2022</t>
  </si>
  <si>
    <t>LUVA, PPR, DN 75 MM, CLASSE PN 25, INSTALADO EM PRUMADA DE ÁGUA   FORNECIMENTO E INSTALAÇÃO. AF_08/2022</t>
  </si>
  <si>
    <t>LUVA, PPR, DN 90 MM, CLASSE PN 25, INSTALADO EM PRUMADA DE ÁGUA   FORNECIMENTO E INSTALAÇÃO. AF_08/2022</t>
  </si>
  <si>
    <t>LUVA, PPR, DN 110 MM, CLASSE PN 25, INSTALADO EM PRUMADA DE ÁGUA   FORNECIMENTO E INSTALAÇÃO. AF_08/2022</t>
  </si>
  <si>
    <t>TÊ NORMAL, PPR, DN 25 MM, CLASSE PN 25, INSTALADO EM PRUMADA DE ÁGUA   FORNECIMENTO E INSTALAÇÃO . AF_08/2022</t>
  </si>
  <si>
    <t>TÊ NORMAL, PPR, DN 32 MM, CLASSE PN 25, INSTALADO EM PRUMADA DE ÁGUA   FORNECIMENTO E INSTALAÇÃO . AF_08/2022</t>
  </si>
  <si>
    <t>TÊ NORMAL, PPR, DN 40 MM, CLASSE PN 25, INSTALADO EM PRUMADA DE ÁGUA   FORNECIMENTO E INSTALAÇÃO . AF_08/2022</t>
  </si>
  <si>
    <t>TÊ NORMAL, PPR, DN 50 MM, CLASSE PN 25, INSTALADO EM PRUMADA DE ÁGUA   FORNECIMENTO E INSTALAÇÃO . AF_08/2022</t>
  </si>
  <si>
    <t>TÊ NORMAL, PPR, DN 63 MM, CLASSE PN 25, INSTALADO EM PRUMADA DE ÁGUA   FORNECIMENTO E INSTALAÇÃO . AF_08/2022</t>
  </si>
  <si>
    <t>TÊ NORMAL, PPR, DN 75 MM, CLASSE PN 25, INSTALADO EM PRUMADA DE ÁGUA   FORNECIMENTO E INSTALAÇÃO . AF_08/2022</t>
  </si>
  <si>
    <t>TÊ NORMAL, PPR, DN 90 MM, CLASSE PN 25, INSTALADO EM PRUMADA DE ÁGUA   FORNECIMENTO E INSTALAÇÃO . AF_08/2022</t>
  </si>
  <si>
    <t>TÊ NORMAL, PPR, DN 110 MM, CLASSE PN 25, INSTALADO EM PRUMADA DE ÁGUA   FORNECIMENTO E INSTALAÇÃO . AF_08/2022</t>
  </si>
  <si>
    <t>28,21</t>
  </si>
  <si>
    <t>22,71</t>
  </si>
  <si>
    <t>39,83</t>
  </si>
  <si>
    <t>KIT CHASSI PEX, PRÉ-FABRICADO, PARA CHUVEIRO, INCLUSO QUADRO METÁLICO, TUBOS, REGISTROS DE PRESSÃO E CONEXÕES POR CRIMPAGEM - FORNECIMENTO E INSTALAÇÃO. AF_02/2023</t>
  </si>
  <si>
    <t>KIT CHASSI PEX, PRÉ-FABRICADO, PARA COZINHA COM CUBA SIMPLES, INCLUSO QUADRO METÁLICO, TUBOS E CONEXÕES POR CRIMPAGEM - FORNECIMENTO E INSTALAÇÃO. AF_02/2023</t>
  </si>
  <si>
    <t>KIT CHASSI PEX, PRÉ-FABRICADO, PARA ÁREA DE SERVIÇO COM TANQUE E MÁQUINA DE LAVAR ROUPA, INCLUSO QUADRO METÁLICO, TUBOS E CONEXÕES POR CRIMPAGEM - FORNECIMENTO E INSTALAÇÃO. AF_02/2023</t>
  </si>
  <si>
    <t>KIT CHASSI PEX, PRÉ-FABRICADO, PARA CHUVEIRO, INCLUSO QUADRO METÁLICO, TUBOS, REGISTROS DE PRESSÃO E CONEXÕES POR ANEL DESLIZANTE - FORNECIMENTO E INSTALAÇÃO. AF_02/2023</t>
  </si>
  <si>
    <t>KIT CHASSI PEX, PRÉ-FABRICADO, PARA COZINHA COM CUBA SIMPLES, INCLUSO QUADRO METÁLICO, TUBOS E CONEXÕES POR ANEL DESLIZANTE - FORNECIMENTO E INSTALAÇÃO. AF_02/2023</t>
  </si>
  <si>
    <t>KIT CHASSI PEX, PRÉ-FABRICADO, PARA ÁREA DE SERVIÇO COM TANQUE E MÁQUINA DE LAVAR ROUPA, INCLUSO QUADRO METÁLICO, TUBOS E CONEXÕES POR ANEL DESLIZANTE - FORNECIMENTO E INSTALAÇÃO. AF_02/2023</t>
  </si>
  <si>
    <t>UNIÃO METÁLICA PARA INSTALAÇÕES EM PEX ÁGUA, DN 16 MM, COM ANEL DESLIZANTE - FORNECIMENTO E INSTALAÇÃO. AF_02/2023</t>
  </si>
  <si>
    <t>CONEXÃO FIXA, ROSCA FÊMEA, METÁLICA, PARA INSTALAÇÕES EM PEX ÁGUA, DN 16 MM X 1/2", COM ANEL DESLIZANTE. FORNECIMENTO E INSTALAÇÃO. AF_02/2023</t>
  </si>
  <si>
    <t>CONEXÃO MÓVEL, ROSCA FÊMEA, METÁLICA, PARA INSTALAÇÕES EM PEX ÁGUA, DN 16 MM X 3/4", COM ANEL DESLIZANTE. FORNECIMENTO E INSTALAÇÃO. AF_02/2023</t>
  </si>
  <si>
    <t>UNIÃO METÁLICA PARA INSTALAÇÕES EM PEX ÁGUA, DN 20 MM, COM ANEL DESLIZANTE - FORNECIMENTO E INSTALAÇÃO. AF_02/2023</t>
  </si>
  <si>
    <t>CONEXÃO FIXA, ROSCA FÊMEA, METÁLICA, PARA INSTALAÇÕES EM PEX ÁGUA, DN 20 MM X 1/2", COM ANEL DESLIZANTE. FORNECIMENTO E INSTALAÇÃO. AF_02/2023</t>
  </si>
  <si>
    <t>CONEXÃO FIXA, ROSCA FÊMEA, METÁLICA, PARA INSTALAÇÕES EM PEX ÁGUA, DN 20 MM X 3/4", COM ANEL DESLIZANTE. FORNECIMENTO E INSTALAÇÃO. AF_02/2023</t>
  </si>
  <si>
    <t>UNIÃO DE REDUÇÃO, METÁLICA, PARA INSTALAÇÕES EM PEX ÁGUA, DN 20 X 16 MM, CONEXÃO POR ANEL DESLIZANTE - FORNECIMENTO E INSTALAÇÃO. AF_02/2023</t>
  </si>
  <si>
    <t>UNIÃO METÁLICA PARA INSTALAÇÕES EM PEX ÁGUA, DN 25 MM, COM ANEL DESLIZANTE - FORNECIMENTO E INSTALAÇÃO. AF_02/2023</t>
  </si>
  <si>
    <t>CONEXÃO FIXA, ROSCA FÊMEA, METÁLICA, PARA INSTALAÇÕES EM PEX ÁGUA, DN 25 MM X 3/4", COM ANEL DESLIZANTE - FORNECIMENTO E INSTALAÇÃO. AF_02/2023</t>
  </si>
  <si>
    <t>CONEXÃO FIXA, ROSCA FÊMEA, METÁLICA, PARA INSTALAÇÕES EM PEX ÁGUA, DN 25 MM X 1", COM ANEL DESLIZANTE - FORNECIMENTO E INSTALAÇÃO. AF_02/2023</t>
  </si>
  <si>
    <t>UNIÃO DE REDUÇÃO, METÁLICA, PARA INSTALAÇÕES EM PEX ÁGUA, DN 25 X 16 MM, CONEXÃO POR ANEL DESLIZANTE - FORNECIMENTO E INSTALAÇÃO. AF_02/2023</t>
  </si>
  <si>
    <t>UNIÃO DE REDUÇÃO, METÁLICA, PARA INSTALAÇÕES EM PEX ÁGUA, DN 25 X 20 MM, CONEXÃO POR ANEL DESLIZANTE - FORNECIMENTO E INSTALAÇÃO. AF_02/2023</t>
  </si>
  <si>
    <t>UNIÃO METÁLICA PARA INSTALAÇÕES EM PEX ÁGUA, DN 32 MM, COM ANEL DESLIZANTE - FORNECIMENTO E INSTALAÇÃO. AF_02/2023</t>
  </si>
  <si>
    <t>33,62</t>
  </si>
  <si>
    <t>CONEXÃO FIXA, ROSCA FÊMEA, METÁLICA, PARA INSTALAÇÕES EM PEX ÁGUA, DN 32 MM X 1", COM ANEL DESLIZANTE - FORNECIMENTO E INSTALAÇÃO. AF_02/2023</t>
  </si>
  <si>
    <t>UNIÃO DE REDUÇÃO, METÁLICA, PARA INSTALAÇÕES EM PEX ÁGUA, DN 32 X 25 MM, CONEXÃO POR ANEL DESLIZANTE - FORNECIMENTO E INSTALAÇÃO. AF_02/2023</t>
  </si>
  <si>
    <t>LUVA PARA INSTALAÇÕES EM PEX ÁGUA, DN 16 MM, CONEXÃO POR CRIMPAGEM - FORNECIMENTO E INSTALAÇÃO. AF_02/2023</t>
  </si>
  <si>
    <t>CONEXÃO FIXA, ROSCA FÊMEA, PARA INSTALAÇÕES EM PEX ÁGUA, DN 16MM X 1/2", CONEXÃO POR CRIMPAGEM - FORNECIMENTO E INSTALAÇÃO. AF_02/2023</t>
  </si>
  <si>
    <t>LUVA PARA INSTALAÇÕES EM PEX ÁGUA, DN 20 MM, CONEXÃO POR CRIMPAGEM - FORNECIMENTO E INSTALAÇÃO. AF_02/2023</t>
  </si>
  <si>
    <t>CONEXÃO FIXA, ROSCA FÊMEA, PARA INSTALAÇÕES EM PEX ÁGUA, DN 20MM X 1/2", CONEXÃO POR CRIMPAGEM - FORNECIMENTO E INSTALAÇÃO. AF_02/2023</t>
  </si>
  <si>
    <t>CONEXÃO FIXA, ROSCA FÊMEA, PARA INSTALAÇÕES EM PEX ÁGUA, DN 20MM X 3/4", CONEXÃO POR CRIMPAGEM - FORNECIMENTO E INSTALAÇÃO. AF_02/2023</t>
  </si>
  <si>
    <t>LUVA DE REDUÇÃO PARA INSTALAÇÕES EM PEX ÁGUA, DN 20 X 16 MM, CONEXÃO POR CRIMPAGEM - FORNECIMENTO E INSTALAÇÃO. AF_02/2023</t>
  </si>
  <si>
    <t>LUVA PARA INSTALAÇÕES EM PEX ÁGUA, DN 25 MM, CONEXÃO POR CRIMPAGEM - FORNECIMENTO E INSTALAÇÃO. AF_02/2023</t>
  </si>
  <si>
    <t>26,29</t>
  </si>
  <si>
    <t>CONEXÃO FIXA, ROSCA FÊMEA, PARA INSTALAÇÕES EM PEX ÁGUA, DN 25MM X 3/4", CONEXÃO POR CRIMPAGEM - FORNECIMENTO E INSTALAÇÃO. AF_02/2023</t>
  </si>
  <si>
    <t>LUVA DE REDUÇÃO PARA INSTALAÇÕES EM PEX ÁGUA, DN 25 X 16 MM, CONEXÃO POR CRIMPAGEM - FORNECIMENTO E INSTALAÇÃO. AF_02/2023</t>
  </si>
  <si>
    <t>LUVA PARA INSTALAÇÕES EM PEX ÁGUA, DN 32 MM, CONEXÃO POR CRIMPAGEM - FORNECIMENTO E INSTALAÇÃO. AF_02/2023</t>
  </si>
  <si>
    <t>LUVA DE REDUÇÃO PARA INSTALAÇÕES EM PEX ÁGUA, DN 32 X 25 MM, CONEXÃO POR CRIMPAGEM - FORNECIMENTO E INSTALAÇÃO. AF_02/2023</t>
  </si>
  <si>
    <t>JOELHO 90 GRAUS, METÁLICO, PARA INSTALAÇÕES EM PEX ÁGUA, DN 16 MM, CONEXÃO POR ANEL DESLIZANTE - FORNECIMENTO E INSTALAÇÃO. AF_02/2023</t>
  </si>
  <si>
    <t>JOELHO 90 GRAUS, ROSCA FÊMEA TERMINAL, METÁLICO, PARA INSTALAÇÕES EM PEX ÁGUA, DN 16MM X 1/2", CONEXÃO POR ANEL DESLIZANTE - FORNECIMENTO E INSTALAÇÃO. AF_02/2023</t>
  </si>
  <si>
    <t>JOELHO, ROSCA FÊMEA, COM BASE FIXA, METÁLICO, PARA INSTALAÇÕES EM PEX ÁGUA, DN 16MM X 1/2", CONEXÃO POR ANEL DESLIZANTE - FORNECIMENTO E INSTALAÇÃO. AF_02/2023</t>
  </si>
  <si>
    <t>JOELHO 90 GRAUS, METÁLICO, PARA INSTALAÇÕES EM PEX ÁGUA, DN 20 MM, CONEXÃO POR ANEL DESLIZANTE - FORNECIMENTO E INSTALAÇÃO. AF_02/2023</t>
  </si>
  <si>
    <t>JOELHO 90 GRAUS, ROSCA FÊMEA TERMINAL, METÁLICO, PARA INSTALAÇÕES EM PEX ÁGUA, DN 20 MM X 1/2", CONEXÃO POR ANEL DESLIZANTE - FORNECIMENTO E INSTALAÇÃO. AF_02/2023</t>
  </si>
  <si>
    <t>JOELHO 90 GRAUS, ROSCA FÊMEA TERMINAL, METÁLICO, PARA INSTALAÇÕES EM PEX ÁGUA, DN 20 MM X 3/4", CONEXÃO POR ANEL DESLIZANTE - FORNECIMENTO E INSTALAÇÃO. AF_02/2023</t>
  </si>
  <si>
    <t>JOELHO ROSCA FÊMEA, COM BASE FIXA, METÁLICO, PARA INSTALAÇÕES EM PEX ÁGUA, DN 20MM X 1/2", CONEXÃO POR ANEL DESLIZANTE - FORNECIMENTO E INSTALAÇÃO. AF_02/2023</t>
  </si>
  <si>
    <t>JOELHO ROSCA FÊMEA, MÓVEL, METÁLICO, PARA INSTALAÇÕES EM PEX ÁGUA, DN 20MM X 3/4", CONEXÃO POR ANEL DESLIZANTE - FORNECIMENTO E INSTALAÇÃO. AF_02/2023</t>
  </si>
  <si>
    <t>JOELHO 90 GRAUS, METÁLICO, PARA INSTALAÇÕES EM PEX ÁGUA, DN 25 MM, CONEXÃO POR ANEL DESLIZANTE - FORNECIMENTO E INSTALAÇÃO. AF_02/2023</t>
  </si>
  <si>
    <t>JOELHO 90 GRAUS, ROSCA FÊMEA TERMINAL, METÁLICO, PARA INSTALAÇÕES EM PEX ÁGUA, DN 25 MM X 3/4", CONEXÃO POR ANEL DESLIZANTE - FORNECIMENTO E INSTALAÇÃO. AF_02/2023</t>
  </si>
  <si>
    <t>JOELHO ROSCA FÊMEA, COM BASE FIXA, METÁLICO, PARA INSTALAÇÕES EM PEX ÁGUA, DN 25MM X 3/4", CONEXÃO POR ANEL DESLIZANTE - FORNECIMENTO E INSTALAÇÃO. AF_02/2023</t>
  </si>
  <si>
    <t>JOELHO 90 GRAUS, METÁLICO, PARA INSTALAÇÕES EM PEX ÁGUA, DN 32 MM, CONEXÃO POR ANEL DESLIZANTE - FORNECIMENTO E INSTALAÇÃO. AF_02/2023</t>
  </si>
  <si>
    <t>JOELHO 90 GRAUS, PARA INSTALAÇÕES EM PEX ÁGUA, DN 16 MM, CONEXÃO POR CRIMPAGEM - FORNECIMENTO E INSTALAÇÃO. AF_02/2023</t>
  </si>
  <si>
    <t>JOELHO 90 GRAUS, ROSCA FÊMEA TERMINAL, PARA INSTALAÇÕES EM PEX ÁGUA, DN 16MM X 1/2", CONEXÃO POR CRIMPAGEM - FORNECIMENTO E INSTALAÇÃO. AF_02/2023</t>
  </si>
  <si>
    <t>JOELHO 90 GRAUS, PARA INSTALAÇÕES EM PEX ÁGUA, DN 20 MM, CONEXÃO POR CRIMPAGEM - FORNECIMENTO E INSTALAÇÃO. AF_02/2023</t>
  </si>
  <si>
    <t>JOELHO 90 GRAUS, ROSCA FÊMEA TERMINAL, PARA INSTALAÇÕES EM PEX ÁGUA, DN 20MM X 1/2", CONEXÃO POR CRIMPAGEM - FORNECIMENTO E INSTALAÇÃO. AF_02/2023</t>
  </si>
  <si>
    <t>JOELHO 90 GRAUS, ROSCA FÊMEA TERMINAL, PARA INSTALAÇÕES EM PEX ÁGUA, DN 20MM X 3/4", CONEXÃO POR CRIMPAGEM - FORNECIMENTO E INSTALAÇÃO. AF_02/2023</t>
  </si>
  <si>
    <t>JOELHO 90 GRAUS, PARA INSTALAÇÕES EM PEX ÁGUA, DN 25 MM, CONEXÃO POR CRIMPAGEM - FORNECIMENTO E INSTALAÇÃO. AF_02/2023</t>
  </si>
  <si>
    <t>JOELHO 90 GRAUS, ROSCA FÊMEA TERMINAL, PARA INSTALAÇÕES EM PEX ÁGUA, DN 25MM X 1/2", CONEXÃO POR CRIMPAGEM - FORNECIMENTO E INSTALAÇÃO. AF_02/2023</t>
  </si>
  <si>
    <t>TÊ, METÁLICO, PARA INSTALAÇÕES EM PEX ÁGUA, DN 16 MM, CONEXÃO POR ANEL DESLIZANTE - FORNECIMENTO E INSTALAÇÃO. AF_02/2023</t>
  </si>
  <si>
    <t>TÊ, METÁLICO, PARA INSTALAÇÕES EM PEX ÁGUA, DN 20 MM, CONEXÃO POR ANEL DESLIZANTE - FORNECIMENTO E INSTALAÇÃO. AF_02/2023</t>
  </si>
  <si>
    <t>TÊ, ROSCA FÊMEA, METÁLICO, PARA INSTALAÇÕES EM PEX ÁGUA, DN 20 MM X 1/2", CONEXÃO POR ANEL DESLIZANTE - FORNECIMENTO E INSTALAÇÃO. AF_02/2023</t>
  </si>
  <si>
    <t>TÊ, METÁLICO, PARA INSTALAÇÕES EM PEX ÁGUA, DN 25 MM, CONEXÃO POR ANEL DESLIZANTE - FORNECIMENTO E INSTALAÇÃO. AF_02/2023</t>
  </si>
  <si>
    <t>TÊ, ROSCA FÊMEA, METÁLICO, PARA INSTALAÇÕES EM PEX ÁGUA, DN 25 MM X 3/4", CONEXÃO POR ANEL DESLIZANTE - FORNECIMENTO E INSTALAÇÃO. AF_02/2023</t>
  </si>
  <si>
    <t>TÊ, METÁLICO, PARA INSTALAÇÕES EM PEX ÁGUA, DN 32 MM, CONEXÃO POR ANEL DESLIZANTE - FORNECIMENTO E INSTALAÇÃO. AF_02/2023</t>
  </si>
  <si>
    <t>TÊ, PARA INSTALAÇÕES EM PEX ÁGUA, DN 16 MM, CONEXÃO POR CRIMPAGEM - FORNECIMENTO E INSTALAÇÃO. AF_02/2023</t>
  </si>
  <si>
    <t>TÊ, PARA INSTALAÇÕES EM PEX ÁGUA, DN 20 MM, CONEXÃO POR CRIMPAGEM - FORNECIMENTO E INSTALAÇÃO. AF_02/2023</t>
  </si>
  <si>
    <t>25,09</t>
  </si>
  <si>
    <t>TÊ, PARA INSTALAÇÕES EM PEX ÁGUA, DN 25 MM, CONEXÃO POR CRIMPAGEM - FORNECIMENTO E INSTALAÇÃO. AF_02/2023</t>
  </si>
  <si>
    <t>TÊ, PARA INSTALAÇÕES EM PEX ÁGUA, DN 32 MM, CONEXÃO POR CRIMPAGEM - FORNECIMENTO E INSTALAÇÃO. AF_02/2023</t>
  </si>
  <si>
    <t>DISTRIBUIDOR 2 SAÍDAS, METÁLICO, PARA INSTALAÇÕES EM PEX ÁGUA, ENTRADA DE 3/4" X 2 SAÍDAS DE 1/2", CONEXÃO POR ANEL DESLIZANTE - FORNECIMENTO E INSTALAÇÃO. AF_02/2023</t>
  </si>
  <si>
    <t>DISTRIBUIDOR 2 SAÍDAS, METÁLICO, PARA INSTALAÇÕES EM PEX ÁGUA, ENTRADA DE 1" X 2 SAÍDAS DE 1/2", CONEXÃO POR ANEL DESLIZANTE - FORNECIMENTO E INSTALAÇÃO. AF_02/2023</t>
  </si>
  <si>
    <t>DISTRIBUIDOR 3 SAÍDAS, METÁLICO, PARA INSTALAÇÕES EM PEX ÁGUA, ENTRADA DE 3/4" X 3 SAÍDAS DE 1/2", CONEXÃO POR ANEL DESLIZANTE - FORNECIMENTO E INSTALAÇÃO. AF_02/2023</t>
  </si>
  <si>
    <t>48,52</t>
  </si>
  <si>
    <t>DISTRIBUIDOR 3 SAÍDAS, METÁLICO, PARA INSTALAÇÕES EM PEX ÁGUA, ENTRADA DE 1" X 3 SAÍDAS DE 1/2", CONEXÃO POR ANEL DESLIZANTE - FORNECIMENTO E INSTALAÇÃO. AF_02/2023</t>
  </si>
  <si>
    <t>DISTRIBUIDOR 2 SAÍDAS, PARA INSTALAÇÕES EM PEX ÁGUA, ENTRADA DE 32 MM X 2 SAÍDAS DE 16 MM, CONEXÃO POR CRIMPAGEM FORNECIMENTO E INSTALAÇÃO. AF_02/2023</t>
  </si>
  <si>
    <t>DISTRIBUIDOR 2 SAÍDAS, PARA INSTALAÇÕES EM PEX ÁGUA, ENTRADA DE 32 MM X 2 SAÍDAS DE 25 MM, CONEXÃO POR CRIMPAGEM - FORNECIMENTO E INSTALAÇÃO. AF_02/2023</t>
  </si>
  <si>
    <t>DISTRIBUIDOR 3 SAÍDAS, PARA INSTALAÇÕES EM PEX ÁGUA, ENTRADA DE 32 MM X 3 SAÍDAS DE 16 MM, CONEXÃO POR CRIMPAGEM - FORNECIMENTO E INSTALAÇÃO. AF_02/2023</t>
  </si>
  <si>
    <t>DISTRIBUIDOR 3 SAÍDAS, PARA INSTALAÇÕES EM PEX ÁGUA, ENTRADA DE 32 MM X 3 SAÍDAS DE 25 MM, CONEXÃO POR CRIMPAGEM - FORNECIMENTO E INSTALAÇÃO. AF_02/2023</t>
  </si>
  <si>
    <t>CONECTOR EM BRONZE/LATÃO, DN 22 MM X 1/2", SEM ANEL DE SOLDA, BOLSA X ROSCA F, INSTALADO EM PRUMADA DE HIDRÁULICA PREDIAL - FORNECIMENTO E INSTALAÇÃO. AF_04/2022</t>
  </si>
  <si>
    <t>103805</t>
  </si>
  <si>
    <t>COTOVELO EM COBRE, DN 15 MM, 90 GRAUS, SEM ANEL DE SOLDA, INSTALADO EM RAMAL E SUB-RAMAL DE GÁS COMBUSTÍVEL - FORNECIMENTO E INSTALAÇÃO. AF_04/2022</t>
  </si>
  <si>
    <t>103806</t>
  </si>
  <si>
    <t>CURVA EM COBRE, DN 15 MM, 45 GRAUS, SEM ANEL DE SOLDA, BOLSA X BOLSA, INSTALADO EM RAMAL E SUB-RAMAL DE GÁS COMBUSTÍVEL - FORNECIMENTO E INSTALAÇÃO. AF_04/2022</t>
  </si>
  <si>
    <t>16,76</t>
  </si>
  <si>
    <t>103807</t>
  </si>
  <si>
    <t>103808</t>
  </si>
  <si>
    <t>COTOVELO EM COBRE, DN 22 MM, 90 GRAUS, SEM ANEL DE SOLDA, INSTALADO EM RAMAL E SUB-RAMAL DE GÁS COMBUSTÍVEL - FORNECIMENTO E INSTALAÇÃO. AF_04/2022</t>
  </si>
  <si>
    <t>103809</t>
  </si>
  <si>
    <t>CURVA EM COBRE, DN 22 MM, 45 GRAUS, SEM ANEL DE SOLDA, BOLSA X BOLSA, INSTALADO EM RAMAL E SUB-RAMAL DE GÁS COMBUSTÍVEL - FORNECIMENTO E INSTALAÇÃO. AF_04/2022</t>
  </si>
  <si>
    <t>103810</t>
  </si>
  <si>
    <t>103811</t>
  </si>
  <si>
    <t>103812</t>
  </si>
  <si>
    <t>COTOVELO EM COBRE, DN 28 MM, 90 GRAUS, SEM ANEL DE SOLDA, INSTALADO EM RAMAL E SUB-RAMAL DE GÁS COMBUSTÍVEL - FORNECIMENTO E INSTALAÇÃO. AF_04/2022</t>
  </si>
  <si>
    <t>103813</t>
  </si>
  <si>
    <t>CURVA EM COBRE, DN 28 MM, 45 GRAUS, SEM ANEL DE SOLDA, BOLSA X BOLSA, INSTALADO EM RAMAL E SUB-RAMAL DE GÁS COMBUSTÍVEL - FORNECIMENTO E INSTALAÇÃO. AF_04/2022</t>
  </si>
  <si>
    <t>103814</t>
  </si>
  <si>
    <t>LUVA EM COBRE, DN 15 MM, SEM ANEL DE SOLDA, INSTALADO EM RAMAL E SUB-RAMAL DE GÁS COMBUSTÍVEL - FORNECIMENTO E INSTALAÇÃO. AF_04/2022</t>
  </si>
  <si>
    <t>103815</t>
  </si>
  <si>
    <t>LUVA PASSANTE EM COBRE, DN 15 MM, SEM ANEL DE SOLDA, INSTALADO EM RAMAL E SUB-RAMAL DE GÁS COMBUSTÍVEL - FORNECIMENTO E INSTALAÇÃO. AF_04/2022</t>
  </si>
  <si>
    <t>103816</t>
  </si>
  <si>
    <t>CURVA DE TRANSPOSIÇÃO EM BRONZE/LATÃO, DN 15 MM, SEM ANEL DE SOLDA, BOLSA X BOLSA, INSTALADO EM RAMAL E SUB-RAMAL DE GÁS COMBUSTÍVEL - FORNECIMENTO E INSTALAÇÃO. AF_04/2022</t>
  </si>
  <si>
    <t>103817</t>
  </si>
  <si>
    <t>JUNTA DE EXPANSÃO EM COBRE, DN 15 MM, PONTA X PONTA, INSTALADO EM RAMAL E SUB-RAMAL DE GÁS COMBUSTÍVEL - FORNECIMENTO E INSTALAÇÃO. AF_04/2022</t>
  </si>
  <si>
    <t>103818</t>
  </si>
  <si>
    <t>19,30</t>
  </si>
  <si>
    <t>103819</t>
  </si>
  <si>
    <t>LUVA EM COBRE, DN 22 MM, SEM ANEL DE SOLDA, INSTALADO EM RAMAL E SUB-RAMAL DE GÁS COMBUSTÍVEL - FORNECIMENTO E INSTALAÇÃO. AF_04/2022</t>
  </si>
  <si>
    <t>103820</t>
  </si>
  <si>
    <t>LUVA PASSANTE EM COBRE, DN 22 MM, SEM ANEL DE SOLDA, INSTALADO EM RAMAL E SUB-RAMAL DE GÁS COMBUSTÍVEL - FORNECIMENTO E INSTALAÇÃO. AF_04/2022</t>
  </si>
  <si>
    <t>103821</t>
  </si>
  <si>
    <t>JUNTA DE EXPANSÃO EM COBRE, DN 22 MM, PONTA X PONTA, INSTALADO EM RAMAL E SUB-RAMAL DE GÁS COMBUSTÍVEL - FORNECIMENTO E INSTALAÇÃO. AF_04/2022</t>
  </si>
  <si>
    <t>103822</t>
  </si>
  <si>
    <t>CURVA DE TRANSPOSIÇÃO EM BRONZE/LATÃO, DN 22 MM, SEM ANEL DE SOLDA, BOLSA X BOLSA, INSTALADO EM RAMAL E SUB-RAMAL DE GÁS COMBUSTÍVEL - FORNECIMENTO E INSTALAÇÃO. AF_04/2022</t>
  </si>
  <si>
    <t>103823</t>
  </si>
  <si>
    <t>BUCHA DE REDUÇÃO EM COBRE, DN 22 MM X 15 MM, SEM ANEL DE SOLDA, PONTA X BOLSA, INSTALADO EM RAMAL E SUB-RAMAL DE GÁS COMBUSTÍVEL - FORNECIMENTO E INSTALAÇÃO. AF_04/2022</t>
  </si>
  <si>
    <t>103824</t>
  </si>
  <si>
    <t>103825</t>
  </si>
  <si>
    <t>103826</t>
  </si>
  <si>
    <t>LUVA EM COBRE, DN 28 MM, SEM ANEL DE SOLDA, INSTALADO EM RAMAL E SUB-RAMAL DE GÁS COMBUSTÍVEL - FORNECIMENTO E INSTALAÇÃO. AF_04/2022</t>
  </si>
  <si>
    <t>103827</t>
  </si>
  <si>
    <t>LUVA PASSANTE EM COBRE, DN 28 MM, SEM ANEL DE SOLDA, INSTALADO EM RAMAL E SUB-RAMAL DE GÁS COMBUSTÍVEL - FORNECIMENTO E INSTALAÇÃO. AF_04/2022</t>
  </si>
  <si>
    <t>103828</t>
  </si>
  <si>
    <t>CURVA DE TRANSPOSIÇÃO EM BRONZE/LATÃO, DN 28 MM, SEM ANEL DE SOLDA, BOLSA X BOLSA, INSTALADO EM RAMAL E SUB-RAMAL DE GÁS COMBUSTÍVEL - FORNECIMENTO E INSTALAÇÃO. AF_04/2022</t>
  </si>
  <si>
    <t>103829</t>
  </si>
  <si>
    <t>JUNTA DE EXPANSÃO EM COBRE, DN 28 MM, PONTA X PONTA, INSTALADO EM RAMAL E SUB-RAMAL DE GÁS COMBUSTÍVEL - FORNECIMENTO E INSTALAÇÃO. AF_04/2022</t>
  </si>
  <si>
    <t>103830</t>
  </si>
  <si>
    <t>103831</t>
  </si>
  <si>
    <t>BUCHA DE REDUÇÃO EM COBRE, DN 28 MM X 22 MM, SEM ANEL DE SOLDA, INSTALADO EM RAMAL E SUB-RAMAL DE GÁS COMBUSTÍVEL - FORNECIMENTO E INSTALAÇÃO. AF_04/2022</t>
  </si>
  <si>
    <t>103832</t>
  </si>
  <si>
    <t>TÊ EM COBRE, DN 15 MM, SEM ANEL DE SOLDA, INSTALADO EM RAMAL E SUB-RAMAL DE GÁS COMBUSTÍVEL - FORNECIMENTO E INSTALAÇÃO. AF_04/2022</t>
  </si>
  <si>
    <t>103833</t>
  </si>
  <si>
    <t>TE EM COBRE, DN 22 MM, SEM ANEL DE SOLDA, INSTALADO EM RAMAL E SUB-RAMAL DE GÁS COMBUSTÍVEL - FORNECIMENTO E INSTALAÇÃO. AF_04/2022</t>
  </si>
  <si>
    <t>103834</t>
  </si>
  <si>
    <t>TÊ EM COBRE, DN 28 MM, SEM ANEL DE SOLDA, INSTALADO EM RAMAL E SUB-RAMAL DE GÁS COMBUSTÍVEL - FORNECIMENTO E INSTALAÇÃO. AF_04/2022</t>
  </si>
  <si>
    <t>103838</t>
  </si>
  <si>
    <t>COTOVELO EM COBRE, DN 15 MM, 90 GRAUS, SEM ANEL DE SOLDA, INSTALADO EM RAMAL E SUB-RAMAL DE GÁS MEDICINAL - FORNECIMENTO E INSTALAÇÃO. AF_04/2022</t>
  </si>
  <si>
    <t>103839</t>
  </si>
  <si>
    <t>CURVA EM COBRE, DN 15 MM, 45 GRAUS, SEM ANEL DE SOLDA, BOLSA X BOLSA, INSTALADO EM RAMAL E SUB-RAMAL DE GÁS MEDICINAL - FORNECIMENTO E INSTALAÇÃO. AF_04/2022</t>
  </si>
  <si>
    <t>103840</t>
  </si>
  <si>
    <t>103841</t>
  </si>
  <si>
    <t>COTOVELO EM COBRE, DN 22 MM, 90 GRAUS, SEM ANEL DE SOLDA, INSTALADO EM RAMAL E SUB-RAMAL DE GÁS MEDICINAL - FORNECIMENTO E INSTALAÇÃO. AF_04/2022</t>
  </si>
  <si>
    <t>103842</t>
  </si>
  <si>
    <t>CURVA EM COBRE, DN 22 MM, 45 GRAUS, SEM ANEL DE SOLDA, BOLSA X BOLSA, INSTALADO EM RAMAL E SUB-RAMAL DE GÁS MEDICINAL - FORNECIMENTO E INSTALAÇÃO. AF_04/2022</t>
  </si>
  <si>
    <t>103843</t>
  </si>
  <si>
    <t>103844</t>
  </si>
  <si>
    <t>103845</t>
  </si>
  <si>
    <t>COTOVELO EM COBRE, DN 28 MM, 90 GRAUS, SEM ANEL DE SOLDA, INSTALADO EM RAMAL E SUB-RAMAL DE GÁS MEDICINAL - FORNECIMENTO E INSTALAÇÃO. AF_04/2022</t>
  </si>
  <si>
    <t>103846</t>
  </si>
  <si>
    <t>CURVA EM COBRE, DN 28 MM, 45 GRAUS, SEM ANEL DE SOLDA, BOLSA X BOLSA, INSTALADO EM RAMAL E SUB-RAMAL DE GÁS MEDICINAL - FORNECIMENTO E INSTALAÇÃO. AF_04/2022</t>
  </si>
  <si>
    <t>103847</t>
  </si>
  <si>
    <t>LUVA EM COBRE, DN 15 MM, SEM ANEL DE SOLDA, INSTALADO EM RAMAL E SUB-RAMAL DE GÁS MEDICINAL - FORNECIMENTO E INSTALAÇÃO. AF_04/2022</t>
  </si>
  <si>
    <t>103848</t>
  </si>
  <si>
    <t>LUVA PASSANTE EM COBRE, DN 15 MM, SEM ANEL DE SOLDA, INSTALADO EM RAMAL E SUB-RAMAL DE GÁS MEDICINAL - FORNECIMENTO E INSTALAÇÃO. AF_04/2022</t>
  </si>
  <si>
    <t>103849</t>
  </si>
  <si>
    <t>CURVA DE TRANSPOSIÇÃO EM BRONZE/LATÃO, DN 15 MM, SEM ANEL DE SOLDA, BOLSA X BOLSA, INSTALADO EM RAMAL E SUB-RAMAL DE GÁS MEDICINAL - FORNECIMENTO E INSTALAÇÃO. AF_04/2022</t>
  </si>
  <si>
    <t>103850</t>
  </si>
  <si>
    <t>JUNTA DE EXPANSÃO EM COBRE, DN 15 MM, PONTA X PONTA, INSTALADO EM RAMAL E SUB-RAMAL DE GÁS MEDICINAL - FORNECIMENTO E INSTALAÇÃO. AF_04/2022</t>
  </si>
  <si>
    <t>103851</t>
  </si>
  <si>
    <t>103852</t>
  </si>
  <si>
    <t>LUVA EM COBRE, DN 22 MM, SEM ANEL DE SOLDA, INSTALADO EM RAMAL E SUB-RAMAL DE GÁS MEDICINAL - FORNECIMENTO E INSTALAÇÃO. AF_04/2022</t>
  </si>
  <si>
    <t>103853</t>
  </si>
  <si>
    <t>LUVA PASSANTE EM COBRE, DN 22 MM, SEM ANEL DE SOLDA, INSTALADO EM RAMAL E SUB-RAMAL DE GÁS MEDICINAL - FORNECIMENTO E INSTALAÇÃO. AF_04/2022</t>
  </si>
  <si>
    <t>17,33</t>
  </si>
  <si>
    <t>103854</t>
  </si>
  <si>
    <t>JUNTA DE EXPANSÃO EM COBRE, DN 22 MM, PONTA X PONTA, INSTALADO EM RAMAL E SUB-RAMAL DE GÁS MEDICINAL - FORNECIMENTO E INSTALAÇÃO. AF_04/2022</t>
  </si>
  <si>
    <t>103855</t>
  </si>
  <si>
    <t>CURVA DE TRANSPOSIÇÃO EM BRONZE/LATÃO, DN 22 MM, SEM ANEL DE SOLDA, BOLSA X BOLSA, INSTALADO EM RAMAL E SUB-RAMAL DE GÁS MEDICINAL - FORNECIMENTO E INSTALAÇÃO. AF_04/2022</t>
  </si>
  <si>
    <t>50,40</t>
  </si>
  <si>
    <t>103856</t>
  </si>
  <si>
    <t>BUCHA DE REDUÇÃO EM COBRE, DN 22 MM X 15 MM, SEM ANEL DE SOLDA, PONTA X BOLSA, INSTALADO EM RAMAL E SUB-RAMAL DE GÁS MEDICINAL - FORNECIMENTO E INSTALAÇÃO. AF_04/2022</t>
  </si>
  <si>
    <t>103857</t>
  </si>
  <si>
    <t>CONECTOR EM BRONZE/LATÃO, DN 22 MM X 1/2", SEM ANEL DE SOLDA, BOLSA X ROSCA F, INSTALADO EM RAMAL E SUB-RAMAL DE GÁS MEDICINAL - FORNECIMENTO E INSTALAÇÃO. AF_04/2022</t>
  </si>
  <si>
    <t>20,73</t>
  </si>
  <si>
    <t>103858</t>
  </si>
  <si>
    <t>CONECTOR EM BRONZE/LATÃO, DN 22 MM X 3/4", SEM ANEL DE SOLDA, BOLSA X ROSCA F, INSTALADO EM RAMAL E SUB-RAMAL DE GÁS MEDICINAL - FORNECIMENTO E INSTALAÇÃO. AF_04/2022</t>
  </si>
  <si>
    <t>103859</t>
  </si>
  <si>
    <t>LUVA EM COBRE, DN 28 MM, SEM ANEL DE SOLDA, INSTALADO EM RAMAL E SUB-RAMAL DE GÁS MEDICINAL - FORNECIMENTO E INSTALAÇÃO. AF_04/2022</t>
  </si>
  <si>
    <t>103860</t>
  </si>
  <si>
    <t>LUVA PASSANTE EM COBRE, DN 28 MM, SEM ANEL DE SOLDA, INSTALADO EM RAMAL E SUB-RAMAL DE GÁS MEDICINAL - FORNECIMENTO E INSTALAÇÃO. AF_04/2022</t>
  </si>
  <si>
    <t>103861</t>
  </si>
  <si>
    <t>CURVA DE TRANSPOSIÇÃO EM BRONZE/LATÃO, DN 28 MM, SEM ANEL DE SOLDA, BOLSA X BOLSA, INSTALADO EM RAMAL E SUB-RAMAL DE GÁS MEDICINAL - FORNECIMENTO E INSTALAÇÃO. AF_04/2022</t>
  </si>
  <si>
    <t>103862</t>
  </si>
  <si>
    <t>JUNTA DE EXPANSÃO EM COBRE, DN 28 MM, PONTA X PONTA, INSTALADO EM RAMAL E SUB-RAMAL DE GÁS MEDICINAL - FORNECIMENTO E INSTALAÇÃO. AF_04/2022</t>
  </si>
  <si>
    <t>103863</t>
  </si>
  <si>
    <t>CONECTOR EM BRONZE/LATÃO, DN 28 MM X 1/2", SEM ANEL DE SOLDA, BOLSA X ROSCA F, INSTALADO EM RAMAL E SUB-RAMAL DE GÁS MEDICINAL - FORNECIMENTO E INSTALAÇÃO. AF_04/2022</t>
  </si>
  <si>
    <t>103864</t>
  </si>
  <si>
    <t>BUCHA DE REDUÇÃO EM COBRE, DN 28 MM X 22 MM, SEM ANEL DE SOLDA, INSTALADO EM RAMAL E SUB-RAMAL DE GÁS MEDICINAL - FORNECIMENTO E INSTALAÇÃO. AF_04/2022</t>
  </si>
  <si>
    <t>103865</t>
  </si>
  <si>
    <t>TÊ EM COBRE, DN 15 MM, SEM ANEL DE SOLDA, INSTALADO EM RAMAL E SUB-RAMAL DE GÁS MEDICINAL - FORNECIMENTO E INSTALAÇÃO. AF_04/2022</t>
  </si>
  <si>
    <t>103866</t>
  </si>
  <si>
    <t>TÊ EM COBRE, DN 22 MM, SEM ANEL DE SOLDA, INSTALADO EM RAMAL E SUB-RAMAL DE GÁS MEDICINAL - FORNECIMENTO E INSTALAÇÃO. AF_04/2022</t>
  </si>
  <si>
    <t>103867</t>
  </si>
  <si>
    <t>TÊ EM COBRE, DN 28 MM, SEM ANEL DE SOLDA, INSTALADO EM RAMAL E SUB-RAMAL DE GÁS MEDICINAL - FORNECIMENTO E INSTALAÇÃO. AF_04/2022</t>
  </si>
  <si>
    <t>103874</t>
  </si>
  <si>
    <t>COTOVELO EM COBRE, DN 15 MM, 90 GRAUS, SEM ANEL DE SOLDA, INSTALADO EM RAMAL E SUB-RAMAL DE AQUECIMENTO SOLAR - FORNECIMENTO E INSTALAÇÃO. AF_04/2022</t>
  </si>
  <si>
    <t>103875</t>
  </si>
  <si>
    <t>CURVA EM COBRE, DN 15 MM, 45 GRAUS, SEM ANEL DE SOLDA, BOLSA X BOLSA, INSTALADO EM RAMAL E SUB-RAMAL DE AQUECIMENTO SOLAR - FORNECIMENTO E INSTALAÇÃO. AF_04/2022</t>
  </si>
  <si>
    <t>103876</t>
  </si>
  <si>
    <t>COTOVELO EM BRONZE/LATÃO, DN 15 MM X 1/2", 90 GRAUS, SEM ANEL DE SOLDA, BOLSA X ROSCA F, INSTALADO EM RAMAL E SUB-RAMAL DE AQUECIMENTO SOLAR - FORNECIMENTO E INSTALAÇÃO. AF_04/2022</t>
  </si>
  <si>
    <t>103877</t>
  </si>
  <si>
    <t>COTOVELO EM COBRE, DN 22 MM, 90 GRAUS, SEM ANEL DE SOLDA, INSTALADO EM RAMAL E SUB-RAMAL DE AQUECIMENTO SOLAR - FORNECIMENTO E INSTALAÇÃO. AF_04/2022</t>
  </si>
  <si>
    <t>103878</t>
  </si>
  <si>
    <t>CURVA EM COBRE, DN 22 MM, 45 GRAUS, SEM ANEL DE SOLDA, BOLSA X BOLSA, INSTALADO EM RAMAL E SUB-RAMAL DE AQUECIMENTO SOLAR - FORNECIMENTO E INSTALAÇÃO. AF_04/2022</t>
  </si>
  <si>
    <t>103879</t>
  </si>
  <si>
    <t>COTOVELO EM BRONZE/LATÃO, DN 22 MM X 1/2", 90 GRAUS, SEM ANEL DE SOLDA, BOLSA X ROSCA F, INSTALADO EM RAMAL E SUB-RAMAL DE AQUECIMENTO SOLAR - FORNECIMENTO E INSTALAÇÃO. AF_04/2022</t>
  </si>
  <si>
    <t>103880</t>
  </si>
  <si>
    <t>COTOVELO EM BRONZE/LATÃO, DN 22 MM X 3/4", 90 GRAUS, SEM ANEL DE SOLDA, BOLSA X ROSCA F, INSTALADO EM RAMAL E SUB-RAMAL DE AQUECIMENTO SOLAR - FORNECIMENTO E INSTALAÇÃO. AF_04/2022</t>
  </si>
  <si>
    <t>103881</t>
  </si>
  <si>
    <t>COTOVELO EM COBRE, DN 28 MM, 90 GRAUS, SEM ANEL DE SOLDA, INSTALADO EM RAMAL E SUB-RAMAL DE AQUECIMENTO SOLAR - FORNECIMENTO E INSTALAÇÃO. AF_04/2022</t>
  </si>
  <si>
    <t>103882</t>
  </si>
  <si>
    <t>CURVA EM COBRE, DN 28 MM, 45 GRAUS, SEM ANEL DE SOLDA, BOLSA X BOLSA, INSTALADO EM RAMAL E SUB-RAMAL DE AQUECIMENTO SOLAR - FORNECIMENTO E INSTALAÇÃO. AF_04/2022</t>
  </si>
  <si>
    <t>103883</t>
  </si>
  <si>
    <t>LUVA EM COBRE, DN 15 MM, SEM ANEL DE SOLDA, INSTALADO EM RAMAL E SUB-RAMAL DE AQUECIMENTO SOLAR - FORNECIMENTO E INSTALAÇÃO. AF_04/2022</t>
  </si>
  <si>
    <t>103884</t>
  </si>
  <si>
    <t>LUVA PASSANTE EM COBRE, DN 15 MM, SEM ANEL DE SOLDA, INSTALADO EM RAMAL E SUB-RAMAL DE AQUECIMENTO SOLAR - FORNECIMENTO E INSTALAÇÃO. AF_04/2022</t>
  </si>
  <si>
    <t>103885</t>
  </si>
  <si>
    <t>CURVA DE TRANSPOSIÇÃO EM BRONZE/LATÃO, DN 15 MM, SEM ANEL DE SOLDA, BOLSA X BOLSA, INSTALADO EM RAMAL E SUB-RAMAL DE AQUECIMENTO SOLAR - FORNECIMENTO E INSTALAÇÃO. AF_04/2022</t>
  </si>
  <si>
    <t>103886</t>
  </si>
  <si>
    <t>JUNTA DE EXPANSÃO EM COBRE, DN 15 MM, PONTA X PONTA, INSTALADO EM RAMAL E SUB-RAMAL DE AQUECIMENTO SOLAR - FORNECIMENTO E INSTALAÇÃO. AF_04/2022</t>
  </si>
  <si>
    <t>103887</t>
  </si>
  <si>
    <t>CONECTOR EM BRONZE/LATÃO, DN 15 MM X 1/2", SEM ANEL DE SOLDA, BOLSA X ROSCA F, INSTALADO EM RAMAL E SUB-RAMAL DE AQUECIMENTO SOLAR - FORNECIMENTO E INSTALAÇÃO. AF_04/2022</t>
  </si>
  <si>
    <t>103888</t>
  </si>
  <si>
    <t>LUVA EM COBRE, DN 22 MM, SEM ANEL DE SOLDA, INSTALADO EM RAMAL E SUB-RAMAL DE AQUECIMENTO SOLAR - FORNECIMENTO E INSTALAÇÃO. AF_04/2022</t>
  </si>
  <si>
    <t>103889</t>
  </si>
  <si>
    <t>LUVA PASSANTE EM COBRE, DN 22 MM, SEM ANEL DE SOLDA, INSTALADO EM RAMAL E SUB-RAMAL DE AQUECIMENTO SOLAR - FORNECIMENTO E INSTALAÇÃO. AF_04/2022</t>
  </si>
  <si>
    <t>103890</t>
  </si>
  <si>
    <t>JUNTA DE EXPANSÃO EM COBRE, DN 22 MM, PONTA X PONTA, INSTALADO EM RAMAL E SUB-RAMAL DE AQUECIMENTO SOLAR - FORNECIMENTO E INSTALAÇÃO. AF_04/2022</t>
  </si>
  <si>
    <t>103891</t>
  </si>
  <si>
    <t>CURVA DE TRANSPOSIÇÃO EM BRONZE/LATÃO, DN 22 MM, SEM ANEL DE SOLDA, BOLSA X BOLSA, INSTALADO EM RAMAL E SUB-RAMAL DE AQUECIMENTO SOLAR - FORNECIMENTO E INSTALAÇÃO. AF_04/2022</t>
  </si>
  <si>
    <t>103892</t>
  </si>
  <si>
    <t>BUCHA DE REDUÇÃO EM COBRE, DN 22 MM X 15 MM, SEM ANEL DE SOLDA, PONTA X BOLSA, INSTALADO EM RAMAL E SUB-RAMAL DE AQUECIMENTO SOLAR - FORNECIMENTO E INSTALAÇÃO. AF_04/2022</t>
  </si>
  <si>
    <t>103893</t>
  </si>
  <si>
    <t>CONECTOR EM BRONZE/LATÃO, DN 22 MM X 1/2", SEM ANEL DE SOLDA, BOLSA X ROSCA F, INSTALADO EM RAMAL E SUB-RAMAL DE AQUECIMENTO SOLAR - FORNECIMENTO E INSTALAÇÃO. AF_04/2022</t>
  </si>
  <si>
    <t>103894</t>
  </si>
  <si>
    <t>CONECTOR EM BRONZE/LATÃO, DN 22 MM X 3/4", SEM ANEL DE SOLDA, BOLSA X ROSCA F, INSTALADO EM RAMAL E SUB-RAMAL DE AQUECIMENTO SOLAR - FORNECIMENTO E INSTALAÇÃO. AF_04/2022</t>
  </si>
  <si>
    <t>103895</t>
  </si>
  <si>
    <t>LUVA EM COBRE, DN 28 MM, SEM ANEL DE SOLDA, INSTALADO EM RAMAL E SUB-RAMAL DE AQUECIMENTO SOLAR - FORNECIMENTO E INSTALAÇÃO. AF_04/2022</t>
  </si>
  <si>
    <t>103896</t>
  </si>
  <si>
    <t>LUVA PASSANTE EM COBRE, DN 28 MM, SEM ANEL DE SOLDA, INSTALADO EM RAMAL E SUB-RAMAL DE AQUECIMENTO SOLAR - FORNECIMENTO E INSTALAÇÃO. AF_04/2022</t>
  </si>
  <si>
    <t>103897</t>
  </si>
  <si>
    <t>CURVA DE TRANSPOSIÇÃO EM BRONZE/LATÃO, DN 28 MM, SEM ANEL DE SOLDA, BOLSA X BOLSA, INSTALADO EM RAMAL E SUB-RAMAL DE AQUECIMENTO SOLAR - FORNECIMENTO E INSTALAÇÃO. AF_04/2022</t>
  </si>
  <si>
    <t>103898</t>
  </si>
  <si>
    <t>JUNTA DE EXPANSÃO EM COBRE, DN 28 MM, PONTA X PONTA, INSTALADO EM RAMAL E SUB-RAMAL DE AQUECIMENTO SOLAR - FORNECIMENTO E INSTALAÇÃO. AF_04/2022</t>
  </si>
  <si>
    <t>103899</t>
  </si>
  <si>
    <t>CONECTOR EM BRONZE/LATÃO, DN 28 MM X 1/2", SEM ANEL DE SOLDA, BOLSA X ROSCA F, INSTALADO EM RAMAL E SUB-RAMAL DE AQUECIMENTO SOLAR - FORNECIMENTO E INSTALAÇÃO. AF_04/2022</t>
  </si>
  <si>
    <t>103900</t>
  </si>
  <si>
    <t>BUCHA DE REDUÇÃO EM COBRE, DN 28 MM X 22 MM, SEM ANEL DE SOLDA, INSTALADO EM RAMAL E SUB-RAMAL DE AQUECIMENTO SOLAR - FORNECIMENTO E INSTALAÇÃO. AF_04/2022</t>
  </si>
  <si>
    <t>103901</t>
  </si>
  <si>
    <t>TÊ EM COBRE, DN 15 MM, SEM ANEL DE SOLDA, INSTALADO EM RAMAL E SUB-RAMAL DE AQUECIMENTO SOLAR - FORNECIMENTO E INSTALAÇÃO. AF_04/2022</t>
  </si>
  <si>
    <t>103902</t>
  </si>
  <si>
    <t>TÊ EM COBRE, DN 22 MM, SEM ANEL DE SOLDA, INSTALADO EM RAMAL E SUB-RAMAL DE AQUECIMENTO SOLAR - FORNECIMENTO E INSTALAÇÃO. AF_04/2022</t>
  </si>
  <si>
    <t>103903</t>
  </si>
  <si>
    <t>TÊ EM COBRE, DN 28 MM, SEM ANEL DE SOLDA, INSTALADO EM RAMAL E SUB-RAMAL DE AQUECIMENTO SOLAR - FORNECIMENTO E INSTALAÇÃO. AF_04/2022</t>
  </si>
  <si>
    <t>103947</t>
  </si>
  <si>
    <t>BUCHA DE REDUÇÃO, CURTA, PVC, SOLDÁVEL, DN 25 X 20 MM, INSTALADO EM RAMAL OU SUB-RAMAL DE ÁGUA - FORNECIMENTO E INSTALAÇÃO. AF_06/2022</t>
  </si>
  <si>
    <t>103948</t>
  </si>
  <si>
    <t>BUCHA DE REDUÇÃO, CURTA, PVC, SOLDÁVEL, DN 32 X 25 MM, INSTALADO EM RAMAL OU SUB-RAMAL DE ÁGUA - FORNECIMENTO E INSTALAÇÃO. AF_06/2022</t>
  </si>
  <si>
    <t>103949</t>
  </si>
  <si>
    <t>BUCHA DE REDUÇÃO, LONGA, PVC, SOLDÁVEL, DN 32 X 20 MM, INSTALADO EM RAMAL OU SUB-RAMAL DE ÁGUA - FORNECIMENTO E INSTALAÇÃO. AF_06/2022</t>
  </si>
  <si>
    <t>103950</t>
  </si>
  <si>
    <t>JOELHO DE REDUÇÃO, 90 GRAUS, PVC, SOLDÁVEL, DN 25 MM X 20 MM, INSTALADO EM RAMAL OU SUB-RAMAL DE ÁGUA - FORNECIMENTO E INSTALAÇÃO. AF_06/2022</t>
  </si>
  <si>
    <t>103951</t>
  </si>
  <si>
    <t>JOELHO DE REDUÇÃO, 90 GRAUS, PVC, SOLDÁVEL, DN 32 MM X 25 MM, INSTALADO EM RAMAL OU SUB-RAMAL DE ÁGUA - FORNECIMENTO E INSTALAÇÃO. AF_06/2022</t>
  </si>
  <si>
    <t>103952</t>
  </si>
  <si>
    <t>BUCHA DE REDUÇÃO, CURTA, PVC, SOLDÁVEL, DN 25 X 20 MM, INSTALADO EM RAMAL DE DISTRIBUIÇÃO DE ÁGUA - FORNECIMENTO E INSTALAÇÃO. AF_06/2022</t>
  </si>
  <si>
    <t>103953</t>
  </si>
  <si>
    <t>BUCHA DE REDUÇÃO, CURTA, PVC, SOLDÁVEL, DN 32 X 25 MM, INSTALADO EM RAMAL DE DISTRIBUIÇÃO DE ÁGUA - FORNECIMENTO E INSTALAÇÃO. AF_06/2022</t>
  </si>
  <si>
    <t>103954</t>
  </si>
  <si>
    <t>BUCHA DE REDUÇÃO, LONGA, PVC, SOLDÁVEL, DN 32 X 20 MM, INSTALADO EM RAMAL DE DISTRIBUIÇÃO DE ÁGUA - FORNECIMENTO E INSTALAÇÃO. AF_06/2022</t>
  </si>
  <si>
    <t>103955</t>
  </si>
  <si>
    <t>JOELHO DE REDUÇÃO, 90 GRAUS, PVC, SOLDÁVEL, DN 25 MM X 20 MM, INSTALADO EM RAMAL DE DISTRIBUIÇÃO DE ÁGUA - FORNECIMENTO E INSTALAÇÃO. AF_06/2022</t>
  </si>
  <si>
    <t>103956</t>
  </si>
  <si>
    <t>JOELHO DE REDUÇÃO, 90 GRAUS, PVC, SOLDÁVEL, DN 32 MM X 25 MM, INSTALADO EM RAMAL DE DISTRIBUIÇÃO DE ÁGUA - FORNECIMENTO E INSTALAÇÃO. AF_06/2022</t>
  </si>
  <si>
    <t>103957</t>
  </si>
  <si>
    <t>BUCHA DE REDUÇÃO, CURTA, PVC, SOLDÁVEL, DN 32 X 25 MM, INSTALADO EM PRUMADA DE ÁGUA - FORNECIMENTO E INSTALAÇÃO. AF_06/2022</t>
  </si>
  <si>
    <t>103958</t>
  </si>
  <si>
    <t>BUCHA DE REDUÇÃO, CURTA, PVC, SOLDÁVEL, DN 50 X 40 MM, INSTALADO EM PRUMADA DE ÁGUA - FORNECIMENTO E INSTALAÇÃO. AF_06/2022</t>
  </si>
  <si>
    <t>103959</t>
  </si>
  <si>
    <t>BUCHA DE REDUÇÃO, CURTA, PVC, SOLDÁVEL, DN 60 X 50 MM, INSTALADO EM PRUMADA DE ÁGUA - FORNECIMENTO E INSTALAÇÃO. AF_06/2022</t>
  </si>
  <si>
    <t>103962</t>
  </si>
  <si>
    <t>BUCHA DE REDUÇÃO, LONGA, PVC, SOLDÁVEL, DN 32 X 20 MM, INSTALADO EM PRUMADA DE ÁGUA - FORNECIMENTO E INSTALAÇÃO. AF_06/2022</t>
  </si>
  <si>
    <t>103964</t>
  </si>
  <si>
    <t>BUCHA DE REDUÇÃO, LONGA, PVC, SOLDÁVEL, DN 40 X 25 MM, INSTALADO EM PRUMADA DE ÁGUA - FORNECIMENTO E INSTALAÇÃO. AF_06/2022</t>
  </si>
  <si>
    <t>103966</t>
  </si>
  <si>
    <t>BUCHA DE REDUÇÃO, LONGA, PVC, SOLDÁVEL, DN 50 X 25 MM, INSTALADO EM PRUMADA DE ÁGUA - FORNECIMENTO E INSTALAÇÃO. AF_06/2022</t>
  </si>
  <si>
    <t>11,02</t>
  </si>
  <si>
    <t>103967</t>
  </si>
  <si>
    <t>BUCHA DE REDUÇÃO , LONGA, PVC, SOLDÁVEL, DN 50 X 32 MM, INSTALADO EM PRUMADA DE ÁGUA - FORNECIMENTO E INSTALAÇÃO. AF_06/2022</t>
  </si>
  <si>
    <t>103968</t>
  </si>
  <si>
    <t>BUCHA DE REDUÇÃO, LONGA, PVC, SOLDÁVEL, DN 60 X 25 MM, INSTALADO EM PRUMADA DE ÁGUA - FORNECIMENTO E INSTALAÇÃO. AF_06/2022</t>
  </si>
  <si>
    <t>103969</t>
  </si>
  <si>
    <t>BUCHA DE REDUÇÃO, LONGA, PVC, SOLDÁVEL, DN 60 X 32 MM, INSTALADO EM PRUMADA DE ÁGUA - FORNECIMENTO E INSTALAÇÃO. AF_06/2022</t>
  </si>
  <si>
    <t>103971</t>
  </si>
  <si>
    <t>BUCHA DE REDUÇÃO, LONGA, PVC, SOLDÁVEL, DN 60 X 50 MM, INSTALADO EM PRUMADA DE ÁGUA - FORNECIMENTO E INSTALAÇÃO. AF_06/2022</t>
  </si>
  <si>
    <t>103972</t>
  </si>
  <si>
    <t>BUCHA DE REDUÇÃO, LONGA, PVC, SOLDÁVEL, DN 75 X 50 MM, INSTALADO EM PRUMADA DE ÁGUA - FORNECIMENTO E INSTALAÇÃO. AF_06/2022</t>
  </si>
  <si>
    <t>103974</t>
  </si>
  <si>
    <t>JOELHO DE REDUÇÃO, 90 GRAUS, PVC, SOLDÁVEL, DN 32 MM X 25 MM, INSTALADO EM PRUMADA DE ÁGUA - FORNECIMENTO E INSTALAÇÃO. AF_06/2022</t>
  </si>
  <si>
    <t>103975</t>
  </si>
  <si>
    <t>TE DE REDUÇÃO, 90 GRAUS, PVC, SOLDÁVEL, DN 50 MM X 20 MM, INSTALADO EM PRUMADA DE ÁGUA - FORNECIMENTO E INSTALAÇÃO. AF_06/2022</t>
  </si>
  <si>
    <t>103976</t>
  </si>
  <si>
    <t>TE DE REDUÇÃO, 90 GRAUS, PVC, SOLDÁVEL, DN 50 MM X 32 MM, INSTALADO EM PRUMADA DE ÁGUA - FORNECIMENTO E INSTALAÇÃO. AF_06/2022</t>
  </si>
  <si>
    <t>103980</t>
  </si>
  <si>
    <t>JOELHO 90 GRAUS, PVC, SOLDÁVEL, DN 40MM, INSTALADO EM RAMAL DE DISTRIBUIÇÃO DE ÁGUA - FORNECIMENTO E INSTALAÇÃO. AF_06/2022</t>
  </si>
  <si>
    <t>103981</t>
  </si>
  <si>
    <t>JOELHO 45 GRAUS, PVC, SOLDÁVEL, DN 40MM, INSTALADO EM RAMAL DE DISTRIBUIÇÃO DE ÁGUA - FORNECIMENTO E INSTALAÇÃO. AF_06/2022</t>
  </si>
  <si>
    <t>19,06</t>
  </si>
  <si>
    <t>103982</t>
  </si>
  <si>
    <t>CURVA 90 GRAUS, PVC, SOLDÁVEL, DN 40MM, INSTALADO EM RAMAL DE DISTRIBUIÇÃO DE ÁGUA - FORNECIMENTO E INSTALAÇÃO. AF_06/2022</t>
  </si>
  <si>
    <t>103983</t>
  </si>
  <si>
    <t>CURVA 45 GRAUS, PVC, SOLDÁVEL, DN 40MM, INSTALADO EM RAMAL DE DISTRIBUIÇÃO DE ÁGUA - FORNECIMENTO E INSTALAÇÃO. AF_06/2022</t>
  </si>
  <si>
    <t>103984</t>
  </si>
  <si>
    <t>JOELHO 90 GRAUS, PVC, SOLDÁVEL, DN 50MM, INSTALADO EM RAMAL DE DISTRIBUIÇÃO DE ÁGUA - FORNECIMENTO E INSTALAÇÃO. AF_06/2022</t>
  </si>
  <si>
    <t>103985</t>
  </si>
  <si>
    <t>JOELHO 45 GRAUS, PVC, SOLDÁVEL, DN 50MM, INSTALADO EM RAMAL DE DISTRIBUIÇÃO DE ÁGUA - FORNECIMENTO E INSTALAÇÃO. AF_06/2022</t>
  </si>
  <si>
    <t>103986</t>
  </si>
  <si>
    <t>CURVA 90 GRAUS, PVC, SOLDÁVEL, DN 50MM, INSTALADO EM RAMAL DE DISTRIBUIÇÃO DE ÁGUA - FORNECIMENTO E INSTALAÇÃO. AF_06/2022</t>
  </si>
  <si>
    <t>31,93</t>
  </si>
  <si>
    <t>103987</t>
  </si>
  <si>
    <t>CURVA 45 GRAUS, PVC, SOLDÁVEL, DN 50MM, INSTALADO EM RAMAL DE DISTRIBUIÇÃO DE ÁGUA - FORNECIMENTO E INSTALAÇÃO. AF_06/2022</t>
  </si>
  <si>
    <t>103988</t>
  </si>
  <si>
    <t>LUVA, PVC, SOLDÁVEL, DN 40MM, INSTALADO EM RAMAL DE DISTRIBUIÇÃO DE ÁGUA - FORNECIMENTO E INSTALAÇÃO. AF_06/2022</t>
  </si>
  <si>
    <t>103990</t>
  </si>
  <si>
    <t>UNIÃO, PVC, SOLDÁVEL, DN 40MM, INSTALADO EM RAMAL DE DISTRIBUIÇÃO DE ÁGUA - FORNECIMENTO E INSTALAÇÃO. AF_06/2022</t>
  </si>
  <si>
    <t>103991</t>
  </si>
  <si>
    <t>103992</t>
  </si>
  <si>
    <t>103993</t>
  </si>
  <si>
    <t>BUCHA DE REDUÇÃO, PVC, SOLDÁVEL, DN 40MM X 32MM, INSTALADO EM RAMAL DE DISTRIBUIÇÃO DE ÁGUA - FORNECIMENTO E INSTALAÇÃO. AF_06/2022</t>
  </si>
  <si>
    <t>103994</t>
  </si>
  <si>
    <t>103995</t>
  </si>
  <si>
    <t>LUVA, PVC, SOLDÁVEL, DN 50MM, INSTALADO EM RAMAL DE DISTRIBUIÇÃO DE ÁGUA - FORNECIMENTO E INSTALAÇÃO. AF_06/2022</t>
  </si>
  <si>
    <t>103996</t>
  </si>
  <si>
    <t>LUVA DE CORRER, PVC, SOLDÁVEL, DN 50MM, INSTALADO EM RAMAL DE DISTRIBUIÇÃO DE ÁGUA - FORNECIMENTO E INSTALAÇÃO. AF_06/2022</t>
  </si>
  <si>
    <t>103997</t>
  </si>
  <si>
    <t>UNIÃO, PVC, SOLDÁVEL, DN 50MM, INSTALADO EM RAMAL DE DISTRIBUIÇÃO DE ÁGUA - FORNECIMENTO E INSTALAÇÃO. AF_06/2022</t>
  </si>
  <si>
    <t>103998</t>
  </si>
  <si>
    <t>LUVA DE REDUÇÃO, PVC, SOLDÁVEL, DN 50MM X 25MM, INSTALADO EM RAMAL DE DISTRIBUIÇÃO DE ÁGUA   FORNECIMENTO E INSTALAÇÃO. AF_06/2022</t>
  </si>
  <si>
    <t>103999</t>
  </si>
  <si>
    <t>BUCHA DE REDUÇÃO, LONGA, PVC, SOLDÁVEL, DN 50 X 25 MM, INSTALADO EM RAMAL DE DISTRIBUIÇÃO DE ÁGUA - FORNECIMENTO E INSTALAÇÃO. AF_06/2022</t>
  </si>
  <si>
    <t>104000</t>
  </si>
  <si>
    <t>104001</t>
  </si>
  <si>
    <t>104002</t>
  </si>
  <si>
    <t>104003</t>
  </si>
  <si>
    <t>BUCHA DE REDUÇÃO , LONGA, PVC, SOLDÁVEL, DN 50 X 32 MM, INSTALADO EM RAMAL DE DISTRIBUIÇÃO DE ÁGUA - FORNECIMENTO E INSTALAÇÃO. AF_06/2022</t>
  </si>
  <si>
    <t>104004</t>
  </si>
  <si>
    <t>TE, PVC, SOLDÁVEL, DN 50MM, INSTALADO EM RAMAL DE DISTRIBUIÇÃO DE ÁGUA - FORNECIMENTO E INSTALAÇÃO. AF_06/2022</t>
  </si>
  <si>
    <t>104005</t>
  </si>
  <si>
    <t>TÊ DE REDUÇÃO, PVC, SOLDÁVEL, DN 50MM X 40MM, INSTALADO EM RAMAL DE DISTRIBUIÇÃO DE ÁGUA - FORNECIMENTO E INSTALAÇÃO. AF_06/2022</t>
  </si>
  <si>
    <t>104006</t>
  </si>
  <si>
    <t>TÊ DE REDUÇÃO, PVC, SOLDÁVEL, DN 50MM X 25MM, INSTALADO EM RAMAL DE DISTRIBUIÇÃO DE ÁGUA - FORNECIMENTO E INSTALAÇÃO. AF_06/2022</t>
  </si>
  <si>
    <t>104007</t>
  </si>
  <si>
    <t>TE DE REDUÇÃO, 90 GRAUS, PVC, SOLDÁVEL, DN 50 MM X 20 MM, INSTALADO EM RAMAL DE DISTRIBUIÇÃO DE ÁGUA - FORNECIMENTO E INSTALAÇÃO. AF_06/2022</t>
  </si>
  <si>
    <t>104008</t>
  </si>
  <si>
    <t>TE DE REDUÇÃO, 90 GRAUS, PVC, SOLDÁVEL, DN 50 MM X 32 MM, INSTALADO EM RAMAL DE DISTRIBUIÇÃO DE ÁGUA - FORNECIMENTO E INSTALAÇÃO. AF_06/2022</t>
  </si>
  <si>
    <t>104009</t>
  </si>
  <si>
    <t>BUCHA DE REDUÇÃO, CURTA, PVC, SOLDÁVEL, DN 50 X 40 MM, INSTALADO EM RAMAL DE DISTRIBUIÇÃO DE ÁGUA - FORNECIMENTO E INSTALAÇÃO. AF_06/2022</t>
  </si>
  <si>
    <t>104011</t>
  </si>
  <si>
    <t>TE, PVC, SOLDÁVEL, DN 40MM, INSTALADO EM RAMAL DE DISTRIBUIÇÃO DE ÁGUA - FORNECIMENTO E INSTALAÇÃO. AF_06/2022</t>
  </si>
  <si>
    <t>27,61</t>
  </si>
  <si>
    <t>104012</t>
  </si>
  <si>
    <t>TÊ DE REDUÇÃO, PVC, SOLDÁVEL, DN 40MM X 32MM, INSTALADO EM RAMAL DE DISTRIBUIÇÃO DE ÁGUA - FORNECIMENTO E INSTALAÇÃO. AF_06/2022</t>
  </si>
  <si>
    <t>104014</t>
  </si>
  <si>
    <t>BUCHA DE REDUÇÃO, LONGA, PVC, SOLDÁVEL, DN 40 X 25 MM, INSTALADO EM RAMAL DE DISTRIBUIÇÃO DE ÁGUA - FORNECIMENTO E INSTALAÇÃO. AF_06/2022</t>
  </si>
  <si>
    <t>104015</t>
  </si>
  <si>
    <t>TE DE REDUÇÃO, CPVC, SOLDÁVEL, DN 22 X 15 MM, INSTALADO EM RAMAL OU SUB-RAMAL DE ÁGUA - FORNECIMENTO E INSTALAÇÃO. AF_06/2022</t>
  </si>
  <si>
    <t>104016</t>
  </si>
  <si>
    <t>TE DE REDUÇÃO, CPVC, SOLDÁVEL, DN 28 X 22 MM, INSTALADO EM RAMAL OU SUB-RAMAL DE ÁGUA - FORNECIMENTO E INSTALAÇÃO. AF_06/2022</t>
  </si>
  <si>
    <t>104017</t>
  </si>
  <si>
    <t>TE DE REDUÇÃO, CPVC, SOLDÁVEL, DN 35 X 28 MM, INSTALADO EM RAMAL OU SUB-RAMAL DE ÁGUA - FORNECIMENTO E INSTALAÇÃO. AF_06/2022</t>
  </si>
  <si>
    <t>104018</t>
  </si>
  <si>
    <t>104019</t>
  </si>
  <si>
    <t>TE DE REDUÇÃO, CPVC, SOLDÁVEL, DN 35 X 28 MM, INSTALADO EM RAMAL DE DISTRIBUIÇÃO DE ÁGUA - FORNECIMENTO E INSTALAÇÃO. AF_06/2022</t>
  </si>
  <si>
    <t>104020</t>
  </si>
  <si>
    <t>TE DE REDUÇÃO, CPVC, SOLDÁVEL, DN 42 X 35 MM, INSTALADO EM PRUMADA DE ÁGUA - FORNECIMENTO E INSTALAÇÃO. AF_06/2022</t>
  </si>
  <si>
    <t>104022</t>
  </si>
  <si>
    <t>104023</t>
  </si>
  <si>
    <t>104024</t>
  </si>
  <si>
    <t>104025</t>
  </si>
  <si>
    <t>104026</t>
  </si>
  <si>
    <t>104027</t>
  </si>
  <si>
    <t>UNIÃO, CPVC, SOLDÁVEL, DN 42MM, INSTALADO EM RAMAL DE DISTRIBUIÇÃO DE ÁGUA   FORNECIMENTO E INSTALAÇÃO. AF_06/2022</t>
  </si>
  <si>
    <t>104028</t>
  </si>
  <si>
    <t>104029</t>
  </si>
  <si>
    <t>104030</t>
  </si>
  <si>
    <t>TE DE REDUÇÃO, CPVC, SOLDÁVEL, DN 42 X 35 MM, INSTALADO EM RAMAL DE DISTRIBUIÇÃO DE ÁGUA - FORNECIMENTO E INSTALAÇÃO. AF_06/2022</t>
  </si>
  <si>
    <t>104159</t>
  </si>
  <si>
    <t>104167</t>
  </si>
  <si>
    <t>JOELHO 90 GRAUS, PVC, SERIE R, ÁGUA PLUVIAL, DN 150 MM, JUNTA ELÁSTICA, FORNECIDO E INSTALADO EM RAMAL DE ENCAMINHAMENTO. AF_06/2022</t>
  </si>
  <si>
    <t>104168</t>
  </si>
  <si>
    <t>JOELHO 45 GRAUS, PVC, SERIE R, ÁGUA PLUVIAL, DN 150 MM, JUNTA ELÁSTICA, FORNECIDO E INSTALADO EM RAMAL DE ENCAMINHAMENTO. AF_06/2022</t>
  </si>
  <si>
    <t>104169</t>
  </si>
  <si>
    <t>CURVA 87 GRAUS E 30 MINUTOS, PVC, SERIE R, ÁGUA PLUVIAL, DN 150 MM, JUNTA ELÁSTICA, FORNECIDO E INSTALADO EM RAMAL DE ENCAMINHAMENTO. AF_06/2022</t>
  </si>
  <si>
    <t>104170</t>
  </si>
  <si>
    <t>LUVA SIMPLES, PVC, SERIE R, ÁGUA PLUVIAL, DN 150 MM, JUNTA ELÁSTICA, FORNECIDO E INSTALADO EM RAMAL DE ENCAMINHAMENTO. AF_06/2022</t>
  </si>
  <si>
    <t>104171</t>
  </si>
  <si>
    <t>LUVA DE CORRER, PVC, SERIE R, ÁGUA PLUVIAL, DN 150 MM, JUNTA ELÁSTICA, FORNECIDO E INSTALADO EM RAMAL DE ENCAMINHAMENTO. AF_06/2022</t>
  </si>
  <si>
    <t>104172</t>
  </si>
  <si>
    <t>TÊ DE INSPEÇÃO, PVC, SERIE R, ÁGUA PLUVIAL, DN 150 MM, JUNTA ELÁSTICA, FORNECIDO E INSTALADO EM RAMAL DE ENCAMINHAMENTO. AF_06/2022</t>
  </si>
  <si>
    <t>104173</t>
  </si>
  <si>
    <t>REDUÇÃO EXCÊNTRICA, PVC, SERIE R, ÁGUA PLUVIAL, DN 150 X 100 MM, JUNTA ELÁSTICA, FORNECIDO E INSTALADO EM RAMAL DE ENCAMINHAMENTO. AF_06/2022</t>
  </si>
  <si>
    <t>104174</t>
  </si>
  <si>
    <t>JUNÇÃO SIMPLES, PVC, SERIE R, ÁGUA PLUVIAL, DN 150 X 100 MM, JUNTA ELÁSTICA, FORNECIDO E INSTALADO EM RAMAL DE ENCAMINHAMENTO. AF_06/2022</t>
  </si>
  <si>
    <t>104175</t>
  </si>
  <si>
    <t>TÊ, PVC, SERIE R, ÁGUA PLUVIAL, DN 150 X 100 MM, JUNTA ELÁSTICA, FORNECIDO E INSTALADO EM RAMAL DE ENCAMINHAMENTO. AF_06/2022</t>
  </si>
  <si>
    <t>104176</t>
  </si>
  <si>
    <t>JUNÇÃO SIMPLES, PVC, SERIE R, ÁGUA PLUVIAL, DN 150 X 150 MM, JUNTA ELÁSTICA, FORNECIDO E INSTALADO EM RAMAL DE ENCAMINHAMENTO. AF_06/2022</t>
  </si>
  <si>
    <t>104177</t>
  </si>
  <si>
    <t>TÊ, PVC, SERIE R, ÁGUA PLUVIAL, DN 150 X 150 MM, JUNTA ELÁSTICA, FORNECIDO E INSTALADO EM RAMAL DE ENCAMINHAMENTO. AF_06/2022</t>
  </si>
  <si>
    <t>104178</t>
  </si>
  <si>
    <t>CAP, PVC, SERIE R, ÁGUA PLUVIAL, DN 100 MM, JUNTA ELÁSTICA, FORNECIDO E INSTALADO EM RAMAL DE ENCAMINHAMENTO. AF_06/2022</t>
  </si>
  <si>
    <t>104179</t>
  </si>
  <si>
    <t>CAP, PVC, SERIE R, ÁGUA PLUVIAL, DN 150 MM, JUNTA ELÁSTICA, FORNECIDO E INSTALADO EM RAMAL DE ENCAMINHAMENTO. AF_06/2022</t>
  </si>
  <si>
    <t>104191</t>
  </si>
  <si>
    <t>BUCHA DE REDUÇÃO, PPR, DN 25 X 20 MM, INSTALADO EM RAMAL OU SUB-RAMAL DE ÁGUA - FORNECIMENTO E INSTALAÇÃO. AF_08/2022</t>
  </si>
  <si>
    <t>104192</t>
  </si>
  <si>
    <t>TÊ MISTURADOR, PPR, F M M, DN 25 X 25 MM, INSTALADO EM RAMAL OU SUB-RAMAL DE ÁGUA - FORNECIMENTO E INSTALAÇÃO. AF_08/2022</t>
  </si>
  <si>
    <t>104193</t>
  </si>
  <si>
    <t>JOELHO 45 GRAUS, PPR, F/ F, DN 90 MM, INSTALADO EM PRUMADA DE ÁGUA - FORNECIMENTO E INSTALAÇÃO. AF_08/2022</t>
  </si>
  <si>
    <t>104196</t>
  </si>
  <si>
    <t>CURVA 90 GRAUS, PPR, DN 20 MM, INSTALADO EM RAMAL OU SUB-RAMAL DE ÁGUA - FORNECIMENTO E INSTALAÇÃO. AF_08/2022</t>
  </si>
  <si>
    <t>104197</t>
  </si>
  <si>
    <t>CURVA 90 GRAUS, PPR, DN 25 MM, INSTALADO EM RAMAL OU SUB-RAMAL DE ÁGUA - FORNECIMENTO E INSTALAÇÃO. AF_08/2022</t>
  </si>
  <si>
    <t>104198</t>
  </si>
  <si>
    <t>JOELHO 45 GRAUS, PPR, DN 20 MM, INSTALADO EM RAMAL OU SUB-RAMAL DE ÁGUA - FORNECIMENTO E INSTALAÇÃO. AF_08/2022</t>
  </si>
  <si>
    <t>104199</t>
  </si>
  <si>
    <t>JOELHO 90 GRAUS, PPR, DN 20 MM, INSTALADO EM RAMAL OU SUB-RAMAL DE ÁGUA - FORNECIMENTO E INSTALAÇÃO. AF_08/2022</t>
  </si>
  <si>
    <t>104200</t>
  </si>
  <si>
    <t>LUVA, PPR, DN 20 MM, INSTALADO EM RAMAL OU SUB-RAMAL DE ÁGUA - FORNECIMENTO E INSTALAÇÃO. AF_08/2022</t>
  </si>
  <si>
    <t>104201</t>
  </si>
  <si>
    <t>TÊ MISTURADOR, PPR, F M M, DN 20 X 20 MM, INSTALADO EM RAMAL OU SUB-RAMAL DE ÁGUA - FORNECIMENTO E INSTALAÇÃO. AF_08/2022</t>
  </si>
  <si>
    <t>104202</t>
  </si>
  <si>
    <t>TÊ NORMAL, PPR, 90 GRAUS, DN 20 X 20 X 20 MM, INSTALADO EM RAMAL OU SUB-RAMAL DE ÁGUA - FORNECIMENTO E INSTALAÇÃO. AF_08/2022</t>
  </si>
  <si>
    <t>104317</t>
  </si>
  <si>
    <t>JOELHO 90 GRAUS, PVC, SOLDÁVEL, DN 20 MM, INSTALADO EM DRENO DE AR CONDICIONADO - FORNECIMENTO E INSTALAÇÃO. AF_08/2022</t>
  </si>
  <si>
    <t>104318</t>
  </si>
  <si>
    <t>JOELHO 45 GRAUS, PVC, SOLDÁVEL, DN 20 MM, INSTALADO EM DRENO DE AR CONDICIONADO - FORNECIMENTO E INSTALAÇÃO. AF_08/2022</t>
  </si>
  <si>
    <t>104319</t>
  </si>
  <si>
    <t>JOELHO 90 GRAUS, PVC, SOLDÁVEL, DN 32 MM, INSTALADO EM DRENO DE AR CONDICIONADO - FORNECIMENTO E INSTALAÇÃO. AF_08/2022</t>
  </si>
  <si>
    <t>104320</t>
  </si>
  <si>
    <t>JOELHO 45 GRAUS, PVC, SOLDÁVEL, DN 32 MM, INSTALADO EM DRENO DE AR CONDICIONADO - FORNECIMENTO E INSTALAÇÃO. AF_08/2022</t>
  </si>
  <si>
    <t>104321</t>
  </si>
  <si>
    <t>LUVA, PVC, SOLDÁVEL, DN 20 MM, INSTALADO EM DRENO DE AR CONDICIONADO - FORNECIMENTO E INSTALAÇÃO. AF_08/2022</t>
  </si>
  <si>
    <t>104322</t>
  </si>
  <si>
    <t>LUVA, PVC, SOLDÁVEL, DN 32 MM, INSTALADO EM DRENO DE AR CONDICIONADO - FORNECIMENTO E INSTALAÇÃO. AF_08/2022</t>
  </si>
  <si>
    <t>104323</t>
  </si>
  <si>
    <t>TE, PVC, SOLDÁVEL, DN 20 MM, INSTALADO EM DRENO DE AR CONDICIONADO - FORNECIMENTO E INSTALAÇÃO. AF_08/2022</t>
  </si>
  <si>
    <t>104324</t>
  </si>
  <si>
    <t>TE, PVC, SOLDÁVEL, DN 32 MM, INSTALADO EM DRENO DE AR CONDICIONADO - FORNECIMENTO E INSTALAÇÃO. AF_08/2022</t>
  </si>
  <si>
    <t>104341</t>
  </si>
  <si>
    <t>BUCHA DE REDUÇÃO LONGA, PVC, SÉRIE NORMAL, ESGOTO PREDIAL, DN 50 X 40 MM, JUNTA SOLDÁVEL E ELÁSTICA, FORNECIDO E INSTALADO EM RAMAL DE DESCARGA OU RAMAL DE ESGOTO SANITÁRIO. AF_08/2022</t>
  </si>
  <si>
    <t>104343</t>
  </si>
  <si>
    <t>JUNÇÃO DE REDUÇÃO INVERTIDA, PVC, SÉRIE NORMAL, ESGOTO PREDIAL, DN 75 X 50 MM, JUNTA ELÁSTICA, FORNECIDO E INSTALADO EM RAMAL DE DESCARGA OU RAMAL DE ESGOTO SANITÁRIO. AF_08/2022</t>
  </si>
  <si>
    <t>104344</t>
  </si>
  <si>
    <t>TE, PVC, SÉRIE NORMAL, ESGOTO PREDIAL, DN 100 X 50 MM, JUNTA ELÁSTICA, FORNECIDO E INSTALADO EM RAMAL DE DESCARGA OU RAMAL DE ESGOTO SANITÁRIO. AF_08/2022</t>
  </si>
  <si>
    <t>104345</t>
  </si>
  <si>
    <t>JUNÇÃO DE REDUÇÃO INVERTIDA, PVC, SÉRIE NORMAL, ESGOTO PREDIAL, DN 100 X 50 MM, JUNTA ELÁSTICA, FORNECIDO E INSTALADO EM RAMAL DE DESCARGA OU RAMAL DE ESGOTO SANITÁRIO. AF_08/2022</t>
  </si>
  <si>
    <t>104346</t>
  </si>
  <si>
    <t>TE, PVC, SÉRIE NORMAL, ESGOTO PREDIAL, DN 100 X 75 MM, JUNTA ELÁSTICA, FORNECIDO E INSTALADO EM RAMAL DE DESCARGA OU RAMAL DE ESGOTO SANITÁRIO. AF_08/2022</t>
  </si>
  <si>
    <t>104347</t>
  </si>
  <si>
    <t>JUNÇÃO DE REDUCAO INVERTIDA, PVC, SÉRIE NORMAL, ESGOTO PREDIAL, DN 100 X 75 MM, JUNTA ELÁSTICA, FORNECIDO E INSTALADO EM RAMAL DE DESCARGA OU RAMAL DE ESGOTO SANITÁRIO. AF_08/2022</t>
  </si>
  <si>
    <t>104348</t>
  </si>
  <si>
    <t>TERMINAL DE VENTILAÇÃO, PVC, SÉRIE NORMAL, ESGOTO PREDIAL, DN 50 MM, JUNTA SOLDÁVEL, FORNECIDO E INSTALADO EM PRUMADA DE ESGOTO SANITÁRIO OU VENTILAÇÃO. AF_08/2022</t>
  </si>
  <si>
    <t>104350</t>
  </si>
  <si>
    <t>JUNÇÃO DE REDUÇÃO INVERTIDA, PVC, SÉRIE NORMAL, ESGOTO PREDIAL, DN 75 X 50 MM, JUNTA ELÁSTICA, FORNECIDO E INSTALADO EM PRUMADA DE ESGOTO SANITÁRIO OU VENTILAÇÃO. AF_08/2022</t>
  </si>
  <si>
    <t>104351</t>
  </si>
  <si>
    <t>TERMINAL DE VENTILAÇÃO, PVC, SÉRIE NORMAL, ESGOTO PREDIAL, DN 75 MM, JUNTA SOLDÁVEL, FORNECIDO E INSTALADO EM PRUMADA DE ESGOTO SANITÁRIO OU VENTILAÇÃO. AF_08/2022</t>
  </si>
  <si>
    <t>104352</t>
  </si>
  <si>
    <t>TE, PVC, SÉRIE NORMAL, ESGOTO PREDIAL, DN 100 X 50 MM, JUNTA ELÁSTICA, FORNECIDO E INSTALADO EM PRUMADA DE ESGOTO SANITÁRIO OU VENTILAÇÃO. AF_08/2022</t>
  </si>
  <si>
    <t>104353</t>
  </si>
  <si>
    <t>JUNÇÃO DE REDUÇÃO INVERTIDA, PVC, SÉRIE NORMAL, ESGOTO PREDIAL, DN 100 X 50 MM, JUNTA ELÁSTICA, FORNECIDO E INSTALADO EM PRUMADA DE ESGOTO SANITÁRIO OU VENTILAÇÃO. AF_08/2022</t>
  </si>
  <si>
    <t>104354</t>
  </si>
  <si>
    <t>TE, PVC, SÉRIE NORMAL, ESGOTO PREDIAL, DN 100 X 75 MM, JUNTA ELÁSTICA, FORNECIDO E INSTALADO EM PRUMADA DE ESGOTO SANITÁRIO OU VENTILAÇÃO. AF_08/2022</t>
  </si>
  <si>
    <t>104355</t>
  </si>
  <si>
    <t>JUNÇÃO DE REDUCAO INVERTIDA, PVC, SÉRIE NORMAL, ESGOTO PREDIAL, DN 100 X 75 MM, JUNTA ELÁSTICA, FORNECIDO E INSTALADO EM PRUMADA DE ESGOTO SANITÁRIO OU VENTILAÇÃO. AF_08/2022</t>
  </si>
  <si>
    <t>104356</t>
  </si>
  <si>
    <t>TERMINAL DE VENTILAÇÃO, PVC, SÉRIE NORMAL, ESGOTO PREDIAL, DN 100 MM, JUNTA SOLDÁVEL, FORNECIDO E INSTALADO EM PRUMADA DE ESGOTO SANITÁRIO OU VENTILAÇÃO. AF_08/2022</t>
  </si>
  <si>
    <t>104357</t>
  </si>
  <si>
    <t>CAP, PVC, SÉRIE NORMAL, ESGOTO PREDIAL, DN 100 MM, JUNTA ELÁSTICA, FORNECIDO E INSTALADO EM SUBCOLETOR AÉREO DE ESGOTO SANITÁRIO. AF_08/2022</t>
  </si>
  <si>
    <t>102610</t>
  </si>
  <si>
    <t>CAIXA D´ÁGUA EM POLIETILENO, 3000 LITROS - FORNECIMENTO E INSTALAÇÃO. AF_06/2021</t>
  </si>
  <si>
    <t>102612</t>
  </si>
  <si>
    <t>CAIXA D´ÁGUA EM POLIÉSTER REFORÇADO COM FIBRA DE VIDRO, 750 LITROS - FORNECIMENTO E INSTALAÇÃO. AF_06/2021</t>
  </si>
  <si>
    <t>102616</t>
  </si>
  <si>
    <t>CAIXA D´ÁGUA EM POLIÉSTER REFORÇADO COM FIBRA DE VIDRO, 3000 LITROS - FORNECIMENTO E INSTALAÇÃO. AF_06/2021</t>
  </si>
  <si>
    <t>102618</t>
  </si>
  <si>
    <t>CAIXA D´ÁGUA EM POLIÉSTER REFORÇADO COM FIBRA DE VIDRO, 7000 LITROS - FORNECIMENTO E INSTALAÇÃO. AF_06/2021</t>
  </si>
  <si>
    <t>102620</t>
  </si>
  <si>
    <t>CAIXA D´ÁGUA EM POLIÉSTER REFORÇADO COM FIBRA DE VIDRO, 15000 LITROS - FORNECIMENTO E INSTALAÇÃO. AF_06/2021</t>
  </si>
  <si>
    <t>102621</t>
  </si>
  <si>
    <t>CAIXA D´ÁGUA EM POLIÉSTER REFORÇADO COM FIBRA DE VIDRO, 20000 LITROS - FORNECIMENTO E INSTALAÇÃO. AF_06/2021</t>
  </si>
  <si>
    <t>CAIXA SIFONADA, PVC, DN 100 X 100 X 50 MM, FORNECIDA E INSTALADA EM RAMAIS DE ENCAMINHAMENTO DE ÁGUA PLUVIAL. AF_06/2022</t>
  </si>
  <si>
    <t>CAIXA SIFONADA, PVC, DN 150 X 185 X 75 MM, FORNECIDA E INSTALADA EM RAMAIS DE ENCAMINHAMENTO DE ÁGUA PLUVIAL. AF_06/2022</t>
  </si>
  <si>
    <t>RALO SIFONADO, PVC, DN 100 X 40 MM, JUNTA SOLDÁVEL, FORNECIDO E INSTALADO EM RAMAIS DE ENCAMINHAMENTO DE ÁGUA PLUVIAL. AF_06/2022</t>
  </si>
  <si>
    <t>CAIXA SIFONADA, PVC, DN 100 X 100 X 50 MM, JUNTA ELÁSTICA, FORNECIDA E INSTALADA EM RAMAL DE DESCARGA OU EM RAMAL DE ESGOTO SANITÁRIO. AF_08/2022</t>
  </si>
  <si>
    <t>CAIXA SIFONADA, PVC, DN 150 X 185 X 75 MM, JUNTA ELÁSTICA, FORNECIDA E INSTALADA EM RAMAL DE DESCARGA OU EM RAMAL DE ESGOTO SANITÁRIO. AF_08/2022</t>
  </si>
  <si>
    <t>RALO SIFONADO, PVC, DN 100 X 40 MM, JUNTA SOLDÁVEL, FORNECIDO E INSTALADO EM RAMAL DE DESCARGA OU EM RAMAL DE ESGOTO SANITÁRIO. AF_08/2022</t>
  </si>
  <si>
    <t>RALO SECO, PVC, DN 100 X 40 MM, JUNTA SOLDÁVEL, FORNECIDO E INSTALADO EM RAMAL DE DESCARGA OU EM RAMAL DE ESGOTO SANITÁRIO. AF_08/2022</t>
  </si>
  <si>
    <t>104326</t>
  </si>
  <si>
    <t>RALO SECO CÔNICO, PVC, DN 100 X 40 MM, JUNTA SOLDÁVEL, FORNECIDO E INSTALADO EM RAMAL DE DESCARGA OU EM RAMAL DE ESGOTO SANITÁRIO. AF_08/2022</t>
  </si>
  <si>
    <t>104327</t>
  </si>
  <si>
    <t>RALO SIFONADO REDONDO, PVC, DN 100 X 40 MM, JUNTA SOLDÁVEL, FORNECIDO E INSTALADO EM RAMAL DE DESCARGA OU EM RAMAL DE ESGOTO SANITÁRIO. AF_08/2022</t>
  </si>
  <si>
    <t>104328</t>
  </si>
  <si>
    <t>CAIXA SIFONADA, COM GRELHA QUADRADA, PVC, DN 150 X 150 X 50 MM, JUNTA SOLDÁVEL, FORNECIDA E INSTALADA EM RAMAL DE DESCARGA OU EM RAMAL DE ESGOTO SANITÁRIO. AF_08/2022</t>
  </si>
  <si>
    <t>104329</t>
  </si>
  <si>
    <t>CAIXA SIFONADA, COM GRELHA REDONDA, PVC, DN 150 X 150 X 50 MM, JUNTA SOLDÁVEL, FORNECIDA E INSTALADA EM RAMAL DE DESCARGA OU EM RAMAL DE ESGOTO SANITÁRIO. AF_08/2022</t>
  </si>
  <si>
    <t>49,09</t>
  </si>
  <si>
    <t>100853</t>
  </si>
  <si>
    <t>TORNEIRA CROMADA DE MESA PARA LAVATORIO, TIPO MONOCOMANDO. AF_01/2020</t>
  </si>
  <si>
    <t>TANQUE SÉPTICO CIRCULAR, EM CONCRETO PRÉ-MOLDADO, DIÂMETRO INTERNO = 1,10 M, ALTURA INTERNA = 2,50 M, VOLUME ÚTIL: 2138,2 L (PARA 5 CONTRIBUINTES). AF_12/2020_PA</t>
  </si>
  <si>
    <t>TANQUE SÉPTICO CIRCULAR, EM CONCRETO PRÉ-MOLDADO, DIÂMETRO INTERNO = 1,40 M, ALTURA INTERNA = 2,50 M, VOLUME ÚTIL: 3463,6 L (PARA 13 CONTRIBUINTES). AF_12/2020_PA</t>
  </si>
  <si>
    <t>TANQUE SÉPTICO CIRCULAR, EM CONCRETO PRÉ-MOLDADO, DIÂMETRO INTERNO = 1,88 M, ALTURA INTERNA = 2,50 M, VOLUME ÚTIL: 6245,8 L (PARA 32 CONTRIBUINTES). AF_12/2020_PA</t>
  </si>
  <si>
    <t>TANQUE SÉPTICO CIRCULAR, EM CONCRETO PRÉ-MOLDADO, DIÂMETRO INTERNO = 2,38 M, ALTURA INTERNA = 2,50 M, VOLUME ÚTIL: 10009,8 L (PARA 69 CONTRIBUINTES). AF_12/2020_PA</t>
  </si>
  <si>
    <t>TANQUE SÉPTICO CIRCULAR, EM CONCRETO PRÉ-MOLDADO, DIÂMETRO INTERNO = 2,38 M, ALTURA INTERNA = 3,0 M, VOLUME ÚTIL: 12234,2 L (PARA 86 CONTRIBUINTES). AF_12/2020_PA</t>
  </si>
  <si>
    <t>TANQUE SÉPTICO CIRCULAR, EM CONCRETO PRÉ-MOLDADO, DIÂMETRO INTERNO = 2,88 M, ALTURA INTERNA = 2,50 M, VOLUME ÚTIL: 14657,4 L (PARA 105 CONTRIBUINTES). AF_12/2020_PA</t>
  </si>
  <si>
    <t>FILTRO ANAERÓBIO CIRCULAR, EM CONCRETO PRÉ-MOLDADO, DIÂMETRO INTERNO = 1,10 M, ALTURA INTERNA = 1,50 M, VOLUME ÚTIL: 1140,4 L (PARA 5 CONTRIBUINTES). AF_12/2020_PA</t>
  </si>
  <si>
    <t>FILTRO ANAERÓBIO CIRCULAR, EM CONCRETO PRÉ-MOLDADO, DIÂMETRO INTERNO = 1,88 M, ALTURA INTERNA = 1,50 M, VOLUME ÚTIL: 3331,1 L (PARA 19 CONTRIBUINTES). AF_12/2020_PA</t>
  </si>
  <si>
    <t>FILTRO ANAERÓBIO CIRCULAR, EM CONCRETO PRÉ-MOLDADO, DIÂMETRO INTERNO = 2,38 M, ALTURA INTERNA = 1,50 M, VOLUME ÚTIL: 5338,6 L (PARA 34 CONTRIBUINTES). AF_12/2020_PA</t>
  </si>
  <si>
    <t>FILTRO ANAERÓBIO CIRCULAR, EM CONCRETO PRÉ-MOLDADO, DIÂMETRO INTERNO = 2,88 M, ALTURA INTERNA = 1,50 M, VOLUME ÚTIL: 7817,3 L (PARA 75 CONTRIBUINTES). AF_12/2020_PA</t>
  </si>
  <si>
    <t>SUMIDOURO CIRCULAR, EM CONCRETO PRÉ-MOLDADO, DIÂMETRO INTERNO = 1,88 M, ALTURA INTERNA = 2,00 M, ÁREA DE INFILTRAÇÃO: 13,1 M² (PARA 5 CONTRIBUINTES). AF_12/2020_PA</t>
  </si>
  <si>
    <t>SUMIDOURO CIRCULAR, EM CONCRETO PRÉ-MOLDADO, DIÂMETRO INTERNO = 2,38 M, ALTURA INTERNA = 2,50 M, ÁREA DE INFILTRAÇÃO: 21,3 M² (PARA 8 CONTRIBUINTES). AF_12/2020_PA</t>
  </si>
  <si>
    <t>SUMIDOURO CIRCULAR, EM CONCRETO PRÉ-MOLDADO, DIÂMETRO INTERNO = 2,38 M, ALTURA INTERNA = 3,0 M, ÁREA DE INFILTRAÇÃO: 25 M² (PARA 10 CONTRIBUINTES). AF_12/2020_PA</t>
  </si>
  <si>
    <t>SUMIDOURO CIRCULAR, EM CONCRETO PRÉ-MOLDADO, DIÂMETRO INTERNO = 2,88 M, ALTURA INTERNA = 3,0 M, ÁREA DE INFILTRAÇÃO: 31,4 M² (PARA 12 CONTRIBUINTES). AF_12/2020_PA</t>
  </si>
  <si>
    <t>TANQUE SÉPTICO RETANGULAR, EM ALVENARIA COM TIJOLOS CERÂMICOS MACIÇOS, DIMENSÕES INTERNAS: 1,0 X 2,0 X H=1,4 M, VOLUME ÚTIL: 2000 L (PARA 5 CONTRIBUINTES). AF_12/2020</t>
  </si>
  <si>
    <t>TANQUE SÉPTICO RETANGULAR, EM ALVENARIA COM TIJOLOS CERÂMICOS MACIÇOS, DIMENSÕES INTERNAS: 1,2 X 2,4 X H=1,6 M, VOLUME ÚTIL: 3456 L (PARA 13 CONTRIBUINTES). AF_12/2020</t>
  </si>
  <si>
    <t>TANQUE SÉPTICO RETANGULAR, EM ALVENARIA COM TIJOLOS CERÂMICOS MACIÇOS, DIMENSÕES INTERNAS: 1,4 X 3,2 X H=1,8 M, VOLUME ÚTIL: 6272 L (PARA 32 CONTRIBUINTES). AF_12/2020</t>
  </si>
  <si>
    <t>TANQUE SÉPTICO RETANGULAR, EM ALVENARIA COM TIJOLOS CERÂMICOS MACIÇOS, DIMENSÕES INTERNAS: 1,6 X 4,4 X H=1,8 M, VOLUME ÚTIL: 9856 L (PARA 68 CONTRIBUINTES). AF_12/2020</t>
  </si>
  <si>
    <t>TANQUE SÉPTICO RETANGULAR, EM ALVENARIA COM TIJOLOS CERÂMICOS MACIÇOS, DIMENSÕES INTERNAS: 1,6 X 4,8 X H=2,0 M, VOLUME ÚTIL: 12288 L (PARA 86 CONTRIBUINTES). AF_12/2020</t>
  </si>
  <si>
    <t>TANQUE SÉPTICO RETANGULAR, EM ALVENARIA COM TIJOLOS CERÂMICOS MACIÇOS, DIMENSÕES INTERNAS: 1,6 X 4,6 X H=2,4 M, VOLUME ÚTIL: 14720 L (PARA 105 CONTRIBUINTES). AF_12/2020</t>
  </si>
  <si>
    <t>FILTRO ANAERÓBIO RETANGULAR, EM ALVENARIA COM TIJOLOS CERÂMICOS MACIÇOS, DIMENSÕES INTERNAS: 0,8 X 1,2 X H=1,67 M, VOLUME ÚTIL: 1152 L (PARA 5 CONTRIBUINTES). AF_12/2020</t>
  </si>
  <si>
    <t>FILTRO ANAERÓBIO RETANGULAR, EM ALVENARIA COM TIJOLOS CERÂMICOS MACIÇOS, DIMENSÕES INTERNAS: 1,2 X 1,8 X H=1,67 M, VOLUME ÚTIL: 2592 L (PARA 13 CONTRIBUINTES). AF_12/2020</t>
  </si>
  <si>
    <t>FILTRO ANAERÓBIO RETANGULAR, EM ALVENARIA COM TIJOLOS CERÂMICOS MACIÇOS, DIMENSÕES INTERNAS: 1,4 X 3,0 X H=1,67 M, VOLUME ÚTIL: 5040 L (PARA 32 CONTRIBUINTES). AF_12/2020</t>
  </si>
  <si>
    <t>FILTRO ANAERÓBIO RETANGULAR, EM ALVENARIA COM TIJOLOS CERÂMICOS MACIÇOS, DIMENSÕES INTERNAS: 1,4 X 4,2 X H=1,67 M, VOLUME ÚTIL: 7056 L (PARA 67 CONTRIBUINTES). AF_12/2020</t>
  </si>
  <si>
    <t>FILTRO ANAERÓBIO RETANGULAR, EM ALVENARIA COM TIJOLOS CERÂMICOS MACIÇOS, DIMENSÕES INTERNAS: 1,6 X 4,6 X H=1,67 M, VOLUME ÚTIL: 8832 L (PARA 84 CONTRIBUINTES). AF_12/2020</t>
  </si>
  <si>
    <t>FILTRO ANAERÓBIO RETANGULAR, EM ALVENARIA COM TIJOLOS CERÂMICOS MACIÇOS, DIMENSÕES INTERNAS: 1,6 X 5,6 X H=1,67 M, VOLUME ÚTIL: 10752 L (PARA 103 CONTRIBUINTES). AF_12/2020</t>
  </si>
  <si>
    <t>SUMIDOURO RETANGULAR, EM ALVENARIA COM TIJOLOS CERÂMICOS MACIÇOS, DIMENSÕES INTERNAS: 0,8 X 1,4 X H=3,0 M, ÁREA DE INFILTRAÇÃO: 13,2 M² (PARA 5 CONTRIBUINTES). AF_12/2020</t>
  </si>
  <si>
    <t>SUMIDOURO RETANGULAR, EM ALVENARIA COM TIJOLOS CERÂMICOS MACIÇOS, DIMENSÕES INTERNAS: 1,0 X 3,0 X H=3,0 M, ÁREA DE INFILTRAÇÃO: 25 M² (PARA 10 CONTRIBUINTES). AF_12/2020</t>
  </si>
  <si>
    <t>SUMIDOURO RETANGULAR, EM ALVENARIA COM TIJOLOS CERÂMICOS MACIÇOS, DIMENSÕES INTERNAS: 1,6 X 3,4 X H=3,0 M, ÁREA DE INFILTRAÇÃO: 32,9 M² (PARA 13 CONTRIBUINTES). AF_12/2020</t>
  </si>
  <si>
    <t>SUMIDOURO RETANGULAR, EM ALVENARIA COM TIJOLOS CERÂMICOS MACIÇOS, DIMENSÕES INTERNAS: 1,6 X 5,8 X H=3,0 M, ÁREA DE INFILTRAÇÃO: 50 M² (PARA 20 CONTRIBUINTES). AF_12/2020</t>
  </si>
  <si>
    <t>TANQUE SÉPTICO RETANGULAR, EM ALVENARIA COM BLOCOS DE CONCRETO, DIMENSÕES INTERNAS: 1,0 X 2,0 X H=1,4 M, VOLUME ÚTIL: 2000 L (PARA 5 CONTRIBUINTES). AF_12/2020</t>
  </si>
  <si>
    <t>TANQUE SÉPTICO RETANGULAR, EM ALVENARIA COM BLOCOS DE CONCRETO, DIMENSÕES INTERNAS: 1,2 X 2,4 X H=1,6 M, VOLUME ÚTIL: 3456 L (PARA 13 CONTRIBUINTES). AF_12/2020</t>
  </si>
  <si>
    <t>TANQUE SÉPTICO RETANGULAR, EM ALVENARIA COM BLOCOS DE CONCRETO, DIMENSÕES INTERNAS: 1,4 X 3,2 X H=1,8 M, VOLUME ÚTIL: 6272 L (PARA 32 CONTRIBUINTES). AF_12/2020</t>
  </si>
  <si>
    <t>TANQUE SÉPTICO RETANGULAR, EM ALVENARIA COM BLOCOS DE CONCRETO, DIMENSÕES INTERNAS: 1,6 X 4,4 X H=1,8 M, VOLUME ÚTIL: 9856 L (PARA 68 CONTRIBUINTES). AF_12/2020</t>
  </si>
  <si>
    <t>TANQUE SÉPTICO RETANGULAR, EM ALVENARIA COM BLOCOS DE CONCRETO, DIMENSÕES INTERNAS: 1,6 X 4,8 X H=2,0 M, VOLUME ÚTIL: 12288 L (PARA 86 CONTRIBUINTES). AF_12/2020</t>
  </si>
  <si>
    <t>TANQUE SÉPTICO RETANGULAR, EM ALVENARIA COM BLOCOS DE CONCRETO, DIMENSÕES INTERNAS: 1,6 X 4,6 X H=2,4 M, VOLUME ÚTIL: 14720 L (PARA 105 CONTRIBUINTES). AF_12/2020</t>
  </si>
  <si>
    <t>FILTRO ANAERÓBIO RETANGULAR, EM ALVENARIA COM BLOCOS DE CONCRETO, DIMENSÕES INTERNAS: 0,8 X 1,2 X H=1,67 M, VOLUME ÚTIL: 1152 L (PARA 5 CONTRIBUINTES). AF_12/2020</t>
  </si>
  <si>
    <t>FILTRO ANAERÓBIO RETANGULAR, EM ALVENARIA COM BLOCOS DE CONCRETO, DIMENSÕES INTERNAS: 1,2 X 1,8 X H=1,67 M, VOLUME ÚTIL: 2592 L (PARA 13 CONTRIBUINTES). AF_12/2020</t>
  </si>
  <si>
    <t>FILTRO ANAERÓBIO RETANGULAR, EM ALVENARIA COM BLOCOS DE CONCRETO, DIMENSÕES INTERNAS: 1,4 X 3,0 X H=1,67 M, VOLUME ÚTIL: 5040 L (PARA 32 CONTRIBUINTES). AF_12/2020</t>
  </si>
  <si>
    <t>FILTRO ANAERÓBIO RETANGULAR, EM ALVENARIA COM BLOCOS DE CONCRETO, DIMENSÕES INTERNAS: 1,4 X 4,2 X H=1,67 M, VOLUME ÚTIL: 7056 L (PARA 67 CONTRIBUINTES). AF_12/2020</t>
  </si>
  <si>
    <t>FILTRO ANAERÓBIO RETANGULAR, EM ALVENARIA COM BLOCOS DE CONCRETO, DIMENSÕES INTERNAS: 1,6 X 4,6 X H=1,67 M, VOLUME ÚTIL: 8832 L (PARA 84 CONTRIBUINTES). AF_12/2020</t>
  </si>
  <si>
    <t>FILTRO ANAERÓBIO RETANGULAR, EM ALVENARIA COM BLOCOS DE CONCRETO, DIMENSÕES INTERNAS: 1,6 X 5,6 X H=1,67 M, VOLUME ÚTIL: 10752 L (PARA 103 CONTRIBUINTES). AF_12/2020</t>
  </si>
  <si>
    <t>SUMIDOURO RETANGULAR, EM ALVENARIA COM BLOCOS DE CONCRETO, DIMENSÕES INTERNAS: 0,8 X 1,4 X H=3,0 M, ÁREA DE INFILTRAÇÃO: 13,2 M² (PARA 5 CONTRIBUINTES). AF_12/2020</t>
  </si>
  <si>
    <t>SUMIDOURO RETANGULAR, EM ALVENARIA COM BLOCOS DE CONCRETO, DIMENSÕES INTERNAS: 1,0 X 3,0 X H=3,0 M, ÁREA DE INFILTRAÇÃO: 25 M² (PARA 10 CONTRIBUINTES). AF_12/2020</t>
  </si>
  <si>
    <t>SUMIDOURO RETANGULAR, EM ALVENARIA COM BLOCOS DE CONCRETO, DIMENSÕES INTERNAS: 1,6 X 3,4 X H=3,0 M, ÁREA DE INFILTRAÇÃO: 32,9 M² (PARA 13 CONTRIBUINTES). . AF_12/2020</t>
  </si>
  <si>
    <t>SUMIDOURO RETANGULAR, EM ALVENARIA COM BLOCOS DE CONCRETO, DIMENSÕES INTERNAS: 1,6 X 5,8 X H=3,0 M, ÁREA DE INFILTRAÇÃO: 50 M² (PARA 20 CONTRIBUINTES). . AF_12/2020</t>
  </si>
  <si>
    <t>TAMPA CIRCULAR PARA ESGOTO E DRENAGEM, EM CONCRETO PRÉ-MOLDADO, DIÂMETRO INTERNO = 0,60 M E ALTURA = 0,10 M. AF_12/2020</t>
  </si>
  <si>
    <t>58,70</t>
  </si>
  <si>
    <t>174,16</t>
  </si>
  <si>
    <t>95648</t>
  </si>
  <si>
    <t>95649</t>
  </si>
  <si>
    <t>95650</t>
  </si>
  <si>
    <t>95651</t>
  </si>
  <si>
    <t>95652</t>
  </si>
  <si>
    <t>95653</t>
  </si>
  <si>
    <t>95654</t>
  </si>
  <si>
    <t>95655</t>
  </si>
  <si>
    <t>95657</t>
  </si>
  <si>
    <t>95658</t>
  </si>
  <si>
    <t>95659</t>
  </si>
  <si>
    <t>95660</t>
  </si>
  <si>
    <t>95661</t>
  </si>
  <si>
    <t>95662</t>
  </si>
  <si>
    <t>95663</t>
  </si>
  <si>
    <t>95664</t>
  </si>
  <si>
    <t>95665</t>
  </si>
  <si>
    <t>95666</t>
  </si>
  <si>
    <t>95667</t>
  </si>
  <si>
    <t>95668</t>
  </si>
  <si>
    <t>95669</t>
  </si>
  <si>
    <t>95670</t>
  </si>
  <si>
    <t>95671</t>
  </si>
  <si>
    <t>95672</t>
  </si>
  <si>
    <t>19,77</t>
  </si>
  <si>
    <t>100128</t>
  </si>
  <si>
    <t>TIL (TUBO DE INSPEÇÃO E LIMPEZA) RADIAL PARA ESGOTO, EM PVC, DN 300X200 MM. AF_12/2020</t>
  </si>
  <si>
    <t>103517</t>
  </si>
  <si>
    <t>AQUECEDOR SOLAR COMPACTO, KIT PARA 1 COLETOR SOLAR EM VIDRO TEMPERADO E SERPENTINA EM TUBO DE COBRE COM SUPORTE, RESERVATÓRIO, FIXAÇÕES E TUBOS - FORNECIMENTO E INSTALAÇÃO. AF_12/2021</t>
  </si>
  <si>
    <t>103519</t>
  </si>
  <si>
    <t>BLOCO CONCRETADO NO LOCAL, 20X20X15CM, PARA BASE DE FIXAÇÃO DA ESTRUTURA SOLAR PARA LAJE DE CONCRETO - FORNECIMENTO E INSTALAÇÃO. AF_12/2021</t>
  </si>
  <si>
    <t>103520</t>
  </si>
  <si>
    <t>RESERVATÓRIO TÉRMICO/BOILER SOLAR EM AÇO INOX 400 L COM 2 PLACAS COLETORAS EM VIDRO TEMPERADO COM SERPENTINA EM TUBO DE COBRE 2 X 1 M - FORNECIMENTO E INSTALAÇÃO. AF_12/2021</t>
  </si>
  <si>
    <t>103521</t>
  </si>
  <si>
    <t>RESERVATÓRIO TÉRMICO/BOILER SOLAR EM AÇO INOX 600 L COM 3 PLACAS COLETORAS EM VIDRO TEMPERADO COM SERPENTINA EM TUBO DE COBRE 2 X 1 M - FORNECIMENTO E INSTALAÇÃO. AF_12/2021</t>
  </si>
  <si>
    <t>103522</t>
  </si>
  <si>
    <t>RESERVATÓRIO TÉRMICO/BOILER SOLAR EM AÇO INOX 800 L COM 4 PLACAS COLETORAS EM VIDRO TEMPERADO COM SERPENTINA EM TUBO DE COBRE 2 X 1 M - FORNECIMENTO E INSTALAÇÃO. AF_12/2021</t>
  </si>
  <si>
    <t>103523</t>
  </si>
  <si>
    <t>RESERVATÓRIO TÉRMICO/BOILER SOLAR EM AÇO INOX 1000 L COM 5 PLACAS COLETORAS EM VIDRO TEMPERADO COM SERPENTINA EM TUBO DE COBRE 2 X 1 M - FORNECIMENTO E INSTALAÇÃO. AF_12/2021</t>
  </si>
  <si>
    <t>104031</t>
  </si>
  <si>
    <t>COLAR DE TOMADA, PVC, COM TRAVAS, DE 60 MM X 1/2" OU 60 MM X 3/4", PARA LIGAÇÃO PREDIAL DE ÁGUA. AF_06/2022</t>
  </si>
  <si>
    <t>104032</t>
  </si>
  <si>
    <t>COLAR DE TOMADA, PVC, COM TRAVAS, DE 75 MM X 1/2" OU 75 MM X 3/4", PARA LIGAÇÃO PREDIAL DE ÁGUA. AF_06/2022</t>
  </si>
  <si>
    <t>104033</t>
  </si>
  <si>
    <t>COLAR DE TOMADA, PVC, COM TRAVAS, DE 85 MM X 1/2" OU 85 MM X 3/4", PARA LIGAÇÃO PREDIAL DE ÁGUA. AF_06/2022</t>
  </si>
  <si>
    <t>104034</t>
  </si>
  <si>
    <t>COLAR DE TOMADA, PVC, COM TRAVAS, DE 110 MM X 1/2" OU 110 MM X 3/4", PARA LIGAÇÃO PREDIAL DE ÁGUA. AF_06/2022</t>
  </si>
  <si>
    <t>104035</t>
  </si>
  <si>
    <t>COLAR DE TOMADA, POLIPROPILENO, COM PARAFUSOS, 63 MM X 1/2", PARA LIGAÇÃO PREDIAL DE ÁGUA. AF_06/2022</t>
  </si>
  <si>
    <t>104036</t>
  </si>
  <si>
    <t>COLAR DE TOMADA, POLIPROPILENO, COM PARAFUSOS, 63 MM X 3/4", PARA LIGAÇÃO PREDIAL DE ÁGUA. AF_06/2022</t>
  </si>
  <si>
    <t>104039</t>
  </si>
  <si>
    <t>TÊ DE SERVIÇO INTEGRADO, POLIPROPILENO, PARA TUBOS EM PEAD, 63 MM X 20 MM, PARA LIGAÇÃO PREDIAL DE ÁGUA. AF_06/2022</t>
  </si>
  <si>
    <t>104043</t>
  </si>
  <si>
    <t>ADAPTADOR, POLIPROPILENO, PARA TUBOS EM PEAD, 20 MM X 1/2", PARA LIGAÇÃO PREDIAL DE ÁGUA. AF_06/2022</t>
  </si>
  <si>
    <t>104044</t>
  </si>
  <si>
    <t>ADAPTADOR, POLIPROPILENO, PARA TUBOS EM PEAD, 20 MM X 3/4", PARA LIGAÇÃO PREDIAL DE ÁGUA. AF_06/2022</t>
  </si>
  <si>
    <t>104045</t>
  </si>
  <si>
    <t>ADAPTADOR, POLIPROPILENO, PARA TUBOS EM PEAD, 32 MM X 1", PARA LIGAÇÃO PREDIAL DE ÁGUA. AF_06/2022</t>
  </si>
  <si>
    <t>104046</t>
  </si>
  <si>
    <t>COTOVELO/JOELHO COM ADAPTADOR, POLIPROPILENO, PARA TUBOS EM PEAD, 20 MM X 1/2", PARA LIGAÇÃO PREDIAL DE ÁGUA. AF_06/2022</t>
  </si>
  <si>
    <t>104047</t>
  </si>
  <si>
    <t>COTOVELO/JOELHO COM ADAPTADOR, POLIPROPILENO, PARA TUBOS EM PEAD, 20 MM X 3/4", PARA LIGAÇÃO PREDIAL DE ÁGUA. AF_06/2022</t>
  </si>
  <si>
    <t>104048</t>
  </si>
  <si>
    <t>COTOVELO/JOELHO COM ADAPTADOR, POLIPROPILENO, PARA TUBOS EM PEAD, 32 MM X 1", PARA LIGAÇÃO PREDIAL DE ÁGUA. AF_06/2022</t>
  </si>
  <si>
    <t>104049</t>
  </si>
  <si>
    <t>ADAPTADOR, PVC, CURTO COM BOLSA E ROSCA, 20 MM X 1/2", PARA LIGAÇÃO PREDIAL DE ÁGUA. AF_06/2022</t>
  </si>
  <si>
    <t>104050</t>
  </si>
  <si>
    <t>ADAPTADOR, PVC, CURTO COM BOLSA E ROSCA, 32 MM X 1", PARA LIGAÇÃO PREDIAL DE ÁGUA. AF_06/2022</t>
  </si>
  <si>
    <t>104051</t>
  </si>
  <si>
    <t>COTOVELO/JOELHO 90°, POLIPROPILENO, PARA TUBOS EM PEAD, 20 X 20 MM, PARA LIGAÇÃO PREDIAL DE ÁGUA. AF_06/2022</t>
  </si>
  <si>
    <t>104052</t>
  </si>
  <si>
    <t>COTOVELO/JOELHO 90°, POLIPROPILENO, PARA TUBOS EM PEAD, 32 X 32 MM, PARA LIGAÇÃO PREDIAL DE ÁGUA. AF_06/2022</t>
  </si>
  <si>
    <t>104053</t>
  </si>
  <si>
    <t>UNIÃO, POLIPROPILENO, PARA TUBOS EM PEAD, 20 MM, PARA LIGAÇÃO PREDIAL DE ÁGUA. AF_06/2022</t>
  </si>
  <si>
    <t>104054</t>
  </si>
  <si>
    <t>UNIÃO, POLIPROPILENO, PARA TUBOS EM PEAD, 32 MM, PARA LIGAÇÃO PREDIAL DE ÁGUA. AF_06/2022</t>
  </si>
  <si>
    <t>104055</t>
  </si>
  <si>
    <t>REGISTRO ESFERA, PVC, DE PASSEIO, PARA POLIETILENO, 20 MM, PARA LIGAÇÃO PREDIAL DE ÁGUA. AF_06/2022</t>
  </si>
  <si>
    <t>104056</t>
  </si>
  <si>
    <t>REGISTRO ESFERA, PVC, COM ROSCA, 1/2", PARA LIGAÇÃO PREDIAL DE ÁGUA. AF_06/2022</t>
  </si>
  <si>
    <t>104058</t>
  </si>
  <si>
    <t>LUVA, PVC, ROSCÁVEL, 1/2", PARA LIGAÇÃO PREDIAL DE ÁGUA. AF_06/2022</t>
  </si>
  <si>
    <t>104059</t>
  </si>
  <si>
    <t>LUVA, PVC, ROSCÁVEL, 1", PARA LIGAÇÃO PREDIAL DE ÁGUA. AF_06/2022</t>
  </si>
  <si>
    <t>104060</t>
  </si>
  <si>
    <t>TUBO, PEAD, PE-80, DE = 20 MM X 2,3 MM, PARA LIGAÇÃO PREDIAL DE ÁGUA. AF_06/2022</t>
  </si>
  <si>
    <t>104061</t>
  </si>
  <si>
    <t>TUBO, PEAD, PE-80, DE = 32 MM X 3,0 MM, PARA LIGAÇÃO PREDIAL DE ÁGUA. AF_06/2022</t>
  </si>
  <si>
    <t>104062</t>
  </si>
  <si>
    <t>CURVA LONGA, 90 GRAUS, PVC OCRE, JUNTA ELÁSTICA, DN 100 MM, PARA COLETOR PREDIAL DE ESGOTO. AF_06/2022</t>
  </si>
  <si>
    <t>104063</t>
  </si>
  <si>
    <t>CURVA LONGA, 45 GRAUS, PVC OCRE, JUNTA ELÁSTICA, DN 100 MM, PARA COLETOR PREDIAL DE ESGOTO. AF_06/2022</t>
  </si>
  <si>
    <t>104064</t>
  </si>
  <si>
    <t>CURVA LONGA, 90 GRAUS, PVC OCRE, JUNTA ELÁSTICA, DN 150 MM, PARA COLETOR PREDIAL DE ESGOTO. AF_06/2022</t>
  </si>
  <si>
    <t>104065</t>
  </si>
  <si>
    <t>CURVA LONGA, 45 GRAUS, PVC OCRE, JUNTA ELÁSTICA, DN 150 MM, PARA COLETOR PREDIAL DE ESGOTO. AF_06/2022</t>
  </si>
  <si>
    <t>104072</t>
  </si>
  <si>
    <t>TÊ, PVC OCRE, JUNTA ELÁSTICA, DN 200 MM, PARA COLETOR PREDIAL DE ESGOTO. AF_06/2022</t>
  </si>
  <si>
    <t>104076</t>
  </si>
  <si>
    <t>SELIM, PVC OCRE, COM TRAVA, DN 125 X 100 MM OU 150 X 100 MM, PARA COLETOR PREDIAL DE ESGOTO. AF_06/2022</t>
  </si>
  <si>
    <t>104082</t>
  </si>
  <si>
    <t>PLUG, PVC OCRE, JUNTA ELÁSTICA, DN 100 MM, PARA COLETOR PREDIAL DE ESGOTO. AF_06/2022</t>
  </si>
  <si>
    <t>42,39</t>
  </si>
  <si>
    <t>104083</t>
  </si>
  <si>
    <t>PLUG, PVC OCRE, JUNTA ELÁSTICA, DN 150 MM, PARA COLETOR PREDIAL DE ESGOTO. AF_06/2022</t>
  </si>
  <si>
    <t>104084</t>
  </si>
  <si>
    <t>CAP, PVC OCRE, JUNTA ELÁSTICA, DN 150 MM, PARA COLETOR PREDIAL DE ESGOTO. AF_06/2022</t>
  </si>
  <si>
    <t>104085</t>
  </si>
  <si>
    <t>TUBO, PVC OCRE, JUNTA ELÁSTICA, DN 100 MM, PARA COLETOR PREDIAL DE ESGOTO. AF_06/2022</t>
  </si>
  <si>
    <t>104086</t>
  </si>
  <si>
    <t>TUBO, PVC OCRE, JUNTA ELÁSTICA, DN 150 MM, PARA COLETOR PREDIAL DE ESGOTO. AF_06/2022</t>
  </si>
  <si>
    <t>ESCAVAÇÃO VERTICAL PARA  EDIFICAÇÃO, COM CARGA, DESCARGA E TRANSPORTE DE SOLO DE 1ª CATEGORIA, COM ESCAVADEIRA HIDRÁULICA (CAÇAMBA: 0,8 M³ / 111 HP), FROTA DE 3 CAMINHÕES BASCULANTES DE 14 M³, DMT ATÉ 1 KM E VELOCIDADE MÉDIA 14 KM/H. AF_05/2020</t>
  </si>
  <si>
    <t>ESCAVAÇÃO VERTICAL PARA EDIFICAÇÃO, COM CARGA, DESCARGA E TRANSPORTE DE SOLO DE 1ª CATEGORIA, COM ESCAVADEIRA HIDRÁULICA (CAÇAMBA: 0,8 M³ / 111 HP), FROTA DE 2 CAMINHÕES BASCULANTES DE 18 M³, DMT ATÉ 1 KM E VELOCIDADE MÉDIA 14 KM/H. AF_05/2020</t>
  </si>
  <si>
    <t>ESCAVAÇÃO VERTICAL PARA  EDIFICAÇÃO, COM CARGA, DESCARGA E TRANSPORTE DE SOLO DE 1ª CATEGORIA, COM ESCAVADEIRA HIDRÁULICA (CAÇAMBA: 1,2 M³ / 155 HP), FROTA DE 3 CAMINHÕES BASCULANTES DE 14 M³, DMT ATÉ 1 KM E VELOCIDADE MÉDIA 14 KM/H. AF_05/2020</t>
  </si>
  <si>
    <t>ESCAVAÇÃO VERTICAL PARA  EDIFICAÇÃO, COM CARGA, DESCARGA E TRANSPORTE DE SOLO DE 1ª CATEGORIA, COM ESCAVADEIRA HIDRÁULICA (CAÇAMBA: 1,2 M³ / 155 HP), FROTA DE 3 CAMINHÕES BASCULANTES DE 18 M³, DMT ATÉ 1 KM E VELOCIDADE MÉDIA 14 KM/H. AF_05/2020</t>
  </si>
  <si>
    <t>ESCAVAÇÃO VERTICAL PARA  EDIFICAÇÃO, COM CARGA, DESCARGA E TRANSPORTE DE SOLO DE 1ª CATEGORIA, COM ESCAVADEIRA HIDRÁULICA (CAÇAMBA: 0,8 M³ / 111 HP), FROTA DE 4 CAMINHÕES BASCULANTES DE 14 M³, DMT DE 1,5 KM E VELOCIDADE MÉDIA 18 KM/H. AF_05/2020</t>
  </si>
  <si>
    <t>ESCAVAÇÃO VERTICAL PARA  EDIFICAÇÃO, COM CARGA, DESCARGA E TRANSPORTE DE SOLO DE 1ª CATEGORIA, COM ESCAVADEIRA HIDRÁULICA (CAÇAMBA: 0,8 M³ / 111 HP), FROTA DE 4 CAMINHÕES BASCULANTES DE 14 M³, DMT DE 2 KM E VELOCIDADE MÉDIA 19 KM/H. AF_05/2020</t>
  </si>
  <si>
    <t>ESCAVAÇÃO VERTICAL PARA  EDIFICAÇÃO, COM CARGA, DESCARGA E TRANSPORTE DE SOLO DE 1ª CATEGORIA, COM ESCAVADEIRA HIDRÁULICA (CAÇAMBA: 0,8 M³ / 111 HP), FROTA DE 5 CAMINHÕES BASCULANTES DE 14 M³, DMT DE 3 KM E VELOCIDADE MÉDIA 20 KM/H. AF_05/2020</t>
  </si>
  <si>
    <t>ESCAVAÇÃO VERTICAL PARA  EDIFICAÇÃO, COM CARGA, DESCARGA E TRANSPORTE DE SOLO DE 1ª CATEGORIA, COM ESCAVADEIRA HIDRÁULICA (CAÇAMBA: 0,8 M³ / 111 HP), FROTA DE 6 CAMINHÕES BASCULANTES DE 14 M³, DMT DE 4 KM E VELOCIDADE MÉDIA 22 KM/H. AF_05/2020</t>
  </si>
  <si>
    <t>ESCAVAÇÃO VERTICAL PARA  EDIFICAÇÃO, COM CARGA, DESCARGA E TRANSPORTE DE SOLO DE 1ª CATEGORIA, COM ESCAVADEIRA HIDRÁULICA (CAÇAMBA: 0,8 M³ / 111 HP), FROTA DE 7 CAMINHÕES BASCULANTES DE 14 M³, DMT DE 6 KM E VELOCIDADE MÉDIA 22 KM/H. AF_05/2020</t>
  </si>
  <si>
    <t>ESCAVAÇÃO VERTICAL PARA  EDIFICAÇÃO, COM CARGA, DESCARGA E TRANSPORTE DE SOLO DE 1ª CATEGORIA, COM ESCAVADEIRA HIDRÁULICA (CAÇAMBA: 0,8 M³ / 111 HP), FROTA DE 4 CAMINHÕES BASCULANTES DE 18 M³, DMT DE 1,5 KM E VELOCIDADE MÉDIA 18 KM/H. AF_05/2020</t>
  </si>
  <si>
    <t>ESCAVAÇÃO VERTICAL PARA  EDIFICAÇÃO, COM CARGA, DESCARGA E TRANSPORTE DE SOLO DE 1ª CATEGORIA, COM ESCAVADEIRA HIDRÁULICA (CAÇAMBA: 0,8 M³ / 111 HP), FROTA DE 4 CAMINHÕES BASCULANTES DE 18 M³, DMT DE 2 KM E VELOCIDADE MÉDIA 19 KM/H. AF_05/2020</t>
  </si>
  <si>
    <t>16,35</t>
  </si>
  <si>
    <t>ESCAVAÇÃO VERTICAL PARA  EDIFICAÇÃO, COM CARGA, DESCARGA E TRANSPORTE DE SOLO DE 1ª CATEGORIA, COM ESCAVADEIRA HIDRÁULICA (CAÇAMBA: 0,8 M³ / 111 HP), FROTA DE 5 CAMINHÕES BASCULANTES DE 18 M³, DMT DE 3 KM E VELOCIDADE MÉDIA 20 KM/H. AF_05/2020</t>
  </si>
  <si>
    <t>ESCAVAÇÃO VERTICAL PARA  EDIFICAÇÃO, COM CARGA, DESCARGA E TRANSPORTE DE SOLO DE 1ª CATEGORIA, COM ESCAVADEIRA HIDRÁULICA (CAÇAMBA: 0,8 M³ / 111 HP), FROTA DE 5 CAMINHÕES BASCULANTES DE 18 M³, DMT DE 4 KM E VELOCIDADE MÉDIA 22 KM/H. AF_05/2020</t>
  </si>
  <si>
    <t>ESCAVAÇÃO VERTICAL PARA  EDIFICAÇÃO, COM CARGA, DESCARGA E TRANSPORTE DE SOLO DE 1ª CATEGORIA, COM ESCAVADEIRA HIDRÁULICA (CAÇAMBA: 0,8 M³ / 111 HP), FROTA DE 6 CAMINHÕES BASCULANTES DE 18 M³, DMT DE 6 KM E VELOCIDADE MÉDIA 22 KM/H. AF_05/2020</t>
  </si>
  <si>
    <t>ESCAVAÇÃO VERTICAL PARA  EDIFICAÇÃO, COM CARGA, DESCARGA E TRANSPORTE DE SOLO DE 1ª CATEGORIA, COM ESCAVADEIRA HIDRÁULICA (CAÇAMBA: 1,2 M³ / 155 HP), FROTA DE 5 CAMINHÕES BASCULANTES DE 14 M³, DMT DE 1,5 KM E VELOCIDADE MÉDIA 18 KM/H. AF_05/2020</t>
  </si>
  <si>
    <t>ESCAVAÇÃO VERTICAL PARA  EDIFICAÇÃO, COM CARGA, DESCARGA E TRANSPORTE DE SOLO DE 1ª CATEGORIA, COM ESCAVADEIRA HIDRÁULICA (CAÇAMBA: 1,2 M³ / 155 HP), FROTA DE 5 CAMINHÕES BASCULANTES DE 14 M³, DMT DE 2 KM E VELOCIDADE MÉDIA 19 KM/H. AF_05/2020</t>
  </si>
  <si>
    <t>ESCAVAÇÃO VERTICAL PARA  EDIFICAÇÃO, COM CARGA, DESCARGA E TRANSPORTE DE SOLO DE 1ª CATEGORIA, COM ESCAVADEIRA HIDRÁULICA (CAÇAMBA: 1,2 M³ / 155 HP), FROTA DE 6 CAMINHÕES BASCULANTES DE 14 M³, DMT DE 3 KM E VELOCIDADE MÉDIA 20 KM/H. AF_05/2020</t>
  </si>
  <si>
    <t>ESCAVAÇÃO VERTICAL PARA  EDIFICAÇÃO, COM CARGA, DESCARGA E TRANSPORTE DE SOLO DE 1ª CATEGORIA, COM ESCAVADEIRA HIDRÁULICA (CAÇAMBA: 1,2 M³ / 155 HP), FROTA DE 7 CAMINHÕES BASCULANTES DE 14 M³, DMT DE 4 KM E VELOCIDADE MÉDIA 22 KM/H. AF_05/2020</t>
  </si>
  <si>
    <t>ESCAVAÇÃO VERTICAL PARA  EDIFICAÇÃO, COM CARGA, DESCARGA E TRANSPORTE DE SOLO DE 1ª CATEGORIA, COM ESCAVADEIRA HIDRÁULICA (CAÇAMBA: 1,2 M³ / 155 HP), FROTA DE 9 CAMINHÕES BASCULANTES DE 14 M³, DMT DE 6 KM E VELOCIDADE MÉDIA 22 KM/H. AF_05/2020</t>
  </si>
  <si>
    <t>ESCAVAÇÃO VERTICAL PARA  EDIFICAÇÃO, COM CARGA, DESCARGA E TRANSPORTE DE SOLO DE 1ª CATEGORIA, COM ESCAVADEIRA HIDRÁULICA (CAÇAMBA: 1,2 M³ / 155 HP), FROTA DE 5 CAMINHÕES BASCULANTES DE 18 M³, DMT DE 1,5 KM E VELOCIDADE MÉDIA 18 KM/H. AF_05/2020</t>
  </si>
  <si>
    <t>ESCAVAÇÃO VERTICAL PARA  EDIFICAÇÃO, COM CARGA, DESCARGA E TRANSPORTE DE SOLO DE 1ª CATEGORIA, COM ESCAVADEIRA HIDRÁULICA (CAÇAMBA: 1,2 M³ / 155 HP), FROTA DE 5 CAMINHÕES BASCULANTES DE 18 M³, DMT DE 2 KM E VELOCIDADE MÉDIA 19 KM/H. AF_05/2020</t>
  </si>
  <si>
    <t>14,80</t>
  </si>
  <si>
    <t>ESCAVAÇÃO VERTICAL PARA  EDIFICAÇÃO, COM CARGA, DESCARGA E TRANSPORTE DE SOLO DE 1ª CATEGORIA, COM ESCAVADEIRA HIDRÁULICA (CAÇAMBA: 1,2 M³ / 155 HP), FROTA DE 6 CAMINHÕES BASCULANTES DE 18 M³, DMT DE 3 KM E VELOCIDADE MÉDIA 20 KM/H. AF_05/2020</t>
  </si>
  <si>
    <t>ESCAVAÇÃO VERTICAL PARA  EDIFICAÇÃO, COM CARGA, DESCARGA E TRANSPORTE DE SOLO DE 1ª CATEGORIA, COM ESCAVADEIRA HIDRÁULICA (CAÇAMBA: 1,2 M³ / 155 HP), FROTA DE 6 CAMINHÕES BASCULANTES DE 18 M³, DMT DE 4 KM E VELOCIDADE MÉDIA 22 KM/H. AF_05/2020</t>
  </si>
  <si>
    <t>18,32</t>
  </si>
  <si>
    <t>ESCAVAÇÃO VERTICAL PARA  EDIFICAÇÃO, COM CARGA, DESCARGA E TRANSPORTE DE SOLO DE 1ª CATEGORIA, COM ESCAVADEIRA HIDRÁULICA (CAÇAMBA: 1,2 M³ / 155 HP), FROTA DE 8 CAMINHÕES BASCULANTES DE 18 M³, DMT DE 6 KM E VELOCIDADE MÉDIA 22 KM/H. AF_05/2020</t>
  </si>
  <si>
    <t>ESCAVAÇÃO VERTICAL PARA INFRAESTRUTURA, COM CARGA, DESCARGA E TRANSPORTE DE SOLO DE 1ª CATEGORIA, COM ESCAVADEIRA HIDRÁULICA (CAÇAMBA: 0,8 M³ / 111 HP), FROTA DE 3 CAMINHÕES BASCULANTES DE 14 M³, DMT ATÉ 1 KM E VELOCIDADE MÉDIA14 KM/H. AF_05/2020</t>
  </si>
  <si>
    <t>ESCAVAÇÃO VERTICAL PARA INFRAESTRUTURA, COM CARGA, DESCARGA E TRANSPORTE DE SOLO DE 1ª CATEGORIA, COM ESCAVADEIRA HIDRÁULICA (CAÇAMBA: 0,8 M³ / 111 HP), FROTA DE 3 CAMINHÕES BASCULANTES DE 18 M³, DMT ATÉ 1 KM E VELOCIDADE MÉDIA14 KM/H. AF_05/2020</t>
  </si>
  <si>
    <t>ESCAVAÇÃO VERTICAL PARA INFRAESTRUTURA, COM CARGA, DESCARGA E TRANSPORTE DE SOLO DE 1ª CATEGORIA, COM ESCAVADEIRA HIDRÁULICA (CAÇAMBA: 1,2 M³ / 155 HP), FROTA DE 3 CAMINHÕES BASCULANTES DE 14 M³, DMT ATÉ 1 KM E VELOCIDADE MÉDIA14 KM/H. AF_05/2020</t>
  </si>
  <si>
    <t>ESCAVAÇÃO VERTICAL PARA INFRAESTRUTURA, COM CARGA, DESCARGA E TRANSPORTE DE SOLO DE 1ª CATEGORIA, COM ESCAVADEIRA HIDRÁULICA (CAÇAMBA: 1,2 M³ / 155 HP), FROTA DE 3 CAMINHÕES BASCULANTES DE 18 M³, DMT ATÉ 1 KM E VELOCIDADE MÉDIA14 KM/H. AF_05/2020</t>
  </si>
  <si>
    <t>ESCAVAÇÃO VERTICAL PARA INFRAESTRUTURA, COM CARGA, DESCARGA E TRANSPORTE DE SOLO DE 1ª CATEGORIA, COM ESCAVADEIRA HIDRÁULICA (CAÇAMBA: 0,8 M³ / 111HP), FROTA DE 5 CAMINHÕES BASCULANTES DE 14 M³, DMT DE 1,5 KM E VELOCIDADE MÉDIA18 KM/H. AF_05/2020</t>
  </si>
  <si>
    <t>ESCAVAÇÃO VERTICAL PARA INFRAESTRUTURA, COM CARGA, DESCARGA E TRANSPORTE DE SOLO DE 1ª CATEGORIA, COM ESCAVADEIRA HIDRÁULICA (CAÇAMBA: 0,8 M³ / 111HP), FROTA DE 5 CAMINHÕES BASCULANTES DE 14 M³, DMT DE 2 KM E VELOCIDADE MÉDIA 19 KM/H. AF_05/2020</t>
  </si>
  <si>
    <t>ESCAVAÇÃO VERTICAL PARA INFRAESTRUTURA, COM CARGA, DESCARGA E TRANSPORTE DE SOLO DE 1ª CATEGORIA, COM ESCAVADEIRA HIDRÁULICA (CAÇAMBA: 0,8 M³ / 111HP), FROTA DE 6 CAMINHÕES BASCULANTES DE 14 M³, DMT DE 3 KM E VELOCIDADE MÉDIA 20 KM/H. AF_05/2020</t>
  </si>
  <si>
    <t>ESCAVAÇÃO VERTICAL PARA INFRAESTRUTURA, COM CARGA, DESCARGA E TRANSPORTE DE SOLO DE 1ª CATEGORIA, COM ESCAVADEIRA HIDRÁULICA (CAÇAMBA: 0,8 M³ / 111HP), FROTA DE 6 CAMINHÕES BASCULANTES DE 14 M³, DMT DE 4 KM E VELOCIDADE MÉDIA 22 KM/H. AF_05/2020</t>
  </si>
  <si>
    <t>ESCAVAÇÃO VERTICAL PARA INFRAESTRUTURA, COM CARGA, DESCARGA E TRANSPORTE DE SOLO DE 1ª CATEGORIA, COM ESCAVADEIRA HIDRÁULICA (CAÇAMBA: 0,8 M³ / 111HP), FROTA DE 8 CAMINHÕES BASCULANTES DE 14 M³, DMT DE 6 KM E VELOCIDADE MÉDIA 22 KM/H. AF_05/2020</t>
  </si>
  <si>
    <t>ESCAVAÇÃO VERTICAL PARA INFRAESTRUTURA, COM CARGA, DESCARGA E TRANSPORTE DE SOLO DE 1ª CATEGORIA, COM ESCAVADEIRA HIDRÁULICA (CAÇAMBA: 0,8 M³ / 111HP), FROTA DE 4 CAMINHÕES BASCULANTES DE 18 M³, DMT DE 1,5 KM E VELOCIDADE MÉDIA18 KM/H. AF_05/2020</t>
  </si>
  <si>
    <t>ESCAVAÇÃO VERTICAL PARA INFRAESTRUTURA, COM CARGA, DESCARGA E TRANSPORTE DE SOLO DE 1ª CATEGORIA, COM ESCAVADEIRA HIDRÁULICA (CAÇAMBA: 0,8 M³ / 111HP), FROTA DE 4 CAMINHÕES BASCULANTES DE 18 M³, DMT DE 2 KM E VELOCIDADE MÉDIA 19 KM/H. AF_05/2020</t>
  </si>
  <si>
    <t>ESCAVAÇÃO VERTICAL PARA INFRAESTRUTURA, COM CARGA, DESCARGA E TRANSPORTE DE SOLO DE 1ª CATEGORIA, COM ESCAVADEIRA HIDRÁULICA (CAÇAMBA: 0,8 M³ / 111HP), FROTA DE 5 CAMINHÕES BASCULANTES DE 18 M³, DMT DE 3 KM E VELOCIDADE MÉDIA 20 KM/H. AF_05/2020</t>
  </si>
  <si>
    <t>ESCAVAÇÃO VERTICAL PARA INFRAESTRUTURA, COM CARGA, DESCARGA E TRANSPORTE DE SOLO DE 1ª CATEGORIA, COM ESCAVADEIRA HIDRÁULICA (CAÇAMBA: 0,8 M³ / 111HP), FROTA DE 6 CAMINHÕES BASCULANTES DE 18 M³, DMT DE 4 KM E VELOCIDADE MÉDIA 22 KM/H. AF_05/2020</t>
  </si>
  <si>
    <t>ESCAVAÇÃO VERTICAL PARA INFRAESTRUTURA, COM CARGA, DESCARGA E TRANSPORTE DE SOLO DE 1ª CATEGORIA, COM ESCAVADEIRA HIDRÁULICA (CAÇAMBA: 0,8 M³ / 111HP), FROTA DE 7 CAMINHÕES BASCULANTES DE 18 M³, DMT DE 6 KM E VELOCIDADE MÉDIA 22 KM/H. AF_05/2020</t>
  </si>
  <si>
    <t>ESCAVAÇÃO VERTICAL PARA INFRAESTRUTURA, COM CARGA, DESCARGA E TRANSPORTE DE SOLO DE 1ª CATEGORIA, COM ESCAVADEIRA HIDRÁULICA (CAÇAMBA: 1,2M³ / 155HP), FROTA DE 6 CAMINHÕES BASCULANTES DE 14 M³, DMT DE 1,5 KM E VELOCIDADE MÉDIA18 KM/H. AF_05/2020</t>
  </si>
  <si>
    <t>ESCAVAÇÃO VERTICAL PARA INFRAESTRUTURA, COM CARGA, DESCARGA E TRANSPORTE DE SOLO DE 1ª CATEGORIA, COM ESCAVADEIRA HIDRÁULICA (CAÇAMBA: 1,2 M³ / 155HP), FROTA DE 6 CAMINHÕES BASCULANTES DE 14 M³, DMT DE 2 KM E VELOCIDADE MÉDIA 19 KM/H. AF_05/2020</t>
  </si>
  <si>
    <t>ESCAVAÇÃO VERTICAL PARA INFRAESTRUTURA, COM CARGA, DESCARGA E TRANSPORTE DE SOLO DE 1ª CATEGORIA, COM ESCAVADEIRA HIDRÁULICA (CAÇAMBA: 1,2 M³ / 155HP), FROTA DE 7 CAMINHÕES BASCULANTES DE 14 M³, DMT DE 3 KM E VELOCIDADE MÉDIA 20 KM/H. AF_05/2020</t>
  </si>
  <si>
    <t>ESCAVAÇÃO VERTICAL PARA INFRAESTRUTURA, COM CARGA, DESCARGA E TRANSPORTE DE SOLO DE 1ª CATEGORIA, COM ESCAVADEIRA HIDRÁULICA (CAÇAMBA: 1,2 M³ / 155HP), FROTA DE 8 CAMINHÕES BASCULANTES DE 14 M³, DMT DE 4 KM E VELOCIDADE MÉDIA 22 KM/H. AF_05/2020</t>
  </si>
  <si>
    <t>ESCAVAÇÃO VERTICAL PARA INFRAESTRUTURA, COM CARGA, DESCARGA E TRANSPORTE DE SOLO DE 1ª CATEGORIA, COM ESCAVADEIRA HIDRÁULICA (CAÇAMBA: 1,2 M³ / 155HP), FROTA DE 10 CAMINHÕES BASCULANTES DE 14 M³, DMT DE 6 KM E VELOCIDADE MÉDIA22 KM/H. AF_05/2020</t>
  </si>
  <si>
    <t>ESCAVAÇÃO VERTICAL PARA INFRAESTRUTURA, COM CARGA, DESCARGA E TRANSPORTE DE SOLO DE 1ª CATEGORIA, COM ESCAVADEIRA HIDRÁULICA (CAÇAMBA: 1,2 M³ / 155HP), FROTA DE 5 CAMINHÕES BASCULANTES DE 18 M³, DMT DE 1,5 KM E VELOCIDADE MÉDIA18 KM/H. AF_05/2020</t>
  </si>
  <si>
    <t>ESCAVAÇÃO VERTICAL PARA INFRAESTRUTURA, COM CARGA, DESCARGA E TRANSPORTE DE SOLO DE 1ª CATEGORIA, COM ESCAVADEIRA HIDRÁULICA (CAÇAMBA: 1,2 M³ / 155HP), FROTA DE 6 CAMINHÕES BASCULANTES DE 18 M³, DMT DE 2 KM E VELOCIDADE MÉDIA 19 KM/H. AF_05/2020</t>
  </si>
  <si>
    <t>ESCAVAÇÃO VERTICAL PARA INFRAESTRUTURA, COM CARGA, DESCARGA E TRANSPORTE DE SOLO DE 1ª CATEGORIA, COM ESCAVADEIRA HIDRÁULICA (CAÇAMBA: 1,2 M³ / 155HP), FROTA DE 6 CAMINHÕES BASCULANTES DE 18 M³, DMT DE 3 KM E VELOCIDADE MÉDIA 20 KM/H. AF_05/2020</t>
  </si>
  <si>
    <t>ESCAVAÇÃO VERTICAL PARA INFRAESTRUTURA, COM CARGA, DESCARGA E TRANSPORTE DE SOLO DE 1ª CATEGORIA, COM ESCAVADEIRA HIDRÁULICA (CAÇAMBA: 1,2 M³ / 155HP), FROTA DE 7 CAMINHÕES BASCULANTES DE 18 M³, DMT DE 4 KM E VELOCIDADE MÉDIA 22 KM/H. AF_05/2020</t>
  </si>
  <si>
    <t>ESCAVAÇÃO VERTICAL PARA INFRAESTRUTURA, COM CARGA, DESCARGA E TRANSPORTE DE SOLO DE 1ª CATEGORIA, COM ESCAVADEIRA HIDRÁULICA (CAÇAMBA: 1,2 M³ / 155HP), FROTA DE 9 CAMINHÕES BASCULANTES DE 18 M³, DMT DE 6 KM E VELOCIDADE MÉDIA 22 KM/H. AF_05/2020</t>
  </si>
  <si>
    <t>ESCAVAÇÃO VERTICAL PARA  EDIFICAÇÃO, COM CARGA, DESCARGA E TRANSPORTE DE SOLO DE 1ª CATEGORIA, COM ESCAVADEIRA HIDRÁULICA (CAÇAMBA: 0,8 M³ / 111HP), FROTA DE 3 CAMINHÕES BASCULANTES DE 10 M³, DMT ATÉ 1 KM E VELOCIDADE MÉDIA 14 KM/H. AF_05/2020</t>
  </si>
  <si>
    <t>ESCAVAÇÃO VERTICAL PARA  EDIFICAÇÃO, COM CARGA, DESCARGA E TRANSPORTE DE SOLO DE 1ª CATEGORIA, COM ESCAVADEIRA HIDRÁULICA (CAÇAMBA: 1,2 M³ / 155HP), FROTA DE 3 CAMINHÕES BASCULANTES DE 10 M³, DMT ATÉ 1 KM E VELOCIDADE MÉDIA 14 KM/H. AF_05/2020</t>
  </si>
  <si>
    <t>ESCAVAÇÃO VERTICAL PARA  EDIFICAÇÃO, COM CARGA, DESCARGA E TRANSPORTE DE SOLO DE 1ª CATEGORIA, COM ESCAVADEIRA HIDRÁULICA (CAÇAMBA: 0,8 M³ / 111HP), FROTA DE 5 CAMINHÕES BASCULANTES DE 10 M³, DMT DE 1,5 KM E VELOCIDADE MÉDIA 18 KM/H. AF_05/2020</t>
  </si>
  <si>
    <t>ESCAVAÇÃO VERTICAL PARA  EDIFICAÇÃO, COM CARGA, DESCARGA E TRANSPORTE DE SOLO DE 1ª CATEGORIA, COM ESCAVADEIRA HIDRÁULICA (CAÇAMBA: 0,8 M³ / 111HP), FROTA DE 5 CAMINHÕES BASCULANTES DE 10 M³, DMT DE 2 KM E VELOCIDADE MÉDIA 19 KM/H. AF_05/2020</t>
  </si>
  <si>
    <t>ESCAVAÇÃO VERTICAL PARA  EDIFICAÇÃO, COM CARGA, DESCARGA E TRANSPORTE DE SOLO DE 1ª CATEGORIA, COM ESCAVADEIRA HIDRÁULICA (CAÇAMBA: 0,8 M³ / 111HP), FROTA DE 6 CAMINHÕES BASCULANTES DE 10 M³, DMT DE 3 KM E VELOCIDADE MÉDIA 20 KM/H. AF_05/2020</t>
  </si>
  <si>
    <t>ESCAVAÇÃO VERTICAL PARA  EDIFICAÇÃO, COM CARGA, DESCARGA E TRANSPORTE DE SOLO DE 1ª CATEGORIA, COM ESCAVADEIRA HIDRÁULICA (CAÇAMBA: 0,8 M³ / 111HP), FROTA DE 7 CAMINHÕES BASCULANTES DE 10 M³, DMT DE 4 KM E VELOCIDADE MÉDIA 22 KM/H. AF_05/2020</t>
  </si>
  <si>
    <t>ESCAVAÇÃO VERTICAL PARA  EDIFICAÇÃO, COM CARGA, DESCARGA E TRANSPORTE DE SOLO DE 1ª CATEGORIA, COM ESCAVADEIRA HIDRÁULICA (CAÇAMBA: 0,8 M³ / 111HP), FROTA DE 9 CAMINHÕES BASCULANTES DE 10 M³, DMT DE 6 KM E VELOCIDADE MÉDIA 22 KM/H. AF_05/2020</t>
  </si>
  <si>
    <t>ESCAVAÇÃO VERTICAL PARA  EDIFICAÇÃO, COM CARGA, DESCARGA E TRANSPORTE DE SOLO DE 1ª CATEGORIA, COM ESCAVADEIRA HIDRÁULICA (CAÇAMBA: 1,2 M³ / 155HP), FROTA DE 6 CAMINHÕES BASCULANTES DE 10 M³, DMT DE 1,5 KM E VELOCIDADE MÉDIA 18 KM/H. AF_05/2020</t>
  </si>
  <si>
    <t>ESCAVAÇÃO VERTICAL PARA  EDIFICAÇÃO, COM CARGA, DESCARGA E TRANSPORTE DE SOLO DE 1ª CATEGORIA, COM ESCAVADEIRA HIDRÁULICA (CAÇAMBA: 1,2 M³ / 155HP), FROTA DE 6 CAMINHÕES BASCULANTES DE 10 M³, DMT DE 2 KM E VELOCIDADE MÉDIA 19 KM/H. AF_05/2020</t>
  </si>
  <si>
    <t>ESCAVAÇÃO VERTICAL PARA  EDIFICAÇÃO, COM CARGA, DESCARGA E TRANSPORTE DE SOLO DE 1ª CATEGORIA, COM ESCAVADEIRA HIDRÁULICA (CAÇAMBA: 1,2 M³ / 155HP), FROTA DE 7 CAMINHÕES BASCULANTES DE 10 M³, DMT DE 3 KM E VELOCIDADE MÉDIA 20 KM/H. AF_05/2020</t>
  </si>
  <si>
    <t>ESCAVAÇÃO VERTICAL PARA  EDIFICAÇÃO, COM CARGA, DESCARGA E TRANSPORTE DE SOLO DE 1ª CATEGORIA, COM ESCAVADEIRA HIDRÁULICA (CAÇAMBA: 1,2 M³ / 155HP), FROTA DE 8 CAMINHÕES BASCULANTES DE 10 M³, DMT DE 4 KM E VELOCIDADE MÉDIA 22 KM/H. AF_05/2020</t>
  </si>
  <si>
    <t>ESCAVAÇÃO VERTICAL PARA  EDIFICAÇÃO, COM CARGA, DESCARGA E TRANSPORTE DE SOLO DE 1ª CATEGORIA, COM ESCAVADEIRA HIDRÁULICA (CAÇAMBA: 1,2 M³ / 155HP), FROTA DE 10 CAMINHÕES BASCULANTES DE 10 M³, DMT DE 6 KM E VELOCIDADE MÉDIA 22 KM/H. AF_05/2020</t>
  </si>
  <si>
    <t>ESCAVAÇÃO VERTICAL PARA INFRAESTRUTURA, COM CARGA, DESCARGA E TRANSPORTE DE SOLO DE 1ª CATEGORIA, COM ESCAVADEIRA HIDRÁULICA (CAÇAMBA: 0,8 M³ / 111HP), FROTA DE 3 CAMINHÕES BASCULANTES DE 10 M³, DMT ATÉ 1 KM E VELOCIDADE MÉDIA14 KM/H. AF_05/2020</t>
  </si>
  <si>
    <t>ESCAVAÇÃO VERTICAL PARA INFRAESTRUTURA, COM CARGA, DESCARGA E TRANSPORTE DE SOLO DE 1ª CATEGORIA, COM ESCAVADEIRA HIDRÁULICA (CAÇAMBA: 1,2 M³ / 155HP), FROTA DE 4 CAMINHÕES BASCULANTES DE 10 M³, DMT ATÉ 1 KM E VELOCIDADE MÉDIA14 KM/H. AF_05/2020</t>
  </si>
  <si>
    <t>ESCAVAÇÃO VERTICAL PARA INFRAESTRUTURA, COM CARGA, DESCARGA E TRANSPORTE DE SOLO DE 1ª CATEGORIA, COM ESCAVADEIRA HIDRÁULICA (CAÇAMBA: 0,8 M³ / 111HP), FROTA DE 5 CAMINHÕES BASCULANTES DE 10 M³, DMT DE 1,5 KM E VELOCIDADE MÉDIA18 KM/H. AF_05/2020</t>
  </si>
  <si>
    <t>ESCAVAÇÃO VERTICAL PARA INFRAESTRUTURA, COM CARGA, DESCARGA E TRANSPORTE DE SOLO DE 1ª CATEGORIA, COM ESCAVADEIRA HIDRÁULICA (CAÇAMBA: 0,8 M³ / 111HP), FROTA DE 6 CAMINHÕES BASCULANTES DE 10 M³, DMT DE 2 KM E VELOCIDADE MÉDIA 19 KM/H. AF_05/2020</t>
  </si>
  <si>
    <t>ESCAVAÇÃO VERTICAL PARA INFRAESTRUTURA, COM CARGA, DESCARGA E TRANSPORTE DE SOLO DE 1ª CATEGORIA, COM ESCAVADEIRA HIDRÁULICA (CAÇAMBA: 0,8 M³ / 111HP), FROTA DE 7 CAMINHÕES BASCULANTES DE 10 M³, DMT DE 3 KM E VELOCIDADE MÉDIA 20 KM/H. AF_05/2020</t>
  </si>
  <si>
    <t>ESCAVAÇÃO VERTICAL PARA INFRAESTRUTURA, COM CARGA, DESCARGA E TRANSPORTE DE SOLO DE 1ª CATEGORIA, COM ESCAVADEIRA HIDRÁULICA (CAÇAMBA: 0,8 M³ / 111HP), FROTA DE 8 CAMINHÕES BASCULANTES DE 10 M³, DMT DE 4 KM E VELOCIDADE MÉDIA 22 KM/H. AF_05/2020</t>
  </si>
  <si>
    <t>ESCAVAÇÃO VERTICAL PARA INFRAESTRUTURA, COM CARGA, DESCARGA E TRANSPORTE DE SOLO DE 1ª CATEGORIA, COM ESCAVADEIRA HIDRÁULICA (CAÇAMBA: 0,8 M³ / 111HP), FROTA DE 10 CAMINHÕES BASCULANTES DE 10 M³, DMT DE 6 KM E VELOCIDADE MÉDIA22 KM/H. AF_05/2020</t>
  </si>
  <si>
    <t>ESCAVAÇÃO VERTICAL PARA INFRAESTRUTURA, COM CARGA, DESCARGA E TRANSPORTE DE SOLO DE 1ª CATEGORIA, COM ESCAVADEIRA HIDRÁULICA (CAÇAMBA: 1,2 M³ / 155HP), FROTA DE 6 CAMINHÕES BASCULANTES DE 10 M³, DMT DE 1,5 KM E VELOCIDADE MÉDIA18 KM/H. AF_05/2020</t>
  </si>
  <si>
    <t>ESCAVAÇÃO VERTICAL PARA INFRAESTRUTURA, COM CARGA, DESCARGA E TRANSPORTE DE SOLO DE 1ª CATEGORIA, COM ESCAVADEIRA HIDRÁULICA (CAÇAMBA: 1,2 M³ / 155HP), FROTA DE 7 CAMINHÕES BASCULANTES DE 10 M³, DMT DE 2 KM E VELOCIDADE MÉDIA 19 KM/H. AF_05/2020</t>
  </si>
  <si>
    <t>ESCAVAÇÃO VERTICAL PARA INFRAESTRUTURA, COM CARGA, DESCARGA E TRANSPORTE DE SOLO DE 1ª CATEGORIA, COM ESCAVADEIRA HIDRÁULICA (CAÇAMBA: 1,2 M³ / 155HP), FROTA DE 8 CAMINHÕES BASCULANTES DE 10 M³, DMT DE 3 KM E VELOCIDADE MÉDIA 20 KM/H. AF_05/2020</t>
  </si>
  <si>
    <t>ESCAVAÇÃO VERTICAL PARA INFRAESTRUTURA, COM CARGA, DESCARGA E TRANSPORTE DE SOLO DE 1ª CATEGORIA, COM ESCAVADEIRA HIDRÁULICA (CAÇAMBA: 1,2 M³ / 155HP), FROTA DE 9 CAMINHÕES BASCULANTES DE 10 M³, DMT DE 4 KM E VELOCIDADE MÉDIA 22 KM/H. AF_05/2020</t>
  </si>
  <si>
    <t>ESCAVAÇÃO VERTICAL PARA INFRAESTRUTURA, COM CARGA, DESCARGA E TRANSPORTE DE SOLO DE 1ª CATEGORIA, COM ESCAVADEIRA HIDRÁULICA (CAÇAMBA: 1,2 M³ / 155HP), FROTA DE 12 CAMINHÕES BASCULANTES DE 10 M³, DMT DE 6 KM E VELOCIDADE MÉDIA22 KM/H. AF_05/2020</t>
  </si>
  <si>
    <t>8,83</t>
  </si>
  <si>
    <t>80,66</t>
  </si>
  <si>
    <t>10,61</t>
  </si>
  <si>
    <t>0,71</t>
  </si>
  <si>
    <t>103322</t>
  </si>
  <si>
    <t>ALVENARIA DE VEDAÇÃO DE BLOCOS CERÂMICOS FURADOS NA VERTICAL DE 9X19X39 CM (ESPESSURA 9 CM) E ARGAMASSA DE ASSENTAMENTO COM PREPARO EM BETONEIRA. AF_12/2021</t>
  </si>
  <si>
    <t>103323</t>
  </si>
  <si>
    <t>ALVENARIA DE VEDAÇÃO DE BLOCOS CERÂMICOS FURADOS NA VERTICAL DE 9X19X39 CM (ESPESSURA 9 CM) E ARGAMASSA DE ASSENTAMENTO COM PREPARO MANUAL. AF_12/2021</t>
  </si>
  <si>
    <t>103324</t>
  </si>
  <si>
    <t>ALVENARIA DE VEDAÇÃO DE BLOCOS CERÂMICOS FURADOS NA VERTICAL DE 14X19X39 CM (ESPESSURA 14 CM) E ARGAMASSA DE ASSENTAMENTO COM PREPARO EM BETONEIRA. AF_12/2021</t>
  </si>
  <si>
    <t>103325</t>
  </si>
  <si>
    <t>ALVENARIA DE VEDAÇÃO DE BLOCOS CERÂMICOS FURADOS NA VERTICAL DE 14X19X39 CM (ESPESSURA 14 CM) E ARGAMASSA DE ASSENTAMENTO COM PREPARO MANUAL. AF_12/2021</t>
  </si>
  <si>
    <t>103326</t>
  </si>
  <si>
    <t>ALVENARIA DE VEDAÇÃO DE BLOCOS CERÂMICOS FURADOS NA VERTICAL DE 19X19X39 CM (ESPESSURA 19 CM) E ARGAMASSA DE ASSENTAMENTO COM PREPARO EM BETONEIRA. AF_12/2021</t>
  </si>
  <si>
    <t>103327</t>
  </si>
  <si>
    <t>ALVENARIA DE VEDAÇÃO DE BLOCOS CERÂMICOS FURADOS NA VERTICAL DE 19X19X39 CM (ESPESSURA 19 CM) E ARGAMASSA DE ASSENTAMENTO COM PREPARO MANUAL. AF_12/2021</t>
  </si>
  <si>
    <t>103328</t>
  </si>
  <si>
    <t>ALVENARIA DE VEDAÇÃO DE BLOCOS CERÂMICOS FURADOS NA HORIZONTAL DE 9X19X19 CM (ESPESSURA 9 CM) E ARGAMASSA DE ASSENTAMENTO COM PREPARO EM BETONEIRA. AF_12/2021</t>
  </si>
  <si>
    <t>103329</t>
  </si>
  <si>
    <t>ALVENARIA DE VEDAÇÃO DE BLOCOS CERÂMICOS FURADOS NA HORIZONTAL DE 9X19X19 CM (ESPESSURA 9 CM) E ARGAMASSA DE ASSENTAMENTO COM PREPARO MANUAL. AF_12/2021</t>
  </si>
  <si>
    <t>103330</t>
  </si>
  <si>
    <t>ALVENARIA DE VEDAÇÃO DE BLOCOS CERÂMICOS FURADOS NA HORIZONTAL DE 11,5X19X19 CM (ESPESSURA 11,5 CM) E ARGAMASSA DE ASSENTAMENTO COM PREPARO EM BETONEIRA. AF_12/2021</t>
  </si>
  <si>
    <t>103331</t>
  </si>
  <si>
    <t>ALVENARIA DE VEDAÇÃO DE BLOCOS CERÂMICOS FURADOS NA HORIZONTAL DE 11,5X19X19 CM (ESPESSURA 11,5 CM) E ARGAMASSA DE ASSENTAMENTO COM PREPARO MANUAL. AF_12/2021</t>
  </si>
  <si>
    <t>103332</t>
  </si>
  <si>
    <t>ALVENARIA DE VEDAÇÃO DE BLOCOS CERÂMICOS FURADOS NA HORIZONTAL DE 9X14X19 CM (ESPESSURA 9 CM) E ARGAMASSA DE ASSENTAMENTO COM PREPARO EM BETONEIRA. AF_12/2021</t>
  </si>
  <si>
    <t>103333</t>
  </si>
  <si>
    <t>ALVENARIA DE VEDAÇÃO DE BLOCOS CERÂMICOS FURADOS NA HORIZONTAL DE 9X14X19 CM (ESPESSURA 9 CM) E ARGAMASSA DE ASSENTAMENTO COM PREPARO MANUAL. AF_12/2021</t>
  </si>
  <si>
    <t>103334</t>
  </si>
  <si>
    <t>ALVENARIA DE VEDAÇÃO DE BLOCOS CERÂMICOS FURADOS NA HORIZONTAL DE 14X9X19 CM (ESPESSURA 14 CM, BLOCO DEITADO) E ARGAMASSA DE ASSENTAMENTO COM PREPARO EM BETONEIRA. AF_12/2021</t>
  </si>
  <si>
    <t>103335</t>
  </si>
  <si>
    <t>ALVENARIA DE VEDAÇÃO DE BLOCOS CERÂMICOS FURADOS NA HORIZONTAL DE 14X9X19 CM (ESPESSURA 14 CM, BLOCO DEITADO) E ARGAMASSA DE ASSENTAMENTO COM PREPARO MANUAL. AF_12/2021</t>
  </si>
  <si>
    <t>103350</t>
  </si>
  <si>
    <t>ALVENARIA DE VEDAÇÃO DE BLOCOS CERÂMICOS FURADOS NA HORIZONTAL DE 9X9X19 CM (ESPESSURA 9 CM) E ARGAMASSA DE ASSENTAMENTO COM PREPARO EM BETONEIRA. AF_12/2021</t>
  </si>
  <si>
    <t>103351</t>
  </si>
  <si>
    <t>ALVENARIA DE VEDAÇÃO DE BLOCOS CERÂMICOS FURADOS NA HORIZONTAL DE 9X9X19 CM (ESPESSURA 9 CM) E ARGAMASSA DE ASSENTAMENTO COM PREPARO MANUAL. AF_12/2021</t>
  </si>
  <si>
    <t>103356</t>
  </si>
  <si>
    <t>ALVENARIA DE VEDAÇÃO DE BLOCOS CERÂMICOS FURADOS NA HORIZONTAL DE 9X19X29 CM (ESPESSURA 9 CM) E ARGAMASSA DE ASSENTAMENTO COM PREPARO EM BETONEIRA. AF_12/2021</t>
  </si>
  <si>
    <t>50,16</t>
  </si>
  <si>
    <t>103357</t>
  </si>
  <si>
    <t>ALVENARIA DE VEDAÇÃO DE BLOCOS CERÂMICOS FURADOS NA HORIZONTAL DE 9X19X29 CM (ESPESSURA 9 CM) E ARGAMASSA DE ASSENTAMENTO COM PREPARO MANUAL. AF_12/2021</t>
  </si>
  <si>
    <t>ALVENARIA ESTRUTURAL DE BLOCOS CERÂMICOS 14X19X39, (ESPESSURA DE 14 CM), UTILIZANDO PALHETA E ARGAMASSA DE ASSENTAMENTO COM PREPARO EM BETONEIRA. AF_03/2023</t>
  </si>
  <si>
    <t>ALVENARIA ESTRUTURAL DE BLOCOS CERÂMICOS 14X19X39, (ESPESSURA DE 14 CM), UTILIZANDO PALHETA E ARGAMASSA DE ASSENTAMENTO COM PREPARO MANUAL. AF_03/2023</t>
  </si>
  <si>
    <t>ALVENARIA ESTRUTURAL DE BLOCOS CERÂMICOS 14X19X29, (ESPESSURA DE 14 CM), UTILIZANDO PALHETA E ARGAMASSA DE ASSENTAMENTO COM PREPARO EM BETONEIRA. AF_03/2023</t>
  </si>
  <si>
    <t>ALVENARIA ESTRUTURAL DE BLOCOS CERÂMICOS 14X19X29, (ESPESSURA DE 14 CM), UTILIZANDO PALHETA E ARGAMASSA DE ASSENTAMENTO COM PREPARO MANUAL. AF_03/2023</t>
  </si>
  <si>
    <t>ALVENARIA ESTRUTURAL DE BLOCOS CERÂMICOS 14X19X39, (ESPESSURA DE 14 CM), UTILIZANDO COLHER DE PEDREIRO E ARGAMASSA DE ASSENTAMENTO COM PREPARO EM BETONEIRA. AF_03/2023</t>
  </si>
  <si>
    <t>ALVENARIA ESTRUTURAL DE BLOCOS CERÂMICOS 14X19X39, (ESPESSURA DE 14 CM), UTILIZANDO COLHER DE PEDREIRO E ARGAMASSA DE ASSENTAMENTO COM PREPARO MANUAL. AF_03/2023</t>
  </si>
  <si>
    <t>ALVENARIA ESTRUTURAL DE BLOCOS CERÂMICOS 14X19X29, (ESPESSURA DE 14 CM), UTILIZANDO COLHER DE PEDREIRO E ARGAMASSA DE ASSENTAMENTO COM PREPARO EM BETONEIRA. AF_03/2023</t>
  </si>
  <si>
    <t>ALVENARIA ESTRUTURAL DE BLOCOS CERÂMICOS 14X19X29, (ESPESSURA DE 14 CM), UTILIZANDO COLHER DE PEDREIRO E ARGAMASSA DE ASSENTAMENTO COM PREPARO MANUAL. AF_03/2023</t>
  </si>
  <si>
    <t>101157</t>
  </si>
  <si>
    <t>ALVENARIA DE VEDAÇÃO DE BLOCOS DE GESSO DE 7X50X66CM (ESPESSURA 7CM). AF_05/2020</t>
  </si>
  <si>
    <t>101158</t>
  </si>
  <si>
    <t>ALVENARIA DE VEDAÇÃO DE BLOCOS DE GESSO DE 10X50X66CM (ESPESSURA 10CM). AF_05/2020</t>
  </si>
  <si>
    <t>103316</t>
  </si>
  <si>
    <t>ALVENARIA DE VEDAÇÃO DE BLOCOS VAZADOS DE CONCRETO DE 9X19X39 CM (ESPESSURA 9 CM) E ARGAMASSA DE ASSENTAMENTO COM PREPARO EM BETONEIRA. AF_12/2021</t>
  </si>
  <si>
    <t>103317</t>
  </si>
  <si>
    <t>ALVENARIA DE VEDAÇÃO DE BLOCOS VAZADOS DE CONCRETO DE 9X19X39 CM (ESPESSURA 9 CM) E ARGAMASSA DE ASSENTAMENTO COM PREPARO MANUAL. AF_12/2021</t>
  </si>
  <si>
    <t>103318</t>
  </si>
  <si>
    <t>ALVENARIA DE VEDAÇÃO DE BLOCOS VAZADOS DE CONCRETO DE 14X19X39 CM (ESPESSURA 14 CM)  E ARGAMASSA DE ASSENTAMENTO COM PREPARO EM BETONEIRA. AF_12/2021</t>
  </si>
  <si>
    <t>103319</t>
  </si>
  <si>
    <t>ALVENARIA DE VEDAÇÃO DE BLOCOS VAZADOS DE CONCRETO DE 14X19X39 CM (ESPESSURA 14 CM) E ARGAMASSA DE ASSENTAMENTO COM PREPARO MANUAL. AF_12/2021</t>
  </si>
  <si>
    <t>103320</t>
  </si>
  <si>
    <t>ALVENARIA DE VEDAÇÃO DE BLOCOS VAZADOS DE CONCRETO DE 19X19X39 CM (ESPESSURA 19 CM) E ARGAMASSA DE ASSENTAMENTO COM PREPARO EM BETONEIRA. AF_12/2021</t>
  </si>
  <si>
    <t>103321</t>
  </si>
  <si>
    <t>ALVENARIA DE VEDAÇÃO DE BLOCOS VAZADOS DE CONCRETO DE 19X19X39 CM (ESPESSURA 19 CM) E ARGAMASSA DE ASSENTAMENTO COM PREPARO MANUAL. AF_12/2021</t>
  </si>
  <si>
    <t>103336</t>
  </si>
  <si>
    <t>ALVENARIA DE VEDAÇÃO DE BLOCOS  VAZADOS DE CONCRETO APARENTE DE 9X19X39 CM (ESPESSURA 9 CM) E ARGAMASSA DE ASSENTAMENTO COM PREPARO EM BETONEIRA. AF_12/2021</t>
  </si>
  <si>
    <t>103337</t>
  </si>
  <si>
    <t>ALVENARIA DE VEDAÇÃO DE BLOCOS  VAZADOS DE CONCRETO APARENTE DE 9X19X39 CM (ESPESSURA 9 CM) E ARGAMASSA DE ASSENTAMENTO COM PREPARO MANUAL. AF_12/2021</t>
  </si>
  <si>
    <t>103338</t>
  </si>
  <si>
    <t>ALVENARIA DE VEDAÇÃO DE BLOCOS  VAZADOS DE CONCRETO APARENTE DE 14X19X39 CM (ESPESSURA 14 CM) E ARGAMASSA DE ASSENTAMENTO COM PREPARO EM BETONEIRA. AF_12/2021</t>
  </si>
  <si>
    <t>103339</t>
  </si>
  <si>
    <t>ALVENARIA DE VEDAÇÃO DE BLOCOS  VAZADOS DE CONCRETO APARENTE DE 14X19X39 CM (ESPESSURA 14 CM) E ARGAMASSA DE ASSENTAMENTO COM PREPARO MANUAL. AF_12/2021</t>
  </si>
  <si>
    <t>103340</t>
  </si>
  <si>
    <t>ALVENARIA DE VEDAÇÃO DE BLOCOS  VAZADOS DE CONCRETO APARENTE DE 19X19X39 CM (ESPESSURA 19 CM) E ARGAMASSA DE ASSENTAMENTO COM PREPARO EM BETONEIRA. AF_12/2021</t>
  </si>
  <si>
    <t>103341</t>
  </si>
  <si>
    <t>ALVENARIA DE VEDAÇÃO DE BLOCOS  VAZADOS DE CONCRETO APARENTE DE 19X19X39 CM (ESPESSURA 19 CM) E ARGAMASSA DE ASSENTAMENTO COM PREPARO MANUAL. AF_12/2021</t>
  </si>
  <si>
    <t>103342</t>
  </si>
  <si>
    <t>ALVENARIA DE VEDAÇÃO DE BLOCOS  VAZADOS DE CONCRETO DE 14X19X29 CM (ESPESSURA 14 CM) E ARGAMASSA DE ASSENTAMENTO COM PREPARO EM BETONEIRA. AF_12/2021</t>
  </si>
  <si>
    <t>103343</t>
  </si>
  <si>
    <t>ALVENARIA DE VEDAÇÃO DE BLOCOS  VAZADOS DE CONCRETO DE 14X19X29 CM (ESPESSURA 14 CM) E ARGAMASSA DE ASSENTAMENTO COM PREPARO MANUAL. AF_12/2021</t>
  </si>
  <si>
    <t>ALVENARIA DE BLOCOS DE CONCRETO ESTRUTURAL 14X19X39 CM (ESPESSURA 14 CM), FBK = 4,5 MPA, UTILIZANDO PALHETA. AF_10/2022</t>
  </si>
  <si>
    <t>ALVENARIA DE BLOCOS DE CONCRETO ESTRUTURAL 14X19X39 CM (ESPESSURA 14 CM), FBK = 14 MPA, UTILIZANDO PALHETA. AF_10/2022</t>
  </si>
  <si>
    <t>ALVENARIA DE BLOCOS DE CONCRETO ESTRUTURAL 14X19X29 CM (ESPESSURA 14 CM), FBK = 4,5 MPA, UTILIZANDO PALHETA. AF_10/2022</t>
  </si>
  <si>
    <t>ALVENARIA DE BLOCOS DE CONCRETO ESTRUTURAL 14X19X39 CM (ESPESSURA 14 CM), FBK = 4,5 MPA, UTILIZANDO COLHER DE PEDREIRO. AF_10/2022</t>
  </si>
  <si>
    <t>91,36</t>
  </si>
  <si>
    <t>ALVENARIA DE BLOCOS DE CONCRETO ESTRUTURAL 14X19X39 CM (ESPESSURA 14 CM), FBK = 14 MPA, UTILIZANDO COLHER DE PEDREIRO. AF_10/2022</t>
  </si>
  <si>
    <t>ALVENARIA DE BLOCOS DE CONCRETO ESTRUTURAL 14X19X29 CM (ESPESSURA 14 CM), FBK = 4,5 MPA, UTILIZANDO COLHER DE PEDREIRO. AF_10/2022</t>
  </si>
  <si>
    <t>ALVENARIA DE BLOCOS DE CONCRETO ESTRUTURAL 14X19X29 CM (ESPESSURA 14 CM), FBK = 14 MPA, UTILIZANDO COLHER DE PEDREIRO. AF_10/2022</t>
  </si>
  <si>
    <t>DIVISÓRIA FIXA EM VIDRO TEMPERADO 10 MM, SEM ABERTURA. AF_01/2021_PS</t>
  </si>
  <si>
    <t>RECOMPOSIÇÃO DE BASE E OU SUB-BASE PARA REMENDO PROFUNDO DE SOLO BRITA (40/60) COM CIMENTO (TEOR DE 4%) - INCLUSO RETIRADA E COLOCAÇÃO DO MATERIAL. AF_12/2020</t>
  </si>
  <si>
    <t>RECOMPOSIÇÃO DE BASE E OU SUB-BASE PARA REMENDO PROFUNDO DE SOLO BRITA (40/60) COM CIMENTO (TEOR DE 6%) - INCLUSO RETIRADA E COLOCAÇÃO DO MATERIAL. AF_12/2020</t>
  </si>
  <si>
    <t>RECOMPOSIÇÃO DE BASE E OU SUB-BASE PARA REMENDO PROFUNDO DE SOLO BRITA (40/60) COM CIMENTO (TEOR DE 8%) - INCLUSO RETIRADA E COLOCAÇÃO DO MATERIAL. AF_12/2020</t>
  </si>
  <si>
    <t>RECOMPOSIÇÃO DE BASE E OU SUB-BASE PARA FECHAMENTO DE VALAS DE SOLO BRITA (40/60) COM CIMENTO (TEOR DE 4%) - INCLUSO RETIRADA E COLOCAÇÃO DO MATERIAL. AF_12/2020</t>
  </si>
  <si>
    <t>RECOMPOSIÇÃO DE BASE E OU SUB-BASE PARA FECHAMENTO DE VALAS DE SOLO BRITA (40/60) COM CIMENTO (TEOR DE 6%) - INCLUSO RETIRADA E COLOCAÇÃO DO MATERIAL. AF_12/2020</t>
  </si>
  <si>
    <t>RECOMPOSIÇÃO DE BASE E OU SUB-BASE PARA FECHAMENTO DE VALAS DE SOLO BRITA (40/60) COM CIMENTO (TEOR DE 8%) - INCLUSO RETIRADA E COLOCAÇÃO DO MATERIAL. AF_12/2020</t>
  </si>
  <si>
    <t>27,86</t>
  </si>
  <si>
    <t>EXECUÇÃO DE PAVIMENTO EM PISO INTERTRAVADO, COM BLOCO PISOGRAMA DE 35 X 15 CM, ESPESSURA 6 CM. AF_10/2022</t>
  </si>
  <si>
    <t>EXECUÇÃO DE PAVIMENTO EM PISO INTERTRAVADO, COM BLOCO PISOGRAMA DE 35 X 15 CM, ESPESSURA 8 CM. AF_10/2022</t>
  </si>
  <si>
    <t>EXECUÇÃO DE PAVIMENTO EM PISO INTERTRAVADO, COM BLOCO SEXTAVADO DE 25 X 25 CM, ESPESSURA 6 CM. AF_10/2022</t>
  </si>
  <si>
    <t>EXECUÇÃO DE PAVIMENTO EM PISO INTERTRAVADO, COM BLOCO SEXTAVADO DE 25 X 25 CM, ESPESSURA 8 CM. AF_10/2022</t>
  </si>
  <si>
    <t>EXECUÇÃO DE PAVIMENTO EM PISO INTERTRAVADO, COM BLOCO SEXTAVADO DE 25 X 25 CM, ESPESSURA 10 CM. AF_10/2022</t>
  </si>
  <si>
    <t>EXECUÇÃO DE PASSEIO EM PISO INTERTRAVADO, COM BLOCO RETANGULAR COR NATURAL DE 20 X 10 CM, ESPESSURA 6 CM. AF_10/2022</t>
  </si>
  <si>
    <t>EXECUÇÃO DE PAVIMENTO EM PISO INTERTRAVADO, COM BLOCO RETANGULAR COR NATURAL DE 20 X 10 CM, ESPESSURA 6 CM. AF_10/2022</t>
  </si>
  <si>
    <t>EXECUÇÃO DE PAVIMENTO EM PISO INTERTRAVADO, COM BLOCO RETANGULAR COR NATURAL DE 20 X 10 CM, ESPESSURA 8 CM. AF_10/2022</t>
  </si>
  <si>
    <t>EXECUÇÃO DE PAVIMENTO EM PISO INTERTRAVADO, COM BLOCO RETANGULAR DE 20 X 10 CM, ESPESSURA 10 CM. AF_10/2022</t>
  </si>
  <si>
    <t>EXECUÇÃO DE PASSEIO EM PISO INTERTRAVADO, COM BLOCO 16 FACES DE 22 X 11 CM, ESPESSURA 6 CM. AF_10/2022</t>
  </si>
  <si>
    <t>EXECUÇÃO DE PAVIMENTO EM PISO INTERTRAVADO, COM BLOCO 16 FACES DE 22 X 11 CM, ESPESSURA 6 CM. AF_10/2022</t>
  </si>
  <si>
    <t>EXECUÇÃO DE PAVIMENTO EM PISO INTERTRAVADO, COM BLOCO 16 FACES DE 22 X 11 CM, ESPESSURA 8 CM. AF_10/2022</t>
  </si>
  <si>
    <t>EXECUÇÃO DE PAVIMENTO EM PISO INTERTRAVADO, COM BLOCO 16 FACES DE 22 X 11 CM, ESPESSURA 10 CM. AF_10/2022</t>
  </si>
  <si>
    <t>EXECUÇÃO DE PASSEIO EM PISO INTERTRAVADO, COM BLOCO RETANGULAR COLORIDO DE 20 X 10 CM, ESPESSURA 6 CM. AF_10/2022</t>
  </si>
  <si>
    <t>EXECUÇÃO DE PAVIMENTO EM PISO INTERTRAVADO, COM BLOCO RETANGULAR COLORIDO DE 20 X 10 CM, ESPESSURA 6 CM. AF_10/2022</t>
  </si>
  <si>
    <t>EXECUÇÃO DE PAVIMENTO EM PISO INTERTRAVADO, COM BLOCO RETANGULAR COLORIDO DE 20 X 10 CM, ESPESSURA 8 CM. AF_10/2022</t>
  </si>
  <si>
    <t>EXECUÇÃO DE PAVIMENTO DE CONCRETO SIMPLES (PCS), FCK = 40 MPA, ESPESSURA DE 15,0 CM. AF_04/2022</t>
  </si>
  <si>
    <t>EXECUÇÃO DE PAVIMENTO DE CONCRETO SIMPLES (PCS), FCK = 40 MPA, ESPESSURA DE 17,5 CM. AF_04/2022</t>
  </si>
  <si>
    <t>EXECUÇÃO DE PAVIMENTO DE CONCRETO SIMPLES (PCS), FCK = 40 MPA, ESPESSURA DE 20,0 CM. AF_04/2022</t>
  </si>
  <si>
    <t>EXECUÇÃO DE PAVIMENTO DE CONCRETO SIMPLES (PCS), FCK = 40 MPA, ESPESSURA DE 22,5 CM. AF_04/2022</t>
  </si>
  <si>
    <t>EXECUÇÃO DE PAVIMENTO DE CONCRETO SIMPLES (PCS), FCK = 40 MPA, ESPESSURA DE 25,0 CM. AF_04/2022</t>
  </si>
  <si>
    <t>EXECUÇÃO DE PAVIMENTO DE CONCRETO SIMPLES (PCS), FCK = 40 MPA, ESPESSURA DE 27,5 CM. AF_04/2022</t>
  </si>
  <si>
    <t>EXECUÇÃO DE PAVIMENTO DE CONCRETO ARMADO (PCA), FCK = 30 MPA, ESPESSURA DE 15,0 CM. AF_04/2022</t>
  </si>
  <si>
    <t>EXECUÇÃO DE PAVIMENTO DE CONCRETO ARMADO (PCA), FCK = 30 MPA, ESPESSURA DE 17,5 CM. AF_04/2022</t>
  </si>
  <si>
    <t>APLICAÇÃO DE LONA PLÁSTICA PARA EXECUÇÃO DE PAVIMENTOS DE CONCRETO. AF_04/2022</t>
  </si>
  <si>
    <t>EXECUÇÃO DE JUNTAS DE CONTRAÇÃO PARA PAVIMENTOS DE CONCRETO. AF_04/2022</t>
  </si>
  <si>
    <t>APLICAÇÃO DE GRAXA EM BARRAS DE TRANSFERÊNCIA PARA EXECUÇÃO DE PAVIMENTO DE CONCRETO. AF_04/2022</t>
  </si>
  <si>
    <t>103904</t>
  </si>
  <si>
    <t>EXECUÇÃO DE PAVIMENTO DE CONCRETO SIMPLES (PCS), FCK = 35 MPA, ESPESSURA DE 15,0 CM. AF_04/2022</t>
  </si>
  <si>
    <t>103905</t>
  </si>
  <si>
    <t>EXECUÇÃO DE PAVIMENTO DE CONCRETO SIMPLES (PCS), FCK = 35 MPA, ESPESSURA DE 16,0 CM. AF_04/2022</t>
  </si>
  <si>
    <t>103906</t>
  </si>
  <si>
    <t>EXECUÇÃO DE PAVIMENTO DE CONCRETO SIMPLES (PCS), FCK = 40 MPA, ESPESSURA DE 16,0 CM. AF_04/2022</t>
  </si>
  <si>
    <t>103907</t>
  </si>
  <si>
    <t>EXECUÇÃO DE PAVIMENTO DE CONCRETO SIMPLES (PCS), FCK = 35 MPA, ESPESSURA DE 17,5 CM. AF_04/2022</t>
  </si>
  <si>
    <t>103908</t>
  </si>
  <si>
    <t>EXECUÇÃO PAVIMENTO DE CONCRETO SIMPLES (PCS), FCK = 35 MPA, ESPESSURA DE 20,0 CM. AF_04/2022</t>
  </si>
  <si>
    <t>103909</t>
  </si>
  <si>
    <t>EXECUÇÃO PAVIMENTO DE CONCRETO SIMPLES (PCS), FCK = 35 MPA, ESPESSURA DE 22,5 CM. AF_04/2022</t>
  </si>
  <si>
    <t>103911</t>
  </si>
  <si>
    <t>EXECUÇÃO DE PAVIMENTO DE CONCRETO SIMPLES (PCS), FCK = 35 MPA, ESPESSURA DE 25,0 CM. AF_04/2022</t>
  </si>
  <si>
    <t>103912</t>
  </si>
  <si>
    <t>EXECUÇÃO PAVIMENTO DE CONCRETO SIMPLES (PCS), FCK = 35 MPA, ESPESSURA DE 27,5 CM. AF_04/2022</t>
  </si>
  <si>
    <t>103913</t>
  </si>
  <si>
    <t>EXECUÇÃO DE PISO INDUSTRIAL DE CONCRETO ARMADO, FCK = 20 MPA, ESPESSURA DE 12,0 CM. AF_04/2022</t>
  </si>
  <si>
    <t>103914</t>
  </si>
  <si>
    <t>EXECUÇÃO DE PISO INDUSTRIAL DE CONCRETO ARMADO, FCK = 20 MPA, ESPESSURA DE 14,0 CM. AF_04/2022</t>
  </si>
  <si>
    <t>103915</t>
  </si>
  <si>
    <t>EXECUÇÃO DE PISO INDUSTRIAL DE CONCRETO ARMADO, FCK = 20 MPA, ESPESSURA DE 15,0 CM. AF_04/2022</t>
  </si>
  <si>
    <t>103916</t>
  </si>
  <si>
    <t>EXECUÇÃO DE PISO INDUSTRIAL DE CONCRETO ARMADO, FCK = 20 MPA, ESPESSURA DE 18,0 CM. AF_04/2022</t>
  </si>
  <si>
    <t>103917</t>
  </si>
  <si>
    <t>EXECUÇÃO DE PISO INDUSTRIAL DE CONCRETO ARMADO, FCK = 20 MPA, ESPESSURA DE 20,0 CM. AF_04/2022</t>
  </si>
  <si>
    <t>103918</t>
  </si>
  <si>
    <t>EXECUÇÃO DE PISO INDUSTRIAL DE CONCRETO ARMADO, FCK = 20 MPA, ESPESSURA DE 22,0 CM. AF_04/2022</t>
  </si>
  <si>
    <t>104432</t>
  </si>
  <si>
    <t>EXECUÇÃO DE PASSEIO EM PISO INTERTRAVADO, COM BLOCO RAQUETE  22 X 13,5 CM, ESPESSURA 6 CM. AF_10/2022</t>
  </si>
  <si>
    <t>104433</t>
  </si>
  <si>
    <t>EXECUÇÃO DE PAVIMENTO EM PISO INTERTRAVADO, COM BLOCO RAQUETE  22 X 13,5 CM, ESPESSURA 6 CM. AF_10/2022</t>
  </si>
  <si>
    <t>103689</t>
  </si>
  <si>
    <t>FORNECIMENTO E INSTALAÇÃO DE PLACA DE OBRA COM CHAPA GALVANIZADA E ESTRUTURA DE MADEIRA. AF_03/2022_PS</t>
  </si>
  <si>
    <t>103694</t>
  </si>
  <si>
    <t>FORNECIMENTO E INSTALAÇÃO DE SUPORTE DE MADEIRA  PARA PLACAS DE SINALIZAÇÃO, EM SOLO, COM H= DE 2,5 M E SEÇÃO DE 7,5 X 7,5 CM. AF_03/2022</t>
  </si>
  <si>
    <t>103695</t>
  </si>
  <si>
    <t>FORNECIMENTO E INSTALAÇÃO DE SUPORTE DE MADEIRA PARA PLACAS DE SINALIZAÇÃO, EM SOLO, COM H= DE 2,0 M E SEÇÃO DE 7,5 X 7,5 CM. AF_03/2022</t>
  </si>
  <si>
    <t>103696</t>
  </si>
  <si>
    <t>FORNECIMENTO E INSTALAÇÃO DE SUPORTE DE MADEIRA PARA PLACAS DE SINALIZAÇÃO EM CONCRETO, COM H= DE 2,5 M E SEÇÃO DE 7,5 X 7,5 CM. AF_03/2022</t>
  </si>
  <si>
    <t>103697</t>
  </si>
  <si>
    <t>FORNECIMENTO E INSTALAÇÃO DE SUPORTE DE MADEIRA PARA PLACAS DE SINALIZAÇÃO, EM BASE DE CONCRETO, COM H= DE 2,0 M E SEÇÃO DE 7,5 X 7,5 CM. AF_03/2022</t>
  </si>
  <si>
    <t>2,86</t>
  </si>
  <si>
    <t>FUNDO SELADOR ACRÍLICO, APLICAÇÃO MANUAL EM TETO, UMA DEMÃO. AF_04/2023</t>
  </si>
  <si>
    <t>FUNDO SELADOR ACRÍLICO, APLICAÇÃO MANUAL EM PAREDE, UMA DEMÃO. AF_04/2023</t>
  </si>
  <si>
    <t>PINTURA LÁTEX ACRÍLICA PREMIUM, APLICAÇÃO MANUAL EM TETO, DUAS DEMÃOS. AF_04/2023</t>
  </si>
  <si>
    <t>PINTURA LÁTEX ACRÍLICA PREMIUM, APLICAÇÃO MANUAL EM PAREDES, DUAS DEMÃOS. AF_04/2023</t>
  </si>
  <si>
    <t>EMASSAMENTO COM MASSA LÁTEX, APLICAÇÃO EM TETO, UMA DEMÃO, LIXAMENTO MANUAL. AF_04/2023</t>
  </si>
  <si>
    <t>EMASSAMENTO COM MASSA LÁTEX, APLICAÇÃO EM PAREDE, UMA DEMÃO, LIXAMENTO MANUAL. AF_04/2023</t>
  </si>
  <si>
    <t>EMASSAMENTO COM MASSA LÁTEX, APLICAÇÃO EM TETO, DUAS DEMÃOS, LIXAMENTO MANUAL. AF_04/2023</t>
  </si>
  <si>
    <t>EMASSAMENTO COM MASSA LÁTEX, APLICAÇÃO EM PAREDE, DUAS DEMÃOS, LIXAMENTO MANUAL. AF_04/2023</t>
  </si>
  <si>
    <t>TEXTURA ACRÍLICA, APLICAÇÃO MANUAL EM PAREDE, UMA DEMÃO. AF_04/2023</t>
  </si>
  <si>
    <t>TEXTURA ACRÍLICA, APLICAÇÃO MANUAL EM TETO, UMA DEMÃO. AF_04/2023</t>
  </si>
  <si>
    <t>104639</t>
  </si>
  <si>
    <t>PINTURA LÁTEX ACRÍLICA ECONÔMICA, APLICAÇÃO MANUAL EM TETO, DUAS DEMÃOS. AF_04/2023</t>
  </si>
  <si>
    <t>104640</t>
  </si>
  <si>
    <t>PINTURA LÁTEX ACRÍLICA STANDARD, APLICAÇÃO MANUAL EM TETO, DUAS DEMÃOS. AF_04/2023</t>
  </si>
  <si>
    <t>104641</t>
  </si>
  <si>
    <t>PINTURA LÁTEX ACRÍLICA ECONÔMICA, APLICAÇÃO MANUAL EM PAREDES, DUAS DEMÃOS. AF_04/2023</t>
  </si>
  <si>
    <t>8,88</t>
  </si>
  <si>
    <t>104642</t>
  </si>
  <si>
    <t>PINTURA LÁTEX ACRÍLICA STANDARD, APLICAÇÃO MANUAL EM PAREDES, DUAS DEMÃOS. AF_04/2023</t>
  </si>
  <si>
    <t>34,93</t>
  </si>
  <si>
    <t>102201</t>
  </si>
  <si>
    <t>APLICAÇÃO MASSA ACRÍLICA PARA MADEIRA, PARA PINTURA COM TINTA DE ACABAMENTO (PIGMENTADA). AF_01/2021</t>
  </si>
  <si>
    <t>8,36</t>
  </si>
  <si>
    <t>17,86</t>
  </si>
  <si>
    <t>PINTURA COM TINTA ALQUÍDICA DE FUNDO (TIPO ZARCÃO) PULVERIZADA SOBRE PERFIL METÁLICO EXECUTADO EM FÁBRICA (POR DEMÃO). AF_01/2020_PE</t>
  </si>
  <si>
    <t>PINTURA COM TINTA ALQUÍDICA DE FUNDO (TIPO ZARCÃO) PULVERIZADA SOBRE SUPERFÍCIES METÁLICAS (EXCETO PERFIL) EXECUTADO EM OBRA (POR DEMÃO). AF_01/2020_PE</t>
  </si>
  <si>
    <t>25,23</t>
  </si>
  <si>
    <t>PINTURA COM TINTA ALQUÍDICA DE FUNDO E ACABAMENTO (ESMALTE SINTÉTICO GRAFITE) PULVERIZADA SOBRE PERFIL METÁLICO EXECUTADO EM FÁBRICA (POR DEMÃO). AF_01/2020_PE</t>
  </si>
  <si>
    <t>PINTURA COM TINTA ALQUÍDICA DE FUNDO E ACABAMENTO (ESMALTE SINTÉTICO GRAFITE) PULVERIZADA SOBRE SUPERFÍCIES METÁLICAS (EXCETO PERFIL) EXECUTADO EM OBRA (POR DEMÃO). AF_01/2020_PE</t>
  </si>
  <si>
    <t>PINTURA COM TINTA EPOXÍDICA DE FUNDO PULVERIZADA SOBRE PERFIL METÁLICO EXECUTADO EM FÁBRICA (POR DEMÃO). AF_01/2020_PE</t>
  </si>
  <si>
    <t>PINTURA COM TINTA EPOXÍDICA DE ACABAMENTO PULVERIZADA SOBRE PERFIL METÁLICO EXECUTADO EM FÁBRICA (POR DEMÃO). AF_01/2020_PE</t>
  </si>
  <si>
    <t>PINTURA COM TINTA ACRÍLICA DE FUNDO PULVERIZADA SOBRE SUPERFÍCIES METÁLICAS (EXCETO PERFIL) EXECUTADO EM OBRA (POR DEMÃO). AF_01/2020_PE</t>
  </si>
  <si>
    <t>PINTURA COM TINTA ACRÍLICA DE ACABAMENTO PULVERIZADA SOBRE SUPERFÍCIES METÁLICAS (EXCETO PERFIL) EXECUTADO EM OBRA (POR DEMÃO). AF_01/2020_PE</t>
  </si>
  <si>
    <t>PINTURA COM TINTA ALQUÍDICA DE ACABAMENTO (ESMALTE SINTÉTICO ACETINADO) PULVERIZADA SOBRE PERFIL METÁLICO EXECUTADO EM FÁBRICA (POR DEMÃO). AF_01/2020_PE</t>
  </si>
  <si>
    <t>11,93</t>
  </si>
  <si>
    <t>PINTURA COM TINTA ALQUÍDICA DE ACABAMENTO (ESMALTE SINTÉTICO ACETINADO) PULVERIZADA SOBRE SUPERFÍCIES METÁLICAS (EXCETO PERFIL) EXECUTADO EM OBRA (POR DEMÃO). AF_01/2020_PE</t>
  </si>
  <si>
    <t>PINTURA COM TINTA ALQUÍDICA DE ACABAMENTO (ESMALTE SINTÉTICO BRILHANTE) PULVERIZADA SOBRE PERFIL METÁLICO EXECUTADO EM FÁBRICA  (POR DEMÃO). AF_01/2020_PE</t>
  </si>
  <si>
    <t>PINTURA COM TINTA ALQUÍDICA DE ACABAMENTO (ESMALTE SINTÉTICO BRILHANTE) PULVERIZADA SOBRE SUPERFÍCIES METÁLICAS (EXCETO PERFIL) EXECUTADO EM OBRA  (POR DEMÃO). AF_01/2020_PE</t>
  </si>
  <si>
    <t>PINTURA COM TINTA ALQUÍDICA DE ACABAMENTO (ESMALTE SINTÉTICO FOSCO) PULVERIZADA SOBRE PERFIL METÁLICO EXECUTADO EM FÁBRICA (POR DEMÃO). AF_01/2020_PE</t>
  </si>
  <si>
    <t>PINTURA COM TINTA ALQUÍDICA DE ACABAMENTO (ESMALTE SINTÉTICO FOSCO) PULVERIZADA SOBRE SUPERFÍCIES METÁLICAS (EXCETO PERFIL) EXECUTADO EM OBRA (POR DEMÃO). AF_01/2020_PE</t>
  </si>
  <si>
    <t>PINTURA COM TINTA EPOXÍDICA DE ACABAMENTO PULVERIZADA SOBRE PERFIL METÁLICO EXECUTADO EM FÁBRICA (02 DEMÃOS). AF_01/2020_PE</t>
  </si>
  <si>
    <t>PINTURA COM TINTA ACRÍLICA DE ACABAMENTO PULVERIZADA SOBRE SUPERFÍCIES METÁLICAS (EXCETO PERFIL) EXECUTADO EM OBRA (02 DEMÃOS). AF_01/2020_PE</t>
  </si>
  <si>
    <t>PINTURA COM TINTA ALQUÍDICA DE ACABAMENTO (ESMALTE SINTÉTICO ACETINADO) PULVERIZADA SOBRE SUPERFÍCIES METÁLICAS (EXCETO PERFIL) EXECUTADO EM OBRA (02 DEMÃOS). AF_01/2020_PE</t>
  </si>
  <si>
    <t>PINTURA COM TINTA ALQUÍDICA DE ACABAMENTO (ESMALTE SINTÉTICO BRILHANTE) PULVERIZADA SOBRE SUPERFÍCIES METÁLICAS (EXCETO PERFIL) EXECUTADO EM OBRA (02 DEMÃOS). AF_01/2020_PE</t>
  </si>
  <si>
    <t>PINTURA COM TINTA ALQUÍDICA DE ACABAMENTO (ESMALTE SINTÉTICO FOSCO) PULVERIZADA SOBRE SUPERFÍCIES METÁLICAS (EXCETO PERFIL) EXECUTADO EM OBRA (02 DEMÃOS). AF_01/2020_PE</t>
  </si>
  <si>
    <t>26,88</t>
  </si>
  <si>
    <t>76,62</t>
  </si>
  <si>
    <t>REVESTIMENTO CERÂMICO PARA PISO COM PLACAS TIPO PORCELANATO DE DIMENSÕES 60X60 CM APLICADA EM AMBIENTES DE ÁREA MENOR QUE 5 M². AF_02/2023_PE</t>
  </si>
  <si>
    <t>REVESTIMENTO CERÂMICO PARA PISO COM PLACAS TIPO PORCELANATO DE DIMENSÕES 60X60 CM APLICADA EM AMBIENTES DE ÁREA ENTRE 5 M² E 10 M². AF_02/2023_PE</t>
  </si>
  <si>
    <t>REVESTIMENTO CERÂMICO PARA PISO COM PLACAS TIPO PORCELANATO DE DIMENSÕES 60X60 CM APLICADA EM AMBIENTES DE ÁREA MAIOR QUE 10 M². AF_02/2023_PE</t>
  </si>
  <si>
    <t>104593</t>
  </si>
  <si>
    <t>104594</t>
  </si>
  <si>
    <t>104595</t>
  </si>
  <si>
    <t>104596</t>
  </si>
  <si>
    <t>REVESTIMENTO CERÂMICO PARA PISO COM PLACAS TIPO PORCELANATO DE DIMENSÕES 80X80 CM APLICADA EM AMBIENTES DE ÁREA MENOR QUE 5 M². AF_02/2023_PE</t>
  </si>
  <si>
    <t>104597</t>
  </si>
  <si>
    <t>REVESTIMENTO CERÂMICO PARA PISO COM PLACAS TIPO PORCELANATO DE DIMENSÕES 80X80 CM APLICADA EM AMBIENTES DE ÁREA ENTRE 5 M² E 10 M². AF_02/2023_PE</t>
  </si>
  <si>
    <t>104598</t>
  </si>
  <si>
    <t>REVESTIMENTO CERÂMICO PARA PISO COM PLACAS TIPO PORCELANATO DE DIMENSÕES 80X80 CM APLICADA EM AMBIENTES DE ÁREA MAIOR QUE 10 M². AF_02/2023_PE</t>
  </si>
  <si>
    <t>104599</t>
  </si>
  <si>
    <t>104601</t>
  </si>
  <si>
    <t>104603</t>
  </si>
  <si>
    <t>53,25</t>
  </si>
  <si>
    <t>104605</t>
  </si>
  <si>
    <t>104606</t>
  </si>
  <si>
    <t>104607</t>
  </si>
  <si>
    <t>PISO PODOTÁTIL DE ALERTA OU DIRECIONAL, DE BORRACHA, ASSENTADO SOBRE ARGAMASSA. AF_05/2020</t>
  </si>
  <si>
    <t>104162</t>
  </si>
  <si>
    <t>PISO EM GRANILITE, MARMORITE OU GRANITINA EM AMBIENTES INTERNOS, COM ESPESSURA DE 8 MM, INCLUSO MISTURA EM BETONEIRA, COLOCAÇÃO DAS JUNTAS, APLICAÇÃO DO PISO, 4 POLIMENTOS COM POLITRIZ, ESTUCAMENTO, SELADOR E CERA. AF_06/2022</t>
  </si>
  <si>
    <t>EXECUÇÃO DE PASSEIO (CALÇADA) OU PISO DE CONCRETO COM CONCRETO MOLDADO IN LOCO, FEITO EM OBRA, ACABAMENTO CONVENCIONAL, NÃO ARMADO. AF_08/2022</t>
  </si>
  <si>
    <t>EXECUÇÃO DE PASSEIO (CALÇADA) OU PISO DE CONCRETO COM CONCRETO MOLDADO IN LOCO, USINADO C20, ACABAMENTO CONVENCIONAL, NÃO ARMADO. AF_08/2022</t>
  </si>
  <si>
    <t>EXECUÇÃO DE PASSEIO (CALÇADA) OU PISO DE CONCRETO COM CONCRETO MOLDADO IN LOCO, FEITO EM OBRA, ACABAMENTO CONVENCIONAL, ESPESSURA 6 CM, ARMADO. AF_08/2022</t>
  </si>
  <si>
    <t>EXECUÇÃO DE PASSEIO (CALÇADA) OU PISO DE CONCRETO COM CONCRETO MOLDADO IN LOCO, USINADO, ACABAMENTO CONVENCIONAL, ESPESSURA 6 CM, ARMADO. AF_08/2022</t>
  </si>
  <si>
    <t>EXECUÇÃO DE PASSEIO (CALÇADA) OU PISO DE CONCRETO COM CONCRETO MOLDADO IN LOCO, FEITO EM OBRA, ACABAMENTO CONVENCIONAL, ESPESSURA 8 CM, ARMADO. AF_08/2022</t>
  </si>
  <si>
    <t>EXECUÇÃO DE PASSEIO (CALÇADA) OU PISO DE CONCRETO COM CONCRETO MOLDADO IN LOCO, USINADO, ACABAMENTO CONVENCIONAL, ESPESSURA 8 CM, ARMADO. AF_08/2022</t>
  </si>
  <si>
    <t>104626</t>
  </si>
  <si>
    <t>EXECUÇÃO DE PASSEIO (CALÇADA) OU PISO DE CONCRETO COM CONCRETO MOLDADO IN LOCO, USINADO C25, ACABAMENTO CONVENCIONAL, NÃO ARMADO. AF_03/2023</t>
  </si>
  <si>
    <t>38,92</t>
  </si>
  <si>
    <t>CHAPISCO APLICADO EM ALVENARIAS E ESTRUTURAS DE CONCRETO INTERNAS, COM COLHER DE PEDREIRO.  ARGAMASSA TRAÇO 1:3 COM PREPARO MANUAL. AF_10/2022</t>
  </si>
  <si>
    <t>CHAPISCO APLICADO EM ALVENARIAS E ESTRUTURAS DE CONCRETO INTERNAS, COM COLHER DE PEDREIRO.  ARGAMASSA TRAÇO 1:3 COM PREPARO EM BETONEIRA 400L. AF_10/2022</t>
  </si>
  <si>
    <t>CHAPISCO APLICADO NO TETO OU EM ALVENARIA E ESTRUTURA, COM ROLO PARA TEXTURA ACRÍLICA. ARGAMASSA TRAÇO 1:4 E EMULSÃO POLIMÉRICA (ADESIVO) COM PREPARO MANUAL. AF_10/2022</t>
  </si>
  <si>
    <t>CHAPISCO APLICADO NO TETO OU EM ALVENARIA E ESTRUTURA, COM ROLO PARA TEXTURA ACRÍLICA. ARGAMASSA TRAÇO 1:4 E EMULSÃO POLIMÉRICA (ADESIVO) COM PREPARO EM BETONEIRA 400L. AF_10/2022</t>
  </si>
  <si>
    <t>CHAPISCO APLICADO NO TETO OU EM ALVENARIA E ESTRUTURA, COM ROLO PARA TEXTURA ACRÍLICA. ARGAMASSA INDUSTRIALIZADA COM PREPARO MANUAL. AF_10/2022</t>
  </si>
  <si>
    <t>CHAPISCO APLICADO NO TETO OU EM ALVENARIA E ESTRUTURA, COM ROLO PARA TEXTURA ACRÍLICA. ARGAMASSA INDUSTRIALIZADA COM PREPARO EM MISTURADOR 300 KG. AF_10/2022</t>
  </si>
  <si>
    <t>CHAPISCO APLICADO NO TETO OU EM ESTRUTURA, COM DESEMPENADEIRA DENTADA. ARGAMASSA INDUSTRIALIZADA COM PREPARO MANUAL. AF_10/2022</t>
  </si>
  <si>
    <t>CHAPISCO APLICADO NO TETO OU EM ESTRUTURA, COM DESEMPENADEIRA DENTADA. ARGAMASSA INDUSTRIALIZADA COM PREPARO EM MISTURADOR 300 KG. AF_10/2022</t>
  </si>
  <si>
    <t>CHAPISCO APLICADO EM ALVENARIA (SEM PRESENÇA DE VÃOS) E ESTRUTURAS DE CONCRETO DE FACHADA, COM ROLO PARA TEXTURA ACRÍLICA.  ARGAMASSA TRAÇO 1:4 E EMULSÃO POLIMÉRICA (ADESIVO) COM PREPARO MANUAL. AF_10/2022</t>
  </si>
  <si>
    <t>CHAPISCO APLICADO EM ALVENARIA (SEM PRESENÇA DE VÃOS) E ESTRUTURAS DE CONCRETO DE FACHADA, COM ROLO PARA TEXTURA ACRÍLICA.  ARGAMASSA TRAÇO 1:4 E EMULSÃO POLIMÉRICA (ADESIVO) COM PREPARO EM BETONEIRA 400L. AF_10/2022</t>
  </si>
  <si>
    <t>CHAPISCO APLICADO EM ALVENARIA (SEM PRESENÇA DE VÃOS) E ESTRUTURAS DE CONCRETO DE FACHADA, COM ROLO PARA TEXTURA ACRÍLICA. ARGAMASSA INDUSTRIALIZADA COM PREPARO MANUAL. AF_10/2022</t>
  </si>
  <si>
    <t>CHAPISCO APLICADO EM ALVENARIA (SEM PRESENÇA DE VÃOS) E ESTRUTURAS DE CONCRETO DE FACHADA, COM ROLO PARA TEXTURA ACRÍLICA.  ARGAMASSA INDUSTRIALIZADA COM PREPARO EM MISTURADOR 300 KG. AF_10/2022</t>
  </si>
  <si>
    <t>CHAPISCO APLICADO EM ALVENARIA (SEM PRESENÇA DE VÃOS) E ESTRUTURAS DE CONCRETO DE FACHADA, COM COLHER DE PEDREIRO.  ARGAMASSA TRAÇO 1:3 COM PREPARO MANUAL. AF_10/2022</t>
  </si>
  <si>
    <t>CHAPISCO APLICADO EM ALVENARIA (SEM PRESENÇA DE VÃOS) E ESTRUTURAS DE CONCRETO DE FACHADA, COM COLHER DE PEDREIRO.  ARGAMASSA TRAÇO 1:3 COM PREPARO EM BETONEIRA 400L. AF_10/2022</t>
  </si>
  <si>
    <t>CHAPISCO APLICADO EM ALVENARIA (SEM PRESENÇA DE VÃOS) E ESTRUTURAS DE CONCRETO DE FACHADA, COM EQUIPAMENTO DE PROJEÇÃO. ARGAMASSA TRAÇO 1:3 COM PREPARO MANUAL. AF_10/2022</t>
  </si>
  <si>
    <t>CHAPISCO APLICADO EM ALVENARIA (SEM PRESENÇA DE VÃOS) E ESTRUTURAS DE CONCRETO DE FACHADA, COM EQUIPAMENTO DE PROJEÇÃO.  ARGAMASSA TRAÇO 1:3 COM PREPARO EM BETONEIRA 400 L. AF_10/2022</t>
  </si>
  <si>
    <t>CHAPISCO APLICADO EM ALVENARIA (COM PRESENÇA DE VÃOS) E ESTRUTURAS DE CONCRETO DE FACHADA, COM ROLO PARA TEXTURA ACRÍLICA.  ARGAMASSA TRAÇO 1:4 E EMULSÃO POLIMÉRICA (ADESIVO) COM PREPARO MANUAL. AF_10/2022</t>
  </si>
  <si>
    <t>CHAPISCO APLICADO EM ALVENARIA (COM PRESENÇA DE VÃOS) E ESTRUTURAS DE CONCRETO DE FACHADA, COM ROLO PARA TEXTURA ACRÍLICA.  ARGAMASSA TRAÇO 1:4 E EMULSÃO POLIMÉRICA (ADESIVO) COM PREPARO EM BETONEIRA 400L. AF_10/2022</t>
  </si>
  <si>
    <t>CHAPISCO APLICADO EM ALVENARIA (COM PRESENÇA DE VÃOS) E ESTRUTURAS DE CONCRETO DE FACHADA, COM ROLO PARA TEXTURA ACRÍLICA.  ARGAMASSA INDUSTRIALIZADA COM PREPARO MANUAL. AF_10/2022</t>
  </si>
  <si>
    <t>CHAPISCO APLICADO EM ALVENARIA (COM PRESENÇA DE VÃOS) E ESTRUTURAS DE CONCRETO DE FACHADA, COM ROLO PARA TEXTURA ACRÍLICA.  ARGAMASSA INDUSTRIALIZADA COM PREPARO EM MISTURADOR 300 KG. AF_10/2022</t>
  </si>
  <si>
    <t>CHAPISCO APLICADO EM ALVENARIA (COM PRESENÇA DE VÃOS) E ESTRUTURAS DE CONCRETO DE FACHADA, COM COLHER DE PEDREIRO.  ARGAMASSA TRAÇO 1:3 COM PREPARO MANUAL. AF_10/2022</t>
  </si>
  <si>
    <t>CHAPISCO APLICADO EM ALVENARIA (COM PRESENÇA DE VÃOS) E ESTRUTURAS DE CONCRETO DE FACHADA, COM COLHER DE PEDREIRO.  ARGAMASSA TRAÇO 1:3 COM PREPARO EM BETONEIRA 400L. AF_10/2022</t>
  </si>
  <si>
    <t>CHAPISCO APLICADO EM ALVENARIA (COM PRESENÇA DE VÃOS) E ESTRUTURAS DE CONCRETO DE FACHADA, COM EQUIPAMENTO DE PROJEÇÃO.  ARGAMASSA TRAÇO 1:3 COM PREPARO MANUAL. AF_10/2022</t>
  </si>
  <si>
    <t>CHAPISCO APLICADO EM ALVENARIA (COM PRESENÇA DE VÃOS) E ESTRUTURAS DE CONCRETO DE FACHADA, COM EQUIPAMENTO DE PROJEÇÃO.  ARGAMASSA TRAÇO 1:3 COM PREPARO EM BETONEIRA 400 L. AF_10/2022</t>
  </si>
  <si>
    <t>CHAPISCO APLICADO SOMENTE NA ESTRUTURA DE CONCRETO DA FACHADA, COM DESEMPENADEIRA DENTADA. ARGAMASSA INDUSTRIALIZADA COM PREPARO MANUAL. AF_10/2022</t>
  </si>
  <si>
    <t>CHAPISCO APLICADO SOMENTE NA ESTRUTURA DE CONCRETO DA FACHADA, COM DESEMPENADEIRA DENTADA. ARGAMASSA INDUSTRIALIZADA COM PREPARO EM MISTURADOR 300 KG. AF_10/2022</t>
  </si>
  <si>
    <t>104410</t>
  </si>
  <si>
    <t>CHAPISCO APLICADO EM ALVENARIA E ESTRUTURAS DE CONCRETO INTERNAS, COM EQUIPAMENTO DE PROJEÇÃO.  ARGAMASSA TRAÇO 1:3 COM PREPARO MANUAL. AF_10/2022</t>
  </si>
  <si>
    <t>104411</t>
  </si>
  <si>
    <t>CHAPISCO APLICADO EM ALVENARIA E ESTRUTURAS DE CONCRETO INTERNAS, COM EQUIPAMENTO DE PROJEÇÃO.  ARGAMASSA TRAÇO 1:3 COM PREPARO EM BETONEIRA 400 L. AF_10/2022</t>
  </si>
  <si>
    <t>APLICAÇÃO MANUAL DE GESSO DESEMPENADO (SEM TALISCAS) EM TETO DE AMBIENTES DE ÁREA MAIOR QUE 10M², ESPESSURA DE 0,5CM. AF_03/2023</t>
  </si>
  <si>
    <t>APLICAÇÃO MANUAL DE GESSO DESEMPENADO (SEM TALISCAS) EM TETO DE AMBIENTES DE ÁREA ENTRE 5M² E 10M², ESPESSURA DE 0,5CM. AF_03/2023</t>
  </si>
  <si>
    <t>APLICAÇÃO MANUAL DE GESSO DESEMPENADO (SEM TALISCAS) EM TETO DE AMBIENTES DE ÁREA MENOR QUE 5M², ESPESSURA DE 0,5CM. AF_03/2023</t>
  </si>
  <si>
    <t>APLICAÇÃO MANUAL DE GESSO DESEMPENADO (SEM TALISCAS) EM TETO DE AMBIENTES DE ÁREA MAIOR QUE 10M², ESPESSURA DE 1,0CM. AF_03/2023</t>
  </si>
  <si>
    <t>APLICAÇÃO MANUAL DE GESSO DESEMPENADO (SEM TALISCAS) EM TETO DE AMBIENTES DE ÁREA ENTRE 5M² E 10M², ESPESSURA DE 1,0CM. AF_03/2023</t>
  </si>
  <si>
    <t>APLICAÇÃO MANUAL DE GESSO DESEMPENADO (SEM TALISCAS) EM TETO DE AMBIENTES DE ÁREA MENOR QUE 5M², ESPESSURA DE 1,0CM. AF_03/2023</t>
  </si>
  <si>
    <t>APLICAÇÃO MANUAL DE GESSO DESEMPENADO (SEM TALISCAS) EM PAREDES, ESPESSURA DE 0,5CM. AF_03/2023</t>
  </si>
  <si>
    <t>APLICAÇÃO MANUAL DE GESSO DESEMPENADO (SEM TALISCAS) EM PAREDES, ESPESSURA DE 1,0CM. AF_03/2023</t>
  </si>
  <si>
    <t>APLICAÇÃO MANUAL DE GESSO SARRAFEADO (COM TALISCAS) EM PAREDES, ESPESSURA DE 1,0CM. AF_03/2023</t>
  </si>
  <si>
    <t>APLICAÇÃO MANUAL DE GESSO SARRAFEADO (COM TALISCAS) EM PAREDES, ESPESSURA DE 1,5CM. AF_03/2023</t>
  </si>
  <si>
    <t>APLICAÇÃO DE GESSO PROJETADO COM EQUIPAMENTO DE PROJEÇÃO EM PAREDES, DESEMPENADO (SEM TALISCAS), ESPESSURA DE 0,5CM. AF_03/2023</t>
  </si>
  <si>
    <t>APLICAÇÃO DE GESSO PROJETADO COM EQUIPAMENTO DE PROJEÇÃO EM PAREDES, DESEMPENADO (SEM TALISCAS), ESPESSURA DE 1,0CM. AF_03/2023</t>
  </si>
  <si>
    <t>APLICAÇÃO DE GESSO PROJETADO COM EQUIPAMENTO DE PROJEÇÃO EM PAREDES, SARRAFEADO (COM TALISCAS), ESPESSURA DE 1,0CM. AF_03/2023</t>
  </si>
  <si>
    <t>APLICAÇÃO DE GESSO PROJETADO COM EQUIPAMENTO DE PROJEÇÃO EM PAREDES, SARRAFEADO (COM TALISCAS), ESPESSURA DE 1,5CM. AF_03/2023</t>
  </si>
  <si>
    <t>EMBOÇO OU MASSA ÚNICA EM ARGAMASSA TRAÇO 1:2:8, PREPARO MECÂNICO COM BETONEIRA 400 L, APLICADA MANUALMENTE EM PANOS DE FACHADA COM PRESENÇA DE VÃOS, ESPESSURA DE 25 MM. AF_08/2022</t>
  </si>
  <si>
    <t>EMBOÇO OU MASSA ÚNICA EM ARGAMASSA TRAÇO 1:2:8, PREPARO MANUAL, APLICADA MANUALMENTE EM PANOS DE FACHADA COM PRESENÇA DE VÃOS, ESPESSURA DE 25 MM. AF_08/2022</t>
  </si>
  <si>
    <t>EMBOÇO OU MASSA ÚNICA EM ARGAMASSA INDUSTRIALIZADA, PREPARO MECÂNICO E APLICAÇÃO COM EQUIPAMENTO DE MISTURA E PROJEÇÃO DE 1,5 M3/H DE ARGAMASSA EM PANOS DE FACHADA COM PRESENÇA DE VÃOS, ESPESSURA DE 25 MM. AF_08/2022</t>
  </si>
  <si>
    <t>EMBOÇO OU MASSA ÚNICA EM ARGAMASSA TRAÇO 1:2:8, PREPARO MECÂNICO COM BETONEIRA 400 L, APLICADA MANUALMENTE EM PANOS DE FACHADA COM PRESENÇA DE VÃOS, ESPESSURA DE 35 MM. AF_08/2022</t>
  </si>
  <si>
    <t>EMBOÇO OU MASSA ÚNICA EM ARGAMASSA TRAÇO 1:2:8, PREPARO MANUAL, APLICADA MANUALMENTE EM PANOS DE FACHADA COM PRESENÇA DE VÃOS, ESPESSURA DE 35 MM. AF_08/2022</t>
  </si>
  <si>
    <t>EMBOÇO OU MASSA ÚNICA EM ARGAMASSA INDUSTRIALIZADA, PREPARO MECÂNICO E APLICAÇÃO COM EQUIPAMENTO DE MISTURA E PROJEÇÃO DE 1,5 M3/H DE ARGAMASSA EM PANOS DE FACHADA COM PRESENÇA DE VÃOS, ESPESSURA DE 35 MM. AF_08/2022</t>
  </si>
  <si>
    <t>EMBOÇO OU MASSA ÚNICA EM ARGAMASSA TRAÇO 1:2:8, PREPARO MECÂNICO COM BETONEIRA 400 L, APLICADA MANUALMENTE EM PANOS DE FACHADA COM PRESENÇA DE VÃOS, ESPESSURA DE 45 MM. AF_08/2022</t>
  </si>
  <si>
    <t>EMBOÇO OU MASSA ÚNICA EM ARGAMASSA TRAÇO 1:2:8, PREPARO MANUAL, APLICADA MANUALMENTE EM PANOS DE FACHADA COM PRESENÇA DE VÃOS, ESPESSURA DE 45 MM. AF_08/2022</t>
  </si>
  <si>
    <t>EMBOÇO OU MASSA ÚNICA EM ARGAMASSA INDUSTRIALIZADA, PREPARO MECÂNICO E APLICAÇÃO COM EQUIPAMENTO DE MISTURA E PROJEÇÃO DE 1,5 M3/H DE ARGAMASSA EM PANOS DE FACHADA COM PRESENÇA DE VÃOS, ESPESSURA DE 45 MM. AF_08/2022</t>
  </si>
  <si>
    <t>EMBOÇO OU MASSA ÚNICA EM ARGAMASSA TRAÇO 1:2:8, PREPARO MECÂNICO COM BETONEIRA 400 L, APLICADA MANUALMENTE EM PANOS DE FACHADA COM PRESENÇA DE VÃOS, ESPESSURA MAIOR OU IGUAL A 50 MM. AF_08/2022</t>
  </si>
  <si>
    <t>EMBOÇO OU MASSA ÚNICA EM ARGAMASSA INDUSTRIALIZADA, PREPARO MECÂNICO E APLICAÇÃO COM EQUIPAMENTO DE MISTURA E PROJEÇÃO DE 1,5 M3/H DE ARGAMASSA EM PANOS DE FACHADA COM PRESENÇA DE VÃOS, ESPESSURA MAIOR OU IGUAL A 50 MM. AF_08/2022</t>
  </si>
  <si>
    <t>EMBOÇO OU MASSA ÚNICA EM ARGAMASSA TRAÇO 1:2:8, PREPARO MECÂNICO COM BETONEIRA 400 L, APLICADA MANUALMENTE EM PANOS CEGOS DE FACHADA (SEM PRESENÇA DE VÃOS), ESPESSURA DE 25 MM. AF_08/2022</t>
  </si>
  <si>
    <t>EMBOÇO OU MASSA ÚNICA EM ARGAMASSA TRAÇO 1:2:8, PREPARO MANUAL, APLICADA MANUALMENTE EM PANOS CEGOS DE FACHADA (SEM PRESENÇA DE VÃOS), ESPESSURA DE 25 MM. AF_09/2022</t>
  </si>
  <si>
    <t>EMBOÇO OU MASSA ÚNICA EM ARGAMASSA INDUSTRIALIZADA, PREPARO MECÂNICO E APLICAÇÃO COM EQUIPAMENTO DE MISTURA E PROJEÇÃO DE 1,5 M3/H DE ARGAMASSA EM PANOS CEGOS DE FACHADA (SEM PRESENÇA DE VÃOS), ESPESSURA DE 25 MM. AF_08/2022</t>
  </si>
  <si>
    <t>EMBOÇO OU MASSA ÚNICA EM ARGAMASSA TRAÇO 1:2:8, PREPARO MECÂNICO COM BETONEIRA 400 L, APLICADA MANUALMENTE EM PANOS CEGOS DE FACHADA (SEM PRESENÇA DE VÃOS), ESPESSURA DE 35 MM. AF_08/2022</t>
  </si>
  <si>
    <t>EMBOÇO OU MASSA ÚNICA EM ARGAMASSA TRAÇO 1:2:8, PREPARO MANUAL, APLICADA MANUALMENTE EM PANOS CEGOS DE FACHADA (SEM PRESENÇA DE VÃOS), ESPESSURA DE 35 MM. AF_08/2022</t>
  </si>
  <si>
    <t>EMBOÇO OU MASSA ÚNICA EM ARGAMASSA INDUSTRIALIZADA, PREPARO MECÂNICO E APLICAÇÃO COM EQUIPAMENTO DE MISTURA E PROJEÇÃO DE 1,5 M3/H DE ARGAMASSA EM PANOS CEGOS DE FACHADA (SEM PRESENÇA DE VÃOS), ESPESSURA DE 35 MM. AF_08/2022</t>
  </si>
  <si>
    <t>EMBOÇO OU MASSA ÚNICA EM ARGAMASSA TRAÇO 1:2:8, PREPARO MECÂNICO COM BETONEIRA 400 L, APLICADA MANUALMENTE EM PANOS CEGOS DE FACHADA (SEM PRESENÇA DE VÃOS), ESPESSURA DE 45 MM. AF_08/2022</t>
  </si>
  <si>
    <t>EMBOÇO OU MASSA ÚNICA EM ARGAMASSA TRAÇO 1:2:8, PREPARO MANUAL, APLICADA MANUALMENTE EM PANOS CEGOS DE FACHADA (SEM PRESENÇA DE VÃOS), ESPESSURA DE 45 MM. AF_08/2022</t>
  </si>
  <si>
    <t>EMBOÇO OU MASSA ÚNICA EM ARGAMASSA INDUSTRIALIZADA, PREPARO MECÂNICO E APLICAÇÃO COM EQUIPAMENTO DE MISTURA E PROJEÇÃO DE 1,5 M3/H DE ARGAMASSA EM PANOS CEGOS DE FACHADA (SEM PRESENÇA DE VÃOS), ESPESSURA DE 45 MM. AF_08/2022</t>
  </si>
  <si>
    <t>EMBOÇO OU MASSA ÚNICA EM ARGAMASSA TRAÇO 1:2:8, PREPARO MECÂNICO COM BETONEIRA 400 L, APLICADA MANUALMENTE EM PANOS CEGOS DE FACHADA (SEM PRESENÇA DE VÃOS), ESPESSURA MAIOR OU IGUAL A 50 MM. AF_08/2022</t>
  </si>
  <si>
    <t>EMBOÇO OU MASSA ÚNICA EM ARGAMASSA TRAÇO 1:2:8, PREPARO MANUAL, APLICADA MANUALMENTE EM PANOS CEGOS DE FACHADA (SEM PRESENÇA DE VÃOS), ESPESSURA MAIOR OU IGUAL A 50 MM. AF_08/2022</t>
  </si>
  <si>
    <t>EMBOÇO OU MASSA ÚNICA EM ARGAMASSA INDUSTRIALIZADA, PREPARO MECÂNICO E APLICAÇÃO COM EQUIPAMENTO DE MISTURA E PROJEÇÃO DE 1,5 M3/H DE ARGAMASSA EM PANOS CEGOS DE FACHADA (SEM PRESENÇA DE VÃOS), ESPESSURA MAIOR OU IGUAL A 50 MM. AF_08/2022</t>
  </si>
  <si>
    <t>EMBOÇO OU MASSA ÚNICA EM ARGAMASSA TRAÇO 1:2:8, PREPARO MECÂNICO COM BETONEIRA 400 L, APLICADA MANUALMENTE EM SUPERFÍCIES EXTERNAS DA SACADA, ESPESSURA DE 25 MM, SEM USO DE TELA METÁLICA DE REFORÇO CONTRA FISSURAÇÃO. AF_08/2022</t>
  </si>
  <si>
    <t>EMBOÇO OU MASSA ÚNICA EM ARGAMASSA TRAÇO 1:2:8, PREPARO MANUAL, APLICADA MANUALMENTE EM SUPERFÍCIES EXTERNAS DA SACADA, ESPESSURA DE 25 MM, SEM USO DE TELA METÁLICA DE REFORÇO CONTRA FISSURAÇÃO. AF_08/2022</t>
  </si>
  <si>
    <t>EMBOÇO OU MASSA ÚNICA EM ARGAMASSA INDUSTRIALIZADA, PREPARO MECÂNICO E APLICAÇÃO COM EQUIPAMENTO DE MISTURA E PROJEÇÃO DE 1,5 M3/H EM SUPERFÍCIES EXTERNAS DA SACADA, ESPESSURA 25 MM, SEM USO DE TELA METÁLICA. AF_08/2022</t>
  </si>
  <si>
    <t>EMBOÇO OU MASSA ÚNICA EM ARGAMASSA TRAÇO 1:2:8, PREPARO MECÂNICO COM BETONEIRA 400 L, APLICADA MANUALMENTE EM SUPERFÍCIES EXTERNAS DA SACADA, ESPESSURA DE 35 MM, SEM USO DE TELA METÁLICA DE REFORÇO CONTRA FISSURAÇÃO. AF_08/2022</t>
  </si>
  <si>
    <t>EMBOÇO OU MASSA ÚNICA EM ARGAMASSA TRAÇO 1:2:8, PREPARO MANUAL, APLICADA MANUALMENTE EM SUPERFÍCIES EXTERNAS DA SACADA, ESPESSURA DE 35 MM, SEM USO DE TELA METÁLICA DE REFORÇO CONTRA FISSURAÇÃO. AF_08/2022</t>
  </si>
  <si>
    <t>EMBOÇO OU MASSA ÚNICA EM ARGAMASSA INDUSTRIALIZADA, PREPARO MECÂNICO E APLICAÇÃO COM EQUIPAMENTO DE MISTURA E PROJEÇÃO DE 1,5 M3/H EM SUPERFÍCIES EXTERNAS DA SACADA, ESPESSURA 35 MM, SEM USO DE TELA METÁLICA. AF_08/2022</t>
  </si>
  <si>
    <t>EMBOÇO OU MASSA ÚNICA EM ARGAMASSA TRAÇO 1:2:8, PREPARO MECÂNICO COM BETONEIRA 400 L, APLICADA MANUALMENTE EM SUPERFÍCIES EXTERNAS DA SACADA, ESPESSURA DE 45 MM, SEM USO DE TELA METÁLICA DE REFORÇO CONTRA FISSURAÇÃO. AF_08/2022</t>
  </si>
  <si>
    <t>EMBOÇO OU MASSA ÚNICA EM ARGAMASSA TRAÇO 1:2:8, PREPARO MANUAL, APLICADA MANUALMENTE EM SUPERFÍCIES EXTERNAS DA SACADA, ESPESSURA DE 45 MM, SEM USO DE TELA METÁLICA DE REFORÇO CONTRA FISSURAÇÃO. AF_08/2022</t>
  </si>
  <si>
    <t>EMBOÇO OU MASSA ÚNICA EM ARGAMASSA INDUSTRIALIZADA, PREPARO MECÂNICO E APLICAÇÃO COM EQUIPAMENTO DE MISTURA E PROJEÇÃO DE 1,5 M3/H EM SUPERFÍCIES EXTERNAS DA SACADA, ESPESSURA 45 MM, SEM USO DE TELA METÁLICA. AF_08/2022</t>
  </si>
  <si>
    <t>EMBOÇO OU MASSA ÚNICA EM ARGAMASSA TRAÇO 1:2:8, PREPARO MECÂNICO COM BETONEIRA 400 L, APLICADA MANUALMENTE EM SUPERFÍCIES EXTERNAS DA SACADA, ESPESSURA MAIOR OU IGUAL A 50 MM, SEM USO DE TELA METÁLICA DE REFORÇO CONTRA FISSURAÇÃO. AF_08/2022</t>
  </si>
  <si>
    <t>EMBOÇO OU MASSA ÚNICA EM ARGAMASSA INDUSTRIALIZADA, PREPARO MECÂNICO E APLICAÇÃO COM EQUIPAMENTO DE MISTURA E PROJEÇÃO DE 1,5 M3/H EM SUPERFÍCIES EXTERNAS DA SACADA, ESPESSURA MAIOR OU IGUAL A 50 MM, SEM USO DE TELA METÁLICA. AF_08/2022</t>
  </si>
  <si>
    <t>EMBOÇO OU MASSA ÚNICA EM ARGAMASSA TRAÇO 1:2:8, PREPARO MECÂNICO COM BETONEIRA 400 L, APLICADA MANUALMENTE NAS PAREDES INTERNAS DA SACADA, ESPESSURA DE 25 MM, SEM USO DE TELA METÁLICA DE REFORÇO CONTRA FISSURAÇÃO. AF_08/2022</t>
  </si>
  <si>
    <t>EMBOÇO OU MASSA ÚNICA EM ARGAMASSA TRAÇO 1:2:8, PREPARO MANUAL, APLICADA MANUALMENTE NAS PAREDES INTERNAS DA SACADA, ESPESSURA DE 25 MM, SEM USO DE TELA METÁLICA DE REFORÇO CONTRA FISSURAÇÃO. AF_08/2022</t>
  </si>
  <si>
    <t>EMBOÇO OU MASSA ÚNICA EM ARGAMASSA INDUSTRIALIZADA, PREPARO MECÂNICO E APLICAÇÃO COM EQUIPAMENTO DE MISTURA E PROJEÇÃO DE 1,5 M3/H NAS PAREDES INTERNAS DA SACADA, ESPESSURA 25 MM, SEM USO DE TELA METÁLICA. AF_08/2022</t>
  </si>
  <si>
    <t>EMBOÇO OU MASSA ÚNICA EM ARGAMASSA TRAÇO 1:2:8, PREPARO MECÂNICO COM BETONEIRA 400 L, APLICADA MANUALMENTE NAS PAREDES INTERNAS DA SACADA, ESPESSURA DE 35 MM, SEM USO DE TELA METÁLICA DE REFORÇO CONTRA FISSURAÇÃO. AF_08/2022</t>
  </si>
  <si>
    <t>EMBOÇO OU MASSA ÚNICA EM ARGAMASSA TRAÇO 1:2:8, PREPARO MANUAL, APLICADA MANUALMENTE NAS PAREDES INTERNAS DA SACADA, ESPESSURA DE 35 MM, SEM USO DE TELA METÁLICA DE REFORÇO CONTRA FISSURAÇÃO. AF_08/2022</t>
  </si>
  <si>
    <t>EMBOÇO OU MASSA ÚNICA EM ARGAMASSA INDUSTRIALIZADA, PREPARO MECÂNICO E APLICAÇÃO COM EQUIPAMENTO DE MISTURA E PROJEÇÃO DE 1,5 M3/H DE ARGAMASSA NAS PAREDES INTERNAS DA SACADA, ESPESSURA 35 MM, SEM USO DE TELA METÁLICA. AF_08/2022</t>
  </si>
  <si>
    <t>104203</t>
  </si>
  <si>
    <t>EMBOÇO OU MASSA ÚNICA EM ARGAMASSA TRAÇO 1:2:8, PREPARO MECÂNICA COM BETONEIRA 400 L, APLICADA COM PROJETOR TIPO CANEQUINHA EM PANOS DE FACHADA COM PRESENÇA DE VÃOS, ESPESSURA DE 25 MM, ACESSO POR BALANCIM MANUAL. AF_08/2022</t>
  </si>
  <si>
    <t>104204</t>
  </si>
  <si>
    <t>EMBOÇO OU MASSA ÚNICA EM ARGAMASSA TRAÇO 1:2:8, PREPARO MECÂNICA COM BETONEIRA 400 L, APLICADA COM PROJETOR TIPO CANEQUINHA EM PANOS DE FACHADA COM PRESENÇA DE VÃOS, ESPESSURA DE 35 MM, ACESSO POR BALANCIM MANUAL. AF_08/2022</t>
  </si>
  <si>
    <t>104205</t>
  </si>
  <si>
    <t>EMBOÇO OU MASSA ÚNICA EM ARGAMASSA TRAÇO 1:2:8, PREPARO MECÂNICA COM BETONEIRA 400 L, APLICADA COM PROJETOR TIPO CANEQUINHA EM PANOS DE FACHADA COM PRESENÇA DE VÃOS, ESPESSURA DE 45 MM, ACESSO POR BALANCIM MANUAL. AF_08/2022</t>
  </si>
  <si>
    <t>104206</t>
  </si>
  <si>
    <t>EMBOÇO OU MASSA ÚNICA EM ARGAMASSA TRAÇO 1:2:8, PREPARO MECÂNICA COM BETONEIRA 400 L, APLICADA COM PROJETOR TIPO CANEQUINHA EM PANOS DE FACHADA COM PRESENÇA DE VÃOS, ESPESSURA DE 50 MM, ACESSO POR BALANCIM MANUAL. AF_08/2022</t>
  </si>
  <si>
    <t>104207</t>
  </si>
  <si>
    <t>EMBOÇO OU MASSA ÚNICA EM ARGAMASSA TRAÇO 1:2:8, PREPARO MECÂNICA COM BETONEIRA 400 L, APLICADA COM PROJETOR TIPO CANEQUINHA EM PANOS DE FACHADA SEM PRESENÇA DE VÃOS, ESPESSURA DE 25 MM, ACESSO POR BALANCIM MANUAL. AF_08/2022</t>
  </si>
  <si>
    <t>104208</t>
  </si>
  <si>
    <t>EMBOÇO OU MASSA ÚNICA EM ARGAMASSA TRAÇO 1:2:8, PREPARO MECÂNICA COM BETONEIRA 400 L, APLICADA COM PROJETOR TIPO CANEQUINHA EM PANOS DE FACHADA SEM PRESENÇA DE VÃOS, ESPESSURA DE 35 MM, ACESSO POR BALANCIM MANUAL. AF_08/2022</t>
  </si>
  <si>
    <t>104209</t>
  </si>
  <si>
    <t>EMBOÇO OU MASSA ÚNICA EM ARGAMASSA TRAÇO 1:2:8, PREPARO MECÂNICA COM BETONEIRA 400 L, APLICADA COM PROJETOR TIPO CANEQUINHA EM PANOS DE FACHADA SEM PRESENÇA DE VÃOS, ESPESSURA DE 45 MM, ACESSO POR BALANCIM MANUAL. AF_08/2022</t>
  </si>
  <si>
    <t>104210</t>
  </si>
  <si>
    <t>EMBOÇO OU MASSA ÚNICA EM ARGAMASSA TRAÇO 1:2:8, PREPARO MECÂNICA COM BETONEIRA 400 L, APLICADA COM PROJETOR TIPO CANEQUINHA EM PANOS DE FACHADA SEM PRESENÇA DE VÃOS, ESPESSURA DE 50 MM, ACESSO POR BALANCIM MANUAL. AF_08/2022</t>
  </si>
  <si>
    <t>104211</t>
  </si>
  <si>
    <t>EMBOÇO OU MASSA ÚNICA EM ARGAMASSA TRAÇO 1:2:8, PREPARO MECÂNICA COM BETONEIRA 400 L, APLICADA COM PROJETOR TIPO CANEQUINHA EM SUPERFÍCIES EXTERNAS DA SACADA, ESPESSURA DE 25 MM, ACESSO POR BALANCIM MANUAL, SEM USO DE TELA METÁLICA. AF_08/2022</t>
  </si>
  <si>
    <t>104212</t>
  </si>
  <si>
    <t>EMBOÇO OU MASSA ÚNICA EM ARGAMASSA TRAÇO 1:2:8, PREPARO MECÂNICA COM BETONEIRA 400 L, APLICADA COM PROJETOR TIPO CANEQUINHA EM SUPERFÍCIES EXTERNAS DA SACADA, ESPESSURA DE 35 MM, ACESSO POR BALANCIM MANUAL, SEM USO DE TELA METÁLICA. AF_08/2022</t>
  </si>
  <si>
    <t>104213</t>
  </si>
  <si>
    <t>EMBOÇO OU MASSA ÚNICA EM ARGAMASSA TRAÇO 1:2:8, PREPARO MECÂNICA COM BETONEIRA 400 L, APLICADA COM PROJETOR TIPO CANEQUINHA EM SUPERFÍCIES EXTERNAS DA SACADA, ESPESSURA DE 45 MM, ACESSO POR BALANCIM MANUAL, SEM USO DE TELA METÁLICA. AF_08/2022</t>
  </si>
  <si>
    <t>104214</t>
  </si>
  <si>
    <t>EMBOÇO OU MASSA ÚNICA EM ARGAMASSA TRAÇO 1:2:8, PREPARO MECÂNICA COM BETONEIRA 400 L, APLICADA COM PROJETOR TIPO CANEQUINHA EM SUPERFÍCIES EXTERNAS DA SACADA, ESPESSURA DE 50 MM, ACESSO POR BALANCIM MANUAL, SEM USO DE TELA METÁLICA. AF_08/2022</t>
  </si>
  <si>
    <t>104215</t>
  </si>
  <si>
    <t>EMBOÇO OU MASSA ÚNICA EM ARGAMASSA TRAÇO 1:2:8, PREPARO MECÂNICA COM BETONEIRA 400 L, APLICADA COM PROJETOR TIPO CANEQUINHA EM SUPERFÍCIES INTERNAS DA SACADA, ESPESSURA DE 25 MM,  SEM USO DE TELA METÁLICA. AF_08/2022</t>
  </si>
  <si>
    <t>104216</t>
  </si>
  <si>
    <t>EMBOÇO OU MASSA ÚNICA EM ARGAMASSA TRAÇO 1:2:8, PREPARO MECÂNICA COM BETONEIRA 400 L, APLICADA COM PROJETOR TIPO CANEQUINHA EM SUPERFÍCIES INTERNAS DA SACADA, ESPESSURA DE 35 MM, SEM USO DE TELA METÁLICA. AF_08/2022</t>
  </si>
  <si>
    <t>104217</t>
  </si>
  <si>
    <t>EMBOÇO OU MASSA ÚNICA EM ARGAMASSA TRAÇO 1:2:8, PREPARO MECÂNICA COM BETONEIRA 400 L, APLICADA MANUALMENTE EM PANOS DE FACHADA COM PRESENÇA DE VÃOS, ESPESSURA DE 25 MM, ACESSO POR ANDAIME. AF_08/2022</t>
  </si>
  <si>
    <t>104218</t>
  </si>
  <si>
    <t>EMBOÇO OU MASSA ÚNICA EM ARGAMASSA TRAÇO 1:2:8, PREPARO MANUAL, APLICADA MANUALMENTE EM PANOS DE FACHADA COM PRESENÇA DE VÃOS, ESPESSURA DE 25 MM, ACESSO POR ANDAIME. AF_08/2022</t>
  </si>
  <si>
    <t>104219</t>
  </si>
  <si>
    <t>EMBOÇO OU MASSA ÚNICA EM ARGAMASSA INDUSTRIALIZADA, PREPARO MECÂNICA E APLICAÇÃO COM EQUIPAMENTO DE MISTURA E PROJEÇÃO DE 1,5 M3/H DE ARGAMASSA EM PANOS DE FACHADA COM PRESENÇA DE VÃOS, ESPESSURA DE 25 MM, ACESSO POR ANDAIME. AF_08/2022</t>
  </si>
  <si>
    <t>104220</t>
  </si>
  <si>
    <t>EMBOÇO OU MASSA ÚNICA EM ARGAMASSA TRAÇO 1:2:8, PREPARO MECÂNICA COM BETONEIRA 400 L, APLICADA COM PROJETOR TIPO CANEQUINHA EM PANOS DE FACHADA COM PRESENÇA DE VÃOS, ESPESSURA DE 25 MM, ACESSO POR ANDAIME. AF_08/2022</t>
  </si>
  <si>
    <t>104221</t>
  </si>
  <si>
    <t>EMBOÇO OU MASSA ÚNICA EM ARGAMASSA TRAÇO 1:2:8, PREPARO MECÂNICA COM BETONEIRA 400 L, APLICADA MANUALMENTE EM PANOS DE FACHADA COM PRESENÇA DE VÃOS, ESPESSURA DE 35 MM, ACESSO POR ANDAIME. AF_08/2022</t>
  </si>
  <si>
    <t>104222</t>
  </si>
  <si>
    <t>EMBOÇO OU MASSA ÚNICA EM ARGAMASSA TRAÇO 1:2:8, PREPARO MANUAL, APLICADA MANUALMENTE EM PANOS DE FACHADA COM PRESENÇA DE VÃOS, ESPESSURA DE 35 MM, ACESSO POR ANDAIME. AF_08/2022</t>
  </si>
  <si>
    <t>104223</t>
  </si>
  <si>
    <t>EMBOÇO OU MASSA ÚNICA EM ARGAMASSA INDUSTRIALIZADA, PREPARO MECÂNICA E APLICAÇÃO COM EQUIPAMENTO DE MISTURA E PROJEÇÃO DE 1,5 M3/H DE ARGAMASSA EM PANOS DE FACHADA COM PRESENÇA DE VÃOS, ESPESSURA DE 35 MM, ACESSO POR ANDAIME. AF_08/2022</t>
  </si>
  <si>
    <t>104224</t>
  </si>
  <si>
    <t>EMBOÇO OU MASSA ÚNICA EM ARGAMASSA TRAÇO 1:2:8, PREPARO MECÂNICA COM BETONEIRA 400 L, APLICADA COM PROJETOR TIPO CANEQUINHA EM PANOS DE FACHADA COM PRESENÇA DE VÃOS, ESPESSURA DE 35 MM, ACESSO POR ANDAIME. AF_08/2022</t>
  </si>
  <si>
    <t>104225</t>
  </si>
  <si>
    <t>EMBOÇO OU MASSA ÚNICA EM ARGAMASSA TRAÇO 1:2:8, PREPARO MECÂNICA COM BETONEIRA 400 L, APLICADA MANUALMENTE EM PANOS DE FACHADA COM PRESENÇA DE VÃOS, ESPESSURA DE 45 MM, ACESSO POR ANDAIME. AF_08/2022</t>
  </si>
  <si>
    <t>104226</t>
  </si>
  <si>
    <t>EMBOÇO OU MASSA ÚNICA EM ARGAMASSA TRAÇO 1:2:8, PREPARO MANUAL, APLICADA MANUALMENTE EM PANOS DE FACHADA COM PRESENÇA DE VÃOS, ESPESSURA DE 45 MM, ACESSO POR ANDAIME. AF_08/2022</t>
  </si>
  <si>
    <t>104227</t>
  </si>
  <si>
    <t>EMBOÇO OU MASSA ÚNICA EM ARGAMASSA INDUSTRIALIZADA, PREPARO MECÂNICA E APLICAÇÃO COM EQUIPAMENTO DE MISTURA E PROJEÇÃO DE 1,5 M3/H DE ARGAMASSA EM PANOS DE FACHADA COM PRESENÇA DE VÃOS, ESPESSURA DE 45 MM, ACESSO POR ANDAIME. AF_08/2022</t>
  </si>
  <si>
    <t>104228</t>
  </si>
  <si>
    <t>EMBOÇO OU MASSA ÚNICA EM ARGAMASSA TRAÇO 1:2:8, PREPARO MECÂNICA COM BETONEIRA 400 L, APLICADA COM PROJETOR TIPO CANEQUINHA EM PANOS DE FACHADA COM PRESENÇA DE VÃOS, ESPESSURA DE 45 MM, ACESSO POR ANDAIME. AF_08/2022</t>
  </si>
  <si>
    <t>104229</t>
  </si>
  <si>
    <t>EMBOÇO OU MASSA ÚNICA EM ARGAMASSA TRAÇO 1:2:8, PREPARO MECÂNICA COM BETONEIRA 400 L, APLICADA MANUALMENTE EM PANOS DE FACHADA COM PRESENÇA DE VÃOS, ESPESSURA DE 50 MM, ACESSO POR ANDAIME. AF_08/2022</t>
  </si>
  <si>
    <t>104230</t>
  </si>
  <si>
    <t>EMBOÇO OU MASSA ÚNICA EM ARGAMASSA TRAÇO 1:2:8, PREPARO MANUAL, APLICADA MANUALMENTE EM PANOS DE FACHADA COM PRESENÇA DE VÃOS, ESPESSURA DE 50 MM, ACESSO POR ANDAIME. AF_08/2022</t>
  </si>
  <si>
    <t>104231</t>
  </si>
  <si>
    <t>EMBOÇO OU MASSA ÚNICA EM ARGAMASSA INDUSTRIALIZADA, PREPARO MECÂNICA E APLICAÇÃO COM EQUIPAMENTO DE MISTURA E PROJEÇÃO DE 1,5 M3/H DE ARGAMASSA EM PANOS DE FACHADA COM PRESENÇA DE VÃOS, ESPESSURA DE 50 MM, ACESSO POR ANDAIME. AF_08/2022</t>
  </si>
  <si>
    <t>104232</t>
  </si>
  <si>
    <t>EMBOÇO OU MASSA ÚNICA EM ARGAMASSA TRAÇO 1:2:8, PREPARO MECÂNICA COM BETONEIRA 400 L, APLICADA COM PROJETOR TIPO CANEQUINHA EM PANOS DE FACHADA COM PRESENÇA DE VÃOS, ESPESSURA DE 50 MM, ACESSO POR ANDAIME. AF_08/2022</t>
  </si>
  <si>
    <t>104233</t>
  </si>
  <si>
    <t>EMBOÇO OU MASSA ÚNICA EM ARGAMASSA TRAÇO 1:2:8, PREPARO MECÂNICA COM BETONEIRA 400 L, APLICADA MANUALMENTE EM PANOS DE FACHADA SEM PRESENÇA DE VÃOS, ESPESSURA DE 25 MM, ACESSO POR ANDAIME. AF_08/2022</t>
  </si>
  <si>
    <t>104234</t>
  </si>
  <si>
    <t>EMBOÇO OU MASSA ÚNICA EM ARGAMASSA TRAÇO 1:2:8, PREPARO MANUAL, APLICADA MANUALMENTE EM PANOS DE FACHADA SEM PRESENÇA DE VÃOS, ESPESSURA DE 25 MM, ACESSO POR ANDAIME. AF_08/2022</t>
  </si>
  <si>
    <t>104235</t>
  </si>
  <si>
    <t>EMBOÇO OU MASSA ÚNICA EM ARGAMASSA INDUSTRIALIZADA, PREPARO MECÂNICA E APLICAÇÃO COM EQUIPAMENTO DE MISTURA E PROJEÇÃO DE 1,5 M3/H DE ARGAMASSA EM PANOS DE FACHADA SEM PRESENÇA DE VÃOS, ESPESSURA DE 25 MM, ACESSO POR ANDAIME. AF_08/2022</t>
  </si>
  <si>
    <t>104236</t>
  </si>
  <si>
    <t>EMBOÇO OU MASSA ÚNICA EM ARGAMASSA TRAÇO 1:2:8, PREPARO MECÂNICA COM BETONEIRA 400 L, APLICADA COM PROJETOR TIPO CANEQUINHA EM PANOS DE FACHADA SEM PRESENÇA DE VÃOS, ESPESSURA DE 25 MM, ACESSO POR ANDAIME. AF_08/2022</t>
  </si>
  <si>
    <t>104237</t>
  </si>
  <si>
    <t>EMBOÇO OU MASSA ÚNICA EM ARGAMASSA TRAÇO 1:2:8, PREPARO MECÂNICA COM BETONEIRA 400 L, APLICADA MANUALMENTE EM PANOS DE FACHADA SEM PRESENÇA DE VÃOS, ESPESSURA DE 35 MM, ACESSO POR ANDAIME. AF_08/2022</t>
  </si>
  <si>
    <t>104238</t>
  </si>
  <si>
    <t>EMBOÇO OU MASSA ÚNICA EM ARGAMASSA TRAÇO 1:2:8, PREPARO MANUAL, APLICADA MANUALMENTE EM PANOS DE FACHADA SEM PRESENÇA DE VÃOS, ESPESSURA DE 35 MM, ACESSO POR ANDAIME. AF_08/2022</t>
  </si>
  <si>
    <t>104239</t>
  </si>
  <si>
    <t>EMBOÇO OU MASSA ÚNICA EM ARGAMASSA INDUSTRIALIZADA, PREPARO MECÂNICA E APLICAÇÃO COM EQUIPAMENTO DE MISTURA E PROJEÇÃO DE 1,5 M3/H DE ARGAMASSA EM PANOS DE FACHADA SEM PRESENÇA DE VÃOS, ESPESSURA DE 35 MM, ACESSO POR ANDAIME. AF_08/2022</t>
  </si>
  <si>
    <t>104240</t>
  </si>
  <si>
    <t>EMBOÇO OU MASSA ÚNICA EM ARGAMASSA TRAÇO 1:2:8, PREPARO MECÂNICA COM BETONEIRA 400 L, APLICADA COM PROJETOR TIPO CANEQUINHA EM PANOS DE FACHADA SEM PRESENÇA DE VÃOS, ESPESSURA DE 35 MM, ACESSO POR ANDAIME. AF_08/2022</t>
  </si>
  <si>
    <t>104241</t>
  </si>
  <si>
    <t>EMBOÇO OU MASSA ÚNICA EM ARGAMASSA TRAÇO 1:2:8, PREPARO MECÂNICA COM BETONEIRA 400 L, APLICADA MANUALMENTE EM PANOS DE FACHADA SEM PRESENÇA DE VÃOS, ESPESSURA DE 45 MM, ACESSO POR ANDAIME. AF_08/2022</t>
  </si>
  <si>
    <t>104242</t>
  </si>
  <si>
    <t>EMBOÇO OU MASSA ÚNICA EM ARGAMASSA TRAÇO 1:2:8, PREPARO MANUAL, APLICADA MANUALMENTE EM PANOS DE FACHADA SEM PRESENÇA DE VÃOS, ESPESSURA DE 45 MM, ACESSO POR ANDAIME. AF_08/2022</t>
  </si>
  <si>
    <t>104243</t>
  </si>
  <si>
    <t>EMBOÇO OU MASSA ÚNICA EM ARGAMASSA INDUSTRIALIZADA, PREPARO MECÂNICA E APLICAÇÃO COM EQUIPAMENTO DE MISTURA E PROJEÇÃO DE 1,5 M3/H DE ARGAMASSA EM PANOS DE FACHADA SEM PRESENÇA DE VÃOS, ESPESSURA DE 45 MM, ACESSO POR ANDAIME. AF_08/2022</t>
  </si>
  <si>
    <t>104244</t>
  </si>
  <si>
    <t>EMBOÇO OU MASSA ÚNICA EM ARGAMASSA TRAÇO 1:2:8, PREPARO MECÂNICA COM BETONEIRA 400 L, APLICADA COM PROJETOR TIPO CANEQUINHA EM PANOS DE FACHADA SEM PRESENÇA DE VÃOS, ESPESSURA DE 45 MM, ACESSO POR ANDAIME. AF_08/2022</t>
  </si>
  <si>
    <t>104245</t>
  </si>
  <si>
    <t>EMBOÇO OU MASSA ÚNICA EM ARGAMASSA TRAÇO 1:2:8, PREPARO MECÂNICA COM BETONEIRA 400 L, APLICADA MANUALMENTE EM PANOS DE FACHADA SEM PRESENÇA DE VÃOS, ESPESSURA DE 50 MM, ACESSO POR ANDAIME. AF_08/2022</t>
  </si>
  <si>
    <t>104246</t>
  </si>
  <si>
    <t>EMBOÇO OU MASSA ÚNICA EM ARGAMASSA TRAÇO 1:2:8, PREPARO MANUAL, APLICADA MANUALMENTE EM PANOS DE FACHADA SEM PRESENÇA DE VÃOS, ESPESSURA DE 50 MM, ACESSO POR ANDAIME. AF_08/2022</t>
  </si>
  <si>
    <t>104247</t>
  </si>
  <si>
    <t>EMBOÇO OU MASSA ÚNICA EM ARGAMASSA INDUSTRIALIZADA, PREPARO MECÂNICA E APLICAÇÃO COM EQUIPAMENTO DE MISTURA E PROJEÇÃO DE 1,5 M3/H DE ARGAMASSA EM PANOS DE FACHADA SEM PRESENÇA DE VÃOS, ESPESSURA DE 50 MM, ACESSO POR ANDAIME. AF_08/2022</t>
  </si>
  <si>
    <t>104248</t>
  </si>
  <si>
    <t>EMBOÇO OU MASSA ÚNICA EM ARGAMASSA TRAÇO 1:2:8, PREPARO MECÂNICA COM BETONEIRA 400 L, APLICADA COM PROJETOR TIPO CANEQUINHA EM PANOS DE FACHADA SEM PRESENÇA DE VÃOS, ESPESSURA DE 50 MM, ACESSO POR ANDAIME. AF_08/2022</t>
  </si>
  <si>
    <t>104249</t>
  </si>
  <si>
    <t>EMBOÇO OU MASSA ÚNICA EM ARGAMASSA TRAÇO 1:2:8, PREPARO MECÂNICA COM BETONEIRA 400 L, APLICADA MANUALMENTE EM SUPERFÍCIES EXTERNAS DA SACADA, ESPESSURA DE 25 MM, ACESSO POR ANDAIME, SEM USO DE TELA METÁLICA. AF_08/2022</t>
  </si>
  <si>
    <t>104250</t>
  </si>
  <si>
    <t>EMBOÇO OU MASSA ÚNICA EM ARGAMASSA TRAÇO 1:2:8, PREPARO MANUAL, APLICADA MANUALMENTE EM SUPERFÍCIES EXTERNAS DA SACADA, ESPESSURA DE 25 MM, ACESSO POR ANDAIME, SEM USO DE TELA METÁLICA. AF_08/2022</t>
  </si>
  <si>
    <t>104251</t>
  </si>
  <si>
    <t>104252</t>
  </si>
  <si>
    <t>EMBOÇO OU MASSA ÚNICA EM ARGAMASSA TRAÇO 1:2:8, PREPARO MECÂNICA COM BETONEIRA 400 L, APLICADA COM PROJETOR TIPO CANEQUINHA EM SUPERFÍCIES EXTERNAS DA SACADA, ESPESSURA DE 25 MM, ACESSO POR ANDAIME, SEM USO DE TELA METÁLICA. AF_08/2022</t>
  </si>
  <si>
    <t>104253</t>
  </si>
  <si>
    <t>EMBOÇO OU MASSA ÚNICA EM ARGAMASSA TRAÇO 1:2:8, PREPARO MECÂNICA COM BETONEIRA 400 L, APLICADA MANUALMENTE EM SUPERFÍCIES EXTERNAS DA SACADA, ESPESSURA DE 35 MM, ACESSO POR ANDAIME, SEM USO DE TELA METÁLICA. AF_08/2022</t>
  </si>
  <si>
    <t>104254</t>
  </si>
  <si>
    <t>EMBOÇO OU MASSA ÚNICA EM ARGAMASSA TRAÇO 1:2:8, PREPARO MANUAL, APLICADA MANUALMENTE EM SUPERFÍCIES EXTERNAS DA SACADA, ESPESSURA DE 35 MM, ACESSO POR ANDAIME, SEM USO DE TELA METÁLICA. AF_08/2022</t>
  </si>
  <si>
    <t>104255</t>
  </si>
  <si>
    <t>104256</t>
  </si>
  <si>
    <t>EMBOÇO OU MASSA ÚNICA EM ARGAMASSA TRAÇO 1:2:8, PREPARO MECÂNICO COM BETONEIRA 400 L, APLICADA COM PROJETOR TIPO CANEQUINHA EM SUPERFÍCIES EXTERNAS DA SACADA, ESPESSURA DE 35 MM, ACESSO POR ANDAIME, SEM USO DE TELA METÁLICA. AF_08/2022</t>
  </si>
  <si>
    <t>104257</t>
  </si>
  <si>
    <t>EMBOÇO OU MASSA ÚNICA EM ARGAMASSA TRAÇO 1:2:8, PREPARO MECÂNICO COM BETONEIRA 400 L, APLICADA MANUALMENTE EM SUPERFÍCIES EXTERNAS DA SACADA, ESPESSURA DE 45 MM, ACESSO POR ANDAIME, SEM USO DE TELA METÁLICA. AF_08/2022</t>
  </si>
  <si>
    <t>104258</t>
  </si>
  <si>
    <t>EMBOÇO OU MASSA ÚNICA EM ARGAMASSA TRAÇO 1:2:8, PREPARO MANUAL, APLICADA MANUALMENTE EM SUPERFÍCIES EXTERNAS DA SACADA, ESPESSURA DE 45 MM, ACESSO POR ANDAIME, SEM USO DE TELA METÁLICA. AF_08/2022</t>
  </si>
  <si>
    <t>104259</t>
  </si>
  <si>
    <t>104260</t>
  </si>
  <si>
    <t>EMBOÇO OU MASSA ÚNICA EM ARGAMASSA TRAÇO 1:2:8, PREPARO MECÂNICO COM BETONEIRA 400 L, APLICADA COM PROJETOR TIPO CANEQUINHA EM SUPERFÍCIES EXTERNAS DA SACADA, ESPESSURA DE 45 MM, ACESSO POR ANDAIME, SEM USO DE TELA METÁLICA. AF_08/2022</t>
  </si>
  <si>
    <t>104261</t>
  </si>
  <si>
    <t>EMBOÇO OU MASSA ÚNICA EM ARGAMASSA TRAÇO 1:2:8, PREPARO MECÂNICO COM BETONEIRA 400 L, APLICADA MANUALMENTE EM SUPERFÍCIES EXTERNAS DA SACADA, ESPESSURA DE 50 MM, ACESSO POR ANDAIME, SEM USO DE TELA METÁLICA. AF_08/2022</t>
  </si>
  <si>
    <t>104262</t>
  </si>
  <si>
    <t>EMBOÇO OU MASSA ÚNICA EM ARGAMASSA TRAÇO 1:2:8, PREPARO MANUAL, APLICADA MANUALMENTE EM SUPERFÍCIES EXTERNAS DA SACADA, ESPESSURA DE 50 MM, ACESSO POR ANDAIME, SEM USO DE TELA METÁLICA. AF_08/2022</t>
  </si>
  <si>
    <t>104263</t>
  </si>
  <si>
    <t>104264</t>
  </si>
  <si>
    <t>EMBOÇO OU MASSA ÚNICA EM ARGAMASSA TRAÇO 1:2:8, PREPARO MECÂNICO COM BETONEIRA 400 L, APLICADA COM PROJETOR TIPO CANEQUINHA EM SUPERFÍCIES EXTERNAS DA SACADA, ESPESSURA DE 50 MM, ACESSO POR ANDAIME, SEM USO DE TELA METÁLICA. AF_08/2022</t>
  </si>
  <si>
    <t>104627</t>
  </si>
  <si>
    <t>APLICAÇÃO MANUAL DE GESSO DESEMPENADO (SEM TALISCAS) EM TETO DE AMBIENTES COM PAREDES EM PÉ DIREITO DUPLO E ÁREA MAIOR QUE 10M², ESPESSURA DE 0,5CM. AF_03/2023</t>
  </si>
  <si>
    <t>104628</t>
  </si>
  <si>
    <t>APLICAÇÃO MANUAL DE GESSO DESEMPENADO (SEM TALISCAS) EM TETO DE AMBIENTES COM PAREDES EM PÉ DIREITO DUPLO E ÁREA ENTRE 5M² E 10M², ESPESSURA DE 0,5CM. AF_03/2023</t>
  </si>
  <si>
    <t>104629</t>
  </si>
  <si>
    <t>APLICAÇÃO MANUAL DE GESSO DESEMPENADO (SEM TALISCAS) EM TETO DE AMBIENTES COM PAREDES EM PÉ DIREITO DUPLO E ÁREA MENOR QUE 5M², ESPESSURA DE 0,5CM. AF_03/2023</t>
  </si>
  <si>
    <t>104630</t>
  </si>
  <si>
    <t>APLICAÇÃO MANUAL DE GESSO DESEMPENADO (SEM TALISCAS) EM TETO DE AMBIENTES COM PAREDES EM PÉ DIREITO DUPLO E ÁREA MAIOR QUE 10M², ESPESSURA DE 1,0CM. AF_03/2023</t>
  </si>
  <si>
    <t>104631</t>
  </si>
  <si>
    <t>APLICAÇÃO MANUAL DE GESSO DESEMPENADO (SEM TALISCAS) EM TETO DE AMBIENTES COM PAREDES EM PÉ DIREITO DUPLO E ÁREA ENTRE 5M² E 10M², ESPESSURA DE 1,0CM. AF_03/2023</t>
  </si>
  <si>
    <t>104632</t>
  </si>
  <si>
    <t>APLICAÇÃO MANUAL DE GESSO DESEMPENADO (SEM TALISCAS) EM TETO DE AMBIENTES COM PAREDES EM PÉ DIREITO DUPLO E ÁREA MENOR QUE 5M², ESPESSURA DE 1,0CM. AF_03/2023</t>
  </si>
  <si>
    <t>104633</t>
  </si>
  <si>
    <t>APLICAÇÃO MANUAL DE GESSO DESEMPENADO (SEM TALISCAS) EM PAREDES COM PÉ DIREITO DUPLO, ESPESSURA DE 0,5CM. AF_03/2023</t>
  </si>
  <si>
    <t>104634</t>
  </si>
  <si>
    <t>APLICAÇÃO MANUAL DE GESSO DESEMPENADO (SEM TALISCAS) EM PAREDES COM PÉ DIREITO DUPLO, ESPESSURA DE 1,0CM. AF_03/2023</t>
  </si>
  <si>
    <t>104635</t>
  </si>
  <si>
    <t>APLICAÇÃO MANUAL DE GESSO SARRAFEADO (COM TALISCAS) EM PAREDES COM PÉ DIREITO DUPLO, ESPESSURA DE 1,0CM. AF_03/2023</t>
  </si>
  <si>
    <t>104636</t>
  </si>
  <si>
    <t>APLICAÇÃO MANUAL DE GESSO SARRAFEADO (COM TALISCAS) EM PAREDES COM PÉ DIREITO DUPLO, ESPESSURA DE 1,5CM. AF_03/2023</t>
  </si>
  <si>
    <t>REVESTIMENTO CERÂMICO PARA PAREDES EXTERNAS EM PASTILHAS DE PORCELANA 5 X 5 CM (PLACAS DE 30 X 30 CM), ALINHADAS A PRUMO. AF_02/2023</t>
  </si>
  <si>
    <t>REVESTIMENTO CERÂMICO PARA PAREDES EXTERNAS EM PASTILHAS DE PORCELANA 5 X 5 CM (PLACAS DE 30 X 30 CM), ALINHADAS A PRUMO, APLICADO EM SUPERFÍCIES INTERNAS DE SACADA. AF_02/2023</t>
  </si>
  <si>
    <t>REVESTIMENTO CERÂMICO PARA PAREDES EXTERNAS EM PASTILHAS DE PORCELANA 2,5 X 2,5 CM (PLACAS DE 30 X 30 CM), ALINHADAS A PRUMO. AF_02/2023</t>
  </si>
  <si>
    <t>REVESTIMENTO CERÂMICO PARA PAREDES EXTERNAS EM PASTILHAS DE PORCELANA 2,5 X 2,5 CM (PLACAS DE 30 X 30 CM), ALINHADAS A PRUMO, APLICADO EM SUPERFÍCIES INTERNAS DE SACADA. AF_02/2023</t>
  </si>
  <si>
    <t>104611</t>
  </si>
  <si>
    <t>104612</t>
  </si>
  <si>
    <t>104613</t>
  </si>
  <si>
    <t>104614</t>
  </si>
  <si>
    <t>104615</t>
  </si>
  <si>
    <t>REVESTIMENTO CERÂMICO PARA PAREDES INTERNAS COM PLACAS TIPO PASTILHA DE DIMENSÕES 5 X 5 CM (PLACAS DE 30 X 30 CM) CM APLICADAS NA ALTURA INTEIRA DAS PAREDES. AF_02/2023</t>
  </si>
  <si>
    <t>104616</t>
  </si>
  <si>
    <t>REVESTIMENTO CERÂMICO PARA PAREDES INTERNAS COM PLACAS TIPO PASTILHA DE DIMENSÕES 2,5 X 2,5 CM (PLACAS DE 30 X 30 CM) CM APLICADAS NA ALTURA INTEIRA DAS PAREDES. AF_02/2023</t>
  </si>
  <si>
    <t>104617</t>
  </si>
  <si>
    <t>REVESTIMENTO CERÂMICO PARA PAREDES INTERNAS COM PLACAS TIPO PASTILHA DE DIMENSÕES 5 X 5 CM (PLACAS DE 30 X 30 CM) CM APLICADAS A MEIA ALTURA DAS PAREDES. AF_02/2023</t>
  </si>
  <si>
    <t>104618</t>
  </si>
  <si>
    <t>REVESTIMENTO CERÂMICO PARA PAREDES INTERNAS COM PLACAS TIPO PASTILHA DE DIMENSÕES 2,5 X 2,5 CM (PLACAS DE 30 X 30 CM) CM APLICADAS A MEIA ALTURA DAS PAREDES. AF_02/2023</t>
  </si>
  <si>
    <t>104619</t>
  </si>
  <si>
    <t>104412</t>
  </si>
  <si>
    <t>104413</t>
  </si>
  <si>
    <t>104414</t>
  </si>
  <si>
    <t>104415</t>
  </si>
  <si>
    <t>104416</t>
  </si>
  <si>
    <t>104417</t>
  </si>
  <si>
    <t>104418</t>
  </si>
  <si>
    <t>104419</t>
  </si>
  <si>
    <t>104421</t>
  </si>
  <si>
    <t>104422</t>
  </si>
  <si>
    <t>104423</t>
  </si>
  <si>
    <t>104425</t>
  </si>
  <si>
    <t>0,31</t>
  </si>
  <si>
    <t>99804</t>
  </si>
  <si>
    <t>LIMPEZA DE PISO CERÂMICO OU PORCELANATO UTILIZANDO DETERGENTE NEUTRO E ESCOVAÇÃO MANUAL. AF_04/2019</t>
  </si>
  <si>
    <t>99807</t>
  </si>
  <si>
    <t>LIMPEZA DE REVESTIMENTO CERÂMICO EM PAREDE UTILIZANDO DETERGENTE NEUTRO E ESCOVAÇÃO MANUAL. AF_04/2019</t>
  </si>
  <si>
    <t>99810</t>
  </si>
  <si>
    <t>LIMPEZA DE PISO DE MÁRMORE/GRANITO UTILIZANDO DETERGENTE NEUTRO E ESCOVAÇÃO MANUAL. AF_04/2019</t>
  </si>
  <si>
    <t>99813</t>
  </si>
  <si>
    <t>LIMPEZA DE MÁRMORE/GRANITO EM PAREDE UTILIZANDO DETERGENTE NEUTRO E ESCOVAÇÃO MANUAL. AF_04/2019</t>
  </si>
  <si>
    <t>99815</t>
  </si>
  <si>
    <t>LIMPEZA DE PIA INOX COM BANCADA DE PEDRA, INCLUSIVE METAIS CORRESPONDENTES. AF_04/2019</t>
  </si>
  <si>
    <t>99816</t>
  </si>
  <si>
    <t>LIMPEZA DE TANQUE OU LAVATÓRIO DE LOUÇA ISOLADO, INCLUSIVE METAIS CORRESPONDENTES. AF_04/2019</t>
  </si>
  <si>
    <t>99817</t>
  </si>
  <si>
    <t>LIMPEZA DE LAVATÓRIO DE LOUÇA COM BANCADA DE PEDRA, INCLUSIVE METAIS CORRESPONDENTES. AF_04/2019</t>
  </si>
  <si>
    <t>99818</t>
  </si>
  <si>
    <t>LIMPEZA DE BACIA SANITÁRIA, BIDÊ OU MICTÓRIO EM LOUÇA, INCLUSIVE METAIS CORRESPONDENTES. AF_04/2019</t>
  </si>
  <si>
    <t>99819</t>
  </si>
  <si>
    <t>LIMPEZA DE BANCADA DE PEDRA (MÁRMORE OU GRANITO). AF_04/2019</t>
  </si>
  <si>
    <t>99820</t>
  </si>
  <si>
    <t>LIMPEZA DE JANELA INTEIRAMENTE DE VIDRO. AF_04/2019</t>
  </si>
  <si>
    <t>99821</t>
  </si>
  <si>
    <t>LIMPEZA DE JANELA DE VIDRO COM CAIXILHO EM AÇO/ALUMÍNIO/PVC. AF_04/2019</t>
  </si>
  <si>
    <t>99823</t>
  </si>
  <si>
    <t>LIMPEZA DE PORTA INTEIRAMENTE DE VIDRO. AF_04/2019</t>
  </si>
  <si>
    <t>99824</t>
  </si>
  <si>
    <t>LIMPEZA DE PORTA EM AÇO/ALUMÍNIO. AF_04/2019</t>
  </si>
  <si>
    <t>99825</t>
  </si>
  <si>
    <t>LIMPEZA DE PORTA DE VIDRO COM CAIXILHO EM AÇO/ ALUMÍNIO/ PVC. AF_04/2019</t>
  </si>
  <si>
    <t>1,46</t>
  </si>
  <si>
    <t>33,40</t>
  </si>
  <si>
    <t>4,66</t>
  </si>
  <si>
    <t>6,68</t>
  </si>
  <si>
    <t>19,60</t>
  </si>
  <si>
    <t>40,85</t>
  </si>
  <si>
    <t>62,96</t>
  </si>
  <si>
    <t>74,80</t>
  </si>
  <si>
    <t>44,42</t>
  </si>
  <si>
    <t>103946</t>
  </si>
  <si>
    <t>103185</t>
  </si>
  <si>
    <t>INSTALAÇÃO DE ESQUI TRIPLO, EM TUBO DE AÇO CARBONO - EQUIPAMENTO DE GINÁSTICA PARA ACADEMIA AO AR LIVRE / ACADEMIA DA TERCEIRA IDADE - ATI, INSTALADO SOBRE PISO DE CONCRETO EXISTENTE. AF_10/2021</t>
  </si>
  <si>
    <t>103186</t>
  </si>
  <si>
    <t>INSTALAÇÃO DE MULTIEXERCITADOR COM SEIS FUNÇÕES, EM TUBO DE AÇO CARBONO - EQUIPAMENTO DE GINÁSTICA PARA ACADEMIA AO AR LIVRE / ACADEMIA DA TERCEIRA IDADE - ATI, INSTALADO SOBRE PISO DE CONCRETO EXISTENTE. AF_10/2021</t>
  </si>
  <si>
    <t>103187</t>
  </si>
  <si>
    <t>INSTALAÇÃO DE SIMULADOR DE CAMINHADA TRIPLO, EM TUBO DE AÇO CARBONO - EQUIPAMENTO DE GINÁSTICA PARA ACADEMIA AO AR LIVRE / ACADEMIA DA TERCEIRA IDADE - ATI, INSTALADO SOBRE PISO DE CONCRETO EXISTENTE. AF_10/2021</t>
  </si>
  <si>
    <t>103188</t>
  </si>
  <si>
    <t>INSTALAÇÃO DE SIMULADOR DE CAVALGADA TRIPLO, EM TUBO DE AÇO CARBONO - EQUIPAMENTO DE GINÁSTICA PARA ACADEMIA AO AR LIVRE / ACADEMIA DA TERCEIRA IDADE - ATI, INSTALADO SOBRE PISO DE CONCRETO EXISTENTE. AF_10/2021</t>
  </si>
  <si>
    <t>103189</t>
  </si>
  <si>
    <t>INSTALAÇÃO DE SIMULADOR DE REMO INDIVIDUAL, EM TUBO DE AÇO CARBONO - EQUIPAMENTO DE GINÁSTICA PARA ACADEMIA AO AR LIVRE / ACADEMIA DA TERCEIRA IDADE - ATI, INSTALADO SOBRE PISO DE CONCRETO EXISTENTE. AF_10/2021</t>
  </si>
  <si>
    <t>103190</t>
  </si>
  <si>
    <t>INSTALAÇÃO DE PRESSÃO DE PERNAS TRIPLO, EM TUBO DE AÇO CARBONO - EQUIPAMENTO DE GINÁSTICA PARA ACADEMIA AO AR LIVRE / ACADEMIA DA TERCEIRA IDADE - ATI, INSTALADO SOBRE SOLO. AF_10/2021</t>
  </si>
  <si>
    <t>103191</t>
  </si>
  <si>
    <t>INSTALAÇÃO DE ALONGADOR COM TRÊS ALTURAS, EM TUBO DE AÇO CARBONO - EQUIPAMENTO DE GINASTICA PARA ACADEMIA AO AR LIVRE / ACADEMIA DA TERCEIRA IDADE - ATI, INSTALADO SOBRE SOLO. AF_10/2021</t>
  </si>
  <si>
    <t>103192</t>
  </si>
  <si>
    <t>INSTALAÇÃO DE ROTAÇÃO DIAGONAL DUPLA, APARELHO TRIPLO, EM TUBO DE AÇO CARBONO - EQUIPAMENTO DE GINÁSTICA PARA ACADEMIA AO AR LIVRE / ACADEMIA DA TERCEIRA IDADE - ATI, INSTALADO SOBRE SOLO. AF_10/2021</t>
  </si>
  <si>
    <t>103193</t>
  </si>
  <si>
    <t>INSTALAÇÃO DE ROTAÇÃO VERTICAL DUPLO, EM TUBO DE AÇO CARBONO - EQUIPAMENTO DE GINÁSTICA PARA ACADEMIA AO AR LIVRE / ACADEMIA DA TERCEIRA IDADE - ATI, INSTALADO SOBRE SOLO. AF_10/2021</t>
  </si>
  <si>
    <t>103194</t>
  </si>
  <si>
    <t>INSTALAÇÃO DE SURF DUPLO, EM TUBO DE AÇO CARBONO - EQUIPAMENTO DE GINÁSTICA PARA ACADEMIA AO AR LIVRE / ACADEMIA DA TERCEIRA IDADE - ATI, INSTALADO SOBRE SOLO. AF_10/2021</t>
  </si>
  <si>
    <t>103195</t>
  </si>
  <si>
    <t>INSTALAÇÃO DE PLACA ORIENTATIVA SOBRE EXERCÍCIOS, 2,00M X 1,00M, EM TUBO DE AÇO CARBONO - PARA ACADEMIA AO AR LIVRE / ACADEMIA DA TERCEIRA IDADE - ATI, INSTALADO SOBRE SOLO. AF_10/2021</t>
  </si>
  <si>
    <t>103205</t>
  </si>
  <si>
    <t>INSTALAÇÃO DE PRESSÃO DE PERNAS TRIPLO, EM TUBO DE AÇO CARBONO - EQUIPAMENTO DE GINÁSTICA PARA ACADEMIA AO AR LIVRE / ACADEMIA DA TERCEIRA IDADE - ATI, INSTALADO SOBRE PISO DE CONCRETO EXISTENTE. AF_10/2021</t>
  </si>
  <si>
    <t>103206</t>
  </si>
  <si>
    <t>INSTALAÇÃO DE ALONGADOR COM TRÊS ALTURAS, EM TUBO DE AÇO CARBONO - EQUIPAMENTO DE GINÁSTICA PARA ACADEMIA AO AR LIVRE / ACADEMIA DA TERCEIRA IDADE - ATI, INSTALADO SOBRE PISO DE CONCRETO EXISTENTE. AF_10/2021</t>
  </si>
  <si>
    <t>103207</t>
  </si>
  <si>
    <t>INSTALAÇÃO DE ROTAÇÃO DIAGONAL DUPLA, APARELHO TRIPLO, EM TUBO DE AÇO CARBONO - EQUIPAMENTO DE GINÁSTICA PARA ACADEMIA AO AR LIVRE / ACADEMIA DA TERCEIRA IDADE - ATI, INSTALADO SOBRE PISO DE CONCRETO EXISTENTE. AF_10/2021</t>
  </si>
  <si>
    <t>103208</t>
  </si>
  <si>
    <t>INSTALAÇÃO DE ROTAÇÃO VERTICAL DUPLO, EM TUBO DE ACO CARBONO - EQUIPAMENTO DE GINASTICA PARA ACADEMIA AO AR LIVRE / ACADEMIA DA TERCEIRA IDADE - ATI, INSTALADO SOBRE PISO DE CONCRETO EXISTENTE. AF_10/2021</t>
  </si>
  <si>
    <t>103209</t>
  </si>
  <si>
    <t>INSTALAÇÃO DE SURF DUPLO, EM TUBO DE AÇO CARBONO - EQUIPAMENTO DE GINÁSTICA PARA ACADEMIA AO AR LIVRE / ACADEMIA DA TERCEIRA IDADE - ATI, INSTALADO SOBRE PISO DE CONCRETO EXISTENTE. AF_10/2021</t>
  </si>
  <si>
    <t>103210</t>
  </si>
  <si>
    <t>INSTALAÇÃO DE PLACA ORIENTATIVA SOBRE EXERCÍCIOS, 2,00M X 1,00M, EM TUBO DE AÇO CARBONO - PARA ACADEMIA AO AR LIVRE / ACADEMIA DA TERCEIRA IDADE - ATI, INSTALADO SOBRE PISO DE CONCRETO EXISTENTE. AF_10/2021</t>
  </si>
  <si>
    <t>103304</t>
  </si>
  <si>
    <t>INSTALAÇÃO DE BANCO METÁLICO COM ENCOSTO, 1,60 M DE COMPRIMENTO, EM TUBO DE AÇO CARBONO COM PINTURA ELETROSTÁTICA, SOBRE PISO DE CONCRETO EXISTENTE. AF_11/2021</t>
  </si>
  <si>
    <t>103307</t>
  </si>
  <si>
    <t>INSTALAÇÃO DE LIXEIRA METÁLICA DUPLA, CAPACIDADE DE 60 L, EM TUBO DE AÇO CARBONO E CESTOS EM CHAPA DE AÇO COM PINTURA ELETROSTÁTICA, SOBRE PISO DE CONCRETO EXISTENTE. AF_11/2021</t>
  </si>
  <si>
    <t>103310</t>
  </si>
  <si>
    <t>INSTALAÇÃO DE LIXEIRA METÁLICA DUPLA, CAPACIDADE DE 60 L, EM TUBO DE AÇO CARBONO E CESTOS EM CHAPA DE AÇO COM PINTURA ELETROSTÁTICA, SOBRE SOLO. AF_11/2021</t>
  </si>
  <si>
    <t>103314</t>
  </si>
  <si>
    <t>INSTALAÇÃO DE PERGOLADO DE MADEIRA, EM MAÇARANDUBA, ANGELIM OU EQUIVALENTE DA REGIÃO, FIXADO COM CONCRETO SOBRE PISO DE CONCRETO EXISTENTE. AF_11/2021</t>
  </si>
  <si>
    <t>103315</t>
  </si>
  <si>
    <t>INSTALAÇÃO DE PERGOLADO DE MADEIRA, EM MAÇARANDUBA, ANGELIM OU EQUIVALENTE DA REGIÃO, FIXADO COM CONCRETO SOBRE SOLO. AF_11/2021</t>
  </si>
  <si>
    <t>103769</t>
  </si>
  <si>
    <t>PAR DE TABELAS DE BASQUETE DE COMPENSADO NAVAL, COM AROS E REDES - FORNECIMENTO E INSTALAÇÃO. AF_03/2022</t>
  </si>
  <si>
    <t>25,73</t>
  </si>
  <si>
    <t>20,39</t>
  </si>
  <si>
    <t>0,36</t>
  </si>
  <si>
    <t>13,70</t>
  </si>
  <si>
    <t>30,52</t>
  </si>
  <si>
    <t>BDI DIF</t>
  </si>
  <si>
    <t xml:space="preserve">SINAPI </t>
  </si>
  <si>
    <t>URBANIZAÇÃO EXTERNA</t>
  </si>
  <si>
    <t>Preço Total</t>
  </si>
  <si>
    <t>Emassamento de paredes e forros, com duas demãos de massa corrida, referência Suvinil, Coral, Metalatex ou equivalente, inclusive uma demão de liquido selador PVA, referência Suvinil, Coral ou Metalatex ou equivalente</t>
  </si>
  <si>
    <t>Pintura em paredes e forros, aplicação manual, com três demãos de tinta látex premium, referência Suvinil, Coral e Metalatex, inclusive uma demão de liquido selador PVA, referência Suvinil, Coral ou Metalatex ou equivalente</t>
  </si>
  <si>
    <t>Pintura em paredes e forros, aplicação manual, com três demãos de tinta esmalte sintético premium, acabamento fosco, referência Suvinil, Coral ou Metalatex, inclusive uma demão de liquido selador acrílico, referência Suvinil, Coral ou Metalatex ou equivalente</t>
  </si>
  <si>
    <t>Pintura em paredes e forros, aplicação manual, com três demão de tinta látex acrílico premium, referência Coral e Metalatex, inclusive uma demão de liquido selador acrílico, referência Suvinil, Coral ou Metalatex ou equivalente</t>
  </si>
  <si>
    <t>Pintura a cal (tipo caiação), sobre paredes e forros, a três demãos</t>
  </si>
  <si>
    <t>Pintura de letra, aplicação manual, em parede, dim. 20x30cm com tinta látex acrílica, marcas de referência Suvinil, Coral ou Metalatex ou equivalente</t>
  </si>
  <si>
    <t>Preparo em paredes e forros, aplicação manual, com uma demão de líquido selador acrílico, referência Suvinil, Coral ou Metalatex ou equivalente</t>
  </si>
  <si>
    <t>Pintura, sobre paredes e forros, aplicação manual, com duas demãos de tinta látex PVA premium, referência Suvinil, Coral e Metalatex, inclusive uma demão de liquido selador PVA, referência Suvinil, Coral ou Metalatex ou equivalente</t>
  </si>
  <si>
    <t>Pintura, sobre paredes e forros, aplicação manual, com duas demãos de tinta esmalte sintético, referência Suvinil, Coral e Metalatex, inclusive uma demão de liquido selador PVA, referência Suvinil, Coral ou Metalatex ou equivalente</t>
  </si>
  <si>
    <t>Pintura sobre paredes e forros, aplicação manual, com duas demãos de tinta látex acrílico premium, acabamento fosco, referência Suvinil, Coral e Metalatex, inclusive uma demão de liquido selador acrílico, referência Suvinil, Coral ou Metalatex</t>
  </si>
  <si>
    <t>Preparo em paredes e forros, aplicação manual, com uma demão de líquido selador PVA, referência Suvinil, Coral ou Metalatex ou equivalente</t>
  </si>
  <si>
    <t>Pintura sobre concreto ou blocos cerâmicos aparentes, aplicação manual, com duas demãos de verniz acrílico a base de água, acabamento fosco, referência Suvinil, Coral, Metalatex ou equivalente</t>
  </si>
  <si>
    <t>Pintura sobre concreto ou blocos cerâmicos aparentes, aplicação manual, com uma demão de silicone incolor, referência Suvinil, Sika, Vedacit ou equivalente</t>
  </si>
  <si>
    <t>Pintura sobre concreto ou blocos de concreto, aplicação manual, com três demãos de tinta látex acrílico premium, referência Suvinil, Coral e Metalatex, inclusive uma demão de liquido selador acrílico, referência Suvinil, Coral ou Metalatex ou equivalente</t>
  </si>
  <si>
    <t>Pintura sobre cobogós de concreto, aplicação manual, com duas demãos de tinta látex acrílico premium, referência Suvinil, Coral e Metalatex, inclusive uma demão de liquido selador acrílico, referência Suvinil, Coral ou Metalatex ou equivalente</t>
  </si>
  <si>
    <t>Pintura a cal de meio-fio (tipo a caiação), aplicação manual, a três demãos</t>
  </si>
  <si>
    <t>Pintura sobre concreto ou blocos de concreto, aplicação manual, com duas demãos de tinta látex PVA premium, referência Suvinil, Coral e Metalatex, inclusive uma demão de liquido selador PVA, referência Suvinil, Coral ou Metalatex ou equivalente</t>
  </si>
  <si>
    <t>Emassamento de esquadrias e elementos de madeira, com duas demãos de massa à base água, referência Suvinil, Coral, Sherwin Williams ou equivalente, inclusive uma demão de fundo nivelador alquídico branco, referência Suvinil, Coral ou Metalatex ou equivalente</t>
  </si>
  <si>
    <t>Pintura de esquadrias e elementos de madeira, aplicação manual, com duas demãos de tinta esmalte sintético referência Suvinil, Coral ou Metalatex, inclusive fundo branco nivelador, referência Suvinil, Coral e Metalatex ou equivalente</t>
  </si>
  <si>
    <t>Pintura de esquadrias e elementos de madeira, aplicação manual, com três demão de verniz brilhante incolor, linha Premium Copal, referência Suvinil, Eucatex, Montana ou equivalente</t>
  </si>
  <si>
    <t>Pintura de esquadrias e elementos de madeira, aplicação manual, com três demãos de verniz fosco incolor, linha Tripla Proteção Premium, referência Suvinil, Coral, Metalatex ou equivalente</t>
  </si>
  <si>
    <t>Pintura fundo nivelador alquídico branco, aplicada a rolo, pincel ou trincha, em madeira, a uma demão, referência Suvinil, Coral ou equivalente</t>
  </si>
  <si>
    <t>Pintura sobre metal, aplicação manual, com duas demãos de tinta esmalte sintético, referência Suvinil, Coral ou Metalatex, inclusive uma demão de fundo anticorrosivo</t>
  </si>
  <si>
    <t>Pintura de letras em chapas de ferro, dimensões 20x30cm, aplicação manual, com duas demãos de tinta esmalte sintético, referência Suvinil, Coral, Metalatex ou equivalente, inclusive uma demão de fundo anti-corrosivo</t>
  </si>
  <si>
    <t>Pintura sobre piso, aplicação manual, para execução de faixa demarcatória L=5cm, com três demãos de tinta à base de epóxi, marcas de referência Suvinil, Coral ou Metalatex ou equivalente</t>
  </si>
  <si>
    <t>Pintura sobre piso, aplicação manual, com duas demãos de tinta à base de resinas acrílicas, marcas de referência Suvinil, Coral, Sherwin Williams NovaCor, Metalatex ou equivalente</t>
  </si>
  <si>
    <t>Pintura sobre piso, aplicação manual, para execução de faixa demarcatória L=8cm, com três demãos de tinta à base de epóxi, marcas de referência Suvinil, Coral ou Metalatex ou equivalente</t>
  </si>
  <si>
    <r>
      <t xml:space="preserve">BDI: </t>
    </r>
    <r>
      <rPr>
        <sz val="10"/>
        <rFont val="Arial"/>
        <family val="2"/>
      </rPr>
      <t>33,25% - Serviços</t>
    </r>
    <r>
      <rPr>
        <b/>
        <sz val="10"/>
        <rFont val="Arial"/>
        <family val="2"/>
      </rPr>
      <t xml:space="preserve">
DATA BASE: IOPES</t>
    </r>
    <r>
      <rPr>
        <sz val="10"/>
        <rFont val="Arial"/>
        <family val="2"/>
      </rPr>
      <t xml:space="preserve"> JUN2023</t>
    </r>
  </si>
  <si>
    <t>INSTALAÇÕES HIDROSSANITÁRIAS</t>
  </si>
  <si>
    <t xml:space="preserve">M </t>
  </si>
  <si>
    <t>14.01.02</t>
  </si>
  <si>
    <t>14.01.03</t>
  </si>
  <si>
    <t>14.01.04</t>
  </si>
  <si>
    <t>14.01.05</t>
  </si>
  <si>
    <t>16.01.02</t>
  </si>
  <si>
    <t>16.01.03</t>
  </si>
  <si>
    <t>16.01.04</t>
  </si>
  <si>
    <t>004</t>
  </si>
  <si>
    <t>17</t>
  </si>
  <si>
    <t>17.01</t>
  </si>
  <si>
    <t>17.01.01</t>
  </si>
  <si>
    <t>17.02</t>
  </si>
  <si>
    <t>17.02.01</t>
  </si>
  <si>
    <t>18</t>
  </si>
  <si>
    <t>18.01</t>
  </si>
  <si>
    <t>18.01.01</t>
  </si>
  <si>
    <t>LOCAÇÃO DE OBRA COM GABARITO DE MADEIRA</t>
  </si>
  <si>
    <t>PLACA DE OBRA NAS DIMENSÕES DE 2.0 X 4.0 M, PADRÃO DER</t>
  </si>
  <si>
    <t>ALUGUEL MENSAL CONTAINER PARA VESTIÁRIO, INCL. PORTA, VENEZIANAS DE CIRCULAÇÃO, 1 PT ILUMINAÇÃO, ISOLAMENTO TÉRMICO (TETO), PISO EM COMP. NAVAL PINTADO, CERT. NR18, INCL. LAUDO DESCONTAMINAÇÃO.</t>
  </si>
  <si>
    <t>ESCAVAÇÃO MANUAL EM MATERIAL DE 1A. CATEGORIA, ATÉ 1.50 M DE PROFUNDIDADE</t>
  </si>
  <si>
    <t>REATERRO APILOADO DE CAVAS DE FUNDAÇÃO, EM CAMADAS DE 20 CM</t>
  </si>
  <si>
    <t>FORNECIMENTO, PREPARO E APLICAÇÃO DE CONCRETO MAGRO COM CONSUMO MÍNIMO DE CIMENTO DE 250 KG/M3 (BRITA 1 E 2) - (5% DE PERDAS JÁ INCLUÍDO NO CUSTO)</t>
  </si>
  <si>
    <t>FORNECIMENTO, DOBRAGEM E COLOCAÇÃO EM FÔRMA, DE ARMADURA CA-50 A MÉDIA, DIÂMETRO DE 6.3 A 10.0 MM</t>
  </si>
  <si>
    <t>FORNECIMENTO, DOBRAGEM E COLOCAÇÃO EM FÔRMA, DE ARMADURA CA-60 B FINA, DIÂMETRO DE 4.0 A 7.0MM</t>
  </si>
  <si>
    <t>FORNECIMENTO, DOBRAGEM E COLOCAÇÃO EM FÔRMA, DE ARMADURA CA-50 A GROSSA, DIÂMETRO DE 12.5 A 25.0MM</t>
  </si>
  <si>
    <t>PORTA DE ABRIR TIPO VENEZIANA EM ALUMÍNIO ANODIZADO, LINHA 25, COMPLETA, INCL. PUXADOR COM TRANCA, CAIXILHO, ALIZAR E CONTRAMARCO</t>
  </si>
  <si>
    <t>CALHA EM CHAPA GALVANIZADA COM LARGURA DE 40 CM</t>
  </si>
  <si>
    <t>PINTURA IMPERMEABILIZANTE COM IGOLFLEX OU EQUIVALENTE A 3 DEMÃOS</t>
  </si>
  <si>
    <t>CHAPISCO DE ARGAMASSA DE CIMENTO E AREIA MÉDIA OU GROSSA LAVADA, NO TRAÇO 1:3, ESPESSURA 5 MM</t>
  </si>
  <si>
    <t>EMBOÇO DE ARGAMASSA DE CIMENTO, CAL HIDRATADA CH1 E AREIA MÉDIA OU GROSSA LAVADA NO TRAÇO 1:0.5:6, ESPESSURA 20 MM</t>
  </si>
  <si>
    <t>REBOCO TIPO PAULISTA DE ARGAMASSA DE CIMENTO, CAL HIDRATADA CH1 E AREIA MÉDIA OU GROSSA LAVADA NO TRAÇO 1:0.5:6, ESPESSURA 25 MM</t>
  </si>
  <si>
    <t>PEITORIL DE GRANITO CINZA POLIDO, 15 CM, ESP. 3CM</t>
  </si>
  <si>
    <t>PONTO DE ÁGUA FRIA (LAVATÓRIO, TANQUE, PIA DE COZINHA, ETC...)</t>
  </si>
  <si>
    <t>PT</t>
  </si>
  <si>
    <t>PONTO PARA ESGOTO PRIMÁRIO (VASO SANITÁRIO)</t>
  </si>
  <si>
    <t>PONTO PARA ESGOTO SECUNDÁRIO (PIA, LAVATÓRIO, MICTÓRIO, TANQUE, BIDÊ, ETC...)</t>
  </si>
  <si>
    <t>PONTO PARA CAIXA SIFONADA, INCLUSIVE CAIXA SIFONADA PVC 150X150X50MM COM GRELHA EM PVC</t>
  </si>
  <si>
    <t>TUBOS DE CONCRETO SIMPLES PS1, DIÂMETRO 300 MM, COM REJUNTAMENTO DE ARGAMASSA DE CIMENTO, CAL HIDRATADA E AREIA NO TRAÇO 1:2:6, INCLUINDO ESCAVAÇÃO E BERÇO, CONFORME NORMAS E ESPECIFICAÇÕES.</t>
  </si>
  <si>
    <t>CAIXAS DE INSPEÇÃO DE ALV. BLOCOS CONCRETO 9X19X39CM, DIM, 60X60CM E HMÁX = 1M, COM TAMPA DE CONC. ESP. 5CM, LASTRO DE CONC. ESP. 10CM, REVEST INTERN. C/ CHAPISCO E REBOCO IMPERMEABILIZADO, INCL. ESCAVAÇÃO, REATERRO E ENCHIMENTO</t>
  </si>
  <si>
    <t>QUADRO DISTRIB. ENERGIA, EMBUTIDO OU SEMI EMBUTIDO, CAPAC. P/ 34 DISJ. DIN, C/BARRAM TRIF. 150A BARRA. NEUTRO E TERRA, FAB. EM CHAPA DE AÇO 12 USG COM PORTA, ESPELHO, TRINCO COM FECHAD CH YALE, REF. QDETG II-34DIN-CEMAR OU EQUIV.</t>
  </si>
  <si>
    <t>PONTO PADRÃO DE LUZ NO TETO - CONSIDERANDO ELETRODUTO PVC RÍGIDO DE 3/4" INCLUSIVE CONEXÕES (4.5M), FIO ISOLADO PVC DE 2.5MM2 (16.2M) E CAIXA PVC 4X4" (1 UND)</t>
  </si>
  <si>
    <t>LUMINARIA EMBUTIR COMPL., CORPO CH. AÇO PINTADA BRANCA, REFLETOR ALETAS PARABÓLICAS ALUM.ALTA PUREZA E REFLETÂNCIA INCLUSIVE 2 LÂMPADAS LED T8 9W TEMP. DE COR 5000K C/ 60CM - REF. CE216AL-N - AMES, 6024 - LUMAVI OU EQUIVALENTE</t>
  </si>
  <si>
    <t>PONTO PARA SETA INDICATIVA DE SAÍDA, INCL. SETA EM ACRÍLICO, COM FONTE ALIMENTADORA PRÓPRIA QUE ASSEGURE UM FUNCIONAMENTO MÍNIMO DE 1H, PARA QUANDO OCORRER FALTA DE ENERGIA ELÉTRICA NA REDE PÚBLICA, CONFORME PROJETO</t>
  </si>
  <si>
    <t>PONTO PARA ILUMINAÇÃO DE EMERGÊNCIA COMPLETO, INCLUSIVE BLOCO AUTÔNOMO DE ILUMINAÇÃO 2X9W COM TOMADA UNIVERSAL</t>
  </si>
  <si>
    <t>PINTURA EM PAREDES E FORROS, APLICAÇÃO MANUAL, COM TRÊS DEMÃOS DE TINTA LÁTEX PREMIUM, REFERÊNCIA SUVINIL, CORAL E METALATEX, INCLUSIVE UMA DEMÃO DE LIQUIDO SELADOR PVA, REFERÊNCIA SUVINIL, CORAL OU METALATEX OU EQUIVALENTE</t>
  </si>
  <si>
    <t>LIMPEZA GERAL DE OBRAS (QUADRAS, PRAÇAS E JARDINS)</t>
  </si>
  <si>
    <t>LOCAÇÃO DE ANDAIME METÁLICO PARA TRABALHO EM FACHADA DE EDIFÍCO (ALUGUEL DE 1 M² POR 1 MÊS) INCLUSIVE FRETE, MONTAGEM E DESMONTAGEM</t>
  </si>
  <si>
    <t>01.03</t>
  </si>
  <si>
    <t>01.03.01</t>
  </si>
  <si>
    <t>SERVIÇOS ADMINISTRATIVOS E TÉCNICOS - MENSALISTAS</t>
  </si>
  <si>
    <t>Engenheiro Junior</t>
  </si>
  <si>
    <t>Engenheiro Pleno</t>
  </si>
  <si>
    <t>Engenhero Sênior</t>
  </si>
  <si>
    <t>Almoxarife</t>
  </si>
  <si>
    <t>Auxiliar de Almoxarife</t>
  </si>
  <si>
    <t>Vigia</t>
  </si>
  <si>
    <t>Encarregado de turma</t>
  </si>
  <si>
    <t>Mestre de Obras Senior</t>
  </si>
  <si>
    <t>Coordenador Tecnico Especialista</t>
  </si>
  <si>
    <t>Técnico Nível Superior</t>
  </si>
  <si>
    <t>Técnico Segundo Grau Nivel "A"</t>
  </si>
  <si>
    <t>Técnico Segundo Grau Nivel "B"</t>
  </si>
  <si>
    <t>Técnico Segundo Grau Nivel "C"</t>
  </si>
  <si>
    <t>Técnico Segundo Grau Nivel "D"</t>
  </si>
  <si>
    <t>Cotador (Auxiliar de Engenharia)</t>
  </si>
  <si>
    <t>Laje pré-fabricada treliçada (H=8cm) para forro simples revestido, vão até 3.5m, capeamento 2cm, elemento de enchimento bloco cerâmico, espessura final da laje - 10cm, Fck = 150Kg/cm2</t>
  </si>
  <si>
    <t>Laje pré-fabricada treliçada (H=8cm), sobrecarga 300 kg/m2, vão de 3.5 a 4.3m, capeamento 4cm, elemento de enchimento em bloco cerâmico, espessura final da laje ? 12cm, Fck = 150 Kg/cm2</t>
  </si>
  <si>
    <t>Marco em madeira de lei tipo Peroba, Ipê, Angelim Pedra ou equivalente, com 15 x 3cm de batente, nas dimensões: 0,60 x 2,10 m</t>
  </si>
  <si>
    <t>Marco em madeira de lei tipo Peroba, Ipê, Angelim Pedra ou equivalente, com 15 x 3cm de batente, nas dimensões: 0,70 x 2,10 m</t>
  </si>
  <si>
    <t>Marco em madeira de lei tipo Peroba, Ipê, Angelim Pedra ou equivalente, com 15 x 3cm de batente, nas dimensões: 0,80 x 2,10 m</t>
  </si>
  <si>
    <t>Alizar em madeira de lei tipo Peroba, Ipê, Angelim Pedra ou equivalente, com 5 x 1,5cm</t>
  </si>
  <si>
    <t>Marco em madeira de lei tipo Peroba, Ipê, Angelim Pedra ou equivalente, com 15 x 3cm de batente, nas dimensões: 0,90 x 2,10 m</t>
  </si>
  <si>
    <t>Marco em madeira de lei tipo Peroba, Ipê, Angelim Pedra ou equivalente, com 15 x 3cm de batente</t>
  </si>
  <si>
    <t>Caixilho em madeira de lei tipo Peroba, Ipê, Angelim Pedra ou equivalente, com 9 x 3 cm para janela</t>
  </si>
  <si>
    <t>Alizar em madeira de lei tipo Peroba, Ipê, Angelim Pedra ou equivalente, com 7 x 1,5 cm</t>
  </si>
  <si>
    <t>Tarjeta fio redondo 3? para travamento de portas - IMAB, STAN, ALIANÇA ou equivalente</t>
  </si>
  <si>
    <t>Fechadura com maçaneta tipo alavanca e chave tipo yale - IMAB, STAN, ALIANÇA ou equivalente</t>
  </si>
  <si>
    <t>Fechadura com maçaneta tipo alavanca e chave comum para porta interna - IMAB, STAN, ALIANÇA ou equivalente</t>
  </si>
  <si>
    <t>Tarjeta tipo livre/ocupado - IMAB, STA, ALIANÇA ou equivalente</t>
  </si>
  <si>
    <t>Fechadura com maçaneta tipo bola e chave tipo yale - IMAB, STAN, ALIANÇA ou equivalente</t>
  </si>
  <si>
    <t>Fechadura de sobrepor, tipo caixão, com chave comum - IMAB, STAN, ALIANÇA ou equivalente</t>
  </si>
  <si>
    <t>Fechadura com maçaneta tipo alavanca e chave tipo banheiro - IMAB, STAN, ALIANÇA ou equivalente</t>
  </si>
  <si>
    <t>Dobradiça de latão cromado de 3 x 2.1/2?, inclusive parafusos - IMAB, STAN, ALIANÇA ou equivalente</t>
  </si>
  <si>
    <t>Porta em madeira de lei tipo angelim pedra ou equivalente,esp. 30 a 35mm c/ enchimento em madeira 1a qualidade, tipo sarrafeada para pintura, inclusive alizares, dobradiças e fechadura tipo alavanca em latão cromado LaFonte ou equivalente, exclusive marco, nas dimensões: 0,60 x 2,10 m</t>
  </si>
  <si>
    <t>Porta em madeira de lei tipo angelim pedra ou equivalente,esp. 30 a 35mm c/ enchimento em madeira 1a qualidade, tipo sarrafeada para pintura, inclusive alizares, dobradiças e fechadura tipo alavanca em latão cromado LaFonte ou equivalente, exclusive marco, nas dimensões: 0,70 x 2,10 m</t>
  </si>
  <si>
    <t>Porta em madeira de lei tipo angelim pedra ou equivalente,esp. 30 a 35mm c/ enchimento em madeira 1a qualidade, tipo sarrafeada para pintura, inclusive alizares, dobradiças e fechadura tipo alavanca em latão cromado LaFonte ou equivalente, exclusive marco, nas dimensões: 0,80 x 2,10 m</t>
  </si>
  <si>
    <t>Porta em madeira de lei tipo angelim pedra ou equivalente,esp. 30 a 35mm c/ enchimento em madeira 1a qualidade, tipo sarrafeada para pintura, inclusive alizares, dobradiças e fechadura tipo alavanca em latão cromado LaFonte ou equivalente, exclusive marco, nas dimensões: 0,90 x 2,10 m</t>
  </si>
  <si>
    <t>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0,60 x 1,80 m</t>
  </si>
  <si>
    <t>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0,80 x 1,80 m</t>
  </si>
  <si>
    <t>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0,60 x 1,60 m</t>
  </si>
  <si>
    <t>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0,80 x 1,60 m</t>
  </si>
  <si>
    <t>Porta em madeira de lei angelim pedra ou equivalente, esp. 30 a 35mm, maciça, tipo veneziana, inclusive dobradiças, exclusive alizar, marco e fechadura, nas dimensões: 0,60 x 2,10 m</t>
  </si>
  <si>
    <t>Porta em madeira de lei angelim pedra ou equivalente, esp. 30 a 35mm, maciça, tipo veneziana, inclusive dobradiças, exclusive alizar, marco e fechadura, nas dimensões: 0,70 x 2,10 m</t>
  </si>
  <si>
    <t>Porta em madeira de lei angelim pedra ou equivalente, esp. 30 a 35mm, maciça, tipo veneziana, inclusive dobradiças, exclusive alizar, marco e fechadura, nas dimensões: 0,80 x 2,10 m</t>
  </si>
  <si>
    <t>Porta em madeira de lei angelim pedra ou equivalente, esp. 30 a 35mm c/ enchimento em madeira de 1ª qualidade, tipo sarrafeada com visor 0,40x0,60 m, inclusive alizares, dobradiças e fechaduras tipo alavanca em latão cromado La Fonte ou equivalente, exclusive marco, nas dimensões: 0,70 x 2,10 m</t>
  </si>
  <si>
    <t>Porta em madeira de lei angelim pedra ou equivalente, esp. 30 a 35mm c/ enchimento em madeira de 1ª qualidade, tipo sarrafeada com visor 0,40x0,60 m, inclusive alizares, dobradiças e fechaduras tipo alavanca em latão cromado La Fonte ou equivalente, exclusive marco, nas dimensões: 0,80 x 2,10 m</t>
  </si>
  <si>
    <t>Porta em madeira de lei angelim pedra ou equivalente, esp. 30 a 35mm c/ enchimento em madeira de 1ª qualidade, tipo sarrafeada com visor 0,40x0,60 m, inclusive alizares, dobradiças e fechaduras tipo alavanca em latão cromado La Fonte ou equivalente, exclusive marco, nas dimensões: 0,90 x 2,10 m</t>
  </si>
  <si>
    <t>Substituição de fechadura com maçaneta tipo alavanca e chave tipo yale - IMAB, STAN, ALIANÇA ou equivalente</t>
  </si>
  <si>
    <t>Substituição de fechadura com maçaneta tipo alavanca e chave comum para porta interna - IMAB, STAN, ALIANÇA ou equivalente</t>
  </si>
  <si>
    <t>Substituição de fechadura com maçaneta tipo bola e chave tipo yale - IMAB, STAN, ALIANÇA ou equivalente</t>
  </si>
  <si>
    <t>Recolocação de folha de porta em madeira de 1 folha, excl. ferragens, porta, marcos e alizares</t>
  </si>
  <si>
    <t>Substituição de tarjeta tipo livre/ocupado - IMAB, STA, ALIANÇA ou equivalente</t>
  </si>
  <si>
    <t>Substituição de targeta fio redondo 2", ref. IMAB, STAN, ALIANÇA ou equivalente</t>
  </si>
  <si>
    <t>Substituição de dobradiça de latão cromado de 3 x 2.1/2?, inclusive parafusos - IMAB, STAN, ALIANÇA ou equivalente</t>
  </si>
  <si>
    <t>Reparo na porta com plaina, inclusive retirada e recolocação de folha de porta</t>
  </si>
  <si>
    <t>Remoção e reinstalação de alizar de madeira, exclusive alizar</t>
  </si>
  <si>
    <t>Remoção e reinstalação de marco de madeira, exclusive marco, inclusive acessórios de fixação: pregos e argamassa de cimento, cal hidratado e areia, para chumbamento</t>
  </si>
  <si>
    <t>Porta de madeira de lei sarrafeada com enchimento em madeira de 1ª qualidade, esp. 30 a 35mm, semi-sólida, para pintura, inclusive alizares, dobradiças, fechadura tipo "livre/ocupado" em latão cromado La Fonte ou equivalente, exclusive marco, nas dimensões: 0.60 x 1.60 m</t>
  </si>
  <si>
    <t>Porta de madeira de lei sarrafeada com enchimento em madeira de 1ª qualidade, esp. 30 a 35mm, semi-sólida, para pintura, inclusive alizares, dobradiças, fechadura tipo "livre/ocupado" em latão cromado La Fonte ou equivalente, exclusive marco, nas dimensões: 0.80 x 1.60 m</t>
  </si>
  <si>
    <t>Porta de madeira de lei angelim pedra ou equivalente, esp. 30 a 35 mm, maciça, tipo mexicana, c/ friso p/ verniz, padrão SEDU, com visor 1,00 x 0,15m e vidro 4mm, inclusive alizares, dobradiças e fechadura tipo alavanca em latão cromado LaFonte ou equiv., exclusive marco, dimensões: 0.60 x 2.10 m</t>
  </si>
  <si>
    <t>Porta de madeira de lei angelim pedra ou equivalente, esp. 30 a 35 mm, maciça, tipo mexicana, c/ friso p/ verniz, padrão SEDU, com visor 1,00 x 0,15m e vidro 4mm, inclusive alizares, dobradiças e fechadura tipo alavanca em latão cromado LaFonte ou equiv., exclusive marco, dimensões: 0.70 x 2.10 m</t>
  </si>
  <si>
    <t>Porta de madeira de lei angelim pedra ou equivalente, esp. 30 a 35 mm, maciça, tipo mexicana, c/ friso p/ verniz, padrão SEDU, com visor 1,00 x 0,15m e vidro 4mm, inclusive alizares, dobradiças e fechadura tipo alavanca em latão cromado LaFonte ou equiv., exclusive marco, dimensões: 0.80 x 2.10 m</t>
  </si>
  <si>
    <t>Porta de madeira de lei angelim pedra ou equivalente, esp. 30 a 35 mm, maciça, tipo mexicana, c/ friso p/ verniz, padrão SEDU, com visor 1,00 x 0,15m e vidro 4mm, inclusive alizares, dobradiças e fechadura tipo alavanca em latão cromado LaFonte ou equiv., exclusive marco, dimensões: 0.90 x 2.10 m</t>
  </si>
  <si>
    <t>Porta de madeira de lei angelim pedra ou equivalente, esp. 30 a 35 mm, maciça, tipo mexicana, c/ friso p/ verniz, padrão SEDU, com visor 1,00 x 0,15m e vidro 4mm, inclusive alizares, dobradiças e fechadura tipo alavanca em latão cromado LaFonte ou equiv., exclusive marco, dimensões: 1.60 x 2.10 m (duas folhas)</t>
  </si>
  <si>
    <t>Índice de imperm.c/ manta asfáltica atendendo NBR 9952, asfalto polimérico, esp.4mm reforç.c/ filme int.em polietileno, regul.base c/ arg.1:4 esp.mín.15mm, proteção mec. arg. 1:4 esp.20mm, imprimação e juntas dilat.</t>
  </si>
  <si>
    <t>Índice de imperm.c/ manta asfáltica atendendo NBR 9952, asfalto polimerizado esp.3mm, reforç.c/ filme int. polietileno, regul. base c/ arg.1:4 esp.mín.15mm, proteção mec. arg.1:4 esp.20mm, imprimação e juntas dilat.</t>
  </si>
  <si>
    <t>Cerâmica 10 x 10 cm, branco brilhante ref Galeria Mesh BR telada, ELIANE, STRUFALDI, CERAL, empregando argamassa colante, inclusive rejuntamento junta plus cinza claro esp. 3 mm</t>
  </si>
  <si>
    <t>Regularização de base para revestimento cerâmico, com argamassa de cimento e areia no traço 1:5, espessura: 3 cm</t>
  </si>
  <si>
    <t>Porcelanato esmaltado, acabamento acetinado, dim. 60x60cm, ref. de cor CIMENTO CINZA BOLD Portobello/equiv, utilizando dupla colagem de argamassa colante para porcelanato tipo ACIII e rejunte 3mm para porcelanato</t>
  </si>
  <si>
    <t>Porcelanato natural retificado, acabamento acetinado, dim. 60x60cm, ref. PLATINA NA Eliane/equiv, utilizando dupla colagem de argamassa colante para porcelanato tipo ACIII e rejunte e rejunte 3mm para porcelanato</t>
  </si>
  <si>
    <t>Rodapé de granito cinza andorinha altura de 7 cm e espessura de 2 cm, assentado com argamassa de cimento, cal hidratada CH1 e areia no traço 1:0,5:8, inclusive rejuntamento com cimento branco</t>
  </si>
  <si>
    <t>Tubo de aço carbono galvanizado, com costura, classe leve, diâmetro 15mm (1/2"), inclusive conexões</t>
  </si>
  <si>
    <t>Tubo de aço carbono galvanizado, com costura, classe leve, diâmetro 20mm (3/4"), inclusive conexões</t>
  </si>
  <si>
    <t>Tubo de aço carbono galvanizado, com costura, classe leve, diâmetro 25mm (1"), inclusive conexões</t>
  </si>
  <si>
    <t>Tubo de aço carbono galvanizado, com costura, classe leve, diâmetro 32mm (1.1/4"), inclusive conexões</t>
  </si>
  <si>
    <t>Tubo de aço carbono galvanizado, com costura, classe leve, diâmetro 40mm (1.1/2"), inclusive conexões</t>
  </si>
  <si>
    <t>Tubo de aço carbono galvanizado, com costura, classe leve, diâmetro 50mm (2"), inclusive conexões</t>
  </si>
  <si>
    <t>Tubo de aço carbono galvanizado, com costura, classe leve, diâmetro 65mm (2.1/2"), inclusive conexões</t>
  </si>
  <si>
    <t>Tubo de aço carbono galvanizado, com costura, classe leve, diâmetro 80mm (3"), inclusive conexões</t>
  </si>
  <si>
    <t>Tubo de aço carbono galvanizado, com costura, classe leve, diâmetro 100mm (4"), inclusive conexões</t>
  </si>
  <si>
    <t>Tubo de PVC rígido soldável marrom, DN 20mm (1/2"), inclusive conexões</t>
  </si>
  <si>
    <t>Tubo de PVC rígido soldável marrom, DN 25mm (3/4"), inclusive conexões</t>
  </si>
  <si>
    <t>Tubo de PVC rígido soldável marrom, DN 32mm (1"), inclusive conexões</t>
  </si>
  <si>
    <t>Tubo de PVC rígido soldável marrom, DN 40mm (1.1/4"), inclusive conexões</t>
  </si>
  <si>
    <t>Tubo de PVC rígido soldável marrom, DN 50mm (1.1/2"), inclusive conexões</t>
  </si>
  <si>
    <t>Tubo de PVC rígido soldável marrom, DN 60mm (2"), inclusive conexões</t>
  </si>
  <si>
    <t>Tubo de PVC rígido soldável marrom, DN 75mm (2.1/2"), inclusive conexões</t>
  </si>
  <si>
    <t>Tubo de PVC rígido soldável marrom, DN 85mm (3"), inclusive conexões</t>
  </si>
  <si>
    <t>Adaptador de PVC soldável com flanges livres para caixa dágua, diâmetro 25mm x 3/4"</t>
  </si>
  <si>
    <t>Adaptador de PVC soldável com flanges livres para caixa dágua, diâmetro 32mm x 1"</t>
  </si>
  <si>
    <t>Adaptador de PVC soldável com flanges livres para caixa dágua, diâmetro 40mm x 1 1/4"</t>
  </si>
  <si>
    <t>Adaptador de PVC soldável com flanges livres para caixa dágua, diâmetro 50mm x 1 1/2"</t>
  </si>
  <si>
    <t>Adaptador de PVC soldável com flanges livres para caixa dágua, diâmetro 60mm x 2"</t>
  </si>
  <si>
    <t>Adaptador de PVC soldável com flanges livres para caixa dágua, diâmetro 75mm x 2 1/2"</t>
  </si>
  <si>
    <t>Adaptador de PVC soldável com anel para caixa dágua, DN 32mm</t>
  </si>
  <si>
    <t>Tubo de PVC rígido soldável branco, para esgoto, série normal, diâmetro 40mm (1 1/2"), inclusive conexões</t>
  </si>
  <si>
    <t>Tubo de PVC rígido soldável branco, para esgoto, série normal, diâmetro 50mm (2"), inclusive conexões</t>
  </si>
  <si>
    <t>Tubo de PVC rígido soldável branco, para esgoto, série normal, diâmetro 75mm (3"), inclusive conexões</t>
  </si>
  <si>
    <t>Tubo de PVC rígido soldável branco, para esgoto, série normal, diâmetro 100mm (4"), inclusive conexões</t>
  </si>
  <si>
    <t>Tubo de PVC rígido soldável branco, para esgoto, série normal, diâmetro 150mm (6"), inclusive conexões</t>
  </si>
  <si>
    <t>Adaptador de PVC com flanges livres para caixa dágua de 20mm x 1/2"</t>
  </si>
  <si>
    <t>FURO EM CONCRETO</t>
  </si>
  <si>
    <t>cm</t>
  </si>
  <si>
    <t>Eletroduto de PVC rígido roscável, diâmetro 1/2", inclusive conexões</t>
  </si>
  <si>
    <t>Eletroduto de PVC rígido roscável, diâmetro 3/4", inclusive conexões</t>
  </si>
  <si>
    <t>Eletroduto de PVC rígido roscável, diâmetro 1", inclusive conexões</t>
  </si>
  <si>
    <t>Eletroduto de PVC rígido roscável, diâmetro 1.1/4", inclusive conexões</t>
  </si>
  <si>
    <t>Eletroduto de PVC rígido roscável, diâmetro 1.1/2", inclusive conexões</t>
  </si>
  <si>
    <t>Eletroduto de PVC rígido roscável, diâmetro 2", inclusive conexões</t>
  </si>
  <si>
    <t>Eletroduto de PVC rígido roscável, diâmetro 3", inclusive conexões</t>
  </si>
  <si>
    <t>Eletroduto flexível corrugado diâmetro 3/4", Amarelo ? Tigreflex ou equivalente</t>
  </si>
  <si>
    <t>Eletroduto flexível corrugado diâmetro 1", Amarelo ? Tigreflex ou equivalente</t>
  </si>
  <si>
    <t>Eletroduto de PVC rígido roscável, diâmetro 4", inclusive conexões</t>
  </si>
  <si>
    <t>Eletroduto de PVC rígido roscável, diâmetro 6", inclusive conexões</t>
  </si>
  <si>
    <t>Eletroduto PEAD parede simples, corrugado, cor preta, diâmetro 1.1/2", referencia Kanaflex, Plastibras ou equivalente</t>
  </si>
  <si>
    <t>Eletroduto PEAD parede simples, corrugado, cor preta, diâmetro 1.1/4", referencia Kanaflex, Plastibras ou equivalente</t>
  </si>
  <si>
    <t>Eletroduto PEAD parede simples, corrugado, cor preta, diâmetro 2", referencia Kanaflex, Plastibras ou equivalente</t>
  </si>
  <si>
    <t>Eletroduto PEAD parede simples, corrugado, cor preta, diâmetro 3", referencia Kanaflex, Plastibras ou equivalente</t>
  </si>
  <si>
    <t>Eletroduto PEAD parede simples, corrugado, cor preta, diâmetro 4", referencia Kanaflex, Plastibras ou equivalente</t>
  </si>
  <si>
    <t>Eletroduto PEAD parede simples, corrugado, cor preta, diâmetro 6", referencia Kanaflex, Plastibras ou equivalente</t>
  </si>
  <si>
    <t>Mini-Disjuntor monopolar 16A, curva C, 5kA, 127/220Vca, referência Siemens, GE, Schneider ou equivalente</t>
  </si>
  <si>
    <t>Mini-Disjuntor monopolar 20A, curva C, 5kA, 127/220Vca, referência Siemens, GE, Schneider ou equivalente</t>
  </si>
  <si>
    <t>Mini-Disjuntor monopolar 25A, curva C, 5kA, 127/220Vca, referência Siemens, GE, Schneider ou equivalente</t>
  </si>
  <si>
    <t>Mini-Disjuntor monopolar 32A, curva C, 5kA, 127/220Vca, referência Siemens, GE, Schneider ou equivalente</t>
  </si>
  <si>
    <t>Mini-Disjuntor monopolar 40A, curva C, 5kA, 127/220Vca, referência Siemens, GE, Schneider ou equivalente</t>
  </si>
  <si>
    <t>Mini-Disjuntor bipolar 16A, curva C, 5kA, 127/220Vca, referência Siemens, GE, Schneider ou equivalente</t>
  </si>
  <si>
    <t>Mini-Disjuntor bipolar 20A, curva C, 5kA, 127/220Vca, referência Siemens, GE, Schneider ou equivalente</t>
  </si>
  <si>
    <t>Mini-Disjuntor bipolar 50A, curva C, 5kA, 127/220Vca, referência Siemens, GE, Schneider ou equivalente</t>
  </si>
  <si>
    <t>Mini-Disjuntor tripolar 16A, curva C, 5kA, 127/220Vca, referência Siemens, GE, Schneider ou equivalente</t>
  </si>
  <si>
    <t>Mini-Disjuntor tripolar 40A, curva C, 5kA, 127/220Vca, referência Siemens, GE, Schneider ou equivalente</t>
  </si>
  <si>
    <t>Mini-Disjuntor tripolar 50A, curva C, 5kA, 127/220Vca, referência Siemens, GE, Schneider ou equivalente</t>
  </si>
  <si>
    <t>Mini-Disjuntor tripolar 90 A, curva C, 5kA, 127/220Vca, referência Siemens, GE, Schneider ou equivalente</t>
  </si>
  <si>
    <t>Mini-Disjuntor tripolar 100A, curva C, 20kA, 127/220Vca, referência Siemens, GE, Schneider ou equivalente</t>
  </si>
  <si>
    <t>Mini-Disjuntor tripolar 70A, curva C, 5kA, 127/220Vca, referência Siemens, GE, Schneider ou equivalente</t>
  </si>
  <si>
    <t>Mini-Disjuntor monopolar 50A, curva C, 5kA, 127/220Vca, referência Siemens, GE, Schneider ou equivalente</t>
  </si>
  <si>
    <t>Mini-Disjuntor monopolar 63A, curva C, 5kA, 127/220Vca, referência Siemens, GE, Schneider ou equivalente</t>
  </si>
  <si>
    <t>Mini-Disjuntor monopolar 70A, curva C, 5kA, 127220Vca, referência Siemens, GE, Schneider ou equivalente</t>
  </si>
  <si>
    <t>Mini-Disjuntor monopolar 80A, curva C, 5kA, 127/220Vca, referência Siemens, GE, Schneider ou equivalente</t>
  </si>
  <si>
    <t>Mini-Disjuntor bipolar 25A, curva C, 5kA, 127/220Vca, referência Siemens, GE, Schneider ou equivalente</t>
  </si>
  <si>
    <t>Mini-Disjuntor bipolar 32A, curva C, 5kA, 127/220Vca, referência Siemens, GE, Schneider ou equivalente</t>
  </si>
  <si>
    <t>Mini-Disjuntor bipolar 40A, curva C, 5kA, 127/220Vca, referência Siemens, GE, Schneider ou equivalente</t>
  </si>
  <si>
    <t>Mini-Disjuntor bipolar 63A, curva C, 5kA, 127/220Vca, referência Siemens, GE, Schneider ou equivalente</t>
  </si>
  <si>
    <t>Mini-Disjuntor bipolar 70A, curva C, 5kA, 220/127Vca, referência Siemens, GE, Schneider ou equivalente</t>
  </si>
  <si>
    <t>ni-Disjuntor bipolar 80A, curva C, 5kA, 127/220Vca, referência Siemens, GE, Schneider ou equivalente</t>
  </si>
  <si>
    <t>Mini-Disjuntor tripolar 20A, curva C, 5kA, 127/220Vca, referência Siemens, GE, Schneider ou equivalente</t>
  </si>
  <si>
    <t>Mini-Disjuntor tripolar 25A, curva C, 5kA, 127/220Vca, referência Siemens, GE, Schneider ou equivalente</t>
  </si>
  <si>
    <t>Mini-Disjuntor tripolar 32A, curva C, 5kA, 127/220Vca, referência. Siemens, GE, Schneider ou equivalente</t>
  </si>
  <si>
    <t>Mini-Disjuntor tripolar 63A, curva C, 5kA, 127/220Vca, referência Siemens, GE, Schneider ou equivalente</t>
  </si>
  <si>
    <t>Mini-Disjuntor tripolar 80A, curva C, 5kA, 127/220Vca, referência Siemens, GE, Schneider ou equivalente</t>
  </si>
  <si>
    <t>Mini-Disjuntor tripolar 125A, curva C, 20kA, 127/220Vca, referência Siemens, GE, Schneider ou equivalente</t>
  </si>
  <si>
    <t>Disjuntor caixa moldada termomagnetico fixo, tripolar 175A, Icu: 50kA, 400/500Vca, referência Siemens, Soprano, Schneider ou equivalente</t>
  </si>
  <si>
    <t>Disjuntor caixa moldada termomagnetico fixo, tripolar 200A, Icu: 50kA, 400/500Vca, referência Siemens, Soprano, Schneider ou equivalente</t>
  </si>
  <si>
    <t>Disjuntor caixa moldada termomagnetico fixo, tripolar 400A, Icu: 65kA, 380/415Vca, referência Siemens, Soprano, Schneider ou equivalente</t>
  </si>
  <si>
    <t>Dispositivo de proteção contra surto (DPS) bipolar, 40kA, 275Vca, referência Siemens, Steck, Clamper ou equivalente</t>
  </si>
  <si>
    <t>Mini-Disjuntor monopolar 10A, curva C, 5kA, 127/220Vca, referência Siemens, GE, Schneider ou equivalente</t>
  </si>
  <si>
    <t>Mini-Disjuntor tripolar 125A, curva C, 15kA, 220/380Vca, referência Siemens, GE, Schneider ou equivalente</t>
  </si>
  <si>
    <t>Fusivel retardado NH gG(gL), tamanho 01 ? 100A, 120kA em 500Vca, referência Siemens, WEG, Negrini ou equivalente</t>
  </si>
  <si>
    <t>Fusivel retardado NH gG(gL), tamanho 01 ? 160A, 120kA em 500Vca, referência Siemens, WEG, Negrini ou equivalente</t>
  </si>
  <si>
    <t>Fusivel retardado NH gG(gL), tamanho 02 ? 250A, 120kA em 500Vca, referência Siemens, WEG, Negrini ou equivalente</t>
  </si>
  <si>
    <t>Fusivel retardado NH gG(gL), tamanho 02 ? 300A, 120kA em 500Vca, referência Siemens, WEG, Negrini ou equivalente</t>
  </si>
  <si>
    <t>Fusivel retardado NH gG(gL), tamanho 02 ? 355A, 120kA em 500Vca, referência Siemens, WEG, Negrini ou equivalente</t>
  </si>
  <si>
    <t>Fusivel retardado NH gG(gL), tamanho 01 ? 125A, 120kA em 500Vca, referência Siemens, WEG, Negrini ou equivalente</t>
  </si>
  <si>
    <t>Interruptor Diferencial Bipolar DR 25A, 30mA ? 6kA, referência Siemens, Schneider, WEG ou equivalente</t>
  </si>
  <si>
    <t>Interruptor Diferencial Bipolar DR 40A, 30mA ? 6kA, referência Siemens, Schneider, WEG ou equivalente</t>
  </si>
  <si>
    <t>Interruptor Diferencial Bipolar DR 80A, 30mA - 6kA, referência Siemens, Schneider, WEG ou equivalente</t>
  </si>
  <si>
    <t>Cabo de cobre termoplástico (PVC) flexível isolado 450/750V, antichama BWF livre de chumbo, 70ºC - 1,5mm2</t>
  </si>
  <si>
    <t>Cabo de cobre termoplástico (PVC) flexível isolado 450/750V, antichama BWF livre de chumbo, 70ºC - 2,5mm2</t>
  </si>
  <si>
    <t>Cabo de cobre termoplástico (PVC) flexível isolado 450/750V, antichama BWF livre de chumbo, 70ºC ? 4,0mm2</t>
  </si>
  <si>
    <t>Cabo de cobre termoplástico (PVC) flexível isolado 450/750V, antichama BWF livre de chumbo, 70ºC ? 6,0mm2</t>
  </si>
  <si>
    <t>Cabo de cobre termoplástico (PVC) flexível isolado 450/750V, antichama BWF livre de chumbo, 70ºC ? 10,0mm2</t>
  </si>
  <si>
    <t>Cabo de cobre termoplástico (PVC) flexível isolado 450/750V, antichama BWF livre de chumbo, 70ºC ? 16,0mm2</t>
  </si>
  <si>
    <t>Cabo de cobre termoplástico (PVC) flexível isolado 450/750V, antichama BWF livre de chumbo, 70ºC ? 25,0mm2</t>
  </si>
  <si>
    <t>Cabo de cobre nu, seção de 25,0 mm2, têmpera meio dura, encordoamento classe 2A</t>
  </si>
  <si>
    <t>Cabo de cobre nu, seção de 10,0 mm2, têmpera meio dura, encordoamento classe 2A</t>
  </si>
  <si>
    <t>Cabo de cobre termoplástico (PVC) flexível isolado 0,60/1kV, antichama, HEPR 90ºC ? 2,5mm2</t>
  </si>
  <si>
    <t>Cabo de cobre termoplástico (PVC) flexível isolado 0,60/1kV, antichama, HEPR 90ºC ? 4,0mm2</t>
  </si>
  <si>
    <t>Cabo de cobre termoplástico (PVC) flexível isolado 0,60/1kV, antichama, HEPR 90ºC ? 6,0mm2</t>
  </si>
  <si>
    <t>Cabo de cobre termoplástico (PVC) flexível isolado 0,60/1kV, antichama, HEPR 90ºC ? 10,0mm2</t>
  </si>
  <si>
    <t>Cabo de cobre termoplástico (PVC) flexível isolado 0,60/1kV, antichama, HEPR 90ºC ? 16,0mm2</t>
  </si>
  <si>
    <t>Cabo de cobre termoplástico (PVC) flexível isolado 0,60/1kV, antichama, HEPR 90ºC ? 25,0mm2</t>
  </si>
  <si>
    <t>Cabo de cobre termoplástico (PVC) flexível isolado 0,60/1kV, antichama, HEPR 90ºC ? 35,0mm2</t>
  </si>
  <si>
    <t>Cabo de cobre termoplástico (PVC) flexível isolado 0,60/1kV, antichama, HEPR 90ºC ? 50,0mm2</t>
  </si>
  <si>
    <t>Cabo de cobre termoplástico (PVC) flexível isolado 0,60/1kV, antichama, HEPR 90ºC ? 95,0mm2</t>
  </si>
  <si>
    <t>Cabo de cobre termoplástico (PVC) flexível isolado 0,60/1kV, antichama, HEPR 90ºC ? 120,0mm2</t>
  </si>
  <si>
    <t>Cabo de cobre termoplástico (PVC) flexível isolado 0,60/1kV, antichama, HEPR 90ºC ? 300,0mm2</t>
  </si>
  <si>
    <t>Cabo de cobre termoplástico (PVC) flexível isolado 0,60/1kV, antichama, HEPR 90ºC ? 70,0mm2</t>
  </si>
  <si>
    <t>Cabo de cobre termoplástico (PVC) flexível isolado 0,60/1kV, antichama, HEPR 90ºC ? 150,0mm2</t>
  </si>
  <si>
    <t>Cabo de cobre termoplástico (PVC) flexível isolado 0,60/1kV, antichama, HEPR 90ºC ? 185,0mm2</t>
  </si>
  <si>
    <t>Cabo de cobre termoplástico (PVC) flexível isolado 0,60/1kV, antichama, HEPR 90ºC ? 240,0mm2</t>
  </si>
  <si>
    <t>Cabo de cobre termoplástico (PVC/ST2) blindado isolado 8,7/15kV, XLPE 90ºC ? 25,0mm2</t>
  </si>
  <si>
    <t>Cabo de cobre termoplástico (PVC/ST2) blindado isolado 8,7/15kV, XLPE 90ºC ? 35,0mm2</t>
  </si>
  <si>
    <t>Cabo de cobre termoplástico (PVC) flexível isolado 0,60/1kV, antichama, HEPR 90ºC ? 2x2,5mm2</t>
  </si>
  <si>
    <t>Cabo de cobre termoplástico (PVC) flexível isolado 0,60/1kV, antichama, HEPR 90ºC ? 3x2,5mm2</t>
  </si>
  <si>
    <t>Cabo de cobre termoplástico (PVC) flexível isolado 0,60/1kV, antichama, HEPR 90ºC ? 3x4,0mm2</t>
  </si>
  <si>
    <t>Cabo de cobre, têmpera mole, classe 5, isolamento não halogenado, 450/750V, com baixa emissao de fumaca, 70ºC em regime permanente - 1,50 mm2</t>
  </si>
  <si>
    <t>Cabo de cobre, tempera mole, classe 5, isolamento não halogenado, 450/750V, com baixa emissao de fumaca, 70ºC em regime permanente - 2,50 mm2</t>
  </si>
  <si>
    <t>Cabo de cobre, tempera mole, classe 5, isolamento não halogenado, 450/750V, com baixa emissao de fumaca, 70ºC em regime permanente - 4,0 mm2</t>
  </si>
  <si>
    <t>Cabo de cobre, tempera mole, classe 5, isolamento não halogenado, 450/750V, com baixa emissao de fumaca, 70ºC em regime permanente - 6,0 mm2</t>
  </si>
  <si>
    <t>Cabo de cobre, tempera mole, classe 5, isolamento não halogenado, 450/750V, com baixa emissao de fumaca, 70ºC em regime permanente - 10,0 mm2</t>
  </si>
  <si>
    <t>Cabo de cobre, tempera mole, classe 5, isolamento não halogenado, 450/750V, com baixa emissao de fumaca, 70ºC em regime permanente - 16,0 mm2</t>
  </si>
  <si>
    <t>Cabo de cobre, tempera mole, classe 5, isolamento não halogenado, 450/750V, com baixa emissao de fumaca, 70ºC em regime permanente - 25,0 mm2</t>
  </si>
  <si>
    <t>Terminal em bronze a pressão para ligação de cabo a barra até 4.0mm2</t>
  </si>
  <si>
    <t>Terminal em bronze a pressão para ligação de cabo a barra de 6.0 mm2</t>
  </si>
  <si>
    <t>Terminal em bronze a pressão para ligação de cabo a barra de 10.0 mm2</t>
  </si>
  <si>
    <t>erminal em bronze a pressão para ligação de cabo a barra de 16.0 mm2</t>
  </si>
  <si>
    <t>Terminal em bronze a pressão para ligação de cabo a barra de 25.0 mm2</t>
  </si>
  <si>
    <t>Terminal em bronze a pressão para ligação de cabo a barra de 35.0 mm2</t>
  </si>
  <si>
    <t>Terminal em bronze a pressão para ligação de cabo a barra de 50.0 mm2</t>
  </si>
  <si>
    <t>Terminal em bronze a pressão para ligação de cabo a barra de 70 mm2</t>
  </si>
  <si>
    <t>Terminal em bronze a pressão para ligação de cabo a barra de 95 mm2</t>
  </si>
  <si>
    <t>Terminal em bronze a pressão para ligação de cabo a barra de 120 mm2</t>
  </si>
  <si>
    <t>Terminal em bronze a pressão para ligação de cabo a barra de 150 mm2</t>
  </si>
  <si>
    <t>Terminal em bronze a pressão para ligação de cabo a barra de 185 mm2</t>
  </si>
  <si>
    <t>Terminal em bronze a pressão para ligação de cabo a barra de 240 mm2</t>
  </si>
  <si>
    <t>Terminal em bronze a pressão para ligação de cabo a barra de 300 mm2</t>
  </si>
  <si>
    <t>Terminal em bronze a pressão para ligação de cabo a barra duplo de 185 mm2</t>
  </si>
  <si>
    <t>Terminal em bronze a pressão para ligação de cabo a barra duplo de 240 mm2</t>
  </si>
  <si>
    <t>Terminal em bronze a pressão para ligação de cabo a barra duplo de 300 mm2</t>
  </si>
  <si>
    <t>Conector parafuso fendido split bolt para cabo até 10.0 mm2</t>
  </si>
  <si>
    <t>Conector parafuso fendido split bolt para cabo de 35.0 mm2</t>
  </si>
  <si>
    <t>Conector de porcelana 3 polos para cabos de 6 mm² (30A)</t>
  </si>
  <si>
    <t>Conector de porcelana 3 polos para cabos de 10 mm² (50A)</t>
  </si>
  <si>
    <t>Conector de aluminio tipo prensa cabos IP66 curto para Ø 1/2" com rosca, para cabos de 12,5 a 15mm</t>
  </si>
  <si>
    <t>Conector de aluminio tipo prensa cabos IP66 curto para Ø 3/4" com rosca, para cabos de 17,5 a 20mm</t>
  </si>
  <si>
    <t>Conector de aluminio tipo prensa cabos IP66 curto para Ø 1" com rosca, para cabos de 22,5 a 25mm</t>
  </si>
  <si>
    <t>Extintor de incêndio de água pressurizada capacidade 2A (10L), inclusive suporte de parede universal, parafuso e bucha S8, exclusive placa sinalizadora em PVC fotoluminescente e pintura de sinalização</t>
  </si>
  <si>
    <t>Extintor de incêndio portátil de pó químico ABC com capacidade 2A-20B:C (6 kg), inclusive suporte de parede universal, parafuso e bucha S8, exclusive placa sinalizadora em PVC fotoluminescente e pintura de sinalização</t>
  </si>
  <si>
    <t>Extintor de incêndio de gás carbônico CO2 5 B:C (6 Kg), inclusive suporte de parede universal, parafuso e bucha S8, exclusive placa sinalizadora em PVC fotoluminescente e pintura de sinalização</t>
  </si>
  <si>
    <t>Extintor de incêndio portátil de pó químico ABC com capacidade 2A-20B:C (4 kg), inclusive suporte de parede universal, parafuso e bucha S8, exclusive placa sinalizadora em PVC fotoluminescente e pintura de sinalização</t>
  </si>
  <si>
    <t>Conjunto completo de Porta corta-fogo simples para saída de emergência Dim.: 80x210x5cm, conforme ABNT NBR 11742, classe P-90,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t>
  </si>
  <si>
    <t>Conjunto completo de Porta corta-fogo simples para saída de emergência Dim.: 90x210x5cm, conforme ABNT NBR 11742, classe P-90,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t>
  </si>
  <si>
    <t>Conjunto completo de Porta corta-fogo simples para saída de emergência Dim.: 90x210x5cm, conforme ABNT NBR 11742, classe P-120,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t>
  </si>
  <si>
    <t>Indice de imperm.c/ manta asfáltica atendendo à norma 9952, asfalto polimerizado esp.3mm, reforçada com fio int. polietileno, reg. base com arg. 1:4 esp min 15mm, proteção mecânica arg. 1:4 esp. 20mm, imprimação e juntas de dilat</t>
  </si>
  <si>
    <t>Patch Panel 24 Portas RJ45/IDC Cat.6, inclusive fixação em Rack 19"</t>
  </si>
  <si>
    <t>Lavatório de louça branca com coluna ? Aspen Vogue Plus - Deca ou equivalente, inclusive válvula de saída cromada 1?, sifão em metal cromado 1? x 1/2", engate flexível trançado inox 1/2? x 30cm e parafusos para fixação, exclusive torneira</t>
  </si>
  <si>
    <t>Mictório de louça branca com sifão integrado antivandalismo - M715 - Deca ou equivalente, inclusive engate flexível trançado inox 1/2? x 30cm</t>
  </si>
  <si>
    <t>Cabide de louça branca com 2 ganchos ? Icasa, Celite ou equivalente</t>
  </si>
  <si>
    <t>Bacia convencional infantil de louça branca - Studio Kids - Deca ou equivalente, inclusive assento plástico, tubo de ligação metal cromado com canopla, anel de vedação e parafusos para fixação</t>
  </si>
  <si>
    <t>Cuba de louça branca de embutir redonda, 36cm - L-41 ? Deca ou equivalente, inclusive válvula de saída cromada 1?, sifão em metálico tipo copo cromado 1? x 1/2" e engate flexível trançado inox 1/2? x 30cm, exclusive torneira</t>
  </si>
  <si>
    <t>Bacia convencional de louça branca, padrão popular - Logasa, Celite ou equivalente, inclusive assento plástico, tubo de ligação metal cromado com canopla, anel de vedação e parafusos para fixação</t>
  </si>
  <si>
    <t>Lavatório de louça branca sem coluna, padrão popular - Colibri - Logasa ou equivalente, inclusive sifão em PVC rígido 1? x1/2?, válvula em PVC 1?, engate flexível em PVC 1/2" x 30cm e parafusos para fixação, exclusive torneira</t>
  </si>
  <si>
    <t>Cabide de louça branca com um gancho - A680 - Deca ou equivalente</t>
  </si>
  <si>
    <t>Lavatório de louça branca com coluna, padrão popular Izy ? Deca, Celite ou equivalente, inclusive sifão em PVC rígido 1? x1/2?, válvula em PVC 1?, engate flexível em PVC 1/2" x 30cm e parafusos para fixação, exclusive torneira</t>
  </si>
  <si>
    <t>Recolocação de bacia sanitária, inclusive fornecimento de tubo de ligação metal cromado com canopla, engate flexível trançado inox 1/2? x 30cm, anel de vedação e parafusos para fixação), exclusive bacia sanitária</t>
  </si>
  <si>
    <t>Recolocação de lavatório sanitário, inclusive fornecimento de , inclusive válvula de saída cromada 1?, sifão em metal cromado 1? x 1/2" e engate flexível trançado inox 1/2? x 30cm, exclusive lavatório</t>
  </si>
  <si>
    <t>Recolocação de lavatório sanitário, inclusive fornecimento de acessórios (Sifão, válvula e engate em PVC), exclusive lavatório</t>
  </si>
  <si>
    <t>Lavatório suspenso de Canto - Izy - L101 - Deca ou equivalente, inclusive válvula de saída cromada 1?, sifão em metal cromado 1? x 1/2", engate flexível trançado inox 1/2? x 30cm e parafusos para fixação, exclusive torneira</t>
  </si>
  <si>
    <t>Bacia convencional de louça branca sem abertura frontal para portadores de necessidades especiais, Vogue Plus Conforto - P510, inclusive assento em poliéster, ref. AP51 - Deca ou equivalente, tubo de ligação metal cromado com canopla, anel de vedação e parafusos para fixação</t>
  </si>
  <si>
    <t>Lavatório de louça branca com coluna suspensa, Vogue Plus Confort - L51+CS1V para portadores de necessidades especiais - DECA, inclusive válvula de saída cromada 1?, sifão em metal cromado 1? x 1/2", engate flexível trançado inox 1/2? x 30cm e parafusos para fixação, exclusive torneira</t>
  </si>
  <si>
    <t>Bacia sanitária de louça branca com caixa acoplada e válvula de acionamento simples - Izy - Deca, Celite ou equivalente, inclusive assento plástico, tubo de ligação metal cromado com canopla, engate flexível trançado inox 1/2? x 30cm, anel de vedação e parafusos para fixação</t>
  </si>
  <si>
    <t>Lavatório de louça branca com coluna, Ravena L91 + C9 - Deca ou equivalente, inclusive válvula de saída cromada 1?, sifão em metal cromado 1? x 1/2", engate flexível trançado inox 1/2? x 30cm e parafusos para fixação, exclusive torneira</t>
  </si>
  <si>
    <t>Lavatório suspenso de canto - L76 - Deca ou equivalente, para portadores de necessidades especiais, inclusive válvula de saída cromada 1?, sifão em metal cromado 1? x 1/2", engate flexível trançado inox 1/2? x 30cm e parafusos para fixação, exclusive torneira</t>
  </si>
  <si>
    <t>Cuba de louça branca de embutir oval - L37 - Deca ou equivalente, inclusive válvula de saída cromada 1?, sifão em metálico tipo copo cromado 1? x 1/2" e engate flexível trançado inox 1/2? x 30cm, exclusive torneira</t>
  </si>
  <si>
    <t>Bacia convencional de louça branca- Ravena - P9 - Deca ou equivalente, inclusive assento plástico, tubo de ligação metal cromado com canopla, anel de vedação e parafusos para fixação</t>
  </si>
  <si>
    <t>Bacia convencional de louça branca com abertura frontal para portadores de necessidades especiais, Vogue Plus Conforto - P51, inclusive assento em poliéster com abertura, ref. AP51 - Deca ou equivalente, tubo de ligação metal cromado com canopla, anel de vedação e parafusos para fixação</t>
  </si>
  <si>
    <t>Bacia sanitária de louça branca com caixa acoplada e válvula de duplo acionamento, Ravena - P9 - Deca ou equivalente, inclusive assento plástico, tubo de ligação metal cromado com canopla, engate flexível trançado inox 1/2? x 30cm, anel de vedação e parafusos para fixação</t>
  </si>
  <si>
    <t>Torneira bica baixa de mesa para lavatório PressMatic Alfa - Docol, Decamatic Smart - Deca ou equivalente</t>
  </si>
  <si>
    <t>Torneira de parede para tanque longa 3/4" 1158 Primor - Docol ou equivalente</t>
  </si>
  <si>
    <t>Torneira angular de acionamento restrito para jardim, 3/4" ? Docol ou equivalente</t>
  </si>
  <si>
    <t>Torneira para uso geral 1130 Trio - Docol ou equivalente</t>
  </si>
  <si>
    <t>Torneira em polipropileno de parede para pia Slim - Krona ou equivalente</t>
  </si>
  <si>
    <t>Torneira de parede para tanque longa 1/2" 1158 Primor ? Docol ou equivalente</t>
  </si>
  <si>
    <t>Torneira de parede de cozinha bica alta 360º Gali - Docol ou equivalente</t>
  </si>
  <si>
    <t>Registro de pressão bruto com volante, diâmetro 1/2" (15mm) ? Docol, Deca ou equivalente</t>
  </si>
  <si>
    <t>Registro de gaveta bruto ABNT diâmetro 1/2" (15mm) - Docol, Deca ou equivalente</t>
  </si>
  <si>
    <t>Registro de gaveta bruto ABNT diâmetro 3/4" (20mm) ? Docol, Deca ou equivalente</t>
  </si>
  <si>
    <t>Registro de gaveta bruto ABNT diâmetro 1" (25mm) ? Docol, Deca ou equivalente</t>
  </si>
  <si>
    <t>Registro de gaveta bruto ABNT diâmetro 1.1/4" (32mm) - Docol, Deca ou equivalente</t>
  </si>
  <si>
    <t>Registro de gaveta bruto ABNT diâmetro 1.1/2" (40mm) ? Docol, Deca ou equivalente</t>
  </si>
  <si>
    <t>Registro de gaveta bruto ABNT diâmetro 2" (50mm) ? Docol, Deca ou equivalente</t>
  </si>
  <si>
    <t>Registro de gaveta bruto industrial diâmetro 2.1/2? (65mm) ? Docol, Deca ou equivalente</t>
  </si>
  <si>
    <t>Registro de gaveta bruto industrial diâmetro 3? (75mm) ? Docol, Deca ou equivalente</t>
  </si>
  <si>
    <t>Registro de gaveta ABNT com acabamento canopla metal cromado C40, diâmetro 1.1/2" (40mm) - Docol, Deca ou equivalente</t>
  </si>
  <si>
    <t>Válvula de descarga com acabamento canopla metal cromado, diâmetro 1.1/4" (32mm), referência Docol, Deca ou equivalente</t>
  </si>
  <si>
    <t>Válvula de descarga com acabamento canopla metal cromado, diâmetro 40mm (1.1/2"), referência Fabrimar, Deca, Docol ou equivalente</t>
  </si>
  <si>
    <t>Válvula de PVC 1? para lavatório com unho - Astra, Cipla, Akros ou equivalente</t>
  </si>
  <si>
    <t>Válvula de PVC 2.1/4? para tanque com unho - Astra, Cipla, Akros ou equivalente</t>
  </si>
  <si>
    <t>Acabamento para válvula de descarga clássica ? Docol, Deca ou Equivalente</t>
  </si>
  <si>
    <t>Conjunto Parafuso de fixação para instalação em bacia ou mictório, inclusive colocação</t>
  </si>
  <si>
    <t>Torneira de parede para cozinha 1157-P-CR linha: Pratika ? Fabrimar ou equivalente</t>
  </si>
  <si>
    <t>Válvula de descarga com acabamento canopla metal cromado sistema antivandalismo, diâmetro 1.1/2" (40mm), referência Docol, Deca ou equivalente</t>
  </si>
  <si>
    <t>Torneira para lavatório de parede sistema antivandalismo Biopress 1182-AV-BIO-140 ? Fabrimar ou equivalente</t>
  </si>
  <si>
    <t>Chuveiro de vazão constante com vávula anti-vandalismo Pressmatic ? Docol ou equivalente</t>
  </si>
  <si>
    <t>Chuveiro em metal cromado com desviador flexível e ducha manual Linha Max 1975C ? Deca ou equivalente</t>
  </si>
  <si>
    <t>Válvula de retenção horizontal em bronze, tipo portinhola diâmetro 1/2" (15mm)</t>
  </si>
  <si>
    <t>Válvula de retenção horizontal em bronze, tipo portinhola diâmetro 3/4" (20mm)</t>
  </si>
  <si>
    <t>Válvula de retenção horizontal em bronze, tipo portinhola diâmetro 1" (25mm)</t>
  </si>
  <si>
    <t>Válvula de retenção horizontal em bronze, tipo portinhola diâmetro 1.1/4" (32mm)</t>
  </si>
  <si>
    <t>Válvula de retenção horizontal em bronze, tipo portinhola diâmetro 1.1/2" (40mm)</t>
  </si>
  <si>
    <t>Válvula de retenção horizontal em bronze, tipo portinhola diâmetro 2" (50mm)</t>
  </si>
  <si>
    <t>Válvula de retenção horizontal em bronze, tipo portinhola diâmetro 2.1/2" (65mm)</t>
  </si>
  <si>
    <t>Válvula de retenção horizontal em bronze, tipo portinhola diâmetro 3" (80mm)</t>
  </si>
  <si>
    <t>Válvula de Retenção Vertical em bronze, classe 125 diâmetro 1/2" (15mm)</t>
  </si>
  <si>
    <t>Válvula de Retenção Vertical em bronze, classe 125 diâmetro 3/4" (20mm)</t>
  </si>
  <si>
    <t>Válvula de Retenção Vertical em bronze, classe 125 diâmetro 1" (25mm)</t>
  </si>
  <si>
    <t>Válvula de Retenção Vertical em bronze, classe 125 diâmetro 1.1/4" (32mm)</t>
  </si>
  <si>
    <t>Válvula de Retenção Vertical em bronze, classe 125 diâmetro 1.1/2" (40mm)</t>
  </si>
  <si>
    <t>Válvula de Retenção Vertical em bronze, classe 125 diâmetro 2" (50mm)</t>
  </si>
  <si>
    <t>Válvula de Retenção Vertical em bronze, classe 125 diâmetro 2.1/2" (65mm)</t>
  </si>
  <si>
    <t>Válvula de Retenção Vertical em bronze, classe 125 diâmetro 3" (80mm)</t>
  </si>
  <si>
    <t>Poste circular de concreto de 11m padrão ESCELSA, incl. luminária tipo LED 1 pétala pot 100W, IP66, temp cor sup 5000K, vida util superior a 60.000 H, mod EDN100, HBP-100 ou 001100G3-1006 - AMES Iluminação, ECP, HDA Iluminação ou equiv</t>
  </si>
  <si>
    <t>Emassamento de paredes e forros, com duas demãos de massa acrílica premium, referência Suvinil, Coral ou Sherwin Williams ou equivalente, inclusive uma demão de liquido selador acrílico, referência Suvinil, Coral ou Metalatex ou equivalente</t>
  </si>
  <si>
    <t>Fornecimento e instalação Portão de correr em Gradil Nylofor 3D, em painel de aço galvanizado, Dim.: 3,50 x 2,43m - Belgo ou equivalente, malha retangular 200x50mm e fio de aço Ø5,0mm, incl. poste de aço galv. 60x40mm</t>
  </si>
  <si>
    <t>Fornecimento e instalação Portão de Abrir em Gradil Nylofor 3D, em painel de aço galvanizado, Dim.: 1,00 x 2,43m - Belgo ou equivalente, malha retangular 200x50mm e fio de aço Ø5,0mm, incl. poste de aço galv. 60x40mm</t>
  </si>
  <si>
    <t>Cercamento em gradil em aço galvanizado soldado e revestido em poliéster por processo de pintura eletrostática 100micra, malha 5x20cm, fio diâm. 5,00mm. Inclusive acessórios e poste. Dimensões dos painéis: 2,50x2,03m - Nylofor ou equivalente</t>
  </si>
  <si>
    <t>Letra tipo Caixa em chapa de aço inox 304 escovado N16 - Largura: 7,5 cm, Altura: 15cm e Prof. 3cm, inclusive fixação invisível</t>
  </si>
  <si>
    <t>Letra tipo Caixa em chapa de aço inox 304 escovado N16 - Largura: 15 cm, Altura: 30cm e Prof. 3cm, inclusive fixação invisível</t>
  </si>
  <si>
    <t>01.03.02</t>
  </si>
  <si>
    <t>01.03.03</t>
  </si>
  <si>
    <t>01.03.04</t>
  </si>
  <si>
    <t>01.03.05</t>
  </si>
  <si>
    <t>01.03.06</t>
  </si>
  <si>
    <t>01.03.07</t>
  </si>
  <si>
    <t>01.03.08</t>
  </si>
  <si>
    <t>01.03.09</t>
  </si>
  <si>
    <t>01.04</t>
  </si>
  <si>
    <t>01.04.01</t>
  </si>
  <si>
    <t>Faça Certo</t>
  </si>
  <si>
    <t>PROJETO ARQUITETÔNICO</t>
  </si>
  <si>
    <t>01.04.02</t>
  </si>
  <si>
    <t>PROJETO ESTRUTURAL, INCLUSIVE FUNDAÇÃO</t>
  </si>
  <si>
    <t>01.04.03</t>
  </si>
  <si>
    <t>01.04.04</t>
  </si>
  <si>
    <t>01.04.05</t>
  </si>
  <si>
    <t>01.04.06</t>
  </si>
  <si>
    <t>01.04.07</t>
  </si>
  <si>
    <t>01.04.08</t>
  </si>
  <si>
    <t>PROJETO HIDROSSANITÁRIO</t>
  </si>
  <si>
    <t>PROJETO REDES ELÉTRICAS</t>
  </si>
  <si>
    <t>PROJETO DO SIST. DE CABEAMENTO ESTRUTURADO (VOZ, DADOS E SONORIZAÇÃO)</t>
  </si>
  <si>
    <t>PROJETO DE PREVENÇÃO E COMBATE A INCÊNDIO</t>
  </si>
  <si>
    <t>PROJETO DE CLIMATIZAÇÃO E CONFORTO AMBIENTAL</t>
  </si>
  <si>
    <t>PROJETO SPDA (PARARRAIO)</t>
  </si>
  <si>
    <t>TOTAL DO ITEM 1.0</t>
  </si>
  <si>
    <t>02.02</t>
  </si>
  <si>
    <t>02.02.02</t>
  </si>
  <si>
    <t>02.03</t>
  </si>
  <si>
    <t>02.03.01</t>
  </si>
  <si>
    <t>TOTAL DO ITEM 2.0</t>
  </si>
  <si>
    <t>TOTAL DO ITEM 4.0</t>
  </si>
  <si>
    <t>ESQUADRIAS</t>
  </si>
  <si>
    <t>05.03</t>
  </si>
  <si>
    <t>ESPELHOS/VIDROS</t>
  </si>
  <si>
    <t>06.03.02</t>
  </si>
  <si>
    <t>TOTAL DO ITEM 5.0</t>
  </si>
  <si>
    <t>TOTAL DO ITEM 6.0</t>
  </si>
  <si>
    <t>ENTRADA DE ÁGUA / PONTOS HIDROSSANITÁRIOS</t>
  </si>
  <si>
    <t>ABERTURA E FECHAMENTO DE RASGOS</t>
  </si>
  <si>
    <t>TOTAL DO ITEM 8.0</t>
  </si>
  <si>
    <t>TOTAL DO ITEM 7.0</t>
  </si>
  <si>
    <t>ABERTURA E FECHAMENTO DE RASGOS (INCLUSIVE PREPARO E APLICAÇÃO DE ARGAMASSA)</t>
  </si>
  <si>
    <t>TOTAL DO ITEM 9.0</t>
  </si>
  <si>
    <t>INSTALAÇÃO DE REDE LÓGICA</t>
  </si>
  <si>
    <t>TOTAL DO ITEM 10.0</t>
  </si>
  <si>
    <t>TOTAL DO ITEM 11.0</t>
  </si>
  <si>
    <t>REVESTIMENTO EXTERNO</t>
  </si>
  <si>
    <t>12.01.02</t>
  </si>
  <si>
    <t>TOTAL DO ITEM 12.0</t>
  </si>
  <si>
    <t>13.04</t>
  </si>
  <si>
    <t>13.05</t>
  </si>
  <si>
    <t>TOTAL DO ITEM 13.0</t>
  </si>
  <si>
    <t>14.01</t>
  </si>
  <si>
    <t>14.02</t>
  </si>
  <si>
    <t>14.03</t>
  </si>
  <si>
    <t>14.04</t>
  </si>
  <si>
    <t>14.05</t>
  </si>
  <si>
    <t>TOTAL DO ITEM 14.0</t>
  </si>
  <si>
    <t>15.01</t>
  </si>
  <si>
    <t>TOTAL DO ITEM 15.0</t>
  </si>
  <si>
    <t>16.02</t>
  </si>
  <si>
    <t>16.03</t>
  </si>
  <si>
    <t>16.04</t>
  </si>
  <si>
    <t>TOTAL DO ITEM 16.0</t>
  </si>
  <si>
    <t>TOTAL DO ITEM 17.0</t>
  </si>
  <si>
    <t>ASSENTAMENTO DE TUBO DE FERRO FUNDIDO PARA REDE DE ÁGUA, DN 80 MM, JUNTA ELÁSTICA, INSTALADO EM LOCAL COM NÍVEL ALTO DE INTERFERÊNCIAS (NÃO INCLUI FORNECIMENTO). AF_05/2024</t>
  </si>
  <si>
    <t>ASSENTAMENTO DE TUBO DE FERRO FUNDIDO PARA REDE DE ÁGUA, DN 100 MM, JUNTA ELÁSTICA, INSTALADO EM LOCAL COM NÍVEL ALTO DE INTERFERÊNCIAS (NÃO INCLUI FORNECIMENTO). AF_05/2024</t>
  </si>
  <si>
    <t>ASSENTAMENTO DE TUBO DE FERRO FUNDIDO PARA REDE DE ÁGUA, DN 150 MM, JUNTA ELÁSTICA, INSTALADO EM LOCAL COM NÍVEL ALTO DE INTERFERÊNCIAS (NÃO INCLUI FORNECIMENTO). AF_05/2024</t>
  </si>
  <si>
    <t>ASSENTAMENTO DE TUBO DE FERRO FUNDIDO PARA REDE DE ÁGUA, DN 200 MM, JUNTA ELÁSTICA, INSTALADO EM LOCAL COM NÍVEL ALTO DE INTERFERÊNCIAS (NÃO INCLUI FORNECIMENTO). AF_05/2024</t>
  </si>
  <si>
    <t>ASSENTAMENTO DE TUBO DE FERRO FUNDIDO PARA REDE DE ÁGUA, DN 250 MM, JUNTA ELÁSTICA, INSTALADO EM LOCAL COM NÍVEL ALTO DE INTERFERÊNCIAS (NÃO INCLUI FORNECIMENTO). AF_05/2024</t>
  </si>
  <si>
    <t>ASSENTAMENTO DE TUBO DE FERRO FUNDIDO PARA REDE DE ÁGUA, DN 300 MM, JUNTA ELÁSTICA, INSTALADO EM LOCAL COM NÍVEL ALTO DE INTERFERÊNCIAS (NÃO INCLUI FORNECIMENTO). AF_05/2024</t>
  </si>
  <si>
    <t>ASSENTAMENTO DE TUBO DE FERRO FUNDIDO PARA REDE DE ÁGUA, DN 350 MM, JUNTA ELÁSTICA, INSTALADO EM LOCAL COM NÍVEL ALTO DE INTERFERÊNCIAS (NÃO INCLUI FORNECIMENTO). AF_05/2024</t>
  </si>
  <si>
    <t>ASSENTAMENTO DE TUBO DE FERRO FUNDIDO PARA REDE DE ÁGUA, DN 400 MM, JUNTA ELÁSTICA, INSTALADO EM LOCAL COM NÍVEL ALTO DE INTERFERÊNCIAS (NÃO INCLUI FORNECIMENTO). AF_05/2024</t>
  </si>
  <si>
    <t>ASSENTAMENTO DE TUBO DE FERRO FUNDIDO PARA REDE DE ÁGUA, DN 450 MM, JUNTA ELÁSTICA, INSTALADO EM LOCAL COM NÍVEL ALTO DE INTERFERÊNCIAS (NÃO INCLUI FORNECIMENTO). AF_05/2024</t>
  </si>
  <si>
    <t>ASSENTAMENTO DE TUBO DE FERRO FUNDIDO PARA REDE DE ÁGUA, DN 500 MM, JUNTA ELÁSTICA, INSTALADO EM LOCAL COM NÍVEL ALTO DE INTERFERÊNCIAS (NÃO INCLUI FORNECIMENTO). AF_05/2024</t>
  </si>
  <si>
    <t>ASSENTAMENTO DE TUBO DE FERRO FUNDIDO PARA REDE DE ÁGUA, DN 600 MM, JUNTA ELÁSTICA, INSTALADO EM LOCAL COM NÍVEL ALTO DE INTERFERÊNCIAS (NÃO INCLUI FORNECIMENTO). AF_05/2024</t>
  </si>
  <si>
    <t>ASSENTAMENTO DE TUBO DE FERRO FUNDIDO PARA REDE DE ÁGUA, DN 700 MM, JUNTA ELÁSTICA, INSTALADO EM LOCAL COM NÍVEL ALTO DE INTERFERÊNCIAS (NÃO INCLUI FORNECIMENTO). AF_05/2024</t>
  </si>
  <si>
    <t>32,76</t>
  </si>
  <si>
    <t>ASSENTAMENTO DE TUBO DE FERRO FUNDIDO PARA REDE DE ÁGUA, DN 800 MM, JUNTA ELÁSTICA, INSTALADO EM LOCAL COM NÍVEL ALTO DE INTERFERÊNCIAS (NÃO INCLUI FORNECIMENTO). AF_05/2024</t>
  </si>
  <si>
    <t>ASSENTAMENTO DE TUBO DE FERRO FUNDIDO PARA REDE DE ÁGUA, DN 900 MM, JUNTA ELÁSTICA, INSTALADO EM LOCAL COM NÍVEL ALTO DE INTERFERÊNCIAS (NÃO INCLUI FORNECIMENTO). AF_05/2024</t>
  </si>
  <si>
    <t>ASSENTAMENTO DE TUBO DE FERRO FUNDIDO PARA REDE DE ÁGUA, DN 1000 MM, JUNTA ELÁSTICA, INSTALADO EM LOCAL COM NÍVEL ALTO DE INTERFERÊNCIAS (NÃO INCLUI FORNECIMENTO). AF_05/2024</t>
  </si>
  <si>
    <t>ASSENTAMENTO DE TUBO DE FERRO FUNDIDO PARA REDE DE ÁGUA, DN 1200 MM, JUNTA ELÁSTICA, INSTALADO EM LOCAL COM NÍVEL ALTO DE INTERFERÊNCIAS (NÃO INCLUI FORNECIMENTO). AF_05/2024</t>
  </si>
  <si>
    <t>ASSENTAMENTO DE TUBO DE FERRO FUNDIDO PARA REDE DE ÁGUA, DN 80 MM, JUNTA ELÁSTICA, INSTALADO EM LOCAL COM NÍVEL BAIXO DE INTERFERÊNCIAS (NÃO INCLUI FORNECIMENTO). AF_05/2024</t>
  </si>
  <si>
    <t>ASSENTAMENTO DE TUBO DE FERRO FUNDIDO PARA REDE DE ÁGUA, DN 100 MM, JUNTA ELÁSTICA, INSTALADO EM LOCAL COM NÍVEL BAIXO DE INTERFERÊNCIAS (NÃO INCLUI FORNECIMENTO). AF_05/2024</t>
  </si>
  <si>
    <t>ASSENTAMENTO DE TUBO DE FERRO FUNDIDO PARA REDE DE ÁGUA, DN 150 MM, JUNTA ELÁSTICA, INSTALADO EM LOCAL COM NÍVEL BAIXO DE INTERFERÊNCIAS (NÃO INCLUI FORNECIMENTO). AF_05/2024</t>
  </si>
  <si>
    <t>ASSENTAMENTO DE TUBO DE FERRO FUNDIDO PARA REDE DE ÁGUA, DN 200 MM, JUNTA ELÁSTICA, INSTALADO EM LOCAL COM NÍVEL BAIXO DE INTERFERÊNCIAS (NÃO INCLUI FORNECIMENTO). AF_05/2024</t>
  </si>
  <si>
    <t>7,62</t>
  </si>
  <si>
    <t>ASSENTAMENTO DE TUBO DE FERRO FUNDIDO PARA REDE DE ÁGUA, DN 250 MM, JUNTA ELÁSTICA, INSTALADO EM LOCAL COM NÍVEL BAIXO DE INTERFERÊNCIAS (NÃO INCLUI FORNECIMENTO). AF_05/2024</t>
  </si>
  <si>
    <t>ASSENTAMENTO DE TUBO DE FERRO FUNDIDO PARA REDE DE ÁGUA, DN 300 MM, JUNTA ELÁSTICA, INSTALADO EM LOCAL COM NÍVEL BAIXO DE INTERFERÊNCIAS (NÃO INCLUI FORNECIMENTO). AF_05/2024</t>
  </si>
  <si>
    <t>ASSENTAMENTO DE TUBO DE FERRO FUNDIDO PARA REDE DE ÁGUA, DN 350 MM, JUNTA ELÁSTICA, INSTALADO EM LOCAL COM NÍVEL BAIXO DE INTERFERÊNCIAS (NÃO INCLUI FORNECIMENTO). AF_05/2024</t>
  </si>
  <si>
    <t>ASSENTAMENTO DE TUBO DE FERRO FUNDIDO PARA REDE DE ÁGUA, DN 400 MM, JUNTA ELÁSTICA, INSTALADO EM LOCAL COM NÍVEL BAIXO DE INTERFERÊNCIAS (NÃO INCLUI FORNECIMENTO). AF_05/2024</t>
  </si>
  <si>
    <t>ASSENTAMENTO DE TUBO DE FERRO FUNDIDO PARA REDE DE ÁGUA, DN 450 MM, JUNTA ELÁSTICA, INSTALADO EM LOCAL COM NÍVEL BAIXO DE INTERFERÊNCIAS (NÃO INCLUI FORNECIMENTO). AF_05/2024</t>
  </si>
  <si>
    <t>15,63</t>
  </si>
  <si>
    <t>ASSENTAMENTO DE TUBO DE FERRO FUNDIDO PARA REDE DE ÁGUA, DN 500 MM, JUNTA ELÁSTICA, INSTALADO EM LOCAL COM NÍVEL BAIXO DE INTERFERÊNCIAS (NÃO INCLUI FORNECIMENTO). AF_05/2024</t>
  </si>
  <si>
    <t>ASSENTAMENTO DE TUBO DE FERRO FUNDIDO PARA REDE DE ÁGUA, DN 600 MM, JUNTA ELÁSTICA, INSTALADO EM LOCAL COM NÍVEL BAIXO DE INTERFERÊNCIAS (NÃO INCLUI FORNECIMENTO). AF_05/2024</t>
  </si>
  <si>
    <t>ASSENTAMENTO DE TUBO DE FERRO FUNDIDO PARA REDE DE ÁGUA, DN 700 MM, JUNTA ELÁSTICA, INSTALADO EM LOCAL COM NÍVEL BAIXO DE INTERFERÊNCIAS (NÃO INCLUI FORNECIMENTO). AF_05/2024</t>
  </si>
  <si>
    <t>ASSENTAMENTO DE TUBO DE FERRO FUNDIDO PARA REDE DE ÁGUA, DN 800 MM, JUNTA ELÁSTICA, INSTALADO EM LOCAL COM NÍVEL BAIXO DE INTERFERÊNCIAS (NÃO INCLUI FORNECIMENTO). AF_05/2024</t>
  </si>
  <si>
    <t>ASSENTAMENTO DE TUBO DE FERRO FUNDIDO PARA REDE DE ÁGUA, DN 900 MM, JUNTA ELÁSTICA, INSTALADO EM LOCAL COM NÍVEL BAIXO DE INTERFERÊNCIAS (NÃO INCLUI FORNECIMENTO). AF_05/2024</t>
  </si>
  <si>
    <t>ASSENTAMENTO DE TUBO DE FERRO FUNDIDO PARA REDE DE ÁGUA, DN 1000 MM, JUNTA ELÁSTICA, INSTALADO EM LOCAL COM NÍVEL BAIXO DE INTERFERÊNCIAS (NÃO INCLUI FORNECIMENTO). AF_05/2024</t>
  </si>
  <si>
    <t>ASSENTAMENTO DE TUBO DE FERRO FUNDIDO PARA REDE DE ÁGUA, DN 1200 MM, JUNTA ELÁSTICA, INSTALADO EM LOCAL COM NÍVEL BAIXO DE INTERFERÊNCIAS (NÃO INCLUI FORNECIMENTO). AF_05/2024</t>
  </si>
  <si>
    <t>44,01</t>
  </si>
  <si>
    <t>105249</t>
  </si>
  <si>
    <t>ASSENTAMENTO DE CONEXÃO 2 ACESSOS ALINHADOS DE FERRO FUNDIDO PARA REDE DE ÁGUA, DN 1200, JUNTA ELÁSTICA, INSTALADO EM LOCAL COM NÍVEL ALTO DE INTERFERÊNCIAS (NÃO INCLUI FORNECIMENTO). AF_05/2024</t>
  </si>
  <si>
    <t>121,24</t>
  </si>
  <si>
    <t>105250</t>
  </si>
  <si>
    <t>ASSENTAMENTO DE CONEXÃO 2 ACESSOS INCLINADOS DE FERRO FUNDIDO PARA REDE DE ÁGUA, DN 80, JUNTA ELÁSTICA, INSTALADO EM LOCAL COM NÍVEL ALTO DE INTERFERÊNCIAS (NÃO INCLUI FORNECIMENTO). AF_05/2024</t>
  </si>
  <si>
    <t>105251</t>
  </si>
  <si>
    <t>ASSENTAMENTO DE CONEXÃO 2 ACESSOS INCLINADOS DE FERRO FUNDIDO PARA REDE DE ÁGUA, DN 100, JUNTA ELÁSTICA, INSTALADO EM LOCAL COM NÍVEL ALTO DE INTERFERÊNCIAS (NÃO INCLUI FORNECIMENTO). AF_05/2024</t>
  </si>
  <si>
    <t>105252</t>
  </si>
  <si>
    <t>ASSENTAMENTO DE CONEXÃO 2 ACESSOS INCLINADOS DE FERRO FUNDIDO PARA REDE DE ÁGUA, DN 150, JUNTA ELÁSTICA, INSTALADO EM LOCAL COM NÍVEL ALTO DE INTERFERÊNCIAS (NÃO INCLUI FORNECIMENTO). AF_05/2024</t>
  </si>
  <si>
    <t>105253</t>
  </si>
  <si>
    <t>ASSENTAMENTO DE CONEXÃO 2 ACESSOS INCLINADOS DE FERRO FUNDIDO PARA REDE DE ÁGUA, DN 200, JUNTA ELÁSTICA, INSTALADO EM LOCAL COM NÍVEL ALTO DE INTERFERÊNCIAS (NÃO INCLUI FORNECIMENTO). AF_05/2024</t>
  </si>
  <si>
    <t>105254</t>
  </si>
  <si>
    <t>ASSENTAMENTO DE CONEXÃO 2 ACESSOS INCLINADOS DE FERRO FUNDIDO PARA REDE DE ÁGUA, DN 250, JUNTA ELÁSTICA, INSTALADO EM LOCAL COM NÍVEL ALTO DE INTERFERÊNCIAS (NÃO INCLUI FORNECIMENTO). AF_05/2024</t>
  </si>
  <si>
    <t>105255</t>
  </si>
  <si>
    <t>ASSENTAMENTO DE CONEXÃO 2 ACESSOS INCLINADOS DE FERRO FUNDIDO PARA REDE DE ÁGUA, DN 300, JUNTA ELÁSTICA, INSTALADO EM LOCAL COM NÍVEL ALTO DE INTERFERÊNCIAS (NÃO INCLUI FORNECIMENTO). AF_05/2024</t>
  </si>
  <si>
    <t>105256</t>
  </si>
  <si>
    <t>ASSENTAMENTO DE CONEXÃO 2 ACESSOS INCLINADOS DE FERRO FUNDIDO PARA REDE DE ÁGUA, DN 350, JUNTA ELÁSTICA, INSTALADO EM LOCAL COM NÍVEL ALTO DE INTERFERÊNCIAS (NÃO INCLUI FORNECIMENTO). AF_05/2024</t>
  </si>
  <si>
    <t>105257</t>
  </si>
  <si>
    <t>ASSENTAMENTO DE CONEXÃO 2 ACESSOS INCLINADOS DE FERRO FUNDIDO PARA REDE DE ÁGUA, DN 400, JUNTA ELÁSTICA, INSTALADO EM LOCAL COM NÍVEL ALTO DE INTERFERÊNCIAS (NÃO INCLUI FORNECIMENTO). AF_05/2024</t>
  </si>
  <si>
    <t>105258</t>
  </si>
  <si>
    <t>ASSENTAMENTO DE CONEXÃO 2 ACESSOS ALINHADOS DE FERRO FUNDIDO PARA REDE DE ÁGUA, DN 400, JUNTA ELÁSTICA, INSTALADO EM LOCAL COM NÍVEL BAIXO DE INTERFERÊNCIAS (NÃO INCLUI FORNECIMENTO). AF_05/2024</t>
  </si>
  <si>
    <t>105259</t>
  </si>
  <si>
    <t>ASSENTAMENTO DE CONEXÃO 3 ACESSOS DE FERRO FUNDIDO PARA REDE DE ÁGUA, DN 100, JUNTA ELÁSTICA, INSTALADO EM LOCAL COM NÍVEL BAIXO DE INTERFERÊNCIAS (NÃO INCLUI FORNECIMENTO). AF_05/2024</t>
  </si>
  <si>
    <t>105261</t>
  </si>
  <si>
    <t>ASSENTAMENTO DE CONEXÃO 2 ACESSOS ALINHADOS DE FERRO FUNDIDO PARA REDE DE ÁGUA, DN 450, JUNTA ELÁSTICA, INSTALADO EM LOCAL COM NÍVEL BAIXO DE INTERFERÊNCIAS (NÃO INCLUI FORNECIMENTO). AF_05/2024</t>
  </si>
  <si>
    <t>105262</t>
  </si>
  <si>
    <t>ASSENTAMENTO DE CONEXÃO 2 ACESSOS ALINHADOS DE FERRO FUNDIDO PARA REDE DE ÁGUA, DN 500, JUNTA ELÁSTICA, INSTALADO EM LOCAL COM NÍVEL BAIXO DE INTERFERÊNCIAS (NÃO INCLUI FORNECIMENTO). AF_05/2024</t>
  </si>
  <si>
    <t>105263</t>
  </si>
  <si>
    <t>ASSENTAMENTO DE CONEXÃO 2 ACESSOS ALINHADOS DE FERRO FUNDIDO PARA REDE DE ÁGUA, DN 600, JUNTA ELÁSTICA, INSTALADO EM LOCAL COM NÍVEL BAIXO DE INTERFERÊNCIAS (NÃO INCLUI FORNECIMENTO). AF_05/2024</t>
  </si>
  <si>
    <t>105264</t>
  </si>
  <si>
    <t>ASSENTAMENTO DE CONEXÃO 2 ACESSOS ALINHADOS DE FERRO FUNDIDO PARA REDE DE ÁGUA, DN 700, JUNTA ELÁSTICA, INSTALADO EM LOCAL COM NÍVEL BAIXO DE INTERFERÊNCIAS (NÃO INCLUI FORNECIMENTO). AF_05/2024</t>
  </si>
  <si>
    <t>105265</t>
  </si>
  <si>
    <t>ASSENTAMENTO DE CONEXÃO 2 ACESSOS ALINHADOS DE FERRO FUNDIDO PARA REDE DE ÁGUA, DN 800, JUNTA ELÁSTICA, INSTALADO EM LOCAL COM NÍVEL BAIXO DE INTERFERÊNCIAS (NÃO INCLUI FORNECIMENTO). AF_05/2024</t>
  </si>
  <si>
    <t>105266</t>
  </si>
  <si>
    <t>ASSENTAMENTO DE CONEXÃO 2 ACESSOS ALINHADOS DE FERRO FUNDIDO PARA REDE DE ÁGUA, DN 900, JUNTA ELÁSTICA, INSTALADO EM LOCAL COM NÍVEL BAIXO DE INTERFERÊNCIAS (NÃO INCLUI FORNECIMENTO). AF_05/2024</t>
  </si>
  <si>
    <t>72,86</t>
  </si>
  <si>
    <t>105267</t>
  </si>
  <si>
    <t>ASSENTAMENTO DE CONEXÃO 2 ACESSOS ALINHADOS DE FERRO FUNDIDO PARA REDE DE ÁGUA, DN 1000, JUNTA ELÁSTICA, INSTALADO EM LOCAL COM NÍVEL BAIXO DE INTERFERÊNCIAS (NÃO INCLUI FORNECIMENTO). AF_05/2024</t>
  </si>
  <si>
    <t>105268</t>
  </si>
  <si>
    <t>ASSENTAMENTO DE CONEXÃO 2 ACESSOS ALINHADOS DE FERRO FUNDIDO PARA REDE DE ÁGUA, DN 1200, JUNTA ELÁSTICA, INSTALADO EM LOCAL COM NÍVEL BAIXO DE INTERFERÊNCIAS (NÃO INCLUI FORNECIMENTO). AF_05/2024</t>
  </si>
  <si>
    <t>105269</t>
  </si>
  <si>
    <t>ASSENTAMENTO DE CONEXÃO 2 ACESSOS INCLINADOS DE FERRO FUNDIDO PARA REDE DE ÁGUA, DN 80, JUNTA ELÁSTICA, INSTALADO EM LOCAL COM NÍVEL BAIXO DE INTERFERÊNCIAS (NÃO INCLUI FORNECIMENTO). AF_05/2024</t>
  </si>
  <si>
    <t>105270</t>
  </si>
  <si>
    <t>ASSENTAMENTO DE CONEXÃO 2 ACESSOS INCLINADOS DE FERRO FUNDIDO PARA REDE DE ÁGUA, DN 450, JUNTA ELÁSTICA, INSTALADO EM LOCAL COM NÍVEL ALTO DE INTERFERÊNCIAS (NÃO INCLUI FORNECIMENTO). AF_05/2024</t>
  </si>
  <si>
    <t>105271</t>
  </si>
  <si>
    <t>ASSENTAMENTO DE CONEXÃO 2 ACESSOS INCLINADOS DE FERRO FUNDIDO PARA REDE DE ÁGUA, DN 500, JUNTA ELÁSTICA, INSTALADO EM LOCAL COM NÍVEL ALTO DE INTERFERÊNCIAS (NÃO INCLUI FORNECIMENTO). AF_05/2024</t>
  </si>
  <si>
    <t>105272</t>
  </si>
  <si>
    <t>ASSENTAMENTO DE CONEXÃO 2 ACESSOS INCLINADOS DE FERRO FUNDIDO PARA REDE DE ÁGUA, DN 600, JUNTA ELÁSTICA, INSTALADO EM LOCAL COM NÍVEL ALTO DE INTERFERÊNCIAS (NÃO INCLUI FORNECIMENTO). AF_05/2024</t>
  </si>
  <si>
    <t>90,81</t>
  </si>
  <si>
    <t>105273</t>
  </si>
  <si>
    <t>ASSENTAMENTO DE CONEXÃO 2 ACESSOS INCLINADOS DE FERRO FUNDIDO PARA REDE DE ÁGUA, DN 700, JUNTA ELÁSTICA, INSTALADO EM LOCAL COM NÍVEL ALTO DE INTERFERÊNCIAS (NÃO INCLUI FORNECIMENTO). AF_05/2024</t>
  </si>
  <si>
    <t>105274</t>
  </si>
  <si>
    <t>ASSENTAMENTO DE CONEXÃO 2 ACESSOS INCLINADOS DE FERRO FUNDIDO PARA REDE DE ÁGUA, DN 800, JUNTA ELÁSTICA, INSTALADO EM LOCAL COM NÍVEL ALTO DE INTERFERÊNCIAS (NÃO INCLUI FORNECIMENTO). AF_05/2024</t>
  </si>
  <si>
    <t>105275</t>
  </si>
  <si>
    <t>ASSENTAMENTO DE CONEXÃO 2 ACESSOS INCLINADOS DE FERRO FUNDIDO PARA REDE DE ÁGUA, DN 900, JUNTA ELÁSTICA, INSTALADO EM LOCAL COM NÍVEL ALTO DE INTERFERÊNCIAS (NÃO INCLUI FORNECIMENTO). AF_05/2024</t>
  </si>
  <si>
    <t>105276</t>
  </si>
  <si>
    <t>ASSENTAMENTO DE CONEXÃO 2 ACESSOS INCLINADOS DE FERRO FUNDIDO PARA REDE DE ÁGUA, DN 1000, JUNTA ELÁSTICA, INSTALADO EM LOCAL COM NÍVEL ALTO DE INTERFERÊNCIAS (NÃO INCLUI FORNECIMENTO). AF_05/2024</t>
  </si>
  <si>
    <t>105277</t>
  </si>
  <si>
    <t>ASSENTAMENTO DE CONEXÃO 2 ACESSOS INCLINADOS DE FERRO FUNDIDO PARA REDE DE ÁGUA, DN 1200, JUNTA ELÁSTICA, INSTALADO EM LOCAL COM NÍVEL ALTO DE INTERFERÊNCIAS (NÃO INCLUI FORNECIMENTO). AF_05/2024</t>
  </si>
  <si>
    <t>105278</t>
  </si>
  <si>
    <t>ASSENTAMENTO DE CONEXÃO 3 ACESSOS DE FERRO FUNDIDO PARA REDE DE ÁGUA, DN 80, JUNTA ELÁSTICA, INSTALADO EM LOCAL COM NÍVEL ALTO DE INTERFERÊNCIAS (NÃO INCLUI FORNECIMENTO). AF_05/2024</t>
  </si>
  <si>
    <t>105279</t>
  </si>
  <si>
    <t>ASSENTAMENTO DE CONEXÃO 3 ACESSOS DE FERRO FUNDIDO PARA REDE DE ÁGUA, DN 100, JUNTA ELÁSTICA, INSTALADO EM LOCAL COM NÍVEL ALTO DE INTERFERÊNCIAS (NÃO INCLUI FORNECIMENTO). AF_05/2024</t>
  </si>
  <si>
    <t>105280</t>
  </si>
  <si>
    <t>ASSENTAMENTO DE CONEXÃO 3 ACESSOS DE FERRO FUNDIDO PARA REDE DE ÁGUA, DN 150, JUNTA ELÁSTICA, INSTALADO EM LOCAL COM NÍVEL ALTO DE INTERFERÊNCIAS (NÃO INCLUI FORNECIMENTO). AF_05/2024</t>
  </si>
  <si>
    <t>105281</t>
  </si>
  <si>
    <t>ASSENTAMENTO DE CONEXÃO 3 ACESSOS DE FERRO FUNDIDO PARA REDE DE ÁGUA, DN 200, JUNTA ELÁSTICA, INSTALADO EM LOCAL COM NÍVEL ALTO DE INTERFERÊNCIAS (NÃO INCLUI FORNECIMENTO). AF_05/2024</t>
  </si>
  <si>
    <t>105282</t>
  </si>
  <si>
    <t>ASSENTAMENTO DE CONEXÃO 2 ACESSOS INCLINADOS DE FERRO FUNDIDO PARA REDE DE ÁGUA, DN 100, JUNTA ELÁSTICA, INSTALADO EM LOCAL COM NÍVEL BAIXO DE INTERFERÊNCIAS (NÃO INCLUI FORNECIMENTO). AF_05/2024</t>
  </si>
  <si>
    <t>105283</t>
  </si>
  <si>
    <t>ASSENTAMENTO DE CONEXÃO 3 ACESSOS DE FERRO FUNDIDO PARA REDE DE ÁGUA, DN 150, JUNTA ELÁSTICA, INSTALADO EM LOCAL COM NÍVEL BAIXO DE INTERFERÊNCIAS (NÃO INCLUI FORNECIMENTO). AF_05/2024</t>
  </si>
  <si>
    <t>105284</t>
  </si>
  <si>
    <t>ASSENTAMENTO DE CONEXÃO 3 ACESSOS DE FERRO FUNDIDO PARA REDE DE ÁGUA, DN 250, JUNTA ELÁSTICA, INSTALADO EM LOCAL COM NÍVEL ALTO DE INTERFERÊNCIAS (NÃO INCLUI FORNECIMENTO). AF_05/2024</t>
  </si>
  <si>
    <t>105297</t>
  </si>
  <si>
    <t>ASSENTAMENTO DE CONEXÃO 2 ACESSOS ALINHADOS DE FERRO FUNDIDO PARA REDE DE ÁGUA, DN 80, JUNTA ELÁSTICA, INSTALADO EM LOCAL COM NÍVEL ALTO DE INTERFERÊNCIAS (NÃO INCLUI FORNECIMENTO). AF_05/2024</t>
  </si>
  <si>
    <t>105298</t>
  </si>
  <si>
    <t>ASSENTAMENTO DE CONEXÃO 2 ACESSOS INCLINADOS DE FERRO FUNDIDO PARA REDE DE ÁGUA, DN 150, JUNTA ELÁSTICA, INSTALADO EM LOCAL COM NÍVEL BAIXO DE INTERFERÊNCIAS (NÃO INCLUI FORNECIMENTO). AF_05/2024</t>
  </si>
  <si>
    <t>105299</t>
  </si>
  <si>
    <t>ASSENTAMENTO DE CONEXÃO 2 ACESSOS INCLINADOS DE FERRO FUNDIDO PARA REDE DE ÁGUA, DN 200, JUNTA ELÁSTICA, INSTALADO EM LOCAL COM NÍVEL BAIXO DE INTERFERÊNCIAS (NÃO INCLUI FORNECIMENTO). AF_05/2024</t>
  </si>
  <si>
    <t>105300</t>
  </si>
  <si>
    <t>ASSENTAMENTO DE CONEXÃO 2 ACESSOS INCLINADOS DE FERRO FUNDIDO PARA REDE DE ÁGUA, DN 250, JUNTA ELÁSTICA, INSTALADO EM LOCAL COM NÍVEL BAIXO DE INTERFERÊNCIAS (NÃO INCLUI FORNECIMENTO). AF_05/2024</t>
  </si>
  <si>
    <t>105301</t>
  </si>
  <si>
    <t>ASSENTAMENTO DE CONEXÃO 2 ACESSOS INCLINADOS DE FERRO FUNDIDO PARA REDE DE ÁGUA, DN 300, JUNTA ELÁSTICA, INSTALADO EM LOCAL COM NÍVEL BAIXO DE INTERFERÊNCIAS (NÃO INCLUI FORNECIMENTO). AF_05/2024</t>
  </si>
  <si>
    <t>105302</t>
  </si>
  <si>
    <t>ASSENTAMENTO DE CONEXÃO 2 ACESSOS INCLINADOS DE FERRO FUNDIDO PARA REDE DE ÁGUA, DN 350, JUNTA ELÁSTICA, INSTALADO EM LOCAL COM NÍVEL BAIXO DE INTERFERÊNCIAS (NÃO INCLUI FORNECIMENTO). AF_05/2024</t>
  </si>
  <si>
    <t>105303</t>
  </si>
  <si>
    <t>ASSENTAMENTO DE CONEXÃO 2 ACESSOS INCLINADOS DE FERRO FUNDIDO PARA REDE DE ÁGUA, DN 400, JUNTA ELÁSTICA, INSTALADO EM LOCAL COM NÍVEL BAIXO DE INTERFERÊNCIAS (NÃO INCLUI FORNECIMENTO). AF_05/2024</t>
  </si>
  <si>
    <t>105304</t>
  </si>
  <si>
    <t>ASSENTAMENTO DE CONEXÃO 2 ACESSOS INCLINADOS DE FERRO FUNDIDO PARA REDE DE ÁGUA, DN 450, JUNTA ELÁSTICA, INSTALADO EM LOCAL COM NÍVEL BAIXO DE INTERFERÊNCIAS (NÃO INCLUI FORNECIMENTO). AF_05/2024</t>
  </si>
  <si>
    <t>105305</t>
  </si>
  <si>
    <t>ASSENTAMENTO DE CONEXÃO 2 ACESSOS INCLINADOS DE FERRO FUNDIDO PARA REDE DE ÁGUA, DN 500, JUNTA ELÁSTICA, INSTALADO EM LOCAL COM NÍVEL BAIXO DE INTERFERÊNCIAS (NÃO INCLUI FORNECIMENTO). AF_05/2024</t>
  </si>
  <si>
    <t>105306</t>
  </si>
  <si>
    <t>ASSENTAMENTO DE CONEXÃO 2 ACESSOS INCLINADOS DE FERRO FUNDIDO PARA REDE DE ÁGUA, DN 600, JUNTA ELÁSTICA, INSTALADO EM LOCAL COM NÍVEL BAIXO DE INTERFERÊNCIAS (NÃO INCLUI FORNECIMENTO). AF_05/2024</t>
  </si>
  <si>
    <t>105307</t>
  </si>
  <si>
    <t>ASSENTAMENTO DE CONEXÃO 2 ACESSOS INCLINADOS DE FERRO FUNDIDO PARA REDE DE ÁGUA, DN 700, JUNTA ELÁSTICA, INSTALADO EM LOCAL COM NÍVEL BAIXO DE INTERFERÊNCIAS (NÃO INCLUI FORNECIMENTO). AF_05/2024</t>
  </si>
  <si>
    <t>105317</t>
  </si>
  <si>
    <t>ASSENTAMENTO DE CONEXÃO 2 ACESSOS ALINHADOS DE FERRO FUNDIDO PARA REDE DE ÁGUA, DN 300, JUNTA ELÁSTICA, INSTALADO EM LOCAL COM NÍVEL BAIXO DE INTERFERÊNCIAS (NÃO INCLUI FORNECIMENTO). AF_05/2024</t>
  </si>
  <si>
    <t>105318</t>
  </si>
  <si>
    <t>ASSENTAMENTO DE CONEXÃO 2 ACESSOS ALINHADOS DE FERRO FUNDIDO PARA REDE DE ÁGUA, DN 350, JUNTA ELÁSTICA, INSTALADO EM LOCAL COM NÍVEL BAIXO DE INTERFERÊNCIAS (NÃO INCLUI FORNECIMENTO). AF_05/2024</t>
  </si>
  <si>
    <t>105319</t>
  </si>
  <si>
    <t>ASSENTAMENTO DE CONEXÃO 3 ACESSOS DE FERRO FUNDIDO PARA REDE DE ÁGUA, DN 200, JUNTA ELÁSTICA, INSTALADO EM LOCAL COM NÍVEL BAIXO DE INTERFERÊNCIAS (NÃO INCLUI FORNECIMENTO). AF_05/2024</t>
  </si>
  <si>
    <t>105320</t>
  </si>
  <si>
    <t>ASSENTAMENTO DE CONEXÃO 3 ACESSOS DE FERRO FUNDIDO PARA REDE DE ÁGUA, DN 250, JUNTA ELÁSTICA, INSTALADO EM LOCAL COM NÍVEL BAIXO DE INTERFERÊNCIAS (NÃO INCLUI FORNECIMENTO). AF_05/2024</t>
  </si>
  <si>
    <t>105321</t>
  </si>
  <si>
    <t>ASSENTAMENTO DE CONEXÃO 3 ACESSOS DE FERRO FUNDIDO PARA REDE DE ÁGUA, DN 300, JUNTA ELÁSTICA, INSTALADO EM LOCAL COM NÍVEL BAIXO DE INTERFERÊNCIAS (NÃO INCLUI FORNECIMENTO). AF_05/2024</t>
  </si>
  <si>
    <t>105322</t>
  </si>
  <si>
    <t>ASSENTAMENTO DE CONEXÃO 3 ACESSOS DE FERRO FUNDIDO PARA REDE DE ÁGUA, DN 350, JUNTA ELÁSTICA, INSTALADO EM LOCAL COM NÍVEL BAIXO DE INTERFERÊNCIAS (NÃO INCLUI FORNECIMENTO). AF_05/2024</t>
  </si>
  <si>
    <t>105323</t>
  </si>
  <si>
    <t>ASSENTAMENTO DE CONEXÃO 3 ACESSOS DE FERRO FUNDIDO PARA REDE DE ÁGUA, DN 400, JUNTA ELÁSTICA, INSTALADO EM LOCAL COM NÍVEL BAIXO DE INTERFERÊNCIAS (NÃO INCLUI FORNECIMENTO). AF_05/2024</t>
  </si>
  <si>
    <t>105324</t>
  </si>
  <si>
    <t>ASSENTAMENTO DE CONEXÃO 3 ACESSOS DE FERRO FUNDIDO PARA REDE DE ÁGUA, DN 450, JUNTA ELÁSTICA, INSTALADO EM LOCAL COM NÍVEL BAIXO DE INTERFERÊNCIAS (NÃO INCLUI FORNECIMENTO). AF_05/2024</t>
  </si>
  <si>
    <t>105325</t>
  </si>
  <si>
    <t>ASSENTAMENTO DE CONEXÃO 3 ACESSOS DE FERRO FUNDIDO PARA REDE DE ÁGUA, DN 500, JUNTA ELÁSTICA, INSTALADO EM LOCAL COM NÍVEL BAIXO DE INTERFERÊNCIAS (NÃO INCLUI FORNECIMENTO). AF_05/2024</t>
  </si>
  <si>
    <t>105326</t>
  </si>
  <si>
    <t>ASSENTAMENTO DE CONEXÃO 3 ACESSOS DE FERRO FUNDIDO PARA REDE DE ÁGUA, DN 600, JUNTA ELÁSTICA, INSTALADO EM LOCAL COM NÍVEL BAIXO DE INTERFERÊNCIAS (NÃO INCLUI FORNECIMENTO). AF_05/2024</t>
  </si>
  <si>
    <t>105340</t>
  </si>
  <si>
    <t>ASSENTAMENTO DE CONEXÃO 2 ACESSOS INCLINADOS DE FERRO FUNDIDO PARA REDE DE ÁGUA, DN 800, JUNTA ELÁSTICA, INSTALADO EM LOCAL COM NÍVEL BAIXO DE INTERFERÊNCIAS (NÃO INCLUI FORNECIMENTO). AF_05/2024</t>
  </si>
  <si>
    <t>105341</t>
  </si>
  <si>
    <t>ASSENTAMENTO DE CONEXÃO 2 ACESSOS INCLINADOS DE FERRO FUNDIDO PARA REDE DE ÁGUA, DN 1000, JUNTA ELÁSTICA, INSTALADO EM LOCAL COM NÍVEL BAIXO DE INTERFERÊNCIAS (NÃO INCLUI FORNECIMENTO). AF_05/2024</t>
  </si>
  <si>
    <t>105342</t>
  </si>
  <si>
    <t>ASSENTAMENTO DE CONEXÃO 2 ACESSOS INCLINADOS DE FERRO FUNDIDO PARA REDE DE ÁGUA, DN 1200, JUNTA ELÁSTICA, INSTALADO EM LOCAL COM NÍVEL BAIXO DE INTERFERÊNCIAS (NÃO INCLUI FORNECIMENTO). AF_05/2024</t>
  </si>
  <si>
    <t>105343</t>
  </si>
  <si>
    <t>ASSENTAMENTO DE CONEXÃO 3 ACESSOS DE FERRO FUNDIDO PARA REDE DE ÁGUA, DN 80, JUNTA ELÁSTICA, INSTALADO EM LOCAL COM NÍVEL BAIXO DE INTERFERÊNCIAS (NÃO INCLUI FORNECIMENTO). AF_05/2024</t>
  </si>
  <si>
    <t>105344</t>
  </si>
  <si>
    <t>ASSENTAMENTO DE CONEXÃO 3 ACESSOS DE FERRO FUNDIDO PARA REDE DE ÁGUA, DN 700, JUNTA ELÁSTICA, INSTALADO EM LOCAL COM NÍVEL BAIXO DE INTERFERÊNCIAS (NÃO INCLUI FORNECIMENTO). AF_05/2024</t>
  </si>
  <si>
    <t>105345</t>
  </si>
  <si>
    <t>ASSENTAMENTO DE CONEXÃO 3 ACESSOS DE FERRO FUNDIDO PARA REDE DE ÁGUA, DN 900, JUNTA ELÁSTICA, INSTALADO EM LOCAL COM NÍVEL BAIXO DE INTERFERÊNCIAS (NÃO INCLUI FORNECIMENTO). AF_05/2024</t>
  </si>
  <si>
    <t>145,71</t>
  </si>
  <si>
    <t>105346</t>
  </si>
  <si>
    <t>ASSENTAMENTO DE CONEXÃO 3 ACESSOS DE FERRO FUNDIDO PARA REDE DE ÁGUA, DN 1000, JUNTA ELÁSTICA, INSTALADO EM LOCAL COM NÍVEL BAIXO DE INTERFERÊNCIAS (NÃO INCLUI FORNECIMENTO). AF_05/2024</t>
  </si>
  <si>
    <t>161,42</t>
  </si>
  <si>
    <t>105347</t>
  </si>
  <si>
    <t>ASSENTAMENTO DE CONEXÃO 3 ACESSOS DE FERRO FUNDIDO PARA REDE DE ÁGUA, DN 1200, JUNTA ELÁSTICA, INSTALADO EM LOCAL COM NÍVEL BAIXO DE INTERFERÊNCIAS (NÃO INCLUI FORNECIMENTO). AF_05/2024</t>
  </si>
  <si>
    <t>105348</t>
  </si>
  <si>
    <t>ASSENTAMENTO DE CONEXÃO 3 ACESSOS DE FERRO FUNDIDO PARA REDE DE ÁGUA, DN 300, JUNTA ELÁSTICA, INSTALADO EM LOCAL COM NÍVEL ALTO DE INTERFERÊNCIAS (NÃO INCLUI FORNECIMENTO). AF_05/2024</t>
  </si>
  <si>
    <t>105349</t>
  </si>
  <si>
    <t>ASSENTAMENTO DE CONEXÃO 3 ACESSOS DE FERRO FUNDIDO PARA REDE DE ÁGUA, DN 350, JUNTA ELÁSTICA, INSTALADO EM LOCAL COM NÍVEL ALTO DE INTERFERÊNCIAS (NÃO INCLUI FORNECIMENTO). AF_05/2024</t>
  </si>
  <si>
    <t>105350</t>
  </si>
  <si>
    <t>ASSENTAMENTO DE CONEXÃO 3 ACESSOS DE FERRO FUNDIDO PARA REDE DE ÁGUA, DN 400, JUNTA ELÁSTICA, INSTALADO EM LOCAL COM NÍVEL ALTO DE INTERFERÊNCIAS (NÃO INCLUI FORNECIMENTO). AF_05/2024</t>
  </si>
  <si>
    <t>105351</t>
  </si>
  <si>
    <t>ASSENTAMENTO DE CONEXÃO 3 ACESSOS DE FERRO FUNDIDO PARA REDE DE ÁGUA, DN 450, JUNTA ELÁSTICA, INSTALADO EM LOCAL COM NÍVEL ALTO DE INTERFERÊNCIAS (NÃO INCLUI FORNECIMENTO). AF_05/2024</t>
  </si>
  <si>
    <t>105352</t>
  </si>
  <si>
    <t>ASSENTAMENTO DE CONEXÃO 3 ACESSOS DE FERRO FUNDIDO PARA REDE DE ÁGUA, DN 500, JUNTA ELÁSTICA, INSTALADO EM LOCAL COM NÍVEL ALTO DE INTERFERÊNCIAS (NÃO INCLUI FORNECIMENTO). AF_05/2024</t>
  </si>
  <si>
    <t>105353</t>
  </si>
  <si>
    <t>ASSENTAMENTO DE CONEXÃO 3 ACESSOS DE FERRO FUNDIDO PARA REDE DE ÁGUA, DN 600, JUNTA ELÁSTICA, INSTALADO EM LOCAL COM NÍVEL ALTO DE INTERFERÊNCIAS (NÃO INCLUI FORNECIMENTO). AF_05/2024</t>
  </si>
  <si>
    <t>105354</t>
  </si>
  <si>
    <t>ASSENTAMENTO DE CONEXÃO 3 ACESSOS DE FERRO FUNDIDO PARA REDE DE ÁGUA, DN 700, JUNTA ELÁSTICA, INSTALADO EM LOCAL COM NÍVEL ALTO DE INTERFERÊNCIAS (NÃO INCLUI FORNECIMENTO). AF_05/2024</t>
  </si>
  <si>
    <t>105355</t>
  </si>
  <si>
    <t>ASSENTAMENTO DE CONEXÃO 3 ACESSOS DE FERRO FUNDIDO PARA REDE DE ÁGUA, DN 800, JUNTA ELÁSTICA, INSTALADO EM LOCAL COM NÍVEL ALTO DE INTERFERÊNCIAS (NÃO INCLUI FORNECIMENTO). AF_05/2024</t>
  </si>
  <si>
    <t>105356</t>
  </si>
  <si>
    <t>ASSENTAMENTO DE CONEXÃO 3 ACESSOS DE FERRO FUNDIDO PARA REDE DE ÁGUA, DN 900, JUNTA ELÁSTICA, INSTALADO EM LOCAL COM NÍVEL ALTO DE INTERFERÊNCIAS (NÃO INCLUI FORNECIMENTO). AF_05/2024</t>
  </si>
  <si>
    <t>105357</t>
  </si>
  <si>
    <t>ASSENTAMENTO DE CONEXÃO 3 ACESSOS DE FERRO FUNDIDO PARA REDE DE ÁGUA, DN 1000, JUNTA ELÁSTICA, INSTALADO EM LOCAL COM NÍVEL ALTO DE INTERFERÊNCIAS (NÃO INCLUI FORNECIMENTO). AF_05/2024</t>
  </si>
  <si>
    <t>105358</t>
  </si>
  <si>
    <t>ASSENTAMENTO DE CONEXÃO 3 ACESSOS DE FERRO FUNDIDO PARA REDE DE ÁGUA, DN 1200, JUNTA ELÁSTICA, INSTALADO EM LOCAL COM NÍVEL ALTO DE INTERFERÊNCIAS (NÃO INCLUI FORNECIMENTO). AF_05/2024</t>
  </si>
  <si>
    <t>105369</t>
  </si>
  <si>
    <t>FORNECIMENTO E ASSENTAMENTO DE TE RANHURADO EM FERRO FUNDIDO, DN 80 (3") PARA REDE DE ÁGUA, INSTALADO EM LOCAL COM NÍVEL ALTO DE INTERFERÊNCIAS (INCLUI FORNECIMENTO). AF_05/2024</t>
  </si>
  <si>
    <t>105377</t>
  </si>
  <si>
    <t>FORNECIMENTO E ASSENTAMENTO DE CURVA 45 GRAUS RANHURADA EM FERRO FUNDIDO, DN 80 MM (3") PARA REDE DE ÁGUA, INSTALADO EM LOCAL COM NÍVEL ALTO DE INTERFERÊNCIAS (INCLUI FORNECIMENTO). AF_05/2024</t>
  </si>
  <si>
    <t>105378</t>
  </si>
  <si>
    <t>ASSENTAMENTO DE CONEXÃO 2 ACESSOS ALINHADOS DE FERRO FUNDIDO PARA REDE DE ÁGUA, DN 100, JUNTA ELÁSTICA, INSTALADO EM LOCAL COM NÍVEL ALTO DE INTERFERÊNCIAS (NÃO INCLUI FORNECIMENTO). AF_05/2024</t>
  </si>
  <si>
    <t>105379</t>
  </si>
  <si>
    <t>ASSENTAMENTO DE CONEXÃO 2 ACESSOS ALINHADOS DE FERRO FUNDIDO PARA REDE DE ÁGUA, DN 150, JUNTA ELÁSTICA, INSTALADO EM LOCAL COM NÍVEL ALTO DE INTERFERÊNCIAS (NÃO INCLUI FORNECIMENTO). AF_05/2024</t>
  </si>
  <si>
    <t>105380</t>
  </si>
  <si>
    <t>ASSENTAMENTO DE CONEXÃO 2 ACESSOS ALINHADOS DE FERRO FUNDIDO PARA REDE DE ÁGUA, DN 1000, JUNTA ELÁSTICA, INSTALADO EM LOCAL COM NÍVEL ALTO DE INTERFERÊNCIAS (NÃO INCLUI FORNECIMENTO). AF_05/2024</t>
  </si>
  <si>
    <t>105388</t>
  </si>
  <si>
    <t>ASSENTAMENTO DE CONEXÃO 2 ACESSOS ALINHADOS DE FERRO FUNDIDO PARA REDE DE ÁGUA, DN 150, JUNTA ELÁSTICA, INSTALADO EM LOCAL COM NÍVEL BAIXO DE INTERFERÊNCIAS (NÃO INCLUI FORNECIMENTO). AF_05/2024</t>
  </si>
  <si>
    <t>105389</t>
  </si>
  <si>
    <t>ASSENTAMENTO DE CONEXÃO 2 ACESSOS ALINHADOS DE FERRO FUNDIDO PARA REDE DE ÁGUA, DN 200, JUNTA ELÁSTICA, INSTALADO EM LOCAL COM NÍVEL BAIXO DE INTERFERÊNCIAS (NÃO INCLUI FORNECIMENTO). AF_05/2024</t>
  </si>
  <si>
    <t>105390</t>
  </si>
  <si>
    <t>ASSENTAMENTO DE CONEXÃO 2 ACESSOS INCLINADOS DE FERRO FUNDIDO PARA REDE DE ÁGUA, DN 900, JUNTA ELÁSTICA, INSTALADO EM LOCAL COM NÍVEL BAIXO DE INTERFERÊNCIAS (NÃO INCLUI FORNECIMENTO). AF_05/2024</t>
  </si>
  <si>
    <t>105391</t>
  </si>
  <si>
    <t>ASSENTAMENTO DE CONEXÃO 3 ACESSOS DE FERRO FUNDIDO PARA REDE DE ÁGUA, DN 800, JUNTA ELÁSTICA, INSTALADO EM LOCAL COM NÍVEL BAIXO DE INTERFERÊNCIAS (NÃO INCLUI FORNECIMENTO). AF_05/2024</t>
  </si>
  <si>
    <t>105392</t>
  </si>
  <si>
    <t>ASSENTAMENTO DE CONEXÃO 2 ACESSOS ALINHADOS DE FERRO FUNDIDO PARA REDE DE ÁGUA, DN 200, JUNTA ELÁSTICA, INSTALADO EM LOCAL COM NÍVEL ALTO DE INTERFERÊNCIAS (NÃO INCLUI FORNECIMENTO). AF_05/2024</t>
  </si>
  <si>
    <t>20,74</t>
  </si>
  <si>
    <t>105393</t>
  </si>
  <si>
    <t>ASSENTAMENTO DE CONEXÃO 2 ACESSOS ALINHADOS DE FERRO FUNDIDO PARA REDE DE ÁGUA, DN 250, JUNTA ELÁSTICA, INSTALADO EM LOCAL COM NÍVEL ALTO DE INTERFERÊNCIAS (NÃO INCLUI FORNECIMENTO). AF_05/2024</t>
  </si>
  <si>
    <t>105394</t>
  </si>
  <si>
    <t>ASSENTAMENTO DE CONEXÃO 2 ACESSOS ALINHADOS DE FERRO FUNDIDO PARA REDE DE ÁGUA, DN 300, JUNTA ELÁSTICA, INSTALADO EM LOCAL COM NÍVEL ALTO DE INTERFERÊNCIAS (NÃO INCLUI FORNECIMENTO). AF_05/2024</t>
  </si>
  <si>
    <t>105395</t>
  </si>
  <si>
    <t>ASSENTAMENTO DE CONEXÃO 2 ACESSOS ALINHADOS DE FERRO FUNDIDO PARA REDE DE ÁGUA, DN 350, JUNTA ELÁSTICA, INSTALADO EM LOCAL COM NÍVEL ALTO DE INTERFERÊNCIAS (NÃO INCLUI FORNECIMENTO). AF_05/2024</t>
  </si>
  <si>
    <t>105396</t>
  </si>
  <si>
    <t>ASSENTAMENTO DE CONEXÃO 2 ACESSOS ALINHADOS DE FERRO FUNDIDO PARA REDE DE ÁGUA, DN 400, JUNTA ELÁSTICA, INSTALADO EM LOCAL COM NÍVEL ALTO DE INTERFERÊNCIAS (NÃO INCLUI FORNECIMENTO). AF_05/2024</t>
  </si>
  <si>
    <t>105397</t>
  </si>
  <si>
    <t>ASSENTAMENTO DE CONEXÃO 2 ACESSOS ALINHADOS DE FERRO FUNDIDO PARA REDE DE ÁGUA, DN 450, JUNTA ELÁSTICA, INSTALADO EM LOCAL COM NÍVEL ALTO DE INTERFERÊNCIAS (NÃO INCLUI FORNECIMENTO). AF_05/2024</t>
  </si>
  <si>
    <t>105398</t>
  </si>
  <si>
    <t>ASSENTAMENTO DE CONEXÃO 2 ACESSOS ALINHADOS DE FERRO FUNDIDO PARA REDE DE ÁGUA, DN 500, JUNTA ELÁSTICA, INSTALADO EM LOCAL COM NÍVEL ALTO DE INTERFERÊNCIAS (NÃO INCLUI FORNECIMENTO). AF_05/2024</t>
  </si>
  <si>
    <t>105399</t>
  </si>
  <si>
    <t>ASSENTAMENTO DE CONEXÃO 2 ACESSOS ALINHADOS DE FERRO FUNDIDO PARA REDE DE ÁGUA, DN 600, JUNTA ELÁSTICA, INSTALADO EM LOCAL COM NÍVEL ALTO DE INTERFERÊNCIAS (NÃO INCLUI FORNECIMENTO). AF_05/2024</t>
  </si>
  <si>
    <t>105400</t>
  </si>
  <si>
    <t>ASSENTAMENTO DE CONEXÃO 2 ACESSOS ALINHADOS DE FERRO FUNDIDO PARA REDE DE ÁGUA, DN 700, JUNTA ELÁSTICA, INSTALADO EM LOCAL COM NÍVEL ALTO DE INTERFERÊNCIAS (NÃO INCLUI FORNECIMENTO). AF_05/2024</t>
  </si>
  <si>
    <t>71,19</t>
  </si>
  <si>
    <t>105401</t>
  </si>
  <si>
    <t>ASSENTAMENTO DE CONEXÃO 2 ACESSOS ALINHADOS DE FERRO FUNDIDO PARA REDE DE ÁGUA, DN 800, JUNTA ELÁSTICA, INSTALADO EM LOCAL COM NÍVEL ALTO DE INTERFERÊNCIAS (NÃO INCLUI FORNECIMENTO). AF_05/2024</t>
  </si>
  <si>
    <t>80,37</t>
  </si>
  <si>
    <t>105402</t>
  </si>
  <si>
    <t>ASSENTAMENTO DE CONEXÃO 2 ACESSOS ALINHADOS DE FERRO FUNDIDO PARA REDE DE ÁGUA, DN 900, JUNTA ELÁSTICA, INSTALADO EM LOCAL COM NÍVEL ALTO DE INTERFERÊNCIAS (NÃO INCLUI FORNECIMENTO). AF_05/2024</t>
  </si>
  <si>
    <t>ASSENTAMENTO DE TUBO DE AÇO CARBONO PARA REDE DE ÁGUA, DN 600 MM (24"), JUNTA SOLDADA, INSTALADO EM LOCAL COM NÍVEL ALTO DE INTERFERÊNCIAS (NÃO INCLUI FORNECIMENTO). AF_05/2024</t>
  </si>
  <si>
    <t>41,15</t>
  </si>
  <si>
    <t>ASSENTAMENTO DE TUBO DE AÇO CARBONO PARA REDE DE ÁGUA, DN 700 MM (28"), JUNTA SOLDADA, INSTALADO EM LOCAL COM NÍVEL ALTO DE INTERFERÊNCIAS (NÃO INCLUI FORNECIMENTO). AF_05/2024</t>
  </si>
  <si>
    <t>ASSENTAMENTO DE TUBO DE AÇO CARBONO PARA REDE DE ÁGUA, DN 800 MM (32"), JUNTA SOLDADA, INSTALADO EM LOCAL COM NÍVEL ALTO DE INTERFERÊNCIAS (NÃO INCLUI FORNECIMENTO). AF_05/2024</t>
  </si>
  <si>
    <t>ASSENTAMENTO DE TUBO DE AÇO CARBONO PARA REDE DE ÁGUA, DN 900 MM (36"), JUNTA SOLDADA, INSTALADO EM LOCAL COM NÍVEL ALTO DE INTERFERÊNCIAS (NÃO INCLUI FORNECIMENTO). AF_05/2024</t>
  </si>
  <si>
    <t>ASSENTAMENTO DE TUBO DE AÇO CARBONO PARA REDE DE ÁGUA, DN 1000 MM (40") OU DN 1100 MM (44"), JUNTA SOLDADA, INSTALADO EM LOCAL COM NÍVEL ALTO DE INTERFERÊNCIAS (NÃO INCLUI FORNECIMENTO). AF_05/2024</t>
  </si>
  <si>
    <t>ASSENTAMENTO DE TUBO DE AÇO CARBONO PARA REDE DE ÁGUA, DN 1200 MM (48") OU DN 1300 MM (52"), JUNTA SOLDADA, INSTALADO EM LOCAL COM NÍVEL ALTO DE INTERFERÊNCIAS (NÃO INCLUI FORNECIMENTO). AF_05/2024</t>
  </si>
  <si>
    <t>ASSENTAMENTO DE TUBO DE AÇO CARBONO PARA REDE DE ÁGUA, DN 1400 MM (56'') OU DN 1500 MM (60"), JUNTA SOLDADA, INSTALADO EM LOCAL COM NÍVEL ALTO DE INTERFERÊNCIAS (NÃO INCLUI FORNECIMENTO). AF_05/2024</t>
  </si>
  <si>
    <t>ASSENTAMENTO DE TUBO DE AÇO CARBONO PARA REDE DE ÁGUA, DN 1600 MM (64") OU DN 1700 MM (68"), JUNTA SOLDADA, INSTALADO EM LOCAL COM NÍVEL ALTO DE INTERFERÊNCIAS (NÃO INCLUI FORNECIMENTO). AF_05/2024</t>
  </si>
  <si>
    <t>ASSENTAMENTO DE TUBO DE AÇO CARBONO PARA REDE DE ÁGUA, DN 1800 MM (72") OU DN 1900 MM (76"), JUNTA SOLDADA, INSTALADO EM LOCAL COM NÍVEL ALTO DE INTERFERÊNCIAS (NÃO INCLUI FORNECIMENTO). AF_05/2024</t>
  </si>
  <si>
    <t>ASSENTAMENTO DE TUBO DE AÇO CARBONO PARA REDE DE ÁGUA, DN 2000 MM (80") OU DN 2100 MM (84"), JUNTA SOLDADA, INSTALADO EM LOCAL COM NÍVEL ALTO DE INTERFERÊNCIAS (NÃO INCLUI FORNECIMENTO). AF_05/2024</t>
  </si>
  <si>
    <t>ASSENTAMENTO DE TUBO DE AÇO CARBONO PARA REDE DE ÁGUA, DN 600 MM (24"), JUNTA SOLDADA, INSTALADO EM LOCAL COM NÍVEL BAIXO DE INTERFERÊNCIAS (NÃO INCLUI FORNECIMENTO). AF_05/2024</t>
  </si>
  <si>
    <t>ASSENTAMENTO DE TUBO DE AÇO CARBONO PARA REDE DE ÁGUA, DN 700 MM (28"), JUNTA SOLDADA, INSTALADO EM LOCAL COM NÍVEL BAIXO DE INTERFERÊNCIAS (NÃO INCLUI FORNECIMENTO). AF_05/2024</t>
  </si>
  <si>
    <t>ASSENTAMENTO DE TUBO DE AÇO CARBONO PARA REDE DE ÁGUA, DN 800 MM (32"), JUNTA SOLDADA, INSTALADO EM LOCAL COM NÍVEL BAIXO DE INTERFERÊNCIAS (NÃO INCLUI FORNECIMENTO). AF_05/2024</t>
  </si>
  <si>
    <t>ASSENTAMENTO DE TUBO DE AÇO CARBONO PARA REDE DE ÁGUA, DN 900 MM (36"), JUNTA SOLDADA, INSTALADO EM LOCAL COM NÍVEL BAIXO DE INTERFERÊNCIAS (NÃO INCLUI FORNECIMENTO). AF_05/2024</t>
  </si>
  <si>
    <t>ASSENTAMENTO DE TUBO DE AÇO CARBONO PARA REDE DE ÁGUA, DN 1000 MM (40") OU DN 1100 MM (44"), JUNTA SOLDADA, INSTALADO EM LOCAL COM NÍVEL BAIXO DE INTERFERÊNCIAS (NÃO INCLUI FORNECIMENTO). AF_05/2024</t>
  </si>
  <si>
    <t>ASSENTAMENTO DE TUBO DE AÇO CARBONO PARA REDE DE ÁGUA, DN 1200 MM (48") OU DN 1300 MM (52"), JUNTA SOLDADA, INSTALADO EM LOCAL COM NÍVEL BAIXO DE INTERFERÊNCIAS (NÃO INCLUI FORNECIMENTO). AF_05/2024</t>
  </si>
  <si>
    <t>ASSENTAMENTO DE TUBO DE AÇO CARBONO PARA REDE DE ÁGUA, DN 1400 MM (56'') OU DN 1500 MM (60"), JUNTA SOLDADA, INSTALADO EM LOCAL COM NÍVEL BAIXO DE INTERFERÊNCIAS (NÃO INCLUI FORNECIMENTO). AF_05/2024</t>
  </si>
  <si>
    <t>ASSENTAMENTO DE TUBO DE AÇO CARBONO PARA REDE DE ÁGUA, DN 1600 MM (64") OU DN 1700 MM (68"), JUNTA SOLDADA, INSTALADO EM LOCAL COM NÍVEL BAIXO DE INTERFERÊNCIAS (NÃO INCLUI FORNECIMENTO). AF_05/2024</t>
  </si>
  <si>
    <t>ASSENTAMENTO DE TUBO DE AÇO CARBONO PARA REDE DE ÁGUA, DN 1800 MM (72") OU DN 1900 MM (76"), JUNTA SOLDADA, INSTALADO EM LOCAL COM NÍVEL BAIXO DE INTERFERÊNCIAS (NÃO INCLUI FORNECIMENTO). AF_05/2024</t>
  </si>
  <si>
    <t>ASSENTAMENTO DE TUBO DE AÇO CARBONO PARA REDE DE ÁGUA, DN 2000 MM (80") OU DN 2100 MM (84"), JUNTA SOLDADA, INSTALADO EM LOCAL COM NÍVEL BAIXO DE INTERFERÊNCIAS (NÃO INCLUI FORNECIMENTO). AF_05/2024</t>
  </si>
  <si>
    <t>24,61</t>
  </si>
  <si>
    <t>65,49</t>
  </si>
  <si>
    <t>ASSENTAMENTO DE TUBO DE PVC PBA PARA REDE DE ÁGUA, DN 50 MM, JUNTA ELÁSTICA INTEGRADA, INSTALADO EM LOCAL COM NÍVEL ALTO DE INTERFERÊNCIAS (NÃO INCLUI FORNECIMENTO). AF_05/2024</t>
  </si>
  <si>
    <t>ASSENTAMENTO DE TUBO DE PVC PBA PARA REDE DE ÁGUA, DN 75 MM, JUNTA ELÁSTICA INTEGRADA, INSTALADO EM LOCAL COM NÍVEL ALTO DE INTERFERÊNCIAS (NÃO INCLUI FORNECIMENTO). AF_05/2024</t>
  </si>
  <si>
    <t>ASSENTAMENTO DE TUBO DE PVC PBA PARA REDE DE ÁGUA, DN 100 MM, JUNTA ELÁSTICA INTEGRADA, INSTALADO EM LOCAL COM NÍVEL ALTO DE INTERFERÊNCIAS (NÃO INCLUI FORNECIMENTO). AF_05/2024</t>
  </si>
  <si>
    <t>ASSENTAMENTO DE TUBO DE PVC PBA PARA REDE DE ÁGUA, DN 50 MM, JUNTA ELÁSTICA INTEGRADA, INSTALADO EM LOCAL COM NÍVEL BAIXO DE INTERFERÊNCIAS (NÃO INCLUI FORNECIMENTO). AF_05/2024</t>
  </si>
  <si>
    <t>ASSENTAMENTO DE TUBO DE PVC PBA PARA REDE DE ÁGUA, DN 75 MM, JUNTA ELÁSTICA INTEGRADA, INSTALADO EM LOCAL COM NÍVEL BAIXO DE INTERFERÊNCIAS (NÃO INCLUI FORNECIMENTO). AF_05/2024</t>
  </si>
  <si>
    <t>ASSENTAMENTO DE TUBO DE PVC PBA PARA REDE DE ÁGUA, DN 100 MM, JUNTA ELÁSTICA INTEGRADA, INSTALADO EM LOCAL COM NÍVEL BAIXO DE INTERFERÊNCIAS (NÃO INCLUI FORNECIMENTO). AF_05/2024</t>
  </si>
  <si>
    <t>3,52</t>
  </si>
  <si>
    <t>115,17</t>
  </si>
  <si>
    <t>105260</t>
  </si>
  <si>
    <t>ASSENTAMENTO E FORNECIMENTO DE TUBO DE PVC PBA PARA REDE DE ÁGUA, DN 50, JUNTA ELÁSTICA INTEGRADA, INSTALADO EM LOCAL COM NÍVEL ALTO DE INTERFERÊNCIAS (INCLUI FORNECIMENTO). AF_05/2024</t>
  </si>
  <si>
    <t>105285</t>
  </si>
  <si>
    <t>ASSENTAMENTO E FORNECIMENTO DE TUBO DE PVC PBA PARA REDE DE ÁGUA, DN 50, JUNTA ELÁSTICA INTEGRADA, INSTALADO EM LOCAL COM NÍVEL BAIXO DE INTERFERÊNCIAS (INCLUI FORNECIMENTO). AF_05/2024</t>
  </si>
  <si>
    <t>105286</t>
  </si>
  <si>
    <t>ASSENTAMENTO E FORNECIMENTO DE LUVA SIMPLES, PVC PBA, JE, DN 50 / DE 60 MM, PARA REDE AGUA, JUNTA ELÁSTICA INTEGRADA, INSTALADO EM LOCAL COM NÍVEL ALTO DE INTERFERÊNCIAS (INCLUI FORNECIMENTO). AF_05/2024</t>
  </si>
  <si>
    <t>105287</t>
  </si>
  <si>
    <t>ASSENTAMENTO E FORNECIMENTO DE LUVA SIMPLES, PVC PBA, JE, DN 50 / DE 60 MM, PARA REDE AGUA, JUNTA ELÁSTICA INTEGRADA, INSTALADO EM LOCAL COM NÍVEL BAIXO DE INTERFERÊNCIAS (INCLUI FORNECIMENTO). AF_05/2024</t>
  </si>
  <si>
    <t>105288</t>
  </si>
  <si>
    <t>ASSENTAMENTO E FORNECIMENTO DE LUVA SIMPLES, PVC PBA, JE, DN 75 / DE 85 MM, PARA REDE AGUA, JUNTA ELÁSTICA INTEGRADA, INSTALADO EM LOCAL COM NÍVEL ALTO DE INTERFERÊNCIAS (INCLUI FORNECIMENTO). AF_05/2024</t>
  </si>
  <si>
    <t>105289</t>
  </si>
  <si>
    <t>ASSENTAMENTO E FORNECIMENTO DE LUVA SIMPLES, PVC PBA, JE, DN 75 / DE 85 MM, PARA REDE AGUA, JUNTA ELÁSTICA INTEGRADA, INSTALADO EM LOCAL COM NÍVEL BAIXO DE INTERFERÊNCIAS (INCLUI FORNECIMENTO). AF_05/2024</t>
  </si>
  <si>
    <t>105290</t>
  </si>
  <si>
    <t>ASSENTAMENTO E FORNECIMENTO DE LUVA SIMPLES, PVC PBA, JE, DN 100 / DE 110 MM, PARA REDE AGUA, JUNTA ELÁSTICA INTEGRADA, INSTALADO EM LOCAL COM NÍVEL ALTO DE INTERFERÊNCIAS (INCLUI FORNECIMENTO). AF_05/2024</t>
  </si>
  <si>
    <t>105291</t>
  </si>
  <si>
    <t>ASSENTAMENTO E FORNECIMENTO DE LUVA SIMPLES, PVC PBA, JE, DN 100 / DE 110 MM, PARA REDE AGUA, JUNTA ELÁSTICA INTEGRADA, INSTALADO EM LOCAL COM NÍVEL BAIXO DE INTERFERÊNCIAS (INCLUI FORNECIMENTO). AF_05/2024</t>
  </si>
  <si>
    <t>105292</t>
  </si>
  <si>
    <t>ASSENTAMENTO E FORNECIMENTO DE CURVA PVC PBA, JE, PB, 45 GRAUS, DN 50 / DE 60 MM, PARA REDE AGUA, JUNTA ELÁSTICA INTEGRADA, INSTALADO EM LOCAL COM NÍVEL ALTO DE INTERFERÊNCIAS (INCLUI FORNECIMENTO). AF_05/2024</t>
  </si>
  <si>
    <t>105293</t>
  </si>
  <si>
    <t>ASSENTAMENTO E FORNECIMENTO DE CURVA PVC PBA, JE, PB, 45 GRAUS, DN 50 / DE 60 MM, PARA REDE AGUA, JUNTA ELÁSTICA INTEGRADA, INSTALADO EM LOCAL COM NÍVEL BAIXO DE INTERFERÊNCIAS (INCLUI FORNECIMENTO). AF_05/2024</t>
  </si>
  <si>
    <t>37,82</t>
  </si>
  <si>
    <t>105294</t>
  </si>
  <si>
    <t>ASSENTAMENTO E FORNECIMENTO DE CURVA PVC PBA, JE, PB, 45 GRAUS, DN 75 / DE 85 MM, PARA REDE AGUA, JUNTA ELÁSTICA INTEGRADA, INSTALADO EM LOCAL COM NÍVEL ALTO DE INTERFERÊNCIAS (INCLUI FORNECIMENTO). AF_05/2024</t>
  </si>
  <si>
    <t>78,10</t>
  </si>
  <si>
    <t>105295</t>
  </si>
  <si>
    <t>ASSENTAMENTO E FORNECIMENTO DE CURVA PVC PBA, JE, PB, 45 GRAUS, DN 75 / DE 85 MM, PARA REDE AGUA, JUNTA ELÁSTICA INTEGRADA, INSTALADO EM LOCAL COM NÍVEL BAIXO DE INTERFERÊNCIAS (INCLUI FORNECIMENTO). AF_05/2024</t>
  </si>
  <si>
    <t>105296</t>
  </si>
  <si>
    <t>ASSENTAMENTO E FORNECIMENTO DE CURVA PVC PBA, JE, PB, 45 GRAUS, DN 100 / DE 110 MM, PARA REDE AGUA, JUNTA ELÁSTICA INTEGRADA, INSTALADO EM LOCAL COM NÍVEL ALTO DE INTERFERÊNCIAS (INCLUI FORNECIMENTO). AF_05/2024</t>
  </si>
  <si>
    <t>105308</t>
  </si>
  <si>
    <t>ASSENTAMENTO DE TUBO DE PVC PBA PARA REDE DE ÁGUA, DN 125, JUNTA ELÁSTICA INTEGRADA, INSTALADO EM LOCAL COM NÍVEL ALTO DE INTERFERÊNCIAS (NÃO INCLUI FORNECIMENTO). AF_05/2024</t>
  </si>
  <si>
    <t>105309</t>
  </si>
  <si>
    <t>ASSENTAMENTO DE TUBO DE PVC PBA PARA REDE DE ÁGUA, DN 140, JUNTA ELÁSTICA INTEGRADA, INSTALADO EM LOCAL COM NÍVEL ALTO DE INTERFERÊNCIAS (NÃO INCLUI FORNECIMENTO). AF_05/2024</t>
  </si>
  <si>
    <t>5,32</t>
  </si>
  <si>
    <t>105310</t>
  </si>
  <si>
    <t>ASSENTAMENTO DE TUBO DE PVC PBA PARA REDE DE ÁGUA, DN 180, JUNTA ELÁSTICA INTEGRADA, INSTALADO EM LOCAL COM NÍVEL ALTO DE INTERFERÊNCIAS (NÃO INCLUI FORNECIMENTO). AF_05/2024</t>
  </si>
  <si>
    <t>105311</t>
  </si>
  <si>
    <t>ASSENTAMENTO DE TUBO DE PVC DEFOFO OU PRFV OU RPVC PARA REDE DE ÁGUA, DN 100, JUNTA ELÁSTICA INTEGRADA, INSTALADO EM LOCAL COM NÍVEL ALTO DE INTERFERÊNCIAS (NÃO INCLUI FORNECIMENTO). AF_05/2024</t>
  </si>
  <si>
    <t>105312</t>
  </si>
  <si>
    <t>ASSENTAMENTO DE TUBO DE PVC PBA PARA REDE DE ÁGUA, DN 125, JUNTA ELÁSTICA INTEGRADA, INSTALADO EM LOCAL COM NÍVEL BAIXO DE INTERFERÊNCIAS (NÃO INCLUI FORNECIMENTO). AF_05/2024</t>
  </si>
  <si>
    <t>105313</t>
  </si>
  <si>
    <t>ASSENTAMENTO DE TUBO DE PVC PBA PARA REDE DE ÁGUA, DN 140, JUNTA ELÁSTICA INTEGRADA, INSTALADO EM LOCAL COM NÍVEL BAIXO DE INTERFERÊNCIAS (NÃO INCLUI FORNECIMENTO). AF_05/2024</t>
  </si>
  <si>
    <t>105314</t>
  </si>
  <si>
    <t>ASSENTAMENTO DE TUBO DE PVC PBA PARA REDE DE ÁGUA, DN 180, JUNTA ELÁSTICA INTEGRADA, INSTALADO EM LOCAL COM NÍVEL BAIXO DE INTERFERÊNCIAS (NÃO INCLUI FORNECIMENTO). AF_05/2024</t>
  </si>
  <si>
    <t>5,19</t>
  </si>
  <si>
    <t>105315</t>
  </si>
  <si>
    <t>ASSENTAMENTO DE CONEXÃO 2 ACESSOS ALINHADOS DE PVC PBA PARA REDE DE ÁGUA, DN 50, JUNTA ELÁSTICA INTEGRADA, INSTALADO EM LOCAL COM NÍVEL BAIXO DE INTERFERÊNCIAS (NÃO INCLUI FORNECIMENTO). AF_05/2024</t>
  </si>
  <si>
    <t>105316</t>
  </si>
  <si>
    <t>ASSENTAMENTO DE CONEXÃO 2 ACESSOS ALINHADOS DE FERRO FUNDIDO PARA REDE DE ÁGUA, DN 250, JUNTA ELÁSTICA, INSTALADO EM LOCAL COM NÍVEL BAIXO DE INTERFERÊNCIAS (NÃO INCLUI FORNECIMENTO). AF_05/2024</t>
  </si>
  <si>
    <t>105327</t>
  </si>
  <si>
    <t>ASSENTAMENTO E FORNECIMENTO DE TUBO DE PVC PBA PARA REDE DE ÁGUA, DN 75, JUNTA ELÁSTICA INTEGRADA, INSTALADO EM LOCAL COM NÍVEL ALTO DE INTERFERÊNCIAS (INCLUI FORNECIMENTO). AF_05/2024</t>
  </si>
  <si>
    <t>105328</t>
  </si>
  <si>
    <t>ASSENTAMENTO E FORNECIMENTO DE TUBO DE PVC PBA PARA REDE DE ÁGUA, DN 75, JUNTA ELÁSTICA INTEGRADA, INSTALADO EM LOCAL COM NÍVEL BAIXO DE INTERFERÊNCIAS (INCLUI FORNECIMENTO). AF_05/2024</t>
  </si>
  <si>
    <t>105329</t>
  </si>
  <si>
    <t>ASSENTAMENTO E FORNECIMENTO DE TUBO DE PVC PBA PARA REDE DE ÁGUA, DN 100, JUNTA ELÁSTICA INTEGRADA, INSTALADO EM LOCAL COM NÍVEL ALTO DE INTERFERÊNCIAS (INCLUI FORNECIMENTO). AF_05/2024</t>
  </si>
  <si>
    <t>105330</t>
  </si>
  <si>
    <t>ASSENTAMENTO E FORNECIMENTO DE TUBO DE PVC PBA PARA REDE DE ÁGUA, DN 100, JUNTA ELÁSTICA INTEGRADA, INSTALADO EM LOCAL COM NÍVEL BAIXO DE INTERFERÊNCIAS (INCLUI FORNECIMENTO). AF_05/2024</t>
  </si>
  <si>
    <t>105331</t>
  </si>
  <si>
    <t>ASSENTAMENTO E FORNECIMENTO DE TUBO DE PVC DEFOFO OU PRFV OU RPVC PARA REDE DE ÁGUA, DN 100, JUNTA ELÁSTICA INTEGRADA, INSTALADO EM LOCAL COM NÍVEL ALTO DE INTERFERÊNCIAS (INCLUI FORNECIMENTO). AF_05/2024</t>
  </si>
  <si>
    <t>105332</t>
  </si>
  <si>
    <t>ASSENTAMENTO E FORNECIMENTO DE TUBO DE PVC DEFOFO OU PRFV OU RPVC PARA REDE DE ÁGUA, DN 100, JUNTA ELÁSTICA INTEGRADA, INSTALADO EM LOCAL COM NÍVEL BAIXO DE INTERFERÊNCIAS (INCLUI FORNECIMENTO). AF_05/2024</t>
  </si>
  <si>
    <t>105333</t>
  </si>
  <si>
    <t>ASSENTAMENTO E FORNECIMENTO DE TUBO DE PVC DEFOFO PARA REDE DE ÁGUA, DN 200, JUNTA ELÁSTICA INTEGRADA, INSTALADO EM LOCAL COM NÍVEL ALTO DE INTERFERÊNCIAS (INCLUI FORNECIMENTO). AF_05/2024</t>
  </si>
  <si>
    <t>105334</t>
  </si>
  <si>
    <t>ASSENTAMENTO E FORNECIMENTO DE TUBO DE PVC DEFOFO PARA REDE DE ÁGUA, DN 200, JUNTA ELÁSTICA INTEGRADA, INSTALADO EM LOCAL COM NÍVEL BAIXO DE INTERFERÊNCIAS (INCLUI FORNECIMENTO). AF_05/2024</t>
  </si>
  <si>
    <t>105335</t>
  </si>
  <si>
    <t>ASSENTAMENTO E FORNECIMENTO DE TUBO DE PVC DEFOFO PARA REDE DE ÁGUA, DN 250, JUNTA ELÁSTICA INTEGRADA, INSTALADO EM LOCAL COM NÍVEL ALTO DE INTERFERÊNCIAS (INCLUI FORNECIMENTO). AF_05/2024</t>
  </si>
  <si>
    <t>105336</t>
  </si>
  <si>
    <t>ASSENTAMENTO E FORNECIMENTO DE TUBO DE PVC DEFOFO PARA REDE DE ÁGUA, DN 250, JUNTA ELÁSTICA INTEGRADA, INSTALADO EM LOCAL COM NÍVEL BAIXO DE INTERFERÊNCIAS (INCLUI FORNECIMENTO). AF_05/2024</t>
  </si>
  <si>
    <t>105337</t>
  </si>
  <si>
    <t>ASSENTAMENTO E FORNECIMENTO DE TUBO DE PVC DEFOFO PARA REDE DE ÁGUA, DN 300, JUNTA ELÁSTICA INTEGRADA, INSTALADO EM LOCAL COM NÍVEL ALTO DE INTERFERÊNCIAS (INCLUI FORNECIMENTO). AF_05/2024</t>
  </si>
  <si>
    <t>105338</t>
  </si>
  <si>
    <t>ASSENTAMENTO E FORNECIMENTO DE TUBO DE PVC DEFOFO PARA REDE DE ÁGUA, DN 300, JUNTA ELÁSTICA INTEGRADA, INSTALADO EM LOCAL COM NÍVEL BAIXO DE INTERFERÊNCIAS (INCLUI FORNECIMENTO). AF_05/2024</t>
  </si>
  <si>
    <t>105339</t>
  </si>
  <si>
    <t>ASSENTAMENTO DE TUBO DE PVC DEFOFO OU PRFV OU RPVC PARA REDE DE ÁGUA, DN 100, JUNTA ELÁSTICA INTEGRADA, INSTALADO EM LOCAL COM NÍVEL BAIXO DE INTERFERÊNCIAS (NÃO INCLUI FORNECIMENTO). AF_05/2024</t>
  </si>
  <si>
    <t>105359</t>
  </si>
  <si>
    <t>ASSENTAMENTO DE CONEXÃO 2 ACESSOS ALINHADOS DE PVC PBA PARA REDE DE ÁGUA, DN 50, JUNTA ELÁSTICA INTEGRADA, INSTALADO EM LOCAL COM NÍVEL ALTO DE INTERFERÊNCIAS (NÃO INCLUI FORNECIMENTO). AF_05/2024</t>
  </si>
  <si>
    <t>105360</t>
  </si>
  <si>
    <t>ASSENTAMENTO DE CONEXÃO 2 ACESSOS ALINHADOS DE PVC PBA PARA REDE DE ÁGUA, DN 75, JUNTA ELÁSTICA INTEGRADA, INSTALADO EM LOCAL COM NÍVEL ALTO DE INTERFERÊNCIAS (NÃO INCLUI FORNECIMENTO). AF_05/2024</t>
  </si>
  <si>
    <t>105361</t>
  </si>
  <si>
    <t>ASSENTAMENTO DE CONEXÃO 2 ACESSOS ALINHADOS DE PVC PBA PARA REDE DE ÁGUA, DN 100, JUNTA ELÁSTICA INTEGRADA, INSTALADO EM LOCAL COM NÍVEL ALTO DE INTERFERÊNCIAS (NÃO INCLUI FORNECIMENTO). AF_05/2024</t>
  </si>
  <si>
    <t>105362</t>
  </si>
  <si>
    <t>ASSENTAMENTO DE CONEXÃO 2 ACESSOS INCLINADOS DE PVC PBA PARA REDE DE ÁGUA, DN 50, JUNTA ELÁSTICA INTEGRADA, INSTALADO EM LOCAL COM NÍVEL ALTO DE INTERFERÊNCIAS (NÃO INCLUI FORNECIMENTO). AF_05/2024</t>
  </si>
  <si>
    <t>105363</t>
  </si>
  <si>
    <t>ASSENTAMENTO DE CONEXÃO 2 ACESSOS INCLINADOS DE PVC PBA PARA REDE DE ÁGUA, DN 75, JUNTA ELÁSTICA INTEGRADA, INSTALADO EM LOCAL COM NÍVEL ALTO DE INTERFERÊNCIAS (NÃO INCLUI FORNECIMENTO). AF_05/2024</t>
  </si>
  <si>
    <t>105364</t>
  </si>
  <si>
    <t>ASSENTAMENTO DE CONEXÃO 2 ACESSOS INCLINADOS DE PVC PBA PARA REDE DE ÁGUA, DN 100, JUNTA ELÁSTICA INTEGRADA, INSTALADO EM LOCAL COM NÍVEL ALTO DE INTERFERÊNCIAS (NÃO INCLUI FORNECIMENTO). AF_05/2024</t>
  </si>
  <si>
    <t>105365</t>
  </si>
  <si>
    <t>ASSENTAMENTO DE CONEXÃO 3 ACESSOS DE PVC PBA PARA REDE DE ÁGUA, DN 50, JUNTA ELÁSTICA INTEGRADA, INSTALADO EM LOCAL COM NÍVEL ALTO DE INTERFERÊNCIAS (NÃO INCLUI FORNECIMENTO). AF_05/2024</t>
  </si>
  <si>
    <t>25,34</t>
  </si>
  <si>
    <t>105366</t>
  </si>
  <si>
    <t>ASSENTAMENTO DE CONEXÃO 3 ACESSOS DE PVC PBA PARA REDE DE ÁGUA, DN 75, JUNTA ELÁSTICA INTEGRADA, INSTALADO EM LOCAL COM NÍVEL ALTO DE INTERFERÊNCIAS (NÃO INCLUI FORNECIMENTO). AF_05/2024</t>
  </si>
  <si>
    <t>105367</t>
  </si>
  <si>
    <t>ASSENTAMENTO DE CONEXÃO 3 ACESSOS DE PVC PBA PARA REDE DE ÁGUA, DN 100, JUNTA ELÁSTICA INTEGRADA, INSTALADO EM LOCAL COM NÍVEL ALTO DE INTERFERÊNCIAS (NÃO INCLUI FORNECIMENTO). AF_05/2024</t>
  </si>
  <si>
    <t>105368</t>
  </si>
  <si>
    <t>FORNECIMENTO E ASSENTAMENTO DE CURVA 45 GRAUS RANHURADA EM FERRO FUNDIDO, DN 80 MM (3") PARA REDE DE ÁGUA, INSTALADO EM LOCAL COM NÍVEL BAIXO DE INTERFERÊNCIAS (INCLUI FORNECIMENTO). AF_05/2024</t>
  </si>
  <si>
    <t>105370</t>
  </si>
  <si>
    <t>FORNECIMENTO E ASSENTAMENTO DE TE RANHURADO EM FERRO FUNDIDO, DN 80 (3") PARA REDE DE ÁGUA, INSTALADO EM LOCAL COM NÍVEL BAIXO DE INTERFERÊNCIAS (INCLUI FORNECIMENTO). AF_05/2024</t>
  </si>
  <si>
    <t>63,23</t>
  </si>
  <si>
    <t>105371</t>
  </si>
  <si>
    <t>ASSENTAMENTO DE CONEXÃO 3 ACESSOS DE PVC PBA PARA REDE DE ÁGUA, DN 100, JUNTA ELÁSTICA INTEGRADA, INSTALADO EM LOCAL COM NÍVEL BAIXO DE INTERFERÊNCIAS (NÃO INCLUI FORNECIMENTO). AF_05/2024</t>
  </si>
  <si>
    <t>105372</t>
  </si>
  <si>
    <t>ASSENTAMENTO DE CONEXÃO 2 ACESSOS ALINHADOS DE FERRO FUNDIDO PARA REDE DE ÁGUA, DN 80, JUNTA ELÁSTICA, INSTALADO EM LOCAL COM NÍVEL BAIXO DE INTERFERÊNCIAS (NÃO INCLUI FORNECIMENTO). AF_05/2024</t>
  </si>
  <si>
    <t>105373</t>
  </si>
  <si>
    <t>ASSENTAMENTO DE CONEXÃO 2 ACESSOS ALINHADOS DE FERRO FUNDIDO PARA REDE DE ÁGUA, DN 100, JUNTA ELÁSTICA, INSTALADO EM LOCAL COM NÍVEL BAIXO DE INTERFERÊNCIAS (NÃO INCLUI FORNECIMENTO). AF_05/2024</t>
  </si>
  <si>
    <t>105374</t>
  </si>
  <si>
    <t>ASSENTAMENTO E FORNECIMENTO DE CURVA PVC PBA, JE, PB, 45 GRAUS, DN 100 / DE 110 MM, PARA REDE AGUA, JUNTA ELÁSTICA INTEGRADA, INSTALADO EM LOCAL COM NÍVEL BAIXO DE INTERFERÊNCIAS (INCLUI FORNECIMENTO). AF_05/2024</t>
  </si>
  <si>
    <t>105375</t>
  </si>
  <si>
    <t>ASSENTAMENTO E FORNECIMENTO DE TE DE REDUCAO, PVC PBA, BBB, JE, DN 100 X 50 / DE 110 X 60 MM, PARA REDE AGUA, JUNTA ELÁSTICA INTEGRADA, INSTALADO EM LOCAL COM NÍVEL ALTO DE INTERFERÊNCIAS (INCLUI FORNECIMENTO). AF_05/2024</t>
  </si>
  <si>
    <t>105376</t>
  </si>
  <si>
    <t>ASSENTAMENTO E FORNECIMENTO DE TE DE REDUCAO, PVC PBA, BBB, JE, DN 100 X 50 / DE 110 X 60 MM, PARA REDE AGUA, JUNTA ELÁSTICA INTEGRADA, INSTALADO EM LOCAL COM NÍVEL BAIXO DE INTERFERÊNCIAS (INCLUI FORNECIMENTO). AF_05/2024</t>
  </si>
  <si>
    <t>105381</t>
  </si>
  <si>
    <t>ASSENTAMENTO DE CONEXÃO 2 ACESSOS ALINHADOS DE PVC PBA PARA REDE DE ÁGUA, DN 75, JUNTA ELÁSTICA INTEGRADA, INSTALADO EM LOCAL COM NÍVEL BAIXO DE INTERFERÊNCIAS (NÃO INCLUI FORNECIMENTO). AF_05/2024</t>
  </si>
  <si>
    <t>105382</t>
  </si>
  <si>
    <t>ASSENTAMENTO DE CONEXÃO 2 ACESSOS ALINHADOS DE PVC PBA PARA REDE DE ÁGUA, DN 100, JUNTA ELÁSTICA INTEGRADA, INSTALADO EM LOCAL COM NÍVEL BAIXO DE INTERFERÊNCIAS (NÃO INCLUI FORNECIMENTO). AF_05/2024</t>
  </si>
  <si>
    <t>105383</t>
  </si>
  <si>
    <t>ASSENTAMENTO DE CONEXÃO 2 ACESSOS INCLINADOS DE PVC PBA PARA REDE DE ÁGUA, DN 50, JUNTA ELÁSTICA INTEGRADA, INSTALADO EM LOCAL COM NÍVEL BAIXO DE INTERFERÊNCIAS (NÃO INCLUI FORNECIMENTO). AF_05/2024</t>
  </si>
  <si>
    <t>105384</t>
  </si>
  <si>
    <t>ASSENTAMENTO DE CONEXÃO 2 ACESSOS INCLINADOS DE PVC PBA PARA REDE DE ÁGUA, DN 75, JUNTA ELÁSTICA INTEGRADA, INSTALADO EM LOCAL COM NÍVEL BAIXO DE INTERFERÊNCIAS (NÃO INCLUI FORNECIMENTO). AF_05/2024</t>
  </si>
  <si>
    <t>105385</t>
  </si>
  <si>
    <t>ASSENTAMENTO DE CONEXÃO 2 ACESSOS INCLINADOS DE PVC PBA PARA REDE DE ÁGUA, DN 100, JUNTA ELÁSTICA INTEGRADA, INSTALADO EM LOCAL COM NÍVEL BAIXO DE INTERFERÊNCIAS (NÃO INCLUI FORNECIMENTO). AF_05/2024</t>
  </si>
  <si>
    <t>105386</t>
  </si>
  <si>
    <t>ASSENTAMENTO DE CONEXÃO 3 ACESSOS DE PVC PBA PARA REDE DE ÁGUA, DN 50, JUNTA ELÁSTICA INTEGRADA, INSTALADO EM LOCAL COM NÍVEL BAIXO DE INTERFERÊNCIAS (NÃO INCLUI FORNECIMENTO). AF_05/2024</t>
  </si>
  <si>
    <t>20,82</t>
  </si>
  <si>
    <t>105387</t>
  </si>
  <si>
    <t>ASSENTAMENTO DE CONEXÃO 3 ACESSOS DE PVC PBA PARA REDE DE ÁGUA, DN 75, JUNTA ELÁSTICA INTEGRADA, INSTALADO EM LOCAL COM NÍVEL BAIXO DE INTERFERÊNCIAS (NÃO INCLUI FORNECIMENTO). AF_05/2024</t>
  </si>
  <si>
    <t>TUBO DE CONCRETO PARA REDES COLETORAS DE ESGOTO SANITÁRIO, DIÂMETRO DE 300 MM, JUNTA ELÁSTICA, INSTALADO EM LOCAL COM BAIXO NÍVEL DE INTERFERÊNCIAS - FORNECIMENTO E ASSENTAMENTO. AF_03/2024</t>
  </si>
  <si>
    <t>ASSENTAMENTO DE TUBO DE CONCRETO PARA REDES COLETORAS DE ESGOTO SANITÁRIO, DIÂMETRO DE 300 MM, JUNTA ELÁSTICA, INSTALADO EM LOCAL COM BAIXO NÍVEL DE INTERFERÊNCIAS (NÃO INCLUI FORNECIMENTO). AF_03/2024</t>
  </si>
  <si>
    <t>21,29</t>
  </si>
  <si>
    <t>TUBO DE CONCRETO PARA REDES COLETORAS DE ESGOTO SANITÁRIO, DIÂMETRO DE 400 MM, JUNTA ELÁSTICA, INSTALADO EM LOCAL COM BAIXO NÍVEL DE INTERFERÊNCIAS - FORNECIMENTO E ASSENTAMENTO. AF_03/2024</t>
  </si>
  <si>
    <t>ASSENTAMENTO DE TUBO DE CONCRETO PARA REDES COLETORAS DE ESGOTO SANITÁRIO, DIÂMETRO DE 400 MM, JUNTA ELÁSTICA, INSTALADO EM LOCAL COM BAIXO NÍVEL DE INTERFERÊNCIAS (NÃO INCLUI FORNECIMENTO). AF_03/2024</t>
  </si>
  <si>
    <t>TUBO DE CONCRETO PARA REDES COLETORAS DE ESGOTO SANITÁRIO, DIÂMETRO DE 500 MM, JUNTA ELÁSTICA, INSTALADO EM LOCAL COM BAIXO NÍVEL DE INTERFERÊNCIAS - FORNECIMENTO E ASSENTAMENTO. AF_03/2024</t>
  </si>
  <si>
    <t>ASSENTAMENTO DE TUBO DE CONCRETO PARA REDES COLETORAS DE ESGOTO SANITÁRIO, DIÂMETRO DE 500 MM, JUNTA ELÁSTICA, INSTALADO EM LOCAL COM BAIXO NÍVEL DE INTERFERÊNCIAS (NÃO INCLUI FORNECIMENTO). AF_03/2024</t>
  </si>
  <si>
    <t>35,12</t>
  </si>
  <si>
    <t>TUBO DE CONCRETO PARA REDES COLETORAS DE ESGOTO SANITÁRIO, DIÂMETRO DE 600 MM, JUNTA ELÁSTICA, INSTALADO EM LOCAL COM BAIXO NÍVEL DE INTERFERÊNCIAS - FORNECIMENTO E ASSENTAMENTO. AF_03/2024</t>
  </si>
  <si>
    <t>ASSENTAMENTO DE TUBO DE CONCRETO PARA REDES COLETORAS DE ESGOTO SANITÁRIO, DIÂMETRO DE 600 MM, JUNTA ELÁSTICA, INSTALADO EM LOCAL COM BAIXO NÍVEL DE INTERFERÊNCIAS (NÃO INCLUI FORNECIMENTO). AF_03/2024</t>
  </si>
  <si>
    <t>TUBO DE CONCRETO PARA REDES COLETORAS DE ESGOTO SANITÁRIO, DIÂMETRO DE 700 MM, JUNTA ELÁSTICA, INSTALADO EM LOCAL COM BAIXO NÍVEL DE INTERFERÊNCIAS - FORNECIMENTO E ASSENTAMENTO. AF_03/2024</t>
  </si>
  <si>
    <t>ASSENTAMENTO DE TUBO DE CONCRETO PARA REDES COLETORAS DE ESGOTO SANITÁRIO, DIÂMETRO DE 700 MM, JUNTA ELÁSTICA, INSTALADO EM LOCAL COM BAIXO NÍVEL DE INTERFERÊNCIAS (NÃO INCLUI FORNECIMENTO). AF_03/2024</t>
  </si>
  <si>
    <t>TUBO DE CONCRETO PARA REDES COLETORAS DE ESGOTO SANITÁRIO, DIÂMETRO DE 800 MM, JUNTA ELÁSTICA, INSTALADO EM LOCAL COM BAIXO NÍVEL DE INTERFERÊNCIAS - FORNECIMENTO E ASSENTAMENTO. AF_03/2024</t>
  </si>
  <si>
    <t>ASSENTAMENTO DE TUBO DE CONCRETO PARA REDES COLETORAS DE ESGOTO SANITÁRIO, DIÂMETRO DE 800 MM, JUNTA ELÁSTICA, INSTALADO EM LOCAL COM BAIXO NÍVEL DE INTERFERÊNCIAS (NÃO INCLUI FORNECIMENTO). AF_03/2024</t>
  </si>
  <si>
    <t>TUBO DE CONCRETO PARA REDES COLETORAS DE ESGOTO SANITÁRIO, DIÂMETRO DE 900 MM, JUNTA ELÁSTICA, INSTALADO EM LOCAL COM BAIXO NÍVEL DE INTERFERÊNCIAS - FORNECIMENTO E ASSENTAMENTO. AF_03/2024</t>
  </si>
  <si>
    <t>ASSENTAMENTO DE TUBO DE CONCRETO PARA REDES COLETORAS DE ESGOTO SANITÁRIO, DIÂMETRO DE 900 MM, JUNTA ELÁSTICA, INSTALADO EM LOCAL COM BAIXO NÍVEL DE INTERFERÊNCIAS (NÃO INCLUI FORNECIMENTO). AF_03/2024</t>
  </si>
  <si>
    <t>TUBO DE CONCRETO PARA REDES COLETORAS DE ESGOTO SANITÁRIO, DIÂMETRO DE 1000 MM, JUNTA ELÁSTICA, INSTALADO EM LOCAL COM BAIXO NÍVEL DE INTERFERÊNCIAS - FORNECIMENTO E ASSENTAMENTO. AF_03/2024</t>
  </si>
  <si>
    <t>ASSENTAMENTO DE TUBO DE CONCRETO PARA REDES COLETORAS DE ESGOTO SANITÁRIO, DIÂMETRO DE 1000 MM, JUNTA ELÁSTICA, INSTALADO EM LOCAL COM BAIXO NÍVEL DE INTERFERÊNCIAS (NÃO INCLUI FORNECIMENTO). AF_03/2024</t>
  </si>
  <si>
    <t>TUBO DE CONCRETO PARA REDES COLETORAS DE ESGOTO SANITÁRIO, DIÂMETRO DE 300 MM, JUNTA ELÁSTICA, INSTALADO EM LOCAL COM ALTO NÍVEL DE INTERFERÊNCIAS - FORNECIMENTO E ASSENTAMENTO. AF_03/2024</t>
  </si>
  <si>
    <t>ASSENTAMENTO DE TUBO DE CONCRETO PARA REDES COLETORAS DE ESGOTO SANITÁRIO, DIÂMETRO DE 300 MM, JUNTA ELÁSTICA, INSTALADO EM LOCAL COM ALTO NÍVEL DE INTERFERÊNCIAS (NÃO INCLUI FORNECIMENTO). AF_03/2024</t>
  </si>
  <si>
    <t>23,80</t>
  </si>
  <si>
    <t>TUBO DE CONCRETO PARA REDES COLETORAS DE ESGOTO SANITÁRIO, DIÂMETRO DE 400 MM, JUNTA ELÁSTICA, INSTALADO EM LOCAL COM ALTO NÍVEL DE INTERFERÊNCIAS - FORNECIMENTO E ASSENTAMENTO. AF_03/2024</t>
  </si>
  <si>
    <t>ASSENTAMENTO DE TUBO DE CONCRETO PARA REDES COLETORAS DE ESGOTO SANITÁRIO, DIÂMETRO DE 400 MM, JUNTA ELÁSTICA, INSTALADO EM LOCAL COM ALTO NÍVEL DE INTERFERÊNCIAS (NÃO INCLUI FORNECIMENTO). AF_03/2024</t>
  </si>
  <si>
    <t>TUBO DE CONCRETO PARA REDES COLETORAS DE ESGOTO SANITÁRIO, DIÂMETRO DE 500 MM, JUNTA ELÁSTICA, INSTALADO EM LOCAL COM ALTO NÍVEL DE INTERFERÊNCIAS - FORNECIMENTO E ASSENTAMENTO. AF_03/2024</t>
  </si>
  <si>
    <t>ASSENTAMENTO DE TUBO DE CONCRETO PARA REDES COLETORAS DE ESGOTO SANITÁRIO, DIÂMETRO DE 500 MM, JUNTA ELÁSTICA, INSTALADO EM LOCAL COM ALTO NÍVEL DE INTERFERÊNCIAS (NÃO INCLUI FORNECIMENTO). AF_03/2024</t>
  </si>
  <si>
    <t>TUBO DE CONCRETO PARA REDES COLETORAS DE ESGOTO SANITÁRIO, DIÂMETRO DE 600 MM, JUNTA ELÁSTICA, INSTALADO EM LOCAL COM ALTO NÍVEL DE INTERFERÊNCIAS - FORNECIMENTO E ASSENTAMENTO. AF_03/2024</t>
  </si>
  <si>
    <t>ASSENTAMENTO DE TUBO DE CONCRETO PARA REDES COLETORAS DE ESGOTO SANITÁRIO, DIÂMETRO DE 600 MM, JUNTA ELÁSTICA, INSTALADO EM LOCAL COM ALTO NÍVEL DE INTERFERÊNCIAS (NÃO INCLUI FORNECIMENTO). AF_03/2024</t>
  </si>
  <si>
    <t>TUBO DE CONCRETO PARA REDES COLETORAS DE ESGOTO SANITÁRIO, DIÂMETRO DE 700 MM, JUNTA ELÁSTICA, INSTALADO EM LOCAL COM ALTO NÍVEL DE INTERFERÊNCIAS - FORNECIMENTO E ASSENTAMENTO. AF_03/2024</t>
  </si>
  <si>
    <t>ASSENTAMENTO DE TUBO DE CONCRETO PARA REDES COLETORAS DE ESGOTO SANITÁRIO, DIÂMETRO DE 700 MM, JUNTA ELÁSTICA, INSTALADO EM LOCAL COM ALTO NÍVEL DE INTERFERÊNCIAS (NÃO INCLUI FORNECIMENTO). AF_03/2024</t>
  </si>
  <si>
    <t>TUBO DE CONCRETO PARA REDES COLETORAS DE ESGOTO SANITÁRIO, DIÂMETRO DE 800 MM, JUNTA ELÁSTICA, INSTALADO EM LOCAL COM ALTO NÍVEL DE INTERFERÊNCIAS - FORNECIMENTO E ASSENTAMENTO. AF_03/2024</t>
  </si>
  <si>
    <t>ASSENTAMENTO DE TUBO DE CONCRETO PARA REDES COLETORAS DE ESGOTO SANITÁRIO, DIÂMETRO DE 800 MM, JUNTA ELÁSTICA, INSTALADO EM LOCAL COM ALTO NÍVEL DE INTERFERÊNCIAS (NÃO INCLUI FORNECIMENTO). AF_03/2024</t>
  </si>
  <si>
    <t>71,56</t>
  </si>
  <si>
    <t>TUBO DE CONCRETO PARA REDES COLETORAS DE ESGOTO SANITÁRIO, DIÂMETRO DE 900 MM, JUNTA ELÁSTICA, INSTALADO EM LOCAL COM ALTO NÍVEL DE INTERFERÊNCIAS - FORNECIMENTO E ASSENTAMENTO. AF_03/2024</t>
  </si>
  <si>
    <t>ASSENTAMENTO DE TUBO DE CONCRETO PARA REDES COLETORAS DE ESGOTO SANITÁRIO, DIÂMETRO DE 900 MM, JUNTA ELÁSTICA, INSTALADO EM LOCAL COM ALTO NÍVEL DE INTERFERÊNCIAS (NÃO INCLUI FORNECIMENTO). AF_03/2024</t>
  </si>
  <si>
    <t>TUBO DE CONCRETO PARA REDES COLETORAS DE ESGOTO SANITÁRIO, DIÂMETRO DE 1000 MM, JUNTA ELÁSTICA, INSTALADO EM LOCAL COM ALTO NÍVEL DE INTERFERÊNCIAS - FORNECIMENTO E ASSENTAMENTO. AF_03/2024</t>
  </si>
  <si>
    <t>ASSENTAMENTO DE TUBO DE CONCRETO PARA REDES COLETORAS DE ESGOTO SANITÁRIO, DIÂMETRO DE 1000 MM, JUNTA ELÁSTICA, INSTALADO EM LOCAL COM ALTO NÍVEL DE INTERFERÊNCIAS (NÃO INCLUI FORNECIMENTO). AF_03/2024</t>
  </si>
  <si>
    <t>TUBO DE CONCRETO PARA REDES COLETORAS DE ÁGUAS PLUVIAIS, DIÂMETRO DE 400 MM, JUNTA RÍGIDA, INSTALADO EM LOCAL COM BAIXO NÍVEL DE INTERFERÊNCIAS - FORNECIMENTO E ASSENTAMENTO. AF_03/2024</t>
  </si>
  <si>
    <t>TUBO DE CONCRETO PARA REDES COLETORAS DE ÁGUAS PLUVIAIS, DIÂMETRO DE 500 MM, JUNTA RÍGIDA, INSTALADO EM LOCAL COM BAIXO NÍVEL DE INTERFERÊNCIAS - FORNECIMENTO E ASSENTAMENTO. AF_03/2024</t>
  </si>
  <si>
    <t>TUBO DE CONCRETO PARA REDES COLETORAS DE ÁGUAS PLUVIAIS, DIÂMETRO DE 600 MM, JUNTA RÍGIDA, INSTALADO EM LOCAL COM BAIXO NÍVEL DE INTERFERÊNCIAS - FORNECIMENTO E ASSENTAMENTO. AF_03/2024</t>
  </si>
  <si>
    <t>TUBO DE CONCRETO PARA REDES COLETORAS DE ÁGUAS PLUVIAIS, DIÂMETRO DE 700 MM, JUNTA RÍGIDA, INSTALADO EM LOCAL COM BAIXO NÍVEL DE INTERFERÊNCIAS - FORNECIMENTO E ASSENTAMENTO. AF_03/2024</t>
  </si>
  <si>
    <t>TUBO DE CONCRETO PARA REDES COLETORAS DE ÁGUAS PLUVIAIS, DIÂMETRO DE 800 MM, JUNTA RÍGIDA, INSTALADO EM LOCAL COM BAIXO NÍVEL DE INTERFERÊNCIAS - FORNECIMENTO E ASSENTAMENTO. AF_03/2024</t>
  </si>
  <si>
    <t>TUBO DE CONCRETO PARA REDES COLETORAS DE ÁGUAS PLUVIAIS, DIÂMETRO DE 900 MM, JUNTA RÍGIDA, INSTALADO EM LOCAL COM BAIXO NÍVEL DE INTERFERÊNCIAS - FORNECIMENTO E ASSENTAMENTO. AF_03/2024</t>
  </si>
  <si>
    <t>TUBO DE CONCRETO PARA REDES COLETORAS DE ÁGUAS PLUVIAIS, DIÂMETRO DE 1000 MM, JUNTA RÍGIDA, INSTALADO EM LOCAL COM BAIXO NÍVEL DE INTERFERÊNCIAS - FORNECIMENTO E ASSENTAMENTO. AF_03/2024</t>
  </si>
  <si>
    <t>TUBO DE CONCRETO PARA REDES COLETORAS DE ÁGUAS PLUVIAIS, DIÂMETRO DE 400 MM, JUNTA RÍGIDA, INSTALADO EM LOCAL COM ALTO NÍVEL DE INTERFERÊNCIAS - FORNECIMENTO E ASSENTAMENTO. AF_03/2024</t>
  </si>
  <si>
    <t>TUBO DE CONCRETO PARA REDES COLETORAS DE ÁGUAS PLUVIAIS, DIÂMETRO DE 500 MM, JUNTA RÍGIDA, INSTALADO EM LOCAL COM ALTO NÍVEL DE INTERFERÊNCIAS - FORNECIMENTO E ASSENTAMENTO. AF_03/2024</t>
  </si>
  <si>
    <t>TUBO DE CONCRETO PARA REDES COLETORAS DE ÁGUAS PLUVIAIS, DIÂMETRO DE 600 MM, JUNTA RÍGIDA, INSTALADO EM LOCAL COM ALTO NÍVEL DE INTERFERÊNCIAS - FORNECIMENTO E ASSENTAMENTO. AF_03/2024</t>
  </si>
  <si>
    <t>TUBO DE CONCRETO PARA REDES COLETORAS DE ÁGUAS PLUVIAIS, DIÂMETRO DE 700 MM, JUNTA RÍGIDA, INSTALADO EM LOCAL COM ALTO NÍVEL DE INTERFERÊNCIAS - FORNECIMENTO E ASSENTAMENTO. AF_03/2024</t>
  </si>
  <si>
    <t>TUBO DE CONCRETO PARA REDES COLETORAS DE ÁGUAS PLUVIAIS, DIÂMETRO DE 800 MM, JUNTA RÍGIDA, INSTALADO EM LOCAL COM ALTO NÍVEL DE INTERFERÊNCIAS - FORNECIMENTO E ASSENTAMENTO. AF_03/2024</t>
  </si>
  <si>
    <t>TUBO DE CONCRETO PARA REDES COLETORAS DE ÁGUAS PLUVIAIS, DIÂMETRO DE 900 MM, JUNTA RÍGIDA, INSTALADO EM LOCAL COM ALTO NÍVEL DE INTERFERÊNCIAS - FORNECIMENTO E ASSENTAMENTO. AF_03/2024</t>
  </si>
  <si>
    <t>TUBO DE CONCRETO PARA REDES COLETORAS DE ÁGUAS PLUVIAIS, DIÂMETRO DE 1000 MM, JUNTA RÍGIDA, INSTALADO EM LOCAL COM ALTO NÍVEL DE INTERFERÊNCIAS - FORNECIMENTO E ASSENTAMENTO. AF_03/2024</t>
  </si>
  <si>
    <t>ASSENTAMENTO DE TUBO DE CONCRETO PARA REDES COLETORAS DE ÁGUAS PLUVIAIS, DIÂMETRO DE 300 MM, JUNTA RÍGIDA, INSTALADO EM LOCAL COM BAIXO NÍVEL DE INTERFERÊNCIAS (NÃO INCLUI FORNECIMENTO). AF_03/2024</t>
  </si>
  <si>
    <t>24,87</t>
  </si>
  <si>
    <t>ASSENTAMENTO DE TUBO DE CONCRETO PARA REDES COLETORAS DE ÁGUAS PLUVIAIS, DIÂMETRO DE 400 MM, JUNTA RÍGIDA, INSTALADO EM LOCAL COM BAIXO NÍVEL DE INTERFERÊNCIAS (NÃO INCLUI FORNECIMENTO). AF_03/2024</t>
  </si>
  <si>
    <t>ASSENTAMENTO DE TUBO DE CONCRETO PARA REDES COLETORAS DE ÁGUAS PLUVIAIS, DIÂMETRO DE 500 MM, JUNTA RÍGIDA, INSTALADO EM LOCAL COM BAIXO NÍVEL DE INTERFERÊNCIAS (NÃO INCLUI FORNECIMENTO). AF_03/2024</t>
  </si>
  <si>
    <t>ASSENTAMENTO DE TUBO DE CONCRETO PARA REDES COLETORAS DE ÁGUAS PLUVIAIS, DIÂMETRO DE 600 MM, JUNTA RÍGIDA, INSTALADO EM LOCAL COM BAIXO NÍVEL DE INTERFERÊNCIAS (NÃO INCLUI FORNECIMENTO). AF_03/2024</t>
  </si>
  <si>
    <t>54,72</t>
  </si>
  <si>
    <t>ASSENTAMENTO DE TUBO DE CONCRETO PARA REDES COLETORAS DE ÁGUAS PLUVIAIS, DIÂMETRO DE 700 MM, JUNTA RÍGIDA, INSTALADO EM LOCAL COM BAIXO NÍVEL DE INTERFERÊNCIAS (NÃO INCLUI FORNECIMENTO). AF_03/2024</t>
  </si>
  <si>
    <t>ASSENTAMENTO DE TUBO DE CONCRETO PARA REDES COLETORAS DE ÁGUAS PLUVIAIS, DIÂMETRO DE 800 MM, JUNTA RÍGIDA, INSTALADO EM LOCAL COM BAIXO NÍVEL DE INTERFERÊNCIAS (NÃO INCLUI FORNECIMENTO). AF_03/2024</t>
  </si>
  <si>
    <t>ASSENTAMENTO DE TUBO DE CONCRETO PARA REDES COLETORAS DE ÁGUAS PLUVIAIS, DIÂMETRO DE 900 MM, JUNTA RÍGIDA, INSTALADO EM LOCAL COM BAIXO NÍVEL DE INTERFERÊNCIAS (NÃO INCLUI FORNECIMENTO). AF_03/2024</t>
  </si>
  <si>
    <t>ASSENTAMENTO DE TUBO DE CONCRETO PARA REDES COLETORAS DE ÁGUAS PLUVIAIS, DIÂMETRO DE 1000 MM, JUNTA RÍGIDA, INSTALADO EM LOCAL COM BAIXO NÍVEL DE INTERFERÊNCIAS (NÃO INCLUI FORNECIMENTO). AF_03/2024</t>
  </si>
  <si>
    <t>TUBO DE CONCRETO PARA REDES COLETORAS DE ÁGUAS PLUVIAIS, DIÂMETRO DE 1200 MM, JUNTA RÍGIDA, INSTALADO EM LOCAL COM BAIXO NÍVEL DE INTERFERÊNCIAS - FORNECIMENTO E ASSENTAMENTO. AF_03/2024</t>
  </si>
  <si>
    <t>ASSENTAMENTO DE TUBO DE CONCRETO PARA REDES COLETORAS DE ÁGUAS PLUVIAIS, DIÂMETRO DE 1200 MM, JUNTA RÍGIDA, INSTALADO EM LOCAL COM BAIXO NÍVEL DE INTERFERÊNCIAS (NÃO INCLUI FORNECIMENTO). AF_03/2024</t>
  </si>
  <si>
    <t>TUBO DE CONCRETO PARA REDES COLETORAS DE ÁGUAS PLUVIAIS, DIÂMETRO DE 1500 MM, JUNTA RÍGIDA, INSTALADO EM LOCAL COM BAIXO NÍVEL DE INTERFERÊNCIAS - FORNECIMENTO E ASSENTAMENTO. AF_03/2024</t>
  </si>
  <si>
    <t>ASSENTAMENTO DE TUBO DE CONCRETO PARA REDES COLETORAS DE ÁGUAS PLUVIAIS, DIÂMETRO DE 1500 MM, JUNTA RÍGIDA, INSTALADO EM LOCAL COM BAIXO NÍVEL DE INTERFERÊNCIAS (NÃO INCLUI FORNECIMENTO). AF_03/2024</t>
  </si>
  <si>
    <t>156,44</t>
  </si>
  <si>
    <t>ASSENTAMENTO DE TUBO DE CONCRETO PARA REDES COLETORAS DE ÁGUAS PLUVIAIS, DIÂMETRO DE 300 MM, JUNTA RÍGIDA, INSTALADO EM LOCAL COM ALTO NÍVEL DE INTERFERÊNCIAS (NÃO INCLUI FORNECIMENTO). AF_03/2024</t>
  </si>
  <si>
    <t>ASSENTAMENTO DE TUBO DE CONCRETO PARA REDES COLETORAS DE ÁGUAS PLUVIAIS, DIÂMETRO DE 400 MM, JUNTA RÍGIDA, INSTALADO EM LOCAL COM ALTO NÍVEL DE INTERFERÊNCIAS (NÃO INCLUI FORNECIMENTO). AF_03/2024</t>
  </si>
  <si>
    <t>ASSENTAMENTO DE TUBO DE CONCRETO PARA REDES COLETORAS DE ÁGUAS PLUVIAIS, DIÂMETRO DE 500 MM, JUNTA RÍGIDA, INSTALADO EM LOCAL COM ALTO NÍVEL DE INTERFERÊNCIAS (NÃO INCLUI FORNECIMENTO). AF_03/2024</t>
  </si>
  <si>
    <t>ASSENTAMENTO DE TUBO DE CONCRETO PARA REDES COLETORAS DE ÁGUAS PLUVIAIS, DIÂMETRO DE 600 MM, JUNTA RÍGIDA, INSTALADO EM LOCAL COM ALTO NÍVEL DE INTERFERÊNCIAS (NÃO INCLUI FORNECIMENTO). AF_03/2024</t>
  </si>
  <si>
    <t>ASSENTAMENTO DE TUBO DE CONCRETO PARA REDES COLETORAS DE ÁGUAS PLUVIAIS, DIÂMETRO DE 700 MM, JUNTA RÍGIDA, INSTALADO EM LOCAL COM ALTO NÍVEL DE INTERFERÊNCIAS (NÃO INCLUI FORNECIMENTO). AF_03/2024</t>
  </si>
  <si>
    <t>ASSENTAMENTO DE TUBO DE CONCRETO PARA REDES COLETORAS DE ÁGUAS PLUVIAIS, DIÂMETRO DE 800 MM, JUNTA RÍGIDA, INSTALADO EM LOCAL COM ALTO NÍVEL DE INTERFERÊNCIAS (NÃO INCLUI FORNECIMENTO). AF_03/2024</t>
  </si>
  <si>
    <t>83,57</t>
  </si>
  <si>
    <t>ASSENTAMENTO DE TUBO DE CONCRETO PARA REDES COLETORAS DE ÁGUAS PLUVIAIS, DIÂMETRO DE 900 MM, JUNTA RÍGIDA, INSTALADO EM LOCAL COM ALTO NÍVEL DE INTERFERÊNCIAS (NÃO INCLUI FORNECIMENTO). AF_03/2024</t>
  </si>
  <si>
    <t>95,54</t>
  </si>
  <si>
    <t>ASSENTAMENTO DE TUBO DE CONCRETO PARA REDES COLETORAS DE ÁGUAS PLUVIAIS, DIÂMETRO DE 1000 MM, JUNTA RÍGIDA, INSTALADO EM LOCAL COM ALTO NÍVEL DE INTERFERÊNCIAS (NÃO INCLUI FORNECIMENTO). AF_03/2024</t>
  </si>
  <si>
    <t>TUBO DE CONCRETO PARA REDES COLETORAS DE ÁGUAS PLUVIAIS, DIÂMETRO DE 1200 MM, JUNTA RÍGIDA, INSTALADO EM LOCAL COM ALTO NÍVEL DE INTERFERÊNCIAS - FORNECIMENTO E ASSENTAMENTO. AF_03/2024</t>
  </si>
  <si>
    <t>ASSENTAMENTO DE TUBO DE CONCRETO PARA REDES COLETORAS DE ÁGUAS PLUVIAIS, DIÂMETRO DE 1200 MM, JUNTA RÍGIDA, INSTALADO EM LOCAL COM ALTO NÍVEL DE INTERFERÊNCIAS (NÃO INCLUI FORNECIMENTO). AF_03/2024</t>
  </si>
  <si>
    <t>TUBO DE CONCRETO PARA REDES COLETORAS DE ÁGUAS PLUVIAIS, DIÂMETRO DE 1500 MM, JUNTA RÍGIDA, INSTALADO EM LOCAL COM ALTO NÍVEL DE INTERFERÊNCIAS - FORNECIMENTO E ASSENTAMENTO. AF_03/2024</t>
  </si>
  <si>
    <t>ASSENTAMENTO DE TUBO DE CONCRETO PARA REDES COLETORAS DE ÁGUAS PLUVIAIS, DIÂMETRO DE 1500 MM, JUNTA RÍGIDA, INSTALADO EM LOCAL COM ALTO NÍVEL DE INTERFERÊNCIAS (NÃO INCLUI FORNECIMENTO). AF_03/2024</t>
  </si>
  <si>
    <t>TUBO DE CONCRETO PARA REDES COLETORAS DE ÁGUAS PLUVIAIS, DIÂMETRO DE 300MM, JUNTA RÍGIDA, INSTALADO EM LOCAL COM BAIXO NÍVEL DE INTERFERÊNCIAS - FORNECIMENTO E ASSENTAMENTO. AF_03/2024</t>
  </si>
  <si>
    <t>TUBO DE CONCRETO PARA REDES COLETORAS DE ÁGUAS PLUVIAIS, DIÂMETRO DE 300MM, JUNTA RÍGIDA, INSTALADO EM LOCAL COM ALTO NÍVEL DE INTERFERÊNCIAS - FORNECIMENTO E ASSENTAMENTO. AF_03/2024</t>
  </si>
  <si>
    <t>135,83</t>
  </si>
  <si>
    <t>TUBO DE CONCRETO (SIMPLES) PARA REDES COLETORAS DE ÁGUAS PLUVIAIS, DIÂMETRO DE 300 MM, JUNTA RÍGIDA, INSTALADO EM LOCAL COM BAIXO NÍVEL DE INTERFERÊNCIAS - FORNECIMENTO E ASSENTAMENTO. AF_03/2024</t>
  </si>
  <si>
    <t>TUBO DE CONCRETO (SIMPLES) PARA REDES COLETORAS DE ÁGUAS PLUVIAIS, DIÂMETRO DE 400 MM, JUNTA RÍGIDA, INSTALADO EM LOCAL COM BAIXO NÍVEL DE INTERFERÊNCIAS - FORNECIMENTO E ASSENTAMENTO. AF_03/2024</t>
  </si>
  <si>
    <t>TUBO DE CONCRETO (SIMPLES) PARA REDES COLETORAS DE ÁGUAS PLUVIAIS, DIÂMETRO DE 500 MM, JUNTA RÍGIDA, INSTALADO EM LOCAL COM BAIXO NÍVEL DE INTERFERÊNCIAS - FORNECIMENTO E ASSENTAMENTO. AF_03/2024</t>
  </si>
  <si>
    <t>TUBO DE CONCRETO (SIMPLES) PARA REDES COLETORAS DE ÁGUAS PLUVIAIS, DIÂMETRO DE 300 MM, JUNTA RÍGIDA, INSTALADO EM LOCAL COM ALTO NÍVEL DE INTERFERÊNCIAS - FORNECIMENTO E ASSENTAMENTO. AF_03/2024</t>
  </si>
  <si>
    <t>TUBO DE CONCRETO (SIMPLES) PARA REDES COLETORAS DE ÁGUAS PLUVIAIS, DIÂMETRO DE 400 MM, JUNTA RÍGIDA, INSTALADO EM LOCAL COM ALTO NÍVEL DE INTERFERÊNCIAS - FORNECIMENTO E ASSENTAMENTO. AF_03/2024</t>
  </si>
  <si>
    <t>TUBO DE CONCRETO (SIMPLES) PARA REDES COLETORAS DE ÁGUAS PLUVIAIS, DIÂMETRO DE 500 MM, JUNTA RÍGIDA, INSTALADO EM LOCAL COM ALTO NÍVEL DE INTERFERÊNCIAS - FORNECIMENTO E ASSENTAMENTO. AF_03/2024</t>
  </si>
  <si>
    <t>ASSENTAMENTO DE TUBO DE PVC DEFOFO OU PRFV OU RPVC PARA REDE DE ÁGUA, DN 150 MM, JUNTA ELÁSTICA INTEGRADA, INSTALADO EM LOCAL COM NÍVEL ALTO DE INTERFERÊNCIAS (NÃO INCLUI FORNECIMENTO). AF_05/2024</t>
  </si>
  <si>
    <t>ASSENTAMENTO DE TUBO DE PVC DEFOFO OU PRFV OU RPVC PARA REDE DE ÁGUA, DN 200 MM, JUNTA ELÁSTICA INTEGRADA, INSTALADO EM LOCAL COM NÍVEL ALTO DE INTERFERÊNCIAS (NÃO INCLUI FORNECIMENTO). AF_05/2024</t>
  </si>
  <si>
    <t>ASSENTAMENTO DE TUBO DE PVC DEFOFO OU PRFV OU RPVC PARA REDE DE ÁGUA, DN 250 MM, JUNTA ELÁSTICA INTEGRADA, INSTALADO EM LOCAL COM NÍVEL ALTO DE INTERFERÊNCIAS (NÃO INCLUI FORNECIMENTO). AF_05/2024</t>
  </si>
  <si>
    <t>ASSENTAMENTO DE TUBO DE PVC DEFOFO OU PRFV OU RPVC PARA REDE DE ÁGUA, DN 300 MM, JUNTA ELÁSTICA INTEGRADA, INSTALADO EM LOCAL COM NÍVEL ALTO DE INTERFERÊNCIAS (NÃO INCLUI FORNECIMENTO). AF_05/2024</t>
  </si>
  <si>
    <t>ASSENTAMENTO DE TUBO DE PVC DEFOFO OU PRFV OU RPVC PARA REDE DE ÁGUA, DN 350 MM, JUNTA ELÁSTICA INTEGRADA, INSTALADO EM LOCAL COM NÍVEL ALTO DE INTERFERÊNCIAS (NÃO INCLUI FORNECIMENTO). AF_05/2024</t>
  </si>
  <si>
    <t>ASSENTAMENTO DE TUBO DE PVC DEFOFO OU PRFV OU RPVC PARA REDE DE ÁGUA, DN 400 MM, JUNTA ELÁSTICA INTEGRADA, INSTALADO EM LOCAL COM NÍVEL ALTO DE INTERFERÊNCIAS (NÃO INCLUI FORNECIMENTO). AF_05/2024</t>
  </si>
  <si>
    <t>ASSENTAMENTO DE TUBO DE PVC DEFOFO OU PRFV OU RPVC PARA REDE DE ÁGUA, DN 500 MM, JUNTA ELÁSTICA INTEGRADA, INSTALADO EM LOCAL COM NÍVEL ALTO DE INTERFERÊNCIAS (NÃO INCLUI FORNECIMENTO). AF_05/2024</t>
  </si>
  <si>
    <t>ASSENTAMENTO DE TUBO DE PVC DEFOFO OU PRFV OU RPVC PARA REDE DE ÁGUA, DN 150 MM, JUNTA ELÁSTICA INTEGRADA, INSTALADO EM LOCAL COM NÍVEL BAIXO DE INTERFERÊNCIAS (NÃO INCLUI FORNECIMENTO). AF_05/2024</t>
  </si>
  <si>
    <t>ASSENTAMENTO DE TUBO DE PVC DEFOFO OU PRFV OU RPVC PARA REDE DE ÁGUA, DN 200 MM, JUNTA ELÁSTICA INTEGRADA, INSTALADO EM LOCAL COM NÍVEL BAIXO DE INTERFERÊNCIAS (NÃO INCLUI FORNECIMENTO). AF_05/2024</t>
  </si>
  <si>
    <t>ASSENTAMENTO DE TUBO DE PVC DEFOFO OU PRFV OU RPVC PARA REDE DE ÁGUA, DN 250 MM, JUNTA ELÁSTICA INTEGRADA, INSTALADO EM LOCAL COM NÍVEL BAIXO DE INTERFERÊNCIAS (NÃO INCLUI FORNECIMENTO). AF_05/2024</t>
  </si>
  <si>
    <t>ASSENTAMENTO DE TUBO DE PVC DEFOFO OU PRFV OU RPVC PARA REDE DE ÁGUA, DN 300 MM, JUNTA ELÁSTICA INTEGRADA, INSTALADO EM LOCAL COM NÍVEL BAIXO DE INTERFERÊNCIAS (NÃO INCLUI FORNECIMENTO). AF_05/2024</t>
  </si>
  <si>
    <t>ASSENTAMENTO DE TUBO DE PVC DEFOFO OU PRFV OU RPVC PARA REDE DE ÁGUA, DN 350 MM, JUNTA ELÁSTICA INTEGRADA, INSTALADO EM LOCAL COM NÍVEL BAIXO DE INTERFERÊNCIAS (NÃO INCLUI FORNECIMENTO). AF_05/2024</t>
  </si>
  <si>
    <t>ASSENTAMENTO DE TUBO DE PVC DEFOFO OU PRFV OU RPVC PARA REDE DE ÁGUA, DN 400 MM, JUNTA ELÁSTICA INTEGRADA, INSTALADO EM LOCAL COM NÍVEL BAIXO DE INTERFERÊNCIAS (NÃO INCLUI FORNECIMENTO). AF_05/2024</t>
  </si>
  <si>
    <t>ASSENTAMENTO DE TUBO DE PVC DEFOFO OU PRFV OU RPVC PARA REDE DE ÁGUA, DN 500 MM, JUNTA ELÁSTICA INTEGRADA, INSTALADO EM LOCAL COM NÍVEL BAIXO DE INTERFERÊNCIAS (NÃO INCLUI FORNECIMENTO). AF_05/2024</t>
  </si>
  <si>
    <t>74,64</t>
  </si>
  <si>
    <t>48,95</t>
  </si>
  <si>
    <t>3,91</t>
  </si>
  <si>
    <t>12,34</t>
  </si>
  <si>
    <t>44,10</t>
  </si>
  <si>
    <t>12,54</t>
  </si>
  <si>
    <t>24,69</t>
  </si>
  <si>
    <t>45,06</t>
  </si>
  <si>
    <t>PAREDE DE MADEIRA COMPENSADA PARA CONSTRUÇÃO TEMPORÁRIA EM CHAPA SIMPLES, EXTERNA, SEM VÃO. AF_03/2024</t>
  </si>
  <si>
    <t>PAREDE DE MADEIRA COMPENSADA PARA CONSTRUÇÃO TEMPORÁRIA EM CHAPA SIMPLES, INTERNA, SEM VÃO. AF_03/2024</t>
  </si>
  <si>
    <t>PAREDE DE MADEIRA COMPENSADA PARA CONSTRUÇÃO TEMPORÁRIA EM CHAPA SIMPLES, EXTERNA, COM ÁREA LÍQUIDA MAIOR OU IGUAL A 6 M², COM VÃO. AF_03/2024</t>
  </si>
  <si>
    <t>PAREDE DE MADEIRA COMPENSADA PARA CONSTRUÇÃO TEMPORÁRIA EM CHAPA SIMPLES, EXTERNA, COM ÁREA LÍQUIDA MENOR QUE 6 M², COM VÃO. AF_03/2024</t>
  </si>
  <si>
    <t>PAREDE DE MADEIRA COMPENSADA PARA CONSTRUÇÃO TEMPORÁRIA EM CHAPA SIMPLES, INTERNA, COM ÁREA LÍQUIDA MAIOR OU IGUAL A 6 M², COM VÃO. AF_03/2024</t>
  </si>
  <si>
    <t>PAREDE DE MADEIRA COMPENSADA PARA CONSTRUÇÃO TEMPORÁRIA EM CHAPA SIMPLES, INTERNA, COM ÁREA LÍQUIDA MENOR QUE 6 M², COM VÃO. AF_03/2024</t>
  </si>
  <si>
    <t>PAREDE DE MADEIRA COMPENSADA PARA CONSTRUÇÃO TEMPORÁRIA EM CHAPA DUPLA, EXTERNA, SEM VÃO. AF_03/2024</t>
  </si>
  <si>
    <t>PAREDE DE MADEIRA COMPENSADA PARA CONSTRUÇÃO TEMPORÁRIA EM CHAPA DUPLA, INTERNA, SEM VÃO. AF_03/2024</t>
  </si>
  <si>
    <t>PAREDE DE MADEIRA COMPENSADA PARA CONSTRUÇÃO TEMPORÁRIA EM CHAPA DUPLA, EXTERNA, COM ÁREA LÍQUIDA MAIOR OU IGUAL A QUE 6 M², COM VÃO. AF_03/2024</t>
  </si>
  <si>
    <t>PAREDE DE MADEIRA COMPENSADA PARA CONSTRUÇÃO TEMPORÁRIA EM CHAPA DUPLA, EXTERNA, COM ÁREA LÍQUIDA MENOR QUE 6 M², COM VÃO. AF_03/2024</t>
  </si>
  <si>
    <t>200,69</t>
  </si>
  <si>
    <t>PAREDE DE MADEIRA COMPENSADA PARA CONSTRUÇÃO TEMPORÁRIA EM CHAPA DUPLA, INTERNA, COM ÁREA LÍQUIDA MAIOR OU IGUAL A 6 M², COM VÃO. AF_03/2024</t>
  </si>
  <si>
    <t>134,34</t>
  </si>
  <si>
    <t>PAREDE DE MADEIRA COMPENSADA PARA CONSTRUÇÃO TEMPORÁRIA EM CHAPA DUPLA, INTERNA, COM ÁREA LÍQUIDA MENOR QUE 6 M², COM VÃO. AF_03/2024</t>
  </si>
  <si>
    <t>TAPUME COM COMPENSADO DE MADEIRA. AF_03/2024</t>
  </si>
  <si>
    <t>TAPUME COM TELHA METÁLICA. AF_03/2024</t>
  </si>
  <si>
    <t>PISO PARA CONSTRUÇÃO TEMPORÁRIA EM MADEIRA, SEM REAPROVEITAMENTO. AF_03/2024</t>
  </si>
  <si>
    <t>ESTRUTURA DE MADEIRA PROVISÓRIA PARA SUPORTE DE CAIXA DÁGUA ELEVADA DE 1000 LITROS. AF_03/2024</t>
  </si>
  <si>
    <t>ESTRUTURA DE MADEIRA PROVISÓRIA PARA SUPORTE DE CAIXA DÁGUA ELEVADA DE 3000 LITROS. AF_03/2024</t>
  </si>
  <si>
    <t>105113</t>
  </si>
  <si>
    <t>ESTRUTURA DE MADEIRA PROVISÓRIA PARA SUPORTE DE CAIXA D'ÁGUA ELEVADA DE 2000 LITROS. AF_03/2024</t>
  </si>
  <si>
    <t>105114</t>
  </si>
  <si>
    <t>EXECUÇÃO DOS APOIOS PARA CONTÊINER OU MÓDULO HABITÁVEL. AF_03/2024</t>
  </si>
  <si>
    <t>105115</t>
  </si>
  <si>
    <t>INSTALAÇÃO E DESINSTALAÇÃO MECANIZADA DE CONTÊINER OU MÓDULO HABITÁVEL DE USOS DIVERSOS. AF_03/2024</t>
  </si>
  <si>
    <t>105116</t>
  </si>
  <si>
    <t>INSTALAÇÃO E DESINSTALAÇÃO MANUAL DE CONTÊINER OU MÓDULO HABITÁVEL PEQUENO. AF_03/2024</t>
  </si>
  <si>
    <t>105126</t>
  </si>
  <si>
    <t>INSTALAÇÃO DE CONCERTINA SIMPLES, ESPIRAL DE 300 MM. AF_03/2024</t>
  </si>
  <si>
    <t>105127</t>
  </si>
  <si>
    <t>INSTALAÇÃO DE CONCERTINA DUPLA CLIPADA, ESPIRAL DE 300 MM. AF_03/2024</t>
  </si>
  <si>
    <t>105128</t>
  </si>
  <si>
    <t>INSTALAÇÃO DE CONCERTINA FLAT, ESPIRAL DE 300 MM. AF_03/2024</t>
  </si>
  <si>
    <t>105130</t>
  </si>
  <si>
    <t>EXECUÇÃO DE PILARETES PARA TAPUMES E CONSTRUÇÕES TEMPORÁRIAS. AF_03/2024</t>
  </si>
  <si>
    <t>28,19</t>
  </si>
  <si>
    <t>215,31</t>
  </si>
  <si>
    <t>212,36</t>
  </si>
  <si>
    <t>TANQUE DE ASFALTO ESTACIONÁRIO COM SERPENTINA, CAPACIDADE 30.000 L - CHP DIURNO. AF_05/2023</t>
  </si>
  <si>
    <t>21,75</t>
  </si>
  <si>
    <t>ESPARGIDOR DE ASFALTO PRESSURIZADO, TANQUE 6 M3 COM ISOLAÇÃO TÉRMICA, AQUECIDO COM 2 MAÇARICOS, COM BARRA ESPARGIDORA 3,60 M, MONTADO SOBRE CAMINHÃO  TOCO, PBT 14.300 KG, POTÊNCIA 185 CV - CHP DIURNO. AF_05/2023</t>
  </si>
  <si>
    <t>101,48</t>
  </si>
  <si>
    <t>BETONEIRA CAPACIDADE NOMINAL 400 L, CAPACIDADE DE MISTURA 310 L, MOTOR A DIESEL POTÊNCIA 5,0 HP, SEM CARREGADOR - CHP DIURNO. AF_05/2023</t>
  </si>
  <si>
    <t>MISTURADOR DE ARGAMASSA, EIXO HORIZONTAL, CAPACIDADE DE MISTURA 300 KG, MOTOR ELÉTRICO POTÊNCIA 5 CV - CHP DIURNO. AF_05/2023</t>
  </si>
  <si>
    <t>4,44</t>
  </si>
  <si>
    <t>MISTURADOR DE ARGAMASSA, EIXO HORIZONTAL, CAPACIDADE DE MISTURA 600 KG, MOTOR ELÉTRICO POTÊNCIA 7,5 CV - CHP DIURNO. AF_05/2023</t>
  </si>
  <si>
    <t>MISTURADOR DE ARGAMASSA, EIXO HORIZONTAL, CAPACIDADE DE MISTURA 160 KG, MOTOR ELÉTRICO POTÊNCIA 3 CV - CHP DIURNO. AF_05/2023</t>
  </si>
  <si>
    <t>BETONEIRA CAPACIDADE NOMINAL DE 400 L, CAPACIDADE DE MISTURA 280 L, MOTOR ELÉTRICO TRIFÁSICO POTÊNCIA DE 2 CV, SEM CARREGADOR - CHP DIURNO. AF_05/2023</t>
  </si>
  <si>
    <t>BOMBA SUBMERSÍVEL ELÉTRICA TRIFÁSICA, POTÊNCIA 2,96 HP, Ø ROTOR 144 MM SEMI-ABERTO, BOCAL DE SAÍDA Ø 2", HM/Q = 2 MCA / 38,8 M3/H A 28 MCA / 5 M3/H - CHP DIURNO. AF_06/2014</t>
  </si>
  <si>
    <t>TANQUE DE ASFALTO ESTACIONÁRIO COM MAÇARICO, CAPACIDADE 20.000 L - CHP DIURNO. AF_05/2023</t>
  </si>
  <si>
    <t>BETONEIRA CAPACIDADE NOMINAL DE 600 L, CAPACIDADE DE MISTURA 360 L, MOTOR ELÉTRICO TRIFÁSICO POTÊNCIA DE 4 CV, SEM CARREGADOR - CHP DIURNO. AF_05/2023</t>
  </si>
  <si>
    <t>BETONEIRA CAPACIDADE NOMINAL DE 600 L, CAPACIDADE DE MISTURA 440 L, MOTOR A DIESEL POTÊNCIA 10 HP, COM CARREGADOR - CHP DIURNO. AF_05/2023</t>
  </si>
  <si>
    <t>PROJETOR PNEUMÁTICO DE ARGAMASSA PARA CHAPISCO E REBOCO COM RECIPIENTE ACOPLADO, TIPO CANEQUINHA, COM COMPRESSOR DE AR REBOCÁVEL VAZÃO 89 PCM E MOTOR DIESEL DE 20 CV - CHP DIURNO. AF_05/2023</t>
  </si>
  <si>
    <t>MANIPULADOR TELESCÓPICO, POTÊNCIA DE 85 HP, CAPACIDADE DE CARGA DE 3.500 KG, ALTURA MÁXIMA DE ELEVAÇÃO DE 12,3 M - CHP DIURNO. AF_05/2023</t>
  </si>
  <si>
    <t>CAMINHÃO PARA EQUIPAMENTO DE LIMPEZA A SUCÇÃO, COM CAMINHÃO TRUCADO DE PESO BRUTO TOTAL 23000 KG, CARGA ÚTIL MÁXIMA 15935 KG, DISTÂNCIA ENTRE EIXOS 4,80 M, POTÊNCIA 230 CV, INCLUSIVE LIMPADORA A SUCÇÃO, TANQUE 12000 L - CHP DIURNO. AF_05/2023</t>
  </si>
  <si>
    <t>PENEIRA ROTATIVA COM MOTOR ELÉTRICO TRIFÁSICO DE 2 CV, CILINDRO DE 1 M X 0,60 M, COM FUROS DE 3,17 MM - CHP DIURNO. AF_05/2023</t>
  </si>
  <si>
    <t>DOSADOR DE AREIA, CAPACIDADE DE 26 LITROS - CHP DIURNO. AF_05/2023</t>
  </si>
  <si>
    <t>APARELHO PARA CORTE E SOLDA OXI-ACETILENO SOBRE RODAS, INCLUSIVE CILINDROS E MAÇARICOS - CHP DIURNO. AF_05/2023</t>
  </si>
  <si>
    <t>GRUA ASCENSIONAL, LANCA DE 30 M, CAPACIDADE DE 1,0 T A 30 M, ALTURA ATE 39 M - CHP DIURNO. AF_05/2023</t>
  </si>
  <si>
    <t>MÁQUINA JATO DE PRESSAO PORTÁTIL, CAMARA DE 1 SAIDA, CAPACIDADE 280 L, DIAMETRO 670 MM, BICO DE JATO CURTO VENTURI DE 5/16" , MANGUEIRA DE 1" COM COMPRESSOR DE AR REBOCÁVEL 189 PCM E MOTOR DIESEL 63 CV - CHP DIURNO. AF_05/2023</t>
  </si>
  <si>
    <t>USINA DE MISTURA ASFÁLTICA À QUENTE, TIPO CONTRA FLUXO, PROD 40 A 80 TON/HORA - CHP DIURNO. AF_05/2023</t>
  </si>
  <si>
    <t>USINA DE ASFALTO À FRIO, CAPACIDADE DE 40 A 60 TON/HORA, ELÉTRICA POTÊNCIA 30 CV - CHP DIURNO. AF_05/2023</t>
  </si>
  <si>
    <t>GRUA ASCENCIONAL, LANCA DE 42 M, CAPACIDADE DE 1,5 T A 30 M, ALTURA ATE 39 M - CHP DIURNO. AF_05/2023</t>
  </si>
  <si>
    <t>POLIDORA DE PISO (POLITRIZ), PESO DE 100KG, DIÂMETRO 450 MM, MOTOR ELÉTRICO, POTÊNCIA 4 HP - CHP DIURNO. AF_05/2023</t>
  </si>
  <si>
    <t>DESEMPENADEIRA DE CONCRETO, PESO DE 78 KG, 4 PÁS, MOTOR A GASOLINA, POTÊNCIA 5,5 HP - CHP DIURNO. AF_05/2023</t>
  </si>
  <si>
    <t>PERFURATRIZ SOBRE ESTEIRA, TORQUE MÁXIMO 600 KGF, POTÊNCIA ENTRE 50 E 60 HP, DIÂMETRO MÁXIMO 10" - CHP DIURNO. AF_11/2016</t>
  </si>
  <si>
    <t>4,07</t>
  </si>
  <si>
    <t>LAVADORA DE ALTA PRESSAO (LAVA-JATO) PARA AGUA FRIA, PRESSAO DE OPERACAO ENTRE 1400 E 1900 LIB/POL2, VAZAO MAXIMA ENTRE 400 E 700 L/H - CHP DIURNO. AF_05/2023</t>
  </si>
  <si>
    <t>GRADE DE DISCO CONTROLE REMOTO REBOCÁVEL, COM 24 DISCOS 24" X 6 MM COM PNEUS PARA TRANSPORTE - CHI DIURNO. AF_06/2014</t>
  </si>
  <si>
    <t>92,86</t>
  </si>
  <si>
    <t>67,41</t>
  </si>
  <si>
    <t>71,43</t>
  </si>
  <si>
    <t>TANQUE DE ASFALTO ESTACIONÁRIO COM SERPENTINA, CAPACIDADE 30.000 L - CHI DIURNO. AF_05/2023</t>
  </si>
  <si>
    <t>43,40</t>
  </si>
  <si>
    <t>BETONEIRA CAPACIDADE NOMINAL 400 L, CAPACIDADE DE MISTURA 310 L, MOTOR A DIESEL POTÊNCIA 5,0 HP, SEM CARREGADOR - CHI DIURNO. AF_05/2023</t>
  </si>
  <si>
    <t>MISTURADOR DE ARGAMASSA, EIXO HORIZONTAL, CAPACIDADE DE MISTURA 300 KG, MOTOR ELÉTRICO POTÊNCIA 5 CV - CHI DIURNO. AF_05/2023</t>
  </si>
  <si>
    <t>MISTURADOR DE ARGAMASSA, EIXO HORIZONTAL, CAPACIDADE DE MISTURA 600 KG, MOTOR ELÉTRICO POTÊNCIA 7,5 CV - CHI DIURNO. AF_05/2023</t>
  </si>
  <si>
    <t>MISTURADOR DE ARGAMASSA, EIXO HORIZONTAL, CAPACIDADE DE MISTURA 160 KG, MOTOR ELÉTRICO POTÊNCIA 3 CV - CHI DIURNO. AF_05/2023</t>
  </si>
  <si>
    <t>BETONEIRA CAPACIDADE NOMINAL DE 400 L, CAPACIDADE DE MISTURA 280 L, MOTOR ELÉTRICO TRIFÁSICO POTÊNCIA DE 2 CV, SEM CARREGADOR - CHI DIURNO. AF_05/2023</t>
  </si>
  <si>
    <t>BOMBA SUBMERSÍVEL ELÉTRICA TRIFÁSICA, POTÊNCIA 2,96 HP, Ø ROTOR 144 MM SEMI-ABERTO, BOCAL DE SAÍDA Ø 2", HM/Q = 2 MCA / 38,8 M3/H A 28 MCA / 5 M3/H - CHI DIURNO. AF_06/2014</t>
  </si>
  <si>
    <t>TANQUE DE ASFALTO ESTACIONÁRIO COM MAÇARICO, CAPACIDADE 20.000 L - CHI DIURNO. AF_05/2023</t>
  </si>
  <si>
    <t>79,80</t>
  </si>
  <si>
    <t>53,13</t>
  </si>
  <si>
    <t>BETONEIRA CAPACIDADE NOMINAL DE 600 L, CAPACIDADE DE MISTURA 360 L, MOTOR ELÉTRICO TRIFÁSICO POTÊNCIA DE 4 CV, SEM CARREGADOR - CHI DIURNO. AF_05/2023</t>
  </si>
  <si>
    <t>BETONEIRA CAPACIDADE NOMINAL DE 600 L, CAPACIDADE DE MISTURA 440 L, MOTOR A DIESEL POTÊNCIA 10 HP, COM CARREGADOR - CHI DIURNO. AF_05/2023</t>
  </si>
  <si>
    <t>83,88</t>
  </si>
  <si>
    <t>PROJETOR PNEUMÁTICO DE ARGAMASSA PARA CHAPISCO E REBOCO COM RECIPIENTE ACOPLADO, TIPO CANEQUINHA, COM COMPRESSOR DE AR REBOCÁVEL VAZÃO 89 PCM E MOTOR DIESEL DE 20 CV - CHI DIURNO. AF_05/2023</t>
  </si>
  <si>
    <t>9,03</t>
  </si>
  <si>
    <t>MANIPULADOR TELESCÓPICO, POTÊNCIA DE 85 HP, CAPACIDADE DE CARGA DE 3.500 KG, ALTURA MÁXIMA DE ELEVAÇÃO DE 12,3 M - CHI DIURNO. AF_05/2023</t>
  </si>
  <si>
    <t>64,79</t>
  </si>
  <si>
    <t>ESPARGIDOR DE ASFALTO PRESSURIZADO, TANQUE 6 M3 COM ISOLAÇÃO TÉRMICA, AQUECIDO COM 2 MAÇARICOS, COM BARRA ESPARGIDORA 3,60 M, MONTADO SOBRE CAMINHÃO  TOCO, PBT 14.300 KG, POTÊNCIA 185 CV - CHI DIURNO. AF_05/2023</t>
  </si>
  <si>
    <t>CAMINHÃO PARA EQUIPAMENTO DE LIMPEZA A SUCÇÃO COM CAMINHÃO TRUCADO DE PESO BRUTO TOTAL 23000 KG, CARGA ÚTIL MÁXIMA 15935 KG, DISTÂNCIA ENTRE EIXOS 4,80 M, POTÊNCIA 230 CV, INCLUSIVE LIMPADORA A SUCÇÃO, TANQUE 12000 L - CHI DIURNO. AF_05/2023</t>
  </si>
  <si>
    <t>91,67</t>
  </si>
  <si>
    <t>PENEIRA ROTATIVA COM MOTOR ELÉTRICO TRIFÁSICO DE 2 CV, CILINDRO DE 1 M X 0,60 M, COM FUROS DE 3,17 MM - CHI DIURNO. AF_05/2023</t>
  </si>
  <si>
    <t>DOSADOR DE AREIA, CAPACIDADE DE 26 LITROS - CHI DIURNO. AF_05/2023</t>
  </si>
  <si>
    <t>APARELHO PARA CORTE E SOLDA OXI-ACETILENO SOBRE RODAS, INCLUSIVE CILINDROS E MAÇARICOS - CHI DIURNO. AF_05/2023</t>
  </si>
  <si>
    <t>27,27</t>
  </si>
  <si>
    <t>GRUA ASCENSIONAL, LANÇA DE 30 M, CAPACIDADE DE 1,0 T A 30 M, ALTURA ATÉ 39 M - CHI DIURNO. AF_05/2023</t>
  </si>
  <si>
    <t>27,60</t>
  </si>
  <si>
    <t>MÁQUINA JATO DE PRESSAO PORTÁTIL, CAMARA DE 1 SAIDA, CAPACIDADE 280 L, DIAMETRO 670 MM, BICO DE JATO CURTO VENTURI DE 5/16" , MANGUEIRA DE 1" COM COMPRESSOR DE AR REBOCÁVEL 189 PCM E MOTOR DIESEL 63 CV - CHI DIURNO. AF_05/2023</t>
  </si>
  <si>
    <t>32,16</t>
  </si>
  <si>
    <t>USINA DE MISTURA ASFÁLTICA À QUENTE, TIPO CONTRA FLUXO, PROD 40 A 80 TON/HORA - CHI DIURNO. AF_05/2023</t>
  </si>
  <si>
    <t>USINA DE ASFALTO À FRIO, CAPACIDADE DE 40 A 60 TON/HORA, ELÉTRICA POTÊNCIA 30 CV - CHI DIURNO. AF_05/2023</t>
  </si>
  <si>
    <t>GRUA ASCENCIONAL, LANÇA DE 42 M, CAPACIDADE DE 1,5 T A 30 M, ALTURA ATÉ 39 M - CHI DIURNO. AF_05/2023</t>
  </si>
  <si>
    <t>88,68</t>
  </si>
  <si>
    <t>POLIDORA DE PISO (POLITRIZ), PESO DE 100KG, DIÂMETRO 450 MM, MOTOR ELÉTRICO, POTÊNCIA 4 HP - CHI DIURNO. AF_05/2023</t>
  </si>
  <si>
    <t>DESEMPENADEIRA DE CONCRETO, PESO DE 78 KG, 4 PÁS, MOTOR A GASOLINA, POTÊNCIA 5,5 HP - CHI DIURNO. AF_05/2023</t>
  </si>
  <si>
    <t>PERFURATRIZ SOBRE ESTEIRA, TORQUE MÁXIMO 600 KGF, POTÊNCIA ENTRE 50 E 60 HP, DIÂMETRO MÁXIMO 10" - CHI DIURNO. AF_11/2016</t>
  </si>
  <si>
    <t>13,75</t>
  </si>
  <si>
    <t>57,60</t>
  </si>
  <si>
    <t>LAVADORA DE ALTA PRESSAO (LAVA-JATO) PARA AGUA FRIA, PRESSAO DE OPERACAO ENTRE 1400 E 1900 LIB/POL2, VAZAO MAXIMA ENTRE 400 E 700 L/H - CHI DIURNO. AF_05/2023</t>
  </si>
  <si>
    <t>GRADE DE DISCO CONTROLE REMOTO REBOCÁVEL, COM 24 DISCOS 24" X 6 MM COM PNEUS PARA TRANSPORTE - MANUTENÇÃO. AF_06/2014</t>
  </si>
  <si>
    <t>34,82</t>
  </si>
  <si>
    <t>30,97</t>
  </si>
  <si>
    <t>45,27</t>
  </si>
  <si>
    <t>39,69</t>
  </si>
  <si>
    <t>104,96</t>
  </si>
  <si>
    <t>33,60</t>
  </si>
  <si>
    <t>41,25</t>
  </si>
  <si>
    <t>43,33</t>
  </si>
  <si>
    <t>54,23</t>
  </si>
  <si>
    <t>51,62</t>
  </si>
  <si>
    <t>83,59</t>
  </si>
  <si>
    <t>6,64</t>
  </si>
  <si>
    <t>BOMBA SUBMERSÍVEL ELÉTRICA TRIFÁSICA, POTÊNCIA 2,96 HP, Ø ROTOR 144 MM SEMI-ABERTO, BOCAL DE SAÍDA Ø 2", HM/Q = 2 MCA / 38,8 M3/H A 28 MCA / 5 M3/H - MANUTENÇÃO. AF_06/2014</t>
  </si>
  <si>
    <t>TANQUE DE ASFALTO ESTACIONÁRIO COM SERPENTINA, CAPACIDADE 30.000 L - DEPRECIAÇÃO. AF_05/2023</t>
  </si>
  <si>
    <t>TANQUE DE ASFALTO ESTACIONÁRIO COM SERPENTINA, CAPACIDADE 30.000 L - JUROS. AF_05/2023</t>
  </si>
  <si>
    <t>TANQUE DE ASFALTO ESTACIONÁRIO COM SERPENTINA, CAPACIDADE 30.000 L - MANUTENÇÃO. AF_05/2023</t>
  </si>
  <si>
    <t>TANQUE DE ASFALTO ESTACIONÁRIO COM SERPENTINA, CAPACIDADE 30.000 L - MATERIAIS NA OPERAÇÃO. AF_05/2023</t>
  </si>
  <si>
    <t>62,03</t>
  </si>
  <si>
    <t>72,39</t>
  </si>
  <si>
    <t>238,57</t>
  </si>
  <si>
    <t>65,03</t>
  </si>
  <si>
    <t>BOMBA SUBMERSÍVEL ELÉTRICA TRIFÁSICA, POTÊNCIA 2,96 HP, Ø ROTOR 144 MM SEMI-ABERTO, BOCAL DE SAÍDA Ø 2", HM/Q = 2 MCA / 38,8 M3/H A 28 MCA / 5 M3/H - MATERIAIS NA OPERAÇÃO. AF_06/2014</t>
  </si>
  <si>
    <t>36,88</t>
  </si>
  <si>
    <t>32,97</t>
  </si>
  <si>
    <t>42,81</t>
  </si>
  <si>
    <t>49,58</t>
  </si>
  <si>
    <t>BETONEIRA CAPACIDADE NOMINAL 400 L, CAPACIDADE DE MISTURA 310 L, MOTOR A DIESEL POTÊNCIA 5,0 CV, SEM CARREGADOR - DEPRECIAÇÃO. AF_05/2023</t>
  </si>
  <si>
    <t>BETONEIRA CAPACIDADE NOMINAL 400 L, CAPACIDADE DE MISTURA 310 L, MOTOR A DIESEL POTÊNCIA 5,0 CV, SEM CARREGADOR - JUROS. AF_05/2023</t>
  </si>
  <si>
    <t>BETONEIRA CAPACIDADE NOMINAL 400 L, CAPACIDADE DE MISTURA 310 L, MOTOR A DIESEL POTÊNCIA 5,0 CV, SEM CARREGADOR - MANUTENÇÃO. AF_05/2023</t>
  </si>
  <si>
    <t>BETONEIRA CAPACIDADE NOMINAL 400 L, CAPACIDADE DE MISTURA 310 L, MOTOR A DIESEL POTÊNCIA 5,0 CV, SEM CARREGADOR - MATERIAIS NA OPERAÇÃO. AF_05/2023</t>
  </si>
  <si>
    <t>MISTURADOR DE ARGAMASSA, EIXO HORIZONTAL, CAPACIDADE DE MISTURA 300 KG, MOTOR ELÉTRICO POTÊNCIA 5 CV - DEPRECIAÇÃO. AF_05/2023</t>
  </si>
  <si>
    <t>MISTURADOR DE ARGAMASSA, EIXO HORIZONTAL, CAPACIDADE DE MISTURA 300 KG, MOTOR ELÉTRICO POTÊNCIA 5 CV - JUROS. AF_05/2023</t>
  </si>
  <si>
    <t>MISTURADOR DE ARGAMASSA, EIXO HORIZONTAL, CAPACIDADE DE MISTURA 300 KG, MOTOR ELÉTRICO POTÊNCIA 5 CV - MANUTENÇÃO. AF_05/2023</t>
  </si>
  <si>
    <t>MISTURADOR DE ARGAMASSA, EIXO HORIZONTAL, CAPACIDADE DE MISTURA 300 KG, MOTOR ELÉTRICO POTÊNCIA 5 CV - MATERIAIS NA OPERAÇÃO. AF_05/2023</t>
  </si>
  <si>
    <t>MISTURADOR DE ARGAMASSA, EIXO HORIZONTAL, CAPACIDADE DE MISTURA 600 KG, MOTOR ELÉTRICO POTÊNCIA 7,5 CV - DEPRECIAÇÃO. AF_05/2023</t>
  </si>
  <si>
    <t>MISTURADOR DE ARGAMASSA, EIXO HORIZONTAL, CAPACIDADE DE MISTURA 600 KG, MOTOR ELÉTRICO POTÊNCIA 7,5 CV - JUROS. AF_05/2023</t>
  </si>
  <si>
    <t>MISTURADOR DE ARGAMASSA, EIXO HORIZONTAL, CAPACIDADE DE MISTURA 600 KG, MOTOR ELÉTRICO POTÊNCIA 7,5 CV - MANUTENÇÃO. AF_05/2023</t>
  </si>
  <si>
    <t>MISTURADOR DE ARGAMASSA, EIXO HORIZONTAL, CAPACIDADE DE MISTURA 600 KG, MOTOR ELÉTRICO POTÊNCIA 7,5 CV - MATERIAIS NA OPERAÇÃO. AF_05/2023</t>
  </si>
  <si>
    <t>MISTURADOR DE ARGAMASSA, EIXO HORIZONTAL, CAPACIDADE DE MISTURA 160 KG, MOTOR ELÉTRICO POTÊNCIA 3 CV - DEPRECIAÇÃO. AF_05/2023</t>
  </si>
  <si>
    <t>MISTURADOR DE ARGAMASSA, EIXO HORIZONTAL, CAPACIDADE DE MISTURA 160 KG, MOTOR ELÉTRICO POTÊNCIA 3 CV - JUROS. AF_05/2023</t>
  </si>
  <si>
    <t>MISTURADOR DE ARGAMASSA, EIXO HORIZONTAL, CAPACIDADE DE MISTURA 160 KG, MOTOR ELÉTRICO POTÊNCIA 3 CV - MANUTENÇÃO. AF_05/2023</t>
  </si>
  <si>
    <t>MISTURADOR DE ARGAMASSA, EIXO HORIZONTAL, CAPACIDADE DE MISTURA 160 KG, MOTOR ELÉTRICO POTÊNCIA 3 CV - MATERIAIS NA OPERAÇÃO. AF_05/2023</t>
  </si>
  <si>
    <t>7,93</t>
  </si>
  <si>
    <t>BETONEIRA CAPACIDADE NOMINAL DE 400 L, CAPACIDADE DE MISTURA 280 L, MOTOR ELÉTRICO TRIFÁSICO POTÊNCIA DE 2 CV, SEM CARREGADOR - DEPRECIAÇÃO. AF_05/2023</t>
  </si>
  <si>
    <t>BETONEIRA CAPACIDADE NOMINAL DE 400 L, CAPACIDADE DE MISTURA 280 L, MOTOR ELÉTRICO TRIFÁSICO POTÊNCIA DE 2 CV, SEM CARREGADOR - JUROS. AF_05/2023</t>
  </si>
  <si>
    <t>BETONEIRA CAPACIDADE NOMINAL DE 400 L, CAPACIDADE DE MISTURA 280 L, MOTOR ELÉTRICO TRIFÁSICO POTÊNCIA DE 2 CV, SEM CARREGADOR - MANUTENÇÃO. AF_05/2023</t>
  </si>
  <si>
    <t>BETONEIRA CAPACIDADE NOMINAL DE 400 L, CAPACIDADE DE MISTURA 280 L, MOTOR ELÉTRICO TRIFÁSICO POTÊNCIA DE 2 CV, SEM CARREGADOR - MATERIAIS NA OPERAÇÃO. AF_05/2023</t>
  </si>
  <si>
    <t>32,89</t>
  </si>
  <si>
    <t>GRADE DE DISCO CONTROLE REMOTO REBOCÁVEL, COM 24 DISCOS 24" X 6 MM COM PNEUS PARA TRANSPORTE - DEPRECIAÇÃO. AF_06/2014</t>
  </si>
  <si>
    <t>GRADE DE DISCO CONTROLE REMOTO REBOCÁVEL, COM 24 DISCOS 24" X 6 MM COM PNEUS PARA TRANSPORTE - JUROS. AF_06/2014</t>
  </si>
  <si>
    <t>17,94</t>
  </si>
  <si>
    <t>BOMBA SUBMERSÍVEL ELÉTRICA TRIFÁSICA, POTÊNCIA 2,96 HP, Ø ROTOR 144 MM SEMI-ABERTO, BOCAL DE SAÍDA Ø 2", HM/Q = 2 MCA / 38,8 M3/H A 28 MCA / 5 M3/H - DEPRECIAÇÃO. AF_06/2014</t>
  </si>
  <si>
    <t>BOMBA SUBMERSÍVEL ELÉTRICA TRIFÁSICA, POTÊNCIA 2,96 HP, Ø ROTOR 144 MM SEMI-ABERTO, BOCAL DE SAÍDA Ø 2", HM/Q = 2 MCA / 38,8 M3/H A 28 MCA / 5 M3/H - JUROS. AF_06/2014</t>
  </si>
  <si>
    <t>TANQUE DE ASFALTO ESTACIONÁRIO COM MAÇARICO, CAPACIDADE 20.000 L - DEPRECIAÇÃO. AF_05/2023</t>
  </si>
  <si>
    <t>3,58</t>
  </si>
  <si>
    <t>TANQUE DE ASFALTO ESTACIONÁRIO COM MAÇARICO, CAPACIDADE 20.000 L - JUROS. AF_05/2023</t>
  </si>
  <si>
    <t>1,32</t>
  </si>
  <si>
    <t>TANQUE DE ASFALTO ESTACIONÁRIO COM MAÇARICO, CAPACIDADE 20.000 L - MANUTENÇÃO. AF_05/2023</t>
  </si>
  <si>
    <t>TANQUE DE ASFALTO ESTACIONÁRIO COM MAÇARICO, CAPACIDADE 20.000 L - MATERIAIS NA OPERAÇÃO. AF_05/2023</t>
  </si>
  <si>
    <t>31,42</t>
  </si>
  <si>
    <t>37,52</t>
  </si>
  <si>
    <t>BETONEIRA CAPACIDADE NOMINAL DE 600 L, CAPACIDADE DE MISTURA 360 L, MOTOR ELÉTRICO TRIFÁSICO POTÊNCIA DE 4 CV, SEM CARREGADOR - DEPRECIAÇÃO. AF_05/2023</t>
  </si>
  <si>
    <t>BETONEIRA CAPACIDADE NOMINAL DE 600 L, CAPACIDADE DE MISTURA 360 L, MOTOR ELÉTRICO TRIFÁSICO POTÊNCIA DE 4 CV, SEM CARREGADOR - JUROS. AF_05/2023</t>
  </si>
  <si>
    <t>BETONEIRA CAPACIDADE NOMINAL DE 600 L, CAPACIDADE DE MISTURA 360 L, MOTOR ELÉTRICO TRIFÁSICO POTÊNCIA DE 4 CV, SEM CARREGADOR - MANUTENÇÃO. AF_05/2023</t>
  </si>
  <si>
    <t>BETONEIRA CAPACIDADE NOMINAL DE 600 L, CAPACIDADE DE MISTURA 360 L, MOTOR ELÉTRICO TRIFÁSICO POTÊNCIA DE 4 CV, SEM CARREGADOR - MATERIAIS NA OPERAÇÃO. AF_05/2023</t>
  </si>
  <si>
    <t>52,00</t>
  </si>
  <si>
    <t>125,55</t>
  </si>
  <si>
    <t>38,44</t>
  </si>
  <si>
    <t>83,74</t>
  </si>
  <si>
    <t>27,32</t>
  </si>
  <si>
    <t>46,24</t>
  </si>
  <si>
    <t>83,94</t>
  </si>
  <si>
    <t>BETONEIRA CAPACIDADE NOMINAL DE 600 L, CAPACIDADE DE MISTURA 440 L, MOTOR A DIESEL POTÊNCIA 10 CV, COM CARREGADOR - DEPRECIAÇÃO. AF_05/2023</t>
  </si>
  <si>
    <t>BETONEIRA CAPACIDADE NOMINAL DE 600 L, CAPACIDADE DE MISTURA 440 L, MOTOR A DIESEL POTÊNCIA 10 CV, COM CARREGADOR - JUROS. AF_05/2023</t>
  </si>
  <si>
    <t>BETONEIRA CAPACIDADE NOMINAL DE 600 L, CAPACIDADE DE MISTURA 440 L, MOTOR A DIESEL POTÊNCIA 10 CV, COM CARREGADOR - MANUTENÇÃO. AF_05/2023</t>
  </si>
  <si>
    <t>BETONEIRA CAPACIDADE NOMINAL DE 600 L, CAPACIDADE DE MISTURA 440 L, MOTOR A DIESEL POTÊNCIA 10 CV, COM CARREGADOR - MATERIAIS NA OPERAÇÃO. AF_05/2023</t>
  </si>
  <si>
    <t>12,84</t>
  </si>
  <si>
    <t>3,68</t>
  </si>
  <si>
    <t>4,19</t>
  </si>
  <si>
    <t>PROJETOR PNEUMÁTICO DE ARGAMASSA PARA CHAPISCO E REBOCO COM RECIPIENTE ACOPLADO, TIPO CANEQUINHA, COM COMPRESSOR DE AR REBOCÁVEL VAZÃO 89 PCM E MOTOR DIESEL DE 20 CV - DEPRECIAÇÃO. AF_05/2023</t>
  </si>
  <si>
    <t>PROJETOR PNEUMÁTICO DE ARGAMASSA PARA CHAPISCO E REBOCO COM RECIPIENTE ACOPLADO, TIPO CANEQUINHA, COM COMPRESSOR DE AR REBOCÁVEL VAZÃO 89 PCM E MOTOR DIESEL DE 20 CV - JUROS. AF_05/2023</t>
  </si>
  <si>
    <t>PROJETOR PNEUMÁTICO DE ARGAMASSA PARA CHAPISCO E REBOCO COM RECIPIENTE ACOPLADO, TIPO CANEQUINHA, COM COMPRESSOR DE AR REBOCÁVEL VAZÃO 89 PCM E MOTOR DIESEL DE 20 CV - MANUTENÇÃO. AF_05/2023</t>
  </si>
  <si>
    <t>PROJETOR PNEUMÁTICO DE ARGAMASSA PARA CHAPISCO E REBOCO COM RECIPIENTE ACOPLADO, TIPO CANEQUINHA, COM COMPRESSOR DE AR REBOCÁVEL VAZÃO 89 PCM E MOTOR DIESEL DE 20 CV - MATERIAIS NA OPERAÇÃO. AF_05/2023</t>
  </si>
  <si>
    <t>118,14</t>
  </si>
  <si>
    <t>106,68</t>
  </si>
  <si>
    <t>MANIPULADOR TELESCÓPICO, POTÊNCIA DE 85 HP, CAPACIDADE DE CARGA DE 3.500 KG, ALTURA MÁXIMA DE ELEVAÇÃO DE 12,3 M - DEPRECIAÇÃO. AF_05/2023</t>
  </si>
  <si>
    <t>MANIPULADOR TELESCÓPICO, POTÊNCIA DE 85 HP, CAPACIDADE DE CARGA DE 3.500 KG, ALTURA MÁXIMA DE ELEVAÇÃO DE 12,3 M - JUROS. AF_05/2023</t>
  </si>
  <si>
    <t>MANIPULADOR TELESCÓPICO, POTÊNCIA DE 85 HP, CAPACIDADE DE CARGA DE 3.500 KG, ALTURA MÁXIMA DE ELEVAÇÃO DE 12,3 M - MANUTENÇÃO. AF_05/2023</t>
  </si>
  <si>
    <t>31,57</t>
  </si>
  <si>
    <t>MANIPULADOR TELESCÓPICO, POTÊNCIA DE 85 HP, CAPACIDADE DE CARGA DE 3.500 KG, ALTURA MÁXIMA DE ELEVAÇÃO DE 12,3 M - MATERIAIS NA OPERAÇÃO. AF_05/2023</t>
  </si>
  <si>
    <t>56,21</t>
  </si>
  <si>
    <t>4,86</t>
  </si>
  <si>
    <t>39,36</t>
  </si>
  <si>
    <t>14,77</t>
  </si>
  <si>
    <t>7,11</t>
  </si>
  <si>
    <t>3,24</t>
  </si>
  <si>
    <t>7,95</t>
  </si>
  <si>
    <t>7,61</t>
  </si>
  <si>
    <t>4,54</t>
  </si>
  <si>
    <t>ESPARGIDOR DE ASFALTO PRESSURIZADO, TANQUE 6 M3 COM ISOLAÇÃO TÉRMICA, AQUECIDO COM 2 MAÇARICOS, COM BARRA ESPARGIDORA 3,60 M, MONTADO SOBRE CAMINHÃO  TOCO, PBT 14.300 KG, POTÊNCIA 185 CV - DEPRECIAÇÃO. AF_05/2023</t>
  </si>
  <si>
    <t>22,79</t>
  </si>
  <si>
    <t>ESPARGIDOR DE ASFALTO PRESSURIZADO, TANQUE 6 M3 COM ISOLAÇÃO TÉRMICA, AQUECIDO COM 2 MAÇARICOS, COM BARRA ESPARGIDORA 3,60 M, MONTADO SOBRE CAMINHÃO  TOCO, PBT 14.300 KG, POTÊNCIA 185 CV - JUROS. AF_05/2023</t>
  </si>
  <si>
    <t>9,97</t>
  </si>
  <si>
    <t>ESPARGIDOR DE ASFALTO PRESSURIZADO, TANQUE 6 M3 COM ISOLAÇÃO TÉRMICA, AQUECIDO COM 2 MAÇARICOS, COM BARRA ESPARGIDORA 3,60 M, MONTADO SOBRE CAMINHÃO  TOCO, PBT 14.300 KG, POTÊNCIA 185 CV - IMPOSTOS E SEGUROS. AF_05/2023</t>
  </si>
  <si>
    <t>ESPARGIDOR DE ASFALTO PRESSURIZADO, TANQUE 6 M3 COM ISOLAÇÃO TÉRMICA, AQUECIDO COM 2 MAÇARICOS, COM BARRA ESPARGIDORA 3,60 M, MONTADO SOBRE CAMINHÃO  TOCO, PBT 14.300 KG, POTÊNCIA 185 CV - MATERIAIS NA OPERAÇÃO. AF_05/2023</t>
  </si>
  <si>
    <t>6,61</t>
  </si>
  <si>
    <t>CAMINHÃO PARA EQUIPAMENTO DE LIMPEZA A SUCÇÃO COM CAMINHÃO TRUCADO DE PESO BRUTO TOTAL 23000 KG, CARGA ÚTIL MÁXIMA 15935 KG, DISTÂNCIA ENTRE EIXOS 4,80 M, POTÊNCIA 230 CV, INCLUSIVE LIMPADORA A SUCÇÃO, TANQUE 12000 L - DEPRECIAÇÃO. AF_05/2023</t>
  </si>
  <si>
    <t>CAMINHÃO PARA EQUIPAMENTO DE LIMPEZA A SUCÇÃO COM CAMINHÃO TRUCADO DE PESO BRUTO TOTAL 23000 KG, CARGA ÚTIL MÁXIMA 15935 KG, DISTÂNCIA ENTRE EIXOS 4,80 M, POTÊNCIA 230 CV, INCLUSIVE LIMPADORA A SUCÇÃO, TANQUE 12000 L - JUROS. AF_05/2023</t>
  </si>
  <si>
    <t>CAMINHÃO PARA EQUIPAMENTO DE LIMPEZA A SUCÇÃO COM CAMINHÃO TRUCADO DE PESO BRUTO TOTAL 23000 KG, CARGA ÚTIL MÁXIMA 15935 KG, DISTÂNCIA ENTRE EIXOS 4,80 M, POTÊNCIA 230 CV, INCLUSIVE LIMPADORA A SUCÇÃO, TANQUE 12000 L - IMPOSTOS E SEGUROS. AF_05/2023</t>
  </si>
  <si>
    <t>CAMINHÃO PARA EQUIPAMENTO DE LIMPEZA A SUCÇÃO COM CAMINHÃO TRUCADO DE PESO BRUTO TOTAL 23000 KG, CARGA ÚTIL MÁXIMA 15935 KG, DISTÂNCIA ENTRE EIXOS 4,80 M, POTÊNCIA 230 CV, INCLUSIVE LIMPADORA A SUCÇÃO, TANQUE 12000 L - MANUTENÇÃO. AF_05/2023</t>
  </si>
  <si>
    <t>CAMINHÃO PARA EQUIPAMENTO DE LIMPEZA A SUCÇÃO COM CAMINHÃO TRUCADO DE PESO BRUTO TOTAL 23000 KG, CARGA ÚTIL MÁX. 15935 KG, DISTÂNCIA ENTRE EIXOS 4,80 M, POTÊNCIA 230 CV, INCLUSIVE LIMPADORA A SUCÇÃO, TANQUE 12000 L - MATERIAIS NA OPERAÇÃO. AF_05/2023</t>
  </si>
  <si>
    <t>PENEIRA ROTATIVA COM MOTOR ELÉTRICO TRIFÁSICO DE 2 CV, CILINDRO DE 1 M X 0,60 M, COM FUROS DE 3,17 MM - DEPRECIAÇÃO. AF_05/2023</t>
  </si>
  <si>
    <t>PENEIRA ROTATIVA COM MOTOR ELÉTRICO TRIFÁSICO DE 2 CV, CILINDRO DE 1 M X 0,60 M, COM FUROS DE 3,17 MM - JUROS. AF_05/2023</t>
  </si>
  <si>
    <t>PENEIRA ROTATIVA COM MOTOR ELÉTRICO TRIFÁSICO DE 2 CV, CILINDRO DE 1 M X 0,60 M, COM FUROS DE 3,17 MM - MANUTENÇÃO. AF_05/2023</t>
  </si>
  <si>
    <t>PENEIRA ROTATIVA COM MOTOR ELÉTRICO TRIFÁSICO DE 2 CV, CILINDRO DE 1 M X 0,60 M, COM FUROS DE 3,17 MM - MATERIAIS NA OPERAÇÃO. AF_05/2023</t>
  </si>
  <si>
    <t>DOSADOR DE AREIA, CAPACIDADE DE 26 LITROS - DEPRECIAÇÃO. AF_05/2023</t>
  </si>
  <si>
    <t>DOSADOR DE AREIA, CAPACIDADE DE 26 LITROS - JUROS. AF_05/2023</t>
  </si>
  <si>
    <t>DOSADOR DE AREIA, CAPACIDADE DE 26 LITROS - MANUTENÇÃO. AF_05/2023</t>
  </si>
  <si>
    <t>12,86</t>
  </si>
  <si>
    <t>11,89</t>
  </si>
  <si>
    <t>APARELHO PARA CORTE E SOLDA OXI-ACETILENO SOBRE RODAS, INCLUSIVE CILINDROS E MAÇARICOS - DEPRECIAÇÃO. AF_05/2023</t>
  </si>
  <si>
    <t>APARELHO PARA CORTE E SOLDA OXI-ACETILENO SOBRE RODAS, INCLUSIVE CILINDROS E MAÇARICOS - JUROS. AF_05/2023</t>
  </si>
  <si>
    <t>APARELHO PARA CORTE E SOLDA OXI-ACETILENO SOBRE RODAS, INCLUSIVE CILINDROS E MAÇARICOS - MANUTENÇÃO. AF_05/2023</t>
  </si>
  <si>
    <t>APARELHO PARA CORTE E SOLDA OXI-ACETILENO SOBRE RODAS, INCLUSIVE CILINDROS E MAÇARICOS - MATERIAIS NA OPERAÇÃO. AF_05/2023</t>
  </si>
  <si>
    <t>PERFURATRIZ COM TORRE METÁLICA PARA EXECUÇÃO DE ESTACA HÉLICE CONTÍNUA, PROFUNDIDADE MÁXIMA DE 32 M, DIÂMETRO MÁXIMO DE 1000 MM, POTÊNCIA INSTALADA DE 350 HP, MESA ROTATIVA COM TORQUE MÁXIMO DE 263 KNM - MATERIAIS NA OPERAÇÃO. AF_01/2016</t>
  </si>
  <si>
    <t>GRUA ASCENCIONAL, LANÇA DE 30 M, CAPACIDADE DE 1,0 T A 30 M, ALTURA ATÉ 39 M   DEPRECIAÇÃO. AF_05/2023</t>
  </si>
  <si>
    <t>GRUA ASCENCIONAL, LANÇA DE 30 M, CAPACIDADE DE 1,0 T A 30 M, ALTURA ATÉ 39 M   JUROS. AF_05/2023</t>
  </si>
  <si>
    <t>GRUA ASCENCIONAL, LANÇA DE 30 M, CAPACIDADE DE 1,0 T A 30 M, ALTURA ATÉ 39 M   MANUTENÇÃO. AF_05/2023</t>
  </si>
  <si>
    <t>GRUA ASCENCIONAL, LANÇA DE 30 M, CAPACIDADE DE 1,0 T A 30 M, ALTURA ATÉ 39 M   MATERIAIS NA OPERAÇÃO. AF_05/2023</t>
  </si>
  <si>
    <t>100,42</t>
  </si>
  <si>
    <t>35,39</t>
  </si>
  <si>
    <t>GUINDAUTO HIDRÁULICO, CAPACIDADE MÁXIMA DE CARGA 3300 KG, MOMENTO MÁXIMO DE CARGA 5,8 TM, ALCANCE MÁXIMO HORIZONTAL 7,60 M, INCLUSIVE CAMINHÃO TOCO PBT 16.000 KG, POTÊNCIA DE 189 CV - IMPOSTOS E SEGUROS. AF_03/2016</t>
  </si>
  <si>
    <t>43,35</t>
  </si>
  <si>
    <t>MÁQUINA JATO DE PRESSAO PORTÁTIL, CAMARA DE 1 SAIDA, CAPACIDADE 280 L, DIAMETRO 670 MM, BICO DE JATO CURTO VENTURI DE 5/16" , MANGUEIRA DE 1" COM COMPRESSOR DE AR REBOCÁVEL 189 PCM E MOTOR DIESEL 63 CV - DEPRECIAÇÃO. AF_05/2023</t>
  </si>
  <si>
    <t>MÁQUINA JATO DE PRESSAO PORTÁTIL, CAMARA DE 1 SAIDA, CAPACIDADE 280 L, DIAMETRO 670 MM, BICO DE JATO CURTO VENTURI DE 5/16" , MANGUEIRA DE 1" COM COMPRESSOR DE AR REBOCÁVEL 189 PCM E MOTOR DIESEL 63 CV - JUROS. AF_05/2023</t>
  </si>
  <si>
    <t>MÁQUINA JATO DE PRESSAO PORTÁTIL, CAMARA DE 1 SAIDA, CAPACIDADE 280 L, DIAMETRO 670 MM, BICO DE JATO CURTO VENTURI DE 5/16" , MANGUEIRA DE 1" COM COMPRESSOR DE AR REBOCÁVEL 189 PCM E MOTOR DIESEL 63 CV - MANUTENÇÃO. AF_05/2023</t>
  </si>
  <si>
    <t>MÁQUINA JATO DE PRESSAO PORTÁTIL, CAMARA DE 1 SAIDA, CAPACIDADE 280 L, DIAMETRO 670 MM, BICO DE JATO CURTO VENTURI DE 5/16" , MANGUEIRA DE 1" COM COMPRESSOR DE AR REBOCÁVEL 189 PCM E MOTOR DIESEL 63 CV - MATERIAIS NA OPERAÇÃO. AF_05/2023</t>
  </si>
  <si>
    <t>4,49</t>
  </si>
  <si>
    <t>2,24</t>
  </si>
  <si>
    <t>USINA DE MISTURA ASFÁLTICA À QUENTE, TIPO CONTRA FLUXO, PROD 40 A 80 TON/HORA - DEPRECIAÇÃO. AF_05/2023</t>
  </si>
  <si>
    <t>USINA DE MISTURA ASFÁLTICA À QUENTE, TIPO CONTRA FLUXO, PROD 40 A 80 TON/HORA - JUROS. AF_05/2023</t>
  </si>
  <si>
    <t>USINA DE MISTURA ASFÁLTICA À QUENTE, TIPO CONTRA FLUXO, PROD 40 A 80 TON/HORA - MANUTENÇÃO. AF_05/2023</t>
  </si>
  <si>
    <t>USINA DE MISTURA ASFÁLTICA À QUENTE, TIPO CONTRA FLUXO, PROD 40 A 80 TON/HORA - MATERIAIS NA OPERAÇÃO. AF_05/2023</t>
  </si>
  <si>
    <t>USINA DE ASFALTO À FRIO, CAPACIDADE DE 40 A 60 TON/HORA, ELÉTRICA POTÊNCIA 30 CV - DEPRECIAÇÃO. AF_05/2023</t>
  </si>
  <si>
    <t>USINA DE ASFALTO À FRIO, CAPACIDADE DE 40 A 60 TON/HORA, ELÉTRICA POTÊNCIA 30 CV - JUROS. AF_05/2023</t>
  </si>
  <si>
    <t>USINA DE ASFALTO À FRIO, CAPACIDADE DE 40 A 60 TON/HORA, ELÉTRICA POTÊNCIA 30 CV - MANUTENÇÃO. AF_05/2023</t>
  </si>
  <si>
    <t>USINA DE ASFALTO À FRIO, CAPACIDADE DE 40 A 60 TON/HORA, ELÉTRICA POTÊNCIA 30 CV - MATERIAIS NA OPERAÇÃO. AF_05/2023</t>
  </si>
  <si>
    <t>24,72</t>
  </si>
  <si>
    <t>17,87</t>
  </si>
  <si>
    <t>DISTRIBUIDOR DE AGREGADOS AUTOPROPELIDO, CAP 3 M3, A DIESEL, POTÊNCIA 176CV - MATERIAIS NA OPERAÇÃO. AF_07/2016</t>
  </si>
  <si>
    <t>31,85</t>
  </si>
  <si>
    <t>GRUA ASCENCIONAL, LANÇA DE 42 M, CAPACIDADE DE 1,5 T A 30 M, ALTURA ATÉ 39 M   DEPRECIAÇÃO. AF_05/2023</t>
  </si>
  <si>
    <t>33,83</t>
  </si>
  <si>
    <t>GRUA ASCENCIONAL, LANCA DE 42 M, CAPACIDADE DE 1,5 T A 30 M, ALTURA ATE 39 M   JUROS. AF_05/2023</t>
  </si>
  <si>
    <t>GRUA ASCENCIONAL, LANCA DE 42 M, CAPACIDADE DE 1,5 T A 30 M, ALTURA ATE 39 M   MANUTENÇÃO. AF_05/2023</t>
  </si>
  <si>
    <t>GRUA ASCENCIONAL, LANCA DE 42 M, CAPACIDADE DE 1,5 T A 30 M, ALTURA ATE 39 M   MATERIAIS NA OPERAÇÃO. AF_05/2023</t>
  </si>
  <si>
    <t>PULVERIZADOR DE TINTA ELÉTRICO/MÁQUINA DE PINTURA AIRLESS, VAZÃO 2 L/MIN - MATERIAIS NA OPERAÇÃO. AF_05/2023</t>
  </si>
  <si>
    <t>RÉGUA VIBRATÓRIA DUPLA PARA CONCRETO, PESO DE 60KG, COMPRIMENTO 4 M, COM MOTOR A GASOLINA, POTÊNCIA 5,5 HP - MATERIAIS NA OPERAÇÃO. AF_09/2016</t>
  </si>
  <si>
    <t>POLIDORA DE PISO (POLITRIZ), PESO DE 100KG, DIÂMETRO 450 MM, MOTOR ELÉTRICO, POTÊNCIA 4 HP - DEPRECIAÇÃO. AF_05/2023</t>
  </si>
  <si>
    <t>POLIDORA DE PISO (POLITRIZ), PESO DE 100KG, DIÂMETRO 450 MM, MOTOR ELÉTRICO, POTÊNCIA 4 HP - JUROS. AF_05/2023</t>
  </si>
  <si>
    <t>POLIDORA DE PISO (POLITRIZ), PESO DE 100KG, DIÂMETRO 450 MM, MOTOR ELÉTRICO, POTÊNCIA 4 HP - MANUTENÇÃO. AF_05/2023</t>
  </si>
  <si>
    <t>POLIDORA DE PISO (POLITRIZ), PESO DE 100KG, DIÂMETRO 450 MM, MOTOR ELÉTRICO, POTÊNCIA 4 HP - MATERIAIS NA OPERAÇÃO. AF_05/2023</t>
  </si>
  <si>
    <t>DESEMPENADEIRA DE CONCRETO, PESO DE 78 KG, 4 PÁS, MOTOR A GASOLINA, POTÊNCIA 5,5 HP - DEPRECIAÇÃO. AF_05/2023</t>
  </si>
  <si>
    <t>DESEMPENADEIRA DE CONCRETO, PESO DE 78 KG, 4 PÁS, MOTOR A GASOLINA, POTÊNCIA 5,5 HP - JUROS. AF_05/2023</t>
  </si>
  <si>
    <t>DESEMPENADEIRA DE CONCRETO, PESO DE 78 KG, 4 PÁS, MOTOR A GASOLINA, POTÊNCIA 5,5 HP - MANUTENÇÃO. AF_05/2023</t>
  </si>
  <si>
    <t>DESEMPENADEIRA DE CONCRETO, PESO DE 78 KG, 4 PÁS, MOTOR A GASOLINA, POTÊNCIA 5,5 HP   MATERIAIS NA OPERAÇÃO. AF_05/2023</t>
  </si>
  <si>
    <t>PERFURATRIZ SOBRE ESTEIRA, TORQUE MÁXIMO 600 KGF, POTÊNCIA ENTRE 50 E 60 HP, DIÂMETRO MÁXIMO 10" - DEPRECIAÇÃO. AF_11/2016</t>
  </si>
  <si>
    <t>PERFURATRIZ SOBRE ESTEIRA, TORQUE MÁXIMO 600 KGF, POTÊNCIA ENTRE 50 E 60 HP, DIÂMETRO MÁXIMO 10" - JUROS. AF_11/2016</t>
  </si>
  <si>
    <t>12,31</t>
  </si>
  <si>
    <t>PERFURATRIZ SOBRE ESTEIRA, TORQUE MÁXIMO 600 KGF, POTÊNCIA ENTRE 50 E 60 HP, DIÂMETRO MÁXIMO 10" - MANUTENÇÃO. AF_11/2016</t>
  </si>
  <si>
    <t>PERFURATRIZ SOBRE ESTEIRA, TORQUE MÁXIMO 600 KGF, POTÊNCIA ENTRE 50 E 60 HP, DIÂMETRO MÁXIMO 10" - MATERIAIS NA OPERAÇÃO. AF_11/2016</t>
  </si>
  <si>
    <t>55,14</t>
  </si>
  <si>
    <t>14,03</t>
  </si>
  <si>
    <t>25,53</t>
  </si>
  <si>
    <t>4,82</t>
  </si>
  <si>
    <t>17,19</t>
  </si>
  <si>
    <t>52,61</t>
  </si>
  <si>
    <t>3,94</t>
  </si>
  <si>
    <t>LAVADORA DE ALTA PRESSAO (LAVA-JATO) PARA AGUA FRIA, PRESSAO DE OPERACAO ENTRE 1400 E 1900 LIB/POL2, VAZAO MAXIMA ENTRE 400 E 700 L/H - DEPRECIAÇÃO. AF_05/2023</t>
  </si>
  <si>
    <t>LAVADORA DE ALTA PRESSAO (LAVA-JATO) PARA AGUA FRIA, PRESSAO DE OPERACAO ENTRE 1400 E 1900 LIB/POL2, VAZAO MAXIMA ENTRE 400 E 700 L/H - JUROS. AF_05/2023</t>
  </si>
  <si>
    <t>LAVADORA DE ALTA PRESSAO (LAVA-JATO) PARA AGUA FRIA, PRESSAO DE OPERACAO ENTRE 1400 E 1900 LIB/POL2, VAZAO MAXIMA ENTRE 400 E 700 L/H - MANUTENÇÃO. AF_05/2023</t>
  </si>
  <si>
    <t>LAVADORA DE ALTA PRESSAO (LAVA-JATO) PARA AGUA FRIA, PRESSAO DE OPERACAO ENTRE 1400 E 1900 LIB/POL2, VAZAO MAXIMA ENTRE 400 E 700 L/H - MATERIAIS NA OPERAÇÃO. AF_05/2023</t>
  </si>
  <si>
    <t>CALDEIRA A GÁS COM TERMOSTATO, CAPACIDADE 100 LITROS - MATERIAIS NA OPERAÇÃO. AF_05/2023</t>
  </si>
  <si>
    <t>CONJUNTO MACACO E BOMBA HIDRÁULICA PARA PROTENSAO DE CORDOALHAS, ESFORÇO MAXIMO DE 115 TONELADAS - MATERIAIS NA OPERAÇÃO. AF_05/2023</t>
  </si>
  <si>
    <t>CONJUNTO CILINDRO E BOMBA HIDRÁULICA PARA PROTENSÃO DE MONOBARRAS PARA TIRANTES, ESFORÇO MÁXIMO DE 30 TONELADAS  - MATERIAIS NA OPERAÇÃO. AF_05/2023</t>
  </si>
  <si>
    <t>65,01</t>
  </si>
  <si>
    <t>MÁQUINA FORMER DOBRAS DIVERSAS: 220V/380V TRIFÁSICO OU MONOFÁSICO, CAPACIDADE 0,5-1,27MM, MOTOR 2CV - MATERIAIS NA OPERAÇÃO. AF_05/2023</t>
  </si>
  <si>
    <t>MÁQUINA SOLDA ARCO COM PISTOLA DE SOLDAGEM PARA STUD BOLT DE 5 MM A 22 MM - MATERIAIS NA OPERAÇÃO. AF_05/2023</t>
  </si>
  <si>
    <t>TORRE, COMPOSTA POR GUINCHO MECÂNICO, GUINCHO MANUAL, CABOS DE AÇO, PITEIRA E SOQUETE  - MATERIAIS NA OPERAÇÃO. AF_05/2023</t>
  </si>
  <si>
    <t>UNIDADE DOSADORA AIRLESS TIPO HOT SPRAY - MATERIAIS NA OPERAÇÃO. AF_05/2023</t>
  </si>
  <si>
    <t>ENCERADEIRA INDUSTRIAL, 400 MM, 220V, 1 HP - MATERIAIS NA OPERAÇÃO. AF_05/2023</t>
  </si>
  <si>
    <t>SERRA FITA HORIZONTAL, ELÉTRICA, COM CONTROLE HIDRÁULICO, PAINEL DE COMANDO EM 24 V, MOTOR ELÉTRICO 1,5 CV, DIMENSÕES DA FITA 3880 X 27 X 0,9 MM, TRIFÁSICA - MATERIAIS NA OPERAÇÃO. AF_05/2023</t>
  </si>
  <si>
    <t>MÁQUINA METALEIRA UNIVERSAL MODELO IW 110/180 BTD - MATERIAIS NA OPERAÇÃO. AF_05/2023</t>
  </si>
  <si>
    <t>TARTARUGA DE OXICORTE CG1, MONOFÁSICA, 220 V, FREQUÊNCIA 50 HZ, VELOCIDADE DE CORTE (MM/MIN) 50 A 750, DIÂMETRO MÍNIMO DO COMPASSO MM 200 - MATERIAIS NA OPERAÇÃO. AF_05/2023</t>
  </si>
  <si>
    <t>BETONEIRA CAPACIDADE NOMINAL DE 250 L, CAPACIDADE DE MISTURA DE 175 L, MOTOR ELÉTRICO MONOFÁSICO POTÊNCIA 1CV - MATERIAIS NA OPERAÇÃO. AF_05/2023</t>
  </si>
  <si>
    <t>COMPRESSOR DE AR, VAZAO DE 10 PCM, RESERVATORIO 100 L, PRESSAO DE TRABALHO ENTRE 6,9 E 9,7 BAR, POTENCIA 2 HP, TENSAO 110/220 V - MATERIAIS NA OPERAÇÃO. AF_05/2023</t>
  </si>
  <si>
    <t>MÁQUINA PARA SOLDA POR ELETROFUSÃO PARA TUBOS DE POLIETILENO DE ALTA DENSIDADE (PEAD) COM DIÂMETRO EXTERNO DE 20 A 800 MM, POTÊNCIA ENTRE 2750 E 3000 W - MATERIAIS NA OPERAÇÃO. AF_05/2023</t>
  </si>
  <si>
    <t>MÁQUINA PARA SOLDA POR ELETROFUSÃO PARA TUBOS DE POLIETILENO DE ALTA DENSIDADE (PEAD) COM DIÂMETRO EXTERNO DE 20 A 1600 MM, POTÊNCIA DE 3500 W - MATERIAIS NA OPERAÇÃO. AF_05/2023</t>
  </si>
  <si>
    <t>MÁQUINA PARA SOLDA POR TERMOFUSÃO PARA TUBOS DE POLIETILENO DE ALTA DENSIDADE (PEAD) COM DIÂMETRO EXTERNO DE 90 A 315 MM, POTÊNCIA ENTRE 2500 E 5350 W - MATERIAIS NA OPERAÇÃO. AF_05/2023</t>
  </si>
  <si>
    <t>MÁQUINA PARA SOLDA POR TERMOFUSÃO PARA TUBOS DE POLIETILENO DE ALTA DENSIDADE (PEAD) COM DIÂMETRO EXTERNO DE 315 A 630 MM, POTÊNCIA ENTRE 8000 E 12350 W - MATERIAIS NA OPERAÇÃO. AF_05/2023</t>
  </si>
  <si>
    <t>MÁQUINA PARA SOLDA POR TERMOFUSÃO PARA TUBOS DE POLIETILENO DE ALTA DENSIDADE (PEAD) COM DIÂMETRO EXTERNO DE 710 A 1200 MM, POTÊNCIA ENTRE 16000 E 29500 W - MATERIAIS NA OPERAÇÃO. AF_05/2023</t>
  </si>
  <si>
    <t>PERFURATRIZ PARA FURO DIRECIONAL HORIZONTAL (HDD) COM CAPACIDADE ATÉ 89 KN, POTÊNCIA 24,8 HP A 80 HP (INCLUSO FERRAMENTAS E LOCALIZADOR) - MATERIAIS NA OPERAÇÃO. AF_05/2023</t>
  </si>
  <si>
    <t>PERFURATRIZ PARA FURO DIRECIONAL HORIZONTAL (HDD) COM CAPACIDADE DE 90 KN A 200 KN, POTÊNCIA 100 HP A 160 HP (INCLUSO FERRAMENTAS E LOCALIZADOR) - MATERIAIS NA OPERAÇÃO. AF_05/2023</t>
  </si>
  <si>
    <t>PERFURATRIZ PARA FURO DIRECIONAL HORIZONTAL (HDD) COM CAPACIDADE DE 201 KN A 560 KN, POTÊNCIA 200 HP A 260 HP (INCLUSO FERRAMENTAS E LOCALIZADOR) - MATERIAIS NA OPERAÇÃO. AF_05/2023</t>
  </si>
  <si>
    <t>MISTURADOR PARA PREPARO DE LAMA ESTABILIZANTE COM CAPACIDADE DE *4000* L, COM BOMBA CENTRÍFUGA 5,5 HP A 23,07 HP, PARA SISTEMA DE FURO DIRECIONAL - MATERIAIS NA OPERAÇÃO. AF_05/2023</t>
  </si>
  <si>
    <t>VARREDEIRA DE GRAMA SINTÉTICA A GASOLINA, 2,4 CV, 4 TEMPOS - MATERIAIS NA OPERAÇÃO. AF_05/2023</t>
  </si>
  <si>
    <t>BATE ESTACA PARA INSTALAÇÃO DE DEFENSAS METÁLICAS (GUARD RAIL) FIXO, INCLUSIVE CAMINHÃO TOCO PBT 9.700 KG, POTÊNCIA DE 160 CV - MATERIAIS NA OPERAÇÃO. AF_05/2023</t>
  </si>
  <si>
    <t>MINI GUINDASTE ARANHA SOBRE ESTEIRAS E LANCA TELESCÓPICA, CAPACIDADE MÁXIMA DE CARGA 3,0 TON, RAIO MÁXIMO DE TRABALHO 8,25 M, ALTURA DE LANÇA DO SOLO 9,2 M, 55 M DE CABO DE AÇO 8 MM, MOTOR ELÉTRICO 220/380 VOLTS - MATERIAIS NA OPERAÇÃO. AF_03/2022</t>
  </si>
  <si>
    <t>104655</t>
  </si>
  <si>
    <t>MARTELETE PERFURADOR/ ROMPEDOR ELÉTRICO, POTÊNCIA 800 W, 220 V - MATERIAIS NA OPERAÇÃO. AF_05/2023</t>
  </si>
  <si>
    <t>104687</t>
  </si>
  <si>
    <t>GRUPO GERADOR DIESEL, COM CARENAGEM, POTÊNCIA STANDART ENTRE 400 E 460 KVA, VELOCIDADE DE 1800 RPM, FREQUÊNCIA DE 60 HZ - MATERIAIS NA OPERAÇÃO. AF_05/2023</t>
  </si>
  <si>
    <t>104694</t>
  </si>
  <si>
    <t>PERFURATRIZ DE COROA DIAMANTADA PARA CONCRETO, DIÂMETRO ATÉ 250 MM, MOTOR ELÉTRICO 220 V, POTÊNCIA 2.500 W - MATERIAIS NA OPERAÇÃO. AF_05/2023</t>
  </si>
  <si>
    <t>104703</t>
  </si>
  <si>
    <t>CAMINHÃO TANQUE PARA HIDROSSEMEADURA, COM CAPACIDADE DE 8.000 LITROS, INCLUINDO BOMBA PARA LANÇAMENTO COM MOTOR DIESEL COM POTÊNCIA DE 105 CV - MATERIAIS NA OPERAÇÃO. AF_06/2023</t>
  </si>
  <si>
    <t>104709</t>
  </si>
  <si>
    <t>GUINDASTE HIDRÁULICO AUTOPROPELIDO, COM LANÇA TRELICADA 41 M, CAPACIDADE MÁXIMA DE ELEVAÇÃO 43 T, POTÊNCIA 230 KW, EQUIPADO COM CAÇAMBA DE ARRASTO (DRAGLINE) DE 0,76 M3 - MATERIAIS NA OPERAÇÃO. AF_06/2023</t>
  </si>
  <si>
    <t>104715</t>
  </si>
  <si>
    <t>ESCAVADEIRA HIDRÁULICA DE BRAÇO LONGO (LONGO ALCANCE) SOBRE ESTEIRAS, CAÇAMBA 0,52 M3, PESO OPERACIONAL 24 T, POTÊNCIA LÍQUIDA 155 HP  - MATERIAIS NA OPERAÇÃO. AF_06/2023</t>
  </si>
  <si>
    <t>104906</t>
  </si>
  <si>
    <t>GUINDASTE HIDRÁULICO RODOVIÁRIO, LANCA TELESCÓPICA DE *50+20* M, CAPACIDADE MÁXIMA DE 90T, 4 EIXOS, POTÊNCIA 330 KW, MOTOR DIESEL - MATERIAIS NA OPERAÇÃO. AF_01/2024</t>
  </si>
  <si>
    <t>97,51</t>
  </si>
  <si>
    <t>104912</t>
  </si>
  <si>
    <t>GUINDASTE DERRICK, LANÇA DE *20* M, CARGA MÁXIMA 10T, POTÊNCIA 45 KW - MATERIAIS NA OPERAÇÃO. AF_01/2024</t>
  </si>
  <si>
    <t>18,27</t>
  </si>
  <si>
    <t>51,55</t>
  </si>
  <si>
    <t>46,19</t>
  </si>
  <si>
    <t>79,76</t>
  </si>
  <si>
    <t>86,11</t>
  </si>
  <si>
    <t>195,54</t>
  </si>
  <si>
    <t>69,38</t>
  </si>
  <si>
    <t>80,58</t>
  </si>
  <si>
    <t>63,59</t>
  </si>
  <si>
    <t>69,32</t>
  </si>
  <si>
    <t>47,94</t>
  </si>
  <si>
    <t>FABRICAÇÃO E INSTALAÇÃO DE TESOURA INTEIRA EM AÇO, VÃO DE 3 M, PARA TELHA CERÂMICA OU DE CONCRETO, INCLUSO IÇAMENTO. AF_07/2019</t>
  </si>
  <si>
    <t>FABRICAÇÃO E INSTALAÇÃO DE TESOURA INTEIRA EM AÇO, VÃO DE 4 M, PARA TELHA CERÂMICA OU DE CONCRETO, INCLUSO IÇAMENTO. AF_07/2019</t>
  </si>
  <si>
    <t>FABRICAÇÃO E INSTALAÇÃO DE TESOURA INTEIRA EM AÇO, VÃO DE 5 M, PARA TELHA CERÂMICA OU DE CONCRETO, INCLUSO IÇAMENTO. AF_07/2019</t>
  </si>
  <si>
    <t>FABRICAÇÃO E INSTALAÇÃO DE TESOURA INTEIRA EM AÇO, VÃO DE 6 M, PARA TELHA CERÂMICA OU DE CONCRETO, INCLUSO IÇAMENTO. AF_07/2019</t>
  </si>
  <si>
    <t>FABRICAÇÃO E INSTALAÇÃO DE TESOURA INTEIRA EM AÇO, VÃO DE 7 M, PARA TELHA CERÂMICA OU DE CONCRETO, INCLUSO IÇAMENTO. AF_07/2019</t>
  </si>
  <si>
    <t>FABRICAÇÃO E INSTALAÇÃO DE TESOURA INTEIRA EM AÇO, VÃO DE 8 M, PARA TELHA CERÂMICA OU DE CONCRETO, INCLUSO IÇAMENTO. AF_07/2019</t>
  </si>
  <si>
    <t>FABRICAÇÃO E INSTALAÇÃO DE TESOURA INTEIRA EM AÇO, VÃO DE 9 M, PARA TELHA CERÂMICA OU DE CONCRETO, INCLUSO IÇAMENTO. AF_07/2019</t>
  </si>
  <si>
    <t>FABRICAÇÃO E INSTALAÇÃO DE TESOURA INTEIRA EM AÇO, VÃO DE 10 M, PARA TELHA CERÂMICA OU DE CONCRETO, INCLUSO IÇAMENTO. AF_07/2019</t>
  </si>
  <si>
    <t>FABRICAÇÃO E INSTALAÇÃO DE TESOURA INTEIRA EM AÇO, VÃO DE 11 M, PARA TELHA CERÂMICA OU DE CONCRETO, INCLUSO IÇAMENTO. AF_07/2019</t>
  </si>
  <si>
    <t>FABRICAÇÃO E INSTALAÇÃO DE TESOURA INTEIRA EM AÇO, VÃO DE 12 M, PARA TELHA CERÂMICA OU DE CONCRETO, INCLUSO IÇAMENTO. AF_07/2019</t>
  </si>
  <si>
    <t>FABRICAÇÃO E INSTALAÇÃO DE TESOURA INTEIRA EM AÇO, VÃO DE 3 M, PARA TELHA ONDULADA DE FIBROCIMENTO, METÁLICA, PLÁSTICA OU TERMOACÚSTICA, INCLUSO IÇAMENTO. AF_07/2019</t>
  </si>
  <si>
    <t>FABRICAÇÃO E INSTALAÇÃO DE TESOURA INTEIRA EM AÇO, VÃO DE 4 M, PARA TELHA ONDULADA DE FIBROCIMENTO, METÁLICA, PLÁSTICA OU TERMOACÚSTICA, INCLUSO IÇAMENTO. AF_07/2019</t>
  </si>
  <si>
    <t>FABRICAÇÃO E INSTALAÇÃO DE TESOURA INTEIRA EM AÇO, VÃO DE 5 M, PARA TELHA ONDULADA DE FIBROCIMENTO, METÁLICA, PLÁSTICA OU TERMOACÚSTICA, INCLUSO IÇAMENTO. AF_07/2019</t>
  </si>
  <si>
    <t>FABRICAÇÃO E INSTALAÇÃO DE TESOURA INTEIRA EM AÇO, VÃO DE 6 M, PARA TELHA ONDULADA DE FIBROCIMENTO, METÁLICA, PLÁSTICA OU TERMOACÚSTICA, INCLUSO IÇAMENTO. AF_07/2019</t>
  </si>
  <si>
    <t>FABRICAÇÃO E INSTALAÇÃO DE TESOURA INTEIRA EM AÇO, VÃO DE 7 M, PARA TELHA ONDULADA DE FIBROCIMENTO, METÁLICA, PLÁSTICA OU TERMOACÚSTICA, INCLUSO IÇAMENTO. AF_07/2019</t>
  </si>
  <si>
    <t>FABRICAÇÃO E INSTALAÇÃO DE TESOURA INTEIRA EM AÇO, VÃO DE 8 M, PARA TELHA ONDULADA DE FIBROCIMENTO, METÁLICA, PLÁSTICA OU TERMOACÚSTICA, INCLUSO IÇAMENTO, INCLUSO IÇAMENTO. AF_07/2019</t>
  </si>
  <si>
    <t>FABRICAÇÃO E INSTALAÇÃO DE TESOURA INTEIRA EM AÇO, VÃO DE 9 M, PARA TELHA ONDULADA DE FIBROCIMENTO, METÁLICA, PLÁSTICA OU TERMOACÚSTICA, INCLUSO IÇAMENTO. AF_07/2019</t>
  </si>
  <si>
    <t>FABRICAÇÃO E INSTALAÇÃO DE TESOURA INTEIRA EM AÇO, VÃO DE 10 M, PARA TELHA ONDULADA DE FIBROCIMENTO, METÁLICA, PLÁSTICA OU TERMOACÚSTICA, INCLUSO IÇAMENTO. AF_07/2019</t>
  </si>
  <si>
    <t>FABRICAÇÃO E INSTALAÇÃO DE TESOURA INTEIRA EM AÇO, VÃO DE 11 M, PARA TELHA ONDULADA DE FIBROCIMENTO, METÁLICA, PLÁSTICA OU TERMOACÚSTICA, INCLUSO IÇAMENTO. AF_07/2019</t>
  </si>
  <si>
    <t>FABRICAÇÃO E INSTALAÇÃO DE TESOURA INTEIRA EM AÇO, VÃO DE 12 M, PARA TELHA ONDULADA DE FIBROCIMENTO, METÁLICA, PLÁSTICA OU TERMOACÚSTICA, INCLUSO IÇAMENTO. AF_07/2019</t>
  </si>
  <si>
    <t>1.052,20</t>
  </si>
  <si>
    <t>23,45</t>
  </si>
  <si>
    <t>34,67</t>
  </si>
  <si>
    <t>55,96</t>
  </si>
  <si>
    <t>134,35</t>
  </si>
  <si>
    <t>98,42</t>
  </si>
  <si>
    <t>151,53</t>
  </si>
  <si>
    <t>DRENO ESPINHA DE PEIXE (SEÇÃO 0,40 X 0,40 M), COM TUBO DE PEAD CORRUGADO PERFURADO, DN 100 MM, ENCHIMENTO COM AREIA, INCLUSIVE CONEXÕES. AF_07/2021</t>
  </si>
  <si>
    <t>DRENO ESPINHA DE PEIXE (SEÇÃO 0,40 X 0,40 M), COM TUBO DE PVC CORRUGADO RÍGIDO PERFURADO, DN 100 MM, ENCHIMENTO COM AREIA, INCLUSIVE CONEXÕES. AF_07/2021</t>
  </si>
  <si>
    <t>74,67</t>
  </si>
  <si>
    <t>DRENO ESPINHA DE PEIXE (SEÇÃO 0,40 X 0,40 M), COM TUBO DE PVC CORRUGADO RÍGIDO PERFURADO, DN 100 MM, ENCHIMENTO COM BRITA, ENVOLVIDO COM MANTA GEOTÊXTIL, INCLUSIVE CONEXÕES. AF_07/2021</t>
  </si>
  <si>
    <t>DRENO ESPINHA DE PEIXE (SEÇÃO 0,50 X 0,80 M), COM TUBO DE PEAD CORRUGADO PERFURADO, DN 100 MM, ENCHIMENTO COM AREIA, INCLUSIVE CONEXÕES. AF_07/2021</t>
  </si>
  <si>
    <t>DRENO ESPINHA DE PEIXE (SEÇÃO 0,50 X 0,80 M), COM TUBO DE PVC CORRUGADO RÍGIDO PERFURADO, DN 100 MM, ENCHIMENTO COM AREIA, INCLUSIVE CONEXÕES. AF_07/2021</t>
  </si>
  <si>
    <t>DRENO ESPINHA DE PEIXE (SEÇÃO 0,50 X 0,80 M), COM TUBO DE PEAD CORRUGADO PERFURADO, DN 100 MM, ENCHIMENTO COM BRITA, ENVOLVIDO COM MANTA GEOTÊXTIL, INCLUSIVE CONEXÕES. AF_07/2021</t>
  </si>
  <si>
    <t>DRENO ESPINHA DE PEIXE (SEÇÃO 0,50 X 0,80 M), COM TUBO DE PVC CORRUGADO RÍGIDO PERFURADO, DN 100 MM, ENCHIMENTO COM BRITA, ENVOLVIDO COM MANTA GEOTÊXTIL, INCLUSIVE CONEXÕES. AF_07/2021</t>
  </si>
  <si>
    <t>13,13</t>
  </si>
  <si>
    <t>169,14</t>
  </si>
  <si>
    <t>60,65</t>
  </si>
  <si>
    <t>DRENO EM MURO DE CONTENÇÃO, EXECUTADO NO PÉ DO MURO, COM TUBO DE PVC CORRUGADO RÍGIDO PERFURADO, ENCHIMENTO COM BRITA, ENVOLVIDO COM MANTA GEOTÊXTIL. AF_07/2021</t>
  </si>
  <si>
    <t>122,98</t>
  </si>
  <si>
    <t>32,40</t>
  </si>
  <si>
    <t>MURO DE GABIÃO, ENCHIMENTO COM PEDRA DE MÃO TIPO RACHÃO, DE GRAVIDADE, COM GAIOLAS DE COMPRIMENTO IGUAL A 2 M, PARA MUROS COM ALTURA MENOR OU IGUAL A 4 M - FORNECIMENTO E EXECUÇÃO. AF_03/2024</t>
  </si>
  <si>
    <t>MURO DE GABIÃO, ENCHIMENTO COM PEDRA DE MÃO TIPO RACHÃO, DE GRAVIDADE, COM GAIOLAS DE COMPRIMENTO IGUAL A 5 M, PARA MUROS COM ALTURA MENOR OU IGUAL A 4 M - FORNECIMENTO E EXECUÇÃO. AF_03/2024</t>
  </si>
  <si>
    <t>MURO DE GABIÃO, ENCHIMENTO COM PEDRA DE MÃO TIPO RACHÃO, DE GRAVIDADE, COM GAIOLAS DE COMPRIMENTO IGUAL A 2 M, PARA MUROS COM ALTURA MAIOR QUE 4 M E MENOR OU IGUAL A 6 M - FORNECIMENTO E EXECUÇÃO. AF_03/2024</t>
  </si>
  <si>
    <t>MURO DE GABIÃO, ENCHIMENTO COM PEDRA DE MÃO TIPO RACHÃO, DE GRAVIDADE, COM GAIOLAS DE COMPRIMENTO IGUAL A 5 M, PARA MUROS COM ALTURA MAIOR QUE 4 M E MENOR OU IGUAL A 6 M - FORNECIMENTO E EXECUÇÃO. AF_03/2024</t>
  </si>
  <si>
    <t>MURO DE GABIÃO, ENCHIMENTO COM PEDRA DE MÃO TIPO RACHÃO, DE GRAVIDADE, COM GAIOLAS DE COMPRIMENTO IGUAL A 2 M, PARA MUROS COM ALTURA MAIOR QUE 6 M E MENOR OU IGUAL A 10 M - FORNECIMENTO E EXECUÇÃO. AF_03/2024</t>
  </si>
  <si>
    <t>MURO DE GABIÃO, ENCHIMENTO COM PEDRA DE MÃO TIPO RACHÃO, DE GRAVIDADE, COM GAIOLAS DE COMPRIMENTO IGUAL A 5 M, PARA MUROS COM ALTURA MAIOR QUE 6 M E MENOR OU IGUAL A 10 M- FORNECIMENTO E EXECUÇÃO. AF_03/2024</t>
  </si>
  <si>
    <t>MURO DE GABIÃO, ENCHIMENTO COM PEDRA DE MÃO TIPO RACHÃO, COM SOLO REFORÇADO, PARA MUROS COM ALTURA MENOR OU IGUAL A 4 M - FORNECIMENTO E EXECUÇÃO. AF_03/2024</t>
  </si>
  <si>
    <t>MURO DE GABIÃO, ENCHIMENTO COM PEDRA DE MÃO TIPO RACHÃO, COM SOLO REFORÇADO, PARA MUROS COM ALTURA MAIOR QUE 4 M E MENOR OU IGUAL A 12 M - FORNECIMENTO E EXECUÇÃO. AF_03/2024</t>
  </si>
  <si>
    <t>MURO DE GABIÃO, ENCHIMENTO COM PEDRA DE MÃO TIPO RACHÃO, COM SOLO REFORÇADO, PARA MUROS COM ALTURA MAIOR QUE 12 M E MENOR OU IGUAL A 20 M - FORNECIMENTO E EXECUÇÃO. AF_03/2024</t>
  </si>
  <si>
    <t>MURO DE GABIÃO, ENCHIMENTO COM PEDRA DE MÃO TIPO RACHÃO, COM SOLO REFORÇADO, PARA MUROS COM ALTURA MAIOR QUE 20 M E MENOR OU IGUAL A 28 M - FORNECIMENTO E EXECUÇÃO. AF_03/2024</t>
  </si>
  <si>
    <t>MURO DE GABIÃO, ENCHIMENTO COM RESÍDUO DE CONSTRUÇÃO E DEMOLIÇÃO, DE GRAVIDADE, COM GAIOLA TRAPEZOIDAL DE COMPRIMENTO IGUAL A 2 M, PARA MUROS COM ALTURA MENOR OU IGUAL A 2 M - FORNECIMENTO E EXECUÇÃO. AF_03/2024</t>
  </si>
  <si>
    <t>MURO DE GABIÃO, ENCHIMENTO COM RESÍDUO DE CONSTRUÇÃO E DEMOLIÇÃO, DE GRAVIDADE, COM GAIOLA TRAPEZOIDAL DE COMPRIMENTO IGUAL A 2 M, PARA MUROS COM ALTURA MAIOR QUE 2 M E MENOR OU IGUAL A 4 M - FORNECIMENTO E EXECUÇÃO. AF_03/2024</t>
  </si>
  <si>
    <t>PROTEÇÃO SUPERFICIAL DE CANAL EM GABIÃO TIPO COLCHÃO, ALTURA DE 17 CENTÍMETROS, ENCHIMENTO COM PEDRA DE MÃO TIPO RACHÃO - FORNECIMENTO E EXECUÇÃO. AF_03/2024</t>
  </si>
  <si>
    <t>PROTEÇÃO SUPERFICIAL DE CANAL EM GABIÃO TIPO COLCHÃO, ALTURA DE 23 CENTÍMETROS, ENCHIMENTO COM PEDRA DE MÃO TIPO RACHÃO - FORNECIMENTO E EXECUÇÃO. AF_03/2024</t>
  </si>
  <si>
    <t>PROTEÇÃO SUPERFICIAL DE CANAL EM GABIÃO TIPO COLCHÃO, ALTURA DE 30 CENTÍMETROS, ENCHIMENTO COM PEDRA DE MÃO TIPO RACHÃO - FORNECIMENTO E EXECUÇÃO. AF_03/2024</t>
  </si>
  <si>
    <t>PROTEÇÃO SUPERFICIAL DE CANAL EM GABIÃO TIPO SACO, DIÂMETRO DE 65 CENTÍMETROS, ENCHIMENTO MANUAL COM PEDRA DE MÃO TIPO RACHÃO - FORNECIMENTO E EXECUÇÃO. AF_03/2024</t>
  </si>
  <si>
    <t>EXECUÇÃO DE REVESTIMENTO DE CONCRETO PROJETADO COM ESPESSURA DE 7 CM, ARMADO COM TELA, INCLINAÇÃO MENOR QUE 90°, APLICAÇÃO CONTÍNUA, UTILIZANDO EQUIPAMENTO DE PROJEÇÃO COM 6 M³/H DE CAPACIDADE. AF_07/2024</t>
  </si>
  <si>
    <t>EXECUÇÃO DE REVESTIMENTO DE CONCRETO PROJETADO COM ESPESSURA DE 10 CM, ARMADO COM TELA, INCLINAÇÃO MENOR QUE 90°, APLICAÇÃO CONTÍNUA, UTILIZANDO EQUIPAMENTO DE PROJEÇÃO COM 6 M³/H DE CAPACIDADE. AF_07/2024</t>
  </si>
  <si>
    <t>EXECUÇÃO DE REVESTIMENTO DE CONCRETO PROJETADO COM ESPESSURA DE 7 CM, ARMADO COM TELA, INCLINAÇÃO DE 90°, APLICAÇÃO CONTÍNUA, UTILIZANDO EQUIPAMENTO DE PROJEÇÃO COM 6 M³/H DE CAPACIDADE. AF_07/2024</t>
  </si>
  <si>
    <t>EXECUÇÃO DE REVESTIMENTO DE CONCRETO PROJETADO COM ESPESSURA DE 10 CM, ARMADO COM TELA, INCLINAÇÃO DE 90°, APLICAÇÃO CONTÍNUA, UTILIZANDO EQUIPAMENTO DE PROJEÇÃO COM 6 M³/H DE CAPACIDADE. AF_07/2024</t>
  </si>
  <si>
    <t>EXECUÇÃO DE REVESTIMENTO DE CONCRETO PROJETADO COM ESPESSURA DE 7 CM, ARMADO COM TELA, INCLINAÇÃO MENOR QUE 90°, APLICAÇÃO CONTÍNUA, UTILIZANDO EQUIPAMENTO DE PROJEÇÃO COM 3 M³/H DE CAPACIDADE. AF_07/2024</t>
  </si>
  <si>
    <t>254,66</t>
  </si>
  <si>
    <t>EXECUÇÃO DE REVESTIMENTO DE CONCRETO PROJETADO COM ESPESSURA DE 10 CM, ARMADO COM TELA, INCLINAÇÃO MENOR QUE 90°, APLICAÇÃO CONTÍNUA, UTILIZANDO EQUIPAMENTO DE PROJEÇÃO COM 3 M³/H DE CAPACIDADE. AF_07/2024</t>
  </si>
  <si>
    <t>EXECUÇÃO DE REVESTIMENTO DE CONCRETO PROJETADO COM ESPESSURA DE 7 CM, ARMADO COM TELA, INCLINAÇÃO DE 90°, APLICAÇÃO CONTÍNUA, UTILIZANDO EQUIPAMENTO DE PROJEÇÃO COM 3 M³/H DE CAPACIDADE. AF_07/2024</t>
  </si>
  <si>
    <t>EXECUÇÃO DE REVESTIMENTO DE CONCRETO PROJETADO COM ESPESSURA DE 10 CM, ARMADO COM TELA, INCLINAÇÃO DE 90°, APLICAÇÃO CONTÍNUA, UTILIZANDO EQUIPAMENTO DE PROJEÇÃO COM 3 M³/H DE CAPACIDADE. AF_07/2024</t>
  </si>
  <si>
    <t>EXECUÇÃO DE REVESTIMENTO DE CONCRETO PROJETADO COM ESPESSURA DE 7 CM, ARMADO COM FIBRAS DE AÇO, INCLINAÇÃO MENOR QUE 90°, APLICAÇÃO CONTÍNUA, UTILIZANDO EQUIPAMENTO DE PROJEÇÃO COM 6 M³/H DE CAPACIDADE. AF_07/2024</t>
  </si>
  <si>
    <t>EXECUÇÃO DE REVESTIMENTO DE CONCRETO PROJETADO COM ESPESSURA DE 10 CM, ARMADO COM FIBRAS DE AÇO, INCLINAÇÃO MENOR QUE 90°, APLICAÇÃO CONTÍNUA, UTILIZANDO EQUIPAMENTO DE PROJEÇÃO COM 6 M³/H DE CAPACIDADE. AF_07/2024</t>
  </si>
  <si>
    <t>EXECUÇÃO DE REVESTIMENTO DE CONCRETO PROJETADO COM ESPESSURA DE 7 CM, ARMADO COM FIBRAS DE AÇO, INCLINAÇÃO DE 90°, APLICAÇÃO CONTÍNUA, UTILIZANDO EQUIPAMENTO DE PROJEÇÃO COM 6 M³/H DE CAPACIDADE. AF_07/2024</t>
  </si>
  <si>
    <t>EXECUÇÃO DE REVESTIMENTO DE CONCRETO PROJETADO COM ESPESSURA DE 10 CM, ARMADO COM FIBRAS DE AÇO, INCLINAÇÃO DE 90°, APLICAÇÃO CONTÍNUA, UTILIZANDO EQUIPAMENTO DE PROJEÇÃO COM 6 M³/H DE CAPACIDADE. AF_07/2024</t>
  </si>
  <si>
    <t>EXECUÇÃO DE REVESTIMENTO DE CONCRETO PROJETADO COM ESPESSURA DE 7 CM, ARMADO COM FIBRAS DE AÇO, INCLINAÇÃO MENOR QUE 90°, APLICAÇÃO CONTÍNUA, UTILIZANDO EQUIPAMENTO DE PROJEÇÃO COM 3 M³/H DE CAPACIDADE. AF_07/2024</t>
  </si>
  <si>
    <t>EXECUÇÃO DE REVESTIMENTO DE CONCRETO PROJETADO COM ESPESSURA DE 10 CM, ARMADO COM FIBRAS DE AÇO, INCLINAÇÃO MENOR QUE 90°, APLICAÇÃO CONTÍNUA, UTILIZANDO EQUIPAMENTO DE PROJEÇÃO COM 3 M³/H DE CAPACIDADE. AF_07/2024</t>
  </si>
  <si>
    <t>EXECUÇÃO DE REVESTIMENTO DE CONCRETO PROJETADO COM ESPESSURA DE 7 CM, ARMADO COM FIBRAS DE AÇO, INCLINAÇÃO DE 90°, APLICAÇÃO CONTÍNUA, UTILIZANDO EQUIPAMENTO DE PROJEÇÃO COM 3 M³/H DE CAPACIDADE. AF_07/2024</t>
  </si>
  <si>
    <t>EXECUÇÃO DE REVESTIMENTO DE CONCRETO PROJETADO COM ESPESSURA DE 10 CM, ARMADO COM FIBRAS DE AÇO, INCLINAÇÃO DE 90°, APLICAÇÃO CONTÍNUA, UTILIZANDO EQUIPAMENTO DE PROJEÇÃO COM 3 M³/H DE CAPACIDADE. AF_07/2024</t>
  </si>
  <si>
    <t>EXECUÇÃO DE REVESTIMENTO DE CONCRETO PROJETADO COM ESPESSURA DE 7 CM, ARMADO COM TELA, INCLINAÇÃO MENOR QUE 90°, APLICAÇÃO DESCONTÍNUA, UTILIZANDO EQUIPAMENTO DE PROJEÇÃO COM 6 M³/H DE CAPACIDADE. AF_07/2024</t>
  </si>
  <si>
    <t>EXECUÇÃO DE REVESTIMENTO DE CONCRETO PROJETADO COM ESPESSURA DE 10 CM, ARMADO COM TELA, INCLINAÇÃO MENOR QUE 90°, APLICAÇÃO DESCONTÍNUA, UTILIZANDO EQUIPAMENTO DE PROJEÇÃO COM 6 M³/H DE CAPACIDADE. AF_07/2024</t>
  </si>
  <si>
    <t>EXECUÇÃO DE REVESTIMENTO DE CONCRETO PROJETADO COM ESPESSURA DE 7 CM, ARMADO COM TELA, INCLINAÇÃO DE 90°, APLICAÇÃO DESCONTÍNUA, UTILIZANDO EQUIPAMENTO DE PROJEÇÃO COM 6 M³/H DE CAPACIDADE. AF_07/2024</t>
  </si>
  <si>
    <t>EXECUÇÃO DE REVESTIMENTO DE CONCRETO PROJETADO COM ESPESSURA DE 10 CM, ARMADO COM TELA, INCLINAÇÃO DE 90°, APLICAÇÃO DESCONTÍNUA, UTILIZANDO EQUIPAMENTO DE PROJEÇÃO COM 6 M³/H DE CAPACIDADE. AF_07/2024</t>
  </si>
  <si>
    <t>EXECUÇÃO DE REVESTIMENTO DE CONCRETO PROJETADO COM ESPESSURA DE 7 CM, ARMADO COM TELA, INCLINAÇÃO MENOR QUE 90°, APLICAÇÃO DESCONTÍNUA, UTILIZANDO EQUIPAMENTO DE PROJEÇÃO COM 3 M³/H DE CAPACIDADE. AF_07/2024</t>
  </si>
  <si>
    <t>EXECUÇÃO DE REVESTIMENTO DE CONCRETO PROJETADO COM ESPESSURA DE 10 CM, ARMADO COM TELA, INCLINAÇÃO MENOR QUE 90°, APLICAÇÃO DESCONTÍNUA, UTILIZANDO EQUIPAMENTO DE PROJEÇÃO COM 3 M³/H DE CAPACIDADE. AF_07/2024</t>
  </si>
  <si>
    <t>EXECUÇÃO DE REVESTIMENTO DE CONCRETO PROJETADO COM ESPESSURA DE 7 CM, ARMADO COM TELA, INCLINAÇÃO DE 90°, APLICAÇÃO DESCONTÍNUA, UTILIZANDO EQUIPAMENTO DE PROJEÇÃO COM 3 M³/H DE CAPACIDADE. AF_07/2024</t>
  </si>
  <si>
    <t>EXECUÇÃO DE REVESTIMENTO DE CONCRETO PROJETADO COM ESPESSURA DE 10 CM, ARMADO COM TELA, INCLINAÇÃO DE 90°, APLICAÇÃO DESCONTÍNUA, UTILIZANDO EQUIPAMENTO DE PROJEÇÃO COM 3 M³/H DE CAPACIDADE. AF_07/2024</t>
  </si>
  <si>
    <t>EXECUÇÃO DE REVESTIMENTO DE CONCRETO PROJETADO COM ESPESSURA DE 7 CM, ARMADO COM FIBRAS DE AÇO, INCLINAÇÃO MENOR QUE 90°, APLICAÇÃO DESCONTÍNUA, UTILIZANDO EQUIPAMENTO DE PROJEÇÃO COM 6 M³/H DE CAPACIDADE. AF_07/2024</t>
  </si>
  <si>
    <t>EXECUÇÃO DE REVESTIMENTO DE CONCRETO PROJETADO COM ESPESSURA DE 10 CM, ARMADO COM FIBRAS DE AÇO, INCLINAÇÃO MENOR QUE 90°, APLICAÇÃO DESCONTÍNUA, UTILIZANDO EQUIPAMENTO DE PROJEÇÃO COM 6 M³/H DE CAPACIDADE. AF_07/2024</t>
  </si>
  <si>
    <t>EXECUÇÃO DE REVESTIMENTO DE CONCRETO PROJETADO COM ESPESSURA DE 7 CM, ARMADO COM FIBRAS DE AÇO, INCLINAÇÃO DE 90°, APLICAÇÃO DESCONTÍNUA, UTILIZANDO EQUIPAMENTO DE PROJEÇÃO COM 6 M³/H DE CAPACIDADE. AF_07/2024</t>
  </si>
  <si>
    <t>EXECUÇÃO DE REVESTIMENTO DE CONCRETO PROJETADO COM ESPESSURA DE 10 CM, ARMADO COM FIBRAS DE AÇO, INCLINAÇÃO DE 90°, APLICAÇÃO DESCONTÍNUA, UTILIZANDO EQUIPAMENTO DE PROJEÇÃO COM 6 M³/H DE CAPACIDADE. AF_07/2024</t>
  </si>
  <si>
    <t>EXECUÇÃO DE REVESTIMENTO DE CONCRETO PROJETADO COM ESPESSURA DE 7 CM, ARMADO COM FIBRAS DE AÇO, INCLINAÇÃO MENOR QUE 90°, APLICAÇÃO DESCONTÍNUA, UTILIZANDO EQUIPAMENTO DE PROJEÇÃO COM 3 M³/H DE CAPACIDADE. AF_07/2024</t>
  </si>
  <si>
    <t>EXECUÇÃO DE REVESTIMENTO DE CONCRETO PROJETADO COM ESPESSURA DE 10 CM, ARMADO COM FIBRAS DE AÇO, INCLINAÇÃO MENOR QUE 90°, APLICAÇÃO DESCONTÍNUA, UTILIZANDO EQUIPAMENTO DE PROJEÇÃO COM 3 M³/H DE CAPACIDADE. AF_07/2024</t>
  </si>
  <si>
    <t>EXECUÇÃO DE REVESTIMENTO DE CONCRETO PROJETADO COM ESPESSURA DE 7 CM, ARMADO COM FIBRAS DE AÇO, INCLINAÇÃO DE 90°, APLICAÇÃO DESCONTÍNUA, UTILIZANDO EQUIPAMENTO DE PROJEÇÃO COM 3 M³/H DE CAPACIDADE. AF_07/2024</t>
  </si>
  <si>
    <t>EXECUÇÃO DE REVESTIMENTO DE CONCRETO PROJETADO COM ESPESSURA DE 10 CM, ARMADO COM FIBRAS DE AÇO, INCLINAÇÃO DE 90°, APLICAÇÃO DESCONTÍNUA, UTILIZANDO EQUIPAMENTO DE PROJEÇÃO COM 3 M³/H DE CAPACIDADE. AF_07/2024</t>
  </si>
  <si>
    <t>EXECUÇÃO DE GRAMPO PARA SOLO GRAMPEADO COM COMPRIMENTO MENOR OU IGUAL A 6 M, DIÂMETRO DE 10 CM, PERFURAÇÃO COM EQUIPAMENTO MANUAL E ARMADURA COM DIÂMETRO DE 20 MM. AF_07/2024</t>
  </si>
  <si>
    <t>EXECUÇÃO DE GRAMPO PARA SOLO GRAMPEADO COM COMPRIMENTO MAIOR QUE 6 M E MENOR OU IGUAL A 10 M, DIÂMETRO DE 10 CM, PERFURAÇÃO COM EQUIPAMENTO MANUAL E ARMADURA COM DIÂMETRO DE 20 MM. AF_07/2024</t>
  </si>
  <si>
    <t>EXECUÇÃO DE GRAMPO PARA SOLO GRAMPEADO COM COMPRIMENTO MAIOR QUE 10 M, DIÂMETRO DE 10 CM, PERFURAÇÃO COM EQUIPAMENTO MANUAL E ARMADURA COM DIÂMETRO DE 20 MM. AF_07/2024</t>
  </si>
  <si>
    <t>EXECUÇÃO DE GRAMPO PARA SOLO GRAMPEADO COM COMPRIMENTO MENOR OU IGUAL A 6 M, DIÂMETRO DE 7 CM, PERFURAÇÃO COM EQUIPAMENTO MANUAL E ARMADURA COM DIÂMETRO DE 20 MM. AF_07/2024</t>
  </si>
  <si>
    <t>EXECUÇÃO DE GRAMPO PARA SOLO GRAMPEADO COM COMPRIMENTO MAIOR QUE 6 M E MENOR OU IGUAL A 10 M, DIÂMETRO DE 7 CM, PERFURAÇÃO COM EQUIPAMENTO MANUAL E ARMADURA COM DIÂMETRO DE 20 MM. AF_07/2024</t>
  </si>
  <si>
    <t>EXECUÇÃO DE PROTEÇÃO DA CABEÇA DO TIRANTE COM USO DE FÔRMAS METÁLICAS, 50 UTILIZAÇÕES, E CONCRETO FCK =15 MPA. AF_11/2023</t>
  </si>
  <si>
    <t>14,61</t>
  </si>
  <si>
    <t>104841</t>
  </si>
  <si>
    <t>EXECUÇÃO DE PERFURAÇÃO PARA TIRANTE, COMPRIMENTO MAIOR OU IGUAL A 14 M E MENOR QUE 22 M, COM DIÂMETRO DE FURO DE 100 MM EXECUTADO COM HASTE E TUBOS DE REVESTIMENTO UTILIZANDO PERFURATRIZ SOBRE ESTEIRA. AF_11/2023</t>
  </si>
  <si>
    <t>104842</t>
  </si>
  <si>
    <t>EXECUÇÃO DE PERFURAÇÃO PARA TIRANTE, COMPRIMENTO MAIOR OU IGUAL A 22 M E MENOR QUE 30 M, COM DIÂMETRO DE FURO DE 100 MM EXECUTADO COM HASTE E TUBOS DE REVESTIMENTO UTILIZANDO PERFURATRIZ SOBRE ESTEIRA. AF_11/2023</t>
  </si>
  <si>
    <t>104843</t>
  </si>
  <si>
    <t>EXECUÇÃO DE PERFURAÇÃO PARA TIRANTE, COMPRIMENTO MAIOR OU IGUAL A 6 M E MENOR QUE 14 M, COM DIÂMETRO DE FURO DE 150 MM EXECUTADO COM HASTE E TUBOS DE REVESTIMENTO UTILIZANDO PERFURATRIZ SOBRE ESTEIRA. AF_11/2023</t>
  </si>
  <si>
    <t>104844</t>
  </si>
  <si>
    <t>EXECUÇÃO DE PERFURAÇÃO PARA TIRANTE, COMPRIMENTO MAIOR OU IGUAL A 14 M E MENOR QUE 22 M, COM DIÂMETRO DE FURO DE 150 MM EXECUTADO COM HASTE E TUBOS DE REVESTIMENTO UTILIZANDO PERFURATRIZ SOBRE ESTEIRA. AF_11/2023</t>
  </si>
  <si>
    <t>104845</t>
  </si>
  <si>
    <t>EXECUÇÃO DE PERFURAÇÃO PARA TIRANTE, COMPRIMENTO MAIOR OU IGUAL A 6 M E MENOR QUE 14 M, COM DIÂMETRO DE FURO DE 200 MM EXECUTADO COM HASTE E TUBOS DE REVESTIMENTO UTILIZANDO PERFURATRIZ SOBRE ESTEIRA. AF_11/2023</t>
  </si>
  <si>
    <t>104846</t>
  </si>
  <si>
    <t>EXECUÇÃO DE PERFURAÇÃO PARA TIRANTE, COMPRIMENTO MAIOR OU IGUAL A 14 M E MENOR QUE 22 M, COM DIÂMETRO DE FURO DE 200 MM EXECUTADO COM HASTE E TUBOS DE REVESTIMENTO UTILIZANDO PERFURATRIZ SOBRE ESTEIRA. AF_11/2023</t>
  </si>
  <si>
    <t>104847</t>
  </si>
  <si>
    <t>EXECUÇÃO DE PERFURAÇÃO PARA TIRANTE, COMPRIMENTO MAIOR OU IGUAL A 22 M E MENOR QUE 30 M, COM DIÂMETRO DE FURO DE 200 MM EXECUTADO COM HASTE E TUBOS DE REVESTIMENTO UTILIZANDO PERFURATRIZ SOBRE ESTEIRA. AF_11/2023</t>
  </si>
  <si>
    <t>104848</t>
  </si>
  <si>
    <t>EXECUÇÃO DE PERFURAÇÃO PARA TIRANTE, COMPRIMENTO MAIOR OU IGUAL A 6 M E MENOR QUE 14 M, COM DIÂMETRO DE FURO DE 100 MM EXECUTADO COM HASTE UTILIZANDO PERFURATRIZ MANUAL SOBRE BASE DE MONTAGEM. AF_11/2023</t>
  </si>
  <si>
    <t>104849</t>
  </si>
  <si>
    <t>EXECUÇÃO DE PERFURAÇÃO PARA TIRANTE, COMPRIMENTO MAIOR OU IGUAL A 14 M E MENOR QUE 22 M, COM DIÂMETRO DE FURO DE 100 MM EXECUTADO COM HASTE UTILIZANDO PERFURATRIZ MANUAL SOBRE BASE DE MONTAGEM. AF_11/2023</t>
  </si>
  <si>
    <t>104850</t>
  </si>
  <si>
    <t>EXECUÇÃO DE PERFURAÇÃO PARA TIRANTE, COMPRIMENTO MAIOR OU IGUAL A 22 M E MENOR QUE 30 M, COM DIÂMETRO DE FURO DE 100 MM EXECUTADO COM HASTE UTILIZANDO PERFURATRIZ MANUAL SOBRE BASE DE MONTAGEM. AF_11/2023</t>
  </si>
  <si>
    <t>104851</t>
  </si>
  <si>
    <t>EXECUÇÃO DE PERFURAÇÃO PARA TIRANTE, COMPRIMENTO MAIOR OU IGUAL A 6 M E MENOR QUE 14 M, COM DIÂMETRO DE FURO DE 150 MM EXECUTADO COM HASTE UTILIZANDO PERFURATRIZ MANUAL SOBRE BASE DE MONTAGEM. AF_11/2023</t>
  </si>
  <si>
    <t>104852</t>
  </si>
  <si>
    <t>EXECUÇÃO DE PERFURAÇÃO PARA TIRANTE, COMPRIMENTO MAIOR OU IGUAL A 14 M E MENOR QUE 22 M, COM DIÂMETRO DE FURO DE 150 MM EXECUTADO COM HASTE UTILIZANDO PERFURATRIZ MANUAL SOBRE BASE DE MONTAGEM. AF_11/2023</t>
  </si>
  <si>
    <t>104853</t>
  </si>
  <si>
    <t>EXECUÇÃO DE PERFURAÇÃO PARA TIRANTE, COMPRIMENTO MAIOR OU IGUAL A 22 M E MENOR QUE 30 M, COM DIÂMETRO DE FURO DE 150 MM EXECUTADO COM HASTE UTILIZANDO PERFURATRIZ MANUAL SOBRE BASE DE MONTAGEM. AF_11/2023</t>
  </si>
  <si>
    <t>104854</t>
  </si>
  <si>
    <t>EXECUÇÃO DE PERFURAÇÃO PARA TIRANTE, COMPRIMENTO MAIOR OU IGUAL A 14 M E MENOR QUE 22 M, COM DIÂMETRO DE FURO DE 200 MM EXECUTADO COM HASTE UTILIZANDO PERFURATRIZ MANUAL SOBRE BASE DE MONTAGEM. AF_11/2023</t>
  </si>
  <si>
    <t>69,96</t>
  </si>
  <si>
    <t>104855</t>
  </si>
  <si>
    <t>EXECUÇÃO DE PERFURAÇÃO PARA TIRANTE, COMPRIMENTO MAIOR OU IGUAL A 22 M E MENOR QUE 30 M, COM DIÂMETRO DE FURO DE 200 MM EXECUTADO COM HASTE UTILIZANDO PERFURATRIZ MANUAL SOBRE BASE DE MONTAGEM. AF_11/2023</t>
  </si>
  <si>
    <t>104876</t>
  </si>
  <si>
    <t>PERFURAÇÃO DE CORTINA PRÉ-MOLDADA COM MARTELETE ROMPEDOR. AF_11/2023</t>
  </si>
  <si>
    <t>104877</t>
  </si>
  <si>
    <t>EXECUÇÃO DE LONGARINA, PARA TIRANTES PROVISÓRIOS, COM PERFIL METÁLICO, INCLUINDO CUNHA E SOLIDARIZAÇÃO. AF_11/2023</t>
  </si>
  <si>
    <t>104878</t>
  </si>
  <si>
    <t>EXECUÇÃO DE LONGARINA, PARA TIRANTES PERMANENTES, COM PERFIL METÁLICO, INCLUINDO CUNHA E SOLIDARIZAÇÃO. AF_11/2023</t>
  </si>
  <si>
    <t>104879</t>
  </si>
  <si>
    <t>EXECUÇÃO DE PERFURAÇÃO PARA TIRANTE, COMPRIMENTO MAIOR OU IGUAL A 22 M E MENOR QUE 30 M, COM DIÂMETRO DE FURO DE 150 MM EXECUTADO COM HASTE E TUBOS DE REVESTIMENTO UTILIZANDO PERFURATRIZ SOBRE ESTEIRA. AF_11/2023</t>
  </si>
  <si>
    <t>104880</t>
  </si>
  <si>
    <t>EXECUÇÃO DE PERFURAÇÃO PARA TIRANTE, COMPRIMENTO MAIOR OU IGUAL A 6 M E MENOR QUE 14 M, COM DIÂMETRO DE FURO DE 200 MM EXECUTADO COM HASTE UTILIZANDO PERFURATRIZ MANUAL SOBRE BASE DE MONTAGEM. AF_11/2023</t>
  </si>
  <si>
    <t>104886</t>
  </si>
  <si>
    <t>EXECUÇÃO DE PERFURAÇÃO PARA TIRANTE, COMPRIMENTO MAIOR OU IGUAL A 6 M E MENOR QUE 14 M, COM DIÂMETRO DE FURO DE 100 MM EXECUTADO COM HASTE UTILIZANDO PERFURATRIZ SOBRE ESTEIRA. AF_11/2023</t>
  </si>
  <si>
    <t>48,80</t>
  </si>
  <si>
    <t>104887</t>
  </si>
  <si>
    <t>EXECUÇÃO DE PERFURAÇÃO PARA TIRANTE, COMPRIMENTO MAIOR OU IGUAL A 14 M E MENOR QUE 22 M, COM DIÂMETRO DE FURO DE 100 MM EXECUTADO COM HASTE UTILIZANDO PERFURATRIZ SOBRE ESTEIRA. AF_11/2023</t>
  </si>
  <si>
    <t>104888</t>
  </si>
  <si>
    <t>EXECUÇÃO DE PERFURAÇÃO PARA TIRANTE, COMPRIMENTO MAIOR OU IGUAL A 22 M E MENOR QUE 30 M, COM DIÂMETRO DE FURO DE 100 MM EXECUTADO COM HASTE UTILIZANDO PERFURATRIZ SOBRE ESTEIRA. AF_11/2023</t>
  </si>
  <si>
    <t>104889</t>
  </si>
  <si>
    <t>EXECUÇÃO DE PERFURAÇÃO PARA TIRANTE, COMPRIMENTO MAIOR OU IGUAL A 6 M E MENOR QUE 14 M, COM DIÂMETRO DE FURO DE 200 MM EXECUTADO COM HASTE UTILIZANDO PERFURATRIZ SOBRE ESTEIRA. AF_11/2023</t>
  </si>
  <si>
    <t>104890</t>
  </si>
  <si>
    <t>EXECUÇÃO DE PERFURAÇÃO PARA TIRANTE, COMPRIMENTO MAIOR OU IGUAL A 14 M E MENOR QUE 22 M, COM DIÂMETRO DE FURO DE 200 MM EXECUTADO COM HASTE UTILIZANDO PERFURATRIZ SOBRE ESTEIRA. AF_11/2023</t>
  </si>
  <si>
    <t>104891</t>
  </si>
  <si>
    <t>EXECUÇÃO DE PERFURAÇÃO PARA TIRANTE, COMPRIMENTO MAIOR OU IGUAL A 22 M E MENOR QUE 30 M, COM DIÂMETRO DE FURO DE 200 MM EXECUTADO COM HASTE UTILIZANDO PERFURATRIZ SOBRE ESTEIRA. AF_11/2023</t>
  </si>
  <si>
    <t>104892</t>
  </si>
  <si>
    <t>EXECUÇÃO DE PERFURAÇÃO PARA TIRANTE, COMPRIMENTO MAIOR OU IGUAL A 6 M E MENOR QUE 14 M, COM DIÂMETRO DE FURO DE 100 MM EXECUTADO COM HASTE E TUBOS DE REVESTIMENTO UTILIZANDO PERFURATRIZ SOBRE ESTEIRA. AF_11/2023</t>
  </si>
  <si>
    <t>101,68</t>
  </si>
  <si>
    <t>51,20</t>
  </si>
  <si>
    <t>GUIA (MEIO-FIO) CONCRETO, MOLDADA  IN LOCO  EM TRECHO RETO COM EXTRUSORA, 13 CM BASE X 22 CM ALTURA. AF_01/2024</t>
  </si>
  <si>
    <t>GUIA (MEIO-FIO) CONCRETO, MOLDADA  IN LOCO  EM TRECHO CURVO COM EXTRUSORA, 13 CM BASE X 22 CM ALTURA. AF_01/2024</t>
  </si>
  <si>
    <t>GUIA (MEIO-FIO) CONCRETO, MOLDADA  IN LOCO  EM TRECHO RETO COM EXTRUSORA, 15 CM BASE X 30 CM ALTURA. AF_01/2024</t>
  </si>
  <si>
    <t>GUIA (MEIO-FIO) CONCRETO, MOLDADA  IN LOCO  EM TRECHO CURVO COM EXTRUSORA, 15 CM BASE X 30 CM ALTURA. AF_01/2024</t>
  </si>
  <si>
    <t>55,92</t>
  </si>
  <si>
    <t>GUIA (MEIO-FIO) E SARJETA CONJUGADOS DE CONCRETO, MOLDADA  IN LOCO  EM TRECHO RETO COM EXTRUSORA, 45 CM BASE (15 CM BASE DA GUIA + 30 CM BASE DA SARJETA) X 22 CM ALTURA. AF_01/2024</t>
  </si>
  <si>
    <t>GUIA (MEIO-FIO) E SARJETA CONJUGADOS DE CONCRETO, MOLDADA  IN LOCO  EM TRECHO CURVO COM EXTRUSORA, 45 CM BASE (15 CM BASE DA GUIA + 30 CM BASE DA SARJETA) X 22 CM ALTURA. AF_01/2024</t>
  </si>
  <si>
    <t>GUIA (MEIO-FIO) E SARJETA CONJUGADOS DE CONCRETO, MOLDADA  IN LOCO  EM TRECHO RETO COM EXTRUSORA, 60 CM BASE (15 CM BASE DA GUIA + 45 CM BASE DA SARJETA) X 26 CM ALTURA. AF_01/2024</t>
  </si>
  <si>
    <t>GUIA (MEIO-FIO) E SARJETA CONJUGADOS DE CONCRETO, MOLDADA IN LOCO  EM TRECHO CURVO COM EXTRUSORA, 60 CM BASE (15 CM BASE DA GUIA + 45 CM BASE DA SARJETA) X 26 CM ALTURA. AF_01/2024</t>
  </si>
  <si>
    <t>96,59</t>
  </si>
  <si>
    <t>GUIA (MEIO-FIO) E SARJETA CONJUGADOS DE CONCRETO, MOLDADA  IN LOCO  EM TRECHO RETO COM EXTRUSORA, 65 CM BASE (15 CM BASE DA GUIA + 50 CM BASE DA SARJETA) X 26 CM ALTURA. AF_01/2024</t>
  </si>
  <si>
    <t>GUIA (MEIO-FIO) E SARJETA CONJUGADOS DE CONCRETO, MOLDADA  IN LOCO  EM TRECHO CURVO COM EXTRUSORA, 65 CM BASE (15 CM BASE DA GUIA + 50 CM BASE DA SARJETA) X 26 CM ALTURA. AF_01/2024</t>
  </si>
  <si>
    <t>ASSENTAMENTO DE GUIA (MEIO-FIO) EM TRECHO RETO, CONFECCIONADA EM CONCRETO PRÉ-FABRICADO, DIMENSÕES 100X15X13X30 CM (COMPRIMENTO X BASE INFERIOR X BASE SUPERIOR X ALTURA). AF_01/2024</t>
  </si>
  <si>
    <t>ASSENTAMENTO DE GUIA (MEIO-FIO) EM TRECHO CURVO, CONFECCIONADA EM CONCRETO PRÉ-FABRICADO, DIMENSÕES 100X15X13X30 CM (COMPRIMENTO X BASE INFERIOR X BASE SUPERIOR X ALTURA). AF_01/2024</t>
  </si>
  <si>
    <t>57,81</t>
  </si>
  <si>
    <t>ASSENTAMENTO DE GUIA (MEIO-FIO) EM TRECHO RETO, CONFECCIONADA EM CONCRETO PRÉ-FABRICADO, DIMENSÕES 100X15X13X20 CM (COMPRIMENTO X BASE INFERIOR X BASE SUPERIOR X ALTURA). AF_01/2024</t>
  </si>
  <si>
    <t>ASSENTAMENTO DE GUIA (MEIO-FIO) EM TRECHO CURVO, CONFECCIONADA EM CONCRETO PRÉ-FABRICADO, DIMENSÕES 100X15X13X20 CM (COMPRIMENTO X BASE INFERIOR X BASE SUPERIOR X ALTURA). AF_01/2024</t>
  </si>
  <si>
    <t>ASSENTAMENTO DE GUIA (MEIO-FIO) EM TRECHO RETO, CONFECCIONADA EM CONCRETO PRÉ-FABRICADO, DIMENSÕES 80X08X08X25 CM (COMPRIMENTO X BASE INFERIOR X BASE SUPERIOR X ALTURA). AF_01/2024</t>
  </si>
  <si>
    <t>43,79</t>
  </si>
  <si>
    <t>ASSENTAMENTO DE GUIA (MEIO-FIO) EM TRECHO CURVO, CONFECCIONADA EM CONCRETO PRÉ-FABRICADO, DIMENSÕES 80X08X08X25 CM (COMPRIMENTO X BASE INFERIOR X BASE SUPERIOR X ALTURA). AF_01/2024</t>
  </si>
  <si>
    <t>ASSENTAMENTO DE GUIA (MEIO-FIO) EM TRECHO RETO, CONFECCIONADA EM CONCRETO PRÉ-FABRICADO, DIMENSÕES 39X6,5X6,5X19 CM (COMPRIMENTO X BASE INFERIOR X BASE SUPERIOR X ALTURA), PARA DELIMITAÇÃO DE JARDINS, PRAÇAS OU PASSEIOS. AF_01/2024</t>
  </si>
  <si>
    <t>ASSENTAMENTO DE GUIA (MEIO-FIO) EM TRECHO CURVO, CONFECCIONADA EM CONCRETO PRÉ-FABRICADO, DIMENSÕES 39X6,5X6,5X19 CM (COMPRIMENTO X BASE INFERIOR X BASE SUPERIOR X ALTURA), PARA DELIMITAÇÃO DE JARDINS, PRAÇAS OU PASSEIOS. AF_01/2024</t>
  </si>
  <si>
    <t>EXECUÇÃO DE SARJETA DE CONCRETO USINADO, MOLDADA  IN LOCO  EM TRECHO RETO, 30 CM BASE X 15 CM ALTURA. AF_01/2024</t>
  </si>
  <si>
    <t>EXECUÇÃO DE SARJETA DE CONCRETO USINADO, MOLDADA  IN LOCO  EM TRECHO CURVO, 30 CM BASE X 15 CM ALTURA. AF_01/2024</t>
  </si>
  <si>
    <t>55,23</t>
  </si>
  <si>
    <t>EXECUÇÃO DE SARJETA DE CONCRETO USINADO, MOLDADA  IN LOCO  EM TRECHO RETO, 45 CM BASE X 15 CM ALTURA. AF_01/2024</t>
  </si>
  <si>
    <t>EXECUÇÃO DE SARJETA DE CONCRETO USINADO, MOLDADA  IN LOCO  EM TRECHO CURVO, 45 CM BASE X 15 CM ALTURA. AF_01/2024</t>
  </si>
  <si>
    <t>EXECUÇÃO DE SARJETA DE CONCRETO USINADO, MOLDADA  IN LOCO  EM TRECHO RETO, 60 CM BASE X 15 CM ALTURA. AF_01/2024</t>
  </si>
  <si>
    <t>86,16</t>
  </si>
  <si>
    <t>EXECUÇÃO DE SARJETA DE CONCRETO USINADO, MOLDADA  IN LOCO  EM TRECHO CURVO, 60 CM BASE X 15 CM ALTURA. AF_01/2024</t>
  </si>
  <si>
    <t>EXECUÇÃO DE SARJETA DE CONCRETO USINADO, MOLDADA  IN LOCO  EM TRECHO RETO, 30 CM BASE X 10 CM ALTURA. AF_01/2024</t>
  </si>
  <si>
    <t>EXECUÇÃO DE SARJETA DE CONCRETO USINADO, MOLDADA  IN LOCO  EM TRECHO CURVO, 30 CM BASE X 10 CM ALTURA. AF_01/2024</t>
  </si>
  <si>
    <t>EXECUÇÃO DE SARJETA DE CONCRETO USINADO, MOLDADA  IN LOCO  EM TRECHO RETO, 45 CM BASE X 10 CM ALTURA. AF_01/2024</t>
  </si>
  <si>
    <t>EXECUÇÃO DE SARJETA DE CONCRETO USINADO, MOLDADA  IN LOCO  EM TRECHO CURVO, 45 CM BASE X 10 CM ALTURA. AF_01/2024</t>
  </si>
  <si>
    <t>EXECUÇÃO DE SARJETA DE CONCRETO USINADO, MOLDADA  IN LOCO  EM TRECHO RETO, 60 CM BASE X 10 CM ALTURA. AF_01/2024</t>
  </si>
  <si>
    <t>EXECUÇÃO DE SARJETA DE CONCRETO USINADO, MOLDADA  IN LOCO  EM TRECHO CURVO, 60 CM BASE X 10 CM ALTURA. AF_01/2024</t>
  </si>
  <si>
    <t>EXECUÇÃO DE SARJETÃO DE CONCRETO USINADO, MOLDADA  IN LOCO  EM TRECHO RETO, 100 CM BASE X 20 CM ALTURA. AF_01/2024</t>
  </si>
  <si>
    <t>EXECUÇÃO DE ESCORAS DE CONCRETO PARA CONTENÇÃO DE GUIAS PRÉ-FABRICADAS. AF_01/2024</t>
  </si>
  <si>
    <t>11,83</t>
  </si>
  <si>
    <t>24,05</t>
  </si>
  <si>
    <t>27,76</t>
  </si>
  <si>
    <t>34,20</t>
  </si>
  <si>
    <t>47,37</t>
  </si>
  <si>
    <t>370,64</t>
  </si>
  <si>
    <t>GUARDA-CORPO DE AÇO GALVANIZADO DE 1,10M, MONTANTES TUBULARES DE 1.1/4" ESPAÇADOS DE 1,20M, TRAVESSA SUPERIOR DE 1.1/2", GRADIL FORMADO POR TUBOS HORIZONTAIS DE 1" E VERTICAIS DE 3/4", FIXADO COM CHUMBADOR MECÂNICO. AF_04/2019_PS</t>
  </si>
  <si>
    <t>CORRIMÃO SIMPLES, DIÂMETRO EXTERNO = 1 1/2", EM AÇO GALVANIZADO. AF_04/2019_PS</t>
  </si>
  <si>
    <t>CORRIMÃO SIMPLES, DIÂMETRO EXTERNO = 1 1/2", EM ALUMÍNIO. AF_04/2019_PS</t>
  </si>
  <si>
    <t>18,31</t>
  </si>
  <si>
    <t>22,24</t>
  </si>
  <si>
    <t>18,14</t>
  </si>
  <si>
    <t>ESTACA HÉLICE CONTÍNUA, DIÂMETRO DE 30 CM, INCLUSO CONCRETO FCK=30MPA E ARMADURA MÍNIMA (EXCLUSIVE BOMBEAMENTO, MOBILIZAÇÃO E DESMOBILIZAÇÃO). AF_12/2019_PA</t>
  </si>
  <si>
    <t>ESTACA HÉLICE CONTÍNUA , DIÂMETRO DE 50 CM, INCLUSO CONCRETO FCK=30MPA E ARMADURA MÍNIMA (EXCLUSIVE BOMBEAMENTO, MOBILIZAÇÃO E DESMOBILIZAÇÃO). AF_12/2019_PA</t>
  </si>
  <si>
    <t>ESTACA HÉLICE CONTÍNUA, DIÂMETRO DE 70 CM, INCLUSO CONCRETO FCK=30MPA E ARMADURA MÍNIMA (EXCLUSIVE BOMBEAMENTO, MOBILIZAÇÃO E DESMOBILIZAÇÃO). AF_12/2019_PA</t>
  </si>
  <si>
    <t>ESTACA HÉLICE CONTÍNUA, DIÂMETRO DE 80 CM, INCLUSO CONCRETO FCK=30MPA E ARMADURA MÍNIMA (EXCLUSIVE BOMBEAMENTO, MOBILIZAÇÃO E DESMOBILIZAÇÃO). AF_12/2019_PA</t>
  </si>
  <si>
    <t>ESTACA HÉLICE CONTÍNUA, DIÂMETRO DE 90 CM, INCLUSO CONCRETO FCK=30MPA E ARMADURA MÍNIMA (EXCLUSIVE BOMBEAMENTO, MOBILIZAÇÃO E DESMOBILIZAÇÃO). AF_12/2019_PA</t>
  </si>
  <si>
    <t>149,14</t>
  </si>
  <si>
    <t>ESTACA ESCAVADA MECANICAMENTE, SEM FLUIDO ESTABILIZANTE, COM 25CM DE DIÂMETRO, CONCRETO LANÇADO POR CAMINHÃO BETONEIRA (EXCLUSIVE MOBILIZAÇÃO E DESMOBILIZAÇÃO). AF_01/2020_PA</t>
  </si>
  <si>
    <t>ESTACA ESCAVADA MECANICAMENTE, SEM FLUIDO ESTABILIZANTE, COM 40CM DE DIÂMETRO, CONCRETO LANÇADO POR CAMINHÃO BETONEIRA (EXCLUSIVE MOBILIZAÇÃO E DESMOBILIZAÇÃO). AF_01/2020_PA</t>
  </si>
  <si>
    <t>ESTACA ESCAVADA MECANICAMENTE, SEM FLUIDO ESTABILIZANTE, COM 60CM DE DIÂMETRO, CONCRETO LANÇADO POR CAMINHÃO BETONEIRA (EXCLUSIVE MOBILIZAÇÃO E DESMOBILIZAÇÃO). AF_01/2020_PA</t>
  </si>
  <si>
    <t>ESTACA ESCAVADA MECANICAMENTE, SEM FLUIDO ESTABILIZANTE, COM 25CM DE DIÂMETRO, CONCRETO LANÇADO MANUALMENTE (EXCLUSIVE MOBILIZAÇÃO E DESMOBILIZAÇÃO). AF_01/2020_PA</t>
  </si>
  <si>
    <t>ESTACA ESCAVADA MECANICAMENTE, SEM FLUIDO ESTABILIZANTE, COM 60CM DE DIÂMETRO, CONCRETO LANÇADO POR BOMBA LANÇA (EXCLUSIVE BOMBEAMENTO, MOBILIZAÇÃO E DESMOBILIZAÇÃO). AF_01/2020_PA</t>
  </si>
  <si>
    <t>61,16</t>
  </si>
  <si>
    <t>116,63</t>
  </si>
  <si>
    <t>ESTACA BROCA DE CONCRETO, DIÂMETRO DE 30CM, ESCAVAÇÃO MANUAL COM TRADO CONCHA, INTEIRAMENTE ARMADA. AF_05/2020_PA</t>
  </si>
  <si>
    <t>LASTRO DE CONCRETO MAGRO, APLICADO EM PISOS, LAJES SOBRE SOLO OU RADIERS, ESPESSURA DE 3 CM. AF_01/2024</t>
  </si>
  <si>
    <t>LASTRO DE CONCRETO MAGRO, APLICADO EM PISOS, LAJES SOBRE SOLO OU RADIERS, ESPESSURA DE 5 CM. AF_01/2024</t>
  </si>
  <si>
    <t>LASTRO DE CONCRETO MAGRO, APLICADO EM BLOCOS DE COROAMENTO OU SAPATAS. AF_01/2024</t>
  </si>
  <si>
    <t>LASTRO DE CONCRETO MAGRO, APLICADO EM BLOCOS DE COROAMENTO OU SAPATAS, ESPESSURA DE 3 CM. AF_01/2024</t>
  </si>
  <si>
    <t>LASTRO DE CONCRETO MAGRO, APLICADO EM BLOCOS DE COROAMENTO OU SAPATAS, ESPESSURA DE 5 CM. AF_01/2024</t>
  </si>
  <si>
    <t>38,07</t>
  </si>
  <si>
    <t>LASTRO DE CONCRETO MAGRO, APLICADO EM PISOS, LAJES SOBRE SOLO OU RADIERS. AF_01/2024</t>
  </si>
  <si>
    <t>LASTRO COM MATERIAL GRANULAR, APLICAÇÃO EM BLOCOS DE COROAMENTO, ESPESSURA DE *5 CM*. AF_01/2024</t>
  </si>
  <si>
    <t>LASTRO COM MATERIAL GRANULAR, APLICADO EM PISOS OU LAJES SOBRE SOLO, ESPESSURA DE *5 CM*. AF_01/2024</t>
  </si>
  <si>
    <t>LASTRO COM MATERIAL GRANULAR, APLICADO EM BLOCOS DE COROAMENTO, ESPESSURA DE *10 CM*. AF_01/2024</t>
  </si>
  <si>
    <t>LASTRO COM MATERIAL GRANULAR (PEDRA BRITADA N.2), APLICADO EM PISOS OU LAJES SOBRE SOLO, ESPESSURA DE *10 CM*. AF_01/2024</t>
  </si>
  <si>
    <t>LASTRO COM MATERIAL GRANULAR (PEDRA BRITADA N.3), APLICADO EM PISOS OU LAJES SOBRE SOLO, ESPESSURA DE *10 CM*. AF_01/2024</t>
  </si>
  <si>
    <t>LASTRO COM MATERIAL GRANULAR (AREIA MÉDIA), APLICADO EM PISOS OU LAJES SOBRE SOLO, ESPESSURA DE *10 CM*. AF_01/2024</t>
  </si>
  <si>
    <t>162,56</t>
  </si>
  <si>
    <t>LASTRO COM MATERIAL GRANULAR (PEDRA BRITADA N.1 E PEDRA BRITADA N.2), APLICADO EM PISOS OU LAJES SOBRE SOLO, ESPESSURA DE *10 CM*. AF_01/2024</t>
  </si>
  <si>
    <t>227,19</t>
  </si>
  <si>
    <t>314,45</t>
  </si>
  <si>
    <t>226,65</t>
  </si>
  <si>
    <t>112,25</t>
  </si>
  <si>
    <t>53,87</t>
  </si>
  <si>
    <t>MONTAGEM E DESMONTAGEM DE FÔRMA DE VIGA, ESCORAMENTO METÁLICO, PÉ-DIREITO DUPLO, EM CHAPA DE MADEIRA RESINADA, 6 UTILIZAÇÕES. AF_09/2020</t>
  </si>
  <si>
    <t>134,11</t>
  </si>
  <si>
    <t>145,06</t>
  </si>
  <si>
    <t>94,20</t>
  </si>
  <si>
    <t>86,77</t>
  </si>
  <si>
    <t>101,62</t>
  </si>
  <si>
    <t>94,64</t>
  </si>
  <si>
    <t>80,45</t>
  </si>
  <si>
    <t>76,42</t>
  </si>
  <si>
    <t>39,44</t>
  </si>
  <si>
    <t>34,87</t>
  </si>
  <si>
    <t>FABRICAÇÃO DE FÔRMA PARA PILARES CIRCULARES, EM CHAPA DE MADEIRA COMPENSADA RESINADA, PÉ-DIREITO SIMPLES. AF_05/2024</t>
  </si>
  <si>
    <t>MONTAGEM E DESMONTAGEM DE FÔRMA DE PILARES CIRCULARES, PÉ-DIREITO SIMPLES, EM MADEIRA, 2 UTILIZAÇÕES. AF_05/2024</t>
  </si>
  <si>
    <t>FABRICAÇÃO, MONTAGEM E DESMONTAGEM DE FÔRMA PARA SAPATA, EM MADEIRA SERRADA, E=25 MM, 1 UTILIZAÇÃO. AF_01/2024</t>
  </si>
  <si>
    <t>FABRICAÇÃO, MONTAGEM E DESMONTAGEM DE FÔRMA PARA VIGA BALDRAME, EM MADEIRA SERRADA, E=25 MM, 1 UTILIZAÇÃO. AF_01/2024</t>
  </si>
  <si>
    <t>FABRICAÇÃO, MONTAGEM E DESMONTAGEM DE FÔRMA PARA BLOCO DE COROAMENTO, EM MADEIRA SERRADA, E=25 MM, 2 UTILIZAÇÕES. AF_01/2024</t>
  </si>
  <si>
    <t>FABRICAÇÃO, MONTAGEM E DESMONTAGEM DE FÔRMA PARA SAPATA, EM MADEIRA SERRADA, E=25 MM, 2 UTILIZAÇÕES. AF_01/2024</t>
  </si>
  <si>
    <t>FABRICAÇÃO, MONTAGEM E DESMONTAGEM DE FÔRMA PARA VIGA BALDRAME, EM MADEIRA SERRADA, E=25 MM, 2 UTILIZAÇÕES. AF_01/2024</t>
  </si>
  <si>
    <t>FABRICAÇÃO, MONTAGEM E DESMONTAGEM DE FÔRMA PARA BLOCO DE COROAMENTO, EM MADEIRA SERRADA, E=25 MM, 4 UTILIZAÇÕES. AF_01/2024</t>
  </si>
  <si>
    <t>FABRICAÇÃO, MONTAGEM E DESMONTAGEM DE FÔRMA PARA SAPATA, EM MADEIRA SERRADA, E=25 MM, 4 UTILIZAÇÕES. AF_01/2024</t>
  </si>
  <si>
    <t>FABRICAÇÃO, MONTAGEM E DESMONTAGEM DE FÔRMA PARA VIGA BALDRAME, EM MADEIRA SERRADA, E=25 MM, 4 UTILIZAÇÕES. AF_01/2024</t>
  </si>
  <si>
    <t>FABRICAÇÃO, MONTAGEM E DESMONTAGEM DE FÔRMA PARA BLOCO DE COROAMENTO, EM CHAPA DE MADEIRA COMPENSADA RESINADA, E=17 MM, 2 UTILIZAÇÕES. AF_01/2024</t>
  </si>
  <si>
    <t>FABRICAÇÃO, MONTAGEM E DESMONTAGEM DE FÔRMA PARA SAPATA, EM CHAPA DE MADEIRA COMPENSADA RESINADA, E=17 MM, 2 UTILIZAÇÕES. AF_01/2024</t>
  </si>
  <si>
    <t>FABRICAÇÃO, MONTAGEM E DESMONTAGEM DE FÔRMA PARA VIGA BALDRAME, EM CHAPA DE MADEIRA COMPENSADA RESINADA, E=17 MM, 2 UTILIZAÇÕES. AF_01/2024</t>
  </si>
  <si>
    <t>FABRICAÇÃO, MONTAGEM E DESMONTAGEM DE FÔRMA PARA BLOCO DE COROAMENTO, EM CHAPA DE MADEIRA COMPENSADA RESINADA, E=17 MM, 4 UTILIZAÇÕES. AF_01/2024</t>
  </si>
  <si>
    <t>FABRICAÇÃO, MONTAGEM E DESMONTAGEM DE FÔRMA PARA SAPATA, EM CHAPA DE MADEIRA COMPENSADA RESINADA, E=17 MM, 4 UTILIZAÇÕES. AF_01/2024</t>
  </si>
  <si>
    <t>FABRICAÇÃO, MONTAGEM E DESMONTAGEM DE FÔRMA PARA VIGA BALDRAME, EM CHAPA DE MADEIRA COMPENSADA RESINADA, E=17 MM, 4 UTILIZAÇÕES. AF_01/2024</t>
  </si>
  <si>
    <t>ARMAÇÃO DE BLOCO UTILIZANDO AÇO CA-60 DE 5 MM - MONTAGEM. AF_01/2024</t>
  </si>
  <si>
    <t>16,90</t>
  </si>
  <si>
    <t>156,72</t>
  </si>
  <si>
    <t>217,27</t>
  </si>
  <si>
    <t>230,81</t>
  </si>
  <si>
    <t>ESCADA EM CONCRETO ARMADO MOLDADO IN LOCO, FCK 25 MPA, COM 1 LANCE E LAJE PLANA, FÔRMA EM CHAPA DE MADEIRA COMPENSADA RESINADA. AF_11/2020_PA</t>
  </si>
  <si>
    <t>ESCADA EM CONCRETO ARMADO MOLDADO IN LOCO, FCK 25 MPA, COM 2 LANCES EM  U  E LAJE PLANA, FÔRMA EM CHAPA DE MADEIRA COMPENSADA RESINADA. AF_11/2020_PA</t>
  </si>
  <si>
    <t>ESCADA EM CONCRETO ARMADO MOLDADO IN LOCO, FCK 25 MPA, COM 2 LANCES EM  L  E LAJE PLANA, FÔRMA EM CHAPA DE MADEIRA COMPENSADA RESINADA. AF_11/2020_PA</t>
  </si>
  <si>
    <t>ESCADA EM CONCRETO ARMADO MOLDADO IN LOCO, FCK 25 MPA, COM 2 LANCES EM  X  E LAJE PLANA, FÔRMA EM CHAPA DE MADEIRA COMPENSADA RESINADA. AF_11/2020_PA</t>
  </si>
  <si>
    <t>ESCADA EM CONCRETO ARMADO MOLDADO IN LOCO, FCK 25 MPA, COM 1 LANCE E LAJE CASCATA, FÔRMA EM CHAPA DE MADEIRA COMPENSADA RESINADA. AF_11/2020_PA</t>
  </si>
  <si>
    <t>ESCADA EM CONCRETO ARMADO MOLDADO IN LOCO, FCK 25 MPA, COM 2 LANCES EM  U  E LAJE CASCATA, FÔRMA EM CHAPA DE MADEIRA COMPENSADA RESINADA. AF_11/2020_PA</t>
  </si>
  <si>
    <t>ESCADA EM CONCRETO ARMADO MOLDADO IN LOCO, FCK 25 MPA, COM 2 LANCES EM  L  E LAJE CASCATA, FÔRMA EM CHAPA DE MADEIRA COMPENSADA RESINADA. AF_11/2020_PA</t>
  </si>
  <si>
    <t>ESCADA EM CONCRETO ARMADO MOLDADO IN LOCO, FCK 25 MPA, COM 2 LANCES EM  X  E LAJE CASCATA, FÔRMA EM CHAPA DE MADEIRA COMPENSADA RESINADA. AF_11/2020_PA</t>
  </si>
  <si>
    <t>FABRICAÇÃO DE FÔRMA PARA ESCADA DUPLA COM 2 LANCES EM X E LAJE PLANA, EM MADEIRA SERRADA, E=25 MM. AF_11/2020</t>
  </si>
  <si>
    <t>FABRICAÇÃO DE FÔRMA PARA ESCADA DUPLA COM 2 LANCES EM X E LAJE CASCATA, EM MADEIRA SERRADA, E=25 MM. AF_11/2020</t>
  </si>
  <si>
    <t>104925</t>
  </si>
  <si>
    <t>FABRICAÇÃO, MONTAGEM E DESMONTAGEM DE FÔRMA PARA SAPATA CORRIDA, EM MADEIRA SERRADA, E=25 MM, 1 UTILIZAÇÃO. AF_01/2024</t>
  </si>
  <si>
    <t>104926</t>
  </si>
  <si>
    <t>FABRICAÇÃO, MONTAGEM E DESMONTAGEM DE FÔRMA PARA SAPATA CORRIDA, EM MADEIRA SERRADA, E=25 MM, 2 UTILIZAÇÕES. AF_01/2024</t>
  </si>
  <si>
    <t>104927</t>
  </si>
  <si>
    <t>FABRICAÇÃO, MONTAGEM E DESMONTAGEM DE FÔRMA PARA SAPATA CORRIDA, EM MADEIRA SERRADA, E=25 MM, 4 UTILIZAÇÕES. AF_01/2024</t>
  </si>
  <si>
    <t>104928</t>
  </si>
  <si>
    <t>FABRICAÇÃO, MONTAGEM E DESMONTAGEM DE FÔRMA PARA SAPATA CORRIDA, EM CHAPA DE MADEIRA COMPENSADA RESINADA, E=17 MM, 2 UTILIZAÇÕES. AF_01/2024</t>
  </si>
  <si>
    <t>154,18</t>
  </si>
  <si>
    <t>104929</t>
  </si>
  <si>
    <t>FABRICAÇÃO, MONTAGEM E DESMONTAGEM DE FÔRMA PARA SAPATA CORRIDA, EM CHAPA DE MADEIRA COMPENSADA RESINADA, E=17 MM, 4 UTILIZAÇÕES. AF_01/2024</t>
  </si>
  <si>
    <t>105403</t>
  </si>
  <si>
    <t>FABRICAÇÃO DE FÔRMA PARA PILARES CIRCULARES, EM CHAPA DE MADEIRA COMPENSADA RESINADA, PÉ-DIREITO DUPLO. AF_05/2024</t>
  </si>
  <si>
    <t>105406</t>
  </si>
  <si>
    <t>MONTAGEM E DESMONTAGEM DE FÔRMA DE PILARES CIRCULARES, PÉ-DIREITO DUPLO, EM MADEIRA, 2 UTILIZAÇÕES. AF_05/2024</t>
  </si>
  <si>
    <t>7,89</t>
  </si>
  <si>
    <t>16,78</t>
  </si>
  <si>
    <t>11,03</t>
  </si>
  <si>
    <t>14,06</t>
  </si>
  <si>
    <t>MONTAGEM DE ARMADURA DE ESTACAS, DIÂMETRO = 32,0 MM. AF_09/2021_PS</t>
  </si>
  <si>
    <t>ARMAÇÃO DE BLOCO UTILIZANDO AÇO CA-50 DE 6,3 MM - MONTAGEM. AF_01/2024</t>
  </si>
  <si>
    <t>ARMAÇÃO DE BLOCO UTILIZANDO AÇO CA-50 DE 8 MM - MONTAGEM. AF_01/2024</t>
  </si>
  <si>
    <t>ARMAÇÃO DE BLOCO UTILIZANDO AÇO CA-50 DE 10 MM - MONTAGEM. AF_01/2024</t>
  </si>
  <si>
    <t>15,44</t>
  </si>
  <si>
    <t>104915</t>
  </si>
  <si>
    <t>ARMAÇÃO DE BLOCO E SAPATA UTILIZANDO AÇO CA-50 DE 25 MM - MONTAGEM. AF_01/2024</t>
  </si>
  <si>
    <t>104917</t>
  </si>
  <si>
    <t>ARMAÇÃO DE SAPATA ISOLADA, VIGA BALDRAME E SAPATA CORRIDA UTILIZANDO AÇO CA-50 DE 6,3 MM - MONTAGEM. AF_01/2024</t>
  </si>
  <si>
    <t>104918</t>
  </si>
  <si>
    <t>ARMAÇÃO DE SAPATA ISOLADA, VIGA BALDRAME E SAPATA CORRIDA UTILIZANDO AÇO CA-50 DE 8 MM - MONTAGEM. AF_01/2024</t>
  </si>
  <si>
    <t>15,80</t>
  </si>
  <si>
    <t>104919</t>
  </si>
  <si>
    <t>ARMAÇÃO DE SAPATA ISOLADA, VIGA BALDRAME E SAPATA CORRIDA UTILIZANDO AÇO CA-50 DE 10 MM - MONTAGEM. AF_01/2024</t>
  </si>
  <si>
    <t>104920</t>
  </si>
  <si>
    <t>ARMAÇÃO DE BLOCO, SAPATA ISOLADA, VIGA BALDRAME E SAPATA CORRIDA UTILIZANDO AÇO CA-50 DE 12,5 MM - MONTAGEM. AF_01/2024</t>
  </si>
  <si>
    <t>104921</t>
  </si>
  <si>
    <t>ARMAÇÃO DE BLOCO, SAPATA ISOLADA, VIGA BALDRAME E SAPATA CORRIDA UTILIZANDO AÇO CA-50 DE 16 MM - MONTAGEM. AF_01/2024</t>
  </si>
  <si>
    <t>104922</t>
  </si>
  <si>
    <t>ARMAÇÃO DE BLOCO, SAPATA ISOLADA E SAPATA CORRIDA UTILIZANDO AÇO CA-50 DE 20 MM - MONTAGEM. AF_01/2024</t>
  </si>
  <si>
    <t>855,37</t>
  </si>
  <si>
    <t>380,07</t>
  </si>
  <si>
    <t>CONCRETAGEM DE BLOCO DE COROAMENTO OU VIGA BALDRAME, FCK 30 MPA, COM USO DE JERICA - LANÇAMENTO, ADENSAMENTO E ACABAMENTO. AF_01/2024</t>
  </si>
  <si>
    <t>CONCRETAGEM DE SAPATA, FCK 30 MPA, COM USO DE JERICA - LANÇAMENTO, ADENSAMENTO E ACABAMENTO. AF_01/2024</t>
  </si>
  <si>
    <t>CONCRETAGEM DE BLOCO DE COROAMENTO OU VIGA BALDRAME, FCK 30 MPA, COM USO DE BOMBA - LANÇAMENTO, ADENSAMENTO E ACABAMENTO. AF_01/2024</t>
  </si>
  <si>
    <t>CONCRETAGEM DE SAPATA, FCK 30 MPA, COM USO DE BOMBA - LANÇAMENTO, ADENSAMENTO E ACABAMENTO. AF_01/2024</t>
  </si>
  <si>
    <t>561,67</t>
  </si>
  <si>
    <t>42,08</t>
  </si>
  <si>
    <t>104916</t>
  </si>
  <si>
    <t>ARMAÇÃO DE SAPATA ISOLADA, VIGA BALDRAME E SAPATA CORRIDA UTILIZANDO AÇO CA-60 DE 5 MM - MONTAGEM. AF_01/2024</t>
  </si>
  <si>
    <t>104923</t>
  </si>
  <si>
    <t>CONCRETAGEM DE SAPATA CORRIDA, FCK 30 MPA, COM USO DE JERICA - LANÇAMENTO, ADENSAMENTO E ACABAMENTO. AF_01/2024</t>
  </si>
  <si>
    <t>104924</t>
  </si>
  <si>
    <t>CONCRETAGEM DE SAPATA CORRIDA, FCK 30 MPA, COM USO DE BOMBA - LANÇAMENTO, ADENSAMENTO E ACABAMENTO. AF_01/2024</t>
  </si>
  <si>
    <t>LAJE PRÉ-MOLDADA UNIDIRECIONAL, BIAPOIADA, PARA PISO, ENCHIMENTO EM CERÂMICA, VIGOTA CONVENCIONAL, ALTURA TOTAL DA LAJE (ENCHIMENTO+CAPA) = (8+4). AF_11/2020_PA</t>
  </si>
  <si>
    <t>LAJE PRÉ-MOLDADA UNIDIRECIONAL, BIAPOIADA, PARA FORRO, ENCHIMENTO EM CERÂMICA, VIGOTA CONVENCIONAL, ALTURA TOTAL DA LAJE (ENCHIMENTO+CAPA) = (8+3). AF_11/2020_PA</t>
  </si>
  <si>
    <t>TRATAMENTO DE JUNTA DE DILATAÇÃO, COM TARUGO DE POLIETILENO E SELANTE PU, INCLUSO PREENCHIMENTO COM ESPUMA EXPANSIVA PU. AF_09/2023</t>
  </si>
  <si>
    <t>66,77</t>
  </si>
  <si>
    <t>TRATAMENTO DE JUNTA DE DILATAÇÃO COM MANTA ASFÁLTICA ADERIDA COM MAÇARICO. AF_09/2023</t>
  </si>
  <si>
    <t>TRATAMENTO DE JUNTA SERRADA, COM TARUGO DE POLIETILENO E SELANTE À BASE DE SILICONE. AF_09/2023</t>
  </si>
  <si>
    <t>VERGA PRÉ-MOLDADA COM ATÉ 1,5 M DE VÃO, ESPESSURA DE *20* CM. AF_03/2024</t>
  </si>
  <si>
    <t>27,88</t>
  </si>
  <si>
    <t>VERGA MOLDADA IN LOCO EM CONCRETO, ESPESSURA DE *20* CM. AF_03/2024</t>
  </si>
  <si>
    <t>VERGA MOLDADA IN LOCO COM UTILIZAÇÃO DE BLOCOS CANALETA, ESPESSURA DE *20* CM. AF_03/2024</t>
  </si>
  <si>
    <t>CONTRAVERGA PRÉ-MOLDADA, ESPESSURA DE *20* CM. AF_03/2024</t>
  </si>
  <si>
    <t>CONTRAVERGA MOLDADA IN LOCO EM CONCRETO, ESPESSURA DE *20* CM. AF_03/2024</t>
  </si>
  <si>
    <t>CONTRAVERGA MOLDADA IN LOCO COM UTILIZAÇÃO DE BLOCOS CANALETA, ESPESSURA DE *20* CM. AF_03/2024</t>
  </si>
  <si>
    <t>FIXAÇÃO (ENCUNHAMENTO) DE ALVENARIA DE VEDAÇÃO COM ARGAMASSA APLICADA COM BISNAGA. AF_03/2024</t>
  </si>
  <si>
    <t>FIXAÇÃO (ENCUNHAMENTO) DE ALVENARIA DE VEDAÇÃO COM TIJOLO MACIÇO. AF_03/2024</t>
  </si>
  <si>
    <t>FIXAÇÃO (ENCUNHAMENTO) DE ALVENARIA DE VEDAÇÃO COM ESPUMA DE POLIURETANO EXPANSIVA. AF_03/2024</t>
  </si>
  <si>
    <t>CINTA DE AMARRAÇÃO DE ALVENARIA MOLDADA IN LOCO COM UTILIZAÇÃO DE BLOCOS CANALETA, ESPESSURA DE *20* CM. AF_03/2024</t>
  </si>
  <si>
    <t>105021</t>
  </si>
  <si>
    <t>VERGA PRÉ-MOLDADA COM ATÉ 1,5 M DE VÃO, ESPESSURA DE *15* CM. AF_03/2024</t>
  </si>
  <si>
    <t>105022</t>
  </si>
  <si>
    <t>VERGA PRÉ-MOLDADA COM ATÉ 1,5 M DE VÃO, ESPESSURA DE *10* CM. AF_03/2024</t>
  </si>
  <si>
    <t>21,44</t>
  </si>
  <si>
    <t>105023</t>
  </si>
  <si>
    <t>VERGA MOLDADA IN LOCO EM CONCRETO, ESPESSURA DE *15* CM. AF_03/2024</t>
  </si>
  <si>
    <t>105024</t>
  </si>
  <si>
    <t>VERGA MOLDADA IN LOCO EM CONCRETO, ESPESSURA DE *10* CM. AF_03/2024</t>
  </si>
  <si>
    <t>105025</t>
  </si>
  <si>
    <t>VERGA MOLDADA IN LOCO COM UTILIZAÇÃO DE BLOCOS CANALETA, ESPESSURA DE *15* CM. AF_03/2024</t>
  </si>
  <si>
    <t>105026</t>
  </si>
  <si>
    <t>VERGA MOLDADA IN LOCO COM UTILIZAÇÃO DE BLOCOS CANALETA, ESPESSURA DE *10* CM. AF_03/2024</t>
  </si>
  <si>
    <t>105027</t>
  </si>
  <si>
    <t>CONTRAVERGA PRÉ-MOLDADA, ESPESSURA DE *15* CM. AF_03/2024</t>
  </si>
  <si>
    <t>105028</t>
  </si>
  <si>
    <t>CONTRAVERGA PRÉ-MOLDADA, ESPESSURA DE *10* CM. AF_03/2024</t>
  </si>
  <si>
    <t>105029</t>
  </si>
  <si>
    <t>CONTRAVERGA MOLDADA IN LOCO EM CONCRETO, ESPESSURA DE *15* CM. AF_03/2024</t>
  </si>
  <si>
    <t>48,17</t>
  </si>
  <si>
    <t>105030</t>
  </si>
  <si>
    <t>CONTRAVERGA MOLDADA IN LOCO EM CONCRETO, ESPESSURA DE *10* CM. AF_03/2024</t>
  </si>
  <si>
    <t>105031</t>
  </si>
  <si>
    <t>CONTRAVERGA MOLDADA IN LOCO COM UTILIZAÇÃO DE BLOCOS CANALETA, ESPESSURA DE *15* CM. AF_03/2024</t>
  </si>
  <si>
    <t>105032</t>
  </si>
  <si>
    <t>CONTRAVERGA MOLDADA IN LOCO COM UTILIZAÇÃO DE BLOCOS CANALETA, ESPESSURA DE *10* CM. AF_03/2024</t>
  </si>
  <si>
    <t>105033</t>
  </si>
  <si>
    <t>CINTA DE AMARRAÇÃO DE ALVENARIA MOLDADA IN LOCO COM UTILIZAÇÃO DE BLOCOS CANALETA, ESPESSURA DE *15* CM. AF_03/2024</t>
  </si>
  <si>
    <t>105034</t>
  </si>
  <si>
    <t>CINTA DE AMARRAÇÃO DE ALVENARIA MOLDADA IN LOCO COM UTILIZAÇÃO DE BLOCOS CANALETA, ESPESSURA DE *10* CM. AF_03/2024</t>
  </si>
  <si>
    <t>105035</t>
  </si>
  <si>
    <t>VERGA PRÉ-FABRICADA COM ATÉ 1,5 M DE VÃO, ESPESSURA DE *20* CM. AF_03/2024</t>
  </si>
  <si>
    <t>105036</t>
  </si>
  <si>
    <t>VERGA PRÉ-FABRICADA COM ATÉ 1,5 M DE VÃO, ESPESSURA DE *15* CM. AF_03/2024</t>
  </si>
  <si>
    <t>105037</t>
  </si>
  <si>
    <t>VERGA PRÉ-FABRICADA COM ATÉ 1,5 M DE VÃO, ESPESSURA DE *10* CM. AF_03/2024</t>
  </si>
  <si>
    <t>105038</t>
  </si>
  <si>
    <t>CONTRAVERGA PRÉ-FABRICADA, ESPESSURA DE *20* CM. AF_03/2024</t>
  </si>
  <si>
    <t>105039</t>
  </si>
  <si>
    <t>CONTRAVERGA PRÉ-FABRICADA, ESPESSURA DE *15* CM. AF_03/2024</t>
  </si>
  <si>
    <t>105040</t>
  </si>
  <si>
    <t>CONTRAVERGA PRÉ-FABRICADA, ESPESSURA DE *10* CM. AF_03/2024</t>
  </si>
  <si>
    <t>PEÇA RETANGULAR PRÉ-MOLDADA, VOLUME DE CONCRETO DE ATÉ 10 LITROS, TAXA DE AÇO APROXIMADA DE 30KG/M³. AF_03/2024</t>
  </si>
  <si>
    <t>PEÇA RETANGULAR PRÉ-MOLDADA, VOLUME DE CONCRETO DE 10 A 30 LITROS, TAXA DE AÇO APROXIMADA DE 30KG/M³. AF_03/2024</t>
  </si>
  <si>
    <t>PEÇA RETANGULAR PRÉ-MOLDADA, VOLUME DE CONCRETO DE 30 A 100 LITROS, TAXA DE AÇO APROXIMADA DE 30KG/M³. AF_03/2024</t>
  </si>
  <si>
    <t>PEÇA RETANGULAR PRÉ-MOLDADA, VOLUME DE CONCRETO ACIMA DE 100 LITROS, TAXA DE AÇO APROXIMADA DE 30KG/M³. AF_03/2024</t>
  </si>
  <si>
    <t>PEÇA CIRCULAR PRÉ-MOLDADA, VOLUME DE CONCRETO DE 10 A 30 LITROS, TAXA DE FIBRA DE POLIPROPILENO APROXIMADA DE 6 KG/M³. AF_03/2024_PS</t>
  </si>
  <si>
    <t>PEÇA CIRCULAR PRÉ-MOLDADA, VOLUME DE CONCRETO DE 30 A 100 LITROS, TAXA DE AÇO APROXIMADA DE 30KG/M³. AF_03/2024</t>
  </si>
  <si>
    <t>PEÇA CIRCULAR PRÉ-MOLDADA, VOLUME DE CONCRETO ACIMA DE 100 LITROS, TAXA DE AÇO APROXIMADA DE 30KG/M³. AF_03/2024</t>
  </si>
  <si>
    <t>19,18</t>
  </si>
  <si>
    <t>12,89</t>
  </si>
  <si>
    <t>ARMAÇÃO DE DESCIDA D'ÁGUA UTILIZANDO AÇO CA-60 DE 5 MM - MONTAGEM. AF_08/2022</t>
  </si>
  <si>
    <t>ESCADA HIDRÁULICA, LARGURA ATÉ 1M, TIPO DESCIDA D'ÁGUA DE CORTE OU ATERRO EM DEGRAUS (DCD 02, 04 E DAD 02), EM CONCRETO USINADO, FCK = 20 MPA, LANÇADO COM BOMBA, INCLUINDO ARMAÇÃO, MATERIAIS E FÔRMAS (3 UTILIZAÇÕES). AF_08/2022</t>
  </si>
  <si>
    <t>ESCADA HIDRÁULICA, LARGURA DE 1 A 4,1 M, TIPO DESCIDA D'ÁGUA DE ATERRO EM DEGRAUS (DAD 04, 06, 08, 10, 12, 14, 16, 18), EM CONCRETO USINADO, FCK = 20 MPA, LANÇADO COM BOMBA, INCLUINDO ARMAÇÃO, MATERIAIS E FÔRMAS (3 UTILIZAÇÕES). AF_08/2022</t>
  </si>
  <si>
    <t>105041</t>
  </si>
  <si>
    <t>VIGA DE MADEIRA SERRADA, PINUS OU EQUIVALENTE DA REGIÃO, SEÇÃO RETANGULAR 7,5 X 10 CM. AF_03/2024</t>
  </si>
  <si>
    <t>52,14</t>
  </si>
  <si>
    <t>105042</t>
  </si>
  <si>
    <t>PILAR DE MADEIRA ROLIÇA, EUCALIPTO OU EQUIVALENTE DA REGIÃO, FIXADO COM VERGALHÃO, DIÂMETRO DE 12 A 15 CM, APOIO ARTICULADO, COMPRIMENTO DE 3 M. AF_03/2024</t>
  </si>
  <si>
    <t>105045</t>
  </si>
  <si>
    <t>VIGA DE MADEIRA SERRADA, PINUS OU EQUIVALENTE DA REGIÃO, SEÇÃO RETANGULAR 7,5 X 15 CM. AF_03/2024</t>
  </si>
  <si>
    <t>59,51</t>
  </si>
  <si>
    <t>105046</t>
  </si>
  <si>
    <t>PILAR DE MADEIRA ROLIÇA, EUCALIPTO OU EQUIVALENTE DA REGIÃO, FIXADO COM VERGALHÃO, DIÂMETRO DE 12 A 15 CM, APOIO ARTICULADO, COMPRIMENTO DE 6 M. AF_03/2024</t>
  </si>
  <si>
    <t>105050</t>
  </si>
  <si>
    <t>PILAR DE MADEIRA ROLIÇA, EUCALIPTO OU EQUIVALENTE DA REGIÃO, FIXADO COM VERGALHÃO, DIÂMETRO DE 21 A 29 CM, APOIO ARTICULADO, COMPRIMENTO DE 3 M. AF_03/2024</t>
  </si>
  <si>
    <t>105053</t>
  </si>
  <si>
    <t>PILAR DE MADEIRA ROLIÇA, EUCALIPTO OU EQUIVALENTE DA REGIÃO, FIXADO COM VERGALHÃO, DIÂMETRO DE 21 A 29 CM, APOIO ARTICULADO, COMPRIMENTO DE 6 M. AF_03/2024</t>
  </si>
  <si>
    <t>105056</t>
  </si>
  <si>
    <t>PILAR DE MADEIRA ROLIÇA, EUCALIPTO OU EQUIVALENTE DA REGIÃO, FIXADO COM VERGALHÃO, DIÂMETRO DE 30 A 34 CM, APOIO ARTICULADO, COMPRIMENTO DE 3 M. AF_03/2024</t>
  </si>
  <si>
    <t>105058</t>
  </si>
  <si>
    <t>PILAR DE MADEIRA ROLIÇA, EUCALIPTO OU EQUIVALENTE DA REGIÃO, FIXADO COM VERGALHÃO, DIÂMETRO DE 30 A 34 CM, APOIO ARTICULADO, COMPRIMENTO DE 6 M. AF_03/2024</t>
  </si>
  <si>
    <t>105061</t>
  </si>
  <si>
    <t>PILAR DE MADEIRA SERRADA, MAÇARANDUBA OU EQUIVALENTE DA REGIÃO, NÃO APARELHADO, FIXADO COM VERGALHÃO, SEÇÃO QUADRADA 10 X 10 CM, APOIO ARTICULADO, COMPRIMENTO DE 3 M. AF_03/2024</t>
  </si>
  <si>
    <t>105064</t>
  </si>
  <si>
    <t>PILAR DE MADEIRA SERRADA, MAÇARANDUBA OU EQUIVALENTE DA REGIÃO, NÃO APARELHADO, FIXADO COM VERGALHÃO, SEÇÃO QUADRADA 10 X 10 CM, APOIO ARTICULADO, COMPRIMENTO DE 6 M. AF_03/2024</t>
  </si>
  <si>
    <t>105068</t>
  </si>
  <si>
    <t>PILAR DE MADEIRA SERRADA, MAÇARANDUBA OU EQUIVALENTE DA REGIÃO, NÃO APARELHADO, FIXADO COM VERGALHÃO, SEÇÃO QUADRADA 15 X 15 CM, APOIO ARTICULADO, COMPRIMENTO DE 3 M. AF_03/2024</t>
  </si>
  <si>
    <t>105071</t>
  </si>
  <si>
    <t>PILAR DE MADEIRA SERRADA, MAÇARANDUBA OU EQUIVALENTE DA REGIÃO, NÃO APARELHADO, FIXADO COM VERGALHÃO, SEÇÃO QUADRADA 15 X 15 CM, APOIO ARTICULADO, COMPRIMENTO DE 6 M. AF_03/2024</t>
  </si>
  <si>
    <t>105074</t>
  </si>
  <si>
    <t>PILAR DE MADEIRA SERRADA, MAÇARANDUBA OU EQUIVALENTE DA REGIÃO, NÃO APARELHADO, FIXADO COM VERGALHÃO, SEÇÃO QUADRADA 20 X 20 CM, APOIO ARTICULADO, COMPRIMENTO DE 3 M. AF_03/2024</t>
  </si>
  <si>
    <t>105077</t>
  </si>
  <si>
    <t>PILAR DE MADEIRA SERRADA, MAÇARANDUBA OU EQUIVALENTE DA REGIÃO, NÃO APARELHADO, FIXADO COM VERGALHÃO, SEÇÃO QUADRADA 20 X 20 CM, APOIO ARTICULADO, COMPRIMENTO DE 6 M. AF_03/2024</t>
  </si>
  <si>
    <t>105080</t>
  </si>
  <si>
    <t>VIGA DE MADEIRA SERRADA, MAÇARANDUBA OU EQUIVALENTE DA REGIÃO, APARELHADA, SEÇÃO RETANGULAR 6 X 12 CM. AF_03/2024</t>
  </si>
  <si>
    <t>105081</t>
  </si>
  <si>
    <t>VIGA DE MADEIRA SERRADA, MAÇARANDUBA OU EQUIVALENTE DA REGIÃO, APARELHADA, SEÇÃO RETANGULAR 6 X 16 CM. AF_03/2024</t>
  </si>
  <si>
    <t>105082</t>
  </si>
  <si>
    <t>VIGA DE MADEIRA SERRADA, MAÇARANDUBA OU EQUIVALENTE DA REGIÃO, NÃO APARELHADA, SEÇÃO RETANGULAR 6 X 12 CM. AF_03/2024</t>
  </si>
  <si>
    <t>105083</t>
  </si>
  <si>
    <t>VIGA DE MADEIRA SERRADA, MAÇARANDUBA OU EQUIVALENTE DA REGIÃO, NÃO APARELHADA, SEÇÃO RETANGULAR 6 X 16 CM. AF_03/2024</t>
  </si>
  <si>
    <t>105084</t>
  </si>
  <si>
    <t>VIGA DE MADEIRA SERRADA, MAÇARANDUBA OU EQUIVALENTE DA REGIÃO, NÃO APARELHADA, SEÇÃO RETANGULAR 6 X 20 CM. AF_03/2024</t>
  </si>
  <si>
    <t>105085</t>
  </si>
  <si>
    <t>VIGA DE MADEIRA SERRADA, MAÇARANDUBA OU EQUIVALENTE DA REGIÃO, NÃO APARELHADA, SEÇÃO RETANGULAR 8 X 16 CM. AF_03/2024</t>
  </si>
  <si>
    <t>105086</t>
  </si>
  <si>
    <t>VIGA DE MADEIRA SERRADA, MAÇARANDUBA OU EQUIVALENTE DA REGIÃO, NÃO APARELHADA, SEÇÃO RETANGULAR 6 X 25 CM. AF_03/2024</t>
  </si>
  <si>
    <t>105087</t>
  </si>
  <si>
    <t>VIGA DE MADEIRA SERRADA, MAÇARANDUBA OU EQUIVALENTE DA REGIÃO, NÃO APARELHADA, SEÇÃO RETANGULAR 6 X 30 CM. AF_03/2024</t>
  </si>
  <si>
    <t>105088</t>
  </si>
  <si>
    <t>VIGA DE MADEIRA SERRADA, MAÇARANDUBA OU EQUIVALENTE DA REGIÃO, NÃO APARELHADA, SEÇÃO RETANGULAR 6 X 40 CM. AF_03/2024</t>
  </si>
  <si>
    <t>105089</t>
  </si>
  <si>
    <t>VIGA DE MADEIRA SERRADA, MAÇARANDUBA OU EQUIVALENTE DA REGIÃO, APARELHADA, SEÇÃO RETANGULAR 8 X 30 CM. AF_03/2024</t>
  </si>
  <si>
    <t>105090</t>
  </si>
  <si>
    <t>PISO DE MADEIRA, SOBRE VIGOTAS DE MADEIRA SEÇÃO 7,5 X 15 CM. AF_03/2024</t>
  </si>
  <si>
    <t>105091</t>
  </si>
  <si>
    <t>VIGA DE MADEIRA SERRADA, MAÇARANDUBA OU EQUIVALENTE DA REGIÃO, APARELHADA, SEÇÃO RETANGULAR 7,5 X 23 CM. AF_03/2024</t>
  </si>
  <si>
    <t>105092</t>
  </si>
  <si>
    <t>VIGA DE MADEIRA SERRADA, MAÇARANDUBA OU EQUIVALENTE DA REGIÃO, NÃO APARELHADA, SEÇÃO RETANGULAR 7,5 X 23 CM. AF_03/2024</t>
  </si>
  <si>
    <t>134,38</t>
  </si>
  <si>
    <t>105093</t>
  </si>
  <si>
    <t>VIGA DE MADEIRA SERRADA, MAÇARANDUBA OU EQUIVALENTE DA REGIÃO, NÃO APARELHADA, SEÇÃO RETANGULAR 8 X 30 CM. AF_03/2024</t>
  </si>
  <si>
    <t>105095</t>
  </si>
  <si>
    <t>PILAR DE MADEIRA ROLIÇA, EUCALIPTO OU EQUIVALENTE DA REGIÃO, FIXADO COM VERGALHÃO, DIÂMETRO DE 16 A 20 CM, APOIO ARTICULADO, COMPRIMENTO DE 3 M. AF_03/2024</t>
  </si>
  <si>
    <t>105098</t>
  </si>
  <si>
    <t>PILAR DE MADEIRA ROLIÇA, EUCALIPTO OU EQUIVALENTE DA REGIÃO, FIXADO COM VERGALHÃO, DIÂMETRO DE 16 A 20 CM, APOIO ARTICULADO, COMPRIMENTO DE 6 M. AF_03/2024</t>
  </si>
  <si>
    <t>105099</t>
  </si>
  <si>
    <t>VIGA DE MADEIRA ROLIÇA, EUCALIPTO OU EQUIVALENTE DA REGIÃO, DIÂMETRO DE 12 A 15 CM. AF_03/2024</t>
  </si>
  <si>
    <t>75,87</t>
  </si>
  <si>
    <t>105100</t>
  </si>
  <si>
    <t>VIGA DE MADEIRA ROLIÇA, EUCALIPTO OU EQUIVALENTE DA REGIÃO, DIÂMETRO DE 16 A 20 CM. AF_03/2024</t>
  </si>
  <si>
    <t>105101</t>
  </si>
  <si>
    <t>VIGA DE MADEIRA ROLIÇA, EUCALIPTO OU EQUIVALENTE DA REGIÃO, DIÂMETRO DE 21 A 29 CM. AF_03/2024</t>
  </si>
  <si>
    <t>105102</t>
  </si>
  <si>
    <t>VIGA DE MADEIRA ROLIÇA, EUCALIPTO OU EQUIVALENTE DA REGIÃO, DIÂMETRO DE 30 A 34 CM. AF_03/2024</t>
  </si>
  <si>
    <t>IMPERMEABILIZAÇÃO DE SUPERFÍCIE COM ARGAMASSA DE CIMENTO E AREIA, COM ADITIVO IMPERMEABILIZANTE, E = 1,5CM. AF_09/2023</t>
  </si>
  <si>
    <t>IMPERMEABILIZAÇÃO DE SUPERFÍCIE COM ARGAMASSA POLIMÉRICA / MEMBRANA ACRÍLICA, 3 DEMÃOS. AF_09/2023</t>
  </si>
  <si>
    <t>IMPERMEABILIZAÇÃO DE SUPERFÍCIE COM ARGAMASSA POLIMÉRICA / MEMBRANA ACRÍLICA, 4 DEMÃOS, REFORÇADA COM VÉU DE POLIÉSTER (MAV). AF_09/2023</t>
  </si>
  <si>
    <t>TRATAMENTO DE RALO OU PONTO EMERGENTE COM ARGAMASSA POLIMÉRICA / MEMBRANA ACRÍLICA REFORÇADO COM TELA DE POLIÉSTER (MAV). AF_09/2023</t>
  </si>
  <si>
    <t>TRATAMENTO DE RODAPÉ COM TELA DE POLIÉSTER. AF_09/2023</t>
  </si>
  <si>
    <t>IMPERMEABILIZAÇÃO DE SUPERFÍCIE COM MANTA ASFÁLTICA, UMA CAMADA, INCLUSIVE APLICAÇÃO DE PRIMER ASFÁLTICO, E=4MM. AF_09/2023</t>
  </si>
  <si>
    <t>IMPERMEABILIZAÇÃO DE SUPERFÍCIE COM MANTA ASFÁLTICA, DUAS CAMADAS, INCLUSIVE APLICAÇÃO DE PRIMER ASFÁLTICO, E=3MM E E=4MM. AF_09/2023</t>
  </si>
  <si>
    <t>IMPERMEABILIZAÇÃO DE SUPERFÍCIE COM MEMBRANA À BASE DE POLIURETANO, 2 DEMÃOS. AF_09/2023</t>
  </si>
  <si>
    <t>IMPERMEABILIZAÇÃO DE SUPERFÍCIE COM MEMBRANA À BASE DE RESINA ACRÍLICA, 3 DEMÃOS. AF_09/2023</t>
  </si>
  <si>
    <t>42,83</t>
  </si>
  <si>
    <t>IMPERMEABILIZAÇÃO DE SUPERFÍCIE COM EMULSÃO ASFÁLTICA, 2 DEMÃOS. AF_09/2023</t>
  </si>
  <si>
    <t>38,52</t>
  </si>
  <si>
    <t>PROTEÇÃO MECÂNICA DE SUPERFÍCIE HORIZONTAL COM ARGAMASSA DE CIMENTO E AREIA, TRAÇO 1:3, E=2CM. AF_09/2023</t>
  </si>
  <si>
    <t>PROTEÇÃO MECÂNICA DE SUPERFÍCIE VERTICAL COM ARGAMASSA DE CIMENTO E AREIA, TRAÇO 1:3, E=2CM. AF_09/2023</t>
  </si>
  <si>
    <t>PROTEÇÃO MECÂNICA DE SUPERFICIE HORIZONTAL COM ARGAMASSA DE CIMENTO E AREIA, TRAÇO 1:3, E=3CM. AF_09/2023</t>
  </si>
  <si>
    <t>PROTEÇÃO MECÂNICA DE SUPERFÍCIE VERTICAL COM ARGAMASSA DE CIMENTO E AREIA, TRAÇO 1:3, E=3CM. AF_09/2023</t>
  </si>
  <si>
    <t>63,57</t>
  </si>
  <si>
    <t>PROTEÇÃO MECÂNICA DE SUPERFICIE HORIZONTAL COM ARGAMASSA DE CIMENTO E AREIA, TRAÇO 1:3, E=4CM. AF_09/2023</t>
  </si>
  <si>
    <t>PROTEÇÃO MECÂNICA DE SUPERFÍCIE VERTICAL COM ARGAMASSA DE CIMENTO E AREIA, TRAÇO 1:3, E=4CM. AF_09/2023</t>
  </si>
  <si>
    <t>PROTEÇÃO MECÂNICA DE SUPERFICIE HORIZONTAL COM ARGAMASSA DE CIMENTO E AREIA, TRAÇO 1:3, E=5CM. AF_09/2023</t>
  </si>
  <si>
    <t>PROTEÇÃO MECÂNICA DE SUPERFÍCIE VERTICAL COM ARGAMASSA DE CIMENTO E AREIA, TRAÇO 1:3, E=5CM. AF_09/2023</t>
  </si>
  <si>
    <t>PROTEÇÃO MECÂNICA DE SUPERFICIE HORIZONTAL COM CONCRETO 15 MPA, E=4CM. AF_09/2023</t>
  </si>
  <si>
    <t>PROTEÇÃO MECÂNICA DE SUPERFICIE HORIZONTAL COM CONCRETO 15 MPA, E=5CM. AF_09/2023</t>
  </si>
  <si>
    <t>PROTEÇÃO MECÂNICA DE SUPERFÍCIE VERTICAL COM CONCRETO 15 MPA, E=5CM. AF_09/2023</t>
  </si>
  <si>
    <t>ELETRODUTO FLEXÍVEL CORRUGADO, PVC, DN 20 MM (1/2"), PARA CIRCUITOS TERMINAIS, INSTALADO EM FORRO - FORNECIMENTO E INSTALAÇÃO. AF_03/2023_PA</t>
  </si>
  <si>
    <t>ELETRODUTO FLEXÍVEL CORRUGADO REFORÇADO, PVC, DN 20 MM (1/2"), PARA CIRCUITOS TERMINAIS, INSTALADO EM FORRO - FORNECIMENTO E INSTALAÇÃO. AF_03/2023_PA</t>
  </si>
  <si>
    <t>ELETRODUTO FLEXÍVEL CORRUGADO, PVC, DN 25 MM (3/4"), PARA CIRCUITOS TERMINAIS, INSTALADO EM FORRO - FORNECIMENTO E INSTALAÇÃO. AF_03/2023_PA</t>
  </si>
  <si>
    <t>17,71</t>
  </si>
  <si>
    <t>ELETRODUTO FLEXÍVEL CORRUGADO REFORÇADO, PVC, DN 25 MM (3/4"), PARA CIRCUITOS TERMINAIS, INSTALADO EM FORRO - FORNECIMENTO E INSTALAÇÃO. AF_03/2023_PA</t>
  </si>
  <si>
    <t>ELETRODUTO FLEXÍVEL CORRUGADO, PVC, DN 32 MM (1"), PARA CIRCUITOS TERMINAIS, INSTALADO EM FORRO - FORNECIMENTO E INSTALAÇÃO. AF_03/2023_PA</t>
  </si>
  <si>
    <t>ELETRODUTO FLEXÍVEL CORRUGADO REFORÇADO, PVC, DN 32 MM (1"), PARA CIRCUITOS TERMINAIS, INSTALADO EM FORRO - FORNECIMENTO E INSTALAÇÃO. AF_03/2023_PA</t>
  </si>
  <si>
    <t>ELETRODUTO FLEXÍVEL LISO, PEAD, DN 32 MM (1"), PARA CIRCUITOS TERMINAIS, INSTALADO EM FORRO - FORNECIMENTO E INSTALAÇÃO. AF_03/2023_PA</t>
  </si>
  <si>
    <t>ELETRODUTO FLEXÍVEL CORRUGADO, PEAD, DN 40 MM (1 1/4"), PARA CIRCUITOS TERMINAIS, INSTALADO EM FORRO - FORNECIMENTO E INSTALAÇÃO. AF_03/2023_PA</t>
  </si>
  <si>
    <t>22,44</t>
  </si>
  <si>
    <t>ELETRODUTO FLEXÍVEL LISO, PEAD, DN 40 MM (1 1/4"), PARA CIRCUITOS TERMINAIS, INSTALADO EM FORRO - FORNECIMENTO E INSTALAÇÃO. AF_03/2023_PA</t>
  </si>
  <si>
    <t>17,74</t>
  </si>
  <si>
    <t>24,04</t>
  </si>
  <si>
    <t>ELETRODUTO RÍGIDO SOLDÁVEL, PVC, DN 20 MM (1/2"), APARENTE - FORNECIMENTO E INSTALAÇÃO. AF_10/2022_PA</t>
  </si>
  <si>
    <t>ELETRODUTO RÍGIDO SOLDÁVEL, PVC, DN 25 MM (3/4"), APARENTE - FORNECIMENTO E INSTALAÇÃO. AF_10/2022_PA</t>
  </si>
  <si>
    <t>ELETRODUTO RÍGIDO SOLDÁVEL, PVC, DN 32 MM (1"), APARENTE - FORNECIMENTO E INSTALAÇÃO. AF_10/2022_PA</t>
  </si>
  <si>
    <t>10,87</t>
  </si>
  <si>
    <t>13,30</t>
  </si>
  <si>
    <t>14,26</t>
  </si>
  <si>
    <t>10,37</t>
  </si>
  <si>
    <t>20,43</t>
  </si>
  <si>
    <t>19,73</t>
  </si>
  <si>
    <t>5,24</t>
  </si>
  <si>
    <t>7,74</t>
  </si>
  <si>
    <t>26,14</t>
  </si>
  <si>
    <t>CABO DE COBRE FLEXÍVEL ISOLADO, 10 MM², ANTI-CHAMA 450/750 V, PARA DISTRIBUIÇÃO - FORNECIMENTO E INSTALAÇÃO. AF_10/2020</t>
  </si>
  <si>
    <t>CABO DE COBRE FLEXÍVEL ISOLADO, 10 MM², ANTI-CHAMA 0,6/1,0 KV, PARA DISTRIBUIÇÃO - FORNECIMENTO E INSTALAÇÃO. AF_10/2020</t>
  </si>
  <si>
    <t>CABO DE COBRE FLEXÍVEL ISOLADO, 16 MM², ANTI-CHAMA 450/750 V, PARA DISTRIBUIÇÃO - FORNECIMENTO E INSTALAÇÃO. AF_10/2020</t>
  </si>
  <si>
    <t>CABO DE COBRE FLEXÍVEL ISOLADO, 16 MM², ANTI-CHAMA 0,6/1,0 KV, PARA DISTRIBUIÇÃO - FORNECIMENTO E INSTALAÇÃO. AF_10/2020</t>
  </si>
  <si>
    <t>11,56</t>
  </si>
  <si>
    <t>16,59</t>
  </si>
  <si>
    <t>17,06</t>
  </si>
  <si>
    <t>19,65</t>
  </si>
  <si>
    <t>15,20</t>
  </si>
  <si>
    <t>18,58</t>
  </si>
  <si>
    <t>13,23</t>
  </si>
  <si>
    <t>75,28</t>
  </si>
  <si>
    <t>22,84</t>
  </si>
  <si>
    <t>27,99</t>
  </si>
  <si>
    <t>32,71</t>
  </si>
  <si>
    <t>CONDULETE DE PVC, TIPO X, PARA ELETRODUTO DE PVC SOLDÁVEL DN 25 MM (3/4"), APARENTE - FORNECIMENTO E INSTALAÇÃO. AF_10/2022</t>
  </si>
  <si>
    <t>27,33</t>
  </si>
  <si>
    <t>47,42</t>
  </si>
  <si>
    <t>53,75</t>
  </si>
  <si>
    <t>46,35</t>
  </si>
  <si>
    <t>93,39</t>
  </si>
  <si>
    <t>56,34</t>
  </si>
  <si>
    <t>41,03</t>
  </si>
  <si>
    <t>38,05</t>
  </si>
  <si>
    <t>81,30</t>
  </si>
  <si>
    <t>76,10</t>
  </si>
  <si>
    <t>70,12</t>
  </si>
  <si>
    <t>26,49</t>
  </si>
  <si>
    <t>33,44</t>
  </si>
  <si>
    <t>ENTRADA DE ENERGIA ELÉTRICA, AÉREA, TRIFÁSICA, COM CAIXA DE EMBUTIR, CABO DE 10 MM2 E DISJUNTOR DIN 50A (NÃO INCLUSO O POSTE DE CONCRETO). AF_07/2020</t>
  </si>
  <si>
    <t>ENTRADA DE ENERGIA ELÉTRICA, AÉREA, TRIFÁSICA, COM CAIXA DE EMBUTIR, CABO DE 16 MM2 E DISJUNTOR DIN 50A (NÃO INCLUSO O POSTE DE CONCRETO). AF_07/2020</t>
  </si>
  <si>
    <t>ENTRADA DE ENERGIA ELÉTRICA, AÉREA, TRIFÁSICA, COM CAIXA DE EMBUTIR, CABO DE 25 MM2 E DISJUNTOR DIN 50A (NÃO INCLUSO O POSTE DE CONCRETO). AF_07/2020</t>
  </si>
  <si>
    <t>ENTRADA DE ENERGIA ELÉTRICA, AÉREA, TRIFÁSICA, COM CAIXA DE EMBUTIR, CABO DE 35 MM2 E DISJUNTOR DIN 50A (NÃO INCLUSO O POSTE DE CONCRETO). AF_07/2020</t>
  </si>
  <si>
    <t>ENTRADA DE ENERGIA ELÉTRICA, SUBTERRÂNEA, TRIFÁSICA, COM CAIXA DE EMBUTIR, CABO DE 10 MM2 E DISJUNTOR DIN 50A (NÃO INCLUSA MURETA DE ALVENARIA). AF_07/2020</t>
  </si>
  <si>
    <t>ENTRADA DE ENERGIA ELÉTRICA, SUBTERRÂNEA, TRIFÁSICA, COM CAIXA DE EMBUTIR, CABO DE 16 MM2 E DISJUNTOR DIN 50A (NÃO INCLUSA MURETA DE ALVENARIA). AF_07/2020</t>
  </si>
  <si>
    <t>ENTRADA DE ENERGIA ELÉTRICA, SUBTERRÂNEA, TRIFÁSICA, COM CAIXA DE EMBUTIR, CABO DE 25 MM2 E DISJUNTOR DIN 50A (NÃO INCLUSA MURETA DE ALVENARIA). AF_07/2020</t>
  </si>
  <si>
    <t>ENTRADA DE ENERGIA ELÉTRICA, SUBTERRÂNEA, TRIFÁSICA, COM CAIXA DE EMBUTIR, CABO DE 35 MM2 E DISJUNTOR DIN 50A (NÃO INCLUSA MURETA DE ALVENARIA). AF_07/2020</t>
  </si>
  <si>
    <t>54,89</t>
  </si>
  <si>
    <t>9,02</t>
  </si>
  <si>
    <t>80,96</t>
  </si>
  <si>
    <t>CORDOALHA DE COBRE NU 35 MM², NÃO ENTERRADA, COM ISOLADOR - FORNECIMENTO E INSTALAÇÃO. AF_08/2023</t>
  </si>
  <si>
    <t>CORDOALHA DE COBRE NU 50 MM², NÃO ENTERRADA, COM ISOLADOR - FORNECIMENTO E INSTALAÇÃO. AF_08/2023</t>
  </si>
  <si>
    <t>CORDOALHA DE COBRE NU 70 MM², NÃO ENTERRADA, COM ISOLADOR - FORNECIMENTO E INSTALAÇÃO. AF_08/2023</t>
  </si>
  <si>
    <t>CORDOALHA DE COBRE NU 95 MM², NÃO ENTERRADA, COM ISOLADOR - FORNECIMENTO E INSTALAÇÃO. AF_08/2023</t>
  </si>
  <si>
    <t>CORDOALHA DE COBRE NU 50 MM², ENTERRADA - FORNECIMENTO E INSTALAÇÃO. AF_08/2023</t>
  </si>
  <si>
    <t>61,71</t>
  </si>
  <si>
    <t>CORDOALHA DE COBRE NU 70 MM², ENTERRADA - FORNECIMENTO E INSTALAÇÃO. AF_08/2023</t>
  </si>
  <si>
    <t>CORDOALHA DE COBRE NU 95 MM², ENTERRADA - FORNECIMENTO E INSTALAÇÃO. AF_08/2023</t>
  </si>
  <si>
    <t>ELETRODUTO PVC RÍGIDO, DIÂMETRO 40MM, COM 3 METROS, PARA SPDA - FORNECIMENTO E INSTALAÇÃO. AF_08/2023</t>
  </si>
  <si>
    <t>58,08</t>
  </si>
  <si>
    <t>HASTE DE ATERRAMENTO, DIÂMETRO 5/8", COM 3 METROS - FORNECIMENTO E INSTALAÇÃO. AF_08/2023</t>
  </si>
  <si>
    <t>HASTE DE ATERRAMENTO, DIÂMETRO 3/4", COM 3 METROS - FORNECIMENTO E INSTALAÇÃO. AF_08/2023</t>
  </si>
  <si>
    <t>BASE METÁLICA PARA MASTRO 1 ½"  PARA SPDA - FORNECIMENTO E INSTALAÇÃO. AF_08/2023</t>
  </si>
  <si>
    <t>MASTRO 1 ½", COM 3 METROS, PARA SPDA - FORNECIMENTO E INSTALAÇÃO. AF_08/2023</t>
  </si>
  <si>
    <t>146,14</t>
  </si>
  <si>
    <t>CAPTOR TIPO FRANKLIN PARA SPDA - FORNECIMENTO E INSTALAÇÃO. AF_08/2023</t>
  </si>
  <si>
    <t>SUPORTE ISOLADOR PARA FIXAÇÃO DA CORDOALHA DE COBRE EM ALVENARIA OU CONCRETO - FORNECIMENTO E INSTALAÇÃO. AF_08/2023</t>
  </si>
  <si>
    <t>104746</t>
  </si>
  <si>
    <t>MINI CAPTOR PARA SPDA - FORNECIMENTO E INSTALAÇÃO. AF_08/2023</t>
  </si>
  <si>
    <t>104749</t>
  </si>
  <si>
    <t>CONECTOR GRAMPO METÁLICO TIPO OLHAL, PARA SPDA, PARA HASTE DE ATERRAMENTO DE 3/4'' E CABOS DE 10 A 50 MM2 - FORNECIMENTO E INSTALAÇÃO. AF_08/2023</t>
  </si>
  <si>
    <t>104750</t>
  </si>
  <si>
    <t>CONECTOR GRAMPO METÁLICO TIPO OLHAL, PARA SPDA, PARA HASTE DE ATERRAMENTO DE 5/8'' E CABOS DE 10 A 50 MM2 - FORNECIMENTO E INSTALAÇÃO. AF_08/2023</t>
  </si>
  <si>
    <t>104751</t>
  </si>
  <si>
    <t>CONECTOR GRAMPO PARALELO METÁLICO, PARA SPDA, PARA CABOS DE 6 A 50 MM2 - FORNECIMENTO E INSTALAÇÃO. AF_08/2023</t>
  </si>
  <si>
    <t>23,84</t>
  </si>
  <si>
    <t>104752</t>
  </si>
  <si>
    <t>CONECTOR SPLIT-BOLT, PARA SPDA, PARA CABOS ATÉ 35 MM2 - FORNECIMENTO E INSTALAÇÃO. AF_08/2023</t>
  </si>
  <si>
    <t>104753</t>
  </si>
  <si>
    <t>CONECTOR SPLIT-BOLT, PARA SPDA, PARA CABOS ATÉ 50 MM2 - FORNECIMENTO E INSTALAÇÃO. AF_08/2023</t>
  </si>
  <si>
    <t>25,91</t>
  </si>
  <si>
    <t>104754</t>
  </si>
  <si>
    <t>CONECTOR SPLIT-BOLT, PARA SPDA, PARA CABOS ATÉ 70 MM2 - FORNECIMENTO E INSTALAÇÃO. AF_08/2023</t>
  </si>
  <si>
    <t>104755</t>
  </si>
  <si>
    <t>CONECTOR SPLIT-BOLT, PARA SPDA, PARA CABOS ATÉ 95 MM2 - FORNECIMENTO E INSTALAÇÃO. AF_08/2023</t>
  </si>
  <si>
    <t>104758</t>
  </si>
  <si>
    <t>FURO MANUAL EM ALVENARIA, PARA INSTALAÇÕES ELÉTRICAS, DIÂMETROS MENORES OU IGUAIS A 40 MM. AF_09/2023</t>
  </si>
  <si>
    <t>104759</t>
  </si>
  <si>
    <t>FURO MANUAL EM ALVENARIA, PARA INSTALAÇÕES ELÉTRICAS, DIÂMETROS MAIORES QUE 40 MM E MENORES OU IGUAIS A 75 MM. AF_09/2023</t>
  </si>
  <si>
    <t>104760</t>
  </si>
  <si>
    <t>FURO MANUAL EM ALVENARIA, PARA INSTALAÇÕES ELÉTRICAS, DIÂMETROS MAIORES QUE 75 MM E MENORES OU IGUAIS A 100 MM. AF_09/2023</t>
  </si>
  <si>
    <t>104761</t>
  </si>
  <si>
    <t>FURO MECANIZADO EM CONCRETO, COM MARTELO DEMOLIDOR, PARA INSTALAÇÕES ELÉTRICAS, DIÂMETROS MENORES OU IGUAIS A 40 MM. AF_09/2023</t>
  </si>
  <si>
    <t>104762</t>
  </si>
  <si>
    <t>FURO MECANIZADO EM CONCRETO, COM MARTELO DEMOLIDOR, PARA INSTALAÇÕES ELÉTRICAS, DIÂMETROS MAIORES QUE 40 MM E MENORES OU IGUAIS A 75 MM. AF_09/2023</t>
  </si>
  <si>
    <t>104763</t>
  </si>
  <si>
    <t>FURO MECANIZADO EM CONCRETO, COM MARTELO DEMOLIDOR, PARA INSTALAÇÕES ELÉTRICAS, DIÂMETROS MAIORES QUE 75 MM E MENORES OU IGUAIS A 150 MM. AF_09/2023</t>
  </si>
  <si>
    <t>104764</t>
  </si>
  <si>
    <t>SUPORTE PARA 2 ELETRODUTOS, ESPAÇADO A CADA 80 CM, EM PERFILADO COM COMPRIMENTO DE 25 CM FIXADO EM LAJE, POR METRO DE ELETRODUTO FIXADO. AF_09/2023</t>
  </si>
  <si>
    <t>104765</t>
  </si>
  <si>
    <t>SUPORTE PARA 4 ELETRODUTOS, ESPAÇADO A CADA 80 CM, EM PERFILADO COM COMPRIMENTO DE 42 CM FIXADO EM LAJE, POR METRO DE ELETRODUTO FIXADO. AF_09/2023</t>
  </si>
  <si>
    <t>104766</t>
  </si>
  <si>
    <t>CHUMBAMENTO LINEAR EM ALVENARIA PARA ELETRODUTOS COM DIÂMETROS MENORES OU IGUAIS A 40 MM. AF_09/2023</t>
  </si>
  <si>
    <t>17,32</t>
  </si>
  <si>
    <t>104768</t>
  </si>
  <si>
    <t>FURO MECANIZADO EM ALVENARIA, PARA INSTALAÇÕES ELÉTRICAS, DIÂMETROS MENORES OU IGUAIS A 40 MM. AF_09/2023</t>
  </si>
  <si>
    <t>104770</t>
  </si>
  <si>
    <t>FURO MECANIZADO EM ALVENARIA, PARA INSTALAÇÕES ELÉTRICAS, DIÂMETROS MAIORES QUE 40 MM E MENORES OU IGUAIS A 75 MM. AF_09/2023</t>
  </si>
  <si>
    <t>104772</t>
  </si>
  <si>
    <t>FURO MECANIZADO EM ALVENARIA, PARA INSTALAÇÕES ELÉTRICAS, DIÂMETROS MAIORES QUE 75 MM E MENORES OU IGUAIS A 100 MM. AF_09/2023</t>
  </si>
  <si>
    <t>104774</t>
  </si>
  <si>
    <t>FURO MECANIZADO EM CONCRETO, COM PERFURATRIZ, PARA INSTALAÇÕES ELÉTRICAS, DIÂMETROS MENORES OU IGUAIS A 40 MM. AF_09/2023</t>
  </si>
  <si>
    <t>104776</t>
  </si>
  <si>
    <t>FURO MECANIZADO EM CONCRETO, COM PERFURATRIZ, PARA INSTALAÇÕES ELÉTRICAS, DIÂMETROS MAIORES QUE 40 MM E MENORES OU IGUAIS A 75 MM. AF_09/2023</t>
  </si>
  <si>
    <t>104778</t>
  </si>
  <si>
    <t>FURO MECANIZADO EM CONCRETO, COM PERFURATRIZ, PARA INSTALAÇÕES ELÉTRICAS, DIÂMETROS MAIORES QUE 75 MM E MENORES OU IGUAIS A 150 MM. AF_09/2023</t>
  </si>
  <si>
    <t>104780</t>
  </si>
  <si>
    <t>RASGO LINEAR MECANIZADO EM ALVENARIA, PARA ELETRODUTOS, DIÂMETROS MENORES OU IGUAIS A 40 MM. AF_09/2023</t>
  </si>
  <si>
    <t>104785</t>
  </si>
  <si>
    <t>FIXAÇÃO DE ELETRODUTOS, DIÂMETROS MENORES OU IGUAIS A 40 MM, COM ABRAÇADEIRA METÁLICA RÍGIDA TIPO D COM PARAFUSO DE FIXAÇÃO 1 1/4", FIXADA DIRETAMENTE NA LAJE OU PAREDE. AF_09/2023</t>
  </si>
  <si>
    <t>216,35</t>
  </si>
  <si>
    <t>5,83</t>
  </si>
  <si>
    <t>178,63</t>
  </si>
  <si>
    <t>PINTURA ANTICORROSIVA DE DUTO METÁLICO. AF_03/2024</t>
  </si>
  <si>
    <t>AR CONDICIONADO SPLIT INVERTER, PISO TETO, 18000 BTU/H, CICLO FRIO - FORNECIMENTO E INSTALAÇÃO. AF_11/2021_PSE</t>
  </si>
  <si>
    <t>AR CONDICIONADO SPLIT ON/OFF, PISO TETO, 18.000 BTU/H, CICLO FRIO - FORNECIMENTO E INSTALAÇÃO. AF_11/2021_PSE</t>
  </si>
  <si>
    <t>AR CONDICIONADO SPLIT INVERTER, PISO TETO, 24000 BTU/H, CICLO FRIO - FORNECIMENTO E INSTALAÇÃO. AF_11/2021_PSE</t>
  </si>
  <si>
    <t>AR CONDICIONADO SPLIT ON/OFF, PISO TETO, 24.000 BTU/H, CICLO FRIO - FORNECIMENTO E INSTALAÇÃO. AF_11/2021_PSE</t>
  </si>
  <si>
    <t>AR CONDICIONADO SPLIT INVERTER, PISO TETO, 24000 BTU/H, QUENTE/FRIO - FORNECIMENTO E INSTALAÇÃO. AF_11/2021_PSE</t>
  </si>
  <si>
    <t>AR CONDICIONADO SPLIT INVERTER, PISO TETO, 36000 BTU/H, CICLO FRIO - FORNECIMENTO E INSTALAÇÃO. AF_11/2021_PSE</t>
  </si>
  <si>
    <t>AR CONDICIONADO SPLIT ON/OFF, PISO TETO, 36.000 BTU/H, CICLO FRIO - FORNECIMENTO E INSTALAÇÃO. AF_11/2021_PSE</t>
  </si>
  <si>
    <t>TUBO EM COBRE FLEXÍVEL, DN 1/4", COM ISOLAMENTO, INSTALADO EM FORRO, PARA RAMAL DE ALIMENTAÇÃO DE AR CONDICIONADO, INCLUSO FIXADOR. AF_11/2021_PA</t>
  </si>
  <si>
    <t>TUBO EM COBRE FLEXÍVEL, DN 3/8", COM ISOLAMENTO, INSTALADO EM FORRO, PARA RAMAL DE ALIMENTAÇÃO DE AR CONDICIONADO, INCLUSO FIXADOR. AF_11/2021_PA</t>
  </si>
  <si>
    <t>TUBO EM COBRE FLEXÍVEL, DN 1/2", COM ISOLAMENTO, INSTALADO EM FORRO, PARA RAMAL DE ALIMENTAÇÃO DE AR CONDICIONADO, INCLUSO FIXADOR. AF_11/2021_PA</t>
  </si>
  <si>
    <t>TUBO EM COBRE FLEXÍVEL, DN 5/8", COM ISOLAMENTO, INSTALADO EM FORRO, PARA RAMAL DE ALIMENTAÇÃO DE AR CONDICIONADO, INCLUSO FIXADOR. AF_11/2021_PA</t>
  </si>
  <si>
    <t>INSTALAÇÃO DE TUBOS E CONEXÕES, EM AÇO/FERRO GALVANIZADO, PARA O CENTRO DE MEDIÇÃO DE GÁS DE EDIFÍCIO RESIDENCIAL, COM 4 PAVIMENTOS, 16 UNIDADES HABITACIONAIS, DN 32 (1 1/4") - FORNECIMENTO E INSTALAÇÃO. AF_10/2020</t>
  </si>
  <si>
    <t>INSTALAÇÃO DE TUBOS E CONEXÕES, EM AÇO/FERRO GALVANIZADO, PARA O CENTRO DE MEDIÇÃO DE GÁS DE EDIFÍCIO RESIDENCIAL, COM 4 PAVIMENTOS, 16 UNIDADES HABITACIONAIS, DN 50 (2") - FORNECIMENTO E INSTALAÇÃO. AF_10/2020</t>
  </si>
  <si>
    <t>TUBO, PVC, SOLDÁVEL, DE 20MM, INSTALADO EM RAMAL OU SUB-RAMAL DE ÁGUA - FORNECIMENTO E INSTALAÇÃO. AF_06/2022</t>
  </si>
  <si>
    <t>20,64</t>
  </si>
  <si>
    <t>TUBO, PVC, SOLDÁVEL, DE 25MM, INSTALADO EM RAMAL OU SUB-RAMAL DE ÁGUA - FORNECIMENTO E INSTALAÇÃO. AF_06/2022</t>
  </si>
  <si>
    <t>23,78</t>
  </si>
  <si>
    <t>TUBO, PVC, SOLDÁVEL, DE 32MM, INSTALADO EM RAMAL OU SUB-RAMAL DE ÁGUA - FORNECIMENTO E INSTALAÇÃO. AF_06/2022</t>
  </si>
  <si>
    <t>TUBO, PVC, SOLDÁVEL, DE 20MM, INSTALADO EM RAMAL DE DISTRIBUIÇÃO DE ÁGUA - FORNECIMENTO E INSTALAÇÃO. AF_06/2022</t>
  </si>
  <si>
    <t>TUBO, PVC, SOLDÁVEL, DE 25MM, INSTALADO EM RAMAL DE DISTRIBUIÇÃO DE ÁGUA - FORNECIMENTO E INSTALAÇÃO. AF_06/2022</t>
  </si>
  <si>
    <t>TUBO, PVC, SOLDÁVEL, DE 32MM, INSTALADO EM RAMAL DE DISTRIBUIÇÃO DE ÁGUA - FORNECIMENTO E INSTALAÇÃO. AF_06/2022</t>
  </si>
  <si>
    <t>19,95</t>
  </si>
  <si>
    <t>TUBO, PVC, SOLDÁVEL, DE 25MM, INSTALADO EM PRUMADA DE ÁGUA - FORNECIMENTO E INSTALAÇÃO. AF_06/2022</t>
  </si>
  <si>
    <t>TUBO, PVC, SOLDÁVEL, DE 32MM, INSTALADO EM PRUMADA DE ÁGUA - FORNECIMENTO E INSTALAÇÃO. AF_06/2022</t>
  </si>
  <si>
    <t>TUBO, PVC, SOLDÁVEL, DE 40MM, INSTALADO EM PRUMADA DE ÁGUA - FORNECIMENTO E INSTALAÇÃO. AF_06/2022</t>
  </si>
  <si>
    <t>TUBO, PVC, SOLDÁVEL, DE 50MM, INSTALADO EM PRUMADA DE ÁGUA - FORNECIMENTO E INSTALAÇÃO. AF_06/2022</t>
  </si>
  <si>
    <t>TUBO, PVC, SOLDÁVEL, DE 60MM, INSTALADO EM PRUMADA DE ÁGUA - FORNECIMENTO E INSTALAÇÃO. AF_06/2022</t>
  </si>
  <si>
    <t>TUBO, PVC, SOLDÁVEL, DE 75MM, INSTALADO EM PRUMADA DE ÁGUA - FORNECIMENTO E INSTALAÇÃO. AF_06/2022</t>
  </si>
  <si>
    <t>TUBO, PVC, SOLDÁVEL, DE 85MM, INSTALADO EM PRUMADA DE ÁGUA - FORNECIMENTO E INSTALAÇÃO. AF_06/2022</t>
  </si>
  <si>
    <t>43,95</t>
  </si>
  <si>
    <t>31,89</t>
  </si>
  <si>
    <t>81,76</t>
  </si>
  <si>
    <t>26,71</t>
  </si>
  <si>
    <t>31,07</t>
  </si>
  <si>
    <t>TUBO, PVC, SOLDÁVEL, DE 25MM, INSTALADO EM DRENO DE AR-CONDICIONADO - FORNECIMENTO E INSTALAÇÃO. AF_08/2022</t>
  </si>
  <si>
    <t>37,80</t>
  </si>
  <si>
    <t>61,23</t>
  </si>
  <si>
    <t>61,57</t>
  </si>
  <si>
    <t>99,84</t>
  </si>
  <si>
    <t>78,67</t>
  </si>
  <si>
    <t>TUBO DE AÇO GALVANIZADO COM COSTURA, CLASSE MÉDIA, DN 50 MM (2"), CONEXÃO ROSQUEADA, INSTALADO EM RESERVAÇÃO PREDIAL DE ÁGUA - FORNECIMENTO E INSTALAÇÃO. AF_04/2024</t>
  </si>
  <si>
    <t>TUBO DE AÇO GALVANIZADO COM COSTURA, CLASSE MÉDIA, DN 65 MM (2 1/2"), CONEXÃO ROSQUEADA, INSTALADO EM RESERVAÇÃO PREDIAL DE ÁGUA - FORNECIMENTO E INSTALAÇÃO. AF_04/2024</t>
  </si>
  <si>
    <t>TUBO DE AÇO GALVANIZADO COM COSTURA, CLASSE MÉDIA, DN 80 MM (3"), CONEXÃO ROSQUEADA, INSTALADO EM RESERVAÇÃO PREDIAL DE ÁGUA - FORNECIMENTO E INSTALAÇÃO. AF_04/2024</t>
  </si>
  <si>
    <t>TUBO EM COBRE RÍGIDO, DN 54 MM, CLASSE E, SEM ISOLAMENTO, INSTALADO EM RESERVAÇÃO PREDIAL DE ÁGUA - FORNECIMENTO E INSTALAÇÃO. AF_04/2024</t>
  </si>
  <si>
    <t>TUBO EM COBRE RÍGIDO, DN 66 MM, CLASSE E, SEM ISOLAMENTO, INSTALADO EM RESERVAÇÃO PREDIAL DE ÁGUA - FORNECIMENTO E INSTALAÇÃO. AF_04/2024</t>
  </si>
  <si>
    <t>TUBO EM COBRE RÍGIDO, DN 79 MM, CLASSE E, SEM ISOLAMENTO, INSTALADO EM RESERVAÇÃO PREDIAL DE ÁGUA - FORNECIMENTO E INSTALAÇÃO. AF_04/2024</t>
  </si>
  <si>
    <t>TUBO EM COBRE RÍGIDO, DN 104 MM, CLASSE E, SEM ISOLAMENTO, INSTALADO EM RESERVAÇÃO PREDIAL DE ÁGUA - FORNECIMENTO E INSTALAÇÃO. AF_04/2024</t>
  </si>
  <si>
    <t>TUBO, PVC, SOLDÁVEL, DE  25MM, INSTALADO EM RESERVAÇÃO PREDIAL DE ÁGUA - FORNECIMENTO E INSTALAÇÃO. AF_04/2024</t>
  </si>
  <si>
    <t>TUBO, PVC, SOLDÁVEL, DE 32MM, INSTALADO EM RESERVAÇÃO PREDIAL DE ÁGUA - FORNECIMENTO E INSTALAÇÃO. AF_04/2024</t>
  </si>
  <si>
    <t>TUBO, PVC, SOLDÁVEL, DE 40MM, INSTALADO EM RESERVAÇÃO PREDIAL DE ÁGUA - FORNECIMENTO E INSTALAÇÃO. AF_04/2024</t>
  </si>
  <si>
    <t>TUBO, PVC, SOLDÁVEL, DE 50MM, INSTALADO EM RESERVAÇÃO PREDIAL DE ÁGUA - FORNECIMENTO E INSTALAÇÃO. AF_04/2024</t>
  </si>
  <si>
    <t>TUBO, PVC, SOLDÁVEL, DE 60MM, INSTALADO EM RESERVAÇÃO PREDIAL DE ÁGUA - FORNECIMENTO E INSTALAÇÃO. AF_04/2024</t>
  </si>
  <si>
    <t>TUBO, PVC, SOLDÁVEL, DE 75MM, INSTALADO EM RESERVAÇÃO PREDIAL DE ÁGUA - FORNECIMENTO E INSTALAÇÃO. AF_04/2024</t>
  </si>
  <si>
    <t>TUBO, PVC, SOLDÁVEL, DE 85MM, INSTALADO EM RESERVAÇÃO PREDIAL DE ÁGUA - FORNECIMENTO E INSTALAÇÃO. AF_04/2024</t>
  </si>
  <si>
    <t>TUBO, PVC, SOLDÁVEL, DE 110MM, INSTALADO EM RESERVAÇÃO PREDIAL DE ÁGUA - FORNECIMENTO E INSTALAÇÃO. AF_04/2024</t>
  </si>
  <si>
    <t>TUBO, CPVC, SOLDÁVEL, DN 22 MM, INSTALADO EM RESERVAÇÃO PREDIAL DE ÁGUA - FORNECIMENTO E INSTALAÇÃO. AF_04/2024</t>
  </si>
  <si>
    <t>TUBO, CPVC, SOLDÁVEL, DN 28 MM, INSTALADO EM RESERVAÇÃO PREDIAL DE ÁGUA - FORNECIMENTO E INSTALAÇÃO. AF_04/2024</t>
  </si>
  <si>
    <t>TUBO, CPVC, SOLDÁVEL, DN 35 MM, INSTALADO EM RESERVAÇÃO PREDIAL DE ÁGUA - FORNECIMENTO E INSTALAÇÃO. AF_04/2024</t>
  </si>
  <si>
    <t>TUBO, CPVC, SOLDÁVEL, DN 42 MM, INSTALADO EM RESERVAÇÃO PREDIAL DE ÁGUA - FORNECIMENTO E INSTALAÇÃO. AF_04/2024</t>
  </si>
  <si>
    <t>TUBO, CPVC, SOLDÁVEL, DN 54 MM, INSTALADO EM RESERVAÇÃO PREDIAL DE ÁGUA - FORNECIMENTO E INSTALAÇÃO. AF_04/2024</t>
  </si>
  <si>
    <t>92,49</t>
  </si>
  <si>
    <t>TUBO, CPVC, SOLDÁVEL, DN 73 MM, INSTALADO EM RESERVAÇÃO PREDIAL DE ÁGUA - FORNECIMENTO E INSTALAÇÃO. AF_04/2024</t>
  </si>
  <si>
    <t>TUBO, CPVC, SOLDÁVEL, DN 89 MM, INSTALADO EM RESERVAÇÃO PREDIAL DE ÁGUA - FORNECIMENTO E INSTALAÇÃO. AF_04/2024</t>
  </si>
  <si>
    <t>TUBO, CPVC, SOLDÁVEL, DN 114 MM, INSTALADO EM RESERVAÇÃO PREDIAL DE ÁGUA - FORNECIMENTO E INSTALAÇÃO. AF_04/2024</t>
  </si>
  <si>
    <t>43,11</t>
  </si>
  <si>
    <t>39,77</t>
  </si>
  <si>
    <t>97,86</t>
  </si>
  <si>
    <t>TUBO, PPR, DN 20 MM, CLASSE PN 20,  INSTALADO EM RESERVAÇÃO PREDIAL DE ÁGUA - FORNECIMENTO E INSTALAÇÃO. AF_04/2024</t>
  </si>
  <si>
    <t>TUBO, PPR, DN 25 MM, CLASSE PN 20,  INSTALADO EM RESERVAÇÃO PREDIAL DE ÁGUA - FORNECIMENTO E INSTALAÇÃO. AF_04/2024</t>
  </si>
  <si>
    <t>TUBO, PPR, DN 32 MM, CLASSE PN 12,  INSTALADO EM RESERVAÇÃO PREDIAL DE ÁGUA - FORNECIMENTO E INSTALAÇÃO. AF_04/2024</t>
  </si>
  <si>
    <t>TUBO, PPR, DN 40 MM, CLASSE PN 12,  INSTALADO EM RESERVAÇÃO PREDIAL DE ÁGUA - FORNECIMENTO E INSTALAÇÃO. AF_04/2024</t>
  </si>
  <si>
    <t>TUBO, PPR, DN 50 MM, CLASSE PN 12,  INSTALADO EM RESERVAÇÃO PREDIAL DE ÁGUA - FORNECIMENTO E INSTALAÇÃO. AF_04/2024</t>
  </si>
  <si>
    <t>33,11</t>
  </si>
  <si>
    <t>TUBO, PPR, DN 63 MM, CLASSE PN 12,  INSTALADO EM RESERVAÇÃO PREDIAL DE ÁGUA - FORNECIMENTO E INSTALAÇÃO. AF_04/2024</t>
  </si>
  <si>
    <t>TUBO, PPR, DN 75 MM, CLASSE PN 12,  INSTALADO EM RESERVAÇÃO PREDIAL DE ÁGUA - FORNECIMENTO E INSTALAÇÃO. AF_04/2024</t>
  </si>
  <si>
    <t>TUBO, PPR, DN 90 MM, CLASSE PN 12,  INSTALADO EM RESERVAÇÃO PREDIAL DE ÁGUA - FORNECIMENTO E INSTALAÇÃO. AF_04/2024</t>
  </si>
  <si>
    <t>TUBO, PPR, DN 110 MM, CLASSE PN 12,  INSTALADO EM RESERVAÇÃO PREDIAL DE ÁGUA - FORNECIMENTO E INSTALAÇÃO. AF_04/2024</t>
  </si>
  <si>
    <t>TUBO, PPR, DN 20 MM, CLASSE PN 25,  INSTALADO EM RESERVAÇÃO PREDIAL DE ÁGUA - FORNECIMENTO E INSTALAÇÃO. AF_04/2024</t>
  </si>
  <si>
    <t>TUBO, PPR, DN 25 MM, CLASSE PN 25,  INSTALADO EM RESERVAÇÃO PREDIAL DE ÁGUA - FORNECIMENTO E INSTALAÇÃO. AF_04/2024</t>
  </si>
  <si>
    <t>TUBO, PPR, DN 32 MM, CLASSE PN 25,  INSTALADO EM RESERVAÇÃO PREDIAL DE ÁGUA - FORNECIMENTO E INSTALAÇÃO. AF_04/2024</t>
  </si>
  <si>
    <t>TUBO, PPR, DN 40 MM, CLASSE PN 25,  INSTALADO EM RESERVAÇÃO PREDIAL DE ÁGUA - FORNECIMENTO E INSTALAÇÃO. AF_04/2024</t>
  </si>
  <si>
    <t>TUBO, PPR, DN 50 MM, CLASSE PN 25,  INSTALADO EM RESERVAÇÃO PREDIAL DE ÁGUA - FORNECIMENTO E INSTALAÇÃO. AF_04/2024</t>
  </si>
  <si>
    <t>TUBO, PPR, DN 63 MM, CLASSE PN 25,  INSTALADO EM RESERVAÇÃO PREDIAL DE ÁGUA - FORNECIMENTO E INSTALAÇÃO. AF_04/2024</t>
  </si>
  <si>
    <t>TUBO, PPR, DN 75 MM, CLASSE PN 25,  INSTALADO EM RESERVAÇÃO PREDIAL DE ÁGUA - FORNECIMENTO E INSTALAÇÃO. AF_04/2024</t>
  </si>
  <si>
    <t>TUBO, PPR, DN 90 MM, CLASSE PN 25,  INSTALADO EM RESERVAÇÃO PREDIAL DE ÁGUA - FORNECIMENTO E INSTALAÇÃO. AF_04/2024</t>
  </si>
  <si>
    <t>TUBO, PPR, DN 110 MM, CLASSE PN 25,  INSTALADO EM RESERVAÇÃO PREDIAL DE ÁGUA - FORNECIMENTO E INSTALAÇÃO. AF_04/2024</t>
  </si>
  <si>
    <t>13,73</t>
  </si>
  <si>
    <t>TUBO EM COBRE FLEXÍVEL, DN 1/4", COM ISOLAMENTO, INSTALADO EM RAMAL DE ALIMENTAÇÃO DE AR CONDICIONADO COM CONDENSADORA INDIVIDUAL   FORNECIMENTO E INSTALAÇÃO. AF_12/2015</t>
  </si>
  <si>
    <t>TUBO EM COBRE FLEXÍVEL, DN 3/8", COM ISOLAMENTO, INSTALADO EM RAMAL DE ALIMENTAÇÃO DE AR CONDICIONADO COM CONDENSADORA INDIVIDUAL - FORNECIMENTO E INSTALAÇÃO. AF_12/2015</t>
  </si>
  <si>
    <t>TUBO EM COBRE FLEXÍVEL, DN 1/2", COM ISOLAMENTO, INSTALADO EM RAMAL DE ALIMENTAÇÃO DE AR CONDICIONADO COM CONDENSADORA INDIVIDUAL - FORNECIMENTO E INSTALAÇÃO. AF_12/2015</t>
  </si>
  <si>
    <t>TUBO EM COBRE FLEXÍVEL, DN 5/8", COM ISOLAMENTO, INSTALADO EM RAMAL DE ALIMENTAÇÃO DE AR CONDICIONADO COM CONDENSADORA INDIVIDUAL - FORNECIMENTO E INSTALAÇÃO. AF_12/2015</t>
  </si>
  <si>
    <t>67,57</t>
  </si>
  <si>
    <t>TUBO EM COBRE FLEXÍVEL, DN 1/4", COM ISOLAMENTO, INSTALADO EM RAMAL DE ALIMENTAÇÃO DE AR CONDICIONADO COM CONDENSADORA CENTRAL - FORNECIMENTO E INSTALAÇÃO. AF_12/2015</t>
  </si>
  <si>
    <t>TUBO EM COBRE FLEXÍVEL, DN 3/8", COM ISOLAMENTO, INSTALADO EM RAMAL DE ALIMENTAÇÃO DE AR CONDICIONADO COM CONDENSADORA CENTRAL - FORNECIMENTO E INSTALAÇÃO. AF_12/2015</t>
  </si>
  <si>
    <t>TUBO EM COBRE FLEXÍVEL, DN 1/2", COM ISOLAMENTO, INSTALADO EM RAMAL DE ALIMENTAÇÃO DE AR CONDICIONADO COM CONDENSADORA CENTRAL - FORNECIMENTO E INSTALAÇÃO. AF_12/2015</t>
  </si>
  <si>
    <t>TUBO EM COBRE FLEXÍVEL, DN 5/8", COM ISOLAMENTO, INSTALADO EM RAMAL DE ALIMENTAÇÃO DE AR CONDICIONADO COM CONDENSADORA CENTRAL   FORNECIMENTO E INSTALAÇÃO. AF_12/2015</t>
  </si>
  <si>
    <t>101,98</t>
  </si>
  <si>
    <t>31,52</t>
  </si>
  <si>
    <t>335,10</t>
  </si>
  <si>
    <t>TUBO, PVC, SOLDÁVEL, DE 40MM, INSTALADO EM RAMAL DE DISTRIBUIÇÃO DE ÁGUA - FORNECIMENTO E INSTALAÇÃO. AF_06/2022</t>
  </si>
  <si>
    <t>TUBO, PVC, SOLDÁVEL, DE 50MM, INSTALADO EM RAMAL DE DISTRIBUIÇÃO DE ÁGUA - FORNECIMENTO E INSTALAÇÃO. AF_06/2022</t>
  </si>
  <si>
    <t>TUBO, PVC, SOLDÁVEL, DE 20MM, INSTALADO EM DRENO DE AR CONDICIONADO - FORNECIMENTO E INSTALAÇÃO. AF_08/2022</t>
  </si>
  <si>
    <t>16,30</t>
  </si>
  <si>
    <t>TUBO, PVC, SOLDÁVEL, DE 32MM, INSTALADO EM DRENO DE AR CONDICIONADO - FORNECIMENTO E INSTALAÇÃO. AF_08/2022</t>
  </si>
  <si>
    <t>105138</t>
  </si>
  <si>
    <t>BUCHA DE REDUÇÃO PVC, SOLDÁVEL, LONGA, DN 60 X 25 MM, INSTALADO EM RESERVAÇÃO PREDIAL DE ÁGUA - FORNECIMENTO E INSTALAÇÃO. AF_04/2024</t>
  </si>
  <si>
    <t>105139</t>
  </si>
  <si>
    <t>BUCHA DE REDUÇÃO PVC, SOLDÁVEL, LONGA, DN 60 X 32 MM, INSTALADO EM RESERVAÇÃO PREDIAL DE ÁGUA - FORNECIMENTO E INSTALAÇÃO. AF_04/2024</t>
  </si>
  <si>
    <t>105140</t>
  </si>
  <si>
    <t>BUCHA DE REDUÇÃO PVC, SOLDÁVEL, LONGA, DN 60 X 50 MM, INSTALADO EM RESERVAÇÃO PREDIAL DE ÁGUA - FORNECIMENTO E INSTALAÇÃO. AF_04/2024</t>
  </si>
  <si>
    <t>105141</t>
  </si>
  <si>
    <t>BUCHA DE REDUÇÃO PVC, SOLDÁVEL, LONGA, DN 75 X 50 MM, INSTALADO EM RESERVAÇÃO PREDIAL DE ÁGUA - FORNECIMENTO E INSTALAÇÃO. AF_04/2024</t>
  </si>
  <si>
    <t>32,29</t>
  </si>
  <si>
    <t>105142</t>
  </si>
  <si>
    <t>LUVA DE REDUÇÃO SOLDÁVEL, PVC, DN 32 MM X 25 MM, INSTALADO EM RESERVAÇÃO PREDIAL DE ÁGUA - FORNECIMENTO E INSTALAÇÃO. AF_04/2024</t>
  </si>
  <si>
    <t>105143</t>
  </si>
  <si>
    <t>LUVA DE REDUÇÃO SOLDÁVEL, PVC, DN 40 MM X 32 MM, INSTALADO EM RESERVAÇÃO PREDIAL DE ÁGUA - FORNECIMENTO E INSTALAÇÃO. AF_04/2024</t>
  </si>
  <si>
    <t>105144</t>
  </si>
  <si>
    <t>LUVA DE REDUÇÃO SOLDÁVEL, PVC, DN 60 MM X 50 MM, INSTALADO EM RESERVAÇÃO PREDIAL DE ÁGUA - FORNECIMENTO E INSTALAÇÃO. AF_04/2024</t>
  </si>
  <si>
    <t>105145</t>
  </si>
  <si>
    <t>LUVA DE REDUÇÃO, SOLDÁVEL, PVC, DN 50 X 25 MM, INSTALADO EM RESERVAÇÃO PREDIAL DE ÁGUA - FORNECIMENTO E INSTALAÇÃO. AF_04/2024</t>
  </si>
  <si>
    <t>105153</t>
  </si>
  <si>
    <t>JOELHO PPR 45 GRAUS, SOLDÁVEL, DN 63 MM, INSTALADO EM RESERVAÇÃO PREDIAL DE ÁGUA - FORNECIMENTO E INSTALAÇÃO. AF_04/2024</t>
  </si>
  <si>
    <t>7,07</t>
  </si>
  <si>
    <t>10,31</t>
  </si>
  <si>
    <t>9,95</t>
  </si>
  <si>
    <t>11,30</t>
  </si>
  <si>
    <t>8,93</t>
  </si>
  <si>
    <t>45,53</t>
  </si>
  <si>
    <t>77,43</t>
  </si>
  <si>
    <t>11,92</t>
  </si>
  <si>
    <t>78,99</t>
  </si>
  <si>
    <t>38,02</t>
  </si>
  <si>
    <t>48,50</t>
  </si>
  <si>
    <t>10,80</t>
  </si>
  <si>
    <t>23,71</t>
  </si>
  <si>
    <t>ADAPTADOR CURTO COM BOLSA E ROSCA PARA REGISTRO, PVC, SOLDÁVEL, DN 75MM X 2.1/2", INSTALADO EM PRUMADA DE ÁGUA - FORNECIMENTO E INSTALAÇÃO. AF_12/2014</t>
  </si>
  <si>
    <t>63,10</t>
  </si>
  <si>
    <t>20,10</t>
  </si>
  <si>
    <t>18,59</t>
  </si>
  <si>
    <t>23,44</t>
  </si>
  <si>
    <t>50,29</t>
  </si>
  <si>
    <t>12,28</t>
  </si>
  <si>
    <t>JOELHO DE TRANSIÇÃO, 90 GRAUS, CPVC, SOLDÁVEL, DN 15MM X 1/2", INSTALADO EM RAMAL OU SUB-RAMAL DE ÁGUA - FORNECIMENTO E INSTALAÇÃO. AF_06/2022</t>
  </si>
  <si>
    <t>JOELHO DE TRANSIÇÃO, 90 GRAUS, CPVC, SOLDÁVEL, DN 22MM X 1/2", INSTALADO EM RAMAL OU SUB-RAMAL DE ÁGUA - FORNECIMENTO E INSTALAÇÃO. AF_06/2022</t>
  </si>
  <si>
    <t>JOELHO DE TRANSIÇÃO, 90 GRAUS, CPVC, SOLDÁVEL, DN 22MM X 3/4", INSTALADO EM RAMAL OU SUB-RAMAL DE ÁGUA - FORNECIMENTO E INSTALAÇÃO. AF_06/2022</t>
  </si>
  <si>
    <t>20,25</t>
  </si>
  <si>
    <t>28,98</t>
  </si>
  <si>
    <t>7,30</t>
  </si>
  <si>
    <t>LUVA DE TRANSIÇÃO, CPVC, SOLDÁVEL, DN15MM X 1/2", INSTALADO EM RAMAL OU SUB-RAMAL DE ÁGUA - FORNECIMENTO E INSTALAÇÃO. AF_06/2022</t>
  </si>
  <si>
    <t>17,29</t>
  </si>
  <si>
    <t>50,00</t>
  </si>
  <si>
    <t>CONECTOR, CPVC, SOLDÁVEL, DN22MM X 3/4", INSTALADO EM RAMAL OU SUB-RAMAL DE ÁGUA - FORNECIMENTO E INSTALAÇÃO. AF_06/2022</t>
  </si>
  <si>
    <t>30,57</t>
  </si>
  <si>
    <t>36,69</t>
  </si>
  <si>
    <t>58,99</t>
  </si>
  <si>
    <t>TE MISTURADOR DE TRANSIÇÃO, CPVC, SOLDÁVEL, DN 22MM X 3/4", INSTALADO EM RAMAL OU SUB-RAMAL DE ÁGUA - FORNECIMENTO E INSTALAÇÃO. AF_06/2022</t>
  </si>
  <si>
    <t>171,11</t>
  </si>
  <si>
    <t>56,50</t>
  </si>
  <si>
    <t>23,59</t>
  </si>
  <si>
    <t>36,60</t>
  </si>
  <si>
    <t>21,39</t>
  </si>
  <si>
    <t>49,35</t>
  </si>
  <si>
    <t>52,78</t>
  </si>
  <si>
    <t>41,10</t>
  </si>
  <si>
    <t>7,35</t>
  </si>
  <si>
    <t>8,67</t>
  </si>
  <si>
    <t>28,49</t>
  </si>
  <si>
    <t>24,67</t>
  </si>
  <si>
    <t>36,82</t>
  </si>
  <si>
    <t>8,85</t>
  </si>
  <si>
    <t>165,21</t>
  </si>
  <si>
    <t>56,66</t>
  </si>
  <si>
    <t>205,07</t>
  </si>
  <si>
    <t>90,07</t>
  </si>
  <si>
    <t>42,74</t>
  </si>
  <si>
    <t>130,28</t>
  </si>
  <si>
    <t>68,85</t>
  </si>
  <si>
    <t>24,13</t>
  </si>
  <si>
    <t>36,98</t>
  </si>
  <si>
    <t>39,04</t>
  </si>
  <si>
    <t>223,50</t>
  </si>
  <si>
    <t>61,61</t>
  </si>
  <si>
    <t>146,08</t>
  </si>
  <si>
    <t>151,75</t>
  </si>
  <si>
    <t>44,62</t>
  </si>
  <si>
    <t>31,74</t>
  </si>
  <si>
    <t>13,64</t>
  </si>
  <si>
    <t>LUVA, EM FERRO GALVANIZADO, CONEXÃO ROSQUEADA, DN 50 MM (2"), INSTALADO EM RESERVAÇÃO PREDIAL DE ÁGUA - FORNECIMENTO E INSTALAÇÃO. AF_04/2024</t>
  </si>
  <si>
    <t>NIPLE, EM FERRO GALVANIZADO, CONEXÃO ROSQUEADA, DN 50 MM (2"), INSTALADO EM RESERVAÇÃO PREDIAL DE ÁGUA - FORNECIMENTO E INSTALAÇÃO. AF_04/2024</t>
  </si>
  <si>
    <t>LUVA, EM FERRO GALVANIZADO, CONEXÃO ROSQUEADA, DN 65 MM (2 1/2"), INSTALADO EM RESERVAÇÃO PREDIAL DE ÁGUA - FORNECIMENTO E INSTALAÇÃO. AF_04/2024</t>
  </si>
  <si>
    <t>NIPLE, EM FERRO GALVANIZADO, CONEXÃO ROSQUEADA, DN 65 MM (2 1/2"), INSTALADO EM RESERVAÇÃO PREDIAL DE ÁGUA - FORNECIMENTO E INSTALAÇÃO. AF_04/2024</t>
  </si>
  <si>
    <t>LUVA, EM FERRO GALVANIZADO, CONEXÃO ROSQUEADA, DN 80 MM (3"), INSTALADO EM RESERVAÇÃO PREDIAL DE ÁGUA - FORNECIMENTO E INSTALAÇÃO. AF_04/2024</t>
  </si>
  <si>
    <t>NIPLE, EM FERRO GALVANIZADO, CONEXÃO ROSQUEADA, DN 80 MM (3"), INSTALADO EM RESERVAÇÃO PREDIAL DE ÁGUA - FORNECIMENTO E INSTALAÇÃO. AF_04/2024</t>
  </si>
  <si>
    <t>COTOVELO 90 GRAUS, EM FERRO GALVANIZADO, CONEXÃO ROSQUEADA, DN 50 MM (2"), INSTALADO EM RESERVAÇÃO PREDIAL DE ÁGUA - FORNECIMENTO E INSTALAÇÃO. AF_04/2024</t>
  </si>
  <si>
    <t>79,49</t>
  </si>
  <si>
    <t>COTOVELO 45 GRAUS, EM FERRO GALVANIZADO, CONEXÃO ROSQUEADA, DN 50 MM (2"), INSTALADO EM RESERVAÇÃO PREDIAL DE ÁGUA - FORNECIMENTO E INSTALAÇÃO. AF_04/2024</t>
  </si>
  <si>
    <t>COTOVELO 90 GRAUS, EM FERRO GALVANIZADO, CONEXÃO ROSQUEADA, DN 65 MM (2 1/2"), INSTALADO EM RESERVAÇÃO PREDIAL DE ÁGUA - FORNECIMENTO E INSTALAÇÃO. AF_04/2024</t>
  </si>
  <si>
    <t>COTOVELO 45 GRAUS, EM FERRO GALVANIZADO, CONEXÃO ROSQUEADA, DN 65 MM (2 1/2"), INSTALADO EM RESERVAÇÃO PREDIAL DE ÁGUA - FORNECIMENTO E INSTALAÇÃO. AF_04/2024</t>
  </si>
  <si>
    <t>COTOVELO 90 GRAUS, EM FERRO GALVANIZADO, CONEXÃO ROSQUEADA, DN 80 MM (3"), INSTALADO EM RESERVAÇÃO PREDIAL DE ÁGUA - FORNECIMENTO E INSTALAÇÃO. AF_04/2024</t>
  </si>
  <si>
    <t>COTOVELO 45 GRAUS, EM FERRO GALVANIZADO, CONEXÃO ROSQUEADA, DN 80 MM (3"), INSTALADO EM RESERVAÇÃO PREDIAL DE ÁGUA - FORNECIMENTO E INSTALAÇÃO. AF_04/2024</t>
  </si>
  <si>
    <t>TÊ, EM FERRO GALVANIZADO, CONEXÃO ROSQUEADA, DN 50 MM (2"), INSTALADO EM RESERVAÇÃO PREDIAL DE ÁGUA - FORNECIMENTO E INSTALAÇÃO. AF_04/2024</t>
  </si>
  <si>
    <t>TÊ, EM FERRO GALVANIZADO, CONEXÃO ROSQUEADA, DN 65 MM (2 1/2"), INSTALADO EM RESERVAÇÃO PREDIAL DE ÁGUA - FORNECIMENTO E INSTALAÇÃO. AF_04/2024</t>
  </si>
  <si>
    <t>177,91</t>
  </si>
  <si>
    <t>TÊ, EM FERRO GALVANIZADO, CONEXÃO ROSQUEADA, DN 80 MM (3"), INSTALADO EM RESERVAÇÃO PREDIAL DE ÁGUA - FORNECIMENTO E INSTALAÇÃO. AF_04/2024</t>
  </si>
  <si>
    <t>LUVA EM COBRE, DN 54 MM, SEM ANEL DE SOLDA, INSTALADO EM RESERVAÇÃO PREDIAL DE ÁGUA - FORNECIMENTO E INSTALAÇÃO. AF_04/2024</t>
  </si>
  <si>
    <t>LUVA EM COBRE, DN 66 MM, SEM ANEL DE SOLDA, INSTALADO EM RESERVAÇÃO PREDIAL DE ÁGUA - FORNECIMENTO E INSTALAÇÃO. AF_04/2024</t>
  </si>
  <si>
    <t>LUVA EM COBRE, DN 79 MM, SEM ANEL DE SOLDA, INSTALADO EM RESERVAÇÃO PREDIAL DE ÁGUA - FORNECIMENTO E INSTALAÇÃO. AF_04/2024</t>
  </si>
  <si>
    <t>LUVA DE COBRE, DN 104 MM, SEM ANEL DE SOLDA, INSTALADO EM RESERVAÇÃO PREDIAL DE ÁGUA - FORNECIMENTO E INSTALAÇÃO. AF_04/2024</t>
  </si>
  <si>
    <t>COTOVELO EM COBRE, DN 54 MM, 90 GRAUS, SEM ANEL DE SOLDA, INSTALADO EM RESERVAÇÃO PREDIAL DE ÁGUA - FORNECIMENTO E INSTALAÇÃO. AF_04/2024</t>
  </si>
  <si>
    <t>CURVA EM COBRE, DN 54 MM, 45 GRAUS, SEM ANEL DE SOLDA, BOLSA X BOLSA, INSTALADO EM RESERVAÇÃO PREDIAL DE ÁGUA - FORNECIMENTO E INSTALAÇÃO. AF_04/2024</t>
  </si>
  <si>
    <t>COTOVELO EM COBRE, DN 66 MM, 90 GRAUS, SEM ANEL DE SOLDA, INSTALADO EM RESERVAÇÃO PREDIAL DE ÁGUA - FORNECIMENTO E INSTALAÇÃO. AF_04/2024</t>
  </si>
  <si>
    <t>CURVA EM COBRE, DN 66 MM, 45 GRAUS, SEM ANEL DE SOLDA, BOLSA X BOLSA, INSTALADO EM RESERVAÇÃO PREDIAL DE ÁGUA - FORNECIMENTO E INSTALAÇÃO. AF_04/2024</t>
  </si>
  <si>
    <t>COTOVELO EM COBRE, DN 79 MM, 90 GRAUS, SEM ANEL DE SOLDA, INSTALADO EM RESERVAÇÃO PREDIAL DE ÁGUA - FORNECIMENTO E INSTALAÇÃO. AF_04/2024</t>
  </si>
  <si>
    <t>COTOVELO EM COBRE, DN 104 MM, 90 GRAUS, SEM ANEL DE SOLDA, INSTALADO EM RESERVAÇÃO PREDIAL DE ÁGUA - FORNECIMENTO E INSTALAÇÃO. AF_04/2024</t>
  </si>
  <si>
    <t>TE EM COBRE, DN 54 MM, SEM ANEL DE SOLDA, INSTALADO EM RESERVAÇÃO PREDIAL DE ÁGUA - FORNECIMENTO E INSTALAÇÃO. AF_04/2024</t>
  </si>
  <si>
    <t>TE EM COBRE, DN 66 MM, SEM ANEL DE SOLDA, INSTALADO EM RESERVAÇÃO PREDIAL DE ÁGUA - FORNECIMENTO E INSTALAÇÃO. AF_04/2024</t>
  </si>
  <si>
    <t>TE EM COBRE, DN 79 MM, SEM ANEL DE SOLDA, INSTALADO EM RESERVAÇÃO PREDIAL DE ÁGUA - FORNECIMENTO E INSTALAÇÃO. AF_04/2024</t>
  </si>
  <si>
    <t>TE EM COBRE, DN 104 MM, SEM ANEL DE SOLDA, INSTALADO EM RESERVAÇÃO PREDIAL DE ÁGUA - FORNECIMENTO E INSTALAÇÃO. AF_04/2024</t>
  </si>
  <si>
    <t>ADAPTADOR CURTO COM BOLSA E ROSCA PARA REGISTRO, PVC, SOLDÁVEL, DN  25 MM X 3/4", INSTALADO EM RESERVAÇÃO PREDIAL DE ÁGUA - FORNECIMENTO E INSTALAÇÃO. AF_04/2024</t>
  </si>
  <si>
    <t>LUVA PVC, SOLDÁVEL, DN  25 MM, INSTALADO EM RESERVAÇÃO PREDIAL DE ÁGUA - FORNECIMENTO E INSTALAÇÃO. AF_04/2024</t>
  </si>
  <si>
    <t>ADAPTADOR CURTO COM BOLSA E ROSCA PARA REGISTRO, PVC, SOLDÁVEL, DN 32 MM X 1", INSTALADO EM RESERVAÇÃO PREDIAL DE ÁGUA - FORNECIMENTO E INSTALAÇÃO. AF_04/2024</t>
  </si>
  <si>
    <t>LUVA PVC, SOLDÁVEL, DN 32 MM, INSTALADO EM RESERVAÇÃO PREDIAL DE ÁGUA - FORNECIMENTO E INSTALAÇÃO. AF_04/2024</t>
  </si>
  <si>
    <t>ADAPTADOR CURTO COM BOLSA E ROSCA PARA REGISTRO, PVC, SOLDÁVEL, DN 40 MM X 1 1/4", INSTALADO EM RESERVAÇÃO PREDIAL DE ÁGUA - FORNECIMENTO E INSTALAÇÃO. AF_04/2024</t>
  </si>
  <si>
    <t>LUVA, PVC, SOLDÁVEL, DN 40 MM, INSTALADO EM RESERVAÇÃO PREDIAL DE ÁGUA - FORNECIMENTO E INSTALAÇÃO. AF_04/2024</t>
  </si>
  <si>
    <t>ADAPTADOR CURTO COM BOLSA E ROSCA PARA REGISTRO, PVC, SOLDÁVEL, DN 50 MM X 1 1/2", INSTALADO EM RESERVAÇÃO PREDIAL DE ÁGUA - FORNECIMENTO E INSTALAÇÃO. AF_04/2024</t>
  </si>
  <si>
    <t>LUVA, PVC, SOLDÁVEL, DN 50 MM, INSTALADO EM RESERVAÇÃO PREDIAL DE ÁGUA - FORNECIMENTO E INSTALAÇÃO. AF_04/2024</t>
  </si>
  <si>
    <t>ADAPTADOR CURTO COM BOLSA E ROSCA PARA REGISTRO, PVC, SOLDÁVEL, DN 60 MM X 2", INSTALADO EM RESERVAÇÃO PREDIAL DE ÁGUA - FORNECIMENTO E INSTALAÇÃO. AF_04/2024</t>
  </si>
  <si>
    <t>LUVA, PVC, SOLDÁVEL, DN 60 MM, INSTALADO EM RESERVAÇÃO PREDIAL DE ÁGUA - FORNECIMENTO E INSTALAÇÃO. AF_04/2024</t>
  </si>
  <si>
    <t>ADAPTADOR CURTO COM BOLSA E ROSCA PARA REGISTRO, PVC, SOLDÁVEL, DN 75 MM X 2 1/2", INSTALADO EM RESERVAÇÃO PREDIAL DE ÁGUA - FORNECIMENTO E INSTALAÇÃO. AF_04/2024</t>
  </si>
  <si>
    <t>34,02</t>
  </si>
  <si>
    <t>LUVA, PVC, SOLDÁVEL, DN 75 MM, INSTALADO EM RESERVAÇÃO PREDIAL DE ÁGUA - FORNECIMENTO E INSTALAÇÃO. AF_04/2024</t>
  </si>
  <si>
    <t>ADAPTADOR CURTO COM BOLSA E ROSCA PARA REGISTRO, PVC, SOLDÁVEL, DN 85 MM X 3", INSTALADO EM RESERVAÇÃO PREDIAL DE ÁGUA - FORNECIMENTO E INSTALAÇÃO. AF_04/2024</t>
  </si>
  <si>
    <t>45,36</t>
  </si>
  <si>
    <t>LUVA, PVC, SOLDÁVEL, DN 85 MM, INSTALADO EM RESERVAÇÃO PREDIAL DE ÁGUA - FORNECIMENTO E INSTALAÇÃO. AF_04/2024</t>
  </si>
  <si>
    <t>ADAPTADOR CURTO COM BOLSA E ROSCA PARA REGISTRO, PVC, SOLDÁVEL, DN 110 MM X 4", INSTALADO EM RESERVAÇÃO PREDIAL DE ÁGUA - FORNECIMENTO E INSTALAÇÃO. AF_04/2024</t>
  </si>
  <si>
    <t>LUVA, PVC, SOLDÁVEL, DN 110 MM, INSTALADO EM RESERVAÇÃO PREDIAL DE ÁGUA - FORNECIMENTO E INSTALAÇÃO. AF_04/2024</t>
  </si>
  <si>
    <t>JOELHO 90 GRAUS COM BUCHA DE LATÃO, PVC, SOLDÁVEL, DN  25 MM X 3/4", INSTALADO EM RESERVAÇÃO PREDIAL DE ÁGUA - FORNECIMENTO E INSTALAÇÃO. AF_04/2024</t>
  </si>
  <si>
    <t>CURVA 90 GRAUS, PVC, SOLDÁVEL, DN  25 MM, INSTALADO EM RESERVAÇÃO PREDIAL DE ÁGUA - FORNECIMENTO E INSTALAÇÃO. AF_04/2024</t>
  </si>
  <si>
    <t>JOELHO 90 GRAUS, PVC, SOLDÁVEL, DN 32 MM INSTALADO EM RESERVAÇÃO PREDIAL DE ÁGUA - FORNECIMENTO E INSTALAÇÃO. AF_04/2024</t>
  </si>
  <si>
    <t>CURVA 90 GRAUS, PVC, SOLDÁVEL, DN 32 MM, INSTALADO EM RESERVAÇÃO PREDIAL DE ÁGUA - FORNECIMENTO E INSTALAÇÃO. AF_04/2024</t>
  </si>
  <si>
    <t>JOELHO 90 GRAUS, PVC, SOLDÁVEL, DN 40 MM INSTALADO EM RESERVAÇÃO PREDIAL DE ÁGUA - FORNECIMENTO E INSTALAÇÃO. AF_04/2024</t>
  </si>
  <si>
    <t>CURVA 90 GRAUS, PVC, SOLDÁVEL, DN 40 MM, INSTALADO EM RESERVAÇÃO PREDIAL DE ÁGUA - FORNECIMENTO E INSTALAÇÃO. AF_04/2024</t>
  </si>
  <si>
    <t>JOELHO 90 GRAUS, PVC, SOLDÁVEL, DN 50 MM INSTALADO EM RESERVAÇÃO PREDIAL DE ÁGUA - FORNECIMENTO E INSTALAÇÃO. AF_04/2024</t>
  </si>
  <si>
    <t>15,33</t>
  </si>
  <si>
    <t>CURVA 90 GRAUS, PVC, SOLDÁVEL, DN 50 MM, INSTALADO EM RESERVAÇÃO PREDIAL DE ÁGUA - FORNECIMENTO E INSTALAÇÃO. AF_04/2024</t>
  </si>
  <si>
    <t>JOELHO 90 GRAUS, PVC, SOLDÁVEL, DN 60 MM INSTALADO EM RESERVAÇÃO PREDIAL DE ÁGUA - FORNECIMENTO E INSTALAÇÃO. AF_04/2024</t>
  </si>
  <si>
    <t>CURVA 90 GRAUS, PVC, SOLDÁVEL, DN 60 MM, INSTALADO EM RESERVAÇÃO PREDIAL DE ÁGUA - FORNECIMENTO E INSTALAÇÃO. AF_04/2024</t>
  </si>
  <si>
    <t>JOELHO 90 GRAUS, PVC, SOLDÁVEL, DN 75 MM INSTALADO EM RESERVAÇÃO PREDIAL DE ÁGUA - FORNECIMENTO E INSTALAÇÃO. AF_04/2024</t>
  </si>
  <si>
    <t>CURVA 90 GRAUS, PVC, SOLDÁVEL, DN 75 MM, INSTALADO EM RESERVAÇÃO PREDIAL DE ÁGUA - FORNECIMENTO E INSTALAÇÃO. AF_04/2024</t>
  </si>
  <si>
    <t>78,09</t>
  </si>
  <si>
    <t>JOELHO 90 GRAUS, PVC, SOLDÁVEL, DN 85 MM INSTALADO EM RESERVAÇÃO PREDIAL DE ÁGUA - FORNECIMENTO E INSTALAÇÃO. AF_04/2024</t>
  </si>
  <si>
    <t>CURVA 90 GRAUS, PVC, SOLDÁVEL, DN 85 MM, INSTALADO EM RESERVAÇÃO PREDIAL DE ÁGUA - FORNECIMENTO E INSTALAÇÃO. AF_04/2024</t>
  </si>
  <si>
    <t>JOELHO 90 GRAUS, PVC, SOLDÁVEL, DN 110 MM INSTALADO EM RESERVAÇÃO PREDIAL DE ÁGUA - FORNECIMENTO E INSTALAÇÃO. AF_04/2024</t>
  </si>
  <si>
    <t>CURVA 90 GRAUS, PVC, SOLDÁVEL, DN 110 MM, INSTALADO EM RESERVAÇÃO PREDIAL DE ÁGUA - FORNECIMENTO E INSTALAÇÃO. AF_04/2024</t>
  </si>
  <si>
    <t>TÊ, PVC, SOLDÁVEL, DN  25 MM INSTALADO EM RESERVAÇÃO PREDIAL DE ÁGUA - FORNECIMENTO E INSTALAÇÃO. AF_04/2024</t>
  </si>
  <si>
    <t>TÊ COM BUCHA DE LATÃO NA BOLSA CENTRAL, PVC, SOLDÁVEL, DN  25 MM X 3/4", INSTALADO EM RESERVAÇÃO PREDIAL DE ÁGUA - FORNECIMENTO E INSTALAÇÃO. AF_04/2024</t>
  </si>
  <si>
    <t>9,70</t>
  </si>
  <si>
    <t>TÊ, PVC, SOLDÁVEL, DN 32 MM INSTALADO EM RESERVAÇÃO PREDIAL DE ÁGUA - FORNECIMENTO E INSTALAÇÃO. AF_04/2024</t>
  </si>
  <si>
    <t>TÊ DE REDUÇÃO, PVC, SOLDÁVEL, DN 32 MM X  25 MM, INSTALADO EM RESERVAÇÃO PREDIAL DE ÁGUA - FORNECIMENTO E INSTALAÇÃO. AF_04/2024</t>
  </si>
  <si>
    <t>TÊ, PVC, SOLDÁVEL, DN 40 MM INSTALADO EM RESERVAÇÃO PREDIAL DE ÁGUA - FORNECIMENTO E INSTALAÇÃO. AF_04/2024</t>
  </si>
  <si>
    <t>TÊ DE REDUÇÃO, PVC, SOLDÁVEL, DN 40 MM X 32 MM, INSTALADO EM RESERVAÇÃO PREDIAL DE ÁGUA - FORNECIMENTO E INSTALAÇÃO. AF_04/2024</t>
  </si>
  <si>
    <t>TÊ, PVC, SOLDÁVEL, DN 50 MM INSTALADO EM RESERVAÇÃO PREDIAL DE ÁGUA - FORNECIMENTO E INSTALAÇÃO. AF_04/2024</t>
  </si>
  <si>
    <t>TÊ DE REDUÇÃO, PVC, SOLDÁVEL, DN 50 MM X 40 MM, INSTALADO EM RESERVAÇÃO PREDIAL DE ÁGUA - FORNECIMENTO E INSTALAÇÃO. AF_04/2024</t>
  </si>
  <si>
    <t>TÊ, PVC, SOLDÁVEL, DN 60 MM INSTALADO EM RESERVAÇÃO PREDIAL DE ÁGUA - FORNECIMENTO E INSTALAÇÃO. AF_04/2024</t>
  </si>
  <si>
    <t>TÊ, PVC, SOLDÁVEL, DN 75 MM INSTALADO EM RESERVAÇÃO PREDIAL DE ÁGUA - FORNECIMENTO E INSTALAÇÃO. AF_04/2024</t>
  </si>
  <si>
    <t>TÊ DE REDUÇÃO, PVC, SOLDÁVEL, DN 75 MM X 50 MM, INSTALADO EM RESERVAÇÃO PREDIAL DE ÁGUA - FORNECIMENTO E INSTALAÇÃO. AF_04/2024</t>
  </si>
  <si>
    <t>TÊ, PVC, SOLDÁVEL, DN 85 MM INSTALADO EM RESERVAÇÃO PREDIAL DE ÁGUA - FORNECIMENTO E INSTALAÇÃO. AF_04/2024</t>
  </si>
  <si>
    <t>TÊ DE REDUÇÃO, PVC, SOLDÁVEL, DN 85 MM X 60 MM, INSTALADO EM RESERVAÇÃO PREDIAL DE ÁGUA - FORNECIMENTO E INSTALAÇÃO. AF_04/2024</t>
  </si>
  <si>
    <t>138,81</t>
  </si>
  <si>
    <t>TÊ, PVC, SOLDÁVEL, DN 110 MM INSTALADO EM RESERVAÇÃO PREDIAL DE ÁGUA - FORNECIMENTO E INSTALAÇÃO. AF_04/2024</t>
  </si>
  <si>
    <t>TÊ DE REDUÇÃO, PVC, SOLDÁVEL, DN 110 MM X 60 MM, INSTALADO EM RESERVAÇÃO PREDIAL DE ÁGUA - FORNECIMENTO E INSTALAÇÃO. AF_04/2024</t>
  </si>
  <si>
    <t>ADAPTADOR COM FLANGE E ANEL DE VEDAÇÃO, PVC, SOLDÁVEL, DN  25 MM X 3/4", INSTALADO EM RESERVAÇÃO PREDIAL DE ÁGUA - FORNECIMENTO E INSTALAÇÃO. AF_04/2024</t>
  </si>
  <si>
    <t>ADAPTADOR COM FLANGE E ANEL DE VEDAÇÃO, PVC, SOLDÁVEL, DN 32 MM X 1", INSTALADO EM RESERVAÇÃO PREDIAL DE ÁGUA - FORNECIMENTO E INSTALAÇÃO. AF_04/2024</t>
  </si>
  <si>
    <t>ADAPTADOR COM FLANGE E ANEL DE VEDAÇÃO, PVC, SOLDÁVEL, DN 40 MM X 1 1/4", INSTALADO EM RESERVAÇÃO PREDIAL DE ÁGUA - FORNECIMENTO E INSTALAÇÃO. AF_04/2024</t>
  </si>
  <si>
    <t>39,05</t>
  </si>
  <si>
    <t>ADAPTADOR COM FLANGE E ANEL DE VEDAÇÃO, PVC, SOLDÁVEL, DN 50 MM X 1 1/2", INSTALADO EM RESERVAÇÃO PREDIAL DE ÁGUA - FORNECIMENTO E INSTALAÇÃO. AF_04/2024</t>
  </si>
  <si>
    <t>ADAPTADOR COM FLANGE E ANEL DE VEDAÇÃO, PVC, SOLDÁVEL, DN 60 MM X 2", INSTALADO EM RESERVAÇÃO PREDIAL DE ÁGUA - FORNECIMENTO E INSTALAÇÃO. AF_04/2024</t>
  </si>
  <si>
    <t>ADAPTADOR COM FLANGES LIVRES, PVC, SOLDÁVEL, DN 75 MM X 2 1/2", INSTALADO EM RESERVAÇÃO PREDIAL DE ÁGUA - FORNECIMENTO E INSTALAÇÃO. AF_04/2024</t>
  </si>
  <si>
    <t>ADAPTADOR COM FLANGES LIVRES, PVC, SOLDÁVEL, DN 85 MM X 3", INSTALADO EM RESERVAÇÃO PREDIAL DE ÁGUA - FORNECIMENTO E INSTALAÇÃO. AF_04/2024</t>
  </si>
  <si>
    <t>ADAPTADOR COM FLANGES LIVRES, PVC, SOLDÁVEL, DN 110 MM X 4", INSTALADO EM RESERVAÇÃO PREDIAL DE ÁGUA - FORNECIMENTO E INSTALAÇÃO. AF_04/2024</t>
  </si>
  <si>
    <t>CONECTOR, CPVC, SOLDÁVEL, DN 22 MM X 3/4", INSTALADO EM RESERVAÇÃO PREDIAL DE ÁGUA - FORNECIMENTO E INSTALAÇÃO. AF_04/2024</t>
  </si>
  <si>
    <t>LUVA, CPVC, SOLDÁVEL, DN 22 MM, INSTALADO EM RESERVAÇÃO PREDIAL DE ÁGUA - FORNECIMENTO E INSTALAÇÃO. AF_04/2024</t>
  </si>
  <si>
    <t>CONECTOR, CPVC, SOLDÁVEL, DN 28 MM X 1", INSTALADO EM RESERVAÇÃO PREDIAL DE ÁGUA - FORNECIMENTO E INSTALAÇÃO. AF_04/2024</t>
  </si>
  <si>
    <t>32,31</t>
  </si>
  <si>
    <t>LUVA, CPVC, SOLDÁVEL, DN 28 MM, INSTALADO EM RESERVAÇÃO PREDIAL DE ÁGUA - FORNECIMENTO E INSTALAÇÃO. AF_04/2024</t>
  </si>
  <si>
    <t>CONECTOR, CPVC, SOLDÁVEL, DN 35 MM X 1 1/4", INSTALADO EM RESERVAÇÃO PREDIAL DE ÁGUA - FORNECIMENTO E INSTALAÇÃO. AF_04/2024</t>
  </si>
  <si>
    <t>LUVA, CPVC, SOLDÁVEL, DN 35 MM, INSTALADO EM RESERVAÇÃO PREDIAL DE ÁGUA - FORNECIMENTO E INSTALAÇÃO. AF_04/2024</t>
  </si>
  <si>
    <t>CONECTOR, CPVC, SOLDÁVEL, DN 42 MM X 1 1/2", INSTALADO EM RESERVAÇÃO PREDIAL DE ÁGUA - FORNECIMENTO E INSTALAÇÃO. AF_04/2024</t>
  </si>
  <si>
    <t>LUVA, CPVC, SOLDÁVEL, DN 42 MM, INSTALADO EM RESERVAÇÃO PREDIAL DE ÁGUA - FORNECIMENTO E INSTALAÇÃO. AF_04/2024</t>
  </si>
  <si>
    <t>CONECTOR, CPVC, SOLDÁVEL, DN 54 MM X 2", INSTALADO EM RESERVAÇÃO PREDIAL DE ÁGUA - FORNECIMENTO E INSTALAÇÃO. AF_04/2024</t>
  </si>
  <si>
    <t>LUVA, CPVC, SOLDÁVEL, DN 54 MM, INSTALADO EM RESERVAÇÃO PREDIAL DE ÁGUA - FORNECIMENTO E INSTALAÇÃO. AF_04/2024</t>
  </si>
  <si>
    <t>CONECTOR, CPVC, SOLDÁVEL, DN 73 MM X 2 1/2", INSTALADO EM RESERVAÇÃO PREDIAL DE ÁGUA - FORNECIMENTO E INSTALAÇÃO. AF_04/2024</t>
  </si>
  <si>
    <t>CONECTOR, CPVC, SOLDÁVEL, DN 89 MM X 3", INSTALADO EM RESERVAÇÃO PREDIAL DE ÁGUA - FORNECIMENTO E INSTALAÇÃO. AF_04/2024</t>
  </si>
  <si>
    <t>LUVA, CPVC, SOLDÁVEL, DN 89 MM, INSTALADO EM RESERVAÇÃO PREDIAL DE ÁGUA - FORNECIMENTO E INSTALAÇÃO. AF_04/2024</t>
  </si>
  <si>
    <t>CONECTOR, CPVC, SOLDÁVEL, DN 114 MM X 4", INSTALADO EM RESERVAÇÃO PREDIAL DE ÁGUA - FORNECIMENTO E INSTALAÇÃO. AF_04/2024</t>
  </si>
  <si>
    <t>LUVA, CPVC, SOLDÁVEL, DN 114 MM, INSTALADO EM RESERVAÇÃO PREDIAL DE ÁGUA - FORNECIMENTO E INSTALAÇÃO. AF_04/2024</t>
  </si>
  <si>
    <t>JOELHO 90 GRAUS, CPVC, SOLDÁVEL, DN 22 MM, INSTALADO EM RESERVAÇÃO PREDIAL DE ÁGUA - FORNECIMENTO E INSTALAÇÃO. AF_04/2024</t>
  </si>
  <si>
    <t>9,59</t>
  </si>
  <si>
    <t>CURVA 90 GRAUS, CPVC, SOLDÁVEL, DN 22 MM, INSTALADO EM RESERVAÇÃO PREDIAL DE ÁGUA - FORNECIMENTO E INSTALAÇÃO. AF_04/2024</t>
  </si>
  <si>
    <t>JOELHO 90 GRAUS, CPVC, SOLDÁVEL, DN 28 MM, INSTALADO EM RESERVAÇÃO PREDIAL DE ÁGUA - FORNECIMENTO E INSTALAÇÃO. AF_04/2024</t>
  </si>
  <si>
    <t>15,98</t>
  </si>
  <si>
    <t>CURVA 90 GRAUS, CPVC, SOLDÁVEL, DN 28 MM, INSTALADO EM RESERVAÇÃO PREDIAL DE ÁGUA - FORNECIMENTO E INSTALAÇÃO. AF_04/2024</t>
  </si>
  <si>
    <t>JOELHO 90 GRAUS, CPVC, SOLDÁVEL, DN 35 MM, INSTALADO EM RESERVAÇÃO PREDIAL DE ÁGUA - FORNECIMENTO E INSTALAÇÃO. AF_04/2024</t>
  </si>
  <si>
    <t>JOELHO 90 GRAUS, CPVC, SOLDÁVEL, DN 42 MM, INSTALADO EM RESERVAÇÃO PREDIAL DE ÁGUA - FORNECIMENTO E INSTALAÇÃO. AF_04/2024</t>
  </si>
  <si>
    <t>JOELHO 90 GRAUS, CPVC, SOLDÁVEL, DN 54 MM, INSTALADO EM RESERVAÇÃO PREDIAL DE ÁGUA - FORNECIMENTO E INSTALAÇÃO. AF_04/2024</t>
  </si>
  <si>
    <t>79,35</t>
  </si>
  <si>
    <t>JOELHO 90 GRAUS, CPVC, SOLDÁVEL, DN 73 MM, INSTALADO EM RESERVAÇÃO PREDIAL DE ÁGUA - FORNECIMENTO E INSTALAÇÃO. AF_04/2024</t>
  </si>
  <si>
    <t>JOELHO 90 GRAUS, CPVC, SOLDÁVEL, DN 89 MM, INSTALADO EM RESERVAÇÃO PREDIAL DE ÁGUA - FORNECIMENTO E INSTALAÇÃO. AF_04/2024</t>
  </si>
  <si>
    <t>JOELHO 90 GRAUS, CPVC, SOLDÁVEL, DN 114 MM, INSTALADO EM RESERVAÇÃO PREDIAL DE ÁGUA - FORNECIMENTO E INSTALAÇÃO. AF_04/2024</t>
  </si>
  <si>
    <t>TE, CPVC, SOLDÁVEL, DN 22 MM, INSTALADO EM RESERVAÇÃO PREDIAL DE ÁGUA - FORNECIMENTO E INSTALAÇÃO. AF_04/2024</t>
  </si>
  <si>
    <t>TE, CPVC, SOLDÁVEL, DN 28 MM, INSTALADO EM RESERVAÇÃO PREDIAL DE ÁGUA - FORNECIMENTO E INSTALAÇÃO. AF_04/2024</t>
  </si>
  <si>
    <t>TE, CPVC, SOLDÁVEL, DN 35 MM, INSTALADO EM RESERVAÇÃO PREDIAL DE ÁGUA - FORNECIMENTO E INSTALAÇÃO. AF_04/2024</t>
  </si>
  <si>
    <t>TE, CPVC, SOLDÁVEL, DN 42 MM, INSTALADO EM RESERVAÇÃO PREDIAL DE ÁGUA - FORNECIMENTO E INSTALAÇÃO. AF_04/2024</t>
  </si>
  <si>
    <t>TE, CPVC, SOLDÁVEL, DN 54 MM, INSTALADO EM RESERVAÇÃO PREDIAL DE ÁGUA - FORNECIMENTO E INSTALAÇÃO. AF_04/2024</t>
  </si>
  <si>
    <t>TE, CPVC, SOLDÁVEL, DN 73 MM, INSTALADO EM RESERVAÇÃO PREDIAL DE ÁGUA - FORNECIMENTO E INSTALAÇÃO. AF_04/2024</t>
  </si>
  <si>
    <t>TE, CPVC, SOLDÁVEL, DN 89 MM, INSTALADO EM RESERVAÇÃO PREDIAL DE ÁGUA - FORNECIMENTO E INSTALAÇÃO. AF_04/2024</t>
  </si>
  <si>
    <t>TE, CPVC, SOLDÁVEL, DN 114 MM, INSTALADO EM RESERVAÇÃO PREDIAL DE ÁGUA - FORNECIMENTO E INSTALAÇÃO. AF_04/2024</t>
  </si>
  <si>
    <t>ADAPTADOR COM FLANGE E ANEL DE VEDAÇÃO, CPVC, ROSCÁVEL, DN 15 MM, INSTALADO EM RESERVAÇÃO PREDIAL DE ÁGUA - FORNECIMENTO E INSTALAÇÃO. AF_04/2024</t>
  </si>
  <si>
    <t>ADAPTADOR COM FLANGE E ANEL DE VEDAÇÃO, CPVC, ROSCÁVEL, DN 22 MM, INSTALADO EM RESERVAÇÃO PREDIAL DE ÁGUA - FORNECIMENTO E INSTALAÇÃO. AF_04/2024</t>
  </si>
  <si>
    <t>ADAPTADOR COM FLANGE E ANEL DE VEDAÇÃO, CPVC, ROSCÁVEL, DN 28 MM, INSTALADO EM RESERVAÇÃO PREDIAL DE ÁGUA - FORNECIMENTO E INSTALAÇÃO. AF_04/2024</t>
  </si>
  <si>
    <t>ADAPTADOR COM FLANGE E ANEL DE VEDAÇÃO, CPVC, ROSCÁVEL, DN 35 MM, INSTALADO EM RESERVAÇÃO PREDIAL DE ÁGUA - FORNECIMENTO E INSTALAÇÃO. AF_04/2024</t>
  </si>
  <si>
    <t>64,93</t>
  </si>
  <si>
    <t>ADAPTADOR COM FLANGE E ANEL DE VEDAÇÃO, CPVC, ROSCÁVEL, DN 42 MM, INSTALADO EM RESERVAÇÃO PREDIAL DE ÁGUA - FORNECIMENTO E INSTALAÇÃO. AF_04/2024</t>
  </si>
  <si>
    <t>ADAPTADOR COM FLANGE E ANEL DE VEDAÇÃO, CPVC, ROSCÁVEL, DN 54 MM, INSTALADO EM RESERVAÇÃO PREDIAL DE ÁGUA - FORNECIMENTO E INSTALAÇÃO. AF_04/2024</t>
  </si>
  <si>
    <t>ADAPTADOR COM FLANGE E ANEL DE VEDAÇÃO, PVC, SOLDÁVEL, DN  20 MM X 1/2", INSTALADO EM RESERVAÇÃO PREDIAL DE ÁGUA - FORNECIMENTO E INSTALAÇÃO. AF_04/2024</t>
  </si>
  <si>
    <t>LUVA, CPVC, SOLDÁVEL, DN 73 MM, INSTALADO EM RESERVAÇÃO PREDIAL DE ÁGUA - FORNECIMENTO E INSTALAÇÃO. AF_04/2024</t>
  </si>
  <si>
    <t>CONECTOR MACHO, PPR, 32 X 3/4", CLASSE PN 25, INSTALADO EM RAMAL DE DISTRIBUIÇÃO DE ÁGUA   FORNECIMENTO E INSTALAÇÃO. AF_08/2022</t>
  </si>
  <si>
    <t>CONECTOR FÊMEA, PPR, 32 X 3/4", CLASSE PN 25, INSTALADO EM RAMAL DE DISTRIBUIÇÃO DE ÁGUA   FORNECIMENTO E INSTALAÇÃO. AF_08/2022</t>
  </si>
  <si>
    <t>42,02</t>
  </si>
  <si>
    <t>57,08</t>
  </si>
  <si>
    <t>89,38</t>
  </si>
  <si>
    <t>CONECTOR MACHO, PPR, 25 X 1/2", CLASSE PN 25, INSTALADO EM PRUMADA DE ÁGUA   FORNECIMENTO E INSTALAÇÃO . AF_08/2022</t>
  </si>
  <si>
    <t>CONECTOR FÊMEA, PPR, 25 X 1/2", CLASSE PN 25, INSTALADO EM PRUMADA DE ÁGUA   FORNECIMENTO E INSTALAÇÃO . AF_08/2022</t>
  </si>
  <si>
    <t>10,84</t>
  </si>
  <si>
    <t>85,24</t>
  </si>
  <si>
    <t>LUVA, PPR, DN 20 MM, INSTALADO EM RESERVAÇÃO PREDIAL DE ÁGUA - FORNECIMENTO E INSTALAÇÃO. AF_04/2024</t>
  </si>
  <si>
    <t>LUVA, PPR, DN 25 MM, INSTALADO EM RESERVAÇÃO PREDIAL DE ÁGUA - FORNECIMENTO E INSTALAÇÃO. AF_04/2024</t>
  </si>
  <si>
    <t>CONECTOR MACHO, PPR, 25 MM X 1/2'', INSTALADO EM RESERVAÇÃO PREDIAL DE ÁGUA - FORNECIMENTO E INSTALAÇÃO. AF_04/2024</t>
  </si>
  <si>
    <t>LUVA, PPR, DN 32 MM, CLASSE PN 25, INSTALADO EM RESERVAÇÃO PREDIAL DE ÁGUA - FORNECIMENTO E INSTALAÇÃO. AF_04/2024</t>
  </si>
  <si>
    <t>CONECTOR MACHO, PPR, 32 MM X 3/4'', INSTALADO EM RESERVAÇÃO PREDIAL DE ÁGUA - FORNECIMENTO E INSTALAÇÃO. AF_04/2024</t>
  </si>
  <si>
    <t>LUVA, PPR, DN 40 MM, CLASSE PN 25, INSTALADO EM RESERVAÇÃO PREDIAL DE ÁGUA - FORNECIMENTO E INSTALAÇÃO. AF_04/2024</t>
  </si>
  <si>
    <t>LUVA, PPR, DN 50 MM, CLASSE PN 25, INSTALADO EM RESERVAÇÃO PREDIAL DE ÁGUA - FORNECIMENTO E INSTALAÇÃO. AF_04/2024</t>
  </si>
  <si>
    <t>LUVA, PPR, DN 63 MM, CLASSE PN 25, INSTALADO EM RESERVAÇÃO PREDIAL DE ÁGUA - FORNECIMENTO E INSTALAÇÃO. AF_04/2024</t>
  </si>
  <si>
    <t>LUVA, PPR, DN 75 MM, CLASSE PN 25, INSTALADO EM RESERVAÇÃO PREDIAL DE ÁGUA - FORNECIMENTO E INSTALAÇÃO. AF_04/2024</t>
  </si>
  <si>
    <t>LUVA, PPR, DN 90 MM, CLASSE PN 25, INSTALADO EM RESERVAÇÃO PREDIAL DE ÁGUA - FORNECIMENTO E INSTALAÇÃO. AF_04/2024</t>
  </si>
  <si>
    <t>LUVA, PPR, DN 110 MM, CLASSE PN 25, INSTALADO EM RESERVAÇÃO PREDIAL DE ÁGUA - FORNECIMENTO E INSTALAÇÃO. AF_04/2024</t>
  </si>
  <si>
    <t>JOELHO 90 GRAUS, PPR, DN 20 MM, INSTALADO EM RESERVAÇÃO PREDIAL DE ÁGUA - FORNECIMENTO E INSTALAÇÃO. AF_04/2024</t>
  </si>
  <si>
    <t>JOELHO 90 GRAUS, PPR, DN 25 MM, INSTALADO EM RESERVAÇÃO PREDIAL DE ÁGUA - FORNECIMENTO E INSTALAÇÃO. AF_04/2024</t>
  </si>
  <si>
    <t>JOELHO 90 GRAUS, PPR, DN 32 MM, INSTALADO EM RESERVAÇÃO PREDIAL DE ÁGUA - FORNECIMENTO E INSTALAÇÃO. AF_04/2024</t>
  </si>
  <si>
    <t>JOELHO 90 GRAUS, PPR, DN 40 MM, INSTALADO EM RESERVAÇÃO PREDIAL DE ÁGUA - FORNECIMENTO E INSTALAÇÃO. AF_04/2024</t>
  </si>
  <si>
    <t>JOELHO 90 GRAUS, PPR, DN 50 MM, INSTALADO EM RESERVAÇÃO PREDIAL DE ÁGUA - FORNECIMENTO E INSTALAÇÃO. AF_04/2024</t>
  </si>
  <si>
    <t>JOELHO 90 GRAUS, PPR, DN 63 MM, INSTALADO EM RESERVAÇÃO PREDIAL DE ÁGUA - FORNECIMENTO E INSTALAÇÃO. AF_04/2024</t>
  </si>
  <si>
    <t>JOELHO 90 GRAUS, PPR, DN 75 MM, INSTALADO EM RESERVAÇÃO PREDIAL DE ÁGUA - FORNECIMENTO E INSTALAÇÃO. AF_04/2024</t>
  </si>
  <si>
    <t>JOELHO 90 GRAUS, PPR, DN 90 MM, INSTALADO EM RESERVAÇÃO PREDIAL DE ÁGUA - FORNECIMENTO E INSTALAÇÃO. AF_04/2024</t>
  </si>
  <si>
    <t>JOELHO 90 GRAUS, PPR, DN 110 MM, INSTALADO EM RESERVAÇÃO PREDIAL DE ÁGUA - FORNECIMENTO E INSTALAÇÃO. AF_04/2024</t>
  </si>
  <si>
    <t>TÊ, PPR, DN 32 MM, INSTALADO EM RESERVAÇÃO PREDIAL DE ÁGUA - FORNECIMENTO E INSTALAÇÃO. AF_04/2024</t>
  </si>
  <si>
    <t>TÊ, PPR, DN 40 MM, INSTALADO EM RESERVAÇÃO PREDIAL DE ÁGUA - FORNECIMENTO E INSTALAÇÃO. AF_04/2024</t>
  </si>
  <si>
    <t>TÊ, PPR, DN 50 MM, INSTALADO EM RESERVAÇÃO PREDIAL DE ÁGUA - FORNECIMENTO E INSTALAÇÃO. AF_04/2024</t>
  </si>
  <si>
    <t>TÊ, PPR, DN 63 MM, INSTALADO EM RESERVAÇÃO PREDIAL DE ÁGUA - FORNECIMENTO E INSTALAÇÃO. AF_04/2024</t>
  </si>
  <si>
    <t>TÊ, PPR, DN 75 MM, INSTALADO EM RESERVAÇÃO PREDIAL DE ÁGUA - FORNECIMENTO E INSTALAÇÃO. AF_04/2024</t>
  </si>
  <si>
    <t>TÊ, PPR, DN 90 MM, INSTALADO EM RESERVAÇÃO PREDIAL DE ÁGUA - FORNECIMENTO E INSTALAÇÃO. AF_04/2024</t>
  </si>
  <si>
    <t>TÊ, PPR, DN 110 MM, INSTALADO EM RESERVAÇÃO PREDIAL DE ÁGUA - FORNECIMENTO E INSTALAÇÃO. AF_04/2024</t>
  </si>
  <si>
    <t>16,09</t>
  </si>
  <si>
    <t>15,24</t>
  </si>
  <si>
    <t>32,06</t>
  </si>
  <si>
    <t>20,57</t>
  </si>
  <si>
    <t>23,81</t>
  </si>
  <si>
    <t>24,64</t>
  </si>
  <si>
    <t>31,84</t>
  </si>
  <si>
    <t>TÊ, ROSCA FÊMEA, METÁLICO, PARA INSTALAÇÕES EM PEX ÁGUA, DN 16 MM X ½", CONEXÃO POR ANEL DESLIZANTE - FORNECIMENTO E INSTALAÇÃO. AF_02/2023</t>
  </si>
  <si>
    <t>34,95</t>
  </si>
  <si>
    <t>36,76</t>
  </si>
  <si>
    <t>49,12</t>
  </si>
  <si>
    <t>45,38</t>
  </si>
  <si>
    <t>36,99</t>
  </si>
  <si>
    <t>46,73</t>
  </si>
  <si>
    <t>83,44</t>
  </si>
  <si>
    <t>CURVA 45 GRAUS, EM AÇO, CONEXÃO RANHURADA, DN 80 (3"), INSTALADO EM PRUMADAS - FORNECIMENTO E INSTALAÇÃO. AF_10/2020</t>
  </si>
  <si>
    <t>57,05</t>
  </si>
  <si>
    <t>148,26</t>
  </si>
  <si>
    <t>142,93</t>
  </si>
  <si>
    <t>38,95</t>
  </si>
  <si>
    <t>39,76</t>
  </si>
  <si>
    <t>75,48</t>
  </si>
  <si>
    <t>76,76</t>
  </si>
  <si>
    <t>121,32</t>
  </si>
  <si>
    <t>79,77</t>
  </si>
  <si>
    <t>COTOVELO EM BRONZE/LATÃO, DN 15 MM X 1/2", 90 GRAUS, SEM ANEL DE SOLDA, BOLSA X ROSCA F, INSTALADO EM RAMAL E SUB-RAMAL DE GÁS COMBUSTÍVEL - FORNECIMENTO E INSTALAÇÃO. AF_04/2022</t>
  </si>
  <si>
    <t>COTOVELO EM BRONZE/LATÃO, DN 22 MM X 1/2", 90 GRAUS, SEM ANEL DE SOLDA, BOLSA X ROSCA F, INSTALADO EM RAMAL E SUB-RAMAL DE GÁS COMBUSTÍVEL - FORNECIMENTO E INSTALAÇÃO. AF_04/2022</t>
  </si>
  <si>
    <t>COTOVELO EM BRONZE/LATÃO, DN 22 MM X 3/4", 90 GRAUS, SEM ANEL DE SOLDA, BOLSA X ROSCA F, INSTALADO EM RAMAL E SUB-RAMAL DE GÁS COMBUSTÍVEL - FORNECIMENTO E INSTALAÇÃO. AF_04/2022</t>
  </si>
  <si>
    <t>49,99</t>
  </si>
  <si>
    <t>CONECTOR EM BRONZE/LATÃO, DN 15 MM X 1/2", SEM ANEL DE SOLDA, BOLSA X ROSCA F, INSTALADO EM RAMAL E SUB-RAMAL DE GÁS COMBUSTÍVEL - FORNECIMENTO E INSTALAÇÃO. AF_04/2022</t>
  </si>
  <si>
    <t>CONECTOR EM BRONZE/LATÃO, DN 22 MM X 1/2", SEM ANEL DE SOLDA, BOLSA X ROSCA F, INSTALADO EM RAMAL E SUB-RAMAL DE GÁS COMBUSTÍVEL - FORNECIMENTO E INSTALAÇÃO. AF_04/2022</t>
  </si>
  <si>
    <t>CONECTOR EM BRONZE/LATÃO, DN 22 MM X 3/4", SEM ANEL DE SOLDA, BOLSA X ROSCA F, INSTALADO EM RAMAL E SUB-RAMAL DE GÁS COMBUSTÍVEL - FORNECIMENTO E INSTALAÇÃO. AF_04/2022</t>
  </si>
  <si>
    <t>CONECTOR EM BRONZE/LATÃO, DN 28 MM X 1/2", SEM ANEL DE SOLDA, BOLSA X ROSCA F, INSTALADO EM RAMAL E SUB-RAMAL DE GÁS COMBUSTÍVEL - FORNECIMENTO E INSTALAÇÃO. AF_04/2022</t>
  </si>
  <si>
    <t>44,79</t>
  </si>
  <si>
    <t>17,34</t>
  </si>
  <si>
    <t>COTOVELO EM BRONZE/LATÃO, DN 15 MM X 1/2", 90 GRAUS, SEM ANEL DE SOLDA, BOLSA X ROSCA F, INSTALADO EM RAMAL E SUB-RAMAL DE GÁS MEDICINAL - FORNECIMENTO E INSTALAÇÃO. AF_04/2022</t>
  </si>
  <si>
    <t>COTOVELO EM BRONZE/LATÃO, DN 22 MM X 1/2", 90 GRAUS, SEM ANEL DE SOLDA, BOLSA X ROSCA F, INSTALADO EM RAMAL E SUB-RAMAL DE GÁS MEDICINAL - FORNECIMENTO E INSTALAÇÃO. AF_04/2022</t>
  </si>
  <si>
    <t>COTOVELO EM BRONZE/LATÃO, DN 22 MM X 3/4", 90 GRAUS, SEM ANEL DE SOLDA, BOLSA X ROSCA F, INSTALADO EM RAMAL E SUB-RAMAL DE GÁS MEDICINAL - FORNECIMENTO E INSTALAÇÃO. AF_04/2022</t>
  </si>
  <si>
    <t>40,22</t>
  </si>
  <si>
    <t>CONECTOR EM BRONZE/LATÃO, DN 15 MM X 1/2", SEM ANEL DE SOLDA, BOLSA X ROSCA F, INSTALADO EM RAMAL E SUB-RAMAL DE GÁS MEDICINAL - FORNECIMENTO E INSTALAÇÃO. AF_04/2022</t>
  </si>
  <si>
    <t>17,13</t>
  </si>
  <si>
    <t>18,44</t>
  </si>
  <si>
    <t>21,60</t>
  </si>
  <si>
    <t>25,30</t>
  </si>
  <si>
    <t>33,38</t>
  </si>
  <si>
    <t>51,96</t>
  </si>
  <si>
    <t>21,31</t>
  </si>
  <si>
    <t>6,65</t>
  </si>
  <si>
    <t>12,09</t>
  </si>
  <si>
    <t>22,63</t>
  </si>
  <si>
    <t>LUVA COM ROSCA, PVC, SOLDÁVEL, DN 40MM X 1.1/4", INSTALADO EM RAMAL DE DISTRIBUIÇÃO DE ÁGUA - FORNECIMENTO E INSTALAÇÃO. AF_06/2022</t>
  </si>
  <si>
    <t>ADAPTADOR CURTO COM BOLSA E ROSCA PARA REGISTRO, PVC, SOLDÁVEL, DN 40MM X 1.1/4", INSTALADO EM RAMAL DE DISTRIBUIÇÃO DE ÁGUA - FORNECIMENTO E INSTALAÇÃO. AF_06/2022</t>
  </si>
  <si>
    <t>ADAPTADOR CURTO COM BOLSA E ROSCA PARA REGISTRO, PVC, SOLDÁVEL, DN 40MM X 1.1/2", INSTALADO EM RAMAL DE DISTRIBUIÇÃO DE ÁGUA - FORNECIMENTO E INSTALAÇÃO. AF_06/2022</t>
  </si>
  <si>
    <t>LUVA COM ROSCA, PVC, SOLDÁVEL, DN 50MM X 1.1/2", INSTALADO EM RAMAL DE DISTRIBUIÇÃO DE ÁGUA - FORNECIMENTO E INSTALAÇÃO. AF_06/2022</t>
  </si>
  <si>
    <t>ADAPTADOR CURTO COM BOLSA E ROSCA PARA REGISTRO, PVC, SOLDÁVEL, DN 50MM X 1.1/2", INSTALADO EM RAMAL DE DISTRIBUIÇÃO DE ÁGUA - FORNECIMENTO E INSTALAÇÃO. AF_06/2022</t>
  </si>
  <si>
    <t>ADAPTADOR CURTO COM BOLSA E ROSCA PARA REGISTRO, PVC, SOLDÁVEL, DN 50MM X 1.1/4", INSTALADO EM RAMAL DE DISTRIBUIÇÃO DE ÁGUA - FORNECIMENTO E INSTALAÇÃO. AF_06/2022</t>
  </si>
  <si>
    <t>24,01</t>
  </si>
  <si>
    <t>TE DE REDUÇÃO, CPVC, SOLDÁVEL, DN 28 X 22 MM, INSTALADO EM RAMAL DE DISTRIBUIÇÃO DE ÁGUA - FORNECIMENTO E INSTALAÇÃO. AF_06/2022</t>
  </si>
  <si>
    <t>TE, CPVC, SOLDÁVEL, DN  42MM, INSTALADO EM RAMAL DE DISTRIBUIÇÃO DE ÁGUA - FORNECIMENTO E INSTALAÇÃO. AF_06/2022</t>
  </si>
  <si>
    <t>JOELHO 90 GRAUS, CPVC, SOLDÁVEL, DN 42MM, INSTALADO EM RAMAL DE DISTRIBUIÇÃO DE ÁGUA - FORNECIMENTO E INSTALAÇÃO. AF_06/2022</t>
  </si>
  <si>
    <t>JOELHO 45 GRAUS, CPVC, SOLDÁVEL, DN 42MM, INSTALADO EM RAMAL DE DISTRIBUIÇÃO DE ÁGUA - FORNECIMENTO E INSTALAÇÃO. AF_06/2022</t>
  </si>
  <si>
    <t>LUVA, CPVC, SOLDÁVEL, DN 42MM, INSTALADO EM RAMAL DE DISTRIBUIÇÃO DE ÁGUA - FORNECIMENTO E INSTALAÇÃO. AF_06/2022</t>
  </si>
  <si>
    <t>LUVA DE CORRER, CPVC, SOLDÁVEL, DN 42MM, INSTALADO EM RAMAL DE DISTRIBUIÇÃO DE ÁGUA - FORNECIMENTO E INSTALAÇÃO. AF_06/2022</t>
  </si>
  <si>
    <t>62,65</t>
  </si>
  <si>
    <t>LUVA DE TRANSIÇÃO, CPVC, SOLDÁVEL, DN42MM X 1.1/2", INSTALADO EM RAMAL DE DISTRIBUIÇÃO DE ÁGUA - FORNECIMENTO E INSTALAÇÃO. AF_06/2022</t>
  </si>
  <si>
    <t>CONECTOR, CPVC, SOLDÁVEL, DN 42MM X 1.1/2", INSTALADO EM RAMAL DE DISTRIBUIÇÃO DE ÁGUA - FORNECIMENTO E INSTALAÇÃO. AF_06/2022</t>
  </si>
  <si>
    <t>66,55</t>
  </si>
  <si>
    <t>LUVA DE CORRER, PVC, SOLDÁVEL, DN 40MM, INSTALADO EM RAMAL DE DISTRIBUIÇÃO DE ÁGUA - FORNECIMENTO E INSTALAÇÃO. AF_06/2022</t>
  </si>
  <si>
    <t>7,29</t>
  </si>
  <si>
    <t>104576</t>
  </si>
  <si>
    <t>LUVA DE REDUÇÃO, PARA INSTALAÇÕES EM PEX ÁGUA, DN 20 X 16 MM, COM ANEL DESLIZANTE - FORNECIMENTO E INSTALAÇÃO. AF_02/2023</t>
  </si>
  <si>
    <t>104577</t>
  </si>
  <si>
    <t>LUVA DE REDUÇÃO, PARA INSTALAÇÕES EM PEX ÁGUA, DN 25 X 16 MM, COM ANEL DESLIZANTE - FORNECIMENTO E INSTALAÇÃO. AF_02/2023</t>
  </si>
  <si>
    <t>104578</t>
  </si>
  <si>
    <t>LUVA DE REDUÇÃO, PARA INSTALAÇÕES EM PEX ÁGUA, DN 25 X 20 MM, COM ANEL DESLIZANTE - FORNECIMENTO E INSTALAÇÃO. AF_02/2023</t>
  </si>
  <si>
    <t>104579</t>
  </si>
  <si>
    <t>LUVA DE REDUÇÃO, PARA INSTALAÇÕES EM PEX ÁGUA, DN 32 X 25 MM, COM ANEL DESLIZANTE - FORNECIMENTO E INSTALAÇÃO. AF_02/2023</t>
  </si>
  <si>
    <t>104581</t>
  </si>
  <si>
    <t>LUVA , PARA INSTALAÇÕES EM PEX ÁGUA, DN 16 MM, COM ANEL DESLIZANTE - FORNECIMENTO E INSTALAÇÃO. AF_02/2023</t>
  </si>
  <si>
    <t>104582</t>
  </si>
  <si>
    <t>LUVA , PARA INSTALAÇÕES EM PEX ÁGUA, DN 20 MM, COM ANEL DESLIZANTE - FORNECIMENTO E INSTALAÇÃO. AF_02/2023</t>
  </si>
  <si>
    <t>104583</t>
  </si>
  <si>
    <t>LUVA , PARA INSTALAÇÕES EM PEX ÁGUA, DN 25 MM, COM ANEL DESLIZANTE - FORNECIMENTO E INSTALAÇÃO. AF_02/2023</t>
  </si>
  <si>
    <t>104584</t>
  </si>
  <si>
    <t>LUVA , PARA INSTALAÇÕES EM PEX ÁGUA, DN 32 MM, COM ANEL DESLIZANTE - FORNECIMENTO E INSTALAÇÃO. AF_02/2023</t>
  </si>
  <si>
    <t>105146</t>
  </si>
  <si>
    <t>BUCHA DE REDUÇÃO, PPR, DN 50 X 32 MM, INSTALADO EM RESERVAÇÃO PREDIAL DE ÁGUA - FORNECIMENTO E INSTALAÇÃO. AF_04/2024</t>
  </si>
  <si>
    <t>105147</t>
  </si>
  <si>
    <t>CURVA PPR 90 GRAUS, DN 20 MM, INSTALADO EM RESERVAÇÃO PREDIAL DE ÁGUA - FORNECIMENTO E INSTALAÇÃO. AF_04/2024</t>
  </si>
  <si>
    <t>105148</t>
  </si>
  <si>
    <t>CURVA PPR 90 GRAUS, DN 25 MM, INSTALADO EM RESERVAÇÃO PREDIAL DE ÁGUA - FORNECIMENTO E INSTALAÇÃO. AF_04/2024</t>
  </si>
  <si>
    <t>105149</t>
  </si>
  <si>
    <t>JOELHO PPR 45 GRAUS, SOLDÁVEL, DN 20 MM, INSTALADO EM RESERVAÇÃO PREDIAL DE ÁGUA - FORNECIMENTO E INSTALAÇÃO. AF_04/2024</t>
  </si>
  <si>
    <t>105150</t>
  </si>
  <si>
    <t>JOELHO PPR 45 GRAUS, SOLDÁVEL, DN 25 MM, INSTALADO EM RESERVAÇÃO PREDIAL DE ÁGUA - FORNECIMENTO E INSTALAÇÃO. AF_04/2024</t>
  </si>
  <si>
    <t>105151</t>
  </si>
  <si>
    <t>JOELHO PPR 45 GRAUS, SOLDÁVEL, DN 40 MM, INSTALADO EM RESERVAÇÃO PREDIAL DE ÁGUA - FORNECIMENTO E INSTALAÇÃO. AF_04/2024</t>
  </si>
  <si>
    <t>105152</t>
  </si>
  <si>
    <t>JOELHO PPR 45 GRAUS, SOLDÁVEL, DN 50 MM, INSTALADO EM RESERVAÇÃO PREDIAL DE ÁGUA - FORNECIMENTO E INSTALAÇÃO. AF_04/2024</t>
  </si>
  <si>
    <t>105154</t>
  </si>
  <si>
    <t>CURVA PVC 45 GRAUS, SOLDÁVEL, DN 25 MM, INSTALADO EM RESERVAÇÃO PREDIAL DE ÁGUA - FORNECIMENTO E INSTALAÇÃO. AF_04/2024</t>
  </si>
  <si>
    <t>105155</t>
  </si>
  <si>
    <t>CURVA PVC 45 GRAUS, SOLDÁVEL, DN 32 MM, INSTALADO EM RESERVAÇÃO PREDIAL DE ÁGUA - FORNECIMENTO E INSTALAÇÃO. AF_04/2024</t>
  </si>
  <si>
    <t>105156</t>
  </si>
  <si>
    <t>CURVA PVC 45 GRAUS, SOLDÁVEL, DN 40 MM, INSTALADO EM RESERVAÇÃO PREDIAL DE ÁGUA - FORNECIMENTO E INSTALAÇÃO. AF_04/2024</t>
  </si>
  <si>
    <t>12,92</t>
  </si>
  <si>
    <t>105157</t>
  </si>
  <si>
    <t>CURVA PVC 45 GRAUS, SOLDÁVEL, DN 50 MM, INSTALADO EM RESERVAÇÃO PREDIAL DE ÁGUA - FORNECIMENTO E INSTALAÇÃO. AF_04/2024</t>
  </si>
  <si>
    <t>105158</t>
  </si>
  <si>
    <t>CURVA PVC 45 GRAUS, SOLDÁVEL, DN 60 MM, INSTALADO EM RESERVAÇÃO PREDIAL DE ÁGUA - FORNECIMENTO E INSTALAÇÃO. AF_04/2024</t>
  </si>
  <si>
    <t>105159</t>
  </si>
  <si>
    <t>CURVA PVC 45 GRAUS, SOLDÁVEL, DN 75 MM, INSTALADO EM RESERVAÇÃO PREDIAL DE ÁGUA - FORNECIMENTO E INSTALAÇÃO. AF_04/2024</t>
  </si>
  <si>
    <t>105160</t>
  </si>
  <si>
    <t>CURVA PVC 45 GRAUS, SOLDÁVEL, DN 85 MM, INSTALADO EM RESERVAÇÃO PREDIAL DE ÁGUA - FORNECIMENTO E INSTALAÇÃO. AF_04/2024</t>
  </si>
  <si>
    <t>105161</t>
  </si>
  <si>
    <t>JOELHO PPR 45 GRAUS, SOLDÁVEL, DN 75 MM, INSTALADO EM RESERVAÇÃO PREDIAL DE ÁGUA - FORNECIMENTO E INSTALAÇÃO. AF_04/2024</t>
  </si>
  <si>
    <t>105162</t>
  </si>
  <si>
    <t>JOELHO PPR 45 GRAUS, SOLDÁVEL, DN 90 MM, INSTALADO EM RESERVAÇÃO PREDIAL DE ÁGUA - FORNECIMENTO E INSTALAÇÃO. AF_04/2024</t>
  </si>
  <si>
    <t>105163</t>
  </si>
  <si>
    <t>JOELHO PPR, 45 GRAUS, SOLDÁVEL, DN 32 MM, INSTALADO EM RESERVAÇÃO PREDIAL DE ÁGUA - FORNECIMENTO E INSTALAÇÃO. AF_04/2024</t>
  </si>
  <si>
    <t>105164</t>
  </si>
  <si>
    <t>TÊ, PPR, DN 20 MM, INSTALADO EM RESERVAÇÃO PREDIAL DE ÁGUA - FORNECIMENTO E INSTALAÇÃO. AF_04/2024</t>
  </si>
  <si>
    <t>105165</t>
  </si>
  <si>
    <t>TÊ, PPR, DN 25 MM, INSTALADO EM RESERVAÇÃO PREDIAL DE ÁGUA - FORNECIMENTO E INSTALAÇÃO. AF_04/2024</t>
  </si>
  <si>
    <t>105166</t>
  </si>
  <si>
    <t>JOELHO CPVC, SOLDÁVEL, 45 GRAUS, DN 42 MM, INSTALADO EM RESERVAÇÃO PREDIAL DE ÁGUA - FORNECIMENTO E INSTALAÇÃO. AF_04/2024</t>
  </si>
  <si>
    <t>35,77</t>
  </si>
  <si>
    <t>105167</t>
  </si>
  <si>
    <t>UNIÃO FLANGE, PPR, COM PARAFUSOS, DN 40 MM, INSTALADO EM RESERVAÇÃO PREDIAL DE ÁGUA - FORNECIMENTO E INSTALAÇÃO. AF_04/2024</t>
  </si>
  <si>
    <t>105169</t>
  </si>
  <si>
    <t>BUCHA DE REDUÇÃO, EM FERRO GALVANIZADO, CONEXÃO ROSQUEADA, DN 80 MM X 65 MM (3" X 2 1/2"), INSTALADO EM RESERVAÇÃO PREDIAL DE ÁGUA - FORNECIMENTO E INSTALAÇÃO. AF_04/2024</t>
  </si>
  <si>
    <t>105170</t>
  </si>
  <si>
    <t>JOELHO PVC, SOLDÁVEL, 45 GRAUS, DN 25 MM, INSTALADO EM RESERVAÇÃO PREDIAL DE ÁGUA - FORNECIMENTO E INSTALAÇÃO. AF_04/2024</t>
  </si>
  <si>
    <t>105172</t>
  </si>
  <si>
    <t>BUCHA DE REDUÇÃO, EM FERRO GALVANIZADO, CONEXÃO ROSQUEADA, DN 80 MM X 50 MM (3" X 2"), INSTALADO EM RESERVAÇÃO PREDIAL DE ÁGUA - FORNECIMENTO E INSTALAÇÃO. AF_04/2024</t>
  </si>
  <si>
    <t>105173</t>
  </si>
  <si>
    <t>LUVA DE REDUÇÃO, EM FERRO GALVANIZADO, CONEXÃO ROSQUEADA, DN 65 MM X 50 MM (2 1/2" X 2"), INSTALADO EM RESERVAÇÃO PREDIAL DE ÁGUA - FORNECIMENTO E INSTALAÇÃO. AF_04/2024</t>
  </si>
  <si>
    <t>105174</t>
  </si>
  <si>
    <t>LUVA DE REDUÇÃO, EM FERRO GALVANIZADO, CONEXÃO ROSQUEADA, DN 80 MM X 65 MM (3" X 2 1/2"), INSTALADO EM RESERVAÇÃO PREDIAL DE ÁGUA - FORNECIMENTO E INSTALAÇÃO. AF_04/2024</t>
  </si>
  <si>
    <t>105175</t>
  </si>
  <si>
    <t>LUVA DE REDUÇÃO, EM FERRO GALVANIZADO, CONEXÃO ROSQUEADA, DN 80 MM X 50 MM (3" X 2"), INSTALADO EM RESERVAÇÃO PREDIAL DE ÁGUA - FORNECIMENTO E INSTALAÇÃO. AF_04/2024</t>
  </si>
  <si>
    <t>105176</t>
  </si>
  <si>
    <t>NIPLE DE REDUÇÃO, EM FERRO GALVANIZADO, CONEXÃO ROSQUEADA, DN 80 MM X 65 MM (3" X 2 1/2"), INSTALADO EM RESERVAÇÃO PREDIAL DE ÁGUA - FORNECIMENTO E INSTALAÇÃO. AF_04/2024</t>
  </si>
  <si>
    <t>105177</t>
  </si>
  <si>
    <t>NIPLE DE REDUÇÃO, EM FERRO GALVANIZADO, CONEXÃO ROSQUEADA, DN 80 MM X 50 MM (3" X 2"), INSTALADO EM RESERVAÇÃO PREDIAL DE ÁGUA - FORNECIMENTO E INSTALAÇÃO. AF_04/2024</t>
  </si>
  <si>
    <t>105178</t>
  </si>
  <si>
    <t>COTOVELO DE REDUÇÃO, 90 GRAUS, EM FERRO GALVANIZADO, CONEXÃO ROSQUEADA, DN 65 MM X 50 MM (2 1/2" X 2"), INSTALADO EM RESERVAÇÃO PREDIAL DE ÁGUA - FORNECIMENTO E INSTALAÇÃO. AF_04/2024</t>
  </si>
  <si>
    <t>146,13</t>
  </si>
  <si>
    <t>105179</t>
  </si>
  <si>
    <t>JOELHO PVC, SOLDÁVEL, 45 GRAUS, DN 32 MM, INSTALADO EM RESERVAÇÃO PREDIAL DE ÁGUA - FORNECIMENTO E INSTALAÇÃO. AF_04/2024</t>
  </si>
  <si>
    <t>105180</t>
  </si>
  <si>
    <t>JOELHO PVC, SOLDÁVEL, 45 GRAUS, DN 40 MM, INSTALADO EM RESERVAÇÃO PREDIAL DE ÁGUA - FORNECIMENTO E INSTALAÇÃO. AF_04/2024</t>
  </si>
  <si>
    <t>105181</t>
  </si>
  <si>
    <t>JOELHO PVC, SOLDÁVEL, 45 GRAUS, DN 50 MM, INSTALADO EM RESERVAÇÃO PREDIAL DE ÁGUA - FORNECIMENTO E INSTALAÇÃO. AF_04/2024</t>
  </si>
  <si>
    <t>105182</t>
  </si>
  <si>
    <t>JOELHO PVC, SOLDÁVEL, 45 GRAUS, DN 60 MM, INSTALADO EM RESERVAÇÃO PREDIAL DE ÁGUA - FORNECIMENTO E INSTALAÇÃO. AF_04/2024</t>
  </si>
  <si>
    <t>105183</t>
  </si>
  <si>
    <t>JOELHO PVC, SOLDÁVEL, 45 GRAUS, DN 75 MM, INSTALADO EM RESERVAÇÃO PREDIAL DE ÁGUA - FORNECIMENTO E INSTALAÇÃO. AF_04/2024</t>
  </si>
  <si>
    <t>105184</t>
  </si>
  <si>
    <t>JOELHO PVC, SOLDÁVEL, 45 GRAUS, DN 85 MM, INSTALADO EM RESERVAÇÃO PREDIAL DE ÁGUA - FORNECIMENTO E INSTALAÇÃO. AF_04/2024</t>
  </si>
  <si>
    <t>105189</t>
  </si>
  <si>
    <t>TE DE REDUÇÃO, PVC, SOLDÁVEL, 90 GRAUS, DN 50 MM X 25 MM, INSTALADO EM RESERVAÇÃO PREDIAL DE ÁGUA - FORNECIMENTO E INSTALAÇÃO. AF_04/2024</t>
  </si>
  <si>
    <t>22,21</t>
  </si>
  <si>
    <t>105190</t>
  </si>
  <si>
    <t>TE DE REDUÇÃO, PVC, SOLDÁVEL, 90 GRAUS, DN 50 MM X 32 MM, INSTALADO EM RESERVAÇÃO PREDIAL DE ÁGUA - FORNECIMENTO E INSTALAÇÃO. AF_04/2024</t>
  </si>
  <si>
    <t>105193</t>
  </si>
  <si>
    <t>COTOVELO, 90 GRAUS, EM FERRO GALVANIZADO, MACHO/FÊMEA, CONEXÃO ROSQUEADA, DN 65 MM (2 1/2"), INSTALADO EM RESERVAÇÃO PREDIAL DE ÁGUA - FORNECIMENTO E INSTALAÇÃO. AF_04/2024</t>
  </si>
  <si>
    <t>160,06</t>
  </si>
  <si>
    <t>105194</t>
  </si>
  <si>
    <t>COTOVELO 90 GRAUS, EM FERRO GALVANIZADO, MACHO/FÊMEA, CONEXÃO ROSQUEADA, DN 50 MM (2"), INSTALADO EM RESERVAÇÃO PREDIAL DE ÁGUA - FORNECIMENTO E INSTALAÇÃO. AF_04/2024</t>
  </si>
  <si>
    <t>105195</t>
  </si>
  <si>
    <t>COTOVELO 90 GRAUS, EM FERRO GALVANIZADO, MACHO/FÊMEA, CONEXÃO ROSQUEADA, DN 80 MM (3"), INSTALADO EM RESERVAÇÃO PREDIAL DE ÁGUA - FORNECIMENTO E INSTALAÇÃO. AF_04/2024</t>
  </si>
  <si>
    <t>105196</t>
  </si>
  <si>
    <t>CURVA 45 GRAUS, EM FERRO GALVANIZADO, FÊMEA, CONEXÃO ROSQUEADA, DN 65 MM (2 1/2"), INSTALADO EM RESERVAÇÃO PREDIAL DE ÁGUA - FORNECIMENTO E INSTALAÇÃO. AF_04/2024</t>
  </si>
  <si>
    <t>105197</t>
  </si>
  <si>
    <t>CURVA 45 GRAUS, EM FERRO GALVANIZADO, FÊMEA, CONEXÃO ROSQUEADA, DN 50 MM (2"), INSTALADO EM RESERVAÇÃO PREDIAL DE ÁGUA - FORNECIMENTO E INSTALAÇÃO. AF_04/2024</t>
  </si>
  <si>
    <t>105198</t>
  </si>
  <si>
    <t>CURVA 45 GRAUS, EM FERRO GALVANIZADO, FÊMEA, CONEXÃO ROSQUEADA, DN 80 MM (3"), INSTALADO EM RESERVAÇÃO PREDIAL DE ÁGUA - FORNECIMENTO E INSTALAÇÃO. AF_04/2024</t>
  </si>
  <si>
    <t>105199</t>
  </si>
  <si>
    <t>CURVA 45 GRAUS, EM FERRO GALVANIZADO, MACHO/FÊMEA, CONEXÃO ROSQUEADA, DN 65 MM (2 1/2"), INSTALADO EM RESERVAÇÃO PREDIAL DE ÁGUA - FORNECIMENTO E INSTALAÇÃO. AF_04/2024</t>
  </si>
  <si>
    <t>105200</t>
  </si>
  <si>
    <t>CURVA 45 GRAUS, EM FERRO GALVANIZADO, MACHO/FÊMEA, CONEXÃO ROSQUEADA, DN 50 MM (2"), INSTALADO EM RESERVAÇÃO PREDIAL DE ÁGUA - FORNECIMENTO E INSTALAÇÃO. AF_04/2024</t>
  </si>
  <si>
    <t>105201</t>
  </si>
  <si>
    <t>CURVA 45 GRAUS, EM FERRO GALVANIZADO, MACHO/FÊMEA, CONEXÃO ROSQUEADA, DN 80 MM (3"), INSTALADO EM RESERVAÇÃO PREDIAL DE ÁGUA - FORNECIMENTO E INSTALAÇÃO. AF_04/2024</t>
  </si>
  <si>
    <t>105202</t>
  </si>
  <si>
    <t>CURVA 90 GRAUS, EM FERRO GALVANIZADO, FÊMEA, CONEXÃO ROSQUEADA, DN 65 MM (2 1/2"), INSTALADO EM RESERVAÇÃO PREDIAL DE ÁGUA - FORNECIMENTO E INSTALAÇÃO. AF_04/2024</t>
  </si>
  <si>
    <t>105203</t>
  </si>
  <si>
    <t>CURVA 90 GRAUS, EM FERRO GALVANIZADO, FÊMEA, CONEXÃO ROSQUEADA, DN 50 MM (2"), INSTALADO EM RESERVAÇÃO PREDIAL DE ÁGUA - FORNECIMENTO E INSTALAÇÃO. AF_04/2024</t>
  </si>
  <si>
    <t>105204</t>
  </si>
  <si>
    <t>CURVA 90 GRAUS, EM FERRO GALVANIZADO, FÊMEA, CONEXÃO ROSQUEADA, DN 80 (3"), INSTALADO EM RESERVAÇÃO PREDIAL DE ÁGUA - FORNECIMENTO E INSTALAÇÃO. AF_04/2024</t>
  </si>
  <si>
    <t>105205</t>
  </si>
  <si>
    <t>CURVA 90 GRAUS, EM FERRO GALVANIZADO, MACHO/FÊMEA, CONEXÃO ROSQUEADA, DN 65 MM (2 1/2"), INSTALADO EM RESERVAÇÃO PREDIAL DE ÁGUA - FORNECIMENTO E INSTALAÇÃO. AF_04/2024</t>
  </si>
  <si>
    <t>105206</t>
  </si>
  <si>
    <t>CURVA 90 GRAUS, EM FERRO GALVANIZADO, MACHO/FÊMEA, CONEXÃO ROSQUEADA, DN 50 MM (2"), INSTALADO EM RESERVAÇÃO PREDIAL DE ÁGUA - FORNECIMENTO E INSTALAÇÃO. AF_04/2024</t>
  </si>
  <si>
    <t>105207</t>
  </si>
  <si>
    <t>CURVA 90 GRAUS, EM FERRO GALVANIZADO, MACHO/FÊMEA, CONEXÃO ROSQUEADA, DN 80 MM (3"), INSTALADO EM RESERVAÇÃO PREDIAL DE ÁGUA - FORNECIMENTO E INSTALAÇÃO. AF_04/2024</t>
  </si>
  <si>
    <t>105208</t>
  </si>
  <si>
    <t>CURVA 90 GRAUS, EM FERRO GALVANIZADO, CONEXÃO ROSQUEADA, DN 65 MM (2 1/2"), INSTALADO EM RESERVAÇÃO PREDIAL DE ÁGUA - FORNECIMENTO E INSTALAÇÃO. AF_04/2024</t>
  </si>
  <si>
    <t>105209</t>
  </si>
  <si>
    <t>CURVA 90 GRAUS, EM FERRO GALVANIZADO, CONEXÃO ROSQUEADA, DN 50 MM (2"), INSTALADO EM RESERVAÇÃO PREDIAL DE ÁGUA - FORNECIMENTO E INSTALAÇÃO. AF_04/2024</t>
  </si>
  <si>
    <t>105210</t>
  </si>
  <si>
    <t>CURVA 90 GRAUS, EM FERRO GALVANIZADO, CONEXÃO ROSQUEADA, DN 80 MM (3"), INSTALADO EM RESERVAÇÃO PREDIAL DE ÁGUA - FORNECIMENTO E INSTALAÇÃO. AF_04/2024</t>
  </si>
  <si>
    <t>105211</t>
  </si>
  <si>
    <t>TE DE REDUÇÃO, EM FERRO GALVANIZADO, CONEXÃO ROSQUEADA, DN 80 MM X 65 MM (3" X 2 1/2"), INSTALADO EM RESERVAÇÃO PREDIAL DE ÁGUA - FORNECIMENTO E INSTALAÇÃO. AF_04/2024</t>
  </si>
  <si>
    <t>105212</t>
  </si>
  <si>
    <t>TE DE REDUÇÃO, EM FERRO GALVANIZADO, CONEXÃO ROSQUEADA, DN 80 MM X 50 MM (3" X 2"), INSTALADO EM RESERVAÇÃO PREDIAL DE ÁGUA - FORNECIMENTO E INSTALAÇÃO. AF_04/2024</t>
  </si>
  <si>
    <t>258,56</t>
  </si>
  <si>
    <t>105213</t>
  </si>
  <si>
    <t>BUCHA DE REDUÇÃO EM COBRE, PONTA X BOLSA, 66 X 54 MM, INSTALADO EM RESERVAÇÃO PREDIAL DE ÁGUA - FORNECIMENTO E INSTALAÇÃO. AF_04/2024</t>
  </si>
  <si>
    <t>105214</t>
  </si>
  <si>
    <t>BUCHA DE REDUÇÃO CPVC, SOLDÁVEL, DN 54 X 28 MM, INSTALADO EM RESERVAÇÃO PREDIAL DE ÁGUA - FORNECIMENTO E INSTALAÇÃO. AF_04/2024</t>
  </si>
  <si>
    <t>105215</t>
  </si>
  <si>
    <t>BUCHA DE REDUÇÃO CPVC, SOLDÁVEL, DN 28 X 22 MM, INSTALADO EM RESERVAÇÃO PREDIAL DE ÁGUA - FORNECIMENTO E INSTALAÇÃO. AF_04/2024</t>
  </si>
  <si>
    <t>105216</t>
  </si>
  <si>
    <t>BUCHA DE REDUÇÃO CPVC, SOLDÁVEL, DN 35 X 28 MM, INSTALADO EM RESERVAÇÃO PREDIAL DE ÁGUA - FORNECIMENTO E INSTALAÇÃO. AF_04/2024</t>
  </si>
  <si>
    <t>105217</t>
  </si>
  <si>
    <t>BUCHA DE REDUÇÃO CPVC, SOLDÁVEL, DN 42 X 22 MM, INSTALADO EM RESERVAÇÃO PREDIAL DE ÁGUA - FORNECIMENTO E INSTALAÇÃO. AF_04/2024</t>
  </si>
  <si>
    <t>105218</t>
  </si>
  <si>
    <t>BUCHA DE REDUÇÃO CPVC, SOLDÁVEL, DN 54 X 35 MM, INSTALADO EM RESERVAÇÃO PREDIAL DE ÁGUA - FORNECIMENTO E INSTALAÇÃO. AF_04/2024</t>
  </si>
  <si>
    <t>105219</t>
  </si>
  <si>
    <t>JOELHO CPVC, SOLDÁVEL, 45 GRAUS, DN 22 MM, INSTALADO EM RESERVAÇÃO PREDIAL DE ÁGUA - FORNECIMENTO E INSTALAÇÃO. AF_04/2024</t>
  </si>
  <si>
    <t>11,16</t>
  </si>
  <si>
    <t>105220</t>
  </si>
  <si>
    <t>JOELHO CPVC, SOLDÁVEL, 45 GRAUS, DN 28 MM, INSTALADO EM RESERVAÇÃO PREDIAL DE ÁGUA - FORNECIMENTO E INSTALAÇÃO. AF_04/2024</t>
  </si>
  <si>
    <t>105221</t>
  </si>
  <si>
    <t>JOELHO CPVC, SOLDÁVEL, 45 GRAUS, DN 35 MM, INSTALADO EM RESERVAÇÃO PREDIAL DE ÁGUA - FORNECIMENTO E INSTALAÇÃO. AF_04/2024</t>
  </si>
  <si>
    <t>105222</t>
  </si>
  <si>
    <t>JOELHO CPVC, SOLDÁVEL, 45 GRAUS, DN 54 MM, INSTALADO EM RESERVAÇÃO PREDIAL DE ÁGUA - FORNECIMENTO E INSTALAÇÃO. AF_04/2024</t>
  </si>
  <si>
    <t>105223</t>
  </si>
  <si>
    <t>JOELHO CPVC, SOLDÁVEL, 45 GRAUS, DN 73 MM, INSTALADO EM RESERVAÇÃO PREDIAL DE ÁGUA - FORNECIMENTO E INSTALAÇÃO. AF_04/2024</t>
  </si>
  <si>
    <t>105224</t>
  </si>
  <si>
    <t>JOELHO CPVC, SOLDÁVEL, 45 GRAUS, DN 89 MM, INSTALADO EM RESERVAÇÃO PREDIAL DE ÁGUA - FORNECIMENTO E INSTALAÇÃO. AF_04/2024</t>
  </si>
  <si>
    <t>105225</t>
  </si>
  <si>
    <t>TE DE REDUÇÃO, CPVC, DN 28 X 22 MM, INSTALADO EM RESERVAÇÃO PREDIAL DE ÁGUA - FORNECIMENTO E INSTALAÇÃO. AF_04/2024</t>
  </si>
  <si>
    <t>105226</t>
  </si>
  <si>
    <t>TE DE REDUÇÃO, CPVC, DN 35 X 28 MM, INSTALADO EM RESERVAÇÃO PREDIAL DE ÁGUA - FORNECIMENTO E INSTALAÇÃO. AF_04/2024</t>
  </si>
  <si>
    <t>105227</t>
  </si>
  <si>
    <t>TE DE REDUÇÃO, CPVC, DN 42 X 35 MM, INSTALADO EM RESERVAÇÃO PREDIAL DE ÁGUA - FORNECIMENTO E INSTALAÇÃO. AF_04/2024</t>
  </si>
  <si>
    <t>105228</t>
  </si>
  <si>
    <t>BUCHA DE REDUÇÃO PVC, SOLDÁVEL, LONGA, DN 50 X 32 MM, INSTALADO EM RESERVAÇÃO PREDIAL DE ÁGUA - FORNECIMENTO E INSTALAÇÃO. AF_04/2024</t>
  </si>
  <si>
    <t>105229</t>
  </si>
  <si>
    <t>BUCHA DE REDUÇÃO, PPR, DN 50 X 25 MM, INSTALADO EM RESERVAÇÃO PREDIAL DE ÁGUA - FORNECIMENTO E INSTALAÇÃO. AF_04/2024</t>
  </si>
  <si>
    <t>105230</t>
  </si>
  <si>
    <t>BUCHA DE REDUÇÃO, PPR, DN 25 X 20 MM, INSTALADO EM RESERVAÇÃO PREDIAL DE ÁGUA - FORNECIMENTO E INSTALAÇÃO. AF_04/2024</t>
  </si>
  <si>
    <t>105231</t>
  </si>
  <si>
    <t>BUCHA DE REDUÇÃO, PPR, DN 32 X 25 MM, INSTALADO EM RESERVAÇÃO PREDIAL DE ÁGUA - FORNECIMENTO E INSTALAÇÃO. AF_04/2024</t>
  </si>
  <si>
    <t>105232</t>
  </si>
  <si>
    <t>BUCHA DE REDUÇÃO, PPR, DN 40 X 25 MM, INSTALADO EM RESERVAÇÃO PREDIAL DE ÁGUA - FORNECIMENTO E INSTALAÇÃO. AF_04/2024</t>
  </si>
  <si>
    <t>105233</t>
  </si>
  <si>
    <t>BUCHA DE REDUÇÃO PVC, SOLDÁVEL, LONGA, DN 40 X 25 MM, INSTALADO EM RESERVAÇÃO PREDIAL DE ÁGUA - FORNECIMENTO E INSTALAÇÃO. AF_04/2024</t>
  </si>
  <si>
    <t>105234</t>
  </si>
  <si>
    <t>BUCHA DE REDUÇÃO PVC, SOLDÁVEL, LONGA, DN 50 X 25 MM, INSTALADO EM RESERVAÇÃO PREDIAL DE ÁGUA - FORNECIMENTO E INSTALAÇÃO. AF_04/2024</t>
  </si>
  <si>
    <t>474,81</t>
  </si>
  <si>
    <t>602,45</t>
  </si>
  <si>
    <t>6,92</t>
  </si>
  <si>
    <t>18,20</t>
  </si>
  <si>
    <t>78,31</t>
  </si>
  <si>
    <t>VÁLVULA EM METAL CROMADO 1.1/2" X 1.1/2" PARA TANQUE OU LAVATÓRIO, COM OU SEM LADRÃO - FORNECIMENTO E INSTALAÇÃO. AF_01/2020</t>
  </si>
  <si>
    <t>54,81</t>
  </si>
  <si>
    <t>VÁLVULA EM METAL CROMADO TIPO AMERICANA 3.1/2" X 1.1/2" PARA PIA - FORNECIMENTO E INSTALAÇÃO. AF_01/2020</t>
  </si>
  <si>
    <t>VÁLVULA EM PLÁSTICO 1" PARA PIA, TANQUE OU LAVATÓRIO, COM OU SEM LADRÃO - FORNECIMENTO E INSTALAÇÃO. AF_01/2020</t>
  </si>
  <si>
    <t>VÁLVULA EM PLÁSTICO CROMADO TIPO AMERICANA 3.1/2" X 1.1/2" SEM ADAPTADOR PARA PIA - FORNECIMENTO E INSTALAÇÃO. AF_01/2020</t>
  </si>
  <si>
    <t>SIFÃO DO TIPO GARRAFA EM METAL CROMADO 1 X 1.1/2" - FORNECIMENTO E INSTALAÇÃO. AF_01/2020</t>
  </si>
  <si>
    <t>SIFÃO DO TIPO GARRAFA/COPO EM PVC 1.1/4  X 1.1/2" - FORNECIMENTO E INSTALAÇÃO. AF_01/2020</t>
  </si>
  <si>
    <t>ENGATE FLEXÍVEL EM PLÁSTICO BRANCO, 1/2" X 30CM - FORNECIMENTO E INSTALAÇÃO. AF_01/2020</t>
  </si>
  <si>
    <t>ENGATE FLEXÍVEL EM PLÁSTICO BRANCO, 1/2" X 40CM - FORNECIMENTO E INSTALAÇÃO. AF_01/2020</t>
  </si>
  <si>
    <t>TORNEIRA CROMADA DE MESA, 1/2" OU 3/4", PARA LAVATÓRIO, PADRÃO POPULAR - FORNECIMENTO E INSTALAÇÃO. AF_01/2020</t>
  </si>
  <si>
    <t>TORNEIRA CROMADA TUBO MÓVEL, DE MESA, 1/2" OU 3/4", PARA PIA DE COZINHA, PADRÃO ALTO - FORNECIMENTO E INSTALAÇÃO. AF_01/2020</t>
  </si>
  <si>
    <t>TORNEIRA CROMADA TUBO MÓVEL, DE PAREDE, 1/2" OU 3/4", PARA PIA DE COZINHA, PADRÃO MÉDIO - FORNECIMENTO E INSTALAÇÃO. AF_01/2020</t>
  </si>
  <si>
    <t>TORNEIRA CROMADA LONGA, DE PAREDE, 1/2" OU 3/4", PARA PIA DE COZINHA, PADRÃO POPULAR - FORNECIMENTO E INSTALAÇÃO. AF_01/2020</t>
  </si>
  <si>
    <t>TORNEIRA CROMADA 1/2" OU 3/4" PARA TANQUE, PADRÃO POPULAR - FORNECIMENTO E INSTALAÇÃO. AF_01/2020</t>
  </si>
  <si>
    <t>TORNEIRA CROMADA 1/2" OU 3/4" PARA TANQUE, PADRÃO MÉDIO - FORNECIMENTO E INSTALAÇÃO. AF_01/2020</t>
  </si>
  <si>
    <t>TORNEIRA CROMADA DE MESA, 1/2" OU 3/4", PARA LAVATÓRIO, PADRÃO MÉDIO - FORNECIMENTO E INSTALAÇÃO. AF_01/2020</t>
  </si>
  <si>
    <t>TORNEIRA PLÁSTICA 3/4" PARA TANQUE - FORNECIMENTO E INSTALAÇÃO. AF_01/2020</t>
  </si>
  <si>
    <t>BANCADA GRANITO CINZA  150 X 60 CM, COM CUBA DE EMBUTIR DE AÇO, VÁLVULA AMERICANA EM METAL, SIFÃO FLEXÍVEL EM PVC, ENGATE FLEXÍVEL 30 CM, TORNEIRA CROMADA LONGA, DE PAREDE, 1/2" OU 3/4", P/ COZINHA, PADRÃO POPULAR - FORNEC. E INSTALAÇÃO. AF_01/2020</t>
  </si>
  <si>
    <t>BANCADA MÁRMORE BRANCO 150 X 60 CM, COM CUBA DE EMBUTIR DE AÇO, VÁLVULA AMERICANA E SIFÃO TIPO GARRAFA EM METAL , ENGATE FLEXÍVEL 30 CM, TORNEIRA CROMADA, DE MESA, 1/2" OU 3/4", PARA PIA COZINHA, PADRÃO ALTO - FORNEC. E INSTALAÇÃO. AF_01/2020</t>
  </si>
  <si>
    <t>VASO SANITARIO SIFONADO CONVENCIONAL COM LOUÇA BRANCA, INCLUSO CONJUNTO DE LIGAÇÃO PARA BACIA SANITÁRIA AJUSTÁVEL - FORNECIMENTO E INSTALAÇÃO. AF_01/2020</t>
  </si>
  <si>
    <t>36,33</t>
  </si>
  <si>
    <t>43,46</t>
  </si>
  <si>
    <t>MANOPLA E CANOPLA CROMADA - FORNECIMENTO E INSTALAÇÃO. AF_01/2020</t>
  </si>
  <si>
    <t>ACABAMENTO MONOCOMANDO PARA CHUVEIRO - FORNECIMENTO E INSTALAÇÃO. AF_01/2020</t>
  </si>
  <si>
    <t>MICTÓRIO SIFONADO LOUÇA BRANCA - PADRÃO MÉDIO - FORNECIMENTO E INSTALAÇÃO. AF_01/2020</t>
  </si>
  <si>
    <t>MICTÓRIO SIFONADO LOUÇA BRANCA PARA ENTRADA DE ÁGUA EMBUTIDA - PADRÃO ALTO - FORNECIMENTO E INSTALAÇÃO. AF_01/2020</t>
  </si>
  <si>
    <t>CHUVEIRO ELÉTRICO COMUM CORPO PLÁSTICO, TIPO DUCHA - FORNECIMENTO E INSTALAÇÃO. AF_01/2020</t>
  </si>
  <si>
    <t>37,87</t>
  </si>
  <si>
    <t>36,36</t>
  </si>
  <si>
    <t>41,90</t>
  </si>
  <si>
    <t>174,08</t>
  </si>
  <si>
    <t>61,68</t>
  </si>
  <si>
    <t>57,43</t>
  </si>
  <si>
    <t>70,20</t>
  </si>
  <si>
    <t>374,00</t>
  </si>
  <si>
    <t>KIT CAVALETE PARA MEDIÇÃO DE ÁGUA - ENTRADA PRINCIPAL, EM PVC 20 MM (1/2") - FORNECIMENTO E INSTALAÇÃO (EXCLUSIVE HIDRÔMETRO). AF_03/2024</t>
  </si>
  <si>
    <t>KIT CAVALETE PARA MEDIÇÃO DE ÁGUA - ENTRADA PRINCIPAL, EM PVC 25 MM (3/4") - FORNECIMENTO E INSTALAÇÃO (EXCLUSIVE HIDRÔMETRO). AF_03/2024</t>
  </si>
  <si>
    <t>KIT CAVALETE PARA MEDIÇÃO DE ÁGUA - ENTRADA PRINCIPAL, EM AÇO GALVANIZADO DN 25 MM (1") - FORNECIMENTO E INSTALAÇÃO (EXCLUSIVE HIDRÔMETRO). AF_03/2024</t>
  </si>
  <si>
    <t>KIT CAVALETE PARA MEDIÇÃO DE ÁGUA - ENTRADA PRINCIPAL, EM AÇO GALVANIZADO DN 32 MM (1 1/4") - FORNECIMENTO E INSTALAÇÃO (EXCLUSIVE HIDRÔMETRO). AF_03/2024</t>
  </si>
  <si>
    <t>577,14</t>
  </si>
  <si>
    <t>KIT CAVALETE PARA MEDIÇÃO DE ÁGUA - ENTRADA PRINCIPAL, EM AÇO GALVANIZADO DN 40 MM (1 1/2") - FORNECIMENTO E INSTALAÇÃO (EXCLUSIVE HIDRÔMETRO). AF_03/2024</t>
  </si>
  <si>
    <t>KIT CAVALETE PARA MEDIÇÃO DE ÁGUA - ENTRADA PRINCIPAL, EM AÇO GALVANIZADO DN 50 MM (2") - FORNECIMENTO E INSTALAÇÃO (EXCLUSIVE HIDRÔMETRO). AF_03/2024</t>
  </si>
  <si>
    <t>KIT CAVALETE PARA MEDIÇÃO DE ÁGUA - ENTRADA INDIVIDUALIZADA, EM PVC 25 MM (3/4"), PARA 2 MEDIDORES - FORNECIMENTO E INSTALAÇÃO (EXCLUSIVE HIDRÔMETRO). AF_03/2024</t>
  </si>
  <si>
    <t>KIT CAVALETE PARA MEDIÇÃO DE ÁGUA - ENTRADA INDIVIDUALIZADA, EM PVC 25 MM (3/4"), PARA 3 MEDIDORES - FORNECIMENTO E INSTALAÇÃO (EXCLUSIVE HIDRÔMETRO). AF_03/2024</t>
  </si>
  <si>
    <t>KIT CAVALETE PARA MEDIÇÃO DE ÁGUA - ENTRADA INDIVIDUALIZADA, EM PVC 25 MM (3/4"), PARA 4 MEDIDORES - FORNECIMENTO E INSTALAÇÃO (EXCLUSIVE HIDRÔMETRO). AF_03/2024</t>
  </si>
  <si>
    <t>KIT CAVALETE PARA MEDIÇÃO DE ÁGUA - ENTRADA INDIVIDUALIZADA, EM PVC 32 MM (1"), PARA 1 MEDIDOR - FORNECIMENTO E INSTALAÇÃO (EXCLUSIVE HIDRÔMETRO). AF_03/2024</t>
  </si>
  <si>
    <t>KIT CAVALETE PARA MEDIÇÃO DE ÁGUA - ENTRADA INDIVIDUALIZADA, EM PVC 32 MM (1"), PARA 2 MEDIDORES - FORNECIMENTO E INSTALAÇÃO (EXCLUSIVE HIDRÔMETRO). AF_03/2024</t>
  </si>
  <si>
    <t>KIT CAVALETE PARA MEDIÇÃO DE ÁGUA - ENTRADA INDIVIDUALIZADA, EM PVC 32 MM (1"), PARA 3 MEDIDORES - FORNECIMENTO E INSTALAÇÃO (EXCLUSIVE HIDRÔMETRO). AF_03/2024</t>
  </si>
  <si>
    <t>KIT CAVALETE PARA MEDIÇÃO DE ÁGUA - ENTRADA INDIVIDUALIZADA, EM PVC 32 MM (1"), PARA 4 MEDIDORES - FORNECIMENTO E INSTALAÇÃO (EXCLUSIVE HIDRÔMETRO). AF_03/2024</t>
  </si>
  <si>
    <t>KIT CAVALETE PARA MEDIÇÃO DE ÁGUA - ENTRADA INDIVIDUALIZADA, EM CPVC DN 28 MM (1"), PARA 1 MEDIDOR - FORNECIMENTO E INSTALAÇÃO (EXCLUSIVE HIDRÔMETRO). AF_03/2024</t>
  </si>
  <si>
    <t>KIT CAVALETE PARA MEDIÇÃO DE ÁGUA - ENTRADA INDIVIDUALIZADA, EM CPVC DN 28 MM (1"), PARA 2 MEDIDORES - FORNECIMENTO E INSTALAÇÃO (EXCLUSIVE HIDRÔMETRO). AF_03/2024</t>
  </si>
  <si>
    <t>KIT CAVALETE PARA MEDIÇÃO DE ÁGUA - ENTRADA INDIVIDUALIZADA, EM CPVC DN 28 MM (1"), PARA 3 MEDIDORES - FORNECIMENTO E INSTALAÇÃO (EXCLUSIVE HIDRÔMETRO). AF_03/2024</t>
  </si>
  <si>
    <t>KIT CAVALETE PARA MEDIÇÃO DE ÁGUA - ENTRADA INDIVIDUALIZADA, EM CPVC DN 28 MM (1"), PARA 4 MEDIDORES - FORNECIMENTO E INSTALAÇÃO (EXCLUSIVE HIDRÔMETRO). AF_03/2024</t>
  </si>
  <si>
    <t>KIT CAVALETE PARA MEDIÇÃO DE ÁGUA - ENTRADA INDIVIDUALIZADA, EM CPVC DN 35 MM (1 1/4"), PARA 1 MEDIDOR - FORNECIMENTO E INSTALAÇÃO (EXCLUSIVE HIDRÔMETRO). AF_03/2024</t>
  </si>
  <si>
    <t>KIT CAVALETE PARA MEDIÇÃO DE ÁGUA - ENTRADA INDIVIDUALIZADA, EM CPVC DN 35 MM (1 1/4"), PARA 2 MEDIDORES - FORNECIMENTO E INSTALAÇÃO (EXCLUSIVE HIDRÔMETRO). AF_03/2024</t>
  </si>
  <si>
    <t>KIT CAVALETE PARA MEDIÇÃO DE ÁGUA - ENTRADA INDIVIDUALIZADA, EM CPVC DN 35 MM (1 1/4"), PARA 3 MEDIDORES - FORNECIMENTO E INSTALAÇÃO (EXCLUSIVE HIDRÔMETRO). AF_03/2024</t>
  </si>
  <si>
    <t>KIT CAVALETE PARA MEDIÇÃO DE ÁGUA - ENTRADA INDIVIDUALIZADA, EM CPVC DN 35 MM (1 1/4"), PARA 4 MEDIDORES - FORNECIMENTO E INSTALAÇÃO (EXCLUSIVE HIDRÔMETRO). AF_03/2024</t>
  </si>
  <si>
    <t>KIT CAVALETE PARA MEDIÇÃO DE ÁGUA - ENTRADA INDIVIDUALIZADA, EM PPR PN20 DN 25 MM (3/4") PARA 1 MEDIDOR - FORNECIMENTO E INSTALAÇÃO (EXCLUSIVE HIDRÔMETRO). AF_03/2024</t>
  </si>
  <si>
    <t>KIT CAVALETE PARA MEDIÇÃO DE ÁGUA - ENTRADA INDIVIDUALIZADA, EM PPR PN20 DN 25 MM (3/4") PARA 2 MEDIDORES - FORNECIMENTO E INSTALAÇÃO (EXCLUSIVE HIDRÔMETRO). AF_03/2024</t>
  </si>
  <si>
    <t>KIT CAVALETE PARA MEDIÇÃO DE ÁGUA - ENTRADA INDIVIDUALIZADA, EM PPR PN20 DN 25 MM (3/4") PARA 3 MEDIDORES - FORNECIMENTO E INSTALAÇÃO (EXCLUSIVE HIDRÔMETRO). AF_03/2024</t>
  </si>
  <si>
    <t>KIT CAVALETE PARA MEDIÇÃO DE ÁGUA - ENTRADA INDIVIDUALIZADA, EM PPR PN20 DN 25 MM (3/4") PARA 4 MEDIDORES - FORNECIMENTO E INSTALAÇÃO (EXCLUSIVE HIDRÔMETRO). AF_03/2024</t>
  </si>
  <si>
    <t>KIT CAVALETE PARA MEDIÇÃO DE ÁGUA - ENTRADA INDIVIDUALIZADA, EM PPR PN20 DN 32 MM (1") PARA 1 MEDIDOR - FORNECIMENTO E INSTALAÇÃO (EXCLUSIVE HIDRÔMETRO). AF_03/2024</t>
  </si>
  <si>
    <t>KIT CAVALETE PARA MEDIÇÃO DE ÁGUA - ENTRADA INDIVIDUALIZADA, EM PPR PN20 DN 32 MM (1") PARA 2 MEDIDORES - FORNECIMENTO E INSTALAÇÃO (EXCLUSIVE HIDRÔMETRO). AF_03/2024</t>
  </si>
  <si>
    <t>KIT CAVALETE PARA MEDIÇÃO DE ÁGUA - ENTRADA INDIVIDUALIZADA, EM PPR PN20 DN 32 MM (1") PARA 3 MEDIDORES - FORNECIMENTO E INSTALAÇÃO (EXCLUSIVE HIDRÔMETRO). AF_03/2024</t>
  </si>
  <si>
    <t>KIT CAVALETE PARA MEDIÇÃO DE ÁGUA - ENTRADA INDIVIDUALIZADA, EM PPR PN20 DN 32 MM (1") PARA 4 MEDIDORES - FORNECIMENTO E INSTALAÇÃO (EXCLUSIVE HIDRÔMETRO). AF_03/2024</t>
  </si>
  <si>
    <t>KIT CAVALETE PARA MEDIÇÃO DE ÁGUA - ENTRADA INDIVIDUALIZADA, EM PPR PN25 DN 25 MM (3/4") PARA 1 MEDIDOR - FORNECIMENTO E INSTALAÇÃO (EXCLUSIVE HIDRÔMETRO). AF_03/2024</t>
  </si>
  <si>
    <t>KIT CAVALETE PARA MEDIÇÃO DE ÁGUA - ENTRADA INDIVIDUALIZADA, EM PPR PN25 DN 25 MM (3/4") PARA 2 MEDIDORES - FORNECIMENTO E INSTALAÇÃO (EXCLUSIVE HIDRÔMETRO). AF_03/2024</t>
  </si>
  <si>
    <t>KIT CAVALETE PARA MEDIÇÃO DE ÁGUA - ENTRADA INDIVIDUALIZADA, EM PPR PN25 DN 25 MM (3/4") PARA 3 MEDIDORES - FORNECIMENTO E INSTALAÇÃO (EXCLUSIVE HIDRÔMETRO). AF_03/2024</t>
  </si>
  <si>
    <t>KIT CAVALETE PARA MEDIÇÃO DE ÁGUA - ENTRADA INDIVIDUALIZADA, EM PPR PN25 DN 25 MM (3/4") PARA 4 MEDIDORES - FORNECIMENTO E INSTALAÇÃO (EXCLUSIVE HIDRÔMETRO). AF_03/2024</t>
  </si>
  <si>
    <t>KIT CAVALETE PARA MEDIÇÃO DE ÁGUA - ENTRADA INDIVIDUALIZADA, EM PPR PN25 DN 32 MM (1") PARA 1 MEDIDOR - FORNECIMENTO E INSTALAÇÃO (EXCLUSIVE HIDRÔMETRO). AF_03/2024</t>
  </si>
  <si>
    <t>KIT CAVALETE PARA MEDIÇÃO DE ÁGUA - ENTRADA INDIVIDUALIZADA, EM PPR PN25 DN 32 MM (1") PARA 2 MEDIDORES - FORNECIMENTO E INSTALAÇÃO (EXCLUSIVE HIDRÔMETRO). AF_03/2024</t>
  </si>
  <si>
    <t>KIT CAVALETE PARA MEDIÇÃO DE ÁGUA - ENTRADA INDIVIDUALIZADA, EM PPR PN25 DN 32 MM (1") PARA 3 MEDIDORES - FORNECIMENTO E INSTALAÇÃO (EXCLUSIVE HIDRÔMETRO). AF_03/2024</t>
  </si>
  <si>
    <t>KIT CAVALETE PARA MEDIÇÃO DE ÁGUA - ENTRADA INDIVIDUALIZADA, EM PPR PN25 DN 32 MM (1") PARA 4 MEDIDORES - FORNECIMENTO E INSTALAÇÃO (EXCLUSIVE HIDRÔMETRO). AF_03/2024</t>
  </si>
  <si>
    <t>HIDRÔMETRO DN 1/2", 1,5 M3/H - FORNECIMENTO E INSTALAÇÃO. AF_03/2024</t>
  </si>
  <si>
    <t>HIDRÔMETRO DN 1/2", 3,0 M3/H - FORNECIMENTO E INSTALAÇÃO. AF_03/2024</t>
  </si>
  <si>
    <t>HIDRÔMETRO DN 3/4", 5,0 M3/H - FORNECIMENTO E INSTALAÇÃO. AF_03/2024</t>
  </si>
  <si>
    <t>CAIXA EM CONCRETO PRÉ-MOLDADO PARA ABRIGO DE HIDRÔMETRO COM DN 20 MM - FORNECIMENTO E INSTALAÇÃO. AF_03/2024</t>
  </si>
  <si>
    <t>KIT CAVALETE PARA MEDIÇÃO DE ÁGUA - ENTRADA INDIVIDUALIZADA, EM PVC 25 MM (3/4"), PARA 1 MEDIDOR - FORNECIMENTO E INSTALAÇÃO (EXCLUSIVE HIDRÔMETRO). AF_03/2024</t>
  </si>
  <si>
    <t>104992</t>
  </si>
  <si>
    <t>HIDRÔMETRO DN 2" , 30 M³/H - FORNECIMENTO E INSTALAÇÃO. AF_03/2024</t>
  </si>
  <si>
    <t>104997</t>
  </si>
  <si>
    <t>HIDRÔMETRO DN 1", 7 M³/H - FORNECIMENTO E INSTALAÇÃO. AF_03/2024</t>
  </si>
  <si>
    <t>104998</t>
  </si>
  <si>
    <t>HIDRÔMETRO DN 1", 10 M³/H - FORNECIMENTO E INSTALAÇÃO. AF_03/2024</t>
  </si>
  <si>
    <t>105135</t>
  </si>
  <si>
    <t>HIDRÔMETRO DN 1 1/2", 20 M³/H - FORNECIMENTO E INSTALAÇÃO. AF_03/2024</t>
  </si>
  <si>
    <t>FURO MANUAL EM ALVENARIA, PARA INSTALAÇÕES HIDRÁULICAS, DIÂMETROS MENORES OU IGUAIS A 40 MM. AF_09/2023</t>
  </si>
  <si>
    <t>FURO MANUAL EM ALVENARIA, PARA INSTALAÇÕES HIDRÁULICAS, DIÂMETROS MAIORES QUE 40 MM E MENORES OU IGUAIS A 75 MM. AF_09/2023</t>
  </si>
  <si>
    <t>FURO MANUAL EM ALVENARIA, PARA INSTALAÇÕES HIDRÁULICAS, DIÂMETROS MAIORES QUE 75 MM E MENORES OU IGUAIS A 100 MM. AF_09/2023</t>
  </si>
  <si>
    <t>55,89</t>
  </si>
  <si>
    <t>FURO MECANIZADO EM CONCRETO, COM MARTELO DEMOLIDOR, PARA INSTALAÇÕES HIDRÁULICAS, DIÂMETROS MENORES OU IGUAIS A 40 MM. AF_09/2023</t>
  </si>
  <si>
    <t>FURO MECANIZADO EM CONCRETO, COM MARTELO DEMOLIDOR, PARA INSTALAÇÕES HIDRÁULICAS, DIÂMETROS MAIORES QUE 40 MM E MENORES OU IGUAIS A 75 MM. AF_09/2023</t>
  </si>
  <si>
    <t>FURO MECANIZADO EM CONCRETO, COM MARTELO DEMOLIDOR, PARA INSTALAÇÕES HIDRÁULICAS, DIÂMETROS MAIORES QUE 75 MM E MENORES OU IGUAIS A 150 MM. AF_09/2023</t>
  </si>
  <si>
    <t>RASGO LINEAR MANUAL EM ALVENARIA, PARA RAMAIS/ DISTRIBUIÇÃO DE INSTALAÇÕES HIDRÁULICAS, DIÂMETROS MENORES OU IGUAIS A 40 MM. AF_09/2023</t>
  </si>
  <si>
    <t>RASGO LINEAR MECANIZADO EM CONTRAPISO, PARA RAMAIS/ DISTRIBUIÇÃO DE INSTALAÇÕES HIDRÁULICAS, DIÂMETROS MENORES OU IGUAIS A 40 MM. AF_09/2023_PS</t>
  </si>
  <si>
    <t>RASGO LINEAR MECANIZADO EM CONTRAPISO, PARA RAMAIS/ DISTRIBUIÇÃO DE INSTALAÇÕES HIDRÁULICAS, DIÂMETROS MAIORES QUE 40 MM E MENORES OU IGUAIS A 75 MM. AF_09/2023_PS</t>
  </si>
  <si>
    <t>RASGO LINEAR MECANIZADO EM CONTRAPISO, PARA RAMAIS/ DISTRIBUIÇÃO DE INSTALAÇÕES HIDRÁULICAS, DIÂMETROS MAIORES QUE 75 MM E MENORES OU IGUAIS A 100 MM. AF_09/2023_PS</t>
  </si>
  <si>
    <t>RASGO LINEAR MANUAL EM ALVENARIA, PARA ELETRODUTOS, DIÂMETROS MENORES OU IGUAIS A 40 MM. AF_09/2023</t>
  </si>
  <si>
    <t>PASSANTE TIPO PEÇA EM POLIESTIRENO (ISOPOR), FIXADO EM LAJE, PARA ABERTURA PARA PASSAGEM DE 1 TUBO DE ATÉ 50 MM DE DIÂMETRO. AF_09/2023</t>
  </si>
  <si>
    <t>PASSANTE TIPO PEÇA EM POLIESTIRENO (ISOPOR), FIXADO EM LAJE, PARA PASSAGEM DE NO MÁXIMO 5 TUBOS DE 50 MM DE DIÂMETRO. AF_09/2023</t>
  </si>
  <si>
    <t>PASSANTE TIPO TUBO COM DIÂMETRO DE 40 MM, FIXADO EM LAJE, PARA PASSAGEM DE TUBULAÇÕES COM NO MÁXIMO 32 MM DE DIÂMETRO. AF_09/2023</t>
  </si>
  <si>
    <t>PASSANTE TIPO TUBO COM DIÂMETRO DE 75 MM, FIXADO EM LAJE, PARA PASSAGEM DE TUBULAÇÕES COM NO MÁXIMO 50 MM DE DIÂMETRO. AF_09/2023</t>
  </si>
  <si>
    <t>PASSANTE TIPO TUBO COM DIÂMETRO DE 100 MM, FIXADO EM LAJE, PARA PASSAGEM DE TUBULAÇÕES COM NO MÁXIMO 75 MM DE DIÂMETRO. AF_09/2023</t>
  </si>
  <si>
    <t>QUEBRA EM ALVENARIA PARA INSTALAÇÃO DE CAIXA DE TOMADA (4X4 OU 4X2). AF_09/2023</t>
  </si>
  <si>
    <t>QUEBRA EM ALVENARIA PARA INSTALAÇÃO DE QUADRO DISTRIBUIÇÃO PEQUENO (19X25 CM). AF_09/2023</t>
  </si>
  <si>
    <t>QUEBRA EM ALVENARIA PARA INSTALAÇÃO DE QUADRO DISTRIBUIÇÃO GRANDE (76X40 CM). AF_09/2023</t>
  </si>
  <si>
    <t>QUEBRA EM ALVENARIA PARA INSTALAÇÃO DE ABRIGO PARA MANGUEIRAS (90X60 CM). AF_09/2023</t>
  </si>
  <si>
    <t>SUPORTE PARA 2 TUBOS HORIZONTAIS, ESPAÇADO A CADA 56 CM, EM PERFILADO COM COMPRIMENTO DE 25 CM FIXADO EM LAJE, POR METRO DE TUBULAÇÃO FIXADA. AF_09/2023</t>
  </si>
  <si>
    <t>SUPORTE PARA 4 TUBOS HORIZONTAIS, ESPAÇADO A CADA 56 CM, EM PERFILADO COM COMPRIMENTO DE 42 CM FIXADO EM LAJE, POR METRO DE TUBULAÇÃO FIXADA. AF_09/2023</t>
  </si>
  <si>
    <t>SUPORTE PARA 2 TUBOS VERTICAIS, ESPAÇADO A CADA 150 CM, EM PERFILADO COM COMPRIMENTO DE 25 CM FIXADO EM PAREDE, POR METRO DE TUBULAÇÃO FIXADA. AF_09/2023</t>
  </si>
  <si>
    <t>SUPORTE PARA 4 TUBOS VERTICAIS, ESPAÇADO A CADA 150 CM, EM PERFILADO COM COMPRIMENTO DE 42 CM FIXADO EM PAREDE, POR METRO DE TUBULAÇÃO FIXADA. AF_09/2023</t>
  </si>
  <si>
    <t>CHUMBAMENTO LINEAR EM ALVENARIA PARA RAMAIS/DISTRIBUIÇÃO DE INSTALAÇÕES HIDRÁULICAS COM DIÂMETROS MENORES OU IGUAIS A 40 MM. AF_09/2023</t>
  </si>
  <si>
    <t>14,58</t>
  </si>
  <si>
    <t>CHUMBAMENTO LINEAR EM ALVENARIA PARA RAMAIS/DISTRIBUIÇÃO DE INSTALAÇÕES HIDRÁULICAS COM DIÂMETROS MAIORES QUE 40 MM E MENORES OU IGUAIS A 75 MM. AF_09/2023</t>
  </si>
  <si>
    <t>CHUMBAMENTO LINEAR EM CONTRAPISO PARA RAMAIS/DISTRIBUIÇÃO DE INSTALAÇÕES HIDRÁULICAS COM DIÂMETROS MENORES OU IGUAIS A 40 MM. AF_09/2023</t>
  </si>
  <si>
    <t>CHUMBAMENTO LINEAR EM CONTRAPISO PARA RAMAIS/DISTRIBUIÇÃO DE INSTALAÇÕES HIDRÁULICAS COM DIÂMETROS MAIORES QUE 40 MM E MENORES OU IGUAIS A 75 MM. AF_09/2023</t>
  </si>
  <si>
    <t>CHUMBAMENTO LINEAR EM CONTRAPISO PARA RAMAIS/DISTRIBUIÇÃO DE INSTALAÇÕES HIDRÁULICAS COM DIÂMETROS MAIORES QUE 75 MM E MENORES OU IGUAIS A 100 MM. AF_09/2023</t>
  </si>
  <si>
    <t>FIXAÇÃO DE TUBOS HORIZONTAIS DE PEX OU MULTICAMADAS, DIÂMETROS IGUAIS OU INFERIORES A 40 MM, COM ABRAÇADEIRA PLÁSTICA FIXADA EM LAJE. AF_09/2023_PE</t>
  </si>
  <si>
    <t>FIXAÇÃO DE TUBOS HORIZONTAIS DE PPR DIÂMETROS MENORES OU IGUAIS A 40 MM COM ABRAÇADEIRA METÁLICA RÍGIDA TIPO U PERFIL 1 1/4", FIXADA EM PERFILADO EM LAJE. AF_09/2023_PS</t>
  </si>
  <si>
    <t>10,14</t>
  </si>
  <si>
    <t>FIXAÇÃO DE TUBOS HORIZONTAIS DE PVC ÁGUA, PVC ESGOTO, PVC ÁGUA PLUVIAL, CPVC, PPR, COBRE OU AÇO, DIÂMETROS MENORES OU IGUAIS A 40 MM, COM ABRAÇADEIRA METÁLICA RÍGIDA TIPO U PERFIL 1 1/4", FIXADA EM PERFILADO EM LAJE. AF_09/2023_PS</t>
  </si>
  <si>
    <t>FIXAÇÃO DE TUBOS HORIZONTAIS DE PVC ÁGUA, PVC ESGOTO, PVC ÁGUA PLUVIAL, CPVC, PPR, COBRE OU AÇO, DIÂMETROS MAIORES QUE 40 MM E MENORES OU IGUAIS A 75 MM, COM ABRAÇADEIRA METÁLICA RÍGIDA TIPO U PERFIL 2 1/2", FIXADA EM PERFILADO EM LAJE. AF_09/2023_PS</t>
  </si>
  <si>
    <t>16,58</t>
  </si>
  <si>
    <t>FIXAÇÃO DE TUBOS HORIZONTAIS DE PVC ÁGUA, PVC ESGOTO, PVC ÁGUA PLUVIAL, CPVC, PPR, COBRE OU AÇO, DIÂMETROS MAIORES QUE 75 MM E MENORES OU IGUAIS A 100 MM, COM ABRAÇADEIRA METÁLICA RÍGIDA TIPO U PERFIL 4", FIXADA EM PERFILADO EM LAJE. AF_09/2023_PS</t>
  </si>
  <si>
    <t>FIXAÇÃO DE TUBOS VERTICAIS DE PVC ÁGUA, PVC ESGOTO, PVC ÁGUA PLUVIAL, CPVC, PPR, COBRE OU AÇO, DIÂMETROS MENORES OU IGUAIS A 40 MM, COM ABRAÇADEIRA METÁLICA RÍGIDA TIPO U PERFIL 1 1/4", FIXADA EM PERFILADO EM PAREDE. AF_09/2023_PS</t>
  </si>
  <si>
    <t>FIXAÇÃO DE TUBOS VERTICAIS DE PVC ÁGUA, PVC ESGOTO, PVC ÁGUA PLUVIAL, CPVC, PPR, COBRE OU AÇO, DIÂMETROS MAIORES QUE 40 MM E MENORES OU IGUAIS A 75 MM, COM ABRAÇADEIRA METÁLICA RÍGIDA TIPO U PERFIL 2 1/2", FIXADA EM PERFILADO EM PAREDE. AF_09/2023_PS</t>
  </si>
  <si>
    <t>FIXAÇÃO DE TUBOS VERTICAIS DE PVC ÁGUA, PVC ESGOTO, PVC ÁGUA PLUVIAL, CPVC, PPR, COBRE OU AÇO, DIÂMETROS MAIORES QUE 75 MM E MENORES OU IGUAIS A 100 MM, COM ABRAÇADEIRA METÁLICA RÍGIDA TIPO U PERFIL 4", FIXADA EM PERFILADO EM PAREDE. AF_09/2023_PS</t>
  </si>
  <si>
    <t>FIXAÇÃO DE TUBOS HORIZONTAIS DE PPR DIÂMETROS MENORES OU IGUAIS A 40 MM, COM ABRAÇADEIRA METÁLICA RÍGIDA TIPO  D  COM PARAFUSO DE FIXAÇÃO 1 1/4", FIXADA DIRETAMENTE NA LAJE OU PAREDE. AF_09/2023</t>
  </si>
  <si>
    <t>FIXAÇÃO DE TUBOS HORIZONTAIS DE PVC ÁGUA/PVC ESGOTO/PVC PLUVIAL/CPVC/PPR/COBRE OU AÇO, DIÂMETROS MENORES OU IGUAIS A 40 MM, COM ABRAÇADEIRA METÁLICA RÍGIDA TIPO  D  COM PARAFUSO DE FIXAÇÃO 1 1/4", FIXADA DIRETAMENTE NA LAJE OU PAREDE. AF_09/2023</t>
  </si>
  <si>
    <t>FIXAÇÃO DE TUBOS HORIZONTAIS DE PVC ÁGUA/PVC ESGOTO/PVC PLUVIAL/CPVC/PPR/COBRE OU AÇO, DIÂMETROS MAIORES QUE 40 MM E MENORES OU IGUAIS A 75 MM, COM ABRAÇADEIRA TIPO  D  COM PARAFUSO DE FIXAÇÃO 2 1/2", FIXADA DIRETAMENTE NA LAJE OU PAREDE. AF_09/2023</t>
  </si>
  <si>
    <t>FIXAÇÃO DE TUBOS HORIZONTAIS DE  PVC ÁGUA/PVC ESGOTO/PVC PLUVIAL/CPVC/PPR/COBRE OU AÇO, DIÂMETROS MAIORES QUE 75 MM E MENORES OU IGUAIS A 100 MM, COM ABRAÇADEIRA TIPO  D  COM PARAFUSO DE FIXAÇÃO 4", FIXADA DIRETAMENTE NA LAJE OU PAREDE. AF_09/2023</t>
  </si>
  <si>
    <t>FIXAÇÃO DE TUBOS HORIZONTAIS DE PPR, DIÂMETROS MENORES OU IGUAIS A 40 MM, COM ABRAÇADEIRA METÁLICA FLEXÍVEL 18 MM, FIXADA DIRETAMENTE NA LAJE. AF_09/2023</t>
  </si>
  <si>
    <t>FIXAÇÃO DE TUBOS HORIZONTAIS DE PVC ÁGUA, PVC ESGOTO, PVC ÁGUA PLUVIAL, CPVC, PPR, COBRE OU AÇO, DIÂMETROS MENORES OU IGUAIS A 40 MM, COM ABRAÇADEIRA METÁLICA FLEXÍVEL 18 MM, FIXADA DIRETAMENTE NA LAJE. AF_09/2023</t>
  </si>
  <si>
    <t>FIXAÇÃO DE TUBOS HORIZONTAIS DE PVC ÁGUA, PVC ESGOTO, PVC ÁGUA PLUVIAL, CPVC, PPR, COBRE OU AÇO, DIÂMETROS MAIORES QUE 40 MM E MENORES OU IGUAIS A 75 MM, COM ABRAÇADEIRA METÁLICA FLEXÍVEL 18 MM, FIXADA DIRETAMENTE NA LAJE. AF_09/2023</t>
  </si>
  <si>
    <t>FIXAÇÃO DE TUBOS HORIZONTAIS DE PVC ÁGUA, PVC ESGOTO, PVC ÁGUA PLUVIAL, CPVC, PPR, COBRE OU AÇO, DIÂMETROS MAIORES QUE 75 MM E MENORES OU IGUAIS A 100 MM, COM ABRAÇADEIRA METÁLICA FLEXÍVEL 18 MM, FIXADA DIRETAMENTE NA LAJE. AF_09/2023</t>
  </si>
  <si>
    <t>CHUMBAMENTO PONTUAL DE ABERTURA EM LAJE COM PASSAGEM DE 1 TUBO COM DIÂMETRO DE  50 MM. AF_09/2023</t>
  </si>
  <si>
    <t>CHUMBAMENTO PONTUAL DE ABERTURA EM LAJE COM PASSAGEM DE 5 TUBOS COM  DIÂMETROS DE  50 MM. AF_09/2023</t>
  </si>
  <si>
    <t>68,66</t>
  </si>
  <si>
    <t>CHUMBAMENTO PONTUAL EM PASSAGEM DE TUBO COM DIÂMETRO MENOR OU IGUAL A 40 MM. AF_09/2023</t>
  </si>
  <si>
    <t>CHUMBAMENTO PONTUAL EM PASSAGEM DE TUBO COM DIÂMETROS ENTRE 40 MM E 75 MM. AF_09/2023</t>
  </si>
  <si>
    <t>CHUMBAMENTO PONTUAL EM PASSAGEM DE TUBO COM DIÂMETRO MAIOR QUE 75 MM E MENORES OU IGUAIS A 150 MM. AF_09/2023</t>
  </si>
  <si>
    <t>RASGO LINEAR MANUAL EM ALVENARIA, PARA RAMAIS/ DISTRIBUIÇÃO DE INSTALAÇÕES HIDRÁULICAS, DIÂMETROS MAIORES QUE 40 MM E MENORES OU IGUAIS A 75 MM. AF_09/2023</t>
  </si>
  <si>
    <t>CONJUNTO HIDRÁULICO EM AÇO ROSCÁVEL PARA INSTALAÇÃO DE BOMBA, DN SUCÇÃO 65 MM (2½") E DN RECALQUE 50 MM (2"), PARA EDIFICAÇÃO COM 18 PAVIMENTOS - FORNECIMENTO E INSTALAÇÃO. AF_04/2024</t>
  </si>
  <si>
    <t>CONJUNTO HIDRÁULICO EM AÇO ROSCÁVEL PARA INSTALAÇÃO DE BOMBA, DN SUCÇÃO 50 MM (2") E DN RECALQUE 40 MM (1 1/2"), PARA EDIFICAÇÃO COM 12 PAVIMENTOS - FORNECIMENTO E INSTALAÇÃO. AF_04/2024</t>
  </si>
  <si>
    <t>CONJUNTO HIDRÁULICO EM AÇO ROSCÁVEL PARA INSTALAÇÃO DE BOMBA, DN SUCÇÃO 40 MM (1 1/2") E DN RECALQUE 32 MM (1 1/4"), PARA EDIFICAÇÃO COM 8 PAVIMENTOS - FORNECIMENTO E INSTALAÇÃO. AF_04/2024</t>
  </si>
  <si>
    <t>CONJUNTO HIDRÁULICO EM AÇO ROSCÁVEL PARA INSTALAÇÃO DE BOMBA, DN SUCÇÃO 32 MM (1 1/4") E DN RECALQUE 25 MM (1"), PARA EDIFICAÇÃO COM 4 PAVIMENTOS - FORNECIMENTO E INSTALAÇÃO. AF_04/2024</t>
  </si>
  <si>
    <t>FIXAÇÃO DE DUTOS FLEXÍVEIS CIRCULARES,  DIÂMETRO 109 MM OU 4", COM ABRAÇADEIRA METÁLICA FLEXÍVEL FIXADA DIRETAMENTE NA LAJE, SOMENTE MÃO DE OBRA. AF_09/2023</t>
  </si>
  <si>
    <t>SUPORTE PARA DUTO EM CHAPA GALVANIZADA BITOLA 26, EM PERFILADO COM COMPRIMENTO DE 35 CM FIXADO EM LAJE, POR METRO DE DUTO FIXADO. AF_09/2023</t>
  </si>
  <si>
    <t>SUPORTE PARA DUTO EM CHAPA GALVANIZADA BITOLA 24, EM PERFILADO COM COMPRIMENTO DE 55 CM FIXADO EM LAJE, POR METRO DE DUTO FIXADO. AF_09/2023</t>
  </si>
  <si>
    <t>SUPORTE PARA ELETROCALHA LISA OU PERFURADA EM AÇO GALVANIZADO, LARGURA 400 MM, EM PERFILADO COM COMPRIMENTO DE 45 CM FIXADO EM LAJE, POR METRO DE ELETROCALHA FIXADA. AF_09/2023</t>
  </si>
  <si>
    <t>SUPORTE PARA ELETROCALHA LISA OU PERFURADA EM AÇO GALVANIZADO, LARGURA 800 MM, EM PERFILADO COM COMPRIMENTO DE 85 CM FIXADO EM LAJE, POR METRO DE ELETROCALHA FIXADA. AF_09/2023</t>
  </si>
  <si>
    <t>58,68</t>
  </si>
  <si>
    <t>86,29</t>
  </si>
  <si>
    <t>104767</t>
  </si>
  <si>
    <t>FURO MECANIZADO EM ALVENARIA, PARA INSTALAÇÕES HIDRÁULICAS, DIÂMETROS MENORES OU IGUAIS A 40 MM. AF_09/2023</t>
  </si>
  <si>
    <t>104769</t>
  </si>
  <si>
    <t>FURO MECANIZADO EM ALVENARIA, PARA INSTALAÇÕES HIDRÁULICAS, DIÂMETROS MAIORES QUE 40 MM E MENORES OU IGUAIS A 75 MM. AF_09/2023</t>
  </si>
  <si>
    <t>104771</t>
  </si>
  <si>
    <t>FURO MECANIZADO EM ALVENARIA, PARA INSTALAÇÕES HIDRÁULICAS, DIÂMETROS MAIORES QUE 75 MM E MENORES OU IGUAIS A 100 MM. AF_09/2023</t>
  </si>
  <si>
    <t>104773</t>
  </si>
  <si>
    <t>FURO MECANIZADO EM CONCRETO, COM PERFURATRIZ, PARA INSTALAÇÕES HIDRÁULICAS, DIÂMETROS MENORES OU IGUAIS A 40 MM. AF_09/2023</t>
  </si>
  <si>
    <t>104775</t>
  </si>
  <si>
    <t>FURO MECANIZADO EM CONCRETO, COM PERFURATRIZ, PARA INSTALAÇÕES HIDRÁULICAS, DIÂMETROS MAIORES QUE 40 MM E MENORES OU IGUAIS A 75 MM. AF_09/2023</t>
  </si>
  <si>
    <t>104777</t>
  </si>
  <si>
    <t>FURO MECANIZADO EM CONCRETO, COM PERFURATRIZ, PARA INSTALAÇÕES HIDRÁULICAS, DIÂMETROS MAIORES QUE 75 MM E MENORES OU IGUAIS A 150 MM. AF_09/2023</t>
  </si>
  <si>
    <t>104779</t>
  </si>
  <si>
    <t>RASGO LINEAR MECANIZADO EM ALVENARIA, PARA RAMAIS/ DISTRIBUIÇÃO DE INSTALAÇÕES HIDRÁULICAS, DIÂMETROS MENORES OU IGUAIS A 40 MM. AF_09/2023</t>
  </si>
  <si>
    <t>104781</t>
  </si>
  <si>
    <t>RASGO LINEAR MECANIZADO EM ALVENARIA, PARA RAMAIS/ DISTRIBUIÇÃO DE INSTALAÇÕES HIDRÁULICAS, DIÂMETROS MAIORES QUE 40 MM E MENORES OU IGUAIS A 75 MM. AF_09/2023</t>
  </si>
  <si>
    <t>104782</t>
  </si>
  <si>
    <t>PASSANTE TIPO PEÇA EM FÔRMA DE MADEIRA, FIXADO EM LAJE, PARA PASSAGEM DE NO MÁXIMO 5 TUBOS DE 50 MM DE DIÂMETRO. AF_09/2023</t>
  </si>
  <si>
    <t>104783</t>
  </si>
  <si>
    <t>PASSANTE TIPO TUBO COM DIÂMETRO DE 50 MM, FIXADO EM LAJE, PARA PASSAGEM DE TUBULAÇÕES COM NO MÁXIMO 40 MM DE DIÂMETRO. AF_09/2023</t>
  </si>
  <si>
    <t>104784</t>
  </si>
  <si>
    <t>PASSANTE TIPO TUBO COM DIÂMETRO DE 150 MM, FIXADO EM LAJE, PARA PASSAGEM DE TUBULAÇÕES COM NO MÁXIMO 100 MM DE DIÂMETRO. AF_09/2023</t>
  </si>
  <si>
    <t>104786</t>
  </si>
  <si>
    <t>RASGO LINEAR MECANIZADO EM CONCRETO, PARA RAMAIS/ DISTRIBUIÇÃO DE INSTALAÇÕES HIDRÁULICAS, DIÂMETROS MENORES OU IGUAIS A 40 MM. AF_09/2023</t>
  </si>
  <si>
    <t>104787</t>
  </si>
  <si>
    <t>RASGO LINEAR MECANIZADO EM CONCRETO, PARA RAMAIS/ DISTRIBUIÇÃO DE INSTALAÇÕES HIDRÁULICAS, DIÂMETROS MAIORES QUE 40 MM E MENORES OU IGUAIS A 75 MM. AF_09/2023</t>
  </si>
  <si>
    <t>104788</t>
  </si>
  <si>
    <t>RASGO LINEAR MECANIZADO EM CONCRETO, PARA RAMAIS/ DISTRIBUIÇÃO DE INSTALAÇÕES HIDRÁULICAS, DIÂMETROS MAIORES QUE 75 MM E MENORES OU IGUAIS A 100 MM. AF_09/2023</t>
  </si>
  <si>
    <t>85,05</t>
  </si>
  <si>
    <t>97,29</t>
  </si>
  <si>
    <t>63,22</t>
  </si>
  <si>
    <t>114,44</t>
  </si>
  <si>
    <t>104947</t>
  </si>
  <si>
    <t>DRAGAGEM DE MATERIAIS DE 1A CATEGORIA E COMPOSTOS ORGÂNICOS E INORGÂNICOS COM RETROESCAVADEIRA (CAÇAMBA: 0,26 M3/88 HP). AF_03/2024</t>
  </si>
  <si>
    <t>104948</t>
  </si>
  <si>
    <t>DRAGAGEM DE MATERIAIS DE 1A CATEGORIA E COMPOSTOS ORGÂNICOS E INORGÂNICOS COM ESCAVADEIRA HIDRÁULICA (CAÇAMBA: 0,80 M3/111 HP). AF_03/2024</t>
  </si>
  <si>
    <t>ESCAVAÇÃO MECANIZADA PARA BLOCO DE COROAMENTO OU SAPATA COM RETROESCAVADEIRA (SEM ESCAVAÇÃO PARA COLOCAÇÃO DE FÔRMAS). AF_01/2024</t>
  </si>
  <si>
    <t>ESCAVAÇÃO MECANIZADA PARA BLOCO DE COROAMENTO OU SAPATA COM RETROESCAVADEIRA (INCLUINDO ESCAVAÇÃO PARA COLOCAÇÃO DE FÔRMAS). AF_01/2024</t>
  </si>
  <si>
    <t>ESCAVAÇÃO MANUAL PARA BLOCO DE COROAMENTO OU SAPATA (SEM ESCAVAÇÃO PARA COLOCAÇÃO DE FÔRMAS). AF_01/2024</t>
  </si>
  <si>
    <t>ESCAVAÇÃO MANUAL PARA BLOCO DE COROAMENTO OU SAPATA (INCLUINDO ESCAVAÇÃO PARA COLOCAÇÃO DE FÔRMAS). AF_01/2024</t>
  </si>
  <si>
    <t>ESCAVAÇÃO MECANIZADA PARA VIGA BALDRAME OU SAPATA CORRIDA COM MINI-ESCAVADEIRA (SEM ESCAVAÇÃO PARA COLOCAÇÃO DE FÔRMAS). AF_01/2024</t>
  </si>
  <si>
    <t>ESCAVAÇÃO MECANIZADA PARA VIGA BALDRAME OU SAPATA CORRIDA COM MINI-ESCAVADEIRA (INCLUINDO ESCAVAÇÃO PARA COLOCAÇÃO DE FÔRMAS). AF_01/2024</t>
  </si>
  <si>
    <t>ESCAVAÇÃO MANUAL PARA VIGA BALDRAME OU SAPATA CORRIDA (SEM ESCAVAÇÃO PARA COLOCAÇÃO DE FÔRMAS). AF_01/2024</t>
  </si>
  <si>
    <t>ESCAVAÇÃO MANUAL PARA VIGA BALDRAME OU SAPATA CORRIDA (INCLUINDO ESCAVAÇÃO PARA COLOCAÇÃO DE FÔRMAS). AF_01/2024</t>
  </si>
  <si>
    <t>FABRICAÇÃO, MONTAGEM E DESMONTAGEM DE FÔRMA PARA BLOCO DE COROAMENTO, EM MADEIRA SERRADA, E=25 MM, 1 UTILIZAÇÃO. AF_01/2024</t>
  </si>
  <si>
    <t>19,70</t>
  </si>
  <si>
    <t>18,30</t>
  </si>
  <si>
    <t>16,26</t>
  </si>
  <si>
    <t>21,78</t>
  </si>
  <si>
    <t>24,34</t>
  </si>
  <si>
    <t>22,28</t>
  </si>
  <si>
    <t>15,81</t>
  </si>
  <si>
    <t>15,76</t>
  </si>
  <si>
    <t>26,90</t>
  </si>
  <si>
    <t>19,53</t>
  </si>
  <si>
    <t>25,37</t>
  </si>
  <si>
    <t>DESMONTE DE MATERIAL DE 3ª CATEGORIA (BLOCOS DE ROCHAS OU MATACOS), COM MARTELETE PNEUMÁTICO MANUAL - EXCLUSIVE CARGA E TRANSPORTE. AF_03/2021</t>
  </si>
  <si>
    <t>DESMONTE DE MATERIAL DE 3ª CATEGORIA (BLOCOS DE ROCHAS OU MATACOS), EM VALA, COM MARTELETE PNEUMÁTICO MANUAL -  EXCLUSIVE RETIRADA, CARGA E TRANSPORTE. AF_03/2021</t>
  </si>
  <si>
    <t>5,70</t>
  </si>
  <si>
    <t>14,16</t>
  </si>
  <si>
    <t>7,82</t>
  </si>
  <si>
    <t>ATERRO MECANIZADO DE VALA COM ESCAVADEIRA HIDRÁULICA (CAPACIDADE DA CAÇAMBA: 0,8 M³ / POTÊNCIA: 111 HP), LARGURA ATÉ 2,5 M, PROFUNDIDADE ATÉ 1,5 M, COM SOLO ARGILO-ARENOSO. AF_08/2023</t>
  </si>
  <si>
    <t>ATERRO MECANIZADO DE VALA COM ESCAVADEIRA HIDRÁULICA (CAPACIDADE DA CAÇAMBA: 0,8 M³ / POTÊNCIA: 111 HP), LARGURA ATÉ 2,5 M, PROFUNDIDADE DE 1,5 A 3,0 M, COM SOLO ARGILO-ARENOSO. AF_08/2023</t>
  </si>
  <si>
    <t>ATERRO MECANIZADO DE VALA COM ESCAVADEIRA HIDRÁULICA (CAPACIDADE DA CAÇAMBA: 0,8 M³/POTÊNCIA: 111 HP), LARGURA ATÉ 2,5 M, PROFUNDIDADE DE 3,0 A 6,0 M, COM SOLO ARGILO-ARENOSO. AF_08/2023</t>
  </si>
  <si>
    <t>ATERRO MECANIZADO DE VALA COM RETROESCAVADEIRA (CAPACIDADE DA CAÇAMBA DA RETRO: 0,26 M³ / POTÊNCIA: 88 HP), LARGURA ATÉ 1,5 M, PROFUNDIDADE ATÉ 1,5 M, COM SOLO ARGILO-ARENOSO. AF_08/2023</t>
  </si>
  <si>
    <t>ATERRO MECANIZADO DE VALA COM RETROESCAVADEIRA (CAPACIDADE DA CAÇAMBA DA RETRO: 0,26 M³ / POTÊNCIA: 88 HP), LARGURA ATÉ 1,5 M, PROFUNDIDADE DE 1,5 A 3,0 M, COM SOLO ARGILO-ARENOSO. AF_08/2023</t>
  </si>
  <si>
    <t>ATERRO MANUAL DE VALAS COM SOLO ARGILO-ARENOSO. AF_08/2023</t>
  </si>
  <si>
    <t>ATERRO MECANIZADO DE VALA COM ESCAVADEIRA HIDRÁULICA (CAPACIDADE DA CAÇAMBA: 0,8 M³/POTÊNCIA: 111 HP), LARGURA ATÉ 2,5 M, PROFUNDIDADE ATÉ 1,5 M, COM AREIA PARA ATERRO. AF_08/2023</t>
  </si>
  <si>
    <t>ATERRO MECANIZADO DE VALA COM ESCAVADEIRA HIDRÁULICA (CAPACIDADE DA CAÇAMBA: 0,8 M³/POTÊNCIA: 111 HP), LARGURA ATÉ 2,5 M, PROFUNDIDADE DE 1,5 A 3,0 M, COM AREIA PARA ATERRO. AF_08/2023</t>
  </si>
  <si>
    <t>ATERRO MECANIZADO DE VALA COM ESCAVADEIRA HIDRÁULICA (CAPACIDADE DA CAÇAMBA: 0,8 M³/POTÊNCIA: 111 HP), LARGURA ATÉ 2,5 M, PROFUNDIDADE DE 3,0 A 6,0 M, COM AREIA PARA ATERRO. AF_08/2023</t>
  </si>
  <si>
    <t>ATERRO MECANIZADO DE VALA COM RETROESCAVADEIRA (CAPACIDADE DA CAÇAMBA DA RETRO: 0,26 M³/POTÊNCIA: 88 HP), LARGURA ATÉ 1,5 M, PROFUNDIDADE ATÉ 1,5 M, COM AREIA PARA ATERRO. AF_08/2023</t>
  </si>
  <si>
    <t>ATERRO MECANIZADO DE VALA COM RETROESCAVADEIRA (CAPACIDADE DA CAÇAMBA DA RETRO: 0,26 M³/POTÊNCIA: 88 HP), LARGURA ATÉ 1,5 M, PROFUNDIDADE DE 1,5 A 3,0 M, COM AREIA PARA ATERRO. AF_08/2023</t>
  </si>
  <si>
    <t>ATERRO MANUAL DE VALAS COM AREIA PARA ATERRO. AF_08/2023</t>
  </si>
  <si>
    <t>REATERRO MECANIZADO DE VALA COM ESCAVADEIRA HIDRÁULICA (CAPACIDADE DA CAÇAMBA: 0,8 M³/POTÊNCIA: 111 HP), LARGURA DE 1,5 A 2,5 M, PROFUNDIDADE ATÉ 1,5 M, COM SOLO (SEM SUBSTITUIÇÃO) DE 1ª CATEGORIA, COM COMPACTADOR DE SOLOS DE PERCUSSÃO. AF_08/2023</t>
  </si>
  <si>
    <t>REATERRO MECANIZADO DE VALA COM ESCAVADEIRA HIDRÁULICA (CAPACIDADE DA CAÇAMBA: 0,8 M³/POTÊNCIA: 111 HP), LARGURA ATÉ 1,5 M, PROFUNDIDADE DE 1,5 A 3,0 M, COM SOLO (SEM SUBSTITUIÇÃO) DE 1ª CATEGORIA, COM COMPACTADOR DE SOLOS DE PERCUSSÃO. AF_08/2023</t>
  </si>
  <si>
    <t>REATERRO MECANIZADO DE VALA COM ESCAVADEIRA HIDRÁULICA (CAPACIDADE DA CAÇAMBA: 0,8 M³/POTÊNCIA: 111 HP), LARGURA 1,5 A 2,5 M, PROFUNDIDADE 1,5 A 3,0 M, COM SOLO (SEM SUBSTITUIÇÃO) DE 1ª CATEGORIA, COM COMPACTADOR DE SOLOS DE PERCUSSÃO. AF_08/2023</t>
  </si>
  <si>
    <t>REATERRO MECANIZADO DE VALA COM ESCAVADEIRA HIDRÁULICA (CAPACIDADE DA CAÇAMBA: 0,8 M³/POTÊNCIA: 111 HP), LARGURA ATÉ 1,5 M, PROFUNDIDADE DE 3,0 A 6,0 M, COM SOLO (SEM SUBSTITUIÇÃO) DE 1ª CATEGORIA, COM COMPACTADOR DE SOLOS DE PERCUSSÃO. AF_08/2023</t>
  </si>
  <si>
    <t>REATERRO MECANIZADO DE VALA COM ESCAVADEIRA HIDRÁULICA (CAPACIDADE DA CAÇAMBA: 0,8 M³/POTÊNCIA: 111 HP), LARGURA 1,5 A 2,5 M, PROFUNDIDADE 3,0 A 6,0 M, COM SOLO (SEM SUBSTITUIÇÃO) DE 1ª CATEGORIA, COM COMPACTADOR DE SOLOS DE PERCUSSÃO. AF_08/2023</t>
  </si>
  <si>
    <t>REATERRO MECANIZADO DE VALA COM RETROESCAVADEIRA (CAPACIDADE DA CAÇAMBA   DA RETRO: 0,26 M³/POTÊNCIA: 88 HP), LARGURA ATÉ 0,8 M, PROFUNDIDADE ATÉ 1,5 M, COM SOLO (SEM SUBSTITUIÇÃO) DE 1ª CATEGORIA, COM COMPACTADOR DE SOLOS DE PERCUSSÃO. AF_08/2023</t>
  </si>
  <si>
    <t>25,33</t>
  </si>
  <si>
    <t>REATERRO MECANIZADO DE VALA COM RETROESCAVADEIRA (CAPACIDADE DA CAÇAMBA   DA RETRO: 0,26 M³/POTÊNCIA: 88 HP), LARGURA 0,8 A 1,5 M, PROFUNDIDADE ATÉ 1,5 M, COM SOLO (SEM SUBSTITUIÇÃO) DE 1ª CATEGORIA, COM COMPACTADOR DE SOLOS DE PERCUSSÃO AF_08/2023</t>
  </si>
  <si>
    <t>REATERRO MECANIZADO DE VALA COM RETROESCAVADEIRA (CAPACIDADE DA CAÇAMBA   DA RETRO: 0,26 M³/POTÊNCIA: 88 HP), LARGURA ATÉ 0,8 M, PROFUNDIDADE 1,5 A 3,0 M, COM SOLO (SEM SUBSTITUIÇÃO) DE 1ª CATEGORIA, COM COMPACTADOR DE SOLOS DE PERCUSSÃO AF_08/2023</t>
  </si>
  <si>
    <t>REATERRO MECANIZADO DE VALA COM RETROESCAVADEIRA (CAPACIDADE DA CAÇAMBA   DA RETRO: 0,26 M³/POTÊNCIA: 88 HP), LARGURA 0,8 A 1,5 M, PROFUNDIDADE 1,5 A 3,0 M, COM SOLO (SEM SUBSTITUIÇÃO) DE 1ª CATEGORIA E COMPACTADOR DE SOLOS DE PERCUSSÃO. AF_08/2023</t>
  </si>
  <si>
    <t>13,51</t>
  </si>
  <si>
    <t>REATERRO MANUAL DE VALAS, COM COMPACTADOR DE SOLOS DE PERCUSSÃO. AF_08/2023</t>
  </si>
  <si>
    <t>104728</t>
  </si>
  <si>
    <t>REATERRO MECANIZADO DE VALA COM ESCAVADEIRA HIDRÁULICA (CAPACIDADE DA CAÇAMBA: 0,8 M³/POTÊNCIA: 111 HP), LARGURA DE 1,5 A 2,5 M, PROFUNDIDADE ATÉ 1,5 M, COM SOLO (SEM SUBSTITUIÇÃO) DE 1ª CATEGORIA, COM PLACA VIBRATÓRIA. AF_08/2023</t>
  </si>
  <si>
    <t>104729</t>
  </si>
  <si>
    <t>REATERRO MECANIZADO DE VALA COM ESCAVADEIRA HIDRÁULICA (CAPACIDADE DA CAÇAMBA: 0,8 M³/POTÊNCIA: 111 HP), LARGURA ATÉ 1,5 M, PROFUNDIDADE DE 1,5 A 3,0 M, COM SOLO (SEM SUBSTITUIÇÃO) DE 1ª CATEGORIA, COM PLACA VIBRATÓRIA. AF_08/2023</t>
  </si>
  <si>
    <t>104730</t>
  </si>
  <si>
    <t>REATERRO MECANIZADO DE VALA COM ESCAVADEIRA HIDRÁULICA (CAPACIDADE DA CAÇAMBA: 0,8 M³/POTÊNCIA: 111 HP), LARGURA DE 1,5 A 2,5 M, PROFUNDIDADE DE 1,5 A 3,0 M, COM SOLO (SEM SUBSTITUIÇÃO) DE 1ª CATEGORIA, COM PLACA VIBRATÓRIA. AF_08/2023</t>
  </si>
  <si>
    <t>104731</t>
  </si>
  <si>
    <t>REATERRO MECANIZADO DE VALA COM ESCAVADEIRA HIDRÁULICA (CAPACIDADE DA CAÇAMBA: 0,8 M³/POTÊNCIA: 111 HP), LARGURA ATÉ 1,5 M, PROFUNDIDADE DE 3,0 A 6,0 M, COM SOLO (SEM SUBSTITUIÇÃO) DE 1ª CATEGORIA, COM PLACA VIBRATÓRIA. AF_08/2023</t>
  </si>
  <si>
    <t>104732</t>
  </si>
  <si>
    <t>REATERRO MECANIZADO DE VALA COM ESCAVADEIRA HIDRÁULICA (CAPACIDADE DA CAÇAMBA: 0,8 M³/POTÊNCIA: 111 HP), LARGURA DE 1,5 A 2,5 M, PROFUNDIDADE DE 3,0 A 6,0 M, COM SOLO (SEM SUBSTITUIÇÃO) DE 1ª CATEGORIA, COM PLACA VIBRATÓRIA. AF_08/2023</t>
  </si>
  <si>
    <t>104733</t>
  </si>
  <si>
    <t>REATERRO MECANIZADO DE VALA COM RETROESCAVADEIRA (CAPACIDADE   DA   CAÇAMBA   DA RETRO: 0,26 M³/POTÊNCIA: 88 HP), LARGURA ATÉ 0,8 M, PROFUNDIDADE ATÉ 1,5 M, COM SOLO (SEM SUBSTITUIÇÃO) DE 1ª CATEGORIA, COM PLACA VIBRATÓRIA. AF_08/2023</t>
  </si>
  <si>
    <t>19,91</t>
  </si>
  <si>
    <t>104734</t>
  </si>
  <si>
    <t>REATERRO MECANIZADO DE VALA COM RETROESCAVADEIRA (CAPACIDADE   DA   CAÇAMBA   DA RETRO: 0,26 M³/POTÊNCIA: 88 HP), LARGURA DE 0,8 A 1,5 M, PROFUNDIDADE ATÉ 1,5 M, COM SOLO (SEM SUBSTITUIÇÃO) DE 1ª CATEGORIA, COM PLACA VIBRATÓRIA. AF_08/2023</t>
  </si>
  <si>
    <t>104735</t>
  </si>
  <si>
    <t>REATERRO MECANIZADO DE VALA COM RETROESCAVADEIRA (CAPACIDADE   DA   CAÇAMBA   DA RETRO: 0,26 M³/POTÊNCIA: 88 HP), LARGURA ATÉ 0,8 M, PROFUNDIDADE DE 1,5 A 3,0 M, COM SOLO (SEM SUBSTITUIÇÃO) DE 1ª CATEGORIA, COM PLACA VIBRATÓRIA. AF_08/2023</t>
  </si>
  <si>
    <t>104736</t>
  </si>
  <si>
    <t>REATERRO MECANIZADO DE VALA COM RETROESCAVADEIRA (CAPACIDADE   DA   CAÇAMBA   DA RETRO: 0,26 M³/POTÊNCIA: 88 HP), LARGURA DE 0,8 A 1,5 M, PROFUNDIDADE DE 1,5 A 3,0 M, COM SOLO (SEM SUBSTITUIÇÃO) DE 1ª CATEGORIA, COM PLACA VIBRATÓRIA. AF_08/2023</t>
  </si>
  <si>
    <t>104737</t>
  </si>
  <si>
    <t>REATERRO MANUAL DE VALAS, COM PLACA VIBRATÓRIA. AF_08/2023</t>
  </si>
  <si>
    <t>104738</t>
  </si>
  <si>
    <t>ATERRO MECANIZADO DE VALA COM MINICARREGADEIRA, COM SOLO ARGILO-ARENOSO. AF_08/2023</t>
  </si>
  <si>
    <t>80,38</t>
  </si>
  <si>
    <t>104739</t>
  </si>
  <si>
    <t>ATERRO MECANIZADO DE VALA COM MINICARREGADEIRA, COM AREIA PARA ATERRO. AF_08/2023</t>
  </si>
  <si>
    <t>104740</t>
  </si>
  <si>
    <t>REATERRO MECANIZADO DE VALA COM MINICARREGADEIRA, COM COMPACTADOR DE SOLOS DE PERCUSSÃO. AF_08/2023</t>
  </si>
  <si>
    <t>104741</t>
  </si>
  <si>
    <t>REATERRO MECANIZADO DE VALA COM MINICARREGADEIRA, COM PLACA VIBRATÓRIA. AF_08/2023</t>
  </si>
  <si>
    <t>104742</t>
  </si>
  <si>
    <t>COMPACTAÇÃO DE VALAS COM ROLO COMPRESSOR. AF_08/2023</t>
  </si>
  <si>
    <t>73,92</t>
  </si>
  <si>
    <t>111,30</t>
  </si>
  <si>
    <t>57,02</t>
  </si>
  <si>
    <t>68,26</t>
  </si>
  <si>
    <t>69,87</t>
  </si>
  <si>
    <t>74,44</t>
  </si>
  <si>
    <t>82,78</t>
  </si>
  <si>
    <t>ALVENARIA DE BLOCOS DE CONCRETO ESTRUTURAL 14X19X29 CM (ESPESSURA 14 CM), FBK = 14,0 MPA, UTILIZANDO PALHETA. AF_10/2022</t>
  </si>
  <si>
    <t>149,12</t>
  </si>
  <si>
    <t>PAREDE COM SISTEMA EM CHAPAS DE GESSO PARA DRYWALL, USO INTERNO, COM DUAS FACES SIMPLES E ESTRUTURA METÁLICA COM GUIAS SIMPLES, SEM VÃOS. AF_07/2023_PS</t>
  </si>
  <si>
    <t>PAREDE COM SISTEMA EM CHAPAS DE GESSO PARA DRYWALL, USO INTERNO, COM DUAS FACES SIMPLES E ESTRUTURA METÁLICA COM GUIAS SIMPLES PARA PAREDES COM ÁREA LÍQUIDA MAIOR OU IGUAL A 6 M2, COM VÃOS. AF_07/2023_PS</t>
  </si>
  <si>
    <t>PAREDE COM SISTEMA EM CHAPAS DE GESSO PARA DRYWALL, USO INTERNO, COM DUAS FACES SIMPLES E ESTRUTURA METÁLICA COM GUIAS DUPLAS, SEM VÃOS. AF_07/2023_PS</t>
  </si>
  <si>
    <t>PAREDE COM SISTEMA EM CHAPAS DE GESSO PARA DRYWALL, USO INTERNO, COM DUAS FACES SIMPLES E ESTRUTURA METÁLICA COM GUIAS DUPLAS PARA PAREDES COM ÁREA LÍQUIDA MAIOR OU IGUAL A 6 M2, COM VÃOS. AF_07/2023_PS</t>
  </si>
  <si>
    <t>PAREDE COM SISTEMA EM CHAPAS DE GESSO PARA DRYWALL, USO INTERNO, COM UMA FACE SIMPLES E OUTRA FACE DUPLA E ESTRUTURA METÁLICA COM GUIAS SIMPLES, SEM VÃOS. AF_07/2023_PS</t>
  </si>
  <si>
    <t>PAREDE COM SISTEMA EM CHAPAS DE GESSO PARA DRYWALL, USO INTERNO, COM UMA FACE SIMPLES E OUTRA FACE DUPLA E ESTRUTURA METÁLICA COM GUIAS SIMPLES PARA PAREDES COM ÁREA LÍQUIDA MAIOR OU IGUAL A 6 M2, COM VÃOS. AF_07/2023_PS</t>
  </si>
  <si>
    <t>129,40</t>
  </si>
  <si>
    <t>PAREDE COM SISTEMA EM CHAPAS DE GESSO PARA DRYWALL, USO INTERNO COM UMA FACE SIMPLES E OUTRA FACE DUPLA E ESTRUTURA METÁLICA COM GUIAS DUPLAS, SEM VÃOS. AF_07/2023_PS</t>
  </si>
  <si>
    <t>PAREDE COM SISTEMA EM CHAPAS DE GESSO PARA DRYWALL, USO INTERNO, COM UMA FACE SIMPLES E OUTRA FACE DUPLA E   ESTRUTURA METÁLICA COM GUIAS DUPLAS PARA PAREDES COM ÁREA LÍQUIDA MAIOR OU IGUAL A 6 M2, COM VÃOS. AF_07/2023_PS</t>
  </si>
  <si>
    <t>PAREDE COM SISTEMA EM CHAPAS DE GESSO PARA DRYWALL, USO INTERNO, COM DUAS FACES DUPLAS E ESTRUTURA METÁLICA COM GUIAS SIMPLES, SEM VÃOS. AF_07/2023_PS</t>
  </si>
  <si>
    <t>PAREDE COM SISTEMA EM CHAPAS DE GESSO PARA DRYWALL, USO INTERNO, COM DUAS FACES DUPLAS E ESTRUTURA METÁLICA COM GUIAS SIMPLES PARA PAREDES COM ÁREA LÍQUIDA MAIOR OU IGUAL A 6 M2, COM VÃOS. AF_07/2023_PS</t>
  </si>
  <si>
    <t>PAREDE COM SISTEMA EM CHAPAS DE GESSO PARA DRYWALL, USO INTERNO COM DUAS FACES DUPLAS E ESTRUTURA METÁLICA COM GUIAS DUPLAS, SEM VÃOS. AF_07/2023_PS</t>
  </si>
  <si>
    <t>PAREDE COM SISTEMA EM CHAPAS DE GESSO PARA DRYWALL, USO INTERNO, COM DUAS FACES DUPLAS E ESTRUTURA METÁLICA COM GUIAS DUPLAS PARA PAREDES COM ÁREA LÍQUIDA MAIOR OU IGUAL A 6 M2, COM VÃOS. AF_07/2023_PS</t>
  </si>
  <si>
    <t>PAREDE COM SISTEMA EM CHAPAS DE GESSO PARA DRYWALL, USO INTERNO, COM UMA FACE SIMPLES E ESTRUTURA METÁLICA COM GUIAS SIMPLES, SEM VÃOS. AF_07/2023_PS</t>
  </si>
  <si>
    <t>PAREDE COM SISTEMA EM CHAPAS DE GESSO PARA DRYWALL, USO INTERNO, COM UMA FACE SIMPLES E ESTRUTURA METÁLICA COM GUIAS SIMPLES PARA PAREDES COM ÁREA LÍQUIDA MAIOR OU IGUAL A 6 M2, COM VÃOS. AF_07/2023_PS</t>
  </si>
  <si>
    <t>INSTALAÇÃO DE REFORÇO METÁLICO EM PAREDE DRYWALL. AF_07/2023</t>
  </si>
  <si>
    <t>INSTALAÇÃO DE REFORÇO DE MADEIRA EM PAREDE DRYWALL. AF_07/2023</t>
  </si>
  <si>
    <t>104718</t>
  </si>
  <si>
    <t>PAREDE COM SISTEMA EM CHAPAS DE GESSO PARA DRYWALL, USO INTERNO, COM DUAS FACES SIMPLES E ESTRUTURA METÁLICA COM GUIAS SIMPLES PARA PAREDES COM ÁREA LÍQUIDA MENOR QUE 6 M2, COM VÃOS. AF_07/2023_PS</t>
  </si>
  <si>
    <t>104719</t>
  </si>
  <si>
    <t>PAREDE COM SISTEMA EM CHAPAS DE GESSO PARA DRYWALL, USO INTERNO, COM DUAS FACES SIMPLES E ESTRUTURA METÁLICA COM GUIAS DUPLAS PARA PAREDES COM ÁREA LÍQUIDA MENOR QUE 6 M2, COM VÃOS. AF_07/2023_PS</t>
  </si>
  <si>
    <t>104720</t>
  </si>
  <si>
    <t>PAREDE COM SISTEMA EM CHAPAS DE GESSO PARA DRYWALL, USO INTERNO, COM UMA FACE SIMPLES E OUTRA FACE DUPLA E ESTRUTURA METÁLICA COM GUIAS SIMPLES PARA PAREDES COM ÁREA LÍQUIDA MENOR QUE 6 M2, COM VÃOS. AF_07/2023_PS</t>
  </si>
  <si>
    <t>104721</t>
  </si>
  <si>
    <t>PAREDE COM SISTEMA EM CHAPAS DE GESSO PARA DRYWALL, USO INTERNO, COM UMA FACE SIMPLES E OUTRA FACE DUPLA E ESTRUTURA METÁLICA COM GUIAS DUPLAS PARA PAREDES COM ÁREA LÍQUIDA MENOR QUE 6 M2, COM VÃOS. AF_07/2023_PS</t>
  </si>
  <si>
    <t>104722</t>
  </si>
  <si>
    <t>PAREDE COM SISTEMA EM CHAPAS DE GESSO PARA DRYWALL, USO INTERNO, COM DUAS FACES DUPLAS E ESTRUTURA METÁLICA COM GUIAS SIMPLES PARA PAREDES COM ÁREA LÍQUIDA MENOR QUE 6 M2, COM VÃOS. AF_07/2023_PS</t>
  </si>
  <si>
    <t>104723</t>
  </si>
  <si>
    <t>PAREDE COM SISTEMA EM CHAPAS DE GESSO PARA DRYWALL, USO INTERNO, COM DUAS FACES DUPLAS E ESTRUTURA METÁLICA COM GUIAS DUPLAS PARA PAREDES COM ÁREA LÍQUIDA MENOR QUE 6 M2, COM VÃOS. AF_07/2023_PS</t>
  </si>
  <si>
    <t>104724</t>
  </si>
  <si>
    <t>PAREDE COM SISTEMA EM CHAPAS DE GESSO PARA DRYWALL, USO INTERNO, COM UMA FACE SIMPLES E ESTRUTURA METÁLICA COM GUIAS SIMPLES PARA PAREDES COM ÁREA LÍQUIDA MENOR QUE 6 M2, COM VÃOS. AF_07/2023_PS</t>
  </si>
  <si>
    <t>42,11</t>
  </si>
  <si>
    <t>218,11</t>
  </si>
  <si>
    <t>75,45</t>
  </si>
  <si>
    <t>32,15</t>
  </si>
  <si>
    <t>32,37</t>
  </si>
  <si>
    <t>106,86</t>
  </si>
  <si>
    <t>148,93</t>
  </si>
  <si>
    <t>73,24</t>
  </si>
  <si>
    <t>81,25</t>
  </si>
  <si>
    <t>88,92</t>
  </si>
  <si>
    <t>92,63</t>
  </si>
  <si>
    <t>BARRAS DE TRANSFERÊNCIA, AÇO CA-25 DE 16,0 MM, PARA EXECUÇÃO DE PAVIMENTO DE CONCRETO - FORNECIMENTO E INSTALAÇÃO. AF_04/2022</t>
  </si>
  <si>
    <t>BARRAS DE TRANSFERÊNCIA, AÇO CA-25 DE 20,0 MM, PARA EXECUÇÃO DE PAVIMENTO DE CONCRETO - FORNECIMENTO E INSTALAÇÃO. AF_04/2022</t>
  </si>
  <si>
    <t>BARRAS DE TRANSFERÊNCIA, AÇO CA-25 DE 25,0 MM, PARA EXECUÇÃO DE PAVIMENTO DE CONCRETO - FORNECIMENTO E INSTALAÇÃO. AF_04/2022</t>
  </si>
  <si>
    <t>BARRAS DE TRANSFERÊNCIA, AÇO CA-25 DE 32,0 MM, PARA EXECUÇÃO DE PAVIMENTO DE CONCRETO - FORNECIMENTO E INSTALAÇÃO. AF_04/2022</t>
  </si>
  <si>
    <t>BARRAS DE LIGAÇÃO, AÇO CA-50 DE 10 MM, PARA EXECUÇÃO DE PAVIMENTO DE CONCRETO - FORNECIMENTO E INSTALAÇÃO. AF_04/2022</t>
  </si>
  <si>
    <t>87,68</t>
  </si>
  <si>
    <t>128,00</t>
  </si>
  <si>
    <t>APLICAÇÃO MANUAL DE FUNDO SELADOR ACRÍLICO EM PANOS COM PRESENÇA DE VÃOS DE EDIFÍCIOS DE MÚLTIPLOS PAVIMENTOS. AF_03/2024</t>
  </si>
  <si>
    <t>APLICAÇÃO MANUAL DE FUNDO SELADOR ACRÍLICO EM PANOS CEGOS DE FACHADA (SEM PRESENÇA DE VÃOS) DE EDIFÍCIOS DE MÚLTIPLOS PAVIMENTOS. AF_03/2024</t>
  </si>
  <si>
    <t>APLICAÇÃO MANUAL DE FUNDO SELADOR ACRÍLICO EM SUPERFÍCIES EXTERNAS DE SACADA DE EDIFÍCIOS DE MÚLTIPLOS PAVIMENTOS. AF_03/2024</t>
  </si>
  <si>
    <t>APLICAÇÃO MANUAL DE FUNDO SELADOR ACRÍLICO EM SUPERFÍCIES INTERNAS DA SACADA DE EDIFÍCIOS DE MÚLTIPLOS PAVIMENTOS. AF_03/2024</t>
  </si>
  <si>
    <t>APLICAÇÃO MANUAL DE FUNDO SELADOR ACRÍLICO EM PAREDES EXTERNAS DE CASAS. AF_03/2024</t>
  </si>
  <si>
    <t>APLICAÇÃO MANUAL DE PINTURA COM TINTA TEXTURIZADA ACRÍLICA EM PANOS COM PRESENÇA DE VÃOS DE EDIFÍCIOS DE MÚLTIPLOS PAVIMENTOS, UMA COR. AF_03/2024</t>
  </si>
  <si>
    <t>APLICAÇÃO MANUAL DE PINTURA COM TINTA TEXTURIZADA ACRÍLICA EM PANOS CEGOS DE FACHADA (SEM PRESENÇA DE VÃOS) DE EDIFÍCIOS DE MÚLTIPLOS PAVIMENTOS, UMA COR. AF_03/2024</t>
  </si>
  <si>
    <t>APLICAÇÃO MANUAL DE PINTURA COM TINTA TEXTURIZADA ACRÍLICA EM SUPERFÍCIES EXTERNAS DE SACADA DE EDIFÍCIOS DE MÚLTIPLOS PAVIMENTOS, UMA COR. AF_03/2024</t>
  </si>
  <si>
    <t>APLICAÇÃO MANUAL DE PINTURA COM TINTA TEXTURIZADA ACRÍLICA EM SUPERFÍCIES INTERNAS DA SACADA DE EDIFÍCIOS DE MÚLTIPLOS PAVIMENTOS, UMA COR. AF_03/2024</t>
  </si>
  <si>
    <t>APLICAÇÃO MANUAL DE PINTURA COM TINTA TEXTURIZADA ACRÍLICA EM PAREDES EXTERNAS DE CASAS, UMA COR. AF_03/2024</t>
  </si>
  <si>
    <t>APLICAÇÃO MANUAL DE PINTURA COM TINTA TEXTURIZADA ACRÍLICA EM PANOS COM PRESENÇA DE VÃOS DE EDIFÍCIOS DE MÚLTIPLOS PAVIMENTOS, DUAS CORES. AF_03/2024</t>
  </si>
  <si>
    <t>22,59</t>
  </si>
  <si>
    <t>APLICAÇÃO MANUAL DE PINTURA COM TINTA TEXTURIZADA ACRÍLICA EM PANOS CEGOS DE FACHADA (SEM PRESENÇA DE VÃOS) DE EDIFÍCIOS DE MÚLTIPLOS PAVIMENTOS, DUAS CORES. AF_03/2024</t>
  </si>
  <si>
    <t>APLICAÇÃO MANUAL DE PINTURA COM TINTA TEXTURIZADA ACRÍLICA EM SUPERFÍCIES EXTERNAS DE SACADA DE EDIFÍCIOS DE MÚLTIPLOS PAVIMENTOS, DUAS CORES. AF_03/2024</t>
  </si>
  <si>
    <t>APLICAÇÃO MANUAL DE PINTURA COM TINTA TEXTURIZADA ACRÍLICA EM SUPERFÍCIES INTERNAS DA SACADA DE EDIFÍCIOS DE MÚLTIPLOS PAVIMENTOS, DUAS CORES. AF_03/2024</t>
  </si>
  <si>
    <t>APLICAÇÃO MANUAL DE PINTURA COM TINTA TEXTURIZADA ACRÍLICA EM PAREDES EXTERNAS DE CASAS, DUAS CORES. AF_03/2024</t>
  </si>
  <si>
    <t>APLICAÇÃO MANUAL DE PINTURA COM TINTA TEXTURIZADA ACRÍLICA EM MOLDURAS DE EPS. AF_03/2024</t>
  </si>
  <si>
    <t>14,28</t>
  </si>
  <si>
    <t>APLICAÇÃO MANUAL DE TINTA LÁTEX ACRÍLICA EM PANOS COM PRESENÇA DE VÃOS DE EDIFÍCIOS DE MÚLTIPLOS PAVIMENTOS, DUAS DEMÃOS. AF_03/2024</t>
  </si>
  <si>
    <t>APLICAÇÃO MANUAL DE TINTA LÁTEX ACRÍLICA EM PANOS SEM PRESENÇA DE VÃOS DE EDIFÍCIOS DE MÚLTIPLOS PAVIMENTOS, DUAS DEMÃOS. AF_03/2024</t>
  </si>
  <si>
    <t>APLICAÇÃO MANUAL DE TINTA LÁTEX ACRÍLICA EM SUPERFÍCIES EXTERNAS DE SACADA DE EDIFÍCIOS DE MÚLTIPLOS PAVIMENTOS, DUAS DEMÃOS. AF_03/2024</t>
  </si>
  <si>
    <t>APLICAÇÃO MANUAL DE TINTA LÁTEX ACRÍLICA EM SUPERFÍCIES INTERNAS DE SACADA DE EDIFÍCIOS DE MÚLTIPLOS PAVIMENTOS, DUAS DEMÃOS. AF_03/2024</t>
  </si>
  <si>
    <t>APLICAÇÃO MANUAL DE TINTA LÁTEX ACRÍLICA EM PAREDE EXTERNAS DE CASAS, DUAS DEMÃOS. AF_03/2024</t>
  </si>
  <si>
    <t>APLICAÇÃO MANUAL DE MASSA ACRÍLICA EM PANOS DE FACHADA COM PRESENÇA DE VÃOS, DE EDIFÍCIOS DE MÚLTIPLOS PAVIMENTOS, UMA DEMÃO. AF_03/2024</t>
  </si>
  <si>
    <t>APLICAÇÃO MANUAL DE MASSA ACRÍLICA EM PANOS DE FACHADA SEM PRESENÇA DE VÃOS, DE EDIFÍCIOS DE MÚLTIPLOS PAVIMENTOS, UMA DEMÃO. AF_03/2024</t>
  </si>
  <si>
    <t>APLICAÇÃO MANUAL DE MASSA ACRÍLICA EM SUPERFÍCIES EXTERNAS DE SACADA DE EDIFÍCIOS DE MÚLTIPLOS PAVIMENTOS, UMA DEMÃO. AF_03/2024</t>
  </si>
  <si>
    <t>APLICAÇÃO MANUAL DE MASSA ACRÍLICA EM SUPERFÍCIES INTERNAS DE SACADA DE EDIFÍCIOS DE MÚLTIPLOS PAVIMENTOS, UMA DEMÃO. AF_03/2024</t>
  </si>
  <si>
    <t>APLICAÇÃO MANUAL DE MASSA ACRÍLICA EM PAREDES EXTERNAS DE CASAS, UMA DEMÃO. AF_03/2024</t>
  </si>
  <si>
    <t>APLICAÇÃO MANUAL DE MASSA ACRÍLICA EM PANOS DE FACHADA COM PRESENÇA DE VÃOS, DE EDIFÍCIOS DE MÚLTIPLOS PAVIMENTOS, DUAS DEMÃOS. AF_03/2024</t>
  </si>
  <si>
    <t>APLICAÇÃO MANUAL DE MASSA ACRÍLICA EM PANOS DE FACHADA SEM PRESENÇA DE VÃOS, DE EDIFÍCIOS DE MÚLTIPLOS PAVIMENTOS, DUAS DEMÃOS. AF_03/2024</t>
  </si>
  <si>
    <t>APLICAÇÃO MANUAL DE MASSA ACRÍLICA EM SUPERFÍCIES EXTERNAS DE SACADA DE EDIFÍCIOS DE MÚLTIPLOS PAVIMENTOS, DUAS DEMÃOS. AF_03/2024</t>
  </si>
  <si>
    <t>APLICAÇÃO MANUAL DE MASSA ACRÍLICA EM SUPERFÍCIES INTERNAS DE SACADA DE EDIFÍCIOS DE MÚLTIPLOS PAVIMENTOS, DUAS DEMÃOS. AF_03/2024</t>
  </si>
  <si>
    <t>APLICAÇÃO MANUAL DE MASSA ACRÍLICA EM PAREDES EXTERNAS DE CASAS, DUAS DEMÃOS. AF_03/2024</t>
  </si>
  <si>
    <t>10,01</t>
  </si>
  <si>
    <t>25,85</t>
  </si>
  <si>
    <t>24,82</t>
  </si>
  <si>
    <t>50,44</t>
  </si>
  <si>
    <t>26,42</t>
  </si>
  <si>
    <t>81,16</t>
  </si>
  <si>
    <t>204,39</t>
  </si>
  <si>
    <t>REVESTIMENTO CERÂMICO PARA PISO COM PLACAS TIPO ESMALTADA DE DIMENSÕES 35X35 CM APLICADA EM AMBIENTES DE ÁREA MENOR QUE 5 M2. AF_02/2023_PE</t>
  </si>
  <si>
    <t>REVESTIMENTO CERÂMICO PARA PISO COM PLACAS TIPO ESMALTADA DE DIMENSÕES 35X35 CM APLICADA EM AMBIENTES DE ÁREA ENTRE 5 M2 E 10 M2. AF_02/2023_PE</t>
  </si>
  <si>
    <t>REVESTIMENTO CERÂMICO PARA PISO COM PLACAS TIPO ESMALTADA DE DIMENSÕES 35X35 CM APLICADA EM AMBIENTES DE ÁREA MAIOR QUE 10 M2. AF_02/2023_PE</t>
  </si>
  <si>
    <t>REVESTIMENTO CERÂMICO PARA PISO COM PLACAS TIPO ESMALTADA DE DIMENSÕES 45X45 CM APLICADA EM AMBIENTES DE ÁREA MENOR QUE 5 M2. AF_02/2023_PE</t>
  </si>
  <si>
    <t>REVESTIMENTO CERÂMICO PARA PISO COM PLACAS TIPO ESMALTADA DE DIMENSÕES 45X45 CM APLICADA EM AMBIENTES DE ÁREA ENTRE 5 M2 E 10 M2. AF_02/2023_PE</t>
  </si>
  <si>
    <t>63,07</t>
  </si>
  <si>
    <t>REVESTIMENTO CERÂMICO PARA PISO COM PLACAS TIPO ESMALTADA DE DIMENSÕES 45X45 CM APLICADA EM AMBIENTES DE ÁREA MAIOR QUE 10 M2. AF_02/2023_PE</t>
  </si>
  <si>
    <t>REVESTIMENTO CERÂMICO PARA PISO COM PLACAS TIPO ESMALTADA DE DIMENSÕES 60X60 CM APLICADA EM AMBIENTES DE ÁREA MENOR QUE 5 M2. AF_02/2023_PE</t>
  </si>
  <si>
    <t>117,53</t>
  </si>
  <si>
    <t>REVESTIMENTO CERÂMICO PARA PISO COM PLACAS TIPO ESMALTADA DE DIMENSÕES 60X60 CM APLICADA EM AMBIENTES DE ÁREA ENTRE 5 M2 E 10 M2. AF_02/2023_PE</t>
  </si>
  <si>
    <t>104,64</t>
  </si>
  <si>
    <t>REVESTIMENTO CERÂMICO PARA PISO COM PLACAS TIPO ESMALTADA DE DIMENSÕES 60X60 CM APLICADA EM AMBIENTES DE ÁREA MAIOR QUE 10 M2. AF_02/2023_PE</t>
  </si>
  <si>
    <t>159,66</t>
  </si>
  <si>
    <t>REVESTIMENTO CERÂMICO PARA PISO COM PLACAS TIPO ESMALTADA DE DIMENSÕES 80X80 CM APLICADA EM AMBIENTES DE ÁREA MENOR QUE 5 M². AF_02/2023_PE</t>
  </si>
  <si>
    <t>REVESTIMENTO CERÂMICO PARA PISO COM PLACAS TIPO ESMALTADA DE DIMENSÕES 80X80 CM APLICADA EM AMBIENTES DE ÁREA ENTRE 5 M² E 10 M². AF_02/2023_PE</t>
  </si>
  <si>
    <t>REVESTIMENTO CERÂMICO PARA PISO COM PLACAS TIPO ESMALTADA DE DIMENSÕES 80X80 CM APLICADA EM AMBIENTES DE ÁREA MAIOR QUE 10 M². AF_02/2023_PE</t>
  </si>
  <si>
    <t>REVESTIMENTO CERÂMICO PARA PISO COM PLACAS TIPO ESMALTADA DE DIMENSÕES 35X35 CM APLICADA EM DIAGONAL EM AMBIENTES DE ÁREA MENOR QUE 5 M². AF_02/2023_PE</t>
  </si>
  <si>
    <t>REVESTIMENTO CERÂMICO PARA PISO COM PLACAS TIPO ESMALTADA DE DIMENSÕES 35X35 CM APLICADA EM DIAGONAL EM AMBIENTES DE ÁREA ENTRE 5 M² E 10 M². AF_02/2023_PE</t>
  </si>
  <si>
    <t>REVESTIMENTO CERÂMICO PARA PISO COM PLACAS TIPO ESMALTADA DE DIMENSÕES 35X35 CM APLICADA EM DIAGONAL EM AMBIENTES DE ÁREA MAIOR QUE 10 M². AF_02/2023_PE</t>
  </si>
  <si>
    <t>REVESTIMENTO CERÂMICO PARA PISO COM PLACAS TIPO ESMALTADA DE DIMENSÕES 45X45 CM APLICADA EM DIAGONAL EM AMBIENTES DE ÁREA MENOR QUE 5 M². AF_02/2023_PE</t>
  </si>
  <si>
    <t>REVESTIMENTO CERÂMICO PARA PISO COM PLACAS TIPO ESMALTADA DE DIMENSÕES 45X45 CM APLICADA EM DIAGONAL EM AMBIENTES DE ÁREA ENTRE 5 M² E 10 M². AF_02/2023_PE</t>
  </si>
  <si>
    <t>REVESTIMENTO CERÂMICO PARA PISO COM PLACAS TIPO ESMALTADA DE DIMENSÕES 45X45 CM APLICADA EM DIAGONAL EM AMBIENTES DE ÁREA MAIOR QUE 10 M². AF_02/2023_PE</t>
  </si>
  <si>
    <t>35,30</t>
  </si>
  <si>
    <t>70,08</t>
  </si>
  <si>
    <t>85,52</t>
  </si>
  <si>
    <t>RODAPÉ CERÂMICO DE 7CM DE ALTURA COM PLACAS TIPO ESMALTADA DE DIMENSÕES 35X35CM. AF_02/2023</t>
  </si>
  <si>
    <t>RODAPÉ CERÂMICO DE 7CM DE ALTURA COM PLACAS TIPO ESMALTADA DE DIMENSÕES 45X45CM. AF_02/2023</t>
  </si>
  <si>
    <t>RODAPÉ CERÂMICO DE 7CM DE ALTURA COM PLACAS TIPO ESMALTADA DE DIMENSÕES 60X60CM. AF_02/2023</t>
  </si>
  <si>
    <t>78,13</t>
  </si>
  <si>
    <t>104658</t>
  </si>
  <si>
    <t>PISO PODOTÁTIL DE ALERTA OU DIRECIONAL, DE CONCRETO, ASSENTADO SOBRE ARGAMASSA. AF_03/2024</t>
  </si>
  <si>
    <t>69,46</t>
  </si>
  <si>
    <t>CONTRAPISO EM ARGAMASSA PRONTA, PREPARO MANUAL, APLICADO EM ÁREAS SECAS SOBRE LAJE, ADERIDO, ACABAMENTO NÃO REFORÇADO, ESPESSURA 2CM. AF_07/2021</t>
  </si>
  <si>
    <t>36,81</t>
  </si>
  <si>
    <t>53,26</t>
  </si>
  <si>
    <t>103,85</t>
  </si>
  <si>
    <t>90,37</t>
  </si>
  <si>
    <t>190,00</t>
  </si>
  <si>
    <t>EMBOÇO, EM ARGAMASSA TRAÇO 1:2:8, PREPARO MECÂNICO, APLICADO MANUALMENTE EM PAREDES INTERNAS DE AMBIENTES COM ÁREA MENOR QUE 5M², E =17,5MM, COM TALISCAS. AF_03/2024</t>
  </si>
  <si>
    <t>EMBOÇO, EM ARGAMASSA TRAÇO 1:2:8, PREPARO MANUAL, APLICADO MANUALMENTE EM PAREDES INTERNAS DE AMBIENTES COM ÁREA MENOR QUE 5M², E = 17,5MM, COM TALISCAS. AF_03/2024</t>
  </si>
  <si>
    <t>MASSA ÚNICA, EM ARGAMASSA TRAÇO 1:2:8, PREPARO MECÂNICO, APLICADA MANUALMENTE EM PAREDES INTERNAS DE AMBIENTES COM ÁREA ENTRE 5M² E 10M², E = 17,5MM, COM TALISCAS. AF_03/2024</t>
  </si>
  <si>
    <t>MASSA ÚNICA, EM ARGAMASSA TRAÇO 1:2:8, PREPARO MANUAL, APLICADA MANUALMENTE EM PAREDES INTERNAS DE AMBIENTES COM ÁREA ENTRE 5M² E 10M², E = 17,5MM, COM TALISCAS. AF_03/2024</t>
  </si>
  <si>
    <t>EMBOÇO, EM ARGAMASSA TRAÇO 1:2:8, PREPARO MECÂNICO, APLICADO MANUALMENTE EM PAREDES INTERNAS DE AMBIENTES COM ÁREA ENTRE 5M² E 10M², E = 17,5MM, COM TALISCAS. AF_03/2024</t>
  </si>
  <si>
    <t>EMBOÇO, EM ARGAMASSA TRAÇO 1:2:8, PREPARO MANUAL, APLICADO MANUALMENTE EM PAREDES INTERNAS DE AMBIENTES COM ÁREA ENTRE 5M² E 10M², E = 17,5MM, COM TALISCAS. AF_03/2024</t>
  </si>
  <si>
    <t>EMBOÇO, EM ARGAMASSA TRAÇO 1:2:8, PREPARO MECÂNICO, APLICADO MANUALMENTE EM PAREDES INTERNAS DE AMBIENTES COM ÁREA MAIOR QUE 10M², E = 17,5MM, COM TALISCAS. AF_03/2024</t>
  </si>
  <si>
    <t>EMBOÇO, EM ARGAMASSA TRAÇO 1:2:8, PREPARO MANUAL, APLICADO MANUALMENTE EM PAREDES INTERNAS DE AMBIENTES COM ÁREA MAIOR QUE 10M², E = 17,5MM, COM TALISCAS. AF_03/2024</t>
  </si>
  <si>
    <t>EMBOÇO, EM ARGAMASSA INDUSTRIALIZADA, PREPARO MECÂNICO, APLICADO COM EQUIPAMENTO DE MISTURA E PROJEÇÃO DE ARGAMASSA EM PAREDES INTERNAS, E = 17,5MM, COM TALISCAS. AF_03/2024</t>
  </si>
  <si>
    <t>62,22</t>
  </si>
  <si>
    <t>MASSA ÚNICA, EM ARGAMASSA INDUSTRIALIZADA, PREPARO MECÂNICO, APLICADA COM EQUIPAMENTO DE MISTURA E PROJEÇÃO DE ARGAMASSA EM PAREDES INTERNAS, E = 5MM, SEM TALISCAS. AF_03/2024</t>
  </si>
  <si>
    <t>EMBOÇO, EM ARGAMASSA TRAÇO 1:2:8, PREPARO MECÂNICO, APLICADO MANUALMENTE EM PAREDES INTERNAS, PARA AMBIENTES COM ÁREA MENOR QUE 5M², E = 10MM, COM TALISCAS. AF_03/2024</t>
  </si>
  <si>
    <t>EMBOÇO, EM ARGAMASSA TRAÇO 1:2:8, PREPARO MANUAL, APLICADO MANUALMENTE EM PAREDES INTERNAS, PARA AMBIENTES COM ÁREA MENOR QUE 5M², E = 10MM, COM TALISCAS. AF_03/2024</t>
  </si>
  <si>
    <t>MASSA ÚNICA, EM ARGAMASSA TRAÇO 1:2:8, PREPARO MECÂNICO, APLICADA MANUALMENTE EM PAREDES INTERNAS DE AMBIENTES COM ÁREA ENTRE 5M² E 10M², E = 10MM, COM TALISCAS. AF_03/2024</t>
  </si>
  <si>
    <t>MASSA ÚNICA, EM ARGAMASSA TRAÇO 1:2:8, PREPARO MANUAL, APLICADA MANUALMENTE EM PAREDES INTERNAS DE AMBIENTES COM ÁREA ENTRE 5M² E 10M², E = 10MM, COM TALISCAS. AF_03/2024</t>
  </si>
  <si>
    <t>27,57</t>
  </si>
  <si>
    <t>EMBOÇO, EM ARGAMASSA TRAÇO 1:2:8, PREPARO MECÂNICO, APLICADO MANUALMENTE EM PAREDES INTERNAS DE AMBIENTES COM ÁREA ENTRE 5M² E 10M², E = 10MM, COM TALISCAS. AF_03/2024</t>
  </si>
  <si>
    <t>EMBOÇO, EM ARGAMASSA TRAÇO 1:2:8, PREPARO MANUAL, APLICADO MANUALMENTE EM PAREDES INTERNAS DE AMBIENTES COM ÁREA ENTRE 5M² E 10M², E = 10MM, COM TALISCAS. AF_03/2024</t>
  </si>
  <si>
    <t>EMBOÇO, EM ARGAMASSA TRAÇO 1:2:8, PREPARO MECÂNICO, APLICADO MANUALMENTE EM PAREDES INTERNAS DE AMBIENTES COM ÁREA MAIOR QUE 10M², E = 10MM, COM TALISCAS. AF_03/2024</t>
  </si>
  <si>
    <t>EMBOÇO, EM ARGAMASSA TRAÇO 1:2:8, PREPARO MANUAL, APLICADO MANUALMENTE EM PAREDES INTERNAS DE AMBIENTES COM ÁREA MAIOR QUE 10M², E = 10MM, COM TALISCAS. AF_03/2024</t>
  </si>
  <si>
    <t>EMBOÇO, EM ARGAMASSA INDUSTRIALIZADA, PREPARO MECÂNICO, APLICADO COM EQUIPAMENTO DE MISTURA E PROJEÇÃO DE ARGAMASSA EM PAREDES INTERNAS, E = 10MM, COM TALISCAS. AF_03/2024</t>
  </si>
  <si>
    <t>MASSA ÚNICA, EM ARGAMASSA INDUSTRIALIZADA, PREPARO MECÂNICO, APLICADA COM EQUIPAMENTO DE MISTURA E PROJEÇÃO DE ARGAMASSA EM PAREDES INTERNAS, E = 10MM, SEM TALISCAS. AF_03/2024</t>
  </si>
  <si>
    <t>40,62</t>
  </si>
  <si>
    <t>73,58</t>
  </si>
  <si>
    <t>91,82</t>
  </si>
  <si>
    <t>EMBOÇO OU MASSA ÚNICA EM ARGAMASSA TRAÇO 1:2:8, PREPARO MANUAL, APLICADA MANUALMENTE EM SUPERFÍCIES EXTERNAS DA SACADA, ESPESSURA MAIOR OU IGUAL A 50 MM, SEM USO DE TELA METÁLICA DE REFORÇO CONTRA FISSURAÇÃO. AF_08/2022</t>
  </si>
  <si>
    <t>71,53</t>
  </si>
  <si>
    <t>REVESTIMENTO DECORATIVO MONOCAMADA EXECUTADO MANUALMENTE EM FACHADA DE UM EDIFÍCIO DE ESTRUTURA CONVENCIONAL E ACABAMENTO RASPADO. AF_03/2024</t>
  </si>
  <si>
    <t>REVESTIMENTO DECORATIVO MONOCAMADA EXECUTADO MANUALMENTE EM FACHADA DE UM EDIFÍCIO DE ALVENARIA ESTRUTURAL E ACABAMENTO RASPADO. AF_03/2024</t>
  </si>
  <si>
    <t>REVESTIMENTO DECORATIVO MONOCAMADA EXECUTADO COM EQUIPAMENTO DE PROJEÇÃO EM FACHADA DE UM EDIFÍCIO DE ESTRUTURA CONVENCIONAL E ACABAMENTO RASPADO. AF_03/2024</t>
  </si>
  <si>
    <t>REVESTIMENTO DECORATIVO MONOCAMADA EXECUTADO COM EQUIPAMENTO DE PROJEÇÃO EM FACHADA DE UM EDIFÍCIO DE ALVENARIA ESTRUTURAL E ACABAMENTO RASPADO. AF_03/2024</t>
  </si>
  <si>
    <t>REVESTIMENTO DECORATIVO MONOCAMADA EXECUTADO MANUALMENTE EM FACHADA DE UM EDIFÍCIO DE ESTRUTURA CONVENCIONAL E ACABAMENTO TRAVERTINO. AF_03/2024</t>
  </si>
  <si>
    <t>REVESTIMENTO DECORATIVO MONOCAMADA EXECUTADO MANUALMENTE EM FACHADA DE UM EDIFÍCIO DE ALVENARIA ESTRUTURAL E ACABAMENTO TRAVERTINO. AF_03/2024</t>
  </si>
  <si>
    <t>REVESTIMENTO DECORATIVO MONOCAMADA EXECUTADO COM EQUIPAMENTO DE PROJEÇÃO EM FACHADA DE UM EDIFÍCIO DE ESTRUTURA CONVENCIONAL E ACABAMENTO TRAVERTINO. AF_03/2024</t>
  </si>
  <si>
    <t>193,39</t>
  </si>
  <si>
    <t>REVESTIMENTO DECORATIVO MONOCAMADA EXECUTADO COM EQUIPAMENTO DE PROJEÇÃO EM FACHADA DE UM EDIFÍCIO DE ALVENARIA ESTRUTURAL E ACABAMENTO TRAVERTINO. AF_03/2024</t>
  </si>
  <si>
    <t>MASSA ÚNICA, EM ARGAMASSA TRAÇO 1:2:8, PREPARO MECÂNICO, APLICADA MANUALMENTE EM TETO, E = 17,5MM, COM TALISCAS. AF_03/2024</t>
  </si>
  <si>
    <t>MASSA ÚNICA, EM ARGAMASSA TRAÇO 1:2:8, PREPARO MECÂNICO, APLICADA MANUALMENTE EM TETO, E = 10MM, COM TALISCAS. AF_03/2024</t>
  </si>
  <si>
    <t>77,17</t>
  </si>
  <si>
    <t>53,17</t>
  </si>
  <si>
    <t>64,18</t>
  </si>
  <si>
    <t>37,22</t>
  </si>
  <si>
    <t>EMBOÇO OU MASSA ÚNICA EM ARGAMASSA INDUSTRIALIZADA, PREPARO MECÂNICO E APLICAÇÃO COM EQUIPAMENTO DE MISTURA E PROJEÇÃO DE 1,5 M3/H, NAS SUPERFÍCIES EXTERNAS DA SACADA, ESPESSURA DE 25 MM, ACESSO POR ANDAIME, SEM USO DE TELA METÁLICA. AF_08/2022</t>
  </si>
  <si>
    <t>EMBOÇO OU MASSA ÚNICA EM ARGAMASSA INDUSTRIALIZADA, PREPARO MECÂNICO E APLICAÇÃO COM EQUIPAMENTO DE MISTURA E PROJEÇÃO DE 1,5 M3/H, NAS SUPERFÍCIES EXTERNAS DA SACADA, ESPESSURA DE 35 MM, ACESSO POR ANDAIME, SEM USO DE TELA METÁLICA. AF_08/2022</t>
  </si>
  <si>
    <t>EMBOÇO OU MASSA ÚNICA EM ARGAMASSA INDUSTRIALIZADA, PREPARO MECÂNICO E APLICAÇÃO COM EQUIPAMENTO DE MISTURA E PROJEÇÃO DE 1,5 M3/H, NAS SUPERFÍCIES EXTERNAS DA SACADA, ESPESSURA DE 45 MM, ACESSO POR ANDAIME, SEM USO DE TELA METÁLICA. AF_08/2022</t>
  </si>
  <si>
    <t>EMBOÇO OU MASSA ÚNICA EM ARGAMASSA INDUSTRIALIZADA, PREPARO MECÂNICO E APLICAÇÃO COM EQUIPAMENTO DE MISTURA E PROJEÇÃO DE 1,5 M3/H, NAS SUPERFÍCIES EXTERNAS DA SACADA, ESPESSURA DE 50 MM, ACESSO POR ANDAIME, SEM USO DE TELA METÁLICA. AF_08/2022</t>
  </si>
  <si>
    <t>31,98</t>
  </si>
  <si>
    <t>37,08</t>
  </si>
  <si>
    <t>104951</t>
  </si>
  <si>
    <t>MASSA ÚNICA, EM ARGAMASSA TRAÇO 1:2:8, PREPARO MECÂNICO, APLICADA MANUALMENTE EM PAREDES INTERNAS DE AMBIENTES COM ÁREA MAIOR QUE 10M², E = 17,5MM, COM TALISCAS. AF_03/2024</t>
  </si>
  <si>
    <t>104952</t>
  </si>
  <si>
    <t>MASSA ÚNICA, EM ARGAMASSA TRAÇO 1:2:8, PREPARO MANUAL, APLICADA MANUALMENTE EM PAREDES INTERNAS DE AMBIENTES COM ÁREA MAIOR QUE 10M², E = 17,5MM, COM TALISCAS. AF_03/2024</t>
  </si>
  <si>
    <t>104953</t>
  </si>
  <si>
    <t>MASSA ÚNICA, EM ARGAMASSA INDUSTRIALIZADA, PREPARO MECÂNICO, APLICADA COM EQUIPAMENTO DE MISTURA E PROJEÇÃO DE ARGAMASSA EM PAREDES INTERNAS, E = 17,5MM, COM TALISCAS. AF_03/2024</t>
  </si>
  <si>
    <t>104954</t>
  </si>
  <si>
    <t>EMBOÇO, EM ARGAMASSA TRAÇO 1:2:8, PREPARO MANUAL, APLICADO MANUALMENTE EM PAREDES INTERNAS DE AMBIENTES COM PÉ-DIREITO DUPLO E ÁREA ENTRE 5M² E 10M², E = 17,5MM, COM TALISCAS. AF_03/2024</t>
  </si>
  <si>
    <t>104955</t>
  </si>
  <si>
    <t>MASSA ÚNICA, EM ARGAMASSA TRAÇO 1:2:8, PREPARO MECÂNICO, APLICADA MANUALMENTE EM PAREDES INTERNAS DE AMBIENTES COM PÉ-DIREITO DUPLO E ÁREA MAIOR QUE 10M², E = 17,5MM, COM TALISCAS. AF_03/2024</t>
  </si>
  <si>
    <t>104956</t>
  </si>
  <si>
    <t>MASSA ÚNICA, EM ARGAMASSA TRAÇO 1:2:8, PREPARO MANUAL, APLICADA MANUALMENTE EM PAREDES INTERNAS DE AMBIENTES COM PÉ-DIREITO DUPLO E ÁREA MAIOR QUE 10M², E = 17,5MM, COM TALISCAS. AF_03/2024</t>
  </si>
  <si>
    <t>104957</t>
  </si>
  <si>
    <t>EMBOÇO, EM ARGAMASSA TRAÇO 1:2:8, PREPARO MECÂNICO, APLICADO MANUALMENTE EM PAREDES INTERNAS DE AMBIENTES COM PÉ-DIREITO DUPLO E ÁREA MAIOR QUE 10M², E = 17,5MM, COM TALISCAS. AF_03/2024</t>
  </si>
  <si>
    <t>104958</t>
  </si>
  <si>
    <t>MASSA ÚNICA, EM ARGAMASSA TRAÇO 1:2:8 PREPARO MECÂNICO, APLICADA MANUALMENTE EM PAREDES INTERNAS DE AMBIENTES COM ÁREA MAIOR QUE 10M², E = 10MM, COM TALISCAS. AF_03/2024</t>
  </si>
  <si>
    <t>104959</t>
  </si>
  <si>
    <t>MASSA ÚNICA, EM ARGAMASSA TRAÇO 1:2:8 PREPARO MANUAL, APLICADA MANUALMENTE EM PAREDES INTERNAS DE AMBIENTES COM ÁREA MAIOR QUE 10M², E = 10MM, COM TALISCAS. AF_03/2024</t>
  </si>
  <si>
    <t>104960</t>
  </si>
  <si>
    <t>MASSA ÚNICA, EM ARGAMASSA INDUSTRIALIZADA, PREPARO MECÂNICO, APLICADA COM EQUIPAMENTO DE MISTURA E PROJEÇÃO DE ARGAMASSA EM PAREDES INTERNAS, E = 10MM, COM TALISCAS. AF_03/2024</t>
  </si>
  <si>
    <t>104961</t>
  </si>
  <si>
    <t>EMBOÇO, EM ARGAMASSA TRAÇO 1:2:8, PREPARO MECÂNICO, APLICADO MANUALMENTE EM PAREDES INTERNAS DE AMBIENTES COM PÉ-DIREITO DUPLO E ÁREA MENOR QUE 5M², E = 17,5MM, COM TALISCAS. AF_03/2024</t>
  </si>
  <si>
    <t>104962</t>
  </si>
  <si>
    <t>EMBOÇO, EM ARGAMASSA TRAÇO 1:2:8, PREPARO MANUAL, APLICADO MANUALMENTE EM PAREDES INTERNAS DE AMBIENTES COM PÉ-DIREITO DUPLO E ÁREA MENOR QUE 5M², E = 17,5MM, COM TALISCAS. AF_03/2024</t>
  </si>
  <si>
    <t>104963</t>
  </si>
  <si>
    <t>MASSA ÚNICA, EM ARGAMASSA TRAÇO 1:2:8, PREPARO MECÂNICO, APLICADA MANUALMENTE EM PAREDES INTERNAS DE AMBIENTES COM PÉ-DIREITO DUPLO E ÁREA ENTRE 5M² E 10M², E = 17,5MM, COM TALISCAS. AF_03/2024</t>
  </si>
  <si>
    <t>45,39</t>
  </si>
  <si>
    <t>104964</t>
  </si>
  <si>
    <t>MASSA ÚNICA, EM ARGAMASSA TRAÇO 1:2:8, PREPARO MANUAL, APLICADA MANUALMENTE EM PAREDES INTERNAS DE AMBIENTES COM PÉ-DIREITO DUPLO E ÁREA ENTRE 5M² E 10M², E = 17,5MM, COM TALISCAS. AF_03/2024</t>
  </si>
  <si>
    <t>104965</t>
  </si>
  <si>
    <t>EMBOÇO, EM ARGAMASSA TRAÇO 1:2:8, PREPARO MECÂNICO, APLICADO MANUALMENTE EM PAREDES INTERNAS DE AMBIENTES COM PÉ-DIREITO DUPLO E ÁREA ENTRE 5M² E 10M², E = 17,5MM, COM TALISCAS. AF_03/2024</t>
  </si>
  <si>
    <t>104966</t>
  </si>
  <si>
    <t>EMBOÇO, EM ARGAMASSA TRAÇO 1:2:8, PREPARO MANUAL, APLICADO MANUALMENTE EM PAREDES INTERNAS DE AMBIENTES COM PÉ-DIREITO DUPLO E ÁREA MAIOR QUE 10M², E = 17,5MM, COM TALISCAS. AF_03/2024</t>
  </si>
  <si>
    <t>104967</t>
  </si>
  <si>
    <t>EMBOÇO, EM ARGAMASSA TRAÇO 1:2:8, PREPARO MECÂNICO, APLICADO MANUALMENTE EM PAREDES INTERNAS DE AMBIENTES COM PÉ-DIREITO DUPLO E ÁREA MENOR QUE 5M², E = 10MM, COM TALISCAS. AF_03/2024</t>
  </si>
  <si>
    <t>104968</t>
  </si>
  <si>
    <t>EMBOÇO, EM ARGAMASSA TRAÇO 1:2:8, PREPARO MANUAL, APLICADO MANUALMENTE EM PAREDES INTERNAS DE AMBIENTES COM PÉ-DIREITO DUPLO E ÁREA MENOR QUE 5M², E = 10MM, COM TALISCAS. AF_03/2024</t>
  </si>
  <si>
    <t>40,45</t>
  </si>
  <si>
    <t>104969</t>
  </si>
  <si>
    <t>MASSA ÚNICA, EM ARGAMASSA TRAÇO 1:2:8, PREPARO MECÂNICO, APLICADA MANUALMENTE EM PAREDES INTERNAS DE AMBIENTES COM PÉ-DIREITO DUPLO E ÁREA ENTRE 5M² E 10M², E = 10MM, COM TALISCAS. AF_03/2024</t>
  </si>
  <si>
    <t>104970</t>
  </si>
  <si>
    <t>MASSA ÚNICA, EM ARGAMASSA TRAÇO 1:2:8, PREPARO MANUAL, APLICADA MANUALMENTE EM PAREDES INTERNAS DE AMBIENTES COM PÉ-DIREITO DUPLO E ÁREA ENTRE 5M² E 10M², E = 10MM, COM TALISCAS. AF_03/2024</t>
  </si>
  <si>
    <t>104971</t>
  </si>
  <si>
    <t>EMBOÇO, EM ARGAMASSA TRAÇO 1:2:8, PREPARO MECÂNICO, APLICADO MANUALMENTE EM PAREDES INTERNAS DE AMBIENTES COM PÉ-DIREITO DUPLO E ÁREA ENTRE 5M² E 10M², E = 10MM, COM TALISCAS. AF_03/2024</t>
  </si>
  <si>
    <t>104972</t>
  </si>
  <si>
    <t>EMBOÇO, EM ARGAMASSA TRAÇO 1:2:8, PREPARO MANUAL, APLICADO MANUALMENTE EM PAREDES INTERNAS DE AMBIENTES COM PÉ-DIREITO DUPLO E ÁREA ENTRE 5M² E 10M², E = 10MM, COM TALISCAS. AF_03/2024</t>
  </si>
  <si>
    <t>104973</t>
  </si>
  <si>
    <t>MASSA ÚNICA, EM ARGAMASSA TRAÇO 1:2:8, PREPARO MECÂNICO, APLICADA MANUALMENTE EM PAREDES INTERNAS DE AMBIENTES COM PÉ-DIREITO DUPLO ÁREA MAIOR QUE 10M², E = 10MM, COM TALISCAS. AF_03/2024</t>
  </si>
  <si>
    <t>28,70</t>
  </si>
  <si>
    <t>104974</t>
  </si>
  <si>
    <t>MASSA ÚNICA, EM ARGAMASSA TRAÇO 1:2:8, PREPARO MANUAL, APLICADA MANUALMENTE EM PAREDES INTERNAS DE AMBIENTES COM PÉ-DIREITO DUPLO ÁREA MAIOR QUE 10M², E = 10MM, COM TALISCAS. AF_03/2024</t>
  </si>
  <si>
    <t>104975</t>
  </si>
  <si>
    <t>EMBOÇO, EM ARGAMASSA TRAÇO 1:2:8, PREPARO MECÂNICO, APLICADO MANUALMENTE EM PAREDES INTERNAS DE AMBIENTES COM PÉ-DIREITO DUPLO E ÁREA MAIOR QUE 10M², E = 10MM, COM TALISCAS. AF_03/2024</t>
  </si>
  <si>
    <t>27,70</t>
  </si>
  <si>
    <t>104976</t>
  </si>
  <si>
    <t>EMBOÇO, EM ARGAMASSA TRAÇO 1:2:8, PREPARO MANUAL, APLICADO MANUALMENTE EM PAREDES INTERNAS DE AMBIENTES COM PÉ-DIREITO DUPLO E ÁREA MAIOR QUE 10M², E = 10MM, COM TALISCAS. AF_03/2024</t>
  </si>
  <si>
    <t>29,74</t>
  </si>
  <si>
    <t>104977</t>
  </si>
  <si>
    <t>MASSA ÚNICA, EM ARGAMASSA TRAÇO 1:2:8, PREPARO MECÂNICO, APLICADA MANUALMENTE EM TETO DE AMBIENTES COM PAREDES EM PÉ-DIREITO DUPLO, E = 17,5MM, COM TALISCAS. AF_03/2024</t>
  </si>
  <si>
    <t>104978</t>
  </si>
  <si>
    <t>MASSA ÚNICA, EM ARGAMASSA TRAÇO 1:2:8, PREPARO MECÂNICO, APLICADA MANUALMENTE EM TETO DE AMBIENTES COM PAREDES EM PÉ-DIREITO DUPLO, E = 10MM, COM TALISCAS. AF_03/2024</t>
  </si>
  <si>
    <t>105185</t>
  </si>
  <si>
    <t>REVESTIMENTO DECORATIVO MONOCAMADA EXECUTADO MANUALMENTE EM FACHADA DE UM EDIFÍCIO DE ESTRUTURA CONVENCIONAL E ACABAMENTO CHAPISCADO/FLOCADO. AF_03/2024</t>
  </si>
  <si>
    <t>105186</t>
  </si>
  <si>
    <t>REVESTIMENTO DECORATIVO MONOCAMADA EXECUTADO MANUALMENTE EM FACHADA DE UM EDIFÍCIO DE ALVENARIA ESTRUTURAL E ACABAMENTO CHAPISCADO/FLOCADO. AF_03/2024</t>
  </si>
  <si>
    <t>105187</t>
  </si>
  <si>
    <t>REVESTIMENTO DECORATIVO MONOCAMADA EXECUTADO COM EQUIPAMENTO DE PROJEÇÃO EM FACHADA DE UM EDIFÍCIO DE ESTRUTURA CONVENCIONAL E ACABAMENTO CHAPISCADO/FLOCADO. AF_03/2024</t>
  </si>
  <si>
    <t>105188</t>
  </si>
  <si>
    <t>REVESTIMENTO DECORATIVO MONOCAMADA EXECUTADO COM EQUIPAMENTO DE PROJEÇÃO EM FACHADA DE UM EDIFÍCIO DE ALVENARIA ESTRUTURAL E ACABAMENTO CHAPISCADO/FLOCADO. AF_03/2024</t>
  </si>
  <si>
    <t>REVESTIMENTO CERÂMICO PARA PAREDES INTERNAS COM PLACAS TIPO ESMALTADA DE DIMENSÕES 20X20 CM APLICADAS NA ALTURA INTEIRA DAS PAREDES.  AF_02/2023_PE</t>
  </si>
  <si>
    <t>REVESTIMENTO CERÂMICO PARA PAREDES INTERNAS COM PLACAS TIPO ESMALTADA DE DIMENSÕES 20X20 CM APLICADAS A MEIA ALTURA DAS PAREDES. AF_02/2023_PE</t>
  </si>
  <si>
    <t>REVESTIMENTO CERÂMICO PARA PAREDES INTERNAS COM PLACAS TIPO ESMALTADA DE DIMENSÕES 25X35 CM APLICADAS NA ALTURA INTEIRA DAS PAREDES. AF_02/2023_PE</t>
  </si>
  <si>
    <t>REVESTIMENTO CERÂMICO PARA PAREDES INTERNAS COM PLACAS TIPO ESMALTADA DE DIMENSÕES 25X35 CM APLICADAS A MEIA ALTURA DAS PAREDES. AF_02/2023_PE</t>
  </si>
  <si>
    <t>REVESTIMENTO CERÂMICO PARA PAREDES INTERNAS COM PLACAS TIPO ESMALTADA DE DIMENSÕES 33X45 CM APLICADAS NA ALTURA INTEIRA DAS PAREDES. AF_02/2023_PE</t>
  </si>
  <si>
    <t>REVESTIMENTO CERÂMICO PARA PAREDES INTERNAS COM PLACAS TIPO ESMALTADA DE DIMENSÕES 33X45 CM APLICADAS A MEIA ALTURA DAS PAREDES. AF_02/2023_PE</t>
  </si>
  <si>
    <t>REVESTIMENTO CERÂMICO PARA PAREDES INTERNAS COM PLACAS TIPO ESMALTADA DE DIMENSÕES 60X60 CM APLICADAS NA ALTURA INTEIRA DAS PAREDES. AF_02/2023_PE</t>
  </si>
  <si>
    <t>REVESTIMENTO CERÂMICO PARA PAREDES INTERNAS COM PLACAS TIPO ESMALTADA DE DIMENSÕES 60X60 CM APLICADAS A MEIA ALTURA DAS PAREDES. AF_02/2023_PE</t>
  </si>
  <si>
    <t>REVESTIMENTO CERÂMICO PARA PAREDES INTERNAS COM PLACAS TIPO ESMALTADA DE DIMENSÕES 20X20 CM APLICADAS EM DIAGONAL, NA ALTURA INTEIRA DAS PAREDES. AF_02/2023_PE</t>
  </si>
  <si>
    <t>REVESTIMENTO CERÂMICO PARA PAREDES INTERNAS COM PLACAS TIPO ESMALTADA DE DIMENSÕES 20X20 CM APLICADAS EM DIAGONAL, A MEIA ALTURA DAS PAREDES. AF_02/2023_PE</t>
  </si>
  <si>
    <t>RODAPÉ CERÂMICO DE 7CM DE ALTURA COM PLACAS TIPO ESMALTADA DE DIMENSÕES 80X80CM. AF_02/2023</t>
  </si>
  <si>
    <t>FORRO EM MADEIRA PINUS, PARA AMBIENTES RESIDENCIAIS, INCLUSIVE ESTRUTURA UNIDIRECIONAL DE FIXAÇÃO. AF_08/2023</t>
  </si>
  <si>
    <t>138,20</t>
  </si>
  <si>
    <t>ACABAMENTOS PARA FORRO (RODA-FORRO EM MADEIRA PINUS). AF_08/2023</t>
  </si>
  <si>
    <t>104756</t>
  </si>
  <si>
    <t>FORRO EM MADEIRA PINUS, PARA AMBIENTES RESIDENCIAIS E COMERCIAIS, INCLUSIVE ESTRUTURA BIDIRECIONAL DE FIXAÇÃO. AF_08/2023</t>
  </si>
  <si>
    <t>FORRO EM PLACAS DE GESSO, PARA AMBIENTES RESIDENCIAIS. AF_08/2023_PS</t>
  </si>
  <si>
    <t>FORRO EM DRYWALL PARA AMBIENTES RESIDENCIAIS, INCLUSIVE ESTRUTURA UNIDIRECIONAL DE FIXAÇÃO. AF_08/2023_PS</t>
  </si>
  <si>
    <t>FORRO EM PLACAS DE GESSO, PARA AMBIENTES COMERCIAIS. AF_08/2023_PS</t>
  </si>
  <si>
    <t>FORRO EM DRYWALL, PARA AMBIENTES COMERCIAIS, INCLUSIVE ESTRUTURA BIRECIONAL DE FIXAÇÃO. AF_08/2023_PS</t>
  </si>
  <si>
    <t>ACABAMENTOS PARA FORRO (MOLDURA DE GESSO). AF_08/2023</t>
  </si>
  <si>
    <t>ACABAMENTOS PARA FORRO (MOLDURA EM DRYWALL, COM LARGURA DE 15 CM). AF_08/2023_PS</t>
  </si>
  <si>
    <t>ACABAMENTOS PARA FORRO (SANCA DE GESSO, MONTADA NA OBRA). AF_08/2023_PS</t>
  </si>
  <si>
    <t>FORRO EM RÉGUAS DE PVC, FRISADO, PARA AMBIENTES RESIDENCIAIS, INCLUSIVE ESTRUTURA UNIDIRECIONAL DE FIXAÇÃO. AF_08/2023_PS</t>
  </si>
  <si>
    <t>FORRO EM RÉGUAS DE PVC, FRISADO, PARA AMBIENTES COMERCIAIS, INCLUSIVE ESTRUTURA BIDIRECIONAL DE FIXAÇÃO. AF_08/2023_PS</t>
  </si>
  <si>
    <t>ACABAMENTOS PARA FORRO (RODA-FORRO EM PERFIL METÁLICO E PLÁSTICO). AF_08/2023</t>
  </si>
  <si>
    <t>FORRO EM RÉGUAS DE PVC, LISO, PARA AMBIENTES RESIDENCIAIS, INCLUSIVE ESTRUTURA UNIDIRECIONAL DE FIXAÇÃO. AF_08/2023_PS</t>
  </si>
  <si>
    <t>FORRO EM RÉGUAS DE PVC, LISO, PARA AMBIENTES COMERCIAIS, INCLUSIVE ESTRUTURA BIDIRECIONAL DE FIXAÇÃO. AF_08/2023_PS</t>
  </si>
  <si>
    <t>511,11</t>
  </si>
  <si>
    <t>ARGAMASSA PARA REVESTIMENTO DECORATIVO MONOCAMADA (MONOCAPA), MISTURA E PROJEÇÃO DE 2 M3/H DE ARGAMASSA. AF_08/2019</t>
  </si>
  <si>
    <t>ARGAMASSA INDUSTRIALIZADA PARA REVESTIMENTOS, MISTURA E PROJEÇÃO DE 2 M³/H DE ARGAMASSA. AF_08/2019</t>
  </si>
  <si>
    <t>ARGAMASSA TRAÇO 1:4 (CIMENTO E AREIA MÉDIA), PREPARO MECÂNICO COM BETONEIRA 400 L. AF_08/2019</t>
  </si>
  <si>
    <t>105515</t>
  </si>
  <si>
    <t>ARGAMASSA TRAÇO 1:1,93 (EM VOLUME DE CIMENTO E AREIA MÉDIA ÚMIDA), FCK 20MPA, PREPARO MECÂNICO COM MISTURADOR DUPLO HORIZONTAL DE ALTA TURBULÊNCIA. AF_03/2020</t>
  </si>
  <si>
    <t>28,04</t>
  </si>
  <si>
    <t>31,78</t>
  </si>
  <si>
    <t>28,05</t>
  </si>
  <si>
    <t>TRANSPORTE HORIZONTAL MANUAL, DE CALHA QUADRADA NÚMERO 24 - CORTE 33 (UNIDADE: MXKM). AF_07/2019</t>
  </si>
  <si>
    <t>GUARDA-CORPO FIXADO EM FÔRMA DE MADEIRA COM MONTANTES E TRAVESSÕES EM MADEIRA E FECHAMENTO EM PLACA COMPENSADO PARA EDIFÍCIOS COM ATÉ 2 PAVIMENTOS. AF_03/2024</t>
  </si>
  <si>
    <t>GUARDA-CORPO FIXADO EM FÔRMA DE MADEIRA COM MONTANTES E TRAVESSÕES EM MADEIRA E FECHAMENTO EM PLACA COMPENSADO PARA EDIFÍCIOS COM 3 PAVIMENTOS. AF_03/2024</t>
  </si>
  <si>
    <t>GUARDA-CORPO FIXADO EM FÔRMA DE MADEIRA COM MONTANTES E TRAVESSÕES EM MADEIRA E FECHAMENTO EM PLACA COMPENSADO PARA EDIFÍCIOS COM ALTURA IGUAL OU SUPERIOR A 4 PAVIMENTOS. AF_03/2024</t>
  </si>
  <si>
    <t>GUARDA-CORPO FIXADO EM FÔRMA DE MADEIRA COM MONTANTES E TRAVESSÕES EM MADEIRA PRÉ-MONTADOS PARA EDIFÍCIOS COM ATÉ 2 PAVIMENTOS. AF_03/2024</t>
  </si>
  <si>
    <t>60,09</t>
  </si>
  <si>
    <t>GUARDA-CORPO FIXADO EM FÔRMA DE MADEIRA COM MONTANTES E TRAVESSÕES EM MADEIRA PRÉ-MONTADOS PARA EDIFÍCIOS COM 3 PAVIMENTOS. AF_03/2024</t>
  </si>
  <si>
    <t>GUARDA-CORPO FIXADO EM FÔRMA DE MADEIRA COM MONTANTES E TRAVESSÕES EM MADEIRA PRÉ-MONTADOS PARA EDIFÍCIOS COM ALTURA IGUAL OU SUPERIOR A 4 PAVIMENTOS. AF_03/2024</t>
  </si>
  <si>
    <t>GUARDA-CORPO EM LAJE PÓS-DESFÔRMA COM ESCORAS DE MADEIRA ESTRONCADAS NA ESTRUTURA, TRAVESSÕES DE MADEIRA E FECHAMENTO EM TELA DE POLIPROPILENO PARA EDIFÍCIOS COM ATÉ 4 PAVIMENTOS (1 MONTAGEM). AF_03/2024</t>
  </si>
  <si>
    <t>GUARDA-CORPO EM LAJE PÓS-DESFÔRMA COM ESCORAS DE MADEIRA ESTRONCADAS NA ESTRUTURA, TRAVESSÕES DE MADEIRA E FECHAMENTO EM TELA DE POLIPROPILENO PARA EDIFÍCIOS ACIMA DE 4 PAVIMENTOS (2 MONTAGENS). AF_03/2024</t>
  </si>
  <si>
    <t>GUARDA-CORPO EM LAJE PÓS-DESFÔRMA COM ESCORAS METÁLICAS ESTRONCADAS NA ESTRUTURA, TRAVESSÕES DE MADEIRA E FECHAMENTO EM TELA DE POLIPROPILENO PARA EDIFÍCIOS COM ATÉ 4 PAVIMENTOS (1 MONTAGEM). AF_03/2024_PS</t>
  </si>
  <si>
    <t>GUARDA-CORPO EM LAJE PÓS-DESFÔRMA COM ESCORAS METÁLICAS ESTRONCADAS NA ESTRUTURA, TRAVESSÕES DE MADEIRA E FECHAMENTO EM TELA DE POLIPROPILENO PARA EDIFÍCIOS ACIMA DE 4 PAVIMENTOS (2 MONTAGENS). AF_03/2024_PS</t>
  </si>
  <si>
    <t>FECHAMENTO REMOVÍVEL DE VÃO DE PORTAS EM MADEIRA (VÃO DO ELEVADOR) - 1 MONTAGEM EM OBRA. AF_03/2024</t>
  </si>
  <si>
    <t>FECHAMENTO REMOVÍVEL DE ABERTURA DE CAIXILHO EM MADEIRA - 4 MONTAGENS EM OBRA. AF_03/2024</t>
  </si>
  <si>
    <t>FECHAMENTO REMOVÍVEL DE ABERTURA NO PISO EM MADEIRA - 1 MONTAGEM EM OBRA. AF_03/2024</t>
  </si>
  <si>
    <t>PONTEIRAS DE PROTEÇÃO DE PONTAS E VERGALHÕES EXPOSTOS EM ESTRUTURAS DE CONCRETO ARMADO CONVENCIONAL. AF_03/2024</t>
  </si>
  <si>
    <t>PONTEIRAS DE PROTEÇÃO DE PONTAS E VERGALHÕES EXPOSTOS EM ALVENARIA ESTRUTURAL. AF_03/2024</t>
  </si>
  <si>
    <t>INSTALAÇÃO DE SINALIZADOR NOTURNO LED. AF_03/2024</t>
  </si>
  <si>
    <t>COLOCAÇÃO DE TELA EM ANDAIME FACHADEIRO. AF_03/2024</t>
  </si>
  <si>
    <t>MONTAGEM E DESMONTAGEM DE ANDAIME MODULAR FACHADEIRO, COM PISO METÁLICO, PARA EDIFÍCIOS COM MULTIPLOS PAVIMENTOS (EXCLUSIVE ANDAIME E LIMPEZA). AF_03/2024</t>
  </si>
  <si>
    <t>MONTAGEM E DESMONTAGEM DE ANDAIME TUBULAR TIPO "TORRE" (EXCLUSIVE ANDAIME E LIMPEZA). AF_03/2024</t>
  </si>
  <si>
    <t>MONTAGEM E DESMONTAGEM DE ANDAIME MULTIDIRECIONAL (EXCLUSIVE ANDAIME E LIMPEZA). AF_03/2024</t>
  </si>
  <si>
    <t>PROTEÇÃO DE PEDESTRES, INCLUSIVE MONTAGEM E DESMONTAGEM. AF_03/2024_PS</t>
  </si>
  <si>
    <t>PLATAFORMA DE PROTEÇÃO PRINCIPAL PARA ALVENARIA ESTRUTURAL PARA SER APOIADA EM ANDAIME, INCLUSIVE MONTAGEM E DESMONTAGEM. AF_03/2024</t>
  </si>
  <si>
    <t>104989</t>
  </si>
  <si>
    <t>PROTEÇÃO DE ACESSO A CREMALHEIRA, COM CANCELA FIXADA EM LAJE - 1 MONTAGEM (EXCLUSO CANCELA). AF_03/2024</t>
  </si>
  <si>
    <t>104990</t>
  </si>
  <si>
    <t>GUARDA-CORPO PARA POÇO DE CREMALHEIRA, COM MONTANTE METÁLICO FIXADO EM LAJE COM CHUMBADOR PARABOLT E FECHAMENTO EM PAINEL DE TELA METÁLICA (EXCLUSO PROTEÇÃO). AF_03/2024</t>
  </si>
  <si>
    <t>105103</t>
  </si>
  <si>
    <t>ASCENSÃO E DESCIDA DE ELEVADOR DE CREMALHEIRA. AF_03/2024</t>
  </si>
  <si>
    <t>105104</t>
  </si>
  <si>
    <t>MONTAGEM E DESMONTAGEM DE MINI GRUA. AF_03/2024</t>
  </si>
  <si>
    <t>105105</t>
  </si>
  <si>
    <t>ASCENSÃO DE MINI GRUA. AF_03/2024</t>
  </si>
  <si>
    <t>105106</t>
  </si>
  <si>
    <t>MONTAGEM E DESMONTAGEM DE TRECHO INICIAL DE ELEVADOR DE CREMALHEIRA, CABINE SIMPLES - EXCLUSO FUNDAÇÕES. AF_03/2024</t>
  </si>
  <si>
    <t>105107</t>
  </si>
  <si>
    <t>MONTAGEM E DESMONTAGEM DE TRECHO INICIAL DE ELEVADOR DE CREMALHEIRA, CABINE DUPLA - EXCLUSO FUNDAÇÕES. AF_03/2024</t>
  </si>
  <si>
    <t>105110</t>
  </si>
  <si>
    <t>ASCENSÃO DE GRUA ASCENSIONAL. AF_03/2024</t>
  </si>
  <si>
    <t>211,60</t>
  </si>
  <si>
    <t>105111</t>
  </si>
  <si>
    <t>MONTAGEM E DESMONTAGEM DO TRECHO INICIAL DE GRUA FIXA (ALTURA LIVRE) - EXCLUSO FUNDAÇÕES. AF_03/2024</t>
  </si>
  <si>
    <t>105112</t>
  </si>
  <si>
    <t>ASCENSÃO E DESCIDA DE GRUA FIXA. AF_03/2024</t>
  </si>
  <si>
    <t>DEMOLIÇÃO DE ALVENARIA DE BLOCO FURADO, DE FORMA MANUAL, COM REAPROVEITAMENTO. AF_09/2023</t>
  </si>
  <si>
    <t>DEMOLIÇÃO DE ALVENARIA DE BLOCO FURADO, DE FORMA MANUAL, SEM REAPROVEITAMENTO. AF_09/2023</t>
  </si>
  <si>
    <t>DEMOLIÇÃO DE ALVENARIA DE TIJOLO MACIÇO, DE FORMA MANUAL, COM REAPROVEITAMENTO. AF_09/2023</t>
  </si>
  <si>
    <t>DEMOLIÇÃO DE ALVENARIA DE TIJOLO MACIÇO, DE FORMA MANUAL, SEM REAPROVEITAMENTO. AF_09/2023</t>
  </si>
  <si>
    <t>DEMOLIÇÃO DE ALVENARIA PARA QUALQUER TIPO DE BLOCO, DE FORMA MECANIZADA, SEM REAPROVEITAMENTO. AF_09/2023</t>
  </si>
  <si>
    <t>DEMOLIÇÃO DE PILARES E VIGAS EM CONCRETO ARMADO, DE FORMA MANUAL, SEM REAPROVEITAMENTO. AF_09/2023</t>
  </si>
  <si>
    <t>DEMOLIÇÃO DE PILARES E VIGAS EM CONCRETO ARMADO, DE FORMA MECANIZADA COM MARTELETE, SEM REAPROVEITAMENTO. AF_09/2023</t>
  </si>
  <si>
    <t>DEMOLIÇÃO DE LAJES, EM CONCRETO ARMADO, DE FORMA MANUAL, SEM REAPROVEITAMENTO. AF_09/2023</t>
  </si>
  <si>
    <t>DEMOLIÇÃO DE LAJES, EM CONCRETO ARMADO, DE FORMA MECANIZADA COM MARTELETE, SEM REAPROVEITAMENTO. AF_09/2023</t>
  </si>
  <si>
    <t>DEMOLIÇÃO DE ARGAMASSAS, DE FORMA MANUAL, SEM REAPROVEITAMENTO. AF_09/2023</t>
  </si>
  <si>
    <t>DEMOLIÇÃO DE RODAPÉ CERÂMICO, DE FORMA MANUAL, SEM REAPROVEITAMENTO. AF_09/2023</t>
  </si>
  <si>
    <t>DEMOLIÇÃO DE REVESTIMENTO CERÂMICO, DE FORMA MANUAL, SEM REAPROVEITAMENTO. AF_09/2023</t>
  </si>
  <si>
    <t>23,15</t>
  </si>
  <si>
    <t>DEMOLIÇÃO DE REVESTIMENTO CERÂMICO, DE FORMA MECANIZADA COM MARTELETE, SEM REAPROVEITAMENTO. AF_09/2023</t>
  </si>
  <si>
    <t>REMOÇÃO DE PISO DE BLOCO INTERTRAVADO OU DE PEDRA PORTUGUESA, DE FORMA MANUAL, COM REAPROVEITAMENTO. AF_09/2023</t>
  </si>
  <si>
    <t>DEMOLIÇÃO PARCIAL DE PAVIMENTO ASFÁLTICO, DE FORMA MECANIZADA, SEM REAPROVEITAMENTO. AF_09/2023</t>
  </si>
  <si>
    <t>REMOÇÃO DE TAPUME/ CHAPAS METÁLICAS E DE MADEIRA, DE FORMA MANUAL, SEM REAPROVEITAMENTO. AF_09/2023</t>
  </si>
  <si>
    <t>REMOÇÃO DE CHAPAS E PERFIS DE DRYWALL, DE FORMA MANUAL, SEM REAPROVEITAMENTO. AF_09/2023</t>
  </si>
  <si>
    <t>REMOÇÃO DE PLACAS E PILARETES DE CONCRETO, DE FORMA MANUAL, SEM REAPROVEITAMENTO. AF_09/2023</t>
  </si>
  <si>
    <t>REMOÇÃO DE FORROS DE DRYWALL, PVC E FIBROMINERAL, DE FORMA MANUAL, SEM REAPROVEITAMENTO. AF_09/2023</t>
  </si>
  <si>
    <t>REMOÇÃO DE FORRO DE GESSO, DE FORMA MANUAL, SEM REAPROVEITAMENTO. AF_09/2023</t>
  </si>
  <si>
    <t>REMOÇÃO DE TRAMA METÁLICA OU DE MADEIRA PARA FORRO, DE FORMA MANUAL, SEM REAPROVEITAMENTO. AF_09/2023</t>
  </si>
  <si>
    <t>REMOÇÃO DE PISO DE MADEIRA (ASSOALHO E BARROTE), DE FORMA MANUAL, SEM REAPROVEITAMENTO. AF_09/2023</t>
  </si>
  <si>
    <t>26,12</t>
  </si>
  <si>
    <t>REMOÇÃO DE PORTAS, DE FORMA MANUAL, SEM REAPROVEITAMENTO. AF_09/2023</t>
  </si>
  <si>
    <t>REMOÇÃO DE JANELAS, DE FORMA MANUAL, SEM REAPROVEITAMENTO. AF_09/2023</t>
  </si>
  <si>
    <t>REMOÇÃO DE TELHAS DE FIBROCIMENTO METÁLICA E CERÂMICA, DE FORMA MANUAL, SEM REAPROVEITAMENTO. AF_09/2023</t>
  </si>
  <si>
    <t>3,67</t>
  </si>
  <si>
    <t>REMOÇÃO DE PROTEÇÃO TÉRMICA PARA COBERTURA EM EPS, DE FORMA MANUAL, SEM REAPROVEITAMENTO. AF_09/2023</t>
  </si>
  <si>
    <t>REMOÇÃO DE TELHAS DE FIBROCIMENTO, METÁLICA E CERÂMICA, DE FORMA MECANIZADA, COM USO DE GUINDASTE, SEM REAPROVEITAMENTO. AF_09/2023</t>
  </si>
  <si>
    <t>REMOÇÃO DE TRAMA DE MADEIRA PARA COBERTURA, DE FORMA MANUAL, SEM REAPROVEITAMENTO. AF_09/2023</t>
  </si>
  <si>
    <t>REMOÇÃO DE TESOURAS DE MADEIRA, COM VÃO MENOR QUE 8M, DE FORMA MANUAL, SEM REAPROVEITAMENTO. AF_09/2023</t>
  </si>
  <si>
    <t>86,26</t>
  </si>
  <si>
    <t>REMOÇÃO DE TESOURAS DE MADEIRA, COM VÃO MAIOR OU IGUAL A 8M, DE FORMA MANUAL, SEM REAPROVEITAMENTO. AF_09/2023</t>
  </si>
  <si>
    <t>REMOÇÃO DE TESOURAS DE MADEIRA, COM VÃO MENOR QUE 8M, DE FORMA MECANIZADA, COM REAPROVEITAMENTO. AF_09/2023</t>
  </si>
  <si>
    <t>REMOÇÃO DE TESOURAS DE MADEIRA, COM VÃO MAIOR OU IGUAL A 8M, DE FORMA MECANIZADA, COM REAPROVEITAMENTO. AF_09/2023</t>
  </si>
  <si>
    <t>186,94</t>
  </si>
  <si>
    <t>REMOÇÃO DE TRAMA METÁLICA PARA COBERTURA, DE FORMA MANUAL, SEM REAPROVEITAMENTO. AF_09/2023</t>
  </si>
  <si>
    <t>REMOÇÃO DE TESOURAS METÁLICAS, COM VÃO MENOR QUE 8M, DE FORMA MANUAL, SEM REAPROVEITAMENTO. AF_09/2023</t>
  </si>
  <si>
    <t>REMOÇÃO DE TESOURAS METÁLICAS, COM VÃO MAIOR OU IGUAL A 8M, DE FORMA MANUAL, SEM REAPROVEITAMENTO. AF_09/2023</t>
  </si>
  <si>
    <t>REMOÇÃO DE TESOURAS METÁLICAS, COM VÃO MENOR QUE 8M, DE FORMA MECANIZADA, COM REAPROVEITAMENTO. AF_09/2023</t>
  </si>
  <si>
    <t>REMOÇÃO DE TESOURAS METÁLICAS, COM VÃO MAIOR OU IGUAL A 8M, DE FORMA MECANIZADA, COM REAPROVEITAMENTO. AF_09/2023</t>
  </si>
  <si>
    <t>REMOÇÃO DE INTERRUPTORES/TOMADAS ELÉTRICAS, DE FORMA MANUAL, SEM REAPROVEITAMENTO. AF_09/2023</t>
  </si>
  <si>
    <t>REMOÇÃO DE CABOS ELÉTRICOS, COM SEÇÃO DE 10 MM², FORMA MANUAL, SEM REAPROVEITAMENTO. AF_09/2023</t>
  </si>
  <si>
    <t>REMOÇÃO DE TUBULAÇÕES (TUBOS E CONEXÕES) DE ÁGUA FRIA, DE FORMA MANUAL, SEM REAPROVEITAMENTO. AF_09/2023</t>
  </si>
  <si>
    <t>REMOÇÃO DE LOUÇAS, DE FORMA MANUAL, SEM REAPROVEITAMENTO. AF_09/2023</t>
  </si>
  <si>
    <t>REMOÇÃO DE ACESSÓRIOS, DE FORMA MANUAL, SEM REAPROVEITAMENTO. AF_09/2023</t>
  </si>
  <si>
    <t>REMOÇÃO DE LUMINÁRIAS, DE FORMA MANUAL, SEM REAPROVEITAMENTO. AF_09/2023</t>
  </si>
  <si>
    <t>REMOÇÃO DE METAIS SANITÁRIOS, DE FORMA MANUAL, SEM REAPROVEITAMENTO. AF_09/2023</t>
  </si>
  <si>
    <t>104789</t>
  </si>
  <si>
    <t>DEMOLIÇÃO DE PISO DE CONCRETO SIMPLES, DE FORMA MANUAL, SEM REAPROVEITAMENTO. AF_09/2023</t>
  </si>
  <si>
    <t>104790</t>
  </si>
  <si>
    <t>DEMOLIÇÃO DE PISO DE CONCRETO SIMPLES, DE FORMA MECANIZADA COM MARTELETE, SEM REAPROVEITAMENTO. AF_09/2023</t>
  </si>
  <si>
    <t>104791</t>
  </si>
  <si>
    <t>DEMOLIÇÃO DE ARGAMASSAS, DE FORMA DE FORMA MECANIZADA COM MARTELETE, SEM REAPROVEITAMENTO. AF_09/2023</t>
  </si>
  <si>
    <t>104792</t>
  </si>
  <si>
    <t>REMOÇÃO DE CABOS ELÉTRICOS, COM SEÇÃO DE ATÉ 2,5 MM², DE FORMA MANUAL, SEM REAPROVEITAMENTO. AF_09/2023</t>
  </si>
  <si>
    <t>104793</t>
  </si>
  <si>
    <t>REMOÇÃO DE CABOS ELÉTRICOS, COM SEÇÃO MAIOR QUE 2,5 MM² E MENOR QUE 10 MM², DE FORMA MANUAL, SEM REAPROVEITAMENTO. AF_09/2023</t>
  </si>
  <si>
    <t>104794</t>
  </si>
  <si>
    <t>REMOÇÃO DE CABOS ELÉTRICOS, COM SEÇÃO DE 16 MM², FORMA MANUAL, SEM REAPROVEITAMENTO. AF_09/2023</t>
  </si>
  <si>
    <t>104795</t>
  </si>
  <si>
    <t>REMOÇÃO DE CABOS ELÉTRICOS, COM SEÇÃO DE 25 MM², FORMA MANUAL, SEM REAPROVEITAMENTO. AF_09/2023</t>
  </si>
  <si>
    <t>104796</t>
  </si>
  <si>
    <t>DEMOLIÇÃO DE GUIAS, SARJETAS OU SARJETÕES, DE FORMA MECANIZADA, SEM REAPROVEITAMENTO. AF_09/2023</t>
  </si>
  <si>
    <t>104797</t>
  </si>
  <si>
    <t>REMOÇAO DE GUIAS PRÉ-FABRICADAS DE CONCRETO, DE FORMA MECANIZADA, COM REAPROVEITAMENTO. AF_09/2023</t>
  </si>
  <si>
    <t>104798</t>
  </si>
  <si>
    <t>REMOÇÃO DE SUPORTE METÁLICO OU DE MADEIRA PARA PLACAS DE SINALIZAÇÃO VIÁRIA, DE FORMA MANUAL, SEM REAPROVEITAMENTO. AF_09/2023</t>
  </si>
  <si>
    <t>104799</t>
  </si>
  <si>
    <t>REMOÇÃO DE PLACAS DE SINALIZAÇÃO VIÁRIA, DE FORMA MANUAL, SEM REAPROVEITAMENTO. AF_09/2023</t>
  </si>
  <si>
    <t>104800</t>
  </si>
  <si>
    <t>REMOÇÃO DE CERCAS E MOURÕES, DE FORMA MANUAL, SEM REAPROVEITAMENTO. AF_09/2023</t>
  </si>
  <si>
    <t>104801</t>
  </si>
  <si>
    <t>REMOÇÃO DE ALAMBRADOS PARA QUADRAS POLIESPORTIVAS, ESTRUTURADO POR TUBOS DE AÇO GALVANIZADO, COM TELA DE ARAME GALVANIZADO, DE FORMA MANUAL, SEM REAPROVEITAMENTO. AF_09/2023</t>
  </si>
  <si>
    <t>104802</t>
  </si>
  <si>
    <t>REMOÇÃO DE TELA DE ARAME GALVANIZADO DE ALAMBRADOS PARA QUADRAS POLIESPORTIVAS, DE FORMA MANUAL, SEM REMOÇÃO DA ESTRUTURA DE SUSTENTAÇÃO, SEM REAPROVEITAMENTO. AF_09/2023</t>
  </si>
  <si>
    <t>104803</t>
  </si>
  <si>
    <t>REMOÇÃO CALHAS E RUFOS, DE FORMA MANUAL, SEM REAPROVEITAMENTO. AF_09/2023</t>
  </si>
  <si>
    <t>LOCAÇÃO CONVENCIONAL DE OBRA, UTILIZANDO GABARITO DE TÁBUAS CORRIDAS PONTALETADAS A CADA 2,00M -  2 UTILIZAÇÕES. AF_03/2024</t>
  </si>
  <si>
    <t>LOCAÇÃO COM CAVALETE COM ALTURA DE 1,00 M - 2 UTILIZAÇÕES. AF_03/2024</t>
  </si>
  <si>
    <t>LOCAÇÃO COM CAVALETE COM ALTURA DE 0,50 M - 2 UTILIZAÇÕES. AF_03/2024</t>
  </si>
  <si>
    <t>MARCAÇÃO DE PONTOS EM GABARITO OU CAVALETE. AF_03/2024</t>
  </si>
  <si>
    <t>LOCAÇÃO DE REDE DE ÁGUA OU ESGOTO. AF_03/2024</t>
  </si>
  <si>
    <t>105007</t>
  </si>
  <si>
    <t>LOCAÇÃO DE PRAÇAS EM PONTALETEAMENTO. AF_03/2024</t>
  </si>
  <si>
    <t>105009</t>
  </si>
  <si>
    <t>LOCAÇÃO CONVENCIONAL DE OBRA, UTILIZANDO GABARITO DE TÁBUAS CORRIDAS PONTALETADAS A CADA 1,50M -  2 UTILIZAÇÕES. AF_03/2024</t>
  </si>
  <si>
    <t>105011</t>
  </si>
  <si>
    <t>EXECUÇÃO DE LINHAS DE REFERÊNCIA EM GABARITO OU CAVALETE. AF_03/2024</t>
  </si>
  <si>
    <t>1,21</t>
  </si>
  <si>
    <t>3,66</t>
  </si>
  <si>
    <t>11,55</t>
  </si>
  <si>
    <t>44,84</t>
  </si>
  <si>
    <t>16,39</t>
  </si>
  <si>
    <t>12,97</t>
  </si>
  <si>
    <t>36,78</t>
  </si>
  <si>
    <t>76,18</t>
  </si>
  <si>
    <t>ALAMBRADO PARA QUADRA POLIESPORTIVA, ESTRUTURADO POR TUBOS DE ACO GALVANIZADO, (MONTANTES COM DIAMETRO 2", TRAVESSAS E ESCORAS COM DIÂMETRO 1 ¼"), COM TELA DE ARAME GALVANIZADO, FIO 14 BWG E MALHA QUADRADA 5X5CM (EXCETO MURETA). AF_03/2021</t>
  </si>
  <si>
    <t>ALAMBRADO PARA QUADRA POLIESPORTIVA, ESTRUTURADO POR TUBOS DE ACO GALVANIZADO, (MONTANTES COM DIAMETRO 2", TRAVESSAS E ESCORAS COM DIÂMETRO 1 ¼"), COM TELA DE ARAME GALVANIZADO, FIO 12 BWG E MALHA QUADRADA 5X5CM (EXCETO MURETA). AF_03/2021</t>
  </si>
  <si>
    <t>ALAMBRADO PARA QUADRA POLIESPORTIVA, ESTRUTURADO POR TUBOS DE ACO GALVANIZADO, (MONTANTES COM DIAMETRO 2", TRAVESSAS E ESCORAS COM DIÂMETRO 1 ¼"), COM TELA DE ARAME GALVANIZADO, FIO 10 BWG E MALHA QUADRADA 5X5CM (EXCETO MURETA). AF_03/2021</t>
  </si>
  <si>
    <t>PLANTIO DE ARBUSTO OU  CERCA VIVA. AF_07/2024</t>
  </si>
  <si>
    <t>PLANTIO DE ÁRVORE ORNAMENTAL COM ALTURA DE MUDA MENOR OU IGUAL A 2,00 M . AF_07/2024</t>
  </si>
  <si>
    <t>PLANTIO DE ÁRVORE ORNAMENTAL COM ALTURA DE MUDA MAIOR QUE 2,00 M E MENOR OU IGUAL A 4,00 M . AF_07/2024</t>
  </si>
  <si>
    <t>PLANTIO DE PALMEIRA COM ALTURA DE MUDA MENOR OU IGUAL A 2,00 M . AF_07/2024</t>
  </si>
  <si>
    <t>REVOLVIMENTO E LIMPEZA MANUAL DE SOLO. AF_07/2024</t>
  </si>
  <si>
    <t>APLICAÇÃO DE ADUBO EM SOLO. AF_07/2024</t>
  </si>
  <si>
    <t>APLICAÇÃO DE CALCÁRIO PARA CORREÇÃO DO PH DO SOLO. AF_07/2024</t>
  </si>
  <si>
    <t>LIMPEZA MANUAL DE VEGETAÇÃO EM TERRENO COM ENXADA. AF_03/2024</t>
  </si>
  <si>
    <t>105521</t>
  </si>
  <si>
    <t>ESPALHAMENTO DE TERRA VEGETAL PARA O PLANTIO. AF_07/2024</t>
  </si>
  <si>
    <t>PLANTIO DE GRAMA EM PAVIMENTO CONCREGRAMA. AF_07/2024</t>
  </si>
  <si>
    <t>PLANTIO DE GRAMA BATATAIS EM PLACAS. AF_07/2024</t>
  </si>
  <si>
    <t>PLANTIO DE FORRAÇÃO. AF_07/2024</t>
  </si>
  <si>
    <t>PLANTIO DE GRAMA ESMERALDA OU SÃO CARLOS OU CURITIBANA, EM PLACAS. AF_07/2024</t>
  </si>
  <si>
    <t>105000</t>
  </si>
  <si>
    <t>RAMPA DE ACESSIBILIDADE PARA ACESSO A EDIFICAÇÕES COM INCLINAÇÃO DE 8,33% EM CONCRETO MOLDADO IN LOCO, COM LARGURA DE 1,20M, FCK 25MPA, NÃO ARMADA, COM JUNTA A CADA 2M COM CORTE À SECO. AF_03/2024_PA</t>
  </si>
  <si>
    <t>105001</t>
  </si>
  <si>
    <t>RAMPA DE ACESSIBILIDADE PARA ACESSO A EDIFICAÇÕES COM INCLINAÇÃO DE 8,33% EM CONCRETO MOLDADO IN LOCO, COM LARGURA DE 1,50M, FCK 25MPA, NÃO ARMADA, COM JUNTA A CADA 2M COM CORTE À SECO. AF_03/2024_PA</t>
  </si>
  <si>
    <t>105002</t>
  </si>
  <si>
    <t>RAMPA DE ACESSIBILIDADE EM CONCRETO MOLDADO IN LOCO, EM CALÇADA NOVA COM LARGURA MAIOR OU IGUAL À 3,00 M, FCK 25MPA, COM PISO PODOTÁTIL. AF_03/2024</t>
  </si>
  <si>
    <t>105003</t>
  </si>
  <si>
    <t>RAMPA DE ACESSIBILIDADE EM CONCRETO MOLDADO IN LOCO, EM CALÇADA PRÉ EXISTENTE COM LARGURA MAIOR OU IGUAL À 3,00 M, FCK 25MPA, COM PISO PODOTÁTIL. AF_03/2024</t>
  </si>
  <si>
    <t>105004</t>
  </si>
  <si>
    <t>RAMPA DE ACESSIBILIDADE EM CONCRETO MOLDADO IN LOCO, EM CALÇADA NOVA COM LARGURA MENOR À 3,00 M, FCK 25MPA, COM PISO PODOTÁTIL. AF_03/2024</t>
  </si>
  <si>
    <t>105005</t>
  </si>
  <si>
    <t>RAMPA DE ACESSIBILIDADE EM CONCRETO MOLDADO IN LOCO, EM CALÇADA PRÉ EXISTENTE COM LARGURA MENOR À 3,00 M, FCK 25MPA, COM PISO PODOTÁTIL. AF_03/2024</t>
  </si>
  <si>
    <t>LIMPEZA MECANIZADA DE CAMADA VEGETAL, VEGETAÇÃO E PEQUENAS ÁRVORES (DIÂMETRO DE TRONCO MENOR QUE 0,20 M), COM TRATOR DE ESTEIRAS. AF_03/2024</t>
  </si>
  <si>
    <t>REMOÇÃO DE RAÍZES REMANESCENTES DE TRONCO DE ÁRVORE COM DIÂMETRO MAIOR OU IGUAL A 0,20 M E MENOR QUE 0,40 M. AF_03/2024</t>
  </si>
  <si>
    <t>134,25</t>
  </si>
  <si>
    <t>REMOÇÃO DE RAÍZES REMANESCENTES DE TRONCO DE ÁRVORE COM DIÂMETRO MAIOR OU IGUAL A 0,40 M E MENOR QUE 0,60 M. AF_03/2024</t>
  </si>
  <si>
    <t>REMOÇÃO DE RAÍZES REMANESCENTES DE TRONCO DE ÁRVORE COM DIÂMETRO MAIOR OU IGUAL A 0,60 M. AF_03/2024</t>
  </si>
  <si>
    <t>CORTE RASO E RECORTE DE ÁRVORE COM DIÂMETRO DE TRONCO MAIOR OU IGUAL A 0,20 M E MENOR QUE 0,40 M. AF_03/2024</t>
  </si>
  <si>
    <t>73,56</t>
  </si>
  <si>
    <t>CORTE RASO E RECORTE DE ÁRVORE COM DIÂMETRO DE TRONCO MAIOR OU IGUAL A 0,40 M E MENOR QUE 0,60 M. AF_03/2024</t>
  </si>
  <si>
    <t>CORTE RASO E RECORTE DE ÁRVORE COM DIÂMETRO DE TRONCO MAIOR OU IGUAL A 0,60 M. AF_03/2024</t>
  </si>
  <si>
    <t>PODA EM ALTURA DE ÁRVORE COM DIÂMETRO DE TRONCO MENOR QUE 0,20 M. AF_03/2024</t>
  </si>
  <si>
    <t>PODA EM ALTURA DE ÁRVORE COM DIÂMETRO DE TRONCO MAIOR OU IGUAL A 0,20 M E MENOR QUE 0,40 M. AF_03/2024</t>
  </si>
  <si>
    <t>PODA EM ALTURA DE ÁRVORE COM DIÂMETRO DE TRONCO MAIOR OU IGUAL A 0,40 M E MENOR QUE 0,60 M. AF_03/2024</t>
  </si>
  <si>
    <t>PODA EM ALTURA DE ÁRVORE COM DIÂMETRO DE TRONCO MAIOR OU IGUAL A 0,60 M. AF_03/2024</t>
  </si>
  <si>
    <t>27,72</t>
  </si>
  <si>
    <t>30,14</t>
  </si>
  <si>
    <t>MOTORISTA DE VEÍCULO LEVE COM ENCARGOS COMPLEMENTARES</t>
  </si>
  <si>
    <t>27,80</t>
  </si>
  <si>
    <t>31,35</t>
  </si>
  <si>
    <t>34,21</t>
  </si>
  <si>
    <t>132,57</t>
  </si>
  <si>
    <t>175,16</t>
  </si>
  <si>
    <t>29,75</t>
  </si>
  <si>
    <t>27,47</t>
  </si>
  <si>
    <t>67,35</t>
  </si>
  <si>
    <t>25,51</t>
  </si>
  <si>
    <t>33,35</t>
  </si>
  <si>
    <t>56,17</t>
  </si>
  <si>
    <t>39,43</t>
  </si>
  <si>
    <t>61,26</t>
  </si>
  <si>
    <t>59,24</t>
  </si>
  <si>
    <t>02.02.01</t>
  </si>
  <si>
    <t>Demolição de lajes, em concreto armado, de forma mecanizada com martelete demolidor elétrico, sem reaproveitamento</t>
  </si>
  <si>
    <t>Escarificação manual de concreto, exclusive limpeza do concreto afetado por processo de hidrojateamento e tratamento de armaduras corroídas</t>
  </si>
  <si>
    <t>Escarificação manual de concreto, com profundidade máxima de 5cm, exclusive limpeza do concreto afetado por processo de hidrojateamento e tratamento de armaduras corroídas</t>
  </si>
  <si>
    <t>Tratamento de armaduras corroídas com lixamento manual com escova de aço, até a completa remoção de partículas soltas, materiais indesejáveis e corrosão, exclusive aplicação de argamassa cimentícia, polimérica com inibidor de corrosão</t>
  </si>
  <si>
    <t>Tratamento de armadura com duas demãos (esp. 1mm) de Sika Top 108 ou equivalente, exclusive aplicação de graute cimentício</t>
  </si>
  <si>
    <t>Retirada (corte) de armadura deteriorada, superior a 20% do diâmetro original</t>
  </si>
  <si>
    <t>Recomposição de concreto estrutural, com utilização de argamassa de uso geral Graute cimentício, com profundidade máxima 5cm</t>
  </si>
  <si>
    <t>Recomposição de concreto estrutural, com utilização de argamassa de uso geral Graute cimentício</t>
  </si>
  <si>
    <t>Impermeabilização de superfície com argamassa impemeabilizante, semiflexível bicomponente, 4 demãos , SIKA Top 107, VIAPLUS 1000 ou equivalente</t>
  </si>
  <si>
    <t>Aplicação de primer convertedor de ferrugem a 2 demãos, exclusive pintura de proteção e acabamento</t>
  </si>
  <si>
    <t>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dimensões:b=0.40m; B=0.70m e H=1.00m</t>
  </si>
  <si>
    <t>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 b=0.40m; B=0.90m e H=1,50m</t>
  </si>
  <si>
    <t>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 b=0.40m; B=1.05m e H=2.00m</t>
  </si>
  <si>
    <t>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 b=0.40m; B=1.23 e H=2.50m</t>
  </si>
  <si>
    <t>Elemento vazado de concreto (Cobogó) 40 x 40 x 10 cm, tipo reto, assentados com argamassa de cimento e areia peneirada no traço 1:3, espessura das juntas 15 mm, preparo manual</t>
  </si>
  <si>
    <t>Alvenaria de embasamento com pedra de mão (rachão) empregando argamassa de cimento e areia traço 1:3, preparo manual</t>
  </si>
  <si>
    <t>Elemento vazado de concreto (Cobogó) 20 x 20 x 10cm, tipo cruzeta,assentados com argamassa de cimento e areia peneirada no traço 1:3, espessura das juntas 15 mm, preparo manual</t>
  </si>
  <si>
    <t>Divisória sanitária de granito cinza andorinha esp. 3 cm, assentada com argamassa de cimento e areia no traço 1:3</t>
  </si>
  <si>
    <t>Divisória sanitária de granito cinza andorinha esp. 3 cm, fixada com cantoneira de ferro cromado</t>
  </si>
  <si>
    <t>Assentamento de divisória sanitária de mármore ou granito com 3 cm de espessura, empregando argamassa de cimento e areia no traço 1:3, exclusive fornecimento da divisória</t>
  </si>
  <si>
    <t>Verga/contraverga reta de concreto armado moldada in loco 10 x 5 cm, Fck = 15 MPa, inclusive forma, armação e desforma, comprimento inferior a 2.0 metros</t>
  </si>
  <si>
    <t>Verga/contraverga curva de concreto armado 10 x 5 cm, Fck = 15 MPa, inclusive forma, armação e desforma, comprimento inferior a 2.0 metros</t>
  </si>
  <si>
    <t>Alvenaria de blocos de concreto estrutural 14x19x39cm cheios "Classe B", com resistência mínima à compressão 15MPa, assentados c/ argamassa de cimento e areia média no traço 1:4, preparo com betoneira, esp. juntas 10mm e esp. da parede s/ revestimento 14cm</t>
  </si>
  <si>
    <t>Alvenaria de blocos de concreto estrutural 19x19x39cm cheios "Classe B", com resistência mínima à compressão 15MPa, assentados c/ argamassa de cimento e areia média no traço 1:4, preparo com betoneira, esp. juntas 10mm e esp. da parede s/ revestimento 19cm</t>
  </si>
  <si>
    <t>Alvenaria de blocos de concreto estrutural 9x19x39cm cheios "Classe B", com resistência mínima à compressão 15MPa, assentados c/ argamassa de cimento e areia média no traço 1:4, preparo com betoneira, esp. juntas 10mm e esp. da parede s/ revestimento 9cm</t>
  </si>
  <si>
    <t>Alvenaria de vedação com blocos de concreto 9x19x39cm, c/ resistência mínimo a compressão de 3 MPa, assentados c/ argamassa de cimento, cal hidratada CH1 e areia no traço 1:0,5:8, preparo com betoneira, esp. juntas 10mm e esp. da parede s/ revestimento 9cm</t>
  </si>
  <si>
    <t>Alvenaria de vedação com blocos de concreto 14x19x39cm, c/ resistência mínimo a compressão de 3 MPa, assentados c/ argamassa de cimento, cal hidratada CH1 e areia no traço 1:0,5:8, preparo com betoneira, esp. juntas 10mm e esp. da parede s/ revestimento 14cm</t>
  </si>
  <si>
    <t>Alvenaria de vedação com blocos de concreto 19x19x39cm, c/ resistência mínimo a compressão de 3 MPa, assentados c/ argamassa de cimento, cal hidratada CH1 e areia no traço 1:0,5:8, preparo com betoneira, esp. juntas 10mm e esp. da parede s/ revestimento 19cm</t>
  </si>
  <si>
    <t>Alvenaria de vedação com blocos cerâmicos furados 9x19x19cm, assentados c/ argamassa de cimento, cal hidratada CH1 e areia no traço 1:0,5:8, preparo com betoneira, juntas 10mm e esp. das paredes s/revestimento, 9cm (bloco comprado na praça de Vitória, posto obra)</t>
  </si>
  <si>
    <t>Alvenaria de vedação com blocos cerâmicos furados 9x19x19cm, assentados c/ argamassa de cimento, cal hidratada CH1 e areia no traço 1:0,5:8, preparo com betoneira, juntas 10mm e esp. das paredes s/revestimento, 9cm (bloco comprado na fábrica, posto obra)</t>
  </si>
  <si>
    <t>Alvenaria de vedação com blocos cerâmicos furados 9x19x19cm, assentados c/ argamassa de cimento, cal hidratada CH1 e areia no traço 1:0,5:8, preparo com betoneira, juntas 10mm e esp. das paredes s/revestimento, 19cm, bloco deitado (bloco comprado praça de Vitória, posto obra)</t>
  </si>
  <si>
    <t>Alvenaria de vedação com blocos cerâmicos furados 9x19x19cm, assentados c/ argamassa de cimento, cal hidratada CH1 e areia no traço 1:0,5:8, preparo com betoneira, juntas 10mm e esp. das paredes s/revestimento, 19cm, bloco deitado (bloco comprado fábrica, posto obra)</t>
  </si>
  <si>
    <t>Furo mecanizado em concreto, com martelo demolidor elétrico, para passagem de instalações hidráulicas, diâmetros menores ou iguais a 1.1/2"</t>
  </si>
  <si>
    <t>Furo mecanizado em concreto, com martelo demolidor elétrico, para passagem de instalações hidráulicas, diâmetros maiores 1.1/2" e menores ou iguais a 3"</t>
  </si>
  <si>
    <t>Furo mecanizado em concreto, com martelo demolidor elétrico, para passagem de instalações hidráulicas, diâmetros maiores 3" e menores ou iguais a 4"</t>
  </si>
  <si>
    <t>Quadro de distribuição em PVC para 08 circuitos, inclusive 6 disjuntores monopolares 15 A, sem barramento</t>
  </si>
  <si>
    <t>Luminária industrial a prova de tempo, 45 graus, Wetzel, Naville, Total Light, ou equivalente, exclusive lampada</t>
  </si>
  <si>
    <t>Luminária com plafonier e globo de plástico dimensões 20x10cm, inclusive lampada LED 9W</t>
  </si>
  <si>
    <t>Tomada padrão brasileiro linha branca, NBR 14136 (1 módulos) - 2 polos + terra 10A/250V, inclusive suporte e placa 4x2"</t>
  </si>
  <si>
    <t>Tomada padrão brasileiro linha branca, NBR 14136 (1 módulos) - 2 polos + terra 20A/250V, inclusive suporte e placa 4x2"</t>
  </si>
  <si>
    <t>ITENS DE SERVIÇOS AUXILIARES</t>
  </si>
  <si>
    <t>SERVIÇOS AUXILIARES 01</t>
  </si>
  <si>
    <t>Argamassa traço 1:3 de cimento e areia média, preparo mecânico com betoneira 400 l</t>
  </si>
  <si>
    <t>Argamassa de cimento e areia sem peneirar traço 1:4, preparo mecânico com betoneira 400 l</t>
  </si>
  <si>
    <t>Argamassa mista de cimento, cal hidratada e areia sem peneirar traço 1:0,5:8, preparo mecânico com betoneira 400 l</t>
  </si>
  <si>
    <t>Fornecimento, preparo e aplicação de concreto Fck=15 MPa (brita 1) - (5% de perdas já incluído no custo)</t>
  </si>
  <si>
    <t>Tela soldada em aço CA-60 B, diâmetro 4.2mm, com malha de 10 x 10 cm, para armação</t>
  </si>
  <si>
    <t>Forma curva de tábuas de pinho e chapas de madeira compensada tipo resinada, de 6mm espessura, levando-se em conta a utilização 2 vezes (incluido o material, corte, montagem, escoramento e desfôrma)</t>
  </si>
  <si>
    <t>Junta de dilatação para piso 5x15mm, inclusive corte e preenchimento com mastique</t>
  </si>
  <si>
    <t>Dreno em muro de contenção, executado no pé do muro, com tubo de pead corrugado flexível perfurado 100mm (4"), enchimento com brita, envolvido com manta geotêxtil</t>
  </si>
  <si>
    <t>Forma para vigas com tábuas e sarrafos - desmontagem</t>
  </si>
  <si>
    <t>Forma para vigas com tábuas e sarrafos - fabricação</t>
  </si>
  <si>
    <t>Forma para vigas com tábuas e sarrafos - montagem</t>
  </si>
  <si>
    <t>Forma para vigas com tábuas e sarrafos, 5 reaproveitamentos</t>
  </si>
  <si>
    <t>Concreto magro para lastro, traço 1:4,5:4,5 (em massa seca de cimento/ areia média/ brita 1) - preparo mecânico com betoneira 400 l.</t>
  </si>
  <si>
    <t>Alizar de madeira de lei de 1ª (Peroba, Ipê, Angelim Pedra ou equivalente) de 5 x 2,5 cm</t>
  </si>
  <si>
    <t>Regularização de base para revestimento de pisos c/ argamassa de alta resistência, empregando argamassa de cimento e areia no traço 1:3 e espessura de 3 cm</t>
  </si>
  <si>
    <t>Tubo de PVC rígido soldável marrom, DN 25mm (3/4")</t>
  </si>
  <si>
    <t>Joelho 90° de PVC soldável marrom, diâmetro 25mm (3/4")</t>
  </si>
  <si>
    <t>Luva de PVC soldável marrom, diâmetro 25mm (3/4")</t>
  </si>
  <si>
    <t>Adaptador de PVC soldável com anel para caixa dágua, DN 25mm</t>
  </si>
  <si>
    <t>Tubo de PVC rígido roscável, diâm. 1" (32mm), inclusive conexões</t>
  </si>
  <si>
    <t>Registro de gaveta bruto, diâmetro 20mm (3/4")</t>
  </si>
  <si>
    <t>Tubo de PVC rígido soldável branco, para esgoto, diâmetro 50mm (2")</t>
  </si>
  <si>
    <t>Poste de concreto, com seção circular, com 11m de comprimento e carga nominal no topo, de 200 kg, inclusive escavação e exclusive transporte</t>
  </si>
  <si>
    <t>Cruzeta (conjunto com 2 cruzetas) de 2400x90x135mm, sela para cruzeta, parafuso de cabeça abaulada diâm.10x150mm, arruela quadrada de 36mm furo de 18mm, porca quadrada</t>
  </si>
  <si>
    <t>cj</t>
  </si>
  <si>
    <t>Terminal mecânico para cabo de 16 e 25 mm2</t>
  </si>
  <si>
    <t>Caixa para medidor monofásico P-980-009 c/ caixa p/ disjuntor P-940-003, padrão ESCELSA</t>
  </si>
  <si>
    <t>Caixa para medidor polifásico P-980-009 até 41000W c/ caixa p/ disjuntor, padrão ESCELSA</t>
  </si>
  <si>
    <t>Niple para eletroduto de PVC roscável, diâmetro 85mm (3")</t>
  </si>
  <si>
    <t>Eletroduto de aço galvanizado, diâmetro 85mm (3")</t>
  </si>
  <si>
    <t>Eletroduto de aço galvanizado, inclusive conexões, diâmetro 65mm (2.1/2")</t>
  </si>
  <si>
    <t>Eletroduto de aço galvanizado, inclusive conexões, diâmetro 100 mm (4")</t>
  </si>
  <si>
    <t>Cabo de cobre nú, seção de 16.0 mm2</t>
  </si>
  <si>
    <t>Pintura de esquadrias e elementos de madeira, aplicação manual, com duas demãos de tinta esmalte sintético referência Suvinil, Coral ou Metalatex</t>
  </si>
  <si>
    <t>Fundo anticorrosivo zarcao, uma demao</t>
  </si>
  <si>
    <t>Pintura sobre metal, aplicação manual, com duas demãos de tinta esmalte sintético, referência Suvinil, Coral ou Metalatex</t>
  </si>
  <si>
    <t>Fornecimento e assentamento de tampão de ferro fundido com suporte articulado, para poço de visita, conforme padrão e especificações da PMV</t>
  </si>
  <si>
    <t>SERVIÇOS AUXILIARES 02</t>
  </si>
  <si>
    <t>Betoneira capacidade nominal de 400 l, capacidade de mistura 280 l, motor elétrico trifásico potência de 2 cv, sem carregador - chp diurno</t>
  </si>
  <si>
    <t>chp</t>
  </si>
  <si>
    <t>Caminhão basculante 6 m3 toco, peso bruto total 16.000 kg, carga útil máxima 11.130 kg, distância entre eixos 5,36 m, potência 185 cv, inclusive caçamba metálica - chp diurno</t>
  </si>
  <si>
    <t>Vibrador de imersão, diâmetro de ponteira 45mm, motor elétrico trifásico potência de 2 cv - chp diurno</t>
  </si>
  <si>
    <t>Guindauto hidráulico, capacidade máxima de carga 6200 kg, momento máximo de carga 11,7 tm, alcance máximo horizontal 9,70 m, inclusive caminhão toco pbt 16.000 kg, potência de 189 cv - chp diurno</t>
  </si>
  <si>
    <t>Pá carregadeira sobre rodas, potência líquida 128 hp, capacidade da caçamba 1,7 a 2,8 m3, peso operacional 11632 kg - chp diurno.</t>
  </si>
  <si>
    <t>Cortadora de piso com motor 4 tempos a gasolina, potência de 13 hp, com disco de corte diamantado segmentado para concreto, diâmetro de 350 mm, furo de 1" (14 x 1") - chp diurno</t>
  </si>
  <si>
    <t>Compactador de solos de percusão (soquete) com motor a gasolina, potência 3 cv - chp diurno</t>
  </si>
  <si>
    <t>Retroescavadeira sobre rodas com carregadeira, tração 4x2, potência líq. 79 hp, caçamba carreg. cap. mín. 1 m3, caçamba retro cap. 0,20 m3, peso operacional mín. 6.570 kg, profundidade escavação máx. 4,37 m - chp diurno</t>
  </si>
  <si>
    <t>Caminhão pipa 6.000 l, peso bruto total 13.000 kg, distância entre eixos 4,80 m, potência 189 cv inclusive tanque de aço para transporte de água, capacidade 6 m3 - chp diurno</t>
  </si>
  <si>
    <t>Martelo demolidor elétrico, com potência de 2.000 w, 1.000 impactos por minuto, peso de 30 kg - chp diurno</t>
  </si>
  <si>
    <t>Betoneira capacidade nominal de 400 l, capacidade de mistura 280 l, motor elétrico trifásico potência de 2 cv, sem carregador - chi diurno</t>
  </si>
  <si>
    <t>chi</t>
  </si>
  <si>
    <t>Cortadora de piso com motor 4 tempos a gasolina, potência de 13 hp, com disco de corte diamantado segmentado para concreto, diâmetro de 350 mm, furo de 1" (14 x 1") - chi diurno</t>
  </si>
  <si>
    <t>Martelo demolidor elétrico, com potência de 2.000 w, 1.000 impactos por minuto, peso de 30 kg - chi diurno</t>
  </si>
  <si>
    <t>Betoneira capacidade nominal de 400 l, capacidade de mistura 280 l, motor elétrico trifásico potência de 2 cv, sem carregador - depreciação</t>
  </si>
  <si>
    <t>Caminhão basculante 6m3 toco, peso bruto total 16.000kg, carga útil máx. 11.130kg, dist. entre eixos 5,36m, pot. 185cv, incl. caçamba metálica - depreciação</t>
  </si>
  <si>
    <t>Vibrador de imersão, diâmetro de ponteira 45mm, motor elétrico trifásico potência de 2 cv - depreciação</t>
  </si>
  <si>
    <t>Guindauto hidráulico, capacidade máxima de carga 6200 kg, momento máximo de carga 11,7 tm, alcance máximo horizontal 9,70 m, inclusive caminhão toco pbt 16.000 kg, potência de 189 cv - depreciação</t>
  </si>
  <si>
    <t>Pá carregadeira sobre rodas, potência líquida 128 hp, capacidade da caçamba 1,7 a 2,8 m3, peso operacional 11632 kg - depreciação</t>
  </si>
  <si>
    <t>Cortadora de piso com motor 4 tempos a gasolina, potência de 13 hp, com disco de corte diamantado segmentado para concreto, diâmetro de 350 mm, furo de 1" (14 x 1") - depreciação</t>
  </si>
  <si>
    <t>Compactador de solos de percussão (soquete) com motor a gasolina 4 tempos, potência 4 cv - depreciação</t>
  </si>
  <si>
    <t>Retroescavadeira sobre rodas com carregadeira, tração 4x2, potência líq. 79 hp, caçamba carreg. cap. mín. 1 m3, caçamba retro cap. 0,20 m3, peso operacional mín. 6.570 kg, profundidade escavação máx. 4,37 m - depreciação</t>
  </si>
  <si>
    <t>Caminhão pipa 6.000 l, peso bruto total 13.000 kg, distância entre eixos 4,80 m, potência 189 cv inclusive tanque de aço para transporte de água, capacidade 6 m3 - depreciação.</t>
  </si>
  <si>
    <t>Martelo demolidor elétrico, com potência de 2.000 w, 1.000 impactos por minuto, peso de 30 kg - depreciação</t>
  </si>
  <si>
    <t>Betoneira capacidade nominal de 400 l, capacidade de mistura 280 l, motor elétrico trifásico potência de 2 cv, sem carregador - juros</t>
  </si>
  <si>
    <t>Caminhão basculante 6m3 toco, peso bruto total 16.000kg, carga útil máx. 11.130kg, dist. entre eixos 5,36m, pot. 185cv, incl. caçamba metálica - juros.</t>
  </si>
  <si>
    <t>Vibrador de imersão, diâmetro de ponteira 45mm, motor elétrico trifásico potência de 2 cv - juros</t>
  </si>
  <si>
    <t>Guindauto hidráulico, capacidade máxima de carga 6200 kg, momento máximo de carga 11,7 tm, alcance máximo horizontal 9,70 m, inclusive caminhão toco pbt 16.000 kg, potência de 189 cv - juros.</t>
  </si>
  <si>
    <t>Pá carregadeira sobre rodas, potência líquida 128 hp, capacidade da caçamba 1,7 a 2,8 m3, peso operacional 11632 kg - juros.</t>
  </si>
  <si>
    <t>Cortadora de piso com motor 4 tempos a gasolina, potência de 13 hp, com disco de corte diamantado segmentado para concreto, diâmetro de 350 mm, furo de 1" (14 x 1") - juros</t>
  </si>
  <si>
    <t>Compactador de solos de percussão (soquete) com motor a gasolina 4 tempos, potência 4 cv - juros</t>
  </si>
  <si>
    <t>Retroescavadeira sobre rodas com carregadeira, tração 4x2, potência líq. 79 hp, caçamba carreg. cap. mín. 1 m3, caçamba retro cap. 0,20 m3, peso operacional mín. 6.570 kg, profundidade escavação máx. 4,37 m - juros</t>
  </si>
  <si>
    <t>Caminhão pipa 6.000 l, peso bruto total 13.000 kg, distância entre eixos 4,80 m, potência 189 cv inclusive tanque de aço para transporte de água, capacidade 6 m3 - juros</t>
  </si>
  <si>
    <t>Martelo demolidor elétrico, com potência de 2.000 w, 1.000 impactos por minuto, peso de 30 kg - juros</t>
  </si>
  <si>
    <t>Betoneira capacidade nominal de 400 l, capacidade de mistura 280 l, motor elétrico trifásico potência de 2 cv, sem carregador - manutenção</t>
  </si>
  <si>
    <t>Caminhão basculante 6m3 toco, peso bruto total 16.000kg, carga útil máx. 11.130kg, dist. entre eixos 5,36m, pot. 185 cv, incl. caçamba metálica - manutenção</t>
  </si>
  <si>
    <t>Vibrador de imersão, diâmetro de ponteira 45mm, motor elétrico trifásico potência de 2 cv - manutenção</t>
  </si>
  <si>
    <t>Guindauto hidráulico, capacidade máxima de carga 6200 kg, momento máximo de carga 11,7 tm, alcance máximo horizontal 9,70 m, inclusive caminhão toco pbt 16.000 kg, potência de 189 cv - manutenção.</t>
  </si>
  <si>
    <t>Pá carregadeira sobre rodas, potência líquida 128 hp, capacidade da caçamba 1,7 a 2,8 m3, peso operacional 11632 kg - manutenção.</t>
  </si>
  <si>
    <t>Cortadora de piso com motor 4 tempos a gasolina, potência de 13 hp, com disco de corte diamantado segmentado para concreto, diâmetro de 350 mm, furo de 1" (14 x 1") - manutenção</t>
  </si>
  <si>
    <t>Compactador de solos de percusão (soquete) com motor a gasolina, potência 3 cv - manutenção</t>
  </si>
  <si>
    <t>Retroescavadeira sobre rodas com carregadeira, tração 4x2, potência líq. 79 hp, caçamba carreg. cap. mín. 1 m3, caçamba retro cap. 0,20 m3, peso operacional mín. 6.570 kg, profundidade escavação máx. 4,37 m - manutenção</t>
  </si>
  <si>
    <t>Caminhão pipa 6.000 l, peso bruto total 13.000 kg, distância entre eixos 4,80 m, potência 189 cv inclusive tanque de aço para transporte de água, capacidade 6 m3 - manutenção</t>
  </si>
  <si>
    <t>Martelo demolidor elétrico, com potência de 2.000 w, 1.000 impactos por minuto, peso de 30 kg - manutenção</t>
  </si>
  <si>
    <t>Betoneira capacidade nominal de 400 l, capacidade de mistura 280 l, motor elétrico trifásico potência de 2 cv, sem carregador - materiais na operação</t>
  </si>
  <si>
    <t>Caminhão basculante 6m3 toco, peso bruto total 16.000 kg, carga útil máx. 11.130kg, dist. entre eixos 5,36m, pot. 185cv, incl. caçamba metálica - materiais na operação</t>
  </si>
  <si>
    <t>Vibrador de imersão, diâmetro de ponteira 45mm, motor elétrico trifásico potência de 2 cv - materiais na operação.</t>
  </si>
  <si>
    <t>Guindauto hidráulico, capacidade máxima de carga 6200 kg, momento máximo de carga 11,7 tm, alcance máximo horizontal 9,70 m, inclusive caminhão toco pbt 16.000 kg, potência de 189 cv - materiais na operação.</t>
  </si>
  <si>
    <t>Pá carregadeira sobre rodas, potência líquida 128 hp, capacidade da caçamba 1,7 a 2,8 m3, peso operacional 11632 kg - materiais na operação.</t>
  </si>
  <si>
    <t>Cortadora de piso com motor 4 tempos a gasolina, potência de 13 hp, com disco de corte diamantado segmentado para concreto, diâmetro de 350 mm, furo de 1" (14 x 1") - materiais na operação</t>
  </si>
  <si>
    <t>Compactador de solos de percusão (soquete) com motor a gasolina, potência 3 cv - materiais na operação</t>
  </si>
  <si>
    <t>Retroescavadeira sobre rodas com carregadeira, tração 4x2, potência líq. 79 hp, caçamba carreg. cap. mín. 1 m3, caçamba retro cap. 0,20 m3, peso operacional mín. 6.570 kg, profundidade escavação máx. 4,37 m - materiais na operação</t>
  </si>
  <si>
    <t>Caminhão pipa 6.000 l, peso bruto total 13.000 kg, distância entre eixos 4,80 m, potência 189 cv inclusive tanque de aço para transporte de água, capacidade 6 m3 - materiais na operação</t>
  </si>
  <si>
    <t>Martelo demolidor elétrico, com potência de 2.000 w, 1.000 impactos por minuto, peso de 30 kg - materiais na operação</t>
  </si>
  <si>
    <t>Caminhão basculante 6m3 toco, peso bruto total 16.000kg, carga útil máx. 11.130 kg, dist. entre eixos 5,36 m, pot. 185cv, incl. caçamba metálica - impostos e seguros</t>
  </si>
  <si>
    <t>Guindauto hidráulico, capacidade máxima de carga 6200 kg, momento máximo de carga 11,7 tm, alcance máximo horizontal 9,70 m, inclusive caminhão toco pbt 16.000 kg, potência de 189 cv - impostos e seguros.</t>
  </si>
  <si>
    <t>Caminhão pipa 6.000 l, peso bruto total 13.000 kg, distância entre eixos 4,80 m, potência 189 cv inclusive tanque de aço para transporte de água, capacidade 6 m3 - impostos e seguros</t>
  </si>
  <si>
    <t>8,31</t>
  </si>
  <si>
    <t>20,89</t>
  </si>
  <si>
    <t>26,05</t>
  </si>
  <si>
    <t>35,16</t>
  </si>
  <si>
    <t>4,10</t>
  </si>
  <si>
    <t>13,45</t>
  </si>
  <si>
    <t>20,76</t>
  </si>
  <si>
    <t>129,64</t>
  </si>
  <si>
    <t>19,71</t>
  </si>
  <si>
    <t>46,05</t>
  </si>
  <si>
    <t>59,35</t>
  </si>
  <si>
    <t>33,27</t>
  </si>
  <si>
    <t>37,27</t>
  </si>
  <si>
    <t>53,96</t>
  </si>
  <si>
    <t>61,78</t>
  </si>
  <si>
    <t>69,86</t>
  </si>
  <si>
    <t>78,17</t>
  </si>
  <si>
    <t>86,58</t>
  </si>
  <si>
    <t>106,41</t>
  </si>
  <si>
    <t>66,15</t>
  </si>
  <si>
    <t>97,22</t>
  </si>
  <si>
    <t>111,43</t>
  </si>
  <si>
    <t>125,91</t>
  </si>
  <si>
    <t>140,61</t>
  </si>
  <si>
    <t>155,43</t>
  </si>
  <si>
    <t>188,04</t>
  </si>
  <si>
    <t>44,63</t>
  </si>
  <si>
    <t>26,09</t>
  </si>
  <si>
    <t>31,66</t>
  </si>
  <si>
    <t>48,32</t>
  </si>
  <si>
    <t>65,99</t>
  </si>
  <si>
    <t>78,29</t>
  </si>
  <si>
    <t>89,84</t>
  </si>
  <si>
    <t>29,44</t>
  </si>
  <si>
    <t>43,53</t>
  </si>
  <si>
    <t>51,22</t>
  </si>
  <si>
    <t>58,91</t>
  </si>
  <si>
    <t>74,55</t>
  </si>
  <si>
    <t>90,80</t>
  </si>
  <si>
    <t>107,97</t>
  </si>
  <si>
    <t>125,88</t>
  </si>
  <si>
    <t>153,17</t>
  </si>
  <si>
    <t>123,56</t>
  </si>
  <si>
    <t>156,34</t>
  </si>
  <si>
    <t>173,20</t>
  </si>
  <si>
    <t>212,82</t>
  </si>
  <si>
    <t>62,99</t>
  </si>
  <si>
    <t>72,15</t>
  </si>
  <si>
    <t>90,72</t>
  </si>
  <si>
    <t>112,50</t>
  </si>
  <si>
    <t>133,21</t>
  </si>
  <si>
    <t>152,34</t>
  </si>
  <si>
    <t>172,05</t>
  </si>
  <si>
    <t>192,19</t>
  </si>
  <si>
    <t>212,59</t>
  </si>
  <si>
    <t>49,20</t>
  </si>
  <si>
    <t>106,28</t>
  </si>
  <si>
    <t>113,71</t>
  </si>
  <si>
    <t>139,73</t>
  </si>
  <si>
    <t>22,30</t>
  </si>
  <si>
    <t>31,47</t>
  </si>
  <si>
    <t>36,06</t>
  </si>
  <si>
    <t>40,63</t>
  </si>
  <si>
    <t>56,24</t>
  </si>
  <si>
    <t>66,57</t>
  </si>
  <si>
    <t>86,02</t>
  </si>
  <si>
    <t>52,53</t>
  </si>
  <si>
    <t>69,69</t>
  </si>
  <si>
    <t>78,28</t>
  </si>
  <si>
    <t>95,43</t>
  </si>
  <si>
    <t>129,77</t>
  </si>
  <si>
    <t>146,92</t>
  </si>
  <si>
    <t>168,39</t>
  </si>
  <si>
    <t>54,48</t>
  </si>
  <si>
    <t>62,19</t>
  </si>
  <si>
    <t>69,91</t>
  </si>
  <si>
    <t>85,36</t>
  </si>
  <si>
    <t>100,80</t>
  </si>
  <si>
    <t>116,23</t>
  </si>
  <si>
    <t>131,68</t>
  </si>
  <si>
    <t>150,39</t>
  </si>
  <si>
    <t>58,35</t>
  </si>
  <si>
    <t>289,37</t>
  </si>
  <si>
    <t>442,67</t>
  </si>
  <si>
    <t>623,37</t>
  </si>
  <si>
    <t>727,57</t>
  </si>
  <si>
    <t>86,93</t>
  </si>
  <si>
    <t>144,35</t>
  </si>
  <si>
    <t>226,18</t>
  </si>
  <si>
    <t>335,78</t>
  </si>
  <si>
    <t>440,34</t>
  </si>
  <si>
    <t>583,20</t>
  </si>
  <si>
    <t>870,42</t>
  </si>
  <si>
    <t>27,19</t>
  </si>
  <si>
    <t>39,71</t>
  </si>
  <si>
    <t>52,17</t>
  </si>
  <si>
    <t>64,64</t>
  </si>
  <si>
    <t>70,86</t>
  </si>
  <si>
    <t>89,55</t>
  </si>
  <si>
    <t>4,57</t>
  </si>
  <si>
    <t>5,79</t>
  </si>
  <si>
    <t>7,23</t>
  </si>
  <si>
    <t>7,94</t>
  </si>
  <si>
    <t>18,47</t>
  </si>
  <si>
    <t>153,53</t>
  </si>
  <si>
    <t>2,08</t>
  </si>
  <si>
    <t>240,23</t>
  </si>
  <si>
    <t>1.413,45</t>
  </si>
  <si>
    <t>30,92</t>
  </si>
  <si>
    <t>2.175,85</t>
  </si>
  <si>
    <t>2.997,03</t>
  </si>
  <si>
    <t>68,74</t>
  </si>
  <si>
    <t>3,34</t>
  </si>
  <si>
    <t>3,88</t>
  </si>
  <si>
    <t>24,86</t>
  </si>
  <si>
    <t>114,49</t>
  </si>
  <si>
    <t>126,96</t>
  </si>
  <si>
    <t>164,41</t>
  </si>
  <si>
    <t>201,80</t>
  </si>
  <si>
    <t>30,66</t>
  </si>
  <si>
    <t>28,15</t>
  </si>
  <si>
    <t>46,13</t>
  </si>
  <si>
    <t>65,35</t>
  </si>
  <si>
    <t>61,95</t>
  </si>
  <si>
    <t>50,55</t>
  </si>
  <si>
    <t>46,80</t>
  </si>
  <si>
    <t>98,64</t>
  </si>
  <si>
    <t>165,89</t>
  </si>
  <si>
    <t>5,86</t>
  </si>
  <si>
    <t>4,39</t>
  </si>
  <si>
    <t>45,11</t>
  </si>
  <si>
    <t>73,68</t>
  </si>
  <si>
    <t>52,94</t>
  </si>
  <si>
    <t>52,15</t>
  </si>
  <si>
    <t>232,57</t>
  </si>
  <si>
    <t>229,94</t>
  </si>
  <si>
    <t>350,31</t>
  </si>
  <si>
    <t>347,20</t>
  </si>
  <si>
    <t>493,97</t>
  </si>
  <si>
    <t>490,38</t>
  </si>
  <si>
    <t>33,80</t>
  </si>
  <si>
    <t>39,33</t>
  </si>
  <si>
    <t>45,21</t>
  </si>
  <si>
    <t>71,82</t>
  </si>
  <si>
    <t>132,22</t>
  </si>
  <si>
    <t>125,40</t>
  </si>
  <si>
    <t>219,82</t>
  </si>
  <si>
    <t>231,86</t>
  </si>
  <si>
    <t>412,01</t>
  </si>
  <si>
    <t>35,87</t>
  </si>
  <si>
    <t>505,06</t>
  </si>
  <si>
    <t>43,52</t>
  </si>
  <si>
    <t>54,54</t>
  </si>
  <si>
    <t>680,97</t>
  </si>
  <si>
    <t>64,80</t>
  </si>
  <si>
    <t>1.008,57</t>
  </si>
  <si>
    <t>74,30</t>
  </si>
  <si>
    <t>1.035,04</t>
  </si>
  <si>
    <t>87,56</t>
  </si>
  <si>
    <t>222,48</t>
  </si>
  <si>
    <t>235,65</t>
  </si>
  <si>
    <t>32,33</t>
  </si>
  <si>
    <t>416,93</t>
  </si>
  <si>
    <t>40,79</t>
  </si>
  <si>
    <t>49,57</t>
  </si>
  <si>
    <t>664,59</t>
  </si>
  <si>
    <t>61,74</t>
  </si>
  <si>
    <t>689,30</t>
  </si>
  <si>
    <t>73,13</t>
  </si>
  <si>
    <t>1.018,03</t>
  </si>
  <si>
    <t>83,76</t>
  </si>
  <si>
    <t>1.045,64</t>
  </si>
  <si>
    <t>98,16</t>
  </si>
  <si>
    <t>161,78</t>
  </si>
  <si>
    <t>196,78</t>
  </si>
  <si>
    <t>300,06</t>
  </si>
  <si>
    <t>398,91</t>
  </si>
  <si>
    <t>482,97</t>
  </si>
  <si>
    <t>554,44</t>
  </si>
  <si>
    <t>575,27</t>
  </si>
  <si>
    <t>165,58</t>
  </si>
  <si>
    <t>201,70</t>
  </si>
  <si>
    <t>306,10</t>
  </si>
  <si>
    <t>406,10</t>
  </si>
  <si>
    <t>491,27</t>
  </si>
  <si>
    <t>563,93</t>
  </si>
  <si>
    <t>585,88</t>
  </si>
  <si>
    <t>36,74</t>
  </si>
  <si>
    <t>47,34</t>
  </si>
  <si>
    <t>58,11</t>
  </si>
  <si>
    <t>69,13</t>
  </si>
  <si>
    <t>91,88</t>
  </si>
  <si>
    <t>103,57</t>
  </si>
  <si>
    <t>832,22</t>
  </si>
  <si>
    <t>127,70</t>
  </si>
  <si>
    <t>1.186,26</t>
  </si>
  <si>
    <t>29,12</t>
  </si>
  <si>
    <t>40,54</t>
  </si>
  <si>
    <t>64,15</t>
  </si>
  <si>
    <t>88,70</t>
  </si>
  <si>
    <t>101,37</t>
  </si>
  <si>
    <t>114,18</t>
  </si>
  <si>
    <t>845,08</t>
  </si>
  <si>
    <t>140,56</t>
  </si>
  <si>
    <t>1.202,52</t>
  </si>
  <si>
    <t>181,84</t>
  </si>
  <si>
    <t>139,92</t>
  </si>
  <si>
    <t>192,26</t>
  </si>
  <si>
    <t>111,52</t>
  </si>
  <si>
    <t>137,91</t>
  </si>
  <si>
    <t>197,18</t>
  </si>
  <si>
    <t>17,30</t>
  </si>
  <si>
    <t>45,86</t>
  </si>
  <si>
    <t>59,64</t>
  </si>
  <si>
    <t>65,54</t>
  </si>
  <si>
    <t>114,05</t>
  </si>
  <si>
    <t>131,34</t>
  </si>
  <si>
    <t>141,86</t>
  </si>
  <si>
    <t>169,67</t>
  </si>
  <si>
    <t>50,04</t>
  </si>
  <si>
    <t>59,85</t>
  </si>
  <si>
    <t>84,36</t>
  </si>
  <si>
    <t>108,87</t>
  </si>
  <si>
    <t>179,43</t>
  </si>
  <si>
    <t>203,93</t>
  </si>
  <si>
    <t>274,48</t>
  </si>
  <si>
    <t>299,00</t>
  </si>
  <si>
    <t>369,55</t>
  </si>
  <si>
    <t>394,06</t>
  </si>
  <si>
    <t>443,07</t>
  </si>
  <si>
    <t>538,14</t>
  </si>
  <si>
    <t>587,16</t>
  </si>
  <si>
    <t>682,23</t>
  </si>
  <si>
    <t>875,32</t>
  </si>
  <si>
    <t>65,91</t>
  </si>
  <si>
    <t>80,61</t>
  </si>
  <si>
    <t>154,14</t>
  </si>
  <si>
    <t>259,98</t>
  </si>
  <si>
    <t>296,74</t>
  </si>
  <si>
    <t>402,58</t>
  </si>
  <si>
    <t>439,34</t>
  </si>
  <si>
    <t>545,19</t>
  </si>
  <si>
    <t>581,94</t>
  </si>
  <si>
    <t>655,46</t>
  </si>
  <si>
    <t>798,05</t>
  </si>
  <si>
    <t>871,59</t>
  </si>
  <si>
    <t>1.014,17</t>
  </si>
  <si>
    <t>1.087,71</t>
  </si>
  <si>
    <t>1.303,83</t>
  </si>
  <si>
    <t>34,19</t>
  </si>
  <si>
    <t>39,09</t>
  </si>
  <si>
    <t>63,60</t>
  </si>
  <si>
    <t>98,90</t>
  </si>
  <si>
    <t>111,13</t>
  </si>
  <si>
    <t>146,42</t>
  </si>
  <si>
    <t>158,66</t>
  </si>
  <si>
    <t>193,95</t>
  </si>
  <si>
    <t>206,18</t>
  </si>
  <si>
    <t>230,70</t>
  </si>
  <si>
    <t>278,23</t>
  </si>
  <si>
    <t>302,73</t>
  </si>
  <si>
    <t>350,22</t>
  </si>
  <si>
    <t>374,79</t>
  </si>
  <si>
    <t>446,82</t>
  </si>
  <si>
    <t>123,25</t>
  </si>
  <si>
    <t>263,60</t>
  </si>
  <si>
    <t>410,29</t>
  </si>
  <si>
    <t>1.005,42</t>
  </si>
  <si>
    <t>1.621,27</t>
  </si>
  <si>
    <t>2.844,05</t>
  </si>
  <si>
    <t>4.229,53</t>
  </si>
  <si>
    <t>2.788,22</t>
  </si>
  <si>
    <t>4.555,64</t>
  </si>
  <si>
    <t>5.024,84</t>
  </si>
  <si>
    <t>4,33</t>
  </si>
  <si>
    <t>13,66</t>
  </si>
  <si>
    <t>34,70</t>
  </si>
  <si>
    <t>43,38</t>
  </si>
  <si>
    <t>48,81</t>
  </si>
  <si>
    <t>60,73</t>
  </si>
  <si>
    <t>86,76</t>
  </si>
  <si>
    <t>13,87</t>
  </si>
  <si>
    <t>47,72</t>
  </si>
  <si>
    <t>69,41</t>
  </si>
  <si>
    <t>97,62</t>
  </si>
  <si>
    <t>108,47</t>
  </si>
  <si>
    <t>121,48</t>
  </si>
  <si>
    <t>136,66</t>
  </si>
  <si>
    <t>154,02</t>
  </si>
  <si>
    <t>173,55</t>
  </si>
  <si>
    <t>19,29</t>
  </si>
  <si>
    <t>38,61</t>
  </si>
  <si>
    <t>248,52</t>
  </si>
  <si>
    <t>2.680,94</t>
  </si>
  <si>
    <t>33,48</t>
  </si>
  <si>
    <t>1.520,83</t>
  </si>
  <si>
    <t>84,52</t>
  </si>
  <si>
    <t>2.150,42</t>
  </si>
  <si>
    <t>205,39</t>
  </si>
  <si>
    <t>399,74</t>
  </si>
  <si>
    <t>404,64</t>
  </si>
  <si>
    <t>522,79</t>
  </si>
  <si>
    <t>105,73</t>
  </si>
  <si>
    <t>82,71</t>
  </si>
  <si>
    <t>123,39</t>
  </si>
  <si>
    <t>122,85</t>
  </si>
  <si>
    <t>151,32</t>
  </si>
  <si>
    <t>125,13</t>
  </si>
  <si>
    <t>173,58</t>
  </si>
  <si>
    <t>215,50</t>
  </si>
  <si>
    <t>142,68</t>
  </si>
  <si>
    <t>178,16</t>
  </si>
  <si>
    <t>105,34</t>
  </si>
  <si>
    <t>70,73</t>
  </si>
  <si>
    <t>5.903,09</t>
  </si>
  <si>
    <t>10.082,46</t>
  </si>
  <si>
    <t>7.809,94</t>
  </si>
  <si>
    <t>1.841,27</t>
  </si>
  <si>
    <t>134,20</t>
  </si>
  <si>
    <t>13,42</t>
  </si>
  <si>
    <t>114,14</t>
  </si>
  <si>
    <t>30,49</t>
  </si>
  <si>
    <t>219,80</t>
  </si>
  <si>
    <t>158,45</t>
  </si>
  <si>
    <t>145,52</t>
  </si>
  <si>
    <t>167,52</t>
  </si>
  <si>
    <t>205,79</t>
  </si>
  <si>
    <t>238,14</t>
  </si>
  <si>
    <t>217,18</t>
  </si>
  <si>
    <t>378,41</t>
  </si>
  <si>
    <t>182,37</t>
  </si>
  <si>
    <t>284,41</t>
  </si>
  <si>
    <t>272,83</t>
  </si>
  <si>
    <t>715,26</t>
  </si>
  <si>
    <t>169,73</t>
  </si>
  <si>
    <t>146,76</t>
  </si>
  <si>
    <t>152,13</t>
  </si>
  <si>
    <t>126,29</t>
  </si>
  <si>
    <t>204,04</t>
  </si>
  <si>
    <t>317,85</t>
  </si>
  <si>
    <t>36,44</t>
  </si>
  <si>
    <t>4,96</t>
  </si>
  <si>
    <t>277,01</t>
  </si>
  <si>
    <t>281,41</t>
  </si>
  <si>
    <t>175,42</t>
  </si>
  <si>
    <t>236,70</t>
  </si>
  <si>
    <t>60,35</t>
  </si>
  <si>
    <t>256,32</t>
  </si>
  <si>
    <t>220,26</t>
  </si>
  <si>
    <t>188,65</t>
  </si>
  <si>
    <t>190,95</t>
  </si>
  <si>
    <t>170,80</t>
  </si>
  <si>
    <t>249,03</t>
  </si>
  <si>
    <t>21,82</t>
  </si>
  <si>
    <t>266,12</t>
  </si>
  <si>
    <t>105,74</t>
  </si>
  <si>
    <t>230,18</t>
  </si>
  <si>
    <t>260,72</t>
  </si>
  <si>
    <t>180,22</t>
  </si>
  <si>
    <t>209,51</t>
  </si>
  <si>
    <t>140,53</t>
  </si>
  <si>
    <t>572,45</t>
  </si>
  <si>
    <t>1.342,02</t>
  </si>
  <si>
    <t>1.163,44</t>
  </si>
  <si>
    <t>328,16</t>
  </si>
  <si>
    <t>238,82</t>
  </si>
  <si>
    <t>233,48</t>
  </si>
  <si>
    <t>336,06</t>
  </si>
  <si>
    <t>371,20</t>
  </si>
  <si>
    <t>175,06</t>
  </si>
  <si>
    <t>32,87</t>
  </si>
  <si>
    <t>766,67</t>
  </si>
  <si>
    <t>408,13</t>
  </si>
  <si>
    <t>183,26</t>
  </si>
  <si>
    <t>202,19</t>
  </si>
  <si>
    <t>103,28</t>
  </si>
  <si>
    <t>259,99</t>
  </si>
  <si>
    <t>10,86</t>
  </si>
  <si>
    <t>269,55</t>
  </si>
  <si>
    <t>47,47</t>
  </si>
  <si>
    <t>235,10</t>
  </si>
  <si>
    <t>474,91</t>
  </si>
  <si>
    <t>40,20</t>
  </si>
  <si>
    <t>3,19</t>
  </si>
  <si>
    <t>95,21</t>
  </si>
  <si>
    <t>79,85</t>
  </si>
  <si>
    <t>411,64</t>
  </si>
  <si>
    <t>89,03</t>
  </si>
  <si>
    <t>1.127,76</t>
  </si>
  <si>
    <t>119,03</t>
  </si>
  <si>
    <t>31,63</t>
  </si>
  <si>
    <t>270,96</t>
  </si>
  <si>
    <t>91,50</t>
  </si>
  <si>
    <t>76,89</t>
  </si>
  <si>
    <t>173,94</t>
  </si>
  <si>
    <t>2.687,55</t>
  </si>
  <si>
    <t>272,54</t>
  </si>
  <si>
    <t>367,64</t>
  </si>
  <si>
    <t>228,49</t>
  </si>
  <si>
    <t>188,61</t>
  </si>
  <si>
    <t>181,81</t>
  </si>
  <si>
    <t>31,77</t>
  </si>
  <si>
    <t>9,99</t>
  </si>
  <si>
    <t>10,21</t>
  </si>
  <si>
    <t>239,59</t>
  </si>
  <si>
    <t>54,45</t>
  </si>
  <si>
    <t>290,61</t>
  </si>
  <si>
    <t>294,84</t>
  </si>
  <si>
    <t>190,67</t>
  </si>
  <si>
    <t>190,20</t>
  </si>
  <si>
    <t>148,40</t>
  </si>
  <si>
    <t>283,25</t>
  </si>
  <si>
    <t>148,87</t>
  </si>
  <si>
    <t>148,48</t>
  </si>
  <si>
    <t>MINIESCAVADEIRA SOBRE ESTEIRAS, POTÊNCIA LÍQUIDA DE *30* HP, PESO OPERACIONAL DE *3.500* KG - CHP DIURNO. AF_04/2017</t>
  </si>
  <si>
    <t>125,44</t>
  </si>
  <si>
    <t>ROLO COMPACTADOR DE PNEUS, ESTÁTICO, PRESSÃO VARIÁVEL, POTÊNCIA 110 HP, PESO SEM/COM LASTRO 10,8/27 T, LARGURA DE ROLAGEM 2,30 M - CHP DIURNO. AF_06/2017</t>
  </si>
  <si>
    <t>227,43</t>
  </si>
  <si>
    <t>4.829,69</t>
  </si>
  <si>
    <t>6.580,15</t>
  </si>
  <si>
    <t>102874</t>
  </si>
  <si>
    <t>PERFURATRIZ HIDRÁULICA SOBRE ESTEIRA, TORQUE MÁXIMO 161 KNM, PROFUNDIDADE MÁXIMA 54 M, DIÂMETRO MÁXIMO 1500 MM, POTÊNCIA MOTOR 268 HP - CHP DIURNO. AF_04/2019</t>
  </si>
  <si>
    <t>1.046,33</t>
  </si>
  <si>
    <t>102880</t>
  </si>
  <si>
    <t>PERFURATRIZ PARA EXECUÇÃO DE ESTACAS SECANTES, TIPO HÉLICE CONTÍNUA COM CABEÇOTE DUPLO E TUBO METÁLICO - CHP DIURNO. AF_04/2019</t>
  </si>
  <si>
    <t>1.452,15</t>
  </si>
  <si>
    <t>102964</t>
  </si>
  <si>
    <t>PERFURATRIZ HIDRÁULICA SOBRE ESTEIRA, TORQUE MÁXIMO 98 KNM, PROFUNDIDADE MÁXIMA 25 M, DIÂMETRO MÁXIMO 115 MM, POTÊNCIA MOTOR 190 HP - CHP DIURNO. AF_02/2021</t>
  </si>
  <si>
    <t>500,87</t>
  </si>
  <si>
    <t>102976</t>
  </si>
  <si>
    <t>PERFURATRIZ ROTATIVA SOBRE ESTEIRA, TORQUE MAXIMO 2500 KGM, POTENCIA 110 HP, MOTOR DIESEL- CHP DIURNO. AF_05/2017</t>
  </si>
  <si>
    <t>289,99</t>
  </si>
  <si>
    <t>103224</t>
  </si>
  <si>
    <t>PERFURATRIZ PARA FURO DIRECIONAL HORIZONTAL (HDD) COM CAPACIDADE ATÉ 89 KN, POTÊNCIA 24,8 HP A 80 HP (INCLUSO FERRAMENTAS E LOCALIZADOR) - CHP DIURNO. AF_05/2023</t>
  </si>
  <si>
    <t>103230</t>
  </si>
  <si>
    <t>PERFURATRIZ PARA FURO DIRECIONAL HORIZONTAL (HDD) COM CAPACIDADE DE 90 KN A 200 KN, POTÊNCIA 100 HP A 160 HP (INCLUSO FERRAMENTAS E LOCALIZADOR) - CHP DIURNO. AF_05/2023</t>
  </si>
  <si>
    <t>991,71</t>
  </si>
  <si>
    <t>103236</t>
  </si>
  <si>
    <t>PERFURATRIZ PARA FURO DIRECIONAL HORIZONTAL (HDD) COM CAPACIDADE DE 201 KN A 560 KN, POTÊNCIA 200 HP A 260 HP (INCLUSO FERRAMENTAS E LOCALIZADOR) - CHP DIURNO. AF_05/2023</t>
  </si>
  <si>
    <t>1.354,66</t>
  </si>
  <si>
    <t>104695</t>
  </si>
  <si>
    <t>PERFURATRIZ DE COROA DIAMANTADA PARA CONCRETO, DIÂMETRO ATÉ 250 MM, MOTOR ELÉTRICO 220 V, POTÊNCIA 2.500 W - CHP DIURNO. AF_05/2023</t>
  </si>
  <si>
    <t>104716</t>
  </si>
  <si>
    <t>ESCAVADEIRA HIDRÁULICA DE BRAÇO LONGO (LONGO ALCANCE) SOBRE ESTEIRAS, CAÇAMBA 0,52 M3, PESO OPERACIONAL 24 T, POTÊNCIA LÍQUIDA 155 HP  - CHP DIURNO. AF_06/2023</t>
  </si>
  <si>
    <t>280,78</t>
  </si>
  <si>
    <t>96,93</t>
  </si>
  <si>
    <t>68,90</t>
  </si>
  <si>
    <t>70,50</t>
  </si>
  <si>
    <t>62,62</t>
  </si>
  <si>
    <t>182,06</t>
  </si>
  <si>
    <t>4,69</t>
  </si>
  <si>
    <t>64,23</t>
  </si>
  <si>
    <t>101,21</t>
  </si>
  <si>
    <t>101,60</t>
  </si>
  <si>
    <t>85,40</t>
  </si>
  <si>
    <t>56,04</t>
  </si>
  <si>
    <t>60,16</t>
  </si>
  <si>
    <t>74,56</t>
  </si>
  <si>
    <t>82,64</t>
  </si>
  <si>
    <t>101,11</t>
  </si>
  <si>
    <t>64,78</t>
  </si>
  <si>
    <t>61,92</t>
  </si>
  <si>
    <t>86,28</t>
  </si>
  <si>
    <t>47,24</t>
  </si>
  <si>
    <t>89,51</t>
  </si>
  <si>
    <t>104,74</t>
  </si>
  <si>
    <t>87,25</t>
  </si>
  <si>
    <t>112,83</t>
  </si>
  <si>
    <t>191,74</t>
  </si>
  <si>
    <t>401,34</t>
  </si>
  <si>
    <t>353,31</t>
  </si>
  <si>
    <t>125,98</t>
  </si>
  <si>
    <t>91,09</t>
  </si>
  <si>
    <t>95,03</t>
  </si>
  <si>
    <t>106,78</t>
  </si>
  <si>
    <t>345,24</t>
  </si>
  <si>
    <t>179,12</t>
  </si>
  <si>
    <t>83,43</t>
  </si>
  <si>
    <t>66,46</t>
  </si>
  <si>
    <t>68,41</t>
  </si>
  <si>
    <t>64,76</t>
  </si>
  <si>
    <t>100,08</t>
  </si>
  <si>
    <t>38,98</t>
  </si>
  <si>
    <t>44,18</t>
  </si>
  <si>
    <t>82,36</t>
  </si>
  <si>
    <t>30,11</t>
  </si>
  <si>
    <t>508,64</t>
  </si>
  <si>
    <t>72,18</t>
  </si>
  <si>
    <t>84,87</t>
  </si>
  <si>
    <t>30,73</t>
  </si>
  <si>
    <t>198,04</t>
  </si>
  <si>
    <t>70,09</t>
  </si>
  <si>
    <t>35,13</t>
  </si>
  <si>
    <t>345,15</t>
  </si>
  <si>
    <t>151,02</t>
  </si>
  <si>
    <t>233,88</t>
  </si>
  <si>
    <t>62,26</t>
  </si>
  <si>
    <t>114,57</t>
  </si>
  <si>
    <t>29,82</t>
  </si>
  <si>
    <t>29,47</t>
  </si>
  <si>
    <t>90,66</t>
  </si>
  <si>
    <t>119,77</t>
  </si>
  <si>
    <t>61,65</t>
  </si>
  <si>
    <t>83,92</t>
  </si>
  <si>
    <t>100,11</t>
  </si>
  <si>
    <t>MINIESCAVADEIRA SOBRE ESTEIRAS, POTÊNCIA LÍQUIDA DE *30* HP, PESO OPERACIONAL DE *3.500* KG - CHI DIURNO. AF_04/2017</t>
  </si>
  <si>
    <t>73,04</t>
  </si>
  <si>
    <t>ROLO COMPACTADOR DE PNEUS, ESTÁTICO, PRESSÃO VARIÁVEL, POTÊNCIA 110 HP, PESO SEM/COM LASTRO 10,8/27 T, LARGURA DE ROLAGEM 2,30 M - CHI DIURNO. AF_06/2017</t>
  </si>
  <si>
    <t>296,75</t>
  </si>
  <si>
    <t>579,64</t>
  </si>
  <si>
    <t>28,84</t>
  </si>
  <si>
    <t>102875</t>
  </si>
  <si>
    <t>PERFURATRIZ HIDRÁULICA SOBRE ESTEIRA, TORQUE MÁXIMO 161 KNM, PROFUNDIDADE MÁXIMA 54 M, DIÂMETRO MÁXIMO 1500 MM, POTÊNCIA MOTOR 268 HP - CHI DIURNO. AF_04/2019</t>
  </si>
  <si>
    <t>486,34</t>
  </si>
  <si>
    <t>102881</t>
  </si>
  <si>
    <t>PERFURATRIZ PARA EXECUÇÃO DE ESTACAS SECANTES, TIPO HÉLICE CONTÍNUA COM CABEÇOTE DUPLO E TUBO METÁLICO - CHI DIURNO. AF_04/2019</t>
  </si>
  <si>
    <t>660,70</t>
  </si>
  <si>
    <t>102965</t>
  </si>
  <si>
    <t>PERFURATRIZ HIDRÁULICA SOBRE ESTEIRA, TORQUE MÁXIMO 98 KNM, PROFUNDIDADE MÁXIMA 25 M, DIÂMETRO MÁXIMO 115 MM, POTÊNCIA MOTOR 190 HP - CHI DIURNO. AF_02/2021</t>
  </si>
  <si>
    <t>256,04</t>
  </si>
  <si>
    <t>102975</t>
  </si>
  <si>
    <t>PERFURATRIZ ROTATIVA SOBRE ESTEIRA, TORQUE MAXIMO 2500 KGM, POTENCIA 110 HP, MOTOR DIESEL - CHI DIURNO. AF_05/2017</t>
  </si>
  <si>
    <t>155,46</t>
  </si>
  <si>
    <t>103225</t>
  </si>
  <si>
    <t>PERFURATRIZ PARA FURO DIRECIONAL HORIZONTAL (HDD) COM CAPACIDADE ATÉ 89 KN, POTÊNCIA 24,8 HP A 80 HP (INCLUSO FERRAMENTAS E LOCALIZADOR) - CHI DIURNO. AF_05/2023</t>
  </si>
  <si>
    <t>229,05</t>
  </si>
  <si>
    <t>103231</t>
  </si>
  <si>
    <t>PERFURATRIZ PARA FURO DIRECIONAL HORIZONTAL (HDD) COM CAPACIDADE DE 90 KN A 200 KN, POTÊNCIA 100 HP A 160 HP (INCLUSO FERRAMENTAS E LOCALIZADOR) - CHI DIURNO. AF_05/2023</t>
  </si>
  <si>
    <t>475,16</t>
  </si>
  <si>
    <t>103237</t>
  </si>
  <si>
    <t>PERFURATRIZ PARA FURO DIRECIONAL HORIZONTAL (HDD) COM CAPACIDADE DE 201 KN A 560 KN, POTÊNCIA 200 HP A 260 HP (INCLUSO FERRAMENTAS E LOCALIZADOR) - CHI DIURNO. AF_05/2023</t>
  </si>
  <si>
    <t>635,50</t>
  </si>
  <si>
    <t>104696</t>
  </si>
  <si>
    <t>PERFURATRIZ DE COROA DIAMANTADA PARA CONCRETO, DIÂMETRO ATÉ 250 MM, MOTOR ELÉTRICO 220 V, POTÊNCIA 2.500 W - CHI DIURNO. AF_05/2023</t>
  </si>
  <si>
    <t>40,06</t>
  </si>
  <si>
    <t>104717</t>
  </si>
  <si>
    <t>ESCAVADEIRA HIDRÁULICA DE BRAÇO LONGO (LONGO ALCANCE) SOBRE ESTEIRAS, CAÇAMBA 0,52 M3, PESO OPERACIONAL 24 T, POTÊNCIA LÍQUIDA 155 HP - CHI DIURNO. AF_06/2023</t>
  </si>
  <si>
    <t>114,83</t>
  </si>
  <si>
    <t>12,40</t>
  </si>
  <si>
    <t>58,69</t>
  </si>
  <si>
    <t>45,65</t>
  </si>
  <si>
    <t>40,11</t>
  </si>
  <si>
    <t>78,94</t>
  </si>
  <si>
    <t>138,42</t>
  </si>
  <si>
    <t>67,10</t>
  </si>
  <si>
    <t>105,84</t>
  </si>
  <si>
    <t>215,99</t>
  </si>
  <si>
    <t>60,04</t>
  </si>
  <si>
    <t>12,10</t>
  </si>
  <si>
    <t>41,60</t>
  </si>
  <si>
    <t>157,52</t>
  </si>
  <si>
    <t>255,45</t>
  </si>
  <si>
    <t>50,10</t>
  </si>
  <si>
    <t>62,69</t>
  </si>
  <si>
    <t>44,43</t>
  </si>
  <si>
    <t>41,49</t>
  </si>
  <si>
    <t>81,17</t>
  </si>
  <si>
    <t>96,31</t>
  </si>
  <si>
    <t>56,91</t>
  </si>
  <si>
    <t>100,90</t>
  </si>
  <si>
    <t>116,04</t>
  </si>
  <si>
    <t>77,84</t>
  </si>
  <si>
    <t>254,96</t>
  </si>
  <si>
    <t>113,59</t>
  </si>
  <si>
    <t>191,67</t>
  </si>
  <si>
    <t>83,38</t>
  </si>
  <si>
    <t>46,96</t>
  </si>
  <si>
    <t>33,33</t>
  </si>
  <si>
    <t>177,42</t>
  </si>
  <si>
    <t>3,71</t>
  </si>
  <si>
    <t>62,84</t>
  </si>
  <si>
    <t>77,83</t>
  </si>
  <si>
    <t>53,12</t>
  </si>
  <si>
    <t>66,41</t>
  </si>
  <si>
    <t>89,57</t>
  </si>
  <si>
    <t>43,54</t>
  </si>
  <si>
    <t>142,61</t>
  </si>
  <si>
    <t>62,82</t>
  </si>
  <si>
    <t>43,27</t>
  </si>
  <si>
    <t>170,30</t>
  </si>
  <si>
    <t>3,92</t>
  </si>
  <si>
    <t>13,85</t>
  </si>
  <si>
    <t>32,05</t>
  </si>
  <si>
    <t>120,11</t>
  </si>
  <si>
    <t>214,25</t>
  </si>
  <si>
    <t>166,46</t>
  </si>
  <si>
    <t>280,58</t>
  </si>
  <si>
    <t>85,91</t>
  </si>
  <si>
    <t>500,48</t>
  </si>
  <si>
    <t>440,20</t>
  </si>
  <si>
    <t>243,81</t>
  </si>
  <si>
    <t>74,65</t>
  </si>
  <si>
    <t>434,89</t>
  </si>
  <si>
    <t>375,24</t>
  </si>
  <si>
    <t>113,43</t>
  </si>
  <si>
    <t>84,45</t>
  </si>
  <si>
    <t>8,42</t>
  </si>
  <si>
    <t>3,40</t>
  </si>
  <si>
    <t>40,57</t>
  </si>
  <si>
    <t>69,33</t>
  </si>
  <si>
    <t>202,64</t>
  </si>
  <si>
    <t>53,54</t>
  </si>
  <si>
    <t>14,36</t>
  </si>
  <si>
    <t>241,56</t>
  </si>
  <si>
    <t>302,29</t>
  </si>
  <si>
    <t>119,14</t>
  </si>
  <si>
    <t>98,47</t>
  </si>
  <si>
    <t>137,65</t>
  </si>
  <si>
    <t>43,16</t>
  </si>
  <si>
    <t>33,00</t>
  </si>
  <si>
    <t>8,89</t>
  </si>
  <si>
    <t>7,12</t>
  </si>
  <si>
    <t>60,37</t>
  </si>
  <si>
    <t>156,62</t>
  </si>
  <si>
    <t>82,00</t>
  </si>
  <si>
    <t>24,80</t>
  </si>
  <si>
    <t>0,75</t>
  </si>
  <si>
    <t>8,54</t>
  </si>
  <si>
    <t>141,25</t>
  </si>
  <si>
    <t>3,57</t>
  </si>
  <si>
    <t>6,37</t>
  </si>
  <si>
    <t>133,32</t>
  </si>
  <si>
    <t>300,02</t>
  </si>
  <si>
    <t>44,82</t>
  </si>
  <si>
    <t>70,75</t>
  </si>
  <si>
    <t>15,93</t>
  </si>
  <si>
    <t>4,67</t>
  </si>
  <si>
    <t>30,19</t>
  </si>
  <si>
    <t>275,05</t>
  </si>
  <si>
    <t>88,67</t>
  </si>
  <si>
    <t>370,39</t>
  </si>
  <si>
    <t>99,37</t>
  </si>
  <si>
    <t>463,51</t>
  </si>
  <si>
    <t>155,61</t>
  </si>
  <si>
    <t>2,59</t>
  </si>
  <si>
    <t>26,87</t>
  </si>
  <si>
    <t>9,41</t>
  </si>
  <si>
    <t>66,81</t>
  </si>
  <si>
    <t>157,32</t>
  </si>
  <si>
    <t>48,36</t>
  </si>
  <si>
    <t>196,80</t>
  </si>
  <si>
    <t>2.145,60</t>
  </si>
  <si>
    <t>2,72</t>
  </si>
  <si>
    <t>111,86</t>
  </si>
  <si>
    <t>22,26</t>
  </si>
  <si>
    <t>146,67</t>
  </si>
  <si>
    <t>32,12</t>
  </si>
  <si>
    <t>54,13</t>
  </si>
  <si>
    <t>59,20</t>
  </si>
  <si>
    <t>47,95</t>
  </si>
  <si>
    <t>60,01</t>
  </si>
  <si>
    <t>67,66</t>
  </si>
  <si>
    <t>81,27</t>
  </si>
  <si>
    <t>272,01</t>
  </si>
  <si>
    <t>6,19</t>
  </si>
  <si>
    <t>37,64</t>
  </si>
  <si>
    <t>MINIESCAVADEIRA SOBRE ESTEIRAS, POTÊNCIA LÍQUIDA DE *30* HP, PESO OPERACIONAL DE *3.500* KG - DEPRECIAÇÃO. AF_04/2017</t>
  </si>
  <si>
    <t>MINIESCAVADEIRA SOBRE ESTEIRAS, POTÊNCIA LÍQUIDA DE *30* HP, PESO OPERACIONAL DE *3.500* KG - JUROS. AF_04/2017</t>
  </si>
  <si>
    <t>MINIESCAVADEIRA SOBRE ESTEIRAS, POTÊNCIA LÍQUIDA DE *30* HP, PESO OPERACIONAL DE *3.500* KG - MANUTENÇÃO. AF_04/2017</t>
  </si>
  <si>
    <t>MINIESCAVADEIRA SOBRE ESTEIRAS, POTÊNCIA LÍQUIDA DE *30* HP, PESO OPERACIONAL DE *3.500* KG - MATERIAIS NA OPERAÇÃO. AF_04/2017</t>
  </si>
  <si>
    <t>ROLO COMPACTADOR DE PNEUS, ESTÁTICO, PRESSÃO VARIÁVEL, POTÊNCIA 110 HP, PESO SEM/COM LASTRO 10,8/27 T, LARGURA DE ROLAGEM 2,30 M - MATERIAIS NA OPERAÇÃO. AF_06/2017</t>
  </si>
  <si>
    <t>ROLO COMPACTADOR DE PNEUS, ESTÁTICO, PRESSÃO VARIÁVEL, POTÊNCIA 110 HP, PESO SEM/COM LASTRO 10,8/27 T, LARGURA DE ROLAGEM 2,30 M - MANUTENÇÃO. AF_06/2017</t>
  </si>
  <si>
    <t>ROLO COMPACTADOR DE PNEUS, ESTÁTICO, PRESSÃO VARIÁVEL, POTÊNCIA 110 HP, PESO SEM/COM LASTRO 10,8/27 T, LARGURA DE ROLAGEM 2,30 M - JUROS. AF_06/2017</t>
  </si>
  <si>
    <t>ROLO COMPACTADOR DE PNEUS, ESTÁTICO, PRESSÃO VARIÁVEL, POTÊNCIA 110 HP, PESO SEM/COM LASTRO 10,8/27 T, LARGURA DE ROLAGEM 2,30 M - DEPRECIAÇÃO. AF_06/2017</t>
  </si>
  <si>
    <t>193,24</t>
  </si>
  <si>
    <t>4.291,20</t>
  </si>
  <si>
    <t>395,96</t>
  </si>
  <si>
    <t>139,57</t>
  </si>
  <si>
    <t>636,51</t>
  </si>
  <si>
    <t>5.364,00</t>
  </si>
  <si>
    <t>134,10</t>
  </si>
  <si>
    <t>65,56</t>
  </si>
  <si>
    <t>102870</t>
  </si>
  <si>
    <t>PERFURATRIZ HIDRÁULICA SOBRE ESTEIRA, TORQUE MÁXIMO 161 KNM, PROFUNDIDADE MÁXIMA 54 M, DIÂMETRO MÁXIMO 1500 MM, POTÊNCIA MOTOR 268 HP - DEPRECIAÇÃO. AF_04/2019</t>
  </si>
  <si>
    <t>352,29</t>
  </si>
  <si>
    <t>102871</t>
  </si>
  <si>
    <t>PERFURATRIZ HIDRÁULICA SOBRE ESTEIRA, TORQUE MÁXIMO 161 KNM, PROFUNDIDADE MÁXIMA 54 M, DIÂMETRO MÁXIMO 1500 MM, POTÊNCIA MOTOR 268 HP - JUROS. AF_04/2019</t>
  </si>
  <si>
    <t>95,17</t>
  </si>
  <si>
    <t>102872</t>
  </si>
  <si>
    <t>PERFURATRIZ HIDRÁULICA SOBRE ESTEIRA, TORQUE MÁXIMO 161 KNM, PROFUNDIDADE MÁXIMA 54 M, DIÂMETRO MÁXIMO 1500 MM, POTÊNCIA MOTOR 268 HP - MANUTENÇÃO. AF_04/2019</t>
  </si>
  <si>
    <t>440,85</t>
  </si>
  <si>
    <t>102876</t>
  </si>
  <si>
    <t>PERFURATRIZ PARA EXECUÇÃO DE ESTACAS SECANTES, TIPO HÉLICE CONTÍNUA COM CABEÇOTE DUPLO E TUBO METÁLICO - DEPRECIAÇÃO. AF_04/2019</t>
  </si>
  <si>
    <t>489,56</t>
  </si>
  <si>
    <t>102877</t>
  </si>
  <si>
    <t>PERFURATRIZ PARA EXECUÇÃO DE ESTACAS SECANTES, TIPO HÉLICE CONTÍNUA COM CABEÇOTE DUPLO E TUBO METÁLICO - JUROS. AF_04/2019</t>
  </si>
  <si>
    <t>132,26</t>
  </si>
  <si>
    <t>102878</t>
  </si>
  <si>
    <t>PERFURATRIZ PARA EXECUÇÃO DE ESTACAS SECANTES, TIPO HÉLICE CONTÍNUA COM CABEÇOTE DUPLO E TUBO METÁLICO - MANUTENÇÃO. AF_04/2019</t>
  </si>
  <si>
    <t>612,65</t>
  </si>
  <si>
    <t>178,80</t>
  </si>
  <si>
    <t>39,15</t>
  </si>
  <si>
    <t>102960</t>
  </si>
  <si>
    <t>PERFURATRIZ HIDRÁULICA SOBRE ESTEIRA, TORQUE MÁXIMO 98 KNM, PROFUNDIDADE MÁXIMA 25 M, DIÂMETRO MÁXIMO 115 MM, POTÊNCIA MOTOR 190 HP - DEPRECIAÇÃO. AF_02/2021</t>
  </si>
  <si>
    <t>170,97</t>
  </si>
  <si>
    <t>102961</t>
  </si>
  <si>
    <t>PERFURATRIZ HIDRÁULICA SOBRE ESTEIRA, TORQUE MÁXIMO 98 KNM, PROFUNDIDADE MÁXIMA 25 M, DIÂMETRO MÁXIMO 115 MM, POTÊNCIA MOTOR 190 HP - JUROS. AF_02/2021</t>
  </si>
  <si>
    <t>102962</t>
  </si>
  <si>
    <t>PERFURATRIZ HIDRÁULICA SOBRE ESTEIRA, TORQUE MÁXIMO 98 KNM, PROFUNDIDADE MÁXIMA 25 M, DIÂMETRO MÁXIMO 115 MM, POTÊNCIA MOTOR 190 HP - MANUTENÇÃO. AF_02/2021</t>
  </si>
  <si>
    <t>160,38</t>
  </si>
  <si>
    <t>102972</t>
  </si>
  <si>
    <t>PERFURATRIZ ROTATIVA SOBRE ESTEIRA, TORQUE MAXIMO 2500 KGM, POTENCIA 110 HP, MOTOR DIESEL - DEPRECIAÇÃO. AF_05/2017</t>
  </si>
  <si>
    <t>91,25</t>
  </si>
  <si>
    <t>102973</t>
  </si>
  <si>
    <t>PERFURATRIZ ROTATIVA SOBRE ESTEIRA, TORQUE MAXIMO 2500 KGM, POTENCIA 110 HP, MOTOR DIESEL - JUROS. AF_05/2017</t>
  </si>
  <si>
    <t>102974</t>
  </si>
  <si>
    <t>PERFURATRIZ ROTATIVA SOBRE ESTEIRA, TORQUE MAXIMO 2500 KGM, POTENCIA 110 HP, MOTOR DIESEL - MANUTENÇÃO. AF_05/2017</t>
  </si>
  <si>
    <t>85,60</t>
  </si>
  <si>
    <t>103220</t>
  </si>
  <si>
    <t>PERFURATRIZ PARA FURO DIRECIONAL HORIZONTAL (HDD) COM CAPACIDADE ATÉ 89 KN, POTÊNCIA 24,8 HP A 80 HP (INCLUSO FERRAMENTAS E LOCALIZADOR) - DEPRECIAÇÃO. AF_05/2023</t>
  </si>
  <si>
    <t>149,72</t>
  </si>
  <si>
    <t>103221</t>
  </si>
  <si>
    <t>PERFURATRIZ PARA FURO DIRECIONAL HORIZONTAL (HDD) COM CAPACIDADE ATÉ 89 KN, POTÊNCIA 24,8 HP A 80 HP (INCLUSO FERRAMENTAS E LOCALIZADOR) - JUROS. AF_05/2023</t>
  </si>
  <si>
    <t>103222</t>
  </si>
  <si>
    <t>PERFURATRIZ PARA FURO DIRECIONAL HORIZONTAL (HDD) COM CAPACIDADE ATÉ 89 KN, POTÊNCIA 24,8 HP A 80 HP (INCLUSO FERRAMENTAS E LOCALIZADOR) - MANUTENÇÃO. AF_05/2023</t>
  </si>
  <si>
    <t>187,36</t>
  </si>
  <si>
    <t>34,92</t>
  </si>
  <si>
    <t>103226</t>
  </si>
  <si>
    <t>PERFURATRIZ PARA FURO DIRECIONAL HORIZONTAL (HDD) COM CAPACIDADE DE 90 KN A 200 KN, POTÊNCIA 100 HP A 160 HP (INCLUSO FERRAMENTAS E LOCALIZADOR) - DEPRECIAÇÃO. AF_05/2023</t>
  </si>
  <si>
    <t>343,48</t>
  </si>
  <si>
    <t>103227</t>
  </si>
  <si>
    <t>PERFURATRIZ PARA FURO DIRECIONAL HORIZONTAL (HDD) COM CAPACIDADE DE 90 KN A 200 KN, POTÊNCIA 100 HP A 160 HP (INCLUSO FERRAMENTAS E LOCALIZADOR) - JUROS. AF_05/2023</t>
  </si>
  <si>
    <t>92,80</t>
  </si>
  <si>
    <t>103228</t>
  </si>
  <si>
    <t>PERFURATRIZ PARA FURO DIRECIONAL HORIZONTAL (HDD) COM CAPACIDADE DE 90 KN A 200 KN, POTÊNCIA 100 HP A 160 HP (INCLUSO FERRAMENTAS E LOCALIZADOR - MANUTENÇÃO. AF_05/2023</t>
  </si>
  <si>
    <t>429,84</t>
  </si>
  <si>
    <t>103232</t>
  </si>
  <si>
    <t>PERFURATRIZ PARA FURO DIRECIONAL HORIZONTAL (HDD) COM CAPACIDADE DE 201 KN A 560 KN, POTÊNCIA 200 HP A 260 HP (INCLUSO FERRAMENTAS E LOCALIZADOR) - DEPRECIAÇÃO. AF_05/2023</t>
  </si>
  <si>
    <t>469,72</t>
  </si>
  <si>
    <t>103233</t>
  </si>
  <si>
    <t>PERFURATRIZ PARA FURO DIRECIONAL HORIZONTAL (HDD) COM CAPACIDADE DE 201 KN A 560 KN, POTÊNCIA 200 HP A 260 HP (INCLUSO FERRAMENTAS E LOCALIZADOR) - JUROS. AF_05/2023</t>
  </si>
  <si>
    <t>126,90</t>
  </si>
  <si>
    <t>103234</t>
  </si>
  <si>
    <t>PERFURATRIZ PARA FURO DIRECIONAL HORIZONTAL (HDD) COM CAPACIDADE DE 201 KN A 560 KN, POTÊNCIA 200 HP A 260 HP (INCLUSO FERRAMENTAS E LOCALIZADOR) - MANUTENÇÃO. AF_05/2023</t>
  </si>
  <si>
    <t>616,90</t>
  </si>
  <si>
    <t>102,26</t>
  </si>
  <si>
    <t>135,17</t>
  </si>
  <si>
    <t>447,71</t>
  </si>
  <si>
    <t>104691</t>
  </si>
  <si>
    <t>PERFURATRIZ DE COROA DIAMANTADA PARA CONCRETO, DIÂMETRO ATÉ 250 MM, MOTOR ELÉTRICO 220 V, POTÊNCIA 2.500 W - DEPRECIAÇÃO. AF_05/2023</t>
  </si>
  <si>
    <t>104692</t>
  </si>
  <si>
    <t>PERFURATRIZ DE COROA DIAMANTADA PARA CONCRETO, DIÂMETRO ATÉ 250 MM, MOTOR ELÉTRICO 220 V, POTÊNCIA 2.500 W - JUROS. AF_05/2023</t>
  </si>
  <si>
    <t>104693</t>
  </si>
  <si>
    <t>PERFURATRIZ DE COROA DIAMANTADA PARA CONCRETO, DIÂMETRO ATÉ 250 MM, MOTOR ELÉTRICO 220 V, POTÊNCIA 2.500 W - MANUTENÇÃO. AF_05/2023</t>
  </si>
  <si>
    <t>92,14</t>
  </si>
  <si>
    <t>1.165,18</t>
  </si>
  <si>
    <t>104712</t>
  </si>
  <si>
    <t>ESCAVADEIRA HIDRÁULICA DE BRAÇO LONGO (LONGO ALCANCE) SOBRE ESTEIRAS, CAÇAMBA 0,52 M3, PESO OPERACIONAL 24 T, POTÊNCIA LÍQUIDA 155 HP - DEPRECIAÇÃO. AF_06/2023</t>
  </si>
  <si>
    <t>61,10</t>
  </si>
  <si>
    <t>104713</t>
  </si>
  <si>
    <t>ESCAVADEIRA HIDRÁULICA DE BRAÇO LONGO (LONGO ALCANCE) SOBRE ESTEIRAS, CAÇAMBA 0,52 M3, PESO OPERACIONAL 24 T, POTÊNCIA LÍQUIDA 155 HP - JUROS. AF_06/2023</t>
  </si>
  <si>
    <t>16,15</t>
  </si>
  <si>
    <t>104714</t>
  </si>
  <si>
    <t>ESCAVADEIRA HIDRÁULICA DE BRAÇO LONGO (LONGO ALCANCE) SOBRE ESTEIRAS, CAÇAMBA 0,52 M3, PESO OPERACIONAL 24 T, POTÊNCIA LÍQUIDA 155 HP - MANUTENÇÃO. AF_06/2023</t>
  </si>
  <si>
    <t>76,38</t>
  </si>
  <si>
    <t>98,34</t>
  </si>
  <si>
    <t>512,59</t>
  </si>
  <si>
    <t>589,74</t>
  </si>
  <si>
    <t>664,55</t>
  </si>
  <si>
    <t>784,99</t>
  </si>
  <si>
    <t>84,06</t>
  </si>
  <si>
    <t>95,49</t>
  </si>
  <si>
    <t>90,52</t>
  </si>
  <si>
    <t>110,74</t>
  </si>
  <si>
    <t>19,99</t>
  </si>
  <si>
    <t>1.133,38</t>
  </si>
  <si>
    <t>1.397,71</t>
  </si>
  <si>
    <t>1.473,16</t>
  </si>
  <si>
    <t>1.640,45</t>
  </si>
  <si>
    <t>2.067,79</t>
  </si>
  <si>
    <t>2.493,97</t>
  </si>
  <si>
    <t>2.590,94</t>
  </si>
  <si>
    <t>2.823,06</t>
  </si>
  <si>
    <t>3.260,65</t>
  </si>
  <si>
    <t>3.371,81</t>
  </si>
  <si>
    <t>1.118,68</t>
  </si>
  <si>
    <t>1.371,95</t>
  </si>
  <si>
    <t>1.447,40</t>
  </si>
  <si>
    <t>1.625,75</t>
  </si>
  <si>
    <t>2.040,42</t>
  </si>
  <si>
    <t>2.456,69</t>
  </si>
  <si>
    <t>2.554,68</t>
  </si>
  <si>
    <t>2.761,04</t>
  </si>
  <si>
    <t>3.188,13</t>
  </si>
  <si>
    <t>3.282,98</t>
  </si>
  <si>
    <t>56,31</t>
  </si>
  <si>
    <t>37,49</t>
  </si>
  <si>
    <t>59,38</t>
  </si>
  <si>
    <t>21,81</t>
  </si>
  <si>
    <t>19,86</t>
  </si>
  <si>
    <t>42,77</t>
  </si>
  <si>
    <t>45,81</t>
  </si>
  <si>
    <t>30,42</t>
  </si>
  <si>
    <t>29,51</t>
  </si>
  <si>
    <t>18,94</t>
  </si>
  <si>
    <t>3,49</t>
  </si>
  <si>
    <t>46,92</t>
  </si>
  <si>
    <t>117,56</t>
  </si>
  <si>
    <t>204,06</t>
  </si>
  <si>
    <t>31,25</t>
  </si>
  <si>
    <t>59,60</t>
  </si>
  <si>
    <t>23,33</t>
  </si>
  <si>
    <t>51,68</t>
  </si>
  <si>
    <t>80,13</t>
  </si>
  <si>
    <t>86,37</t>
  </si>
  <si>
    <t>17,04</t>
  </si>
  <si>
    <t>206,02</t>
  </si>
  <si>
    <t>60,34</t>
  </si>
  <si>
    <t>59,06</t>
  </si>
  <si>
    <t>79,92</t>
  </si>
  <si>
    <t>153,75</t>
  </si>
  <si>
    <t>65,66</t>
  </si>
  <si>
    <t>223,59</t>
  </si>
  <si>
    <t>281,91</t>
  </si>
  <si>
    <t>339,41</t>
  </si>
  <si>
    <t>431,87</t>
  </si>
  <si>
    <t>137,94</t>
  </si>
  <si>
    <t>82,22</t>
  </si>
  <si>
    <t>129,53</t>
  </si>
  <si>
    <t>64,56</t>
  </si>
  <si>
    <t>140,74</t>
  </si>
  <si>
    <t>70,87</t>
  </si>
  <si>
    <t>38,86</t>
  </si>
  <si>
    <t>49,03</t>
  </si>
  <si>
    <t>50,73</t>
  </si>
  <si>
    <t>735,97</t>
  </si>
  <si>
    <t>852,03</t>
  </si>
  <si>
    <t>968,08</t>
  </si>
  <si>
    <t>1.232,65</t>
  </si>
  <si>
    <t>1.348,70</t>
  </si>
  <si>
    <t>1.522,26</t>
  </si>
  <si>
    <t>1.757,86</t>
  </si>
  <si>
    <t>1.971,34</t>
  </si>
  <si>
    <t>2.087,39</t>
  </si>
  <si>
    <t>2.232,80</t>
  </si>
  <si>
    <t>822,67</t>
  </si>
  <si>
    <t>938,73</t>
  </si>
  <si>
    <t>1.173,94</t>
  </si>
  <si>
    <t>1.290,00</t>
  </si>
  <si>
    <t>1.463,55</t>
  </si>
  <si>
    <t>1.883,28</t>
  </si>
  <si>
    <t>1.999,33</t>
  </si>
  <si>
    <t>2.115,38</t>
  </si>
  <si>
    <t>1.174,57</t>
  </si>
  <si>
    <t>1.607,17</t>
  </si>
  <si>
    <t>1.684,23</t>
  </si>
  <si>
    <t>1.866,82</t>
  </si>
  <si>
    <t>2.332,02</t>
  </si>
  <si>
    <t>3.006,41</t>
  </si>
  <si>
    <t>3.100,97</t>
  </si>
  <si>
    <t>3.373,27</t>
  </si>
  <si>
    <t>3.895,79</t>
  </si>
  <si>
    <t>4.148,46</t>
  </si>
  <si>
    <t>1.145,17</t>
  </si>
  <si>
    <t>1.570,91</t>
  </si>
  <si>
    <t>1.647,97</t>
  </si>
  <si>
    <t>1.942,91</t>
  </si>
  <si>
    <t>2.235,32</t>
  </si>
  <si>
    <t>2.840,72</t>
  </si>
  <si>
    <t>2.934,05</t>
  </si>
  <si>
    <t>3.153,07</t>
  </si>
  <si>
    <t>3.568,09</t>
  </si>
  <si>
    <t>3.497,26</t>
  </si>
  <si>
    <t>748,45</t>
  </si>
  <si>
    <t>38,66</t>
  </si>
  <si>
    <t>38,87</t>
  </si>
  <si>
    <t>104186</t>
  </si>
  <si>
    <t>PERFURAÇÃO DE SOLO PARA SISTEMA DE REBAIXAMENTO DE LENÇOL FREÁTICO POR POÇOS PROFUNDOS, DIÂMETRO DO POÇO DE 400 MM. AF_12/2022</t>
  </si>
  <si>
    <t>286,79</t>
  </si>
  <si>
    <t>104187</t>
  </si>
  <si>
    <t>INSTALAÇÃO E RETIRADA DE REVESTIMENTO METÁLICO PARA PERFURAÇÃO DE SOLO PARA SISTEMA DE REBAIXAMENTO DE LENÇOL FREÁTICO POR PORÇOS PROFUNDOS, DIÂMETRO DO POÇO DE 400 MM. AF_12/2022</t>
  </si>
  <si>
    <t>1.691,70</t>
  </si>
  <si>
    <t>136,64</t>
  </si>
  <si>
    <t>815,06</t>
  </si>
  <si>
    <t>33,99</t>
  </si>
  <si>
    <t>105,33</t>
  </si>
  <si>
    <t>75,50</t>
  </si>
  <si>
    <t>69,30</t>
  </si>
  <si>
    <t>96,56</t>
  </si>
  <si>
    <t>182,73</t>
  </si>
  <si>
    <t>168,28</t>
  </si>
  <si>
    <t>104,94</t>
  </si>
  <si>
    <t>180,37</t>
  </si>
  <si>
    <t>153,46</t>
  </si>
  <si>
    <t>184,42</t>
  </si>
  <si>
    <t>259,83</t>
  </si>
  <si>
    <t>235,92</t>
  </si>
  <si>
    <t>277,97</t>
  </si>
  <si>
    <t>249,63</t>
  </si>
  <si>
    <t>41,12</t>
  </si>
  <si>
    <t>109,50</t>
  </si>
  <si>
    <t>144,80</t>
  </si>
  <si>
    <t>74,57</t>
  </si>
  <si>
    <t>142,78</t>
  </si>
  <si>
    <t>202,48</t>
  </si>
  <si>
    <t>79,30</t>
  </si>
  <si>
    <t>57,25</t>
  </si>
  <si>
    <t>28,06</t>
  </si>
  <si>
    <t>70,17</t>
  </si>
  <si>
    <t>27,53</t>
  </si>
  <si>
    <t>120,67</t>
  </si>
  <si>
    <t>131,00</t>
  </si>
  <si>
    <t>192,14</t>
  </si>
  <si>
    <t>61,36</t>
  </si>
  <si>
    <t>128,41</t>
  </si>
  <si>
    <t>31,76</t>
  </si>
  <si>
    <t>32,88</t>
  </si>
  <si>
    <t>806,06</t>
  </si>
  <si>
    <t>772,07</t>
  </si>
  <si>
    <t>979,45</t>
  </si>
  <si>
    <t>908,59</t>
  </si>
  <si>
    <t>1.086,13</t>
  </si>
  <si>
    <t>990,43</t>
  </si>
  <si>
    <t>1.155,77</t>
  </si>
  <si>
    <t>1.936,10</t>
  </si>
  <si>
    <t>2.392,58</t>
  </si>
  <si>
    <t>2.846,39</t>
  </si>
  <si>
    <t>739,92</t>
  </si>
  <si>
    <t>719,26</t>
  </si>
  <si>
    <t>293,14</t>
  </si>
  <si>
    <t>335,89</t>
  </si>
  <si>
    <t>387,21</t>
  </si>
  <si>
    <t>860,98</t>
  </si>
  <si>
    <t>207,44</t>
  </si>
  <si>
    <t>217,87</t>
  </si>
  <si>
    <t>345,04</t>
  </si>
  <si>
    <t>352,91</t>
  </si>
  <si>
    <t>272,79</t>
  </si>
  <si>
    <t>256,44</t>
  </si>
  <si>
    <t>441,92</t>
  </si>
  <si>
    <t>403,12</t>
  </si>
  <si>
    <t>185,37</t>
  </si>
  <si>
    <t>201,22</t>
  </si>
  <si>
    <t>202,99</t>
  </si>
  <si>
    <t>214,71</t>
  </si>
  <si>
    <t>278,07</t>
  </si>
  <si>
    <t>248,85</t>
  </si>
  <si>
    <t>351,98</t>
  </si>
  <si>
    <t>278,21</t>
  </si>
  <si>
    <t>230,45</t>
  </si>
  <si>
    <t>242,61</t>
  </si>
  <si>
    <t>368,42</t>
  </si>
  <si>
    <t>378,97</t>
  </si>
  <si>
    <t>279,79</t>
  </si>
  <si>
    <t>274,81</t>
  </si>
  <si>
    <t>437,92</t>
  </si>
  <si>
    <t>420,03</t>
  </si>
  <si>
    <t>176,41</t>
  </si>
  <si>
    <t>194,83</t>
  </si>
  <si>
    <t>190,88</t>
  </si>
  <si>
    <t>206,69</t>
  </si>
  <si>
    <t>242,68</t>
  </si>
  <si>
    <t>233,77</t>
  </si>
  <si>
    <t>289,47</t>
  </si>
  <si>
    <t>256,97</t>
  </si>
  <si>
    <t>376,49</t>
  </si>
  <si>
    <t>303,75</t>
  </si>
  <si>
    <t>273,21</t>
  </si>
  <si>
    <t>313,42</t>
  </si>
  <si>
    <t>252,75</t>
  </si>
  <si>
    <t>EXECUÇÃO DE GRAMPO PARA SOLO GRAMPEADO COM COMPRIMENTO MAIOR QUE 10 M, DIÂMETRO DE 7 CM, PERFURAÇÃO COM EQUIPAMENTO MANUAL E ARMADURA COM DIÂMETRO DE 20 MM. AF_07/2024</t>
  </si>
  <si>
    <t>228,13</t>
  </si>
  <si>
    <t>40,19</t>
  </si>
  <si>
    <t>FABRICAÇÃO, MONTAGEM E DESMONTAGEM DE FÔRMA PARA CORTINA DE CONTENÇÃO, EM CHAPA DE MADEIRA COMPENSADA PLASTIFICADA, E = 18 MM, 10 UTILIZAÇÕES. AF_11/2024</t>
  </si>
  <si>
    <t>45,75</t>
  </si>
  <si>
    <t>ARMAÇÃO DE CORTINA DE CONTENÇÃO EM CONCRETO ARMADO, COM AÇO CA-50 DE 6,3 MM - MONTAGEM. AF_11/2024</t>
  </si>
  <si>
    <t>ARMAÇÃO DE CORTINA DE CONTENÇÃO EM CONCRETO ARMADO, COM AÇO CA-50 DE 8 MM - MONTAGEM. AF_11/2024</t>
  </si>
  <si>
    <t>ARMAÇÃO DE CORTINA DE CONTENÇÃO EM CONCRETO ARMADO, COM AÇO CA-50 DE 10 MM - MONTAGEM. AF_11/2024</t>
  </si>
  <si>
    <t>ARMAÇÃO DE CORTINA DE CONTENÇÃO EM CONCRETO ARMADO, COM AÇO CA-50 DE 12,5 MM - MONTAGEM. AF_11/2024</t>
  </si>
  <si>
    <t>ARMAÇÃO DE CORTINA DE CONTENÇÃO EM CONCRETO ARMADO, COM AÇO CA-50 DE 16 MM - MONTAGEM. AF_11/2024</t>
  </si>
  <si>
    <t>ARMAÇÃO DE CORTINA DE CONTENÇÃO EM CONCRETO ARMADO, COM AÇO CA-50 DE 20 MM - MONTAGEM. AF_11/2024</t>
  </si>
  <si>
    <t>ARMAÇÃO DE CORTINA DE CONTENÇÃO EM CONCRETO ARMADO, COM AÇO CA-50 DE 25 MM - MONTAGEM. AF_11/2024</t>
  </si>
  <si>
    <t>12,62</t>
  </si>
  <si>
    <t>CONCRETAGEM DE CORTINA DE CONTENÇÃO, ATRAVÉS DE BOMBA - LANÇAMENTO, ADENSAMENTO E ACABAMENTO. AF_11/2024</t>
  </si>
  <si>
    <t>771,09</t>
  </si>
  <si>
    <t>85,86</t>
  </si>
  <si>
    <t>73,01</t>
  </si>
  <si>
    <t>118,74</t>
  </si>
  <si>
    <t>95,04</t>
  </si>
  <si>
    <t>108,65</t>
  </si>
  <si>
    <t>92,02</t>
  </si>
  <si>
    <t>50,91</t>
  </si>
  <si>
    <t>63,40</t>
  </si>
  <si>
    <t>104875</t>
  </si>
  <si>
    <t>PERFURAÇÃO DE PAREDE DIAFRAGMA COM COROA DIAMANTADA DE DIÂMETRO DE 102 MM. AF_11/2023</t>
  </si>
  <si>
    <t>608,52</t>
  </si>
  <si>
    <t>2.310,92</t>
  </si>
  <si>
    <t>85,78</t>
  </si>
  <si>
    <t>50,88</t>
  </si>
  <si>
    <t>44,48</t>
  </si>
  <si>
    <t>40,15</t>
  </si>
  <si>
    <t>59,45</t>
  </si>
  <si>
    <t>51,37</t>
  </si>
  <si>
    <t>107,31</t>
  </si>
  <si>
    <t>57,52</t>
  </si>
  <si>
    <t>110,68</t>
  </si>
  <si>
    <t>144,07</t>
  </si>
  <si>
    <t>247,86</t>
  </si>
  <si>
    <t>53,85</t>
  </si>
  <si>
    <t>76,06</t>
  </si>
  <si>
    <t>100,89</t>
  </si>
  <si>
    <t>96,63</t>
  </si>
  <si>
    <t>122,22</t>
  </si>
  <si>
    <t>122,73</t>
  </si>
  <si>
    <t>165,92</t>
  </si>
  <si>
    <t>281,40</t>
  </si>
  <si>
    <t>514,82</t>
  </si>
  <si>
    <t>707,57</t>
  </si>
  <si>
    <t>922,41</t>
  </si>
  <si>
    <t>1.111,83</t>
  </si>
  <si>
    <t>2.454,89</t>
  </si>
  <si>
    <t>2.097,85</t>
  </si>
  <si>
    <t>1.723,68</t>
  </si>
  <si>
    <t>3.207,47</t>
  </si>
  <si>
    <t>1.715,88</t>
  </si>
  <si>
    <t>3.050,90</t>
  </si>
  <si>
    <t>2.787,95</t>
  </si>
  <si>
    <t>4.890,77</t>
  </si>
  <si>
    <t>1.436,50</t>
  </si>
  <si>
    <t>3.076,83</t>
  </si>
  <si>
    <t>1.538,80</t>
  </si>
  <si>
    <t>2.761,39</t>
  </si>
  <si>
    <t>2.501,22</t>
  </si>
  <si>
    <t>4.665,29</t>
  </si>
  <si>
    <t>509,06</t>
  </si>
  <si>
    <t>661,69</t>
  </si>
  <si>
    <t>1.137,95</t>
  </si>
  <si>
    <t>1.598,77</t>
  </si>
  <si>
    <t>1.019,43</t>
  </si>
  <si>
    <t>2.088,22</t>
  </si>
  <si>
    <t>1.144,21</t>
  </si>
  <si>
    <t>537,53</t>
  </si>
  <si>
    <t>1.378,70</t>
  </si>
  <si>
    <t>714,36</t>
  </si>
  <si>
    <t>3.059,24</t>
  </si>
  <si>
    <t>1.613,08</t>
  </si>
  <si>
    <t>978,43</t>
  </si>
  <si>
    <t>3.911,40</t>
  </si>
  <si>
    <t>1.964,79</t>
  </si>
  <si>
    <t>2.767,81</t>
  </si>
  <si>
    <t>1.394,07</t>
  </si>
  <si>
    <t>3.501,41</t>
  </si>
  <si>
    <t>1.666,01</t>
  </si>
  <si>
    <t>1.938,02</t>
  </si>
  <si>
    <t>2.209,95</t>
  </si>
  <si>
    <t>5.735,97</t>
  </si>
  <si>
    <t>2.481,98</t>
  </si>
  <si>
    <t>2.753,98</t>
  </si>
  <si>
    <t>7.211,69</t>
  </si>
  <si>
    <t>3.025,92</t>
  </si>
  <si>
    <t>4.332,72</t>
  </si>
  <si>
    <t>5.284,44</t>
  </si>
  <si>
    <t>6.209,41</t>
  </si>
  <si>
    <t>7.134,24</t>
  </si>
  <si>
    <t>8.059,23</t>
  </si>
  <si>
    <t>8.984,12</t>
  </si>
  <si>
    <t>3.321,29</t>
  </si>
  <si>
    <t>6.386,48</t>
  </si>
  <si>
    <t>2.505,40</t>
  </si>
  <si>
    <t>7.485,64</t>
  </si>
  <si>
    <t>2.777,34</t>
  </si>
  <si>
    <t>8.644,15</t>
  </si>
  <si>
    <t>3.049,34</t>
  </si>
  <si>
    <t>9.750,83</t>
  </si>
  <si>
    <t>10.857,55</t>
  </si>
  <si>
    <t>3.598,09</t>
  </si>
  <si>
    <t>8.842,95</t>
  </si>
  <si>
    <t>3.054,23</t>
  </si>
  <si>
    <t>10.175,38</t>
  </si>
  <si>
    <t>3.326,17</t>
  </si>
  <si>
    <t>11.507,85</t>
  </si>
  <si>
    <t>12.840,28</t>
  </si>
  <si>
    <t>3.874,90</t>
  </si>
  <si>
    <t>11.751,02</t>
  </si>
  <si>
    <t>3.602,97</t>
  </si>
  <si>
    <t>13.281,85</t>
  </si>
  <si>
    <t>14.812,78</t>
  </si>
  <si>
    <t>4.151,79</t>
  </si>
  <si>
    <t>15.056,00</t>
  </si>
  <si>
    <t>16.785,15</t>
  </si>
  <si>
    <t>4.428,63</t>
  </si>
  <si>
    <t>18.757,64</t>
  </si>
  <si>
    <t>4.657,76</t>
  </si>
  <si>
    <t>297,45</t>
  </si>
  <si>
    <t>920,28</t>
  </si>
  <si>
    <t>2.572,74</t>
  </si>
  <si>
    <t>6.473,77</t>
  </si>
  <si>
    <t>4.234,97</t>
  </si>
  <si>
    <t>4.968,54</t>
  </si>
  <si>
    <t>407,78</t>
  </si>
  <si>
    <t>1.288,57</t>
  </si>
  <si>
    <t>711,41</t>
  </si>
  <si>
    <t>1.876,10</t>
  </si>
  <si>
    <t>2.975,06</t>
  </si>
  <si>
    <t>1.533,35</t>
  </si>
  <si>
    <t>5.183,29</t>
  </si>
  <si>
    <t>974,40</t>
  </si>
  <si>
    <t>2.138,94</t>
  </si>
  <si>
    <t>3.809,79</t>
  </si>
  <si>
    <t>1.872,65</t>
  </si>
  <si>
    <t>2.715,09</t>
  </si>
  <si>
    <t>1.350,37</t>
  </si>
  <si>
    <t>6.090,03</t>
  </si>
  <si>
    <t>3.434,13</t>
  </si>
  <si>
    <t>1.613,21</t>
  </si>
  <si>
    <t>2.401,86</t>
  </si>
  <si>
    <t>4.153,15</t>
  </si>
  <si>
    <t>4.872,16</t>
  </si>
  <si>
    <t>505,29</t>
  </si>
  <si>
    <t>657,28</t>
  </si>
  <si>
    <t>6.996,61</t>
  </si>
  <si>
    <t>1.100,05</t>
  </si>
  <si>
    <t>1.531,60</t>
  </si>
  <si>
    <t>5.625,04</t>
  </si>
  <si>
    <t>1.012,04</t>
  </si>
  <si>
    <t>2.664,75</t>
  </si>
  <si>
    <t>405,99</t>
  </si>
  <si>
    <t>6.348,30</t>
  </si>
  <si>
    <t>2.021,82</t>
  </si>
  <si>
    <t>2.952,59</t>
  </si>
  <si>
    <t>1.081,01</t>
  </si>
  <si>
    <t>7.903,35</t>
  </si>
  <si>
    <t>1.329,68</t>
  </si>
  <si>
    <t>7.071,67</t>
  </si>
  <si>
    <t>9.976,99</t>
  </si>
  <si>
    <t>535,18</t>
  </si>
  <si>
    <t>2.927,60</t>
  </si>
  <si>
    <t>4.249,82</t>
  </si>
  <si>
    <t>2.497,04</t>
  </si>
  <si>
    <t>1.307,23</t>
  </si>
  <si>
    <t>8.810,01</t>
  </si>
  <si>
    <t>3.215,43</t>
  </si>
  <si>
    <t>3.211,12</t>
  </si>
  <si>
    <t>11.282,81</t>
  </si>
  <si>
    <t>3.478,24</t>
  </si>
  <si>
    <t>12.588,59</t>
  </si>
  <si>
    <t>6.263,27</t>
  </si>
  <si>
    <t>3.745,38</t>
  </si>
  <si>
    <t>11.520,89</t>
  </si>
  <si>
    <t>3.482,55</t>
  </si>
  <si>
    <t>13.021,18</t>
  </si>
  <si>
    <t>2.422,54</t>
  </si>
  <si>
    <t>14.521,56</t>
  </si>
  <si>
    <t>4.012,59</t>
  </si>
  <si>
    <t>14.759,68</t>
  </si>
  <si>
    <t>7.340,94</t>
  </si>
  <si>
    <t>16.454,41</t>
  </si>
  <si>
    <t>4.279,76</t>
  </si>
  <si>
    <t>18.387,38</t>
  </si>
  <si>
    <t>2.685,38</t>
  </si>
  <si>
    <t>296,65</t>
  </si>
  <si>
    <t>867,42</t>
  </si>
  <si>
    <t>8.477,96</t>
  </si>
  <si>
    <t>2.948,27</t>
  </si>
  <si>
    <t>9.563,15</t>
  </si>
  <si>
    <t>10.648,38</t>
  </si>
  <si>
    <t>8.671,23</t>
  </si>
  <si>
    <t>4.504,80</t>
  </si>
  <si>
    <t>1.294,17</t>
  </si>
  <si>
    <t>979,64</t>
  </si>
  <si>
    <t>548,07</t>
  </si>
  <si>
    <t>527,90</t>
  </si>
  <si>
    <t>560,63</t>
  </si>
  <si>
    <t>3.010,33</t>
  </si>
  <si>
    <t>1.760,90</t>
  </si>
  <si>
    <t>2.696,09</t>
  </si>
  <si>
    <t>2.662,69</t>
  </si>
  <si>
    <t>1.663,75</t>
  </si>
  <si>
    <t>53,00</t>
  </si>
  <si>
    <t>58,71</t>
  </si>
  <si>
    <t>91,81</t>
  </si>
  <si>
    <t>100,53</t>
  </si>
  <si>
    <t>112,29</t>
  </si>
  <si>
    <t>123,96</t>
  </si>
  <si>
    <t>59,61</t>
  </si>
  <si>
    <t>51,34</t>
  </si>
  <si>
    <t>48,16</t>
  </si>
  <si>
    <t>57,89</t>
  </si>
  <si>
    <t>49,61</t>
  </si>
  <si>
    <t>67,96</t>
  </si>
  <si>
    <t>88,86</t>
  </si>
  <si>
    <t>97,08</t>
  </si>
  <si>
    <t>37,19</t>
  </si>
  <si>
    <t>48,79</t>
  </si>
  <si>
    <t>60,96</t>
  </si>
  <si>
    <t>199,00</t>
  </si>
  <si>
    <t>7,97</t>
  </si>
  <si>
    <t>4.037,67</t>
  </si>
  <si>
    <t>5.048,22</t>
  </si>
  <si>
    <t>6.818,02</t>
  </si>
  <si>
    <t>8.183,72</t>
  </si>
  <si>
    <t>110,37</t>
  </si>
  <si>
    <t>14,42</t>
  </si>
  <si>
    <t>12,14</t>
  </si>
  <si>
    <t>16,24</t>
  </si>
  <si>
    <t>745,25</t>
  </si>
  <si>
    <t>1.247,67</t>
  </si>
  <si>
    <t>2.559,78</t>
  </si>
  <si>
    <t>4.291,61</t>
  </si>
  <si>
    <t>6.438,94</t>
  </si>
  <si>
    <t>9.045,56</t>
  </si>
  <si>
    <t>15.676,60</t>
  </si>
  <si>
    <t>5.199,75</t>
  </si>
  <si>
    <t>7.797,56</t>
  </si>
  <si>
    <t>10.969,76</t>
  </si>
  <si>
    <t>19.034,99</t>
  </si>
  <si>
    <t>9.683,94</t>
  </si>
  <si>
    <t>13.563,91</t>
  </si>
  <si>
    <t>23.309,37</t>
  </si>
  <si>
    <t>3.123,54</t>
  </si>
  <si>
    <t>5.438,40</t>
  </si>
  <si>
    <t>8.677,73</t>
  </si>
  <si>
    <t>12.863,35</t>
  </si>
  <si>
    <t>24.478,74</t>
  </si>
  <si>
    <t>12.132,07</t>
  </si>
  <si>
    <t>18.041,47</t>
  </si>
  <si>
    <t>33.595,54</t>
  </si>
  <si>
    <t>15.602,29</t>
  </si>
  <si>
    <t>23.243,72</t>
  </si>
  <si>
    <t>42.883,17</t>
  </si>
  <si>
    <t>14.854,43</t>
  </si>
  <si>
    <t>22.999,07</t>
  </si>
  <si>
    <t>31.990,95</t>
  </si>
  <si>
    <t>45.224,18</t>
  </si>
  <si>
    <t>18.496,90</t>
  </si>
  <si>
    <t>27.929,34</t>
  </si>
  <si>
    <t>39.096,04</t>
  </si>
  <si>
    <t>54.766,81</t>
  </si>
  <si>
    <t>21.417,04</t>
  </si>
  <si>
    <t>32.922,51</t>
  </si>
  <si>
    <t>46.063,16</t>
  </si>
  <si>
    <t>64.971,98</t>
  </si>
  <si>
    <t>9.807,38</t>
  </si>
  <si>
    <t>14.643,74</t>
  </si>
  <si>
    <t>22.167,03</t>
  </si>
  <si>
    <t>33.408,56</t>
  </si>
  <si>
    <t>11.285,22</t>
  </si>
  <si>
    <t>16.726,12</t>
  </si>
  <si>
    <t>18.672,55</t>
  </si>
  <si>
    <t>24.718,00</t>
  </si>
  <si>
    <t>39.029,32</t>
  </si>
  <si>
    <t>12.627,10</t>
  </si>
  <si>
    <t>20.593,48</t>
  </si>
  <si>
    <t>27.116,01</t>
  </si>
  <si>
    <t>45.074,96</t>
  </si>
  <si>
    <t>35.933,56</t>
  </si>
  <si>
    <t>58.598,31</t>
  </si>
  <si>
    <t>79.127,46</t>
  </si>
  <si>
    <t>113.475,04</t>
  </si>
  <si>
    <t>38.334,93</t>
  </si>
  <si>
    <t>62.006,51</t>
  </si>
  <si>
    <t>88.012,43</t>
  </si>
  <si>
    <t>107.805,54</t>
  </si>
  <si>
    <t>39.140,99</t>
  </si>
  <si>
    <t>68.051,41</t>
  </si>
  <si>
    <t>95.433,20</t>
  </si>
  <si>
    <t>114.488,42</t>
  </si>
  <si>
    <t>26,57</t>
  </si>
  <si>
    <t>45,92</t>
  </si>
  <si>
    <t>37,61</t>
  </si>
  <si>
    <t>32,59</t>
  </si>
  <si>
    <t>45,54</t>
  </si>
  <si>
    <t>75,16</t>
  </si>
  <si>
    <t>95,06</t>
  </si>
  <si>
    <t>51,93</t>
  </si>
  <si>
    <t>72,01</t>
  </si>
  <si>
    <t>99,40</t>
  </si>
  <si>
    <t>145,01</t>
  </si>
  <si>
    <t>75,17</t>
  </si>
  <si>
    <t>120,79</t>
  </si>
  <si>
    <t>98,39</t>
  </si>
  <si>
    <t>18,70</t>
  </si>
  <si>
    <t>27,68</t>
  </si>
  <si>
    <t>22,85</t>
  </si>
  <si>
    <t>750,59</t>
  </si>
  <si>
    <t>774,51</t>
  </si>
  <si>
    <t>908,73</t>
  </si>
  <si>
    <t>965,75</t>
  </si>
  <si>
    <t>659,27</t>
  </si>
  <si>
    <t>667,83</t>
  </si>
  <si>
    <t>676,38</t>
  </si>
  <si>
    <t>684,93</t>
  </si>
  <si>
    <t>982,55</t>
  </si>
  <si>
    <t>1.015,53</t>
  </si>
  <si>
    <t>307,86</t>
  </si>
  <si>
    <t>410,63</t>
  </si>
  <si>
    <t>302,36</t>
  </si>
  <si>
    <t>309,90</t>
  </si>
  <si>
    <t>332,76</t>
  </si>
  <si>
    <t>406,03</t>
  </si>
  <si>
    <t>641,92</t>
  </si>
  <si>
    <t>138,45</t>
  </si>
  <si>
    <t>956,75</t>
  </si>
  <si>
    <t>966,48</t>
  </si>
  <si>
    <t>1.012,82</t>
  </si>
  <si>
    <t>1.088,28</t>
  </si>
  <si>
    <t>1.257,20</t>
  </si>
  <si>
    <t>1.324,17</t>
  </si>
  <si>
    <t>818,30</t>
  </si>
  <si>
    <t>828,03</t>
  </si>
  <si>
    <t>853,09</t>
  </si>
  <si>
    <t>928,55</t>
  </si>
  <si>
    <t>1.097,47</t>
  </si>
  <si>
    <t>1.164,44</t>
  </si>
  <si>
    <t>312,45</t>
  </si>
  <si>
    <t>320,47</t>
  </si>
  <si>
    <t>373,72</t>
  </si>
  <si>
    <t>414,97</t>
  </si>
  <si>
    <t>828,39</t>
  </si>
  <si>
    <t>838,60</t>
  </si>
  <si>
    <t>894,05</t>
  </si>
  <si>
    <t>937,49</t>
  </si>
  <si>
    <t>237,87</t>
  </si>
  <si>
    <t>340,64</t>
  </si>
  <si>
    <t>321,19</t>
  </si>
  <si>
    <t>344,88</t>
  </si>
  <si>
    <t>379,55</t>
  </si>
  <si>
    <t>894,10</t>
  </si>
  <si>
    <t>1.255,39</t>
  </si>
  <si>
    <t>102,86</t>
  </si>
  <si>
    <t>99,33</t>
  </si>
  <si>
    <t>86,13</t>
  </si>
  <si>
    <t>817,40</t>
  </si>
  <si>
    <t>813,30</t>
  </si>
  <si>
    <t>854,46</t>
  </si>
  <si>
    <t>929,29</t>
  </si>
  <si>
    <t>1.098,84</t>
  </si>
  <si>
    <t>718,07</t>
  </si>
  <si>
    <t>727,17</t>
  </si>
  <si>
    <t>751,60</t>
  </si>
  <si>
    <t>826,43</t>
  </si>
  <si>
    <t>995,98</t>
  </si>
  <si>
    <t>1.062,32</t>
  </si>
  <si>
    <t>728,16</t>
  </si>
  <si>
    <t>737,74</t>
  </si>
  <si>
    <t>792,56</t>
  </si>
  <si>
    <t>835,37</t>
  </si>
  <si>
    <t>837,13</t>
  </si>
  <si>
    <t>736,90</t>
  </si>
  <si>
    <t>863,01</t>
  </si>
  <si>
    <t>762,15</t>
  </si>
  <si>
    <t>899,88</t>
  </si>
  <si>
    <t>798,39</t>
  </si>
  <si>
    <t>1.414,43</t>
  </si>
  <si>
    <t>1.312,94</t>
  </si>
  <si>
    <t>1.775,72</t>
  </si>
  <si>
    <t>1.674,23</t>
  </si>
  <si>
    <t>10,97</t>
  </si>
  <si>
    <t>859,36</t>
  </si>
  <si>
    <t>197,00</t>
  </si>
  <si>
    <t>966,84</t>
  </si>
  <si>
    <t>827,49</t>
  </si>
  <si>
    <t>977,05</t>
  </si>
  <si>
    <t>1.001,46</t>
  </si>
  <si>
    <t>848,28</t>
  </si>
  <si>
    <t>1.053,78</t>
  </si>
  <si>
    <t>895,42</t>
  </si>
  <si>
    <t>1.097,22</t>
  </si>
  <si>
    <t>938,23</t>
  </si>
  <si>
    <t>975,58</t>
  </si>
  <si>
    <t>836,23</t>
  </si>
  <si>
    <t>1.059,61</t>
  </si>
  <si>
    <t>901,25</t>
  </si>
  <si>
    <t>1.574,16</t>
  </si>
  <si>
    <t>1.415,80</t>
  </si>
  <si>
    <t>1.935,45</t>
  </si>
  <si>
    <t>1.777,09</t>
  </si>
  <si>
    <t>71,75</t>
  </si>
  <si>
    <t>79,79</t>
  </si>
  <si>
    <t>87,86</t>
  </si>
  <si>
    <t>95,92</t>
  </si>
  <si>
    <t>114,60</t>
  </si>
  <si>
    <t>805,77</t>
  </si>
  <si>
    <t>823,87</t>
  </si>
  <si>
    <t>JANELA DE MADEIRA (CEDRINHO/ANGELIM OU EQUIV.) DE ABRIR COM 4 FOLHAS (2 VENEZIANAS E 2 GUILHOTINAS), COM BATENTE, ALIZAR E FERRAGENS, EXCLUSIVE VIDROS, ACABAMENTO E CONTRAMARCO, FIXAÇÃO C/ PARAFUSO E ESPUMA - FORNECIMENTO E INSTALAÇÃO. AF_11/2024</t>
  </si>
  <si>
    <t>796,73</t>
  </si>
  <si>
    <t>JANELA DE MADEIRA (PINUS/EUCALIPTO OU EQUIV.) DE ABRIR COM 4 FOLHAS (2 VENEZIANAS E 2 GUILHOTINAS), COM BATENTE, ALIZAR E FERRAGENS, EXCLUSIVE VIDROS, ACABAMENTO E CONTRAMARCO, FIXAÇÃO C/ PARAFUSO E ESPUMA - FORNECIMENTO E INSTALAÇÃO. AF_11/2024</t>
  </si>
  <si>
    <t>638,38</t>
  </si>
  <si>
    <t>JANELA DE MADEIRA (IMBUIA/CEDRO OU EQUIV.) DE ABRIR COM 4 FOLHAS (2 VENEZIANAS E 2 GUILHOTINAS), COM BATENTE, ALIZAR E FERRAGENS, EXCLUSIVE VIDROS, ACABAMENTO E CONTRAMARCO, FIXAÇÃO C/ PARAFUSO E ESPUMA - FORNECIMENTO E INSTALAÇÃO. AF_11/2024</t>
  </si>
  <si>
    <t>1.020,60</t>
  </si>
  <si>
    <t>JANELA DE MADEIRA (CEDRINHO/ANGELIM OU EQUIV.) TIPO MAXIM-AR, PARA VIDRO, COM BATENTE, ALIZAR E FERRAGENS, EXCLUSIVE VIDRO, ACABAMENTO E CONTRAMARCO, FIXAÇÃO C/ PARAFUSO E ESPUMA - FORNECIMENTO E INSTALAÇÃO. AF_11/2024</t>
  </si>
  <si>
    <t>1.207,74</t>
  </si>
  <si>
    <t>JANELA DE MADEIRA (PINUS/EUCALIPTO OU EQUIV.) TIPO BASCULANTE COM 2 FOLHAS PARA VIDRO, COM BATENTE, ALIZAR E FERRAGENS, EXCLUSIVE VIDROS, ACABAMENTO E CONTRAMARCO, FIXAÇÃO C/ PARAFUSO E ESPUMA - FORNECIMENTO E INSTALAÇÃO. AF_11/2024</t>
  </si>
  <si>
    <t>841,41</t>
  </si>
  <si>
    <t>JANELA DE MADEIRA (CEDRINHO/ANGELIM OU EQUIV.) DE CORRER COM 6 FOLHAS (4 VENEZ. FIXAS E 2 DE CORRER), COM BATENTE, ALIZAR E FERRAGENS, EXCLUSIVE VIDROS, ACABAMENTO E CONTRAMARCO, FIXAÇÃO C/ PARAFUSO E ESPUMA - FORNECIMENTO E INSTALAÇÃO. AF_11/2024</t>
  </si>
  <si>
    <t>978,34</t>
  </si>
  <si>
    <t>JANELA DE MADEIRA (IMBUIA/CEDRO OU EQUIV) DE CORRER COM 6 FOLHAS (4 VENEZ. FIXAS E 2 DE CORRER), COM BATENTE, ALIZAR E FERRAGENS, EXCLUSIVE VIDROS, ACABAMENTO E CONTRAMARCO, FIXAÇÃO C/ PARAFUSO E ESPUMA - FORNECIMENTO E INSTALAÇÃO. AF_11/2024</t>
  </si>
  <si>
    <t>1.205,99</t>
  </si>
  <si>
    <t>JANELA DE MADEIRA (PINUS/EUCALIPTO OU EQUIV.) DE CORRER COM 6 FOLHAS (4 VENEZ. FIXAS E 2 DE CORRER), COM BATENTE, ALIZAR E FERRAGENS, EXCLUSIVE VIDROS, ACABAMENTO E CONTRAMARCO, FIXAÇÃO C/ PARAFUSO E ESPUMA - FORNECIMENTO E INSTALAÇÃO. AF_11/2024</t>
  </si>
  <si>
    <t>790,80</t>
  </si>
  <si>
    <t>640,29</t>
  </si>
  <si>
    <t>JANELA DE AÇO TIPO BASCULANTE PARA VIDROS, COM BATENTE, FERRAGENS E PINTURA ANTICORROSIVA, EXCLUSIVE VIDROS, ACABAMENTO, ALIZAR E CONTRAMARCO, FIXAÇÃO COM ARGAMASSA. FORNECIMENTO E INSTALAÇÃO. AF_11/2024</t>
  </si>
  <si>
    <t>718,91</t>
  </si>
  <si>
    <t>JANELA DE AÇO DE CORRER COM 4 FOLHAS PARA VIDRO, COM BATENTE, FERRAGENS E PINTURA ANTICORROSIVA, EXCLUSIVE VIDROS, ALIZAR E CONTRAMARCO, FIXAÇÃO COM ARGAMASSA. FORNECIMENTO E INSTALAÇÃO. AF_11/2024</t>
  </si>
  <si>
    <t>601,15</t>
  </si>
  <si>
    <t>CONTRAMARCO DE AÇO, FIXAÇÃO COM ARGAMASSA - FORNECIMENTO E INSTALAÇÃO. AF_11/2024</t>
  </si>
  <si>
    <t>67,63</t>
  </si>
  <si>
    <t>CONTRAMARCO DE AÇO, FIXAÇÃO COM PARAFUSO - FORNECIMENTO E INSTALAÇÃO. AF_11/2024</t>
  </si>
  <si>
    <t>79,14</t>
  </si>
  <si>
    <t>105813</t>
  </si>
  <si>
    <t>JANELA DE AÇO GALVANIZADO TIPO MAXIM-AR, COM BATENTE, FERRAGENS, PINTURA ANTICORROSIVA E GRADE, 1 FOLHA, EXCLUSIVE ALIZAR E CONTRAMARCO, FIXAÇÃO COM ARGAMASSA - FORNECIMENTO E INSTALAÇÃO. AF_11/2024</t>
  </si>
  <si>
    <t>1.024,97</t>
  </si>
  <si>
    <t>812,33</t>
  </si>
  <si>
    <t>612,41</t>
  </si>
  <si>
    <t>1.184,90</t>
  </si>
  <si>
    <t>146,81</t>
  </si>
  <si>
    <t>105,85</t>
  </si>
  <si>
    <t>697,28</t>
  </si>
  <si>
    <t>693,90</t>
  </si>
  <si>
    <t>1.623,11</t>
  </si>
  <si>
    <t>810,04</t>
  </si>
  <si>
    <t>630,16</t>
  </si>
  <si>
    <t>805,24</t>
  </si>
  <si>
    <t>743,66</t>
  </si>
  <si>
    <t>677,78</t>
  </si>
  <si>
    <t>450,83</t>
  </si>
  <si>
    <t>813,57</t>
  </si>
  <si>
    <t>235,85</t>
  </si>
  <si>
    <t>71,40</t>
  </si>
  <si>
    <t>85,18</t>
  </si>
  <si>
    <t>79,59</t>
  </si>
  <si>
    <t>151,07</t>
  </si>
  <si>
    <t>113,90</t>
  </si>
  <si>
    <t>184,11</t>
  </si>
  <si>
    <t>204,11</t>
  </si>
  <si>
    <t>257,44</t>
  </si>
  <si>
    <t>222,09</t>
  </si>
  <si>
    <t>265,72</t>
  </si>
  <si>
    <t>253,82</t>
  </si>
  <si>
    <t>350,83</t>
  </si>
  <si>
    <t>417,66</t>
  </si>
  <si>
    <t>177,44</t>
  </si>
  <si>
    <t>293,60</t>
  </si>
  <si>
    <t>313,60</t>
  </si>
  <si>
    <t>366,93</t>
  </si>
  <si>
    <t>311,44</t>
  </si>
  <si>
    <t>355,07</t>
  </si>
  <si>
    <t>322,99</t>
  </si>
  <si>
    <t>416,33</t>
  </si>
  <si>
    <t>402,10</t>
  </si>
  <si>
    <t>462,31</t>
  </si>
  <si>
    <t>286,93</t>
  </si>
  <si>
    <t>524,78</t>
  </si>
  <si>
    <t>509,66</t>
  </si>
  <si>
    <t>946,41</t>
  </si>
  <si>
    <t>1.893,68</t>
  </si>
  <si>
    <t>2.171,48</t>
  </si>
  <si>
    <t>438,33</t>
  </si>
  <si>
    <t>518,54</t>
  </si>
  <si>
    <t>625,00</t>
  </si>
  <si>
    <t>1.269,33</t>
  </si>
  <si>
    <t>2.551,82</t>
  </si>
  <si>
    <t>2.058,44</t>
  </si>
  <si>
    <t>4.129,68</t>
  </si>
  <si>
    <t>JANELA DE ALUMÍNIO TIPO MAXIM-AR, COM VIDROS, BATENTE E FERRAGENS, EXCLUSIVE ALIZAR, ACABAMENTO E CONTRAMARCO, FIXAÇÃO COM PARAFUSO. FORNECIMENTO E INSTALAÇÃO. AF_11/2024</t>
  </si>
  <si>
    <t>615,30</t>
  </si>
  <si>
    <t>JANELA DE ALUMÍNIO DE CORRER COM 2 FOLHAS PARA VIDROS, COM VIDROS, BATENTE, ACABAMENTO COM ACETATO OU BRILHANTE E FERRAGENS, EXCLUSIVE ALIZAR E CONTRAMARCO, FIXAÇÃO COM PARAFUSO. FORNECIMENTO E INSTALAÇÃO. AF_11/2024</t>
  </si>
  <si>
    <t>323,84</t>
  </si>
  <si>
    <t>JANELA DE ALUMÍNIO DE CORRER COM 3 FOLHAS (2 VENEZIANAS E 1 PARA VIDRO), COM VIDROS, BATENTE E FERRAGENS, EXCLUSIVE ACABAMENTO, ALIZAR E CONTRAMARCO, FIXAÇÃO COM PARAFUSO. FORNECIMENTO E INSTALAÇÃO. AF_11/2024</t>
  </si>
  <si>
    <t>463,87</t>
  </si>
  <si>
    <t>JANELA DE ALUMÍNIO DE CORRER COM 4 FOLHAS PARA VIDROS, COM VIDROS, BATENTE E FERRAGENS, EXCLUSIVE ACABAMENTO, ALIZAR E CONTRAMARCO, FIXAÇÃO COM PARAFUSO. FORNECIMENTO E INSTALAÇÃO. AF_11/2024</t>
  </si>
  <si>
    <t>360,68</t>
  </si>
  <si>
    <t>CONTRAMARCO DE ALUMÍNIO, FIXAÇÃO COM ARGAMASSA - FORNECIMENTO E INSTALAÇÃO. AF_11/2024</t>
  </si>
  <si>
    <t>CONTRAMARCO DE ALUMÍNIO, FIXAÇÃO COM PARAFUSO - FORNECIMENTO E INSTALAÇÃO. AF_11/2024</t>
  </si>
  <si>
    <t>JANELA FIXA DE ALUMÍNIO PARA VIDRO, COM VIDRO, BATENTE E FERRAGENS, EXCLUSIVE ACABAMENTO, ALIZAR E CONTRAMARCO, FIXAÇÃO COM PARAFUSO - FORNECIMENTO E INSTALAÇÃO. AF_11/2024</t>
  </si>
  <si>
    <t>705,11</t>
  </si>
  <si>
    <t>105812</t>
  </si>
  <si>
    <t>GUARNIÇÃO DE ALUMÍNIO - FORNECIMENTO E INSTALAÇÃO. AF_11/2024</t>
  </si>
  <si>
    <t>28,79</t>
  </si>
  <si>
    <t>1.364,12</t>
  </si>
  <si>
    <t>1.286,78</t>
  </si>
  <si>
    <t>1.188,90</t>
  </si>
  <si>
    <t>1.083,94</t>
  </si>
  <si>
    <t>958,66</t>
  </si>
  <si>
    <t>936,56</t>
  </si>
  <si>
    <t>914,79</t>
  </si>
  <si>
    <t>859,28</t>
  </si>
  <si>
    <t>1.508,82</t>
  </si>
  <si>
    <t>1.429,30</t>
  </si>
  <si>
    <t>1.328,70</t>
  </si>
  <si>
    <t>1.219,44</t>
  </si>
  <si>
    <t>1.097,13</t>
  </si>
  <si>
    <t>1.073,19</t>
  </si>
  <si>
    <t>1.049,39</t>
  </si>
  <si>
    <t>990,30</t>
  </si>
  <si>
    <t>938,79</t>
  </si>
  <si>
    <t>1.090,97</t>
  </si>
  <si>
    <t>31,21</t>
  </si>
  <si>
    <t>ARRASAMENTO MECÂNICO DE ESTACA METÁLICA, PERFIL LAMINADO TIPO  I  FAMÍLIA 250. AF_05/2021</t>
  </si>
  <si>
    <t>23,82</t>
  </si>
  <si>
    <t>34,56</t>
  </si>
  <si>
    <t>43,83</t>
  </si>
  <si>
    <t>160,47</t>
  </si>
  <si>
    <t>308,47</t>
  </si>
  <si>
    <t>514,60</t>
  </si>
  <si>
    <t>691,04</t>
  </si>
  <si>
    <t>802,00</t>
  </si>
  <si>
    <t>117,89</t>
  </si>
  <si>
    <t>151,22</t>
  </si>
  <si>
    <t>345,34</t>
  </si>
  <si>
    <t>137,35</t>
  </si>
  <si>
    <t>268,06</t>
  </si>
  <si>
    <t>96,19</t>
  </si>
  <si>
    <t>308,58</t>
  </si>
  <si>
    <t>65,79</t>
  </si>
  <si>
    <t>91,98</t>
  </si>
  <si>
    <t>158,81</t>
  </si>
  <si>
    <t>125,19</t>
  </si>
  <si>
    <t>183,66</t>
  </si>
  <si>
    <t>242,12</t>
  </si>
  <si>
    <t>19,25</t>
  </si>
  <si>
    <t>804,32</t>
  </si>
  <si>
    <t>736,58</t>
  </si>
  <si>
    <t>288,69</t>
  </si>
  <si>
    <t>272,48</t>
  </si>
  <si>
    <t>247,63</t>
  </si>
  <si>
    <t>231,41</t>
  </si>
  <si>
    <t>69,23</t>
  </si>
  <si>
    <t>147,50</t>
  </si>
  <si>
    <t>2,14</t>
  </si>
  <si>
    <t>17,14</t>
  </si>
  <si>
    <t>13,40</t>
  </si>
  <si>
    <t>731,62</t>
  </si>
  <si>
    <t>32,50</t>
  </si>
  <si>
    <t>198,82</t>
  </si>
  <si>
    <t>249,46</t>
  </si>
  <si>
    <t>296,29</t>
  </si>
  <si>
    <t>221,35</t>
  </si>
  <si>
    <t>163,98</t>
  </si>
  <si>
    <t>230,96</t>
  </si>
  <si>
    <t>350,15</t>
  </si>
  <si>
    <t>420,67</t>
  </si>
  <si>
    <t>198,01</t>
  </si>
  <si>
    <t>230,51</t>
  </si>
  <si>
    <t>170,29</t>
  </si>
  <si>
    <t>220,93</t>
  </si>
  <si>
    <t>267,75</t>
  </si>
  <si>
    <t>321,61</t>
  </si>
  <si>
    <t>392,13</t>
  </si>
  <si>
    <t>185,29</t>
  </si>
  <si>
    <t>240,28</t>
  </si>
  <si>
    <t>63,63</t>
  </si>
  <si>
    <t>106,85</t>
  </si>
  <si>
    <t>134,31</t>
  </si>
  <si>
    <t>183,39</t>
  </si>
  <si>
    <t>111,20</t>
  </si>
  <si>
    <t>40,51</t>
  </si>
  <si>
    <t>250,73</t>
  </si>
  <si>
    <t>171,66</t>
  </si>
  <si>
    <t>114,37</t>
  </si>
  <si>
    <t>157,91</t>
  </si>
  <si>
    <t>185,09</t>
  </si>
  <si>
    <t>99,70</t>
  </si>
  <si>
    <t>120,55</t>
  </si>
  <si>
    <t>81,53</t>
  </si>
  <si>
    <t>99,66</t>
  </si>
  <si>
    <t>84,44</t>
  </si>
  <si>
    <t>64,99</t>
  </si>
  <si>
    <t>77,50</t>
  </si>
  <si>
    <t>71,57</t>
  </si>
  <si>
    <t>326,20</t>
  </si>
  <si>
    <t>227,72</t>
  </si>
  <si>
    <t>310,54</t>
  </si>
  <si>
    <t>343,97</t>
  </si>
  <si>
    <t>212,49</t>
  </si>
  <si>
    <t>205,96</t>
  </si>
  <si>
    <t>265,31</t>
  </si>
  <si>
    <t>308,03</t>
  </si>
  <si>
    <t>173,66</t>
  </si>
  <si>
    <t>170,01</t>
  </si>
  <si>
    <t>230,36</t>
  </si>
  <si>
    <t>285,67</t>
  </si>
  <si>
    <t>147,34</t>
  </si>
  <si>
    <t>142,50</t>
  </si>
  <si>
    <t>271,53</t>
  </si>
  <si>
    <t>133,39</t>
  </si>
  <si>
    <t>134,72</t>
  </si>
  <si>
    <t>170,59</t>
  </si>
  <si>
    <t>264,21</t>
  </si>
  <si>
    <t>110,84</t>
  </si>
  <si>
    <t>256,21</t>
  </si>
  <si>
    <t>101,06</t>
  </si>
  <si>
    <t>121,01</t>
  </si>
  <si>
    <t>142,97</t>
  </si>
  <si>
    <t>249,31</t>
  </si>
  <si>
    <t>115,08</t>
  </si>
  <si>
    <t>116,58</t>
  </si>
  <si>
    <t>235,70</t>
  </si>
  <si>
    <t>251,92</t>
  </si>
  <si>
    <t>181,76</t>
  </si>
  <si>
    <t>112,47</t>
  </si>
  <si>
    <t>106,90</t>
  </si>
  <si>
    <t>102,44</t>
  </si>
  <si>
    <t>66,08</t>
  </si>
  <si>
    <t>94,30</t>
  </si>
  <si>
    <t>99,78</t>
  </si>
  <si>
    <t>59,09</t>
  </si>
  <si>
    <t>90,57</t>
  </si>
  <si>
    <t>84,51</t>
  </si>
  <si>
    <t>83,97</t>
  </si>
  <si>
    <t>46,94</t>
  </si>
  <si>
    <t>80,00</t>
  </si>
  <si>
    <t>41,54</t>
  </si>
  <si>
    <t>69,98</t>
  </si>
  <si>
    <t>169,80</t>
  </si>
  <si>
    <t>160,05</t>
  </si>
  <si>
    <t>286,22</t>
  </si>
  <si>
    <t>151,15</t>
  </si>
  <si>
    <t>112,71</t>
  </si>
  <si>
    <t>195,53</t>
  </si>
  <si>
    <t>100,30</t>
  </si>
  <si>
    <t>85,27</t>
  </si>
  <si>
    <t>148,33</t>
  </si>
  <si>
    <t>202,94</t>
  </si>
  <si>
    <t>276,51</t>
  </si>
  <si>
    <t>145,90</t>
  </si>
  <si>
    <t>144,57</t>
  </si>
  <si>
    <t>204,02</t>
  </si>
  <si>
    <t>108,93</t>
  </si>
  <si>
    <t>23,26</t>
  </si>
  <si>
    <t>214,52</t>
  </si>
  <si>
    <t>220,75</t>
  </si>
  <si>
    <t>535,87</t>
  </si>
  <si>
    <t>453,12</t>
  </si>
  <si>
    <t>350,05</t>
  </si>
  <si>
    <t>322,34</t>
  </si>
  <si>
    <t>280,77</t>
  </si>
  <si>
    <t>250,68</t>
  </si>
  <si>
    <t>231,76</t>
  </si>
  <si>
    <t>229,81</t>
  </si>
  <si>
    <t>167,12</t>
  </si>
  <si>
    <t>259,02</t>
  </si>
  <si>
    <t>174,34</t>
  </si>
  <si>
    <t>237,64</t>
  </si>
  <si>
    <t>230,25</t>
  </si>
  <si>
    <t>170,32</t>
  </si>
  <si>
    <t>303,35</t>
  </si>
  <si>
    <t>236,71</t>
  </si>
  <si>
    <t>182,05</t>
  </si>
  <si>
    <t>254,84</t>
  </si>
  <si>
    <t>230,46</t>
  </si>
  <si>
    <t>169,17</t>
  </si>
  <si>
    <t>324,67</t>
  </si>
  <si>
    <t>546,77</t>
  </si>
  <si>
    <t>467,94</t>
  </si>
  <si>
    <t>345,21</t>
  </si>
  <si>
    <t>316,44</t>
  </si>
  <si>
    <t>279,61</t>
  </si>
  <si>
    <t>247,85</t>
  </si>
  <si>
    <t>227,86</t>
  </si>
  <si>
    <t>530,36</t>
  </si>
  <si>
    <t>440,88</t>
  </si>
  <si>
    <t>351,99</t>
  </si>
  <si>
    <t>321,11</t>
  </si>
  <si>
    <t>276,86</t>
  </si>
  <si>
    <t>245,83</t>
  </si>
  <si>
    <t>228,55</t>
  </si>
  <si>
    <t>591,06</t>
  </si>
  <si>
    <t>493,21</t>
  </si>
  <si>
    <t>343,26</t>
  </si>
  <si>
    <t>312,09</t>
  </si>
  <si>
    <t>273,02</t>
  </si>
  <si>
    <t>241,20</t>
  </si>
  <si>
    <t>223,48</t>
  </si>
  <si>
    <t>553,10</t>
  </si>
  <si>
    <t>458,58</t>
  </si>
  <si>
    <t>352,48</t>
  </si>
  <si>
    <t>318,33</t>
  </si>
  <si>
    <t>275,47</t>
  </si>
  <si>
    <t>245,31</t>
  </si>
  <si>
    <t>227,21</t>
  </si>
  <si>
    <t>601,62</t>
  </si>
  <si>
    <t>510,08</t>
  </si>
  <si>
    <t>335,03</t>
  </si>
  <si>
    <t>299,67</t>
  </si>
  <si>
    <t>262,84</t>
  </si>
  <si>
    <t>231,00</t>
  </si>
  <si>
    <t>213,27</t>
  </si>
  <si>
    <t>513,59</t>
  </si>
  <si>
    <t>429,44</t>
  </si>
  <si>
    <t>326,01</t>
  </si>
  <si>
    <t>301,42</t>
  </si>
  <si>
    <t>260,16</t>
  </si>
  <si>
    <t>229,77</t>
  </si>
  <si>
    <t>212,89</t>
  </si>
  <si>
    <t>535,57</t>
  </si>
  <si>
    <t>456,32</t>
  </si>
  <si>
    <t>306,96</t>
  </si>
  <si>
    <t>282,10</t>
  </si>
  <si>
    <t>247,56</t>
  </si>
  <si>
    <t>204,76</t>
  </si>
  <si>
    <t>4.245,23</t>
  </si>
  <si>
    <t>5.092,24</t>
  </si>
  <si>
    <t>5.300,11</t>
  </si>
  <si>
    <t>5.431,38</t>
  </si>
  <si>
    <t>5.948,42</t>
  </si>
  <si>
    <t>6.079,14</t>
  </si>
  <si>
    <t>5.836,18</t>
  </si>
  <si>
    <t>5.119,12</t>
  </si>
  <si>
    <t>226,82</t>
  </si>
  <si>
    <t>175,70</t>
  </si>
  <si>
    <t>237,73</t>
  </si>
  <si>
    <t>218,32</t>
  </si>
  <si>
    <t>160,33</t>
  </si>
  <si>
    <t>275,72</t>
  </si>
  <si>
    <t>130,49</t>
  </si>
  <si>
    <t>89,53</t>
  </si>
  <si>
    <t>169,74</t>
  </si>
  <si>
    <t>110,30</t>
  </si>
  <si>
    <t>79,39</t>
  </si>
  <si>
    <t>166,99</t>
  </si>
  <si>
    <t>103,09</t>
  </si>
  <si>
    <t>207,41</t>
  </si>
  <si>
    <t>220,18</t>
  </si>
  <si>
    <t>15,40</t>
  </si>
  <si>
    <t>ARMAÇÃO DO SISTEMA DE PAREDES DE CONCRETO, EXECUTADA EM PAREDES DE EDIFICAÇÕES MULTIFAMILIARES, TELA Q-138. AF_12/2024_PS</t>
  </si>
  <si>
    <t>ARMAÇÃO DO SISTEMA DE PAREDES DE CONCRETO, EXECUTADA EM PAREDES DE EDIFICAÇÕES UNIFAMILIARES OU MULTIFAMILIARES, TELA Q-92. AF_12/2024_PS</t>
  </si>
  <si>
    <t>ARMAÇÃO DO SISTEMA DE PAREDES DE CONCRETO, EXECUTADA EM PAREDES DE EDIFICAÇÕES UNIFAMILIARES, TELA Q-61. AF_12/2024_PS</t>
  </si>
  <si>
    <t>ARMAÇÃO DO SISTEMA DE PAREDES DE CONCRETO, EXECUTADA COMO ARMADURA POSITIVA DE LAJES, TELA Q-138. AF_12/2024</t>
  </si>
  <si>
    <t>11,15</t>
  </si>
  <si>
    <t>ARMAÇÃO DO SISTEMA DE PAREDES DE CONCRETO, EXECUTADA COMO ARMADURA NEGATIVA DE LAJES, TELA T-196. AF_12/2024</t>
  </si>
  <si>
    <t>8,25</t>
  </si>
  <si>
    <t>ARMAÇÃO DO SISTEMA DE PAREDES DE CONCRETO, EXECUTADA COMO ARMADURA POSITIVA DE LAJES, TELA Q-113. AF_12/2024</t>
  </si>
  <si>
    <t>ARMAÇÃO DO SISTEMA DE PAREDES DE CONCRETO, EXECUTADA COMO ARMADURA NEGATIVA DE LAJES, TELA L-159. AF_12/2024</t>
  </si>
  <si>
    <t>ARMAÇÃO DO SISTEMA DE PAREDES DE CONCRETO, EXECUTADA EM PLATIBANDAS, TELA Q-92. AF_12/2024_PS</t>
  </si>
  <si>
    <t>ARMAÇÃO DO SISTEMA DE PAREDES DE CONCRETO, EXECUTADA COMO REFORÇO, VERGALHÃO DE 6,3 MM DE DIÂMETRO. AF_12/2024</t>
  </si>
  <si>
    <t>ARMAÇÃO DO SISTEMA DE PAREDES DE CONCRETO, EXECUTADA COMO REFORÇO, VERGALHÃO DE 8,0 MM DE DIÂMETRO. AF_12/2024</t>
  </si>
  <si>
    <t>ARMAÇÃO DO SISTEMA DE PAREDES DE CONCRETO, EXECUTADA COMO REFORÇO, VERGALHÃO DE 10,0 MM DE DIÂMETRO. AF_12/2024</t>
  </si>
  <si>
    <t>15,28</t>
  </si>
  <si>
    <t>14,43</t>
  </si>
  <si>
    <t>12,36</t>
  </si>
  <si>
    <t>13,28</t>
  </si>
  <si>
    <t>12,01</t>
  </si>
  <si>
    <t>14,86</t>
  </si>
  <si>
    <t>19,76</t>
  </si>
  <si>
    <t>12,73</t>
  </si>
  <si>
    <t>CORTE E DOBRA DE AÇO CA-50, DIÂMETRO DE 32 MM. AF_06/2022</t>
  </si>
  <si>
    <t>18,79</t>
  </si>
  <si>
    <t>25,76</t>
  </si>
  <si>
    <t>16,77</t>
  </si>
  <si>
    <t>ARMAÇÃO DO SISTEMA DE PAREDES DE CONCRETO, EXECUTADA COMO ARMADURA POSITIVA DE LAJES, TELA Q-159. AF_12/2024</t>
  </si>
  <si>
    <t>ARMAÇÃO DO SISTEMA DE PAREDES DE CONCRETO, EXECUTADA COMO ARMADURA POSITIVA DE LAJES, TELA Q-196. AF_12/2024</t>
  </si>
  <si>
    <t>ARMAÇÃO DO SISTEMA DE PAREDES DE CONCRETO, EXECUTADA COMO REFORÇO, VERGALHÃO DE 5,0 MM DE DIÂMETRO. AF_12/2024</t>
  </si>
  <si>
    <t>ARMAÇÃO DO SISTEMA DE PAREDES DE CONCRETO, EXECUTADA COMO REFORÇO, VERGALHÃO DE 12,5 MM DE DIÂMETRO. AF_12/2024</t>
  </si>
  <si>
    <t>9,47</t>
  </si>
  <si>
    <t>18,74</t>
  </si>
  <si>
    <t>15,34</t>
  </si>
  <si>
    <t>13,60</t>
  </si>
  <si>
    <t>105814</t>
  </si>
  <si>
    <t>ARMAÇÃO DO SISTEMA DE PAREDES DE CONCRETO, EXECUTADA EM PAREDES DE EDIFICAÇÕES MULTIFAMILIARES, TELA Q-283. AF_12/2024_PS</t>
  </si>
  <si>
    <t>1.058,58</t>
  </si>
  <si>
    <t>895,88</t>
  </si>
  <si>
    <t>1.016,96</t>
  </si>
  <si>
    <t>505,70</t>
  </si>
  <si>
    <t>554,73</t>
  </si>
  <si>
    <t>606,81</t>
  </si>
  <si>
    <t>694,23</t>
  </si>
  <si>
    <t>492,69</t>
  </si>
  <si>
    <t>541,08</t>
  </si>
  <si>
    <t>597,29</t>
  </si>
  <si>
    <t>689,23</t>
  </si>
  <si>
    <t>392,46</t>
  </si>
  <si>
    <t>430,26</t>
  </si>
  <si>
    <t>469,48</t>
  </si>
  <si>
    <t>484,02</t>
  </si>
  <si>
    <t>498,63</t>
  </si>
  <si>
    <t>562,93</t>
  </si>
  <si>
    <t>386,87</t>
  </si>
  <si>
    <t>421,12</t>
  </si>
  <si>
    <t>452,14</t>
  </si>
  <si>
    <t>474,40</t>
  </si>
  <si>
    <t>489,05</t>
  </si>
  <si>
    <t>550,76</t>
  </si>
  <si>
    <t>448,64</t>
  </si>
  <si>
    <t>481,63</t>
  </si>
  <si>
    <t>712,81</t>
  </si>
  <si>
    <t>879,63</t>
  </si>
  <si>
    <t>845,13</t>
  </si>
  <si>
    <t>882,28</t>
  </si>
  <si>
    <t>CONCRETAGEM DE EDIFICAÇÕES (PAREDES E LAJES) FEITAS COM SISTEMA DE FÔRMAS MANUSEÁVEIS, COM CONCRETO USINADO AUTOADENSÁVEL FCK 25 MPA - LANÇAMENTO E ACABAMENTO. AF_09/2024</t>
  </si>
  <si>
    <t>771,13</t>
  </si>
  <si>
    <t>CONCRETAGEM DE LAJES EM EDIFICAÇÕES UNIFAMILIARES FEITAS COM SISTEMA DE FÔRMAS MANUSEÁVEIS, COM CONCRETO USINADO BOMBEÁVEL FCK 25 MPA - LANÇAMENTO, ADENSAMENTO E ACABAMENTO. AF_09/2024</t>
  </si>
  <si>
    <t>859,26</t>
  </si>
  <si>
    <t>CONCRETAGEM DE PAREDES EM EDIFICAÇÕES UNIFAMILIARES FEITAS COM SISTEMA DE FÔRMAS MANUSEÁVEIS, COM CONCRETO USINADO BOMBEÁVEL FCK 25 MPA - LANÇAMENTO, ADENSAMENTO E ACABAMENTO. AF_09/2024</t>
  </si>
  <si>
    <t>839,98</t>
  </si>
  <si>
    <t>CONCRETAGEM DE PLATIBANDA EM EDIFICAÇÕES UNIFAMILIARES FEITAS COM SISTEMA DE FÔRMAS MANUSEÁVEIS, COM CONCRETO USINADO BOMBEÁVEL FCK 25 MPA - LANÇAMENTO, ADENSAMENTO E ACABAMENTO. AF_09/2024</t>
  </si>
  <si>
    <t>910,09</t>
  </si>
  <si>
    <t>CONCRETAGEM DE LAJES EM EDIFICAÇÕES MULTIFAMILIARES FEITAS COM SISTEMA DE FÔRMAS MANUSEÁVEIS, COM CONCRETO USINADO BOMBEÁVEL FCK 25 MPA - LANÇAMENTO, ADENSAMENTO E ACABAMENTO. AF_09/2024</t>
  </si>
  <si>
    <t>863,31</t>
  </si>
  <si>
    <t>CONCRETAGEM DE PAREDES EM EDIFICAÇÕES MULTIFAMILIARES FEITAS COM SISTEMA DE FÔRMAS MANUSEÁVEIS, COM CONCRETO USINADO BOMBEÁVEL FCK 25 MPA - LANÇAMENTO, ADENSAMENTO E ACABAMENTO. AF_09/2024</t>
  </si>
  <si>
    <t>842,88</t>
  </si>
  <si>
    <t>CONCRETAGEM DE PLATIBANDA EM EDIFICAÇÕES MULTIFAMILIARES FEITAS COM SISTEMA DE FÔRMAS MANUSEÁVEIS, COM CONCRETO USINADO BOMBEÁVEL FCK 25 MPA - LANÇAMENTO, ADENSAMENTO E ACABAMENTO. AF_09/2024</t>
  </si>
  <si>
    <t>933,24</t>
  </si>
  <si>
    <t>CONCRETAGEM DE PLATIBANDA EM EDIFICAÇÕES UNIFAMILIARES FEITAS COM SISTEMA DE FÔRMAS MANUSEÁVEIS, COM CONCRETO USINADO AUTOADENSÁVEL FCK 25 MPA - LANÇAMENTO E ACABAMENTO. AF_09/2024</t>
  </si>
  <si>
    <t>819,88</t>
  </si>
  <si>
    <t>CONCRETAGEM DE PLATIBANDA EM EDIFICAÇÕES MULTIFAMILIARES FEITAS COM SISTEMA DE FÔRMAS MANUSEÁVEIS, COM CONCRETO USINADO AUTOADENSÁVEL FCK 25 MPA - LANÇAMENTO E ACABAMENTO. AF_09/2024</t>
  </si>
  <si>
    <t>827,58</t>
  </si>
  <si>
    <t>CONCRETAGEM DE EDIFICAÇÕES (PAREDES E LAJES) FEITAS COM SISTEMA DE FÔRMAS MANUSEÁVEIS, COM CONCRETO USINADO BOMBEÁVEL FCK 25 MPA - LANÇAMENTO, ADENSAMENTO E ACABAMENTO. AF_09/2024</t>
  </si>
  <si>
    <t>848,58</t>
  </si>
  <si>
    <t>591,83</t>
  </si>
  <si>
    <t>624,41</t>
  </si>
  <si>
    <t>670,17</t>
  </si>
  <si>
    <t>681,15</t>
  </si>
  <si>
    <t>717,10</t>
  </si>
  <si>
    <t>757,88</t>
  </si>
  <si>
    <t>587,13</t>
  </si>
  <si>
    <t>615,90</t>
  </si>
  <si>
    <t>653,56</t>
  </si>
  <si>
    <t>676,53</t>
  </si>
  <si>
    <t>706,97</t>
  </si>
  <si>
    <t>755,47</t>
  </si>
  <si>
    <t>652,52</t>
  </si>
  <si>
    <t>677,47</t>
  </si>
  <si>
    <t>612,83</t>
  </si>
  <si>
    <t>CONCRETAGEM DE ESCADAS EM EDIFICAÇÕES MULTIFAMILIARES FEITAS COM SISTEMA DE FÔRMAS MANUSEÁVEIS COM CONCRETO USINADO BOMBEÁVEL, FCK 25 MPA - LANÇAMENTO, ADENSAMENTO E ACABAMENTO. AF_09/2024</t>
  </si>
  <si>
    <t>929,21</t>
  </si>
  <si>
    <t>CONCRETAGEM DE ESCADAS EM EDIFICAÇÕES MULTIFAMILIARES FEITAS COM SISTEMA DE FÔRMAS MANUSEÁVEIS COM CONCRETO USINADO AUTOADENSÁVEL, FCK 25 MPA - LANÇAMENTO E ACABAMENTO. AF_09/2024</t>
  </si>
  <si>
    <t>794,52</t>
  </si>
  <si>
    <t>1.094,46</t>
  </si>
  <si>
    <t>813,69</t>
  </si>
  <si>
    <t>762,20</t>
  </si>
  <si>
    <t>46,55</t>
  </si>
  <si>
    <t>785,44</t>
  </si>
  <si>
    <t>763,16</t>
  </si>
  <si>
    <t>1.153,44</t>
  </si>
  <si>
    <t>963,62</t>
  </si>
  <si>
    <t>1.046,44</t>
  </si>
  <si>
    <t>916,04</t>
  </si>
  <si>
    <t>972,59</t>
  </si>
  <si>
    <t>843,27</t>
  </si>
  <si>
    <t>1.111,60</t>
  </si>
  <si>
    <t>1.434,12</t>
  </si>
  <si>
    <t>782,38</t>
  </si>
  <si>
    <t>768,46</t>
  </si>
  <si>
    <t>837,84</t>
  </si>
  <si>
    <t>1.229,85</t>
  </si>
  <si>
    <t>957,07</t>
  </si>
  <si>
    <t>771,63</t>
  </si>
  <si>
    <t>872,35</t>
  </si>
  <si>
    <t>192,05</t>
  </si>
  <si>
    <t>178,33</t>
  </si>
  <si>
    <t>1.027,84</t>
  </si>
  <si>
    <t>611,18</t>
  </si>
  <si>
    <t>70,03</t>
  </si>
  <si>
    <t>49,81</t>
  </si>
  <si>
    <t>79,94</t>
  </si>
  <si>
    <t>72,95</t>
  </si>
  <si>
    <t>28,81</t>
  </si>
  <si>
    <t>51,84</t>
  </si>
  <si>
    <t>27,43</t>
  </si>
  <si>
    <t>72,12</t>
  </si>
  <si>
    <t>68,17</t>
  </si>
  <si>
    <t>51,59</t>
  </si>
  <si>
    <t>34,17</t>
  </si>
  <si>
    <t>60,27</t>
  </si>
  <si>
    <t>43,99</t>
  </si>
  <si>
    <t>51,47</t>
  </si>
  <si>
    <t>34,84</t>
  </si>
  <si>
    <t>3.734,58</t>
  </si>
  <si>
    <t>3.237,28</t>
  </si>
  <si>
    <t>2.631,52</t>
  </si>
  <si>
    <t>1.563,03</t>
  </si>
  <si>
    <t>PEÇA RETANGULAR PRÉ-MOLDADA, VOLUME DE CONCRETO DE 30 A 70 LITROS, TAXA DE AÇO APROXIMADA DE 70KG/M³. AF_03/2024</t>
  </si>
  <si>
    <t>3.529,99</t>
  </si>
  <si>
    <t>4.400,26</t>
  </si>
  <si>
    <t>3.149,09</t>
  </si>
  <si>
    <t>2.207,61</t>
  </si>
  <si>
    <t>164,79</t>
  </si>
  <si>
    <t>131,42</t>
  </si>
  <si>
    <t>122,20</t>
  </si>
  <si>
    <t>167,38</t>
  </si>
  <si>
    <t>153,41</t>
  </si>
  <si>
    <t>146,34</t>
  </si>
  <si>
    <t>191,09</t>
  </si>
  <si>
    <t>179,82</t>
  </si>
  <si>
    <t>207,17</t>
  </si>
  <si>
    <t>202,24</t>
  </si>
  <si>
    <t>98627</t>
  </si>
  <si>
    <t>CONTENÇÃO EM CORTINA COM ESTACAS SECANTES COM 40 CM DE DIÂMETRO E PROFUNDIDADE MENOR OU IGUAL A 10 M. AF_06/2018</t>
  </si>
  <si>
    <t>635,55</t>
  </si>
  <si>
    <t>98628</t>
  </si>
  <si>
    <t>CONTENÇÃO EM CORTINA COM ESTACAS SECANTES COM 40 CM DE DIÂMETRO E PROFUNDIDADE MAIOR QUE 10 M E MENOR OU IGUAL A 15 M. AF_06/2018</t>
  </si>
  <si>
    <t>544,81</t>
  </si>
  <si>
    <t>98629</t>
  </si>
  <si>
    <t>CONTENÇÃO EM CORTINA COM ESTACAS SECANTES COM 40 CM DE DIÂMETRO E PROFUNDIDADE MAIOR QUE 15 M. AF_06/2018</t>
  </si>
  <si>
    <t>499,28</t>
  </si>
  <si>
    <t>98630</t>
  </si>
  <si>
    <t>CONTENÇÃO EM CORTINA COM ESTACAS SECANTES COM 50 CM DE DIÂMETRO E PROFUNDIDADE MENOR OU IGUAL A 10 M. AF_06/2018</t>
  </si>
  <si>
    <t>665,14</t>
  </si>
  <si>
    <t>98632</t>
  </si>
  <si>
    <t>CONTENÇÃO EM CORTINA COM ESTACAS SECANTES COM 50 CM DE DIÂMETRO E PROFUNDIDADE MAIOR QUE 15 M. AF_06/2018</t>
  </si>
  <si>
    <t>556,60</t>
  </si>
  <si>
    <t>751,17</t>
  </si>
  <si>
    <t>763,74</t>
  </si>
  <si>
    <t>776,32</t>
  </si>
  <si>
    <t>788,90</t>
  </si>
  <si>
    <t>814,06</t>
  </si>
  <si>
    <t>70,27</t>
  </si>
  <si>
    <t>80,81</t>
  </si>
  <si>
    <t>93,26</t>
  </si>
  <si>
    <t>125,64</t>
  </si>
  <si>
    <t>164,17</t>
  </si>
  <si>
    <t>211,74</t>
  </si>
  <si>
    <t>16,49</t>
  </si>
  <si>
    <t>22,40</t>
  </si>
  <si>
    <t>60,10</t>
  </si>
  <si>
    <t>764,32</t>
  </si>
  <si>
    <t>461,62</t>
  </si>
  <si>
    <t>532,25</t>
  </si>
  <si>
    <t>645,11</t>
  </si>
  <si>
    <t>1.951,86</t>
  </si>
  <si>
    <t>1.582,64</t>
  </si>
  <si>
    <t>1.246,17</t>
  </si>
  <si>
    <t>794,07</t>
  </si>
  <si>
    <t>594,90</t>
  </si>
  <si>
    <t>565,72</t>
  </si>
  <si>
    <t>1.734,20</t>
  </si>
  <si>
    <t>65,20</t>
  </si>
  <si>
    <t>62,77</t>
  </si>
  <si>
    <t>53,33</t>
  </si>
  <si>
    <t>189,91</t>
  </si>
  <si>
    <t>178,20</t>
  </si>
  <si>
    <t>260,22</t>
  </si>
  <si>
    <t>249,32</t>
  </si>
  <si>
    <t>100,91</t>
  </si>
  <si>
    <t>85,76</t>
  </si>
  <si>
    <t>165,86</t>
  </si>
  <si>
    <t>150,73</t>
  </si>
  <si>
    <t>256,75</t>
  </si>
  <si>
    <t>241,70</t>
  </si>
  <si>
    <t>67,48</t>
  </si>
  <si>
    <t>70,25</t>
  </si>
  <si>
    <t>79,10</t>
  </si>
  <si>
    <t>102,16</t>
  </si>
  <si>
    <t>91,13</t>
  </si>
  <si>
    <t>102,17</t>
  </si>
  <si>
    <t>169,13</t>
  </si>
  <si>
    <t>334,41</t>
  </si>
  <si>
    <t>145,96</t>
  </si>
  <si>
    <t>94,40</t>
  </si>
  <si>
    <t>82,55</t>
  </si>
  <si>
    <t>81,88</t>
  </si>
  <si>
    <t>114,25</t>
  </si>
  <si>
    <t>295,23</t>
  </si>
  <si>
    <t>30,54</t>
  </si>
  <si>
    <t>58,23</t>
  </si>
  <si>
    <t>132,68</t>
  </si>
  <si>
    <t>225,06</t>
  </si>
  <si>
    <t>155,14</t>
  </si>
  <si>
    <t>37,74</t>
  </si>
  <si>
    <t>38,00</t>
  </si>
  <si>
    <t>54,22</t>
  </si>
  <si>
    <t>67,21</t>
  </si>
  <si>
    <t>69,68</t>
  </si>
  <si>
    <t>82,67</t>
  </si>
  <si>
    <t>51,51</t>
  </si>
  <si>
    <t>63,19</t>
  </si>
  <si>
    <t>75,55</t>
  </si>
  <si>
    <t>18,18</t>
  </si>
  <si>
    <t>19,07</t>
  </si>
  <si>
    <t>24,49</t>
  </si>
  <si>
    <t>6,58</t>
  </si>
  <si>
    <t>8,16</t>
  </si>
  <si>
    <t>13,24</t>
  </si>
  <si>
    <t>13,77</t>
  </si>
  <si>
    <t>34,14</t>
  </si>
  <si>
    <t>41,38</t>
  </si>
  <si>
    <t>14,68</t>
  </si>
  <si>
    <t>27,89</t>
  </si>
  <si>
    <t>8,08</t>
  </si>
  <si>
    <t>24,52</t>
  </si>
  <si>
    <t>18,60</t>
  </si>
  <si>
    <t>19,67</t>
  </si>
  <si>
    <t>19,80</t>
  </si>
  <si>
    <t>30,10</t>
  </si>
  <si>
    <t>27,15</t>
  </si>
  <si>
    <t>87,50</t>
  </si>
  <si>
    <t>7,45</t>
  </si>
  <si>
    <t>29,98</t>
  </si>
  <si>
    <t>82,66</t>
  </si>
  <si>
    <t>106,81</t>
  </si>
  <si>
    <t>138,68</t>
  </si>
  <si>
    <t>167,74</t>
  </si>
  <si>
    <t>205,50</t>
  </si>
  <si>
    <t>271,94</t>
  </si>
  <si>
    <t>17,48</t>
  </si>
  <si>
    <t>21,53</t>
  </si>
  <si>
    <t>41,83</t>
  </si>
  <si>
    <t>37,26</t>
  </si>
  <si>
    <t>40,27</t>
  </si>
  <si>
    <t>26,73</t>
  </si>
  <si>
    <t>32,58</t>
  </si>
  <si>
    <t>37,14</t>
  </si>
  <si>
    <t>71,70</t>
  </si>
  <si>
    <t>44,30</t>
  </si>
  <si>
    <t>55,34</t>
  </si>
  <si>
    <t>80,17</t>
  </si>
  <si>
    <t>28,22</t>
  </si>
  <si>
    <t>28,45</t>
  </si>
  <si>
    <t>18,89</t>
  </si>
  <si>
    <t>34,43</t>
  </si>
  <si>
    <t>58,27</t>
  </si>
  <si>
    <t>142,25</t>
  </si>
  <si>
    <t>430,90</t>
  </si>
  <si>
    <t>842,31</t>
  </si>
  <si>
    <t>1.295,26</t>
  </si>
  <si>
    <t>167,88</t>
  </si>
  <si>
    <t>263,03</t>
  </si>
  <si>
    <t>501,38</t>
  </si>
  <si>
    <t>683,98</t>
  </si>
  <si>
    <t>768,70</t>
  </si>
  <si>
    <t>218,22</t>
  </si>
  <si>
    <t>406,64</t>
  </si>
  <si>
    <t>563,11</t>
  </si>
  <si>
    <t>622,25</t>
  </si>
  <si>
    <t>35,61</t>
  </si>
  <si>
    <t>37,33</t>
  </si>
  <si>
    <t>57,78</t>
  </si>
  <si>
    <t>61,51</t>
  </si>
  <si>
    <t>66,72</t>
  </si>
  <si>
    <t>74,32</t>
  </si>
  <si>
    <t>66,93</t>
  </si>
  <si>
    <t>73,90</t>
  </si>
  <si>
    <t>88,37</t>
  </si>
  <si>
    <t>3.745,67</t>
  </si>
  <si>
    <t>7.198,45</t>
  </si>
  <si>
    <t>9.597,93</t>
  </si>
  <si>
    <t>1.674,77</t>
  </si>
  <si>
    <t>366,97</t>
  </si>
  <si>
    <t>523,48</t>
  </si>
  <si>
    <t>527,40</t>
  </si>
  <si>
    <t>607,95</t>
  </si>
  <si>
    <t>867,18</t>
  </si>
  <si>
    <t>1.224,31</t>
  </si>
  <si>
    <t>503,25</t>
  </si>
  <si>
    <t>28,08</t>
  </si>
  <si>
    <t>87,45</t>
  </si>
  <si>
    <t>158,44</t>
  </si>
  <si>
    <t>412,89</t>
  </si>
  <si>
    <t>606,14</t>
  </si>
  <si>
    <t>950,64</t>
  </si>
  <si>
    <t>1.260,02</t>
  </si>
  <si>
    <t>1.995,91</t>
  </si>
  <si>
    <t>4.127,39</t>
  </si>
  <si>
    <t>139,34</t>
  </si>
  <si>
    <t>172,63</t>
  </si>
  <si>
    <t>359,34</t>
  </si>
  <si>
    <t>1.306,43</t>
  </si>
  <si>
    <t>184,05</t>
  </si>
  <si>
    <t>17,46</t>
  </si>
  <si>
    <t>20,02</t>
  </si>
  <si>
    <t>37,07</t>
  </si>
  <si>
    <t>64,46</t>
  </si>
  <si>
    <t>58,87</t>
  </si>
  <si>
    <t>72,55</t>
  </si>
  <si>
    <t>78,23</t>
  </si>
  <si>
    <t>91,91</t>
  </si>
  <si>
    <t>62,23</t>
  </si>
  <si>
    <t>75,91</t>
  </si>
  <si>
    <t>99,94</t>
  </si>
  <si>
    <t>110,09</t>
  </si>
  <si>
    <t>98,17</t>
  </si>
  <si>
    <t>118,19</t>
  </si>
  <si>
    <t>102,06</t>
  </si>
  <si>
    <t>120,95</t>
  </si>
  <si>
    <t>140,97</t>
  </si>
  <si>
    <t>63,03</t>
  </si>
  <si>
    <t>47,86</t>
  </si>
  <si>
    <t>61,54</t>
  </si>
  <si>
    <t>109,76</t>
  </si>
  <si>
    <t>123,44</t>
  </si>
  <si>
    <t>22,01</t>
  </si>
  <si>
    <t>45,98</t>
  </si>
  <si>
    <t>59,66</t>
  </si>
  <si>
    <t>27,03</t>
  </si>
  <si>
    <t>40,71</t>
  </si>
  <si>
    <t>45,17</t>
  </si>
  <si>
    <t>56,14</t>
  </si>
  <si>
    <t>30,02</t>
  </si>
  <si>
    <t>32,73</t>
  </si>
  <si>
    <t>43,70</t>
  </si>
  <si>
    <t>25,21</t>
  </si>
  <si>
    <t>38,89</t>
  </si>
  <si>
    <t>56,07</t>
  </si>
  <si>
    <t>61,49</t>
  </si>
  <si>
    <t>69,75</t>
  </si>
  <si>
    <t>46,39</t>
  </si>
  <si>
    <t>51,81</t>
  </si>
  <si>
    <t>60,07</t>
  </si>
  <si>
    <t>82,06</t>
  </si>
  <si>
    <t>90,19</t>
  </si>
  <si>
    <t>95,74</t>
  </si>
  <si>
    <t>103,87</t>
  </si>
  <si>
    <t>75,70</t>
  </si>
  <si>
    <t>89,45</t>
  </si>
  <si>
    <t>109,47</t>
  </si>
  <si>
    <t>132,13</t>
  </si>
  <si>
    <t>152,15</t>
  </si>
  <si>
    <t>49,38</t>
  </si>
  <si>
    <t>63,06</t>
  </si>
  <si>
    <t>89,11</t>
  </si>
  <si>
    <t>82,48</t>
  </si>
  <si>
    <t>83,46</t>
  </si>
  <si>
    <t>97,14</t>
  </si>
  <si>
    <t>98,54</t>
  </si>
  <si>
    <t>76,83</t>
  </si>
  <si>
    <t>90,51</t>
  </si>
  <si>
    <t>SENSOR DE PRESENÇA COM FOTOCÉLULA, FIXAÇÃO EM PAREDE - FORNECIMENTO E INSTALAÇÃO. AF_09/2024</t>
  </si>
  <si>
    <t>107,22</t>
  </si>
  <si>
    <t>SENSOR DE PRESENÇA SEM FOTOCÉLULA, FIXAÇÃO EM PAREDE - FORNECIMENTO E INSTALAÇÃO. AF_09/2024</t>
  </si>
  <si>
    <t>77,33</t>
  </si>
  <si>
    <t>SENSOR DE PRESENÇA COM FOTOCÉLULA, FIXAÇÃO EM TETO - FORNECIMENTO E INSTALAÇÃO. AF_09/2024</t>
  </si>
  <si>
    <t>75,72</t>
  </si>
  <si>
    <t>SENSOR DE PRESENÇA SEM FOTOCÉLULA, FIXAÇÃO EM TETO - FORNECIMENTO E INSTALAÇÃO. AF_09/2024</t>
  </si>
  <si>
    <t>71,90</t>
  </si>
  <si>
    <t>LUMINÁRIA DE EMERGÊNCIA, COM 30 LÂMPADAS LED DE 2 W, SEM REATOR - FORNECIMENTO E INSTALAÇÃO. AF_09/2024</t>
  </si>
  <si>
    <t>LÂMPADA COMPACTA DE LED 6 W, BASE E27 - FORNECIMENTO E INSTALAÇÃO. AF_09/2024</t>
  </si>
  <si>
    <t>15,23</t>
  </si>
  <si>
    <t>LÂMPADA COMPACTA DE LED 10 W, BASE E27 - FORNECIMENTO E INSTALAÇÃO. AF_09/2024</t>
  </si>
  <si>
    <t>LÂMPADA TUBULAR LED DE 9/10 W, COM SOQUETE, BASE G13 - FORNECIMENTO E INSTALAÇÃO. AF_09/2024_PS</t>
  </si>
  <si>
    <t>31,62</t>
  </si>
  <si>
    <t>LÂMPADA TUBULAR LED DE 18/20 W, COM SOQUETE, BASE G13 - FORNECIMENTO E INSTALAÇÃO. AF_09/2024_PS</t>
  </si>
  <si>
    <t>LUMINÁRIA TIPO PLAFON CIRCULAR, DE SOBREPOR, COM LED DE 12/13 W - FORNECIMENTO E INSTALAÇÃO. AF_09/2024</t>
  </si>
  <si>
    <t>105554</t>
  </si>
  <si>
    <t>LÂMPADA TUBULAR LED 9/10W SEM SOQUETE - FORNECIMENTO E INSTALAÇÃO. AF_09/2024</t>
  </si>
  <si>
    <t>18,62</t>
  </si>
  <si>
    <t>1.581,79</t>
  </si>
  <si>
    <t>1.692,78</t>
  </si>
  <si>
    <t>1.715,44</t>
  </si>
  <si>
    <t>1.870,11</t>
  </si>
  <si>
    <t>1.559,42</t>
  </si>
  <si>
    <t>1.670,41</t>
  </si>
  <si>
    <t>1.693,07</t>
  </si>
  <si>
    <t>1.847,74</t>
  </si>
  <si>
    <t>1.847,95</t>
  </si>
  <si>
    <t>2.015,95</t>
  </si>
  <si>
    <t>2.050,25</t>
  </si>
  <si>
    <t>2.268,99</t>
  </si>
  <si>
    <t>1.833,95</t>
  </si>
  <si>
    <t>2.001,95</t>
  </si>
  <si>
    <t>2.036,25</t>
  </si>
  <si>
    <t>2.254,99</t>
  </si>
  <si>
    <t>1.972,37</t>
  </si>
  <si>
    <t>2.196,37</t>
  </si>
  <si>
    <t>2.242,10</t>
  </si>
  <si>
    <t>2.523,78</t>
  </si>
  <si>
    <t>2.002,93</t>
  </si>
  <si>
    <t>2.226,93</t>
  </si>
  <si>
    <t>2.272,66</t>
  </si>
  <si>
    <t>2.554,34</t>
  </si>
  <si>
    <t>988,56</t>
  </si>
  <si>
    <t>1.015,75</t>
  </si>
  <si>
    <t>1.165,44</t>
  </si>
  <si>
    <t>832,99</t>
  </si>
  <si>
    <t>966,18</t>
  </si>
  <si>
    <t>993,37</t>
  </si>
  <si>
    <t>1.143,06</t>
  </si>
  <si>
    <t>1.138,48</t>
  </si>
  <si>
    <t>1.338,26</t>
  </si>
  <si>
    <t>1.379,05</t>
  </si>
  <si>
    <t>1.603,58</t>
  </si>
  <si>
    <t>1.124,48</t>
  </si>
  <si>
    <t>1.324,26</t>
  </si>
  <si>
    <t>1.365,05</t>
  </si>
  <si>
    <t>1.589,58</t>
  </si>
  <si>
    <t>1.281,62</t>
  </si>
  <si>
    <t>1.547,99</t>
  </si>
  <si>
    <t>1.602,38</t>
  </si>
  <si>
    <t>1.901,75</t>
  </si>
  <si>
    <t>1.312,18</t>
  </si>
  <si>
    <t>1.578,55</t>
  </si>
  <si>
    <t>1.632,94</t>
  </si>
  <si>
    <t>1.932,31</t>
  </si>
  <si>
    <t>117,22</t>
  </si>
  <si>
    <t>157,76</t>
  </si>
  <si>
    <t>205,85</t>
  </si>
  <si>
    <t>76,19</t>
  </si>
  <si>
    <t>121,68</t>
  </si>
  <si>
    <t>176,22</t>
  </si>
  <si>
    <t>21,21</t>
  </si>
  <si>
    <t>26,80</t>
  </si>
  <si>
    <t>37,85</t>
  </si>
  <si>
    <t>83,93</t>
  </si>
  <si>
    <t>36,61</t>
  </si>
  <si>
    <t>103,82</t>
  </si>
  <si>
    <t>162,49</t>
  </si>
  <si>
    <t>298,10</t>
  </si>
  <si>
    <t>228,33</t>
  </si>
  <si>
    <t>352,50</t>
  </si>
  <si>
    <t>381,49</t>
  </si>
  <si>
    <t>443,24</t>
  </si>
  <si>
    <t>570,22</t>
  </si>
  <si>
    <t>649,19</t>
  </si>
  <si>
    <t>1.021,99</t>
  </si>
  <si>
    <t>133,38</t>
  </si>
  <si>
    <t>38,47</t>
  </si>
  <si>
    <t>561,60</t>
  </si>
  <si>
    <t>615,43</t>
  </si>
  <si>
    <t>678,73</t>
  </si>
  <si>
    <t>642,11</t>
  </si>
  <si>
    <t>756,29</t>
  </si>
  <si>
    <t>670,83</t>
  </si>
  <si>
    <t>739,42</t>
  </si>
  <si>
    <t>726,53</t>
  </si>
  <si>
    <t>835,74</t>
  </si>
  <si>
    <t>784,39</t>
  </si>
  <si>
    <t>869,29</t>
  </si>
  <si>
    <t>872,45</t>
  </si>
  <si>
    <t>956,55</t>
  </si>
  <si>
    <t>864,42</t>
  </si>
  <si>
    <t>934,07</t>
  </si>
  <si>
    <t>926,10</t>
  </si>
  <si>
    <t>1.044,00</t>
  </si>
  <si>
    <t>1.111,19</t>
  </si>
  <si>
    <t>1.270,12</t>
  </si>
  <si>
    <t>1.288,69</t>
  </si>
  <si>
    <t>1.419,71</t>
  </si>
  <si>
    <t>679,95</t>
  </si>
  <si>
    <t>859,83</t>
  </si>
  <si>
    <t>1.084,24</t>
  </si>
  <si>
    <t>1.662,59</t>
  </si>
  <si>
    <t>722,88</t>
  </si>
  <si>
    <t>1.138,88</t>
  </si>
  <si>
    <t>1.732,48</t>
  </si>
  <si>
    <t>743,39</t>
  </si>
  <si>
    <t>1.165,86</t>
  </si>
  <si>
    <t>1.769,89</t>
  </si>
  <si>
    <t>763,77</t>
  </si>
  <si>
    <t>954,02</t>
  </si>
  <si>
    <t>1.192,33</t>
  </si>
  <si>
    <t>1.806,55</t>
  </si>
  <si>
    <t>1.000,26</t>
  </si>
  <si>
    <t>1.244,92</t>
  </si>
  <si>
    <t>1.883,67</t>
  </si>
  <si>
    <t>1.297,37</t>
  </si>
  <si>
    <t>1.964,90</t>
  </si>
  <si>
    <t>609,28</t>
  </si>
  <si>
    <t>2.713,02</t>
  </si>
  <si>
    <t>3.154,41</t>
  </si>
  <si>
    <t>2.413,38</t>
  </si>
  <si>
    <t>2.601,35</t>
  </si>
  <si>
    <t>LUMINÁRIA ARANDELA TIPO MEIA LUA, DE SOBREPOR, COM 1 LÂMPADA LED DE 6 W, SEM REATOR - FORNECIMENTO E INSTALAÇÃO. AF_09/2024</t>
  </si>
  <si>
    <t>LUMINÁRIA ARANDELA TIPO TARTARUGA, DE SOBREPOR, COM 1 LÂMPADA LED DE 6 W, SEM REATOR - FORNECIMENTO E INSTALAÇÃO. AF_09/2024</t>
  </si>
  <si>
    <t>11.429,52</t>
  </si>
  <si>
    <t>12.711,01</t>
  </si>
  <si>
    <t>16.282,80</t>
  </si>
  <si>
    <t>19.993,93</t>
  </si>
  <si>
    <t>25.057,52</t>
  </si>
  <si>
    <t>34.932,64</t>
  </si>
  <si>
    <t>40.665,94</t>
  </si>
  <si>
    <t>74,89</t>
  </si>
  <si>
    <t>230,97</t>
  </si>
  <si>
    <t>65.819,21</t>
  </si>
  <si>
    <t>90.139,81</t>
  </si>
  <si>
    <t>125.992,64</t>
  </si>
  <si>
    <t>76,98</t>
  </si>
  <si>
    <t>99,16</t>
  </si>
  <si>
    <t>160,59</t>
  </si>
  <si>
    <t>80,80</t>
  </si>
  <si>
    <t>115,49</t>
  </si>
  <si>
    <t>63,02</t>
  </si>
  <si>
    <t>83,07</t>
  </si>
  <si>
    <t>124,24</t>
  </si>
  <si>
    <t>159,72</t>
  </si>
  <si>
    <t>133,62</t>
  </si>
  <si>
    <t>29,23</t>
  </si>
  <si>
    <t>46,81</t>
  </si>
  <si>
    <t>3.433,20</t>
  </si>
  <si>
    <t>626,67</t>
  </si>
  <si>
    <t>19,08</t>
  </si>
  <si>
    <t>2,22</t>
  </si>
  <si>
    <t>1.588,23</t>
  </si>
  <si>
    <t>232,96</t>
  </si>
  <si>
    <t>679,99</t>
  </si>
  <si>
    <t>734,46</t>
  </si>
  <si>
    <t>226,15</t>
  </si>
  <si>
    <t>262,46</t>
  </si>
  <si>
    <t>307,84</t>
  </si>
  <si>
    <t>353,22</t>
  </si>
  <si>
    <t>1.942,81</t>
  </si>
  <si>
    <t>455,44</t>
  </si>
  <si>
    <t>578,52</t>
  </si>
  <si>
    <t>357,82</t>
  </si>
  <si>
    <t>3.410,04</t>
  </si>
  <si>
    <t>168,92</t>
  </si>
  <si>
    <t>4,51</t>
  </si>
  <si>
    <t>7,39</t>
  </si>
  <si>
    <t>43,23</t>
  </si>
  <si>
    <t>95,41</t>
  </si>
  <si>
    <t>2,36</t>
  </si>
  <si>
    <t>12,71</t>
  </si>
  <si>
    <t>42,82</t>
  </si>
  <si>
    <t>452,02</t>
  </si>
  <si>
    <t>115,42</t>
  </si>
  <si>
    <t>292,35</t>
  </si>
  <si>
    <t>412,66</t>
  </si>
  <si>
    <t>611,19</t>
  </si>
  <si>
    <t>260,92</t>
  </si>
  <si>
    <t>615,24</t>
  </si>
  <si>
    <t>2.460,95</t>
  </si>
  <si>
    <t>1.940,61</t>
  </si>
  <si>
    <t>2.116,58</t>
  </si>
  <si>
    <t>2.731,59</t>
  </si>
  <si>
    <t>2.231,80</t>
  </si>
  <si>
    <t>2.397,87</t>
  </si>
  <si>
    <t>3.969,02</t>
  </si>
  <si>
    <t>3.134,28</t>
  </si>
  <si>
    <t>3.470,91</t>
  </si>
  <si>
    <t>5.411,26</t>
  </si>
  <si>
    <t>4.046,56</t>
  </si>
  <si>
    <t>4.528,06</t>
  </si>
  <si>
    <t>10.052,40</t>
  </si>
  <si>
    <t>5.744,36</t>
  </si>
  <si>
    <t>11.238,35</t>
  </si>
  <si>
    <t>6.056,83</t>
  </si>
  <si>
    <t>6.221,72</t>
  </si>
  <si>
    <t>12.678,70</t>
  </si>
  <si>
    <t>7.957,63</t>
  </si>
  <si>
    <t>17.639,22</t>
  </si>
  <si>
    <t>9.909,48</t>
  </si>
  <si>
    <t>21.257,36</t>
  </si>
  <si>
    <t>11.062,48</t>
  </si>
  <si>
    <t>6.279,89</t>
  </si>
  <si>
    <t>7.454,33</t>
  </si>
  <si>
    <t>7.718,83</t>
  </si>
  <si>
    <t>8.012,22</t>
  </si>
  <si>
    <t>11.352,68</t>
  </si>
  <si>
    <t>11.725,78</t>
  </si>
  <si>
    <t>12.096,87</t>
  </si>
  <si>
    <t>13.851,60</t>
  </si>
  <si>
    <t>13.779,97</t>
  </si>
  <si>
    <t>14.458,64</t>
  </si>
  <si>
    <t>26.696,90</t>
  </si>
  <si>
    <t>34.153,53</t>
  </si>
  <si>
    <t>48,06</t>
  </si>
  <si>
    <t>60,24</t>
  </si>
  <si>
    <t>72,61</t>
  </si>
  <si>
    <t>9.492,26</t>
  </si>
  <si>
    <t>17.064,64</t>
  </si>
  <si>
    <t>5,67</t>
  </si>
  <si>
    <t>4,77</t>
  </si>
  <si>
    <t>17,82</t>
  </si>
  <si>
    <t>989,81</t>
  </si>
  <si>
    <t>1.983,50</t>
  </si>
  <si>
    <t>6.379,66</t>
  </si>
  <si>
    <t>4.884,67</t>
  </si>
  <si>
    <t>57,55</t>
  </si>
  <si>
    <t>38,34</t>
  </si>
  <si>
    <t>4.353,50</t>
  </si>
  <si>
    <t>2.434,00</t>
  </si>
  <si>
    <t>36,39</t>
  </si>
  <si>
    <t>12,18</t>
  </si>
  <si>
    <t>55,76</t>
  </si>
  <si>
    <t>76,86</t>
  </si>
  <si>
    <t>20,27</t>
  </si>
  <si>
    <t>47,09</t>
  </si>
  <si>
    <t>59,48</t>
  </si>
  <si>
    <t>33,64</t>
  </si>
  <si>
    <t>41,61</t>
  </si>
  <si>
    <t>41,44</t>
  </si>
  <si>
    <t>40,09</t>
  </si>
  <si>
    <t>47,85</t>
  </si>
  <si>
    <t>68,83</t>
  </si>
  <si>
    <t>161,76</t>
  </si>
  <si>
    <t>252,92</t>
  </si>
  <si>
    <t>56,78</t>
  </si>
  <si>
    <t>104,14</t>
  </si>
  <si>
    <t>140,08</t>
  </si>
  <si>
    <t>202,41</t>
  </si>
  <si>
    <t>284,06</t>
  </si>
  <si>
    <t>108,88</t>
  </si>
  <si>
    <t>126,30</t>
  </si>
  <si>
    <t>172,51</t>
  </si>
  <si>
    <t>217,94</t>
  </si>
  <si>
    <t>295,39</t>
  </si>
  <si>
    <t>378,32</t>
  </si>
  <si>
    <t>78,57</t>
  </si>
  <si>
    <t>53,58</t>
  </si>
  <si>
    <t>118,15</t>
  </si>
  <si>
    <t>135,86</t>
  </si>
  <si>
    <t>51,76</t>
  </si>
  <si>
    <t>108,33</t>
  </si>
  <si>
    <t>136,99</t>
  </si>
  <si>
    <t>135,35</t>
  </si>
  <si>
    <t>166,68</t>
  </si>
  <si>
    <t>220,71</t>
  </si>
  <si>
    <t>242,75</t>
  </si>
  <si>
    <t>147,01</t>
  </si>
  <si>
    <t>178,42</t>
  </si>
  <si>
    <t>232,55</t>
  </si>
  <si>
    <t>75,18</t>
  </si>
  <si>
    <t>100,48</t>
  </si>
  <si>
    <t>135,67</t>
  </si>
  <si>
    <t>216,96</t>
  </si>
  <si>
    <t>81,85</t>
  </si>
  <si>
    <t>132,58</t>
  </si>
  <si>
    <t>163,33</t>
  </si>
  <si>
    <t>216,87</t>
  </si>
  <si>
    <t>79,65</t>
  </si>
  <si>
    <t>114,88</t>
  </si>
  <si>
    <t>140,13</t>
  </si>
  <si>
    <t>221,42</t>
  </si>
  <si>
    <t>87,17</t>
  </si>
  <si>
    <t>99,77</t>
  </si>
  <si>
    <t>137,95</t>
  </si>
  <si>
    <t>168,82</t>
  </si>
  <si>
    <t>222,35</t>
  </si>
  <si>
    <t>39,95</t>
  </si>
  <si>
    <t>56,22</t>
  </si>
  <si>
    <t>80,31</t>
  </si>
  <si>
    <t>104,80</t>
  </si>
  <si>
    <t>141,54</t>
  </si>
  <si>
    <t>230,35</t>
  </si>
  <si>
    <t>223,46</t>
  </si>
  <si>
    <t>304,88</t>
  </si>
  <si>
    <t>433,87</t>
  </si>
  <si>
    <t>628,17</t>
  </si>
  <si>
    <t>89,23</t>
  </si>
  <si>
    <t>140,44</t>
  </si>
  <si>
    <t>53,91</t>
  </si>
  <si>
    <t>71,98</t>
  </si>
  <si>
    <t>105,39</t>
  </si>
  <si>
    <t>266,48</t>
  </si>
  <si>
    <t>501,92</t>
  </si>
  <si>
    <t>110,42</t>
  </si>
  <si>
    <t>42,09</t>
  </si>
  <si>
    <t>44,46</t>
  </si>
  <si>
    <t>21,77</t>
  </si>
  <si>
    <t>32,01</t>
  </si>
  <si>
    <t>60,63</t>
  </si>
  <si>
    <t>96,89</t>
  </si>
  <si>
    <t>140,10</t>
  </si>
  <si>
    <t>55,09</t>
  </si>
  <si>
    <t>90,06</t>
  </si>
  <si>
    <t>120,64</t>
  </si>
  <si>
    <t>197,43</t>
  </si>
  <si>
    <t>270,28</t>
  </si>
  <si>
    <t>20,47</t>
  </si>
  <si>
    <t>31,12</t>
  </si>
  <si>
    <t>100,33</t>
  </si>
  <si>
    <t>148,08</t>
  </si>
  <si>
    <t>35,07</t>
  </si>
  <si>
    <t>88,26</t>
  </si>
  <si>
    <t>199,45</t>
  </si>
  <si>
    <t>277,41</t>
  </si>
  <si>
    <t>43,15</t>
  </si>
  <si>
    <t>67,54</t>
  </si>
  <si>
    <t>43,59</t>
  </si>
  <si>
    <t>68,14</t>
  </si>
  <si>
    <t>81,60</t>
  </si>
  <si>
    <t>156,08</t>
  </si>
  <si>
    <t>187,81</t>
  </si>
  <si>
    <t>203,81</t>
  </si>
  <si>
    <t>83,65</t>
  </si>
  <si>
    <t>822,25</t>
  </si>
  <si>
    <t>24,79</t>
  </si>
  <si>
    <t>32,44</t>
  </si>
  <si>
    <t>41,34</t>
  </si>
  <si>
    <t>41,87</t>
  </si>
  <si>
    <t>311,92</t>
  </si>
  <si>
    <t>456,38</t>
  </si>
  <si>
    <t>217,41</t>
  </si>
  <si>
    <t>248,18</t>
  </si>
  <si>
    <t>204,53</t>
  </si>
  <si>
    <t>342,16</t>
  </si>
  <si>
    <t>441,09</t>
  </si>
  <si>
    <t>295,33</t>
  </si>
  <si>
    <t>462,73</t>
  </si>
  <si>
    <t>223,76</t>
  </si>
  <si>
    <t>254,53</t>
  </si>
  <si>
    <t>210,88</t>
  </si>
  <si>
    <t>351,69</t>
  </si>
  <si>
    <t>453,80</t>
  </si>
  <si>
    <t>71,31</t>
  </si>
  <si>
    <t>85,94</t>
  </si>
  <si>
    <t>64,88</t>
  </si>
  <si>
    <t>100,44</t>
  </si>
  <si>
    <t>126,55</t>
  </si>
  <si>
    <t>52,45</t>
  </si>
  <si>
    <t>96,86</t>
  </si>
  <si>
    <t>63,80</t>
  </si>
  <si>
    <t>150,96</t>
  </si>
  <si>
    <t>30,07</t>
  </si>
  <si>
    <t>79,98</t>
  </si>
  <si>
    <t>19,20</t>
  </si>
  <si>
    <t>22,67</t>
  </si>
  <si>
    <t>7,47</t>
  </si>
  <si>
    <t>6,56</t>
  </si>
  <si>
    <t>11,45</t>
  </si>
  <si>
    <t>16,33</t>
  </si>
  <si>
    <t>34,52</t>
  </si>
  <si>
    <t>21,11</t>
  </si>
  <si>
    <t>23,12</t>
  </si>
  <si>
    <t>16,47</t>
  </si>
  <si>
    <t>22,29</t>
  </si>
  <si>
    <t>18,21</t>
  </si>
  <si>
    <t>33,82</t>
  </si>
  <si>
    <t>23,66</t>
  </si>
  <si>
    <t>27,31</t>
  </si>
  <si>
    <t>12,88</t>
  </si>
  <si>
    <t>5,85</t>
  </si>
  <si>
    <t>22,10</t>
  </si>
  <si>
    <t>46,87</t>
  </si>
  <si>
    <t>44,77</t>
  </si>
  <si>
    <t>53,05</t>
  </si>
  <si>
    <t>118,44</t>
  </si>
  <si>
    <t>94,22</t>
  </si>
  <si>
    <t>78,76</t>
  </si>
  <si>
    <t>141,16</t>
  </si>
  <si>
    <t>115,23</t>
  </si>
  <si>
    <t>35,46</t>
  </si>
  <si>
    <t>99,11</t>
  </si>
  <si>
    <t>46,28</t>
  </si>
  <si>
    <t>63,92</t>
  </si>
  <si>
    <t>44,33</t>
  </si>
  <si>
    <t>31,00</t>
  </si>
  <si>
    <t>26,64</t>
  </si>
  <si>
    <t>49,31</t>
  </si>
  <si>
    <t>20,84</t>
  </si>
  <si>
    <t>47,22</t>
  </si>
  <si>
    <t>37,29</t>
  </si>
  <si>
    <t>80,73</t>
  </si>
  <si>
    <t>40,91</t>
  </si>
  <si>
    <t>66,48</t>
  </si>
  <si>
    <t>95,60</t>
  </si>
  <si>
    <t>112,75</t>
  </si>
  <si>
    <t>91,08</t>
  </si>
  <si>
    <t>41,84</t>
  </si>
  <si>
    <t>50,65</t>
  </si>
  <si>
    <t>50,92</t>
  </si>
  <si>
    <t>52,24</t>
  </si>
  <si>
    <t>57,90</t>
  </si>
  <si>
    <t>152,69</t>
  </si>
  <si>
    <t>188,14</t>
  </si>
  <si>
    <t>95,71</t>
  </si>
  <si>
    <t>35,91</t>
  </si>
  <si>
    <t>188,37</t>
  </si>
  <si>
    <t>34,24</t>
  </si>
  <si>
    <t>222,44</t>
  </si>
  <si>
    <t>45,78</t>
  </si>
  <si>
    <t>33,81</t>
  </si>
  <si>
    <t>91,10</t>
  </si>
  <si>
    <t>69,03</t>
  </si>
  <si>
    <t>119,74</t>
  </si>
  <si>
    <t>32,21</t>
  </si>
  <si>
    <t>22,58</t>
  </si>
  <si>
    <t>26,92</t>
  </si>
  <si>
    <t>26,31</t>
  </si>
  <si>
    <t>52,22</t>
  </si>
  <si>
    <t>52,49</t>
  </si>
  <si>
    <t>26,51</t>
  </si>
  <si>
    <t>34,26</t>
  </si>
  <si>
    <t>86,00</t>
  </si>
  <si>
    <t>89,65</t>
  </si>
  <si>
    <t>145,23</t>
  </si>
  <si>
    <t>106,04</t>
  </si>
  <si>
    <t>35,28</t>
  </si>
  <si>
    <t>344,08</t>
  </si>
  <si>
    <t>72,30</t>
  </si>
  <si>
    <t>63,12</t>
  </si>
  <si>
    <t>106,13</t>
  </si>
  <si>
    <t>121,71</t>
  </si>
  <si>
    <t>92,75</t>
  </si>
  <si>
    <t>100,04</t>
  </si>
  <si>
    <t>317,17</t>
  </si>
  <si>
    <t>238,83</t>
  </si>
  <si>
    <t>231,21</t>
  </si>
  <si>
    <t>53,63</t>
  </si>
  <si>
    <t>178,24</t>
  </si>
  <si>
    <t>17,75</t>
  </si>
  <si>
    <t>27,04</t>
  </si>
  <si>
    <t>17,56</t>
  </si>
  <si>
    <t>31,08</t>
  </si>
  <si>
    <t>26,86</t>
  </si>
  <si>
    <t>25,77</t>
  </si>
  <si>
    <t>47,52</t>
  </si>
  <si>
    <t>73,94</t>
  </si>
  <si>
    <t>32,17</t>
  </si>
  <si>
    <t>33,04</t>
  </si>
  <si>
    <t>95,39</t>
  </si>
  <si>
    <t>18,82</t>
  </si>
  <si>
    <t>23,63</t>
  </si>
  <si>
    <t>27,40</t>
  </si>
  <si>
    <t>61,72</t>
  </si>
  <si>
    <t>100,40</t>
  </si>
  <si>
    <t>29,71</t>
  </si>
  <si>
    <t>28,52</t>
  </si>
  <si>
    <t>40,47</t>
  </si>
  <si>
    <t>16,92</t>
  </si>
  <si>
    <t>27,45</t>
  </si>
  <si>
    <t>40,02</t>
  </si>
  <si>
    <t>88,23</t>
  </si>
  <si>
    <t>176,69</t>
  </si>
  <si>
    <t>170,62</t>
  </si>
  <si>
    <t>208,55</t>
  </si>
  <si>
    <t>246,32</t>
  </si>
  <si>
    <t>49,45</t>
  </si>
  <si>
    <t>59,77</t>
  </si>
  <si>
    <t>24,70</t>
  </si>
  <si>
    <t>71,78</t>
  </si>
  <si>
    <t>32,45</t>
  </si>
  <si>
    <t>33,52</t>
  </si>
  <si>
    <t>96,74</t>
  </si>
  <si>
    <t>21,17</t>
  </si>
  <si>
    <t>141,74</t>
  </si>
  <si>
    <t>22,88</t>
  </si>
  <si>
    <t>67,29</t>
  </si>
  <si>
    <t>41,96</t>
  </si>
  <si>
    <t>46,20</t>
  </si>
  <si>
    <t>51,25</t>
  </si>
  <si>
    <t>48,76</t>
  </si>
  <si>
    <t>223,00</t>
  </si>
  <si>
    <t>149,31</t>
  </si>
  <si>
    <t>193,99</t>
  </si>
  <si>
    <t>201,17</t>
  </si>
  <si>
    <t>294,54</t>
  </si>
  <si>
    <t>70,42</t>
  </si>
  <si>
    <t>110,69</t>
  </si>
  <si>
    <t>237,69</t>
  </si>
  <si>
    <t>283,32</t>
  </si>
  <si>
    <t>35,75</t>
  </si>
  <si>
    <t>132,01</t>
  </si>
  <si>
    <t>43,72</t>
  </si>
  <si>
    <t>55,65</t>
  </si>
  <si>
    <t>65,97</t>
  </si>
  <si>
    <t>8,96</t>
  </si>
  <si>
    <t>28,36</t>
  </si>
  <si>
    <t>50,21</t>
  </si>
  <si>
    <t>117,37</t>
  </si>
  <si>
    <t>10,35</t>
  </si>
  <si>
    <t>66,78</t>
  </si>
  <si>
    <t>186,51</t>
  </si>
  <si>
    <t>71,26</t>
  </si>
  <si>
    <t>94,04</t>
  </si>
  <si>
    <t>172,07</t>
  </si>
  <si>
    <t>444,82</t>
  </si>
  <si>
    <t>14,60</t>
  </si>
  <si>
    <t>15,74</t>
  </si>
  <si>
    <t>75,26</t>
  </si>
  <si>
    <t>99,38</t>
  </si>
  <si>
    <t>110,85</t>
  </si>
  <si>
    <t>140,22</t>
  </si>
  <si>
    <t>111,96</t>
  </si>
  <si>
    <t>109,41</t>
  </si>
  <si>
    <t>159,88</t>
  </si>
  <si>
    <t>227,92</t>
  </si>
  <si>
    <t>206,28</t>
  </si>
  <si>
    <t>145,82</t>
  </si>
  <si>
    <t>272,98</t>
  </si>
  <si>
    <t>40,12</t>
  </si>
  <si>
    <t>42,18</t>
  </si>
  <si>
    <t>50,61</t>
  </si>
  <si>
    <t>57,69</t>
  </si>
  <si>
    <t>58,06</t>
  </si>
  <si>
    <t>75,24</t>
  </si>
  <si>
    <t>75,21</t>
  </si>
  <si>
    <t>101,25</t>
  </si>
  <si>
    <t>112,72</t>
  </si>
  <si>
    <t>154,26</t>
  </si>
  <si>
    <t>60,79</t>
  </si>
  <si>
    <t>58,05</t>
  </si>
  <si>
    <t>88,39</t>
  </si>
  <si>
    <t>84,63</t>
  </si>
  <si>
    <t>111,85</t>
  </si>
  <si>
    <t>109,30</t>
  </si>
  <si>
    <t>173,97</t>
  </si>
  <si>
    <t>162,74</t>
  </si>
  <si>
    <t>233,68</t>
  </si>
  <si>
    <t>78,40</t>
  </si>
  <si>
    <t>96,04</t>
  </si>
  <si>
    <t>111,39</t>
  </si>
  <si>
    <t>145,66</t>
  </si>
  <si>
    <t>222,55</t>
  </si>
  <si>
    <t>280,65</t>
  </si>
  <si>
    <t>38,82</t>
  </si>
  <si>
    <t>44,25</t>
  </si>
  <si>
    <t>59,74</t>
  </si>
  <si>
    <t>94,17</t>
  </si>
  <si>
    <t>122,50</t>
  </si>
  <si>
    <t>132,71</t>
  </si>
  <si>
    <t>45,22</t>
  </si>
  <si>
    <t>59,32</t>
  </si>
  <si>
    <t>64,51</t>
  </si>
  <si>
    <t>88,71</t>
  </si>
  <si>
    <t>146,21</t>
  </si>
  <si>
    <t>134,98</t>
  </si>
  <si>
    <t>201,38</t>
  </si>
  <si>
    <t>179,74</t>
  </si>
  <si>
    <t>57,62</t>
  </si>
  <si>
    <t>72,41</t>
  </si>
  <si>
    <t>84,57</t>
  </si>
  <si>
    <t>114,78</t>
  </si>
  <si>
    <t>185,59</t>
  </si>
  <si>
    <t>237,55</t>
  </si>
  <si>
    <t>41,74</t>
  </si>
  <si>
    <t>38,51</t>
  </si>
  <si>
    <t>36,29</t>
  </si>
  <si>
    <t>60,18</t>
  </si>
  <si>
    <t>57,44</t>
  </si>
  <si>
    <t>29,85</t>
  </si>
  <si>
    <t>77,58</t>
  </si>
  <si>
    <t>149,75</t>
  </si>
  <si>
    <t>227,44</t>
  </si>
  <si>
    <t>333,97</t>
  </si>
  <si>
    <t>64,35</t>
  </si>
  <si>
    <t>109,78</t>
  </si>
  <si>
    <t>149,70</t>
  </si>
  <si>
    <t>229,31</t>
  </si>
  <si>
    <t>337,80</t>
  </si>
  <si>
    <t>53,99</t>
  </si>
  <si>
    <t>80,03</t>
  </si>
  <si>
    <t>96,34</t>
  </si>
  <si>
    <t>134,23</t>
  </si>
  <si>
    <t>210,76</t>
  </si>
  <si>
    <t>316,25</t>
  </si>
  <si>
    <t>63,91</t>
  </si>
  <si>
    <t>115,70</t>
  </si>
  <si>
    <t>158,89</t>
  </si>
  <si>
    <t>42,30</t>
  </si>
  <si>
    <t>52,13</t>
  </si>
  <si>
    <t>79,54</t>
  </si>
  <si>
    <t>117,57</t>
  </si>
  <si>
    <t>162,72</t>
  </si>
  <si>
    <t>31,65</t>
  </si>
  <si>
    <t>40,35</t>
  </si>
  <si>
    <t>40,34</t>
  </si>
  <si>
    <t>46,22</t>
  </si>
  <si>
    <t>99,02</t>
  </si>
  <si>
    <t>141,17</t>
  </si>
  <si>
    <t>524,24</t>
  </si>
  <si>
    <t>45,63</t>
  </si>
  <si>
    <t>576,78</t>
  </si>
  <si>
    <t>661,01</t>
  </si>
  <si>
    <t>44,95</t>
  </si>
  <si>
    <t>829,49</t>
  </si>
  <si>
    <t>74,31</t>
  </si>
  <si>
    <t>63,21</t>
  </si>
  <si>
    <t>1.149,77</t>
  </si>
  <si>
    <t>171,44</t>
  </si>
  <si>
    <t>1.517,32</t>
  </si>
  <si>
    <t>14,31</t>
  </si>
  <si>
    <t>24,77</t>
  </si>
  <si>
    <t>454,22</t>
  </si>
  <si>
    <t>527,33</t>
  </si>
  <si>
    <t>48,72</t>
  </si>
  <si>
    <t>579,65</t>
  </si>
  <si>
    <t>454,41</t>
  </si>
  <si>
    <t>14,37</t>
  </si>
  <si>
    <t>529,63</t>
  </si>
  <si>
    <t>51,02</t>
  </si>
  <si>
    <t>583,75</t>
  </si>
  <si>
    <t>87,48</t>
  </si>
  <si>
    <t>58,97</t>
  </si>
  <si>
    <t>92,30</t>
  </si>
  <si>
    <t>135,58</t>
  </si>
  <si>
    <t>298,33</t>
  </si>
  <si>
    <t>20,65</t>
  </si>
  <si>
    <t>92,43</t>
  </si>
  <si>
    <t>122,36</t>
  </si>
  <si>
    <t>82,12</t>
  </si>
  <si>
    <t>84,67</t>
  </si>
  <si>
    <t>132,31</t>
  </si>
  <si>
    <t>143,54</t>
  </si>
  <si>
    <t>179,48</t>
  </si>
  <si>
    <t>201,12</t>
  </si>
  <si>
    <t>109,40</t>
  </si>
  <si>
    <t>182,02</t>
  </si>
  <si>
    <t>237,19</t>
  </si>
  <si>
    <t>199,60</t>
  </si>
  <si>
    <t>291,10</t>
  </si>
  <si>
    <t>412,98</t>
  </si>
  <si>
    <t>137,50</t>
  </si>
  <si>
    <t>155,71</t>
  </si>
  <si>
    <t>316,76</t>
  </si>
  <si>
    <t>369,65</t>
  </si>
  <si>
    <t>849,01</t>
  </si>
  <si>
    <t>200,20</t>
  </si>
  <si>
    <t>471,03</t>
  </si>
  <si>
    <t>707,51</t>
  </si>
  <si>
    <t>1.477,36</t>
  </si>
  <si>
    <t>3,81</t>
  </si>
  <si>
    <t>13,22</t>
  </si>
  <si>
    <t>36,63</t>
  </si>
  <si>
    <t>72,60</t>
  </si>
  <si>
    <t>77,72</t>
  </si>
  <si>
    <t>119,65</t>
  </si>
  <si>
    <t>8,53</t>
  </si>
  <si>
    <t>16,54</t>
  </si>
  <si>
    <t>48,94</t>
  </si>
  <si>
    <t>55,12</t>
  </si>
  <si>
    <t>123,55</t>
  </si>
  <si>
    <t>83,87</t>
  </si>
  <si>
    <t>148,91</t>
  </si>
  <si>
    <t>288,97</t>
  </si>
  <si>
    <t>261,06</t>
  </si>
  <si>
    <t>34,83</t>
  </si>
  <si>
    <t>97,92</t>
  </si>
  <si>
    <t>130,05</t>
  </si>
  <si>
    <t>257,02</t>
  </si>
  <si>
    <t>214,64</t>
  </si>
  <si>
    <t>22,68</t>
  </si>
  <si>
    <t>42,05</t>
  </si>
  <si>
    <t>40,99</t>
  </si>
  <si>
    <t>274,40</t>
  </si>
  <si>
    <t>385,89</t>
  </si>
  <si>
    <t>342,45</t>
  </si>
  <si>
    <t>28,38</t>
  </si>
  <si>
    <t>57,13</t>
  </si>
  <si>
    <t>70,06</t>
  </si>
  <si>
    <t>28,10</t>
  </si>
  <si>
    <t>112,43</t>
  </si>
  <si>
    <t>411,22</t>
  </si>
  <si>
    <t>597,80</t>
  </si>
  <si>
    <t>207,07</t>
  </si>
  <si>
    <t>1.802,07</t>
  </si>
  <si>
    <t>253,83</t>
  </si>
  <si>
    <t>22,51</t>
  </si>
  <si>
    <t>28,03</t>
  </si>
  <si>
    <t>40,38</t>
  </si>
  <si>
    <t>89,42</t>
  </si>
  <si>
    <t>181,33</t>
  </si>
  <si>
    <t>217,44</t>
  </si>
  <si>
    <t>311,04</t>
  </si>
  <si>
    <t>21,36</t>
  </si>
  <si>
    <t>55,19</t>
  </si>
  <si>
    <t>70,30</t>
  </si>
  <si>
    <t>112,27</t>
  </si>
  <si>
    <t>243,87</t>
  </si>
  <si>
    <t>295,20</t>
  </si>
  <si>
    <t>386,99</t>
  </si>
  <si>
    <t>40,17</t>
  </si>
  <si>
    <t>44,27</t>
  </si>
  <si>
    <t>49,51</t>
  </si>
  <si>
    <t>111,60</t>
  </si>
  <si>
    <t>174,07</t>
  </si>
  <si>
    <t>63,66</t>
  </si>
  <si>
    <t>28,97</t>
  </si>
  <si>
    <t>84,31</t>
  </si>
  <si>
    <t>301,03</t>
  </si>
  <si>
    <t>23,36</t>
  </si>
  <si>
    <t>23,17</t>
  </si>
  <si>
    <t>79,57</t>
  </si>
  <si>
    <t>101,29</t>
  </si>
  <si>
    <t>22,35</t>
  </si>
  <si>
    <t>31,14</t>
  </si>
  <si>
    <t>46,62</t>
  </si>
  <si>
    <t>65,47</t>
  </si>
  <si>
    <t>113,33</t>
  </si>
  <si>
    <t>146,86</t>
  </si>
  <si>
    <t>276,73</t>
  </si>
  <si>
    <t>21,10</t>
  </si>
  <si>
    <t>8,14</t>
  </si>
  <si>
    <t>76,37</t>
  </si>
  <si>
    <t>100,59</t>
  </si>
  <si>
    <t>16,13</t>
  </si>
  <si>
    <t>100,17</t>
  </si>
  <si>
    <t>299,97</t>
  </si>
  <si>
    <t>38,09</t>
  </si>
  <si>
    <t>140,47</t>
  </si>
  <si>
    <t>275,33</t>
  </si>
  <si>
    <t>423,54</t>
  </si>
  <si>
    <t>77,34</t>
  </si>
  <si>
    <t>124,72</t>
  </si>
  <si>
    <t>219,16</t>
  </si>
  <si>
    <t>84,55</t>
  </si>
  <si>
    <t>135,90</t>
  </si>
  <si>
    <t>16,38</t>
  </si>
  <si>
    <t>25,72</t>
  </si>
  <si>
    <t>30,95</t>
  </si>
  <si>
    <t>21,01</t>
  </si>
  <si>
    <t>30,30</t>
  </si>
  <si>
    <t>34,06</t>
  </si>
  <si>
    <t>21,37</t>
  </si>
  <si>
    <t>26,61</t>
  </si>
  <si>
    <t>28,57</t>
  </si>
  <si>
    <t>40,50</t>
  </si>
  <si>
    <t>38,12</t>
  </si>
  <si>
    <t>37,60</t>
  </si>
  <si>
    <t>24,00</t>
  </si>
  <si>
    <t>33,89</t>
  </si>
  <si>
    <t>36,34</t>
  </si>
  <si>
    <t>38,58</t>
  </si>
  <si>
    <t>46,69</t>
  </si>
  <si>
    <t>45,76</t>
  </si>
  <si>
    <t>52,33</t>
  </si>
  <si>
    <t>64,65</t>
  </si>
  <si>
    <t>180,29</t>
  </si>
  <si>
    <t>196,03</t>
  </si>
  <si>
    <t>232,26</t>
  </si>
  <si>
    <t>53,10</t>
  </si>
  <si>
    <t>93,85</t>
  </si>
  <si>
    <t>109,74</t>
  </si>
  <si>
    <t>112,97</t>
  </si>
  <si>
    <t>125,51</t>
  </si>
  <si>
    <t>128,97</t>
  </si>
  <si>
    <t>141,27</t>
  </si>
  <si>
    <t>169,12</t>
  </si>
  <si>
    <t>104,42</t>
  </si>
  <si>
    <t>201,44</t>
  </si>
  <si>
    <t>214,95</t>
  </si>
  <si>
    <t>259,51</t>
  </si>
  <si>
    <t>170,05</t>
  </si>
  <si>
    <t>179,39</t>
  </si>
  <si>
    <t>278,62</t>
  </si>
  <si>
    <t>293,56</t>
  </si>
  <si>
    <t>607,63</t>
  </si>
  <si>
    <t>540,60</t>
  </si>
  <si>
    <t>264,29</t>
  </si>
  <si>
    <t>438,61</t>
  </si>
  <si>
    <t>662,28</t>
  </si>
  <si>
    <t>46,44</t>
  </si>
  <si>
    <t>54,53</t>
  </si>
  <si>
    <t>69,20</t>
  </si>
  <si>
    <t>85,61</t>
  </si>
  <si>
    <t>152,75</t>
  </si>
  <si>
    <t>185,83</t>
  </si>
  <si>
    <t>247,11</t>
  </si>
  <si>
    <t>141,87</t>
  </si>
  <si>
    <t>151,21</t>
  </si>
  <si>
    <t>255,26</t>
  </si>
  <si>
    <t>270,20</t>
  </si>
  <si>
    <t>588,99</t>
  </si>
  <si>
    <t>521,96</t>
  </si>
  <si>
    <t>115,35</t>
  </si>
  <si>
    <t>148,38</t>
  </si>
  <si>
    <t>226,66</t>
  </si>
  <si>
    <t>407,39</t>
  </si>
  <si>
    <t>637,48</t>
  </si>
  <si>
    <t>29,61</t>
  </si>
  <si>
    <t>40,82</t>
  </si>
  <si>
    <t>49,17</t>
  </si>
  <si>
    <t>74,36</t>
  </si>
  <si>
    <t>90,73</t>
  </si>
  <si>
    <t>136,60</t>
  </si>
  <si>
    <t>169,68</t>
  </si>
  <si>
    <t>181,32</t>
  </si>
  <si>
    <t>225,88</t>
  </si>
  <si>
    <t>47,71</t>
  </si>
  <si>
    <t>91,74</t>
  </si>
  <si>
    <t>125,01</t>
  </si>
  <si>
    <t>230,89</t>
  </si>
  <si>
    <t>557,23</t>
  </si>
  <si>
    <t>490,20</t>
  </si>
  <si>
    <t>132,42</t>
  </si>
  <si>
    <t>204,17</t>
  </si>
  <si>
    <t>379,73</t>
  </si>
  <si>
    <t>595,11</t>
  </si>
  <si>
    <t>31,80</t>
  </si>
  <si>
    <t>48,46</t>
  </si>
  <si>
    <t>32,34</t>
  </si>
  <si>
    <t>48,88</t>
  </si>
  <si>
    <t>83,21</t>
  </si>
  <si>
    <t>68,63</t>
  </si>
  <si>
    <t>120,93</t>
  </si>
  <si>
    <t>23,05</t>
  </si>
  <si>
    <t>39,18</t>
  </si>
  <si>
    <t>457,71</t>
  </si>
  <si>
    <t>536,44</t>
  </si>
  <si>
    <t>57,83</t>
  </si>
  <si>
    <t>29,17</t>
  </si>
  <si>
    <t>96,10</t>
  </si>
  <si>
    <t>593,08</t>
  </si>
  <si>
    <t>26,37</t>
  </si>
  <si>
    <t>69,65</t>
  </si>
  <si>
    <t>22,66</t>
  </si>
  <si>
    <t>40,87</t>
  </si>
  <si>
    <t>457,18</t>
  </si>
  <si>
    <t>20,67</t>
  </si>
  <si>
    <t>532,26</t>
  </si>
  <si>
    <t>53,65</t>
  </si>
  <si>
    <t>89,31</t>
  </si>
  <si>
    <t>586,29</t>
  </si>
  <si>
    <t>39,87</t>
  </si>
  <si>
    <t>12,81</t>
  </si>
  <si>
    <t>28,28</t>
  </si>
  <si>
    <t>457,73</t>
  </si>
  <si>
    <t>20,94</t>
  </si>
  <si>
    <t>531,63</t>
  </si>
  <si>
    <t>87,64</t>
  </si>
  <si>
    <t>584,62</t>
  </si>
  <si>
    <t>38,63</t>
  </si>
  <si>
    <t>51,89</t>
  </si>
  <si>
    <t>12,95</t>
  </si>
  <si>
    <t>28,24</t>
  </si>
  <si>
    <t>19,84</t>
  </si>
  <si>
    <t>26,96</t>
  </si>
  <si>
    <t>19,03</t>
  </si>
  <si>
    <t>31,20</t>
  </si>
  <si>
    <t>12,69</t>
  </si>
  <si>
    <t>45,66</t>
  </si>
  <si>
    <t>44,54</t>
  </si>
  <si>
    <t>16,27</t>
  </si>
  <si>
    <t>32,80</t>
  </si>
  <si>
    <t>35,49</t>
  </si>
  <si>
    <t>50,50</t>
  </si>
  <si>
    <t>77,00</t>
  </si>
  <si>
    <t>45,41</t>
  </si>
  <si>
    <t>44,96</t>
  </si>
  <si>
    <t>31,45</t>
  </si>
  <si>
    <t>46,32</t>
  </si>
  <si>
    <t>70,58</t>
  </si>
  <si>
    <t>144,85</t>
  </si>
  <si>
    <t>75,12</t>
  </si>
  <si>
    <t>68,24</t>
  </si>
  <si>
    <t>43,04</t>
  </si>
  <si>
    <t>145,14</t>
  </si>
  <si>
    <t>141,11</t>
  </si>
  <si>
    <t>176,56</t>
  </si>
  <si>
    <t>81,72</t>
  </si>
  <si>
    <t>116,76</t>
  </si>
  <si>
    <t>336,36</t>
  </si>
  <si>
    <t>166,06</t>
  </si>
  <si>
    <t>301,73</t>
  </si>
  <si>
    <t>215,77</t>
  </si>
  <si>
    <t>25,58</t>
  </si>
  <si>
    <t>100,78</t>
  </si>
  <si>
    <t>15,05</t>
  </si>
  <si>
    <t>28,88</t>
  </si>
  <si>
    <t>7,69</t>
  </si>
  <si>
    <t>7,98</t>
  </si>
  <si>
    <t>12,96</t>
  </si>
  <si>
    <t>39,13</t>
  </si>
  <si>
    <t>47,05</t>
  </si>
  <si>
    <t>49,71</t>
  </si>
  <si>
    <t>52,19</t>
  </si>
  <si>
    <t>45,72</t>
  </si>
  <si>
    <t>48,38</t>
  </si>
  <si>
    <t>8,69</t>
  </si>
  <si>
    <t>30,85</t>
  </si>
  <si>
    <t>71,67</t>
  </si>
  <si>
    <t>146,36</t>
  </si>
  <si>
    <t>39,93</t>
  </si>
  <si>
    <t>200,24</t>
  </si>
  <si>
    <t>95,75</t>
  </si>
  <si>
    <t>137,62</t>
  </si>
  <si>
    <t>174,71</t>
  </si>
  <si>
    <t>148,98</t>
  </si>
  <si>
    <t>46,84</t>
  </si>
  <si>
    <t>163,14</t>
  </si>
  <si>
    <t>237,57</t>
  </si>
  <si>
    <t>254,38</t>
  </si>
  <si>
    <t>174,74</t>
  </si>
  <si>
    <t>361,46</t>
  </si>
  <si>
    <t>230,95</t>
  </si>
  <si>
    <t>137,36</t>
  </si>
  <si>
    <t>316,55</t>
  </si>
  <si>
    <t>286,98</t>
  </si>
  <si>
    <t>173,96</t>
  </si>
  <si>
    <t>382,12</t>
  </si>
  <si>
    <t>264,87</t>
  </si>
  <si>
    <t>165,66</t>
  </si>
  <si>
    <t>371,06</t>
  </si>
  <si>
    <t>349,90</t>
  </si>
  <si>
    <t>451,92</t>
  </si>
  <si>
    <t>264,99</t>
  </si>
  <si>
    <t>262,97</t>
  </si>
  <si>
    <t>185,03</t>
  </si>
  <si>
    <t>45,02</t>
  </si>
  <si>
    <t>38,28</t>
  </si>
  <si>
    <t>75,01</t>
  </si>
  <si>
    <t>16,91</t>
  </si>
  <si>
    <t>26,19</t>
  </si>
  <si>
    <t>175,26</t>
  </si>
  <si>
    <t>255,21</t>
  </si>
  <si>
    <t>43,31</t>
  </si>
  <si>
    <t>62,14</t>
  </si>
  <si>
    <t>188,06</t>
  </si>
  <si>
    <t>349,26</t>
  </si>
  <si>
    <t>453,47</t>
  </si>
  <si>
    <t>882,13</t>
  </si>
  <si>
    <t>186,05</t>
  </si>
  <si>
    <t>291,02</t>
  </si>
  <si>
    <t>559,10</t>
  </si>
  <si>
    <t>781,72</t>
  </si>
  <si>
    <t>912,62</t>
  </si>
  <si>
    <t>252,43</t>
  </si>
  <si>
    <t>466,37</t>
  </si>
  <si>
    <t>663,40</t>
  </si>
  <si>
    <t>772,63</t>
  </si>
  <si>
    <t>179,06</t>
  </si>
  <si>
    <t>358,66</t>
  </si>
  <si>
    <t>1.031,64</t>
  </si>
  <si>
    <t>287,02</t>
  </si>
  <si>
    <t>512,44</t>
  </si>
  <si>
    <t>182,15</t>
  </si>
  <si>
    <t>284,33</t>
  </si>
  <si>
    <t>544,08</t>
  </si>
  <si>
    <t>761,12</t>
  </si>
  <si>
    <t>885,98</t>
  </si>
  <si>
    <t>456,91</t>
  </si>
  <si>
    <t>649,90</t>
  </si>
  <si>
    <t>754,39</t>
  </si>
  <si>
    <t>4,25</t>
  </si>
  <si>
    <t>7,01</t>
  </si>
  <si>
    <t>296,04</t>
  </si>
  <si>
    <t>456,11</t>
  </si>
  <si>
    <t>488,28</t>
  </si>
  <si>
    <t>1.118,93</t>
  </si>
  <si>
    <t>1.271,49</t>
  </si>
  <si>
    <t>2.185,06</t>
  </si>
  <si>
    <t>491,75</t>
  </si>
  <si>
    <t>705,92</t>
  </si>
  <si>
    <t>684,35</t>
  </si>
  <si>
    <t>1.320,51</t>
  </si>
  <si>
    <t>1.954,70</t>
  </si>
  <si>
    <t>3.633,38</t>
  </si>
  <si>
    <t>4.366,35</t>
  </si>
  <si>
    <t>5.853,41</t>
  </si>
  <si>
    <t>8.493,27</t>
  </si>
  <si>
    <t>13.042,44</t>
  </si>
  <si>
    <t>660,24</t>
  </si>
  <si>
    <t>912,60</t>
  </si>
  <si>
    <t>42,25</t>
  </si>
  <si>
    <t>106,30</t>
  </si>
  <si>
    <t>52,20</t>
  </si>
  <si>
    <t>84,77</t>
  </si>
  <si>
    <t>823,24</t>
  </si>
  <si>
    <t>577,67</t>
  </si>
  <si>
    <t>449,97</t>
  </si>
  <si>
    <t>261,93</t>
  </si>
  <si>
    <t>180,91</t>
  </si>
  <si>
    <t>12,15</t>
  </si>
  <si>
    <t>48,57</t>
  </si>
  <si>
    <t>560,15</t>
  </si>
  <si>
    <t>498,59</t>
  </si>
  <si>
    <t>367,99</t>
  </si>
  <si>
    <t>253,88</t>
  </si>
  <si>
    <t>273,54</t>
  </si>
  <si>
    <t>224,54</t>
  </si>
  <si>
    <t>248,00</t>
  </si>
  <si>
    <t>170,31</t>
  </si>
  <si>
    <t>347,29</t>
  </si>
  <si>
    <t>393,90</t>
  </si>
  <si>
    <t>165,78</t>
  </si>
  <si>
    <t>322,41</t>
  </si>
  <si>
    <t>59,79</t>
  </si>
  <si>
    <t>382,24</t>
  </si>
  <si>
    <t>103,80</t>
  </si>
  <si>
    <t>70,00</t>
  </si>
  <si>
    <t>113,39</t>
  </si>
  <si>
    <t>974,11</t>
  </si>
  <si>
    <t>889,36</t>
  </si>
  <si>
    <t>866,45</t>
  </si>
  <si>
    <t>897,77</t>
  </si>
  <si>
    <t>653,47</t>
  </si>
  <si>
    <t>630,56</t>
  </si>
  <si>
    <t>516,09</t>
  </si>
  <si>
    <t>493,18</t>
  </si>
  <si>
    <t>337,73</t>
  </si>
  <si>
    <t>314,82</t>
  </si>
  <si>
    <t>328,05</t>
  </si>
  <si>
    <t>305,14</t>
  </si>
  <si>
    <t>572,30</t>
  </si>
  <si>
    <t>608,72</t>
  </si>
  <si>
    <t>370,22</t>
  </si>
  <si>
    <t>360,54</t>
  </si>
  <si>
    <t>324,61</t>
  </si>
  <si>
    <t>493,84</t>
  </si>
  <si>
    <t>242,33</t>
  </si>
  <si>
    <t>411,56</t>
  </si>
  <si>
    <t>439,23</t>
  </si>
  <si>
    <t>1.054,70</t>
  </si>
  <si>
    <t>797,11</t>
  </si>
  <si>
    <t>267,40</t>
  </si>
  <si>
    <t>257,72</t>
  </si>
  <si>
    <t>1.055,65</t>
  </si>
  <si>
    <t>586,48</t>
  </si>
  <si>
    <t>904,02</t>
  </si>
  <si>
    <t>976,45</t>
  </si>
  <si>
    <t>336,74</t>
  </si>
  <si>
    <t>345,86</t>
  </si>
  <si>
    <t>886,86</t>
  </si>
  <si>
    <t>895,98</t>
  </si>
  <si>
    <t>67,46</t>
  </si>
  <si>
    <t>48,74</t>
  </si>
  <si>
    <t>47,81</t>
  </si>
  <si>
    <t>165,44</t>
  </si>
  <si>
    <t>79,52</t>
  </si>
  <si>
    <t>634,60</t>
  </si>
  <si>
    <t>88,48</t>
  </si>
  <si>
    <t>271,61</t>
  </si>
  <si>
    <t>1.411,49</t>
  </si>
  <si>
    <t>415,45</t>
  </si>
  <si>
    <t>768,80</t>
  </si>
  <si>
    <t>1.176,06</t>
  </si>
  <si>
    <t>99,09</t>
  </si>
  <si>
    <t>637,58</t>
  </si>
  <si>
    <t>699,89</t>
  </si>
  <si>
    <t>619,79</t>
  </si>
  <si>
    <t>329,51</t>
  </si>
  <si>
    <t>350,06</t>
  </si>
  <si>
    <t>363,73</t>
  </si>
  <si>
    <t>374,22</t>
  </si>
  <si>
    <t>250,89</t>
  </si>
  <si>
    <t>266,60</t>
  </si>
  <si>
    <t>276,64</t>
  </si>
  <si>
    <t>282,90</t>
  </si>
  <si>
    <t>1.144,35</t>
  </si>
  <si>
    <t>755,86</t>
  </si>
  <si>
    <t>2.107,96</t>
  </si>
  <si>
    <t>2.901,11</t>
  </si>
  <si>
    <t>4.691,42</t>
  </si>
  <si>
    <t>6.382,44</t>
  </si>
  <si>
    <t>7.445,16</t>
  </si>
  <si>
    <t>8.869,27</t>
  </si>
  <si>
    <t>1.850,13</t>
  </si>
  <si>
    <t>3.987,37</t>
  </si>
  <si>
    <t>5.595,05</t>
  </si>
  <si>
    <t>7.816,67</t>
  </si>
  <si>
    <t>3.123,77</t>
  </si>
  <si>
    <t>4.772,06</t>
  </si>
  <si>
    <t>5.513,89</t>
  </si>
  <si>
    <t>7.660,07</t>
  </si>
  <si>
    <t>4.473,50</t>
  </si>
  <si>
    <t>5.951,18</t>
  </si>
  <si>
    <t>8.404,97</t>
  </si>
  <si>
    <t>11.369,53</t>
  </si>
  <si>
    <t>12.931,52</t>
  </si>
  <si>
    <t>13.978,51</t>
  </si>
  <si>
    <t>3.822,39</t>
  </si>
  <si>
    <t>6.082,29</t>
  </si>
  <si>
    <t>9.587,65</t>
  </si>
  <si>
    <t>12.541,47</t>
  </si>
  <si>
    <t>14.543,80</t>
  </si>
  <si>
    <t>17.174,49</t>
  </si>
  <si>
    <t>3.855,48</t>
  </si>
  <si>
    <t>6.810,95</t>
  </si>
  <si>
    <t>8.852,78</t>
  </si>
  <si>
    <t>13.188,40</t>
  </si>
  <si>
    <t>3.867,72</t>
  </si>
  <si>
    <t>5.098,33</t>
  </si>
  <si>
    <t>7.147,71</t>
  </si>
  <si>
    <t>9.704,15</t>
  </si>
  <si>
    <t>10.942,47</t>
  </si>
  <si>
    <t>11.653,80</t>
  </si>
  <si>
    <t>3.367,48</t>
  </si>
  <si>
    <t>5.360,22</t>
  </si>
  <si>
    <t>8.473,27</t>
  </si>
  <si>
    <t>11.097,10</t>
  </si>
  <si>
    <t>12.920,03</t>
  </si>
  <si>
    <t>15.270,92</t>
  </si>
  <si>
    <t>2.782,47</t>
  </si>
  <si>
    <t>4.765,01</t>
  </si>
  <si>
    <t>6.266,23</t>
  </si>
  <si>
    <t>9.279,93</t>
  </si>
  <si>
    <t>830,88</t>
  </si>
  <si>
    <t>410,45</t>
  </si>
  <si>
    <t>55,45</t>
  </si>
  <si>
    <t>117,39</t>
  </si>
  <si>
    <t>477,38</t>
  </si>
  <si>
    <t>106,38</t>
  </si>
  <si>
    <t>437,00</t>
  </si>
  <si>
    <t>101,01</t>
  </si>
  <si>
    <t>106,21</t>
  </si>
  <si>
    <t>111,87</t>
  </si>
  <si>
    <t>39,26</t>
  </si>
  <si>
    <t>151,34</t>
  </si>
  <si>
    <t>72,78</t>
  </si>
  <si>
    <t>99,17</t>
  </si>
  <si>
    <t>125,61</t>
  </si>
  <si>
    <t>173,43</t>
  </si>
  <si>
    <t>345,63</t>
  </si>
  <si>
    <t>419,47</t>
  </si>
  <si>
    <t>848,09</t>
  </si>
  <si>
    <t>136,32</t>
  </si>
  <si>
    <t>186,91</t>
  </si>
  <si>
    <t>198,08</t>
  </si>
  <si>
    <t>37,16</t>
  </si>
  <si>
    <t>43,22</t>
  </si>
  <si>
    <t>87,74</t>
  </si>
  <si>
    <t>144,59</t>
  </si>
  <si>
    <t>177,84</t>
  </si>
  <si>
    <t>228,37</t>
  </si>
  <si>
    <t>62,08</t>
  </si>
  <si>
    <t>73,16</t>
  </si>
  <si>
    <t>98,74</t>
  </si>
  <si>
    <t>269,35</t>
  </si>
  <si>
    <t>98,04</t>
  </si>
  <si>
    <t>133,16</t>
  </si>
  <si>
    <t>198,21</t>
  </si>
  <si>
    <t>223,57</t>
  </si>
  <si>
    <t>311,58</t>
  </si>
  <si>
    <t>443,78</t>
  </si>
  <si>
    <t>609,64</t>
  </si>
  <si>
    <t>936,58</t>
  </si>
  <si>
    <t>65,08</t>
  </si>
  <si>
    <t>72,67</t>
  </si>
  <si>
    <t>107,86</t>
  </si>
  <si>
    <t>125,93</t>
  </si>
  <si>
    <t>181,01</t>
  </si>
  <si>
    <t>386,26</t>
  </si>
  <si>
    <t>655,51</t>
  </si>
  <si>
    <t>352,37</t>
  </si>
  <si>
    <t>284,99</t>
  </si>
  <si>
    <t>106,52</t>
  </si>
  <si>
    <t>114,98</t>
  </si>
  <si>
    <t>172,52</t>
  </si>
  <si>
    <t>304,03</t>
  </si>
  <si>
    <t>415,27</t>
  </si>
  <si>
    <t>723,02</t>
  </si>
  <si>
    <t>288,40</t>
  </si>
  <si>
    <t>215,46</t>
  </si>
  <si>
    <t>53,77</t>
  </si>
  <si>
    <t>62,27</t>
  </si>
  <si>
    <t>83,37</t>
  </si>
  <si>
    <t>90,36</t>
  </si>
  <si>
    <t>134,74</t>
  </si>
  <si>
    <t>30,44</t>
  </si>
  <si>
    <t>44,86</t>
  </si>
  <si>
    <t>238,85</t>
  </si>
  <si>
    <t>250,47</t>
  </si>
  <si>
    <t>453,54</t>
  </si>
  <si>
    <t>600,88</t>
  </si>
  <si>
    <t>740,95</t>
  </si>
  <si>
    <t>1.020,29</t>
  </si>
  <si>
    <t>340,13</t>
  </si>
  <si>
    <t>503,28</t>
  </si>
  <si>
    <t>658,33</t>
  </si>
  <si>
    <t>251,18</t>
  </si>
  <si>
    <t>459,99</t>
  </si>
  <si>
    <t>686,00</t>
  </si>
  <si>
    <t>899,61</t>
  </si>
  <si>
    <t>655,57</t>
  </si>
  <si>
    <t>1.133,41</t>
  </si>
  <si>
    <t>1.656,19</t>
  </si>
  <si>
    <t>2.152,27</t>
  </si>
  <si>
    <t>811,82</t>
  </si>
  <si>
    <t>1.443,85</t>
  </si>
  <si>
    <t>2.126,97</t>
  </si>
  <si>
    <t>2.775,88</t>
  </si>
  <si>
    <t>308,22</t>
  </si>
  <si>
    <t>561,59</t>
  </si>
  <si>
    <t>835,57</t>
  </si>
  <si>
    <t>1.095,41</t>
  </si>
  <si>
    <t>382,96</t>
  </si>
  <si>
    <t>709,75</t>
  </si>
  <si>
    <t>1.061,12</t>
  </si>
  <si>
    <t>1.393,48</t>
  </si>
  <si>
    <t>339,33</t>
  </si>
  <si>
    <t>892,43</t>
  </si>
  <si>
    <t>1.166,26</t>
  </si>
  <si>
    <t>410,80</t>
  </si>
  <si>
    <t>744,22</t>
  </si>
  <si>
    <t>1.107,95</t>
  </si>
  <si>
    <t>1.451,35</t>
  </si>
  <si>
    <t>116,00</t>
  </si>
  <si>
    <t>122,77</t>
  </si>
  <si>
    <t>151,49</t>
  </si>
  <si>
    <t>134,83</t>
  </si>
  <si>
    <t>1.172,12</t>
  </si>
  <si>
    <t>388,20</t>
  </si>
  <si>
    <t>516,95</t>
  </si>
  <si>
    <t>841,12</t>
  </si>
  <si>
    <t>62,33</t>
  </si>
  <si>
    <t>41,88</t>
  </si>
  <si>
    <t>8,59</t>
  </si>
  <si>
    <t>19,01</t>
  </si>
  <si>
    <t>20,41</t>
  </si>
  <si>
    <t>2.832,67</t>
  </si>
  <si>
    <t>1.983,77</t>
  </si>
  <si>
    <t>1.551,96</t>
  </si>
  <si>
    <t>61,00</t>
  </si>
  <si>
    <t>2.002,19</t>
  </si>
  <si>
    <t>1.135,63</t>
  </si>
  <si>
    <t>1.419,75</t>
  </si>
  <si>
    <t>1.806,02</t>
  </si>
  <si>
    <t>1.015,10</t>
  </si>
  <si>
    <t>160,10</t>
  </si>
  <si>
    <t>1.605,29</t>
  </si>
  <si>
    <t>164,05</t>
  </si>
  <si>
    <t>2.792,35</t>
  </si>
  <si>
    <t>1.713,86</t>
  </si>
  <si>
    <t>168,85</t>
  </si>
  <si>
    <t>2.328,75</t>
  </si>
  <si>
    <t>172,98</t>
  </si>
  <si>
    <t>216,16</t>
  </si>
  <si>
    <t>7.831,55</t>
  </si>
  <si>
    <t>228,46</t>
  </si>
  <si>
    <t>248,48</t>
  </si>
  <si>
    <t>3.603,80</t>
  </si>
  <si>
    <t>5.933,10</t>
  </si>
  <si>
    <t>7.878,14</t>
  </si>
  <si>
    <t>8.012,41</t>
  </si>
  <si>
    <t>12.020,63</t>
  </si>
  <si>
    <t>16,11</t>
  </si>
  <si>
    <t>40,26</t>
  </si>
  <si>
    <t>41,56</t>
  </si>
  <si>
    <t>20,68</t>
  </si>
  <si>
    <t>31,40</t>
  </si>
  <si>
    <t>89,49</t>
  </si>
  <si>
    <t>84,95</t>
  </si>
  <si>
    <t>219,17</t>
  </si>
  <si>
    <t>185,07</t>
  </si>
  <si>
    <t>335,52</t>
  </si>
  <si>
    <t>88,44</t>
  </si>
  <si>
    <t>101,30</t>
  </si>
  <si>
    <t>67,02</t>
  </si>
  <si>
    <t>120,87</t>
  </si>
  <si>
    <t>104949</t>
  </si>
  <si>
    <t>DRAGAGEM DE MATERIAIS DE 1A CATEGORIA E COMPOSTOS ORGÂNICOS E INORGÂNICOS COM ESCAVADEIRA HIDRÁULICA DE LONGO ALCANCE (CAÇAMBA: 0,52 M3/155 HP). AF_03/2024</t>
  </si>
  <si>
    <t>99,72</t>
  </si>
  <si>
    <t>158,48</t>
  </si>
  <si>
    <t>104,71</t>
  </si>
  <si>
    <t>166,12</t>
  </si>
  <si>
    <t>59,03</t>
  </si>
  <si>
    <t>226,92</t>
  </si>
  <si>
    <t>165,40</t>
  </si>
  <si>
    <t>9,22</t>
  </si>
  <si>
    <t>15,68</t>
  </si>
  <si>
    <t>14,29</t>
  </si>
  <si>
    <t>20,50</t>
  </si>
  <si>
    <t>19,19</t>
  </si>
  <si>
    <t>18,55</t>
  </si>
  <si>
    <t>19,89</t>
  </si>
  <si>
    <t>18,66</t>
  </si>
  <si>
    <t>25,41</t>
  </si>
  <si>
    <t>30,67</t>
  </si>
  <si>
    <t>22,50</t>
  </si>
  <si>
    <t>29,38</t>
  </si>
  <si>
    <t>21,52</t>
  </si>
  <si>
    <t>20,20</t>
  </si>
  <si>
    <t>20,13</t>
  </si>
  <si>
    <t>34,10</t>
  </si>
  <si>
    <t>32,04</t>
  </si>
  <si>
    <t>22,33</t>
  </si>
  <si>
    <t>167,30</t>
  </si>
  <si>
    <t>198,24</t>
  </si>
  <si>
    <t>ESCAVAÇÃO MECANIZADA DE VALA COM PROF. ATÉ 1,5 M (MÉDIA MONTANTE E JUSANTE/UMA COMPOSIÇÃO POR TRECHO), ESCAVADEIRA (0,8 M3), LARG. DE 1,5 M A 2,5 M, EM SOLO DE 1A CATEGORIA, EM LOCAIS COM ALTO NÍVEL DE INTERFERÊNCIA. AF_09/2024</t>
  </si>
  <si>
    <t>ESCAVAÇÃO MECANIZADA DE VALA COM PROF. MAIOR QUE 1,5 M ATÉ 3,0 M (MÉDIA MONTANTE E JUSANTE/UMA COMPOSIÇÃO POR TRECHO), ESCAVADEIRA (0,8 M3), LARGURA ATÉ 1,5 M, EM SOLO DE 1A CATEGORIA, EM LOCAIS COM ALTO NÍVEL DE INTERFERÊNCIA. AF_09/2024</t>
  </si>
  <si>
    <t>ESCAVAÇÃO MECANIZADA DE VALA COM PROF. MAIOR QUE 3,0 M ATÉ 4,5 M(MÉDIA MONTANTE E JUSANTE/UMA COMPOSIÇÃO POR TRECHO), ESCAVADEIRA (0,8 M3), LARG. MENOR QUE 1,5 M, EM SOLO DE 1A CATEGORIA, EM LOCAIS COM ALTO NÍVEL DE INTERFERÊNCIA. AF_09/2024</t>
  </si>
  <si>
    <t>ESCAVAÇÃO MECANIZADA DE VALA COM PROF. DE 3,0 M ATÉ 4,5 M(MÉDIA MONTANTE E JUSANTE/UMA COMPOSIÇÃO POR TRECHO), ESCAVADEIRA (1,2 M3), LARG. DE 1,5 M A 2,5 M, EM SOLO DE 1A CATEGORIA, EM LOCAIS COM ALTO NÍVEL DE INTERFERÊNCIA. AF_09/2024</t>
  </si>
  <si>
    <t>ESCAVAÇÃO MECANIZADA DE VALA COM PROF. MAIOR QUE 4,5 M ATÉ 6,0 M(MÉDIA MONTANTE E JUSANTE/UMA COMPOSIÇÃO POR TRECHO), ESCAVADEIRA (1,2 M3), LARG. DE 1,5 M A 2,5 M, EM SOLO DE 1A CATEGORIA, EM LOCAIS COM ALTO NÍVEL DE INTERFERÊNCIA. AF_09/2024</t>
  </si>
  <si>
    <t>ESCAVAÇÃO MECANIZADA DE VALA COM PROF. ATÉ 1,5 M (MÉDIA MONTANTE E JUSANTE/UMA COMPOSIÇÃO POR TRECHO), ESCAVADEIRA (0,8 M3), LARG. DE 1,5 M A 2,5 M, EM SOLO DE 1A CATEGORIA, LOCAIS COM BAIXO NÍVEL DE INTERFERÊNCIA. AF_09/2024</t>
  </si>
  <si>
    <t>ESCAVAÇÃO MECANIZADA DE VALA COM PROF. MAIOR QUE 1,5 M E ATÉ 3,0 M(MÉDIA MONTANTE E JUSANTE/UMA COMPOSIÇÃO POR TRECHO), ESCAVADEIRA (0,8 M3), LARG. MENOR QUE 1,5 M, EM SOLO DE 1A CATEGORIA, LOCAIS COM BAIXO NÍVEL DE INTERFERÊNCIA. AF_09/2024</t>
  </si>
  <si>
    <t>ESCAVAÇÃO MECANIZADA DE VALA COM PROF. MAIOR QUE 3,0 M ATÉ 4,5 M (MÉDIA MONTANTE E JUSANTE/UMA COMPOSIÇÃO POR TRECHO), ESCAVADEIRA (0,8 M3), LARG. MENOR QUE 1,5 M, EM SOLO DE 1A CATEGORIA, LOCAIS COM BAIXO NÍVEL DE INTERFERÊNCIA. AF_09/2024</t>
  </si>
  <si>
    <t>5,76</t>
  </si>
  <si>
    <t>ESCAVAÇÃO MECANIZADA DE VALA COM PROF. MAIOR QUE 3,0 M ATÉ 4,5 M (MÉDIA MONTANTE E JUSANTE/UMA COMPOSIÇÃO POR TRECHO), ESCAVADEIRA (1,2 M3), LARG. DE 1,5 M A 2,5 M, EM SOLO DE 1A CATEGORIA, LOCAIS COM BAIXO NÍVEL DE INTERFERÊNCIA. AF_09/2024</t>
  </si>
  <si>
    <t>ESCAVAÇÃO MECANIZADA DE VALA COM PROF. MAIOR QUE 4,5 M ATÉ 6,0 M (MÉDIA MONTANTE E JUSANTE/UMA COMPOSIÇÃO POR TRECHO), ESCAVADEIRA (1,2 M3), LARG. DE 1,5 M A 2,5 M, EM SOLO DE 1A CATEGORIA, LOCAIS COM BAIXO NÍVEL DE INTERFERÊNCIA. AF_09/2024</t>
  </si>
  <si>
    <t>ESCAVAÇÃO MECANIZADA DE VALA COM PROF. ATÉ 1,5 M (MÉDIA MONTANTE E JUSANTE/UMA COMPOSIÇÃO POR TRECHO), RETROESCAV. (0,26 M3), LARG. MENOR QUE 0,8 M, EM SOLO DE 1A CATEGORIA, EM LOCAIS COM ALTO NÍVEL DE INTERFERÊNCIA. AF_09/2024</t>
  </si>
  <si>
    <t>ESCAVAÇÃO MECANIZADA DE VALA COM PROF. ATÉ 1,5 M (MÉDIA MONTANTE E JUSANTE/UMA COMPOSIÇÃO POR TRECHO), RETROESCAV. (0,26 M3), LARG. DE 0,8 M A 1,5 M, EM SOLO DE 1A CATEGORIA, EM LOCAIS COM ALTO NÍVEL DE INTERFERÊNCIA. AF_09/2024</t>
  </si>
  <si>
    <t>ESCAVAÇÃO MECANIZADA DE VALA COM PROF. MAIOR QUE 1,5 M ATÉ 3,0 M (MÉDIA MONTANTE E JUSANTE/UMA COMPOSIÇÃO POR TRECHO), RETROESCAV. (0,26 M3), LARG. MENOR QUE 0,8 M, EM SOLO DE 1A CATEGORIA, EM LOCAIS COM ALTO NÍVEL DE INTERFERÊNCIA. AF_09/2024</t>
  </si>
  <si>
    <t>ESCAVAÇÃO MECANIZADA DE VALA COM PROF. MAIOR QUE 1,5 M ATÉ 3,0 M (MÉDIA MONTANTE E JUSANTE/UMA COMPOSIÇÃO POR TRECHO), RETROESCAV. (0,26 M3), LARGURA DE 0,8 M A 1,5 M, EM SOLO DE 1A CATEGORIA, EM LOCAIS COM ALTO NÍVEL DE INTERFERÊNCIA. AF_09/2024</t>
  </si>
  <si>
    <t>ESCAVAÇÃO MECANIZADA DE VALA COM PROFUNDIDADE ATÉ 1,5 M (MÉDIA MONTANTE E JUSANTE/UMA COMPOSIÇÃO POR TRECHO), RETROESCAV. (0,26 M3), LARGURA MENOR QUE 0,8 M, EM SOLO DE 1A CATEGORIA, LOCAIS COM BAIXO NÍVEL DE INTERFERÊNCIA. AF_09/2024</t>
  </si>
  <si>
    <t>ESCAVAÇÃO MECANIZADA DE VALA COM PROFUNDIDADE ATÉ 1,5 M (MÉDIA MONTANTE E JUSANTE/UMA COMPOSIÇÃO POR TRECHO), RETROESCAV. (0,26 M3), LARGURA DE 0,8 M A 1,5 M, EM SOLO DE 1A CATEGORIA, LOCAIS COM BAIXO NÍVEL DE INTERFERÊNCIA. AF_09/2024</t>
  </si>
  <si>
    <t>ESCAVAÇÃO MECANIZADA DE VALA COM PROFUNDIDADE MAIOR QUE 1,5 M ATÉ 3,0 M (MÉDIA MONTANTE E JUSANTE/UMA COMPOSIÇÃO POR TRECHO), RETROESCAV. (0,26 M3), LARGURA MENOR QUE 0,8 M, EM SOLO DE 1A CATEGORIA, LOCAIS COM BAIXO NÍVEL DE INTERFERÊNCIA. AF_09/2024</t>
  </si>
  <si>
    <t>ESCAVAÇÃO MECANIZADA DE VALA COM PROFUNDIDADE MAIOR QUE 1,5 M ATÉ 3,0 M (MÉDIA MONTANTE E JUSANTE/UMA COMPOSIÇÃO POR TRECHO), RETROESCAV (0,26 M3), LARGURA DE 0,8 M A 1,5 M, EM SOLO DE 1A CATEGORIA, LOCAIS COM BAIXO NÍVEL DE INTERFERÊNCIA. AF_09/2024</t>
  </si>
  <si>
    <t>ESCAVAÇÃO MANUAL DE VALA. AF_09/2024</t>
  </si>
  <si>
    <t>ESCAVAÇÃO MECANIZADA DE VALA COM PROF. ATÉ 1,5 M (MÉDIA MONTANTE E JUSANTE/UMA COMPOSIÇÃO POR TRECHO), ESCAVADEIRA (0,8 M3), LARG. MENOR QUE 1,5 M, EM SOLO DE 1A CATEGORIA, EM LOCAIS COM ALTO NÍVEL DE INTERFERÊNCIA. AF_09/2024</t>
  </si>
  <si>
    <t>ESCAVAÇÃO MECANIZADA DE VALA COM PROF. MAIOR QUE 4,5 M ATÉ 6,0 M (MÉDIA MONTANTE E JUSANTE/UMA COMPOSIÇÃO POR TRECHO), ESCAVADEIRA (0,8 M3), LARG. MENOR QUE 1,5 M, EM SOLO DE 1A CATEGORIA, EM LOCAIS COM ALTO NÍVEL DE INTERFERÊNCIA. AF_09/2024</t>
  </si>
  <si>
    <t>ESCAVAÇÃO MECANIZADA DE VALA COM PROF. MAIOR QUE 1,50 M ATÉ 3,0 M (MÉDIA MONTANTE E JUSANTE/UMA COMPOSIÇÃO POR TRECHO), ESCAVADEIRA (1,2 M3), LARG. DE 1,5 M A 2,5 M, EM SOLO DE 1A CATEGORIA, EM LOCAIS COM ALTO NÍVEL DE INTERFERÊNCIA. AF_09/2024</t>
  </si>
  <si>
    <t>ESCAVAÇÃO MECANIZADA DE VALA COM PROF. ATÉ 1,5 M (MÉDIA MONTANTE E JUSANTE/UMA COMPOSIÇÃO POR TRECHO), ESCAVADEIRA (0,8 M3),LARG. MENOR QUE 1,5 M, EM SOLO DE 1A CATEGORIA, LOCAIS COM BAIXO NÍVEL DE INTERFERÊNCIA. AF_09/2024</t>
  </si>
  <si>
    <t>ESCAVAÇÃO MECANIZADA DE VALA COM PROF. MAIOR QUE 4,5 M ATÉ 6,0 M (MÉDIA MONTANTE E JUSANTE/UMA COMPOSIÇÃO POR TRECHO),COM ESCAVADEIRA (0,8 M3), LARG. MENOR QUE 1,5 M, EM SOLO DE 1A CATEGORIA, LOCAIS COM BAIXO NÍVEL DE INTERFERÊNCIA. AF_09/2024</t>
  </si>
  <si>
    <t>5,60</t>
  </si>
  <si>
    <t>ESCAVAÇÃO MECANIZADA DE VALA COM PROF. MAIOR QUE 1,5 M ATÉ 3,0 M (MÉDIA MONTANTE E JUSANTE/UMA COMPOSIÇÃO POR TRECHO),COM ESCAVADEIRA (1,2 M3),LARG. DE 1,5 M A 2,5 M, EM SOLO DE 1A CATEGORIA, LOCAIS COM BAIXO NÍVEL DE INTERFERÊNCIA. AF_09/2024</t>
  </si>
  <si>
    <t>ESCAVAÇÃO MECANIZADA DE VALA COM PROF. ATÉ 1,5 M (MÉDIA MONTANTE E JUSANTE/UMA COMPOSIÇÃO POR TRECHO), ESCAVADEIRA (0,8 M3),LARG. MENOR QUE 1,5 M, EM SOLO DE MOLE, EM LOCAIS COM ALTO NÍVEL DE INTERFERÊNCIA. AF_09/2024</t>
  </si>
  <si>
    <t>14,72</t>
  </si>
  <si>
    <t>ESCAVAÇÃO MECANIZADA DE VALA COM PROF. ATÉ 1,5 M (MÉDIA MONTANTE E JUSANTE/UMA COMPOSIÇÃO POR TRECHO), ESCAVADEIRA (0,8 M3), LARG. DE 1,5 M A 2,5 M, EM SOLO MOLE, EM LOCAIS COM ALTO NÍVEL DE INTERFERÊNCIA. AF_09/2024</t>
  </si>
  <si>
    <t>ESCAVAÇÃO MECANIZADA DE VALA COM PROF. MAIOR QUE 1,5 M ATÉ 3,0 M (MÉDIA MONTANTE E JUSANTE/UMA COMPOSIÇÃO POR TRECHO), ESCAVADEIRA (0,8 M3), LARGURA ATÉ 1,5 M, EM SOLO MOLE, EM LOCAIS COM ALTO NÍVEL DE INTERFERÊNCIA. AF_09/2024</t>
  </si>
  <si>
    <t>ESCAVAÇÃO MECANIZADA DE VALA COM PROF. MAIOR QUE 3,0 M ATÉ 4,5 M (MÉDIA MONTANTE E JUSANTE/UMA COMPOSIÇÃO POR TRECHO), ESCAVADEIRA (0,8 M3), LARG. MENOR QUE 1,5 M, EM SOLO MOLE, EM LOCAIS COM ALTO NÍVEL DE INTERFERÊNCIA. AF_09/2024</t>
  </si>
  <si>
    <t>ESCAVAÇÃO MECANIZADA DE VALA COM PROF. MAIOR QUE 4,5 M ATÉ 6,0 M (MÉDIA MONTANTE E JUSANTE/UMA COMPOSIÇÃO POR TRECHO), ESCAVADEIRA (0,8 M3),LARG. MENOR QUE 1,5 M, EM SOLO DE MOLE, EM LOCAIS COM ALTO NÍVEL DE INTERFERÊNCIA. AF_09/2024</t>
  </si>
  <si>
    <t>ESCAVAÇÃO MECANIZADA DE VALA COM PROF. MAIOR QUE 1,5 M ATÉ 3,0 M (MÉDIA MONTANTE E JUSANTE/UMA COMPOSIÇÃO POR TRECHO),COM ESCAVADEIRA (1,2 M3),LARG. DE 1,5 M A 2,5 M, EM SOLO MOLE, EM LOCAIS COM ALTO NÍVEL DE INTERFERÊNCIA. AF_09/2024</t>
  </si>
  <si>
    <t>ESCAVAÇÃO MECANIZADA DE VALA COM PROF. DE 3,0 M ATÉ 4,5 M (MÉDIA MONTANTE E JUSANTE/UMA COMPOSIÇÃO POR TRECHO), ESCAVADEIRA (1,2 M3), LARG. DE 1,5 M A 2,5 M, EM SOLO MOLE, EM LOCAIS COM ALTO NÍVEL DE INTERFERÊNCIA. AF_09/2024</t>
  </si>
  <si>
    <t>ESCAVAÇÃO MECANIZADA DE VALA COM PROF. MAIOR QUE 4,5 M ATÉ 6,0 M (MÉDIA MONTANTE E JUSANTE/UMA COMPOSIÇÃO POR TRECHO), ESCAVADEIRA (1,2 M3), LARG. DE 1,5 M A 2,5 M, EM SOLO MOLE, EM LOCAIS COM ALTO NÍVEL DE INTERFERÊNCIA. AF_09/2024</t>
  </si>
  <si>
    <t>ESCAVAÇÃO MECANIZADA DE VALA COM PROF. ATÉ 1,5 M (MÉDIA MONTANTE E JUSANTE/UMA COMPOSIÇÃO POR TRECHO), ESCAVADEIRA (0,8 M3),LARG. MENOR QUE 1,5 M, EM SOLO MOLE, LOCAIS COM BAIXO NÍVEL DE INTERFERÊNCIA. AF_09/2024</t>
  </si>
  <si>
    <t>ESCAVAÇÃO MECANIZADA DE VALA COM PROF. ATÉ 1,5 M (MÉDIA MONTANTE E JUSANTE/UMA COMPOSIÇÃO POR TRECHO), ESCAVADEIRA (0,8 M3), LARG. DE 1,5 M A 2,5 M, EM SOLO MOLE, LOCAIS COM BAIXO NÍVEL DE INTERFERÊNCIA. AF_09/2024</t>
  </si>
  <si>
    <t>ESCAVAÇÃO MECANIZADA DE VALA COM PROF. MAIOR QUE 1,5 M E ATÉ 3,0 M (MÉDIA MONTANTE E JUSANTE/UMA COMPOSIÇÃO POR TRECHO), ESCAVADEIRA (0,8 M3), LARG. MENOR QUE 1,5 M, EM SOLO MOLE, LOCAIS COM BAIXO NÍVEL DE INTERFERÊNCIA. AF_09/2024</t>
  </si>
  <si>
    <t>ESCAVAÇÃO MECANIZADA DE VALA COM PROF.MAIOR QUE 3,0 M ATÉ 4,5 M (MÉDIA MONTANTE E JUSANTE/UMA COMPOSIÇÃO POR TRECHO), ESCAVADEIRA (0,8 M3), LARG. MENOR QUE 1,5 M, EM SOLO MOLE, LOCAIS COM BAIXO NÍVEL DE INTERFERÊNCIA. AF_09/2024</t>
  </si>
  <si>
    <t>ESCAVAÇÃO MECANIZADA DE VALA COM PROF. MAIOR QUE 4,5 M ATÉ 6,0 M (MÉDIA MONTANTE E JUSANTE/UMA COMPOSIÇÃO POR TRECHO),COM ESCAVADEIRA (0,8 M3), LARG. MENOR QUE 1,5 M, EM SOLO MOLE, LOCAIS COM BAIXO NÍVEL DE INTERFERÊNCIA. AF_09/2024</t>
  </si>
  <si>
    <t>ESCAVAÇÃO MECANIZADA DE VALA COM PROF. MAIOR QUE 1,5 M ATÉ 3,0 M (MÉDIA MONTANTE E JUSANTE/UMA COMPOSIÇÃO POR TRECHO),COM ESCAVADEIRA (1,2 M3), LARG. DE 1,5 M A 2,5 M, EM SOLO MOLE, LOCAIS COM BAIXO NÍVEL DE INTERFERÊNCIA. AF_09/2024</t>
  </si>
  <si>
    <t>ESCAVAÇÃO MECANIZADA DE VALA COM PROF. MAIOR QUE 3,0 M ATÉ 4,5 M (MÉDIA MONTANTE E JUSANTE/UMA COMPOSIÇÃO POR TRECHO), ESCAVADEIRA (1,2 M3), LARG. DE 1,5 M A 2,5 M, EM SOLO MOLE, LOCAIS COM BAIXO NÍVEL DE INTERFERÊNCIA. AF_09/2024</t>
  </si>
  <si>
    <t>ESCAVAÇÃO MECANIZADA DE VALA COM PROF. MAIOR QUE 4,5 M ATÉ 6,0 M (MÉDIA MONTANTE E JUSANTE/UMA COMPOSIÇÃO POR TRECHO), ESCAVADEIRA (1,2 M3), LARG. DE 1,5 M A 2,5 M, EM SOLO MOLE, LOCAIS COM BAIXO NÍVEL DE INTERFERÊNCIA. AF_09/2024</t>
  </si>
  <si>
    <t>7,25</t>
  </si>
  <si>
    <t>ESCAVAÇÃO MECANIZADA DE VALA COM PROF. ATÉ 1,5 M (MÉDIA MONTANTE E JUSANTE/UMA COMPOSIÇÃO POR TRECHO), RETROESCAV. (0,26 M3), LARG. MENOR QUE 0,8 M, EM SOLO MOLE, EM LOCAIS COM ALTO NÍVEL DE INTERFERÊNCIA. AF_09/2024</t>
  </si>
  <si>
    <t>ESCAVAÇÃO MECANIZADA DE VALA COM PROF. ATÉ 1,5 M (MÉDIA MONTANTE E JUSANTE/UMA COMPOSIÇÃO POR TRECHO), RETROESCAV. (0,26 M3), LARG. DE 0,8 M A 1,5 M, EM SOLO MOLE, EM LOCAIS COM ALTO NÍVEL DE INTERFERÊNCIA. AF_09/2024</t>
  </si>
  <si>
    <t>ESCAVAÇÃO MECANIZADA DE VALA COM PROF. MAIOR QUE 1,5 M ATÉ 3,0 M (MÉDIA MONTANTE E JUSANTE/UMA COMPOSIÇÃO POR TRECHO), RETROESCAV. (0,26 M3), LARG. MENOR QUE 0,8 M, EM SOLO MOLE, EM LOCAIS COM ALTO NÍVEL DE INTERFERÊNCIA. AF_09/2024</t>
  </si>
  <si>
    <t>ESCAVAÇÃO MECANIZADA DE VALA COM PROF. MAIOR QUE 1,5 M ATÉ 3,0 M (MÉDIA MONTANTE E JUSANTE/UMA COMPOSIÇÃO POR TRECHO), RETROESCAV. (0,26 M3), LARG. DE 0,8 M A 1,5 M, EM SOLO MOLE, EM LOCAIS COM ALTO NÍVEL DE INTERFERÊNCIA. AF_09/2024</t>
  </si>
  <si>
    <t>ESCAVAÇÃO MECANIZADA DE VALA COM PROF. ATÉ 1,5 M (MÉDIA MONTANTE E JUSANTE/UMA COMPOSIÇÃO POR TRECHO), RETROESCAV. (0,26 M3), LARG. MENOR QUE 0,8 M, EM SOLO MOLE, LOCAIS COM BAIXO NÍVEL DE INTERFERÊNCIA. AF_09/2024</t>
  </si>
  <si>
    <t>ESCAVAÇÃO MECANIZADA DE VALA COM PROF. ATÉ 1,5 M (MÉDIA MONTANTE E JUSANTE/UMA COMPOSIÇÃO POR TRECHO), RETROESCAV. (0,26 M3), LARG. DE 0,8 M A 1,5 M, EM SOLO MOLE, LOCAIS COM BAIXO NÍVEL DE INTERFERÊNCIA. AF_09/2024</t>
  </si>
  <si>
    <t>ESCAVAÇÃO MECANIZADA DE VALA COM PROF. MAIOR QUE 1,5 M ATÉ 3,0 M (MÉDIA MONTANTE E JUSANTE/UMA COMPOSIÇÃO POR TRECHO), RETROESCAV. (0,26 M3),LARG. MENOR QUE 0,8 M, EM SOLO MOLE, LOCAIS COM BAIXO NÍVEL DE INTERFERÊNCIA. AF_09/2024</t>
  </si>
  <si>
    <t>ESCAVAÇÃO MECANIZADA DE VALA COM PROF. MAIOR QUE 1,5 M ATÉ 3,0 M (MÉDIA MONTANTE E JUSANTE/UMA COMPOSIÇÃO POR TRECHO), RETROESCAV. (0,26 M3), LARG. DE 0,8 M A 1,5 M, EM SOLO MOLE, LOCAIS COM BAIXO NÍVEL DE INTERFERÊNCIA. AF_09/2024</t>
  </si>
  <si>
    <t>ESCAVAÇÃO MECANIZADA DE VALA COM PROF. ATÉ 1,5 M (MÉDIA MONTANTE E JUSANTE/UMA COMPOSIÇÃO POR TRECHO), ESCAVADEIRA (0,8 M3),LARG. ATÉ 1,5 M, EM SOLO DE 2A CATEGORIA, EM LOCAIS COM ALTO NÍVEL DE INTERFERÊNCIA. AF_09/2024</t>
  </si>
  <si>
    <t>ESCAVAÇÃO MECANIZADA DE VALA COM PROF. ATÉ 1,5 M (MÉDIA MONTANTE E JUSANTE/UMA COMPOSIÇÃO POR TRECHO), ESCAVADEIRA (0,8 M3), LARG. DE 1,5 M A 2,5 M, EM SOLO DE 2A CATEGORIA, EM LOCAIS COM ALTO NÍVEL DE INTERFERÊNCIA. AF_09/2024</t>
  </si>
  <si>
    <t>ESCAVAÇÃO MECANIZADA DE VALA COM PROF. MAIOR QUE 1,5 M ATÉ 3,0 M (MÉDIA MONTANTE E JUSANTE/UMA COMPOSIÇÃO POR TRECHO), ESCAVADEIRA (0,8 M3), LARG. ATÉ 1,5 M, EM SOLO DE 2A CATEGORIA, EM LOCAIS COM ALTO NÍVEL DE INTERFERÊNCIA. AF_09/2024</t>
  </si>
  <si>
    <t>ESCAVAÇÃO MECANIZADA DE VALA COM PROF. MAIOR QUE 3,0 M ATÉ 4,5 M (MÉDIA MONTANTE E JUSANTE/UMA COMPOSIÇÃO POR TRECHO), ESCAVADEIRA (0,8 M3), LARG. MENOR QUE 1,5 M, EM SOLO DE 2A CATEGORIA, EM LOCAIS COM ALTO NÍVEL DE INTERFERÊNCIA. AF_09/2024</t>
  </si>
  <si>
    <t>ESCAVAÇÃO MECANIZADA DE VALA COM PROF.MAIOR QUE 4,5 M ATÉ 6,0 M (MÉDIA MONTANTE E JUSANTE/UMA COMPOSIÇÃO POR TRECHO),COM ESCAVADEIRA (0,8 M3), LARG. MENOR QUE 1,5 M, EM SOLO DE 2A CATEGORIA, EM LOCAIS COM ALTO NÍVEL DE INTERFERÊNCIA. AF_09/2024</t>
  </si>
  <si>
    <t>ESCAVAÇÃO MECANIZADA DE VALA COM PROF. MAIOR QUE 1,5 M ATÉ 3,0 M (MÉDIA MONTANTE E JUSANTE/UMA COMPOSIÇÃO POR TRECHO),COM ESCAVADEIRA (1,2 M3),LARG. DE 1,5 M A 2,5 M, EM SOLO DE 2A CATEGORIA, EM LOCAIS COM ALTO NÍVEL DE INTERFERÊNCIA. AF_09/2024</t>
  </si>
  <si>
    <t>ESCAVAÇÃO MECANIZADA DE VALA COM PROF. DE 3,0 M ATÉ 4,5 M (MÉDIA MONTANTE E JUSANTE/UMA COMPOSIÇÃO POR TRECHO), ESCAVADEIRA (1,2 M3), LARG. DE 1,5 M A 2,5 M, EM SOLO DE 2A CATEGORIA, EM LOCAIS COM ALTO NÍVEL DE INTERFERÊNCIA. AF_09/2024</t>
  </si>
  <si>
    <t>ESCAVAÇÃO MECANIZADA DE VALA COM PROF. MAIOR QUE 4,5 M ATÉ 6,0 M (MÉDIA MONTANTE E JUSANTE/UMA COMPOSIÇÃO POR TRECHO), ESCAVADEIRA (1,2 M3), LARG. DE 1,5 M A 2,5 M, EM SOLO DE 2A CATEGORIA, EM LOCAIS COM ALTO NÍVEL DE INTERFERÊNCIA. AF_09/2024</t>
  </si>
  <si>
    <t>ESCAVAÇÃO MECANIZADA DE VALA COM PROF. ATÉ 1,5 M (MÉDIA MONTANTE E JUSANTE/UMA COMPOSIÇÃO POR TRECHO),COM ESCAVADEIRA (0,8 M3), LARG. MENOR QUE 1,5 M, EM SOLO DE 2A CATEGORIA, LOCAIS COM BAIXO NÍVEL DE INTERFERÊNCIA. AF_09/2024</t>
  </si>
  <si>
    <t>ESCAVAÇÃO MECANIZADA DE VALA COM PROF. ATÉ 1,5 M (MÉDIA MONTANTE E JUSANTE/UMA COMPOSIÇÃO POR TRECHO), ESCAVADEIRA (0,8 M3), LARG. DE 1,5 M A 2,5 M, EM SOLO DE 2A CATEGORIA, LOCAIS COM BAIXO NÍVEL DE INTERFERÊNCIA. AF_09/2024</t>
  </si>
  <si>
    <t>ESCAVAÇÃO MECANIZADA DE VALA COM PROF. MAIOR QUE 1,5 M E ATÉ 3,0 M (MÉDIA MONTANTE E JUSANTE/UMA COMPOSIÇÃO POR TRECHO), ESCAVADEIRA (0,8 M3), LARG. MENOR QUE 1,5 M, EM SOLO DE 2A CATEGORIA, LOCAIS COM BAIXO NÍVEL DE INTERFERÊNCIA. AF_09/2024</t>
  </si>
  <si>
    <t>ESCAVAÇÃO MECANIZADA DE VALA COM PROF.MAIOR QUE 3,0 M ATÉ 4,5 M (MÉDIA MONTANTE E JUSANTE/UMA COMPOSIÇÃO POR TRECHO), ESCAVADEIRA (0,8 M3), LARG. MENOR QUE 1,5 M, EM SOLO DE 2A CATEGORIA, LOCAIS COM BAIXO NÍVEL DE INTERFERÊNCIA. AF_09/2024</t>
  </si>
  <si>
    <t>ESCAVAÇÃO MECANIZADA DE VALA COM PROF.MAIOR QUE 4,5 M ATÉ 6,0 M (MÉDIA MONTANTE E JUSANTE/UMA COMPOSIÇÃO POR TRECHO),COM ESCAVADEIRA (0,8 M3), LARG. MENOR QUE 1,5 M, EM SOLO DE 2A CATEGORIA, EM LOCAIS COM BAIXO NÍVEL DE INTERFERÊNCIA. AF_09/2024</t>
  </si>
  <si>
    <t>ESCAVAÇÃO MECANIZADA DE VALA COM PROF. MAIOR QUE 1,5 M ATÉ 3,0 M (MÉDIA MONTANTE E JUSANTE/UMA COMPOSIÇÃO POR TRECHO),COM ESCAVADEIRA (1,2 M3),LARG. DE 1,5 M A 2,5 M, EM SOLO DE 2A CATEGORIA, LOCAIS COM BAIXO NÍVEL DE INTERFERÊNCIA. AF_09/2024</t>
  </si>
  <si>
    <t>ESCAVAÇÃO MECANIZADA DE VALA COM PROF. MAIOR QUE 3,0 M ATÉ 4,5 M (MÉDIA MONTANTE E JUSANTE/UMA COMPOSIÇÃO POR TRECHO), ESCAVADEIRA (1,2 M3), LARG. DE 1,5 M A 2,5 M, EM SOLO DE 2A CATEGORIA, LOCAIS COM BAIXO NÍVEL DE INTERFERÊNCIA. AF_09/2024</t>
  </si>
  <si>
    <t>ESCAVAÇÃO MECANIZADA DE VALA COM PROF. MAIOR QUE 4,5 M ATÉ 6,0 M (MÉDIA MONTANTE E JUSANTE/UMA COMPOSIÇÃO POR TRECHO), ESCAVADEIRA (1,2 M3), LARG. DE 1,5 M A 2,5 M, EM SOLO DE 2A CATEGORIA, LOCAIS COM BAIXO NÍVEL DE INTERFERÊNCIA. AF_09/2024</t>
  </si>
  <si>
    <t>ESCAVAÇÃO MECANIZADA DE VALA COM PROF. ATÉ 1,5 M (MÉDIA MONTANTE E JUSANTE/UMA COMPOSIÇÃO POR TRECHO), RETROESCAV. (0,26 M3), LARG. MENOR QUE 0,8 M, EM SOLO DE 2A CATEGORIA, EM LOCAIS COM ALTO NÍVEL DE INTERFERÊNCIA. AF_09/2024</t>
  </si>
  <si>
    <t>ESCAVAÇÃO MECANIZADA DE VALA COM PROF. ATÉ 1,5 M (MÉDIA MONTANTE E JUSANTE/UMA COMPOSIÇÃO POR TRECHO), RETROESCAV. (0,26 M3), LARG. DE 0,8 M A 1,5 M, EM SOLO DE 2A CATEGORIA, EM LOCAIS COM ALTO NÍVEL DE INTERFERÊNCIA. AF_09/2024</t>
  </si>
  <si>
    <t>ESCAVAÇÃO MECANIZADA DE VALA COM PROF. MAIOR QUE 1,5 M ATÉ 3,0 M (MÉDIA MONTANTE E JUSANTE/UMA COMPOSIÇÃO POR TRECHO), RETROESCAV. (0,26 M3), LARG. MENOR QUE 0,8 M, EM SOLO DE 2A CATEGORIA, EM LOCAIS COM ALTO NÍVEL DE INTERFERÊNCIA. AF_09/2024</t>
  </si>
  <si>
    <t>ESCAVAÇÃO MECANIZADA DE VALA COM PROF. MAIOR QUE 1,5 M ATÉ 3,0 M (MÉDIA MONTANTE E JUSANTE/UMA COMPOSIÇÃO POR TRECHO), RETROESCAV. (0,26 M3), LARG. DE 0,8 M A 1,5 M, EM SOLO DE 2A CATEGORIA, EM LOCAIS COM ALTO NÍVEL DE INTERFERÊNCIA. AF_09/2024</t>
  </si>
  <si>
    <t>ESCAVAÇÃO MECANIZADA DE VALA COM PROF. ATÉ 1,5 M (MÉDIA MONTANTE E JUSANTE/UMA COMPOSIÇÃO POR TRECHO), RETROESCAV. (0,26 M3), LARGURA MENOR QUE 0,8 M, EM SOLO DE 2A CATEGORIA, EM LOCAIS COM BAIXO NÍVEL DE INTERFERÊNCIA. AF_09/2024</t>
  </si>
  <si>
    <t>ESCAVAÇÃO MECANIZADA DE VALA COM PROF. ATÉ 1,5 M (MÉDIA MONTANTE E JUSANTE/UMA COMPOSIÇÃO POR TRECHO), RETROESCAV. (0,26 M3), LARG. DE 0,8 M A 1,5 M, EM SOLO DE 2A CATEGORIA, EM LOCAIS COM BAIXO NÍVEL DE INTERFERÊNCIA. AF_09/2024</t>
  </si>
  <si>
    <t>ESCAVAÇÃO MECANIZADA DE VALA COM PROF. MAIOR QUE 1,5 M ATÉ 3,0 M (MÉDIA MONTANTE E JUSANTE/UMA COMPOSIÇÃO POR TRECHO), RETROESCAV. (0,26 M3),LARG. MENOR QUE 0,8 M, EM SOLO DE 2A CATEGORIA, EM LOCAIS COM BAIXO NÍVEL DE INTERFERÊNCIA. AF_09/2024</t>
  </si>
  <si>
    <t>ESCAVAÇÃO MECANIZADA DE VALA COM PROF. MAIOR QUE 1,5 M ATÉ 3,0 M (MÉDIA MONTANTE E JUSANTE/UMA COMPOSIÇÃO POR TRECHO), RETROESCAV. (0,26 M3), LARG. DE 0,8 M A 1,5 M, EM SOLO DE 2A CATEGORIA, EM LOCAIS COM BAIXO NÍVEL DE INTERFERÊNCIA. AF_09/2024</t>
  </si>
  <si>
    <t>10,10</t>
  </si>
  <si>
    <t>77,37</t>
  </si>
  <si>
    <t>70,46</t>
  </si>
  <si>
    <t>67,36</t>
  </si>
  <si>
    <t>66,27</t>
  </si>
  <si>
    <t>81,68</t>
  </si>
  <si>
    <t>76,46</t>
  </si>
  <si>
    <t>73,36</t>
  </si>
  <si>
    <t>72,27</t>
  </si>
  <si>
    <t>EXECUÇÃO E COMPACTAÇÃO DE CORPO DE ATERRO DE ATERRO (95% DE ENERGIA DO PROCTOR NORMAL) COM SOLO PREDOMINANTEMENTE ARGILOSO ESPESSURA 15 CM - EXCLUSIVE MATERIAL, ESCAVAÇÃO, CARGA E TRANSPORTE. AF_09/2024</t>
  </si>
  <si>
    <t>EXECUÇÃO E COMPACTAÇÃO DE CORPO DE ATERRO (95% DE ENERGIA DO PROCTOR NORMAL) COM SOLO PREDOMINANTEMENTE ARENOSO ESPESSURA 15CM - EXCLUSIVE MATERIAL, ESCAVAÇÃO, CARGA E TRANSPORTE. AF_09/2024</t>
  </si>
  <si>
    <t>105556</t>
  </si>
  <si>
    <t>EXECUÇÃO E COMPACTAÇÃO DE CORPO DE ATERRO DE ATERRO (95% DE ENERGIA DO PROCTOR NORMAL) COM SOLO PREDOMINANTEMENTE ARGILOSO, EM CAMADAS COM ESPESSURA DE 10 CM - EXCLUSIVE ESCAVAÇÃO, CARGA E TRANSPORTE E SOLO. AF_09/2024</t>
  </si>
  <si>
    <t>105557</t>
  </si>
  <si>
    <t>EXECUÇÃO E COMPACTAÇÃO DE CAMADA FINAL DE ATERRO (100% DE ENERGIA DO PROCTOR NORMAL) COM SOLO PREDOMINANTEMENTE ARGILOSO, EM CAMADAS COM ESPESSURA DE 10 CM - EXCLUSIVE ESCAVAÇÃO, CARGA E TRANSPORTE E SOLO. AF_09/2024</t>
  </si>
  <si>
    <t>16,66</t>
  </si>
  <si>
    <t>105558</t>
  </si>
  <si>
    <t>EXECUÇÃO E COMPACTAÇÃO DE CAMADA FINAL DE ATERRO (100% DE ENERGIA DO PROCTOR NORMAL) COM SOLO PREDOMINANTEMENTE ARGILOSO, EM CAMADAS COM ESPESSURA DE 15 CM - EXCLUSIVE ESCAVAÇÃO, CARGA E TRANSPORTE E SOLO. AF_09/2024</t>
  </si>
  <si>
    <t>105559</t>
  </si>
  <si>
    <t>EXECUÇÃO E COMPACTAÇÃO DE CORPO DE ATERRO DE ATERRO (95% DE ENERGIA DO PROCTOR NORMAL) COM SOLO PREDOMINANTEMENTE ARGILOSO, EM CAMADAS COM ESPESSURA DE 20 CM - EXCLUSIVE ESCAVAÇÃO, CARGA E TRANSPORTE E SOLO. AF_09/2024</t>
  </si>
  <si>
    <t>105560</t>
  </si>
  <si>
    <t>EXECUÇÃO E COMPACTAÇÃO DE CAMADA FINAL DE ATERRO (100% DE ENERGIA DO PROCTOR NORMAL) COM SOLO PREDOMINANTEMENTE ARGILOSO, EM CAMADAS COM ESPESSURA DE 20 CM - EXCLUSIVE ESCAVAÇÃO, CARGA E TRANSPORTE E SOLO. AF_09/2024</t>
  </si>
  <si>
    <t>105561</t>
  </si>
  <si>
    <t>EXECUÇÃO E COMPACTAÇÃO DE CORPO DE ATERRO DE ATERRO (95% DE ENERGIA DO PROCTOR NORMAL) COM SOLO PREDOMINANTEMENTE ARENOSO, EM CAMADAS COM ESPESSURA DE 10 CM - EXCLUSIVE ESCAVAÇÃO, CARGA E TRANSPORTE E SOLO. AF_09/2024</t>
  </si>
  <si>
    <t>105562</t>
  </si>
  <si>
    <t>EXECUÇÃO E COMPACTAÇÃO DE CAMADA FINAL DE ATERRO (100% DE ENERGIA DO PROCTOR NORMAL) COM SOLO PREDOMINANTEMENTE ARENOSO, EM CAMADAS COM ESPESSURA DE 10 CM - EXCLUSIVE ESCAVAÇÃO, CARGA E TRANSPORTE E SOLO. AF_09/2024</t>
  </si>
  <si>
    <t>105563</t>
  </si>
  <si>
    <t>EXECUÇÃO E COMPACTAÇÃO DE CAMADA FINAL DE ATERRO (100% DE ENERGIA DO PROCTOR NORMAL) COM SOLO PREDOMINANTEMENTE ARENOSO, EM CAMADAS COM ESPESSURA DE 15 CM - EXCLUSIVE ESCAVAÇÃO, CARGA E TRANSPORTE E SOLO. AF_09/2024</t>
  </si>
  <si>
    <t>7,00</t>
  </si>
  <si>
    <t>105564</t>
  </si>
  <si>
    <t>EXECUÇÃO E COMPACTAÇÃO DE CORPO DE ATERRO (95% DE ENERGIA DO PROCTOR NORMAL) COM SOLO PREDOMINANTEMENTE ARENOSO, EM CAMADAS COM ESPESSURA DE 20 CM - EXCLUSIVE ESCAVAÇÃO, CARGA E TRANSPORTE E SOLO. AF_09/2024</t>
  </si>
  <si>
    <t>105565</t>
  </si>
  <si>
    <t>EXECUÇÃO E COMPACTAÇÃO DE CAMADA FINAL DE ATERRO (100% DE ENERGIA DO PROCTOR NORMAL) COM SOLO PREDOMINANTEMENTE ARENOSO, EM CAMADAS COM ESPESSURA DE 20 CM - EXCLUSIVE ESCAVAÇÃO, CARGA E TRANSPORTE E SOLO. AF_09/2024</t>
  </si>
  <si>
    <t>22,41</t>
  </si>
  <si>
    <t>26,97</t>
  </si>
  <si>
    <t>20,80</t>
  </si>
  <si>
    <t>29,81</t>
  </si>
  <si>
    <t>23,73</t>
  </si>
  <si>
    <t>88,78</t>
  </si>
  <si>
    <t>24,83</t>
  </si>
  <si>
    <t>233,23</t>
  </si>
  <si>
    <t>350,03</t>
  </si>
  <si>
    <t>204,14</t>
  </si>
  <si>
    <t>320,94</t>
  </si>
  <si>
    <t>201,98</t>
  </si>
  <si>
    <t>311,49</t>
  </si>
  <si>
    <t>259,41</t>
  </si>
  <si>
    <t>156,36</t>
  </si>
  <si>
    <t>70,92</t>
  </si>
  <si>
    <t>72,28</t>
  </si>
  <si>
    <t>83,33</t>
  </si>
  <si>
    <t>84,92</t>
  </si>
  <si>
    <t>93,67</t>
  </si>
  <si>
    <t>79,23</t>
  </si>
  <si>
    <t>120,03</t>
  </si>
  <si>
    <t>140,58</t>
  </si>
  <si>
    <t>142,69</t>
  </si>
  <si>
    <t>103344</t>
  </si>
  <si>
    <t>ALVENARIA DE VEDAÇÃO DE BLOCOS CERÂMICOS FURADOS NA VERTICAL DE 11,5X19X29 CM (ESPESSURA 11,5 CM) E ARGAMASSA DE ASSENTAMENTO COM PREPARO EM BETONEIRA. AF_12/2021</t>
  </si>
  <si>
    <t>74,97</t>
  </si>
  <si>
    <t>103345</t>
  </si>
  <si>
    <t>ALVENARIA DE VEDAÇÃO DE BLOCOS CERÂMICOS FURADOS NA VERTICAL DE 11,5X19X29 CM (ESPESSURA 11,5 CM) E ARGAMASSA DE ASSENTAMENTO COM PREPARO MANUAL. AF_12/2021</t>
  </si>
  <si>
    <t>103346</t>
  </si>
  <si>
    <t>ALVENARIA DE VEDAÇÃO DE BLOCOS CERÂMICOS FURADOS NA VERTICAL DE 14X19X29 CM (ESPESSURA 14 CM) E ARGAMASSA DE ASSENTAMENTO COM PREPARO EM BETONEIRA. AF_12/2021</t>
  </si>
  <si>
    <t>103347</t>
  </si>
  <si>
    <t>ALVENARIA DE VEDAÇÃO DE BLOCOS CERÂMICOS FURADOS NA VERTICAL DE 14X19X29 CM (ESPESSURA 14 CM) E ARGAMASSA DE ASSENTAMENTO COM PREPARO MANUAL. AF_12/2021</t>
  </si>
  <si>
    <t>85,67</t>
  </si>
  <si>
    <t>103348</t>
  </si>
  <si>
    <t>ALVENARIA DE VEDAÇÃO DE BLOCOS CERÂMICOS FURADOS NA VERTICAL DE 11,5X19X39 CM (ESPESSURA 11,5 CM) E ARGAMASSA DE ASSENTAMENTO COM PREPARO EM BETONEIRA. AF_12/2021</t>
  </si>
  <si>
    <t>103349</t>
  </si>
  <si>
    <t>ALVENARIA DE VEDAÇÃO DE BLOCOS CERÂMICOS FURADOS NA VERTICAL DE 11,5X19X39 CM (ESPESSURA 11,5 CM) E ARGAMASSA DE ASSENTAMENTO COM PREPARO MANUAL. AF_12/2021</t>
  </si>
  <si>
    <t>171,96</t>
  </si>
  <si>
    <t>173,51</t>
  </si>
  <si>
    <t>103352</t>
  </si>
  <si>
    <t>ALVENARIA DE VEDAÇÃO DE BLOCOS CERÂMICOS FURADOS NA HORIZONTAL DE 9X14X24 CM (ESPESSURA 9 CM) E ARGAMASSA DE ASSENTAMENTO COM PREPARO EM BETONEIRA. AF_12/2021</t>
  </si>
  <si>
    <t>101,84</t>
  </si>
  <si>
    <t>103353</t>
  </si>
  <si>
    <t>ALVENARIA DE VEDAÇÃO DE BLOCOS CERÂMICOS FURADOS NA HORIZONTAL DE 9X14X24 CM (ESPESSURA 9 CM) E ARGAMASSA DE ASSENTAMENTO COM PREPARO MANUAL. AF_12/2021</t>
  </si>
  <si>
    <t>102,96</t>
  </si>
  <si>
    <t>103354</t>
  </si>
  <si>
    <t>ALVENARIA DE VEDAÇÃO DE BLOCOS CERÂMICOS FURADOS NA HORIZONTAL DE 11,5X14X24 CM (ESPESSURA 11,5 CM) E ARGAMASSA DE ASSENTAMENTO COM PREPARO EM BETONEIRA. AF_12/2021</t>
  </si>
  <si>
    <t>103355</t>
  </si>
  <si>
    <t>ALVENARIA DE VEDAÇÃO DE BLOCOS CERÂMICOS FURADOS NA HORIZONTAL DE 11,5X14X24 CM (ESPESSURA 11,5 CM) E ARGAMASSA DE ASSENTAMENTO COM PREPARO MANUAL. AF_12/2021</t>
  </si>
  <si>
    <t>57,10</t>
  </si>
  <si>
    <t>103358</t>
  </si>
  <si>
    <t>ALVENARIA DE VEDAÇÃO DE BLOCOS CERÂMICOS FURADOS NA HORIZONTAL DE 11,5X19X29 CM (ESPESSURA 11,5 CM) E ARGAMASSA DE ASSENTAMENTO COM PREPARO EM BETONEIRA. AF_12/2021</t>
  </si>
  <si>
    <t>65,27</t>
  </si>
  <si>
    <t>103359</t>
  </si>
  <si>
    <t>ALVENARIA DE VEDAÇÃO DE BLOCOS CERÂMICOS FURADOS NA HORIZONTAL DE 11,5X19X29 CM (ESPESSURA 11,5 CM) E ARGAMASSA DE ASSENTAMENTO COM PREPARO MANUAL. AF_12/2021</t>
  </si>
  <si>
    <t>66,23</t>
  </si>
  <si>
    <t>103360</t>
  </si>
  <si>
    <t>ALVENARIA DE VEDAÇÃO DE BLOCOS CERÂMICOS FURADOS NA HORIZONTAL DE 14X19X29 CM (ESPESSURA 14 CM) E ARGAMASSA DE ASSENTAMENTO COM PREPARO EM BETONEIRA. AF_12/2021</t>
  </si>
  <si>
    <t>103361</t>
  </si>
  <si>
    <t>ALVENARIA DE VEDAÇÃO DE BLOCOS CERÂMICOS FURADOS NA HORIZONTAL DE 14X19X29 CM (ESPESSURA 14 CM) E ARGAMASSA DE ASSENTAMENTO COM PREPARO MANUAL. AF_12/2021</t>
  </si>
  <si>
    <t>103362</t>
  </si>
  <si>
    <t>ALVENARIA DE VEDAÇÃO DE BLOCOS CERÂMICOS FURADOS NA HORIZONTAL DE 19X19X29 CM (ESPESSURA 19 CM) E ARGAMASSA DE ASSENTAMENTO COM PREPARO EM BETONEIRA. AF_12/2021</t>
  </si>
  <si>
    <t>91,92</t>
  </si>
  <si>
    <t>103363</t>
  </si>
  <si>
    <t>ALVENARIA DE VEDAÇÃO DE BLOCOS CERÂMICOS FURADOS NA HORIZONTAL DE 19X19X29 CM (ESPESSURA 19 CM) E ARGAMASSA DE ASSENTAMENTO COM PREPARO MANUAL. AF_12/2021</t>
  </si>
  <si>
    <t>93,28</t>
  </si>
  <si>
    <t>103364</t>
  </si>
  <si>
    <t>ALVENARIA DE VEDAÇÃO DE BLOCOS CERÂMICOS FURADOS NA HORIZONTAL DE 9X19X39 CM (ESPESSURA 9 CM) E ARGAMASSA DE ASSENTAMENTO COM PREPARO EM BETONEIRA. AF_12/2021</t>
  </si>
  <si>
    <t>46,27</t>
  </si>
  <si>
    <t>103365</t>
  </si>
  <si>
    <t>ALVENARIA DE VEDAÇÃO DE BLOCOS CERÂMICOS FURADOS NA HORIZONTAL DE 9X19X39 CM (ESPESSURA 9 CM) E ARGAMASSA DE ASSENTAMENTO COM PREPARO MANUAL. AF_12/2021</t>
  </si>
  <si>
    <t>46,85</t>
  </si>
  <si>
    <t>103366</t>
  </si>
  <si>
    <t>ALVENARIA DE VEDAÇÃO DE BLOCOS CERÂMICOS FURADOS NA HORIZONTAL DE 11,5X19X39 CM (ESPESSURA 11,5 CM) E ARGAMASSA DE ASSENTAMENTO COM PREPARO EM BETONEIRA. AF_12/2021</t>
  </si>
  <si>
    <t>55,79</t>
  </si>
  <si>
    <t>103367</t>
  </si>
  <si>
    <t>ALVENARIA DE VEDAÇÃO DE BLOCOS CERÂMICOS FURADOS NA HORIZONTAL DE 11,5X19X39 CM (ESPESSURA 11,5 CM) E ARGAMASSA DE ASSENTAMENTO COM PREPARO MANUAL. AF_12/2021</t>
  </si>
  <si>
    <t>103368</t>
  </si>
  <si>
    <t>ALVENARIA DE VEDAÇÃO DE BLOCOS CERÂMICOS FURADOS NA HORIZONTAL DE 14X19X39 CM (ESPESSURA 14 CM) E ARGAMASSA DE ASSENTAMENTO COM PREPARO EM BETONEIRA. AF_12/2021</t>
  </si>
  <si>
    <t>63,69</t>
  </si>
  <si>
    <t>103369</t>
  </si>
  <si>
    <t>ALVENARIA DE VEDAÇÃO DE BLOCOS CERÂMICOS FURADOS NA HORIZONTAL DE 14X19X39 CM (ESPESSURA 14 CM) E ARGAMASSA DE ASSENTAMENTO COM PREPARO MANUAL. AF_12/2021</t>
  </si>
  <si>
    <t>103370</t>
  </si>
  <si>
    <t>ALVENARIA DE VEDAÇÃO DE BLOCOS CERÂMICOS FURADOS NA HORIZONTAL DE 19X19X39 CM (ESPESSURA 19 CM) E ARGAMASSA DE ASSENTAMENTO COM PREPARO EM BETONEIRA. AF_12/2021</t>
  </si>
  <si>
    <t>79,09</t>
  </si>
  <si>
    <t>103371</t>
  </si>
  <si>
    <t>ALVENARIA DE VEDAÇÃO DE BLOCOS CERÂMICOS FURADOS NA HORIZONTAL DE 19X19X39 CM (ESPESSURA 19 CM) E ARGAMASSA DE ASSENTAMENTO COM PREPARO MANUAL. AF_12/2021</t>
  </si>
  <si>
    <t>80,33</t>
  </si>
  <si>
    <t>63,51</t>
  </si>
  <si>
    <t>71,23</t>
  </si>
  <si>
    <t>72,69</t>
  </si>
  <si>
    <t>76,20</t>
  </si>
  <si>
    <t>81,80</t>
  </si>
  <si>
    <t>145,70</t>
  </si>
  <si>
    <t>103,40</t>
  </si>
  <si>
    <t>104,58</t>
  </si>
  <si>
    <t>124,03</t>
  </si>
  <si>
    <t>89,89</t>
  </si>
  <si>
    <t>90,90</t>
  </si>
  <si>
    <t>118,38</t>
  </si>
  <si>
    <t>119,56</t>
  </si>
  <si>
    <t>144,41</t>
  </si>
  <si>
    <t>120,56</t>
  </si>
  <si>
    <t>121,87</t>
  </si>
  <si>
    <t>119,18</t>
  </si>
  <si>
    <t>140,01</t>
  </si>
  <si>
    <t>102,21</t>
  </si>
  <si>
    <t>122,23</t>
  </si>
  <si>
    <t>139,56</t>
  </si>
  <si>
    <t>161,45</t>
  </si>
  <si>
    <t>236,55</t>
  </si>
  <si>
    <t>768,07</t>
  </si>
  <si>
    <t>778,96</t>
  </si>
  <si>
    <t>88,31</t>
  </si>
  <si>
    <t>128,66</t>
  </si>
  <si>
    <t>115,21</t>
  </si>
  <si>
    <t>125,48</t>
  </si>
  <si>
    <t>156,32</t>
  </si>
  <si>
    <t>153,13</t>
  </si>
  <si>
    <t>164,88</t>
  </si>
  <si>
    <t>183,97</t>
  </si>
  <si>
    <t>65,80</t>
  </si>
  <si>
    <t>607,88</t>
  </si>
  <si>
    <t>555,40</t>
  </si>
  <si>
    <t>442,31</t>
  </si>
  <si>
    <t>622,89</t>
  </si>
  <si>
    <t>515,18</t>
  </si>
  <si>
    <t>344,62</t>
  </si>
  <si>
    <t>412,62</t>
  </si>
  <si>
    <t>115,40</t>
  </si>
  <si>
    <t>144,53</t>
  </si>
  <si>
    <t>189,19</t>
  </si>
  <si>
    <t>173,67</t>
  </si>
  <si>
    <t>218,33</t>
  </si>
  <si>
    <t>81,89</t>
  </si>
  <si>
    <t>128,70</t>
  </si>
  <si>
    <t>180,40</t>
  </si>
  <si>
    <t>264,31</t>
  </si>
  <si>
    <t>49,01</t>
  </si>
  <si>
    <t>45,70</t>
  </si>
  <si>
    <t>143,65</t>
  </si>
  <si>
    <t>205,04</t>
  </si>
  <si>
    <t>233,84</t>
  </si>
  <si>
    <t>262,26</t>
  </si>
  <si>
    <t>239,41</t>
  </si>
  <si>
    <t>315,36</t>
  </si>
  <si>
    <t>341,86</t>
  </si>
  <si>
    <t>296,97</t>
  </si>
  <si>
    <t>323,85</t>
  </si>
  <si>
    <t>350,37</t>
  </si>
  <si>
    <t>362,38</t>
  </si>
  <si>
    <t>119,17</t>
  </si>
  <si>
    <t>203,49</t>
  </si>
  <si>
    <t>143,89</t>
  </si>
  <si>
    <t>124,74</t>
  </si>
  <si>
    <t>253,32</t>
  </si>
  <si>
    <t>182,30</t>
  </si>
  <si>
    <t>209,18</t>
  </si>
  <si>
    <t>247,71</t>
  </si>
  <si>
    <t>76,23</t>
  </si>
  <si>
    <t>56,85</t>
  </si>
  <si>
    <t>79,02</t>
  </si>
  <si>
    <t>28,58</t>
  </si>
  <si>
    <t>29,18</t>
  </si>
  <si>
    <t>32,27</t>
  </si>
  <si>
    <t>34,72</t>
  </si>
  <si>
    <t>2.392,43</t>
  </si>
  <si>
    <t>61,06</t>
  </si>
  <si>
    <t>REGULARIZAÇÃO E COMPACTAÇÃO DE SUBLEITO DE SOLO PREDOMINANTEMENTE ARGILOSO, PARA OBRAS DE CONSTRUÇÃO DE PAVIMENTOS. AF_09/2024</t>
  </si>
  <si>
    <t>REGULARIZAÇÃO E COMPACTAÇÃO DE SUBLEITO DE SOLO PREDOMINANTEMENTE ARENOSO, PARA OBRAS DE CONSTRUÇÃO DE PAVIMENTOS. AF_09/2024</t>
  </si>
  <si>
    <t>105597</t>
  </si>
  <si>
    <t>REGULARIZAÇÃO E COMPACTAÇÃO DE SUBLEITO DE SOLO PREDOMINANTEMENTE ARGILOSO, PARA OBRAS DE RECONSTRUÇÃO DE PAVIMENTOS. AF_09/2024</t>
  </si>
  <si>
    <t>105598</t>
  </si>
  <si>
    <t>REGULARIZAÇÃO E COMPACTAÇÃO DE SUBLEITO DE SOLO PREDOMINANTEMENTE ARENOSO, PARA OBRAS DE RECONSTRUÇÃO DE PAVIMENTOS. AF_09/2024</t>
  </si>
  <si>
    <t>CONSTRUÇÃO DE BASE E SUB-BASE PARA PAVIMENTAÇÃO DE SOLO DE COMPORTAMENTO LATERÍTICO (ARENOSO), COM ESPESSURA DE 15 CM - EXCLUSIVE ESCAVAÇÃO, CARGA E TRANSPORTE E SOLO. AF_09/2024</t>
  </si>
  <si>
    <t>9,44</t>
  </si>
  <si>
    <t>CONSTRUÇÃO DE BASE E SUB-BASE PARA PAVIMENTAÇÃO DE SOLO (PREDOMINANTEMENTE ARENOSO) MELHORADO COM CIMENTO - 2%, MISTURA EM PISTA, COM ESPESSURA DE 15 CM - EXCLUSIVE ESCAVAÇÃO, CARGA E TRANSPORTE E SOLO. AF_09/2024</t>
  </si>
  <si>
    <t>46,03</t>
  </si>
  <si>
    <t>CONSTRUÇÃO DE BASE E SUB-BASE PARA PAVIMENTAÇÃO DE SOLO (PREDOMINANTEMENTE ARENOSO) MELHORADO COM CIMENTO - 4%, MISTURA EM PISTA, COM ESPESSURA DE 15 CM - EXCLUSIVE ESCAVAÇÃO, CARGA E TRANSPORTE E SOLO. AF_09/2024</t>
  </si>
  <si>
    <t>75,63</t>
  </si>
  <si>
    <t>CONSTRUÇÃO DE BASE E SUB-BASE PARA PAVIMENTAÇÃO DE SOLO (PREDOMINANTEMENTE ARENOSO) COM CIMENTO - 6%, MISTURA EM PISTA, COM ESPESSURA DE 15 CM - EXCLUSIVE ESCAVAÇÃO, CARGA E TRANSPORTE E SOLO. AF_09/2024</t>
  </si>
  <si>
    <t>104,43</t>
  </si>
  <si>
    <t>CONSTRUÇÃO DE BASE E SUB-BASE PARA PAVIMENTAÇÃO DE SOLO (PREDOMINANTEMENTE ARENOSO) COM CIMENTO - 8%, MISTURA EM PISTA, COM ESPESSURA DE 15 CM - EXCLUSIVE ESCAVAÇÃO, CARGA E TRANSPORTE E SOLO. AF_09/2024</t>
  </si>
  <si>
    <t>132,86</t>
  </si>
  <si>
    <t>CONSTRUÇÃO DE BASE E SUB-BASE PARA PAVIMENTAÇÃO DE BRITA GRADUADA SIMPLES, COM ESPESSURA DE 15 CM - EXCLUSIVE CARGA E TRANSPORTE. AF_09/2024</t>
  </si>
  <si>
    <t>233,44</t>
  </si>
  <si>
    <t>CONSTRUÇÃO DE BASE E SUB-BASE PARA PAVIMENTAÇÃO DE BRITA GRADUADA SIMPLES TRATADA COM CIMENTO, COM ESPESSURA DE 15 CM - EXCLUSIVE CARGA E TRANSPORTE. AF_09/2024</t>
  </si>
  <si>
    <t>289,16</t>
  </si>
  <si>
    <t>CONSTRUÇÃO DE BASE E SUB-BASE PARA PAVIMENTAÇÃO DE CONCRETO COMPACTADO COM ROLO, COM ESPESSURA DE 15 CM - EXCLUSIVE CARGA E TRANSPORTE. AF_09/2024</t>
  </si>
  <si>
    <t>363,79</t>
  </si>
  <si>
    <t>CONSTRUÇÃO DE BASE E SUB-BASE PARA PAVIMENTAÇÃO DE RACHÃO, COM ESPESSURA DE 40 CM - EXCLUSIVE CARGA E TRANSPORTE. AF_09/2024</t>
  </si>
  <si>
    <t>161,68</t>
  </si>
  <si>
    <t>CONSTRUÇÃO DE BASE E SUB-BASE PARA PAVIMENTAÇÃO DE MACADAME SECO, COM ESPESSURA DE 15 CM - EXCLUSIVE CARGA E TRANSPORTE. AF_09/2024</t>
  </si>
  <si>
    <t>211,39</t>
  </si>
  <si>
    <t>CONSTRUÇÃO DE BASE E SUB-BASE PARA PAVIMENTAÇÃO DE SOLO (PREDOMINANTEMENTE ARENOSO) BRITA - 40%-60%, MISTURA EM PISTA, COM ESPESSURA DE 15 CM - EXCLUSIVE ESCAVAÇÃO, CARGA E TRANSPORTE E SOLO. AF_09/2024</t>
  </si>
  <si>
    <t>CONSTRUÇÃO DE BASE E SUB-BASE PARA PAVIMENTAÇÃO DE SOLO (PREDOMINANTEMENTE ARENOSO) BRITA - 50%-50%, MISTURA EM PISTA, COM ESPESSURA DE 15 CM - EXCLUSIVE ESCAVAÇÃO, CARGA E TRANSPORTE E SOLO. AF_09/2024</t>
  </si>
  <si>
    <t>CONSTRUÇÃO DE BASE E SUB-BASE PARA PAVIMENTAÇÃO DE SOLO (PREDOMINANTEMENTE ARENOSO) BRITA - 40%-60% COM CIMENTO - 4%, MISTURA EM PISTA, COM ESPESSURA DE 15 CM - EXCLUSIVE ESCAVAÇÃO, CARGA E TRANSPORTE E SOLO. AF_09/2024</t>
  </si>
  <si>
    <t>197,17</t>
  </si>
  <si>
    <t>CONSTRUÇÃO DE BASE E SUB-BASE PARA PAVIMENTAÇÃO DE SOLO (PREDOMINANTEMENTE ARENOSO) BRITA - 40%-60% COM CIMENTO - 6%, MISTURA EM PISTA, COM ESPESSURA DE 15 CM - EXCLUSIVE ESCAVAÇÃO, CARGA E TRANSPORTE E SOLO. AF_09/2024</t>
  </si>
  <si>
    <t>223,67</t>
  </si>
  <si>
    <t>CONSTRUÇÃO DE BASE E SUB-BASE PARA PAVIMENTAÇÃO DE SOLO (PREDOMINANTEMENTE ARENOSO) BRITA - 40%-60% COM CIMENTO - 8%, MISTURA EM PISTA, COM ESPESSURA DE 15 CM - EXCLUSIVE ESCAVAÇÃO, CARGA E TRANSPORTE E SOLO. AF_09/2024</t>
  </si>
  <si>
    <t>249,80</t>
  </si>
  <si>
    <t>CONSTRUÇÃO DE BASE E SUB-BASE PARA PAVIMENTAÇÃO DE SOLO (PREDOMINANTEMENTE ARENOSO) BRITA - 50%-50% COM CIMENTO - 4%, MISTURA EM PISTA, COM ESPESSURA DE 15 CM - EXCLUSIVE ESCAVAÇÃO, CARGA E TRANSPORTE E SOLO. AF_09/2024</t>
  </si>
  <si>
    <t>178,78</t>
  </si>
  <si>
    <t>CONSTRUÇÃO DE BASE E SUB-BASE PARA PAVIMENTAÇÃO DE SOLO (PREDOMINANTEMENTE ARENOSO) BRITA - 50%-50% COM CIMENTO - 6%, MISTURA EM PISTA, COM ESPESSURA DE 15 CM - EXCLUSIVE ESCAVAÇÃO, CARGA E TRANSPORTE E SOLO. AF_09/2024</t>
  </si>
  <si>
    <t>205,66</t>
  </si>
  <si>
    <t>CONSTRUÇÃO DE BASE E SUB-BASE PARA PAVIMENTAÇÃO DE SOLO (PREDOMINANTEMENTE ARENOSO) BRITA - 50%-50% COM CIMENTO - 8%, MISTURA EM PISTA, COM ESPESSURA DE 15 CM - EXCLUSIVE ESCAVAÇÃO, CARGA E TRANSPORTE E SOLO. AF_09/2024</t>
  </si>
  <si>
    <t>232,18</t>
  </si>
  <si>
    <t>CONSTRUÇÃO DE BASE E SUB-BASE PARA PAVIMENTAÇÃO DE SOLO (PREDOMINANTEMENTE ARGILOSO) BRITA - 40%-60%, MISTURA EM PISTA, COM ESPESSURA DE 15 CM - EXCLUSIVE ESCAVAÇÃO, CARGA E TRANSPORTE E SOLO. AF_09/2024</t>
  </si>
  <si>
    <t>146,11</t>
  </si>
  <si>
    <t>CONSTRUÇÃO DE BASE E SUB-BASE PARA PAVIMENTAÇÃO DE SOLO (PREDOMINANTEMENTE ARGILOSO) BRITA - 50%-50%, MISTURA EM PISTA, COM ESPESSURA DE 15 CM - EXCLUSIVE ESCAVAÇÃO, CARGA E TRANSPORTE E SOLO. AF_09/2024</t>
  </si>
  <si>
    <t>ESPALHAMENTO DE MATERIAL COM TRATOR DE ESTEIRAS. AF_09/2024</t>
  </si>
  <si>
    <t>REGULARIZAÇÃO DE SUPERFÍCIES COM MOTONIVELADORA. AF_09/2024</t>
  </si>
  <si>
    <t>CONSTRUÇÃO DE BASE E SUB-BASE PARA PAVIMENTAÇÃO DE SOLO ESTABILIZADO GRANULOMETRICAMENTE COM MISTURA DE SOLOS EM PISTA - EXCLUSIVE SOLO, ESCAVAÇÃO, CARGA E TRANSPORTE. AF_09/2024</t>
  </si>
  <si>
    <t>31,51</t>
  </si>
  <si>
    <t>CONSTRUÇÃO DE BASE E SUB-BASE PARA PAVIMENTAÇÃO DE SOLO ESTABILIZADO GRANULOMETRICAMENTE SEM MISTURA DE SOLOS - EXCLUSIVE SOLO, ESCAVAÇÃO, CARGA E TRANSPORTE. AF_09/2024</t>
  </si>
  <si>
    <t>105566</t>
  </si>
  <si>
    <t>CONSTRUÇÃO DE BASE E SUB-BASE PARA PAVIMENTAÇÃO DE SOLO DE COMPORTAMENTO LATERÍTICO (ARENOSO), COM ESPESSURA DE 10 CM - EXCLUSIVE ESCAVAÇÃO, CARGA E TRANSPORTE E SOLO. AF_09/2024</t>
  </si>
  <si>
    <t>11,78</t>
  </si>
  <si>
    <t>105567</t>
  </si>
  <si>
    <t>RECONSTRUÇÃO DE BASE E SUB-BASE PARA PAVIMENTAÇÃO DE SOLO DE COMPORTAMENTO LATERÍTICO (ARENOSO), COM ESPESSURA DE 10 CM - EXCLUSIVE ESCAVAÇÃO, CARGA E TRANSPORTE E SOLO. AF_09/2024</t>
  </si>
  <si>
    <t>105568</t>
  </si>
  <si>
    <t>RECONSTRUÇÃO DE BASE E SUB-BASE PARA PAVIMENTAÇÃO DE SOLO DE COMPORTAMENTO LATERÍTICO (ARENOSO), COM ESPESSURA DE 15 CM - EXCLUSIVE ESCAVAÇÃO, CARGA E TRANSPORTE E SOLO. AF_09/2024</t>
  </si>
  <si>
    <t>105569</t>
  </si>
  <si>
    <t>CONSTRUÇÃO DE BASE E SUB-BASE PARA PAVIMENTAÇÃO DE SOLO DE COMPORTAMENTO LATERÍTICO (ARENOSO), COM ESPESSURA DE 20 CM - EXCLUSIVE ESCAVAÇÃO, CARGA E TRANSPORTE E SOLO. AF_09/2024</t>
  </si>
  <si>
    <t>105570</t>
  </si>
  <si>
    <t>RECONSTRUÇÃO DE BASE E SUB-BASE PARA PAVIMENTAÇÃO DE SOLO DE COMPORTAMENTO LATERÍTICO (ARENOSO), COM ESPESSURA DE 20 CM - EXCLUSIVE ESCAVAÇÃO, CARGA E TRANSPORTE E SOLO. AF_09/2024</t>
  </si>
  <si>
    <t>105571</t>
  </si>
  <si>
    <t>CONSTRUÇÃO DE BASE E SUB-BASE PARA PAVIMENTAÇÃO DE SOLO (PREDOMINANTEMENTE ARENOSO) MELHORADO COM CIMENTO - 2%, MISTURA EM PISTA, COM ESPESSURA DE 10 CM - EXCLUSIVE ESCAVAÇÃO, CARGA E TRANSPORTE E SOLO. AF_09/2024</t>
  </si>
  <si>
    <t>105572</t>
  </si>
  <si>
    <t>RECONSTRUÇÃO DE BASE E SUB-BASE PARA PAVIMENTAÇÃO DE SOLO (PREDOMINANTEMENTE ARENOSO) MELHORADO COM CIMENTO - 2%, MISTURA EM PISTA, COM ESPESSURA DE 10 CM - EXCLUSIVE ESCAVAÇÃO, CARGA E TRANSPORTE E SOLO. AF_09/2024</t>
  </si>
  <si>
    <t>105573</t>
  </si>
  <si>
    <t>RECONSTRUÇÃO DE BASE E SUB-BASE PARA PAVIMENTAÇÃO DE SOLO (PREDOMINANTEMENTE ARENOSO) MELHORADO COM CIMENTO - 4%, MISTURA EM PISTA, COM ESPESSURA DE 10 CM - EXCLUSIVE ESCAVAÇÃO, CARGA E TRANSPORTE E SOLO. AF_09/2024</t>
  </si>
  <si>
    <t>88,91</t>
  </si>
  <si>
    <t>105574</t>
  </si>
  <si>
    <t>RECONSTRUÇÃO DE BASE E SUB-BASE PARA PAVIMENTAÇÃO DE SOLO (PREDOMINANTEMENTE ARENOSO) MELHORADO COM CIMENTO - 2%, MISTURA EM PISTA, COM ESPESSURA DE 15 CM - EXCLUSIVE ESCAVAÇÃO, CARGA E TRANSPORTE E SOLO. AF_09/2024</t>
  </si>
  <si>
    <t>50,85</t>
  </si>
  <si>
    <t>105575</t>
  </si>
  <si>
    <t>CONSTRUÇÃO DE BASE E SUB-BASE PARA PAVIMENTAÇÃO DE SOLO (PREDOMINANTEMENTE ARENOSO) MELHORADO COM CIMENTO - 2%, MISTURA EM PISTA, COM ESPESSURA DE 20 CM - EXCLUSIVE ESCAVAÇÃO, CARGA E TRANSPORTE E SOLO. AF_09/2024</t>
  </si>
  <si>
    <t>45,07</t>
  </si>
  <si>
    <t>105576</t>
  </si>
  <si>
    <t>RECONSTRUÇÃO DE BASE E SUB-BASE PARA PAVIMENTAÇÃO DE SOLO (PREDOMINANTEMENTE ARENOSO) MELHORADO COM CIMENTO - 2%, MISTURA EM PISTA, COM ESPESSURA DE 20 CM - EXCLUSIVE ESCAVAÇÃO, CARGA E TRANSPORTE E SOLO. AF_09/2024</t>
  </si>
  <si>
    <t>105577</t>
  </si>
  <si>
    <t>RECONSTRUÇÃO DE BASE E SUB-BASE PARA PAVIMENTAÇÃO DE SOLO (PREDOMINANTEMENTE ARENOSO) BRITA - 40%-60%, MISTURA EM PISTA, COM ESPESSURA DE 10 CM - EXCLUSIVE ESCAVAÇÃO, CARGA E TRANSPORTE E SOLO. AF_09/2024</t>
  </si>
  <si>
    <t>160,66</t>
  </si>
  <si>
    <t>105578</t>
  </si>
  <si>
    <t>RECONSTRUÇÃO DE BASE E SUB-BASE PARA PAVIMENTAÇÃO DE SOLO (PREDOMINANTEMENTE ARENOSO) BRITA - 40%-60%, MISTURA EM PISTA, COM ESPESSURA DE 15 CM - EXCLUSIVE ESCAVAÇÃO, CARGA E TRANSPORTE E SOLO. AF_09/2024</t>
  </si>
  <si>
    <t>150,11</t>
  </si>
  <si>
    <t>105579</t>
  </si>
  <si>
    <t>RECONSTRUÇÃO DE BASE E SUB-BASE PARA PAVIMENTAÇÃO DE SOLO (PREDOMINANTEMENTE ARENOSO) BRITA - 50%-50%, MISTURA EM PISTA, COM ESPESSURA DE 10 CM - EXCLUSIVE ESCAVAÇÃO, CARGA E TRANSPORTE E SOLO. AF_09/2024</t>
  </si>
  <si>
    <t>141,51</t>
  </si>
  <si>
    <t>105580</t>
  </si>
  <si>
    <t>RECONSTRUÇÃO DE BASE E SUB-BASE PARA PAVIMENTAÇÃO DE SOLO (PREDOMINANTEMENTE ARENOSO) BRITA - 50%-50%, MISTURA EM PISTA, COM ESPESSURA DE 15 CM - EXCLUSIVE ESCAVAÇÃO, CARGA E TRANSPORTE E SOLO. AF_09/2024</t>
  </si>
  <si>
    <t>130,96</t>
  </si>
  <si>
    <t>105581</t>
  </si>
  <si>
    <t>CONSTRUÇÃO DE BASE E SUB-BASE PARA PAVIMENTAÇÃO DE SOLO (PREDOMINANTEMENTE ARENOSO) BRITA - 50%-50%, MISTURA EM PISTA, COM ESPESSURA DE 20 CM - EXCLUSIVE ESCAVAÇÃO, CARGA E TRANSPORTE E SOLO. AF_09/2024</t>
  </si>
  <si>
    <t>105582</t>
  </si>
  <si>
    <t>RECONSTRUÇÃO DE BASE E SUB-BASE PARA PAVIMENTAÇÃO DE SOLO (PREDOMINANTEMENTE ARENOSO) BRITA - 50%-50%, MISTURA EM PISTA, COM ESPESSURA DE 20 CM - EXCLUSIVE ESCAVAÇÃO, CARGA E TRANSPORTE E SOLO. AF_09/2024</t>
  </si>
  <si>
    <t>125,67</t>
  </si>
  <si>
    <t>105585</t>
  </si>
  <si>
    <t>CONSTRUÇÃO DE BASE E SUB-BASE PARA PAVIMENTAÇÃO DE SOLO (PREDOMINANTEMENTE ARGILOSO) BRITA - 40%-60%, MISTURA EM PISTA, COM ESPESSURA DE 10 CM - EXCLUSIVE ESCAVAÇÃO, CARGA E TRANSPORTE E SOLO. AF_09/2024</t>
  </si>
  <si>
    <t>105586</t>
  </si>
  <si>
    <t>RECONSTRUÇÃO DE BASE E SUB-BASE PARA PAVIMENTAÇÃO DE SOLO (PREDOMINANTEMENTE ARGILOSO) BRITA - 40%-60%, MISTURA EM PISTA, COM ESPESSURA DE 10 CM - EXCLUSIVE ESCAVAÇÃO, CARGA E TRANSPORTE E SOLO. AF_09/2024</t>
  </si>
  <si>
    <t>172,76</t>
  </si>
  <si>
    <t>105587</t>
  </si>
  <si>
    <t>RECONSTRUÇÃO DE BASE E SUB-BASE PARA PAVIMENTAÇÃO DE SOLO (PREDOMINANTEMENTE ARGILOSO) BRITA - 40%-60%, MISTURA EM PISTA, COM ESPESSURA DE 15 CM - EXCLUSIVE ESCAVAÇÃO, CARGA E TRANSPORTE E SOLO. AF_09/2024</t>
  </si>
  <si>
    <t>158,21</t>
  </si>
  <si>
    <t>105588</t>
  </si>
  <si>
    <t>CONSTRUÇÃO DE BASE E SUB-BASE PARA PAVIMENTAÇÃO DE SOLO (PREDOMINANTEMENTE ARGILOSO) BRITA - 40%-60%, MISTURA EM PISTA, COM ESPESSURA DE 20 CM - EXCLUSIVE ESCAVAÇÃO, CARGA E TRANSPORTE E SOLO. AF_09/2024</t>
  </si>
  <si>
    <t>105589</t>
  </si>
  <si>
    <t>RECONSTRUÇÃO DE BASE E SUB-BASE PARA PAVIMENTAÇÃO DE SOLO (PREDOMINANTEMENTE ARGILOSO) BRITA - 40%-60%, MISTURA EM PISTA, COM ESPESSURA DE 20 CM - EXCLUSIVE ESCAVAÇÃO, CARGA E TRANSPORTE E SOLO. AF_09/2024</t>
  </si>
  <si>
    <t>156,86</t>
  </si>
  <si>
    <t>105592</t>
  </si>
  <si>
    <t>CONSTRUÇÃO DE BASE E SUB-BASE PARA PAVIMENTAÇÃO DE SOLO (PREDOMINANTEMENTE ARGILOSO) BRITA - 50%-50%, MISTURA EM PISTA, COM ESPESSURA DE 10 CM - EXCLUSIVE ESCAVAÇÃO, CARGA E TRANSPORTE E SOLO. AF_09/2024</t>
  </si>
  <si>
    <t>137,29</t>
  </si>
  <si>
    <t>105593</t>
  </si>
  <si>
    <t>RECONSTRUÇÃO DE BASE E SUB-BASE PARA PAVIMENTAÇÃO DE SOLO (PREDOMINANTEMENTE ARGILOSO) BRITA - 50%-50%, MISTURA EM PISTA, COM ESPESSURA DE 10 CM - EXCLUSIVE ESCAVAÇÃO, CARGA E TRANSPORTE E SOLO. AF_09/2024</t>
  </si>
  <si>
    <t>153,61</t>
  </si>
  <si>
    <t>105594</t>
  </si>
  <si>
    <t>RECONSTRUÇÃO DE BASE E SUB-BASE PARA PAVIMENTAÇÃO DE SOLO (PREDOMINANTEMENTE ARGILOSO) BRITA - 50%-50%, MISTURA EM PISTA, COM ESPESSURA DE 15 CM - EXCLUSIVE ESCAVAÇÃO, CARGA E TRANSPORTE E SOLO. AF_09/2024</t>
  </si>
  <si>
    <t>139,06</t>
  </si>
  <si>
    <t>105595</t>
  </si>
  <si>
    <t>CONSTRUÇÃO DE BASE E SUB-BASE PARA PAVIMENTAÇÃO DE SOLO (PREDOMINANTEMENTE ARGILOSO) BRITA - 50%-50%, MISTURA EM PISTA, COM ESPESSURA DE 20 CM - EXCLUSIVE ESCAVAÇÃO, CARGA E TRANSPORTE E SOLO. AF_09/2024</t>
  </si>
  <si>
    <t>105596</t>
  </si>
  <si>
    <t>RECONSTRUÇÃO DE BASE E SUB-BASE PARA PAVIMENTAÇÃO DE SOLO (PREDOMINANTEMENTE ARGILOSO) BRITA - 50%-50%, MISTURA EM PISTA, COM ESPESSURA DE 20 CM - EXCLUSIVE ESCAVAÇÃO, CARGA E TRANSPORTE E SOLO. AF_09/2024</t>
  </si>
  <si>
    <t>137,71</t>
  </si>
  <si>
    <t>105623</t>
  </si>
  <si>
    <t>CONSTRUÇÃO DE BASE E SUB-BASE PARA PAVIMENTAÇÃO DE SOLO (PREDOMINANTEMENTE ARENOSO) MELHORADO COM CIMENTO - 4%, MISTURA EM PISTA, COM ESPESSURA DE 10 CM - EXCLUSIVE ESCAVAÇÃO, CARGA E TRANSPORTE E SOLO. AF_09/2024</t>
  </si>
  <si>
    <t>81,69</t>
  </si>
  <si>
    <t>105624</t>
  </si>
  <si>
    <t>CONSTRUÇÃO DE BASE E SUB-BASE PARA PAVIMENTAÇÃO DE SOLO (PREDOMINANTEMENTE ARENOSO) COM CIMENTO - 6%, MISTURA EM PISTA, COM ESPESSURA DE 10 CM - EXCLUSIVE ESCAVAÇÃO, CARGA E TRANSPORTE E SOLO. AF_09/2024</t>
  </si>
  <si>
    <t>110,49</t>
  </si>
  <si>
    <t>105625</t>
  </si>
  <si>
    <t>CONSTRUÇÃO DE BASE E SUB-BASE PARA PAVIMENTAÇÃO DE SOLO (PREDOMINANTEMENTE ARENOSO) COM CIMENTO - 8%, MISTURA EM PISTA, COM ESPESSURA DE 10 CM - EXCLUSIVE ESCAVAÇÃO, CARGA E TRANSPORTE E SOLO. AF_09/2024</t>
  </si>
  <si>
    <t>138,92</t>
  </si>
  <si>
    <t>105626</t>
  </si>
  <si>
    <t>RECONSTRUÇÃO DE BASE E SUB-BASE PARA PAVIMENTAÇÃO DE SOLO (PREDOMINANTEMENTE ARENOSO) COM CIMENTO - 6%, MISTURA EM PISTA, COM ESPESSURA DE 10 CM - EXCLUSIVE ESCAVAÇÃO, CARGA E TRANSPORTE E SOLO. AF_09/2024</t>
  </si>
  <si>
    <t>105627</t>
  </si>
  <si>
    <t>RECONSTRUÇÃO DE BASE E SUB-BASE PARA PAVIMENTAÇÃO DE SOLO (PREDOMINANTEMENTE ARENOSO) COM CIMENTO - 8%, MISTURA EM PISTA, COM ESPESSURA DE 10 CM - EXCLUSIVE ESCAVAÇÃO, CARGA E TRANSPORTE E SOLO. AF_09/2024</t>
  </si>
  <si>
    <t>105628</t>
  </si>
  <si>
    <t>RECONSTRUÇÃO DE BASE E SUB-BASE PARA PAVIMENTAÇÃO DE SOLO (PREDOMINANTEMENTE ARENOSO) MELHORADO COM CIMENTO - 4%, MISTURA EM PISTA, COM ESPESSURA DE 15 CM - EXCLUSIVE ESCAVAÇÃO, CARGA E TRANSPORTE E SOLO. AF_09/2024</t>
  </si>
  <si>
    <t>105629</t>
  </si>
  <si>
    <t>RECONSTRUÇÃO DE BASE E SUB-BASE PARA PAVIMENTAÇÃO DE SOLO (PREDOMINANTEMENTE ARENOSO) COM CIMENTO - 6%, MISTURA EM PISTA, COM ESPESSURA DE 15 CM - EXCLUSIVE ESCAVAÇÃO, CARGA E TRANSPORTE E SOLO. AF_09/2024</t>
  </si>
  <si>
    <t>109,25</t>
  </si>
  <si>
    <t>105630</t>
  </si>
  <si>
    <t>RECONSTRUÇÃO DE BASE E SUB-BASE PARA PAVIMENTAÇÃO DE SOLO (PREDOMINANTEMENTE ARENOSO) COM CIMENTO - 8%, MISTURA EM PISTA, COM ESPESSURA DE 15 CM - EXCLUSIVE ESCAVAÇÃO, CARGA E TRANSPORTE E SOLO. AF_09/2024</t>
  </si>
  <si>
    <t>137,68</t>
  </si>
  <si>
    <t>105631</t>
  </si>
  <si>
    <t>CONSTRUÇÃO DE BASE E SUB-BASE PARA PAVIMENTAÇÃO DE SOLO (PREDOMINANTEMENTE ARENOSO) MELHORADO COM CIMENTO - 4%, MISTURA EM PISTA, COM ESPESSURA DE 20 CM - EXCLUSIVE ESCAVAÇÃO, CARGA E TRANSPORTE E SOLO. AF_09/2024</t>
  </si>
  <si>
    <t>105632</t>
  </si>
  <si>
    <t>CONSTRUÇÃO DE BASE E SUB-BASE PARA PAVIMENTAÇÃO DE SOLO (PREDOMINANTEMENTE ARENOSO) COM CIMENTO - 6%, MISTURA EM PISTA, COM ESPESSURA DE 20 CM - EXCLUSIVE ESCAVAÇÃO, CARGA E TRANSPORTE E SOLO. AF_09/2024</t>
  </si>
  <si>
    <t>103,47</t>
  </si>
  <si>
    <t>105633</t>
  </si>
  <si>
    <t>CONSTRUÇÃO DE BASE E SUB-BASE PARA PAVIMENTAÇÃO DE SOLO (PREDOMINANTEMENTE ARENOSO) COM CIMENTO - 8%, MISTURA EM PISTA, COM ESPESSURA DE 20 CM - EXCLUSIVE ESCAVAÇÃO, CARGA E TRANSPORTE E SOLO. AF_09/2024</t>
  </si>
  <si>
    <t>131,90</t>
  </si>
  <si>
    <t>105634</t>
  </si>
  <si>
    <t>RECONSTRUÇÃO DE BASE E SUB-BASE PARA PAVIMENTAÇÃO DE SOLO (PREDOMINANTEMENTE ARENOSO) MELHORADO COM CIMENTO - 4%, MISTURA EM PISTA, COM ESPESSURA DE 20 CM - EXCLUSIVE ESCAVAÇÃO, CARGA E TRANSPORTE E SOLO. AF_09/2024</t>
  </si>
  <si>
    <t>79,27</t>
  </si>
  <si>
    <t>105635</t>
  </si>
  <si>
    <t>RECONSTRUÇÃO DE BASE E SUB-BASE PARA PAVIMENTAÇÃO DE SOLO (PREDOMINANTEMENTE ARENOSO) COM CIMENTO - 6%, MISTURA EM PISTA, COM ESPESSURA DE 20 CM - EXCLUSIVE ESCAVAÇÃO, CARGA E TRANSPORTE E SOLO. AF_09/2024</t>
  </si>
  <si>
    <t>108,07</t>
  </si>
  <si>
    <t>105636</t>
  </si>
  <si>
    <t>RECONSTRUÇÃO DE BASE E SUB-BASE PARA PAVIMENTAÇÃO DE SOLO (PREDOMINANTEMENTE ARENOSO) COM CIMENTO - 8%, MISTURA EM PISTA, COM ESPESSURA DE 20 CM - EXCLUSIVE ESCAVAÇÃO, CARGA E TRANSPORTE E SOLO. AF_09/2024</t>
  </si>
  <si>
    <t>136,50</t>
  </si>
  <si>
    <t>105657</t>
  </si>
  <si>
    <t>CONSTRUÇÃO DE BASE E SUB-BASE PARA PAVIMENTAÇÃO DE SOLO (PREDOMINANTEMENTE ARENOSO) BRITA - 40%-60% COM CIMENTO - 4%, MISTURA EM PISTA, COM ESPESSURA DE 10 CM - EXCLUSIVE ESCAVAÇÃO, CARGA E TRANSPORTE E SOLO. AF_09/2024</t>
  </si>
  <si>
    <t>204,70</t>
  </si>
  <si>
    <t>105658</t>
  </si>
  <si>
    <t>CONSTRUÇÃO DE BASE E SUB-BASE PARA PAVIMENTAÇÃO DE SOLO (PREDOMINANTEMENTE ARENOSO) BRITA - 40%-60% COM CIMENTO - 6%, MISTURA EM PISTA, COM ESPESSURA DE 10 CM - EXCLUSIVE ESCAVAÇÃO, CARGA E TRANSPORTE E SOLO. AF_09/2024</t>
  </si>
  <si>
    <t>231,20</t>
  </si>
  <si>
    <t>105659</t>
  </si>
  <si>
    <t>CONSTRUÇÃO DE BASE E SUB-BASE PARA PAVIMENTAÇÃO DE SOLO (PREDOMINANTEMENTE ARENOSO) BRITA - 40%-60% COM CIMENTO - 8%, MISTURA EM PISTA, COM ESPESSURA DE 10 CM - EXCLUSIVE ESCAVAÇÃO, CARGA E TRANSPORTE E SOLO. AF_09/2024</t>
  </si>
  <si>
    <t>257,33</t>
  </si>
  <si>
    <t>105660</t>
  </si>
  <si>
    <t>RECONSTRUÇÃO DE BASE E SUB-BASE PARA PAVIMENTAÇÃO DE SOLO (PREDOMINANTEMENTE ARENOSO) BRITA - 40%-60% COM CIMENTO - 4%, MISTURA EM PISTA, COM ESPESSURA DE 10 CM - EXCLUSIVE ESCAVAÇÃO, CARGA E TRANSPORTE E SOLO. AF_09/2024</t>
  </si>
  <si>
    <t>217,37</t>
  </si>
  <si>
    <t>105661</t>
  </si>
  <si>
    <t>RECONSTRUÇÃO DE BASE E SUB-BASE PARA PAVIMENTAÇÃO DE SOLO (PREDOMINANTEMENTE ARENOSO) BRITA - 40%-60% COM CIMENTO - 6%, MISTURA EM PISTA, COM ESPESSURA DE 10 CM - EXCLUSIVE ESCAVAÇÃO, CARGA E TRANSPORTE E SOLO. AF_09/2024</t>
  </si>
  <si>
    <t>105662</t>
  </si>
  <si>
    <t>RECONSTRUÇÃO DE BASE E SUB-BASE PARA PAVIMENTAÇÃO DE SOLO (PREDOMINANTEMENTE ARENOSO) BRITA - 40%-60% COM CIMENTO - 8%, MISTURA EM PISTA, COM ESPESSURA DE 10 CM - EXCLUSIVE ESCAVAÇÃO, CARGA E TRANSPORTE E SOLO. AF_09/2024</t>
  </si>
  <si>
    <t>270,00</t>
  </si>
  <si>
    <t>105663</t>
  </si>
  <si>
    <t>RECONSTRUÇÃO DE BASE E SUB-BASE PARA PAVIMENTAÇÃO DE SOLO (PREDOMINANTEMENTE ARENOSO) BRITA - 40%-60% COM CIMENTO - 4%, MISTURA EM PISTA, COM ESPESSURA DE 15 CM - EXCLUSIVE ESCAVAÇÃO, CARGA E TRANSPORTE E SOLO. AF_09/2024</t>
  </si>
  <si>
    <t>206,82</t>
  </si>
  <si>
    <t>105664</t>
  </si>
  <si>
    <t>RECONSTRUÇÃO DE BASE E SUB-BASE PARA PAVIMENTAÇÃO DE SOLO (PREDOMINANTEMENTE ARENOSO) BRITA - 40%-60% COM CIMENTO - 6%, MISTURA EM PISTA, COM ESPESSURA DE 15 CM - EXCLUSIVE ESCAVAÇÃO, CARGA E TRANSPORTE E SOLO. AF_09/2024</t>
  </si>
  <si>
    <t>233,32</t>
  </si>
  <si>
    <t>105665</t>
  </si>
  <si>
    <t>RECONSTRUÇÃO DE BASE E SUB-BASE PARA PAVIMENTAÇÃO DE SOLO (PREDOMINANTEMENTE ARENOSO) BRITA - 40%-60% COM CIMENTO - 8%, MISTURA EM PISTA, COM ESPESSURA DE 15 CM - EXCLUSIVE ESCAVAÇÃO, CARGA E TRANSPORTE E SOLO. AF_09/2024</t>
  </si>
  <si>
    <t>259,45</t>
  </si>
  <si>
    <t>105666</t>
  </si>
  <si>
    <t>CONSTRUÇÃO DE BASE E SUB-BASE PARA PAVIMENTAÇÃO DE SOLO (PREDOMINANTEMENTE ARENOSO) BRITA - 40%-60% COM CIMENTO - 4%, MISTURA EM PISTA, COM ESPESSURA DE 20 CM - EXCLUSIVE ESCAVAÇÃO, CARGA E TRANSPORTE E SOLO. AF_09/2024</t>
  </si>
  <si>
    <t>105667</t>
  </si>
  <si>
    <t>CONSTRUÇÃO DE BASE E SUB-BASE PARA PAVIMENTAÇÃO DE SOLO (PREDOMINANTEMENTE ARENOSO) BRITA - 40%-60% COM CIMENTO - 6%, MISTURA EM PISTA, COM ESPESSURA DE 20 CM - EXCLUSIVE ESCAVAÇÃO, CARGA E TRANSPORTE E SOLO. AF_09/2024</t>
  </si>
  <si>
    <t>219,89</t>
  </si>
  <si>
    <t>105668</t>
  </si>
  <si>
    <t>CONSTRUÇÃO DE BASE E SUB-BASE PARA PAVIMENTAÇÃO DE SOLO (PREDOMINANTEMENTE ARENOSO) BRITA - 40%-60% COM CIMENTO - 8%, MISTURA EM PISTA, COM ESPESSURA DE 20 CM - EXCLUSIVE ESCAVAÇÃO, CARGA E TRANSPORTE E SOLO. AF_09/2024</t>
  </si>
  <si>
    <t>246,02</t>
  </si>
  <si>
    <t>105669</t>
  </si>
  <si>
    <t>RECONSTRUÇÃO DE BASE E SUB-BASE PARA PAVIMENTAÇÃO DE SOLO (PREDOMINANTEMENTE ARENOSO) BRITA - 40%-60% COM CIMENTO - 4%, MISTURA EM PISTA, COM ESPESSURA DE 20 CM - EXCLUSIVE ESCAVAÇÃO, CARGA E TRANSPORTE E SOLO. AF_09/2024</t>
  </si>
  <si>
    <t>201,53</t>
  </si>
  <si>
    <t>105670</t>
  </si>
  <si>
    <t>RECONSTRUÇÃO DE BASE E SUB-BASE PARA PAVIMENTAÇÃO DE SOLO (PREDOMINANTEMENTE ARENOSO) BRITA - 40%-60% COM CIMENTO - 6%, MISTURA EM PISTA, COM ESPESSURA DE 20 CM - EXCLUSIVE ESCAVAÇÃO, CARGA E TRANSPORTE E SOLO. AF_09/2024</t>
  </si>
  <si>
    <t>228,03</t>
  </si>
  <si>
    <t>105671</t>
  </si>
  <si>
    <t>RECONSTRUÇÃO DE BASE E SUB-BASE PARA PAVIMENTAÇÃO DE SOLO (PREDOMINANTEMENTE ARENOSO) BRITA - 40%-60% COM CIMENTO - 8%, MISTURA EM PISTA, COM ESPESSURA DE 20 CM - EXCLUSIVE ESCAVAÇÃO, CARGA E TRANSPORTE E SOLO. AF_09/2024</t>
  </si>
  <si>
    <t>254,16</t>
  </si>
  <si>
    <t>105690</t>
  </si>
  <si>
    <t>CONSTRUÇÃO DE BASE E SUB-BASE PARA PAVIMENTAÇÃO DE SOLO (PREDOMINANTEMENTE ARENOSO) BRITA - 50%-50% COM CIMENTO - 4%, MISTURA EM PISTA, COM ESPESSURA DE 10 CM - EXCLUSIVE ESCAVAÇÃO, CARGA E TRANSPORTE E SOLO. AF_09/2024</t>
  </si>
  <si>
    <t>186,31</t>
  </si>
  <si>
    <t>105691</t>
  </si>
  <si>
    <t>CONSTRUÇÃO DE BASE E SUB-BASE PARA PAVIMENTAÇÃO DE SOLO (PREDOMINANTEMENTE ARENOSO) BRITA - 50%-50% COM CIMENTO - 6%, MISTURA EM PISTA, COM ESPESSURA DE 10 CM - EXCLUSIVE ESCAVAÇÃO, CARGA E TRANSPORTE E SOLO. AF_09/2024</t>
  </si>
  <si>
    <t>213,19</t>
  </si>
  <si>
    <t>105692</t>
  </si>
  <si>
    <t>CONSTRUÇÃO DE BASE E SUB-BASE PARA PAVIMENTAÇÃO DE SOLO (PREDOMINANTEMENTE ARENOSO) BRITA - 50%-50% COM CIMENTO - 8%, MISTURA EM PISTA, COM ESPESSURA DE 10 CM - EXCLUSIVE ESCAVAÇÃO, CARGA E TRANSPORTE E SOLO. AF_09/2024</t>
  </si>
  <si>
    <t>239,71</t>
  </si>
  <si>
    <t>105693</t>
  </si>
  <si>
    <t>RECONSTRUÇÃO DE BASE E SUB-BASE PARA PAVIMENTAÇÃO DE SOLO (PREDOMINANTEMENTE ARENOSO) BRITA - 50%-50% COM CIMENTO - 4%, MISTURA EM PISTA, COM ESPESSURA DE 10 CM - EXCLUSIVE ESCAVAÇÃO, CARGA E TRANSPORTE E SOLO. AF_09/2024</t>
  </si>
  <si>
    <t>198,98</t>
  </si>
  <si>
    <t>105694</t>
  </si>
  <si>
    <t>RECONSTRUÇÃO DE BASE E SUB-BASE PARA PAVIMENTAÇÃO DE SOLO (PREDOMINANTEMENTE ARENOSO) BRITA - 50%-50% COM CIMENTO - 6%, MISTURA EM PISTA, COM ESPESSURA DE 10 CM - EXCLUSIVE ESCAVAÇÃO, CARGA E TRANSPORTE E SOLO. AF_09/2024</t>
  </si>
  <si>
    <t>225,86</t>
  </si>
  <si>
    <t>105695</t>
  </si>
  <si>
    <t>RECONSTRUÇÃO DE BASE E SUB-BASE PARA PAVIMENTAÇÃO DE SOLO (PREDOMINANTEMENTE ARENOSO) BRITA - 50%-50% COM CIMENTO - 8%, MISTURA EM PISTA, COM ESPESSURA DE 10 CM - EXCLUSIVE ESCAVAÇÃO, CARGA E TRANSPORTE E SOLO. AF_09/2024</t>
  </si>
  <si>
    <t>252,38</t>
  </si>
  <si>
    <t>105696</t>
  </si>
  <si>
    <t>RECONSTRUÇÃO DE BASE E SUB-BASE PARA PAVIMENTAÇÃO DE SOLO (PREDOMINANTEMENTE ARENOSO) BRITA - 50%-50% COM CIMENTO - 4%, MISTURA EM PISTA, COM ESPESSURA DE 15 CM - EXCLUSIVE ESCAVAÇÃO, CARGA E TRANSPORTE E SOLO. AF_09/2024</t>
  </si>
  <si>
    <t>188,43</t>
  </si>
  <si>
    <t>105697</t>
  </si>
  <si>
    <t>RECONSTRUÇÃO DE BASE E SUB-BASE PARA PAVIMENTAÇÃO DE SOLO (PREDOMINANTEMENTE ARENOSO) BRITA - 50%-50% COM CIMENTO - 6%, MISTURA EM PISTA, COM ESPESSURA DE 15 CM - EXCLUSIVE ESCAVAÇÃO, CARGA E TRANSPORTE E SOLO. AF_09/2024</t>
  </si>
  <si>
    <t>105698</t>
  </si>
  <si>
    <t>RECONSTRUÇÃO DE BASE E SUB-BASE PARA PAVIMENTAÇÃO DE SOLO (PREDOMINANTEMENTE ARENOSO) BRITA - 50%-50% COM CIMENTO - 8%, MISTURA EM PISTA, COM ESPESSURA DE 15 CM - EXCLUSIVE ESCAVAÇÃO, CARGA E TRANSPORTE E SOLO. AF_09/2024</t>
  </si>
  <si>
    <t>241,83</t>
  </si>
  <si>
    <t>105699</t>
  </si>
  <si>
    <t>CONSTRUÇÃO DE BASE E SUB-BASE PARA PAVIMENTAÇÃO DE SOLO (PREDOMINANTEMENTE ARENOSO) BRITA - 50%-50% COM CIMENTO - 4%, MISTURA EM PISTA, COM ESPESSURA DE 20 CM - EXCLUSIVE ESCAVAÇÃO, CARGA E TRANSPORTE E SOLO. AF_09/2024</t>
  </si>
  <si>
    <t>105700</t>
  </si>
  <si>
    <t>CONSTRUÇÃO DE BASE E SUB-BASE PARA PAVIMENTAÇÃO DE SOLO (PREDOMINANTEMENTE ARENOSO) BRITA - 50%-50% COM CIMENTO - 6%, MISTURA EM PISTA, COM ESPESSURA DE 20 CM - EXCLUSIVE ESCAVAÇÃO, CARGA E TRANSPORTE E SOLO. AF_09/2024</t>
  </si>
  <si>
    <t>201,88</t>
  </si>
  <si>
    <t>105701</t>
  </si>
  <si>
    <t>CONSTRUÇÃO DE BASE E SUB-BASE PARA PAVIMENTAÇÃO DE SOLO (PREDOMINANTEMENTE ARENOSO) BRITA - 50%-50% COM CIMENTO - 8%, MISTURA EM PISTA, COM ESPESSURA DE 20 CM - EXCLUSIVE ESCAVAÇÃO, CARGA E TRANSPORTE E SOLO. AF_09/2024</t>
  </si>
  <si>
    <t>228,40</t>
  </si>
  <si>
    <t>105702</t>
  </si>
  <si>
    <t>RECONSTRUÇÃO DE BASE E SUB-BASE PARA PAVIMENTAÇÃO DE SOLO (PREDOMINANTEMENTE ARENOSO) BRITA - 50%-50% COM CIMENTO - 4%, MISTURA EM PISTA, COM ESPESSURA DE 20 CM - EXCLUSIVE ESCAVAÇÃO, CARGA E TRANSPORTE E SOLO. AF_09/2024</t>
  </si>
  <si>
    <t>183,14</t>
  </si>
  <si>
    <t>105703</t>
  </si>
  <si>
    <t>RECONSTRUÇÃO DE BASE E SUB-BASE PARA PAVIMENTAÇÃO DE SOLO (PREDOMINANTEMENTE ARENOSO) BRITA - 50%-50% COM CIMENTO - 6%, MISTURA EM PISTA, COM ESPESSURA DE 20 CM - EXCLUSIVE ESCAVAÇÃO, CARGA E TRANSPORTE E SOLO. AF_09/2024</t>
  </si>
  <si>
    <t>210,02</t>
  </si>
  <si>
    <t>105704</t>
  </si>
  <si>
    <t>RECONSTRUÇÃO DE BASE E SUB-BASE PARA PAVIMENTAÇÃO DE SOLO (PREDOMINANTEMENTE ARENOSO) BRITA - 50%-50% COM CIMENTO - 8%, MISTURA EM PISTA, COM ESPESSURA DE 20 CM - EXCLUSIVE ESCAVAÇÃO, CARGA E TRANSPORTE E SOLO. AF_09/2024</t>
  </si>
  <si>
    <t>236,54</t>
  </si>
  <si>
    <t>105710</t>
  </si>
  <si>
    <t>CONSTRUÇÃO DE BASE E SUB-BASE PARA PAVIMENTAÇÃO DE SOLO (PREDOMINANTEMENTE ARENOSO) BRITA - 40%-60%, MISTURA EM PISTA, COM ESPESSURA DE 10 CM - EXCLUSIVE ESCAVAÇÃO, CARGA E TRANSPORTE E SOLO. AF_09/2024</t>
  </si>
  <si>
    <t>147,99</t>
  </si>
  <si>
    <t>105711</t>
  </si>
  <si>
    <t>CONSTRUÇÃO DE BASE E SUB-BASE PARA PAVIMENTAÇÃO DE SOLO (PREDOMINANTEMENTE ARENOSO) BRITA - 40%-60%, MISTURA EM PISTA, COM ESPESSURA DE 20 CM - EXCLUSIVE ESCAVAÇÃO, CARGA E TRANSPORTE E SOLO. AF_09/2024</t>
  </si>
  <si>
    <t>136,68</t>
  </si>
  <si>
    <t>105712</t>
  </si>
  <si>
    <t>RECONSTRUÇÃO DE BASE E SUB-BASE PARA PAVIMENTAÇÃO DE SOLO (PREDOMINANTEMENTE ARENOSO) BRITA - 40%-60%, MISTURA EM PISTA, COM ESPESSURA DE 20 CM - EXCLUSIVE ESCAVAÇÃO, CARGA E TRANSPORTE E SOLO. AF_09/2024</t>
  </si>
  <si>
    <t>144,82</t>
  </si>
  <si>
    <t>105718</t>
  </si>
  <si>
    <t>CONSTRUÇÃO DE BASE E SUB-BASE PARA PAVIMENTAÇÃO DE SOLO (PREDOMINANTEMENTE ARENOSO) BRITA - 50%-50%, MISTURA EM PISTA, COM ESPESSURA DE 10 CM - EXCLUSIVE ESCAVAÇÃO, CARGA E TRANSPORTE E SOLO. AF_09/2024</t>
  </si>
  <si>
    <t>105727</t>
  </si>
  <si>
    <t>CONSTRUÇÃO DE BASE E SUB-BASE PARA PAVIMENTAÇÃO DE BRITA GRADUADA SIMPLES, COM ESPESSURA DE 10 CM - EXCLUSIVE CARGA E TRANSPORTE. AF_09/2024</t>
  </si>
  <si>
    <t>237,03</t>
  </si>
  <si>
    <t>105728</t>
  </si>
  <si>
    <t>RECONSTRUÇÃO DE BASE E SUB-BASE PARA PAVIMENTAÇÃO DE BRITA GRADUADA SIMPLES, COM ESPESSURA DE 10 CM - EXCLUSIVE CARGA E TRANSPORTE. AF_09/2024</t>
  </si>
  <si>
    <t>243,75</t>
  </si>
  <si>
    <t>105729</t>
  </si>
  <si>
    <t>RECONSTRUÇÃO DE BASE E SUB-BASE PARA PAVIMENTAÇÃO DE BRITA GRADUADA SIMPLES, COM ESPESSURA DE 15 CM - EXCLUSIVE CARGA E TRANSPORTE. AF_09/2024</t>
  </si>
  <si>
    <t>238,81</t>
  </si>
  <si>
    <t>105730</t>
  </si>
  <si>
    <t>CONSTRUÇÃO DE BASE E SUB-BASE PARA PAVIMENTAÇÃO DE BRITA GRADUADA SIMPLES, COM ESPESSURA DE 20 CM - EXCLUSIVE CARGA E TRANSPORTE. AF_09/2024</t>
  </si>
  <si>
    <t>231,61</t>
  </si>
  <si>
    <t>105731</t>
  </si>
  <si>
    <t>RECONSTRUÇÃO DE BASE E SUB-BASE PARA PAVIMENTAÇÃO DE BRITA GRADUADA SIMPLES, COM ESPESSURA DE 20 CM - EXCLUSIVE CARGA E TRANSPORTE. AF_09/2024</t>
  </si>
  <si>
    <t>236,30</t>
  </si>
  <si>
    <t>105732</t>
  </si>
  <si>
    <t>CONSTRUÇÃO DE BASE E SUB-BASE PARA PAVIMENTAÇÃO DE BRITA GRADUADA SIMPLES TRATADA COM CIMENTO, COM ESPESSURA DE 10 CM - EXCLUSIVE CARGA E TRANSPORTE. AF_09/2024</t>
  </si>
  <si>
    <t>293,83</t>
  </si>
  <si>
    <t>105733</t>
  </si>
  <si>
    <t>RECONSTRUÇÃO DE BASE E SUB-BASE PARA PAVIMENTAÇÃO DE BRITA GRADUADA SIMPLES TRATADA COM CIMENTO, COM ESPESSURA DE 10 CM - EXCLUSIVE CARGA E TRANSPORTE. AF_09/2024</t>
  </si>
  <si>
    <t>301,87</t>
  </si>
  <si>
    <t>105734</t>
  </si>
  <si>
    <t>RECONSTRUÇÃO DE BASE E SUB-BASE PARA PAVIMENTAÇÃO DE BRITA GRADUADA SIMPLES TRATADA COM CIMENTO, COM ESPESSURA DE 15 CM - EXCLUSIVE CARGA E TRANSPORTE. AF_09/2024</t>
  </si>
  <si>
    <t>295,42</t>
  </si>
  <si>
    <t>105735</t>
  </si>
  <si>
    <t>CONSTRUÇÃO DE BASE E SUB-BASE PARA PAVIMENTAÇÃO DE BRITA GRADUADA SIMPLES TRATADA COM CIMENTO, COM ESPESSURA DE 20 CM - EXCLUSIVE CARGA E TRANSPORTE. AF_09/2024</t>
  </si>
  <si>
    <t>286,77</t>
  </si>
  <si>
    <t>105736</t>
  </si>
  <si>
    <t>RECONSTRUÇÃO DE BASE E SUB-BASE PARA PAVIMENTAÇÃO DE BRITA GRADUADA SIMPLES TRATADA COM CIMENTO, COM ESPESSURA DE 20 CM - EXCLUSIVE CARGA E TRANSPORTE. AF_09/2024</t>
  </si>
  <si>
    <t>292,14</t>
  </si>
  <si>
    <t>105737</t>
  </si>
  <si>
    <t>CONSTRUÇÃO DE BASE E SUB-BASE PARA PAVIMENTAÇÃO DE CONCRETO COMPACTADO COM ROLO, COM ESPESSURA DE 10 CM - EXCLUSIVE CARGA E TRANSPORTE. AF_09/2024</t>
  </si>
  <si>
    <t>367,29</t>
  </si>
  <si>
    <t>105738</t>
  </si>
  <si>
    <t>RECONSTRUÇÃO DE BASE E SUB-BASE PARA PAVIMENTAÇÃO DE CONCRETO COMPACTADO COM ROLO, COM ESPESSURA DE 10 CM - EXCLUSIVE CARGA E TRANSPORTE. AF_09/2024</t>
  </si>
  <si>
    <t>105739</t>
  </si>
  <si>
    <t>RECONSTRUÇÃO DE BASE E SUB-BASE PARA PAVIMENTAÇÃO DE CONCRETO COMPACTADO COM ROLO, COM ESPESSURA DE 15 CM - EXCLUSIVE CARGA E TRANSPORTE. AF_09/2024</t>
  </si>
  <si>
    <t>369,16</t>
  </si>
  <si>
    <t>105740</t>
  </si>
  <si>
    <t>CONSTRUÇÃO DE BASE E SUB-BASE PARA PAVIMENTAÇÃO DE CONCRETO COMPACTADO COM ROLO, COM ESPESSURA DE 20 CM - EXCLUSIVE CARGA E TRANSPORTE. AF_09/2024</t>
  </si>
  <si>
    <t>361,92</t>
  </si>
  <si>
    <t>105741</t>
  </si>
  <si>
    <t>RECONSTRUÇÃO DE BASE E SUB-BASE PARA PAVIMENTAÇÃO DE CONCRETO COMPACTADO COM ROLO, COM ESPESSURA DE 20 CM - EXCLUSIVE CARGA E TRANSPORTE. AF_09/2024</t>
  </si>
  <si>
    <t>366,61</t>
  </si>
  <si>
    <t>105742</t>
  </si>
  <si>
    <t>CONSTRUÇÃO DE BASE E SUB-BASE PARA PAVIMENTAÇÃO DE RACHÃO, COM ESPESSURA DE 30 CM - EXCLUSIVE CARGA E TRANSPORTE. AF_09/2024</t>
  </si>
  <si>
    <t>163,38</t>
  </si>
  <si>
    <t>105743</t>
  </si>
  <si>
    <t>RECONSTRUÇÃO DE BASE E SUB-BASE PARA PAVIMENTAÇÃO DE RACHÃO, COM ESPESSURA DE 30 CM - EXCLUSIVE CARGA E TRANSPORTE. AF_09/2024</t>
  </si>
  <si>
    <t>170,77</t>
  </si>
  <si>
    <t>105744</t>
  </si>
  <si>
    <t>RECONSTRUÇÃO DE BASE E SUB-BASE PARA PAVIMENTAÇÃO DE RACHÃO, COM ESPESSURA DE 40 CM - EXCLUSIVE CARGA E TRANSPORTE. AF_09/2024</t>
  </si>
  <si>
    <t>105745</t>
  </si>
  <si>
    <t>CONSTRUÇÃO DE BASE E SUB-BASE PARA PAVIMENTAÇÃO DE RACHÃO, COM ESPESSURA DE 50 CM - EXCLUSIVE CARGA E TRANSPORTE. AF_09/2024</t>
  </si>
  <si>
    <t>159,98</t>
  </si>
  <si>
    <t>105746</t>
  </si>
  <si>
    <t>RECONSTRUÇÃO DE BASE E SUB-BASE PARA PAVIMENTAÇÃO DE RACHÃO, COM ESPESSURA DE 50 CM - EXCLUSIVE CARGA E TRANSPORTE. AF_09/2024</t>
  </si>
  <si>
    <t>166,00</t>
  </si>
  <si>
    <t>105747</t>
  </si>
  <si>
    <t>CONSTRUÇÃO DE BASE E SUB-BASE PARA PAVIMENTAÇÃO DE RACHÃO, COM ESPESSURA DE 60 CM - EXCLUSIVE CARGA E TRANSPORTE. AF_09/2024</t>
  </si>
  <si>
    <t>158,25</t>
  </si>
  <si>
    <t>105748</t>
  </si>
  <si>
    <t>RECONSTRUÇÃO DE BASE E SUB-BASE PARA PAVIMENTAÇÃO DE RACHÃO, COM ESPESSURA DE 60 CM - EXCLUSIVE CARGA E TRANSPORTE. AF_09/2024</t>
  </si>
  <si>
    <t>163,60</t>
  </si>
  <si>
    <t>105749</t>
  </si>
  <si>
    <t>CONSTRUÇÃO DE BASE E SUB-BASE PARA PAVIMENTAÇÃO DE MACADAME SECO, COM ESPESSURA DE 10 CM - EXCLUSIVE CARGA E TRANSPORTE. AF_09/2024</t>
  </si>
  <si>
    <t>213,34</t>
  </si>
  <si>
    <t>105750</t>
  </si>
  <si>
    <t>RECONSTRUÇÃO DE BASE E SUB-BASE PARA PAVIMENTAÇÃO DE MACADAME SECO, COM ESPESSURA DE 10 CM - EXCLUSIVE CARGA E TRANSPORTE. AF_09/2024</t>
  </si>
  <si>
    <t>224,29</t>
  </si>
  <si>
    <t>105751</t>
  </si>
  <si>
    <t>RECONSTRUÇÃO DE BASE E SUB-BASE PARA PAVIMENTAÇÃO DE MACADAME SECO, COM ESPESSURA DE 15 CM - EXCLUSIVE CARGA E TRANSPORTE. AF_09/2024</t>
  </si>
  <si>
    <t>221,76</t>
  </si>
  <si>
    <t>105752</t>
  </si>
  <si>
    <t>CONSTRUÇÃO DE BASE E SUB-BASE PARA PAVIMENTAÇÃO DE MACADAME SECO, COM ESPESSURA DE 20 CM - EXCLUSIVE CARGA E TRANSPORTE. AF_09/2024</t>
  </si>
  <si>
    <t>209,71</t>
  </si>
  <si>
    <t>105753</t>
  </si>
  <si>
    <t>RECONSTRUÇÃO DE BASE E SUB-BASE PARA PAVIMENTAÇÃO DE MACADAME SECO, COM ESPESSURA DE 20 CM - EXCLUSIVE CARGA E TRANSPORTE. AF_09/2024</t>
  </si>
  <si>
    <t>219,47</t>
  </si>
  <si>
    <t>105754</t>
  </si>
  <si>
    <t>CONSTRUÇÃO DE BASE E SUB-BASE PARA PAVIMENTAÇÃO DE MACADAME SECO, COM ESPESSURA DE 25 CM - EXCLUSIVE CARGA E TRANSPORTE. AF_09/2024</t>
  </si>
  <si>
    <t>208,09</t>
  </si>
  <si>
    <t>105755</t>
  </si>
  <si>
    <t>RECONSTRUÇÃO DE BASE E SUB-BASE PARA PAVIMENTAÇÃO DE MACADAME SECO, COM ESPESSURA DE 25 CM - EXCLUSIVE CARGA E TRANSPORTE. AF_09/2024</t>
  </si>
  <si>
    <t>157,19</t>
  </si>
  <si>
    <t>74,03</t>
  </si>
  <si>
    <t>92,44</t>
  </si>
  <si>
    <t>89,05</t>
  </si>
  <si>
    <t>114,65</t>
  </si>
  <si>
    <t>86,79</t>
  </si>
  <si>
    <t>94,86</t>
  </si>
  <si>
    <t>114,06</t>
  </si>
  <si>
    <t>99,04</t>
  </si>
  <si>
    <t>87,84</t>
  </si>
  <si>
    <t>171,81</t>
  </si>
  <si>
    <t>191,24</t>
  </si>
  <si>
    <t>218,23</t>
  </si>
  <si>
    <t>249,68</t>
  </si>
  <si>
    <t>276,26</t>
  </si>
  <si>
    <t>270,98</t>
  </si>
  <si>
    <t>242,53</t>
  </si>
  <si>
    <t>2,02</t>
  </si>
  <si>
    <t>208,83</t>
  </si>
  <si>
    <t>222,04</t>
  </si>
  <si>
    <t>147,15</t>
  </si>
  <si>
    <t>155,44</t>
  </si>
  <si>
    <t>185,72</t>
  </si>
  <si>
    <t>164,77</t>
  </si>
  <si>
    <t>185,39</t>
  </si>
  <si>
    <t>211,66</t>
  </si>
  <si>
    <t>242,37</t>
  </si>
  <si>
    <t>268,22</t>
  </si>
  <si>
    <t>135,28</t>
  </si>
  <si>
    <t>158,56</t>
  </si>
  <si>
    <t>172,61</t>
  </si>
  <si>
    <t>199,59</t>
  </si>
  <si>
    <t>242,41</t>
  </si>
  <si>
    <t>81,56</t>
  </si>
  <si>
    <t>463,72</t>
  </si>
  <si>
    <t>105,57</t>
  </si>
  <si>
    <t>136,97</t>
  </si>
  <si>
    <t>1.892,49</t>
  </si>
  <si>
    <t>1.639,17</t>
  </si>
  <si>
    <t>218,73</t>
  </si>
  <si>
    <t>272,30</t>
  </si>
  <si>
    <t>349,08</t>
  </si>
  <si>
    <t>37,68</t>
  </si>
  <si>
    <t>10,49</t>
  </si>
  <si>
    <t>27,85</t>
  </si>
  <si>
    <t>60,82</t>
  </si>
  <si>
    <t>13,55</t>
  </si>
  <si>
    <t>65,92</t>
  </si>
  <si>
    <t>9,26</t>
  </si>
  <si>
    <t>22,12</t>
  </si>
  <si>
    <t>22,74</t>
  </si>
  <si>
    <t>33,19</t>
  </si>
  <si>
    <t>26,99</t>
  </si>
  <si>
    <t>30,41</t>
  </si>
  <si>
    <t>25,59</t>
  </si>
  <si>
    <t>25,12</t>
  </si>
  <si>
    <t>26,82</t>
  </si>
  <si>
    <t>50,24</t>
  </si>
  <si>
    <t>33,13</t>
  </si>
  <si>
    <t>55,40</t>
  </si>
  <si>
    <t>53,43</t>
  </si>
  <si>
    <t>53,66</t>
  </si>
  <si>
    <t>66,56</t>
  </si>
  <si>
    <t>4,73</t>
  </si>
  <si>
    <t>37,72</t>
  </si>
  <si>
    <t>51,21</t>
  </si>
  <si>
    <t>53,64</t>
  </si>
  <si>
    <t>198,12</t>
  </si>
  <si>
    <t>297,89</t>
  </si>
  <si>
    <t>205,74</t>
  </si>
  <si>
    <t>67,67</t>
  </si>
  <si>
    <t>56,46</t>
  </si>
  <si>
    <t>66,02</t>
  </si>
  <si>
    <t>55,70</t>
  </si>
  <si>
    <t>124,97</t>
  </si>
  <si>
    <t>111,74</t>
  </si>
  <si>
    <t>101,02</t>
  </si>
  <si>
    <t>81,81</t>
  </si>
  <si>
    <t>68,20</t>
  </si>
  <si>
    <t>129,02</t>
  </si>
  <si>
    <t>114,20</t>
  </si>
  <si>
    <t>60,23</t>
  </si>
  <si>
    <t>96,72</t>
  </si>
  <si>
    <t>64,70</t>
  </si>
  <si>
    <t>50,87</t>
  </si>
  <si>
    <t>279,07</t>
  </si>
  <si>
    <t>291,56</t>
  </si>
  <si>
    <t>365,23</t>
  </si>
  <si>
    <t>37,15</t>
  </si>
  <si>
    <t>46,23</t>
  </si>
  <si>
    <t>34,41</t>
  </si>
  <si>
    <t>43,48</t>
  </si>
  <si>
    <t>52,10</t>
  </si>
  <si>
    <t>76,49</t>
  </si>
  <si>
    <t>166,91</t>
  </si>
  <si>
    <t>315,93</t>
  </si>
  <si>
    <t>212,93</t>
  </si>
  <si>
    <t>349,24</t>
  </si>
  <si>
    <t>160,32</t>
  </si>
  <si>
    <t>226,34</t>
  </si>
  <si>
    <t>336,32</t>
  </si>
  <si>
    <t>344,30</t>
  </si>
  <si>
    <t>101,41</t>
  </si>
  <si>
    <t>117,19</t>
  </si>
  <si>
    <t>90,18</t>
  </si>
  <si>
    <t>291,46</t>
  </si>
  <si>
    <t>303,95</t>
  </si>
  <si>
    <t>60,22</t>
  </si>
  <si>
    <t>773,91</t>
  </si>
  <si>
    <t>843,73</t>
  </si>
  <si>
    <t>80,50</t>
  </si>
  <si>
    <t>84,69</t>
  </si>
  <si>
    <t>96,39</t>
  </si>
  <si>
    <t>101,97</t>
  </si>
  <si>
    <t>863,94</t>
  </si>
  <si>
    <t>167,46</t>
  </si>
  <si>
    <t>29,79</t>
  </si>
  <si>
    <t>69,12</t>
  </si>
  <si>
    <t>75,84</t>
  </si>
  <si>
    <t>42,59</t>
  </si>
  <si>
    <t>92,71</t>
  </si>
  <si>
    <t>44,81</t>
  </si>
  <si>
    <t>112,03</t>
  </si>
  <si>
    <t>123,53</t>
  </si>
  <si>
    <t>108,11</t>
  </si>
  <si>
    <t>119,61</t>
  </si>
  <si>
    <t>123,85</t>
  </si>
  <si>
    <t>137,02</t>
  </si>
  <si>
    <t>50,54</t>
  </si>
  <si>
    <t>148,72</t>
  </si>
  <si>
    <t>46,68</t>
  </si>
  <si>
    <t>82,73</t>
  </si>
  <si>
    <t>51,66</t>
  </si>
  <si>
    <t>106,33</t>
  </si>
  <si>
    <t>115,68</t>
  </si>
  <si>
    <t>54,84</t>
  </si>
  <si>
    <t>57,11</t>
  </si>
  <si>
    <t>62,70</t>
  </si>
  <si>
    <t>124,33</t>
  </si>
  <si>
    <t>44,80</t>
  </si>
  <si>
    <t>24,54</t>
  </si>
  <si>
    <t>42,21</t>
  </si>
  <si>
    <t>79,11</t>
  </si>
  <si>
    <t>156,11</t>
  </si>
  <si>
    <t>169,28</t>
  </si>
  <si>
    <t>84,26</t>
  </si>
  <si>
    <t>168,10</t>
  </si>
  <si>
    <t>182,44</t>
  </si>
  <si>
    <t>101,69</t>
  </si>
  <si>
    <t>190,07</t>
  </si>
  <si>
    <t>206,56</t>
  </si>
  <si>
    <t>55,94</t>
  </si>
  <si>
    <t>5,01</t>
  </si>
  <si>
    <t>4,56</t>
  </si>
  <si>
    <t>15,75</t>
  </si>
  <si>
    <t>5,15</t>
  </si>
  <si>
    <t>32,56</t>
  </si>
  <si>
    <t>42,95</t>
  </si>
  <si>
    <t>26,94</t>
  </si>
  <si>
    <t>41,01</t>
  </si>
  <si>
    <t>41,11</t>
  </si>
  <si>
    <t>39,72</t>
  </si>
  <si>
    <t>36,86</t>
  </si>
  <si>
    <t>32,98</t>
  </si>
  <si>
    <t>25,95</t>
  </si>
  <si>
    <t>87,59</t>
  </si>
  <si>
    <t>74,22</t>
  </si>
  <si>
    <t>80,28</t>
  </si>
  <si>
    <t>86,38</t>
  </si>
  <si>
    <t>95,18</t>
  </si>
  <si>
    <t>145,54</t>
  </si>
  <si>
    <t>41,98</t>
  </si>
  <si>
    <t>71,03</t>
  </si>
  <si>
    <t>96,84</t>
  </si>
  <si>
    <t>63,83</t>
  </si>
  <si>
    <t>69,53</t>
  </si>
  <si>
    <t>113,11</t>
  </si>
  <si>
    <t>75,96</t>
  </si>
  <si>
    <t>120,47</t>
  </si>
  <si>
    <t>86,96</t>
  </si>
  <si>
    <t>108,56</t>
  </si>
  <si>
    <t>104,31</t>
  </si>
  <si>
    <t>134,42</t>
  </si>
  <si>
    <t>105,43</t>
  </si>
  <si>
    <t>150,69</t>
  </si>
  <si>
    <t>137,84</t>
  </si>
  <si>
    <t>144,11</t>
  </si>
  <si>
    <t>175,24</t>
  </si>
  <si>
    <t>77,45</t>
  </si>
  <si>
    <t>93,34</t>
  </si>
  <si>
    <t>138,43</t>
  </si>
  <si>
    <t>182,95</t>
  </si>
  <si>
    <t>132,35</t>
  </si>
  <si>
    <t>176,42</t>
  </si>
  <si>
    <t>126,07</t>
  </si>
  <si>
    <t>198,59</t>
  </si>
  <si>
    <t>147,98</t>
  </si>
  <si>
    <t>191,57</t>
  </si>
  <si>
    <t>141,23</t>
  </si>
  <si>
    <t>45,16</t>
  </si>
  <si>
    <t>79,46</t>
  </si>
  <si>
    <t>95,26</t>
  </si>
  <si>
    <t>62,46</t>
  </si>
  <si>
    <t>68,81</t>
  </si>
  <si>
    <t>71,07</t>
  </si>
  <si>
    <t>113,02</t>
  </si>
  <si>
    <t>135,30</t>
  </si>
  <si>
    <t>82,56</t>
  </si>
  <si>
    <t>99,65</t>
  </si>
  <si>
    <t>53,39</t>
  </si>
  <si>
    <t>57,07</t>
  </si>
  <si>
    <t>109,59</t>
  </si>
  <si>
    <t>80,87</t>
  </si>
  <si>
    <t>127,00</t>
  </si>
  <si>
    <t>88,36</t>
  </si>
  <si>
    <t>95,08</t>
  </si>
  <si>
    <t>140,04</t>
  </si>
  <si>
    <t>88,85</t>
  </si>
  <si>
    <t>68,67</t>
  </si>
  <si>
    <t>54,43</t>
  </si>
  <si>
    <t>93,42</t>
  </si>
  <si>
    <t>109,69</t>
  </si>
  <si>
    <t>64,83</t>
  </si>
  <si>
    <t>71,83</t>
  </si>
  <si>
    <t>117,17</t>
  </si>
  <si>
    <t>67,23</t>
  </si>
  <si>
    <t>75,86</t>
  </si>
  <si>
    <t>79,25</t>
  </si>
  <si>
    <t>101,61</t>
  </si>
  <si>
    <t>81,06</t>
  </si>
  <si>
    <t>90,84</t>
  </si>
  <si>
    <t>95,38</t>
  </si>
  <si>
    <t>126,37</t>
  </si>
  <si>
    <t>97,31</t>
  </si>
  <si>
    <t>96,50</t>
  </si>
  <si>
    <t>102,20</t>
  </si>
  <si>
    <t>142,64</t>
  </si>
  <si>
    <t>103,65</t>
  </si>
  <si>
    <t>131,94</t>
  </si>
  <si>
    <t>165,33</t>
  </si>
  <si>
    <t>28,34</t>
  </si>
  <si>
    <t>38,35</t>
  </si>
  <si>
    <t>24,76</t>
  </si>
  <si>
    <t>50,51</t>
  </si>
  <si>
    <t>58,75</t>
  </si>
  <si>
    <t>37,58</t>
  </si>
  <si>
    <t>61,14</t>
  </si>
  <si>
    <t>40,04</t>
  </si>
  <si>
    <t>54,09</t>
  </si>
  <si>
    <t>52,31</t>
  </si>
  <si>
    <t>43,85</t>
  </si>
  <si>
    <t>36,32</t>
  </si>
  <si>
    <t>30,84</t>
  </si>
  <si>
    <t>39,03</t>
  </si>
  <si>
    <t>195,40</t>
  </si>
  <si>
    <t>189,15</t>
  </si>
  <si>
    <t>245,59</t>
  </si>
  <si>
    <t>293,88</t>
  </si>
  <si>
    <t>60,64</t>
  </si>
  <si>
    <t>64,91</t>
  </si>
  <si>
    <t>69,88</t>
  </si>
  <si>
    <t>317,72</t>
  </si>
  <si>
    <t>380,83</t>
  </si>
  <si>
    <t>104588</t>
  </si>
  <si>
    <t>REVESTIMENTO CERÂMICO PARA PAREDES EXTERNAS, COM PLACAS TIPO GRÊS OU SEMIGRÊS, FORMATO MENOR OU IGUAL A 200 CM2, ALINHADAS A PRUMO. AF_02/2023</t>
  </si>
  <si>
    <t>104589</t>
  </si>
  <si>
    <t>REVESTIMENTO CERÂMICO PARA PAREDES EXTERNAS, COM PLACAS TIPO GRÊS OU SEMIGRÊS, FORMATO MENOR OU IGUAL A 200 CM2, ALINHADAS A PRUMO, APLICADO  EM SUPERFÍCIES INTERNAS DE SACADA. AF_02/2023</t>
  </si>
  <si>
    <t>244,77</t>
  </si>
  <si>
    <t>104590</t>
  </si>
  <si>
    <t>REVESTIMENTO CERÂMICO PARA PAREDES EXTERNAS, COM PLACAS TIPO GRÊS OU SEMIGRÊS, FORMATO MENOR OU IGUAL A 200 CM2, DISPOSTAS EM AMARRAÇÃO. AF_02/2023</t>
  </si>
  <si>
    <t>227,35</t>
  </si>
  <si>
    <t>104591</t>
  </si>
  <si>
    <t>REVESTIMENTO CERÂMICO PARA PAREDES EXTERNAS, COM PLACAS TIPO GRÊS OU SEMIGRÊS, FORMATO MENOR OU IGUAL A 200 CM2, DISPOSTAS EM AMARRAÇÃO, APLICADO  EM SUPERFÍCIES INTERNAS DE SACADA. AF_02/2023</t>
  </si>
  <si>
    <t>269,63</t>
  </si>
  <si>
    <t>85,95</t>
  </si>
  <si>
    <t>66,03</t>
  </si>
  <si>
    <t>243,17</t>
  </si>
  <si>
    <t>317,97</t>
  </si>
  <si>
    <t>329,46</t>
  </si>
  <si>
    <t>83,66</t>
  </si>
  <si>
    <t>87,51</t>
  </si>
  <si>
    <t>162,64</t>
  </si>
  <si>
    <t>49,55</t>
  </si>
  <si>
    <t>74,11</t>
  </si>
  <si>
    <t>44,74</t>
  </si>
  <si>
    <t>2,90</t>
  </si>
  <si>
    <t>61,31</t>
  </si>
  <si>
    <t>61,46</t>
  </si>
  <si>
    <t>12,99</t>
  </si>
  <si>
    <t>ESTUCAMENTO DE DENSIDADE BAIXA DE PANOS DE FACHADA DO SISTEMA DE PAREDES DE CONCRETO EM EDIFICAÇÕES DE MÚLTIPLOS PAVIMENTOS, PAVIMENTOS SUPERIORES, UTILIZAÇÃO DE ARGAMASSA COLANTE. AF_12/2024</t>
  </si>
  <si>
    <t>ESTUCAMENTO DE DENSIDADE BAIXA DE PANOS DE FACHADA DO SISTEMA DE PAREDES DE CONCRETO EM UNIDADES HABITACIONAIS DE PAVIMENTO ÚNICO, UTILIZAÇÃO DE ARGAMASSA COLANTE. AF_12/2024</t>
  </si>
  <si>
    <t>ESTUCAMENTO DE DENSIDADE BAIXA NAS FACES INTERNAS DE PAREDES DO SISTEMA DE PAREDES DE CONCRETO, EM AMBIENTES COM ÁREA ENTRE 5 M² E 10 M², UTILIZAÇÃO DE ARGAMASSA COLANTE. AF_12/2024</t>
  </si>
  <si>
    <t>ESTUCAMENTO PARA QUALQUER REVESTIMENTO, EM TETO DO SISTEMA DE PAREDES DE CONCRETO, EM AMBIENTES COM ÁREA ENTRE 5 M² E 10 M², UTILIZAÇÃO DE ARGAMASSA COLANTE. AF_12/2024</t>
  </si>
  <si>
    <t>ESTUCAMENTO DE DENSIDADE ALTA NAS FACES INTERNAS DE PAREDES DO SISTEMA DE PAREDES DE CONCRETO, EM AMBIENTES COM ÁREA ENTRE 5 M² E 10 M², UTILIZAÇÃO DE ARGAMASSA COLANTE. AF_12/2024</t>
  </si>
  <si>
    <t>ESTUCAMENTO PARA QUALQUER REVESTIMENTO, EM TETO DO SISTEMA DE PAREDES DE CONCRETO, EM AMBIENTES COM ÁREA MAIOR OU IGUAL A 10 M², UTILIZAÇÃO DE ARGAMASSA COLANTE. AF_12/2024</t>
  </si>
  <si>
    <t>ESTUCAMENTO PARA QUALQUER REVESTIMENTO, EM TETO DO SISTEMA DE PAREDES DE CONCRETO, EM AMBIENTES COM ÁREA MENOR OU IGUAL A 5 M², UTILIZAÇÃO DE ARGAMASSA COLANTE. AF_12/2024</t>
  </si>
  <si>
    <t>ESTUCAMENTO DE DENSIDADE ALTA NAS FACES INTERNAS DE PAREDES DO SISTEMA DE PAREDES DE CONCRETO, EM AMBIENTES COM ÁREA MAIOR OU IGUAL A 10 M², UTILIZAÇÃO DE ARGAMASSA COLANTE. AF_12/2024</t>
  </si>
  <si>
    <t>ESTUCAMENTO DE DENSIDADE ALTA NAS FACES INTERNAS DE PAREDES DO SISTEMA DE PAREDES DE CONCRETO, EM AMBIENTES COM ÁREA MENOR OU IGUAL A 5 M², UTILIZAÇÃO DE ARGAMASSA COLANTE. AF_12/2024</t>
  </si>
  <si>
    <t>ESTUCAMENTO DE DENSIDADE BAIXA NAS FACES INTERNAS DE PAREDES DO SISTEMA DE PAREDES DE CONCRETO, EM AMBIENTES COM ÁREA MAIOR OU IGUAL A 10 M², UTILIZAÇÃO DE ARGAMASSA COLANTE. AF_12/2024</t>
  </si>
  <si>
    <t>1,84</t>
  </si>
  <si>
    <t>ESTUCAMENTO DE DENSIDADE BAIXA NAS FACES INTERNAS DE PAREDES DO SISTEMA DE PAREDES DE CONCRETO, EM AMBIENTES COM ÁREA MENOR OU IGUAL A 5 M², UTILIZAÇÃO DE ARGAMASSA COLANTE. AF_12/2024</t>
  </si>
  <si>
    <t>ESTUCAMENTO DE DENSIDADE BAIXA DE PANOS DE FACHADA DO SISTEMA DE PAREDES DE CONCRETO EM EDIFICAÇÕES DE MÚLTIPLOS PAVIMENTOS, PAVIMENTO TÉRREO, UTILIZAÇÃO DE ARGAMASSA COLANTE. AF_12/2024</t>
  </si>
  <si>
    <t>ESTUCAMENTO DE DENSIDADE BAIXA DE PANOS DE FACHADA DO SISTEMA DE PAREDES DE CONCRETO EM UNIDADES HABITACIONAIS DE DOIS PAVIMENTOS (SOBRADO), ACESSO COM ANDAIME FACHADEIRO, UTILIZAÇÃO DE ARGAMASSA COLANTE. AF_12/2024</t>
  </si>
  <si>
    <t>ESTUCAMENTO DE DENSIDADE ALTA DE PANOS DE FACHADA DO SISTEMA DE PAREDES DE CONCRETO EM EDIFICAÇÕES DE MÚLTIPLOS PAVIMENTOS, PAVIMENTOS SUPERIORES, UTILIZAÇÃO DE ARGAMASSA COLANTE. AF_12/2024</t>
  </si>
  <si>
    <t>ESTUCAMENTO DE DENSIDADE ALTA DE PANOS DE FACHADA DO SISTEMA DE PAREDES DE CONCRETO EM EDIFICAÇÕES DE MÚLTIPLOS PAVIMENTOS, PAVIMENTO TÉRREO, UTILIZAÇÃO DE ARGAMASSA COLANTE. AF_12/2024</t>
  </si>
  <si>
    <t>ESTUCAMENTO DE DENSIDADE ALTA DE PANOS DE FACHADA DO SISTEMA DE PAREDES DE CONCRETO EM UNIDADES HABITACIONAIS DE DOIS PAVIMENTOS (SOBRADO), ACESSO COM ANDAIME FACHADEIRO, UTILIZAÇÃO DE ARGAMASSA COLANTE. AF_12/2024</t>
  </si>
  <si>
    <t>ESTUCAMENTO DE DENSIDADE ALTA DE PANOS DE FACHADA DO SISTEMA DE PAREDES DE CONCRETO EM UNIDADES HABITACIONAIS DE PAVIMENTO ÚNICO, UTILIZAÇÃO DE ARGAMASSA COLANTE. AF_12/2024</t>
  </si>
  <si>
    <t>8,64</t>
  </si>
  <si>
    <t>105816</t>
  </si>
  <si>
    <t>ESTUCAMENTO DE DENSIDADE ALTA NAS FACES INTERNAS DE PAREDES DO SISTEMA DE PAREDES DE CONCRETO, EM AMBIENTES COM ÁREA MAIOR OU IGUAL A 10 M², UTILIZAÇÃO DE ARGAMASSA POLIMÉRICA. AF_12/2024</t>
  </si>
  <si>
    <t>105817</t>
  </si>
  <si>
    <t>ESTUCAMENTO DE DENSIDADE ALTA NAS FACES INTERNAS DE PAREDES DO SISTEMA DE PAREDES DE CONCRETO, EM AMBIENTES COM ÁREA MAIOR OU IGUAL A 10 M², UTILIZAÇÃO DE ARGAMASSA TRAÇO 1:1:6 (CIM:CAL:AREIA). AF_12/2024</t>
  </si>
  <si>
    <t>105818</t>
  </si>
  <si>
    <t>ESTUCAMENTO DE DENSIDADE ALTA NAS FACES INTERNAS DE PAREDES DO SISTEMA DE PAREDES DE CONCRETO, EM AMBIENTES COM ÁREA ENTRE 5 M² E 10 M², UTILIZAÇÃO DE ARGAMASSA POLIMÉRICA. AF_12/2024</t>
  </si>
  <si>
    <t>105819</t>
  </si>
  <si>
    <t>ESTUCAMENTO DE DENSIDADE ALTA NAS FACES INTERNAS DE PAREDES DO SISTEMA DE PAREDES DE CONCRETO, EM AMBIENTES COM ÁREA ENTRE 5 M² E 10 M², UTILIZAÇÃO DE ARGAMASSA TRAÇO 1:1:6 (CIM:CAL:AREIA). AF_12/2024</t>
  </si>
  <si>
    <t>105820</t>
  </si>
  <si>
    <t>ESTUCAMENTO DE DENSIDADE ALTA NAS FACES INTERNAS DE PAREDES DO SISTEMA DE PAREDES DE CONCRETO, EM AMBIENTES COM ÁREA MENOR OU IGUAL A 5 M², UTILIZAÇÃO DE ARGAMASSA POLIMÉRICA. AF_12/2024</t>
  </si>
  <si>
    <t>105821</t>
  </si>
  <si>
    <t>ESTUCAMENTO DE DENSIDADE ALTA NAS FACES INTERNAS DE PAREDES DO SISTEMA DE PAREDES DE CONCRETO, EM AMBIENTES COM ÁREA MENOR OU IGUAL A 5 M², UTILIZAÇÃO DE ARGAMASSA TRAÇO 1:1:6 (CIM:CAL:AREIA). AF_12/2024</t>
  </si>
  <si>
    <t>105822</t>
  </si>
  <si>
    <t>ESTUCAMENTO DE DENSIDADE ALTA DE PANOS DE FACHADA DO SISTEMA DE PAREDES DE CONCRETO EM EDIFICAÇÕES DE MÚLTIPLOS PAVIMENTOS, PAVIMENTOS SUPERIORES, UTILIZAÇÃO DE ARGAMASSA POLIMÉRICA. AF_12/2024</t>
  </si>
  <si>
    <t>105823</t>
  </si>
  <si>
    <t>ESTUCAMENTO DE DENSIDADE ALTA DE PANOS DE FACHADA DO SISTEMA DE PAREDES DE CONCRETO EM EDIFICAÇÕES DE MÚLTIPLOS PAVIMENTOS, PAVIMENTOS SUPERIORES, UTILIZAÇÃO DE ARGAMASSA TRAÇO 1:0,5:4,5 (CIM:CAL:AREIA). AF_12/2024</t>
  </si>
  <si>
    <t>105824</t>
  </si>
  <si>
    <t>ESTUCAMENTO DE DENSIDADE ALTA DE PANOS DE FACHADA DO SISTEMA DE PAREDES DE CONCRETO EM EDIFICAÇÕES DE MÚLTIPLOS PAVIMENTOS, PAVIMENTO TÉRREO, UTILIZAÇÃO DE ARGAMASSA POLIMÉRICA. AF_12/2024</t>
  </si>
  <si>
    <t>105825</t>
  </si>
  <si>
    <t>ESTUCAMENTO DE DENSIDADE ALTA DE PANOS DE FACHADA DO SISTEMA DE PAREDES DE CONCRETO EM EDIFICAÇÕES DE MÚLTIPLOS PAVIMENTOS, PAVIMENTO TÉRREO, UTILIZAÇÃO DE ARGAMASSA TRAÇO 1:0,5:4,5 (CIM:CAL:AREIA). AF_12/2024</t>
  </si>
  <si>
    <t>105826</t>
  </si>
  <si>
    <t>ESTUCAMENTO DE DENSIDADE ALTA DE PANOS DE FACHADA DO SISTEMA DE PAREDES DE CONCRETO EM UNIDADES HABITACIONAIS DE DOIS PAVIMENTOS (SOBRADO), ACESSO COM ANDAIME FACHADEIRO, UTILIZAÇÃO DE ARGAMASSA POLIMÉRICA. AF_12/2024</t>
  </si>
  <si>
    <t>105827</t>
  </si>
  <si>
    <t>ESTUCAMENTO DE DENSIDADE ALTA DE PANOS DE FACHADA DO SISTEMA DE PAREDES DE CONCRETO EM UNIDADES HABITACIONAIS DE DOIS PAVIMENTOS (SOBRADO), ACESSO COM ANDAIME FACHADEIRO, UTILIZAÇÃO DE ARGAMASSA TRAÇO 1:0,5:4,5 (CIM:CAL:AREIA). AF_12/2024</t>
  </si>
  <si>
    <t>105828</t>
  </si>
  <si>
    <t>ESTUCAMENTO DE DENSIDADE ALTA DE PANOS DE FACHADA DO SISTEMA DE PAREDES DE CONCRETO EM UNIDADES HABITACIONAIS DE PAVIMENTO ÚNICO, UTILIZAÇÃO DE ARGAMASSA POLIMÉRICA. AF_12/2024</t>
  </si>
  <si>
    <t>105829</t>
  </si>
  <si>
    <t>ESTUCAMENTO DE DENSIDADE ALTA DE PANOS DE FACHADA DO SISTEMA DE PAREDES DE CONCRETO EM UNIDADES HABITACIONAIS DE PAVIMENTO ÚNICO, UTILIZAÇÃO DE ARGAMASSA TRAÇO 1:0,5:4,5 (CIM:CAL:AREIA). AF_12/2024</t>
  </si>
  <si>
    <t>423,50</t>
  </si>
  <si>
    <t>406,25</t>
  </si>
  <si>
    <t>431,73</t>
  </si>
  <si>
    <t>414,10</t>
  </si>
  <si>
    <t>567,78</t>
  </si>
  <si>
    <t>532,52</t>
  </si>
  <si>
    <t>552,26</t>
  </si>
  <si>
    <t>531,07</t>
  </si>
  <si>
    <t>566,20</t>
  </si>
  <si>
    <t>534,35</t>
  </si>
  <si>
    <t>568,04</t>
  </si>
  <si>
    <t>520,11</t>
  </si>
  <si>
    <t>623,70</t>
  </si>
  <si>
    <t>414,38</t>
  </si>
  <si>
    <t>569,67</t>
  </si>
  <si>
    <t>547,92</t>
  </si>
  <si>
    <t>513,37</t>
  </si>
  <si>
    <t>508,68</t>
  </si>
  <si>
    <t>495,54</t>
  </si>
  <si>
    <t>416,77</t>
  </si>
  <si>
    <t>396,47</t>
  </si>
  <si>
    <t>497,79</t>
  </si>
  <si>
    <t>479,03</t>
  </si>
  <si>
    <t>459,02</t>
  </si>
  <si>
    <t>430,28</t>
  </si>
  <si>
    <t>2.689,81</t>
  </si>
  <si>
    <t>2.681,77</t>
  </si>
  <si>
    <t>2.784,27</t>
  </si>
  <si>
    <t>2.765,86</t>
  </si>
  <si>
    <t>2.719,64</t>
  </si>
  <si>
    <t>2.704,11</t>
  </si>
  <si>
    <t>370,31</t>
  </si>
  <si>
    <t>491,35</t>
  </si>
  <si>
    <t>394,83</t>
  </si>
  <si>
    <t>599,09</t>
  </si>
  <si>
    <t>509,47</t>
  </si>
  <si>
    <t>505,61</t>
  </si>
  <si>
    <t>550,71</t>
  </si>
  <si>
    <t>526,07</t>
  </si>
  <si>
    <t>546,58</t>
  </si>
  <si>
    <t>523,21</t>
  </si>
  <si>
    <t>799,70</t>
  </si>
  <si>
    <t>626,65</t>
  </si>
  <si>
    <t>579,20</t>
  </si>
  <si>
    <t>673,10</t>
  </si>
  <si>
    <t>575,02</t>
  </si>
  <si>
    <t>515,99</t>
  </si>
  <si>
    <t>601,56</t>
  </si>
  <si>
    <t>520,27</t>
  </si>
  <si>
    <t>472,97</t>
  </si>
  <si>
    <t>547,47</t>
  </si>
  <si>
    <t>436,41</t>
  </si>
  <si>
    <t>481,86</t>
  </si>
  <si>
    <t>379,02</t>
  </si>
  <si>
    <t>613,36</t>
  </si>
  <si>
    <t>507,25</t>
  </si>
  <si>
    <t>454,58</t>
  </si>
  <si>
    <t>515,11</t>
  </si>
  <si>
    <t>442,41</t>
  </si>
  <si>
    <t>403,80</t>
  </si>
  <si>
    <t>2.677,23</t>
  </si>
  <si>
    <t>2.626,44</t>
  </si>
  <si>
    <t>2.787,15</t>
  </si>
  <si>
    <t>2.714,48</t>
  </si>
  <si>
    <t>2.694,42</t>
  </si>
  <si>
    <t>2.715,84</t>
  </si>
  <si>
    <t>2.652,41</t>
  </si>
  <si>
    <t>527,19</t>
  </si>
  <si>
    <t>555,53</t>
  </si>
  <si>
    <t>669,92</t>
  </si>
  <si>
    <t>661,89</t>
  </si>
  <si>
    <t>681,76</t>
  </si>
  <si>
    <t>657,19</t>
  </si>
  <si>
    <t>649,43</t>
  </si>
  <si>
    <t>753,86</t>
  </si>
  <si>
    <t>675,23</t>
  </si>
  <si>
    <t>633,51</t>
  </si>
  <si>
    <t>535,03</t>
  </si>
  <si>
    <t>620,99</t>
  </si>
  <si>
    <t>564,06</t>
  </si>
  <si>
    <t>2.791,10</t>
  </si>
  <si>
    <t>2.872,38</t>
  </si>
  <si>
    <t>2.818,06</t>
  </si>
  <si>
    <t>1.597,36</t>
  </si>
  <si>
    <t>1.582,21</t>
  </si>
  <si>
    <t>1.561,62</t>
  </si>
  <si>
    <t>1.861,73</t>
  </si>
  <si>
    <t>1.838,11</t>
  </si>
  <si>
    <t>1.817,96</t>
  </si>
  <si>
    <t>4.367,00</t>
  </si>
  <si>
    <t>4.370,81</t>
  </si>
  <si>
    <t>4.379,18</t>
  </si>
  <si>
    <t>4.860,36</t>
  </si>
  <si>
    <t>4.889,05</t>
  </si>
  <si>
    <t>4.914,68</t>
  </si>
  <si>
    <t>3.100,89</t>
  </si>
  <si>
    <t>3.105,95</t>
  </si>
  <si>
    <t>3.109,00</t>
  </si>
  <si>
    <t>1.793,24</t>
  </si>
  <si>
    <t>2.055,05</t>
  </si>
  <si>
    <t>5.144,24</t>
  </si>
  <si>
    <t>3.348,74</t>
  </si>
  <si>
    <t>4.560,50</t>
  </si>
  <si>
    <t>4.551,36</t>
  </si>
  <si>
    <t>1.627,37</t>
  </si>
  <si>
    <t>1.603,57</t>
  </si>
  <si>
    <t>878,35</t>
  </si>
  <si>
    <t>526,58</t>
  </si>
  <si>
    <t>613,65</t>
  </si>
  <si>
    <t>516,18</t>
  </si>
  <si>
    <t>612,22</t>
  </si>
  <si>
    <t>442,69</t>
  </si>
  <si>
    <t>550,56</t>
  </si>
  <si>
    <t>532,62</t>
  </si>
  <si>
    <t>565,65</t>
  </si>
  <si>
    <t>511,26</t>
  </si>
  <si>
    <t>480,53</t>
  </si>
  <si>
    <t>657,97</t>
  </si>
  <si>
    <t>506,01</t>
  </si>
  <si>
    <t>460,31</t>
  </si>
  <si>
    <t>528,87</t>
  </si>
  <si>
    <t>460,61</t>
  </si>
  <si>
    <t>426,25</t>
  </si>
  <si>
    <t>646,14</t>
  </si>
  <si>
    <t>740,05</t>
  </si>
  <si>
    <t>632,98</t>
  </si>
  <si>
    <t>605,57</t>
  </si>
  <si>
    <t>738,97</t>
  </si>
  <si>
    <t>559,18</t>
  </si>
  <si>
    <t>629,28</t>
  </si>
  <si>
    <t>561,94</t>
  </si>
  <si>
    <t>528,88</t>
  </si>
  <si>
    <t>657,07</t>
  </si>
  <si>
    <t>496,29</t>
  </si>
  <si>
    <t>506,83</t>
  </si>
  <si>
    <t>507,06</t>
  </si>
  <si>
    <t>447,23</t>
  </si>
  <si>
    <t>637,64</t>
  </si>
  <si>
    <t>551,35</t>
  </si>
  <si>
    <t>767,50</t>
  </si>
  <si>
    <t>57,16</t>
  </si>
  <si>
    <t>1.628,42</t>
  </si>
  <si>
    <t>1.177,07</t>
  </si>
  <si>
    <t>540,64</t>
  </si>
  <si>
    <t>30,94</t>
  </si>
  <si>
    <t>35,08</t>
  </si>
  <si>
    <t>0,61</t>
  </si>
  <si>
    <t>7,40</t>
  </si>
  <si>
    <t>43,75</t>
  </si>
  <si>
    <t>9,61</t>
  </si>
  <si>
    <t>43,68</t>
  </si>
  <si>
    <t>92,84</t>
  </si>
  <si>
    <t>69,63</t>
  </si>
  <si>
    <t>1,38</t>
  </si>
  <si>
    <t>30,96</t>
  </si>
  <si>
    <t>173,95</t>
  </si>
  <si>
    <t>93,59</t>
  </si>
  <si>
    <t>69,77</t>
  </si>
  <si>
    <t>57,91</t>
  </si>
  <si>
    <t>49,41</t>
  </si>
  <si>
    <t>97,80</t>
  </si>
  <si>
    <t>92,56</t>
  </si>
  <si>
    <t>61,15</t>
  </si>
  <si>
    <t>92,29</t>
  </si>
  <si>
    <t>148,41</t>
  </si>
  <si>
    <t>PONTEIRAS DE PROTEÇÃO DE PONTAS E VERGALHÕES EXPOSTOS EM FUNDAÇÕES. AF_03/2024</t>
  </si>
  <si>
    <t>426,32</t>
  </si>
  <si>
    <t>687,31</t>
  </si>
  <si>
    <t>44,32</t>
  </si>
  <si>
    <t>112,46</t>
  </si>
  <si>
    <t>4.952,31</t>
  </si>
  <si>
    <t>78,97</t>
  </si>
  <si>
    <t>2.559,87</t>
  </si>
  <si>
    <t>3.779,89</t>
  </si>
  <si>
    <t>236,07</t>
  </si>
  <si>
    <t>19.750,96</t>
  </si>
  <si>
    <t>130,10</t>
  </si>
  <si>
    <t>194,23</t>
  </si>
  <si>
    <t>119,21</t>
  </si>
  <si>
    <t>53,62</t>
  </si>
  <si>
    <t>637,23</t>
  </si>
  <si>
    <t>210,10</t>
  </si>
  <si>
    <t>296,78</t>
  </si>
  <si>
    <t>5,13</t>
  </si>
  <si>
    <t>95,47</t>
  </si>
  <si>
    <t>216,44</t>
  </si>
  <si>
    <t>196,91</t>
  </si>
  <si>
    <t>338,39</t>
  </si>
  <si>
    <t>670,71</t>
  </si>
  <si>
    <t>236,16</t>
  </si>
  <si>
    <t>324,85</t>
  </si>
  <si>
    <t>10,22</t>
  </si>
  <si>
    <t>223,14</t>
  </si>
  <si>
    <t>6,96</t>
  </si>
  <si>
    <t>1,15</t>
  </si>
  <si>
    <t>170,58</t>
  </si>
  <si>
    <t>70,28</t>
  </si>
  <si>
    <t>209,02</t>
  </si>
  <si>
    <t>10,34</t>
  </si>
  <si>
    <t>86,22</t>
  </si>
  <si>
    <t>1,89</t>
  </si>
  <si>
    <t>1,49</t>
  </si>
  <si>
    <t>7,53</t>
  </si>
  <si>
    <t>2,45</t>
  </si>
  <si>
    <t>2,89</t>
  </si>
  <si>
    <t>8,68</t>
  </si>
  <si>
    <t>594,08</t>
  </si>
  <si>
    <t>173,08</t>
  </si>
  <si>
    <t>294,86</t>
  </si>
  <si>
    <t>6,44</t>
  </si>
  <si>
    <t>5,52</t>
  </si>
  <si>
    <t>40,31</t>
  </si>
  <si>
    <t>30,56</t>
  </si>
  <si>
    <t>46,40</t>
  </si>
  <si>
    <t>22,17</t>
  </si>
  <si>
    <t>67,92</t>
  </si>
  <si>
    <t>49,05</t>
  </si>
  <si>
    <t>36,67</t>
  </si>
  <si>
    <t>197,20</t>
  </si>
  <si>
    <t>151,38</t>
  </si>
  <si>
    <t>136,36</t>
  </si>
  <si>
    <t>86,39</t>
  </si>
  <si>
    <t>79,33</t>
  </si>
  <si>
    <t>79,91</t>
  </si>
  <si>
    <t>72,19</t>
  </si>
  <si>
    <t>141,90</t>
  </si>
  <si>
    <t>107,74</t>
  </si>
  <si>
    <t>108,82</t>
  </si>
  <si>
    <t>78,78</t>
  </si>
  <si>
    <t>47,02</t>
  </si>
  <si>
    <t>47,45</t>
  </si>
  <si>
    <t>219,09</t>
  </si>
  <si>
    <t>252,04</t>
  </si>
  <si>
    <t>91,26</t>
  </si>
  <si>
    <t>159,54</t>
  </si>
  <si>
    <t>326,42</t>
  </si>
  <si>
    <t>173,15</t>
  </si>
  <si>
    <t>78,59</t>
  </si>
  <si>
    <t>17,91</t>
  </si>
  <si>
    <t>1.839,82</t>
  </si>
  <si>
    <t>1.876,87</t>
  </si>
  <si>
    <t>721,71</t>
  </si>
  <si>
    <t>1.205,71</t>
  </si>
  <si>
    <t>122,79</t>
  </si>
  <si>
    <t>212,41</t>
  </si>
  <si>
    <t>6.169,86</t>
  </si>
  <si>
    <t>6.493,52</t>
  </si>
  <si>
    <t>4.888,20</t>
  </si>
  <si>
    <t>5.251,55</t>
  </si>
  <si>
    <t>2.634,05</t>
  </si>
  <si>
    <t>4.096,79</t>
  </si>
  <si>
    <t>2.391,87</t>
  </si>
  <si>
    <t>2.545,51</t>
  </si>
  <si>
    <t>1.964,24</t>
  </si>
  <si>
    <t>2.822,21</t>
  </si>
  <si>
    <t>2.206,14</t>
  </si>
  <si>
    <t>4.114,07</t>
  </si>
  <si>
    <t>2.409,14</t>
  </si>
  <si>
    <t>2.562,78</t>
  </si>
  <si>
    <t>1.981,51</t>
  </si>
  <si>
    <t>2.839,48</t>
  </si>
  <si>
    <t>2.324,71</t>
  </si>
  <si>
    <t>1.253,56</t>
  </si>
  <si>
    <t>1.349,36</t>
  </si>
  <si>
    <t>1.292,02</t>
  </si>
  <si>
    <t>279,05</t>
  </si>
  <si>
    <t>269,33</t>
  </si>
  <si>
    <t>4.188,85</t>
  </si>
  <si>
    <t>143,75</t>
  </si>
  <si>
    <t>159,57</t>
  </si>
  <si>
    <t>428,20</t>
  </si>
  <si>
    <t>336,73</t>
  </si>
  <si>
    <t>708,85</t>
  </si>
  <si>
    <t>24,23</t>
  </si>
  <si>
    <t>26,36</t>
  </si>
  <si>
    <t>45,49</t>
  </si>
  <si>
    <t>30,87</t>
  </si>
  <si>
    <t>37,77</t>
  </si>
  <si>
    <t>29,54</t>
  </si>
  <si>
    <t>29,34</t>
  </si>
  <si>
    <t>31,24</t>
  </si>
  <si>
    <t>33,34</t>
  </si>
  <si>
    <t>29,66</t>
  </si>
  <si>
    <t>25,92</t>
  </si>
  <si>
    <t>19,44</t>
  </si>
  <si>
    <t>34,85</t>
  </si>
  <si>
    <t>47,93</t>
  </si>
  <si>
    <t>38,88</t>
  </si>
  <si>
    <t>32,69</t>
  </si>
  <si>
    <t>34,99</t>
  </si>
  <si>
    <t>109,43</t>
  </si>
  <si>
    <t>124,29</t>
  </si>
  <si>
    <t>128,15</t>
  </si>
  <si>
    <t>122,54</t>
  </si>
  <si>
    <t>131,48</t>
  </si>
  <si>
    <t>153,37</t>
  </si>
  <si>
    <t>62,05</t>
  </si>
  <si>
    <t>5.288,91</t>
  </si>
  <si>
    <t>4.438,83</t>
  </si>
  <si>
    <t>4.648,29</t>
  </si>
  <si>
    <t>4.782,82</t>
  </si>
  <si>
    <t>21.419,00</t>
  </si>
  <si>
    <t>3.510,66</t>
  </si>
  <si>
    <t>22.981,74</t>
  </si>
  <si>
    <t>26.804,24</t>
  </si>
  <si>
    <t>19.166,82</t>
  </si>
  <si>
    <t>21.765,89</t>
  </si>
  <si>
    <t>22.440,88</t>
  </si>
  <si>
    <t>6.852,02</t>
  </si>
  <si>
    <t>10.852,66</t>
  </si>
  <si>
    <t>6.834,68</t>
  </si>
  <si>
    <t>0,47</t>
  </si>
  <si>
    <t>0,68</t>
  </si>
  <si>
    <t>78,26</t>
  </si>
  <si>
    <t>263,77</t>
  </si>
  <si>
    <t>283,38</t>
  </si>
  <si>
    <t>331,36</t>
  </si>
  <si>
    <t>133,40</t>
  </si>
  <si>
    <t>151,87</t>
  </si>
  <si>
    <t>156,67</t>
  </si>
  <si>
    <t>113,65</t>
  </si>
  <si>
    <t>35,90</t>
  </si>
  <si>
    <t>37,89</t>
  </si>
  <si>
    <t>94,92</t>
  </si>
  <si>
    <t>6.641,68</t>
  </si>
  <si>
    <t>5.540,52</t>
  </si>
  <si>
    <t>96,52</t>
  </si>
  <si>
    <t>38,17</t>
  </si>
  <si>
    <t>38,68</t>
  </si>
  <si>
    <t>44,15</t>
  </si>
  <si>
    <t>46,51</t>
  </si>
  <si>
    <t>123,37</t>
  </si>
  <si>
    <t>158,10</t>
  </si>
  <si>
    <t>150,40</t>
  </si>
  <si>
    <t>57,75</t>
  </si>
  <si>
    <t>42,97</t>
  </si>
  <si>
    <t>65,16</t>
  </si>
  <si>
    <t>49,84</t>
  </si>
  <si>
    <t>42,98</t>
  </si>
  <si>
    <t>36,66</t>
  </si>
  <si>
    <t>29,24</t>
  </si>
  <si>
    <t>52,03</t>
  </si>
  <si>
    <t>56,08</t>
  </si>
  <si>
    <t>98,50</t>
  </si>
  <si>
    <t>54,26</t>
  </si>
  <si>
    <t>45,74</t>
  </si>
  <si>
    <t>71,06</t>
  </si>
  <si>
    <t>49,37</t>
  </si>
  <si>
    <t>45,52</t>
  </si>
  <si>
    <t>68,72</t>
  </si>
  <si>
    <t>42,80</t>
  </si>
  <si>
    <t>50,30</t>
  </si>
  <si>
    <t>61,80</t>
  </si>
  <si>
    <t>90,21</t>
  </si>
  <si>
    <t>4.638,49</t>
  </si>
  <si>
    <t>4.702,74</t>
  </si>
  <si>
    <t>4.412,91</t>
  </si>
  <si>
    <t>4.355,62</t>
  </si>
  <si>
    <t>4.954,97</t>
  </si>
  <si>
    <t>4.332,02</t>
  </si>
  <si>
    <t>5.536,13</t>
  </si>
  <si>
    <t>4.898,06</t>
  </si>
  <si>
    <t>4.063,89</t>
  </si>
  <si>
    <t>4.525,07</t>
  </si>
  <si>
    <t>5.590,13</t>
  </si>
  <si>
    <t>4.646,81</t>
  </si>
  <si>
    <t>4.252,26</t>
  </si>
  <si>
    <t>3.298,60</t>
  </si>
  <si>
    <t>7.987,34</t>
  </si>
  <si>
    <t>5.547,49</t>
  </si>
  <si>
    <t>5.488,40</t>
  </si>
  <si>
    <t>4.940,58</t>
  </si>
  <si>
    <t>4.620,48</t>
  </si>
  <si>
    <t>5.832,66</t>
  </si>
  <si>
    <t>5.821,02</t>
  </si>
  <si>
    <t>4.050,28</t>
  </si>
  <si>
    <t>6.680,33</t>
  </si>
  <si>
    <t>7.409,90</t>
  </si>
  <si>
    <t>5.261,53</t>
  </si>
  <si>
    <t>4.422,76</t>
  </si>
  <si>
    <t>5.239,14</t>
  </si>
  <si>
    <t>6.706,77</t>
  </si>
  <si>
    <t>4.611,00</t>
  </si>
  <si>
    <t>6.050,43</t>
  </si>
  <si>
    <t>5.736,41</t>
  </si>
  <si>
    <t>5.576,74</t>
  </si>
  <si>
    <t>7.426,15</t>
  </si>
  <si>
    <t>5.889,52</t>
  </si>
  <si>
    <t>6.366,25</t>
  </si>
  <si>
    <t>5.926,08</t>
  </si>
  <si>
    <t>7.648,69</t>
  </si>
  <si>
    <t>5.442,15</t>
  </si>
  <si>
    <t>6.242,00</t>
  </si>
  <si>
    <t>4.636,00</t>
  </si>
  <si>
    <t>5.660,27</t>
  </si>
  <si>
    <t>3.429,75</t>
  </si>
  <si>
    <t>6.537,26</t>
  </si>
  <si>
    <t>6.192,97</t>
  </si>
  <si>
    <t>5.493,32</t>
  </si>
  <si>
    <t>4.304,25</t>
  </si>
  <si>
    <t>6.666,87</t>
  </si>
  <si>
    <t>5.413,77</t>
  </si>
  <si>
    <t>8.464,55</t>
  </si>
  <si>
    <t>4.519,30</t>
  </si>
  <si>
    <t>6.893,84</t>
  </si>
  <si>
    <t>4.979,41</t>
  </si>
  <si>
    <t>7.814,08</t>
  </si>
  <si>
    <t>5.319,18</t>
  </si>
  <si>
    <t>5.568,51</t>
  </si>
  <si>
    <t>5.847,37</t>
  </si>
  <si>
    <t>5.541,34</t>
  </si>
  <si>
    <t>5.212,05</t>
  </si>
  <si>
    <t>6.234,42</t>
  </si>
  <si>
    <t>4.274,26</t>
  </si>
  <si>
    <t>6.136,55</t>
  </si>
  <si>
    <t>6.898,25</t>
  </si>
  <si>
    <t>9.112,45</t>
  </si>
  <si>
    <t>10.546,12</t>
  </si>
  <si>
    <t>5.770,60</t>
  </si>
  <si>
    <t>4.880,36</t>
  </si>
  <si>
    <t>4.234,90</t>
  </si>
  <si>
    <t>01.02.02</t>
  </si>
  <si>
    <t>01.03.10</t>
  </si>
  <si>
    <t>01.03.11</t>
  </si>
  <si>
    <t>01.03.12</t>
  </si>
  <si>
    <t>01.03.13</t>
  </si>
  <si>
    <t>01.03.14</t>
  </si>
  <si>
    <t>01.03.15</t>
  </si>
  <si>
    <t>02.02.03</t>
  </si>
  <si>
    <t>02.02.04</t>
  </si>
  <si>
    <t>06.03.03</t>
  </si>
  <si>
    <t>IMPERMEABILIZAÇÃO DE CALHAS, LAJES DESCOBERTAS, BALDRAMES, PAREDES E JARDINEIRAS</t>
  </si>
  <si>
    <t>REVESTIMENTOS COM ARGAMASSA</t>
  </si>
  <si>
    <t>REVESTIMENTOS DE PAREDE</t>
  </si>
  <si>
    <t>REVESTIMENTOS EMPREGANDO ARGAMASSA DE CIMENTO, CAL E AREIA</t>
  </si>
  <si>
    <t>10.02</t>
  </si>
  <si>
    <t>10.03</t>
  </si>
  <si>
    <t>10.02.01</t>
  </si>
  <si>
    <t>10.02.02</t>
  </si>
  <si>
    <t>10.03.01</t>
  </si>
  <si>
    <t>10.03.02</t>
  </si>
  <si>
    <t>10.03.03</t>
  </si>
  <si>
    <t>11.01.02</t>
  </si>
  <si>
    <t>11.01.03</t>
  </si>
  <si>
    <t>11.01.04</t>
  </si>
  <si>
    <t>11.01.05</t>
  </si>
  <si>
    <t>11.01.06</t>
  </si>
  <si>
    <t>11.01.07</t>
  </si>
  <si>
    <t>11.01.08</t>
  </si>
  <si>
    <t>11.01.09</t>
  </si>
  <si>
    <t>11.02</t>
  </si>
  <si>
    <t>11.02.01</t>
  </si>
  <si>
    <t>11.02.02</t>
  </si>
  <si>
    <t>11.02.03</t>
  </si>
  <si>
    <t>11.02.04</t>
  </si>
  <si>
    <t>11.02.05</t>
  </si>
  <si>
    <t>11.03</t>
  </si>
  <si>
    <t>11.03.01</t>
  </si>
  <si>
    <t>11.03.02</t>
  </si>
  <si>
    <t>11.03.03</t>
  </si>
  <si>
    <t>11.04</t>
  </si>
  <si>
    <t>11.04.01</t>
  </si>
  <si>
    <t>11.04.02</t>
  </si>
  <si>
    <t>11.04.03</t>
  </si>
  <si>
    <t>11.04.04</t>
  </si>
  <si>
    <t>11.04.05</t>
  </si>
  <si>
    <t>11.05</t>
  </si>
  <si>
    <t>11.05.01</t>
  </si>
  <si>
    <t>11.05.02</t>
  </si>
  <si>
    <t>11.05.03</t>
  </si>
  <si>
    <t>11.05.04</t>
  </si>
  <si>
    <t>11.05.05</t>
  </si>
  <si>
    <t>11.06</t>
  </si>
  <si>
    <t>11.06.01</t>
  </si>
  <si>
    <t>11.06.02</t>
  </si>
  <si>
    <t>11.06.03</t>
  </si>
  <si>
    <t>11.06.04</t>
  </si>
  <si>
    <t>11.06.05</t>
  </si>
  <si>
    <t>11.07</t>
  </si>
  <si>
    <t>CAIXAS DE PVC/EQUIPAMENTOS</t>
  </si>
  <si>
    <t>11.07.01</t>
  </si>
  <si>
    <t>11.07.02</t>
  </si>
  <si>
    <t>11.07.03</t>
  </si>
  <si>
    <t>11.08</t>
  </si>
  <si>
    <t>11.08.01</t>
  </si>
  <si>
    <t>11.08.02</t>
  </si>
  <si>
    <t>11.08.03</t>
  </si>
  <si>
    <t>11.08.04</t>
  </si>
  <si>
    <t>11.09</t>
  </si>
  <si>
    <t>11.09.01</t>
  </si>
  <si>
    <t>01.04.09</t>
  </si>
  <si>
    <t>01.04.10</t>
  </si>
  <si>
    <t>01.04.11</t>
  </si>
  <si>
    <t>01.04.12</t>
  </si>
  <si>
    <t>IMPLEMENTOS EXTERNOS - PROJETO ELÉTRICO</t>
  </si>
  <si>
    <t>IMPLEMENTOS EXTERNOS - PROJETO DRENAGEM</t>
  </si>
  <si>
    <t>IMPLEMENTOS EXTERNOS - PROJETO URBANIZAÇÃO</t>
  </si>
  <si>
    <t>IMPLEMENTOS EXTERNOS - PROJETO PAISAGISMO</t>
  </si>
  <si>
    <t>12.02.03</t>
  </si>
  <si>
    <t>12.04</t>
  </si>
  <si>
    <t>12.05</t>
  </si>
  <si>
    <t>12.03.03</t>
  </si>
  <si>
    <t>12.03.04</t>
  </si>
  <si>
    <t>12.03.05</t>
  </si>
  <si>
    <t>12.03.06</t>
  </si>
  <si>
    <t>12.04.01</t>
  </si>
  <si>
    <t>12.04.02</t>
  </si>
  <si>
    <t>12.04.03</t>
  </si>
  <si>
    <t>12.04.04</t>
  </si>
  <si>
    <t>12.04.05</t>
  </si>
  <si>
    <t>12.05.01</t>
  </si>
  <si>
    <t>12.05.02</t>
  </si>
  <si>
    <t>12.05.03</t>
  </si>
  <si>
    <t>12.05.04</t>
  </si>
  <si>
    <t>12.05.05</t>
  </si>
  <si>
    <t>12.05.06</t>
  </si>
  <si>
    <t>12.05.07</t>
  </si>
  <si>
    <t>12.05.08</t>
  </si>
  <si>
    <t>12.05.09</t>
  </si>
  <si>
    <t>12.05.10</t>
  </si>
  <si>
    <t>12.05.11</t>
  </si>
  <si>
    <t>12.06</t>
  </si>
  <si>
    <t>12.06.01</t>
  </si>
  <si>
    <t>12.06.02</t>
  </si>
  <si>
    <t>12.06.03</t>
  </si>
  <si>
    <t>12.06.04</t>
  </si>
  <si>
    <t>12.06.05</t>
  </si>
  <si>
    <t>12.06.06</t>
  </si>
  <si>
    <t>12.06.07</t>
  </si>
  <si>
    <t>12.06.08</t>
  </si>
  <si>
    <t>12.06.09</t>
  </si>
  <si>
    <t>12.07</t>
  </si>
  <si>
    <t>12.07.01</t>
  </si>
  <si>
    <t>12.07.02</t>
  </si>
  <si>
    <t>12.08</t>
  </si>
  <si>
    <t>12.08.01</t>
  </si>
  <si>
    <t>12.08.02</t>
  </si>
  <si>
    <t>12.09</t>
  </si>
  <si>
    <t>12.09.01</t>
  </si>
  <si>
    <t>12.10</t>
  </si>
  <si>
    <t>12.10.01</t>
  </si>
  <si>
    <t>12.10.02</t>
  </si>
  <si>
    <t>12.10.03</t>
  </si>
  <si>
    <t>12.10.04</t>
  </si>
  <si>
    <t>12.10.05</t>
  </si>
  <si>
    <t>12.10.06</t>
  </si>
  <si>
    <t>12.10.07</t>
  </si>
  <si>
    <t>12.10.08</t>
  </si>
  <si>
    <t>12.10.09</t>
  </si>
  <si>
    <t>12.11</t>
  </si>
  <si>
    <t>12.11.01</t>
  </si>
  <si>
    <t>13.02.02</t>
  </si>
  <si>
    <t>13.02.03</t>
  </si>
  <si>
    <t>13.02.04</t>
  </si>
  <si>
    <t>13.02.05</t>
  </si>
  <si>
    <t>13.02.06</t>
  </si>
  <si>
    <t>13.02.07</t>
  </si>
  <si>
    <t>13.02.08</t>
  </si>
  <si>
    <t>13.02.09</t>
  </si>
  <si>
    <t>13.03.04</t>
  </si>
  <si>
    <t>13.03.05</t>
  </si>
  <si>
    <t>13.03.06</t>
  </si>
  <si>
    <t>13.03.07</t>
  </si>
  <si>
    <t>13.03.08</t>
  </si>
  <si>
    <t>13.03.09</t>
  </si>
  <si>
    <t>13.03.10</t>
  </si>
  <si>
    <t>13.03.11</t>
  </si>
  <si>
    <t>13.03.12</t>
  </si>
  <si>
    <t>13.03.13</t>
  </si>
  <si>
    <t>13.03.14</t>
  </si>
  <si>
    <t>13.03.15</t>
  </si>
  <si>
    <t>13.03.16</t>
  </si>
  <si>
    <t>13.03.17</t>
  </si>
  <si>
    <t>13.03.18</t>
  </si>
  <si>
    <t>13.03.19</t>
  </si>
  <si>
    <t>13.03.20</t>
  </si>
  <si>
    <t>13.03.21</t>
  </si>
  <si>
    <t>13.03.22</t>
  </si>
  <si>
    <t>13.03.23</t>
  </si>
  <si>
    <t>13.03.24</t>
  </si>
  <si>
    <t>13.03.25</t>
  </si>
  <si>
    <t>13.03.26</t>
  </si>
  <si>
    <t>13.03.27</t>
  </si>
  <si>
    <t>13.03.28</t>
  </si>
  <si>
    <t>13.03.29</t>
  </si>
  <si>
    <t>13.03.30</t>
  </si>
  <si>
    <t>13.04.01</t>
  </si>
  <si>
    <t>13.04.02</t>
  </si>
  <si>
    <t>13.04.03</t>
  </si>
  <si>
    <t>13.04.04</t>
  </si>
  <si>
    <t>13.04.05</t>
  </si>
  <si>
    <t>13.04.06</t>
  </si>
  <si>
    <t>13.04.07</t>
  </si>
  <si>
    <t>13.04.08</t>
  </si>
  <si>
    <t>13.04.09</t>
  </si>
  <si>
    <t>13.04.10</t>
  </si>
  <si>
    <t>13.04.11</t>
  </si>
  <si>
    <t>13.04.12</t>
  </si>
  <si>
    <t>13.04.13</t>
  </si>
  <si>
    <t>13.04.14</t>
  </si>
  <si>
    <t>13.04.15</t>
  </si>
  <si>
    <t>13.04.16</t>
  </si>
  <si>
    <t>13.04.17</t>
  </si>
  <si>
    <t>13.04.18</t>
  </si>
  <si>
    <t>13.05.01</t>
  </si>
  <si>
    <t>13.05.02</t>
  </si>
  <si>
    <t>13.05.03</t>
  </si>
  <si>
    <t>13.05.04</t>
  </si>
  <si>
    <t>13.05.05</t>
  </si>
  <si>
    <t>13.05.06</t>
  </si>
  <si>
    <t>13.05.07</t>
  </si>
  <si>
    <t>14.02.01</t>
  </si>
  <si>
    <t>14.03.01</t>
  </si>
  <si>
    <t>14.03.02</t>
  </si>
  <si>
    <t>14.03.03</t>
  </si>
  <si>
    <t>14.03.04</t>
  </si>
  <si>
    <t>14.03.05</t>
  </si>
  <si>
    <t>14.04.01</t>
  </si>
  <si>
    <t>14.04.02</t>
  </si>
  <si>
    <t>14.04.03</t>
  </si>
  <si>
    <t>14.04.04</t>
  </si>
  <si>
    <t>14.04.05</t>
  </si>
  <si>
    <t>14.04.06</t>
  </si>
  <si>
    <t>14.05.01</t>
  </si>
  <si>
    <t>14.05.02</t>
  </si>
  <si>
    <t>14.05.03</t>
  </si>
  <si>
    <t>15.02</t>
  </si>
  <si>
    <t>15.02.01</t>
  </si>
  <si>
    <t>15.02.02</t>
  </si>
  <si>
    <t>16.02.01</t>
  </si>
  <si>
    <t>16.02.02</t>
  </si>
  <si>
    <t>16.02.03</t>
  </si>
  <si>
    <t>16.03.01</t>
  </si>
  <si>
    <t>16.03.02</t>
  </si>
  <si>
    <t>SOBRE CONCRETO OU BLOCO CERÂMICOS APARENTES</t>
  </si>
  <si>
    <t>16.04.01</t>
  </si>
  <si>
    <t>16.04.02</t>
  </si>
  <si>
    <t xml:space="preserve">SERVIÇOS COMPLEMENTARES EXTERNOS </t>
  </si>
  <si>
    <t>17.02.02</t>
  </si>
  <si>
    <t>17.02.03</t>
  </si>
  <si>
    <t>17.02.04</t>
  </si>
  <si>
    <t>17.02.05</t>
  </si>
  <si>
    <t>17.03</t>
  </si>
  <si>
    <t>17.03.01</t>
  </si>
  <si>
    <t>17.04</t>
  </si>
  <si>
    <t>17.04.01</t>
  </si>
  <si>
    <t>17.04.02</t>
  </si>
  <si>
    <t>17.04.03</t>
  </si>
  <si>
    <t>17.05</t>
  </si>
  <si>
    <t>17.05.01</t>
  </si>
  <si>
    <t>17.05.02</t>
  </si>
  <si>
    <t>17.05.03</t>
  </si>
  <si>
    <t>17.05.04</t>
  </si>
  <si>
    <t>TOTAL DO ITEM 18.0</t>
  </si>
  <si>
    <t xml:space="preserve">LIMPEZA DO TERRENO </t>
  </si>
  <si>
    <t xml:space="preserve">REGULARIZAÇÃO DO TERRENO </t>
  </si>
  <si>
    <t>CORTE DE ÁRVORE</t>
  </si>
  <si>
    <t xml:space="preserve">LOCAÇÃO DE OBRA COM GABARITO  </t>
  </si>
  <si>
    <t xml:space="preserve">Placa de Obra  </t>
  </si>
  <si>
    <t xml:space="preserve">TAPUME </t>
  </si>
  <si>
    <t xml:space="preserve">ANDAIME </t>
  </si>
  <si>
    <t>LOCAÇÃO DE OBRA</t>
  </si>
  <si>
    <t xml:space="preserve">MOBILIZAÇÃO E DESMOBILIZAÇÃO </t>
  </si>
  <si>
    <t xml:space="preserve">Ligação Provisória </t>
  </si>
  <si>
    <t xml:space="preserve">Vestiário </t>
  </si>
  <si>
    <t xml:space="preserve">Sanitário </t>
  </si>
  <si>
    <t xml:space="preserve">Almocxarifado </t>
  </si>
  <si>
    <t xml:space="preserve">Serraria e Carpintaria </t>
  </si>
  <si>
    <t xml:space="preserve">Corte e Armação </t>
  </si>
  <si>
    <t xml:space="preserve">Reservatório </t>
  </si>
  <si>
    <t xml:space="preserve">Rede de Água </t>
  </si>
  <si>
    <t xml:space="preserve">Rede de Esgoto </t>
  </si>
  <si>
    <t xml:space="preserve">Refeitório </t>
  </si>
  <si>
    <t>PROJETOS EXECUTIVOS</t>
  </si>
  <si>
    <t>Projetos Executivos</t>
  </si>
  <si>
    <t xml:space="preserve">ADMINISTRATIVO </t>
  </si>
  <si>
    <t xml:space="preserve">LAJES </t>
  </si>
  <si>
    <t xml:space="preserve">Laje 1° Pavimento </t>
  </si>
  <si>
    <t xml:space="preserve">Laje 2° Pavimento </t>
  </si>
  <si>
    <t>Laje Cobertura</t>
  </si>
  <si>
    <t xml:space="preserve">Administrativo </t>
  </si>
  <si>
    <t xml:space="preserve">Perímetro pavimento térreo </t>
  </si>
  <si>
    <t>Banheiro Masculino Térreo</t>
  </si>
  <si>
    <t>Banheiro Feminino Térreo</t>
  </si>
  <si>
    <t>PNE Térreo</t>
  </si>
  <si>
    <t xml:space="preserve">DML/CPD/Elevador Térreo </t>
  </si>
  <si>
    <t>Banheiro Presidência</t>
  </si>
  <si>
    <t>Copa</t>
  </si>
  <si>
    <t xml:space="preserve">A. Serviço </t>
  </si>
  <si>
    <t xml:space="preserve">Perímetro 1° pavimento </t>
  </si>
  <si>
    <t xml:space="preserve">Banheiro Masculino 1° Pavimento </t>
  </si>
  <si>
    <t xml:space="preserve">Banheiro Feminino 1° Pavimento </t>
  </si>
  <si>
    <t xml:space="preserve">PNE 1° Pavimento </t>
  </si>
  <si>
    <t>DML/CPD/Elevador 1° Pavimento</t>
  </si>
  <si>
    <t xml:space="preserve">Perímetro 2° pavimento </t>
  </si>
  <si>
    <t xml:space="preserve">Banheiro Masculino 2° Pavimento </t>
  </si>
  <si>
    <t xml:space="preserve">Banheiro Feminino 2° Pavimento </t>
  </si>
  <si>
    <t xml:space="preserve">PNE 2° Pavimento </t>
  </si>
  <si>
    <t>DML/CPD/Elevador 2° Pavimento</t>
  </si>
  <si>
    <t>TÉRREO</t>
  </si>
  <si>
    <t xml:space="preserve">1° PAVIMENTO </t>
  </si>
  <si>
    <t xml:space="preserve">2° PAVIMENTO </t>
  </si>
  <si>
    <t xml:space="preserve">Quant. </t>
  </si>
  <si>
    <t xml:space="preserve">Rufo </t>
  </si>
  <si>
    <t>Platibanda</t>
  </si>
  <si>
    <t xml:space="preserve">Fundação </t>
  </si>
  <si>
    <t>Laje técnica</t>
  </si>
  <si>
    <t xml:space="preserve">ACABAMENTOS </t>
  </si>
  <si>
    <t xml:space="preserve">Soleira de entrada </t>
  </si>
  <si>
    <t xml:space="preserve">Perímetro Platibanda </t>
  </si>
  <si>
    <t xml:space="preserve">Rooftop </t>
  </si>
  <si>
    <t xml:space="preserve">Perímetro Interno </t>
  </si>
  <si>
    <t xml:space="preserve">Padrão de entrada </t>
  </si>
  <si>
    <t xml:space="preserve">Copa Apoio 1° Pavimento </t>
  </si>
  <si>
    <t xml:space="preserve">Copa Apoio 2° Pavimento </t>
  </si>
  <si>
    <t>Torneira</t>
  </si>
  <si>
    <t xml:space="preserve">Drenagem pátio </t>
  </si>
  <si>
    <t xml:space="preserve">Esgoto até concessionária </t>
  </si>
  <si>
    <t xml:space="preserve">Caixas </t>
  </si>
  <si>
    <t xml:space="preserve">Prumadas </t>
  </si>
  <si>
    <t xml:space="preserve">Adaptadores </t>
  </si>
  <si>
    <t xml:space="preserve">Redes </t>
  </si>
  <si>
    <t xml:space="preserve">Furos </t>
  </si>
  <si>
    <t>18.01.02</t>
  </si>
  <si>
    <t>18.01.03</t>
  </si>
  <si>
    <t xml:space="preserve">Caixas de Aterramento </t>
  </si>
  <si>
    <t xml:space="preserve">Eletrocalha  </t>
  </si>
  <si>
    <t xml:space="preserve">Junção </t>
  </si>
  <si>
    <t xml:space="preserve">Tê </t>
  </si>
  <si>
    <t xml:space="preserve">Curva </t>
  </si>
  <si>
    <t xml:space="preserve">Suporte </t>
  </si>
  <si>
    <t xml:space="preserve">Eletroduto   </t>
  </si>
  <si>
    <t xml:space="preserve">Disjuntor </t>
  </si>
  <si>
    <t xml:space="preserve">Fiação </t>
  </si>
  <si>
    <t xml:space="preserve">Haste  </t>
  </si>
  <si>
    <t xml:space="preserve">Aberturas de rasgos </t>
  </si>
  <si>
    <t xml:space="preserve">Subestação   </t>
  </si>
  <si>
    <t xml:space="preserve">Ponto  </t>
  </si>
  <si>
    <t xml:space="preserve">Quadro Geral </t>
  </si>
  <si>
    <t xml:space="preserve">Caixa  </t>
  </si>
  <si>
    <t xml:space="preserve">Telefone </t>
  </si>
  <si>
    <t xml:space="preserve">Aterramento  </t>
  </si>
  <si>
    <t xml:space="preserve">SPDA </t>
  </si>
  <si>
    <t xml:space="preserve">Condutor Prédio Adm </t>
  </si>
  <si>
    <t>Conectores</t>
  </si>
  <si>
    <t xml:space="preserve">Mastro </t>
  </si>
  <si>
    <t xml:space="preserve">Caixa de Equalização </t>
  </si>
  <si>
    <t xml:space="preserve">Hidrante Prédio Administrativo </t>
  </si>
  <si>
    <t xml:space="preserve">Extintor Pédio Administrativo </t>
  </si>
  <si>
    <t xml:space="preserve">Ponto de seta </t>
  </si>
  <si>
    <t xml:space="preserve">Sinalização </t>
  </si>
  <si>
    <t xml:space="preserve">Tubo de aço </t>
  </si>
  <si>
    <t xml:space="preserve">Incêndio </t>
  </si>
  <si>
    <t xml:space="preserve">Lógica </t>
  </si>
  <si>
    <t xml:space="preserve">Climatização Infraestrutura </t>
  </si>
  <si>
    <t xml:space="preserve">Banheiro Masculino </t>
  </si>
  <si>
    <t xml:space="preserve">PNE </t>
  </si>
  <si>
    <t>BANHEIRO FEMININO</t>
  </si>
  <si>
    <t>BANHEIRO MASCULINO</t>
  </si>
  <si>
    <t xml:space="preserve">BANHEIRO PRESIDENTE </t>
  </si>
  <si>
    <t xml:space="preserve">BANHEIRO PNE </t>
  </si>
  <si>
    <t xml:space="preserve">A. SERVIÇOS </t>
  </si>
  <si>
    <t>A. SERVIÇO</t>
  </si>
  <si>
    <t xml:space="preserve">COPA TÉRREO </t>
  </si>
  <si>
    <t>COPA APOIO</t>
  </si>
  <si>
    <t>COPA TÉRREO</t>
  </si>
  <si>
    <t xml:space="preserve">Térreo </t>
  </si>
  <si>
    <t xml:space="preserve">1° Pavimento </t>
  </si>
  <si>
    <t xml:space="preserve">2° Pavimento </t>
  </si>
  <si>
    <t xml:space="preserve">Plenário </t>
  </si>
  <si>
    <t xml:space="preserve">RESERVATÓRIO </t>
  </si>
  <si>
    <t xml:space="preserve">Tanque </t>
  </si>
  <si>
    <t xml:space="preserve">Bombas </t>
  </si>
  <si>
    <t xml:space="preserve">Licitação </t>
  </si>
  <si>
    <t xml:space="preserve">Financeiro </t>
  </si>
  <si>
    <t>Procuradoria</t>
  </si>
  <si>
    <t xml:space="preserve">Recursos Humanos </t>
  </si>
  <si>
    <t xml:space="preserve">Adm Legislativo </t>
  </si>
  <si>
    <t xml:space="preserve">Comunicação </t>
  </si>
  <si>
    <t xml:space="preserve">Tecnologia Informação </t>
  </si>
  <si>
    <t xml:space="preserve">Controladoria </t>
  </si>
  <si>
    <t>Arquivo Interno</t>
  </si>
  <si>
    <t xml:space="preserve">Sala Diretor </t>
  </si>
  <si>
    <t xml:space="preserve">Assessoria/Espera </t>
  </si>
  <si>
    <t xml:space="preserve">Sala de Reunião </t>
  </si>
  <si>
    <t xml:space="preserve">Sala da Presidência </t>
  </si>
  <si>
    <t xml:space="preserve">Circulação Interna </t>
  </si>
  <si>
    <t xml:space="preserve">Circulação  </t>
  </si>
  <si>
    <t xml:space="preserve">Recepção </t>
  </si>
  <si>
    <t xml:space="preserve">Hall </t>
  </si>
  <si>
    <t xml:space="preserve">Auditório </t>
  </si>
  <si>
    <t xml:space="preserve">Ouvidoria </t>
  </si>
  <si>
    <t xml:space="preserve">Administrativo Térreo </t>
  </si>
  <si>
    <t xml:space="preserve">Administrativo 1° Pavimento </t>
  </si>
  <si>
    <t xml:space="preserve">Arquivo  </t>
  </si>
  <si>
    <t>Gabinetes 01 ao 12</t>
  </si>
  <si>
    <t>Repetições</t>
  </si>
  <si>
    <t xml:space="preserve">Administrativo 2° Pavimento </t>
  </si>
  <si>
    <t>ÁREA (m²)</t>
  </si>
  <si>
    <t>Banheiro Masculino</t>
  </si>
  <si>
    <t>Banheiro Feminino</t>
  </si>
  <si>
    <t xml:space="preserve">Banheiro PNE </t>
  </si>
  <si>
    <t>DML</t>
  </si>
  <si>
    <t>CPD</t>
  </si>
  <si>
    <t xml:space="preserve">Copa </t>
  </si>
  <si>
    <t xml:space="preserve">Banheiro Presidência </t>
  </si>
  <si>
    <t xml:space="preserve">Circulação </t>
  </si>
  <si>
    <t xml:space="preserve">Copa Apoio </t>
  </si>
  <si>
    <t xml:space="preserve">Passeio </t>
  </si>
  <si>
    <t xml:space="preserve">Paredes de Cobogós </t>
  </si>
  <si>
    <t xml:space="preserve">Vagas de Garagem </t>
  </si>
  <si>
    <t xml:space="preserve">FRENTE </t>
  </si>
  <si>
    <t xml:space="preserve">LADO ESQUERDO </t>
  </si>
  <si>
    <t xml:space="preserve">LADO DIREITO </t>
  </si>
  <si>
    <t xml:space="preserve">FUNDOS </t>
  </si>
  <si>
    <t xml:space="preserve">ÁREA LOTE </t>
  </si>
  <si>
    <t xml:space="preserve">Paisagismo </t>
  </si>
  <si>
    <t xml:space="preserve">Prédio Administrativo </t>
  </si>
  <si>
    <t>Área Externa</t>
  </si>
  <si>
    <t xml:space="preserve">Escada  </t>
  </si>
  <si>
    <t xml:space="preserve">Placa de Inauguração </t>
  </si>
  <si>
    <t xml:space="preserve">ESCRITÓRIO </t>
  </si>
  <si>
    <t>PLENÁRIA</t>
  </si>
  <si>
    <t>Plenária</t>
  </si>
  <si>
    <t>Analista de Sistemas</t>
  </si>
  <si>
    <t>Fornecimento e montagem de sistema de divisórias modulares tipo MD-1 (Alta/Painel/Painel), espessura de 35mm, painéis em chapa duraplac, pintura melamínica e protegidas por resina de brilho mate, cor: Cinza, miolo em estrutura celular (colméia), estrutura em perfil de aço na cor: preta</t>
  </si>
  <si>
    <t>Fornecimento e montagem de porta para divisórias sem visor, espessura de 35mm, painéis em chapa duraplac, pintura melamínica e protegidas por resina de brilho mate, cor: Cinza, miolo em estrutura celular (Colméia), estrutura em perfis de aço na cor: preta, inclusive dobradiça e fechadura tubular</t>
  </si>
  <si>
    <t>Cobertura com Telha em aço galvalume trapezoidal 40, espessura: 0.50 mm, pintura cor branca nas duas faces, inclusive acessório de fixação -Santo André, Eternit, Metform ou equivalente</t>
  </si>
  <si>
    <t>Rufo de concreto armado Fck=20 MPa, nas dimensões de 35 x 7 cm, moldado "in loco", inclusive forma e armação e desforma, conforme projeto</t>
  </si>
  <si>
    <t>Tratamento em estrutura de madeira com imunizante cupinicida, a uma demão</t>
  </si>
  <si>
    <t>Cerâmica retificada, acabamento brilhante, dim. 32x60cm, ref. TRADIZIONALLE BIANCO Biancogres/equiv. assentado com argamassa de cimento colante, inclusive rejuntamento com argamassapre-fabricada para rejunte</t>
  </si>
  <si>
    <t>Abrigo de gás para 2 cilindros 45 Kg, exec. em alv. bloco conc cheio, dim: 2.10x1.00x1.80m, inclusive cilindros e rede interna do abrigo compreendendo tubos e válvulas de esfera que interligam os cilindros, conforme Norma Técnica 18/2015 do CBMES, exclusive extintor de incêndio</t>
  </si>
  <si>
    <t>Abrigo de gás para 4 cilindros 45 Kg, exec. em alv. bloco conc cheio, dim: 4.05x1.00x1.80m, inclusive cilindros e rede interna do abrigo compreendendo tubos e válvulas de esfera que interligam os cilindros, conforme Norma Técnica 18/2015 do CBMES, exclusive extintor de incêndio</t>
  </si>
  <si>
    <t>Abrigo de parede para hidrante 60x90x17cm sobrepor, em chapa de aço com pintura eletrostática vermelha, visor transparente e inscrição "HIDRANTE", registro globo angular 45º 2.1/2? (63mm), adaptador em latão storz engate rápido 2.1/2?, mangueira de incêndio 20m ? 2.1/2? ? Tipo 2, com acoplamento em latão e esguicho regulável em latão 2.1/2? em latão, fornecimento e instalação</t>
  </si>
  <si>
    <t>Hidrante de recalque no passeio, composto por caixa metálica 40x60x40 cm, com registro globo angular 90º DN 65 mm (2.1/2?), adaptador Storz para engate rápido e tampão Storz com corrente de segurança, para conexão de viatura do Corpo de Bombeiros ao sistema de combate a incêndio</t>
  </si>
  <si>
    <t>Placa de sinalização de segurança do tipo ?SAÍDA DE EMERGÊNCIA? com seta vertical, conforme Código 14 - 315/158 da ABNT NBR 13434 e Código S3 da NT 14/2010 do Corpo de Bombeiros do Espírito Santo (CBMES)</t>
  </si>
  <si>
    <t>Execução de abrigo para hidrante de recalque no passeio, em caixa de alvenaria 60x40x40 cm com blocos de concreto, incluindo registro angular Ø 65 mm (2 ½"), interligado à rede de incêndio, e tampa de ferro fundido 40x40 cm com moldura metálica e inscrição ?INCÊNDIO? pintada com tinta esmalte sintético vermelha a duas demãoes e uma demão de fundo anticorrosivo e lastro de brita 5cm</t>
  </si>
  <si>
    <t>Tubo de aço carbono galvanizado, com costura, classe leve, diâmetro 50mm (2"), inclusive pintura com uma demão de primer Epoxi e duas demãos de tinta à base de Epoxi na cor vermelha</t>
  </si>
  <si>
    <t>Tubo de aço carbono galvanizado, com costura, classe leve, diâmetro 65mm (2.1/2"), inclusive pintura com uma demão de primer Epoxi e duas demãos de tinta à base de Epoxi na cor vermelha</t>
  </si>
  <si>
    <t>Tubo de aço carbono galvanizado, com costura, classe leve, diâmetro 80mm (3"), inclusive pintura com uma demão de primer Epoxi e duas demãos de tinta à base de Epoxi na cor vermelha</t>
  </si>
  <si>
    <t>Tubo de aço carbono galvanizado, com costura, classe leve, diâmetro 100mm (4"), inclusive pintura com uma demão de primer Epoxi e duas demãos de tinta à base de Epoxi na cor vermelha</t>
  </si>
  <si>
    <t>Registro de gaveta bruto diâmetro 2" (50mm), volante em aço com acabamento pintura epóxi vermelha ? Docol, Deca ou equivalente</t>
  </si>
  <si>
    <t>Registro de gaveta bruto diâmetro 2.1/2" (65mm), volante em aço com acabamento pintura epóxi vermelha ? Docol, Deca ou equivalente</t>
  </si>
  <si>
    <t>Registro de gaveta bruto diâmetro 3" (75mm) , volante em aço com acabamento pintura epóxi vermelha ? Docol, Deca ou equivalente</t>
  </si>
  <si>
    <t>Registro de gaveta bruto diâmetro 4" (100mm), volante em aço com acabamento pintura epóxi vermelha ? Docol, Deca ou equivalente</t>
  </si>
  <si>
    <t>Tê de ferro fundido maleável 90º classe leve, diâmetro 50mm (2"), inclusive pintura com uma demão de primer Epoxi e duas demãos de tinta à base de Epoxi na cor vermelha</t>
  </si>
  <si>
    <t>Tê de ferro fundido maleável 90º classe leve, diâmetro 65mm (2.1/2"), inclusive pintura com uma demão de primer Epoxi e duas demãos de tinta à base de Epoxi na cor vermelha</t>
  </si>
  <si>
    <t>Tê de ferro fundido maleável 90º classe leve, diâmetro 80mm (3"), inclusive pintura com uma demão de primer Epoxi e duas demãos de tinta à base de Epoxi na cor vermelha</t>
  </si>
  <si>
    <t>Tê de ferro fundido maleável 90º classe leve, diâmetro 100mm (4"), inclusive pintura com uma demão de primer Epoxi e duas demãos de tinta à base de Epoxi na cor vermelha</t>
  </si>
  <si>
    <t>Cotovelo de ferro fundido maleável 90º classe leve, diâmetro 50mm (2"), inclusive pintura com uma demão de primer Epoxi e duas demãos de tinta à base de Epoxi na cor vermelha</t>
  </si>
  <si>
    <t>Cotovelo de ferro fundido maleável 90º classe leve, diâmetro 65mm (2.1/2"), inclusive pintura com uma demão de primer Epoxi e duas demãos de tinta à base de Epoxi na cor vermelha</t>
  </si>
  <si>
    <t>Cotovelo de ferro fundido maleável 90º classe leve, diâmetro 80mm (3"), inclusive pintura com uma demão de primer Epoxi e duas demãos de tinta à base de Epoxi na cor vermelha</t>
  </si>
  <si>
    <t>Cotovelo de ferro fundido maleável 90º classe leve, diâmetro 100mm (4"), inclusive pintura com uma demão de primer Epoxi e duas demãos de tinta à base de Epoxi na cor vermelha</t>
  </si>
  <si>
    <t>Cotovelo de ferro fundido maleável 45º classe leve, diâmetro 50mm (2"), inclusive pintura com uma demão de primer Epoxi e duas demãos de tinta à base de Epoxi na cor vermelha</t>
  </si>
  <si>
    <t>Cotovelo de ferro fundido maleável 45º classe leve, diâmetro 65mm (2.1/2"), inclusive pintura com uma demão de primer Epoxi e duas demãos de tinta à base de Epoxi na cor vermelha</t>
  </si>
  <si>
    <t>Cotovelo de ferro fundido maleável 45º classe leve, diâmetro 80mm (3"), inclusive pintura com uma demão de primer Epoxi e duas demãos de tinta à base de Epoxi na cor vermelha</t>
  </si>
  <si>
    <t>Cotovelo de ferro fundido maleável 45º classe leve, diâmetro 100mm (4"), inclusive pintura com uma demão de primer Epoxi e duas demãos de tinta à base de Epoxi na cor vermelha</t>
  </si>
  <si>
    <t>Válvula de retenção horizontal em bronze, tipo portinhola diâmetro 2" (50mm), inclusive pintura com uma demão de primer Epoxi e duas demãos de tinta à base de Epoxi na cor vermelha</t>
  </si>
  <si>
    <t>Válvula de retenção horizontal em bronze, tipo portinhola diâmetro 2.1/2" (65mm), inclusive pintura com uma demão de primer Epoxi e duas demãos de tinta à base de Epoxi na cor vermelha</t>
  </si>
  <si>
    <t>Válvula de retenção horizontal em bronze, tipo portinhola diâmetro 3" (75mm), inclusive pintura com uma demão de primer Epoxi e duas demãos de tinta à base de Epoxi na cor vermelha</t>
  </si>
  <si>
    <t>Válvula de retenção horizontal em bronze, tipo portinhola diâmetro 4" (100mm), inclusive pintura com uma demão de primer Epoxi e duas demãos de tinta à base de Epoxi na cor vermelha</t>
  </si>
  <si>
    <t>Válvula de retenção vertical em bronze, classe 125 diâmetro 2" (50mm), inclusive pintura com uma demão de primer Epoxi e duas demãos de tinta à base de Epoxi na cor vermelha</t>
  </si>
  <si>
    <t>Válvula de retenção vertical em bronze, classe 125 diâmetro 2.1/2" (65mm), inclusive pintura com uma demão de primer Epoxi e duas demãos de tinta à base de Epoxi na cor vermelha</t>
  </si>
  <si>
    <t>Válvula de retenção vertical em bronze, classe 125 diâmetro 3" (75mm), inclusive pintura com uma demão de primer Epoxi e duas demãos de tinta à base de Epoxi na cor vermelha</t>
  </si>
  <si>
    <t>Válvula de retenção vertical em bronze, classe 125 diâmetro 4" (100mm), inclusive pintura com uma demão de primer Epoxi e duas demãos de tinta à base de Epoxi na cor vermelha</t>
  </si>
  <si>
    <t>Tanque de pressurização/cilindro de pressão, capacidade de 10 litros, fornecimento (vazio) e instalação, exclusive conexões</t>
  </si>
  <si>
    <t>Fornecimento e instalação de Bateria estacionária 12V - 60 AH, para centrais de alarme / iluminação de emergência, Moura ou equivalente</t>
  </si>
  <si>
    <t>Conjunto completo de Porta corta-fogo simples para saída de emergência Dim.: 100x210x5cm, conforme ABNT NBR 11742, classe P-90, chapa de aço galvanizada 24 com revestimento interno de fibra de manta cerâmica de baixa densidade, fechamento automático, inclusive contra-marco, três (3) dobradiças tipo mola com parafusos sextavados, barra antipânico e fechadura tipo trinco sobrepor sem chave, sinalização e pintura de acabamento</t>
  </si>
  <si>
    <t>Abrigo de parede para hidrante 80x90x17cm sobrepor, em chapa de aço com pintura eletrostática vermelha, visor transparente e inscrição "HIDRANTE", registro globo angular 45º 2.1/2? (63mm), adaptador em latão storz engate rápido 2.1/2?, 2 (duas) mangueiras de incêndio 15m ?2.1/2? - Tipo 2 e esguicho regulável em latão 2.1/2?, fornecimento e instalação</t>
  </si>
  <si>
    <t>Central de Alarme de Incêndio Endereçável, com capacidade para até 256 endereços, distribuídos em 4 laços, incluindo fornecimento, instalação e configuração completa</t>
  </si>
  <si>
    <t>Acionador manual de alarme de incêndio endereçável, tipo quebra-vidro, na cor vermelha, incluso martelo ? Fornecimento, instalação e configuração</t>
  </si>
  <si>
    <t>Detector de fumaça óptico (fotoelétrico) endereçável, alimentação bivolt 12/24V ? Fornecimento, instalação e configuração</t>
  </si>
  <si>
    <t>Sirene eletrônica média tipo corneta em ABS, IP52 ? 12 e 24V ? Fornecimento e instalação</t>
  </si>
  <si>
    <t>Instalação de Linha frigorígena para interligação do sistema de climatização incl. acessórios de fixação, fita PVC auto-aderente e cabo PP, exclusive tubos de cobre da linha liquida e sucção, espuma elastomérica flexivel, exclusive gás refrigerante</t>
  </si>
  <si>
    <t>Reservatório de polietileno de 500 L, exclusive adaptadores com flanges de PVC e torneira de bóia</t>
  </si>
  <si>
    <t>Filtro de água curto Aqualar AP200, inclusive refil ? 3M ou equivalente</t>
  </si>
  <si>
    <t>Tanque em Mármore Sintético Duplo 102x50cm com dois bojo 37 Litros, inclusive vávula em PVC 2.1/4? com unho, sifão sanfonado em PVC ajustável flexível multiuso 66 cm e fixação em cantoneira de ferro 1" x 1/8"</t>
  </si>
  <si>
    <t>Reservatório de polietileno de 310 L, exclusive adaptadores com flanges de PVC e torneira de bóia</t>
  </si>
  <si>
    <t>Reservatório de polietileno de 1.500 L, exclusive adaptadores com flanges de PVC e torneira de bóia</t>
  </si>
  <si>
    <t>Reservatório de polietileno de 3.000 L, exclusive adaptadores com flanges de PVC e torneira de bóia</t>
  </si>
  <si>
    <t>Reservatório de polietileno de 2.000 L, exclusive adaptadores com flanges de PVC e torneira de bóia</t>
  </si>
  <si>
    <t>Tanque Simples em Mármore Sintético 60x50cm com um bojo 34 Litros, inclusive vávula em PVC 2.1/4? com unho, sifão sanfonado em PVC ajustável flexível multiuso 66 cm e parafusos de fixação</t>
  </si>
  <si>
    <t>Bebedouro elétrico de pressão para acessibilidade BDF300 PNE ? IBBL ou equivalente</t>
  </si>
  <si>
    <t>Tanque cilíndrico vertical em polietileno, capacidade de 20.000 litros, com boca de inspeção 60cm, tampa de 1/4 de volta e vedação total, inclusive transporte horizontal manual até base de torre, transporte vertical com guindaste hidráulico</t>
  </si>
  <si>
    <t>Barra de apoio reta, em aço inox polido AISI 304, comprimento 40 cm, conforme requisitos de acessibilidade da NBR 9050 - fornecimento e instalação</t>
  </si>
  <si>
    <t>Barra de apoio reta, em aço inox polido AISI 304, comprimento 60 cm, conforme requisitos de acessibilidade da NBR 9050 - fornecimento e instalação</t>
  </si>
  <si>
    <t>Barra de apoio reta, em aço inox polido AISI 304, comprimento 80 cm, conforme requisitos de acessibilidade da NBR 9050 - fornecimento e instalação</t>
  </si>
  <si>
    <t>Barra de apoio reta, em aço inox polido AISI 304, comprimento 90 cm, conforme requisitos de acessibilidade da NBR 9050 - fornecimento e instalação</t>
  </si>
  <si>
    <t>Barra de apoio articulada, em aço inox polido AISI 304, comprimento 80 cm, conforme requisitos de acessibilidade da NBR 9050 - fornecimento e instalação</t>
  </si>
  <si>
    <t>Assento poliéster convencional branco com fixação cromada com proteção antibactéria, Vogue Plus - AP.51.17 - Deca ou equivalente</t>
  </si>
  <si>
    <t>Kit composto por (02) duas Barra de apoio lateral fixa em formato "U", em aço inox polido AISI 304, 30 cm, para instalação em lavatórios, conforme requisitos de acessibilidade da NBR 9050 - fornecimento e instalação</t>
  </si>
  <si>
    <t>Barra de apoio reta, em aço inox polido AISI 304, comprimento 70 cm, conforme requisitos de acessibilidade da NBR 9050 - fornecimento e instalação</t>
  </si>
  <si>
    <t>Arandela para lâmpada led bivolt E27, luz branca - formato tradicional</t>
  </si>
  <si>
    <t>Assentamento de meio-fio pré-moldado de concreto com dimensões de 15 x 12 x 30 x 100 cm, rejuntado com argamassa de cimento e areia no traço 1:3</t>
  </si>
  <si>
    <t>Execução de pavimentação com blocos intertravados de concreto tipo pavi-s, espessura de 8 cm e resistência mínima de 35 MPa, assentados sobre colchão de pó de pedra de 10 cm, com rejuntamento em areia, compactação com placa vibratória e cortes com cortadora de piso</t>
  </si>
  <si>
    <t>Execução de passeio cimentado com acabamento camurçado, em argamassa traço 1:3 (cimento e areia) com 1,5 cm de espessura, sobre lastro de concreto de 8 cm, incluindo preparo da caixa.</t>
  </si>
  <si>
    <t>Execução de pavimentação com blocos intertravados de concreto tipo pavi-s, espessura de 10 cm e resistência mínima de 35 MPa, assentados sobre colchão de pó de pedra de 10 cm, com rejuntamento em areia, compactação com placa vibratória e cortes com cortadora de piso</t>
  </si>
  <si>
    <t>Execução de lastro de brita nº 2, aplicado sob passeios e ciclovias, compreendendo a escavação do terreno natural, nivelamento e compactação mecânica da base, bem como o fornecimento, espalhamento e regularização da camada de brita</t>
  </si>
  <si>
    <t>Execução de meio-fio de concreto moldado in loco, com dimensões de 10 x 30 cm, utilizando fôrmas de chapa compensada resinada de 6 mm, incluindo escavação, reaterro e bota-fora</t>
  </si>
  <si>
    <t>Blocos pré-moldados de concreto intertravados tipo pavi-s ou equivalente, espessura de 6 cm e resistência a compressão mínima de 35MPa, assentados sobre colchão de pó de pedra na espessura de 10 cm e rejuntamento com areia, utilizando compactador de placa vibratória e cortadora de piso</t>
  </si>
  <si>
    <t>Fornecimento e assentamento de ladrilho hidráulico pastilhado (tátil de alerta), vermelho, dim. 20x20 cm, esp. 1.5cm, assentado com pasta de cimento colante AC-I, exclusive regularização e lastro</t>
  </si>
  <si>
    <t>Fornecimento e assentamento de ladrilho hidráulico ranhurado (tátil direcional), vermelho, dim. 20x20 cm, esp. 1.5cm, assentado com pasta de cimento colante AC-I, exclusive regularização e lastro</t>
  </si>
  <si>
    <t>Limpeza de pisos e revestimentos cerâmicos, utilizando detergente neutro, escovação manual e vassoura a seco</t>
  </si>
  <si>
    <t>Fôrma chapas de madeira compensada resinada, de 12 mm de espessura, levando-se em conta a utilização 3 vezes, reforçadas com sarrafos de madeira de 2.5 x 10.0 cm (incl. material, montagem, escoramento com pontaletes 8x8cm e desf.)</t>
  </si>
  <si>
    <t>Sifão sanfonado em PVC ajustável flexível multiuso 66 cm - fornecimento e instalação</t>
  </si>
  <si>
    <t>Pintura de superfície metálica, tubo diâmetro 2" com uma demão de primer Epoxi e duas demãos de tinta à base de Epoxi</t>
  </si>
  <si>
    <t>Pintura de superfície metálica, tubo diâmetro 3" com uma demão de primer Epoxi e duas demãos de tinta à base de Epoxi</t>
  </si>
  <si>
    <t>Pintura de superfície metálica em conexões de diâmetro 2" (50mm) com uma demão de primer Epoxi e duas demãos de tinta à base de Epoxi</t>
  </si>
  <si>
    <t>Pintura de superfície metálica em conexões de diâmetro 2.1/2" (65mm) com uma demão de primer Epoxi e duas demãos de tinta à base de Epoxi</t>
  </si>
  <si>
    <t>Pintura de superfície metálica em conexões de diâmetro 3" (80mm) com uma demão de primer Epoxi e duas demãos de tinta à base de Epoxi</t>
  </si>
  <si>
    <t>Pintura de superfície metálica em conexões de diâmetro 4" (100mm) com uma demão de primer Epoxi e duas demãos de tinta à base de Epoxi</t>
  </si>
  <si>
    <t>Pintura de superfície metálica, tubo diâmetro 2.1/2" com uma demão de primer Epoxi e duas demãos de tinta à base de Epoxi</t>
  </si>
  <si>
    <t>Limpeza de piso cerâmico ou porcelanato com vassoura a seco</t>
  </si>
  <si>
    <t>Limpeza de piso e revestimento cerâmico, utilizando detergente neutro e escovação manual</t>
  </si>
  <si>
    <t>Limpeza de revestimento cerâmico em parede utilizando detergente neutro e escovação manual</t>
  </si>
  <si>
    <t>Limpeza de superfície com jato de alta pressão</t>
  </si>
  <si>
    <t>Guindaste hidráulico autopropelido, com lança telescópica 40 m, capacidade máxima 60 t, potência 260 kw - chp diurno</t>
  </si>
  <si>
    <t>Lavadora de alta pressao (lava-jato) para agua fria, pressao de operacao entre 1400 e 1900 lib/pol2, vazao maxima entre 400 e 700 l/h - chp diurno</t>
  </si>
  <si>
    <t>Compactador de solos de percusão (soquete) com motor a gasolina, potência 3 cv - chi diurno</t>
  </si>
  <si>
    <t>Guindaste hidráulico autopropelido, com lança telescópica 40 m, capacidade máxima 60 t, potência 260 kw - chi diurno</t>
  </si>
  <si>
    <t>Guindaste hidráulico autopropelido, com lança telescópica 40 m, capacidade máxima 60 t, potência 260 kw - depreciação.</t>
  </si>
  <si>
    <t>Lavadora de alta pressao (lava-jato) para agua fria, pressao de operacao entre 1400 e 1900 lib/pol2, vazao maxima entre 400 e 700 l/h - depreciação</t>
  </si>
  <si>
    <t>Guindaste hidráulico autopropelido, com lança telescópica 40 m, capacidade máxima 60 t, potência 260 kw - juros</t>
  </si>
  <si>
    <t>Lavadora de alta pressao (lava-jato) para agua fria, pressao de operacao entre 1400 e 1900 lib/pol2, vazao maxima entre 400 e 700 l/h - juros</t>
  </si>
  <si>
    <t>Lavadora de alta pressao (lava-jato) para agua fria, pressao de operacao entre 1400 e 1900 lib/pol2, vazao maxima entre 400 e 700 l/h - manutenção</t>
  </si>
  <si>
    <t>Guindaste hidráulico autopropelido, com lança telescópica 40 m, capacidade máxima 60 t, potência 260 kw - manutenção</t>
  </si>
  <si>
    <t>Lavadora de alta pressao (lava-jato) para agua fria, pressao de operacao entre 1400 e 1900 lib/pol2, vazao maxima entre 400 e 700 l/h - materiais na operação</t>
  </si>
  <si>
    <t>Guindaste hidráulico autopropelido, com lança telescópica 40 m, capacidade máxima 60 t, potência 260 kw - materiais na operação</t>
  </si>
  <si>
    <t>Guindaste hidráulico autopropelido, com lança telescópica 40 m, capacidade máxima 60 t, potência 260 kw - impostos e seguros</t>
  </si>
  <si>
    <t xml:space="preserve">Projetos Executivos - Administração </t>
  </si>
  <si>
    <t xml:space="preserve">Projetos Executivos - Plenário </t>
  </si>
  <si>
    <t xml:space="preserve">VIGAS BALDRAMES </t>
  </si>
  <si>
    <t xml:space="preserve">TERRENO </t>
  </si>
  <si>
    <t>Calçada</t>
  </si>
  <si>
    <t xml:space="preserve">Preparo do Terreno para Pavimentação </t>
  </si>
  <si>
    <t xml:space="preserve">Aterro Base pavimento térreo - Adm </t>
  </si>
  <si>
    <t xml:space="preserve">Aterro Base pavimento térreo - Plenário </t>
  </si>
  <si>
    <t xml:space="preserve">Remoção de Entulho </t>
  </si>
  <si>
    <t xml:space="preserve">Sapatas - ADM </t>
  </si>
  <si>
    <t xml:space="preserve">Sapatas - Plenário </t>
  </si>
  <si>
    <t xml:space="preserve">Kg </t>
  </si>
  <si>
    <t xml:space="preserve">Almoxarifado </t>
  </si>
  <si>
    <t xml:space="preserve">Perímetro Térreo </t>
  </si>
  <si>
    <t>Mídia</t>
  </si>
  <si>
    <t xml:space="preserve">Fraldário </t>
  </si>
  <si>
    <t xml:space="preserve">Circulação / Sala </t>
  </si>
  <si>
    <t xml:space="preserve">Administração </t>
  </si>
  <si>
    <t>CAIXILHO FIXO DE ALUMÍNIO PARA VIDRO (VIDRO INCLUSO), BATENTE/ REQUADRO DE 4 A 14 CM, SEM GUARNIÇÃO/ ALIZAR, FIXAÇÃO COM PARAFUSOS, VEDAÇÃO COM SILICONE, EXCLUSIVE CONTRAMARCO - FORNECIMENTO E INSTALAÇÃO. AF_11/2024</t>
  </si>
  <si>
    <t>JANELA DE ALUMÍNIO TIPO MAXIM-AR, BATENTE/ REQUADRO 3 A 14 CM, VIDRO INCLUSO, FIXAÇÃO COM PARAFUSO, SEM GUARNIÇÃO/ ALIZAR, DIMENSÕES 60X80 (A X L) CM, SEM ACABAMENTO, VEDAÇÃO COM SILICONE, EXCLUSIVE CONTRAMARCO - FORNECIMENTO E INSTALAÇÃO. AF_11/2024</t>
  </si>
  <si>
    <t>FACHADA CORTINA EM VIDRO NO SISTEMA STICK, CONSIDERANDO MODULAÇÃO DE 1,25 X 3,20 M, COM ABERTURA, ACABAMENTO ANODIZADO OU PINTADO - FORNECIMENTO E INSTALAÇÃO. AF_06/2022</t>
  </si>
  <si>
    <t xml:space="preserve">1°Pavimento </t>
  </si>
  <si>
    <t xml:space="preserve">2°Pavimento </t>
  </si>
  <si>
    <t>Quant.</t>
  </si>
  <si>
    <t xml:space="preserve">Plenária </t>
  </si>
  <si>
    <t>Copa / A. Serviço</t>
  </si>
  <si>
    <t>Térreo</t>
  </si>
  <si>
    <t xml:space="preserve">PNE / Fraldário </t>
  </si>
  <si>
    <t xml:space="preserve">Estrutura do Telhado Administrativo </t>
  </si>
  <si>
    <t xml:space="preserve">Estrutura do Telhado Plenária </t>
  </si>
  <si>
    <t xml:space="preserve">Calha Administrativo </t>
  </si>
  <si>
    <t xml:space="preserve">Calha Plenária </t>
  </si>
  <si>
    <t>Descont.</t>
  </si>
  <si>
    <t xml:space="preserve">Perímetro </t>
  </si>
  <si>
    <t xml:space="preserve">Mídia </t>
  </si>
  <si>
    <t xml:space="preserve">Calçadas Perímetro </t>
  </si>
  <si>
    <t xml:space="preserve">Sala e Circulação Interna Plenária </t>
  </si>
  <si>
    <t xml:space="preserve">Condutor Prédio Plenária </t>
  </si>
  <si>
    <t xml:space="preserve">Condutor Prédio Plenário </t>
  </si>
  <si>
    <t>Banheiro Masculino Administrativo</t>
  </si>
  <si>
    <t xml:space="preserve">Banheiro Masculino Plenário </t>
  </si>
  <si>
    <t xml:space="preserve">FRALDÁRIO </t>
  </si>
  <si>
    <t xml:space="preserve">Sala </t>
  </si>
  <si>
    <t>16.04.03</t>
  </si>
  <si>
    <t xml:space="preserve">Passeio - Preto </t>
  </si>
  <si>
    <t xml:space="preserve">Passeio - Cinza </t>
  </si>
  <si>
    <t>18.01.04</t>
  </si>
  <si>
    <t>17.06</t>
  </si>
  <si>
    <t xml:space="preserve">DIVERSOS INTERNOS </t>
  </si>
  <si>
    <t>17.06.01</t>
  </si>
  <si>
    <t>17.06.02</t>
  </si>
  <si>
    <t>17.06.03</t>
  </si>
  <si>
    <t xml:space="preserve">Guarda - corpo 1° Pavimento </t>
  </si>
  <si>
    <t xml:space="preserve">Escada </t>
  </si>
  <si>
    <t xml:space="preserve">Estrutura do Telhado Acesso </t>
  </si>
  <si>
    <t xml:space="preserve">Teto Vidro Administrativo </t>
  </si>
  <si>
    <t xml:space="preserve">Teto Vidro Acesso </t>
  </si>
  <si>
    <t>BANCADA VEREADORES</t>
  </si>
  <si>
    <t>TOTAL GERAL COM BDI DE 31,01%</t>
  </si>
  <si>
    <t>Acesso</t>
  </si>
  <si>
    <t xml:space="preserve">Estacionamento </t>
  </si>
  <si>
    <t xml:space="preserve">Laje Caixa D'água Administrativo </t>
  </si>
  <si>
    <t xml:space="preserve">Laje Escada Incêndio </t>
  </si>
  <si>
    <t xml:space="preserve">Laje Almoxarifado </t>
  </si>
  <si>
    <t xml:space="preserve">Laje Técnica Plenária </t>
  </si>
  <si>
    <t xml:space="preserve">Procuradoria </t>
  </si>
  <si>
    <t>Téc. Info.</t>
  </si>
  <si>
    <t xml:space="preserve">Assessoria </t>
  </si>
  <si>
    <t xml:space="preserve">Sala Reunião </t>
  </si>
  <si>
    <t xml:space="preserve">Sala Presidência </t>
  </si>
  <si>
    <t>Hall</t>
  </si>
  <si>
    <t>Adm Térreo</t>
  </si>
  <si>
    <t xml:space="preserve">Adm 1° e 2 ° Pavimento </t>
  </si>
  <si>
    <t xml:space="preserve">Gabinete </t>
  </si>
  <si>
    <t xml:space="preserve">Vereador </t>
  </si>
  <si>
    <t xml:space="preserve">Arquivo </t>
  </si>
  <si>
    <t xml:space="preserve">Adm Fachada - Enchimento </t>
  </si>
  <si>
    <t xml:space="preserve">Bloco de Enchimento </t>
  </si>
  <si>
    <t>SUBTOTAL 03</t>
  </si>
  <si>
    <t>SUBTOTAL 06</t>
  </si>
  <si>
    <t>SUBTOTAL 07</t>
  </si>
  <si>
    <t>SUBTOTAL 08</t>
  </si>
  <si>
    <t>SUBTOTAL 09</t>
  </si>
  <si>
    <t>SUBTOTAL 10</t>
  </si>
  <si>
    <t>SUBTOTAL 11</t>
  </si>
  <si>
    <t>SUBTOTAL 12</t>
  </si>
  <si>
    <t>SUBTOTAL 13</t>
  </si>
  <si>
    <t>SUBTOTAL 14</t>
  </si>
  <si>
    <t>SUBTOTAL 15</t>
  </si>
  <si>
    <t>SUBTOTAL 16</t>
  </si>
  <si>
    <t xml:space="preserve">COMP </t>
  </si>
  <si>
    <t xml:space="preserve">QDG CÂMARA MONTADO CONFORME PROJETO ELÉTRICO </t>
  </si>
  <si>
    <t>12.06.10</t>
  </si>
  <si>
    <t>002</t>
  </si>
  <si>
    <t>003</t>
  </si>
  <si>
    <t xml:space="preserve">QGBT MONTADO CONFORME PROJETO ELÉTRICO - ELEVADOR </t>
  </si>
  <si>
    <t xml:space="preserve">QGBT MONTADO CONFORME PROJETO ELÉTRICO - CLIMATIZAÇÃO </t>
  </si>
  <si>
    <t>12.01.03</t>
  </si>
  <si>
    <t>12.01.04</t>
  </si>
  <si>
    <t>12.01.05</t>
  </si>
  <si>
    <t>COMP</t>
  </si>
  <si>
    <t>ARQ-003</t>
  </si>
  <si>
    <t xml:space="preserve">ESCORAMENTO METÁLICO - LAJE NERVURADA </t>
  </si>
  <si>
    <t>MENSAL</t>
  </si>
  <si>
    <t>005</t>
  </si>
  <si>
    <t>006</t>
  </si>
  <si>
    <t>007</t>
  </si>
  <si>
    <t>008</t>
  </si>
  <si>
    <t>009</t>
  </si>
  <si>
    <t>010</t>
  </si>
  <si>
    <t>011</t>
  </si>
  <si>
    <t>TRAVAMENTO DE PILARES T1</t>
  </si>
  <si>
    <t>TRAVAMENTO DE PILARES T2</t>
  </si>
  <si>
    <t xml:space="preserve">TRAVAMENTO DE PILARES T3 </t>
  </si>
  <si>
    <t>ESCORAMENTO DE LAJES E VIGAS T1</t>
  </si>
  <si>
    <t>ESCORAMENTO DE LAJES E VIGAS T2</t>
  </si>
  <si>
    <t>ESCORAMENTO DE LAJES E VIGAS T3</t>
  </si>
  <si>
    <t xml:space="preserve">REESCORAMENTO DE LAJES E VIGAS T1 </t>
  </si>
  <si>
    <t>012</t>
  </si>
  <si>
    <t>REESCORAMENTO DE LAJES E VIGAS T2</t>
  </si>
  <si>
    <t>REESCORAMENTO DE LAJES E VIGAS T3</t>
  </si>
  <si>
    <t>03.03.06</t>
  </si>
  <si>
    <t xml:space="preserve">ESCORAMENTO </t>
  </si>
  <si>
    <t>SUBTOTAL 17</t>
  </si>
  <si>
    <t>SUBTOTAL 18</t>
  </si>
  <si>
    <r>
      <t xml:space="preserve">BDI: </t>
    </r>
    <r>
      <rPr>
        <sz val="10"/>
        <rFont val="Arial"/>
        <family val="2"/>
      </rPr>
      <t>31,01% - Serviços</t>
    </r>
    <r>
      <rPr>
        <b/>
        <sz val="10"/>
        <rFont val="Arial"/>
        <family val="2"/>
      </rPr>
      <t xml:space="preserve">
DATA BASE: mai</t>
    </r>
    <r>
      <rPr>
        <sz val="10"/>
        <rFont val="Arial"/>
        <family val="2"/>
      </rPr>
      <t>/2025</t>
    </r>
  </si>
  <si>
    <t>RESUMO</t>
  </si>
  <si>
    <t xml:space="preserve">CONSTRUÇÃO CÂMARA MUNICIPAL DE CARIACICA </t>
  </si>
  <si>
    <r>
      <t xml:space="preserve">BDI: </t>
    </r>
    <r>
      <rPr>
        <sz val="10"/>
        <rFont val="Arial"/>
        <family val="2"/>
      </rPr>
      <t>31,01% - Serviços</t>
    </r>
    <r>
      <rPr>
        <b/>
        <sz val="10"/>
        <rFont val="Arial"/>
        <family val="2"/>
      </rPr>
      <t xml:space="preserve">
PRAZO DA OBRA: </t>
    </r>
    <r>
      <rPr>
        <sz val="10"/>
        <rFont val="Arial"/>
        <family val="2"/>
      </rPr>
      <t>540 dias</t>
    </r>
    <r>
      <rPr>
        <b/>
        <sz val="10"/>
        <rFont val="Arial"/>
        <family val="2"/>
      </rPr>
      <t xml:space="preserve">
DATA BASE: Mai</t>
    </r>
    <r>
      <rPr>
        <sz val="10"/>
        <rFont val="Arial"/>
        <family val="2"/>
      </rPr>
      <t>/2025</t>
    </r>
  </si>
  <si>
    <t xml:space="preserve">CONSTRUÇÃO SEDE CÂMARA MUNICIPAL DE CARIACICA </t>
  </si>
  <si>
    <t>5 mês</t>
  </si>
  <si>
    <t>6 mês</t>
  </si>
  <si>
    <t>7 mês</t>
  </si>
  <si>
    <t>8 mês</t>
  </si>
  <si>
    <t>9 mês</t>
  </si>
  <si>
    <t>10 mês</t>
  </si>
  <si>
    <t>11 mês</t>
  </si>
  <si>
    <t>12 mês</t>
  </si>
  <si>
    <t>13 mês</t>
  </si>
  <si>
    <t>14 mês</t>
  </si>
  <si>
    <t>15 mês</t>
  </si>
  <si>
    <t>16 mês</t>
  </si>
  <si>
    <t>17 mês</t>
  </si>
  <si>
    <t>18 mês</t>
  </si>
  <si>
    <t>CORTE DE CAPOEIRA FINA, A FOICE (MANUAL)</t>
  </si>
  <si>
    <t>CORTE E DESTOCAMENTO DE ÁRVORES COM DIÂMETRO DE ATÉ 15 CM</t>
  </si>
  <si>
    <t>CORTE E DESTOCAMENTO DE ÁRVORES COM DIÂMETRO SUPERIOR A 30 CM</t>
  </si>
  <si>
    <t>EQUIPE TOPOGRÁFICA PARA SERVIÇOS SIMPLES DE LOCAÇÃO E NIVELAMENTO (INCLUINDO EQUIPAMENTO, TRANSPORTE E PROFISSIONAIS NIVEL MÉDIO)</t>
  </si>
  <si>
    <t>TAPUME TELHA METÁLICA ONDULADA EM AÇO GALVALUME 0,50MM BRANCA H=2,20M, INCL. MONTAGEM ESTR. MAD. 8"X8", C/ADESIVO "DER-ES" 60X60CM A CADA 10M, INCL. FAIXAS PINT. ESMALTE SINT. CORES AZUL C/ H=30CM E ROSA C/ H=10CM (REAPROVEITAMENTO 2X)</t>
  </si>
  <si>
    <t>BARRACÃO PARA ESCRITÓRIO COM SANITÁRIO ÁREA DE 14.50 M2, DE CHAPA DE COMPENS. 12MM E PONTALETE 8X8CM, PISO CIMENTADO E COBERTURA DE TELHA DE FIBROC. 6MM, INCL. PONTO DE LUZ E CX. DE INSPEÇÃO, CONF. PROJETO (1 UTILIZAÇÃO)</t>
  </si>
  <si>
    <t>REFEITÓRIO COM PAREDES DE CHAPA DE COMPENS. 12MM E PONTALETES 8X8CM, PISO CIMENT. E COBERT. DE TELHAS FIBROC. 6MM, INCL. PONTO DE LUZ E CX. DE INSPEÇÃO (CONS. 1.21M2/FUNC./TURNO), CONF. PROJETO (2 UTILIZAÇÃO)</t>
  </si>
  <si>
    <t>BARRACÃO PARA ALMOXARIFADO ÁREA DE 10.90M2, DE CHAPA DE COMPENSADO DE 12MM E PONTALETE 8X8CM, PISO CIMENTADO E COBERTURA DE TELHAS DE FIBROCIMENTO DE 6MM, INCL. PONTO DE LUZ, CONF. PROJETO (1 UTILIZAÇÃO)</t>
  </si>
  <si>
    <t>GALPÃO PARA SERRARIA E CARPINTARIA ÁREA 12.00M2, EM PEÇA DE MADEIRA 8X8CM E CONTRAVENTAMENTO DE 5X7CM, COBERTURA DE TELHA DE FIBROC. DE 6MM, INCLUSIVE PONTO E CABO DE ALIMENTAÇÃO DA MÁQUINA, CONF. PROJETO (1 UTILIZAÇÃO)</t>
  </si>
  <si>
    <t>GALPÃO PARA CORTE E ARMAÇÃO COM ÁREA DE 6.00M2, EM PEÇAS DE MADEIRA 8X8CM E CONTRAVENTAMENTO DE 5X7CM, COBERTURA DE TELHAS DE FIBROC. DE 6MM, INCLUSIVE PONTO E CABO DE ALIMENTAÇÃO DA MÁQUINA, CONF. PROJETO (1 UTILIZAÇÃO)</t>
  </si>
  <si>
    <t>REDE DE ESGOTO, CONTENDO FOSSA E FILTRO, INCLUSIVE TUBOS E CONEXÕES DE LIGAÇÃO ENTRE CAIXAS, CONSIDERANDO DISTÂNCIA DE 25M, CONFORME PROJETO (1 UTILIZAÇÃO)</t>
  </si>
  <si>
    <t>ESCAVAÇÃO MECÂNICA EM MATERIAL DE 1A. CATEGORIA</t>
  </si>
  <si>
    <t>LASTRO DE BRITA 3 E 4, APILOADO MANUALMENTE</t>
  </si>
  <si>
    <t>ATERRO MANUAL PARA REGULARIZAÇÃO DO TERRENO EM ARGILA, INCLUSIVE ADENSAMENTO MANUAL E FORNECIMENTO DO MATERIAL (MÁXIMO DE 100M3)</t>
  </si>
  <si>
    <t>ATERRO COMPACTADO UTILIZANDO COMPACTADOR DE PLACA VIBRATÓRIA COM REAPROVEITAMENTO DO MATERIAL</t>
  </si>
  <si>
    <t>ÍNDICE DE PREÇO PARA REMOÇÃO DE ENTULHO DECORRENTE DA EXECUÇÃO DE OBRAS (CLASSE A CONAMA - NBR 10.004 - CLASSE II-B), INCLUINDO ALUGUEL DA CAÇAMBA, CARGA, TRANSPORTE E DESCARGA EM ÁREA LICENCIADA</t>
  </si>
  <si>
    <t>FÔRMA DE TÁBUA DE MADEIRA DE 2.5X30.0CM, LEVANDO-SE EM CONTA UTILIZAÇÃO 3 VEZES (INCLUINDO O MATERIAL, CORTE, MONTAGEM, ESCORAMENTO E DESFORMA)</t>
  </si>
  <si>
    <t>FORNECIMENTO E APLICAÇÃO DE CONCRETO USINADO FCK=30 MPA - CONSIDERANDO LANÇAMENTO MANUAL PARA INFRA-ESTRUTURA (5% DE PERDAS JÁ INCLUÍDO NO CUSTO)</t>
  </si>
  <si>
    <t>FORNECIMENTO, DOBRAGEM E COLOCAÇÃO EM FÔRMA, DE ARMADURA CA-50 A GROSSA DIÂMETRO DE 12.5 A 25.0 MM (1/2 A 1")</t>
  </si>
  <si>
    <t>FORNECIMENTO E APLICAÇÃO DE CONCRETO USINADO FCK=30 MPA - CONSIDERANDO BOMBEAMENTO (5% DE PERDAS JÁ INCLUÍDO NO CUSTO) (6% DE TAXA P/ CONCR. BOMBEAVEL)</t>
  </si>
  <si>
    <t>FORMA DE CHAPAS MADEIRA COMPENSADA RESINADA, ESP. 12MM, LEVANDO-SE EM CONTA A UTILIZAÇÃO 3 VEZES, REFORÇADAS COM SARRAFOS DE MADEIRA DE 2.5 X 10.0CM (INCL MATERIAL, CORTE, MONTAGEM, ESCORAS EM EUCALIPTO E DESFORMA)</t>
  </si>
  <si>
    <t>EXECUÇÃO DE JUNTA DE DILATAÇÃO 2 X 2 CM CONSIDERANDO 1CM DE APLICAÇÃO DE ISOPOR E 1CM DE APLICAÇÃO DE MASTIQUE ELÁSTICO DO TIPO SIKAFLEX 1A OU EQUIVALENTE</t>
  </si>
  <si>
    <t>LAJE PRÉ-FABRICADA TRELIÇADA (H=8CM), SOBRECARGA 300 KG/M2, VÃO DE 3.5 A 4.3M, CAPEAMENTO 4CM, ELEMENTO DE ENCHIMENTO EM BLOCO CERÂMICO, ESPESSURA FINAL DA LAJE ? 12CM, FCK = 150 KG/CM2</t>
  </si>
  <si>
    <t>ALVENARIA DE VEDAÇÃO COM BLOCOS CERÂMICOS FURADOS 9X19X19CM, ASSENTADOS C/ ARGAMASSA DE CIMENTO, CAL HIDRATADA CH1 E AREIA NO TRAÇO 1:0,5:8, PREPARO COM BETONEIRA, JUNTAS 10MM E ESP. DAS PAREDES S/REVESTIMENTO, 19CM, BLOCO DEITADO (BLOCO COMPRADO FÁBRICA, POSTO OBRA)</t>
  </si>
  <si>
    <t>ELEMENTO VAZADO DE CONCRETO (COBOGÓ) 20 X 20 X 10CM, TIPO CRUZETA,ASSENTADOS COM ARGAMASSA DE CIMENTO E AREIA PENEIRADA NO TRAÇO 1:3, ESPESSURA DAS JUNTAS 15 MM, PREPARO MANUAL</t>
  </si>
  <si>
    <t>DIVISÓRIA SANITÁRIA DE GRANITO CINZA ANDORINHA ESP. 3 CM, FIXADA COM CANTONEIRA DE FERRO CROMADO</t>
  </si>
  <si>
    <t>FORNECIMENTO E MONTAGEM DE DRYWALL MONTADO COM PLACA CIMENTÍCIA E=12,5MM, INCLUSIVE PERFI L = 0,95MM. INCLUSIVE MONTAGEM</t>
  </si>
  <si>
    <t>VERGA/CONTRAVERGA RETA DE CONCRETO ARMADO MOLDADA IN LOCO 10 X 5 CM, FCK = 15 MPA, INCLUSIVE FORMA, ARMAÇÃO E DESFORMA, COMPRIMENTO INFERIOR A 2.0 METROS</t>
  </si>
  <si>
    <t>PORTA EM MADEIRA DE LEI ANGELIM PEDRA OU EQUIVALENTE, ESP. 30 A 35MM C/ ENCHIMENTO EM MADEIRA DE 1ª QUALIDADE, TIPO SARRAFEADA COM VISOR 0,40X0,60 M, INCLUSIVE ALIZARES, DOBRADIÇAS E FECHADURAS TIPO ALAVANCA EM LATÃO CROMADO LA FONTE OU EQUIVALENTE, EXCLUSIVE MARCO, NAS DIMENSÕES: 0,80 X 2,10 M</t>
  </si>
  <si>
    <t>PORTA EM MADEIRA DE LEI TIPO ANGELIM PEDRA OU EQUIVALENTE,ESP. 30 A 35MM C/ ENCHIMENTO EM MADEIRA 1A QUALIDADE, TIPO SARRAFEADA PARA PINTURA, INCLUSIVE ALIZARES, DOBRADIÇAS E FECHADURA TIPO ALAVANCA EM LATÃO CROMADO LAFONTE OU EQUIVALENTE, EXCLUSIVE MARCO, NAS DIMENSÕES: 0,60 X 2,10 M</t>
  </si>
  <si>
    <t>MARCO EM MADEIRA DE LEI TIPO PEROBA, IPÊ, ANGELIM PEDRA OU EQUIVALENTE, COM 15 X 3CM DE BATENTE, NAS DIMENSÕES: 0,80 X 2,10 M</t>
  </si>
  <si>
    <t>MARCO EM MADEIRA DE LEI TIPO PEROBA, IPÊ, ANGELIM PEDRA OU EQUIVALENTE, COM 15 X 3CM DE BATENTE, NAS DIMENSÕES: 0,60 X 2,10 M</t>
  </si>
  <si>
    <t>BRISE EM ALUMÍNIO TUBULAR, COR BRONZE 1002, COM FECHAMENTO EM TUBINHOS HORIZONTAIS, COM ESTRUTURA AUXILIAR DE ALUMÍNIO, COM TUBOS DE 2 X 1.1/2, CONFORME PROJETO.</t>
  </si>
  <si>
    <t>ESPELHO ESPESSURA 4 MM, INCLUINDO CHAPA COMPENSADA 6MM, MOLDURA DE PEÇA DE MADEIRA 7X2.5CM FIXADA COM PARAFUSO E BUCHA CONFORME DETALHE EM PROJETO</t>
  </si>
  <si>
    <t>ESTRUTURA METÁLICA EM AÇO P/ MEZANINOS E PLATAFORMAS, VÃO LIVRE ATÉ 6,00M, ÁREA SUPERIOR A 50 M2, SOBRECARGA 300 KG/M2, PINTURA 01 DEMÃO DE EPOXI FUNDO ÓXIDO DE FERRO + 02 DEMÃOS DE ESMALTE EPOXI BRANCO. REV 03_03/2022</t>
  </si>
  <si>
    <t>PAINEL FIXO DE VIDRO TEMPERADO E = 10MM INCOLOR, INCLUSIVE PERFIS PARA FIXAÇÃO</t>
  </si>
  <si>
    <t>COBERTURA COM TELHA EM AÇO GALVALUME TRAPEZOIDAL 40, ESPESSURA: 0.50 MM, PINTURA COR BRANCA NAS DUAS FACES, INCLUSIVE ACESSÓRIO DE FIXAÇÃO -SANTO ANDRÉ, ETERNIT, METFORM OU EQUIVALENTE</t>
  </si>
  <si>
    <t>RUFO DE CHAPA DE ALUMÍNIO ESP. 0.5MM, LARGURA DE 30CM</t>
  </si>
  <si>
    <t>PLATIBANDA DE ALVENARIA DE BLOCO CERÂMICO 10X20X20CM, ASSENTADO COM ARGAMASSA DE CIMENTO, CAL HIDRATADA CH1 E AREIA NO TRAÇO 1:0,5:8, AMARRADA COM PILARETES EM CONC. ARM. A CADA 2M (H=1.0M), EXCL. REVEST.</t>
  </si>
  <si>
    <t>CERÂMICA RETIFICADA, ACABAMENTO BRILHANTE, DIM. 32X60CM, REF. TRADIZIONALLE BIANCO BIANCOGRES/EQUIV. ASSENTADO COM ARGAMASSA DE CIMENTO COLANTE, INCLUSIVE REJUNTAMENTO COM ARGAMASSAPRE-FABRICADA PARA REJUNTE</t>
  </si>
  <si>
    <t>PISO CIMENTADO LISO COM 1.5 CM DE ESPESSURA, DE ARGAMASSA DE CIMENTO E AREIA NO TRAÇO 1:3 E JUNTAS PLÁSTICAS EM QUADROS DE 1 M</t>
  </si>
  <si>
    <t>PISO ARGAMASSA ALTA RESISTÊNCIA TIPO GRANILITE OU EQUIV DE QUALIDADE COMPROVADA, ESP DE 10MM, COM JUNTAS PLÁSTICA EM QUADROS DE 1M, NA COR NATURAL, COM ACABAMENTO POLIDO MECANIZADO, INCLUSIVE REGULARIZAÇÃO E=3.0CM</t>
  </si>
  <si>
    <t>SOLEIRA DE GRANITO ESP. 2 CM E LARGURA DE 15 CM</t>
  </si>
  <si>
    <t>RODAPÉ DE ARGAMASSA DE ALTA RESISTÊNCIA TIPO GRANILITE OU EQUIVALENTE DE QUALIDADE COMPROVADA, ALTURA DE 10 CM E ESPESSURA DE 10 MM, COM CANTOS BOLEADOS, EXECUTADO COM CIMENTO E GRANITINA GRANA N.1, INCLUSIVE POLIMENTO</t>
  </si>
  <si>
    <t>PADRÃO ENTRADA DÁGUA COM CAIXA ENTERRADA PARA HIDRÔMETRO COM DIÂMETRO DE 1" - PADRÃO 2B DA CESAN. CAIXA EM ALVENARIA 60X80X40CM E COM TAMPA ARTICULADA DE FERRO FUNDIDO, REGISTRO E CONEXÕES PARA INSTALAÇÃO DE HIDRÔMETRO. CONFERIR DETALHE</t>
  </si>
  <si>
    <t>PONTO COM REGISTRO DE PRESSÃO (CHUVEIRO, CAIXA DE DESCARGA, ETC...)</t>
  </si>
  <si>
    <t>PONTO DE TORNEIRA DE JARDIM (PARA PRAÇAS)</t>
  </si>
  <si>
    <t>PONTO PARA RALO SIFONADO, INCLUSIVE RALO SIFONADO 100 X 40 MM C/ GRELHA EM PVC</t>
  </si>
  <si>
    <t>PONTO PARA RALO SECO, INCLUSIVE RALO PVC 10 CM COM GRELHA EM PVC</t>
  </si>
  <si>
    <t>TUBOS DE CONCRETO SIMPLES PS1, DIÂMETRO 200 MM, COM REJUNTAMENTO DE ARGAMASSA DE CIMENTO, CAL HIDRATADA E AREIA NO TRAÇO 1:2:6, INCLUINDO ESCAVAÇÃO E BERÇO, CONF. NORMAS E ESPECIFICAÇÕES.</t>
  </si>
  <si>
    <t>TUBO PVC RÍGIDO PARA ESGOTO NO DIÂMETRO DE 100MM INCLUINDO ESCAVAÇÃO E ATERRO COM AREIA</t>
  </si>
  <si>
    <t>TUBO PVC RÍGIDO PARA ESGOTO NO DIÂMETRO DE 150MM INCLUINDO ESCAVAÇÃO E ATERRO COM AREIA</t>
  </si>
  <si>
    <t>TUBO PVC RÍGIDO PARA ESGOTO NO DIÂMETRO DE 200MM INCLUINDO ESCAVAÇÃO E ATERRO COM AREIA</t>
  </si>
  <si>
    <t>CAIXA DE GORDURA DE ALV. BLOCO CONCRETO 9X19X39CM, DIM.60X60CM E HMÁX=1M, COM TAMPA EM CONCRETO ESP.5CM, LASTRO CONCRETO ESP.10CM, REVESTIDA INTERN. C/ CHAPISCO E REBOCO IMPERMEAB, ESCAVAÇÃO, REATERRO E PAREDE INTERNA EM CONCRETO</t>
  </si>
  <si>
    <t>CAIXA DE AREIA EM ALV. DE BLOCO DE CONCRETO 9X19X39, DIM. 60X60CM E HMÁX=1M, C/ TAMPA EM FERRO FUNDIDO, LASTRO DE CONCRETO ESP. 10CM, REVEST. INT. C/ CHAPISCO E REBOCO IMPERMEABILIZADO, INCL. ESCAVAÇÃO E REATERRO</t>
  </si>
  <si>
    <t>TUBO DE PVC RÍGIDO SOLDÁVEL MARROM, DN 25MM (3/4"), INCLUSIVE CONEXÕES</t>
  </si>
  <si>
    <t>TUBO DE PVC RÍGIDO SOLDÁVEL MARROM, DN 32MM (1"), INCLUSIVE CONEXÕES</t>
  </si>
  <si>
    <t>TUBO DE PVC RÍGIDO SOLDÁVEL MARROM, DN 40MM (1.1/4"), INCLUSIVE CONEXÕES</t>
  </si>
  <si>
    <t>TUBO DE PVC RÍGIDO SOLDÁVEL MARROM, DN 50MM (1.1/2"), INCLUSIVE CONEXÕES</t>
  </si>
  <si>
    <t>TUBO DE PVC RÍGIDO SOLDÁVEL MARROM, DN 60MM (2"), INCLUSIVE CONEXÕES</t>
  </si>
  <si>
    <t>ADAPTADOR DE PVC SOLDÁVEL COM FLANGES LIVRES PARA CAIXA DÁGUA, DIÂMETRO 25MM X 3/4"</t>
  </si>
  <si>
    <t>ADAPTADOR DE PVC SOLDÁVEL COM FLANGES LIVRES PARA CAIXA DÁGUA, DIÂMETRO 32MM X 1"</t>
  </si>
  <si>
    <t>ADAPTADOR DE PVC SOLDÁVEL COM FLANGES LIVRES PARA CAIXA DÁGUA, DIÂMETRO 40MM X 1 1/4"</t>
  </si>
  <si>
    <t>ADAPTADOR DE PVC SOLDÁVEL COM FLANGES LIVRES PARA CAIXA DÁGUA, DIÂMETRO 50MM X 1 1/2"</t>
  </si>
  <si>
    <t>ADAPTADOR DE PVC SOLDÁVEL COM FLANGES LIVRES PARA CAIXA DÁGUA, DIÂMETRO 60MM X 2"</t>
  </si>
  <si>
    <t>TUBO DE PVC RÍGIDO SOLDÁVEL BRANCO, PARA ESGOTO, SÉRIE NORMAL, DIÂMETRO 40MM (1 1/2"), INCLUSIVE CONEXÕES</t>
  </si>
  <si>
    <t>TUBO DE PVC RÍGIDO SOLDÁVEL BRANCO, PARA ESGOTO, SÉRIE NORMAL, DIÂMETRO 50MM (2"), INCLUSIVE CONEXÕES</t>
  </si>
  <si>
    <t>TUBO DE PVC RÍGIDO SOLDÁVEL BRANCO, PARA ESGOTO, SÉRIE NORMAL, DIÂMETRO 75MM (3"), INCLUSIVE CONEXÕES</t>
  </si>
  <si>
    <t>TUBO DE PVC RÍGIDO SOLDÁVEL BRANCO, PARA ESGOTO, SÉRIE NORMAL, DIÂMETRO 100MM (4"), INCLUSIVE CONEXÕES</t>
  </si>
  <si>
    <t>TUBO DE PVC RÍGIDO SOLDÁVEL BRANCO, PARA ESGOTO, SÉRIE NORMAL, DIÂMETRO 150MM (6"), INCLUSIVE CONEXÕES</t>
  </si>
  <si>
    <t>SIFÃO EM PVC PARA PIA DE COZINHA OU LAVATÓRIO 1X11/2"</t>
  </si>
  <si>
    <t>SIFÃO EM PVC PARA TANQUE 2"</t>
  </si>
  <si>
    <t>ENGATE FLEXÍVEL DE PVC PARA LAVATÓRIO</t>
  </si>
  <si>
    <t>ABERTURA E FECHAMENTO DE RASGOS EM ALVENARIA, PARA PASSAGEM DE TUBULAÇÕES, DIÂM. 1/2" A 1"</t>
  </si>
  <si>
    <t>ABERTURA E FECHAMENTO DE RASGOS EM ALVENARIA, PARA PASSAGEM DE TUBULAÇÕES, DIÂM. 11/4" A 2"</t>
  </si>
  <si>
    <t>ABERTURA E FECHAMENTO DE RASGOS EM CONCRETO, PARA PASSAGEM DE TUBULAÇÕES, DIÂM. 1/2" A 1"</t>
  </si>
  <si>
    <t>ABERTURA E FECHAMENTO DE RASGOS EM CONCRETO, PARA PASSAGEM DE TUBULAÇÕES, DIÂM. 11/4" A 2"</t>
  </si>
  <si>
    <t>FURO MECANIZADO EM CONCRETO, COM MARTELO DEMOLIDOR ELÉTRICO, PARA PASSAGEM DE INSTALAÇÕES HIDRÁULICAS, DIÂMETROS MAIORES 1.1/2" E MENORES OU IGUAIS A 3"</t>
  </si>
  <si>
    <t>CM</t>
  </si>
  <si>
    <t>QUADRO DISTRIB. ENERGIA, EMBUTIDO OU SEMI EMBUTIDO, CAPAC. P/ 56 DISJ. DIN, C/BARRAM TRIF. 225A BARRA. NEUTRO E TERRA, FAB. EM CHAPA DE AÇO 12 USG COM PORTA, ESPELHO, TRINCO COM FECHAD CH</t>
  </si>
  <si>
    <t>CAIXA DE ATERRAMENTO DE CONCRETO SIMPLES, NAS DIMENSÕES DE 30X30X25CM, COM REVEST. INT. EM CHAPISCO E REBOCO, TAMPA DE CONCRETO ESP.5CM E LASTRO DE BRITA ESP. 5 CM, INCL. HASTE 5/8"X2400MM</t>
  </si>
  <si>
    <t>CAIXA DE PASSAGEM 150X150X80MM, CHAPA 18, COM TAMPA PARAFUSADA</t>
  </si>
  <si>
    <t>CAIXA DE PASSAGEM 200X200X100MM, CHAPA 18, COM TAMPA PARAFUSADA</t>
  </si>
  <si>
    <t>ELETROCALHA PERFURADA EM CHAPA DE AÇO GALVANIZADO Nº16, 200X100MM, SEM TAMPA</t>
  </si>
  <si>
    <t>TAMPA DE ENCAIXE PARA ELETROCALHA EM CHAPA DE AÇO GALVANIZADA 18, DIM. 200MM</t>
  </si>
  <si>
    <t>JUNÇÃO SIMPLES PARA ELETROCALHA METÁLICA 200X100MM, GALVANIZADA, REF. MEGA MG 2760 OU EQUIVALENTE</t>
  </si>
  <si>
    <t>TÊ HORIZONTAL 90º PARA ELETROCALHA METÁLICA 200X100MM, GALVANIZADA, REF. MEGA MG 2570 OU EQUIVALENTE</t>
  </si>
  <si>
    <t>CURVA HORIZONTAL 90º PARA ELETROCALHA METÁLICA, 200X100MM, GALVANIZADA, REF. MEGA MG 2510</t>
  </si>
  <si>
    <t>SUPORTE DE FIXAÇÃO DE ELETROCALHA DE 200X100MM, NA PAREDE, ATRAVÉS DE SUPORTE TIPO MÃO FRANCESA SIMPLES (1 UND), PARAFUSO E BUCHA S8 (2UND)</t>
  </si>
  <si>
    <t>ELETRODUTO DE PVC RÍGIDO ROSCÁVEL, DIÂMETRO 3/4", INCLUSIVE CONEXÕES</t>
  </si>
  <si>
    <t>ELETRODUTO DE PVC RÍGIDO ROSCÁVEL, DIÂMETRO 1", INCLUSIVE CONEXÕES</t>
  </si>
  <si>
    <t>ELETRODUTO DE PVC RÍGIDO ROSCÁVEL, DIÂMETRO 1.1/4", INCLUSIVE CONEXÕES</t>
  </si>
  <si>
    <t>ELETRODUTO DE PVC RÍGIDO ROSCÁVEL, DIÂMETRO 1.1/2", INCLUSIVE CONEXÕES</t>
  </si>
  <si>
    <t>ELETRODUTO DE PVC RÍGIDO ROSCÁVEL, DIÂMETRO 2", INCLUSIVE CONEXÕES</t>
  </si>
  <si>
    <t>MINI-DISJUNTOR BIPOLAR 16A, CURVA C, 5KA, 127/220VCA, REFERÊNCIA SIEMENS, GE, SCHNEIDER OU EQUIVALENTE</t>
  </si>
  <si>
    <t>MINI-DISJUNTOR BIPOLAR 20A, CURVA C, 5KA, 127/220VCA, REFERÊNCIA SIEMENS, GE, SCHNEIDER OU EQUIVALENTE</t>
  </si>
  <si>
    <t>MINI-DISJUNTOR BIPOLAR 50A, CURVA C, 5KA, 127/220VCA, REFERÊNCIA SIEMENS, GE, SCHNEIDER OU EQUIVALENTE</t>
  </si>
  <si>
    <t>MINI-DISJUNTOR TRIPOLAR 16A, CURVA C, 5KA, 127/220VCA, REFERÊNCIA SIEMENS, GE, SCHNEIDER OU EQUIVALENTE</t>
  </si>
  <si>
    <t>MINI-DISJUNTOR TRIPOLAR 50A, CURVA C, 5KA, 127/220VCA, REFERÊNCIA SIEMENS, GE, SCHNEIDER OU EQUIVALENTE</t>
  </si>
  <si>
    <t>MINI-DISJUNTOR BIPOLAR 25A, CURVA C, 5KA, 127/220VCA, REFERÊNCIA SIEMENS, GE, SCHNEIDER OU EQUIVALENTE</t>
  </si>
  <si>
    <t>MINI-DISJUNTOR BIPOLAR 32A, CURVA C, 5KA, 127/220VCA, REFERÊNCIA SIEMENS, GE, SCHNEIDER OU EQUIVALENTE</t>
  </si>
  <si>
    <t>MINI-DISJUNTOR BIPOLAR 40A, CURVA C, 5KA, 127/220VCA, REFERÊNCIA SIEMENS, GE, SCHNEIDER OU EQUIVALENTE</t>
  </si>
  <si>
    <t>DISJUNTOR CAIXA MOLDADA TERMOMAGNETICO FIXO, TRIPOLAR 200A, ICU: 50KA, 400/500VCA, REFERÊNCIA SIEMENS, SOPRANO, SCHNEIDER OU EQUIVALENTE</t>
  </si>
  <si>
    <t>DISPOSITIVO DE PROTEÇÃO CONTRA SURTO (DPS) BIPOLAR, 40KA, 275VCA, REFERÊNCIA SIEMENS, STECK, CLAMPER OU EQUIVALENTE</t>
  </si>
  <si>
    <t>INTERRUPTOR DIFERENCIAL BIPOLAR DR 25A, 30MA ? 6KA, REFERÊNCIA SIEMENS, SCHNEIDER, WEG OU EQUIVALENTE</t>
  </si>
  <si>
    <t>CABO DE COBRE TERMOPLÁSTICO (PVC) FLEXÍVEL ISOLADO 450/750V, ANTICHAMA BWF LIVRE DE CHUMBO, 70ºC - 1,5MM2</t>
  </si>
  <si>
    <t>CABO DE COBRE TERMOPLÁSTICO (PVC) FLEXÍVEL ISOLADO 450/750V, ANTICHAMA BWF LIVRE DE CHUMBO, 70ºC - 2,5MM2</t>
  </si>
  <si>
    <t>CABO DE COBRE TERMOPLÁSTICO (PVC) FLEXÍVEL ISOLADO 450/750V, ANTICHAMA BWF LIVRE DE CHUMBO, 70ºC ? 4,0MM2</t>
  </si>
  <si>
    <t>CABO DE COBRE TERMOPLÁSTICO (PVC) FLEXÍVEL ISOLADO 450/750V, ANTICHAMA BWF LIVRE DE CHUMBO, 70ºC ? 6,0MM2</t>
  </si>
  <si>
    <t>CABO DE COBRE TERMOPLÁSTICO (PVC) FLEXÍVEL ISOLADO 450/750V, ANTICHAMA BWF LIVRE DE CHUMBO, 70ºC ? 10,0MM2</t>
  </si>
  <si>
    <t>CABO DE COBRE TERMOPLÁSTICO (PVC) FLEXÍVEL ISOLADO 450/750V, ANTICHAMA BWF LIVRE DE CHUMBO, 70ºC ? 16,0MM2</t>
  </si>
  <si>
    <t>CABO DE COBRE TERMOPLÁSTICO (PVC) FLEXÍVEL ISOLADO 450/750V, ANTICHAMA BWF LIVRE DE CHUMBO, 70ºC ? 25,0MM2</t>
  </si>
  <si>
    <t>CABO DE COBRE TERMOPLÁSTICO (PVC) FLEXÍVEL ISOLADO 0,60/1KV, ANTICHAMA, HEPR 90ºC ? 150,0MM2</t>
  </si>
  <si>
    <t>CABO DE COBRE TERMOPLÁSTICO (PVC) FLEXÍVEL ISOLADO 0,60/1KV, ANTICHAMA, HEPR 90ºC ? 240,0MM2</t>
  </si>
  <si>
    <t>HASTE DE TERRA TIPO COPPERWELD - 5/8" X 2.40M</t>
  </si>
  <si>
    <t>BUCHA E ARRUELA DE ALUMÍNIO FUNDIDO DIÂMETRO 20MM (3/4")</t>
  </si>
  <si>
    <t>ABERTURA E FECHAMENTO DE RASGOS EM ALVENARIA, PARA PASSAGEM DE ELETRODUTO DIÂM. 1 1/4"A 2"</t>
  </si>
  <si>
    <t>ABERTURA E FECHAMENTO DE RASGOS EM CONCRETO, PARA PASSAGEM DE ELETRODUTO DIÂM. 1 1/4" A 2"</t>
  </si>
  <si>
    <t>SUBESTAÇÃO EXT. AÉREA TRIFÁS. 225KVA, COMPLETA, C/ QUADROS DE MEDIÇÃO, TRANSF. A ÓLEO, CHAVE GERAL TRIP., POSTE E ACESSÓRIOS, CONF. NOR-TEC-01 DA ESCELSA, INCL. MURETA REV. C/ ARG. CIMENTO, CAL HIDRAT. CH1 E AREIA TRAÇO 1:0.5:6</t>
  </si>
  <si>
    <t>PONTO PADRÃO DE LUZ NA PAREDE - CONSIDERANDO ELETRODUTO PVC RÍGIDO DE 3/4" INCLUSIVE CONEXÕES (4.5M), FIO ISOLADO PVC DE 2.5MM2 (16.2M) E CAIXA PVC 4X2" (1 UND)</t>
  </si>
  <si>
    <t>PONTO PADRÃO DE TOMADA 2 PÓLOS MAIS TERRA - CONSIDERANDO ELETRODUTO PVC RÍGIDO DE 3/4" INCLUSIVE CONEXÕES (5.0M), FIO ISOLADO PVC DE 2.5MM2 (16.5M) E CAIXA PVC 4X2" (1 UND)</t>
  </si>
  <si>
    <t>PONTO PADRÃO DE TOMADA PARA CHUVEIRO ELÉTRICO - CONSIDERANDO ELETRODUTO PVC RÍGIDO DE 3/4" INCLUSIVE CONEXÕES (9.0M), FIO ISOLADO PVC DE 6.0MM2 (32.5M) E CAIXA PVC 4X2" (1 UND)</t>
  </si>
  <si>
    <t>PONTO PADRÃO DE TOMADA PARA AR REFRIGERADO - CONSIDERANDO ELETRODUTO PVC RÍGIDO DE 3/4" INCLUSIVE CONEXÕES (6.0M), FIO ISOLADO PVC DE 4.0MM2 (21.6M) E CAIXA PVC 4X2" (1 UND)</t>
  </si>
  <si>
    <t>PONTO PADRÃO DE INTERRUPTOR DE 2 TECLAS SIMPLES - CONSIDERANDO ELETRODUTO PVC RÍGIDO DE 3/4" INCLUSIVE CONEXÕES (3.3M), FIO ISOLADO PVC DE 2.5MM2 (17.2M) E CAIXA PVC 4X2" (1 UND)</t>
  </si>
  <si>
    <t>PONTO PADRÃO DE INTERRUPTOR DE 1 TECLA SIMPLES E 1 TOMADA DOIS PÓLOS MAIS TERRA 10A/250V - CONSIDERANDO ELETRODUTO PVC RÍGIDO DE 3/4" INCLUSIVE CONEXÕES (4.5M), FIO ISOLADO PVC DE 2.5MM2 (19.4M) E CAIXA PVC 4X2" (1 UND)</t>
  </si>
  <si>
    <t>PONTO PADRÃO DE POSTE PARA ILUMINAÇÃO EXTERNA - CONSIDERANDO ELETRODUTO PVC RÍGIDO DE 3/4" INCLUSIVE CONEXÕES (7.7M) E FIO ISOLADO PVC DE 2.5MM2 (25.2.0M)</t>
  </si>
  <si>
    <t>PONTO DE ANTENA DE TV - CONSIDERANDO ELETRODUTO PVC RÍGIDO DE 3/4" INCLUSIVE CONEXÕES (3.0M), CABO COAXIAL 67 OHMS (4.5M) E CAIXA PVC 4X2" (1 UND)</t>
  </si>
  <si>
    <t>QUADRO DISTRIB. ENERGIA, EMBUTIDO OU SEMI EMBUTIDO, CAPAC. P/ 44 DISJ. DIN, C/BARRAM TRIF. 100A BARRA. NEUTRO E TERRA, FAB. EM CHAPA DE AÇO 12 USG COM PORTA, ESPELHO, TRINCO COM FECHAD CH YALE, REF. QDTN II-44DIN-CEMAR OU EQUIV</t>
  </si>
  <si>
    <t>CAIXA DE TELEFONE EM CHAPA DE AÇO PADRÃO TELEBRAS N. 6, 1200X1200X150 MM, COM FUNDO DE MADEIRA</t>
  </si>
  <si>
    <t>TOMADA PARA TELEFONE COM CONECTOR RJ 11</t>
  </si>
  <si>
    <t>ATERRAMENTO COM HASTE TERRA 5/8" X 2.40, CABO DE COBRE NU 6MM2, INCLUSIVE CAIXA DE CONCRETO 30 X 30 CM</t>
  </si>
  <si>
    <t>PÁRA-RAIOS TIPO FRANKLIM INCLUINDO BASE DE FIXAÇÃO, CONJUNTO DE CONTRAVENTAGEM C/ABRAÇADEIRA P/3 ESTAIS EM TUBO E DEMAIS ACESSÓRIOS C/EXCEÇÃO DO CABO DE COBRE DE DESCIDA E SUPORTES ISOLADORES</t>
  </si>
  <si>
    <t>CONDUTOR DE COBRE NÚ, SEÇÃO DE 35MM2, INCLUSIVE SUPORTES ISOLADORES E ACESSÓRIOS DE FIXAÇÃO, CONFORME PROJETO</t>
  </si>
  <si>
    <t>CABO CONDUTOR DE COBRE ELETROLÍTICO NU, TEMPERA MEIO DURA, ENCORDOAMENTO CLASSE 2, PARA ATERRAMENTO, DIAM. 50MM2</t>
  </si>
  <si>
    <t>TERMINAL AÉREO EM LATÃO (MINICAPTOR), COM CONECTOR E FIXAÇÃO HORIZONTAL 250MM X 10MM, REF. TEL-2024, INCLUSIVE VEDAÇÃO DOS FUROS COM POLIURETANO REF. TEL 5905, MARCA DE REF. TERMOTÉCNICA OU EQUIVALENTE</t>
  </si>
  <si>
    <t>CONECTOR DE MEDIÇÃO EM LATÃO COM 2 PARAFUSOS PARA CABOS DE 16 A 50 MM2, REF. TEL-562, TERMOTÉCNICA OU EQUIVALENTE</t>
  </si>
  <si>
    <t>MASTRO SIMPLES 3MX1.1/2", UMA DESCIDA, INCL. BASE DE FIXAÇÃO, CAPTOR, CONJ.DE CONTRAVENTAGEM C/ABRAÇADEIRA P/3 ESTAIS EM TUBO E DEMAIS ACESSÓRIOS, EXCL. CABO DE COBRE DE DESCIDA E SUPORTES ISOLADORES, REF.TERMOTÉCNICA OU EQUIV.</t>
  </si>
  <si>
    <t>CAIXA DE EQUALIZAÇÃO DE POTENCIAIS PARA USO INTERNO E EXTERNO COM NOVE (9) TERMINAIS PARA ATERRAMENTO (BEP), EM AÇO, COM FLANGE INFERIOR E VEDAÇÃO NA PORTA, REF. TEL-903, MARCA DE REFERÊNCIA TERMOTÉCNICA OU EQUIVALENTE</t>
  </si>
  <si>
    <t>BARRA CHATA EM ALUMÍNIO 7/8"X1/8" (70MM²), COM FUROS DIÂMETRO 7 MM REF. TEL-771, MARCA DE REFERÊNCIA TERMOTÉCNICA OU EQUIVALENTE</t>
  </si>
  <si>
    <t>ABRIGO DE PAREDE PARA HIDRANTE 60X90X17CM SOBREPOR, EM CHAPA DE AÇO COM PINTURA ELETROSTÁTICA VERMELHA, VISOR TRANSPARENTE E INSCRIÇÃO "HIDRANTE", REGISTRO GLOBO ANGULAR 45º 2.1/2? (63MM), ADAPTADOR EM LATÃO STORZ ENGATE RÁPIDO 2.1/2?, MANGUEIRA DE INCÊNDIO 20M ? 2.1/2? ? TIPO 2, COM ACOPLAMENTO EM LATÃO E ESGUICHO REGULÁVEL EM LATÃO 2.1/2? EM LATÃO, FORNECIMENTO E INSTALAÇÃO</t>
  </si>
  <si>
    <t>EXTINTOR DE INCÊNDIO DE ÁGUA PRESSURIZADA CAPACIDADE 2A (10L), INCLUSIVE SUPORTE DE PAREDE UNIVERSAL, PARAFUSO E BUCHA S8, EXCLUSIVE PLACA SINALIZADORA EM PVC FOTOLUMINESCENTE E PINTURA DE SINALIZAÇÃO</t>
  </si>
  <si>
    <t>EXTINTOR DE INCÊNDIO PORTÁTIL DE PÓ QUÍMICO ABC COM CAPACIDADE 2A-20B:C (6 KG), INCLUSIVE SUPORTE DE PAREDE UNIVERSAL, PARAFUSO E BUCHA S8, EXCLUSIVE PLACA SINALIZADORA EM PVC FOTOLUMINESCENTE E PINTURA DE SINALIZAÇÃO</t>
  </si>
  <si>
    <t>PLACA DE SINALIZAÇÃO DE SEGURANÇA DO TIPO ?SAÍDA DE EMERGÊNCIA? COM SETA VERTICAL, CONFORME CÓDIGO 14 - 315/158 DA ABNT NBR 13434 E CÓDIGO S3 DA NT 14/2010 DO CORPO DE BOMBEIROS DO ESPÍRITO SANTO (CBMES)</t>
  </si>
  <si>
    <t>CONJUNTO COMPLETO DE PORTA CORTA-FOGO SIMPLES PARA SAÍDA DE EMERGÊNCIA DIM.: 90X210X5CM, CONFORME ABNT NBR 11742, CLASSE P-90,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t>
  </si>
  <si>
    <t>TUBO DE AÇO CARBONO GALVANIZADO, COM COSTURA, CLASSE LEVE, DIÂMETRO 50MM (2"), INCLUSIVE PINTURA COM UMA DEMÃO DE PRIMER EPOXI E DUAS DEMÃOS DE TINTA À BASE DE EPOXI NA COR VERMELHA</t>
  </si>
  <si>
    <t>TUBO DE AÇO CARBONO GALVANIZADO, COM COSTURA, CLASSE LEVE, DIÂMETRO 65MM (2.1/2"), INCLUSIVE PINTURA COM UMA DEMÃO DE PRIMER EPOXI E DUAS DEMÃOS DE TINTA À BASE DE EPOXI NA COR VERMELHA</t>
  </si>
  <si>
    <t>TUBO DE AÇO CARBONO GALVANIZADO, COM COSTURA, CLASSE LEVE, DIÂMETRO 80MM (3"), INCLUSIVE PINTURA COM UMA DEMÃO DE PRIMER EPOXI E DUAS DEMÃOS DE TINTA À BASE DE EPOXI NA COR VERMELHA</t>
  </si>
  <si>
    <t>TUBO DE AÇO CARBONO GALVANIZADO, COM COSTURA, CLASSE LEVE, DIÂMETRO 100MM (4"), INCLUSIVE PINTURA COM UMA DEMÃO DE PRIMER EPOXI E DUAS DEMÃOS DE TINTA À BASE DE EPOXI NA COR VERMELHA</t>
  </si>
  <si>
    <t>REGISTRO DE GAVETA BRUTO DIÂMETRO 2" (50MM), VOLANTE EM AÇO COM ACABAMENTO PINTURA EPÓXI VERMELHA ? DOCOL, DECA OU EQUIVALENTE</t>
  </si>
  <si>
    <t>REGISTRO DE GAVETA BRUTO DIÂMETRO 2.1/2" (65MM), VOLANTE EM AÇO COM ACABAMENTO PINTURA EPÓXI VERMELHA ? DOCOL, DECA OU EQUIVALENTE</t>
  </si>
  <si>
    <t>REGISTRO DE GAVETA BRUTO DIÂMETRO 4" (100MM), VOLANTE EM AÇO COM ACABAMENTO PINTURA EPÓXI VERMELHA ? DOCOL, DECA OU EQUIVALENTE</t>
  </si>
  <si>
    <t>TÊ DE FERRO FUNDIDO MALEÁVEL 90º CLASSE LEVE, DIÂMETRO 50MM (2"), INCLUSIVE PINTURA COM UMA DEMÃO DE PRIMER EPOXI E DUAS DEMÃOS DE TINTA À BASE DE EPOXI NA COR VERMELHA</t>
  </si>
  <si>
    <t>TÊ DE FERRO FUNDIDO MALEÁVEL 90º CLASSE LEVE, DIÂMETRO 65MM (2.1/2"), INCLUSIVE PINTURA COM UMA DEMÃO DE PRIMER EPOXI E DUAS DEMÃOS DE TINTA À BASE DE EPOXI NA COR VERMELHA</t>
  </si>
  <si>
    <t>VÁLVULA DE RETENÇÃO HORIZONTAL EM BRONZE, TIPO PORTINHOLA DIÂMETRO 2" (50MM), INCLUSIVE PINTURA COM UMA DEMÃO DE PRIMER EPOXI E DUAS DEMÃOS DE TINTA À BASE DE EPOXI NA COR VERMELHA</t>
  </si>
  <si>
    <t>VÁLVULA DE RETENÇÃO HORIZONTAL EM BRONZE, TIPO PORTINHOLA DIÂMETRO 2.1/2" (65MM), INCLUSIVE PINTURA COM UMA DEMÃO DE PRIMER EPOXI E DUAS DEMÃOS DE TINTA À BASE DE EPOXI NA COR VERMELHA</t>
  </si>
  <si>
    <t>VÁLVULA DE RETENÇÃO HORIZONTAL EM BRONZE, TIPO PORTINHOLA DIÂMETRO 3" (75MM), INCLUSIVE PINTURA COM UMA DEMÃO DE PRIMER EPOXI E DUAS DEMÃOS DE TINTA À BASE DE EPOXI NA COR VERMELHA</t>
  </si>
  <si>
    <t>VÁLVULA DE RETENÇÃO HORIZONTAL EM BRONZE, TIPO PORTINHOLA DIÂMETRO 4" (100MM), INCLUSIVE PINTURA COM UMA DEMÃO DE PRIMER EPOXI E DUAS DEMÃOS DE TINTA À BASE DE EPOXI NA COR VERMELHA</t>
  </si>
  <si>
    <t>VÁLVULA DE RETENÇÃO VERTICAL EM BRONZE, CLASSE 125 DIÂMETRO 3" (75MM), INCLUSIVE PINTURA COM UMA DEMÃO DE PRIMER EPOXI E DUAS DEMÃOS DE TINTA À BASE DE EPOXI NA COR VERMELHA</t>
  </si>
  <si>
    <t>VÁLVULA DE RETENÇÃO VERTICAL EM BRONZE, CLASSE 125 DIÂMETRO 4" (100MM), INCLUSIVE PINTURA COM UMA DEMÃO DE PRIMER EPOXI E DUAS DEMÃOS DE TINTA À BASE DE EPOXI NA COR VERMELHA</t>
  </si>
  <si>
    <t>MANÔMETRO COM CAIXA E ANEL TIPO CRAVADO EM AÇO INOX, MOSTRADOR DUPLO 100 MM ESCALAS DE 0 À 7 KGF/CM2 E 0 À 100 PSI, SAÍDA TRASEIRA DE 1/4" BSP</t>
  </si>
  <si>
    <t>PRESSOSTATO 100 / 150 PSI SEM VÁLVULA, CAPACIDADE ELÉTRICA ATÉ 5CV EM 250VCA, MARGIRIUS OU EQUIVALENTE</t>
  </si>
  <si>
    <t>FORNECIMENTO E INSTALAÇÃO DE BATERIA ESTACIONÁRIA 12V - 60 AH, PARA CENTRAIS DE ALARME / ILUMINAÇÃO DE EMERGÊNCIA, MOURA OU EQUIVALENTE</t>
  </si>
  <si>
    <t>ABRIGO DE PAREDE PARA HIDRANTE 80X90X17CM SOBREPOR, EM CHAPA DE AÇO COM PINTURA ELETROSTÁTICA VERMELHA, VISOR TRANSPARENTE E INSCRIÇÃO "HIDRANTE", REGISTRO GLOBO ANGULAR 45º 2.1/2? (63MM), ADAPTADOR EM LATÃO STORZ ENGATE RÁPIDO 2.1/2?, 2 (DUAS) MANGUEIRAS DE INCÊNDIO 15M ?2.1/2? - TIPO 2 E ESGUICHO REGULÁVEL EM LATÃO 2.1/2?, FORNECIMENTO E INSTALAÇÃO</t>
  </si>
  <si>
    <t>CENTRAL DE ALARME DE INCÊNDIO ENDEREÇÁVEL, COM CAPACIDADE PARA ATÉ 256 ENDEREÇOS, DISTRIBUÍDOS EM 4 LAÇOS, INCLUINDO FORNECIMENTO, INSTALAÇÃO E CONFIGURAÇÃO COMPLETA</t>
  </si>
  <si>
    <t>ACIONADOR MANUAL DE ALARME DE INCÊNDIO ENDEREÇÁVEL, TIPO QUEBRA-VIDRO, NA COR VERMELHA, INCLUSO MARTELO ? FORNECIMENTO, INSTALAÇÃO E CONFIGURAÇÃO</t>
  </si>
  <si>
    <t>DETECTOR DE FUMAÇA ÓPTICO (FOTOELÉTRICO) ENDEREÇÁVEL, ALIMENTAÇÃO BIVOLT 12/24V ? FORNECIMENTO, INSTALAÇÃO E CONFIGURAÇÃO</t>
  </si>
  <si>
    <t>SIRENE ELETRÔNICA MÉDIA TIPO CORNETA EM ABS, IP52 ? 12 E 24V ? FORNECIMENTO E INSTALAÇÃO</t>
  </si>
  <si>
    <t>FORNECIMENTO E INSTALAÇÃO DE RACK DE PISO FECHADO PADRÃO 19" - 44 U´S X 670MM</t>
  </si>
  <si>
    <t>CALHA COM 8 TOMADAS 20A, INCLUSIVE FIXAÇÃO EM RACK PADRÃO 19", COM CHICOTE DE 2 METROS DE COMPRIMENTO</t>
  </si>
  <si>
    <t>GUIA DE CABOS FECHADO HORIZONTAL PADRÃO 19" - 2 U´S, INCLUSIVE FIXAÇÃO EM RACK 19"</t>
  </si>
  <si>
    <t>GUIA DE CABOS VERTICAL PARA RACK ABERTO PADRÃO 19" - 44 U´S X 1940 X 50MM</t>
  </si>
  <si>
    <t>PAINEL DE FECHAMENTO FRONTAL 2 US, INCLUSIVE FIXAÇÃO EM RACK 19"</t>
  </si>
  <si>
    <t>BANDEJA DESLIZANTE 1 U X 500MM CARGA MÁXIMA 20KG, INCLUSIVE FIXAÇÃO EM RACK 19"</t>
  </si>
  <si>
    <t>KIT VENTILAÇÃO COMPOSTO POR 4 VENTILADORES BI-VOLTS, INCLUSIVE FIXAÇÃO EM RACK 19"</t>
  </si>
  <si>
    <t>PATCH PANEL 48 PORTAS RJ45/IDC CAT.6, INCLUSIVE FIXAÇÃO EM RACK 19"</t>
  </si>
  <si>
    <t>PATCH CORD GIGALAN EXTRA FLEXÍVEL CAT 6 U/UTP RJ-45 - 1,50 M</t>
  </si>
  <si>
    <t>PATCH CORD GIGALAN EXTRA FLEXÍVEL CAT 6 U/UTP RJ-45 - 3,00 M</t>
  </si>
  <si>
    <t>FORNECIMENTO E INSTALAÇÃO DE CABO DE REDE PAR TRANÇADO 4 PARES CATEGORIA 6</t>
  </si>
  <si>
    <t>SWITCH 24 PORTAS RJ-45 10/100 + 2 10/100/1000, INCLUSIVE FIXAÇÃO EM RACK 19"</t>
  </si>
  <si>
    <t>SWITCH 48 PORTAS RJ-45 10/100 + 2 10/100/1000, INCLUSIVE FIXAÇÃO EM RACK 19"</t>
  </si>
  <si>
    <t>NO BREAK 2200VA (1980W) SENOIDAL, TENSÃO DE ENTRADA: 220V E TENSÃO DE SAIDA: 220V, INTERFACE PORT DB-9 RS-232, SMARTSLOT, USB, INCLUSIVE FIXAÇÃO EM RACK 19"</t>
  </si>
  <si>
    <t>CERTIFICAÇÃO AVULSA DOS PONTOS COM EMISSÃO DE RELATÓRIO DO EQUIPAMENTO DE TESTE MAIS DE 101 PONTOS</t>
  </si>
  <si>
    <t>ESPELHO 4" X 2" COM CONECTOR RJ 45 FÊMEA CAT. 6</t>
  </si>
  <si>
    <t>ESPELHO 4" X 4" COM 2 CONECTORES RJ 45 FÊMEA CAT. 6</t>
  </si>
  <si>
    <t>TUBO DE COBRE COM ISOLAMENTO TÉRMICO - Ø 5/8" ESP. 9MM</t>
  </si>
  <si>
    <t>TUBO DE COBRE COM ISOLAMENTO TÉRMICO - Ø 3/4" ESP. 9MM</t>
  </si>
  <si>
    <t>TUBO DE COBRE COM ISOLAMENTO TÉRMICO - Ø 7/8" ESP. 9MM</t>
  </si>
  <si>
    <t>TUBO DE COBRE COM ISOLAMENTO TÉRMICO - Ø 1.1/8" ESP. 9MM</t>
  </si>
  <si>
    <t>EMENDA DE TUBOS E CONEXÕES DE COBRE POR PROCESSO DE SOLDA - Ø 5/8" ATÉ 7/8"</t>
  </si>
  <si>
    <t>GÁS REFRIGERANTE R407</t>
  </si>
  <si>
    <t>INSTALAÇÃO DE LINHA FRIGORÍGENA PARA INTERLIGAÇÃO DO SISTEMA DE CLIMATIZAÇÃO INCL. ACESSÓRIOS DE FIXAÇÃO, FITA PVC AUTO-ADERENTE E CABO PP, EXCLUSIVE TUBOS DE COBRE DA LINHA LIQUIDA E SUCÇÃO, ESPUMA ELASTOMÉRICA FLEXIVEL, EXCLUSIVE GÁS REFRIGERANTE</t>
  </si>
  <si>
    <t>MICTÓRIO DE LOUÇA BRANCA COM SIFÃO INTEGRADO ANTIVANDALISMO - M715 - DECA OU EQUIVALENTE, INCLUSIVE ENGATE FLEXÍVEL TRANÇADO INOX 1/2? X 30CM</t>
  </si>
  <si>
    <t>LAVATÓRIO SUSPENSO DE CANTO - IZY - L101 - DECA OU EQUIVALENTE, INCLUSIVE VÁLVULA DE SAÍDA CROMADA 1?, SIFÃO EM METAL CROMADO 1? X 1/2", ENGATE FLEXÍVEL TRANÇADO INOX 1/2? X 30CM E PARAFUSOS PARA FIXAÇÃO, EXCLUSIVE TORNEIRA</t>
  </si>
  <si>
    <t>BACIA CONVENCIONAL DE LOUÇA BRANCA SEM ABERTURA FRONTAL PARA PORTADORES DE NECESSIDADES ESPECIAIS, VOGUE PLUS CONFORTO - P510, INCLUSIVE ASSENTO EM POLIÉSTER, REF. AP51 - DECA OU EQUIVALENTE, TUBO DE LIGAÇÃO METAL CROMADO COM CANOPLA, ANEL DE VEDAÇÃO E PARAFUSOS PARA FIXAÇÃO</t>
  </si>
  <si>
    <t>CUBA DE LOUÇA BRANCA DE EMBUTIR OVAL - L37 - DECA OU EQUIVALENTE, INCLUSIVE VÁLVULA DE SAÍDA CROMADA 1?, SIFÃO EM METÁLICO TIPO COPO CROMADO 1? X 1/2" E ENGATE FLEXÍVEL TRANÇADO INOX 1/2? X 30CM, EXCLUSIVE TORNEIRA</t>
  </si>
  <si>
    <t>BACIA SANITÁRIA DE LOUÇA BRANCA COM CAIXA ACOPLADA E VÁLVULA DE DUPLO ACIONAMENTO, RAVENA - P9 - DECA OU EQUIVALENTE, INCLUSIVE ASSENTO PLÁSTICO, TUBO DE LIGAÇÃO METAL CROMADO COM CANOPLA, ENGATE FLEXÍVEL TRANÇADO INOX 1/2? X 30CM, ANEL DE VEDAÇÃO E PARAFUSOS PARA FIXAÇÃO</t>
  </si>
  <si>
    <t>TORNEIRA BICA BAIXA DE MESA PARA LAVATÓRIO PRESSMATIC ALFA - DOCOL, DECAMATIC SMART - DECA OU EQUIVALENTE</t>
  </si>
  <si>
    <t>TORNEIRA DE PAREDE PARA TANQUE LONGA 3/4" 1158 PRIMOR - DOCOL OU EQUIVALENTE</t>
  </si>
  <si>
    <t>TORNEIRA PARA USO GERAL 1130 TRIO - DOCOL OU EQUIVALENTE</t>
  </si>
  <si>
    <t>REGISTRO DE GAVETA COM CANOPLA CROMADA DIAM. 25MM (1"), MARCAS DE REFERÊNCIA FABRIMAR, DECA OU DOCOL</t>
  </si>
  <si>
    <t>REGISTRO DE GAVETA COM CANOPLA CROMADA DIAM 32MM (11/4"), MARCAS DE REFERÊNCIA FABRIMAR, DECA OU DOCOL</t>
  </si>
  <si>
    <t>BEBEDOURO DE AÇO INOX, MARCAS DE REFERÊNCIA FISHER, METALPRESS OU MEKAL, INCLUSIVE VÁLVULA, SIFÃO CROMADO E TORNEIRAS, EXCLUSIVE ALVENARIA, DIM. 0.45X2.75 M, CONFORME DETALHE EM PROJETO</t>
  </si>
  <si>
    <t>CUBA DE AÇO INOX N° 1(DIM.460X300X150)MM, MARCAS DE REFERÊNCIA FRANKE, STRAKE, TRAMONTINA, INCLUSIVE VÁLVULA DE METAL 31/2" E SIFÃO CROMADO 1 X 1/2", EXCL. TORNEIRA</t>
  </si>
  <si>
    <t>TANQUE SIMPLES DE AÇO INOX FISCHER, MOD. TQ1-S AISI 304, OU EQUIVALENTE NAS MARCAS METALPRESS OU MEKAL, INCLUSIVE VÁLVULA DE METAL 1 1/4" E SIFÃO CROMADO 2", EXCL. TORNEIRA</t>
  </si>
  <si>
    <t>RESERVATÓRIO DE POLIETILENO DE 15.000L, INCLUSIVE PEÇA DE MADEIRA 5 X 16CM PARA APOIO, EXCLUSIVE FLANGES E TORNEIRAS DE BOIA</t>
  </si>
  <si>
    <t>BEBEDOURO ELÉTRICO DE PRESSÃO PARA ACESSIBILIDADE BDF300 PNE ? IBBL OU EQUIVALENTE</t>
  </si>
  <si>
    <t>TANQUE CILÍNDRICO VERTICAL EM POLIETILENO, CAPACIDADE DE 20.000 LITROS, COM BOCA DE INSPEÇÃO 60CM, TAMPA DE 1/4 DE VOLTA E VEDAÇÃO TOTAL, INCLUSIVE TRANSPORTE HORIZONTAL MANUAL ATÉ BASE DE TORRE, TRANSPORTE VERTICAL COM GUINDASTE HIDRÁULICO</t>
  </si>
  <si>
    <t>BARRA DE APOIO RETA, EM AÇO INOX POLIDO AISI 304, COMPRIMENTO 80 CM, CONFORME REQUISITOS DE ACESSIBILIDADE DA NBR 9050 - FORNECIMENTO E INSTALAÇÃO</t>
  </si>
  <si>
    <t>KIT COMPOSTO POR (02) DUAS BARRA DE APOIO LATERAL FIXA EM FORMATO "U", EM AÇO INOX POLIDO AISI 304, 30 CM, PARA INSTALAÇÃO EM LAVATÓRIOS, CONFORME REQUISITOS DE ACESSIBILIDADE DA NBR 9050 - FORNECIMENTO E INSTALAÇÃO</t>
  </si>
  <si>
    <t>BARRA DE APOIO RETA, EM AÇO INOX POLIDO AISI 304, COMPRIMENTO 70 CM, CONFORME REQUISITOS DE ACESSIBILIDADE DA NBR 9050 - FORNECIMENTO E INSTALAÇÃO</t>
  </si>
  <si>
    <t>BOMBA CENTRÍFUGA TRIFÁSICA 5CV, MODELO 620 DANCOR, OU EQUIVALENTE</t>
  </si>
  <si>
    <t>LUMINÁRIA EMBUTIR COMPL., CORPO CH. AÇO PINTADA BRANCA, REFLETOR,ALETAS PARABÓLICAS ALUM.ALTA PUREZA E REFLETÂNCIA NCLUSIVE 4 LÂMPADAS LED T8 9W TEMP. DE COR 5000K - REF.CE416AL-N - AMES, 6026 - LUMAVI OU EQUIVALENTE</t>
  </si>
  <si>
    <t>EMASSAMENTO DE PAREDES E FORROS, COM DUAS DEMÃOS DE MASSA CORRIDA, REFERÊNCIA SUVINIL, CORAL, METALATEX OU EQUIVALENTE, INCLUSIVE UMA DEMÃO DE LIQUIDO SELADOR PVA, REFERÊNCIA SUVINIL, CORAL OU METALATEX OU EQUIVALENTE</t>
  </si>
  <si>
    <t>EMASSAMENTO DE PAREDES E FORROS, COM DUAS DEMÃOS DE MASSA ACRÍLICA PREMIUM, REFERÊNCIA SUVINIL, CORAL OU SHERWIN WILLIAMS OU EQUIVALENTE, INCLUSIVE UMA DEMÃO DE LIQUIDO SELADOR ACRÍLICO, REFERÊNCIA SUVINIL, CORAL OU METALATEX OU EQUIVALENTE</t>
  </si>
  <si>
    <t>PINTURA EM PAREDES E FORROS, APLICAÇÃO MANUAL, COM TRÊS DEMÃO DE TINTA LÁTEX ACRÍLICO PREMIUM, REFERÊNCIA CORAL E METALATEX, INCLUSIVE UMA DEMÃO DE LIQUIDO SELADOR ACRÍLICO, REFERÊNCIA SUVINIL, CORAL OU METALATEX OU EQUIVALENTE</t>
  </si>
  <si>
    <t>PINTURA SOBRE CONCRETO OU BLOCOS CERÂMICOS APARENTES, APLICAÇÃO MANUAL, COM DUAS DEMÃOS DE VERNIZ ACRÍLICO A BASE DE ÁGUA, ACABAMENTO FOSCO, REFERÊNCIA SUVINIL, CORAL, METALATEX OU EQUIVALENTE</t>
  </si>
  <si>
    <t>PINTURA SOBRE COBOGÓS DE CONCRETO, APLICAÇÃO MANUAL, COM DUAS DEMÃOS DE TINTA LÁTEX ACRÍLICO PREMIUM, REFERÊNCIA SUVINIL, CORAL E METALATEX, INCLUSIVE UMA DEMÃO DE LIQUIDO SELADOR ACRÍLICO, REFERÊNCIA SUVINIL, CORAL OU METALATEX OU EQUIVALENTE</t>
  </si>
  <si>
    <t>PINTURA A CAL DE MEIO-FIO (TIPO A CAIAÇÃO), APLICAÇÃO MANUAL, A TRÊS DEMÃOS</t>
  </si>
  <si>
    <t>EMASSAMENTO DE ESQUADRIAS E ELEMENTOS DE MADEIRA, COM DUAS DEMÃOS DE MASSA À BASE ÁGUA, REFERÊNCIA SUVINIL, CORAL, SHERWIN WILLIAMS OU EQUIVALENTE, INCLUSIVE UMA DEMÃO DE FUNDO NIVELADOR ALQUÍDICO BRANCO, REFERÊNCIA SUVINIL, CORAL OU METALATEX OU EQUIVALENTE</t>
  </si>
  <si>
    <t>PINTURA DE ESQUADRIAS E ELEMENTOS DE MADEIRA, APLICAÇÃO MANUAL, COM DUAS DEMÃOS DE TINTA ESMALTE SINTÉTICO REFERÊNCIA SUVINIL, CORAL OU METALATEX, INCLUSIVE FUNDO BRANCO NIVELADOR, REFERÊNCIA SUVINIL, CORAL E METALATEX OU EQUIVALENTE</t>
  </si>
  <si>
    <t>PINTURA SOBRE PISO, APLICAÇÃO MANUAL, PARA EXECUÇÃO DE FAIXA DEMARCATÓRIA L=5CM, COM TRÊS DEMÃOS DE TINTA À BASE DE EPÓXI, MARCAS DE REFERÊNCIA SUVINIL, CORAL OU METALATEX OU EQUIVALENTE</t>
  </si>
  <si>
    <t>PINTURA SOBRE PISO, APLICAÇÃO MANUAL, PARA EXECUÇÃO DE FAIXA DEMARCATÓRIA L=8CM, COM TRÊS DEMÃOS DE TINTA À BASE DE EPÓXI, MARCAS DE REFERÊNCIA SUVINIL, CORAL OU METALATEX OU EQUIVALENTE</t>
  </si>
  <si>
    <t>PINTURA SOBRE PISO, APLICAÇÃO MANUAL, COM DUAS DEMÃOS DE TINTA À BASE DE RESINAS ACRÍLICAS, MARCAS DE REFERÊNCIA SUVINIL, CORAL, SHERWIN WILLIAMS NOVACOR, METALATEX OU EQUIVALENTE</t>
  </si>
  <si>
    <t>GRADIL H = 1.90M PADRÃO SEDU EM TUDO DE FG 2" E BARRA CHATA DE 11/2"X1/4", PARA FIXAÇÃO SOBRE MURETA CONFORME PROJETO, EXCLUSIVE A MURETA.</t>
  </si>
  <si>
    <t>ASSENTAMENTO DE MEIO-FIO PRÉ-MOLDADO DE CONCRETO COM DIMENSÕES DE 15 X 12 X 30 X 100 CM, REJUNTADO COM ARGAMASSA DE CIMENTO E AREIA NO TRAÇO 1:3</t>
  </si>
  <si>
    <t>EXECUÇÃO DE PAVIMENTAÇÃO COM BLOCOS INTERTRAVADOS DE CONCRETO TIPO PAVI-S, ESPESSURA DE 8 CM E RESISTÊNCIA MÍNIMA DE 35 MPA, ASSENTADOS SOBRE COLCHÃO DE PÓ DE PEDRA DE 10 CM, COM REJUNTAMENTO EM AREIA, COMPACTAÇÃO COM PLACA VIBRATÓRIA E CORTES COM CORTADORA DE PISO</t>
  </si>
  <si>
    <t>EXECUÇÃO DE PASSEIO CIMENTADO COM ACABAMENTO CAMURÇADO, EM ARGAMASSA TRAÇO 1:3 (CIMENTO E AREIA) COM 1,5 CM DE ESPESSURA, SOBRE LASTRO DE CONCRETO DE 8 CM, INCLUINDO PREPARO DA CAIXA.</t>
  </si>
  <si>
    <t>FORNECIMENTO E ASSENTAMENTO DE LADRILHO HIDRÁULICO PASTILHADO (TÁTIL DE ALERTA), VERMELHO, DIM. 20X20 CM, ESP. 1.5CM, ASSENTADO COM PASTA DE CIMENTO COLANTE AC-I, EXCLUSIVE REGULARIZAÇÃO E LASTRO</t>
  </si>
  <si>
    <t>FORNECIMENTO E ASSENTAMENTO DE LADRILHO HIDRÁULICO RANHURADO (TÁTIL DIRECIONAL), VERMELHO, DIM. 20X20 CM, ESP. 1.5CM, ASSENTADO COM PASTA DE CIMENTO COLANTE AC-I, EXCLUSIVE REGULARIZAÇÃO E LASTRO</t>
  </si>
  <si>
    <t>FORNECIMENTO E PLANTIO DE GRAMA EM PLACAS TIPO ESMERALDA, INCLUSIVE FORNECIMENTO DE TERRA VEGETAL</t>
  </si>
  <si>
    <t>LIMPEZA GERAL DA OBRA (EDIFICAÇÃO)</t>
  </si>
  <si>
    <t>LIMPEZA DE PISOS E REVESTIMENTOS CERÂMICOS, UTILIZANDO DETERGENTE NEUTRO, ESCOVAÇÃO MANUAL E VASSOURA A SECO</t>
  </si>
  <si>
    <t>ESCADA TIPO MARINHEIRO DE TUBO DE FERRO 1" E 3/4", COM H=4.20M, PARA ACESSO A CAIXA DÁGUA, INCLUSIVE PINTURA EM ESMALTE SINTÉTICO, CONFORME DETALHE EM PROJETO</t>
  </si>
  <si>
    <t>PLACA PARA INAUGURAÇÃO DE OBRA EM ALUMÍNIO POLIDO E=4MM, DIMENSÕES 40 X 50 CM, GRAVAÇÃO EM BAIXO RELEVO, INCLUSIVE PINTURA E FIXAÇÃO</t>
  </si>
  <si>
    <t>LETRA TIPO CAIXA EM CHAPA DE AÇO INOX 304 ESCOVADO N16 - LARGURA: 7,5 CM, ALTURA: 15CM E PROF. 3CM, INCLUSIVE FIXAÇÃO INVISÍVEL</t>
  </si>
  <si>
    <t>CORRIMÃO DE TUBO DE FERRO GALVANIZADO DIÂMETRO 3" FIXADO NA PAREDE A CADA 1.50M, INCLUSIVE PINTURA A ÓLEO OU ESMALTE</t>
  </si>
  <si>
    <t>ELEVADOR SOCIAL PARA 08 PASSAGEIROS OU 600 KG COM ACIONAMENTO CONVENCIONAL SEM CASA DE MÁQUINAS NO FOSSO, 04 PARADAS - DIST. 14,57M, DIM. CABINE 1100X1400X2200MM, VELOCIDADE DE 0,75M/S, 01 ENTRADA, ACABAMENTO EM AÇO INOX. OBRA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</si>
</sst>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5">
    <numFmt numFmtId="44" formatCode="_-&quot;R$&quot;\ * #,##0.00_-;\-&quot;R$&quot;\ * #,##0.00_-;_-&quot;R$&quot;\ * &quot;-&quot;??_-;_-@_-"/>
    <numFmt numFmtId="43" formatCode="_-* #,##0.00_-;\-* #,##0.00_-;_-* &quot;-&quot;??_-;_-@_-"/>
    <numFmt numFmtId="164" formatCode="_(&quot;R$&quot;* #,##0.00_);_(&quot;R$&quot;* \(#,##0.00\);_(&quot;R$&quot;* &quot;-&quot;??_);_(@_)"/>
    <numFmt numFmtId="165" formatCode="_(* #,##0.00_);_(* \(#,##0.00\);_(* &quot;-&quot;??_);_(@_)"/>
    <numFmt numFmtId="166" formatCode="0.000000"/>
    <numFmt numFmtId="167" formatCode="000"/>
    <numFmt numFmtId="168" formatCode="0.000%"/>
    <numFmt numFmtId="169" formatCode="###,###,##0.00"/>
    <numFmt numFmtId="170" formatCode="&quot;R$ &quot;#,##0.00"/>
    <numFmt numFmtId="171" formatCode="0.000"/>
    <numFmt numFmtId="172" formatCode="General_)"/>
    <numFmt numFmtId="173" formatCode="_([$€-2]* #,##0.00_);_([$€-2]* \(#,##0.00\);_([$€-2]* &quot;-&quot;??_)"/>
    <numFmt numFmtId="174" formatCode="_([$€-2]* #,##0.00_);_([$€-2]* \(#,##0.00\);_([$€-2]* \-??_)"/>
    <numFmt numFmtId="175" formatCode="#,##0.00&quot; &quot;;&quot; (&quot;#,##0.00&quot;)&quot;;&quot; -&quot;#&quot; &quot;;@&quot; &quot;"/>
    <numFmt numFmtId="176" formatCode="_(&quot;R$ &quot;* #,##0.00_);_(&quot;R$ &quot;* \(#,##0.00\);_(&quot;R$ &quot;* &quot;-&quot;??_);_(@_)"/>
    <numFmt numFmtId="177" formatCode="_(&quot;R$ &quot;* #,##0.00_);_(&quot;R$ &quot;* \(#,##0.00\);_(&quot;R$ &quot;* \-??_);_(@_)"/>
    <numFmt numFmtId="178" formatCode="_(* #,##0.0000_);_(* \(#,##0.0000\);_(* &quot;-&quot;??_);_(@_)"/>
    <numFmt numFmtId="179" formatCode="#,##0.00\ ;&quot; (&quot;#,##0.00\);&quot; -&quot;#\ ;@\ "/>
    <numFmt numFmtId="180" formatCode="[$R$-416]&quot; &quot;#,##0.00;[Red]&quot;-&quot;[$R$-416]&quot; &quot;#,##0.00"/>
    <numFmt numFmtId="181" formatCode="_(* #,##0.00_);_(* \(#,##0.00\);_(* \-??_);_(@_)"/>
    <numFmt numFmtId="182" formatCode="_(&quot;$&quot;* #,##0_);_(&quot;$&quot;* \(#,##0\);_(&quot;$&quot;* &quot;-&quot;_);_(@_)"/>
    <numFmt numFmtId="183" formatCode="&quot;R$ &quot;#,##0.00_);[Red]\(&quot;R$ &quot;#,##0.00\)"/>
    <numFmt numFmtId="184" formatCode="0.00000"/>
    <numFmt numFmtId="185" formatCode="_-* #,##0.00\ _€_-;\-* #,##0.00\ _€_-;_-* &quot;-&quot;??\ _€_-;_-@_-"/>
    <numFmt numFmtId="186" formatCode="#\,##0."/>
    <numFmt numFmtId="187" formatCode="_(&quot;$&quot;* #,##0.00_);_(&quot;$&quot;* \(#,##0.00\);_(&quot;$&quot;* &quot;-&quot;??_);_(@_)"/>
    <numFmt numFmtId="188" formatCode="\$#."/>
    <numFmt numFmtId="189" formatCode="#.00"/>
    <numFmt numFmtId="190" formatCode="0.00_)"/>
    <numFmt numFmtId="191" formatCode="%#.00"/>
    <numFmt numFmtId="192" formatCode="#\,##0.00"/>
    <numFmt numFmtId="193" formatCode="#,"/>
    <numFmt numFmtId="194" formatCode="_(* #,##0_);_(* \(#,##0\);_(* &quot;-&quot;_);_(@_)"/>
    <numFmt numFmtId="195" formatCode="#,##0.00_ ;\-#,##0.00\ "/>
    <numFmt numFmtId="196" formatCode="0.000000%"/>
  </numFmts>
  <fonts count="127">
    <font>
      <sz val="11"/>
      <color indexed="8"/>
      <name val="Calibri"/>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indexed="8"/>
      <name val="Calibri"/>
      <family val="2"/>
    </font>
    <font>
      <sz val="10"/>
      <name val="Arial"/>
      <family val="2"/>
    </font>
    <font>
      <sz val="10"/>
      <color indexed="8"/>
      <name val="Arial"/>
      <family val="2"/>
    </font>
    <font>
      <b/>
      <sz val="14"/>
      <name val="Arial"/>
      <family val="2"/>
    </font>
    <font>
      <b/>
      <sz val="12"/>
      <name val="Arial"/>
      <family val="2"/>
    </font>
    <font>
      <sz val="9"/>
      <name val="Arial"/>
      <family val="2"/>
    </font>
    <font>
      <b/>
      <sz val="11"/>
      <color indexed="8"/>
      <name val="Calibri"/>
      <family val="2"/>
    </font>
    <font>
      <b/>
      <sz val="10"/>
      <color indexed="8"/>
      <name val="Calibri"/>
      <family val="2"/>
    </font>
    <font>
      <b/>
      <sz val="10"/>
      <name val="Calibri"/>
      <family val="2"/>
    </font>
    <font>
      <sz val="12"/>
      <name val="Arial"/>
      <family val="2"/>
    </font>
    <font>
      <b/>
      <sz val="10"/>
      <name val="Arial"/>
      <family val="2"/>
    </font>
    <font>
      <b/>
      <sz val="8"/>
      <name val="Arial"/>
      <family val="2"/>
    </font>
    <font>
      <sz val="14"/>
      <color indexed="8"/>
      <name val="Times New Roman"/>
      <family val="1"/>
    </font>
    <font>
      <b/>
      <sz val="14"/>
      <color indexed="8"/>
      <name val="Times New Roman"/>
      <family val="1"/>
    </font>
    <font>
      <b/>
      <sz val="14"/>
      <color indexed="8"/>
      <name val="Arial"/>
      <family val="2"/>
    </font>
    <font>
      <sz val="10"/>
      <name val="Calibri"/>
      <family val="2"/>
    </font>
    <font>
      <sz val="10"/>
      <color indexed="8"/>
      <name val="Calibri"/>
      <family val="2"/>
    </font>
    <font>
      <b/>
      <sz val="11"/>
      <name val="Calibri"/>
      <family val="2"/>
    </font>
    <font>
      <sz val="11"/>
      <color indexed="26"/>
      <name val="Calibri"/>
      <family val="2"/>
    </font>
    <font>
      <sz val="11"/>
      <name val="Calibri"/>
      <family val="2"/>
    </font>
    <font>
      <b/>
      <sz val="9"/>
      <name val="Calibri"/>
      <family val="2"/>
    </font>
    <font>
      <b/>
      <sz val="11"/>
      <name val="Arial"/>
      <family val="2"/>
    </font>
    <font>
      <b/>
      <sz val="11"/>
      <color indexed="8"/>
      <name val="Arial"/>
      <family val="2"/>
    </font>
    <font>
      <sz val="10"/>
      <name val="Calibri"/>
      <family val="2"/>
      <scheme val="minor"/>
    </font>
    <font>
      <sz val="11"/>
      <color indexed="9"/>
      <name val="Calibri"/>
      <family val="2"/>
    </font>
    <font>
      <sz val="11"/>
      <color indexed="20"/>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8"/>
      <name val="Times New Roman"/>
      <family val="1"/>
    </font>
    <font>
      <i/>
      <sz val="8"/>
      <color indexed="12"/>
      <name val="Arial"/>
      <family val="2"/>
    </font>
    <font>
      <sz val="11"/>
      <color indexed="62"/>
      <name val="Calibri"/>
      <family val="2"/>
    </font>
    <font>
      <sz val="10"/>
      <name val="SimSun"/>
      <family val="2"/>
    </font>
    <font>
      <sz val="10"/>
      <color theme="1"/>
      <name val="Arial1"/>
    </font>
    <font>
      <i/>
      <sz val="11"/>
      <color indexed="23"/>
      <name val="Calibri"/>
      <family val="2"/>
    </font>
    <font>
      <b/>
      <i/>
      <sz val="16"/>
      <color theme="1"/>
      <name val="Arial1"/>
    </font>
    <font>
      <b/>
      <sz val="18"/>
      <color indexed="56"/>
      <name val="Cambria"/>
      <family val="2"/>
    </font>
    <font>
      <b/>
      <sz val="13"/>
      <color indexed="56"/>
      <name val="Calibri"/>
      <family val="2"/>
    </font>
    <font>
      <b/>
      <sz val="11"/>
      <color indexed="56"/>
      <name val="Calibri"/>
      <family val="2"/>
    </font>
    <font>
      <u/>
      <sz val="10"/>
      <color indexed="12"/>
      <name val="Arial"/>
      <family val="2"/>
    </font>
    <font>
      <sz val="10"/>
      <name val="Arial"/>
      <family val="2"/>
    </font>
    <font>
      <sz val="11"/>
      <color indexed="60"/>
      <name val="Calibri"/>
      <family val="2"/>
    </font>
    <font>
      <sz val="11"/>
      <color rgb="FF000000"/>
      <name val="Calibri"/>
      <family val="2"/>
      <charset val="204"/>
    </font>
    <font>
      <sz val="10"/>
      <color theme="1"/>
      <name val="Arial"/>
      <family val="2"/>
    </font>
    <font>
      <sz val="10"/>
      <name val="Courier New"/>
      <family val="3"/>
    </font>
    <font>
      <sz val="11"/>
      <color theme="1"/>
      <name val="Arial1"/>
    </font>
    <font>
      <b/>
      <sz val="11"/>
      <color indexed="63"/>
      <name val="Calibri"/>
      <family val="2"/>
    </font>
    <font>
      <b/>
      <i/>
      <u/>
      <sz val="11"/>
      <color theme="1"/>
      <name val="Arial1"/>
    </font>
    <font>
      <sz val="11"/>
      <color rgb="FF000000"/>
      <name val="Calibri"/>
      <family val="2"/>
      <charset val="1"/>
    </font>
    <font>
      <sz val="11"/>
      <color indexed="10"/>
      <name val="Calibri"/>
      <family val="2"/>
    </font>
    <font>
      <b/>
      <sz val="15"/>
      <color indexed="56"/>
      <name val="Calibri"/>
      <family val="2"/>
    </font>
    <font>
      <b/>
      <sz val="15"/>
      <color indexed="62"/>
      <name val="Calibri"/>
      <family val="2"/>
    </font>
    <font>
      <b/>
      <sz val="8"/>
      <color theme="1"/>
      <name val="Courier New"/>
      <family val="3"/>
    </font>
    <font>
      <sz val="8"/>
      <color theme="1"/>
      <name val="Courier New"/>
      <family val="3"/>
    </font>
    <font>
      <sz val="10"/>
      <name val="Arial"/>
      <family val="2"/>
    </font>
    <font>
      <b/>
      <sz val="11.5"/>
      <name val="Arial"/>
      <family val="2"/>
    </font>
    <font>
      <sz val="12"/>
      <color rgb="FF000000"/>
      <name val="Calibri"/>
      <family val="2"/>
    </font>
    <font>
      <sz val="11"/>
      <color rgb="FF000000"/>
      <name val="Arial"/>
      <family val="2"/>
    </font>
    <font>
      <sz val="11"/>
      <color indexed="8"/>
      <name val="Arial"/>
      <family val="2"/>
    </font>
    <font>
      <sz val="10"/>
      <color rgb="FF000000"/>
      <name val="Arial1"/>
    </font>
    <font>
      <sz val="11"/>
      <color rgb="FF000000"/>
      <name val="Calibri"/>
      <family val="2"/>
    </font>
    <font>
      <b/>
      <i/>
      <sz val="16"/>
      <color rgb="FF000000"/>
      <name val="Arial"/>
      <family val="2"/>
    </font>
    <font>
      <b/>
      <i/>
      <u/>
      <sz val="11"/>
      <color rgb="FF000000"/>
      <name val="Arial"/>
      <family val="2"/>
    </font>
    <font>
      <b/>
      <sz val="22"/>
      <name val="Arial"/>
      <family val="2"/>
    </font>
    <font>
      <sz val="10"/>
      <name val="Courier New"/>
      <family val="3"/>
    </font>
    <font>
      <sz val="10"/>
      <color indexed="8"/>
      <name val="MS Sans Serif"/>
      <family val="2"/>
    </font>
    <font>
      <sz val="1"/>
      <color indexed="8"/>
      <name val="Courier"/>
      <family val="3"/>
    </font>
    <font>
      <u/>
      <sz val="6"/>
      <color indexed="36"/>
      <name val="MS Sans Serif"/>
      <family val="2"/>
    </font>
    <font>
      <sz val="8"/>
      <name val="Arial"/>
      <family val="2"/>
    </font>
    <font>
      <u/>
      <sz val="11"/>
      <color indexed="12"/>
      <name val="Arial"/>
      <family val="2"/>
    </font>
    <font>
      <sz val="10"/>
      <name val="Courier"/>
      <family val="3"/>
    </font>
    <font>
      <sz val="12"/>
      <name val="Times New Roman"/>
      <family val="1"/>
    </font>
    <font>
      <b/>
      <i/>
      <sz val="16"/>
      <name val="Helv"/>
    </font>
    <font>
      <sz val="10"/>
      <name val="Times New Roman"/>
      <family val="1"/>
    </font>
    <font>
      <sz val="10"/>
      <name val="MS Sans Serif"/>
      <family val="2"/>
    </font>
    <font>
      <sz val="1"/>
      <color indexed="18"/>
      <name val="Courier"/>
      <family val="3"/>
    </font>
    <font>
      <b/>
      <sz val="1"/>
      <color indexed="8"/>
      <name val="Courier"/>
      <family val="3"/>
    </font>
    <font>
      <b/>
      <sz val="16"/>
      <name val="Arial"/>
      <family val="2"/>
    </font>
    <font>
      <b/>
      <sz val="18"/>
      <name val="Arial"/>
      <family val="2"/>
    </font>
    <font>
      <b/>
      <sz val="20"/>
      <name val="Arial"/>
      <family val="2"/>
    </font>
    <font>
      <b/>
      <sz val="18"/>
      <color theme="1"/>
      <name val="Arial"/>
      <family val="2"/>
    </font>
    <font>
      <sz val="12"/>
      <color indexed="8"/>
      <name val="Calibri"/>
      <family val="2"/>
    </font>
    <font>
      <sz val="8"/>
      <color indexed="8"/>
      <name val="Arial Narrow"/>
      <family val="2"/>
    </font>
    <font>
      <sz val="10"/>
      <name val="Arial"/>
      <family val="2"/>
    </font>
    <font>
      <sz val="10"/>
      <color rgb="FF000000"/>
      <name val="Times New Roman"/>
      <family val="1"/>
    </font>
    <font>
      <sz val="7.5"/>
      <name val="Arial"/>
      <family val="2"/>
    </font>
    <font>
      <sz val="7"/>
      <name val="Arial"/>
      <family val="2"/>
    </font>
    <font>
      <b/>
      <sz val="7"/>
      <name val="Arial"/>
      <family val="2"/>
    </font>
    <font>
      <sz val="7"/>
      <color rgb="FF000000"/>
      <name val="Arial"/>
      <family val="2"/>
    </font>
    <font>
      <b/>
      <sz val="12"/>
      <color indexed="8"/>
      <name val="Calibri"/>
      <family val="2"/>
    </font>
    <font>
      <sz val="16"/>
      <name val="Arial"/>
      <family val="2"/>
    </font>
    <font>
      <sz val="10"/>
      <name val="Arial"/>
      <family val="2"/>
    </font>
    <font>
      <sz val="14"/>
      <name val="Arial"/>
      <family val="2"/>
    </font>
    <font>
      <sz val="8.5"/>
      <name val="Arial"/>
      <family val="2"/>
    </font>
    <font>
      <sz val="11"/>
      <name val="Arial"/>
      <family val="2"/>
    </font>
    <font>
      <sz val="10"/>
      <name val="Courier New"/>
      <family val="3"/>
    </font>
    <font>
      <i/>
      <sz val="10"/>
      <name val="Arial"/>
      <family val="2"/>
    </font>
    <font>
      <sz val="8"/>
      <name val="Calibri"/>
      <family val="2"/>
    </font>
    <font>
      <i/>
      <sz val="11"/>
      <color indexed="8"/>
      <name val="Calibri"/>
      <family val="2"/>
    </font>
  </fonts>
  <fills count="90">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F2F2F2"/>
        <bgColor indexed="64"/>
      </patternFill>
    </fill>
    <fill>
      <patternFill patternType="solid">
        <fgColor rgb="FFFFFF00"/>
        <bgColor indexed="64"/>
      </patternFill>
    </fill>
    <fill>
      <patternFill patternType="solid">
        <fgColor rgb="FFD9D9D9"/>
        <bgColor indexed="64"/>
      </patternFill>
    </fill>
    <fill>
      <patternFill patternType="solid">
        <fgColor rgb="FFF0F0F0"/>
        <bgColor indexed="64"/>
      </patternFill>
    </fill>
    <fill>
      <patternFill patternType="solid">
        <fgColor theme="0"/>
        <bgColor indexed="64"/>
      </patternFill>
    </fill>
    <fill>
      <patternFill patternType="solid">
        <fgColor theme="8" tint="0.59999389629810485"/>
        <bgColor indexed="64"/>
      </patternFill>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41"/>
      </patternFill>
    </fill>
    <fill>
      <patternFill patternType="solid">
        <fgColor indexed="27"/>
        <bgColor indexed="41"/>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42"/>
      </patternFill>
    </fill>
    <fill>
      <patternFill patternType="solid">
        <fgColor indexed="22"/>
        <bgColor indexed="31"/>
      </patternFill>
    </fill>
    <fill>
      <patternFill patternType="solid">
        <fgColor indexed="22"/>
      </patternFill>
    </fill>
    <fill>
      <patternFill patternType="solid">
        <fgColor indexed="55"/>
      </patternFill>
    </fill>
    <fill>
      <patternFill patternType="solid">
        <fgColor indexed="55"/>
        <bgColor indexed="23"/>
      </patternFill>
    </fill>
    <fill>
      <patternFill patternType="gray0625"/>
    </fill>
    <fill>
      <patternFill patternType="solid">
        <fgColor indexed="47"/>
      </patternFill>
    </fill>
    <fill>
      <patternFill patternType="solid">
        <fgColor indexed="43"/>
      </patternFill>
    </fill>
    <fill>
      <patternFill patternType="solid">
        <fgColor indexed="43"/>
        <bgColor indexed="26"/>
      </patternFill>
    </fill>
    <fill>
      <patternFill patternType="solid">
        <fgColor indexed="26"/>
        <bgColor indexed="9"/>
      </patternFill>
    </fill>
    <fill>
      <patternFill patternType="solid">
        <fgColor indexed="26"/>
      </patternFill>
    </fill>
    <fill>
      <patternFill patternType="solid">
        <fgColor theme="0" tint="-0.14999847407452621"/>
        <bgColor indexed="64"/>
      </patternFill>
    </fill>
    <fill>
      <patternFill patternType="solid">
        <fgColor theme="6" tint="0.39997558519241921"/>
        <bgColor indexed="64"/>
      </patternFill>
    </fill>
    <fill>
      <patternFill patternType="solid">
        <fgColor theme="6" tint="-0.249977111117893"/>
        <bgColor indexed="64"/>
      </patternFill>
    </fill>
    <fill>
      <patternFill patternType="solid">
        <fgColor rgb="FFCFCFCF"/>
        <bgColor indexed="64"/>
      </patternFill>
    </fill>
    <fill>
      <patternFill patternType="solid">
        <fgColor indexed="52"/>
        <bgColor indexed="64"/>
      </patternFill>
    </fill>
    <fill>
      <patternFill patternType="solid">
        <fgColor indexed="22"/>
        <bgColor indexed="64"/>
      </patternFill>
    </fill>
    <fill>
      <patternFill patternType="solid">
        <fgColor indexed="26"/>
        <bgColor indexed="64"/>
      </patternFill>
    </fill>
    <fill>
      <patternFill patternType="solid">
        <fgColor indexed="41"/>
        <bgColor indexed="64"/>
      </patternFill>
    </fill>
    <fill>
      <patternFill patternType="solid">
        <fgColor rgb="FFE5E5E5"/>
      </patternFill>
    </fill>
    <fill>
      <patternFill patternType="solid">
        <fgColor rgb="FFFFFFCC"/>
        <bgColor indexed="64"/>
      </patternFill>
    </fill>
    <fill>
      <patternFill patternType="solid">
        <fgColor theme="4" tint="0.59999389629810485"/>
        <bgColor indexed="64"/>
      </patternFill>
    </fill>
    <fill>
      <patternFill patternType="solid">
        <fgColor theme="6" tint="0.79998168889431442"/>
        <bgColor indexed="64"/>
      </patternFill>
    </fill>
    <fill>
      <patternFill patternType="solid">
        <fgColor rgb="FF00B0F0"/>
        <bgColor indexed="64"/>
      </patternFill>
    </fill>
    <fill>
      <patternFill patternType="solid">
        <fgColor theme="9" tint="0.79998168889431442"/>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99"/>
        <bgColor indexed="64"/>
      </patternFill>
    </fill>
  </fills>
  <borders count="17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hair">
        <color auto="1"/>
      </top>
      <bottom style="hair">
        <color auto="1"/>
      </bottom>
      <diagonal/>
    </border>
    <border>
      <left/>
      <right style="thin">
        <color auto="1"/>
      </right>
      <top style="hair">
        <color auto="1"/>
      </top>
      <bottom/>
      <diagonal/>
    </border>
    <border>
      <left style="thin">
        <color auto="1"/>
      </left>
      <right style="thin">
        <color auto="1"/>
      </right>
      <top style="hair">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hair">
        <color auto="1"/>
      </bottom>
      <diagonal/>
    </border>
    <border>
      <left style="thin">
        <color auto="1"/>
      </left>
      <right style="thin">
        <color auto="1"/>
      </right>
      <top style="hair">
        <color auto="1"/>
      </top>
      <bottom/>
      <diagonal/>
    </border>
    <border>
      <left/>
      <right style="thin">
        <color auto="1"/>
      </right>
      <top style="hair">
        <color auto="1"/>
      </top>
      <bottom style="hair">
        <color auto="1"/>
      </bottom>
      <diagonal/>
    </border>
    <border>
      <left style="thin">
        <color auto="1"/>
      </left>
      <right style="thin">
        <color auto="1"/>
      </right>
      <top/>
      <bottom/>
      <diagonal/>
    </border>
    <border>
      <left style="medium">
        <color auto="1"/>
      </left>
      <right/>
      <top style="medium">
        <color auto="1"/>
      </top>
      <bottom/>
      <diagonal/>
    </border>
    <border>
      <left/>
      <right style="medium">
        <color auto="1"/>
      </right>
      <top style="medium">
        <color auto="1"/>
      </top>
      <bottom/>
      <diagonal/>
    </border>
    <border>
      <left/>
      <right style="medium">
        <color auto="1"/>
      </right>
      <top/>
      <bottom/>
      <diagonal/>
    </border>
    <border>
      <left/>
      <right/>
      <top style="medium">
        <color auto="1"/>
      </top>
      <bottom/>
      <diagonal/>
    </border>
    <border>
      <left style="medium">
        <color auto="1"/>
      </left>
      <right style="thin">
        <color auto="1"/>
      </right>
      <top/>
      <bottom style="hair">
        <color auto="1"/>
      </bottom>
      <diagonal/>
    </border>
    <border>
      <left style="thin">
        <color auto="1"/>
      </left>
      <right style="medium">
        <color auto="1"/>
      </right>
      <top/>
      <bottom style="hair">
        <color auto="1"/>
      </bottom>
      <diagonal/>
    </border>
    <border>
      <left/>
      <right style="medium">
        <color auto="1"/>
      </right>
      <top/>
      <bottom style="thin">
        <color auto="1"/>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thin">
        <color auto="1"/>
      </left>
      <right style="medium">
        <color rgb="FF000000"/>
      </right>
      <top style="medium">
        <color rgb="FF000000"/>
      </top>
      <bottom style="medium">
        <color rgb="FF000000"/>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indexed="8"/>
      </left>
      <right style="thin">
        <color indexed="8"/>
      </right>
      <top style="double">
        <color indexed="8"/>
      </top>
      <bottom/>
      <diagonal/>
    </border>
    <border>
      <left/>
      <right/>
      <top/>
      <bottom style="thick">
        <color indexed="62"/>
      </bottom>
      <diagonal/>
    </border>
    <border>
      <left/>
      <right/>
      <top/>
      <bottom style="thick">
        <color indexed="56"/>
      </bottom>
      <diagonal/>
    </border>
    <border>
      <left/>
      <right/>
      <top/>
      <bottom style="thick">
        <color indexed="49"/>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auto="1"/>
      </left>
      <right style="thin">
        <color auto="1"/>
      </right>
      <top style="thin">
        <color auto="1"/>
      </top>
      <bottom style="hair">
        <color auto="1"/>
      </bottom>
      <diagonal/>
    </border>
    <border>
      <left/>
      <right/>
      <top style="thin">
        <color indexed="64"/>
      </top>
      <bottom style="thin">
        <color indexed="64"/>
      </bottom>
      <diagonal/>
    </border>
    <border>
      <left style="thin">
        <color auto="1"/>
      </left>
      <right/>
      <top style="thin">
        <color auto="1"/>
      </top>
      <bottom style="thin">
        <color auto="1"/>
      </bottom>
      <diagonal/>
    </border>
    <border>
      <left/>
      <right style="thin">
        <color indexed="64"/>
      </right>
      <top style="thin">
        <color indexed="64"/>
      </top>
      <bottom style="thin">
        <color indexed="64"/>
      </bottom>
      <diagonal/>
    </border>
    <border>
      <left style="medium">
        <color auto="1"/>
      </left>
      <right/>
      <top style="thin">
        <color auto="1"/>
      </top>
      <bottom style="medium">
        <color auto="1"/>
      </bottom>
      <diagonal/>
    </border>
    <border>
      <left style="thin">
        <color auto="1"/>
      </left>
      <right/>
      <top style="thin">
        <color auto="1"/>
      </top>
      <bottom style="medium">
        <color auto="1"/>
      </bottom>
      <diagonal/>
    </border>
    <border>
      <left style="thin">
        <color auto="1"/>
      </left>
      <right/>
      <top style="hair">
        <color auto="1"/>
      </top>
      <bottom/>
      <diagonal/>
    </border>
    <border>
      <left/>
      <right/>
      <top style="hair">
        <color auto="1"/>
      </top>
      <bottom/>
      <diagonal/>
    </border>
    <border>
      <left style="medium">
        <color indexed="64"/>
      </left>
      <right/>
      <top/>
      <bottom/>
      <diagonal/>
    </border>
    <border>
      <left style="medium">
        <color auto="1"/>
      </left>
      <right/>
      <top/>
      <bottom style="medium">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auto="1"/>
      </right>
      <top style="thin">
        <color auto="1"/>
      </top>
      <bottom/>
      <diagonal/>
    </border>
    <border>
      <left style="medium">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auto="1"/>
      </left>
      <right/>
      <top/>
      <bottom style="hair">
        <color auto="1"/>
      </bottom>
      <diagonal/>
    </border>
    <border>
      <left style="medium">
        <color indexed="64"/>
      </left>
      <right/>
      <top/>
      <bottom style="thin">
        <color auto="1"/>
      </bottom>
      <diagonal/>
    </border>
    <border>
      <left style="thin">
        <color auto="1"/>
      </left>
      <right style="hair">
        <color auto="1"/>
      </right>
      <top style="thin">
        <color indexed="64"/>
      </top>
      <bottom style="hair">
        <color auto="1"/>
      </bottom>
      <diagonal/>
    </border>
    <border>
      <left style="hair">
        <color auto="1"/>
      </left>
      <right style="hair">
        <color auto="1"/>
      </right>
      <top style="thin">
        <color indexed="64"/>
      </top>
      <bottom style="hair">
        <color auto="1"/>
      </bottom>
      <diagonal/>
    </border>
    <border>
      <left style="hair">
        <color auto="1"/>
      </left>
      <right style="thin">
        <color auto="1"/>
      </right>
      <top style="thin">
        <color indexed="64"/>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indexed="64"/>
      </bottom>
      <diagonal/>
    </border>
    <border>
      <left style="hair">
        <color auto="1"/>
      </left>
      <right style="hair">
        <color auto="1"/>
      </right>
      <top style="hair">
        <color auto="1"/>
      </top>
      <bottom style="thin">
        <color indexed="64"/>
      </bottom>
      <diagonal/>
    </border>
    <border>
      <left style="hair">
        <color auto="1"/>
      </left>
      <right style="thin">
        <color auto="1"/>
      </right>
      <top style="hair">
        <color auto="1"/>
      </top>
      <bottom style="thin">
        <color indexed="64"/>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hair">
        <color indexed="64"/>
      </left>
      <right style="hair">
        <color indexed="64"/>
      </right>
      <top/>
      <bottom style="hair">
        <color indexed="64"/>
      </bottom>
      <diagonal/>
    </border>
    <border>
      <left style="thin">
        <color auto="1"/>
      </left>
      <right style="hair">
        <color auto="1"/>
      </right>
      <top/>
      <bottom style="hair">
        <color auto="1"/>
      </bottom>
      <diagonal/>
    </border>
    <border>
      <left style="hair">
        <color auto="1"/>
      </left>
      <right style="thin">
        <color auto="1"/>
      </right>
      <top/>
      <bottom style="hair">
        <color auto="1"/>
      </bottom>
      <diagonal/>
    </border>
    <border>
      <left/>
      <right/>
      <top/>
      <bottom style="medium">
        <color indexed="64"/>
      </bottom>
      <diagonal/>
    </border>
    <border>
      <left/>
      <right/>
      <top/>
      <bottom style="medium">
        <color indexed="30"/>
      </bottom>
      <diagonal/>
    </border>
    <border>
      <left style="medium">
        <color rgb="FF000000"/>
      </left>
      <right style="thin">
        <color auto="1"/>
      </right>
      <top style="medium">
        <color rgb="FF000000"/>
      </top>
      <bottom/>
      <diagonal/>
    </border>
    <border>
      <left style="thin">
        <color auto="1"/>
      </left>
      <right style="thin">
        <color auto="1"/>
      </right>
      <top style="medium">
        <color rgb="FF000000"/>
      </top>
      <bottom/>
      <diagonal/>
    </border>
    <border>
      <left/>
      <right style="medium">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right style="thin">
        <color rgb="FF000000"/>
      </right>
      <top/>
      <bottom style="thin">
        <color rgb="FF000000"/>
      </bottom>
      <diagonal/>
    </border>
    <border>
      <left/>
      <right style="medium">
        <color indexed="64"/>
      </right>
      <top/>
      <bottom style="medium">
        <color indexed="64"/>
      </bottom>
      <diagonal/>
    </border>
    <border>
      <left style="medium">
        <color indexed="64"/>
      </left>
      <right style="medium">
        <color indexed="64"/>
      </right>
      <top/>
      <bottom style="hair">
        <color auto="1"/>
      </bottom>
      <diagonal/>
    </border>
    <border>
      <left style="medium">
        <color indexed="64"/>
      </left>
      <right style="medium">
        <color indexed="64"/>
      </right>
      <top style="hair">
        <color auto="1"/>
      </top>
      <bottom style="thin">
        <color auto="1"/>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auto="1"/>
      </top>
      <bottom style="medium">
        <color auto="1"/>
      </bottom>
      <diagonal/>
    </border>
    <border>
      <left style="hair">
        <color auto="1"/>
      </left>
      <right style="hair">
        <color auto="1"/>
      </right>
      <top style="thin">
        <color indexed="64"/>
      </top>
      <bottom/>
      <diagonal/>
    </border>
    <border>
      <left style="hair">
        <color auto="1"/>
      </left>
      <right style="hair">
        <color auto="1"/>
      </right>
      <top/>
      <bottom style="thin">
        <color indexed="64"/>
      </bottom>
      <diagonal/>
    </border>
    <border>
      <left style="thick">
        <color auto="1"/>
      </left>
      <right style="hair">
        <color auto="1"/>
      </right>
      <top style="hair">
        <color auto="1"/>
      </top>
      <bottom style="hair">
        <color auto="1"/>
      </bottom>
      <diagonal/>
    </border>
    <border>
      <left style="hair">
        <color auto="1"/>
      </left>
      <right style="thick">
        <color auto="1"/>
      </right>
      <top style="hair">
        <color auto="1"/>
      </top>
      <bottom style="hair">
        <color auto="1"/>
      </bottom>
      <diagonal/>
    </border>
    <border>
      <left style="hair">
        <color auto="1"/>
      </left>
      <right style="thick">
        <color auto="1"/>
      </right>
      <top style="hair">
        <color auto="1"/>
      </top>
      <bottom style="thick">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style="medium">
        <color auto="1"/>
      </top>
      <bottom style="thin">
        <color indexed="64"/>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style="thin">
        <color auto="1"/>
      </right>
      <top style="thin">
        <color auto="1"/>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medium">
        <color indexed="64"/>
      </right>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auto="1"/>
      </left>
      <right/>
      <top style="medium">
        <color rgb="FF000000"/>
      </top>
      <bottom/>
      <diagonal/>
    </border>
    <border>
      <left/>
      <right style="hair">
        <color auto="1"/>
      </right>
      <top style="hair">
        <color auto="1"/>
      </top>
      <bottom/>
      <diagonal/>
    </border>
    <border>
      <left/>
      <right style="hair">
        <color auto="1"/>
      </right>
      <top/>
      <bottom style="hair">
        <color auto="1"/>
      </bottom>
      <diagonal/>
    </border>
    <border>
      <left/>
      <right/>
      <top style="hair">
        <color auto="1"/>
      </top>
      <bottom style="hair">
        <color auto="1"/>
      </bottom>
      <diagonal/>
    </border>
    <border>
      <left/>
      <right style="thick">
        <color auto="1"/>
      </right>
      <top style="hair">
        <color auto="1"/>
      </top>
      <bottom style="hair">
        <color auto="1"/>
      </bottom>
      <diagonal/>
    </border>
    <border>
      <left/>
      <right/>
      <top/>
      <bottom style="hair">
        <color auto="1"/>
      </bottom>
      <diagonal/>
    </border>
    <border>
      <left style="thick">
        <color auto="1"/>
      </left>
      <right/>
      <top style="hair">
        <color auto="1"/>
      </top>
      <bottom/>
      <diagonal/>
    </border>
    <border>
      <left style="thick">
        <color auto="1"/>
      </left>
      <right/>
      <top/>
      <bottom style="hair">
        <color auto="1"/>
      </bottom>
      <diagonal/>
    </border>
    <border>
      <left style="thick">
        <color auto="1"/>
      </left>
      <right/>
      <top style="hair">
        <color auto="1"/>
      </top>
      <bottom style="hair">
        <color auto="1"/>
      </bottom>
      <diagonal/>
    </border>
    <border>
      <left style="thin">
        <color rgb="FF000000"/>
      </left>
      <right style="thin">
        <color rgb="FF000000"/>
      </right>
      <top style="thin">
        <color rgb="FF000000"/>
      </top>
      <bottom/>
      <diagonal/>
    </border>
    <border>
      <left style="thick">
        <color auto="1"/>
      </left>
      <right/>
      <top style="thick">
        <color auto="1"/>
      </top>
      <bottom style="hair">
        <color auto="1"/>
      </bottom>
      <diagonal/>
    </border>
    <border>
      <left/>
      <right/>
      <top style="thick">
        <color auto="1"/>
      </top>
      <bottom style="hair">
        <color auto="1"/>
      </bottom>
      <diagonal/>
    </border>
    <border>
      <left/>
      <right style="thick">
        <color auto="1"/>
      </right>
      <top style="thick">
        <color auto="1"/>
      </top>
      <bottom style="hair">
        <color auto="1"/>
      </bottom>
      <diagonal/>
    </border>
    <border>
      <left style="thick">
        <color auto="1"/>
      </left>
      <right/>
      <top style="hair">
        <color auto="1"/>
      </top>
      <bottom style="thick">
        <color auto="1"/>
      </bottom>
      <diagonal/>
    </border>
    <border>
      <left/>
      <right/>
      <top style="hair">
        <color auto="1"/>
      </top>
      <bottom style="thick">
        <color auto="1"/>
      </bottom>
      <diagonal/>
    </border>
    <border>
      <left/>
      <right style="hair">
        <color auto="1"/>
      </right>
      <top style="hair">
        <color auto="1"/>
      </top>
      <bottom style="thick">
        <color auto="1"/>
      </bottom>
      <diagonal/>
    </border>
    <border>
      <left style="thin">
        <color auto="1"/>
      </left>
      <right style="hair">
        <color auto="1"/>
      </right>
      <top style="hair">
        <color auto="1"/>
      </top>
      <bottom/>
      <diagonal/>
    </border>
    <border>
      <left style="hair">
        <color auto="1"/>
      </left>
      <right style="hair">
        <color auto="1"/>
      </right>
      <top style="hair">
        <color auto="1"/>
      </top>
      <bottom/>
      <diagonal/>
    </border>
    <border>
      <left style="hair">
        <color indexed="64"/>
      </left>
      <right style="hair">
        <color indexed="64"/>
      </right>
      <top/>
      <bottom/>
      <diagonal/>
    </border>
    <border>
      <left style="hair">
        <color auto="1"/>
      </left>
      <right/>
      <top style="hair">
        <color auto="1"/>
      </top>
      <bottom style="thin">
        <color indexed="64"/>
      </bottom>
      <diagonal/>
    </border>
    <border>
      <left/>
      <right/>
      <top style="hair">
        <color auto="1"/>
      </top>
      <bottom style="thin">
        <color indexed="64"/>
      </bottom>
      <diagonal/>
    </border>
    <border>
      <left/>
      <right style="hair">
        <color auto="1"/>
      </right>
      <top style="hair">
        <color auto="1"/>
      </top>
      <bottom style="thin">
        <color indexed="64"/>
      </bottom>
      <diagonal/>
    </border>
    <border>
      <left style="hair">
        <color auto="1"/>
      </left>
      <right/>
      <top/>
      <bottom style="hair">
        <color auto="1"/>
      </bottom>
      <diagonal/>
    </border>
  </borders>
  <cellStyleXfs count="33841">
    <xf numFmtId="0" fontId="0" fillId="0" borderId="0"/>
    <xf numFmtId="43" fontId="27" fillId="0" borderId="0" applyFont="0" applyFill="0" applyBorder="0" applyAlignment="0" applyProtection="0"/>
    <xf numFmtId="9" fontId="27" fillId="0" borderId="0" applyFont="0" applyFill="0" applyBorder="0" applyAlignment="0" applyProtection="0"/>
    <xf numFmtId="0" fontId="11" fillId="0" borderId="0" applyNumberFormat="0" applyFill="0" applyBorder="0" applyAlignment="0" applyProtection="0"/>
    <xf numFmtId="0" fontId="12" fillId="0" borderId="1" applyNumberFormat="0" applyFill="0" applyAlignment="0" applyProtection="0"/>
    <xf numFmtId="0" fontId="13" fillId="0" borderId="2" applyNumberFormat="0" applyFill="0" applyAlignment="0" applyProtection="0"/>
    <xf numFmtId="0" fontId="14" fillId="0" borderId="3" applyNumberFormat="0" applyFill="0" applyAlignment="0" applyProtection="0"/>
    <xf numFmtId="0" fontId="14" fillId="0" borderId="0" applyNumberFormat="0" applyFill="0" applyBorder="0" applyAlignment="0" applyProtection="0"/>
    <xf numFmtId="0" fontId="15" fillId="2" borderId="0" applyNumberFormat="0" applyBorder="0" applyAlignment="0" applyProtection="0"/>
    <xf numFmtId="0" fontId="16" fillId="3" borderId="0" applyNumberFormat="0" applyBorder="0" applyAlignment="0" applyProtection="0"/>
    <xf numFmtId="0" fontId="18" fillId="5" borderId="4" applyNumberFormat="0" applyAlignment="0" applyProtection="0"/>
    <xf numFmtId="0" fontId="19" fillId="6" borderId="5" applyNumberFormat="0" applyAlignment="0" applyProtection="0"/>
    <xf numFmtId="0" fontId="20" fillId="6" borderId="4" applyNumberFormat="0" applyAlignment="0" applyProtection="0"/>
    <xf numFmtId="0" fontId="21" fillId="0" borderId="6" applyNumberFormat="0" applyFill="0" applyAlignment="0" applyProtection="0"/>
    <xf numFmtId="0" fontId="22" fillId="7" borderId="7" applyNumberFormat="0" applyAlignment="0" applyProtection="0"/>
    <xf numFmtId="0" fontId="23" fillId="0" borderId="0" applyNumberFormat="0" applyFill="0" applyBorder="0" applyAlignment="0" applyProtection="0"/>
    <xf numFmtId="0" fontId="10" fillId="8" borderId="8" applyNumberFormat="0" applyFont="0" applyAlignment="0" applyProtection="0"/>
    <xf numFmtId="0" fontId="24" fillId="0" borderId="0" applyNumberFormat="0" applyFill="0" applyBorder="0" applyAlignment="0" applyProtection="0"/>
    <xf numFmtId="0" fontId="25" fillId="0" borderId="9" applyNumberFormat="0" applyFill="0" applyAlignment="0" applyProtection="0"/>
    <xf numFmtId="0" fontId="26" fillId="9" borderId="0" applyNumberFormat="0" applyBorder="0" applyAlignment="0" applyProtection="0"/>
    <xf numFmtId="0" fontId="10" fillId="10" borderId="0" applyNumberFormat="0" applyBorder="0" applyAlignment="0" applyProtection="0"/>
    <xf numFmtId="0" fontId="10" fillId="11" borderId="0" applyNumberFormat="0" applyBorder="0" applyAlignment="0" applyProtection="0"/>
    <xf numFmtId="0" fontId="26" fillId="12" borderId="0" applyNumberFormat="0" applyBorder="0" applyAlignment="0" applyProtection="0"/>
    <xf numFmtId="0" fontId="26"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26" fillId="16" borderId="0" applyNumberFormat="0" applyBorder="0" applyAlignment="0" applyProtection="0"/>
    <xf numFmtId="0" fontId="26" fillId="17"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26" fillId="20" borderId="0" applyNumberFormat="0" applyBorder="0" applyAlignment="0" applyProtection="0"/>
    <xf numFmtId="0" fontId="26" fillId="21"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26" fillId="24" borderId="0" applyNumberFormat="0" applyBorder="0" applyAlignment="0" applyProtection="0"/>
    <xf numFmtId="0" fontId="26" fillId="25"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26" fillId="28" borderId="0" applyNumberFormat="0" applyBorder="0" applyAlignment="0" applyProtection="0"/>
    <xf numFmtId="0" fontId="26"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26" fillId="32" borderId="0" applyNumberFormat="0" applyBorder="0" applyAlignment="0" applyProtection="0"/>
    <xf numFmtId="164" fontId="27" fillId="0" borderId="0" applyFont="0" applyFill="0" applyBorder="0" applyAlignment="0" applyProtection="0"/>
    <xf numFmtId="0" fontId="28" fillId="0" borderId="0"/>
    <xf numFmtId="0" fontId="28" fillId="0" borderId="0">
      <alignment vertical="top"/>
    </xf>
    <xf numFmtId="0" fontId="29" fillId="0" borderId="0">
      <alignment vertical="top"/>
    </xf>
    <xf numFmtId="0" fontId="28" fillId="0" borderId="0"/>
    <xf numFmtId="0" fontId="28" fillId="0" borderId="0"/>
    <xf numFmtId="2" fontId="28" fillId="0" borderId="0">
      <alignment vertical="center"/>
    </xf>
    <xf numFmtId="0" fontId="28" fillId="0" borderId="0"/>
    <xf numFmtId="0" fontId="28" fillId="0" borderId="0">
      <alignment vertical="top"/>
    </xf>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9" fillId="0" borderId="0" applyFill="0" applyBorder="0" applyProtection="0">
      <alignment vertical="top"/>
    </xf>
    <xf numFmtId="9" fontId="27"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0" fontId="28" fillId="0" borderId="0"/>
    <xf numFmtId="0" fontId="9" fillId="0" borderId="0"/>
    <xf numFmtId="0" fontId="27" fillId="40" borderId="0" applyNumberFormat="0" applyBorder="0" applyProtection="0">
      <alignment vertical="top"/>
    </xf>
    <xf numFmtId="0" fontId="27" fillId="41" borderId="0" applyNumberFormat="0" applyBorder="0" applyProtection="0">
      <alignment vertical="top"/>
    </xf>
    <xf numFmtId="0" fontId="27" fillId="42" borderId="0" applyNumberFormat="0" applyBorder="0" applyProtection="0">
      <alignment vertical="top"/>
    </xf>
    <xf numFmtId="0" fontId="27" fillId="43" borderId="0" applyNumberFormat="0" applyBorder="0" applyProtection="0">
      <alignment vertical="top"/>
    </xf>
    <xf numFmtId="0" fontId="27" fillId="44" borderId="0" applyNumberFormat="0" applyBorder="0" applyProtection="0">
      <alignment vertical="top"/>
    </xf>
    <xf numFmtId="0" fontId="27" fillId="45" borderId="0" applyNumberFormat="0" applyBorder="0" applyProtection="0">
      <alignment vertical="top"/>
    </xf>
    <xf numFmtId="0" fontId="9" fillId="10" borderId="0" applyNumberFormat="0" applyBorder="0" applyAlignment="0" applyProtection="0"/>
    <xf numFmtId="0" fontId="9" fillId="14"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27" fillId="40" borderId="0" applyNumberFormat="0" applyBorder="0" applyAlignment="0" applyProtection="0"/>
    <xf numFmtId="0" fontId="27" fillId="40" borderId="0" applyNumberFormat="0" applyBorder="0" applyAlignment="0" applyProtection="0"/>
    <xf numFmtId="0" fontId="27" fillId="40" borderId="0" applyNumberFormat="0" applyBorder="0" applyAlignment="0" applyProtection="0"/>
    <xf numFmtId="0" fontId="27" fillId="40" borderId="0" applyNumberFormat="0" applyBorder="0" applyAlignment="0" applyProtection="0"/>
    <xf numFmtId="0" fontId="27" fillId="40" borderId="0" applyNumberFormat="0" applyBorder="0" applyAlignment="0" applyProtection="0"/>
    <xf numFmtId="0" fontId="27" fillId="40" borderId="0" applyNumberFormat="0" applyBorder="0" applyAlignment="0" applyProtection="0"/>
    <xf numFmtId="0" fontId="27" fillId="40" borderId="0" applyNumberFormat="0" applyBorder="0" applyAlignment="0" applyProtection="0"/>
    <xf numFmtId="0" fontId="27" fillId="40"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2" borderId="0" applyNumberFormat="0" applyBorder="0" applyAlignment="0" applyProtection="0"/>
    <xf numFmtId="0" fontId="27" fillId="42" borderId="0" applyNumberFormat="0" applyBorder="0" applyAlignment="0" applyProtection="0"/>
    <xf numFmtId="0" fontId="27" fillId="42" borderId="0" applyNumberFormat="0" applyBorder="0" applyAlignment="0" applyProtection="0"/>
    <xf numFmtId="0" fontId="27" fillId="42" borderId="0" applyNumberFormat="0" applyBorder="0" applyAlignment="0" applyProtection="0"/>
    <xf numFmtId="0" fontId="27" fillId="42" borderId="0" applyNumberFormat="0" applyBorder="0" applyAlignment="0" applyProtection="0"/>
    <xf numFmtId="0" fontId="27" fillId="42" borderId="0" applyNumberFormat="0" applyBorder="0" applyAlignment="0" applyProtection="0"/>
    <xf numFmtId="0" fontId="27" fillId="42" borderId="0" applyNumberFormat="0" applyBorder="0" applyAlignment="0" applyProtection="0"/>
    <xf numFmtId="0" fontId="27" fillId="42"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8" borderId="0" applyNumberFormat="0" applyBorder="0" applyProtection="0">
      <alignment vertical="top"/>
    </xf>
    <xf numFmtId="0" fontId="27" fillId="49" borderId="0" applyNumberFormat="0" applyBorder="0" applyProtection="0">
      <alignment vertical="top"/>
    </xf>
    <xf numFmtId="0" fontId="27" fillId="50" borderId="0" applyNumberFormat="0" applyBorder="0" applyProtection="0">
      <alignment vertical="top"/>
    </xf>
    <xf numFmtId="0" fontId="27" fillId="43" borderId="0" applyNumberFormat="0" applyBorder="0" applyProtection="0">
      <alignment vertical="top"/>
    </xf>
    <xf numFmtId="0" fontId="27" fillId="48" borderId="0" applyNumberFormat="0" applyBorder="0" applyProtection="0">
      <alignment vertical="top"/>
    </xf>
    <xf numFmtId="0" fontId="27" fillId="51" borderId="0" applyNumberFormat="0" applyBorder="0" applyProtection="0">
      <alignment vertical="top"/>
    </xf>
    <xf numFmtId="0" fontId="9" fillId="11"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50"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51" fillId="52" borderId="0" applyNumberFormat="0" applyBorder="0" applyProtection="0">
      <alignment vertical="top"/>
    </xf>
    <xf numFmtId="0" fontId="51" fillId="49" borderId="0" applyNumberFormat="0" applyBorder="0" applyProtection="0">
      <alignment vertical="top"/>
    </xf>
    <xf numFmtId="0" fontId="51" fillId="50" borderId="0" applyNumberFormat="0" applyBorder="0" applyProtection="0">
      <alignment vertical="top"/>
    </xf>
    <xf numFmtId="0" fontId="51" fillId="53" borderId="0" applyNumberFormat="0" applyBorder="0" applyProtection="0">
      <alignment vertical="top"/>
    </xf>
    <xf numFmtId="0" fontId="51" fillId="54" borderId="0" applyNumberFormat="0" applyBorder="0" applyProtection="0">
      <alignment vertical="top"/>
    </xf>
    <xf numFmtId="0" fontId="51" fillId="55" borderId="0" applyNumberFormat="0" applyBorder="0" applyProtection="0">
      <alignment vertical="top"/>
    </xf>
    <xf numFmtId="0" fontId="26" fillId="12" borderId="0" applyNumberFormat="0" applyBorder="0" applyAlignment="0" applyProtection="0"/>
    <xf numFmtId="0" fontId="26" fillId="16" borderId="0" applyNumberFormat="0" applyBorder="0" applyAlignment="0" applyProtection="0"/>
    <xf numFmtId="0" fontId="26" fillId="20" borderId="0" applyNumberFormat="0" applyBorder="0" applyAlignment="0" applyProtection="0"/>
    <xf numFmtId="0" fontId="26" fillId="24" borderId="0" applyNumberFormat="0" applyBorder="0" applyAlignment="0" applyProtection="0"/>
    <xf numFmtId="0" fontId="26" fillId="28" borderId="0" applyNumberFormat="0" applyBorder="0" applyAlignment="0" applyProtection="0"/>
    <xf numFmtId="0" fontId="26" fillId="32" borderId="0" applyNumberFormat="0" applyBorder="0" applyAlignment="0" applyProtection="0"/>
    <xf numFmtId="0" fontId="51" fillId="52" borderId="0" applyNumberFormat="0" applyBorder="0" applyAlignment="0" applyProtection="0"/>
    <xf numFmtId="0" fontId="51" fillId="49" borderId="0" applyNumberFormat="0" applyBorder="0" applyAlignment="0" applyProtection="0"/>
    <xf numFmtId="0" fontId="51" fillId="50" borderId="0" applyNumberFormat="0" applyBorder="0" applyAlignment="0" applyProtection="0"/>
    <xf numFmtId="0" fontId="51" fillId="53" borderId="0" applyNumberFormat="0" applyBorder="0" applyAlignment="0" applyProtection="0"/>
    <xf numFmtId="0" fontId="51" fillId="54" borderId="0" applyNumberFormat="0" applyBorder="0" applyAlignment="0" applyProtection="0"/>
    <xf numFmtId="0" fontId="51" fillId="55" borderId="0" applyNumberFormat="0" applyBorder="0" applyAlignment="0" applyProtection="0"/>
    <xf numFmtId="0" fontId="51" fillId="56" borderId="0" applyNumberFormat="0" applyBorder="0" applyProtection="0">
      <alignment vertical="top"/>
    </xf>
    <xf numFmtId="0" fontId="51" fillId="57" borderId="0" applyNumberFormat="0" applyBorder="0" applyProtection="0">
      <alignment vertical="top"/>
    </xf>
    <xf numFmtId="0" fontId="51" fillId="58" borderId="0" applyNumberFormat="0" applyBorder="0" applyProtection="0">
      <alignment vertical="top"/>
    </xf>
    <xf numFmtId="0" fontId="51" fillId="53" borderId="0" applyNumberFormat="0" applyBorder="0" applyProtection="0">
      <alignment vertical="top"/>
    </xf>
    <xf numFmtId="0" fontId="51" fillId="54" borderId="0" applyNumberFormat="0" applyBorder="0" applyProtection="0">
      <alignment vertical="top"/>
    </xf>
    <xf numFmtId="0" fontId="51" fillId="59" borderId="0" applyNumberFormat="0" applyBorder="0" applyProtection="0">
      <alignment vertical="top"/>
    </xf>
    <xf numFmtId="0" fontId="52" fillId="41" borderId="0" applyNumberFormat="0" applyBorder="0" applyProtection="0">
      <alignment vertical="top"/>
    </xf>
    <xf numFmtId="0" fontId="53" fillId="60" borderId="0" applyNumberFormat="0" applyBorder="0" applyAlignment="0" applyProtection="0"/>
    <xf numFmtId="0" fontId="53" fillId="42" borderId="0" applyNumberFormat="0" applyBorder="0" applyAlignment="0" applyProtection="0"/>
    <xf numFmtId="0" fontId="53" fillId="60" borderId="0" applyNumberFormat="0" applyBorder="0" applyAlignment="0" applyProtection="0"/>
    <xf numFmtId="0" fontId="53" fillId="60" borderId="0" applyNumberFormat="0" applyBorder="0" applyAlignment="0" applyProtection="0"/>
    <xf numFmtId="0" fontId="12" fillId="0" borderId="1" applyNumberFormat="0" applyFill="0" applyAlignment="0" applyProtection="0"/>
    <xf numFmtId="0" fontId="13" fillId="0" borderId="2" applyNumberFormat="0" applyFill="0" applyAlignment="0" applyProtection="0"/>
    <xf numFmtId="0" fontId="14" fillId="0" borderId="3" applyNumberFormat="0" applyFill="0" applyAlignment="0" applyProtection="0"/>
    <xf numFmtId="0" fontId="14" fillId="0" borderId="0" applyNumberFormat="0" applyFill="0" applyBorder="0" applyAlignment="0" applyProtection="0"/>
    <xf numFmtId="0" fontId="54" fillId="61" borderId="41" applyNumberFormat="0" applyProtection="0">
      <alignment vertical="top"/>
    </xf>
    <xf numFmtId="0" fontId="20" fillId="6" borderId="4" applyNumberFormat="0" applyAlignment="0" applyProtection="0"/>
    <xf numFmtId="0" fontId="54" fillId="61" borderId="41" applyNumberFormat="0" applyAlignment="0" applyProtection="0"/>
    <xf numFmtId="0" fontId="20" fillId="6" borderId="4" applyNumberFormat="0" applyAlignment="0" applyProtection="0"/>
    <xf numFmtId="0" fontId="20" fillId="6" borderId="4" applyNumberFormat="0" applyAlignment="0" applyProtection="0"/>
    <xf numFmtId="0" fontId="54" fillId="62" borderId="41" applyNumberFormat="0" applyAlignment="0" applyProtection="0"/>
    <xf numFmtId="0" fontId="55" fillId="63" borderId="42" applyNumberFormat="0" applyAlignment="0" applyProtection="0"/>
    <xf numFmtId="0" fontId="55" fillId="64" borderId="42" applyNumberFormat="0" applyAlignment="0" applyProtection="0"/>
    <xf numFmtId="0" fontId="55" fillId="63" borderId="42" applyNumberFormat="0" applyAlignment="0" applyProtection="0"/>
    <xf numFmtId="0" fontId="55" fillId="63" borderId="42" applyNumberFormat="0" applyAlignment="0" applyProtection="0"/>
    <xf numFmtId="0" fontId="21" fillId="0" borderId="6" applyNumberFormat="0" applyFill="0" applyAlignment="0" applyProtection="0"/>
    <xf numFmtId="0" fontId="56" fillId="0" borderId="43" applyNumberFormat="0" applyFill="0" applyAlignment="0" applyProtection="0"/>
    <xf numFmtId="0" fontId="55" fillId="64" borderId="42" applyNumberFormat="0" applyProtection="0">
      <alignment vertical="top"/>
    </xf>
    <xf numFmtId="172" fontId="57" fillId="0" borderId="0" applyNumberFormat="0" applyFill="0" applyBorder="0">
      <alignment horizontal="left" vertical="center"/>
      <protection locked="0"/>
    </xf>
    <xf numFmtId="0" fontId="26" fillId="9" borderId="0" applyNumberFormat="0" applyBorder="0" applyAlignment="0" applyProtection="0"/>
    <xf numFmtId="0" fontId="26" fillId="13" borderId="0" applyNumberFormat="0" applyBorder="0" applyAlignment="0" applyProtection="0"/>
    <xf numFmtId="0" fontId="26" fillId="17" borderId="0" applyNumberFormat="0" applyBorder="0" applyAlignment="0" applyProtection="0"/>
    <xf numFmtId="0" fontId="26" fillId="21" borderId="0" applyNumberFormat="0" applyBorder="0" applyAlignment="0" applyProtection="0"/>
    <xf numFmtId="0" fontId="26" fillId="25" borderId="0" applyNumberFormat="0" applyBorder="0" applyAlignment="0" applyProtection="0"/>
    <xf numFmtId="0" fontId="26" fillId="29" borderId="0" applyNumberFormat="0" applyBorder="0" applyAlignment="0" applyProtection="0"/>
    <xf numFmtId="0" fontId="15" fillId="2" borderId="0" applyNumberFormat="0" applyBorder="0" applyAlignment="0" applyProtection="0"/>
    <xf numFmtId="172" fontId="38" fillId="65" borderId="0" applyNumberFormat="0" applyBorder="0">
      <alignment horizontal="center" vertical="center"/>
    </xf>
    <xf numFmtId="172" fontId="38" fillId="65" borderId="0" applyNumberFormat="0" applyBorder="0">
      <alignment horizontal="center" vertical="center"/>
    </xf>
    <xf numFmtId="172" fontId="58" fillId="65" borderId="29" applyNumberFormat="0" applyFill="0" applyBorder="0" applyProtection="0">
      <alignment horizontal="left"/>
      <protection locked="0"/>
    </xf>
    <xf numFmtId="0" fontId="51" fillId="56" borderId="0" applyNumberFormat="0" applyBorder="0" applyAlignment="0" applyProtection="0"/>
    <xf numFmtId="0" fontId="51" fillId="57" borderId="0" applyNumberFormat="0" applyBorder="0" applyAlignment="0" applyProtection="0"/>
    <xf numFmtId="0" fontId="51" fillId="58" borderId="0" applyNumberFormat="0" applyBorder="0" applyAlignment="0" applyProtection="0"/>
    <xf numFmtId="0" fontId="51" fillId="53" borderId="0" applyNumberFormat="0" applyBorder="0" applyAlignment="0" applyProtection="0"/>
    <xf numFmtId="0" fontId="51" fillId="54" borderId="0" applyNumberFormat="0" applyBorder="0" applyAlignment="0" applyProtection="0"/>
    <xf numFmtId="0" fontId="51" fillId="59" borderId="0" applyNumberFormat="0" applyBorder="0" applyAlignment="0" applyProtection="0"/>
    <xf numFmtId="0" fontId="18" fillId="5" borderId="4" applyNumberFormat="0" applyAlignment="0" applyProtection="0"/>
    <xf numFmtId="0" fontId="59" fillId="47" borderId="41" applyNumberFormat="0" applyAlignment="0" applyProtection="0"/>
    <xf numFmtId="0" fontId="18" fillId="5" borderId="4" applyNumberFormat="0" applyAlignment="0" applyProtection="0"/>
    <xf numFmtId="0" fontId="18" fillId="5" borderId="4" applyNumberFormat="0" applyAlignment="0" applyProtection="0"/>
    <xf numFmtId="0" fontId="59" fillId="66" borderId="41" applyNumberFormat="0" applyAlignment="0" applyProtection="0"/>
    <xf numFmtId="0" fontId="29"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9" fillId="0" borderId="0">
      <alignment vertical="top"/>
    </xf>
    <xf numFmtId="0" fontId="29" fillId="0" borderId="0">
      <alignment vertical="top"/>
    </xf>
    <xf numFmtId="173" fontId="28" fillId="0" borderId="0" applyFont="0" applyFill="0" applyBorder="0" applyAlignment="0" applyProtection="0"/>
    <xf numFmtId="173" fontId="28" fillId="0" borderId="0" applyFont="0" applyFill="0" applyBorder="0" applyAlignment="0" applyProtection="0"/>
    <xf numFmtId="173" fontId="28" fillId="0" borderId="0" applyFont="0" applyFill="0" applyBorder="0" applyAlignment="0" applyProtection="0"/>
    <xf numFmtId="174" fontId="60" fillId="0" borderId="0" applyFill="0" applyBorder="0" applyAlignment="0" applyProtection="0"/>
    <xf numFmtId="173" fontId="28" fillId="0" borderId="0" applyFont="0" applyFill="0" applyBorder="0" applyAlignment="0" applyProtection="0"/>
    <xf numFmtId="175" fontId="61" fillId="0" borderId="0"/>
    <xf numFmtId="0" fontId="62" fillId="0" borderId="0" applyNumberFormat="0" applyFill="0" applyBorder="0" applyProtection="0">
      <alignment vertical="top"/>
    </xf>
    <xf numFmtId="0" fontId="53" fillId="42" borderId="0" applyNumberFormat="0" applyBorder="0" applyProtection="0">
      <alignment vertical="top"/>
    </xf>
    <xf numFmtId="0" fontId="63" fillId="0" borderId="0">
      <alignment horizontal="center"/>
    </xf>
    <xf numFmtId="0" fontId="64" fillId="0" borderId="0" applyNumberFormat="0" applyFill="0" applyBorder="0" applyProtection="0">
      <alignment vertical="top"/>
    </xf>
    <xf numFmtId="0" fontId="65" fillId="0" borderId="44" applyNumberFormat="0" applyFill="0" applyProtection="0">
      <alignment vertical="top"/>
    </xf>
    <xf numFmtId="0" fontId="66" fillId="0" borderId="45" applyNumberFormat="0" applyFill="0" applyProtection="0">
      <alignment vertical="top"/>
    </xf>
    <xf numFmtId="0" fontId="66" fillId="0" borderId="0" applyNumberFormat="0" applyFill="0" applyBorder="0" applyProtection="0">
      <alignment vertical="top"/>
    </xf>
    <xf numFmtId="0" fontId="63" fillId="0" borderId="0">
      <alignment horizontal="center" textRotation="90"/>
    </xf>
    <xf numFmtId="0" fontId="67" fillId="0" borderId="0" applyNumberFormat="0" applyFill="0" applyBorder="0" applyAlignment="0" applyProtection="0"/>
    <xf numFmtId="0" fontId="16" fillId="3" borderId="0" applyNumberFormat="0" applyBorder="0" applyAlignment="0" applyProtection="0"/>
    <xf numFmtId="0" fontId="52" fillId="41" borderId="0" applyNumberFormat="0" applyBorder="0" applyAlignment="0" applyProtection="0"/>
    <xf numFmtId="0" fontId="59" fillId="45" borderId="41" applyNumberFormat="0" applyProtection="0">
      <alignment vertical="top"/>
    </xf>
    <xf numFmtId="0" fontId="56" fillId="0" borderId="43" applyNumberFormat="0" applyFill="0" applyProtection="0">
      <alignment vertical="top"/>
    </xf>
    <xf numFmtId="0" fontId="28" fillId="0" borderId="0">
      <alignment horizontal="centerContinuous" vertical="justify"/>
    </xf>
    <xf numFmtId="0" fontId="28" fillId="0" borderId="0">
      <alignment horizontal="centerContinuous" vertical="justify"/>
    </xf>
    <xf numFmtId="164" fontId="28" fillId="0" borderId="0" applyFont="0" applyFill="0" applyBorder="0" applyAlignment="0" applyProtection="0"/>
    <xf numFmtId="164" fontId="6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64"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6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7" fontId="60" fillId="0" borderId="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7" fontId="60" fillId="0" borderId="0" applyFill="0" applyBorder="0" applyAlignment="0" applyProtection="0"/>
    <xf numFmtId="176" fontId="28" fillId="0" borderId="0" applyFont="0" applyFill="0" applyBorder="0" applyAlignment="0" applyProtection="0"/>
    <xf numFmtId="177" fontId="28" fillId="0" borderId="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7" fontId="28" fillId="0" borderId="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7" fontId="60" fillId="0" borderId="0" applyFill="0" applyBorder="0" applyAlignment="0" applyProtection="0"/>
    <xf numFmtId="176" fontId="28" fillId="0" borderId="0" applyFont="0" applyFill="0" applyBorder="0" applyAlignment="0" applyProtection="0"/>
    <xf numFmtId="176"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7" fontId="60" fillId="0" borderId="0" applyFill="0" applyBorder="0" applyAlignment="0" applyProtection="0"/>
    <xf numFmtId="176"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7" fontId="28" fillId="0" borderId="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7" fontId="28" fillId="0" borderId="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8" fontId="28" fillId="0" borderId="0" applyFont="0" applyFill="0" applyBorder="0" applyAlignment="0" applyProtection="0"/>
    <xf numFmtId="178" fontId="28" fillId="0" borderId="0" applyFont="0" applyFill="0" applyBorder="0" applyAlignment="0" applyProtection="0"/>
    <xf numFmtId="179" fontId="28" fillId="0" borderId="0" applyFill="0" applyBorder="0" applyAlignment="0" applyProtection="0"/>
    <xf numFmtId="179" fontId="28" fillId="0" borderId="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16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164" fontId="6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164" fontId="68" fillId="0" borderId="0" applyFont="0" applyFill="0" applyBorder="0" applyAlignment="0" applyProtection="0"/>
    <xf numFmtId="164" fontId="28" fillId="0" borderId="0" applyFont="0" applyFill="0" applyBorder="0" applyAlignment="0" applyProtection="0"/>
    <xf numFmtId="164" fontId="28" fillId="0" borderId="0" applyFont="0" applyFill="0" applyBorder="0" applyAlignment="0" applyProtection="0"/>
    <xf numFmtId="44" fontId="28" fillId="0" borderId="0" applyFont="0" applyFill="0" applyBorder="0" applyAlignment="0" applyProtection="0"/>
    <xf numFmtId="0" fontId="69" fillId="67" borderId="0" applyNumberFormat="0" applyBorder="0" applyAlignment="0" applyProtection="0"/>
    <xf numFmtId="0" fontId="69" fillId="68" borderId="0" applyNumberFormat="0" applyBorder="0" applyAlignment="0" applyProtection="0"/>
    <xf numFmtId="0" fontId="69" fillId="67" borderId="0" applyNumberFormat="0" applyBorder="0" applyAlignment="0" applyProtection="0"/>
    <xf numFmtId="0" fontId="69" fillId="67" borderId="0" applyNumberFormat="0" applyBorder="0" applyAlignment="0" applyProtection="0"/>
    <xf numFmtId="0" fontId="69" fillId="68" borderId="0" applyNumberFormat="0" applyBorder="0" applyProtection="0">
      <alignment vertical="top"/>
    </xf>
    <xf numFmtId="0" fontId="17" fillId="4"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7" fillId="0" borderId="0"/>
    <xf numFmtId="0" fontId="27" fillId="0" borderId="0"/>
    <xf numFmtId="0" fontId="27"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7" fillId="0" borderId="0"/>
    <xf numFmtId="0" fontId="27" fillId="0" borderId="0"/>
    <xf numFmtId="0" fontId="27" fillId="0" borderId="0"/>
    <xf numFmtId="0" fontId="27"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8" fillId="0" borderId="0"/>
    <xf numFmtId="0" fontId="2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8" fillId="0" borderId="0"/>
    <xf numFmtId="0" fontId="2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8" fillId="0" borderId="0"/>
    <xf numFmtId="0" fontId="2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71" fillId="0" borderId="0"/>
    <xf numFmtId="0" fontId="28" fillId="0" borderId="0"/>
    <xf numFmtId="0" fontId="28" fillId="0" borderId="0"/>
    <xf numFmtId="0" fontId="28" fillId="0" borderId="0"/>
    <xf numFmtId="0" fontId="28"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28" fillId="0" borderId="0">
      <alignment vertical="top"/>
    </xf>
    <xf numFmtId="0" fontId="28"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28" fillId="0" borderId="0"/>
    <xf numFmtId="0" fontId="72" fillId="0" borderId="0"/>
    <xf numFmtId="0" fontId="28" fillId="0" borderId="0">
      <alignment vertical="top"/>
    </xf>
    <xf numFmtId="0" fontId="28" fillId="0" borderId="0">
      <alignment vertical="top"/>
    </xf>
    <xf numFmtId="0" fontId="28"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68" fillId="0" borderId="0"/>
    <xf numFmtId="0" fontId="28" fillId="0" borderId="0"/>
    <xf numFmtId="0" fontId="28" fillId="0" borderId="0"/>
    <xf numFmtId="0" fontId="28" fillId="0" borderId="0"/>
    <xf numFmtId="0" fontId="68" fillId="0" borderId="0"/>
    <xf numFmtId="0" fontId="28" fillId="0" borderId="0"/>
    <xf numFmtId="0" fontId="28" fillId="0" borderId="0"/>
    <xf numFmtId="0" fontId="28" fillId="0" borderId="0"/>
    <xf numFmtId="0" fontId="68" fillId="0" borderId="0"/>
    <xf numFmtId="0" fontId="28" fillId="0" borderId="0"/>
    <xf numFmtId="0" fontId="28" fillId="0" borderId="0"/>
    <xf numFmtId="0" fontId="28" fillId="0" borderId="0"/>
    <xf numFmtId="0" fontId="68" fillId="0" borderId="0"/>
    <xf numFmtId="0" fontId="28" fillId="0" borderId="0"/>
    <xf numFmtId="0" fontId="28" fillId="0" borderId="0"/>
    <xf numFmtId="0" fontId="28" fillId="0" borderId="0"/>
    <xf numFmtId="0" fontId="68" fillId="0" borderId="0"/>
    <xf numFmtId="0" fontId="28" fillId="0" borderId="0"/>
    <xf numFmtId="0" fontId="28" fillId="0" borderId="0"/>
    <xf numFmtId="0" fontId="28"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28" fillId="0" borderId="0"/>
    <xf numFmtId="0" fontId="28"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28" fillId="0" borderId="0"/>
    <xf numFmtId="0" fontId="28"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28" fillId="0" borderId="0"/>
    <xf numFmtId="0" fontId="28" fillId="0" borderId="0"/>
    <xf numFmtId="0" fontId="72" fillId="0" borderId="0"/>
    <xf numFmtId="0" fontId="72" fillId="0" borderId="0"/>
    <xf numFmtId="0" fontId="72" fillId="0" borderId="0"/>
    <xf numFmtId="0" fontId="72" fillId="0" borderId="0"/>
    <xf numFmtId="0" fontId="72" fillId="0" borderId="0"/>
    <xf numFmtId="0" fontId="28" fillId="0" borderId="0"/>
    <xf numFmtId="0" fontId="28" fillId="0" borderId="0"/>
    <xf numFmtId="0" fontId="29" fillId="0" borderId="0">
      <alignment vertical="top"/>
    </xf>
    <xf numFmtId="0" fontId="29"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6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3"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6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8" borderId="8" applyNumberFormat="0" applyFont="0" applyAlignment="0" applyProtection="0"/>
    <xf numFmtId="0" fontId="28" fillId="69" borderId="46" applyNumberFormat="0" applyAlignment="0" applyProtection="0"/>
    <xf numFmtId="0" fontId="28" fillId="69" borderId="46" applyNumberFormat="0" applyAlignment="0" applyProtection="0"/>
    <xf numFmtId="0" fontId="9" fillId="8" borderId="8" applyNumberFormat="0" applyFont="0" applyAlignment="0" applyProtection="0"/>
    <xf numFmtId="0" fontId="9" fillId="8" borderId="8" applyNumberFormat="0" applyFont="0" applyAlignment="0" applyProtection="0"/>
    <xf numFmtId="0" fontId="28" fillId="70" borderId="46" applyNumberFormat="0" applyFont="0" applyAlignment="0" applyProtection="0"/>
    <xf numFmtId="0" fontId="27" fillId="8" borderId="8" applyNumberFormat="0" applyFont="0" applyAlignment="0" applyProtection="0"/>
    <xf numFmtId="0" fontId="27" fillId="8" borderId="8" applyNumberFormat="0" applyFont="0" applyAlignment="0" applyProtection="0"/>
    <xf numFmtId="0" fontId="27" fillId="8" borderId="8" applyNumberFormat="0" applyFont="0" applyAlignment="0" applyProtection="0"/>
    <xf numFmtId="0" fontId="28" fillId="70" borderId="46" applyNumberFormat="0" applyFont="0" applyAlignment="0" applyProtection="0"/>
    <xf numFmtId="0" fontId="28" fillId="70" borderId="46" applyNumberFormat="0" applyFont="0" applyAlignment="0" applyProtection="0"/>
    <xf numFmtId="0" fontId="29" fillId="69" borderId="46" applyNumberFormat="0" applyProtection="0">
      <alignment vertical="top"/>
    </xf>
    <xf numFmtId="0" fontId="74" fillId="61" borderId="47" applyNumberFormat="0" applyProtection="0">
      <alignment vertical="top"/>
    </xf>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0" applyNumberFormat="0" applyBorder="0" applyAlignment="0"/>
    <xf numFmtId="0" fontId="28" fillId="0" borderId="0" applyNumberFormat="0" applyBorder="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0" fontId="28" fillId="0" borderId="48" applyNumberFormat="0" applyFont="0" applyAlignment="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7"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6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60" fillId="0" borderId="0" applyFill="0" applyBorder="0" applyAlignment="0" applyProtection="0"/>
    <xf numFmtId="9" fontId="28" fillId="0" borderId="0" applyFont="0" applyFill="0" applyBorder="0" applyAlignment="0" applyProtection="0"/>
    <xf numFmtId="9" fontId="28" fillId="0" borderId="0" applyFill="0" applyBorder="0" applyAlignment="0" applyProtection="0"/>
    <xf numFmtId="9" fontId="28" fillId="0" borderId="0" applyFill="0" applyBorder="0" applyAlignment="0" applyProtection="0"/>
    <xf numFmtId="9" fontId="60" fillId="0" borderId="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9" fillId="0" borderId="0" applyFill="0" applyBorder="0" applyProtection="0">
      <alignment vertical="top"/>
    </xf>
    <xf numFmtId="9" fontId="27" fillId="0" borderId="0" applyFont="0" applyFill="0" applyBorder="0" applyAlignment="0" applyProtection="0"/>
    <xf numFmtId="9" fontId="27"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60" fillId="0" borderId="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60" fillId="0" borderId="0" applyFill="0" applyBorder="0" applyAlignment="0" applyProtection="0"/>
    <xf numFmtId="9" fontId="28" fillId="0" borderId="0" applyFont="0" applyFill="0" applyBorder="0" applyAlignment="0" applyProtection="0"/>
    <xf numFmtId="9" fontId="28" fillId="0" borderId="0" applyFill="0" applyBorder="0" applyAlignment="0" applyProtection="0"/>
    <xf numFmtId="9" fontId="28" fillId="0" borderId="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60" fillId="0" borderId="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ill="0" applyAlignment="0" applyProtection="0"/>
    <xf numFmtId="9" fontId="28" fillId="0" borderId="0" applyFill="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75" fillId="0" borderId="0"/>
    <xf numFmtId="180" fontId="75" fillId="0" borderId="0"/>
    <xf numFmtId="0" fontId="19" fillId="6" borderId="5" applyNumberFormat="0" applyAlignment="0" applyProtection="0"/>
    <xf numFmtId="0" fontId="74" fillId="61" borderId="47" applyNumberFormat="0" applyAlignment="0" applyProtection="0"/>
    <xf numFmtId="0" fontId="19" fillId="6" borderId="5" applyNumberFormat="0" applyAlignment="0" applyProtection="0"/>
    <xf numFmtId="0" fontId="19" fillId="6" borderId="5" applyNumberFormat="0" applyAlignment="0" applyProtection="0"/>
    <xf numFmtId="0" fontId="74" fillId="62" borderId="47" applyNumberFormat="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68" fillId="0" borderId="0" applyFont="0" applyFill="0" applyBorder="0" applyAlignment="0" applyProtection="0"/>
    <xf numFmtId="165"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9"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68" fillId="0" borderId="0" applyFont="0" applyFill="0" applyBorder="0" applyAlignment="0" applyProtection="0"/>
    <xf numFmtId="165" fontId="28" fillId="0" borderId="0" applyFont="0" applyFill="0" applyBorder="0" applyAlignment="0" applyProtection="0"/>
    <xf numFmtId="43" fontId="9"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81" fontId="60" fillId="0" borderId="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81" fontId="60" fillId="0" borderId="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82" fontId="28" fillId="0" borderId="0" applyFont="0" applyFill="0" applyBorder="0" applyAlignment="0" applyProtection="0"/>
    <xf numFmtId="181" fontId="28" fillId="0" borderId="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81" fontId="28" fillId="0" borderId="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9" fontId="28" fillId="0" borderId="0" applyFill="0" applyAlignment="0" applyProtection="0"/>
    <xf numFmtId="179" fontId="28" fillId="0" borderId="0" applyFill="0" applyAlignment="0" applyProtection="0"/>
    <xf numFmtId="179" fontId="28" fillId="0" borderId="0" applyFill="0" applyAlignment="0" applyProtection="0"/>
    <xf numFmtId="181" fontId="60" fillId="0" borderId="0" applyFill="0" applyBorder="0" applyAlignment="0" applyProtection="0"/>
    <xf numFmtId="164" fontId="28" fillId="0" borderId="0" applyFill="0" applyBorder="0" applyAlignment="0" applyProtection="0"/>
    <xf numFmtId="16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179" fontId="28" fillId="0" borderId="0" applyFill="0" applyAlignment="0" applyProtection="0"/>
    <xf numFmtId="179" fontId="28" fillId="0" borderId="0" applyFill="0" applyAlignment="0" applyProtection="0"/>
    <xf numFmtId="179" fontId="28" fillId="0" borderId="0" applyFill="0" applyAlignment="0" applyProtection="0"/>
    <xf numFmtId="179" fontId="28" fillId="0" borderId="0" applyFill="0" applyAlignment="0" applyProtection="0"/>
    <xf numFmtId="179" fontId="28" fillId="0" borderId="0" applyFill="0" applyAlignment="0" applyProtection="0"/>
    <xf numFmtId="179" fontId="28" fillId="0" borderId="0" applyFill="0" applyAlignment="0" applyProtection="0"/>
    <xf numFmtId="179" fontId="28" fillId="0" borderId="0" applyFill="0" applyAlignment="0" applyProtection="0"/>
    <xf numFmtId="179" fontId="28" fillId="0" borderId="0" applyFill="0" applyAlignment="0" applyProtection="0"/>
    <xf numFmtId="179" fontId="28" fillId="0" borderId="0" applyFill="0" applyAlignment="0" applyProtection="0"/>
    <xf numFmtId="179" fontId="28" fillId="0" borderId="0" applyFill="0" applyAlignment="0" applyProtection="0"/>
    <xf numFmtId="179" fontId="28" fillId="0" borderId="0" applyFill="0" applyAlignment="0" applyProtection="0"/>
    <xf numFmtId="179" fontId="28" fillId="0" borderId="0" applyFill="0" applyAlignment="0" applyProtection="0"/>
    <xf numFmtId="179" fontId="28" fillId="0" borderId="0" applyFill="0" applyAlignment="0" applyProtection="0"/>
    <xf numFmtId="179" fontId="28" fillId="0" borderId="0" applyFill="0" applyAlignment="0" applyProtection="0"/>
    <xf numFmtId="179" fontId="28" fillId="0" borderId="0" applyFill="0" applyAlignment="0" applyProtection="0"/>
    <xf numFmtId="179" fontId="28" fillId="0" borderId="0" applyFill="0" applyAlignment="0" applyProtection="0"/>
    <xf numFmtId="179" fontId="28" fillId="0" borderId="0" applyFill="0" applyAlignment="0" applyProtection="0"/>
    <xf numFmtId="164" fontId="28" fillId="0" borderId="0" applyFill="0" applyBorder="0" applyAlignment="0" applyProtection="0"/>
    <xf numFmtId="16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6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7" fillId="0" borderId="0" applyFont="0" applyFill="0" applyBorder="0" applyAlignment="0" applyProtection="0"/>
    <xf numFmtId="165"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165" fontId="27" fillId="0" borderId="0" applyFont="0" applyFill="0" applyBorder="0" applyAlignment="0" applyProtection="0"/>
    <xf numFmtId="165" fontId="9" fillId="0" borderId="0" applyFont="0" applyFill="0" applyBorder="0" applyAlignment="0" applyProtection="0"/>
    <xf numFmtId="43" fontId="9" fillId="0" borderId="0" applyFont="0" applyFill="0" applyBorder="0" applyAlignment="0" applyProtection="0"/>
    <xf numFmtId="165" fontId="28" fillId="0" borderId="0" applyFont="0" applyFill="0" applyBorder="0" applyAlignment="0" applyProtection="0"/>
    <xf numFmtId="165" fontId="27"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76" fillId="0" borderId="0"/>
    <xf numFmtId="0" fontId="23" fillId="0" borderId="0" applyNumberFormat="0" applyFill="0" applyBorder="0" applyAlignment="0" applyProtection="0"/>
    <xf numFmtId="0" fontId="77"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77" fillId="0" borderId="0" applyNumberFormat="0" applyFill="0" applyBorder="0" applyAlignment="0" applyProtection="0"/>
    <xf numFmtId="0" fontId="24" fillId="0" borderId="0" applyNumberFormat="0" applyFill="0" applyBorder="0" applyAlignment="0" applyProtection="0"/>
    <xf numFmtId="0" fontId="62"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62" fillId="0" borderId="0" applyNumberFormat="0" applyFill="0" applyBorder="0" applyAlignment="0" applyProtection="0"/>
    <xf numFmtId="0" fontId="78" fillId="0" borderId="49" applyNumberFormat="0" applyFill="0" applyProtection="0">
      <alignment vertical="top"/>
    </xf>
    <xf numFmtId="0" fontId="79" fillId="0" borderId="50" applyNumberFormat="0" applyFill="0" applyAlignment="0" applyProtection="0"/>
    <xf numFmtId="0" fontId="78" fillId="0" borderId="49" applyNumberFormat="0" applyFill="0" applyAlignment="0" applyProtection="0"/>
    <xf numFmtId="0" fontId="79" fillId="0" borderId="51" applyNumberFormat="0" applyFill="0" applyAlignment="0" applyProtection="0"/>
    <xf numFmtId="0" fontId="78" fillId="0" borderId="49" applyNumberFormat="0" applyFill="0" applyAlignment="0" applyProtection="0"/>
    <xf numFmtId="0" fontId="79" fillId="0" borderId="51" applyNumberFormat="0" applyFill="0" applyAlignment="0" applyProtection="0"/>
    <xf numFmtId="0" fontId="78" fillId="0" borderId="49" applyNumberFormat="0" applyFill="0" applyProtection="0">
      <alignment vertical="top"/>
    </xf>
    <xf numFmtId="0" fontId="78" fillId="0" borderId="49" applyNumberFormat="0" applyFill="0" applyProtection="0">
      <alignment vertical="top"/>
    </xf>
    <xf numFmtId="0" fontId="78" fillId="0" borderId="49" applyNumberFormat="0" applyFill="0" applyAlignment="0" applyProtection="0"/>
    <xf numFmtId="0" fontId="78" fillId="0" borderId="49" applyNumberFormat="0" applyFill="0" applyAlignment="0" applyProtection="0"/>
    <xf numFmtId="0" fontId="78" fillId="0" borderId="49" applyNumberFormat="0" applyFill="0" applyAlignment="0" applyProtection="0"/>
    <xf numFmtId="0" fontId="78" fillId="0" borderId="49" applyNumberFormat="0" applyFill="0" applyAlignment="0" applyProtection="0"/>
    <xf numFmtId="0" fontId="78" fillId="0" borderId="49" applyNumberFormat="0" applyFill="0" applyAlignment="0" applyProtection="0"/>
    <xf numFmtId="0" fontId="78" fillId="0" borderId="49" applyNumberFormat="0" applyFill="0" applyAlignment="0" applyProtection="0"/>
    <xf numFmtId="0" fontId="78" fillId="0" borderId="49" applyNumberFormat="0" applyFill="0" applyAlignment="0" applyProtection="0"/>
    <xf numFmtId="0" fontId="78" fillId="0" borderId="49" applyNumberFormat="0" applyFill="0" applyAlignment="0" applyProtection="0"/>
    <xf numFmtId="0" fontId="64" fillId="0" borderId="0" applyNumberFormat="0" applyFill="0" applyBorder="0" applyAlignment="0" applyProtection="0"/>
    <xf numFmtId="0" fontId="65" fillId="0" borderId="44" applyNumberFormat="0" applyFill="0" applyAlignment="0" applyProtection="0"/>
    <xf numFmtId="0" fontId="66" fillId="0" borderId="45" applyNumberFormat="0" applyFill="0" applyAlignment="0" applyProtection="0"/>
    <xf numFmtId="0" fontId="66" fillId="0" borderId="0" applyNumberFormat="0" applyFill="0" applyBorder="0" applyAlignment="0" applyProtection="0"/>
    <xf numFmtId="0" fontId="11" fillId="0" borderId="0" applyNumberFormat="0" applyFill="0" applyBorder="0" applyAlignment="0" applyProtection="0"/>
    <xf numFmtId="0" fontId="64"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64" fillId="0" borderId="0" applyNumberFormat="0" applyFill="0" applyBorder="0" applyAlignment="0" applyProtection="0"/>
    <xf numFmtId="0" fontId="25" fillId="0" borderId="9" applyNumberFormat="0" applyFill="0" applyAlignment="0" applyProtection="0"/>
    <xf numFmtId="0" fontId="33" fillId="0" borderId="52" applyNumberFormat="0" applyFill="0" applyAlignment="0" applyProtection="0"/>
    <xf numFmtId="0" fontId="25" fillId="0" borderId="9" applyNumberFormat="0" applyFill="0" applyAlignment="0" applyProtection="0"/>
    <xf numFmtId="0" fontId="25" fillId="0" borderId="9" applyNumberFormat="0" applyFill="0" applyAlignment="0" applyProtection="0"/>
    <xf numFmtId="0" fontId="33" fillId="0" borderId="52" applyNumberFormat="0" applyFill="0" applyProtection="0">
      <alignment vertical="top"/>
    </xf>
    <xf numFmtId="0" fontId="22" fillId="7" borderId="7" applyNumberFormat="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6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9" fillId="0" borderId="0" applyFont="0" applyFill="0" applyBorder="0" applyAlignment="0" applyProtection="0"/>
    <xf numFmtId="165" fontId="9" fillId="0" borderId="0" applyFont="0" applyFill="0" applyBorder="0" applyAlignment="0" applyProtection="0"/>
    <xf numFmtId="165" fontId="27" fillId="0" borderId="0" applyFont="0" applyFill="0" applyBorder="0" applyAlignment="0" applyProtection="0"/>
    <xf numFmtId="43" fontId="9"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165" fontId="28" fillId="0" borderId="0" applyFont="0" applyFill="0" applyBorder="0" applyAlignment="0" applyProtection="0"/>
    <xf numFmtId="43" fontId="28" fillId="0" borderId="0" applyFont="0" applyFill="0" applyBorder="0" applyAlignment="0" applyProtection="0"/>
    <xf numFmtId="43" fontId="9" fillId="0" borderId="0" applyFont="0" applyFill="0" applyBorder="0" applyAlignment="0" applyProtection="0"/>
    <xf numFmtId="165" fontId="28" fillId="0" borderId="0" applyFont="0" applyFill="0" applyBorder="0" applyAlignment="0" applyProtection="0"/>
    <xf numFmtId="43" fontId="9" fillId="0" borderId="0" applyFont="0" applyFill="0" applyBorder="0" applyAlignment="0" applyProtection="0"/>
    <xf numFmtId="0" fontId="77" fillId="0" borderId="0" applyNumberFormat="0" applyFill="0" applyBorder="0" applyProtection="0">
      <alignment vertical="top"/>
    </xf>
    <xf numFmtId="0" fontId="8" fillId="0" borderId="0"/>
    <xf numFmtId="9" fontId="8" fillId="0" borderId="0" applyFont="0" applyFill="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8" fillId="0" borderId="0"/>
    <xf numFmtId="0" fontId="28" fillId="70" borderId="66" applyNumberFormat="0" applyFont="0" applyAlignment="0" applyProtection="0"/>
    <xf numFmtId="0" fontId="8" fillId="8" borderId="8"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44" fontId="28" fillId="0" borderId="0" applyFont="0" applyFill="0" applyBorder="0" applyAlignment="0" applyProtection="0"/>
    <xf numFmtId="44" fontId="2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43" fontId="27" fillId="0" borderId="0" applyFont="0" applyFill="0" applyBorder="0" applyAlignment="0" applyProtection="0"/>
    <xf numFmtId="43" fontId="27" fillId="0" borderId="0" applyFont="0" applyFill="0" applyBorder="0" applyAlignment="0" applyProtection="0"/>
    <xf numFmtId="0" fontId="33" fillId="0" borderId="68" applyNumberFormat="0" applyFill="0" applyAlignment="0" applyProtection="0"/>
    <xf numFmtId="43" fontId="8" fillId="0" borderId="0" applyFont="0" applyFill="0" applyBorder="0" applyAlignment="0" applyProtection="0"/>
    <xf numFmtId="0" fontId="8" fillId="0" borderId="0"/>
    <xf numFmtId="0" fontId="8" fillId="8" borderId="8" applyNumberFormat="0" applyFont="0" applyAlignment="0" applyProtection="0"/>
    <xf numFmtId="0" fontId="28" fillId="70" borderId="66" applyNumberFormat="0" applyFont="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9" fillId="0" borderId="0" applyFill="0" applyBorder="0" applyProtection="0">
      <alignment vertical="top"/>
    </xf>
    <xf numFmtId="0" fontId="8" fillId="8" borderId="8" applyNumberFormat="0" applyFont="0" applyAlignment="0" applyProtection="0"/>
    <xf numFmtId="0" fontId="28" fillId="70" borderId="66" applyNumberFormat="0" applyFont="0" applyAlignment="0" applyProtection="0"/>
    <xf numFmtId="0" fontId="8" fillId="0" borderId="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55" fillId="64" borderId="42" applyNumberFormat="0" applyProtection="0">
      <alignment vertical="top"/>
    </xf>
    <xf numFmtId="0" fontId="53" fillId="42" borderId="0" applyNumberFormat="0" applyBorder="0" applyProtection="0">
      <alignment vertical="top"/>
    </xf>
    <xf numFmtId="0" fontId="59" fillId="45" borderId="65" applyNumberFormat="0" applyProtection="0">
      <alignment vertical="top"/>
    </xf>
    <xf numFmtId="0" fontId="56" fillId="0" borderId="43" applyNumberFormat="0" applyFill="0" applyProtection="0">
      <alignment vertical="top"/>
    </xf>
    <xf numFmtId="0" fontId="69" fillId="68" borderId="0" applyNumberFormat="0" applyBorder="0" applyProtection="0">
      <alignment vertical="top"/>
    </xf>
    <xf numFmtId="0" fontId="29" fillId="69" borderId="66" applyNumberFormat="0" applyProtection="0">
      <alignment vertical="top"/>
    </xf>
    <xf numFmtId="0" fontId="77" fillId="0" borderId="0" applyNumberFormat="0" applyFill="0" applyBorder="0" applyProtection="0">
      <alignment vertical="top"/>
    </xf>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4"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0" fontId="8" fillId="0" borderId="0"/>
    <xf numFmtId="0" fontId="8" fillId="0" borderId="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0" fontId="28" fillId="0" borderId="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0" fontId="12" fillId="0" borderId="1" applyNumberFormat="0" applyFill="0" applyAlignment="0" applyProtection="0"/>
    <xf numFmtId="0" fontId="13" fillId="0" borderId="2" applyNumberFormat="0" applyFill="0" applyAlignment="0" applyProtection="0"/>
    <xf numFmtId="0" fontId="14" fillId="0" borderId="3" applyNumberFormat="0" applyFill="0" applyAlignment="0" applyProtection="0"/>
    <xf numFmtId="0" fontId="14" fillId="0" borderId="0" applyNumberFormat="0" applyFill="0" applyBorder="0" applyAlignment="0" applyProtection="0"/>
    <xf numFmtId="0" fontId="16" fillId="3" borderId="0" applyNumberFormat="0" applyBorder="0" applyAlignment="0" applyProtection="0"/>
    <xf numFmtId="0" fontId="19" fillId="6" borderId="5" applyNumberFormat="0" applyAlignment="0" applyProtection="0"/>
    <xf numFmtId="0" fontId="20" fillId="6" borderId="4" applyNumberFormat="0" applyAlignment="0" applyProtection="0"/>
    <xf numFmtId="0" fontId="24" fillId="0" borderId="0" applyNumberFormat="0" applyFill="0" applyBorder="0" applyAlignment="0" applyProtection="0"/>
    <xf numFmtId="0" fontId="26" fillId="9" borderId="0" applyNumberFormat="0" applyBorder="0" applyAlignment="0" applyProtection="0"/>
    <xf numFmtId="0" fontId="8" fillId="10" borderId="0" applyNumberFormat="0" applyBorder="0" applyAlignment="0" applyProtection="0"/>
    <xf numFmtId="0" fontId="8" fillId="11" borderId="0" applyNumberFormat="0" applyBorder="0" applyAlignment="0" applyProtection="0"/>
    <xf numFmtId="0" fontId="26" fillId="12" borderId="0" applyNumberFormat="0" applyBorder="0" applyAlignment="0" applyProtection="0"/>
    <xf numFmtId="0" fontId="26"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26" fillId="16" borderId="0" applyNumberFormat="0" applyBorder="0" applyAlignment="0" applyProtection="0"/>
    <xf numFmtId="0" fontId="26" fillId="17"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26" fillId="20" borderId="0" applyNumberFormat="0" applyBorder="0" applyAlignment="0" applyProtection="0"/>
    <xf numFmtId="0" fontId="26" fillId="21"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26" fillId="24" borderId="0" applyNumberFormat="0" applyBorder="0" applyAlignment="0" applyProtection="0"/>
    <xf numFmtId="0" fontId="26" fillId="25"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26" fillId="28" borderId="0" applyNumberFormat="0" applyBorder="0" applyAlignment="0" applyProtection="0"/>
    <xf numFmtId="0" fontId="26" fillId="29"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26" fillId="32" borderId="0" applyNumberFormat="0" applyBorder="0" applyAlignment="0" applyProtection="0"/>
    <xf numFmtId="0" fontId="28" fillId="0" borderId="0"/>
    <xf numFmtId="0" fontId="73" fillId="0" borderId="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0" fontId="28" fillId="0" borderId="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83" fontId="28" fillId="0" borderId="0" applyFont="0" applyFill="0" applyBorder="0" applyAlignment="0" applyProtection="0"/>
    <xf numFmtId="43" fontId="27"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43" fontId="28" fillId="0" borderId="0" applyFont="0" applyFill="0" applyBorder="0" applyAlignment="0" applyProtection="0"/>
    <xf numFmtId="183" fontId="28" fillId="0" borderId="0" applyFont="0" applyFill="0" applyBorder="0" applyAlignment="0" applyProtection="0"/>
    <xf numFmtId="0" fontId="27" fillId="0" borderId="0"/>
    <xf numFmtId="183" fontId="28" fillId="0" borderId="0" applyFont="0" applyFill="0" applyBorder="0" applyAlignment="0" applyProtection="0"/>
    <xf numFmtId="0" fontId="8" fillId="0" borderId="0"/>
    <xf numFmtId="43" fontId="27"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0" fontId="27" fillId="0" borderId="0"/>
    <xf numFmtId="0" fontId="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71" fillId="0" borderId="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43" fontId="28" fillId="0" borderId="0" applyFont="0" applyFill="0" applyBorder="0" applyAlignment="0" applyProtection="0"/>
    <xf numFmtId="0" fontId="59" fillId="47" borderId="65" applyNumberFormat="0" applyAlignment="0" applyProtection="0"/>
    <xf numFmtId="0" fontId="54" fillId="61" borderId="65" applyNumberFormat="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1" fillId="0" borderId="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43" fontId="28" fillId="0" borderId="0" applyFont="0" applyFill="0" applyBorder="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33" fillId="0" borderId="68" applyNumberFormat="0" applyFill="0" applyAlignment="0" applyProtection="0"/>
    <xf numFmtId="0" fontId="54" fillId="62" borderId="65" applyNumberFormat="0" applyAlignment="0" applyProtection="0"/>
    <xf numFmtId="0" fontId="29" fillId="69" borderId="66" applyNumberFormat="0" applyProtection="0">
      <alignment vertical="top"/>
    </xf>
    <xf numFmtId="0" fontId="54" fillId="61" borderId="65" applyNumberFormat="0" applyAlignment="0" applyProtection="0"/>
    <xf numFmtId="0" fontId="59" fillId="47"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Protection="0">
      <alignment vertical="top"/>
    </xf>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54" fillId="61" borderId="65" applyNumberFormat="0" applyAlignment="0" applyProtection="0"/>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59" fillId="66" borderId="65" applyNumberFormat="0" applyAlignment="0" applyProtection="0"/>
    <xf numFmtId="0" fontId="29" fillId="69" borderId="66" applyNumberFormat="0" applyProtection="0">
      <alignment vertical="top"/>
    </xf>
    <xf numFmtId="0" fontId="59" fillId="66" borderId="65" applyNumberFormat="0" applyAlignment="0" applyProtection="0"/>
    <xf numFmtId="0" fontId="33" fillId="0" borderId="68" applyNumberFormat="0" applyFill="0" applyAlignment="0" applyProtection="0"/>
    <xf numFmtId="0" fontId="28" fillId="69" borderId="66" applyNumberFormat="0" applyAlignment="0" applyProtection="0"/>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59" fillId="47"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71" fillId="0" borderId="0"/>
    <xf numFmtId="0" fontId="71" fillId="0" borderId="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1" fillId="0" borderId="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54" fillId="62"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59" fillId="66" borderId="65" applyNumberFormat="0" applyAlignment="0" applyProtection="0"/>
    <xf numFmtId="0" fontId="28" fillId="69" borderId="66" applyNumberFormat="0" applyAlignment="0" applyProtection="0"/>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74" fillId="61" borderId="67"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54" fillId="61"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Alignment="0" applyProtection="0"/>
    <xf numFmtId="0" fontId="54" fillId="62" borderId="65" applyNumberFormat="0" applyAlignment="0" applyProtection="0"/>
    <xf numFmtId="0" fontId="59" fillId="66"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28" fillId="69" borderId="66" applyNumberFormat="0" applyAlignment="0" applyProtection="0"/>
    <xf numFmtId="0" fontId="28" fillId="69" borderId="66" applyNumberFormat="0" applyAlignment="0" applyProtection="0"/>
    <xf numFmtId="0" fontId="28" fillId="69" borderId="66"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69" borderId="66" applyNumberFormat="0" applyAlignment="0" applyProtection="0"/>
    <xf numFmtId="0" fontId="59" fillId="47"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74" fillId="62" borderId="67" applyNumberFormat="0" applyAlignment="0" applyProtection="0"/>
    <xf numFmtId="0" fontId="59" fillId="45" borderId="65" applyNumberFormat="0" applyProtection="0">
      <alignment vertical="top"/>
    </xf>
    <xf numFmtId="0" fontId="59" fillId="66" borderId="65" applyNumberFormat="0" applyAlignment="0" applyProtection="0"/>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Alignment="0" applyProtection="0"/>
    <xf numFmtId="0" fontId="28" fillId="69" borderId="66"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74" fillId="61" borderId="67" applyNumberFormat="0" applyAlignment="0" applyProtection="0"/>
    <xf numFmtId="0" fontId="59" fillId="47"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54" fillId="61"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54" fillId="61"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54" fillId="62"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59" fillId="66" borderId="65" applyNumberFormat="0" applyAlignment="0" applyProtection="0"/>
    <xf numFmtId="0" fontId="28" fillId="69" borderId="66" applyNumberFormat="0" applyAlignment="0" applyProtection="0"/>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74" fillId="61" borderId="67"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54" fillId="61"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Alignment="0" applyProtection="0"/>
    <xf numFmtId="0" fontId="54" fillId="62" borderId="65" applyNumberFormat="0" applyAlignment="0" applyProtection="0"/>
    <xf numFmtId="0" fontId="59" fillId="66"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28" fillId="69" borderId="66" applyNumberFormat="0" applyAlignment="0" applyProtection="0"/>
    <xf numFmtId="0" fontId="28" fillId="69" borderId="66" applyNumberFormat="0" applyAlignment="0" applyProtection="0"/>
    <xf numFmtId="0" fontId="28" fillId="69" borderId="66"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69" borderId="66" applyNumberFormat="0" applyAlignment="0" applyProtection="0"/>
    <xf numFmtId="0" fontId="59" fillId="47"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74" fillId="62" borderId="67" applyNumberFormat="0" applyAlignment="0" applyProtection="0"/>
    <xf numFmtId="0" fontId="59" fillId="45" borderId="65" applyNumberFormat="0" applyProtection="0">
      <alignment vertical="top"/>
    </xf>
    <xf numFmtId="0" fontId="59" fillId="66" borderId="65" applyNumberFormat="0" applyAlignment="0" applyProtection="0"/>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Alignment="0" applyProtection="0"/>
    <xf numFmtId="0" fontId="28" fillId="69" borderId="66"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74" fillId="61" borderId="67" applyNumberFormat="0" applyAlignment="0" applyProtection="0"/>
    <xf numFmtId="0" fontId="59" fillId="47"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54" fillId="61"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54" fillId="61"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54" fillId="62"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59" fillId="66" borderId="65" applyNumberFormat="0" applyAlignment="0" applyProtection="0"/>
    <xf numFmtId="0" fontId="28" fillId="69" borderId="66" applyNumberFormat="0" applyAlignment="0" applyProtection="0"/>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74" fillId="61" borderId="67"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54" fillId="61"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Alignment="0" applyProtection="0"/>
    <xf numFmtId="0" fontId="54" fillId="62" borderId="65" applyNumberFormat="0" applyAlignment="0" applyProtection="0"/>
    <xf numFmtId="0" fontId="59" fillId="66"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28" fillId="69" borderId="66" applyNumberFormat="0" applyAlignment="0" applyProtection="0"/>
    <xf numFmtId="0" fontId="28" fillId="69" borderId="66" applyNumberFormat="0" applyAlignment="0" applyProtection="0"/>
    <xf numFmtId="0" fontId="28" fillId="69" borderId="66"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69" borderId="66" applyNumberFormat="0" applyAlignment="0" applyProtection="0"/>
    <xf numFmtId="0" fontId="59" fillId="47"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74" fillId="62" borderId="67" applyNumberFormat="0" applyAlignment="0" applyProtection="0"/>
    <xf numFmtId="0" fontId="59" fillId="45" borderId="65" applyNumberFormat="0" applyProtection="0">
      <alignment vertical="top"/>
    </xf>
    <xf numFmtId="0" fontId="59" fillId="66" borderId="65" applyNumberFormat="0" applyAlignment="0" applyProtection="0"/>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Alignment="0" applyProtection="0"/>
    <xf numFmtId="0" fontId="28" fillId="69" borderId="66"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74" fillId="61" borderId="67" applyNumberFormat="0" applyAlignment="0" applyProtection="0"/>
    <xf numFmtId="0" fontId="59" fillId="47"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54" fillId="61"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54" fillId="61"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5"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54" fillId="62"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59" fillId="66" borderId="65" applyNumberFormat="0" applyAlignment="0" applyProtection="0"/>
    <xf numFmtId="0" fontId="28" fillId="69" borderId="66" applyNumberFormat="0" applyAlignment="0" applyProtection="0"/>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74" fillId="61" borderId="67"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54" fillId="61"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Alignment="0" applyProtection="0"/>
    <xf numFmtId="0" fontId="54" fillId="62" borderId="65" applyNumberFormat="0" applyAlignment="0" applyProtection="0"/>
    <xf numFmtId="0" fontId="59" fillId="66"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28" fillId="69" borderId="66" applyNumberFormat="0" applyAlignment="0" applyProtection="0"/>
    <xf numFmtId="0" fontId="28" fillId="69" borderId="66" applyNumberFormat="0" applyAlignment="0" applyProtection="0"/>
    <xf numFmtId="0" fontId="28" fillId="69" borderId="66"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69" borderId="66" applyNumberFormat="0" applyAlignment="0" applyProtection="0"/>
    <xf numFmtId="0" fontId="59" fillId="47"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74" fillId="62" borderId="67" applyNumberFormat="0" applyAlignment="0" applyProtection="0"/>
    <xf numFmtId="0" fontId="59" fillId="45" borderId="65" applyNumberFormat="0" applyProtection="0">
      <alignment vertical="top"/>
    </xf>
    <xf numFmtId="0" fontId="59" fillId="66" borderId="65" applyNumberFormat="0" applyAlignment="0" applyProtection="0"/>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Alignment="0" applyProtection="0"/>
    <xf numFmtId="0" fontId="28" fillId="69" borderId="66"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74" fillId="61" borderId="67" applyNumberFormat="0" applyAlignment="0" applyProtection="0"/>
    <xf numFmtId="0" fontId="59" fillId="47"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54" fillId="61"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54" fillId="61"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54" fillId="62"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59" fillId="66" borderId="65" applyNumberFormat="0" applyAlignment="0" applyProtection="0"/>
    <xf numFmtId="0" fontId="28" fillId="69" borderId="66" applyNumberFormat="0" applyAlignment="0" applyProtection="0"/>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74" fillId="61" borderId="67"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54" fillId="61"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Alignment="0" applyProtection="0"/>
    <xf numFmtId="0" fontId="54" fillId="62" borderId="65" applyNumberFormat="0" applyAlignment="0" applyProtection="0"/>
    <xf numFmtId="0" fontId="59" fillId="66"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28" fillId="69" borderId="66" applyNumberFormat="0" applyAlignment="0" applyProtection="0"/>
    <xf numFmtId="0" fontId="28" fillId="69" borderId="66" applyNumberFormat="0" applyAlignment="0" applyProtection="0"/>
    <xf numFmtId="0" fontId="28" fillId="69" borderId="66"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69" borderId="66" applyNumberFormat="0" applyAlignment="0" applyProtection="0"/>
    <xf numFmtId="0" fontId="59" fillId="47"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74" fillId="62" borderId="67" applyNumberFormat="0" applyAlignment="0" applyProtection="0"/>
    <xf numFmtId="0" fontId="59" fillId="45" borderId="65" applyNumberFormat="0" applyProtection="0">
      <alignment vertical="top"/>
    </xf>
    <xf numFmtId="0" fontId="59" fillId="66" borderId="65" applyNumberFormat="0" applyAlignment="0" applyProtection="0"/>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Alignment="0" applyProtection="0"/>
    <xf numFmtId="0" fontId="28" fillId="69" borderId="66"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74" fillId="61" borderId="67" applyNumberFormat="0" applyAlignment="0" applyProtection="0"/>
    <xf numFmtId="0" fontId="59" fillId="47"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54" fillId="61"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54" fillId="61"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74" fillId="61" borderId="67" applyNumberFormat="0" applyAlignment="0" applyProtection="0"/>
    <xf numFmtId="0" fontId="54" fillId="61" borderId="65" applyNumberFormat="0" applyAlignment="0" applyProtection="0"/>
    <xf numFmtId="0" fontId="54" fillId="61" borderId="65" applyNumberFormat="0" applyProtection="0">
      <alignment vertical="top"/>
    </xf>
    <xf numFmtId="0" fontId="59" fillId="66" borderId="65" applyNumberFormat="0" applyAlignment="0" applyProtection="0"/>
    <xf numFmtId="0" fontId="28" fillId="69" borderId="66" applyNumberFormat="0" applyAlignment="0" applyProtection="0"/>
    <xf numFmtId="0" fontId="28" fillId="69" borderId="66" applyNumberFormat="0" applyAlignment="0" applyProtection="0"/>
    <xf numFmtId="0" fontId="54" fillId="61" borderId="65" applyNumberFormat="0" applyProtection="0">
      <alignment vertical="top"/>
    </xf>
    <xf numFmtId="0" fontId="74" fillId="61" borderId="67" applyNumberFormat="0" applyProtection="0">
      <alignment vertical="top"/>
    </xf>
    <xf numFmtId="0" fontId="74" fillId="61" borderId="67" applyNumberFormat="0" applyAlignment="0" applyProtection="0"/>
    <xf numFmtId="0" fontId="74" fillId="62" borderId="67" applyNumberFormat="0" applyAlignment="0" applyProtection="0"/>
    <xf numFmtId="0" fontId="59" fillId="66"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47"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59" fillId="66" borderId="65" applyNumberFormat="0" applyAlignment="0" applyProtection="0"/>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33" fillId="0" borderId="68" applyNumberFormat="0" applyFill="0" applyProtection="0">
      <alignment vertical="top"/>
    </xf>
    <xf numFmtId="0" fontId="29" fillId="69" borderId="66" applyNumberFormat="0" applyProtection="0">
      <alignment vertical="top"/>
    </xf>
    <xf numFmtId="0" fontId="28" fillId="69" borderId="66" applyNumberFormat="0" applyAlignment="0" applyProtection="0"/>
    <xf numFmtId="0" fontId="74" fillId="61" borderId="67" applyNumberForma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4" fillId="62"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5" borderId="65" applyNumberFormat="0" applyProtection="0">
      <alignment vertical="top"/>
    </xf>
    <xf numFmtId="0" fontId="28" fillId="69" borderId="66" applyNumberFormat="0" applyAlignment="0" applyProtection="0"/>
    <xf numFmtId="0" fontId="29" fillId="69" borderId="66" applyNumberFormat="0" applyProtection="0">
      <alignment vertical="top"/>
    </xf>
    <xf numFmtId="0" fontId="54" fillId="61" borderId="65" applyNumberFormat="0" applyProtection="0">
      <alignment vertical="top"/>
    </xf>
    <xf numFmtId="0" fontId="59" fillId="66"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Alignment="0" applyProtection="0"/>
    <xf numFmtId="0" fontId="74" fillId="61" borderId="67" applyNumberFormat="0" applyAlignment="0" applyProtection="0"/>
    <xf numFmtId="0" fontId="54" fillId="62" borderId="65" applyNumberFormat="0" applyAlignment="0" applyProtection="0"/>
    <xf numFmtId="0" fontId="74" fillId="62" borderId="67" applyNumberFormat="0" applyAlignment="0" applyProtection="0"/>
    <xf numFmtId="0" fontId="74" fillId="62" borderId="67"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74" fillId="62" borderId="67"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33" fillId="0" borderId="68" applyNumberFormat="0" applyFill="0" applyAlignment="0" applyProtection="0"/>
    <xf numFmtId="0" fontId="54" fillId="61" borderId="65" applyNumberFormat="0" applyAlignment="0" applyProtection="0"/>
    <xf numFmtId="0" fontId="54" fillId="62" borderId="65" applyNumberFormat="0" applyAlignment="0" applyProtection="0"/>
    <xf numFmtId="0" fontId="28" fillId="69" borderId="66"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54" fillId="61" borderId="65" applyNumberFormat="0" applyProtection="0">
      <alignment vertical="top"/>
    </xf>
    <xf numFmtId="0" fontId="28" fillId="69" borderId="66" applyNumberFormat="0" applyAlignment="0" applyProtection="0"/>
    <xf numFmtId="0" fontId="74" fillId="61" borderId="67" applyNumberFormat="0" applyAlignment="0" applyProtection="0"/>
    <xf numFmtId="0" fontId="28" fillId="69" borderId="66" applyNumberFormat="0" applyAlignment="0" applyProtection="0"/>
    <xf numFmtId="0" fontId="59" fillId="66" borderId="65" applyNumberFormat="0" applyAlignment="0" applyProtection="0"/>
    <xf numFmtId="0" fontId="74" fillId="61" borderId="67" applyNumberFormat="0" applyProtection="0">
      <alignment vertical="top"/>
    </xf>
    <xf numFmtId="0" fontId="28" fillId="69" borderId="66" applyNumberFormat="0" applyAlignment="0" applyProtection="0"/>
    <xf numFmtId="0" fontId="74" fillId="62"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74" fillId="62" borderId="67" applyNumberFormat="0" applyAlignment="0" applyProtection="0"/>
    <xf numFmtId="0" fontId="54" fillId="62"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74" fillId="62" borderId="67"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74" fillId="61" borderId="67" applyNumberFormat="0" applyProtection="0">
      <alignment vertical="top"/>
    </xf>
    <xf numFmtId="0" fontId="54" fillId="61" borderId="65" applyNumberFormat="0" applyAlignment="0" applyProtection="0"/>
    <xf numFmtId="0" fontId="28" fillId="69" borderId="66"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4" fillId="61" borderId="65" applyNumberFormat="0" applyProtection="0">
      <alignment vertical="top"/>
    </xf>
    <xf numFmtId="0" fontId="74" fillId="61" borderId="67" applyNumberFormat="0" applyAlignment="0" applyProtection="0"/>
    <xf numFmtId="0" fontId="74" fillId="61" borderId="67" applyNumberFormat="0" applyAlignment="0" applyProtection="0"/>
    <xf numFmtId="0" fontId="54" fillId="61" borderId="65"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74" fillId="62" borderId="67" applyNumberFormat="0" applyAlignment="0" applyProtection="0"/>
    <xf numFmtId="0" fontId="28" fillId="69" borderId="66" applyNumberFormat="0" applyAlignment="0" applyProtection="0"/>
    <xf numFmtId="0" fontId="59" fillId="45" borderId="65" applyNumberFormat="0" applyProtection="0">
      <alignment vertical="top"/>
    </xf>
    <xf numFmtId="0" fontId="28" fillId="69" borderId="66" applyNumberFormat="0" applyAlignment="0" applyProtection="0"/>
    <xf numFmtId="0" fontId="59" fillId="47"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74" fillId="62"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9" fillId="66" borderId="65" applyNumberFormat="0" applyAlignment="0" applyProtection="0"/>
    <xf numFmtId="0" fontId="54" fillId="61" borderId="65" applyNumberFormat="0" applyAlignment="0" applyProtection="0"/>
    <xf numFmtId="0" fontId="28" fillId="69" borderId="66" applyNumberFormat="0" applyAlignment="0" applyProtection="0"/>
    <xf numFmtId="0" fontId="33" fillId="0" borderId="68" applyNumberFormat="0" applyFill="0" applyAlignment="0" applyProtection="0"/>
    <xf numFmtId="0" fontId="29" fillId="69" borderId="66" applyNumberFormat="0" applyProtection="0">
      <alignment vertical="top"/>
    </xf>
    <xf numFmtId="0" fontId="59" fillId="66" borderId="65" applyNumberFormat="0" applyAlignment="0" applyProtection="0"/>
    <xf numFmtId="0" fontId="29" fillId="69" borderId="66" applyNumberFormat="0" applyProtection="0">
      <alignment vertical="top"/>
    </xf>
    <xf numFmtId="0" fontId="54" fillId="61" borderId="65" applyNumberForma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74" fillId="61"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33" fillId="0" borderId="68" applyNumberFormat="0" applyFill="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74" fillId="62" borderId="67" applyNumberFormat="0" applyAlignment="0" applyProtection="0"/>
    <xf numFmtId="0" fontId="33" fillId="0" borderId="68" applyNumberFormat="0" applyFill="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59" fillId="45"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Protection="0">
      <alignment vertical="top"/>
    </xf>
    <xf numFmtId="0" fontId="74" fillId="61" borderId="67" applyNumberFormat="0" applyAlignment="0" applyProtection="0"/>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29" fillId="69" borderId="66" applyNumberFormat="0" applyProtection="0">
      <alignment vertical="top"/>
    </xf>
    <xf numFmtId="0" fontId="28" fillId="69" borderId="66" applyNumberFormat="0" applyAlignment="0" applyProtection="0"/>
    <xf numFmtId="0" fontId="54" fillId="61" borderId="65" applyNumberFormat="0" applyAlignment="0" applyProtection="0"/>
    <xf numFmtId="0" fontId="74" fillId="61" borderId="67"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74" fillId="62" borderId="67" applyNumberFormat="0" applyAlignment="0" applyProtection="0"/>
    <xf numFmtId="0" fontId="59" fillId="45" borderId="65" applyNumberFormat="0" applyProtection="0">
      <alignment vertical="top"/>
    </xf>
    <xf numFmtId="0" fontId="74" fillId="61" borderId="67" applyNumberFormat="0" applyAlignment="0" applyProtection="0"/>
    <xf numFmtId="0" fontId="54" fillId="62" borderId="65" applyNumberFormat="0" applyAlignment="0" applyProtection="0"/>
    <xf numFmtId="0" fontId="74" fillId="62"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2" borderId="67" applyNumberFormat="0" applyAlignment="0" applyProtection="0"/>
    <xf numFmtId="0" fontId="28" fillId="69" borderId="66" applyNumberFormat="0" applyAlignment="0" applyProtection="0"/>
    <xf numFmtId="0" fontId="74" fillId="61" borderId="67" applyNumberFormat="0" applyProtection="0">
      <alignment vertical="top"/>
    </xf>
    <xf numFmtId="0" fontId="59" fillId="66" borderId="65" applyNumberFormat="0" applyAlignment="0" applyProtection="0"/>
    <xf numFmtId="0" fontId="28" fillId="69" borderId="66" applyNumberFormat="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Protection="0">
      <alignment vertical="top"/>
    </xf>
    <xf numFmtId="0" fontId="74" fillId="61" borderId="67"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8" fillId="69" borderId="66" applyNumberFormat="0" applyAlignment="0" applyProtection="0"/>
    <xf numFmtId="0" fontId="29" fillId="69" borderId="66" applyNumberFormat="0" applyProtection="0">
      <alignment vertical="top"/>
    </xf>
    <xf numFmtId="0" fontId="54" fillId="62" borderId="65" applyNumberFormat="0" applyAlignment="0" applyProtection="0"/>
    <xf numFmtId="0" fontId="54" fillId="61" borderId="65" applyNumberFormat="0" applyAlignment="0" applyProtection="0"/>
    <xf numFmtId="0" fontId="54" fillId="62" borderId="65" applyNumberFormat="0" applyAlignment="0" applyProtection="0"/>
    <xf numFmtId="0" fontId="54" fillId="61" borderId="65" applyNumberFormat="0" applyAlignment="0" applyProtection="0"/>
    <xf numFmtId="0" fontId="33" fillId="0" borderId="68" applyNumberFormat="0" applyFill="0" applyAlignment="0" applyProtection="0"/>
    <xf numFmtId="0" fontId="59" fillId="45" borderId="65" applyNumberFormat="0" applyProtection="0">
      <alignment vertical="top"/>
    </xf>
    <xf numFmtId="0" fontId="28" fillId="70" borderId="66" applyNumberFormat="0" applyFont="0" applyAlignment="0" applyProtection="0"/>
    <xf numFmtId="0" fontId="74" fillId="62"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74" fillId="62" borderId="67" applyNumberFormat="0" applyAlignment="0" applyProtection="0"/>
    <xf numFmtId="0" fontId="59" fillId="66"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28" fillId="69" borderId="66"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9" fillId="47"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9" fillId="47" borderId="65"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4" fillId="62"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54" fillId="62"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29" fillId="69" borderId="66" applyNumberFormat="0" applyProtection="0">
      <alignment vertical="top"/>
    </xf>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29" fillId="69" borderId="66" applyNumberFormat="0" applyProtection="0">
      <alignment vertical="top"/>
    </xf>
    <xf numFmtId="0" fontId="33" fillId="0" borderId="68" applyNumberFormat="0" applyFill="0" applyProtection="0">
      <alignment vertical="top"/>
    </xf>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Protection="0">
      <alignment vertical="top"/>
    </xf>
    <xf numFmtId="0" fontId="59" fillId="47"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54" fillId="61" borderId="65" applyNumberFormat="0" applyProtection="0">
      <alignment vertical="top"/>
    </xf>
    <xf numFmtId="0" fontId="59" fillId="66" borderId="65" applyNumberForma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4" fillId="61" borderId="65"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59" fillId="66" borderId="65" applyNumberFormat="0" applyAlignment="0" applyProtection="0"/>
    <xf numFmtId="0" fontId="59" fillId="45" borderId="65" applyNumberFormat="0" applyProtection="0">
      <alignment vertical="top"/>
    </xf>
    <xf numFmtId="0" fontId="59" fillId="66"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28" fillId="70" borderId="66" applyNumberFormat="0" applyFont="0" applyAlignment="0" applyProtection="0"/>
    <xf numFmtId="0" fontId="29" fillId="69" borderId="66" applyNumberFormat="0" applyProtection="0">
      <alignment vertical="top"/>
    </xf>
    <xf numFmtId="0" fontId="54" fillId="61" borderId="65" applyNumberFormat="0" applyProtection="0">
      <alignment vertical="top"/>
    </xf>
    <xf numFmtId="0" fontId="54" fillId="62" borderId="65"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74" fillId="61" borderId="67" applyNumberFormat="0" applyAlignment="0" applyProtection="0"/>
    <xf numFmtId="0" fontId="74" fillId="61"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74" fillId="61" borderId="67"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33" fillId="0" borderId="68" applyNumberFormat="0" applyFill="0" applyProtection="0">
      <alignment vertical="top"/>
    </xf>
    <xf numFmtId="0" fontId="54" fillId="62"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59" fillId="47" borderId="65" applyNumberFormat="0" applyAlignment="0" applyProtection="0"/>
    <xf numFmtId="0" fontId="54" fillId="62" borderId="65" applyNumberFormat="0" applyAlignment="0" applyProtection="0"/>
    <xf numFmtId="0" fontId="54" fillId="62" borderId="65" applyNumberFormat="0" applyAlignment="0" applyProtection="0"/>
    <xf numFmtId="0" fontId="33" fillId="0" borderId="68" applyNumberFormat="0" applyFill="0" applyAlignment="0" applyProtection="0"/>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9" fillId="47" borderId="65" applyNumberFormat="0" applyAlignment="0" applyProtection="0"/>
    <xf numFmtId="0" fontId="59" fillId="47" borderId="65" applyNumberFormat="0" applyAlignment="0" applyProtection="0"/>
    <xf numFmtId="0" fontId="54" fillId="62" borderId="65" applyNumberFormat="0" applyAlignment="0" applyProtection="0"/>
    <xf numFmtId="0" fontId="28" fillId="69" borderId="66"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28" fillId="69" borderId="66" applyNumberFormat="0" applyAlignment="0" applyProtection="0"/>
    <xf numFmtId="0" fontId="74" fillId="61" borderId="67" applyNumberFormat="0" applyAlignment="0" applyProtection="0"/>
    <xf numFmtId="0" fontId="29" fillId="69" borderId="66" applyNumberFormat="0" applyProtection="0">
      <alignment vertical="top"/>
    </xf>
    <xf numFmtId="0" fontId="59" fillId="66" borderId="65" applyNumberFormat="0" applyAlignment="0" applyProtection="0"/>
    <xf numFmtId="0" fontId="54" fillId="62" borderId="65"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Protection="0">
      <alignment vertical="top"/>
    </xf>
    <xf numFmtId="0" fontId="59" fillId="47"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Alignment="0" applyProtection="0"/>
    <xf numFmtId="0" fontId="74" fillId="61" borderId="67" applyNumberFormat="0" applyAlignment="0" applyProtection="0"/>
    <xf numFmtId="0" fontId="74" fillId="62"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33" fillId="0" borderId="68" applyNumberFormat="0" applyFill="0" applyProtection="0">
      <alignment vertical="top"/>
    </xf>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54" fillId="61"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Alignment="0" applyProtection="0"/>
    <xf numFmtId="0" fontId="59" fillId="66" borderId="65" applyNumberFormat="0" applyAlignment="0" applyProtection="0"/>
    <xf numFmtId="0" fontId="54" fillId="62" borderId="65" applyNumberFormat="0" applyAlignment="0" applyProtection="0"/>
    <xf numFmtId="0" fontId="59" fillId="47" borderId="65" applyNumberFormat="0" applyAlignment="0" applyProtection="0"/>
    <xf numFmtId="0" fontId="54" fillId="61"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29" fillId="69" borderId="66" applyNumberFormat="0" applyProtection="0">
      <alignment vertical="top"/>
    </xf>
    <xf numFmtId="0" fontId="74" fillId="61" borderId="67"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66" borderId="65" applyNumberFormat="0" applyAlignment="0" applyProtection="0"/>
    <xf numFmtId="0" fontId="74" fillId="62" borderId="67" applyNumberFormat="0" applyAlignment="0" applyProtection="0"/>
    <xf numFmtId="0" fontId="28" fillId="70" borderId="66" applyNumberFormat="0" applyFont="0" applyAlignment="0" applyProtection="0"/>
    <xf numFmtId="0" fontId="54" fillId="62" borderId="65" applyNumberFormat="0" applyAlignment="0" applyProtection="0"/>
    <xf numFmtId="0" fontId="28" fillId="69" borderId="66"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28" fillId="69" borderId="66" applyNumberFormat="0" applyAlignment="0" applyProtection="0"/>
    <xf numFmtId="0" fontId="29" fillId="69" borderId="66" applyNumberFormat="0" applyProtection="0">
      <alignment vertical="top"/>
    </xf>
    <xf numFmtId="0" fontId="28" fillId="69" borderId="66" applyNumberFormat="0" applyAlignment="0" applyProtection="0"/>
    <xf numFmtId="0" fontId="28" fillId="70" borderId="66" applyNumberFormat="0" applyFont="0" applyAlignment="0" applyProtection="0"/>
    <xf numFmtId="0" fontId="28" fillId="69" borderId="66"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54" fillId="61" borderId="65" applyNumberFormat="0" applyProtection="0">
      <alignment vertical="top"/>
    </xf>
    <xf numFmtId="0" fontId="54" fillId="62" borderId="65" applyNumberFormat="0" applyAlignment="0" applyProtection="0"/>
    <xf numFmtId="0" fontId="54" fillId="61" borderId="65" applyNumberFormat="0" applyAlignment="0" applyProtection="0"/>
    <xf numFmtId="0" fontId="54" fillId="61"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54" fillId="61" borderId="65" applyNumberFormat="0" applyProtection="0">
      <alignment vertical="top"/>
    </xf>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74" fillId="62"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Alignment="0" applyProtection="0"/>
    <xf numFmtId="0" fontId="54" fillId="61"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69" borderId="66"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59" fillId="45" borderId="65" applyNumberFormat="0" applyProtection="0">
      <alignment vertical="top"/>
    </xf>
    <xf numFmtId="0" fontId="29" fillId="69" borderId="66" applyNumberFormat="0" applyProtection="0">
      <alignment vertical="top"/>
    </xf>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74" fillId="61" borderId="67"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1" borderId="65" applyNumberFormat="0" applyAlignment="0" applyProtection="0"/>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59" fillId="45" borderId="65" applyNumberFormat="0" applyProtection="0">
      <alignment vertical="top"/>
    </xf>
    <xf numFmtId="0" fontId="59" fillId="66" borderId="65" applyNumberFormat="0" applyAlignment="0" applyProtection="0"/>
    <xf numFmtId="0" fontId="33" fillId="0" borderId="68" applyNumberFormat="0" applyFill="0" applyAlignment="0" applyProtection="0"/>
    <xf numFmtId="0" fontId="59" fillId="47" borderId="65" applyNumberFormat="0" applyAlignment="0" applyProtection="0"/>
    <xf numFmtId="0" fontId="59" fillId="47"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74" fillId="62"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54" fillId="62"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66" borderId="65" applyNumberFormat="0" applyAlignment="0" applyProtection="0"/>
    <xf numFmtId="0" fontId="59" fillId="66" borderId="65" applyNumberFormat="0" applyAlignment="0" applyProtection="0"/>
    <xf numFmtId="0" fontId="74" fillId="62"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59" fillId="45" borderId="65" applyNumberFormat="0" applyProtection="0">
      <alignment vertical="top"/>
    </xf>
    <xf numFmtId="0" fontId="33" fillId="0" borderId="68" applyNumberFormat="0" applyFill="0" applyProtection="0">
      <alignment vertical="top"/>
    </xf>
    <xf numFmtId="0" fontId="28" fillId="69" borderId="66" applyNumberFormat="0" applyAlignment="0" applyProtection="0"/>
    <xf numFmtId="0" fontId="54" fillId="61" borderId="65" applyNumberFormat="0" applyProtection="0">
      <alignment vertical="top"/>
    </xf>
    <xf numFmtId="0" fontId="28" fillId="69" borderId="66" applyNumberFormat="0" applyAlignment="0" applyProtection="0"/>
    <xf numFmtId="0" fontId="33" fillId="0" borderId="68" applyNumberFormat="0" applyFill="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59" fillId="45" borderId="65" applyNumberFormat="0" applyProtection="0">
      <alignment vertical="top"/>
    </xf>
    <xf numFmtId="0" fontId="74" fillId="61" borderId="67" applyNumberFormat="0" applyAlignment="0" applyProtection="0"/>
    <xf numFmtId="0" fontId="54" fillId="61"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59" fillId="66"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74" fillId="61" borderId="67" applyNumberFormat="0" applyProtection="0">
      <alignment vertical="top"/>
    </xf>
    <xf numFmtId="0" fontId="29" fillId="69" borderId="66" applyNumberFormat="0" applyProtection="0">
      <alignment vertical="top"/>
    </xf>
    <xf numFmtId="0" fontId="74" fillId="61" borderId="67" applyNumberFormat="0" applyAlignment="0" applyProtection="0"/>
    <xf numFmtId="0" fontId="28" fillId="69" borderId="66" applyNumberFormat="0" applyAlignment="0" applyProtection="0"/>
    <xf numFmtId="0" fontId="74" fillId="62" borderId="67" applyNumberFormat="0" applyAlignment="0" applyProtection="0"/>
    <xf numFmtId="0" fontId="59" fillId="66"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Protection="0">
      <alignment vertical="top"/>
    </xf>
    <xf numFmtId="0" fontId="59" fillId="47"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54" fillId="62"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9" fillId="66"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59" fillId="47" borderId="65" applyNumberFormat="0" applyAlignment="0" applyProtection="0"/>
    <xf numFmtId="0" fontId="33" fillId="0" borderId="68" applyNumberFormat="0" applyFill="0" applyAlignment="0" applyProtection="0"/>
    <xf numFmtId="0" fontId="54" fillId="62" borderId="65" applyNumberFormat="0" applyAlignment="0" applyProtection="0"/>
    <xf numFmtId="0" fontId="28" fillId="70" borderId="66" applyNumberFormat="0" applyFont="0" applyAlignment="0" applyProtection="0"/>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74" fillId="61" borderId="67" applyNumberFormat="0" applyAlignment="0" applyProtection="0"/>
    <xf numFmtId="0" fontId="74" fillId="62" borderId="67" applyNumberFormat="0" applyAlignment="0" applyProtection="0"/>
    <xf numFmtId="0" fontId="74" fillId="62" borderId="67" applyNumberFormat="0" applyAlignment="0" applyProtection="0"/>
    <xf numFmtId="0" fontId="28" fillId="69" borderId="66"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54" fillId="62"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2" borderId="67" applyNumberFormat="0" applyAlignment="0" applyProtection="0"/>
    <xf numFmtId="0" fontId="74" fillId="61" borderId="67" applyNumberFormat="0" applyProtection="0">
      <alignment vertical="top"/>
    </xf>
    <xf numFmtId="0" fontId="33" fillId="0" borderId="68" applyNumberFormat="0" applyFill="0" applyAlignment="0" applyProtection="0"/>
    <xf numFmtId="0" fontId="59" fillId="45" borderId="65" applyNumberFormat="0" applyProtection="0">
      <alignment vertical="top"/>
    </xf>
    <xf numFmtId="0" fontId="59" fillId="45" borderId="65" applyNumberFormat="0" applyProtection="0">
      <alignment vertical="top"/>
    </xf>
    <xf numFmtId="0" fontId="74" fillId="61" borderId="67" applyNumberFormat="0" applyAlignment="0" applyProtection="0"/>
    <xf numFmtId="0" fontId="74" fillId="62" borderId="67" applyNumberFormat="0" applyAlignment="0" applyProtection="0"/>
    <xf numFmtId="0" fontId="28" fillId="69" borderId="66" applyNumberFormat="0" applyAlignment="0" applyProtection="0"/>
    <xf numFmtId="0" fontId="33" fillId="0" borderId="68" applyNumberFormat="0" applyFill="0" applyProtection="0">
      <alignment vertical="top"/>
    </xf>
    <xf numFmtId="0" fontId="28" fillId="69" borderId="66" applyNumberFormat="0" applyAlignment="0" applyProtection="0"/>
    <xf numFmtId="0" fontId="59" fillId="47" borderId="65" applyNumberFormat="0" applyAlignment="0" applyProtection="0"/>
    <xf numFmtId="0" fontId="54" fillId="61" borderId="65" applyNumberFormat="0" applyProtection="0">
      <alignment vertical="top"/>
    </xf>
    <xf numFmtId="0" fontId="74" fillId="61"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74" fillId="61" borderId="67" applyNumberFormat="0" applyProtection="0">
      <alignment vertical="top"/>
    </xf>
    <xf numFmtId="0" fontId="74" fillId="62" borderId="67"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54" fillId="61" borderId="65"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54" fillId="61" borderId="65" applyNumberFormat="0" applyProtection="0">
      <alignment vertical="top"/>
    </xf>
    <xf numFmtId="0" fontId="59" fillId="66"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2" borderId="67" applyNumberFormat="0" applyAlignment="0" applyProtection="0"/>
    <xf numFmtId="0" fontId="74" fillId="62" borderId="67" applyNumberFormat="0" applyAlignment="0" applyProtection="0"/>
    <xf numFmtId="0" fontId="74" fillId="61" borderId="67" applyNumberFormat="0" applyAlignment="0" applyProtection="0"/>
    <xf numFmtId="0" fontId="28" fillId="70" borderId="66" applyNumberFormat="0" applyFont="0" applyAlignment="0" applyProtection="0"/>
    <xf numFmtId="0" fontId="54" fillId="61" borderId="65" applyNumberFormat="0" applyAlignment="0" applyProtection="0"/>
    <xf numFmtId="0" fontId="54" fillId="62" borderId="65" applyNumberFormat="0" applyAlignment="0" applyProtection="0"/>
    <xf numFmtId="0" fontId="33" fillId="0" borderId="68" applyNumberFormat="0" applyFill="0" applyProtection="0">
      <alignment vertical="top"/>
    </xf>
    <xf numFmtId="0" fontId="28" fillId="69" borderId="66" applyNumberFormat="0" applyAlignment="0" applyProtection="0"/>
    <xf numFmtId="0" fontId="74" fillId="61" borderId="67" applyNumberFormat="0" applyProtection="0">
      <alignment vertical="top"/>
    </xf>
    <xf numFmtId="0" fontId="28" fillId="69" borderId="66" applyNumberFormat="0" applyAlignment="0" applyProtection="0"/>
    <xf numFmtId="0" fontId="28" fillId="69" borderId="66" applyNumberFormat="0" applyAlignment="0" applyProtection="0"/>
    <xf numFmtId="0" fontId="74" fillId="62" borderId="67" applyNumberFormat="0" applyAlignment="0" applyProtection="0"/>
    <xf numFmtId="0" fontId="74" fillId="61" borderId="67" applyNumberFormat="0" applyAlignment="0" applyProtection="0"/>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Alignment="0" applyProtection="0"/>
    <xf numFmtId="0" fontId="74" fillId="61" borderId="67" applyNumberFormat="0" applyAlignment="0" applyProtection="0"/>
    <xf numFmtId="0" fontId="29" fillId="69" borderId="66" applyNumberFormat="0" applyProtection="0">
      <alignment vertical="top"/>
    </xf>
    <xf numFmtId="0" fontId="28" fillId="69" borderId="66" applyNumberFormat="0" applyAlignment="0" applyProtection="0"/>
    <xf numFmtId="0" fontId="54" fillId="62" borderId="65" applyNumberFormat="0" applyAlignment="0" applyProtection="0"/>
    <xf numFmtId="0" fontId="59" fillId="47"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Alignment="0" applyProtection="0"/>
    <xf numFmtId="0" fontId="74" fillId="62" borderId="67" applyNumberFormat="0" applyAlignment="0" applyProtection="0"/>
    <xf numFmtId="0" fontId="28" fillId="70" borderId="66" applyNumberFormat="0" applyFont="0" applyAlignment="0" applyProtection="0"/>
    <xf numFmtId="0" fontId="59" fillId="66" borderId="65" applyNumberFormat="0" applyAlignment="0" applyProtection="0"/>
    <xf numFmtId="0" fontId="54" fillId="61" borderId="65" applyNumberFormat="0" applyAlignment="0" applyProtection="0"/>
    <xf numFmtId="0" fontId="28" fillId="69" borderId="66"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74" fillId="62" borderId="67"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59" fillId="66" borderId="65" applyNumberFormat="0" applyAlignment="0" applyProtection="0"/>
    <xf numFmtId="0" fontId="28" fillId="69" borderId="66" applyNumberFormat="0" applyAlignment="0" applyProtection="0"/>
    <xf numFmtId="0" fontId="74" fillId="61" borderId="67" applyNumberFormat="0" applyAlignment="0" applyProtection="0"/>
    <xf numFmtId="0" fontId="74" fillId="61" borderId="67" applyNumberFormat="0" applyProtection="0">
      <alignment vertical="top"/>
    </xf>
    <xf numFmtId="0" fontId="54" fillId="62" borderId="65" applyNumberFormat="0" applyAlignment="0" applyProtection="0"/>
    <xf numFmtId="0" fontId="59" fillId="66"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54" fillId="61" borderId="65" applyNumberFormat="0" applyAlignment="0" applyProtection="0"/>
    <xf numFmtId="0" fontId="28" fillId="69" borderId="66"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Protection="0">
      <alignment vertical="top"/>
    </xf>
    <xf numFmtId="0" fontId="28" fillId="70" borderId="66" applyNumberFormat="0" applyFont="0" applyAlignment="0" applyProtection="0"/>
    <xf numFmtId="0" fontId="74" fillId="61" borderId="67" applyNumberFormat="0" applyProtection="0">
      <alignment vertical="top"/>
    </xf>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74" fillId="61" borderId="67" applyNumberFormat="0" applyProtection="0">
      <alignment vertical="top"/>
    </xf>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59" fillId="47" borderId="65" applyNumberFormat="0" applyAlignment="0" applyProtection="0"/>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28" fillId="70" borderId="66" applyNumberFormat="0" applyFont="0" applyAlignment="0" applyProtection="0"/>
    <xf numFmtId="0" fontId="59" fillId="66"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54" fillId="62" borderId="65" applyNumberFormat="0" applyAlignment="0" applyProtection="0"/>
    <xf numFmtId="0" fontId="74" fillId="61" borderId="67" applyNumberFormat="0" applyAlignment="0" applyProtection="0"/>
    <xf numFmtId="0" fontId="29" fillId="69" borderId="66" applyNumberFormat="0" applyProtection="0">
      <alignment vertical="top"/>
    </xf>
    <xf numFmtId="0" fontId="54" fillId="61"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9" fillId="47"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54" fillId="62"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59" fillId="66" borderId="65" applyNumberFormat="0" applyAlignment="0" applyProtection="0"/>
    <xf numFmtId="0" fontId="33" fillId="0" borderId="68" applyNumberFormat="0" applyFill="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66"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74" fillId="61" borderId="67" applyNumberFormat="0" applyAlignment="0" applyProtection="0"/>
    <xf numFmtId="0" fontId="54" fillId="62"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74" fillId="61" borderId="67" applyNumberFormat="0" applyProtection="0">
      <alignment vertical="top"/>
    </xf>
    <xf numFmtId="0" fontId="33" fillId="0" borderId="68" applyNumberFormat="0" applyFill="0" applyAlignment="0" applyProtection="0"/>
    <xf numFmtId="0" fontId="59" fillId="47"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45" borderId="65" applyNumberFormat="0" applyProtection="0">
      <alignment vertical="top"/>
    </xf>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9" fillId="47" borderId="65"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4" fillId="62"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54" fillId="62"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29" fillId="69" borderId="66" applyNumberFormat="0" applyProtection="0">
      <alignment vertical="top"/>
    </xf>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29" fillId="69" borderId="66" applyNumberFormat="0" applyProtection="0">
      <alignment vertical="top"/>
    </xf>
    <xf numFmtId="0" fontId="33" fillId="0" borderId="68" applyNumberFormat="0" applyFill="0" applyProtection="0">
      <alignment vertical="top"/>
    </xf>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Protection="0">
      <alignment vertical="top"/>
    </xf>
    <xf numFmtId="0" fontId="59" fillId="47"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54" fillId="61" borderId="65" applyNumberFormat="0" applyProtection="0">
      <alignment vertical="top"/>
    </xf>
    <xf numFmtId="0" fontId="59" fillId="66" borderId="65" applyNumberForma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4" fillId="61" borderId="65"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59" fillId="66" borderId="65" applyNumberFormat="0" applyAlignment="0" applyProtection="0"/>
    <xf numFmtId="0" fontId="59" fillId="45" borderId="65" applyNumberFormat="0" applyProtection="0">
      <alignment vertical="top"/>
    </xf>
    <xf numFmtId="0" fontId="59" fillId="66"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28" fillId="70" borderId="66" applyNumberFormat="0" applyFont="0" applyAlignment="0" applyProtection="0"/>
    <xf numFmtId="0" fontId="29" fillId="69" borderId="66" applyNumberFormat="0" applyProtection="0">
      <alignment vertical="top"/>
    </xf>
    <xf numFmtId="0" fontId="54" fillId="61" borderId="65" applyNumberFormat="0" applyProtection="0">
      <alignment vertical="top"/>
    </xf>
    <xf numFmtId="0" fontId="54" fillId="62" borderId="65"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74" fillId="61" borderId="67" applyNumberFormat="0" applyAlignment="0" applyProtection="0"/>
    <xf numFmtId="0" fontId="74" fillId="61"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74" fillId="61" borderId="67"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33" fillId="0" borderId="68" applyNumberFormat="0" applyFill="0" applyProtection="0">
      <alignment vertical="top"/>
    </xf>
    <xf numFmtId="0" fontId="54" fillId="62"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59" fillId="47" borderId="65" applyNumberFormat="0" applyAlignment="0" applyProtection="0"/>
    <xf numFmtId="0" fontId="54" fillId="62" borderId="65" applyNumberFormat="0" applyAlignment="0" applyProtection="0"/>
    <xf numFmtId="0" fontId="54" fillId="62" borderId="65" applyNumberFormat="0" applyAlignment="0" applyProtection="0"/>
    <xf numFmtId="0" fontId="33" fillId="0" borderId="68" applyNumberFormat="0" applyFill="0" applyAlignment="0" applyProtection="0"/>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9" fillId="47" borderId="65" applyNumberFormat="0" applyAlignment="0" applyProtection="0"/>
    <xf numFmtId="0" fontId="59" fillId="47" borderId="65" applyNumberFormat="0" applyAlignment="0" applyProtection="0"/>
    <xf numFmtId="0" fontId="54" fillId="62" borderId="65" applyNumberFormat="0" applyAlignment="0" applyProtection="0"/>
    <xf numFmtId="0" fontId="28" fillId="69" borderId="66"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28" fillId="69" borderId="66" applyNumberFormat="0" applyAlignment="0" applyProtection="0"/>
    <xf numFmtId="0" fontId="74" fillId="61" borderId="67" applyNumberFormat="0" applyAlignment="0" applyProtection="0"/>
    <xf numFmtId="0" fontId="29" fillId="69" borderId="66" applyNumberFormat="0" applyProtection="0">
      <alignment vertical="top"/>
    </xf>
    <xf numFmtId="0" fontId="59" fillId="66" borderId="65" applyNumberFormat="0" applyAlignment="0" applyProtection="0"/>
    <xf numFmtId="0" fontId="54" fillId="62" borderId="65"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Protection="0">
      <alignment vertical="top"/>
    </xf>
    <xf numFmtId="0" fontId="59" fillId="47"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Alignment="0" applyProtection="0"/>
    <xf numFmtId="0" fontId="74" fillId="61" borderId="67" applyNumberFormat="0" applyAlignment="0" applyProtection="0"/>
    <xf numFmtId="0" fontId="74" fillId="62"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33" fillId="0" borderId="68" applyNumberFormat="0" applyFill="0" applyProtection="0">
      <alignment vertical="top"/>
    </xf>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54" fillId="61"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Alignment="0" applyProtection="0"/>
    <xf numFmtId="0" fontId="59" fillId="66" borderId="65" applyNumberFormat="0" applyAlignment="0" applyProtection="0"/>
    <xf numFmtId="0" fontId="54" fillId="62" borderId="65" applyNumberFormat="0" applyAlignment="0" applyProtection="0"/>
    <xf numFmtId="0" fontId="59" fillId="47" borderId="65" applyNumberFormat="0" applyAlignment="0" applyProtection="0"/>
    <xf numFmtId="0" fontId="54" fillId="61"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29" fillId="69" borderId="66" applyNumberFormat="0" applyProtection="0">
      <alignment vertical="top"/>
    </xf>
    <xf numFmtId="0" fontId="74" fillId="61" borderId="67"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66" borderId="65" applyNumberFormat="0" applyAlignment="0" applyProtection="0"/>
    <xf numFmtId="0" fontId="74" fillId="62" borderId="67" applyNumberFormat="0" applyAlignment="0" applyProtection="0"/>
    <xf numFmtId="0" fontId="28" fillId="70" borderId="66" applyNumberFormat="0" applyFont="0" applyAlignment="0" applyProtection="0"/>
    <xf numFmtId="0" fontId="54" fillId="62" borderId="65" applyNumberFormat="0" applyAlignment="0" applyProtection="0"/>
    <xf numFmtId="0" fontId="28" fillId="69" borderId="66"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28" fillId="69" borderId="66" applyNumberFormat="0" applyAlignment="0" applyProtection="0"/>
    <xf numFmtId="0" fontId="29" fillId="69" borderId="66" applyNumberFormat="0" applyProtection="0">
      <alignment vertical="top"/>
    </xf>
    <xf numFmtId="0" fontId="28" fillId="69" borderId="66" applyNumberFormat="0" applyAlignment="0" applyProtection="0"/>
    <xf numFmtId="0" fontId="28" fillId="70" borderId="66" applyNumberFormat="0" applyFont="0" applyAlignment="0" applyProtection="0"/>
    <xf numFmtId="0" fontId="28" fillId="69" borderId="66"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54" fillId="61" borderId="65" applyNumberFormat="0" applyProtection="0">
      <alignment vertical="top"/>
    </xf>
    <xf numFmtId="0" fontId="54" fillId="62" borderId="65" applyNumberFormat="0" applyAlignment="0" applyProtection="0"/>
    <xf numFmtId="0" fontId="54" fillId="61" borderId="65" applyNumberFormat="0" applyAlignment="0" applyProtection="0"/>
    <xf numFmtId="0" fontId="54" fillId="61"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54" fillId="61" borderId="65" applyNumberFormat="0" applyProtection="0">
      <alignment vertical="top"/>
    </xf>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74" fillId="62"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Alignment="0" applyProtection="0"/>
    <xf numFmtId="0" fontId="54" fillId="61"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69" borderId="66"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59" fillId="45" borderId="65" applyNumberFormat="0" applyProtection="0">
      <alignment vertical="top"/>
    </xf>
    <xf numFmtId="0" fontId="29" fillId="69" borderId="66" applyNumberFormat="0" applyProtection="0">
      <alignment vertical="top"/>
    </xf>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74" fillId="61" borderId="67"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1" borderId="65" applyNumberFormat="0" applyAlignment="0" applyProtection="0"/>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59" fillId="45" borderId="65" applyNumberFormat="0" applyProtection="0">
      <alignment vertical="top"/>
    </xf>
    <xf numFmtId="0" fontId="59" fillId="66" borderId="65" applyNumberFormat="0" applyAlignment="0" applyProtection="0"/>
    <xf numFmtId="0" fontId="33" fillId="0" borderId="68" applyNumberFormat="0" applyFill="0" applyAlignment="0" applyProtection="0"/>
    <xf numFmtId="0" fontId="59" fillId="47" borderId="65" applyNumberFormat="0" applyAlignment="0" applyProtection="0"/>
    <xf numFmtId="0" fontId="59" fillId="47"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74" fillId="62"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54" fillId="62"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66" borderId="65" applyNumberFormat="0" applyAlignment="0" applyProtection="0"/>
    <xf numFmtId="0" fontId="59" fillId="66" borderId="65" applyNumberFormat="0" applyAlignment="0" applyProtection="0"/>
    <xf numFmtId="0" fontId="74" fillId="62"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59" fillId="45" borderId="65" applyNumberFormat="0" applyProtection="0">
      <alignment vertical="top"/>
    </xf>
    <xf numFmtId="0" fontId="33" fillId="0" borderId="68" applyNumberFormat="0" applyFill="0" applyProtection="0">
      <alignment vertical="top"/>
    </xf>
    <xf numFmtId="0" fontId="28" fillId="69" borderId="66" applyNumberFormat="0" applyAlignment="0" applyProtection="0"/>
    <xf numFmtId="0" fontId="54" fillId="61" borderId="65" applyNumberFormat="0" applyProtection="0">
      <alignment vertical="top"/>
    </xf>
    <xf numFmtId="0" fontId="28" fillId="69" borderId="66" applyNumberFormat="0" applyAlignment="0" applyProtection="0"/>
    <xf numFmtId="0" fontId="33" fillId="0" borderId="68" applyNumberFormat="0" applyFill="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59" fillId="45" borderId="65" applyNumberFormat="0" applyProtection="0">
      <alignment vertical="top"/>
    </xf>
    <xf numFmtId="0" fontId="74" fillId="61" borderId="67" applyNumberFormat="0" applyAlignment="0" applyProtection="0"/>
    <xf numFmtId="0" fontId="54" fillId="61"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59" fillId="66"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74" fillId="61" borderId="67" applyNumberFormat="0" applyProtection="0">
      <alignment vertical="top"/>
    </xf>
    <xf numFmtId="0" fontId="29" fillId="69" borderId="66" applyNumberFormat="0" applyProtection="0">
      <alignment vertical="top"/>
    </xf>
    <xf numFmtId="0" fontId="74" fillId="61" borderId="67" applyNumberFormat="0" applyAlignment="0" applyProtection="0"/>
    <xf numFmtId="0" fontId="28" fillId="69" borderId="66" applyNumberFormat="0" applyAlignment="0" applyProtection="0"/>
    <xf numFmtId="0" fontId="74" fillId="62" borderId="67" applyNumberFormat="0" applyAlignment="0" applyProtection="0"/>
    <xf numFmtId="0" fontId="59" fillId="66"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Protection="0">
      <alignment vertical="top"/>
    </xf>
    <xf numFmtId="0" fontId="59" fillId="47"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54" fillId="62"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9" fillId="66"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59" fillId="47" borderId="65" applyNumberFormat="0" applyAlignment="0" applyProtection="0"/>
    <xf numFmtId="0" fontId="33" fillId="0" borderId="68" applyNumberFormat="0" applyFill="0" applyAlignment="0" applyProtection="0"/>
    <xf numFmtId="0" fontId="54" fillId="62" borderId="65" applyNumberFormat="0" applyAlignment="0" applyProtection="0"/>
    <xf numFmtId="0" fontId="28" fillId="70" borderId="66" applyNumberFormat="0" applyFont="0" applyAlignment="0" applyProtection="0"/>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74" fillId="61" borderId="67" applyNumberFormat="0" applyAlignment="0" applyProtection="0"/>
    <xf numFmtId="0" fontId="74" fillId="62" borderId="67" applyNumberFormat="0" applyAlignment="0" applyProtection="0"/>
    <xf numFmtId="0" fontId="74" fillId="62" borderId="67" applyNumberFormat="0" applyAlignment="0" applyProtection="0"/>
    <xf numFmtId="0" fontId="28" fillId="69" borderId="66"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54" fillId="62"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2" borderId="67" applyNumberFormat="0" applyAlignment="0" applyProtection="0"/>
    <xf numFmtId="0" fontId="74" fillId="61" borderId="67" applyNumberFormat="0" applyProtection="0">
      <alignment vertical="top"/>
    </xf>
    <xf numFmtId="0" fontId="33" fillId="0" borderId="68" applyNumberFormat="0" applyFill="0" applyAlignment="0" applyProtection="0"/>
    <xf numFmtId="0" fontId="59" fillId="45" borderId="65" applyNumberFormat="0" applyProtection="0">
      <alignment vertical="top"/>
    </xf>
    <xf numFmtId="0" fontId="59" fillId="45" borderId="65" applyNumberFormat="0" applyProtection="0">
      <alignment vertical="top"/>
    </xf>
    <xf numFmtId="0" fontId="74" fillId="61" borderId="67" applyNumberFormat="0" applyAlignment="0" applyProtection="0"/>
    <xf numFmtId="0" fontId="74" fillId="62" borderId="67" applyNumberFormat="0" applyAlignment="0" applyProtection="0"/>
    <xf numFmtId="0" fontId="28" fillId="69" borderId="66" applyNumberFormat="0" applyAlignment="0" applyProtection="0"/>
    <xf numFmtId="0" fontId="33" fillId="0" borderId="68" applyNumberFormat="0" applyFill="0" applyProtection="0">
      <alignment vertical="top"/>
    </xf>
    <xf numFmtId="0" fontId="28" fillId="69" borderId="66" applyNumberFormat="0" applyAlignment="0" applyProtection="0"/>
    <xf numFmtId="0" fontId="59" fillId="47" borderId="65" applyNumberFormat="0" applyAlignment="0" applyProtection="0"/>
    <xf numFmtId="0" fontId="54" fillId="61" borderId="65" applyNumberFormat="0" applyProtection="0">
      <alignment vertical="top"/>
    </xf>
    <xf numFmtId="0" fontId="74" fillId="61"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74" fillId="61" borderId="67" applyNumberFormat="0" applyProtection="0">
      <alignment vertical="top"/>
    </xf>
    <xf numFmtId="0" fontId="74" fillId="62" borderId="67"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54" fillId="61" borderId="65"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54" fillId="61" borderId="65" applyNumberFormat="0" applyProtection="0">
      <alignment vertical="top"/>
    </xf>
    <xf numFmtId="0" fontId="59" fillId="66"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2" borderId="67" applyNumberFormat="0" applyAlignment="0" applyProtection="0"/>
    <xf numFmtId="0" fontId="74" fillId="62" borderId="67" applyNumberFormat="0" applyAlignment="0" applyProtection="0"/>
    <xf numFmtId="0" fontId="74" fillId="61" borderId="67" applyNumberFormat="0" applyAlignment="0" applyProtection="0"/>
    <xf numFmtId="0" fontId="28" fillId="70" borderId="66" applyNumberFormat="0" applyFont="0" applyAlignment="0" applyProtection="0"/>
    <xf numFmtId="0" fontId="54" fillId="61" borderId="65" applyNumberFormat="0" applyAlignment="0" applyProtection="0"/>
    <xf numFmtId="0" fontId="54" fillId="62" borderId="65" applyNumberFormat="0" applyAlignment="0" applyProtection="0"/>
    <xf numFmtId="0" fontId="33" fillId="0" borderId="68" applyNumberFormat="0" applyFill="0" applyProtection="0">
      <alignment vertical="top"/>
    </xf>
    <xf numFmtId="0" fontId="28" fillId="69" borderId="66" applyNumberFormat="0" applyAlignment="0" applyProtection="0"/>
    <xf numFmtId="0" fontId="74" fillId="61" borderId="67" applyNumberFormat="0" applyProtection="0">
      <alignment vertical="top"/>
    </xf>
    <xf numFmtId="0" fontId="28" fillId="69" borderId="66" applyNumberFormat="0" applyAlignment="0" applyProtection="0"/>
    <xf numFmtId="0" fontId="28" fillId="69" borderId="66" applyNumberFormat="0" applyAlignment="0" applyProtection="0"/>
    <xf numFmtId="0" fontId="74" fillId="62" borderId="67" applyNumberFormat="0" applyAlignment="0" applyProtection="0"/>
    <xf numFmtId="0" fontId="74" fillId="61" borderId="67" applyNumberFormat="0" applyAlignment="0" applyProtection="0"/>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Alignment="0" applyProtection="0"/>
    <xf numFmtId="0" fontId="74" fillId="61" borderId="67" applyNumberFormat="0" applyAlignment="0" applyProtection="0"/>
    <xf numFmtId="0" fontId="29" fillId="69" borderId="66" applyNumberFormat="0" applyProtection="0">
      <alignment vertical="top"/>
    </xf>
    <xf numFmtId="0" fontId="28" fillId="69" borderId="66" applyNumberFormat="0" applyAlignment="0" applyProtection="0"/>
    <xf numFmtId="0" fontId="54" fillId="62" borderId="65" applyNumberFormat="0" applyAlignment="0" applyProtection="0"/>
    <xf numFmtId="0" fontId="59" fillId="47"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Alignment="0" applyProtection="0"/>
    <xf numFmtId="0" fontId="74" fillId="62" borderId="67" applyNumberFormat="0" applyAlignment="0" applyProtection="0"/>
    <xf numFmtId="0" fontId="28" fillId="70" borderId="66" applyNumberFormat="0" applyFont="0" applyAlignment="0" applyProtection="0"/>
    <xf numFmtId="0" fontId="59" fillId="66" borderId="65" applyNumberFormat="0" applyAlignment="0" applyProtection="0"/>
    <xf numFmtId="0" fontId="54" fillId="61" borderId="65" applyNumberFormat="0" applyAlignment="0" applyProtection="0"/>
    <xf numFmtId="0" fontId="28" fillId="69" borderId="66"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74" fillId="62" borderId="67"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59" fillId="66" borderId="65" applyNumberFormat="0" applyAlignment="0" applyProtection="0"/>
    <xf numFmtId="0" fontId="28" fillId="69" borderId="66" applyNumberFormat="0" applyAlignment="0" applyProtection="0"/>
    <xf numFmtId="0" fontId="74" fillId="61" borderId="67" applyNumberFormat="0" applyAlignment="0" applyProtection="0"/>
    <xf numFmtId="0" fontId="74" fillId="61" borderId="67" applyNumberFormat="0" applyProtection="0">
      <alignment vertical="top"/>
    </xf>
    <xf numFmtId="0" fontId="54" fillId="62" borderId="65" applyNumberFormat="0" applyAlignment="0" applyProtection="0"/>
    <xf numFmtId="0" fontId="59" fillId="66"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54" fillId="61" borderId="65" applyNumberFormat="0" applyAlignment="0" applyProtection="0"/>
    <xf numFmtId="0" fontId="28" fillId="69" borderId="66"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Protection="0">
      <alignment vertical="top"/>
    </xf>
    <xf numFmtId="0" fontId="28" fillId="70" borderId="66" applyNumberFormat="0" applyFont="0" applyAlignment="0" applyProtection="0"/>
    <xf numFmtId="0" fontId="74" fillId="61" borderId="67" applyNumberFormat="0" applyProtection="0">
      <alignment vertical="top"/>
    </xf>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74" fillId="61" borderId="67" applyNumberFormat="0" applyProtection="0">
      <alignment vertical="top"/>
    </xf>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59" fillId="47" borderId="65" applyNumberFormat="0" applyAlignment="0" applyProtection="0"/>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28" fillId="70" borderId="66" applyNumberFormat="0" applyFont="0" applyAlignment="0" applyProtection="0"/>
    <xf numFmtId="0" fontId="59" fillId="66"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54" fillId="62" borderId="65" applyNumberFormat="0" applyAlignment="0" applyProtection="0"/>
    <xf numFmtId="0" fontId="74" fillId="61" borderId="67" applyNumberFormat="0" applyAlignment="0" applyProtection="0"/>
    <xf numFmtId="0" fontId="29" fillId="69" borderId="66" applyNumberFormat="0" applyProtection="0">
      <alignment vertical="top"/>
    </xf>
    <xf numFmtId="0" fontId="54" fillId="61"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9" fillId="47"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54" fillId="62"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59" fillId="66" borderId="65" applyNumberFormat="0" applyAlignment="0" applyProtection="0"/>
    <xf numFmtId="0" fontId="33" fillId="0" borderId="68" applyNumberFormat="0" applyFill="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66"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74" fillId="61" borderId="67" applyNumberFormat="0" applyAlignment="0" applyProtection="0"/>
    <xf numFmtId="0" fontId="54" fillId="62"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74" fillId="61" borderId="67" applyNumberFormat="0" applyProtection="0">
      <alignment vertical="top"/>
    </xf>
    <xf numFmtId="0" fontId="33" fillId="0" borderId="68" applyNumberFormat="0" applyFill="0" applyAlignment="0" applyProtection="0"/>
    <xf numFmtId="0" fontId="59" fillId="47"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45" borderId="65" applyNumberFormat="0" applyProtection="0">
      <alignment vertical="top"/>
    </xf>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43" fontId="28" fillId="0" borderId="0" applyFont="0" applyFill="0" applyBorder="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33" fillId="0" borderId="68" applyNumberFormat="0" applyFill="0" applyAlignment="0" applyProtection="0"/>
    <xf numFmtId="0" fontId="54" fillId="62" borderId="65" applyNumberFormat="0" applyAlignment="0" applyProtection="0"/>
    <xf numFmtId="0" fontId="29" fillId="69" borderId="66" applyNumberFormat="0" applyProtection="0">
      <alignment vertical="top"/>
    </xf>
    <xf numFmtId="0" fontId="54" fillId="61" borderId="65" applyNumberFormat="0" applyAlignment="0" applyProtection="0"/>
    <xf numFmtId="0" fontId="59" fillId="47"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Protection="0">
      <alignment vertical="top"/>
    </xf>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54" fillId="61" borderId="65" applyNumberFormat="0" applyAlignment="0" applyProtection="0"/>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59" fillId="66" borderId="65" applyNumberFormat="0" applyAlignment="0" applyProtection="0"/>
    <xf numFmtId="0" fontId="29" fillId="69" borderId="66" applyNumberFormat="0" applyProtection="0">
      <alignment vertical="top"/>
    </xf>
    <xf numFmtId="0" fontId="59" fillId="66" borderId="65" applyNumberFormat="0" applyAlignment="0" applyProtection="0"/>
    <xf numFmtId="0" fontId="33" fillId="0" borderId="68" applyNumberFormat="0" applyFill="0" applyAlignment="0" applyProtection="0"/>
    <xf numFmtId="0" fontId="28" fillId="69" borderId="66" applyNumberFormat="0" applyAlignment="0" applyProtection="0"/>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59" fillId="47"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2"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28" fillId="69" borderId="66" applyNumberFormat="0" applyAlignment="0" applyProtection="0"/>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Alignment="0" applyProtection="0"/>
    <xf numFmtId="0" fontId="33" fillId="0" borderId="68" applyNumberFormat="0" applyFill="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Alignment="0" applyProtection="0"/>
    <xf numFmtId="0" fontId="54" fillId="62" borderId="65" applyNumberFormat="0" applyAlignment="0" applyProtection="0"/>
    <xf numFmtId="0" fontId="59" fillId="66"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54" fillId="61" borderId="65" applyNumberFormat="0" applyAlignment="0" applyProtection="0"/>
    <xf numFmtId="0" fontId="74" fillId="62" borderId="67" applyNumberFormat="0" applyAlignment="0" applyProtection="0"/>
    <xf numFmtId="0" fontId="28" fillId="69" borderId="66" applyNumberFormat="0" applyAlignment="0" applyProtection="0"/>
    <xf numFmtId="0" fontId="28" fillId="69" borderId="66" applyNumberFormat="0" applyAlignment="0" applyProtection="0"/>
    <xf numFmtId="0" fontId="28" fillId="69" borderId="66"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69" borderId="66" applyNumberFormat="0" applyAlignment="0" applyProtection="0"/>
    <xf numFmtId="0" fontId="59" fillId="47"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74" fillId="62" borderId="67"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Alignment="0" applyProtection="0"/>
    <xf numFmtId="0" fontId="28" fillId="69" borderId="66" applyNumberFormat="0" applyAlignment="0" applyProtection="0"/>
    <xf numFmtId="0" fontId="74" fillId="61" borderId="67" applyNumberFormat="0" applyProtection="0">
      <alignment vertical="top"/>
    </xf>
    <xf numFmtId="0" fontId="59" fillId="47" borderId="65" applyNumberFormat="0" applyAlignment="0" applyProtection="0"/>
    <xf numFmtId="0" fontId="74" fillId="61" borderId="67" applyNumberFormat="0" applyAlignment="0" applyProtection="0"/>
    <xf numFmtId="0" fontId="59" fillId="47" borderId="65" applyNumberFormat="0" applyAlignment="0" applyProtection="0"/>
    <xf numFmtId="0" fontId="74" fillId="61" borderId="67" applyNumberFormat="0" applyAlignment="0" applyProtection="0"/>
    <xf numFmtId="0" fontId="54" fillId="61"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54" fillId="61"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2"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69" borderId="66"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Alignment="0" applyProtection="0"/>
    <xf numFmtId="0" fontId="33" fillId="0" borderId="68" applyNumberFormat="0" applyFill="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Alignment="0" applyProtection="0"/>
    <xf numFmtId="0" fontId="54" fillId="62" borderId="65" applyNumberFormat="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Alignment="0" applyProtection="0"/>
    <xf numFmtId="0" fontId="74" fillId="62" borderId="67" applyNumberFormat="0" applyAlignment="0" applyProtection="0"/>
    <xf numFmtId="0" fontId="28" fillId="69" borderId="66"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Alignment="0" applyProtection="0"/>
    <xf numFmtId="0" fontId="28" fillId="69" borderId="66" applyNumberFormat="0" applyAlignment="0" applyProtection="0"/>
    <xf numFmtId="0" fontId="59" fillId="47"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33" fillId="0" borderId="68" applyNumberFormat="0" applyFill="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74" fillId="62" borderId="67"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Alignment="0" applyProtection="0"/>
    <xf numFmtId="0" fontId="28" fillId="69" borderId="66" applyNumberFormat="0" applyAlignment="0" applyProtection="0"/>
    <xf numFmtId="0" fontId="74" fillId="61" borderId="67" applyNumberFormat="0" applyProtection="0">
      <alignment vertical="top"/>
    </xf>
    <xf numFmtId="0" fontId="59" fillId="47" borderId="65" applyNumberFormat="0" applyAlignment="0" applyProtection="0"/>
    <xf numFmtId="0" fontId="74" fillId="61" borderId="67" applyNumberFormat="0" applyAlignment="0" applyProtection="0"/>
    <xf numFmtId="0" fontId="59" fillId="47" borderId="65" applyNumberFormat="0" applyAlignment="0" applyProtection="0"/>
    <xf numFmtId="0" fontId="74" fillId="61" borderId="67" applyNumberFormat="0" applyAlignment="0" applyProtection="0"/>
    <xf numFmtId="0" fontId="54" fillId="61"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54" fillId="61"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5"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47" borderId="65" applyNumberFormat="0" applyAlignment="0" applyProtection="0"/>
    <xf numFmtId="0" fontId="59" fillId="66" borderId="65" applyNumberFormat="0" applyAlignment="0" applyProtection="0"/>
    <xf numFmtId="0" fontId="28" fillId="69" borderId="66"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29" fillId="69" borderId="66" applyNumberFormat="0" applyProtection="0">
      <alignment vertical="top"/>
    </xf>
    <xf numFmtId="0" fontId="28" fillId="69" borderId="66" applyNumberFormat="0" applyAlignment="0" applyProtection="0"/>
    <xf numFmtId="0" fontId="74" fillId="61" borderId="67" applyNumberFormat="0" applyAlignment="0" applyProtection="0"/>
    <xf numFmtId="0" fontId="28" fillId="69" borderId="66" applyNumberFormat="0" applyAlignment="0" applyProtection="0"/>
    <xf numFmtId="0" fontId="54" fillId="62"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33" fillId="0" borderId="68" applyNumberFormat="0" applyFill="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5" borderId="65" applyNumberFormat="0" applyProtection="0">
      <alignment vertical="top"/>
    </xf>
    <xf numFmtId="0" fontId="28" fillId="69" borderId="66" applyNumberFormat="0" applyAlignment="0" applyProtection="0"/>
    <xf numFmtId="0" fontId="29" fillId="69" borderId="66" applyNumberFormat="0" applyProtection="0">
      <alignment vertical="top"/>
    </xf>
    <xf numFmtId="0" fontId="59" fillId="66"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Alignment="0" applyProtection="0"/>
    <xf numFmtId="0" fontId="74" fillId="61" borderId="67" applyNumberFormat="0" applyAlignment="0" applyProtection="0"/>
    <xf numFmtId="0" fontId="54" fillId="62" borderId="65" applyNumberFormat="0" applyAlignment="0" applyProtection="0"/>
    <xf numFmtId="0" fontId="74" fillId="62" borderId="67" applyNumberFormat="0" applyAlignment="0" applyProtection="0"/>
    <xf numFmtId="0" fontId="74" fillId="62" borderId="67" applyNumberFormat="0" applyAlignment="0" applyProtection="0"/>
    <xf numFmtId="0" fontId="28" fillId="70" borderId="66" applyNumberFormat="0" applyFont="0" applyAlignment="0" applyProtection="0"/>
    <xf numFmtId="0" fontId="74" fillId="62" borderId="67"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54" fillId="61"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54" fillId="61" borderId="65" applyNumberFormat="0" applyProtection="0">
      <alignment vertical="top"/>
    </xf>
    <xf numFmtId="0" fontId="59" fillId="66" borderId="65" applyNumberFormat="0" applyAlignment="0" applyProtection="0"/>
    <xf numFmtId="0" fontId="74" fillId="61" borderId="67" applyNumberFormat="0" applyProtection="0">
      <alignment vertical="top"/>
    </xf>
    <xf numFmtId="0" fontId="28" fillId="69" borderId="66" applyNumberFormat="0" applyAlignment="0" applyProtection="0"/>
    <xf numFmtId="0" fontId="74" fillId="62" borderId="67" applyNumberFormat="0" applyAlignment="0" applyProtection="0"/>
    <xf numFmtId="0" fontId="28" fillId="69" borderId="66" applyNumberFormat="0" applyAlignment="0" applyProtection="0"/>
    <xf numFmtId="0" fontId="74" fillId="62" borderId="67" applyNumberFormat="0" applyAlignment="0" applyProtection="0"/>
    <xf numFmtId="0" fontId="54" fillId="62"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74" fillId="62" borderId="67"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74" fillId="61" borderId="67" applyNumberFormat="0" applyProtection="0">
      <alignment vertical="top"/>
    </xf>
    <xf numFmtId="0" fontId="54" fillId="61" borderId="65"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74" fillId="61" borderId="67" applyNumberFormat="0" applyAlignment="0" applyProtection="0"/>
    <xf numFmtId="0" fontId="54" fillId="61" borderId="65"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74" fillId="62" borderId="67" applyNumberFormat="0" applyAlignment="0" applyProtection="0"/>
    <xf numFmtId="0" fontId="28" fillId="69" borderId="66" applyNumberFormat="0" applyAlignment="0" applyProtection="0"/>
    <xf numFmtId="0" fontId="59" fillId="45" borderId="65" applyNumberFormat="0" applyProtection="0">
      <alignment vertical="top"/>
    </xf>
    <xf numFmtId="0" fontId="28" fillId="69" borderId="66" applyNumberFormat="0" applyAlignment="0" applyProtection="0"/>
    <xf numFmtId="0" fontId="59" fillId="47" borderId="65" applyNumberFormat="0" applyAlignment="0" applyProtection="0"/>
    <xf numFmtId="0" fontId="29" fillId="69" borderId="66" applyNumberFormat="0" applyProtection="0">
      <alignment vertical="top"/>
    </xf>
    <xf numFmtId="0" fontId="74" fillId="62"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9" fillId="66" borderId="65" applyNumberFormat="0" applyAlignment="0" applyProtection="0"/>
    <xf numFmtId="0" fontId="54" fillId="61" borderId="65" applyNumberFormat="0" applyAlignment="0" applyProtection="0"/>
    <xf numFmtId="0" fontId="28" fillId="69" borderId="66" applyNumberFormat="0" applyAlignment="0" applyProtection="0"/>
    <xf numFmtId="0" fontId="33" fillId="0" borderId="68" applyNumberFormat="0" applyFill="0" applyAlignment="0" applyProtection="0"/>
    <xf numFmtId="0" fontId="29" fillId="69" borderId="66" applyNumberFormat="0" applyProtection="0">
      <alignment vertical="top"/>
    </xf>
    <xf numFmtId="0" fontId="59" fillId="66" borderId="65" applyNumberFormat="0" applyAlignment="0" applyProtection="0"/>
    <xf numFmtId="0" fontId="29" fillId="69" borderId="66" applyNumberFormat="0" applyProtection="0">
      <alignment vertical="top"/>
    </xf>
    <xf numFmtId="0" fontId="54" fillId="61" borderId="65" applyNumberFormat="0" applyAlignment="0" applyProtection="0"/>
    <xf numFmtId="0" fontId="54" fillId="61" borderId="65" applyNumberFormat="0" applyProtection="0">
      <alignment vertical="top"/>
    </xf>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74" fillId="62" borderId="67" applyNumberFormat="0" applyAlignment="0" applyProtection="0"/>
    <xf numFmtId="0" fontId="28" fillId="69" borderId="66" applyNumberFormat="0" applyAlignment="0" applyProtection="0"/>
    <xf numFmtId="0" fontId="74" fillId="61" borderId="67" applyNumberFormat="0" applyProtection="0">
      <alignment vertical="top"/>
    </xf>
    <xf numFmtId="0" fontId="59" fillId="66"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29" fillId="69" borderId="66"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74" fillId="62" borderId="67" applyNumberFormat="0" applyAlignment="0" applyProtection="0"/>
    <xf numFmtId="0" fontId="59" fillId="47" borderId="65"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4" fillId="61" borderId="65"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59" fillId="66" borderId="65" applyNumberFormat="0" applyAlignment="0" applyProtection="0"/>
    <xf numFmtId="0" fontId="59" fillId="45" borderId="65" applyNumberFormat="0" applyProtection="0">
      <alignment vertical="top"/>
    </xf>
    <xf numFmtId="0" fontId="59" fillId="66"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28" fillId="70" borderId="66" applyNumberFormat="0" applyFont="0" applyAlignment="0" applyProtection="0"/>
    <xf numFmtId="0" fontId="29" fillId="69" borderId="66" applyNumberFormat="0" applyProtection="0">
      <alignment vertical="top"/>
    </xf>
    <xf numFmtId="0" fontId="54" fillId="61" borderId="65" applyNumberFormat="0" applyProtection="0">
      <alignment vertical="top"/>
    </xf>
    <xf numFmtId="0" fontId="54" fillId="62" borderId="65" applyNumberFormat="0" applyAlignment="0" applyProtection="0"/>
    <xf numFmtId="0" fontId="33" fillId="0" borderId="68" applyNumberFormat="0" applyFill="0" applyProtection="0">
      <alignment vertical="top"/>
    </xf>
    <xf numFmtId="0" fontId="74" fillId="61" borderId="67" applyNumberFormat="0" applyAlignment="0" applyProtection="0"/>
    <xf numFmtId="0" fontId="74" fillId="61" borderId="67" applyNumberFormat="0" applyAlignment="0" applyProtection="0"/>
    <xf numFmtId="0" fontId="74" fillId="61" borderId="67" applyNumberFormat="0" applyAlignment="0" applyProtection="0"/>
    <xf numFmtId="0" fontId="54" fillId="61" borderId="65" applyNumberFormat="0" applyProtection="0">
      <alignment vertical="top"/>
    </xf>
    <xf numFmtId="0" fontId="74" fillId="61" borderId="67" applyNumberFormat="0" applyProtection="0">
      <alignment vertical="top"/>
    </xf>
    <xf numFmtId="0" fontId="59" fillId="45"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33" fillId="0" borderId="68" applyNumberFormat="0" applyFill="0" applyProtection="0">
      <alignment vertical="top"/>
    </xf>
    <xf numFmtId="0" fontId="54" fillId="62"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59" fillId="47" borderId="65" applyNumberFormat="0" applyAlignment="0" applyProtection="0"/>
    <xf numFmtId="0" fontId="74" fillId="61" borderId="67" applyNumberFormat="0" applyAlignment="0" applyProtection="0"/>
    <xf numFmtId="0" fontId="29" fillId="69" borderId="66" applyNumberFormat="0" applyProtection="0">
      <alignment vertical="top"/>
    </xf>
    <xf numFmtId="0" fontId="59" fillId="66"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74" fillId="61"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45" borderId="65" applyNumberFormat="0" applyProtection="0">
      <alignment vertical="top"/>
    </xf>
    <xf numFmtId="0" fontId="33" fillId="0" borderId="68" applyNumberFormat="0" applyFill="0" applyProtection="0">
      <alignment vertical="top"/>
    </xf>
    <xf numFmtId="0" fontId="74" fillId="61" borderId="67" applyNumberFormat="0" applyAlignment="0" applyProtection="0"/>
    <xf numFmtId="0" fontId="74" fillId="61" borderId="67" applyNumberFormat="0" applyProtection="0">
      <alignment vertical="top"/>
    </xf>
    <xf numFmtId="0" fontId="54" fillId="62" borderId="65" applyNumberFormat="0" applyAlignment="0" applyProtection="0"/>
    <xf numFmtId="0" fontId="54" fillId="61"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59" fillId="66"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Protection="0">
      <alignment vertical="top"/>
    </xf>
    <xf numFmtId="0" fontId="59" fillId="66" borderId="65" applyNumberFormat="0" applyAlignment="0" applyProtection="0"/>
    <xf numFmtId="0" fontId="54" fillId="61"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74" fillId="62"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Alignment="0" applyProtection="0"/>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28" fillId="69" borderId="66"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74" fillId="61" borderId="67" applyNumberFormat="0" applyAlignment="0" applyProtection="0"/>
    <xf numFmtId="0" fontId="54" fillId="61" borderId="65" applyNumberFormat="0" applyAlignment="0" applyProtection="0"/>
    <xf numFmtId="0" fontId="54" fillId="61" borderId="65" applyNumberFormat="0" applyProtection="0">
      <alignment vertical="top"/>
    </xf>
    <xf numFmtId="0" fontId="59" fillId="66" borderId="65" applyNumberFormat="0" applyAlignment="0" applyProtection="0"/>
    <xf numFmtId="0" fontId="28" fillId="69" borderId="66" applyNumberFormat="0" applyAlignment="0" applyProtection="0"/>
    <xf numFmtId="0" fontId="28" fillId="69" borderId="66" applyNumberFormat="0" applyAlignment="0" applyProtection="0"/>
    <xf numFmtId="0" fontId="54" fillId="61" borderId="65" applyNumberFormat="0" applyProtection="0">
      <alignment vertical="top"/>
    </xf>
    <xf numFmtId="0" fontId="74" fillId="61" borderId="67" applyNumberFormat="0" applyProtection="0">
      <alignment vertical="top"/>
    </xf>
    <xf numFmtId="0" fontId="74" fillId="61" borderId="67" applyNumberFormat="0" applyAlignment="0" applyProtection="0"/>
    <xf numFmtId="0" fontId="74" fillId="62" borderId="67" applyNumberFormat="0" applyAlignment="0" applyProtection="0"/>
    <xf numFmtId="0" fontId="59" fillId="66"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4" fillId="61" borderId="65" applyNumberFormat="0" applyProtection="0">
      <alignment vertical="top"/>
    </xf>
    <xf numFmtId="0" fontId="33" fillId="0" borderId="68" applyNumberFormat="0" applyFill="0" applyProtection="0">
      <alignment vertical="top"/>
    </xf>
    <xf numFmtId="0" fontId="59" fillId="66"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2" borderId="65" applyNumberFormat="0" applyAlignment="0" applyProtection="0"/>
    <xf numFmtId="0" fontId="59" fillId="45" borderId="65" applyNumberFormat="0" applyProtection="0">
      <alignment vertical="top"/>
    </xf>
    <xf numFmtId="0" fontId="74" fillId="61" borderId="67" applyNumberFormat="0" applyAlignment="0" applyProtection="0"/>
    <xf numFmtId="0" fontId="28" fillId="70" borderId="66" applyNumberFormat="0" applyFont="0" applyAlignment="0" applyProtection="0"/>
    <xf numFmtId="0" fontId="74" fillId="62"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74" fillId="61" borderId="67"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59" fillId="66"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54" fillId="62" borderId="65" applyNumberFormat="0" applyAlignment="0" applyProtection="0"/>
    <xf numFmtId="0" fontId="28" fillId="69" borderId="66" applyNumberFormat="0" applyAlignment="0" applyProtection="0"/>
    <xf numFmtId="0" fontId="28" fillId="69" borderId="66" applyNumberFormat="0" applyAlignment="0" applyProtection="0"/>
    <xf numFmtId="0" fontId="54" fillId="61" borderId="65" applyNumberFormat="0" applyProtection="0">
      <alignment vertical="top"/>
    </xf>
    <xf numFmtId="0" fontId="74" fillId="62" borderId="67"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59" fillId="47" borderId="65" applyNumberFormat="0" applyAlignment="0" applyProtection="0"/>
    <xf numFmtId="0" fontId="54" fillId="61" borderId="65" applyNumberFormat="0" applyAlignment="0" applyProtection="0"/>
    <xf numFmtId="0" fontId="74" fillId="62" borderId="67" applyNumberFormat="0" applyAlignment="0" applyProtection="0"/>
    <xf numFmtId="0" fontId="54" fillId="61" borderId="65" applyNumberFormat="0" applyAlignment="0" applyProtection="0"/>
    <xf numFmtId="0" fontId="54" fillId="61" borderId="65" applyNumberFormat="0" applyProtection="0">
      <alignment vertical="top"/>
    </xf>
    <xf numFmtId="0" fontId="74" fillId="62" borderId="67" applyNumberFormat="0" applyAlignment="0" applyProtection="0"/>
    <xf numFmtId="0" fontId="74" fillId="61"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4" fillId="61" borderId="65" applyNumberFormat="0" applyAlignment="0" applyProtection="0"/>
    <xf numFmtId="0" fontId="28" fillId="69" borderId="66"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Protection="0">
      <alignment vertical="top"/>
    </xf>
    <xf numFmtId="0" fontId="74" fillId="61" borderId="67" applyNumberFormat="0" applyProtection="0">
      <alignment vertical="top"/>
    </xf>
    <xf numFmtId="0" fontId="54" fillId="61" borderId="65" applyNumberFormat="0" applyAlignment="0" applyProtection="0"/>
    <xf numFmtId="0" fontId="59" fillId="66" borderId="65" applyNumberFormat="0" applyAlignment="0" applyProtection="0"/>
    <xf numFmtId="0" fontId="33" fillId="0" borderId="68" applyNumberFormat="0" applyFill="0" applyProtection="0">
      <alignment vertical="top"/>
    </xf>
    <xf numFmtId="0" fontId="33" fillId="0" borderId="68" applyNumberFormat="0" applyFill="0" applyProtection="0">
      <alignment vertical="top"/>
    </xf>
    <xf numFmtId="0" fontId="74" fillId="62" borderId="67" applyNumberFormat="0" applyAlignment="0" applyProtection="0"/>
    <xf numFmtId="0" fontId="54" fillId="61" borderId="65" applyNumberFormat="0" applyProtection="0">
      <alignment vertical="top"/>
    </xf>
    <xf numFmtId="0" fontId="74" fillId="61" borderId="67" applyNumberFormat="0" applyProtection="0">
      <alignment vertical="top"/>
    </xf>
    <xf numFmtId="0" fontId="59" fillId="47"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74" fillId="61" borderId="67" applyNumberFormat="0" applyAlignment="0" applyProtection="0"/>
    <xf numFmtId="0" fontId="54" fillId="61" borderId="65" applyNumberFormat="0" applyAlignment="0" applyProtection="0"/>
    <xf numFmtId="0" fontId="74" fillId="62" borderId="67" applyNumberFormat="0" applyAlignment="0" applyProtection="0"/>
    <xf numFmtId="0" fontId="59" fillId="47" borderId="65" applyNumberFormat="0" applyAlignment="0" applyProtection="0"/>
    <xf numFmtId="0" fontId="74" fillId="61" borderId="67" applyNumberFormat="0" applyAlignment="0" applyProtection="0"/>
    <xf numFmtId="0" fontId="74" fillId="62" borderId="67"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54" fillId="62"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Protection="0">
      <alignment vertical="top"/>
    </xf>
    <xf numFmtId="0" fontId="59" fillId="66" borderId="65" applyNumberFormat="0" applyAlignment="0" applyProtection="0"/>
    <xf numFmtId="0" fontId="29" fillId="69" borderId="66" applyNumberFormat="0" applyProtection="0">
      <alignment vertical="top"/>
    </xf>
    <xf numFmtId="0" fontId="74" fillId="61" borderId="67" applyNumberFormat="0" applyAlignment="0" applyProtection="0"/>
    <xf numFmtId="0" fontId="54" fillId="62"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74" fillId="61" borderId="67" applyNumberFormat="0" applyProtection="0">
      <alignment vertical="top"/>
    </xf>
    <xf numFmtId="0" fontId="33" fillId="0" borderId="68" applyNumberFormat="0" applyFill="0" applyAlignment="0" applyProtection="0"/>
    <xf numFmtId="0" fontId="54" fillId="62"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45" borderId="65" applyNumberFormat="0" applyProtection="0">
      <alignment vertical="top"/>
    </xf>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9" fillId="47" borderId="65"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4" fillId="62"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54" fillId="62"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29" fillId="69" borderId="66" applyNumberFormat="0" applyProtection="0">
      <alignment vertical="top"/>
    </xf>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29" fillId="69" borderId="66" applyNumberFormat="0" applyProtection="0">
      <alignment vertical="top"/>
    </xf>
    <xf numFmtId="0" fontId="33" fillId="0" borderId="68" applyNumberFormat="0" applyFill="0" applyProtection="0">
      <alignment vertical="top"/>
    </xf>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Protection="0">
      <alignment vertical="top"/>
    </xf>
    <xf numFmtId="0" fontId="59" fillId="47"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54" fillId="61" borderId="65" applyNumberFormat="0" applyProtection="0">
      <alignment vertical="top"/>
    </xf>
    <xf numFmtId="0" fontId="59" fillId="66" borderId="65" applyNumberForma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4" fillId="61" borderId="65"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59" fillId="66" borderId="65" applyNumberFormat="0" applyAlignment="0" applyProtection="0"/>
    <xf numFmtId="0" fontId="59" fillId="45" borderId="65" applyNumberFormat="0" applyProtection="0">
      <alignment vertical="top"/>
    </xf>
    <xf numFmtId="0" fontId="59" fillId="66"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28" fillId="70" borderId="66" applyNumberFormat="0" applyFont="0" applyAlignment="0" applyProtection="0"/>
    <xf numFmtId="0" fontId="29" fillId="69" borderId="66" applyNumberFormat="0" applyProtection="0">
      <alignment vertical="top"/>
    </xf>
    <xf numFmtId="0" fontId="54" fillId="61" borderId="65" applyNumberFormat="0" applyProtection="0">
      <alignment vertical="top"/>
    </xf>
    <xf numFmtId="0" fontId="54" fillId="62" borderId="65" applyNumberFormat="0" applyAlignment="0" applyProtection="0"/>
    <xf numFmtId="0" fontId="33" fillId="0" borderId="68" applyNumberFormat="0" applyFill="0" applyProtection="0">
      <alignment vertical="top"/>
    </xf>
    <xf numFmtId="0" fontId="74" fillId="61" borderId="67" applyNumberFormat="0" applyAlignment="0" applyProtection="0"/>
    <xf numFmtId="0" fontId="74" fillId="61" borderId="67" applyNumberFormat="0" applyAlignment="0" applyProtection="0"/>
    <xf numFmtId="0" fontId="74" fillId="61" borderId="67" applyNumberFormat="0" applyAlignment="0" applyProtection="0"/>
    <xf numFmtId="0" fontId="54" fillId="61" borderId="65" applyNumberFormat="0" applyProtection="0">
      <alignment vertical="top"/>
    </xf>
    <xf numFmtId="0" fontId="74" fillId="61" borderId="67" applyNumberFormat="0" applyProtection="0">
      <alignment vertical="top"/>
    </xf>
    <xf numFmtId="0" fontId="59" fillId="45"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33" fillId="0" borderId="68" applyNumberFormat="0" applyFill="0" applyProtection="0">
      <alignment vertical="top"/>
    </xf>
    <xf numFmtId="0" fontId="54" fillId="62"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9" fillId="47" borderId="65" applyNumberFormat="0" applyAlignment="0" applyProtection="0"/>
    <xf numFmtId="0" fontId="54" fillId="62" borderId="65" applyNumberFormat="0" applyAlignment="0" applyProtection="0"/>
    <xf numFmtId="0" fontId="54" fillId="62" borderId="65" applyNumberFormat="0" applyAlignment="0" applyProtection="0"/>
    <xf numFmtId="0" fontId="33" fillId="0" borderId="68" applyNumberFormat="0" applyFill="0" applyAlignment="0" applyProtection="0"/>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9" fillId="47" borderId="65" applyNumberFormat="0" applyAlignment="0" applyProtection="0"/>
    <xf numFmtId="0" fontId="59" fillId="47" borderId="65" applyNumberFormat="0" applyAlignment="0" applyProtection="0"/>
    <xf numFmtId="0" fontId="54" fillId="62" borderId="65" applyNumberFormat="0" applyAlignment="0" applyProtection="0"/>
    <xf numFmtId="0" fontId="28" fillId="69" borderId="66"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74" fillId="61" borderId="67" applyNumberFormat="0" applyAlignment="0" applyProtection="0"/>
    <xf numFmtId="0" fontId="29" fillId="69" borderId="66" applyNumberFormat="0" applyProtection="0">
      <alignment vertical="top"/>
    </xf>
    <xf numFmtId="0" fontId="59" fillId="66" borderId="65" applyNumberFormat="0" applyAlignment="0" applyProtection="0"/>
    <xf numFmtId="0" fontId="54" fillId="62" borderId="65"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Alignment="0" applyProtection="0"/>
    <xf numFmtId="0" fontId="29" fillId="69" borderId="66" applyNumberFormat="0" applyProtection="0">
      <alignment vertical="top"/>
    </xf>
    <xf numFmtId="0" fontId="28" fillId="69" borderId="66"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Alignment="0" applyProtection="0"/>
    <xf numFmtId="0" fontId="74" fillId="61" borderId="67" applyNumberFormat="0" applyAlignment="0" applyProtection="0"/>
    <xf numFmtId="0" fontId="74" fillId="62"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33" fillId="0" borderId="68" applyNumberFormat="0" applyFill="0" applyProtection="0">
      <alignment vertical="top"/>
    </xf>
    <xf numFmtId="0" fontId="74" fillId="61" borderId="67" applyNumberFormat="0" applyAlignment="0" applyProtection="0"/>
    <xf numFmtId="0" fontId="74" fillId="61" borderId="67" applyNumberFormat="0" applyProtection="0">
      <alignment vertical="top"/>
    </xf>
    <xf numFmtId="0" fontId="54" fillId="62" borderId="65" applyNumberFormat="0" applyAlignment="0" applyProtection="0"/>
    <xf numFmtId="0" fontId="54" fillId="61"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59" fillId="66"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Protection="0">
      <alignment vertical="top"/>
    </xf>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Alignment="0" applyProtection="0"/>
    <xf numFmtId="0" fontId="59" fillId="66" borderId="65" applyNumberFormat="0" applyAlignment="0" applyProtection="0"/>
    <xf numFmtId="0" fontId="54" fillId="62" borderId="65" applyNumberFormat="0" applyAlignment="0" applyProtection="0"/>
    <xf numFmtId="0" fontId="59" fillId="47" borderId="65" applyNumberFormat="0" applyAlignment="0" applyProtection="0"/>
    <xf numFmtId="0" fontId="54" fillId="61"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29" fillId="69" borderId="66" applyNumberFormat="0" applyProtection="0">
      <alignment vertical="top"/>
    </xf>
    <xf numFmtId="0" fontId="74" fillId="61" borderId="67"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66" borderId="65" applyNumberFormat="0" applyAlignment="0" applyProtection="0"/>
    <xf numFmtId="0" fontId="74" fillId="62" borderId="67" applyNumberFormat="0" applyAlignment="0" applyProtection="0"/>
    <xf numFmtId="0" fontId="28" fillId="70" borderId="66" applyNumberFormat="0" applyFont="0" applyAlignment="0" applyProtection="0"/>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28" fillId="69" borderId="66" applyNumberFormat="0" applyAlignment="0" applyProtection="0"/>
    <xf numFmtId="0" fontId="29" fillId="69" borderId="66" applyNumberFormat="0" applyProtection="0">
      <alignment vertical="top"/>
    </xf>
    <xf numFmtId="0" fontId="28" fillId="69" borderId="66" applyNumberFormat="0" applyAlignment="0" applyProtection="0"/>
    <xf numFmtId="0" fontId="28" fillId="70" borderId="66" applyNumberFormat="0" applyFont="0" applyAlignment="0" applyProtection="0"/>
    <xf numFmtId="0" fontId="28" fillId="69" borderId="66"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54" fillId="61" borderId="65" applyNumberFormat="0" applyProtection="0">
      <alignment vertical="top"/>
    </xf>
    <xf numFmtId="0" fontId="54" fillId="62" borderId="65" applyNumberFormat="0" applyAlignment="0" applyProtection="0"/>
    <xf numFmtId="0" fontId="54" fillId="61" borderId="65" applyNumberFormat="0" applyAlignment="0" applyProtection="0"/>
    <xf numFmtId="0" fontId="54" fillId="61" borderId="65" applyNumberFormat="0" applyAlignment="0" applyProtection="0"/>
    <xf numFmtId="0" fontId="54" fillId="61"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74" fillId="62"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69" borderId="66"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59" fillId="45" borderId="65" applyNumberFormat="0" applyProtection="0">
      <alignment vertical="top"/>
    </xf>
    <xf numFmtId="0" fontId="29" fillId="69" borderId="66" applyNumberFormat="0" applyProtection="0">
      <alignment vertical="top"/>
    </xf>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74" fillId="61" borderId="67"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1" borderId="65" applyNumberFormat="0" applyAlignment="0" applyProtection="0"/>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74" fillId="62"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54" fillId="62"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Protection="0">
      <alignment vertical="top"/>
    </xf>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66" borderId="65"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59" fillId="45" borderId="65" applyNumberFormat="0" applyProtection="0">
      <alignment vertical="top"/>
    </xf>
    <xf numFmtId="0" fontId="33" fillId="0" borderId="68" applyNumberFormat="0" applyFill="0" applyProtection="0">
      <alignment vertical="top"/>
    </xf>
    <xf numFmtId="0" fontId="28" fillId="69" borderId="66" applyNumberFormat="0" applyAlignment="0" applyProtection="0"/>
    <xf numFmtId="0" fontId="54" fillId="61" borderId="65" applyNumberFormat="0" applyProtection="0">
      <alignment vertical="top"/>
    </xf>
    <xf numFmtId="0" fontId="28" fillId="69" borderId="66"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74" fillId="61" borderId="67" applyNumberFormat="0" applyAlignment="0" applyProtection="0"/>
    <xf numFmtId="0" fontId="54" fillId="61" borderId="65" applyNumberFormat="0" applyAlignment="0" applyProtection="0"/>
    <xf numFmtId="0" fontId="54" fillId="61" borderId="65" applyNumberFormat="0" applyProtection="0">
      <alignment vertical="top"/>
    </xf>
    <xf numFmtId="0" fontId="59" fillId="66" borderId="65" applyNumberFormat="0" applyAlignment="0" applyProtection="0"/>
    <xf numFmtId="0" fontId="28" fillId="69" borderId="66" applyNumberFormat="0" applyAlignment="0" applyProtection="0"/>
    <xf numFmtId="0" fontId="28" fillId="69" borderId="66" applyNumberFormat="0" applyAlignment="0" applyProtection="0"/>
    <xf numFmtId="0" fontId="54" fillId="61" borderId="65" applyNumberFormat="0" applyProtection="0">
      <alignment vertical="top"/>
    </xf>
    <xf numFmtId="0" fontId="74" fillId="61" borderId="67" applyNumberFormat="0" applyProtection="0">
      <alignment vertical="top"/>
    </xf>
    <xf numFmtId="0" fontId="74" fillId="61" borderId="67" applyNumberFormat="0" applyAlignment="0" applyProtection="0"/>
    <xf numFmtId="0" fontId="74" fillId="62" borderId="67" applyNumberFormat="0" applyAlignment="0" applyProtection="0"/>
    <xf numFmtId="0" fontId="59" fillId="66"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Protection="0">
      <alignment vertical="top"/>
    </xf>
    <xf numFmtId="0" fontId="59" fillId="47"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54" fillId="62"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9" fillId="66"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59" fillId="47"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59" fillId="66" borderId="65" applyNumberFormat="0" applyAlignment="0" applyProtection="0"/>
    <xf numFmtId="0" fontId="59" fillId="47"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74" fillId="62" borderId="67" applyNumberFormat="0" applyAlignment="0" applyProtection="0"/>
    <xf numFmtId="0" fontId="74" fillId="62" borderId="67" applyNumberFormat="0" applyAlignment="0" applyProtection="0"/>
    <xf numFmtId="0" fontId="28" fillId="69" borderId="66"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74" fillId="62" borderId="67" applyNumberFormat="0" applyAlignment="0" applyProtection="0"/>
    <xf numFmtId="0" fontId="33" fillId="0" borderId="68" applyNumberFormat="0" applyFill="0" applyAlignment="0" applyProtection="0"/>
    <xf numFmtId="0" fontId="74" fillId="61" borderId="67" applyNumberFormat="0" applyAlignment="0" applyProtection="0"/>
    <xf numFmtId="0" fontId="74" fillId="62" borderId="67" applyNumberFormat="0" applyAlignment="0" applyProtection="0"/>
    <xf numFmtId="0" fontId="28" fillId="69" borderId="66" applyNumberFormat="0" applyAlignment="0" applyProtection="0"/>
    <xf numFmtId="0" fontId="33" fillId="0" borderId="68" applyNumberFormat="0" applyFill="0" applyProtection="0">
      <alignment vertical="top"/>
    </xf>
    <xf numFmtId="0" fontId="28" fillId="69" borderId="66"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74" fillId="61" borderId="67" applyNumberFormat="0" applyProtection="0">
      <alignment vertical="top"/>
    </xf>
    <xf numFmtId="0" fontId="74" fillId="62" borderId="67"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59" fillId="66"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4" fillId="61" borderId="65" applyNumberFormat="0" applyAlignment="0" applyProtection="0"/>
    <xf numFmtId="0" fontId="54" fillId="62" borderId="65" applyNumberFormat="0" applyAlignment="0" applyProtection="0"/>
    <xf numFmtId="0" fontId="28" fillId="69" borderId="66" applyNumberFormat="0" applyAlignment="0" applyProtection="0"/>
    <xf numFmtId="0" fontId="74" fillId="61" borderId="67" applyNumberFormat="0" applyProtection="0">
      <alignment vertical="top"/>
    </xf>
    <xf numFmtId="0" fontId="28" fillId="69" borderId="66" applyNumberFormat="0" applyAlignment="0" applyProtection="0"/>
    <xf numFmtId="0" fontId="28" fillId="69" borderId="66" applyNumberFormat="0" applyAlignment="0" applyProtection="0"/>
    <xf numFmtId="0" fontId="28" fillId="69" borderId="66" applyNumberFormat="0" applyAlignment="0" applyProtection="0"/>
    <xf numFmtId="0" fontId="54" fillId="61"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74" fillId="62" borderId="67" applyNumberFormat="0" applyAlignment="0" applyProtection="0"/>
    <xf numFmtId="0" fontId="28" fillId="70" borderId="66" applyNumberFormat="0" applyFont="0" applyAlignment="0" applyProtection="0"/>
    <xf numFmtId="0" fontId="59" fillId="66" borderId="65" applyNumberFormat="0" applyAlignment="0" applyProtection="0"/>
    <xf numFmtId="0" fontId="54" fillId="61" borderId="65" applyNumberFormat="0" applyAlignment="0" applyProtection="0"/>
    <xf numFmtId="0" fontId="28" fillId="69" borderId="66"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74" fillId="62" borderId="67"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74" fillId="61" borderId="67" applyNumberFormat="0" applyAlignment="0" applyProtection="0"/>
    <xf numFmtId="0" fontId="74" fillId="61" borderId="67" applyNumberFormat="0" applyProtection="0">
      <alignment vertical="top"/>
    </xf>
    <xf numFmtId="0" fontId="54" fillId="62" borderId="65" applyNumberFormat="0" applyAlignment="0" applyProtection="0"/>
    <xf numFmtId="0" fontId="59" fillId="66" borderId="65" applyNumberFormat="0" applyAlignment="0" applyProtection="0"/>
    <xf numFmtId="0" fontId="54" fillId="61" borderId="65" applyNumberFormat="0" applyAlignment="0" applyProtection="0"/>
    <xf numFmtId="0" fontId="28" fillId="69" borderId="66"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Protection="0">
      <alignment vertical="top"/>
    </xf>
    <xf numFmtId="0" fontId="74" fillId="61" borderId="67" applyNumberFormat="0" applyProtection="0">
      <alignment vertical="top"/>
    </xf>
    <xf numFmtId="0" fontId="54" fillId="61" borderId="65" applyNumberFormat="0" applyAlignment="0" applyProtection="0"/>
    <xf numFmtId="0" fontId="59" fillId="66" borderId="65"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28" fillId="70" borderId="66" applyNumberFormat="0" applyFont="0" applyAlignment="0" applyProtection="0"/>
    <xf numFmtId="0" fontId="59" fillId="66"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54" fillId="62" borderId="65" applyNumberFormat="0" applyAlignment="0" applyProtection="0"/>
    <xf numFmtId="0" fontId="74" fillId="61" borderId="67" applyNumberFormat="0" applyAlignment="0" applyProtection="0"/>
    <xf numFmtId="0" fontId="54" fillId="61"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9" fillId="47"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33" fillId="0" borderId="68" applyNumberFormat="0" applyFill="0" applyAlignment="0" applyProtection="0"/>
    <xf numFmtId="0" fontId="54" fillId="62" borderId="65" applyNumberFormat="0" applyAlignment="0" applyProtection="0"/>
    <xf numFmtId="0" fontId="59" fillId="45" borderId="65" applyNumberFormat="0" applyProtection="0">
      <alignment vertical="top"/>
    </xf>
    <xf numFmtId="0" fontId="59" fillId="66" borderId="65" applyNumberFormat="0" applyAlignment="0" applyProtection="0"/>
    <xf numFmtId="0" fontId="33" fillId="0" borderId="68" applyNumberFormat="0" applyFill="0" applyAlignment="0" applyProtection="0"/>
    <xf numFmtId="0" fontId="33" fillId="0" borderId="68" applyNumberFormat="0" applyFill="0" applyProtection="0">
      <alignment vertical="top"/>
    </xf>
    <xf numFmtId="0" fontId="59" fillId="66"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74" fillId="61" borderId="67" applyNumberFormat="0" applyAlignment="0" applyProtection="0"/>
    <xf numFmtId="0" fontId="54" fillId="62"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74" fillId="61" borderId="67" applyNumberFormat="0" applyProtection="0">
      <alignment vertical="top"/>
    </xf>
    <xf numFmtId="0" fontId="33" fillId="0" borderId="68" applyNumberFormat="0" applyFill="0" applyAlignment="0" applyProtection="0"/>
    <xf numFmtId="0" fontId="59" fillId="47"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45" borderId="65" applyNumberFormat="0" applyProtection="0">
      <alignment vertical="top"/>
    </xf>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74" fillId="62" borderId="67" applyNumberFormat="0" applyAlignment="0" applyProtection="0"/>
    <xf numFmtId="0" fontId="28" fillId="69" borderId="66" applyNumberFormat="0" applyAlignment="0" applyProtection="0"/>
    <xf numFmtId="0" fontId="74" fillId="61" borderId="67" applyNumberFormat="0" applyAlignment="0" applyProtection="0"/>
    <xf numFmtId="0" fontId="74" fillId="61" borderId="67" applyNumberFormat="0" applyAlignment="0" applyProtection="0"/>
    <xf numFmtId="0" fontId="54" fillId="61" borderId="65"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74" fillId="62" borderId="67" applyNumberFormat="0" applyAlignment="0" applyProtection="0"/>
    <xf numFmtId="0" fontId="28" fillId="69" borderId="66" applyNumberFormat="0" applyAlignment="0" applyProtection="0"/>
    <xf numFmtId="0" fontId="59" fillId="45" borderId="65" applyNumberFormat="0" applyProtection="0">
      <alignment vertical="top"/>
    </xf>
    <xf numFmtId="0" fontId="28" fillId="69" borderId="66" applyNumberFormat="0" applyAlignment="0" applyProtection="0"/>
    <xf numFmtId="0" fontId="59" fillId="47"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28" fillId="70" borderId="66" applyNumberFormat="0" applyFont="0" applyAlignment="0" applyProtection="0"/>
    <xf numFmtId="0" fontId="74" fillId="61"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28" fillId="69" borderId="66" applyNumberFormat="0" applyAlignment="0" applyProtection="0"/>
    <xf numFmtId="0" fontId="54" fillId="61"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74" fillId="62"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74" fillId="61" borderId="67" applyNumberFormat="0" applyAlignment="0" applyProtection="0"/>
    <xf numFmtId="0" fontId="54" fillId="62" borderId="65" applyNumberFormat="0" applyAlignment="0" applyProtection="0"/>
    <xf numFmtId="0" fontId="74" fillId="62"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2"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Alignment="0" applyProtection="0"/>
    <xf numFmtId="0" fontId="74" fillId="61" borderId="67" applyNumberFormat="0" applyProtection="0">
      <alignment vertical="top"/>
    </xf>
    <xf numFmtId="0" fontId="59" fillId="66"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59" fillId="45"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74" fillId="61" borderId="67" applyNumberFormat="0" applyProtection="0">
      <alignment vertical="top"/>
    </xf>
    <xf numFmtId="0" fontId="33" fillId="0" borderId="68" applyNumberFormat="0" applyFill="0" applyProtection="0">
      <alignment vertical="top"/>
    </xf>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2" borderId="67" applyNumberFormat="0" applyAlignment="0" applyProtection="0"/>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Alignment="0" applyProtection="0"/>
    <xf numFmtId="0" fontId="54" fillId="61"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54" fillId="61" borderId="65" applyNumberFormat="0" applyAlignment="0" applyProtection="0"/>
    <xf numFmtId="0" fontId="29" fillId="69" borderId="66" applyNumberFormat="0" applyProtection="0">
      <alignment vertical="top"/>
    </xf>
    <xf numFmtId="0" fontId="59" fillId="66" borderId="65" applyNumberFormat="0" applyAlignment="0" applyProtection="0"/>
    <xf numFmtId="0" fontId="29" fillId="69" borderId="66" applyNumberFormat="0" applyProtection="0">
      <alignment vertical="top"/>
    </xf>
    <xf numFmtId="0" fontId="29" fillId="69" borderId="66" applyNumberFormat="0" applyProtection="0">
      <alignment vertical="top"/>
    </xf>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74" fillId="62" borderId="67" applyNumberFormat="0" applyAlignment="0" applyProtection="0"/>
    <xf numFmtId="0" fontId="28" fillId="69" borderId="66" applyNumberFormat="0" applyAlignment="0" applyProtection="0"/>
    <xf numFmtId="0" fontId="74" fillId="61" borderId="67" applyNumberFormat="0" applyProtection="0">
      <alignment vertical="top"/>
    </xf>
    <xf numFmtId="0" fontId="59" fillId="66" borderId="65" applyNumberFormat="0" applyAlignment="0" applyProtection="0"/>
    <xf numFmtId="0" fontId="28" fillId="69" borderId="66" applyNumberFormat="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Protection="0">
      <alignment vertical="top"/>
    </xf>
    <xf numFmtId="0" fontId="74" fillId="61" borderId="67"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74" fillId="62"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74" fillId="62" borderId="67" applyNumberFormat="0" applyAlignment="0" applyProtection="0"/>
    <xf numFmtId="0" fontId="74" fillId="62" borderId="67" applyNumberFormat="0" applyAlignment="0" applyProtection="0"/>
    <xf numFmtId="0" fontId="54" fillId="62"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9" fillId="66" borderId="65" applyNumberFormat="0" applyAlignment="0" applyProtection="0"/>
    <xf numFmtId="0" fontId="54" fillId="61" borderId="65" applyNumberFormat="0" applyProtection="0">
      <alignment vertical="top"/>
    </xf>
    <xf numFmtId="0" fontId="29" fillId="69" borderId="66" applyNumberFormat="0" applyProtection="0">
      <alignment vertical="top"/>
    </xf>
    <xf numFmtId="0" fontId="28" fillId="69" borderId="66"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74" fillId="62" borderId="67" applyNumberForma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74" fillId="61" borderId="67" applyNumberFormat="0" applyAlignment="0" applyProtection="0"/>
    <xf numFmtId="0" fontId="28" fillId="69" borderId="66" applyNumberFormat="0" applyAlignment="0" applyProtection="0"/>
    <xf numFmtId="0" fontId="74" fillId="61" borderId="67"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69" borderId="66" applyNumberFormat="0" applyAlignment="0" applyProtection="0"/>
    <xf numFmtId="0" fontId="59" fillId="66" borderId="65"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2" borderId="65" applyNumberFormat="0" applyAlignment="0" applyProtection="0"/>
    <xf numFmtId="0" fontId="33" fillId="0" borderId="68" applyNumberFormat="0" applyFill="0" applyAlignment="0" applyProtection="0"/>
    <xf numFmtId="0" fontId="74" fillId="61" borderId="67"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33" fillId="0" borderId="68" applyNumberFormat="0" applyFill="0" applyAlignment="0" applyProtection="0"/>
    <xf numFmtId="0" fontId="74" fillId="61" borderId="67"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9" fillId="47" borderId="65"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9" fillId="45" borderId="65" applyNumberFormat="0" applyProtection="0">
      <alignment vertical="top"/>
    </xf>
    <xf numFmtId="0" fontId="54" fillId="61" borderId="65" applyNumberFormat="0" applyAlignment="0" applyProtection="0"/>
    <xf numFmtId="0" fontId="33" fillId="0" borderId="68" applyNumberFormat="0" applyFill="0" applyProtection="0">
      <alignment vertical="top"/>
    </xf>
    <xf numFmtId="0" fontId="59" fillId="47" borderId="65" applyNumberForma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74" fillId="61" borderId="67" applyNumberFormat="0" applyAlignment="0" applyProtection="0"/>
    <xf numFmtId="0" fontId="74" fillId="61" borderId="67" applyNumberFormat="0" applyProtection="0">
      <alignment vertical="top"/>
    </xf>
    <xf numFmtId="0" fontId="54" fillId="61" borderId="65" applyNumberFormat="0" applyProtection="0">
      <alignment vertical="top"/>
    </xf>
    <xf numFmtId="0" fontId="28" fillId="69" borderId="66" applyNumberFormat="0" applyAlignment="0" applyProtection="0"/>
    <xf numFmtId="0" fontId="28" fillId="69" borderId="66" applyNumberFormat="0" applyAlignment="0" applyProtection="0"/>
    <xf numFmtId="0" fontId="59" fillId="66" borderId="65" applyNumberFormat="0" applyAlignment="0" applyProtection="0"/>
    <xf numFmtId="0" fontId="54" fillId="61" borderId="65" applyNumberFormat="0" applyProtection="0">
      <alignment vertical="top"/>
    </xf>
    <xf numFmtId="0" fontId="54" fillId="61"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54" fillId="62" borderId="65"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54" fillId="62" borderId="65" applyNumberFormat="0" applyAlignment="0" applyProtection="0"/>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54" fillId="62" borderId="65" applyNumberFormat="0" applyAlignment="0" applyProtection="0"/>
    <xf numFmtId="0" fontId="59" fillId="47"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74" fillId="61" borderId="67" applyNumberForma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33" fillId="0" borderId="68" applyNumberFormat="0" applyFill="0" applyProtection="0">
      <alignment vertical="top"/>
    </xf>
    <xf numFmtId="0" fontId="29" fillId="69" borderId="66" applyNumberFormat="0" applyProtection="0">
      <alignment vertical="top"/>
    </xf>
    <xf numFmtId="0" fontId="54" fillId="61"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Protection="0">
      <alignment vertical="top"/>
    </xf>
    <xf numFmtId="0" fontId="54" fillId="61"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59" fillId="47" borderId="65" applyNumberFormat="0" applyAlignment="0" applyProtection="0"/>
    <xf numFmtId="0" fontId="74" fillId="61" borderId="67" applyNumberFormat="0" applyAlignment="0" applyProtection="0"/>
    <xf numFmtId="0" fontId="59" fillId="47" borderId="65"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28" fillId="69" borderId="66"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74" fillId="61" borderId="67" applyNumberFormat="0" applyAlignment="0" applyProtection="0"/>
    <xf numFmtId="0" fontId="59" fillId="47"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2" borderId="67"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Protection="0">
      <alignment vertical="top"/>
    </xf>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29" fillId="69" borderId="66" applyNumberFormat="0" applyProtection="0">
      <alignment vertical="top"/>
    </xf>
    <xf numFmtId="0" fontId="74" fillId="62" borderId="67" applyNumberFormat="0" applyAlignment="0" applyProtection="0"/>
    <xf numFmtId="0" fontId="59" fillId="47" borderId="65" applyNumberFormat="0" applyAlignment="0" applyProtection="0"/>
    <xf numFmtId="0" fontId="28" fillId="69" borderId="66"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69" borderId="66" applyNumberFormat="0" applyAlignment="0" applyProtection="0"/>
    <xf numFmtId="0" fontId="74" fillId="62"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54" fillId="62" borderId="65" applyNumberFormat="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Alignment="0" applyProtection="0"/>
    <xf numFmtId="0" fontId="29" fillId="69" borderId="66"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28" fillId="69" borderId="66" applyNumberFormat="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54" fillId="61" borderId="65"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74" fillId="61" borderId="67"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74" fillId="62" borderId="67" applyNumberFormat="0" applyAlignment="0" applyProtection="0"/>
    <xf numFmtId="0" fontId="28" fillId="69" borderId="66" applyNumberFormat="0" applyAlignment="0" applyProtection="0"/>
    <xf numFmtId="0" fontId="59" fillId="66" borderId="65"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74" fillId="61"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74" fillId="62" borderId="67" applyNumberFormat="0" applyAlignment="0" applyProtection="0"/>
    <xf numFmtId="0" fontId="54" fillId="62"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54" fillId="62" borderId="65" applyNumberFormat="0" applyAlignment="0" applyProtection="0"/>
    <xf numFmtId="0" fontId="59" fillId="47" borderId="65" applyNumberFormat="0" applyAlignment="0" applyProtection="0"/>
    <xf numFmtId="0" fontId="59" fillId="66"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33" fillId="0" borderId="68" applyNumberFormat="0" applyFill="0" applyProtection="0">
      <alignment vertical="top"/>
    </xf>
    <xf numFmtId="0" fontId="29" fillId="69" borderId="66" applyNumberFormat="0" applyProtection="0">
      <alignment vertical="top"/>
    </xf>
    <xf numFmtId="0" fontId="54" fillId="61"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Protection="0">
      <alignment vertical="top"/>
    </xf>
    <xf numFmtId="0" fontId="54" fillId="61"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59" fillId="47" borderId="65" applyNumberFormat="0" applyAlignment="0" applyProtection="0"/>
    <xf numFmtId="0" fontId="74" fillId="61" borderId="67" applyNumberFormat="0" applyAlignment="0" applyProtection="0"/>
    <xf numFmtId="0" fontId="59" fillId="47" borderId="65"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28" fillId="69" borderId="66"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74" fillId="61" borderId="67" applyNumberFormat="0" applyAlignment="0" applyProtection="0"/>
    <xf numFmtId="0" fontId="59" fillId="47"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2" borderId="67"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Protection="0">
      <alignment vertical="top"/>
    </xf>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29" fillId="69" borderId="66" applyNumberFormat="0" applyProtection="0">
      <alignment vertical="top"/>
    </xf>
    <xf numFmtId="0" fontId="74" fillId="62" borderId="67" applyNumberFormat="0" applyAlignment="0" applyProtection="0"/>
    <xf numFmtId="0" fontId="59" fillId="47" borderId="65" applyNumberFormat="0" applyAlignment="0" applyProtection="0"/>
    <xf numFmtId="0" fontId="28" fillId="69" borderId="66"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69" borderId="66" applyNumberFormat="0" applyAlignment="0" applyProtection="0"/>
    <xf numFmtId="0" fontId="74" fillId="62"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54" fillId="62" borderId="65" applyNumberFormat="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Alignment="0" applyProtection="0"/>
    <xf numFmtId="0" fontId="29" fillId="69" borderId="66"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28" fillId="69" borderId="66" applyNumberFormat="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54" fillId="61" borderId="65"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74" fillId="62" borderId="67" applyNumberFormat="0" applyAlignment="0" applyProtection="0"/>
    <xf numFmtId="0" fontId="54" fillId="62"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9" fillId="45"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54" fillId="62" borderId="65"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54" fillId="62" borderId="65" applyNumberFormat="0" applyAlignment="0" applyProtection="0"/>
    <xf numFmtId="0" fontId="59" fillId="47" borderId="65" applyNumberFormat="0" applyAlignment="0" applyProtection="0"/>
    <xf numFmtId="0" fontId="59" fillId="66"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74" fillId="61" borderId="67" applyNumberFormat="0" applyProtection="0">
      <alignment vertical="top"/>
    </xf>
    <xf numFmtId="0" fontId="29" fillId="69" borderId="66" applyNumberFormat="0" applyProtection="0">
      <alignment vertical="top"/>
    </xf>
    <xf numFmtId="0" fontId="59" fillId="45" borderId="65" applyNumberFormat="0" applyProtection="0">
      <alignment vertical="top"/>
    </xf>
    <xf numFmtId="0" fontId="29" fillId="69" borderId="66" applyNumberFormat="0" applyProtection="0">
      <alignment vertical="top"/>
    </xf>
    <xf numFmtId="0" fontId="28" fillId="69" borderId="66" applyNumberFormat="0" applyAlignment="0" applyProtection="0"/>
    <xf numFmtId="0" fontId="54" fillId="61" borderId="65" applyNumberFormat="0" applyAlignment="0" applyProtection="0"/>
    <xf numFmtId="0" fontId="28" fillId="69" borderId="66" applyNumberFormat="0" applyAlignment="0" applyProtection="0"/>
    <xf numFmtId="0" fontId="29" fillId="69" borderId="66" applyNumberFormat="0" applyProtection="0">
      <alignment vertical="top"/>
    </xf>
    <xf numFmtId="0" fontId="28" fillId="69" borderId="66" applyNumberFormat="0" applyAlignment="0" applyProtection="0"/>
    <xf numFmtId="0" fontId="59" fillId="66" borderId="65" applyNumberFormat="0" applyAlignment="0" applyProtection="0"/>
    <xf numFmtId="0" fontId="74" fillId="61" borderId="67" applyNumberFormat="0" applyProtection="0">
      <alignment vertical="top"/>
    </xf>
    <xf numFmtId="0" fontId="59" fillId="47" borderId="65"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28" fillId="70" borderId="66" applyNumberFormat="0" applyFont="0" applyAlignment="0" applyProtection="0"/>
    <xf numFmtId="0" fontId="74" fillId="61" borderId="67" applyNumberFormat="0" applyAlignment="0" applyProtection="0"/>
    <xf numFmtId="0" fontId="29" fillId="69" borderId="66" applyNumberFormat="0" applyProtection="0">
      <alignment vertical="top"/>
    </xf>
    <xf numFmtId="0" fontId="74" fillId="62" borderId="67" applyNumberFormat="0" applyAlignment="0" applyProtection="0"/>
    <xf numFmtId="0" fontId="74" fillId="61" borderId="67" applyNumberFormat="0" applyAlignment="0" applyProtection="0"/>
    <xf numFmtId="0" fontId="59" fillId="47" borderId="65" applyNumberFormat="0" applyAlignment="0" applyProtection="0"/>
    <xf numFmtId="0" fontId="74" fillId="61" borderId="67" applyNumberFormat="0" applyAlignment="0" applyProtection="0"/>
    <xf numFmtId="0" fontId="28" fillId="69" borderId="66" applyNumberForma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59" fillId="66" borderId="65" applyNumberFormat="0" applyAlignment="0" applyProtection="0"/>
    <xf numFmtId="0" fontId="28" fillId="70" borderId="66" applyNumberFormat="0" applyFont="0" applyAlignment="0" applyProtection="0"/>
    <xf numFmtId="0" fontId="59" fillId="47" borderId="65" applyNumberFormat="0" applyAlignment="0" applyProtection="0"/>
    <xf numFmtId="0" fontId="74" fillId="61" borderId="67"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Alignment="0" applyProtection="0"/>
    <xf numFmtId="0" fontId="28" fillId="70" borderId="66" applyNumberFormat="0" applyFont="0" applyAlignment="0" applyProtection="0"/>
    <xf numFmtId="0" fontId="59" fillId="66" borderId="65"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54" fillId="61" borderId="65" applyNumberFormat="0" applyAlignment="0" applyProtection="0"/>
    <xf numFmtId="0" fontId="54" fillId="61"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54" fillId="61" borderId="65" applyNumberFormat="0" applyProtection="0">
      <alignment vertical="top"/>
    </xf>
    <xf numFmtId="0" fontId="74" fillId="61" borderId="67" applyNumberFormat="0" applyProtection="0">
      <alignment vertical="top"/>
    </xf>
    <xf numFmtId="0" fontId="59" fillId="45" borderId="65" applyNumberFormat="0" applyProtection="0">
      <alignment vertical="top"/>
    </xf>
    <xf numFmtId="0" fontId="59" fillId="45" borderId="65" applyNumberFormat="0" applyProtection="0">
      <alignment vertical="top"/>
    </xf>
    <xf numFmtId="0" fontId="28" fillId="69" borderId="66" applyNumberFormat="0" applyAlignment="0" applyProtection="0"/>
    <xf numFmtId="0" fontId="59" fillId="47" borderId="65" applyNumberFormat="0" applyAlignment="0" applyProtection="0"/>
    <xf numFmtId="0" fontId="28" fillId="69" borderId="66"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Protection="0">
      <alignment vertical="top"/>
    </xf>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Protection="0">
      <alignment vertical="top"/>
    </xf>
    <xf numFmtId="0" fontId="74" fillId="62" borderId="67"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74" fillId="61" borderId="67" applyNumberFormat="0" applyAlignment="0" applyProtection="0"/>
    <xf numFmtId="0" fontId="28" fillId="70" borderId="66" applyNumberFormat="0" applyFont="0" applyAlignment="0" applyProtection="0"/>
    <xf numFmtId="0" fontId="74" fillId="61" borderId="67" applyNumberFormat="0" applyAlignment="0" applyProtection="0"/>
    <xf numFmtId="0" fontId="74" fillId="61" borderId="67" applyNumberFormat="0" applyAlignment="0" applyProtection="0"/>
    <xf numFmtId="0" fontId="59" fillId="47" borderId="65" applyNumberFormat="0" applyAlignment="0" applyProtection="0"/>
    <xf numFmtId="0" fontId="59" fillId="66" borderId="65"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33" fillId="0" borderId="68" applyNumberFormat="0" applyFill="0" applyAlignment="0" applyProtection="0"/>
    <xf numFmtId="0" fontId="29" fillId="69" borderId="66" applyNumberFormat="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59" fillId="47"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54" fillId="61" borderId="65" applyNumberFormat="0" applyProtection="0">
      <alignment vertical="top"/>
    </xf>
    <xf numFmtId="0" fontId="33" fillId="0" borderId="68" applyNumberFormat="0" applyFill="0" applyAlignment="0" applyProtection="0"/>
    <xf numFmtId="0" fontId="54" fillId="61" borderId="65" applyNumberFormat="0" applyAlignment="0" applyProtection="0"/>
    <xf numFmtId="0" fontId="59" fillId="47"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70" borderId="66" applyNumberFormat="0" applyFont="0" applyAlignment="0" applyProtection="0"/>
    <xf numFmtId="0" fontId="59" fillId="66" borderId="65"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74" fillId="61" borderId="67" applyNumberFormat="0" applyAlignment="0" applyProtection="0"/>
    <xf numFmtId="0" fontId="33" fillId="0" borderId="68" applyNumberFormat="0" applyFill="0" applyAlignment="0" applyProtection="0"/>
    <xf numFmtId="0" fontId="29" fillId="69" borderId="66" applyNumberFormat="0" applyProtection="0">
      <alignment vertical="top"/>
    </xf>
    <xf numFmtId="0" fontId="28" fillId="69" borderId="66" applyNumberFormat="0" applyAlignment="0" applyProtection="0"/>
    <xf numFmtId="0" fontId="59" fillId="45"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33" fillId="0" borderId="68" applyNumberFormat="0" applyFill="0" applyAlignment="0" applyProtection="0"/>
    <xf numFmtId="0" fontId="74" fillId="61"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74" fillId="61" borderId="67" applyNumberFormat="0" applyAlignment="0" applyProtection="0"/>
    <xf numFmtId="0" fontId="54" fillId="61"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74" fillId="61" borderId="67" applyNumberFormat="0" applyAlignment="0" applyProtection="0"/>
    <xf numFmtId="0" fontId="33" fillId="0" borderId="68" applyNumberFormat="0" applyFill="0" applyAlignment="0" applyProtection="0"/>
    <xf numFmtId="0" fontId="59" fillId="66"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33" fillId="0" borderId="68" applyNumberFormat="0" applyFill="0" applyAlignment="0" applyProtection="0"/>
    <xf numFmtId="0" fontId="54" fillId="62" borderId="65" applyNumberFormat="0" applyAlignment="0" applyProtection="0"/>
    <xf numFmtId="0" fontId="54" fillId="61" borderId="65" applyNumberFormat="0" applyAlignment="0" applyProtection="0"/>
    <xf numFmtId="0" fontId="59" fillId="47"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54" fillId="62" borderId="65" applyNumberFormat="0" applyAlignment="0" applyProtection="0"/>
    <xf numFmtId="0" fontId="74" fillId="62" borderId="67"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4" fillId="62" borderId="65" applyNumberFormat="0" applyAlignment="0" applyProtection="0"/>
    <xf numFmtId="0" fontId="74" fillId="61" borderId="67" applyNumberFormat="0" applyProtection="0">
      <alignment vertical="top"/>
    </xf>
    <xf numFmtId="0" fontId="54" fillId="61" borderId="65" applyNumberFormat="0" applyAlignment="0" applyProtection="0"/>
    <xf numFmtId="0" fontId="59" fillId="47" borderId="65" applyNumberFormat="0" applyAlignment="0" applyProtection="0"/>
    <xf numFmtId="0" fontId="59" fillId="66" borderId="65"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54" fillId="61" borderId="65" applyNumberFormat="0" applyAlignment="0" applyProtection="0"/>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66" borderId="65" applyNumberFormat="0" applyAlignment="0" applyProtection="0"/>
    <xf numFmtId="0" fontId="33" fillId="0" borderId="68" applyNumberFormat="0" applyFill="0" applyAlignment="0" applyProtection="0"/>
    <xf numFmtId="0" fontId="59" fillId="47" borderId="65" applyNumberFormat="0" applyAlignment="0" applyProtection="0"/>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59" fillId="47" borderId="65" applyNumberFormat="0" applyAlignment="0" applyProtection="0"/>
    <xf numFmtId="0" fontId="54" fillId="62" borderId="65"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9" fillId="47"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4" fillId="61" borderId="65" applyNumberFormat="0" applyAlignment="0" applyProtection="0"/>
    <xf numFmtId="0" fontId="59" fillId="47"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2" borderId="67"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4" fillId="62"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9" fillId="69" borderId="66" applyNumberFormat="0" applyProtection="0">
      <alignment vertical="top"/>
    </xf>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2" borderId="67"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9" fillId="66"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28" fillId="69" borderId="66"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59" fillId="45" borderId="65" applyNumberFormat="0" applyProtection="0">
      <alignment vertical="top"/>
    </xf>
    <xf numFmtId="0" fontId="28" fillId="69" borderId="66"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59" fillId="45" borderId="65" applyNumberFormat="0" applyProtection="0">
      <alignment vertical="top"/>
    </xf>
    <xf numFmtId="0" fontId="28" fillId="70" borderId="66" applyNumberFormat="0" applyFont="0" applyAlignment="0" applyProtection="0"/>
    <xf numFmtId="0" fontId="74" fillId="62" borderId="67" applyNumberFormat="0" applyAlignment="0" applyProtection="0"/>
    <xf numFmtId="0" fontId="54" fillId="61"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54" fillId="62"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59" fillId="66"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54" fillId="61" borderId="65" applyNumberFormat="0" applyAlignment="0" applyProtection="0"/>
    <xf numFmtId="0" fontId="54" fillId="62" borderId="65" applyNumberFormat="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Alignment="0" applyProtection="0"/>
    <xf numFmtId="0" fontId="59" fillId="47"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Alignment="0" applyProtection="0"/>
    <xf numFmtId="0" fontId="28" fillId="69" borderId="66" applyNumberFormat="0" applyAlignment="0" applyProtection="0"/>
    <xf numFmtId="0" fontId="59" fillId="47" borderId="65" applyNumberFormat="0" applyAlignment="0" applyProtection="0"/>
    <xf numFmtId="0" fontId="74" fillId="62" borderId="67" applyNumberFormat="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74" fillId="61" borderId="67" applyNumberFormat="0" applyAlignment="0" applyProtection="0"/>
    <xf numFmtId="0" fontId="33" fillId="0" borderId="68" applyNumberFormat="0" applyFill="0" applyAlignment="0" applyProtection="0"/>
    <xf numFmtId="0" fontId="74" fillId="61" borderId="67" applyNumberFormat="0" applyAlignment="0" applyProtection="0"/>
    <xf numFmtId="0" fontId="54" fillId="61" borderId="65" applyNumberFormat="0" applyProtection="0">
      <alignment vertical="top"/>
    </xf>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Protection="0">
      <alignment vertical="top"/>
    </xf>
    <xf numFmtId="0" fontId="33" fillId="0" borderId="68" applyNumberFormat="0" applyFill="0" applyAlignment="0" applyProtection="0"/>
    <xf numFmtId="0" fontId="33" fillId="0" borderId="68" applyNumberFormat="0" applyFill="0" applyAlignment="0" applyProtection="0"/>
    <xf numFmtId="0" fontId="74" fillId="61" borderId="67" applyNumberFormat="0" applyAlignment="0" applyProtection="0"/>
    <xf numFmtId="0" fontId="54" fillId="62" borderId="65" applyNumberFormat="0" applyAlignment="0" applyProtection="0"/>
    <xf numFmtId="0" fontId="28" fillId="69" borderId="66" applyNumberFormat="0" applyAlignment="0" applyProtection="0"/>
    <xf numFmtId="0" fontId="74" fillId="62" borderId="67" applyNumberFormat="0" applyAlignment="0" applyProtection="0"/>
    <xf numFmtId="0" fontId="59" fillId="45" borderId="65" applyNumberFormat="0" applyProtection="0">
      <alignment vertical="top"/>
    </xf>
    <xf numFmtId="0" fontId="59" fillId="66" borderId="65" applyNumberFormat="0" applyAlignment="0" applyProtection="0"/>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66" borderId="65"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47" borderId="65" applyNumberFormat="0" applyAlignment="0" applyProtection="0"/>
    <xf numFmtId="0" fontId="74" fillId="61" borderId="67" applyNumberFormat="0" applyAlignment="0" applyProtection="0"/>
    <xf numFmtId="0" fontId="59" fillId="47" borderId="65" applyNumberFormat="0" applyAlignment="0" applyProtection="0"/>
    <xf numFmtId="0" fontId="74" fillId="61" borderId="67" applyNumberFormat="0" applyAlignment="0" applyProtection="0"/>
    <xf numFmtId="0" fontId="54" fillId="61"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74" fillId="61" borderId="67" applyNumberFormat="0" applyProtection="0">
      <alignment vertical="top"/>
    </xf>
    <xf numFmtId="0" fontId="54" fillId="61"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2"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54" fillId="61" borderId="65" applyNumberFormat="0" applyAlignment="0" applyProtection="0"/>
    <xf numFmtId="0" fontId="59" fillId="47"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59" fillId="66" borderId="65" applyNumberFormat="0" applyAlignment="0" applyProtection="0"/>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29" fillId="69" borderId="66" applyNumberFormat="0" applyProtection="0">
      <alignment vertical="top"/>
    </xf>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9" fillId="69" borderId="66" applyNumberFormat="0" applyProtection="0">
      <alignment vertical="top"/>
    </xf>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1" borderId="67" applyNumberFormat="0" applyAlignment="0" applyProtection="0"/>
    <xf numFmtId="0" fontId="33" fillId="0" borderId="68" applyNumberFormat="0" applyFill="0" applyAlignment="0" applyProtection="0"/>
    <xf numFmtId="0" fontId="33" fillId="0" borderId="68" applyNumberFormat="0" applyFill="0" applyProtection="0">
      <alignment vertical="top"/>
    </xf>
    <xf numFmtId="0" fontId="54" fillId="62"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9" fillId="66" borderId="65" applyNumberFormat="0" applyAlignment="0" applyProtection="0"/>
    <xf numFmtId="0" fontId="54" fillId="61" borderId="65" applyNumberFormat="0" applyAlignment="0" applyProtection="0"/>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9" fillId="69" borderId="66" applyNumberFormat="0" applyProtection="0">
      <alignment vertical="top"/>
    </xf>
    <xf numFmtId="0" fontId="74" fillId="61" borderId="67" applyNumberFormat="0" applyAlignment="0" applyProtection="0"/>
    <xf numFmtId="0" fontId="33" fillId="0" borderId="68" applyNumberFormat="0" applyFill="0" applyAlignment="0" applyProtection="0"/>
    <xf numFmtId="0" fontId="59" fillId="66" borderId="65" applyNumberFormat="0" applyAlignment="0" applyProtection="0"/>
    <xf numFmtId="0" fontId="59" fillId="45"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1" borderId="65" applyNumberFormat="0" applyAlignment="0" applyProtection="0"/>
    <xf numFmtId="0" fontId="59" fillId="45" borderId="65" applyNumberFormat="0" applyProtection="0">
      <alignment vertical="top"/>
    </xf>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9" fillId="69" borderId="66" applyNumberFormat="0" applyProtection="0">
      <alignment vertical="top"/>
    </xf>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Protection="0">
      <alignment vertical="top"/>
    </xf>
    <xf numFmtId="0" fontId="59" fillId="66" borderId="65"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54" fillId="62" borderId="65" applyNumberFormat="0" applyAlignment="0" applyProtection="0"/>
    <xf numFmtId="0" fontId="28" fillId="69" borderId="66" applyNumberFormat="0" applyAlignment="0" applyProtection="0"/>
    <xf numFmtId="0" fontId="74" fillId="62" borderId="67" applyNumberFormat="0" applyAlignment="0" applyProtection="0"/>
    <xf numFmtId="0" fontId="28" fillId="70" borderId="66" applyNumberFormat="0" applyFont="0" applyAlignment="0" applyProtection="0"/>
    <xf numFmtId="0" fontId="59" fillId="66" borderId="65" applyNumberFormat="0" applyAlignment="0" applyProtection="0"/>
    <xf numFmtId="0" fontId="28" fillId="70" borderId="66" applyNumberFormat="0" applyFont="0" applyAlignment="0" applyProtection="0"/>
    <xf numFmtId="0" fontId="59" fillId="47" borderId="65"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54" fillId="62"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59" fillId="66"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54" fillId="61" borderId="65" applyNumberFormat="0" applyAlignment="0" applyProtection="0"/>
    <xf numFmtId="0" fontId="54" fillId="62" borderId="65" applyNumberFormat="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Alignment="0" applyProtection="0"/>
    <xf numFmtId="0" fontId="59" fillId="47" borderId="65" applyNumberFormat="0" applyAlignment="0" applyProtection="0"/>
    <xf numFmtId="0" fontId="74" fillId="62"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Alignment="0" applyProtection="0"/>
    <xf numFmtId="0" fontId="28" fillId="69" borderId="66" applyNumberFormat="0" applyAlignment="0" applyProtection="0"/>
    <xf numFmtId="0" fontId="59" fillId="47" borderId="65" applyNumberFormat="0" applyAlignment="0" applyProtection="0"/>
    <xf numFmtId="0" fontId="74" fillId="62" borderId="67" applyNumberFormat="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33" fillId="0" borderId="68" applyNumberFormat="0" applyFill="0" applyAlignment="0" applyProtection="0"/>
    <xf numFmtId="0" fontId="74" fillId="61" borderId="67" applyNumberFormat="0" applyAlignment="0" applyProtection="0"/>
    <xf numFmtId="0" fontId="54" fillId="62"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47" borderId="65" applyNumberFormat="0" applyAlignment="0" applyProtection="0"/>
    <xf numFmtId="0" fontId="28" fillId="69" borderId="66"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74" fillId="62" borderId="67" applyNumberFormat="0" applyAlignment="0" applyProtection="0"/>
    <xf numFmtId="0" fontId="59" fillId="45" borderId="65" applyNumberFormat="0" applyProtection="0">
      <alignment vertical="top"/>
    </xf>
    <xf numFmtId="0" fontId="59" fillId="66" borderId="65" applyNumberFormat="0" applyAlignment="0" applyProtection="0"/>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74" fillId="61" borderId="67" applyNumberFormat="0" applyProtection="0">
      <alignment vertical="top"/>
    </xf>
    <xf numFmtId="0" fontId="74" fillId="61" borderId="67"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74" fillId="61" borderId="67" applyNumberFormat="0" applyAlignment="0" applyProtection="0"/>
    <xf numFmtId="0" fontId="59" fillId="47" borderId="65" applyNumberFormat="0" applyAlignment="0" applyProtection="0"/>
    <xf numFmtId="0" fontId="74" fillId="61" borderId="67" applyNumberFormat="0" applyAlignment="0" applyProtection="0"/>
    <xf numFmtId="0" fontId="54" fillId="61"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74" fillId="61" borderId="67" applyNumberFormat="0" applyProtection="0">
      <alignment vertical="top"/>
    </xf>
    <xf numFmtId="0" fontId="54" fillId="61"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54" fillId="62" borderId="65" applyNumberFormat="0" applyAlignment="0" applyProtection="0"/>
    <xf numFmtId="0" fontId="33" fillId="0" borderId="68" applyNumberFormat="0" applyFill="0" applyAlignment="0" applyProtection="0"/>
    <xf numFmtId="0" fontId="54" fillId="61" borderId="65" applyNumberFormat="0" applyAlignment="0" applyProtection="0"/>
    <xf numFmtId="0" fontId="59" fillId="47"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9" fillId="45" borderId="65" applyNumberFormat="0" applyProtection="0">
      <alignment vertical="top"/>
    </xf>
    <xf numFmtId="0" fontId="74" fillId="61" borderId="67" applyNumberFormat="0" applyAlignment="0" applyProtection="0"/>
    <xf numFmtId="0" fontId="29" fillId="69" borderId="66" applyNumberFormat="0" applyProtection="0">
      <alignment vertical="top"/>
    </xf>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4" fillId="62"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Alignment="0" applyProtection="0"/>
    <xf numFmtId="0" fontId="59" fillId="66"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28" fillId="69" borderId="66"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54" fillId="61"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74" fillId="61" borderId="67" applyNumberFormat="0" applyAlignment="0" applyProtection="0"/>
    <xf numFmtId="0" fontId="28" fillId="69" borderId="66"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28" fillId="70" borderId="66" applyNumberFormat="0" applyFont="0" applyAlignment="0" applyProtection="0"/>
    <xf numFmtId="0" fontId="59" fillId="66" borderId="65" applyNumberFormat="0" applyAlignment="0" applyProtection="0"/>
    <xf numFmtId="0" fontId="33" fillId="0" borderId="68" applyNumberFormat="0" applyFill="0" applyProtection="0">
      <alignment vertical="top"/>
    </xf>
    <xf numFmtId="0" fontId="59" fillId="47" borderId="65" applyNumberFormat="0" applyAlignment="0" applyProtection="0"/>
    <xf numFmtId="0" fontId="28" fillId="69" borderId="66" applyNumberFormat="0" applyAlignment="0" applyProtection="0"/>
    <xf numFmtId="0" fontId="54" fillId="62" borderId="65"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54" fillId="62" borderId="65" applyNumberFormat="0" applyAlignment="0" applyProtection="0"/>
    <xf numFmtId="0" fontId="59" fillId="66" borderId="65"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54" fillId="62"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74" fillId="61"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59" fillId="66"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54" fillId="61" borderId="65" applyNumberFormat="0" applyAlignment="0" applyProtection="0"/>
    <xf numFmtId="0" fontId="54" fillId="62" borderId="65" applyNumberFormat="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Alignment="0" applyProtection="0"/>
    <xf numFmtId="0" fontId="59" fillId="47" borderId="65" applyNumberFormat="0" applyAlignment="0" applyProtection="0"/>
    <xf numFmtId="0" fontId="74" fillId="62" borderId="67" applyNumberFormat="0" applyAlignment="0" applyProtection="0"/>
    <xf numFmtId="0" fontId="59" fillId="66"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Alignment="0" applyProtection="0"/>
    <xf numFmtId="0" fontId="54" fillId="61" borderId="65" applyNumberFormat="0" applyAlignment="0" applyProtection="0"/>
    <xf numFmtId="0" fontId="59" fillId="47" borderId="65" applyNumberFormat="0" applyAlignment="0" applyProtection="0"/>
    <xf numFmtId="0" fontId="74" fillId="62" borderId="67" applyNumberFormat="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70" borderId="66" applyNumberFormat="0" applyFon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54" fillId="61" borderId="65" applyNumberFormat="0" applyAlignment="0" applyProtection="0"/>
    <xf numFmtId="0" fontId="28" fillId="69" borderId="66" applyNumberFormat="0" applyAlignment="0" applyProtection="0"/>
    <xf numFmtId="0" fontId="33" fillId="0" borderId="68" applyNumberFormat="0" applyFill="0" applyProtection="0">
      <alignment vertical="top"/>
    </xf>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74" fillId="62" borderId="67" applyNumberFormat="0" applyAlignment="0" applyProtection="0"/>
    <xf numFmtId="0" fontId="59" fillId="45" borderId="65" applyNumberFormat="0" applyProtection="0">
      <alignment vertical="top"/>
    </xf>
    <xf numFmtId="0" fontId="59" fillId="66" borderId="65" applyNumberFormat="0" applyAlignment="0" applyProtection="0"/>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33" fillId="0" borderId="68" applyNumberFormat="0" applyFill="0" applyProtection="0">
      <alignment vertical="top"/>
    </xf>
    <xf numFmtId="0" fontId="74" fillId="61" borderId="67" applyNumberFormat="0" applyProtection="0">
      <alignment vertical="top"/>
    </xf>
    <xf numFmtId="0" fontId="54" fillId="61" borderId="65" applyNumberFormat="0" applyProtection="0">
      <alignment vertical="top"/>
    </xf>
    <xf numFmtId="0" fontId="59" fillId="47" borderId="65" applyNumberFormat="0" applyAlignment="0" applyProtection="0"/>
    <xf numFmtId="0" fontId="74" fillId="61" borderId="67" applyNumberFormat="0" applyAlignment="0" applyProtection="0"/>
    <xf numFmtId="0" fontId="59" fillId="47" borderId="65" applyNumberFormat="0" applyAlignment="0" applyProtection="0"/>
    <xf numFmtId="0" fontId="74" fillId="61" borderId="67" applyNumberFormat="0" applyAlignment="0" applyProtection="0"/>
    <xf numFmtId="0" fontId="54" fillId="61"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74" fillId="61" borderId="67" applyNumberFormat="0" applyProtection="0">
      <alignment vertical="top"/>
    </xf>
    <xf numFmtId="0" fontId="54" fillId="61"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69" borderId="66" applyNumberFormat="0" applyAlignment="0" applyProtection="0"/>
    <xf numFmtId="0" fontId="74" fillId="61" borderId="67" applyNumberFormat="0" applyAlignment="0" applyProtection="0"/>
    <xf numFmtId="0" fontId="74" fillId="61" borderId="67" applyNumberFormat="0" applyProtection="0">
      <alignment vertical="top"/>
    </xf>
    <xf numFmtId="0" fontId="33" fillId="0" borderId="68" applyNumberFormat="0" applyFill="0" applyAlignment="0" applyProtection="0"/>
    <xf numFmtId="0" fontId="54" fillId="61" borderId="65" applyNumberFormat="0" applyAlignment="0" applyProtection="0"/>
    <xf numFmtId="0" fontId="59" fillId="47"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54" fillId="61" borderId="65" applyNumberFormat="0" applyAlignment="0" applyProtection="0"/>
    <xf numFmtId="0" fontId="29" fillId="69" borderId="66" applyNumberFormat="0" applyProtection="0">
      <alignment vertical="top"/>
    </xf>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74" fillId="61" borderId="67" applyNumberFormat="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74" fillId="61" borderId="67" applyNumberFormat="0" applyProtection="0">
      <alignment vertical="top"/>
    </xf>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4" fillId="62"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4" fillId="62"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Protection="0">
      <alignment vertical="top"/>
    </xf>
    <xf numFmtId="0" fontId="28" fillId="70" borderId="66" applyNumberFormat="0" applyFont="0" applyAlignment="0" applyProtection="0"/>
    <xf numFmtId="0" fontId="54" fillId="61" borderId="65" applyNumberFormat="0" applyProtection="0">
      <alignment vertical="top"/>
    </xf>
    <xf numFmtId="0" fontId="59" fillId="45" borderId="65" applyNumberFormat="0" applyProtection="0">
      <alignment vertical="top"/>
    </xf>
    <xf numFmtId="0" fontId="74" fillId="61" borderId="67" applyNumberFormat="0" applyAlignment="0" applyProtection="0"/>
    <xf numFmtId="0" fontId="74" fillId="61" borderId="67" applyNumberFormat="0" applyProtection="0">
      <alignment vertical="top"/>
    </xf>
    <xf numFmtId="0" fontId="59" fillId="47"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54" fillId="61" borderId="65" applyNumberFormat="0" applyProtection="0">
      <alignment vertical="top"/>
    </xf>
    <xf numFmtId="0" fontId="54" fillId="62" borderId="65" applyNumberFormat="0" applyAlignment="0" applyProtection="0"/>
    <xf numFmtId="0" fontId="29" fillId="69" borderId="66" applyNumberFormat="0" applyProtection="0">
      <alignment vertical="top"/>
    </xf>
    <xf numFmtId="0" fontId="29" fillId="69" borderId="66" applyNumberFormat="0" applyProtection="0">
      <alignment vertical="top"/>
    </xf>
    <xf numFmtId="0" fontId="54" fillId="62" borderId="65" applyNumberFormat="0" applyAlignment="0" applyProtection="0"/>
    <xf numFmtId="0" fontId="74" fillId="61"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28" fillId="69" borderId="66" applyNumberFormat="0" applyAlignment="0" applyProtection="0"/>
    <xf numFmtId="0" fontId="59" fillId="66" borderId="65"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74" fillId="62" borderId="67" applyNumberFormat="0" applyAlignment="0" applyProtection="0"/>
    <xf numFmtId="0" fontId="54" fillId="62"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74" fillId="61"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59" fillId="66" borderId="65" applyNumberFormat="0" applyAlignment="0" applyProtection="0"/>
    <xf numFmtId="0" fontId="29" fillId="69" borderId="66"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54" fillId="61" borderId="65" applyNumberFormat="0" applyAlignment="0" applyProtection="0"/>
    <xf numFmtId="0" fontId="54" fillId="62" borderId="65" applyNumberFormat="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Alignment="0" applyProtection="0"/>
    <xf numFmtId="0" fontId="59" fillId="47" borderId="65" applyNumberFormat="0" applyAlignment="0" applyProtection="0"/>
    <xf numFmtId="0" fontId="74" fillId="62" borderId="67" applyNumberFormat="0" applyAlignment="0" applyProtection="0"/>
    <xf numFmtId="0" fontId="54" fillId="62" borderId="65" applyNumberFormat="0" applyAlignment="0" applyProtection="0"/>
    <xf numFmtId="0" fontId="28" fillId="69" borderId="66" applyNumberFormat="0" applyAlignment="0" applyProtection="0"/>
    <xf numFmtId="0" fontId="59" fillId="66"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Alignment="0" applyProtection="0"/>
    <xf numFmtId="0" fontId="33" fillId="0" borderId="68" applyNumberFormat="0" applyFill="0" applyProtection="0">
      <alignment vertical="top"/>
    </xf>
    <xf numFmtId="0" fontId="59" fillId="47" borderId="65" applyNumberFormat="0" applyAlignment="0" applyProtection="0"/>
    <xf numFmtId="0" fontId="74" fillId="62" borderId="67" applyNumberFormat="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74" fillId="61" borderId="67" applyNumberFormat="0" applyProtection="0">
      <alignment vertical="top"/>
    </xf>
    <xf numFmtId="0" fontId="28" fillId="70" borderId="66" applyNumberFormat="0" applyFont="0" applyAlignment="0" applyProtection="0"/>
    <xf numFmtId="0" fontId="33" fillId="0" borderId="68" applyNumberFormat="0" applyFill="0" applyProtection="0">
      <alignment vertical="top"/>
    </xf>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74" fillId="62" borderId="67" applyNumberFormat="0" applyAlignment="0" applyProtection="0"/>
    <xf numFmtId="0" fontId="59" fillId="45" borderId="65" applyNumberFormat="0" applyProtection="0">
      <alignment vertical="top"/>
    </xf>
    <xf numFmtId="0" fontId="59" fillId="66" borderId="65" applyNumberFormat="0" applyAlignment="0" applyProtection="0"/>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4" fillId="61" borderId="65"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74" fillId="61" borderId="67" applyNumberFormat="0" applyAlignment="0" applyProtection="0"/>
    <xf numFmtId="0" fontId="59" fillId="47" borderId="65" applyNumberFormat="0" applyAlignment="0" applyProtection="0"/>
    <xf numFmtId="0" fontId="74" fillId="61" borderId="67" applyNumberFormat="0" applyAlignment="0" applyProtection="0"/>
    <xf numFmtId="0" fontId="54" fillId="61"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59" fillId="47" borderId="65" applyNumberFormat="0" applyAlignment="0" applyProtection="0"/>
    <xf numFmtId="0" fontId="59" fillId="45" borderId="65"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74" fillId="61" borderId="67" applyNumberFormat="0" applyProtection="0">
      <alignment vertical="top"/>
    </xf>
    <xf numFmtId="0" fontId="54" fillId="61"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Protection="0">
      <alignment vertical="top"/>
    </xf>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4" fillId="61" borderId="65" applyNumberFormat="0" applyAlignment="0" applyProtection="0"/>
    <xf numFmtId="0" fontId="59" fillId="47"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4" fillId="61" borderId="65" applyNumberFormat="0" applyProtection="0">
      <alignment vertical="top"/>
    </xf>
    <xf numFmtId="0" fontId="74" fillId="61" borderId="67"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29" fillId="69" borderId="66" applyNumberFormat="0" applyProtection="0">
      <alignment vertical="top"/>
    </xf>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4" fillId="61" borderId="65" applyNumberFormat="0" applyAlignment="0" applyProtection="0"/>
    <xf numFmtId="0" fontId="28" fillId="69" borderId="66"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4" fillId="61" borderId="65" applyNumberFormat="0" applyProtection="0">
      <alignment vertical="top"/>
    </xf>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74" fillId="62" borderId="67" applyNumberFormat="0" applyAlignment="0" applyProtection="0"/>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Alignment="0" applyProtection="0"/>
    <xf numFmtId="0" fontId="29" fillId="69" borderId="66" applyNumberFormat="0" applyProtection="0">
      <alignment vertical="top"/>
    </xf>
    <xf numFmtId="0" fontId="74" fillId="62" borderId="67" applyNumberForma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33" fillId="0" borderId="68" applyNumberFormat="0" applyFill="0" applyProtection="0">
      <alignment vertical="top"/>
    </xf>
    <xf numFmtId="0" fontId="28" fillId="70" borderId="66" applyNumberFormat="0" applyFont="0" applyAlignment="0" applyProtection="0"/>
    <xf numFmtId="0" fontId="29" fillId="69" borderId="66" applyNumberFormat="0" applyProtection="0">
      <alignment vertical="top"/>
    </xf>
    <xf numFmtId="0" fontId="59" fillId="66"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54" fillId="61" borderId="65" applyNumberFormat="0" applyAlignment="0" applyProtection="0"/>
    <xf numFmtId="0" fontId="33" fillId="0" borderId="68" applyNumberFormat="0" applyFill="0" applyProtection="0">
      <alignment vertical="top"/>
    </xf>
    <xf numFmtId="0" fontId="28" fillId="69" borderId="66" applyNumberFormat="0" applyAlignment="0" applyProtection="0"/>
    <xf numFmtId="0" fontId="74" fillId="62" borderId="67" applyNumberFormat="0" applyAlignment="0" applyProtection="0"/>
    <xf numFmtId="0" fontId="54" fillId="61" borderId="65" applyNumberFormat="0" applyProtection="0">
      <alignment vertical="top"/>
    </xf>
    <xf numFmtId="0" fontId="28" fillId="69" borderId="66"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Protection="0">
      <alignment vertical="top"/>
    </xf>
    <xf numFmtId="0" fontId="54" fillId="62"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74" fillId="62"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59" fillId="66" borderId="65" applyNumberFormat="0" applyAlignment="0" applyProtection="0"/>
    <xf numFmtId="0" fontId="28" fillId="69" borderId="66"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9" fillId="69" borderId="66" applyNumberFormat="0" applyProtection="0">
      <alignment vertical="top"/>
    </xf>
    <xf numFmtId="0" fontId="74" fillId="61" borderId="67" applyNumberFormat="0" applyProtection="0">
      <alignment vertical="top"/>
    </xf>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54" fillId="61" borderId="65" applyNumberFormat="0" applyAlignment="0" applyProtection="0"/>
    <xf numFmtId="0" fontId="54" fillId="62" borderId="65" applyNumberFormat="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Alignment="0" applyProtection="0"/>
    <xf numFmtId="0" fontId="59" fillId="47"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28" fillId="69" borderId="66" applyNumberFormat="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Alignment="0" applyProtection="0"/>
    <xf numFmtId="0" fontId="74" fillId="62" borderId="67" applyNumberFormat="0" applyAlignment="0" applyProtection="0"/>
    <xf numFmtId="0" fontId="59" fillId="47" borderId="65" applyNumberFormat="0" applyAlignment="0" applyProtection="0"/>
    <xf numFmtId="0" fontId="74" fillId="62" borderId="67" applyNumberFormat="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33" fillId="0" borderId="68" applyNumberFormat="0" applyFill="0" applyProtection="0">
      <alignment vertical="top"/>
    </xf>
    <xf numFmtId="0" fontId="33" fillId="0" borderId="68" applyNumberFormat="0" applyFill="0" applyAlignment="0" applyProtection="0"/>
    <xf numFmtId="0" fontId="74" fillId="61" borderId="67" applyNumberFormat="0" applyAlignment="0" applyProtection="0"/>
    <xf numFmtId="0" fontId="74" fillId="61" borderId="67" applyNumberFormat="0" applyAlignment="0" applyProtection="0"/>
    <xf numFmtId="0" fontId="28" fillId="69" borderId="66" applyNumberFormat="0" applyAlignment="0" applyProtection="0"/>
    <xf numFmtId="0" fontId="74" fillId="62" borderId="67" applyNumberFormat="0" applyAlignment="0" applyProtection="0"/>
    <xf numFmtId="0" fontId="59" fillId="45" borderId="65" applyNumberFormat="0" applyProtection="0">
      <alignment vertical="top"/>
    </xf>
    <xf numFmtId="0" fontId="59" fillId="66" borderId="65" applyNumberFormat="0" applyAlignment="0" applyProtection="0"/>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28" fillId="69" borderId="66"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74" fillId="61" borderId="67" applyNumberFormat="0" applyAlignment="0" applyProtection="0"/>
    <xf numFmtId="0" fontId="59" fillId="47" borderId="65" applyNumberFormat="0" applyAlignment="0" applyProtection="0"/>
    <xf numFmtId="0" fontId="74" fillId="61" borderId="67" applyNumberFormat="0" applyAlignment="0" applyProtection="0"/>
    <xf numFmtId="0" fontId="54" fillId="61"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54" fillId="61" borderId="65"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74" fillId="61" borderId="67" applyNumberFormat="0" applyProtection="0">
      <alignment vertical="top"/>
    </xf>
    <xf numFmtId="0" fontId="54" fillId="61"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9" fillId="66" borderId="65" applyNumberFormat="0" applyAlignment="0" applyProtection="0"/>
    <xf numFmtId="0" fontId="29" fillId="69" borderId="66" applyNumberFormat="0" applyProtection="0">
      <alignment vertical="top"/>
    </xf>
    <xf numFmtId="0" fontId="74" fillId="61" borderId="67" applyNumberFormat="0" applyAlignment="0" applyProtection="0"/>
    <xf numFmtId="0" fontId="59" fillId="66" borderId="65" applyNumberFormat="0" applyAlignment="0" applyProtection="0"/>
    <xf numFmtId="0" fontId="33" fillId="0" borderId="68" applyNumberFormat="0" applyFill="0" applyAlignment="0" applyProtection="0"/>
    <xf numFmtId="0" fontId="54" fillId="61" borderId="65" applyNumberFormat="0" applyAlignment="0" applyProtection="0"/>
    <xf numFmtId="0" fontId="59" fillId="47"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Protection="0">
      <alignment vertical="top"/>
    </xf>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54" fillId="62"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59" fillId="47"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74" fillId="61" borderId="67" applyNumberFormat="0" applyAlignment="0" applyProtection="0"/>
    <xf numFmtId="0" fontId="33" fillId="0" borderId="68" applyNumberFormat="0" applyFill="0" applyAlignment="0" applyProtection="0"/>
    <xf numFmtId="0" fontId="74" fillId="61" borderId="67" applyNumberFormat="0" applyProtection="0">
      <alignment vertical="top"/>
    </xf>
    <xf numFmtId="0" fontId="74" fillId="61" borderId="67"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69" borderId="66"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74" fillId="61" borderId="67" applyNumberFormat="0" applyAlignment="0" applyProtection="0"/>
    <xf numFmtId="0" fontId="54" fillId="61" borderId="65" applyNumberFormat="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1" borderId="65" applyNumberFormat="0" applyProtection="0">
      <alignment vertical="top"/>
    </xf>
    <xf numFmtId="0" fontId="74" fillId="61" borderId="67" applyNumberFormat="0" applyProtection="0">
      <alignment vertical="top"/>
    </xf>
    <xf numFmtId="0" fontId="74" fillId="61" borderId="67" applyNumberFormat="0" applyAlignment="0" applyProtection="0"/>
    <xf numFmtId="0" fontId="74" fillId="62" borderId="67" applyNumberFormat="0" applyAlignment="0" applyProtection="0"/>
    <xf numFmtId="0" fontId="59" fillId="66"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74" fillId="61" borderId="67" applyNumberFormat="0" applyAlignment="0" applyProtection="0"/>
    <xf numFmtId="0" fontId="54" fillId="62" borderId="65"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69" borderId="66" applyNumberFormat="0" applyAlignment="0" applyProtection="0"/>
    <xf numFmtId="0" fontId="74" fillId="61" borderId="67" applyNumberFormat="0" applyAlignment="0" applyProtection="0"/>
    <xf numFmtId="0" fontId="74" fillId="61" borderId="67" applyNumberFormat="0" applyProtection="0">
      <alignment vertical="top"/>
    </xf>
    <xf numFmtId="0" fontId="59" fillId="47"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47"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59" fillId="66" borderId="65"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33" fillId="0" borderId="68" applyNumberFormat="0" applyFill="0" applyAlignment="0" applyProtection="0"/>
    <xf numFmtId="0" fontId="74" fillId="61" borderId="67" applyNumberFormat="0" applyAlignment="0" applyProtection="0"/>
    <xf numFmtId="0" fontId="74" fillId="61" borderId="67" applyNumberFormat="0" applyAlignment="0" applyProtection="0"/>
    <xf numFmtId="0" fontId="74" fillId="61" borderId="67"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47" borderId="65" applyNumberFormat="0" applyAlignment="0" applyProtection="0"/>
    <xf numFmtId="0" fontId="33" fillId="0" borderId="68" applyNumberFormat="0" applyFill="0" applyAlignment="0" applyProtection="0"/>
    <xf numFmtId="0" fontId="74" fillId="61" borderId="67" applyNumberFormat="0" applyAlignment="0" applyProtection="0"/>
    <xf numFmtId="0" fontId="54" fillId="62"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74" fillId="61" borderId="67" applyNumberFormat="0" applyProtection="0">
      <alignment vertical="top"/>
    </xf>
    <xf numFmtId="0" fontId="33" fillId="0" borderId="68" applyNumberFormat="0" applyFill="0" applyProtection="0">
      <alignment vertical="top"/>
    </xf>
    <xf numFmtId="0" fontId="28" fillId="70" borderId="66" applyNumberFormat="0" applyFont="0" applyAlignment="0" applyProtection="0"/>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33" fillId="0" borderId="68" applyNumberFormat="0" applyFill="0" applyProtection="0">
      <alignment vertical="top"/>
    </xf>
    <xf numFmtId="0" fontId="74" fillId="61" borderId="67" applyNumberFormat="0" applyAlignment="0" applyProtection="0"/>
    <xf numFmtId="0" fontId="74" fillId="61" borderId="67" applyNumberFormat="0" applyAlignment="0" applyProtection="0"/>
    <xf numFmtId="0" fontId="54" fillId="62" borderId="65" applyNumberFormat="0" applyAlignment="0" applyProtection="0"/>
    <xf numFmtId="0" fontId="74" fillId="62"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28" fillId="69" borderId="66" applyNumberFormat="0" applyAlignment="0" applyProtection="0"/>
    <xf numFmtId="0" fontId="54" fillId="61" borderId="65" applyNumberFormat="0" applyProtection="0">
      <alignment vertical="top"/>
    </xf>
    <xf numFmtId="0" fontId="59" fillId="66" borderId="65" applyNumberFormat="0" applyAlignment="0" applyProtection="0"/>
    <xf numFmtId="0" fontId="54" fillId="61"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Alignment="0" applyProtection="0"/>
    <xf numFmtId="0" fontId="74" fillId="61" borderId="67" applyNumberFormat="0" applyAlignment="0" applyProtection="0"/>
    <xf numFmtId="0" fontId="54" fillId="62" borderId="65" applyNumberFormat="0" applyAlignment="0" applyProtection="0"/>
    <xf numFmtId="0" fontId="74" fillId="62" borderId="67" applyNumberFormat="0" applyAlignment="0" applyProtection="0"/>
    <xf numFmtId="0" fontId="74" fillId="62" borderId="67" applyNumberFormat="0" applyAlignment="0" applyProtection="0"/>
    <xf numFmtId="0" fontId="59" fillId="47"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59" fillId="45" borderId="65" applyNumberFormat="0" applyProtection="0">
      <alignment vertical="top"/>
    </xf>
    <xf numFmtId="0" fontId="33" fillId="0" borderId="68" applyNumberFormat="0" applyFill="0" applyAlignment="0" applyProtection="0"/>
    <xf numFmtId="0" fontId="54" fillId="61" borderId="65" applyNumberFormat="0" applyAlignment="0" applyProtection="0"/>
    <xf numFmtId="0" fontId="54" fillId="62" borderId="65" applyNumberFormat="0" applyAlignment="0" applyProtection="0"/>
    <xf numFmtId="0" fontId="74" fillId="62" borderId="67" applyNumberFormat="0" applyAlignment="0" applyProtection="0"/>
    <xf numFmtId="0" fontId="59" fillId="45" borderId="65" applyNumberFormat="0" applyProtection="0">
      <alignment vertical="top"/>
    </xf>
    <xf numFmtId="0" fontId="74" fillId="61" borderId="67" applyNumberFormat="0" applyProtection="0">
      <alignment vertical="top"/>
    </xf>
    <xf numFmtId="0" fontId="54" fillId="61" borderId="65" applyNumberFormat="0" applyProtection="0">
      <alignment vertical="top"/>
    </xf>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29" fillId="69" borderId="66" applyNumberFormat="0" applyProtection="0">
      <alignment vertical="top"/>
    </xf>
    <xf numFmtId="0" fontId="74" fillId="62" borderId="67" applyNumberFormat="0" applyAlignment="0" applyProtection="0"/>
    <xf numFmtId="0" fontId="74" fillId="61" borderId="67" applyNumberFormat="0" applyAlignment="0" applyProtection="0"/>
    <xf numFmtId="0" fontId="74" fillId="62" borderId="67" applyNumberFormat="0" applyAlignment="0" applyProtection="0"/>
    <xf numFmtId="0" fontId="54" fillId="62"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74" fillId="62" borderId="67" applyNumberFormat="0" applyAlignment="0" applyProtection="0"/>
    <xf numFmtId="0" fontId="59" fillId="45" borderId="65" applyNumberFormat="0" applyProtection="0">
      <alignment vertical="top"/>
    </xf>
    <xf numFmtId="0" fontId="74" fillId="61" borderId="67" applyNumberFormat="0" applyProtection="0">
      <alignment vertical="top"/>
    </xf>
    <xf numFmtId="0" fontId="54" fillId="61"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74" fillId="61" borderId="67" applyNumberFormat="0" applyAlignment="0" applyProtection="0"/>
    <xf numFmtId="0" fontId="74" fillId="61" borderId="67" applyNumberFormat="0" applyAlignment="0" applyProtection="0"/>
    <xf numFmtId="0" fontId="54" fillId="61" borderId="65" applyNumberFormat="0" applyProtection="0">
      <alignment vertical="top"/>
    </xf>
    <xf numFmtId="0" fontId="74" fillId="62"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59" fillId="47" borderId="65" applyNumberFormat="0" applyAlignment="0" applyProtection="0"/>
    <xf numFmtId="0" fontId="33" fillId="0" borderId="68" applyNumberFormat="0" applyFill="0" applyAlignment="0" applyProtection="0"/>
    <xf numFmtId="0" fontId="74" fillId="62" borderId="67" applyNumberFormat="0" applyAlignment="0" applyProtection="0"/>
    <xf numFmtId="0" fontId="28" fillId="70" borderId="66" applyNumberFormat="0" applyFont="0" applyAlignment="0" applyProtection="0"/>
    <xf numFmtId="0" fontId="59" fillId="66" borderId="65" applyNumberFormat="0" applyAlignment="0" applyProtection="0"/>
    <xf numFmtId="0" fontId="54" fillId="61" borderId="65"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9" fillId="66"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59" fillId="47"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74" fillId="61" borderId="67" applyNumberFormat="0" applyAlignment="0" applyProtection="0"/>
    <xf numFmtId="0" fontId="54" fillId="62" borderId="65" applyNumberFormat="0" applyAlignment="0" applyProtection="0"/>
    <xf numFmtId="0" fontId="54" fillId="61" borderId="65" applyNumberFormat="0" applyAlignment="0" applyProtection="0"/>
    <xf numFmtId="0" fontId="33" fillId="0" borderId="68" applyNumberFormat="0" applyFill="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59" fillId="47" borderId="65" applyNumberFormat="0" applyAlignment="0" applyProtection="0"/>
    <xf numFmtId="0" fontId="74" fillId="61" borderId="67" applyNumberFormat="0" applyProtection="0">
      <alignment vertical="top"/>
    </xf>
    <xf numFmtId="0" fontId="59" fillId="45" borderId="65" applyNumberFormat="0" applyProtection="0">
      <alignment vertical="top"/>
    </xf>
    <xf numFmtId="0" fontId="54" fillId="62" borderId="65" applyNumberFormat="0" applyAlignment="0" applyProtection="0"/>
    <xf numFmtId="0" fontId="59" fillId="47" borderId="65" applyNumberFormat="0" applyAlignment="0" applyProtection="0"/>
    <xf numFmtId="0" fontId="54" fillId="62" borderId="65" applyNumberFormat="0" applyAlignment="0" applyProtection="0"/>
    <xf numFmtId="0" fontId="33" fillId="0" borderId="68" applyNumberFormat="0" applyFill="0" applyAlignment="0" applyProtection="0"/>
    <xf numFmtId="0" fontId="74" fillId="62"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29" fillId="69" borderId="66" applyNumberFormat="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66"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74" fillId="61"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74" fillId="62" borderId="67" applyNumberFormat="0" applyAlignment="0" applyProtection="0"/>
    <xf numFmtId="0" fontId="59" fillId="45" borderId="65" applyNumberFormat="0" applyProtection="0">
      <alignment vertical="top"/>
    </xf>
    <xf numFmtId="0" fontId="59" fillId="66" borderId="65"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Alignment="0" applyProtection="0"/>
    <xf numFmtId="0" fontId="59" fillId="47"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54" fillId="62"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74" fillId="61" borderId="67" applyNumberFormat="0" applyAlignment="0" applyProtection="0"/>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28" fillId="69" borderId="66"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54" fillId="61" borderId="65" applyNumberFormat="0" applyAlignment="0" applyProtection="0"/>
    <xf numFmtId="0" fontId="74" fillId="61" borderId="67" applyNumberFormat="0" applyProtection="0">
      <alignment vertical="top"/>
    </xf>
    <xf numFmtId="0" fontId="59" fillId="45" borderId="65" applyNumberFormat="0" applyProtection="0">
      <alignment vertical="top"/>
    </xf>
    <xf numFmtId="0" fontId="74" fillId="62" borderId="67" applyNumberFormat="0" applyAlignment="0" applyProtection="0"/>
    <xf numFmtId="0" fontId="59" fillId="45" borderId="65" applyNumberFormat="0" applyProtection="0">
      <alignment vertical="top"/>
    </xf>
    <xf numFmtId="0" fontId="74" fillId="61" borderId="67" applyNumberFormat="0" applyAlignment="0" applyProtection="0"/>
    <xf numFmtId="0" fontId="54" fillId="62" borderId="65" applyNumberFormat="0" applyAlignment="0" applyProtection="0"/>
    <xf numFmtId="0" fontId="74" fillId="62" borderId="67" applyNumberFormat="0" applyAlignment="0" applyProtection="0"/>
    <xf numFmtId="0" fontId="59" fillId="47" borderId="65" applyNumberFormat="0" applyAlignment="0" applyProtection="0"/>
    <xf numFmtId="0" fontId="74" fillId="62" borderId="67" applyNumberFormat="0" applyAlignment="0" applyProtection="0"/>
    <xf numFmtId="0" fontId="74" fillId="61" borderId="67" applyNumberFormat="0" applyProtection="0">
      <alignment vertical="top"/>
    </xf>
    <xf numFmtId="0" fontId="74" fillId="61" borderId="67" applyNumberFormat="0" applyProtection="0">
      <alignment vertical="top"/>
    </xf>
    <xf numFmtId="0" fontId="59" fillId="66" borderId="65" applyNumberFormat="0" applyAlignment="0" applyProtection="0"/>
    <xf numFmtId="0" fontId="54" fillId="62" borderId="65" applyNumberFormat="0" applyAlignment="0" applyProtection="0"/>
    <xf numFmtId="0" fontId="74" fillId="61" borderId="67" applyNumberFormat="0" applyAlignment="0" applyProtection="0"/>
    <xf numFmtId="0" fontId="74" fillId="61" borderId="67"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59" fillId="45" borderId="65" applyNumberFormat="0" applyProtection="0">
      <alignment vertical="top"/>
    </xf>
    <xf numFmtId="0" fontId="74" fillId="61" borderId="67" applyNumberFormat="0" applyAlignment="0" applyProtection="0"/>
    <xf numFmtId="0" fontId="54" fillId="62" borderId="65" applyNumberFormat="0" applyAlignment="0" applyProtection="0"/>
    <xf numFmtId="0" fontId="54" fillId="61" borderId="65" applyNumberFormat="0" applyAlignment="0" applyProtection="0"/>
    <xf numFmtId="0" fontId="54" fillId="62" borderId="65" applyNumberFormat="0" applyAlignment="0" applyProtection="0"/>
    <xf numFmtId="0" fontId="54" fillId="61" borderId="65" applyNumberFormat="0" applyAlignment="0" applyProtection="0"/>
    <xf numFmtId="0" fontId="33" fillId="0" borderId="68" applyNumberFormat="0" applyFill="0" applyAlignment="0" applyProtection="0"/>
    <xf numFmtId="0" fontId="59" fillId="45" borderId="65" applyNumberFormat="0" applyProtection="0">
      <alignment vertical="top"/>
    </xf>
    <xf numFmtId="0" fontId="74" fillId="62" borderId="67" applyNumberFormat="0" applyAlignment="0" applyProtection="0"/>
    <xf numFmtId="0" fontId="28" fillId="69" borderId="66" applyNumberFormat="0" applyAlignment="0" applyProtection="0"/>
    <xf numFmtId="0" fontId="74" fillId="61" borderId="67" applyNumberFormat="0" applyProtection="0">
      <alignment vertical="top"/>
    </xf>
    <xf numFmtId="0" fontId="74" fillId="62" borderId="67" applyNumberFormat="0" applyAlignment="0" applyProtection="0"/>
    <xf numFmtId="0" fontId="59" fillId="66" borderId="65" applyNumberFormat="0" applyAlignment="0" applyProtection="0"/>
    <xf numFmtId="0" fontId="74" fillId="62" borderId="67" applyNumberFormat="0" applyAlignment="0" applyProtection="0"/>
    <xf numFmtId="0" fontId="54" fillId="61" borderId="65" applyNumberFormat="0" applyAlignment="0" applyProtection="0"/>
    <xf numFmtId="0" fontId="33" fillId="0" borderId="68" applyNumberFormat="0" applyFill="0" applyAlignment="0" applyProtection="0"/>
    <xf numFmtId="0" fontId="28" fillId="69" borderId="66" applyNumberFormat="0" applyAlignment="0" applyProtection="0"/>
    <xf numFmtId="0" fontId="59" fillId="47"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33" fillId="0" borderId="68" applyNumberFormat="0" applyFill="0" applyProtection="0">
      <alignment vertical="top"/>
    </xf>
    <xf numFmtId="0" fontId="59" fillId="47" borderId="65"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33" fillId="0" borderId="68" applyNumberFormat="0" applyFill="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33" fillId="0" borderId="68" applyNumberFormat="0" applyFill="0" applyAlignment="0" applyProtection="0"/>
    <xf numFmtId="0" fontId="54" fillId="62"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4" fillId="61" borderId="65" applyNumberFormat="0" applyAlignment="0" applyProtection="0"/>
    <xf numFmtId="0" fontId="54" fillId="61" borderId="65" applyNumberFormat="0" applyProtection="0">
      <alignment vertical="top"/>
    </xf>
    <xf numFmtId="0" fontId="54" fillId="61" borderId="65" applyNumberFormat="0" applyProtection="0">
      <alignment vertical="top"/>
    </xf>
    <xf numFmtId="0" fontId="33" fillId="0" borderId="68" applyNumberFormat="0" applyFill="0" applyProtection="0">
      <alignment vertical="top"/>
    </xf>
    <xf numFmtId="0" fontId="33" fillId="0" borderId="68" applyNumberFormat="0" applyFill="0" applyProtection="0">
      <alignment vertical="top"/>
    </xf>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33" fillId="0" borderId="68" applyNumberFormat="0" applyFill="0" applyAlignment="0" applyProtection="0"/>
    <xf numFmtId="0" fontId="33" fillId="0" borderId="68" applyNumberFormat="0" applyFill="0" applyProtection="0">
      <alignment vertical="top"/>
    </xf>
    <xf numFmtId="0" fontId="59" fillId="47"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54" fillId="61" borderId="65" applyNumberFormat="0" applyProtection="0">
      <alignment vertical="top"/>
    </xf>
    <xf numFmtId="0" fontId="59" fillId="66" borderId="65"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4" fillId="61"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59" fillId="45" borderId="65" applyNumberFormat="0" applyProtection="0">
      <alignment vertical="top"/>
    </xf>
    <xf numFmtId="0" fontId="59" fillId="66" borderId="65" applyNumberFormat="0" applyAlignment="0" applyProtection="0"/>
    <xf numFmtId="0" fontId="74" fillId="61" borderId="67"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54" fillId="62" borderId="65" applyNumberFormat="0" applyAlignment="0" applyProtection="0"/>
    <xf numFmtId="0" fontId="33" fillId="0" borderId="68" applyNumberFormat="0" applyFill="0" applyProtection="0">
      <alignment vertical="top"/>
    </xf>
    <xf numFmtId="0" fontId="74" fillId="61" borderId="67" applyNumberFormat="0" applyAlignment="0" applyProtection="0"/>
    <xf numFmtId="0" fontId="74" fillId="61"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74" fillId="61" borderId="67" applyNumberFormat="0" applyProtection="0">
      <alignment vertical="top"/>
    </xf>
    <xf numFmtId="0" fontId="59" fillId="45"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33" fillId="0" borderId="68" applyNumberFormat="0" applyFill="0" applyProtection="0">
      <alignment vertical="top"/>
    </xf>
    <xf numFmtId="0" fontId="54" fillId="62"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47" borderId="65" applyNumberFormat="0" applyAlignment="0" applyProtection="0"/>
    <xf numFmtId="0" fontId="54" fillId="62" borderId="65" applyNumberFormat="0" applyAlignment="0" applyProtection="0"/>
    <xf numFmtId="0" fontId="54" fillId="62" borderId="65"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4" fillId="61" borderId="65" applyNumberFormat="0" applyProtection="0">
      <alignment vertical="top"/>
    </xf>
    <xf numFmtId="0" fontId="59" fillId="47" borderId="65" applyNumberFormat="0" applyAlignment="0" applyProtection="0"/>
    <xf numFmtId="0" fontId="59" fillId="47" borderId="65" applyNumberFormat="0" applyAlignment="0" applyProtection="0"/>
    <xf numFmtId="0" fontId="54" fillId="62" borderId="65" applyNumberFormat="0" applyAlignment="0" applyProtection="0"/>
    <xf numFmtId="0" fontId="28" fillId="69" borderId="66"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74" fillId="62" borderId="67" applyNumberFormat="0" applyAlignment="0" applyProtection="0"/>
    <xf numFmtId="0" fontId="74" fillId="61" borderId="67" applyNumberFormat="0" applyAlignment="0" applyProtection="0"/>
    <xf numFmtId="0" fontId="59" fillId="66" borderId="65" applyNumberFormat="0" applyAlignment="0" applyProtection="0"/>
    <xf numFmtId="0" fontId="54" fillId="62" borderId="65"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74" fillId="61" borderId="67"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Alignment="0" applyProtection="0"/>
    <xf numFmtId="0" fontId="74" fillId="61" borderId="67" applyNumberFormat="0" applyAlignment="0" applyProtection="0"/>
    <xf numFmtId="0" fontId="74" fillId="62"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Protection="0">
      <alignment vertical="top"/>
    </xf>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54" fillId="61"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59" fillId="45" borderId="65"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74" fillId="61" borderId="67" applyNumberFormat="0" applyAlignment="0" applyProtection="0"/>
    <xf numFmtId="0" fontId="59" fillId="66" borderId="65" applyNumberFormat="0" applyAlignment="0" applyProtection="0"/>
    <xf numFmtId="0" fontId="54" fillId="62" borderId="65" applyNumberFormat="0" applyAlignment="0" applyProtection="0"/>
    <xf numFmtId="0" fontId="59" fillId="47" borderId="65" applyNumberFormat="0" applyAlignment="0" applyProtection="0"/>
    <xf numFmtId="0" fontId="54" fillId="61"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74" fillId="62" borderId="67" applyNumberFormat="0" applyAlignment="0" applyProtection="0"/>
    <xf numFmtId="0" fontId="54" fillId="61" borderId="65" applyNumberFormat="0" applyAlignment="0" applyProtection="0"/>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59" fillId="47" borderId="65" applyNumberFormat="0" applyAlignment="0" applyProtection="0"/>
    <xf numFmtId="0" fontId="54" fillId="61" borderId="65" applyNumberFormat="0" applyProtection="0">
      <alignment vertical="top"/>
    </xf>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74" fillId="62"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7" borderId="65" applyNumberFormat="0" applyAlignment="0" applyProtection="0"/>
    <xf numFmtId="0" fontId="59" fillId="66" borderId="65" applyNumberFormat="0" applyAlignment="0" applyProtection="0"/>
    <xf numFmtId="0" fontId="29" fillId="69" borderId="66" applyNumberFormat="0" applyProtection="0">
      <alignment vertical="top"/>
    </xf>
    <xf numFmtId="0" fontId="59" fillId="66" borderId="65" applyNumberFormat="0" applyAlignment="0" applyProtection="0"/>
    <xf numFmtId="0" fontId="74" fillId="62" borderId="67" applyNumberFormat="0" applyAlignment="0" applyProtection="0"/>
    <xf numFmtId="0" fontId="54" fillId="62" borderId="65" applyNumberFormat="0" applyAlignment="0" applyProtection="0"/>
    <xf numFmtId="0" fontId="28" fillId="69" borderId="66"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28" fillId="69" borderId="66" applyNumberFormat="0" applyAlignment="0" applyProtection="0"/>
    <xf numFmtId="0" fontId="54" fillId="61"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54" fillId="62" borderId="65" applyNumberFormat="0" applyAlignment="0" applyProtection="0"/>
    <xf numFmtId="0" fontId="54" fillId="61" borderId="65" applyNumberFormat="0" applyAlignment="0" applyProtection="0"/>
    <xf numFmtId="0" fontId="54" fillId="61"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54" fillId="61" borderId="65" applyNumberFormat="0" applyProtection="0">
      <alignment vertical="top"/>
    </xf>
    <xf numFmtId="0" fontId="74" fillId="61" borderId="67" applyNumberFormat="0" applyAlignment="0" applyProtection="0"/>
    <xf numFmtId="0" fontId="59" fillId="47" borderId="65" applyNumberFormat="0" applyAlignment="0" applyProtection="0"/>
    <xf numFmtId="0" fontId="74" fillId="62"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Alignment="0" applyProtection="0"/>
    <xf numFmtId="0" fontId="54" fillId="61"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69" borderId="66" applyNumberFormat="0" applyAlignment="0" applyProtection="0"/>
    <xf numFmtId="0" fontId="74" fillId="61" borderId="67" applyNumberFormat="0" applyProtection="0">
      <alignment vertical="top"/>
    </xf>
    <xf numFmtId="0" fontId="29" fillId="69" borderId="66"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54" fillId="61"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59" fillId="45"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54" fillId="61" borderId="65" applyNumberFormat="0" applyAlignment="0" applyProtection="0"/>
    <xf numFmtId="0" fontId="33" fillId="0" borderId="68" applyNumberFormat="0" applyFill="0" applyAlignment="0" applyProtection="0"/>
    <xf numFmtId="0" fontId="28" fillId="69" borderId="66"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4" fillId="61"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33" fillId="0" borderId="68" applyNumberFormat="0" applyFill="0" applyAlignment="0" applyProtection="0"/>
    <xf numFmtId="0" fontId="59" fillId="47" borderId="65" applyNumberFormat="0" applyAlignment="0" applyProtection="0"/>
    <xf numFmtId="0" fontId="59" fillId="47" borderId="65" applyNumberFormat="0" applyAlignment="0" applyProtection="0"/>
    <xf numFmtId="0" fontId="74" fillId="61" borderId="67"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54" fillId="62" borderId="65" applyNumberFormat="0" applyAlignment="0" applyProtection="0"/>
    <xf numFmtId="0" fontId="54" fillId="62"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Protection="0">
      <alignment vertical="top"/>
    </xf>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59" fillId="45" borderId="65" applyNumberFormat="0" applyProtection="0">
      <alignment vertical="top"/>
    </xf>
    <xf numFmtId="0" fontId="33" fillId="0" borderId="68" applyNumberFormat="0" applyFill="0" applyProtection="0">
      <alignment vertical="top"/>
    </xf>
    <xf numFmtId="0" fontId="28" fillId="69" borderId="66" applyNumberFormat="0" applyAlignment="0" applyProtection="0"/>
    <xf numFmtId="0" fontId="54" fillId="61" borderId="65" applyNumberFormat="0" applyProtection="0">
      <alignment vertical="top"/>
    </xf>
    <xf numFmtId="0" fontId="29" fillId="69" borderId="66" applyNumberFormat="0" applyProtection="0">
      <alignment vertical="top"/>
    </xf>
    <xf numFmtId="0" fontId="33" fillId="0" borderId="68" applyNumberFormat="0" applyFill="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74" fillId="61" borderId="67" applyNumberFormat="0" applyAlignment="0" applyProtection="0"/>
    <xf numFmtId="0" fontId="54" fillId="61" borderId="65" applyNumberFormat="0" applyAlignment="0" applyProtection="0"/>
    <xf numFmtId="0" fontId="54" fillId="61" borderId="65" applyNumberFormat="0" applyProtection="0">
      <alignment vertical="top"/>
    </xf>
    <xf numFmtId="0" fontId="54" fillId="61"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29" fillId="69" borderId="66"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74" fillId="61" borderId="67" applyNumberFormat="0" applyAlignment="0" applyProtection="0"/>
    <xf numFmtId="0" fontId="28" fillId="69" borderId="66" applyNumberFormat="0" applyAlignment="0" applyProtection="0"/>
    <xf numFmtId="0" fontId="74" fillId="62" borderId="67" applyNumberFormat="0" applyAlignment="0" applyProtection="0"/>
    <xf numFmtId="0" fontId="59" fillId="66"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74" fillId="62"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28" fillId="69" borderId="66" applyNumberFormat="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54" fillId="62" borderId="65" applyNumberFormat="0" applyAlignment="0" applyProtection="0"/>
    <xf numFmtId="0" fontId="59" fillId="47" borderId="65" applyNumberFormat="0" applyAlignment="0" applyProtection="0"/>
    <xf numFmtId="0" fontId="28" fillId="69" borderId="66"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33" fillId="0" borderId="68" applyNumberFormat="0" applyFill="0" applyAlignment="0" applyProtection="0"/>
    <xf numFmtId="0" fontId="74" fillId="61" borderId="67"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59" fillId="45" borderId="65" applyNumberFormat="0" applyProtection="0">
      <alignment vertical="top"/>
    </xf>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Alignment="0" applyProtection="0"/>
    <xf numFmtId="0" fontId="59" fillId="45" borderId="65" applyNumberFormat="0" applyProtection="0">
      <alignment vertical="top"/>
    </xf>
    <xf numFmtId="0" fontId="74" fillId="61" borderId="67" applyNumberFormat="0" applyAlignment="0" applyProtection="0"/>
    <xf numFmtId="0" fontId="28" fillId="69" borderId="66" applyNumberFormat="0" applyAlignment="0" applyProtection="0"/>
    <xf numFmtId="0" fontId="54" fillId="61" borderId="65"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74" fillId="61" borderId="67" applyNumberFormat="0" applyProtection="0">
      <alignment vertical="top"/>
    </xf>
    <xf numFmtId="0" fontId="74" fillId="61" borderId="67" applyNumberFormat="0" applyAlignment="0" applyProtection="0"/>
    <xf numFmtId="0" fontId="59" fillId="66" borderId="65" applyNumberFormat="0" applyAlignment="0" applyProtection="0"/>
    <xf numFmtId="0" fontId="29" fillId="69" borderId="66" applyNumberFormat="0" applyProtection="0">
      <alignment vertical="top"/>
    </xf>
    <xf numFmtId="0" fontId="28" fillId="69" borderId="66" applyNumberFormat="0" applyAlignment="0" applyProtection="0"/>
    <xf numFmtId="0" fontId="59" fillId="45" borderId="65"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59" fillId="47" borderId="65" applyNumberFormat="0" applyAlignment="0" applyProtection="0"/>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Protection="0">
      <alignment vertical="top"/>
    </xf>
    <xf numFmtId="0" fontId="74" fillId="61" borderId="67" applyNumberFormat="0" applyAlignment="0" applyProtection="0"/>
    <xf numFmtId="0" fontId="33" fillId="0" borderId="68" applyNumberFormat="0" applyFill="0" applyAlignment="0" applyProtection="0"/>
    <xf numFmtId="0" fontId="74" fillId="61" borderId="67" applyNumberFormat="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2" borderId="67" applyNumberFormat="0" applyAlignment="0" applyProtection="0"/>
    <xf numFmtId="0" fontId="74" fillId="61" borderId="67" applyNumberFormat="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33" fillId="0" borderId="68" applyNumberFormat="0" applyFill="0" applyProtection="0">
      <alignment vertical="top"/>
    </xf>
    <xf numFmtId="0" fontId="28" fillId="70" borderId="66" applyNumberFormat="0" applyFont="0" applyAlignment="0" applyProtection="0"/>
    <xf numFmtId="0" fontId="28" fillId="70" borderId="66" applyNumberFormat="0" applyFon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Protection="0">
      <alignment vertical="top"/>
    </xf>
    <xf numFmtId="0" fontId="59" fillId="47" borderId="65" applyNumberFormat="0" applyAlignment="0" applyProtection="0"/>
    <xf numFmtId="0" fontId="74" fillId="61" borderId="67" applyNumberFormat="0" applyProtection="0">
      <alignment vertical="top"/>
    </xf>
    <xf numFmtId="0" fontId="54" fillId="62"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9" fillId="47" borderId="65" applyNumberFormat="0" applyAlignment="0" applyProtection="0"/>
    <xf numFmtId="0" fontId="33" fillId="0" borderId="68" applyNumberFormat="0" applyFill="0" applyAlignment="0" applyProtection="0"/>
    <xf numFmtId="0" fontId="54" fillId="62" borderId="65" applyNumberFormat="0" applyAlignment="0" applyProtection="0"/>
    <xf numFmtId="0" fontId="59" fillId="66" borderId="65" applyNumberFormat="0" applyAlignment="0" applyProtection="0"/>
    <xf numFmtId="0" fontId="59" fillId="47" borderId="65" applyNumberFormat="0" applyAlignment="0" applyProtection="0"/>
    <xf numFmtId="0" fontId="74" fillId="61" borderId="67" applyNumberFormat="0" applyProtection="0">
      <alignment vertical="top"/>
    </xf>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74" fillId="61" borderId="67" applyNumberFormat="0" applyAlignment="0" applyProtection="0"/>
    <xf numFmtId="0" fontId="74" fillId="62" borderId="67" applyNumberFormat="0" applyAlignment="0" applyProtection="0"/>
    <xf numFmtId="0" fontId="74" fillId="62" borderId="67" applyNumberFormat="0" applyAlignment="0" applyProtection="0"/>
    <xf numFmtId="0" fontId="74" fillId="61" borderId="67"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Alignment="0" applyProtection="0"/>
    <xf numFmtId="0" fontId="54" fillId="62" borderId="65" applyNumberFormat="0" applyAlignment="0" applyProtection="0"/>
    <xf numFmtId="0" fontId="33" fillId="0" borderId="68" applyNumberFormat="0" applyFill="0" applyAlignment="0" applyProtection="0"/>
    <xf numFmtId="0" fontId="74" fillId="62" borderId="67" applyNumberFormat="0" applyAlignment="0" applyProtection="0"/>
    <xf numFmtId="0" fontId="74" fillId="61" borderId="67" applyNumberFormat="0" applyProtection="0">
      <alignment vertical="top"/>
    </xf>
    <xf numFmtId="0" fontId="33" fillId="0" borderId="68" applyNumberFormat="0" applyFill="0" applyAlignment="0" applyProtection="0"/>
    <xf numFmtId="0" fontId="59" fillId="45" borderId="65" applyNumberFormat="0" applyProtection="0">
      <alignment vertical="top"/>
    </xf>
    <xf numFmtId="0" fontId="59" fillId="45" borderId="65" applyNumberFormat="0" applyProtection="0">
      <alignment vertical="top"/>
    </xf>
    <xf numFmtId="0" fontId="74" fillId="61" borderId="67" applyNumberFormat="0" applyAlignment="0" applyProtection="0"/>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Protection="0">
      <alignment vertical="top"/>
    </xf>
    <xf numFmtId="0" fontId="29" fillId="69" borderId="66" applyNumberFormat="0" applyProtection="0">
      <alignment vertical="top"/>
    </xf>
    <xf numFmtId="0" fontId="59" fillId="47" borderId="65" applyNumberFormat="0" applyAlignment="0" applyProtection="0"/>
    <xf numFmtId="0" fontId="54" fillId="61" borderId="65" applyNumberFormat="0" applyProtection="0">
      <alignment vertical="top"/>
    </xf>
    <xf numFmtId="0" fontId="74" fillId="61"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74" fillId="61" borderId="67" applyNumberFormat="0" applyProtection="0">
      <alignment vertical="top"/>
    </xf>
    <xf numFmtId="0" fontId="74" fillId="62" borderId="67"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9" fillId="66" borderId="65" applyNumberFormat="0" applyAlignment="0" applyProtection="0"/>
    <xf numFmtId="0" fontId="74" fillId="62" borderId="67" applyNumberFormat="0" applyAlignment="0" applyProtection="0"/>
    <xf numFmtId="0" fontId="28" fillId="69" borderId="66" applyNumberFormat="0" applyAlignment="0" applyProtection="0"/>
    <xf numFmtId="0" fontId="74" fillId="62" borderId="67" applyNumberFormat="0" applyAlignment="0" applyProtection="0"/>
    <xf numFmtId="0" fontId="74" fillId="62" borderId="67" applyNumberFormat="0" applyAlignment="0" applyProtection="0"/>
    <xf numFmtId="0" fontId="74" fillId="61" borderId="67" applyNumberFormat="0" applyAlignment="0" applyProtection="0"/>
    <xf numFmtId="0" fontId="54" fillId="61" borderId="65" applyNumberFormat="0" applyAlignment="0" applyProtection="0"/>
    <xf numFmtId="0" fontId="54" fillId="62" borderId="65" applyNumberFormat="0" applyAlignment="0" applyProtection="0"/>
    <xf numFmtId="0" fontId="33" fillId="0" borderId="68" applyNumberFormat="0" applyFill="0" applyProtection="0">
      <alignment vertical="top"/>
    </xf>
    <xf numFmtId="0" fontId="28" fillId="69" borderId="66"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45" borderId="65" applyNumberFormat="0" applyProtection="0">
      <alignment vertical="top"/>
    </xf>
    <xf numFmtId="0" fontId="74" fillId="62" borderId="67" applyNumberFormat="0" applyAlignment="0" applyProtection="0"/>
    <xf numFmtId="0" fontId="74" fillId="61" borderId="67" applyNumberFormat="0" applyAlignment="0" applyProtection="0"/>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74" fillId="61" borderId="67" applyNumberFormat="0" applyProtection="0">
      <alignment vertical="top"/>
    </xf>
    <xf numFmtId="0" fontId="59" fillId="47" borderId="65"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Alignment="0" applyProtection="0"/>
    <xf numFmtId="0" fontId="74" fillId="61" borderId="67" applyNumberFormat="0" applyAlignment="0" applyProtection="0"/>
    <xf numFmtId="0" fontId="74" fillId="61" borderId="67" applyNumberFormat="0" applyProtection="0">
      <alignment vertical="top"/>
    </xf>
    <xf numFmtId="0" fontId="54" fillId="62" borderId="65" applyNumberFormat="0" applyAlignment="0" applyProtection="0"/>
    <xf numFmtId="0" fontId="59" fillId="47"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Alignment="0" applyProtection="0"/>
    <xf numFmtId="0" fontId="74" fillId="62" borderId="67" applyNumberFormat="0" applyAlignment="0" applyProtection="0"/>
    <xf numFmtId="0" fontId="59" fillId="66" borderId="65" applyNumberFormat="0" applyAlignment="0" applyProtection="0"/>
    <xf numFmtId="0" fontId="54" fillId="61" borderId="65" applyNumberFormat="0" applyAlignment="0" applyProtection="0"/>
    <xf numFmtId="0" fontId="59" fillId="66" borderId="65"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74" fillId="62" borderId="67" applyNumberFormat="0" applyAlignment="0" applyProtection="0"/>
    <xf numFmtId="0" fontId="29" fillId="69" borderId="66" applyNumberFormat="0" applyProtection="0">
      <alignment vertical="top"/>
    </xf>
    <xf numFmtId="0" fontId="74" fillId="61" borderId="67" applyNumberFormat="0" applyProtection="0">
      <alignment vertical="top"/>
    </xf>
    <xf numFmtId="0" fontId="59" fillId="66"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74" fillId="61" borderId="67" applyNumberFormat="0" applyProtection="0">
      <alignment vertical="top"/>
    </xf>
    <xf numFmtId="0" fontId="54" fillId="62" borderId="65" applyNumberFormat="0" applyAlignment="0" applyProtection="0"/>
    <xf numFmtId="0" fontId="59" fillId="66" borderId="65" applyNumberFormat="0" applyAlignment="0" applyProtection="0"/>
    <xf numFmtId="0" fontId="33" fillId="0" borderId="68" applyNumberFormat="0" applyFill="0" applyAlignment="0" applyProtection="0"/>
    <xf numFmtId="0" fontId="54" fillId="61" borderId="65" applyNumberFormat="0" applyAlignment="0" applyProtection="0"/>
    <xf numFmtId="0" fontId="33" fillId="0" borderId="68" applyNumberFormat="0" applyFill="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Protection="0">
      <alignment vertical="top"/>
    </xf>
    <xf numFmtId="0" fontId="74" fillId="61" borderId="67" applyNumberFormat="0" applyProtection="0">
      <alignment vertical="top"/>
    </xf>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74" fillId="61" borderId="67" applyNumberFormat="0" applyProtection="0">
      <alignment vertical="top"/>
    </xf>
    <xf numFmtId="0" fontId="74" fillId="61" borderId="67" applyNumberFormat="0" applyAlignment="0" applyProtection="0"/>
    <xf numFmtId="0" fontId="59" fillId="45"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54" fillId="61" borderId="65" applyNumberFormat="0" applyAlignment="0" applyProtection="0"/>
    <xf numFmtId="0" fontId="54" fillId="61" borderId="65" applyNumberFormat="0" applyAlignment="0" applyProtection="0"/>
    <xf numFmtId="0" fontId="59" fillId="66" borderId="65" applyNumberFormat="0" applyAlignment="0" applyProtection="0"/>
    <xf numFmtId="0" fontId="29" fillId="69" borderId="66"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33" fillId="0" borderId="68" applyNumberFormat="0" applyFill="0" applyAlignment="0" applyProtection="0"/>
    <xf numFmtId="0" fontId="54" fillId="61" borderId="65" applyNumberFormat="0" applyProtection="0">
      <alignment vertical="top"/>
    </xf>
    <xf numFmtId="0" fontId="74" fillId="61" borderId="67" applyNumberFormat="0" applyProtection="0">
      <alignment vertical="top"/>
    </xf>
    <xf numFmtId="0" fontId="28" fillId="69" borderId="66" applyNumberFormat="0" applyAlignment="0" applyProtection="0"/>
    <xf numFmtId="0" fontId="29" fillId="69" borderId="66" applyNumberFormat="0" applyProtection="0">
      <alignment vertical="top"/>
    </xf>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74" fillId="62" borderId="67" applyNumberFormat="0" applyAlignment="0" applyProtection="0"/>
    <xf numFmtId="0" fontId="59" fillId="66"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66"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54" fillId="61" borderId="65" applyNumberFormat="0" applyAlignment="0" applyProtection="0"/>
    <xf numFmtId="0" fontId="28" fillId="69" borderId="66" applyNumberFormat="0" applyAlignment="0" applyProtection="0"/>
    <xf numFmtId="0" fontId="54" fillId="61" borderId="65" applyNumberFormat="0" applyAlignment="0" applyProtection="0"/>
    <xf numFmtId="0" fontId="59" fillId="66"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74" fillId="61" borderId="67"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54" fillId="62" borderId="65" applyNumberFormat="0" applyAlignment="0" applyProtection="0"/>
    <xf numFmtId="0" fontId="74" fillId="61" borderId="67" applyNumberFormat="0" applyAlignment="0" applyProtection="0"/>
    <xf numFmtId="0" fontId="54" fillId="61"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9" fillId="47"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74" fillId="61" borderId="67" applyNumberFormat="0" applyAlignment="0" applyProtection="0"/>
    <xf numFmtId="0" fontId="74" fillId="62" borderId="67" applyNumberFormat="0" applyAlignment="0" applyProtection="0"/>
    <xf numFmtId="0" fontId="74" fillId="61" borderId="67" applyNumberFormat="0" applyProtection="0">
      <alignment vertical="top"/>
    </xf>
    <xf numFmtId="0" fontId="33" fillId="0" borderId="68" applyNumberFormat="0" applyFill="0" applyAlignment="0" applyProtection="0"/>
    <xf numFmtId="0" fontId="54" fillId="62"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59" fillId="66" borderId="65" applyNumberFormat="0" applyAlignment="0" applyProtection="0"/>
    <xf numFmtId="0" fontId="33" fillId="0" borderId="68" applyNumberFormat="0" applyFill="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66" borderId="65" applyNumberFormat="0" applyAlignment="0" applyProtection="0"/>
    <xf numFmtId="0" fontId="74" fillId="62" borderId="67" applyNumberFormat="0" applyAlignment="0" applyProtection="0"/>
    <xf numFmtId="0" fontId="74" fillId="61" borderId="67" applyNumberFormat="0" applyAlignment="0" applyProtection="0"/>
    <xf numFmtId="0" fontId="54" fillId="62"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33" fillId="0" borderId="68" applyNumberFormat="0" applyFill="0" applyAlignment="0" applyProtection="0"/>
    <xf numFmtId="0" fontId="74" fillId="61" borderId="67" applyNumberFormat="0" applyProtection="0">
      <alignment vertical="top"/>
    </xf>
    <xf numFmtId="0" fontId="33" fillId="0" borderId="68" applyNumberFormat="0" applyFill="0" applyAlignment="0" applyProtection="0"/>
    <xf numFmtId="0" fontId="59" fillId="47" borderId="65" applyNumberFormat="0" applyAlignment="0" applyProtection="0"/>
    <xf numFmtId="0" fontId="54" fillId="62" borderId="65"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45" borderId="65" applyNumberFormat="0" applyProtection="0">
      <alignment vertical="top"/>
    </xf>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59" fillId="47"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33" fillId="0" borderId="68" applyNumberFormat="0" applyFill="0" applyAlignment="0" applyProtection="0"/>
    <xf numFmtId="0" fontId="74" fillId="61" borderId="67"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74" fillId="61" borderId="67" applyNumberFormat="0" applyAlignment="0" applyProtection="0"/>
    <xf numFmtId="0" fontId="54" fillId="61"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Alignment="0" applyProtection="0"/>
    <xf numFmtId="0" fontId="29" fillId="69" borderId="66" applyNumberFormat="0" applyProtection="0">
      <alignment vertical="top"/>
    </xf>
    <xf numFmtId="0" fontId="74" fillId="61" borderId="67" applyNumberFormat="0" applyAlignment="0" applyProtection="0"/>
    <xf numFmtId="0" fontId="28" fillId="69" borderId="66"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54" fillId="61" borderId="65" applyNumberFormat="0" applyProtection="0">
      <alignment vertical="top"/>
    </xf>
    <xf numFmtId="0" fontId="74" fillId="61"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Alignment="0" applyProtection="0"/>
    <xf numFmtId="0" fontId="29" fillId="69" borderId="66" applyNumberFormat="0" applyProtection="0">
      <alignment vertical="top"/>
    </xf>
    <xf numFmtId="0" fontId="54" fillId="62" borderId="65" applyNumberFormat="0" applyAlignment="0" applyProtection="0"/>
    <xf numFmtId="0" fontId="59" fillId="45" borderId="65" applyNumberFormat="0" applyProtection="0">
      <alignment vertical="top"/>
    </xf>
    <xf numFmtId="0" fontId="29" fillId="69" borderId="66" applyNumberFormat="0" applyProtection="0">
      <alignment vertical="top"/>
    </xf>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69" borderId="66" applyNumberFormat="0" applyAlignment="0" applyProtection="0"/>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74" fillId="61" borderId="67" applyNumberFormat="0" applyProtection="0">
      <alignment vertical="top"/>
    </xf>
    <xf numFmtId="0" fontId="54" fillId="61" borderId="65" applyNumberFormat="0" applyProtection="0">
      <alignment vertical="top"/>
    </xf>
    <xf numFmtId="0" fontId="54" fillId="62" borderId="65" applyNumberFormat="0" applyAlignment="0" applyProtection="0"/>
    <xf numFmtId="0" fontId="28" fillId="69" borderId="66"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74" fillId="62" borderId="67" applyNumberFormat="0" applyAlignment="0" applyProtection="0"/>
    <xf numFmtId="0" fontId="28" fillId="69" borderId="66"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29" fillId="69" borderId="66" applyNumberFormat="0" applyProtection="0">
      <alignment vertical="top"/>
    </xf>
    <xf numFmtId="0" fontId="29" fillId="69" borderId="66" applyNumberFormat="0" applyProtection="0">
      <alignment vertical="top"/>
    </xf>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59" fillId="47"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9" fillId="66"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33" fillId="0" borderId="68" applyNumberFormat="0" applyFill="0" applyAlignment="0" applyProtection="0"/>
    <xf numFmtId="0" fontId="74" fillId="61" borderId="67" applyNumberFormat="0" applyAlignment="0" applyProtection="0"/>
    <xf numFmtId="0" fontId="74" fillId="62" borderId="67"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74" fillId="61" borderId="67" applyNumberFormat="0" applyAlignment="0" applyProtection="0"/>
    <xf numFmtId="0" fontId="74" fillId="61" borderId="67" applyNumberFormat="0" applyProtection="0">
      <alignment vertical="top"/>
    </xf>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Alignment="0" applyProtection="0"/>
    <xf numFmtId="0" fontId="74" fillId="61" borderId="67" applyNumberFormat="0" applyProtection="0">
      <alignment vertical="top"/>
    </xf>
    <xf numFmtId="0" fontId="74" fillId="61"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59" fillId="45" borderId="65" applyNumberFormat="0" applyProtection="0">
      <alignment vertical="top"/>
    </xf>
    <xf numFmtId="0" fontId="74" fillId="61" borderId="67" applyNumberFormat="0" applyAlignment="0" applyProtection="0"/>
    <xf numFmtId="0" fontId="29" fillId="69" borderId="66" applyNumberFormat="0" applyProtection="0">
      <alignment vertical="top"/>
    </xf>
    <xf numFmtId="0" fontId="28" fillId="69" borderId="66"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Alignment="0" applyProtection="0"/>
    <xf numFmtId="0" fontId="28" fillId="69" borderId="66" applyNumberFormat="0" applyAlignment="0" applyProtection="0"/>
    <xf numFmtId="0" fontId="54" fillId="61"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28" fillId="69" borderId="66" applyNumberFormat="0" applyAlignment="0" applyProtection="0"/>
    <xf numFmtId="0" fontId="74" fillId="62" borderId="67" applyNumberFormat="0" applyAlignment="0" applyProtection="0"/>
    <xf numFmtId="0" fontId="74" fillId="61" borderId="67" applyNumberFormat="0" applyProtection="0">
      <alignment vertical="top"/>
    </xf>
    <xf numFmtId="0" fontId="59" fillId="47" borderId="65" applyNumberFormat="0" applyAlignment="0" applyProtection="0"/>
    <xf numFmtId="0" fontId="74" fillId="62" borderId="67" applyNumberFormat="0" applyAlignment="0" applyProtection="0"/>
    <xf numFmtId="0" fontId="28" fillId="69" borderId="66" applyNumberFormat="0" applyAlignment="0" applyProtection="0"/>
    <xf numFmtId="0" fontId="59" fillId="66" borderId="65"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7" borderId="65" applyNumberFormat="0" applyAlignment="0" applyProtection="0"/>
    <xf numFmtId="0" fontId="33" fillId="0" borderId="68" applyNumberFormat="0" applyFill="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59" fillId="47" borderId="65" applyNumberFormat="0" applyAlignment="0" applyProtection="0"/>
    <xf numFmtId="0" fontId="28" fillId="69" borderId="66" applyNumberFormat="0" applyAlignment="0" applyProtection="0"/>
    <xf numFmtId="0" fontId="29" fillId="69" borderId="66" applyNumberFormat="0" applyProtection="0">
      <alignment vertical="top"/>
    </xf>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28" fillId="69" borderId="66" applyNumberFormat="0" applyAlignment="0" applyProtection="0"/>
    <xf numFmtId="0" fontId="74" fillId="61" borderId="67" applyNumberFormat="0" applyAlignment="0" applyProtection="0"/>
    <xf numFmtId="0" fontId="54" fillId="61"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29" fillId="69" borderId="66" applyNumberFormat="0" applyProtection="0">
      <alignment vertical="top"/>
    </xf>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9" fillId="69" borderId="66" applyNumberFormat="0" applyProtection="0">
      <alignment vertical="top"/>
    </xf>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Alignment="0" applyProtection="0"/>
    <xf numFmtId="0" fontId="74" fillId="62" borderId="67"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74" fillId="62" borderId="67" applyNumberFormat="0" applyAlignment="0" applyProtection="0"/>
    <xf numFmtId="0" fontId="54" fillId="61"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54" fillId="62" borderId="65" applyNumberFormat="0" applyAlignment="0" applyProtection="0"/>
    <xf numFmtId="0" fontId="28" fillId="69" borderId="66" applyNumberFormat="0" applyAlignment="0" applyProtection="0"/>
    <xf numFmtId="0" fontId="59" fillId="47" borderId="65" applyNumberFormat="0" applyAlignment="0" applyProtection="0"/>
    <xf numFmtId="0" fontId="74" fillId="61" borderId="67" applyNumberFormat="0" applyProtection="0">
      <alignment vertical="top"/>
    </xf>
    <xf numFmtId="0" fontId="29" fillId="69" borderId="66" applyNumberFormat="0" applyProtection="0">
      <alignment vertical="top"/>
    </xf>
    <xf numFmtId="0" fontId="59" fillId="47"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59" fillId="45" borderId="65" applyNumberFormat="0" applyProtection="0">
      <alignment vertical="top"/>
    </xf>
    <xf numFmtId="0" fontId="74" fillId="62" borderId="67"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Protection="0">
      <alignment vertical="top"/>
    </xf>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74" fillId="62"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54" fillId="61" borderId="65" applyNumberFormat="0" applyProtection="0">
      <alignment vertical="top"/>
    </xf>
    <xf numFmtId="0" fontId="74" fillId="61" borderId="67" applyNumberFormat="0" applyAlignment="0" applyProtection="0"/>
    <xf numFmtId="0" fontId="33" fillId="0" borderId="68" applyNumberFormat="0" applyFill="0" applyAlignment="0" applyProtection="0"/>
    <xf numFmtId="0" fontId="54" fillId="61"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74" fillId="61" borderId="67" applyNumberFormat="0" applyAlignment="0" applyProtection="0"/>
    <xf numFmtId="0" fontId="33" fillId="0" borderId="68" applyNumberFormat="0" applyFill="0" applyAlignment="0" applyProtection="0"/>
    <xf numFmtId="0" fontId="74" fillId="61" borderId="67"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33" fillId="0" borderId="68" applyNumberFormat="0" applyFill="0" applyAlignment="0" applyProtection="0"/>
    <xf numFmtId="0" fontId="54" fillId="62"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28" fillId="69" borderId="66" applyNumberFormat="0" applyAlignment="0" applyProtection="0"/>
    <xf numFmtId="0" fontId="54" fillId="61" borderId="65" applyNumberFormat="0" applyAlignment="0" applyProtection="0"/>
    <xf numFmtId="0" fontId="28" fillId="70" borderId="66" applyNumberFormat="0" applyFont="0" applyAlignment="0" applyProtection="0"/>
    <xf numFmtId="0" fontId="54" fillId="62" borderId="65" applyNumberFormat="0" applyAlignment="0" applyProtection="0"/>
    <xf numFmtId="0" fontId="33" fillId="0" borderId="68" applyNumberFormat="0" applyFill="0" applyAlignment="0" applyProtection="0"/>
    <xf numFmtId="0" fontId="74" fillId="62" borderId="67"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33" fillId="0" borderId="68" applyNumberFormat="0" applyFill="0" applyProtection="0">
      <alignment vertical="top"/>
    </xf>
    <xf numFmtId="0" fontId="33" fillId="0" borderId="68" applyNumberFormat="0" applyFill="0" applyProtection="0">
      <alignment vertical="top"/>
    </xf>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Protection="0">
      <alignment vertical="top"/>
    </xf>
    <xf numFmtId="0" fontId="59" fillId="47"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54" fillId="61" borderId="65" applyNumberFormat="0" applyProtection="0">
      <alignment vertical="top"/>
    </xf>
    <xf numFmtId="0" fontId="59" fillId="66"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4" fillId="61"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59" fillId="45" borderId="65" applyNumberFormat="0" applyProtection="0">
      <alignment vertical="top"/>
    </xf>
    <xf numFmtId="0" fontId="59" fillId="66" borderId="65" applyNumberFormat="0" applyAlignment="0" applyProtection="0"/>
    <xf numFmtId="0" fontId="74" fillId="61" borderId="67"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54" fillId="62" borderId="65" applyNumberFormat="0" applyAlignment="0" applyProtection="0"/>
    <xf numFmtId="0" fontId="33" fillId="0" borderId="68" applyNumberFormat="0" applyFill="0" applyProtection="0">
      <alignment vertical="top"/>
    </xf>
    <xf numFmtId="0" fontId="74" fillId="61" borderId="67" applyNumberFormat="0" applyAlignment="0" applyProtection="0"/>
    <xf numFmtId="0" fontId="74" fillId="61"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74" fillId="61" borderId="67" applyNumberFormat="0" applyProtection="0">
      <alignment vertical="top"/>
    </xf>
    <xf numFmtId="0" fontId="59" fillId="45"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33" fillId="0" borderId="68" applyNumberFormat="0" applyFill="0" applyProtection="0">
      <alignment vertical="top"/>
    </xf>
    <xf numFmtId="0" fontId="54" fillId="62"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47" borderId="65" applyNumberFormat="0" applyAlignment="0" applyProtection="0"/>
    <xf numFmtId="0" fontId="54" fillId="62" borderId="65" applyNumberFormat="0" applyAlignment="0" applyProtection="0"/>
    <xf numFmtId="0" fontId="54" fillId="62" borderId="65"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4" fillId="61" borderId="65" applyNumberFormat="0" applyProtection="0">
      <alignment vertical="top"/>
    </xf>
    <xf numFmtId="0" fontId="59" fillId="47" borderId="65" applyNumberFormat="0" applyAlignment="0" applyProtection="0"/>
    <xf numFmtId="0" fontId="59" fillId="47"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74" fillId="61" borderId="67" applyNumberFormat="0" applyAlignment="0" applyProtection="0"/>
    <xf numFmtId="0" fontId="74" fillId="61" borderId="67" applyNumberFormat="0" applyAlignment="0" applyProtection="0"/>
    <xf numFmtId="0" fontId="59" fillId="66" borderId="65" applyNumberFormat="0" applyAlignment="0" applyProtection="0"/>
    <xf numFmtId="0" fontId="54" fillId="62" borderId="65"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74" fillId="61" borderId="67"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Alignment="0" applyProtection="0"/>
    <xf numFmtId="0" fontId="29" fillId="69" borderId="66" applyNumberFormat="0" applyProtection="0">
      <alignment vertical="top"/>
    </xf>
    <xf numFmtId="0" fontId="59" fillId="66" borderId="65"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Alignment="0" applyProtection="0"/>
    <xf numFmtId="0" fontId="74" fillId="61" borderId="67" applyNumberFormat="0" applyAlignment="0" applyProtection="0"/>
    <xf numFmtId="0" fontId="74" fillId="62"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33" fillId="0" borderId="68" applyNumberFormat="0" applyFill="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Protection="0">
      <alignment vertical="top"/>
    </xf>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54" fillId="61"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4" fillId="61" borderId="65" applyNumberForma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59" fillId="45" borderId="65"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74" fillId="62" borderId="67" applyNumberFormat="0" applyAlignment="0" applyProtection="0"/>
    <xf numFmtId="0" fontId="74" fillId="61" borderId="67" applyNumberFormat="0" applyAlignment="0" applyProtection="0"/>
    <xf numFmtId="0" fontId="59" fillId="66" borderId="65" applyNumberFormat="0" applyAlignment="0" applyProtection="0"/>
    <xf numFmtId="0" fontId="54" fillId="62" borderId="65" applyNumberFormat="0" applyAlignment="0" applyProtection="0"/>
    <xf numFmtId="0" fontId="59" fillId="47" borderId="65" applyNumberFormat="0" applyAlignment="0" applyProtection="0"/>
    <xf numFmtId="0" fontId="54" fillId="61"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1"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59" fillId="47" borderId="65" applyNumberFormat="0" applyAlignment="0" applyProtection="0"/>
    <xf numFmtId="0" fontId="54" fillId="61" borderId="65" applyNumberFormat="0" applyProtection="0">
      <alignment vertical="top"/>
    </xf>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74" fillId="61"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74" fillId="62"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Protection="0">
      <alignment vertical="top"/>
    </xf>
    <xf numFmtId="0" fontId="54" fillId="61" borderId="65" applyNumberFormat="0" applyProtection="0">
      <alignment vertical="top"/>
    </xf>
    <xf numFmtId="0" fontId="54" fillId="62" borderId="65" applyNumberFormat="0" applyAlignment="0" applyProtection="0"/>
    <xf numFmtId="0" fontId="54" fillId="61" borderId="65" applyNumberFormat="0" applyAlignment="0" applyProtection="0"/>
    <xf numFmtId="0" fontId="54" fillId="61"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54" fillId="61" borderId="65" applyNumberFormat="0" applyProtection="0">
      <alignment vertical="top"/>
    </xf>
    <xf numFmtId="0" fontId="74" fillId="61" borderId="67" applyNumberFormat="0" applyAlignment="0" applyProtection="0"/>
    <xf numFmtId="0" fontId="59" fillId="47" borderId="65" applyNumberFormat="0" applyAlignment="0" applyProtection="0"/>
    <xf numFmtId="0" fontId="74" fillId="62"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Alignment="0" applyProtection="0"/>
    <xf numFmtId="0" fontId="54" fillId="61"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69" borderId="66" applyNumberFormat="0" applyAlignment="0" applyProtection="0"/>
    <xf numFmtId="0" fontId="74" fillId="61" borderId="67" applyNumberFormat="0" applyProtection="0">
      <alignment vertical="top"/>
    </xf>
    <xf numFmtId="0" fontId="28" fillId="69" borderId="66" applyNumberFormat="0" applyAlignment="0" applyProtection="0"/>
    <xf numFmtId="0" fontId="59" fillId="47"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54" fillId="61"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59" fillId="45"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54" fillId="61" borderId="65" applyNumberFormat="0" applyAlignment="0" applyProtection="0"/>
    <xf numFmtId="0" fontId="28" fillId="69" borderId="66"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59" fillId="45" borderId="65" applyNumberFormat="0" applyProtection="0">
      <alignment vertical="top"/>
    </xf>
    <xf numFmtId="0" fontId="59" fillId="66" borderId="65" applyNumberFormat="0" applyAlignment="0" applyProtection="0"/>
    <xf numFmtId="0" fontId="33" fillId="0" borderId="68" applyNumberFormat="0" applyFill="0" applyAlignment="0" applyProtection="0"/>
    <xf numFmtId="0" fontId="59" fillId="47" borderId="65" applyNumberFormat="0" applyAlignment="0" applyProtection="0"/>
    <xf numFmtId="0" fontId="59" fillId="47" borderId="65" applyNumberFormat="0" applyAlignment="0" applyProtection="0"/>
    <xf numFmtId="0" fontId="74" fillId="61" borderId="67"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54" fillId="62" borderId="65" applyNumberFormat="0" applyAlignment="0" applyProtection="0"/>
    <xf numFmtId="0" fontId="54" fillId="62"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Protection="0">
      <alignment vertical="top"/>
    </xf>
    <xf numFmtId="0" fontId="33" fillId="0" borderId="68" applyNumberFormat="0" applyFill="0" applyProtection="0">
      <alignment vertical="top"/>
    </xf>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74" fillId="62" borderId="67"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33" fillId="0" borderId="68" applyNumberFormat="0" applyFill="0" applyProtection="0">
      <alignment vertical="top"/>
    </xf>
    <xf numFmtId="0" fontId="33" fillId="0" borderId="68" applyNumberFormat="0" applyFill="0" applyProtection="0">
      <alignment vertical="top"/>
    </xf>
    <xf numFmtId="0" fontId="54" fillId="61" borderId="65" applyNumberFormat="0" applyProtection="0">
      <alignment vertical="top"/>
    </xf>
    <xf numFmtId="0" fontId="28" fillId="70" borderId="66" applyNumberFormat="0" applyFont="0" applyAlignment="0" applyProtection="0"/>
    <xf numFmtId="0" fontId="33" fillId="0" borderId="68" applyNumberFormat="0" applyFill="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59" fillId="45" borderId="65" applyNumberFormat="0" applyProtection="0">
      <alignment vertical="top"/>
    </xf>
    <xf numFmtId="0" fontId="74" fillId="61" borderId="67" applyNumberFormat="0" applyAlignment="0" applyProtection="0"/>
    <xf numFmtId="0" fontId="54" fillId="61"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66" borderId="65" applyNumberFormat="0" applyAlignment="0" applyProtection="0"/>
    <xf numFmtId="0" fontId="54" fillId="62"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74" fillId="61" borderId="67" applyNumberFormat="0" applyProtection="0">
      <alignment vertical="top"/>
    </xf>
    <xf numFmtId="0" fontId="74" fillId="61" borderId="67" applyNumberFormat="0" applyAlignment="0" applyProtection="0"/>
    <xf numFmtId="0" fontId="28" fillId="69" borderId="66" applyNumberFormat="0" applyAlignment="0" applyProtection="0"/>
    <xf numFmtId="0" fontId="74" fillId="62" borderId="67" applyNumberFormat="0" applyAlignment="0" applyProtection="0"/>
    <xf numFmtId="0" fontId="59" fillId="66"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74" fillId="61" borderId="67" applyNumberFormat="0" applyAlignment="0" applyProtection="0"/>
    <xf numFmtId="0" fontId="54" fillId="61" borderId="65" applyNumberFormat="0" applyProtection="0">
      <alignment vertical="top"/>
    </xf>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8" fillId="69" borderId="66" applyNumberFormat="0" applyAlignment="0" applyProtection="0"/>
    <xf numFmtId="0" fontId="59" fillId="66" borderId="65"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74" fillId="62" borderId="67" applyNumberFormat="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9" fillId="69" borderId="66" applyNumberFormat="0" applyProtection="0">
      <alignment vertical="top"/>
    </xf>
    <xf numFmtId="0" fontId="74" fillId="61" borderId="67" applyNumberFormat="0" applyAlignment="0" applyProtection="0"/>
    <xf numFmtId="0" fontId="33" fillId="0" borderId="68" applyNumberFormat="0" applyFill="0" applyAlignment="0" applyProtection="0"/>
    <xf numFmtId="0" fontId="59" fillId="47" borderId="65" applyNumberFormat="0" applyAlignment="0" applyProtection="0"/>
    <xf numFmtId="0" fontId="74" fillId="62" borderId="67" applyNumberFormat="0" applyAlignment="0" applyProtection="0"/>
    <xf numFmtId="0" fontId="28" fillId="69" borderId="66"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59" fillId="47"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74" fillId="61" borderId="67" applyNumberFormat="0" applyAlignment="0" applyProtection="0"/>
    <xf numFmtId="0" fontId="59" fillId="66"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Alignment="0" applyProtection="0"/>
    <xf numFmtId="0" fontId="33" fillId="0" borderId="68" applyNumberFormat="0" applyFill="0" applyProtection="0">
      <alignment vertical="top"/>
    </xf>
    <xf numFmtId="0" fontId="74" fillId="61"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Alignment="0" applyProtection="0"/>
    <xf numFmtId="0" fontId="54" fillId="62" borderId="65" applyNumberForma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54" fillId="61" borderId="65" applyNumberFormat="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Protection="0">
      <alignment vertical="top"/>
    </xf>
    <xf numFmtId="0" fontId="33" fillId="0" borderId="68" applyNumberFormat="0" applyFill="0" applyAlignment="0" applyProtection="0"/>
    <xf numFmtId="0" fontId="54" fillId="61"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59" fillId="66"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Protection="0">
      <alignment vertical="top"/>
    </xf>
    <xf numFmtId="0" fontId="54" fillId="61" borderId="65" applyNumberFormat="0" applyAlignment="0" applyProtection="0"/>
    <xf numFmtId="0" fontId="29" fillId="69" borderId="66" applyNumberFormat="0" applyProtection="0">
      <alignment vertical="top"/>
    </xf>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66"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Protection="0">
      <alignment vertical="top"/>
    </xf>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74" fillId="62"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Protection="0">
      <alignment vertical="top"/>
    </xf>
    <xf numFmtId="0" fontId="59" fillId="47" borderId="65" applyNumberFormat="0" applyAlignment="0" applyProtection="0"/>
    <xf numFmtId="0" fontId="74" fillId="61" borderId="67" applyNumberFormat="0" applyProtection="0">
      <alignment vertical="top"/>
    </xf>
    <xf numFmtId="0" fontId="54" fillId="62"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59" fillId="66" borderId="65" applyNumberFormat="0" applyAlignment="0" applyProtection="0"/>
    <xf numFmtId="0" fontId="59" fillId="66" borderId="65" applyNumberFormat="0" applyAlignment="0" applyProtection="0"/>
    <xf numFmtId="0" fontId="59" fillId="47" borderId="65" applyNumberFormat="0" applyAlignment="0" applyProtection="0"/>
    <xf numFmtId="0" fontId="33" fillId="0" borderId="68" applyNumberFormat="0" applyFill="0" applyAlignment="0" applyProtection="0"/>
    <xf numFmtId="0" fontId="54" fillId="62" borderId="65" applyNumberFormat="0" applyAlignment="0" applyProtection="0"/>
    <xf numFmtId="0" fontId="59" fillId="66" borderId="65" applyNumberFormat="0" applyAlignment="0" applyProtection="0"/>
    <xf numFmtId="0" fontId="59" fillId="47" borderId="65" applyNumberFormat="0" applyAlignment="0" applyProtection="0"/>
    <xf numFmtId="0" fontId="74" fillId="61" borderId="67" applyNumberFormat="0" applyProtection="0">
      <alignment vertical="top"/>
    </xf>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74" fillId="61" borderId="67" applyNumberFormat="0" applyAlignment="0" applyProtection="0"/>
    <xf numFmtId="0" fontId="74" fillId="62" borderId="67" applyNumberFormat="0" applyAlignment="0" applyProtection="0"/>
    <xf numFmtId="0" fontId="74" fillId="62" borderId="67" applyNumberFormat="0" applyAlignment="0" applyProtection="0"/>
    <xf numFmtId="0" fontId="74" fillId="62" borderId="67"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Alignment="0" applyProtection="0"/>
    <xf numFmtId="0" fontId="54" fillId="62" borderId="65" applyNumberFormat="0" applyAlignment="0" applyProtection="0"/>
    <xf numFmtId="0" fontId="33" fillId="0" borderId="68" applyNumberFormat="0" applyFill="0" applyAlignment="0" applyProtection="0"/>
    <xf numFmtId="0" fontId="74" fillId="62" borderId="67" applyNumberFormat="0" applyAlignment="0" applyProtection="0"/>
    <xf numFmtId="0" fontId="74" fillId="61" borderId="67" applyNumberFormat="0" applyProtection="0">
      <alignment vertical="top"/>
    </xf>
    <xf numFmtId="0" fontId="33" fillId="0" borderId="68" applyNumberFormat="0" applyFill="0" applyAlignment="0" applyProtection="0"/>
    <xf numFmtId="0" fontId="59" fillId="45" borderId="65" applyNumberFormat="0" applyProtection="0">
      <alignment vertical="top"/>
    </xf>
    <xf numFmtId="0" fontId="59" fillId="45" borderId="65" applyNumberFormat="0" applyProtection="0">
      <alignment vertical="top"/>
    </xf>
    <xf numFmtId="0" fontId="74" fillId="61" borderId="67" applyNumberFormat="0" applyAlignment="0" applyProtection="0"/>
    <xf numFmtId="0" fontId="74" fillId="62" borderId="67" applyNumberFormat="0" applyAlignment="0" applyProtection="0"/>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Protection="0">
      <alignment vertical="top"/>
    </xf>
    <xf numFmtId="0" fontId="74" fillId="61"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74" fillId="61" borderId="67" applyNumberFormat="0" applyProtection="0">
      <alignment vertical="top"/>
    </xf>
    <xf numFmtId="0" fontId="74" fillId="62" borderId="67"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9" fillId="66" borderId="65" applyNumberFormat="0" applyAlignment="0" applyProtection="0"/>
    <xf numFmtId="0" fontId="74" fillId="62" borderId="67" applyNumberFormat="0" applyAlignment="0" applyProtection="0"/>
    <xf numFmtId="0" fontId="28" fillId="70" borderId="66" applyNumberFormat="0" applyFont="0" applyAlignment="0" applyProtection="0"/>
    <xf numFmtId="0" fontId="74" fillId="62" borderId="67" applyNumberFormat="0" applyAlignment="0" applyProtection="0"/>
    <xf numFmtId="0" fontId="74" fillId="62" borderId="67" applyNumberFormat="0" applyAlignment="0" applyProtection="0"/>
    <xf numFmtId="0" fontId="74" fillId="61" borderId="67" applyNumberFormat="0" applyAlignment="0" applyProtection="0"/>
    <xf numFmtId="0" fontId="54" fillId="61" borderId="65" applyNumberFormat="0" applyAlignment="0" applyProtection="0"/>
    <xf numFmtId="0" fontId="54" fillId="62" borderId="65" applyNumberFormat="0" applyAlignment="0" applyProtection="0"/>
    <xf numFmtId="0" fontId="33" fillId="0" borderId="68" applyNumberFormat="0" applyFill="0" applyProtection="0">
      <alignment vertical="top"/>
    </xf>
    <xf numFmtId="0" fontId="28" fillId="69" borderId="66" applyNumberFormat="0" applyAlignment="0" applyProtection="0"/>
    <xf numFmtId="0" fontId="74" fillId="61" borderId="67" applyNumberFormat="0" applyProtection="0">
      <alignment vertical="top"/>
    </xf>
    <xf numFmtId="0" fontId="59" fillId="66" borderId="65" applyNumberFormat="0" applyAlignment="0" applyProtection="0"/>
    <xf numFmtId="0" fontId="29" fillId="69" borderId="66" applyNumberFormat="0" applyProtection="0">
      <alignment vertical="top"/>
    </xf>
    <xf numFmtId="0" fontId="74" fillId="62" borderId="67" applyNumberFormat="0" applyAlignment="0" applyProtection="0"/>
    <xf numFmtId="0" fontId="74" fillId="61" borderId="67" applyNumberFormat="0" applyAlignment="0" applyProtection="0"/>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Alignment="0" applyProtection="0"/>
    <xf numFmtId="0" fontId="74" fillId="61" borderId="67" applyNumberFormat="0" applyAlignment="0" applyProtection="0"/>
    <xf numFmtId="0" fontId="74" fillId="62" borderId="67" applyNumberFormat="0" applyAlignment="0" applyProtection="0"/>
    <xf numFmtId="0" fontId="54" fillId="62" borderId="65" applyNumberFormat="0" applyAlignment="0" applyProtection="0"/>
    <xf numFmtId="0" fontId="59" fillId="47"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Alignment="0" applyProtection="0"/>
    <xf numFmtId="0" fontId="74" fillId="62" borderId="67" applyNumberFormat="0" applyAlignment="0" applyProtection="0"/>
    <xf numFmtId="0" fontId="59" fillId="66" borderId="65" applyNumberFormat="0" applyAlignment="0" applyProtection="0"/>
    <xf numFmtId="0" fontId="54" fillId="61" borderId="65"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74" fillId="62" borderId="67" applyNumberFormat="0" applyAlignment="0" applyProtection="0"/>
    <xf numFmtId="0" fontId="59" fillId="47"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54" fillId="61" borderId="65" applyNumberFormat="0" applyProtection="0">
      <alignment vertical="top"/>
    </xf>
    <xf numFmtId="0" fontId="74" fillId="61" borderId="67" applyNumberFormat="0" applyAlignment="0" applyProtection="0"/>
    <xf numFmtId="0" fontId="74" fillId="61" borderId="67" applyNumberFormat="0" applyProtection="0">
      <alignment vertical="top"/>
    </xf>
    <xf numFmtId="0" fontId="54" fillId="62" borderId="65" applyNumberFormat="0" applyAlignment="0" applyProtection="0"/>
    <xf numFmtId="0" fontId="59" fillId="66" borderId="65" applyNumberFormat="0" applyAlignment="0" applyProtection="0"/>
    <xf numFmtId="0" fontId="33" fillId="0" borderId="68" applyNumberFormat="0" applyFill="0" applyAlignment="0" applyProtection="0"/>
    <xf numFmtId="0" fontId="54" fillId="61" borderId="65" applyNumberFormat="0" applyAlignment="0" applyProtection="0"/>
    <xf numFmtId="0" fontId="28" fillId="69" borderId="66"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Protection="0">
      <alignment vertical="top"/>
    </xf>
    <xf numFmtId="0" fontId="74" fillId="61" borderId="67" applyNumberFormat="0" applyProtection="0">
      <alignment vertical="top"/>
    </xf>
    <xf numFmtId="0" fontId="33" fillId="0" borderId="68" applyNumberFormat="0" applyFill="0" applyProtection="0">
      <alignment vertical="top"/>
    </xf>
    <xf numFmtId="0" fontId="54" fillId="61" borderId="65" applyNumberFormat="0" applyAlignment="0" applyProtection="0"/>
    <xf numFmtId="0" fontId="54" fillId="61" borderId="65" applyNumberFormat="0" applyProtection="0">
      <alignment vertical="top"/>
    </xf>
    <xf numFmtId="0" fontId="54" fillId="61"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74" fillId="61" borderId="67" applyNumberFormat="0" applyProtection="0">
      <alignment vertical="top"/>
    </xf>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29" fillId="69" borderId="66" applyNumberFormat="0" applyProtection="0">
      <alignment vertical="top"/>
    </xf>
    <xf numFmtId="0" fontId="33" fillId="0" borderId="68" applyNumberFormat="0" applyFill="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59" fillId="47"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59" fillId="47" borderId="65" applyNumberFormat="0" applyAlignment="0" applyProtection="0"/>
    <xf numFmtId="0" fontId="59" fillId="47" borderId="65"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54" fillId="62" borderId="65" applyNumberFormat="0" applyAlignment="0" applyProtection="0"/>
    <xf numFmtId="0" fontId="33" fillId="0" borderId="68" applyNumberFormat="0" applyFill="0" applyAlignment="0" applyProtection="0"/>
    <xf numFmtId="0" fontId="59" fillId="47" borderId="65" applyNumberFormat="0" applyAlignment="0" applyProtection="0"/>
    <xf numFmtId="0" fontId="28" fillId="69" borderId="66" applyNumberFormat="0" applyAlignment="0" applyProtection="0"/>
    <xf numFmtId="0" fontId="28" fillId="70" borderId="66" applyNumberFormat="0" applyFont="0" applyAlignment="0" applyProtection="0"/>
    <xf numFmtId="0" fontId="74" fillId="62" borderId="67"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54" fillId="62"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Alignment="0" applyProtection="0"/>
    <xf numFmtId="0" fontId="59" fillId="47" borderId="65" applyNumberFormat="0" applyAlignment="0" applyProtection="0"/>
    <xf numFmtId="0" fontId="54" fillId="62" borderId="65" applyNumberFormat="0" applyAlignment="0" applyProtection="0"/>
    <xf numFmtId="0" fontId="28" fillId="69" borderId="66" applyNumberFormat="0" applyAlignment="0" applyProtection="0"/>
    <xf numFmtId="0" fontId="54" fillId="61" borderId="65" applyNumberFormat="0" applyAlignment="0" applyProtection="0"/>
    <xf numFmtId="0" fontId="59" fillId="66"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8" fillId="69" borderId="66" applyNumberFormat="0" applyAlignment="0" applyProtection="0"/>
    <xf numFmtId="0" fontId="54" fillId="61" borderId="65" applyNumberFormat="0" applyProtection="0">
      <alignment vertical="top"/>
    </xf>
    <xf numFmtId="0" fontId="74" fillId="61" borderId="67"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54" fillId="62" borderId="65" applyNumberFormat="0" applyAlignment="0" applyProtection="0"/>
    <xf numFmtId="0" fontId="74" fillId="61" borderId="67" applyNumberFormat="0" applyAlignment="0" applyProtection="0"/>
    <xf numFmtId="0" fontId="54" fillId="61"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9" fillId="47"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74" fillId="61" borderId="67" applyNumberFormat="0" applyProtection="0">
      <alignment vertical="top"/>
    </xf>
    <xf numFmtId="0" fontId="33" fillId="0" borderId="68" applyNumberFormat="0" applyFill="0" applyAlignment="0" applyProtection="0"/>
    <xf numFmtId="0" fontId="54" fillId="62"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59" fillId="66" borderId="65" applyNumberFormat="0" applyAlignment="0" applyProtection="0"/>
    <xf numFmtId="0" fontId="33" fillId="0" borderId="68" applyNumberFormat="0" applyFill="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66" borderId="65" applyNumberFormat="0" applyAlignment="0" applyProtection="0"/>
    <xf numFmtId="0" fontId="74" fillId="62" borderId="67" applyNumberFormat="0" applyAlignment="0" applyProtection="0"/>
    <xf numFmtId="0" fontId="74" fillId="61" borderId="67" applyNumberFormat="0" applyAlignment="0" applyProtection="0"/>
    <xf numFmtId="0" fontId="54" fillId="62"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33" fillId="0" borderId="68" applyNumberFormat="0" applyFill="0" applyAlignment="0" applyProtection="0"/>
    <xf numFmtId="0" fontId="74" fillId="61" borderId="67" applyNumberFormat="0" applyProtection="0">
      <alignment vertical="top"/>
    </xf>
    <xf numFmtId="0" fontId="33" fillId="0" borderId="68" applyNumberFormat="0" applyFill="0" applyAlignment="0" applyProtection="0"/>
    <xf numFmtId="0" fontId="59" fillId="47" borderId="65" applyNumberFormat="0" applyAlignment="0" applyProtection="0"/>
    <xf numFmtId="0" fontId="54" fillId="62" borderId="65"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45" borderId="65" applyNumberFormat="0" applyProtection="0">
      <alignment vertical="top"/>
    </xf>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Alignment="0" applyProtection="0"/>
    <xf numFmtId="0" fontId="28" fillId="69" borderId="66"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33" fillId="0" borderId="68" applyNumberFormat="0" applyFill="0" applyAlignment="0" applyProtection="0"/>
    <xf numFmtId="0" fontId="74" fillId="61" borderId="67"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Alignment="0" applyProtection="0"/>
    <xf numFmtId="0" fontId="59" fillId="66" borderId="65" applyNumberFormat="0" applyAlignment="0" applyProtection="0"/>
    <xf numFmtId="0" fontId="74" fillId="61" borderId="67" applyNumberFormat="0" applyAlignment="0" applyProtection="0"/>
    <xf numFmtId="0" fontId="28" fillId="69" borderId="66"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54" fillId="61" borderId="65" applyNumberFormat="0" applyProtection="0">
      <alignment vertical="top"/>
    </xf>
    <xf numFmtId="0" fontId="74" fillId="61" borderId="67" applyNumberFormat="0" applyAlignment="0" applyProtection="0"/>
    <xf numFmtId="0" fontId="54" fillId="61"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74" fillId="61" borderId="67" applyNumberFormat="0" applyProtection="0">
      <alignment vertical="top"/>
    </xf>
    <xf numFmtId="0" fontId="74" fillId="62" borderId="67" applyNumberFormat="0" applyAlignment="0" applyProtection="0"/>
    <xf numFmtId="0" fontId="59" fillId="66"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54" fillId="61"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74" fillId="61" borderId="67" applyNumberFormat="0" applyAlignment="0" applyProtection="0"/>
    <xf numFmtId="0" fontId="59" fillId="47" borderId="65" applyNumberFormat="0" applyAlignment="0" applyProtection="0"/>
    <xf numFmtId="0" fontId="59" fillId="47" borderId="65" applyNumberFormat="0" applyAlignment="0" applyProtection="0"/>
    <xf numFmtId="0" fontId="54" fillId="62"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59" fillId="66"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9" fillId="45" borderId="65" applyNumberFormat="0" applyProtection="0">
      <alignment vertical="top"/>
    </xf>
    <xf numFmtId="0" fontId="74" fillId="62"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74" fillId="61" borderId="67" applyNumberFormat="0" applyProtection="0">
      <alignment vertical="top"/>
    </xf>
    <xf numFmtId="0" fontId="74" fillId="61"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74" fillId="61" borderId="67" applyNumberFormat="0" applyAlignment="0" applyProtection="0"/>
    <xf numFmtId="0" fontId="33" fillId="0" borderId="68" applyNumberFormat="0" applyFill="0" applyAlignment="0" applyProtection="0"/>
    <xf numFmtId="0" fontId="59" fillId="66" borderId="65" applyNumberFormat="0" applyAlignment="0" applyProtection="0"/>
    <xf numFmtId="0" fontId="33" fillId="0" borderId="68" applyNumberFormat="0" applyFill="0" applyAlignment="0" applyProtection="0"/>
    <xf numFmtId="0" fontId="28" fillId="69" borderId="66"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9" fillId="69" borderId="66" applyNumberFormat="0" applyProtection="0">
      <alignment vertical="top"/>
    </xf>
    <xf numFmtId="0" fontId="74" fillId="61" borderId="67" applyNumberFormat="0" applyAlignment="0" applyProtection="0"/>
    <xf numFmtId="0" fontId="74" fillId="62" borderId="67"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2"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74" fillId="62" borderId="67"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Alignment="0" applyProtection="0"/>
    <xf numFmtId="0" fontId="29" fillId="69" borderId="66" applyNumberFormat="0" applyProtection="0">
      <alignment vertical="top"/>
    </xf>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59" fillId="66" borderId="65" applyNumberFormat="0" applyAlignment="0" applyProtection="0"/>
    <xf numFmtId="0" fontId="74" fillId="61" borderId="67" applyNumberFormat="0" applyAlignment="0" applyProtection="0"/>
    <xf numFmtId="0" fontId="74" fillId="61" borderId="67" applyNumberFormat="0" applyProtection="0">
      <alignment vertical="top"/>
    </xf>
    <xf numFmtId="0" fontId="28" fillId="69" borderId="66" applyNumberFormat="0" applyAlignment="0" applyProtection="0"/>
    <xf numFmtId="0" fontId="33" fillId="0" borderId="68" applyNumberFormat="0" applyFill="0" applyAlignment="0" applyProtection="0"/>
    <xf numFmtId="0" fontId="59" fillId="45" borderId="65" applyNumberFormat="0" applyProtection="0">
      <alignment vertical="top"/>
    </xf>
    <xf numFmtId="0" fontId="28" fillId="69" borderId="66" applyNumberFormat="0" applyAlignment="0" applyProtection="0"/>
    <xf numFmtId="0" fontId="29" fillId="69" borderId="66" applyNumberFormat="0" applyProtection="0">
      <alignment vertical="top"/>
    </xf>
    <xf numFmtId="0" fontId="59" fillId="47" borderId="65" applyNumberFormat="0" applyAlignment="0" applyProtection="0"/>
    <xf numFmtId="0" fontId="54" fillId="61" borderId="65" applyNumberFormat="0" applyAlignment="0" applyProtection="0"/>
    <xf numFmtId="0" fontId="28" fillId="69" borderId="66" applyNumberFormat="0" applyAlignment="0" applyProtection="0"/>
    <xf numFmtId="0" fontId="33" fillId="0" borderId="68" applyNumberFormat="0" applyFill="0" applyProtection="0">
      <alignment vertical="top"/>
    </xf>
    <xf numFmtId="0" fontId="54" fillId="62" borderId="65" applyNumberFormat="0" applyAlignment="0" applyProtection="0"/>
    <xf numFmtId="0" fontId="29" fillId="69" borderId="66" applyNumberFormat="0" applyProtection="0">
      <alignment vertical="top"/>
    </xf>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59" fillId="47" borderId="65" applyNumberFormat="0" applyAlignment="0" applyProtection="0"/>
    <xf numFmtId="0" fontId="28" fillId="69" borderId="66" applyNumberFormat="0" applyAlignment="0" applyProtection="0"/>
    <xf numFmtId="0" fontId="33" fillId="0" borderId="68" applyNumberFormat="0" applyFill="0" applyProtection="0">
      <alignment vertical="top"/>
    </xf>
    <xf numFmtId="0" fontId="54" fillId="62" borderId="65" applyNumberFormat="0" applyAlignment="0" applyProtection="0"/>
    <xf numFmtId="0" fontId="28" fillId="69" borderId="66" applyNumberFormat="0" applyAlignment="0" applyProtection="0"/>
    <xf numFmtId="0" fontId="29" fillId="69" borderId="66" applyNumberFormat="0" applyProtection="0">
      <alignment vertical="top"/>
    </xf>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Alignment="0" applyProtection="0"/>
    <xf numFmtId="0" fontId="54" fillId="61"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74" fillId="62" borderId="67"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33" fillId="0" borderId="68" applyNumberFormat="0" applyFill="0" applyAlignment="0" applyProtection="0"/>
    <xf numFmtId="0" fontId="74" fillId="61" borderId="67" applyNumberFormat="0" applyAlignment="0" applyProtection="0"/>
    <xf numFmtId="0" fontId="59" fillId="66" borderId="65" applyNumberFormat="0" applyAlignment="0" applyProtection="0"/>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4" fillId="61" borderId="65" applyNumberFormat="0" applyAlignment="0" applyProtection="0"/>
    <xf numFmtId="0" fontId="33" fillId="0" borderId="68" applyNumberFormat="0" applyFill="0" applyAlignment="0" applyProtection="0"/>
    <xf numFmtId="0" fontId="74" fillId="61" borderId="67" applyNumberFormat="0" applyAlignment="0" applyProtection="0"/>
    <xf numFmtId="0" fontId="28" fillId="70" borderId="66" applyNumberFormat="0" applyFon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33" fillId="0" borderId="68" applyNumberFormat="0" applyFill="0" applyAlignment="0" applyProtection="0"/>
    <xf numFmtId="0" fontId="54" fillId="61" borderId="65" applyNumberFormat="0" applyAlignment="0" applyProtection="0"/>
    <xf numFmtId="0" fontId="74" fillId="61" borderId="67"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74" fillId="61"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Protection="0">
      <alignment vertical="top"/>
    </xf>
    <xf numFmtId="0" fontId="74" fillId="61" borderId="67" applyNumberFormat="0" applyProtection="0">
      <alignment vertical="top"/>
    </xf>
    <xf numFmtId="0" fontId="54" fillId="61" borderId="65"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59" fillId="47" borderId="65" applyNumberFormat="0" applyAlignment="0" applyProtection="0"/>
    <xf numFmtId="0" fontId="59" fillId="47"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2" borderId="67"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74" fillId="61" borderId="67" applyNumberFormat="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2"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29" fillId="69" borderId="66" applyNumberFormat="0" applyProtection="0">
      <alignment vertical="top"/>
    </xf>
    <xf numFmtId="0" fontId="28" fillId="69" borderId="66" applyNumberFormat="0" applyAlignment="0" applyProtection="0"/>
    <xf numFmtId="0" fontId="54" fillId="61" borderId="65" applyNumberFormat="0" applyAlignment="0" applyProtection="0"/>
    <xf numFmtId="0" fontId="74" fillId="61" borderId="67"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74" fillId="62" borderId="67" applyNumberFormat="0" applyAlignment="0" applyProtection="0"/>
    <xf numFmtId="0" fontId="59" fillId="45" borderId="65" applyNumberFormat="0" applyProtection="0">
      <alignment vertical="top"/>
    </xf>
    <xf numFmtId="0" fontId="74" fillId="61" borderId="67" applyNumberFormat="0" applyAlignment="0" applyProtection="0"/>
    <xf numFmtId="0" fontId="54" fillId="62" borderId="65" applyNumberFormat="0" applyAlignment="0" applyProtection="0"/>
    <xf numFmtId="0" fontId="74" fillId="62"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2" borderId="67" applyNumberFormat="0" applyAlignment="0" applyProtection="0"/>
    <xf numFmtId="0" fontId="28" fillId="69" borderId="66" applyNumberFormat="0" applyAlignment="0" applyProtection="0"/>
    <xf numFmtId="0" fontId="74" fillId="61" borderId="67" applyNumberFormat="0" applyProtection="0">
      <alignment vertical="top"/>
    </xf>
    <xf numFmtId="0" fontId="59" fillId="66" borderId="65" applyNumberFormat="0" applyAlignment="0" applyProtection="0"/>
    <xf numFmtId="0" fontId="28" fillId="69" borderId="66" applyNumberFormat="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Protection="0">
      <alignment vertical="top"/>
    </xf>
    <xf numFmtId="0" fontId="74" fillId="61" borderId="67"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8" fillId="69" borderId="66" applyNumberFormat="0" applyAlignment="0" applyProtection="0"/>
    <xf numFmtId="0" fontId="29" fillId="69" borderId="66" applyNumberFormat="0" applyProtection="0">
      <alignment vertical="top"/>
    </xf>
    <xf numFmtId="0" fontId="54" fillId="62" borderId="65" applyNumberFormat="0" applyAlignment="0" applyProtection="0"/>
    <xf numFmtId="0" fontId="54" fillId="61" borderId="65" applyNumberFormat="0" applyAlignment="0" applyProtection="0"/>
    <xf numFmtId="0" fontId="54" fillId="62" borderId="65" applyNumberFormat="0" applyAlignment="0" applyProtection="0"/>
    <xf numFmtId="0" fontId="54" fillId="61" borderId="65" applyNumberFormat="0" applyAlignment="0" applyProtection="0"/>
    <xf numFmtId="0" fontId="33" fillId="0" borderId="68" applyNumberFormat="0" applyFill="0" applyAlignment="0" applyProtection="0"/>
    <xf numFmtId="0" fontId="59" fillId="45" borderId="65" applyNumberFormat="0" applyProtection="0">
      <alignment vertical="top"/>
    </xf>
    <xf numFmtId="0" fontId="28" fillId="70" borderId="66" applyNumberFormat="0" applyFont="0" applyAlignment="0" applyProtection="0"/>
    <xf numFmtId="0" fontId="74" fillId="62"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74" fillId="62" borderId="67" applyNumberFormat="0" applyAlignment="0" applyProtection="0"/>
    <xf numFmtId="0" fontId="59" fillId="66"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28" fillId="69" borderId="66"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9" fillId="47"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9" fillId="47" borderId="65"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4" fillId="62"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54" fillId="62"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29" fillId="69" borderId="66" applyNumberFormat="0" applyProtection="0">
      <alignment vertical="top"/>
    </xf>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29" fillId="69" borderId="66" applyNumberFormat="0" applyProtection="0">
      <alignment vertical="top"/>
    </xf>
    <xf numFmtId="0" fontId="33" fillId="0" borderId="68" applyNumberFormat="0" applyFill="0" applyProtection="0">
      <alignment vertical="top"/>
    </xf>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Protection="0">
      <alignment vertical="top"/>
    </xf>
    <xf numFmtId="0" fontId="59" fillId="47"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54" fillId="61" borderId="65" applyNumberFormat="0" applyProtection="0">
      <alignment vertical="top"/>
    </xf>
    <xf numFmtId="0" fontId="59" fillId="66" borderId="65" applyNumberForma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4" fillId="61" borderId="65"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59" fillId="66" borderId="65" applyNumberFormat="0" applyAlignment="0" applyProtection="0"/>
    <xf numFmtId="0" fontId="59" fillId="45" borderId="65" applyNumberFormat="0" applyProtection="0">
      <alignment vertical="top"/>
    </xf>
    <xf numFmtId="0" fontId="59" fillId="66"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28" fillId="70" borderId="66" applyNumberFormat="0" applyFont="0" applyAlignment="0" applyProtection="0"/>
    <xf numFmtId="0" fontId="29" fillId="69" borderId="66" applyNumberFormat="0" applyProtection="0">
      <alignment vertical="top"/>
    </xf>
    <xf numFmtId="0" fontId="54" fillId="61" borderId="65" applyNumberFormat="0" applyProtection="0">
      <alignment vertical="top"/>
    </xf>
    <xf numFmtId="0" fontId="54" fillId="62" borderId="65"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74" fillId="61" borderId="67" applyNumberFormat="0" applyAlignment="0" applyProtection="0"/>
    <xf numFmtId="0" fontId="74" fillId="61"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74" fillId="61" borderId="67"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33" fillId="0" borderId="68" applyNumberFormat="0" applyFill="0" applyProtection="0">
      <alignment vertical="top"/>
    </xf>
    <xf numFmtId="0" fontId="54" fillId="62"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59" fillId="47" borderId="65" applyNumberFormat="0" applyAlignment="0" applyProtection="0"/>
    <xf numFmtId="0" fontId="54" fillId="62" borderId="65" applyNumberFormat="0" applyAlignment="0" applyProtection="0"/>
    <xf numFmtId="0" fontId="54" fillId="62" borderId="65" applyNumberFormat="0" applyAlignment="0" applyProtection="0"/>
    <xf numFmtId="0" fontId="33" fillId="0" borderId="68" applyNumberFormat="0" applyFill="0" applyAlignment="0" applyProtection="0"/>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9" fillId="47" borderId="65" applyNumberFormat="0" applyAlignment="0" applyProtection="0"/>
    <xf numFmtId="0" fontId="59" fillId="47" borderId="65" applyNumberFormat="0" applyAlignment="0" applyProtection="0"/>
    <xf numFmtId="0" fontId="54" fillId="62" borderId="65" applyNumberFormat="0" applyAlignment="0" applyProtection="0"/>
    <xf numFmtId="0" fontId="28" fillId="69" borderId="66"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28" fillId="69" borderId="66" applyNumberFormat="0" applyAlignment="0" applyProtection="0"/>
    <xf numFmtId="0" fontId="74" fillId="61" borderId="67" applyNumberFormat="0" applyAlignment="0" applyProtection="0"/>
    <xf numFmtId="0" fontId="29" fillId="69" borderId="66" applyNumberFormat="0" applyProtection="0">
      <alignment vertical="top"/>
    </xf>
    <xf numFmtId="0" fontId="59" fillId="66" borderId="65" applyNumberFormat="0" applyAlignment="0" applyProtection="0"/>
    <xf numFmtId="0" fontId="54" fillId="62" borderId="65"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Protection="0">
      <alignment vertical="top"/>
    </xf>
    <xf numFmtId="0" fontId="59" fillId="47"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Alignment="0" applyProtection="0"/>
    <xf numFmtId="0" fontId="74" fillId="61" borderId="67" applyNumberFormat="0" applyAlignment="0" applyProtection="0"/>
    <xf numFmtId="0" fontId="74" fillId="62"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33" fillId="0" borderId="68" applyNumberFormat="0" applyFill="0" applyProtection="0">
      <alignment vertical="top"/>
    </xf>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54" fillId="61"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Alignment="0" applyProtection="0"/>
    <xf numFmtId="0" fontId="59" fillId="66" borderId="65" applyNumberFormat="0" applyAlignment="0" applyProtection="0"/>
    <xf numFmtId="0" fontId="54" fillId="62" borderId="65" applyNumberFormat="0" applyAlignment="0" applyProtection="0"/>
    <xf numFmtId="0" fontId="59" fillId="47" borderId="65" applyNumberFormat="0" applyAlignment="0" applyProtection="0"/>
    <xf numFmtId="0" fontId="54" fillId="61"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29" fillId="69" borderId="66" applyNumberFormat="0" applyProtection="0">
      <alignment vertical="top"/>
    </xf>
    <xf numFmtId="0" fontId="74" fillId="61" borderId="67"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66" borderId="65" applyNumberFormat="0" applyAlignment="0" applyProtection="0"/>
    <xf numFmtId="0" fontId="74" fillId="62" borderId="67" applyNumberFormat="0" applyAlignment="0" applyProtection="0"/>
    <xf numFmtId="0" fontId="28" fillId="70" borderId="66" applyNumberFormat="0" applyFont="0" applyAlignment="0" applyProtection="0"/>
    <xf numFmtId="0" fontId="54" fillId="62" borderId="65" applyNumberFormat="0" applyAlignment="0" applyProtection="0"/>
    <xf numFmtId="0" fontId="28" fillId="69" borderId="66"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28" fillId="69" borderId="66" applyNumberFormat="0" applyAlignment="0" applyProtection="0"/>
    <xf numFmtId="0" fontId="29" fillId="69" borderId="66" applyNumberFormat="0" applyProtection="0">
      <alignment vertical="top"/>
    </xf>
    <xf numFmtId="0" fontId="28" fillId="69" borderId="66" applyNumberFormat="0" applyAlignment="0" applyProtection="0"/>
    <xf numFmtId="0" fontId="28" fillId="70" borderId="66" applyNumberFormat="0" applyFont="0" applyAlignment="0" applyProtection="0"/>
    <xf numFmtId="0" fontId="28" fillId="69" borderId="66"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54" fillId="61" borderId="65" applyNumberFormat="0" applyProtection="0">
      <alignment vertical="top"/>
    </xf>
    <xf numFmtId="0" fontId="54" fillId="62" borderId="65" applyNumberFormat="0" applyAlignment="0" applyProtection="0"/>
    <xf numFmtId="0" fontId="54" fillId="61" borderId="65" applyNumberFormat="0" applyAlignment="0" applyProtection="0"/>
    <xf numFmtId="0" fontId="54" fillId="61"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54" fillId="61" borderId="65" applyNumberFormat="0" applyProtection="0">
      <alignment vertical="top"/>
    </xf>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74" fillId="62"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Alignment="0" applyProtection="0"/>
    <xf numFmtId="0" fontId="54" fillId="61"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69" borderId="66"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59" fillId="45" borderId="65" applyNumberFormat="0" applyProtection="0">
      <alignment vertical="top"/>
    </xf>
    <xf numFmtId="0" fontId="29" fillId="69" borderId="66" applyNumberFormat="0" applyProtection="0">
      <alignment vertical="top"/>
    </xf>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74" fillId="61" borderId="67"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1" borderId="65" applyNumberFormat="0" applyAlignment="0" applyProtection="0"/>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59" fillId="45" borderId="65" applyNumberFormat="0" applyProtection="0">
      <alignment vertical="top"/>
    </xf>
    <xf numFmtId="0" fontId="59" fillId="66" borderId="65" applyNumberFormat="0" applyAlignment="0" applyProtection="0"/>
    <xf numFmtId="0" fontId="33" fillId="0" borderId="68" applyNumberFormat="0" applyFill="0" applyAlignment="0" applyProtection="0"/>
    <xf numFmtId="0" fontId="59" fillId="47" borderId="65" applyNumberFormat="0" applyAlignment="0" applyProtection="0"/>
    <xf numFmtId="0" fontId="59" fillId="47"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74" fillId="62"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54" fillId="62"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66" borderId="65" applyNumberFormat="0" applyAlignment="0" applyProtection="0"/>
    <xf numFmtId="0" fontId="59" fillId="66" borderId="65" applyNumberFormat="0" applyAlignment="0" applyProtection="0"/>
    <xf numFmtId="0" fontId="74" fillId="62"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59" fillId="45" borderId="65" applyNumberFormat="0" applyProtection="0">
      <alignment vertical="top"/>
    </xf>
    <xf numFmtId="0" fontId="33" fillId="0" borderId="68" applyNumberFormat="0" applyFill="0" applyProtection="0">
      <alignment vertical="top"/>
    </xf>
    <xf numFmtId="0" fontId="28" fillId="69" borderId="66" applyNumberFormat="0" applyAlignment="0" applyProtection="0"/>
    <xf numFmtId="0" fontId="54" fillId="61" borderId="65" applyNumberFormat="0" applyProtection="0">
      <alignment vertical="top"/>
    </xf>
    <xf numFmtId="0" fontId="28" fillId="69" borderId="66" applyNumberFormat="0" applyAlignment="0" applyProtection="0"/>
    <xf numFmtId="0" fontId="33" fillId="0" borderId="68" applyNumberFormat="0" applyFill="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59" fillId="45" borderId="65" applyNumberFormat="0" applyProtection="0">
      <alignment vertical="top"/>
    </xf>
    <xf numFmtId="0" fontId="74" fillId="61" borderId="67" applyNumberFormat="0" applyAlignment="0" applyProtection="0"/>
    <xf numFmtId="0" fontId="54" fillId="61"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59" fillId="66"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74" fillId="61" borderId="67" applyNumberFormat="0" applyProtection="0">
      <alignment vertical="top"/>
    </xf>
    <xf numFmtId="0" fontId="29" fillId="69" borderId="66" applyNumberFormat="0" applyProtection="0">
      <alignment vertical="top"/>
    </xf>
    <xf numFmtId="0" fontId="74" fillId="61" borderId="67" applyNumberFormat="0" applyAlignment="0" applyProtection="0"/>
    <xf numFmtId="0" fontId="28" fillId="69" borderId="66" applyNumberFormat="0" applyAlignment="0" applyProtection="0"/>
    <xf numFmtId="0" fontId="74" fillId="62" borderId="67" applyNumberFormat="0" applyAlignment="0" applyProtection="0"/>
    <xf numFmtId="0" fontId="59" fillId="66"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Protection="0">
      <alignment vertical="top"/>
    </xf>
    <xf numFmtId="0" fontId="59" fillId="47"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54" fillId="62"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9" fillId="66"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59" fillId="47" borderId="65" applyNumberFormat="0" applyAlignment="0" applyProtection="0"/>
    <xf numFmtId="0" fontId="33" fillId="0" borderId="68" applyNumberFormat="0" applyFill="0" applyAlignment="0" applyProtection="0"/>
    <xf numFmtId="0" fontId="54" fillId="62" borderId="65" applyNumberFormat="0" applyAlignment="0" applyProtection="0"/>
    <xf numFmtId="0" fontId="28" fillId="70" borderId="66" applyNumberFormat="0" applyFont="0" applyAlignment="0" applyProtection="0"/>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74" fillId="61" borderId="67" applyNumberFormat="0" applyAlignment="0" applyProtection="0"/>
    <xf numFmtId="0" fontId="74" fillId="62" borderId="67" applyNumberFormat="0" applyAlignment="0" applyProtection="0"/>
    <xf numFmtId="0" fontId="74" fillId="62" borderId="67" applyNumberFormat="0" applyAlignment="0" applyProtection="0"/>
    <xf numFmtId="0" fontId="28" fillId="69" borderId="66"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54" fillId="62"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2" borderId="67" applyNumberFormat="0" applyAlignment="0" applyProtection="0"/>
    <xf numFmtId="0" fontId="74" fillId="61" borderId="67" applyNumberFormat="0" applyProtection="0">
      <alignment vertical="top"/>
    </xf>
    <xf numFmtId="0" fontId="33" fillId="0" borderId="68" applyNumberFormat="0" applyFill="0" applyAlignment="0" applyProtection="0"/>
    <xf numFmtId="0" fontId="59" fillId="45" borderId="65" applyNumberFormat="0" applyProtection="0">
      <alignment vertical="top"/>
    </xf>
    <xf numFmtId="0" fontId="59" fillId="45" borderId="65" applyNumberFormat="0" applyProtection="0">
      <alignment vertical="top"/>
    </xf>
    <xf numFmtId="0" fontId="74" fillId="61" borderId="67" applyNumberFormat="0" applyAlignment="0" applyProtection="0"/>
    <xf numFmtId="0" fontId="74" fillId="62" borderId="67" applyNumberFormat="0" applyAlignment="0" applyProtection="0"/>
    <xf numFmtId="0" fontId="28" fillId="69" borderId="66" applyNumberFormat="0" applyAlignment="0" applyProtection="0"/>
    <xf numFmtId="0" fontId="33" fillId="0" borderId="68" applyNumberFormat="0" applyFill="0" applyProtection="0">
      <alignment vertical="top"/>
    </xf>
    <xf numFmtId="0" fontId="28" fillId="69" borderId="66" applyNumberFormat="0" applyAlignment="0" applyProtection="0"/>
    <xf numFmtId="0" fontId="59" fillId="47" borderId="65" applyNumberFormat="0" applyAlignment="0" applyProtection="0"/>
    <xf numFmtId="0" fontId="54" fillId="61" borderId="65" applyNumberFormat="0" applyProtection="0">
      <alignment vertical="top"/>
    </xf>
    <xf numFmtId="0" fontId="74" fillId="61"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74" fillId="61" borderId="67" applyNumberFormat="0" applyProtection="0">
      <alignment vertical="top"/>
    </xf>
    <xf numFmtId="0" fontId="74" fillId="62" borderId="67"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54" fillId="61" borderId="65"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54" fillId="61" borderId="65" applyNumberFormat="0" applyProtection="0">
      <alignment vertical="top"/>
    </xf>
    <xf numFmtId="0" fontId="59" fillId="66"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2" borderId="67" applyNumberFormat="0" applyAlignment="0" applyProtection="0"/>
    <xf numFmtId="0" fontId="74" fillId="62" borderId="67" applyNumberFormat="0" applyAlignment="0" applyProtection="0"/>
    <xf numFmtId="0" fontId="74" fillId="61" borderId="67" applyNumberFormat="0" applyAlignment="0" applyProtection="0"/>
    <xf numFmtId="0" fontId="28" fillId="70" borderId="66" applyNumberFormat="0" applyFont="0" applyAlignment="0" applyProtection="0"/>
    <xf numFmtId="0" fontId="54" fillId="61" borderId="65" applyNumberFormat="0" applyAlignment="0" applyProtection="0"/>
    <xf numFmtId="0" fontId="54" fillId="62" borderId="65" applyNumberFormat="0" applyAlignment="0" applyProtection="0"/>
    <xf numFmtId="0" fontId="33" fillId="0" borderId="68" applyNumberFormat="0" applyFill="0" applyProtection="0">
      <alignment vertical="top"/>
    </xf>
    <xf numFmtId="0" fontId="28" fillId="69" borderId="66" applyNumberFormat="0" applyAlignment="0" applyProtection="0"/>
    <xf numFmtId="0" fontId="74" fillId="61" borderId="67" applyNumberFormat="0" applyProtection="0">
      <alignment vertical="top"/>
    </xf>
    <xf numFmtId="0" fontId="28" fillId="69" borderId="66" applyNumberFormat="0" applyAlignment="0" applyProtection="0"/>
    <xf numFmtId="0" fontId="28" fillId="69" borderId="66" applyNumberFormat="0" applyAlignment="0" applyProtection="0"/>
    <xf numFmtId="0" fontId="74" fillId="62" borderId="67" applyNumberFormat="0" applyAlignment="0" applyProtection="0"/>
    <xf numFmtId="0" fontId="74" fillId="61" borderId="67" applyNumberFormat="0" applyAlignment="0" applyProtection="0"/>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Alignment="0" applyProtection="0"/>
    <xf numFmtId="0" fontId="74" fillId="61" borderId="67" applyNumberFormat="0" applyAlignment="0" applyProtection="0"/>
    <xf numFmtId="0" fontId="29" fillId="69" borderId="66" applyNumberFormat="0" applyProtection="0">
      <alignment vertical="top"/>
    </xf>
    <xf numFmtId="0" fontId="28" fillId="69" borderId="66" applyNumberFormat="0" applyAlignment="0" applyProtection="0"/>
    <xf numFmtId="0" fontId="54" fillId="62" borderId="65" applyNumberFormat="0" applyAlignment="0" applyProtection="0"/>
    <xf numFmtId="0" fontId="59" fillId="47"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Alignment="0" applyProtection="0"/>
    <xf numFmtId="0" fontId="74" fillId="62" borderId="67" applyNumberFormat="0" applyAlignment="0" applyProtection="0"/>
    <xf numFmtId="0" fontId="28" fillId="70" borderId="66" applyNumberFormat="0" applyFont="0" applyAlignment="0" applyProtection="0"/>
    <xf numFmtId="0" fontId="59" fillId="66" borderId="65" applyNumberFormat="0" applyAlignment="0" applyProtection="0"/>
    <xf numFmtId="0" fontId="54" fillId="61" borderId="65" applyNumberFormat="0" applyAlignment="0" applyProtection="0"/>
    <xf numFmtId="0" fontId="28" fillId="69" borderId="66"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74" fillId="62" borderId="67"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59" fillId="66" borderId="65" applyNumberFormat="0" applyAlignment="0" applyProtection="0"/>
    <xf numFmtId="0" fontId="28" fillId="69" borderId="66" applyNumberFormat="0" applyAlignment="0" applyProtection="0"/>
    <xf numFmtId="0" fontId="74" fillId="61" borderId="67" applyNumberFormat="0" applyAlignment="0" applyProtection="0"/>
    <xf numFmtId="0" fontId="74" fillId="61" borderId="67" applyNumberFormat="0" applyProtection="0">
      <alignment vertical="top"/>
    </xf>
    <xf numFmtId="0" fontId="54" fillId="62" borderId="65" applyNumberFormat="0" applyAlignment="0" applyProtection="0"/>
    <xf numFmtId="0" fontId="59" fillId="66"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54" fillId="61" borderId="65" applyNumberFormat="0" applyAlignment="0" applyProtection="0"/>
    <xf numFmtId="0" fontId="28" fillId="69" borderId="66"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Protection="0">
      <alignment vertical="top"/>
    </xf>
    <xf numFmtId="0" fontId="28" fillId="70" borderId="66" applyNumberFormat="0" applyFont="0" applyAlignment="0" applyProtection="0"/>
    <xf numFmtId="0" fontId="74" fillId="61" borderId="67" applyNumberFormat="0" applyProtection="0">
      <alignment vertical="top"/>
    </xf>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74" fillId="61" borderId="67" applyNumberFormat="0" applyProtection="0">
      <alignment vertical="top"/>
    </xf>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59" fillId="47" borderId="65" applyNumberFormat="0" applyAlignment="0" applyProtection="0"/>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28" fillId="70" borderId="66" applyNumberFormat="0" applyFont="0" applyAlignment="0" applyProtection="0"/>
    <xf numFmtId="0" fontId="59" fillId="66"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54" fillId="62" borderId="65" applyNumberFormat="0" applyAlignment="0" applyProtection="0"/>
    <xf numFmtId="0" fontId="74" fillId="61" borderId="67" applyNumberFormat="0" applyAlignment="0" applyProtection="0"/>
    <xf numFmtId="0" fontId="29" fillId="69" borderId="66" applyNumberFormat="0" applyProtection="0">
      <alignment vertical="top"/>
    </xf>
    <xf numFmtId="0" fontId="54" fillId="61"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9" fillId="47"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54" fillId="62"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59" fillId="66" borderId="65" applyNumberFormat="0" applyAlignment="0" applyProtection="0"/>
    <xf numFmtId="0" fontId="33" fillId="0" borderId="68" applyNumberFormat="0" applyFill="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66"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74" fillId="61" borderId="67" applyNumberFormat="0" applyAlignment="0" applyProtection="0"/>
    <xf numFmtId="0" fontId="54" fillId="62"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74" fillId="61" borderId="67" applyNumberFormat="0" applyProtection="0">
      <alignment vertical="top"/>
    </xf>
    <xf numFmtId="0" fontId="33" fillId="0" borderId="68" applyNumberFormat="0" applyFill="0" applyAlignment="0" applyProtection="0"/>
    <xf numFmtId="0" fontId="59" fillId="47"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45" borderId="65" applyNumberFormat="0" applyProtection="0">
      <alignment vertical="top"/>
    </xf>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9" fillId="47" borderId="65"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28" fillId="70" borderId="66" applyNumberFormat="0" applyFont="0" applyAlignment="0" applyProtection="0"/>
    <xf numFmtId="0" fontId="54" fillId="62"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54" fillId="62"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29" fillId="69" borderId="66" applyNumberFormat="0" applyProtection="0">
      <alignment vertical="top"/>
    </xf>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29" fillId="69" borderId="66" applyNumberFormat="0" applyProtection="0">
      <alignment vertical="top"/>
    </xf>
    <xf numFmtId="0" fontId="33" fillId="0" borderId="68" applyNumberFormat="0" applyFill="0" applyProtection="0">
      <alignment vertical="top"/>
    </xf>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Protection="0">
      <alignment vertical="top"/>
    </xf>
    <xf numFmtId="0" fontId="59" fillId="47"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54" fillId="61" borderId="65" applyNumberFormat="0" applyProtection="0">
      <alignment vertical="top"/>
    </xf>
    <xf numFmtId="0" fontId="59" fillId="66" borderId="65" applyNumberForma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54" fillId="61" borderId="65"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59" fillId="66" borderId="65" applyNumberFormat="0" applyAlignment="0" applyProtection="0"/>
    <xf numFmtId="0" fontId="59" fillId="45" borderId="65" applyNumberFormat="0" applyProtection="0">
      <alignment vertical="top"/>
    </xf>
    <xf numFmtId="0" fontId="59" fillId="66"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28" fillId="70" borderId="66" applyNumberFormat="0" applyFont="0" applyAlignment="0" applyProtection="0"/>
    <xf numFmtId="0" fontId="29" fillId="69" borderId="66" applyNumberFormat="0" applyProtection="0">
      <alignment vertical="top"/>
    </xf>
    <xf numFmtId="0" fontId="54" fillId="61" borderId="65" applyNumberFormat="0" applyProtection="0">
      <alignment vertical="top"/>
    </xf>
    <xf numFmtId="0" fontId="54" fillId="62" borderId="65"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74" fillId="61" borderId="67" applyNumberFormat="0" applyAlignment="0" applyProtection="0"/>
    <xf numFmtId="0" fontId="74" fillId="61"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74" fillId="61" borderId="67"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33" fillId="0" borderId="68" applyNumberFormat="0" applyFill="0" applyProtection="0">
      <alignment vertical="top"/>
    </xf>
    <xf numFmtId="0" fontId="54" fillId="62"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59" fillId="47" borderId="65" applyNumberFormat="0" applyAlignment="0" applyProtection="0"/>
    <xf numFmtId="0" fontId="54" fillId="62" borderId="65" applyNumberFormat="0" applyAlignment="0" applyProtection="0"/>
    <xf numFmtId="0" fontId="54" fillId="62" borderId="65" applyNumberFormat="0" applyAlignment="0" applyProtection="0"/>
    <xf numFmtId="0" fontId="33" fillId="0" borderId="68" applyNumberFormat="0" applyFill="0" applyAlignment="0" applyProtection="0"/>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9" fillId="47" borderId="65" applyNumberFormat="0" applyAlignment="0" applyProtection="0"/>
    <xf numFmtId="0" fontId="59" fillId="47" borderId="65" applyNumberFormat="0" applyAlignment="0" applyProtection="0"/>
    <xf numFmtId="0" fontId="54" fillId="62" borderId="65" applyNumberFormat="0" applyAlignment="0" applyProtection="0"/>
    <xf numFmtId="0" fontId="28" fillId="69" borderId="66"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59" fillId="45" borderId="65" applyNumberFormat="0" applyProtection="0">
      <alignment vertical="top"/>
    </xf>
    <xf numFmtId="0" fontId="28" fillId="69" borderId="66" applyNumberFormat="0" applyAlignment="0" applyProtection="0"/>
    <xf numFmtId="0" fontId="74" fillId="61" borderId="67" applyNumberFormat="0" applyAlignment="0" applyProtection="0"/>
    <xf numFmtId="0" fontId="29" fillId="69" borderId="66" applyNumberFormat="0" applyProtection="0">
      <alignment vertical="top"/>
    </xf>
    <xf numFmtId="0" fontId="59" fillId="66" borderId="65" applyNumberFormat="0" applyAlignment="0" applyProtection="0"/>
    <xf numFmtId="0" fontId="54" fillId="62" borderId="65" applyNumberFormat="0" applyAlignment="0" applyProtection="0"/>
    <xf numFmtId="0" fontId="33" fillId="0" borderId="68" applyNumberFormat="0" applyFill="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Protection="0">
      <alignment vertical="top"/>
    </xf>
    <xf numFmtId="0" fontId="59" fillId="47"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74" fillId="61"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Alignment="0" applyProtection="0"/>
    <xf numFmtId="0" fontId="74" fillId="61" borderId="67" applyNumberFormat="0" applyAlignment="0" applyProtection="0"/>
    <xf numFmtId="0" fontId="74" fillId="62"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47" borderId="65" applyNumberFormat="0" applyAlignment="0" applyProtection="0"/>
    <xf numFmtId="0" fontId="54" fillId="61" borderId="65"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33" fillId="0" borderId="68" applyNumberFormat="0" applyFill="0" applyProtection="0">
      <alignment vertical="top"/>
    </xf>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54" fillId="61"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54" fillId="61" borderId="65" applyNumberFormat="0" applyProtection="0">
      <alignment vertical="top"/>
    </xf>
    <xf numFmtId="0" fontId="59" fillId="66" borderId="65" applyNumberFormat="0" applyAlignment="0" applyProtection="0"/>
    <xf numFmtId="0" fontId="59" fillId="66"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74" fillId="61" borderId="67" applyNumberFormat="0" applyProtection="0">
      <alignment vertical="top"/>
    </xf>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74" fillId="62" borderId="67" applyNumberForma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Alignment="0" applyProtection="0"/>
    <xf numFmtId="0" fontId="59" fillId="66" borderId="65" applyNumberFormat="0" applyAlignment="0" applyProtection="0"/>
    <xf numFmtId="0" fontId="54" fillId="62" borderId="65" applyNumberFormat="0" applyAlignment="0" applyProtection="0"/>
    <xf numFmtId="0" fontId="59" fillId="47" borderId="65" applyNumberFormat="0" applyAlignment="0" applyProtection="0"/>
    <xf numFmtId="0" fontId="54" fillId="61"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Alignment="0" applyProtection="0"/>
    <xf numFmtId="0" fontId="54" fillId="61"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59" fillId="47" borderId="65"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29" fillId="69" borderId="66" applyNumberFormat="0" applyProtection="0">
      <alignment vertical="top"/>
    </xf>
    <xf numFmtId="0" fontId="74" fillId="61" borderId="67"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66" borderId="65" applyNumberFormat="0" applyAlignment="0" applyProtection="0"/>
    <xf numFmtId="0" fontId="74" fillId="62" borderId="67" applyNumberFormat="0" applyAlignment="0" applyProtection="0"/>
    <xf numFmtId="0" fontId="28" fillId="70" borderId="66" applyNumberFormat="0" applyFont="0" applyAlignment="0" applyProtection="0"/>
    <xf numFmtId="0" fontId="54" fillId="62" borderId="65" applyNumberFormat="0" applyAlignment="0" applyProtection="0"/>
    <xf numFmtId="0" fontId="28" fillId="69" borderId="66"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9" fillId="66" borderId="65" applyNumberFormat="0" applyAlignment="0" applyProtection="0"/>
    <xf numFmtId="0" fontId="28" fillId="69" borderId="66" applyNumberFormat="0" applyAlignment="0" applyProtection="0"/>
    <xf numFmtId="0" fontId="29" fillId="69" borderId="66" applyNumberFormat="0" applyProtection="0">
      <alignment vertical="top"/>
    </xf>
    <xf numFmtId="0" fontId="28" fillId="69" borderId="66" applyNumberFormat="0" applyAlignment="0" applyProtection="0"/>
    <xf numFmtId="0" fontId="28" fillId="70" borderId="66" applyNumberFormat="0" applyFont="0" applyAlignment="0" applyProtection="0"/>
    <xf numFmtId="0" fontId="28" fillId="69" borderId="66" applyNumberFormat="0" applyAlignment="0" applyProtection="0"/>
    <xf numFmtId="0" fontId="29" fillId="69" borderId="66" applyNumberFormat="0" applyProtection="0">
      <alignment vertical="top"/>
    </xf>
    <xf numFmtId="0" fontId="33" fillId="0" borderId="68" applyNumberFormat="0" applyFill="0" applyProtection="0">
      <alignment vertical="top"/>
    </xf>
    <xf numFmtId="0" fontId="54" fillId="61" borderId="65" applyNumberFormat="0" applyProtection="0">
      <alignment vertical="top"/>
    </xf>
    <xf numFmtId="0" fontId="54" fillId="62" borderId="65" applyNumberFormat="0" applyAlignment="0" applyProtection="0"/>
    <xf numFmtId="0" fontId="54" fillId="61" borderId="65" applyNumberFormat="0" applyAlignment="0" applyProtection="0"/>
    <xf numFmtId="0" fontId="54" fillId="61" borderId="65" applyNumberFormat="0" applyAlignment="0" applyProtection="0"/>
    <xf numFmtId="0" fontId="54" fillId="61" borderId="65" applyNumberFormat="0" applyAlignment="0" applyProtection="0"/>
    <xf numFmtId="0" fontId="74" fillId="61" borderId="67" applyNumberFormat="0" applyProtection="0">
      <alignment vertical="top"/>
    </xf>
    <xf numFmtId="0" fontId="54" fillId="61" borderId="65" applyNumberFormat="0" applyProtection="0">
      <alignment vertical="top"/>
    </xf>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74" fillId="62" borderId="67" applyNumberFormat="0" applyAlignment="0" applyProtection="0"/>
    <xf numFmtId="0" fontId="54" fillId="62" borderId="65" applyNumberFormat="0" applyAlignment="0" applyProtection="0"/>
    <xf numFmtId="0" fontId="54" fillId="61" borderId="65" applyNumberFormat="0" applyProtection="0">
      <alignment vertical="top"/>
    </xf>
    <xf numFmtId="0" fontId="54" fillId="61" borderId="65" applyNumberFormat="0" applyAlignment="0" applyProtection="0"/>
    <xf numFmtId="0" fontId="54" fillId="61" borderId="65" applyNumberFormat="0" applyAlignment="0" applyProtection="0"/>
    <xf numFmtId="0" fontId="54" fillId="62" borderId="65" applyNumberFormat="0" applyAlignment="0" applyProtection="0"/>
    <xf numFmtId="0" fontId="59" fillId="45" borderId="65" applyNumberFormat="0" applyProtection="0">
      <alignment vertical="top"/>
    </xf>
    <xf numFmtId="0" fontId="28" fillId="69" borderId="66"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54" fillId="61" borderId="65" applyNumberFormat="0" applyProtection="0">
      <alignment vertical="top"/>
    </xf>
    <xf numFmtId="0" fontId="54" fillId="62" borderId="65" applyNumberFormat="0" applyAlignment="0" applyProtection="0"/>
    <xf numFmtId="0" fontId="54" fillId="61"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74" fillId="61" borderId="67" applyNumberFormat="0" applyProtection="0">
      <alignment vertical="top"/>
    </xf>
    <xf numFmtId="0" fontId="74" fillId="62" borderId="67" applyNumberFormat="0" applyAlignment="0" applyProtection="0"/>
    <xf numFmtId="0" fontId="59" fillId="45" borderId="65" applyNumberFormat="0" applyProtection="0">
      <alignment vertical="top"/>
    </xf>
    <xf numFmtId="0" fontId="29" fillId="69" borderId="66" applyNumberFormat="0" applyProtection="0">
      <alignment vertical="top"/>
    </xf>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74" fillId="61" borderId="67"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54" fillId="61" borderId="65" applyNumberFormat="0" applyAlignment="0" applyProtection="0"/>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59" fillId="45" borderId="65" applyNumberFormat="0" applyProtection="0">
      <alignment vertical="top"/>
    </xf>
    <xf numFmtId="0" fontId="59" fillId="66" borderId="65" applyNumberFormat="0" applyAlignment="0" applyProtection="0"/>
    <xf numFmtId="0" fontId="33" fillId="0" borderId="68" applyNumberFormat="0" applyFill="0" applyAlignment="0" applyProtection="0"/>
    <xf numFmtId="0" fontId="59" fillId="47" borderId="65" applyNumberFormat="0" applyAlignment="0" applyProtection="0"/>
    <xf numFmtId="0" fontId="59" fillId="47"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74" fillId="62" borderId="67" applyNumberFormat="0" applyAlignment="0" applyProtection="0"/>
    <xf numFmtId="0" fontId="33" fillId="0" borderId="68" applyNumberFormat="0" applyFill="0" applyProtection="0">
      <alignment vertical="top"/>
    </xf>
    <xf numFmtId="0" fontId="74" fillId="62" borderId="67" applyNumberFormat="0" applyAlignment="0" applyProtection="0"/>
    <xf numFmtId="0" fontId="28" fillId="70" borderId="66" applyNumberFormat="0" applyFont="0" applyAlignment="0" applyProtection="0"/>
    <xf numFmtId="0" fontId="29" fillId="69" borderId="66" applyNumberFormat="0" applyProtection="0">
      <alignment vertical="top"/>
    </xf>
    <xf numFmtId="0" fontId="54" fillId="62"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66" borderId="65" applyNumberFormat="0" applyAlignment="0" applyProtection="0"/>
    <xf numFmtId="0" fontId="59" fillId="66" borderId="65" applyNumberFormat="0" applyAlignment="0" applyProtection="0"/>
    <xf numFmtId="0" fontId="74" fillId="62"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59" fillId="45" borderId="65" applyNumberFormat="0" applyProtection="0">
      <alignment vertical="top"/>
    </xf>
    <xf numFmtId="0" fontId="33" fillId="0" borderId="68" applyNumberFormat="0" applyFill="0" applyProtection="0">
      <alignment vertical="top"/>
    </xf>
    <xf numFmtId="0" fontId="28" fillId="69" borderId="66" applyNumberFormat="0" applyAlignment="0" applyProtection="0"/>
    <xf numFmtId="0" fontId="54" fillId="61" borderId="65" applyNumberFormat="0" applyProtection="0">
      <alignment vertical="top"/>
    </xf>
    <xf numFmtId="0" fontId="28" fillId="69" borderId="66" applyNumberFormat="0" applyAlignment="0" applyProtection="0"/>
    <xf numFmtId="0" fontId="33" fillId="0" borderId="68" applyNumberFormat="0" applyFill="0" applyProtection="0">
      <alignment vertical="top"/>
    </xf>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2"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54" fillId="62" borderId="65" applyNumberFormat="0" applyAlignment="0" applyProtection="0"/>
    <xf numFmtId="0" fontId="74" fillId="62" borderId="67" applyNumberFormat="0" applyAlignment="0" applyProtection="0"/>
    <xf numFmtId="0" fontId="33" fillId="0" borderId="68" applyNumberFormat="0" applyFill="0" applyProtection="0">
      <alignment vertical="top"/>
    </xf>
    <xf numFmtId="0" fontId="29" fillId="69" borderId="66" applyNumberFormat="0" applyProtection="0">
      <alignment vertical="top"/>
    </xf>
    <xf numFmtId="0" fontId="59" fillId="45" borderId="65" applyNumberFormat="0" applyProtection="0">
      <alignment vertical="top"/>
    </xf>
    <xf numFmtId="0" fontId="74" fillId="61" borderId="67" applyNumberFormat="0" applyAlignment="0" applyProtection="0"/>
    <xf numFmtId="0" fontId="54" fillId="61"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59" fillId="66"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54" fillId="61" borderId="65" applyNumberFormat="0" applyProtection="0">
      <alignment vertical="top"/>
    </xf>
    <xf numFmtId="0" fontId="74" fillId="61" borderId="67" applyNumberFormat="0" applyProtection="0">
      <alignment vertical="top"/>
    </xf>
    <xf numFmtId="0" fontId="29" fillId="69" borderId="66" applyNumberFormat="0" applyProtection="0">
      <alignment vertical="top"/>
    </xf>
    <xf numFmtId="0" fontId="74" fillId="61" borderId="67" applyNumberFormat="0" applyAlignment="0" applyProtection="0"/>
    <xf numFmtId="0" fontId="28" fillId="69" borderId="66" applyNumberFormat="0" applyAlignment="0" applyProtection="0"/>
    <xf numFmtId="0" fontId="74" fillId="62" borderId="67" applyNumberFormat="0" applyAlignment="0" applyProtection="0"/>
    <xf numFmtId="0" fontId="59" fillId="66" borderId="65" applyNumberFormat="0" applyAlignment="0" applyProtection="0"/>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33" fillId="0" borderId="68" applyNumberFormat="0" applyFill="0" applyProtection="0">
      <alignment vertical="top"/>
    </xf>
    <xf numFmtId="0" fontId="59" fillId="47"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54" fillId="62"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59" fillId="66" borderId="65" applyNumberFormat="0" applyAlignment="0" applyProtection="0"/>
    <xf numFmtId="0" fontId="59" fillId="66" borderId="65" applyNumberFormat="0" applyAlignment="0" applyProtection="0"/>
    <xf numFmtId="0" fontId="28" fillId="70" borderId="66" applyNumberFormat="0" applyFont="0" applyAlignment="0" applyProtection="0"/>
    <xf numFmtId="0" fontId="59" fillId="47" borderId="65" applyNumberFormat="0" applyAlignment="0" applyProtection="0"/>
    <xf numFmtId="0" fontId="33" fillId="0" borderId="68" applyNumberFormat="0" applyFill="0" applyAlignment="0" applyProtection="0"/>
    <xf numFmtId="0" fontId="54" fillId="62" borderId="65" applyNumberFormat="0" applyAlignment="0" applyProtection="0"/>
    <xf numFmtId="0" fontId="28" fillId="70" borderId="66" applyNumberFormat="0" applyFont="0" applyAlignment="0" applyProtection="0"/>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74" fillId="61" borderId="67" applyNumberFormat="0" applyProtection="0">
      <alignment vertical="top"/>
    </xf>
    <xf numFmtId="0" fontId="74" fillId="61" borderId="67" applyNumberFormat="0" applyAlignment="0" applyProtection="0"/>
    <xf numFmtId="0" fontId="54" fillId="61" borderId="65" applyNumberFormat="0" applyProtection="0">
      <alignment vertical="top"/>
    </xf>
    <xf numFmtId="0" fontId="59" fillId="45" borderId="65" applyNumberFormat="0" applyProtection="0">
      <alignment vertical="top"/>
    </xf>
    <xf numFmtId="0" fontId="74" fillId="61" borderId="67" applyNumberFormat="0" applyAlignment="0" applyProtection="0"/>
    <xf numFmtId="0" fontId="74" fillId="62" borderId="67" applyNumberFormat="0" applyAlignment="0" applyProtection="0"/>
    <xf numFmtId="0" fontId="74" fillId="62" borderId="67" applyNumberFormat="0" applyAlignment="0" applyProtection="0"/>
    <xf numFmtId="0" fontId="28" fillId="69" borderId="66"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Alignment="0" applyProtection="0"/>
    <xf numFmtId="0" fontId="28" fillId="70" borderId="66" applyNumberFormat="0" applyFont="0" applyAlignment="0" applyProtection="0"/>
    <xf numFmtId="0" fontId="54" fillId="62"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2" borderId="67" applyNumberFormat="0" applyAlignment="0" applyProtection="0"/>
    <xf numFmtId="0" fontId="74" fillId="61" borderId="67" applyNumberFormat="0" applyProtection="0">
      <alignment vertical="top"/>
    </xf>
    <xf numFmtId="0" fontId="33" fillId="0" borderId="68" applyNumberFormat="0" applyFill="0" applyAlignment="0" applyProtection="0"/>
    <xf numFmtId="0" fontId="59" fillId="45" borderId="65" applyNumberFormat="0" applyProtection="0">
      <alignment vertical="top"/>
    </xf>
    <xf numFmtId="0" fontId="59" fillId="45" borderId="65" applyNumberFormat="0" applyProtection="0">
      <alignment vertical="top"/>
    </xf>
    <xf numFmtId="0" fontId="74" fillId="61" borderId="67" applyNumberFormat="0" applyAlignment="0" applyProtection="0"/>
    <xf numFmtId="0" fontId="74" fillId="62" borderId="67" applyNumberFormat="0" applyAlignment="0" applyProtection="0"/>
    <xf numFmtId="0" fontId="28" fillId="69" borderId="66" applyNumberFormat="0" applyAlignment="0" applyProtection="0"/>
    <xf numFmtId="0" fontId="33" fillId="0" borderId="68" applyNumberFormat="0" applyFill="0" applyProtection="0">
      <alignment vertical="top"/>
    </xf>
    <xf numFmtId="0" fontId="28" fillId="69" borderId="66" applyNumberFormat="0" applyAlignment="0" applyProtection="0"/>
    <xf numFmtId="0" fontId="59" fillId="47" borderId="65" applyNumberFormat="0" applyAlignment="0" applyProtection="0"/>
    <xf numFmtId="0" fontId="54" fillId="61" borderId="65" applyNumberFormat="0" applyProtection="0">
      <alignment vertical="top"/>
    </xf>
    <xf numFmtId="0" fontId="74" fillId="61" borderId="67" applyNumberFormat="0" applyAlignment="0" applyProtection="0"/>
    <xf numFmtId="0" fontId="74" fillId="61" borderId="67"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74" fillId="61" borderId="67" applyNumberFormat="0" applyProtection="0">
      <alignment vertical="top"/>
    </xf>
    <xf numFmtId="0" fontId="74" fillId="62" borderId="67"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54" fillId="61" borderId="65" applyNumberFormat="0" applyAlignment="0" applyProtection="0"/>
    <xf numFmtId="0" fontId="74" fillId="61" borderId="67"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54" fillId="61" borderId="65"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28" fillId="70" borderId="66" applyNumberFormat="0" applyFont="0" applyAlignment="0" applyProtection="0"/>
    <xf numFmtId="0" fontId="59" fillId="45" borderId="65" applyNumberFormat="0" applyProtection="0">
      <alignment vertical="top"/>
    </xf>
    <xf numFmtId="0" fontId="54" fillId="61" borderId="65" applyNumberFormat="0" applyProtection="0">
      <alignment vertical="top"/>
    </xf>
    <xf numFmtId="0" fontId="59" fillId="66" borderId="65" applyNumberFormat="0" applyAlignment="0" applyProtection="0"/>
    <xf numFmtId="0" fontId="28" fillId="70" borderId="66" applyNumberFormat="0" applyFont="0" applyAlignment="0" applyProtection="0"/>
    <xf numFmtId="0" fontId="74" fillId="62" borderId="67" applyNumberFormat="0" applyAlignment="0" applyProtection="0"/>
    <xf numFmtId="0" fontId="28" fillId="70" borderId="66" applyNumberFormat="0" applyFont="0" applyAlignment="0" applyProtection="0"/>
    <xf numFmtId="0" fontId="28" fillId="69" borderId="66" applyNumberFormat="0" applyAlignment="0" applyProtection="0"/>
    <xf numFmtId="0" fontId="74" fillId="62" borderId="67" applyNumberFormat="0" applyAlignment="0" applyProtection="0"/>
    <xf numFmtId="0" fontId="74" fillId="62" borderId="67" applyNumberFormat="0" applyAlignment="0" applyProtection="0"/>
    <xf numFmtId="0" fontId="74" fillId="61" borderId="67" applyNumberFormat="0" applyAlignment="0" applyProtection="0"/>
    <xf numFmtId="0" fontId="28" fillId="70" borderId="66" applyNumberFormat="0" applyFont="0" applyAlignment="0" applyProtection="0"/>
    <xf numFmtId="0" fontId="54" fillId="61" borderId="65" applyNumberFormat="0" applyAlignment="0" applyProtection="0"/>
    <xf numFmtId="0" fontId="54" fillId="62" borderId="65" applyNumberFormat="0" applyAlignment="0" applyProtection="0"/>
    <xf numFmtId="0" fontId="33" fillId="0" borderId="68" applyNumberFormat="0" applyFill="0" applyProtection="0">
      <alignment vertical="top"/>
    </xf>
    <xf numFmtId="0" fontId="28" fillId="69" borderId="66" applyNumberFormat="0" applyAlignment="0" applyProtection="0"/>
    <xf numFmtId="0" fontId="74" fillId="61" borderId="67" applyNumberFormat="0" applyProtection="0">
      <alignment vertical="top"/>
    </xf>
    <xf numFmtId="0" fontId="28" fillId="69" borderId="66" applyNumberFormat="0" applyAlignment="0" applyProtection="0"/>
    <xf numFmtId="0" fontId="28" fillId="69" borderId="66" applyNumberFormat="0" applyAlignment="0" applyProtection="0"/>
    <xf numFmtId="0" fontId="74" fillId="62" borderId="67" applyNumberFormat="0" applyAlignment="0" applyProtection="0"/>
    <xf numFmtId="0" fontId="74" fillId="61" borderId="67" applyNumberFormat="0" applyAlignment="0" applyProtection="0"/>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74" fillId="61" borderId="67" applyNumberFormat="0" applyProtection="0">
      <alignment vertical="top"/>
    </xf>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Alignment="0" applyProtection="0"/>
    <xf numFmtId="0" fontId="74" fillId="61" borderId="67" applyNumberFormat="0" applyAlignment="0" applyProtection="0"/>
    <xf numFmtId="0" fontId="29" fillId="69" borderId="66" applyNumberFormat="0" applyProtection="0">
      <alignment vertical="top"/>
    </xf>
    <xf numFmtId="0" fontId="28" fillId="69" borderId="66" applyNumberFormat="0" applyAlignment="0" applyProtection="0"/>
    <xf numFmtId="0" fontId="54" fillId="62" borderId="65" applyNumberFormat="0" applyAlignment="0" applyProtection="0"/>
    <xf numFmtId="0" fontId="59" fillId="47" borderId="65" applyNumberFormat="0" applyAlignment="0" applyProtection="0"/>
    <xf numFmtId="0" fontId="59" fillId="66" borderId="65"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Alignment="0" applyProtection="0"/>
    <xf numFmtId="0" fontId="74" fillId="62" borderId="67" applyNumberFormat="0" applyAlignment="0" applyProtection="0"/>
    <xf numFmtId="0" fontId="28" fillId="70" borderId="66" applyNumberFormat="0" applyFont="0" applyAlignment="0" applyProtection="0"/>
    <xf numFmtId="0" fontId="59" fillId="66" borderId="65" applyNumberFormat="0" applyAlignment="0" applyProtection="0"/>
    <xf numFmtId="0" fontId="54" fillId="61" borderId="65" applyNumberFormat="0" applyAlignment="0" applyProtection="0"/>
    <xf numFmtId="0" fontId="28" fillId="69" borderId="66" applyNumberFormat="0" applyAlignment="0" applyProtection="0"/>
    <xf numFmtId="0" fontId="33" fillId="0" borderId="68" applyNumberFormat="0" applyFill="0" applyProtection="0">
      <alignment vertical="top"/>
    </xf>
    <xf numFmtId="0" fontId="54" fillId="61" borderId="65" applyNumberFormat="0" applyProtection="0">
      <alignment vertical="top"/>
    </xf>
    <xf numFmtId="0" fontId="74" fillId="62" borderId="67" applyNumberFormat="0" applyAlignment="0" applyProtection="0"/>
    <xf numFmtId="0" fontId="28" fillId="70" borderId="66" applyNumberFormat="0" applyFont="0" applyAlignment="0" applyProtection="0"/>
    <xf numFmtId="0" fontId="74" fillId="61" borderId="67" applyNumberFormat="0" applyProtection="0">
      <alignment vertical="top"/>
    </xf>
    <xf numFmtId="0" fontId="59" fillId="66" borderId="65" applyNumberFormat="0" applyAlignment="0" applyProtection="0"/>
    <xf numFmtId="0" fontId="28" fillId="69" borderId="66" applyNumberFormat="0" applyAlignment="0" applyProtection="0"/>
    <xf numFmtId="0" fontId="74" fillId="61" borderId="67" applyNumberFormat="0" applyAlignment="0" applyProtection="0"/>
    <xf numFmtId="0" fontId="74" fillId="61" borderId="67" applyNumberFormat="0" applyProtection="0">
      <alignment vertical="top"/>
    </xf>
    <xf numFmtId="0" fontId="54" fillId="62" borderId="65" applyNumberFormat="0" applyAlignment="0" applyProtection="0"/>
    <xf numFmtId="0" fontId="59" fillId="66"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54" fillId="61" borderId="65" applyNumberFormat="0" applyAlignment="0" applyProtection="0"/>
    <xf numFmtId="0" fontId="28" fillId="69" borderId="66"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Protection="0">
      <alignment vertical="top"/>
    </xf>
    <xf numFmtId="0" fontId="28" fillId="70" borderId="66" applyNumberFormat="0" applyFont="0" applyAlignment="0" applyProtection="0"/>
    <xf numFmtId="0" fontId="74" fillId="61" borderId="67" applyNumberFormat="0" applyProtection="0">
      <alignment vertical="top"/>
    </xf>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59" fillId="66" borderId="65" applyNumberFormat="0" applyAlignment="0" applyProtection="0"/>
    <xf numFmtId="0" fontId="74" fillId="61" borderId="67" applyNumberFormat="0" applyProtection="0">
      <alignment vertical="top"/>
    </xf>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28" fillId="70" borderId="66" applyNumberFormat="0" applyFont="0" applyAlignment="0" applyProtection="0"/>
    <xf numFmtId="0" fontId="29" fillId="69" borderId="66" applyNumberFormat="0" applyProtection="0">
      <alignment vertical="top"/>
    </xf>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45"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59" fillId="47" borderId="65" applyNumberFormat="0" applyAlignment="0" applyProtection="0"/>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Alignment="0" applyProtection="0"/>
    <xf numFmtId="0" fontId="28" fillId="70" borderId="66" applyNumberFormat="0" applyFont="0" applyAlignment="0" applyProtection="0"/>
    <xf numFmtId="0" fontId="59" fillId="66"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Protection="0">
      <alignment vertical="top"/>
    </xf>
    <xf numFmtId="0" fontId="74" fillId="61" borderId="67" applyNumberFormat="0" applyProtection="0">
      <alignment vertical="top"/>
    </xf>
    <xf numFmtId="0" fontId="74" fillId="62" borderId="67" applyNumberFormat="0" applyAlignment="0" applyProtection="0"/>
    <xf numFmtId="0" fontId="54" fillId="61" borderId="65" applyNumberFormat="0" applyProtection="0">
      <alignment vertical="top"/>
    </xf>
    <xf numFmtId="0" fontId="54" fillId="61" borderId="65" applyNumberFormat="0" applyProtection="0">
      <alignment vertical="top"/>
    </xf>
    <xf numFmtId="0" fontId="74" fillId="61" borderId="67" applyNumberFormat="0" applyProtection="0">
      <alignment vertical="top"/>
    </xf>
    <xf numFmtId="0" fontId="54" fillId="62" borderId="65" applyNumberFormat="0" applyAlignment="0" applyProtection="0"/>
    <xf numFmtId="0" fontId="74" fillId="61" borderId="67" applyNumberFormat="0" applyAlignment="0" applyProtection="0"/>
    <xf numFmtId="0" fontId="29" fillId="69" borderId="66" applyNumberFormat="0" applyProtection="0">
      <alignment vertical="top"/>
    </xf>
    <xf numFmtId="0" fontId="54" fillId="61" borderId="65" applyNumberFormat="0" applyAlignment="0" applyProtection="0"/>
    <xf numFmtId="0" fontId="74" fillId="62" borderId="67" applyNumberFormat="0" applyAlignment="0" applyProtection="0"/>
    <xf numFmtId="0" fontId="54" fillId="61" borderId="65" applyNumberFormat="0" applyProtection="0">
      <alignment vertical="top"/>
    </xf>
    <xf numFmtId="0" fontId="59" fillId="47" borderId="65" applyNumberFormat="0" applyAlignment="0" applyProtection="0"/>
    <xf numFmtId="0" fontId="74" fillId="61" borderId="67" applyNumberFormat="0" applyAlignment="0" applyProtection="0"/>
    <xf numFmtId="0" fontId="59" fillId="45" borderId="65" applyNumberFormat="0" applyProtection="0">
      <alignment vertical="top"/>
    </xf>
    <xf numFmtId="0" fontId="28" fillId="69" borderId="66" applyNumberFormat="0" applyAlignment="0" applyProtection="0"/>
    <xf numFmtId="0" fontId="74" fillId="62"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54" fillId="62"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59" fillId="66" borderId="65" applyNumberFormat="0" applyAlignment="0" applyProtection="0"/>
    <xf numFmtId="0" fontId="33" fillId="0" borderId="68" applyNumberFormat="0" applyFill="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66" borderId="65" applyNumberFormat="0" applyAlignment="0" applyProtection="0"/>
    <xf numFmtId="0" fontId="74" fillId="62" borderId="67" applyNumberFormat="0" applyAlignment="0" applyProtection="0"/>
    <xf numFmtId="0" fontId="29" fillId="69" borderId="66" applyNumberFormat="0" applyProtection="0">
      <alignment vertical="top"/>
    </xf>
    <xf numFmtId="0" fontId="74" fillId="61" borderId="67" applyNumberFormat="0" applyAlignment="0" applyProtection="0"/>
    <xf numFmtId="0" fontId="54" fillId="62" borderId="65" applyNumberFormat="0" applyAlignment="0" applyProtection="0"/>
    <xf numFmtId="0" fontId="59" fillId="66"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9" fillId="69" borderId="66" applyNumberFormat="0" applyProtection="0">
      <alignment vertical="top"/>
    </xf>
    <xf numFmtId="0" fontId="33" fillId="0" borderId="68" applyNumberFormat="0" applyFill="0" applyAlignment="0" applyProtection="0"/>
    <xf numFmtId="0" fontId="74" fillId="61" borderId="67" applyNumberFormat="0" applyProtection="0">
      <alignment vertical="top"/>
    </xf>
    <xf numFmtId="0" fontId="33" fillId="0" borderId="68" applyNumberFormat="0" applyFill="0" applyAlignment="0" applyProtection="0"/>
    <xf numFmtId="0" fontId="59" fillId="47" borderId="65" applyNumberFormat="0" applyAlignment="0" applyProtection="0"/>
    <xf numFmtId="0" fontId="54" fillId="62"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33" fillId="0" borderId="68" applyNumberFormat="0" applyFill="0" applyProtection="0">
      <alignment vertical="top"/>
    </xf>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Protection="0">
      <alignment vertical="top"/>
    </xf>
    <xf numFmtId="0" fontId="33" fillId="0" borderId="68" applyNumberFormat="0" applyFill="0" applyAlignment="0" applyProtection="0"/>
    <xf numFmtId="0" fontId="59" fillId="45" borderId="65" applyNumberFormat="0" applyProtection="0">
      <alignment vertical="top"/>
    </xf>
    <xf numFmtId="0" fontId="74" fillId="61" borderId="67" applyNumberFormat="0" applyProtection="0">
      <alignment vertical="top"/>
    </xf>
    <xf numFmtId="0" fontId="33" fillId="0" borderId="68" applyNumberFormat="0" applyFill="0" applyAlignment="0" applyProtection="0"/>
    <xf numFmtId="0" fontId="74" fillId="61" borderId="67" applyNumberFormat="0" applyAlignment="0" applyProtection="0"/>
    <xf numFmtId="0" fontId="74" fillId="61" borderId="67"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59" fillId="47" borderId="65" applyNumberFormat="0" applyAlignment="0" applyProtection="0"/>
    <xf numFmtId="0" fontId="74" fillId="61" borderId="67" applyNumberFormat="0" applyAlignment="0" applyProtection="0"/>
    <xf numFmtId="0" fontId="54" fillId="62" borderId="65" applyNumberFormat="0" applyAlignment="0" applyProtection="0"/>
    <xf numFmtId="0" fontId="74" fillId="61" borderId="67" applyNumberFormat="0" applyProtection="0">
      <alignment vertical="top"/>
    </xf>
    <xf numFmtId="0" fontId="33" fillId="0" borderId="68" applyNumberFormat="0" applyFill="0" applyProtection="0">
      <alignment vertical="top"/>
    </xf>
    <xf numFmtId="0" fontId="74" fillId="61" borderId="67" applyNumberFormat="0" applyProtection="0">
      <alignment vertical="top"/>
    </xf>
    <xf numFmtId="0" fontId="74" fillId="62" borderId="67" applyNumberForma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9" fillId="47" borderId="65"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5" borderId="65" applyNumberFormat="0" applyProtection="0">
      <alignment vertical="top"/>
    </xf>
    <xf numFmtId="0" fontId="33" fillId="0" borderId="68" applyNumberFormat="0" applyFill="0" applyAlignment="0" applyProtection="0"/>
    <xf numFmtId="0" fontId="33" fillId="0" borderId="68" applyNumberFormat="0" applyFill="0" applyAlignment="0" applyProtection="0"/>
    <xf numFmtId="0" fontId="59" fillId="47" borderId="65" applyNumberFormat="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1" borderId="65" applyNumberFormat="0" applyProtection="0">
      <alignment vertical="top"/>
    </xf>
    <xf numFmtId="0" fontId="59" fillId="45" borderId="65"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74" fillId="61" borderId="67" applyNumberFormat="0" applyAlignment="0" applyProtection="0"/>
    <xf numFmtId="0" fontId="33" fillId="0" borderId="68" applyNumberFormat="0" applyFill="0" applyAlignment="0" applyProtection="0"/>
    <xf numFmtId="0" fontId="54" fillId="62" borderId="65" applyNumberFormat="0" applyAlignment="0" applyProtection="0"/>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59" fillId="47" borderId="65"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59" fillId="66" borderId="65" applyNumberForma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28" fillId="70" borderId="66" applyNumberFormat="0" applyFont="0" applyAlignment="0" applyProtection="0"/>
    <xf numFmtId="0" fontId="28" fillId="69" borderId="66" applyNumberFormat="0" applyAlignment="0" applyProtection="0"/>
    <xf numFmtId="0" fontId="33" fillId="0" borderId="68" applyNumberFormat="0" applyFill="0" applyAlignment="0" applyProtection="0"/>
    <xf numFmtId="0" fontId="74" fillId="61" borderId="67" applyNumberFormat="0" applyAlignment="0" applyProtection="0"/>
    <xf numFmtId="0" fontId="28" fillId="69" borderId="66" applyNumberFormat="0" applyAlignment="0" applyProtection="0"/>
    <xf numFmtId="0" fontId="54" fillId="61" borderId="65"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59" fillId="66" borderId="65" applyNumberFormat="0" applyAlignment="0" applyProtection="0"/>
    <xf numFmtId="0" fontId="59" fillId="47" borderId="65" applyNumberFormat="0" applyAlignment="0" applyProtection="0"/>
    <xf numFmtId="0" fontId="29" fillId="69" borderId="66" applyNumberFormat="0" applyProtection="0">
      <alignment vertical="top"/>
    </xf>
    <xf numFmtId="0" fontId="59" fillId="45" borderId="65" applyNumberFormat="0" applyProtection="0">
      <alignment vertical="top"/>
    </xf>
    <xf numFmtId="0" fontId="28" fillId="70" borderId="66" applyNumberFormat="0" applyFont="0" applyAlignment="0" applyProtection="0"/>
    <xf numFmtId="0" fontId="54" fillId="61" borderId="65" applyNumberFormat="0" applyProtection="0">
      <alignment vertical="top"/>
    </xf>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70" borderId="66" applyNumberFormat="0" applyFont="0" applyAlignment="0" applyProtection="0"/>
    <xf numFmtId="0" fontId="33" fillId="0" borderId="68" applyNumberFormat="0" applyFill="0" applyAlignment="0" applyProtection="0"/>
    <xf numFmtId="0" fontId="28" fillId="70" borderId="66" applyNumberFormat="0" applyFont="0" applyAlignment="0" applyProtection="0"/>
    <xf numFmtId="0" fontId="74" fillId="61" borderId="67" applyNumberFormat="0" applyAlignment="0" applyProtection="0"/>
    <xf numFmtId="0" fontId="28" fillId="69" borderId="66" applyNumberFormat="0" applyAlignment="0" applyProtection="0"/>
    <xf numFmtId="0" fontId="28" fillId="69" borderId="66" applyNumberFormat="0" applyAlignment="0" applyProtection="0"/>
    <xf numFmtId="0" fontId="33" fillId="0" borderId="68" applyNumberFormat="0" applyFill="0" applyProtection="0">
      <alignment vertical="top"/>
    </xf>
    <xf numFmtId="0" fontId="74" fillId="62" borderId="67" applyNumberFormat="0" applyAlignment="0" applyProtection="0"/>
    <xf numFmtId="0" fontId="74" fillId="61" borderId="67" applyNumberFormat="0" applyProtection="0">
      <alignment vertical="top"/>
    </xf>
    <xf numFmtId="0" fontId="29" fillId="69" borderId="66" applyNumberFormat="0" applyProtection="0">
      <alignment vertical="top"/>
    </xf>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4" fillId="61"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9" fillId="69" borderId="66" applyNumberFormat="0" applyProtection="0">
      <alignment vertical="top"/>
    </xf>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7" borderId="65" applyNumberFormat="0" applyAlignment="0" applyProtection="0"/>
    <xf numFmtId="0" fontId="54" fillId="61" borderId="65" applyNumberForma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54" fillId="61" borderId="65" applyNumberFormat="0" applyProtection="0">
      <alignment vertical="top"/>
    </xf>
    <xf numFmtId="0" fontId="28" fillId="70" borderId="66" applyNumberFormat="0" applyFont="0" applyAlignment="0" applyProtection="0"/>
    <xf numFmtId="0" fontId="59" fillId="45" borderId="65" applyNumberFormat="0" applyProtection="0">
      <alignment vertical="top"/>
    </xf>
    <xf numFmtId="0" fontId="29" fillId="69" borderId="66" applyNumberFormat="0" applyProtection="0">
      <alignment vertical="top"/>
    </xf>
    <xf numFmtId="0" fontId="59" fillId="47" borderId="65" applyNumberFormat="0" applyAlignment="0" applyProtection="0"/>
    <xf numFmtId="0" fontId="59" fillId="66" borderId="65" applyNumberFormat="0" applyAlignment="0" applyProtection="0"/>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69" borderId="66" applyNumberFormat="0" applyAlignment="0" applyProtection="0"/>
    <xf numFmtId="0" fontId="28" fillId="70" borderId="66" applyNumberFormat="0" applyFont="0" applyAlignment="0" applyProtection="0"/>
    <xf numFmtId="0" fontId="54" fillId="62" borderId="65" applyNumberFormat="0" applyAlignment="0" applyProtection="0"/>
    <xf numFmtId="0" fontId="54" fillId="61" borderId="65" applyNumberFormat="0" applyProtection="0">
      <alignment vertical="top"/>
    </xf>
    <xf numFmtId="0" fontId="54" fillId="62" borderId="65" applyNumberFormat="0" applyAlignment="0" applyProtection="0"/>
    <xf numFmtId="0" fontId="59" fillId="66" borderId="65" applyNumberFormat="0" applyAlignment="0" applyProtection="0"/>
    <xf numFmtId="0" fontId="59" fillId="45" borderId="65" applyNumberFormat="0" applyProtection="0">
      <alignment vertical="top"/>
    </xf>
    <xf numFmtId="0" fontId="28" fillId="70" borderId="66" applyNumberFormat="0" applyFont="0" applyAlignment="0" applyProtection="0"/>
    <xf numFmtId="0" fontId="29" fillId="69" borderId="66" applyNumberFormat="0" applyProtection="0">
      <alignment vertical="top"/>
    </xf>
    <xf numFmtId="0" fontId="74" fillId="61" borderId="67" applyNumberFormat="0" applyProtection="0">
      <alignment vertical="top"/>
    </xf>
    <xf numFmtId="0" fontId="74" fillId="62" borderId="67" applyNumberFormat="0" applyAlignment="0" applyProtection="0"/>
    <xf numFmtId="0" fontId="33" fillId="0" borderId="68" applyNumberFormat="0" applyFill="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28" fillId="70" borderId="66" applyNumberFormat="0" applyFont="0" applyAlignment="0" applyProtection="0"/>
    <xf numFmtId="0" fontId="28" fillId="69" borderId="66" applyNumberFormat="0" applyAlignment="0" applyProtection="0"/>
    <xf numFmtId="0" fontId="28" fillId="69" borderId="66" applyNumberFormat="0" applyAlignment="0" applyProtection="0"/>
    <xf numFmtId="0" fontId="29" fillId="69" borderId="66" applyNumberFormat="0" applyProtection="0">
      <alignment vertical="top"/>
    </xf>
    <xf numFmtId="0" fontId="28" fillId="70" borderId="66" applyNumberFormat="0" applyFont="0" applyAlignment="0" applyProtection="0"/>
    <xf numFmtId="0" fontId="28" fillId="70" borderId="66" applyNumberFormat="0" applyFont="0" applyAlignment="0" applyProtection="0"/>
    <xf numFmtId="0" fontId="28" fillId="0" borderId="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4" fontId="28" fillId="0" borderId="0" applyFont="0" applyFill="0" applyBorder="0" applyAlignment="0" applyProtection="0"/>
    <xf numFmtId="0" fontId="28" fillId="0" borderId="0"/>
    <xf numFmtId="43" fontId="28" fillId="0" borderId="0" applyFont="0" applyFill="0" applyBorder="0" applyAlignment="0" applyProtection="0"/>
    <xf numFmtId="44" fontId="28" fillId="0" borderId="0" applyFont="0" applyFill="0" applyBorder="0" applyAlignment="0" applyProtection="0"/>
    <xf numFmtId="0" fontId="28" fillId="0" borderId="0"/>
    <xf numFmtId="44"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74" fillId="62" borderId="67" applyNumberFormat="0" applyAlignment="0" applyProtection="0"/>
    <xf numFmtId="0" fontId="59" fillId="45" borderId="65" applyNumberFormat="0" applyProtection="0">
      <alignment vertical="top"/>
    </xf>
    <xf numFmtId="0" fontId="59" fillId="66" borderId="65" applyNumberFormat="0" applyAlignment="0" applyProtection="0"/>
    <xf numFmtId="0" fontId="28" fillId="70" borderId="66" applyNumberFormat="0" applyFont="0" applyAlignment="0" applyProtection="0"/>
    <xf numFmtId="0" fontId="33" fillId="0" borderId="68" applyNumberFormat="0" applyFill="0" applyProtection="0">
      <alignment vertical="top"/>
    </xf>
    <xf numFmtId="0" fontId="54" fillId="62" borderId="65" applyNumberFormat="0" applyAlignment="0" applyProtection="0"/>
    <xf numFmtId="0" fontId="54" fillId="61" borderId="65" applyNumberFormat="0" applyProtection="0">
      <alignment vertical="top"/>
    </xf>
    <xf numFmtId="0" fontId="29" fillId="69" borderId="66" applyNumberFormat="0" applyProtection="0">
      <alignment vertical="top"/>
    </xf>
    <xf numFmtId="0" fontId="54" fillId="61" borderId="65" applyNumberFormat="0" applyAlignment="0" applyProtection="0"/>
    <xf numFmtId="0" fontId="59" fillId="47" borderId="65" applyNumberFormat="0" applyAlignment="0" applyProtection="0"/>
    <xf numFmtId="0" fontId="28" fillId="69" borderId="66" applyNumberFormat="0" applyAlignment="0" applyProtection="0"/>
    <xf numFmtId="0" fontId="28" fillId="69" borderId="66" applyNumberFormat="0" applyAlignment="0" applyProtection="0"/>
    <xf numFmtId="0" fontId="74" fillId="61" borderId="67" applyNumberFormat="0" applyAlignment="0" applyProtection="0"/>
    <xf numFmtId="0" fontId="33" fillId="0" borderId="68" applyNumberFormat="0" applyFill="0" applyAlignment="0" applyProtection="0"/>
    <xf numFmtId="0" fontId="28" fillId="70" borderId="66" applyNumberFormat="0" applyFont="0" applyAlignment="0" applyProtection="0"/>
    <xf numFmtId="0" fontId="28" fillId="70" borderId="66" applyNumberFormat="0" applyFont="0" applyAlignment="0" applyProtection="0"/>
    <xf numFmtId="0" fontId="74" fillId="61" borderId="67" applyNumberFormat="0" applyProtection="0">
      <alignment vertical="top"/>
    </xf>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4" fontId="28" fillId="0" borderId="0" applyFont="0" applyFill="0" applyBorder="0" applyAlignment="0" applyProtection="0"/>
    <xf numFmtId="44"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4" fontId="28" fillId="0" borderId="0" applyFont="0" applyFill="0" applyBorder="0" applyAlignment="0" applyProtection="0"/>
    <xf numFmtId="44"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7" fillId="40" borderId="0" applyNumberFormat="0" applyBorder="0" applyProtection="0">
      <alignment vertical="top"/>
    </xf>
    <xf numFmtId="0" fontId="27" fillId="41" borderId="0" applyNumberFormat="0" applyBorder="0" applyProtection="0">
      <alignment vertical="top"/>
    </xf>
    <xf numFmtId="0" fontId="27" fillId="42" borderId="0" applyNumberFormat="0" applyBorder="0" applyProtection="0">
      <alignment vertical="top"/>
    </xf>
    <xf numFmtId="0" fontId="27" fillId="43" borderId="0" applyNumberFormat="0" applyBorder="0" applyProtection="0">
      <alignment vertical="top"/>
    </xf>
    <xf numFmtId="0" fontId="27" fillId="44" borderId="0" applyNumberFormat="0" applyBorder="0" applyProtection="0">
      <alignment vertical="top"/>
    </xf>
    <xf numFmtId="0" fontId="27" fillId="45" borderId="0" applyNumberFormat="0" applyBorder="0" applyProtection="0">
      <alignment vertical="top"/>
    </xf>
    <xf numFmtId="0" fontId="27" fillId="48" borderId="0" applyNumberFormat="0" applyBorder="0" applyProtection="0">
      <alignment vertical="top"/>
    </xf>
    <xf numFmtId="0" fontId="27" fillId="49" borderId="0" applyNumberFormat="0" applyBorder="0" applyProtection="0">
      <alignment vertical="top"/>
    </xf>
    <xf numFmtId="0" fontId="27" fillId="50" borderId="0" applyNumberFormat="0" applyBorder="0" applyProtection="0">
      <alignment vertical="top"/>
    </xf>
    <xf numFmtId="0" fontId="27" fillId="43" borderId="0" applyNumberFormat="0" applyBorder="0" applyProtection="0">
      <alignment vertical="top"/>
    </xf>
    <xf numFmtId="0" fontId="27" fillId="48" borderId="0" applyNumberFormat="0" applyBorder="0" applyProtection="0">
      <alignment vertical="top"/>
    </xf>
    <xf numFmtId="0" fontId="27" fillId="51" borderId="0" applyNumberFormat="0" applyBorder="0" applyProtection="0">
      <alignment vertical="top"/>
    </xf>
    <xf numFmtId="0" fontId="51" fillId="52" borderId="0" applyNumberFormat="0" applyBorder="0" applyProtection="0">
      <alignment vertical="top"/>
    </xf>
    <xf numFmtId="0" fontId="51" fillId="49" borderId="0" applyNumberFormat="0" applyBorder="0" applyProtection="0">
      <alignment vertical="top"/>
    </xf>
    <xf numFmtId="0" fontId="51" fillId="50" borderId="0" applyNumberFormat="0" applyBorder="0" applyProtection="0">
      <alignment vertical="top"/>
    </xf>
    <xf numFmtId="0" fontId="51" fillId="53" borderId="0" applyNumberFormat="0" applyBorder="0" applyProtection="0">
      <alignment vertical="top"/>
    </xf>
    <xf numFmtId="0" fontId="51" fillId="54" borderId="0" applyNumberFormat="0" applyBorder="0" applyProtection="0">
      <alignment vertical="top"/>
    </xf>
    <xf numFmtId="0" fontId="51" fillId="55" borderId="0" applyNumberFormat="0" applyBorder="0" applyProtection="0">
      <alignment vertical="top"/>
    </xf>
    <xf numFmtId="0" fontId="51" fillId="56" borderId="0" applyNumberFormat="0" applyBorder="0" applyProtection="0">
      <alignment vertical="top"/>
    </xf>
    <xf numFmtId="0" fontId="51" fillId="57" borderId="0" applyNumberFormat="0" applyBorder="0" applyProtection="0">
      <alignment vertical="top"/>
    </xf>
    <xf numFmtId="0" fontId="51" fillId="58" borderId="0" applyNumberFormat="0" applyBorder="0" applyProtection="0">
      <alignment vertical="top"/>
    </xf>
    <xf numFmtId="0" fontId="51" fillId="53" borderId="0" applyNumberFormat="0" applyBorder="0" applyProtection="0">
      <alignment vertical="top"/>
    </xf>
    <xf numFmtId="0" fontId="51" fillId="54" borderId="0" applyNumberFormat="0" applyBorder="0" applyProtection="0">
      <alignment vertical="top"/>
    </xf>
    <xf numFmtId="0" fontId="51" fillId="59" borderId="0" applyNumberFormat="0" applyBorder="0" applyProtection="0">
      <alignment vertical="top"/>
    </xf>
    <xf numFmtId="0" fontId="52" fillId="41" borderId="0" applyNumberFormat="0" applyBorder="0" applyProtection="0">
      <alignment vertical="top"/>
    </xf>
    <xf numFmtId="0" fontId="62" fillId="0" borderId="0" applyNumberFormat="0" applyFill="0" applyBorder="0" applyProtection="0">
      <alignment vertical="top"/>
    </xf>
    <xf numFmtId="0" fontId="64" fillId="0" borderId="0" applyNumberFormat="0" applyFill="0" applyBorder="0" applyProtection="0">
      <alignment vertical="top"/>
    </xf>
    <xf numFmtId="0" fontId="65" fillId="0" borderId="44" applyNumberFormat="0" applyFill="0" applyProtection="0">
      <alignment vertical="top"/>
    </xf>
    <xf numFmtId="0" fontId="66" fillId="0" borderId="45" applyNumberFormat="0" applyFill="0" applyProtection="0">
      <alignment vertical="top"/>
    </xf>
    <xf numFmtId="0" fontId="66" fillId="0" borderId="0" applyNumberFormat="0" applyFill="0" applyBorder="0" applyProtection="0">
      <alignment vertical="top"/>
    </xf>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28" fillId="0" borderId="0" applyFont="0" applyFill="0" applyBorder="0" applyAlignment="0" applyProtection="0"/>
    <xf numFmtId="0" fontId="82" fillId="0" borderId="0"/>
    <xf numFmtId="44" fontId="82" fillId="0" borderId="0" applyFont="0" applyFill="0" applyBorder="0" applyAlignment="0" applyProtection="0"/>
    <xf numFmtId="44" fontId="82" fillId="0" borderId="0" applyFont="0" applyFill="0" applyBorder="0" applyAlignment="0" applyProtection="0"/>
    <xf numFmtId="44" fontId="82" fillId="0" borderId="0" applyFont="0" applyFill="0" applyBorder="0" applyAlignment="0" applyProtection="0"/>
    <xf numFmtId="0" fontId="82" fillId="0" borderId="0"/>
    <xf numFmtId="0" fontId="82" fillId="0" borderId="0"/>
    <xf numFmtId="0" fontId="82" fillId="0" borderId="0"/>
    <xf numFmtId="0" fontId="82" fillId="0" borderId="0"/>
    <xf numFmtId="0" fontId="82" fillId="0" borderId="0"/>
    <xf numFmtId="0" fontId="82" fillId="0" borderId="0"/>
    <xf numFmtId="9" fontId="82" fillId="0" borderId="0" applyFont="0" applyFill="0" applyBorder="0" applyAlignment="0" applyProtection="0"/>
    <xf numFmtId="9" fontId="82" fillId="0" borderId="0" applyFont="0" applyFill="0" applyBorder="0" applyAlignment="0" applyProtection="0"/>
    <xf numFmtId="9" fontId="82" fillId="0" borderId="0" applyFont="0" applyFill="0" applyBorder="0" applyAlignment="0" applyProtection="0"/>
    <xf numFmtId="43" fontId="82" fillId="0" borderId="0" applyFont="0" applyFill="0" applyBorder="0" applyAlignment="0" applyProtection="0"/>
    <xf numFmtId="43" fontId="82" fillId="0" borderId="0" applyFont="0" applyFill="0" applyBorder="0" applyAlignment="0" applyProtection="0"/>
    <xf numFmtId="43" fontId="82" fillId="0" borderId="0" applyFont="0" applyFill="0" applyBorder="0" applyAlignment="0" applyProtection="0"/>
    <xf numFmtId="43" fontId="82" fillId="0" borderId="0" applyFont="0" applyFill="0" applyBorder="0" applyAlignment="0" applyProtection="0"/>
    <xf numFmtId="43" fontId="27" fillId="0" borderId="0" applyFont="0" applyFill="0" applyBorder="0" applyAlignment="0" applyProtection="0"/>
    <xf numFmtId="43" fontId="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7" fillId="8" borderId="8" applyNumberFormat="0" applyFont="0" applyAlignment="0" applyProtection="0"/>
    <xf numFmtId="0" fontId="27" fillId="8" borderId="8" applyNumberFormat="0" applyFont="0" applyAlignment="0" applyProtection="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0" fontId="85" fillId="0" borderId="0"/>
    <xf numFmtId="0" fontId="87" fillId="0" borderId="0" applyNumberFormat="0" applyBorder="0" applyProtection="0"/>
    <xf numFmtId="0" fontId="87" fillId="0" borderId="0" applyNumberFormat="0" applyBorder="0" applyProtection="0"/>
    <xf numFmtId="175" fontId="87" fillId="0" borderId="0" applyBorder="0" applyProtection="0"/>
    <xf numFmtId="175" fontId="87" fillId="0" borderId="0" applyBorder="0" applyProtection="0"/>
    <xf numFmtId="0" fontId="88" fillId="0" borderId="0" applyNumberFormat="0" applyBorder="0" applyProtection="0"/>
    <xf numFmtId="0" fontId="87" fillId="0" borderId="0" applyNumberFormat="0" applyBorder="0" applyProtection="0"/>
    <xf numFmtId="0" fontId="89" fillId="0" borderId="0" applyNumberFormat="0" applyBorder="0" applyProtection="0">
      <alignment horizontal="center"/>
    </xf>
    <xf numFmtId="0" fontId="89" fillId="0" borderId="0" applyNumberFormat="0" applyBorder="0" applyProtection="0">
      <alignment horizontal="center" textRotation="90"/>
    </xf>
    <xf numFmtId="0" fontId="90" fillId="0" borderId="0" applyNumberFormat="0" applyBorder="0" applyProtection="0"/>
    <xf numFmtId="180" fontId="90" fillId="0" borderId="0" applyBorder="0" applyProtection="0"/>
    <xf numFmtId="43" fontId="86" fillId="0" borderId="0" applyFont="0" applyFill="0" applyBorder="0" applyAlignment="0" applyProtection="0"/>
    <xf numFmtId="175" fontId="87" fillId="0" borderId="0" applyBorder="0" applyProtection="0"/>
    <xf numFmtId="9" fontId="85" fillId="0" borderId="0" applyFont="0" applyFill="0" applyBorder="0" applyAlignment="0" applyProtection="0"/>
    <xf numFmtId="44" fontId="85" fillId="0" borderId="0" applyFont="0" applyFill="0" applyBorder="0" applyAlignment="0" applyProtection="0"/>
    <xf numFmtId="0" fontId="6" fillId="0" borderId="0"/>
    <xf numFmtId="9" fontId="6" fillId="0" borderId="0" applyFont="0" applyFill="0" applyBorder="0" applyAlignment="0" applyProtection="0"/>
    <xf numFmtId="0" fontId="6" fillId="10" borderId="0" applyNumberFormat="0" applyBorder="0" applyAlignment="0" applyProtection="0"/>
    <xf numFmtId="0" fontId="6" fillId="14"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11" borderId="0" applyNumberFormat="0" applyBorder="0" applyAlignment="0" applyProtection="0"/>
    <xf numFmtId="0" fontId="6" fillId="15" borderId="0" applyNumberFormat="0" applyBorder="0" applyAlignment="0" applyProtection="0"/>
    <xf numFmtId="0" fontId="6" fillId="19" borderId="0" applyNumberFormat="0" applyBorder="0" applyAlignment="0" applyProtection="0"/>
    <xf numFmtId="0" fontId="6" fillId="23" borderId="0" applyNumberFormat="0" applyBorder="0" applyAlignment="0" applyProtection="0"/>
    <xf numFmtId="0" fontId="6" fillId="27" borderId="0" applyNumberFormat="0" applyBorder="0" applyAlignment="0" applyProtection="0"/>
    <xf numFmtId="0" fontId="6" fillId="31" borderId="0" applyNumberFormat="0" applyBorder="0" applyAlignment="0" applyProtection="0"/>
    <xf numFmtId="0" fontId="17" fillId="4" borderId="0" applyNumberFormat="0" applyBorder="0" applyAlignment="0" applyProtection="0"/>
    <xf numFmtId="0" fontId="6" fillId="0" borderId="0"/>
    <xf numFmtId="0" fontId="6" fillId="8" borderId="8" applyNumberFormat="0" applyFont="0" applyAlignment="0" applyProtection="0"/>
    <xf numFmtId="9" fontId="29" fillId="0" borderId="0" applyFill="0" applyBorder="0" applyProtection="0">
      <alignment vertical="top"/>
    </xf>
    <xf numFmtId="0" fontId="85" fillId="0" borderId="0"/>
    <xf numFmtId="0" fontId="66" fillId="0" borderId="97" applyNumberFormat="0" applyFill="0" applyAlignment="0" applyProtection="0"/>
    <xf numFmtId="44" fontId="28" fillId="0" borderId="0" applyFont="0" applyFill="0" applyBorder="0" applyAlignment="0" applyProtection="0"/>
    <xf numFmtId="44" fontId="28"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27" fillId="0" borderId="0" applyFont="0" applyFill="0" applyBorder="0" applyAlignment="0" applyProtection="0"/>
    <xf numFmtId="43" fontId="27" fillId="0" borderId="0" applyFont="0" applyFill="0" applyBorder="0" applyAlignment="0" applyProtection="0"/>
    <xf numFmtId="0" fontId="66" fillId="0" borderId="97" applyNumberFormat="0" applyFill="0" applyProtection="0">
      <alignment vertical="top"/>
    </xf>
    <xf numFmtId="44" fontId="28" fillId="0" borderId="0" applyFill="0" applyBorder="0" applyAlignment="0" applyProtection="0"/>
    <xf numFmtId="43" fontId="6" fillId="0" borderId="0" applyFont="0" applyFill="0" applyBorder="0" applyAlignment="0" applyProtection="0"/>
    <xf numFmtId="0" fontId="6" fillId="0" borderId="0"/>
    <xf numFmtId="0" fontId="6" fillId="8" borderId="8" applyNumberFormat="0" applyFont="0" applyAlignment="0" applyProtection="0"/>
    <xf numFmtId="43" fontId="6"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28" fillId="0" borderId="0" applyFont="0" applyFill="0" applyBorder="0" applyAlignment="0" applyProtection="0"/>
    <xf numFmtId="0" fontId="6" fillId="0" borderId="0"/>
    <xf numFmtId="0" fontId="6" fillId="0" borderId="0"/>
    <xf numFmtId="43" fontId="27" fillId="0" borderId="0" applyFont="0" applyFill="0" applyBorder="0" applyAlignment="0" applyProtection="0"/>
    <xf numFmtId="43" fontId="6"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4" fontId="28"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0" fontId="66" fillId="0" borderId="45" applyNumberFormat="0" applyFill="0" applyAlignment="0" applyProtection="0"/>
    <xf numFmtId="0" fontId="6" fillId="0" borderId="0"/>
    <xf numFmtId="9" fontId="6" fillId="0" borderId="0" applyFont="0" applyFill="0" applyBorder="0" applyAlignment="0" applyProtection="0"/>
    <xf numFmtId="0" fontId="6" fillId="10" borderId="0" applyNumberFormat="0" applyBorder="0" applyAlignment="0" applyProtection="0"/>
    <xf numFmtId="0" fontId="6" fillId="14"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11" borderId="0" applyNumberFormat="0" applyBorder="0" applyAlignment="0" applyProtection="0"/>
    <xf numFmtId="0" fontId="6" fillId="15" borderId="0" applyNumberFormat="0" applyBorder="0" applyAlignment="0" applyProtection="0"/>
    <xf numFmtId="0" fontId="6" fillId="19" borderId="0" applyNumberFormat="0" applyBorder="0" applyAlignment="0" applyProtection="0"/>
    <xf numFmtId="0" fontId="6" fillId="23" borderId="0" applyNumberFormat="0" applyBorder="0" applyAlignment="0" applyProtection="0"/>
    <xf numFmtId="0" fontId="6" fillId="27" borderId="0" applyNumberFormat="0" applyBorder="0" applyAlignment="0" applyProtection="0"/>
    <xf numFmtId="0" fontId="6" fillId="31" borderId="0" applyNumberFormat="0" applyBorder="0" applyAlignment="0" applyProtection="0"/>
    <xf numFmtId="0" fontId="6" fillId="0" borderId="0"/>
    <xf numFmtId="0" fontId="6" fillId="8" borderId="8" applyNumberFormat="0" applyFon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8" borderId="8" applyNumberFormat="0" applyFont="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6" fillId="0" borderId="97" applyNumberFormat="0" applyFill="0" applyProtection="0">
      <alignment vertical="top"/>
    </xf>
    <xf numFmtId="0" fontId="66" fillId="0" borderId="97" applyNumberFormat="0" applyFill="0" applyAlignment="0" applyProtection="0"/>
    <xf numFmtId="44" fontId="27" fillId="0" borderId="0" applyFont="0" applyFill="0" applyBorder="0" applyAlignment="0" applyProtection="0"/>
    <xf numFmtId="165" fontId="86" fillId="0" borderId="0" applyFont="0" applyFill="0" applyBorder="0" applyAlignment="0" applyProtection="0"/>
    <xf numFmtId="165" fontId="28" fillId="0" borderId="0" applyFont="0" applyFill="0" applyBorder="0" applyAlignment="0" applyProtection="0"/>
    <xf numFmtId="0" fontId="93" fillId="0" borderId="0"/>
    <xf numFmtId="185" fontId="28" fillId="0" borderId="0" applyFont="0" applyFill="0" applyBorder="0" applyAlignment="0" applyProtection="0"/>
    <xf numFmtId="186" fontId="94" fillId="0" borderId="0">
      <protection locked="0"/>
    </xf>
    <xf numFmtId="0" fontId="37" fillId="75" borderId="70" applyFill="0" applyBorder="0" applyAlignment="0" applyProtection="0">
      <alignment vertical="center"/>
      <protection locked="0"/>
    </xf>
    <xf numFmtId="182" fontId="28" fillId="0" borderId="0" applyFont="0" applyFill="0" applyBorder="0" applyAlignment="0" applyProtection="0"/>
    <xf numFmtId="187" fontId="28" fillId="0" borderId="0" applyFont="0" applyFill="0" applyBorder="0" applyAlignment="0" applyProtection="0"/>
    <xf numFmtId="188" fontId="94" fillId="0" borderId="0">
      <protection locked="0"/>
    </xf>
    <xf numFmtId="0" fontId="94" fillId="0" borderId="0">
      <protection locked="0"/>
    </xf>
    <xf numFmtId="0" fontId="94" fillId="0" borderId="0">
      <protection locked="0"/>
    </xf>
    <xf numFmtId="0" fontId="88" fillId="0" borderId="0" applyNumberFormat="0" applyBorder="0" applyProtection="0"/>
    <xf numFmtId="0" fontId="27" fillId="0" borderId="0"/>
    <xf numFmtId="189" fontId="94" fillId="0" borderId="0">
      <protection locked="0"/>
    </xf>
    <xf numFmtId="189" fontId="94" fillId="0" borderId="0">
      <protection locked="0"/>
    </xf>
    <xf numFmtId="0" fontId="95" fillId="0" borderId="0" applyNumberFormat="0" applyFill="0" applyBorder="0" applyAlignment="0" applyProtection="0">
      <alignment vertical="top"/>
      <protection locked="0"/>
    </xf>
    <xf numFmtId="38" fontId="96" fillId="76" borderId="0" applyNumberFormat="0" applyBorder="0" applyAlignment="0" applyProtection="0"/>
    <xf numFmtId="0" fontId="97" fillId="0" borderId="0" applyNumberFormat="0" applyFill="0" applyBorder="0" applyAlignment="0" applyProtection="0">
      <alignment vertical="top"/>
      <protection locked="0"/>
    </xf>
    <xf numFmtId="0" fontId="98" fillId="0" borderId="0"/>
    <xf numFmtId="10" fontId="96" fillId="77" borderId="69" applyNumberFormat="0" applyBorder="0" applyAlignment="0" applyProtection="0"/>
    <xf numFmtId="0" fontId="28" fillId="0" borderId="0">
      <alignment horizontal="centerContinuous" vertical="justify"/>
    </xf>
    <xf numFmtId="0" fontId="28" fillId="0" borderId="0">
      <alignment horizontal="centerContinuous" vertical="justify"/>
    </xf>
    <xf numFmtId="0" fontId="28" fillId="0" borderId="0">
      <alignment horizontal="centerContinuous" vertical="justify"/>
    </xf>
    <xf numFmtId="0" fontId="99" fillId="0" borderId="0" applyAlignment="0">
      <alignment horizontal="center"/>
    </xf>
    <xf numFmtId="190" fontId="10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1"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10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0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30" fillId="0" borderId="0">
      <alignment horizontal="left" vertical="center" indent="12"/>
    </xf>
    <xf numFmtId="0" fontId="96" fillId="0" borderId="70" applyBorder="0">
      <alignment horizontal="left" vertical="center" wrapText="1" indent="2"/>
      <protection locked="0"/>
    </xf>
    <xf numFmtId="0" fontId="96" fillId="0" borderId="70" applyBorder="0">
      <alignment horizontal="left" vertical="center" wrapText="1" indent="3"/>
      <protection locked="0"/>
    </xf>
    <xf numFmtId="10" fontId="28" fillId="0" borderId="0" applyFont="0" applyFill="0" applyBorder="0" applyAlignment="0" applyProtection="0"/>
    <xf numFmtId="10" fontId="28" fillId="0" borderId="0" applyFont="0" applyFill="0" applyBorder="0" applyAlignment="0" applyProtection="0"/>
    <xf numFmtId="10" fontId="28" fillId="0" borderId="0" applyFont="0" applyFill="0" applyBorder="0" applyAlignment="0" applyProtection="0"/>
    <xf numFmtId="10" fontId="28" fillId="0" borderId="0" applyFont="0" applyFill="0" applyBorder="0" applyAlignment="0" applyProtection="0"/>
    <xf numFmtId="10" fontId="28" fillId="0" borderId="0" applyFont="0" applyFill="0" applyBorder="0" applyAlignment="0" applyProtection="0"/>
    <xf numFmtId="191" fontId="94" fillId="0" borderId="0">
      <protection locked="0"/>
    </xf>
    <xf numFmtId="191" fontId="94" fillId="0" borderId="0">
      <protection locked="0"/>
    </xf>
    <xf numFmtId="192" fontId="94" fillId="0" borderId="0">
      <protection locked="0"/>
    </xf>
    <xf numFmtId="9" fontId="28" fillId="0" borderId="0" applyFont="0" applyFill="0" applyBorder="0" applyAlignment="0" applyProtection="0"/>
    <xf numFmtId="9" fontId="2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38" fontId="102" fillId="0" borderId="0" applyFont="0" applyFill="0" applyBorder="0" applyAlignment="0" applyProtection="0"/>
    <xf numFmtId="193" fontId="103" fillId="0" borderId="0">
      <protection locked="0"/>
    </xf>
    <xf numFmtId="194" fontId="101" fillId="0" borderId="0" applyFont="0" applyFill="0" applyBorder="0" applyAlignment="0" applyProtection="0"/>
    <xf numFmtId="0" fontId="102" fillId="0" borderId="0"/>
    <xf numFmtId="0" fontId="104" fillId="0" borderId="0">
      <protection locked="0"/>
    </xf>
    <xf numFmtId="0" fontId="104" fillId="0" borderId="0">
      <protection locked="0"/>
    </xf>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7" fontId="28" fillId="0" borderId="0" applyFont="0" applyFill="0" applyBorder="0" applyAlignment="0" applyProtection="0"/>
    <xf numFmtId="187" fontId="28" fillId="0" borderId="0" applyFont="0" applyFill="0" applyBorder="0" applyAlignment="0" applyProtection="0"/>
    <xf numFmtId="187"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5" fontId="86" fillId="0" borderId="0" applyFont="0" applyFill="0" applyBorder="0" applyAlignment="0" applyProtection="0"/>
    <xf numFmtId="165"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5"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5" fontId="28" fillId="0" borderId="0" applyFont="0" applyFill="0" applyBorder="0" applyAlignment="0" applyProtection="0"/>
    <xf numFmtId="181" fontId="28" fillId="0" borderId="0" applyFill="0" applyBorder="0" applyAlignment="0" applyProtection="0"/>
    <xf numFmtId="165"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0" fontId="110" fillId="0" borderId="72" applyNumberFormat="0" applyFont="0" applyAlignment="0">
      <alignment horizontal="left" vertical="top" indent="1"/>
    </xf>
    <xf numFmtId="2" fontId="96" fillId="78" borderId="86" applyNumberFormat="0" applyFont="0" applyFill="0" applyAlignment="0" applyProtection="0">
      <alignment horizontal="center" vertical="center"/>
    </xf>
    <xf numFmtId="2" fontId="96" fillId="78" borderId="86" applyNumberFormat="0" applyFont="0" applyFill="0" applyAlignment="0" applyProtection="0">
      <alignment horizontal="center" vertical="center"/>
    </xf>
    <xf numFmtId="0" fontId="4" fillId="0" borderId="0"/>
    <xf numFmtId="0" fontId="4" fillId="0" borderId="0"/>
    <xf numFmtId="165" fontId="28" fillId="0" borderId="0" applyFont="0" applyFill="0" applyBorder="0" applyAlignment="0" applyProtection="0"/>
    <xf numFmtId="0" fontId="111" fillId="0" borderId="0"/>
    <xf numFmtId="0" fontId="112" fillId="0" borderId="0"/>
    <xf numFmtId="0" fontId="119" fillId="0" borderId="0"/>
  </cellStyleXfs>
  <cellXfs count="919">
    <xf numFmtId="0" fontId="0" fillId="0" borderId="0" xfId="0"/>
    <xf numFmtId="0" fontId="28" fillId="0" borderId="0" xfId="51" applyAlignment="1"/>
    <xf numFmtId="168" fontId="28" fillId="0" borderId="0" xfId="51" applyNumberFormat="1" applyAlignment="1"/>
    <xf numFmtId="0" fontId="28" fillId="0" borderId="0" xfId="51" applyAlignment="1">
      <alignment horizontal="center"/>
    </xf>
    <xf numFmtId="0" fontId="28" fillId="33" borderId="0" xfId="51" applyFill="1" applyAlignment="1"/>
    <xf numFmtId="0" fontId="0" fillId="0" borderId="0" xfId="0" applyAlignment="1">
      <alignment vertical="top"/>
    </xf>
    <xf numFmtId="0" fontId="28" fillId="0" borderId="0" xfId="0" applyFont="1"/>
    <xf numFmtId="0" fontId="28" fillId="0" borderId="0" xfId="47" applyAlignment="1">
      <alignment vertical="top"/>
    </xf>
    <xf numFmtId="0" fontId="28" fillId="0" borderId="0" xfId="47" applyAlignment="1">
      <alignment vertical="center"/>
    </xf>
    <xf numFmtId="0" fontId="28" fillId="0" borderId="0" xfId="47" applyAlignment="1">
      <alignment horizontal="left" vertical="top" wrapText="1"/>
    </xf>
    <xf numFmtId="0" fontId="28" fillId="0" borderId="0" xfId="47" applyAlignment="1">
      <alignment horizontal="center" vertical="center"/>
    </xf>
    <xf numFmtId="4" fontId="28" fillId="0" borderId="0" xfId="47" applyNumberFormat="1" applyAlignment="1">
      <alignment vertical="top"/>
    </xf>
    <xf numFmtId="0" fontId="28" fillId="0" borderId="0" xfId="47" applyAlignment="1">
      <alignment vertical="top" wrapText="1"/>
    </xf>
    <xf numFmtId="0" fontId="0" fillId="0" borderId="0" xfId="0" applyAlignment="1">
      <alignment horizontal="left" wrapText="1"/>
    </xf>
    <xf numFmtId="2" fontId="0" fillId="0" borderId="0" xfId="0" applyNumberFormat="1"/>
    <xf numFmtId="0" fontId="0" fillId="0" borderId="0" xfId="0" applyAlignment="1">
      <alignment horizontal="left" vertical="center"/>
    </xf>
    <xf numFmtId="0" fontId="33" fillId="0" borderId="20" xfId="0" applyFont="1" applyBorder="1" applyAlignment="1">
      <alignment horizontal="center" vertical="center"/>
    </xf>
    <xf numFmtId="0" fontId="0" fillId="0" borderId="20" xfId="0" applyBorder="1" applyAlignment="1">
      <alignment horizontal="left" vertical="center" wrapText="1"/>
    </xf>
    <xf numFmtId="0" fontId="0" fillId="0" borderId="0" xfId="0" applyAlignment="1">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xf>
    <xf numFmtId="0" fontId="30" fillId="33" borderId="0" xfId="47" applyFont="1" applyFill="1" applyAlignment="1">
      <alignment vertical="center" wrapText="1"/>
    </xf>
    <xf numFmtId="0" fontId="33" fillId="0" borderId="20" xfId="0" applyFont="1" applyBorder="1"/>
    <xf numFmtId="10" fontId="43" fillId="0" borderId="20" xfId="2" applyNumberFormat="1" applyFont="1" applyBorder="1" applyAlignment="1">
      <alignment horizontal="center" wrapText="1"/>
    </xf>
    <xf numFmtId="10" fontId="0" fillId="0" borderId="20" xfId="0" applyNumberFormat="1" applyBorder="1" applyAlignment="1">
      <alignment horizontal="center"/>
    </xf>
    <xf numFmtId="17" fontId="0" fillId="0" borderId="20" xfId="0" applyNumberFormat="1" applyBorder="1" applyAlignment="1">
      <alignment horizontal="center"/>
    </xf>
    <xf numFmtId="0" fontId="34" fillId="0" borderId="11" xfId="46" applyFont="1" applyBorder="1" applyAlignment="1">
      <alignment horizontal="center" vertical="center"/>
    </xf>
    <xf numFmtId="0" fontId="34" fillId="0" borderId="15" xfId="46" applyFont="1" applyBorder="1" applyAlignment="1">
      <alignment vertical="center"/>
    </xf>
    <xf numFmtId="0" fontId="34" fillId="0" borderId="12" xfId="46" applyFont="1" applyBorder="1" applyAlignment="1">
      <alignment vertical="center"/>
    </xf>
    <xf numFmtId="167" fontId="0" fillId="0" borderId="11" xfId="0" applyNumberFormat="1" applyBorder="1" applyAlignment="1">
      <alignment horizontal="right" vertical="center"/>
    </xf>
    <xf numFmtId="167" fontId="46" fillId="0" borderId="12" xfId="46" applyNumberFormat="1" applyFont="1" applyBorder="1" applyAlignment="1">
      <alignment horizontal="left" vertical="center" wrapText="1"/>
    </xf>
    <xf numFmtId="0" fontId="42" fillId="0" borderId="17" xfId="46" applyFont="1" applyBorder="1" applyAlignment="1">
      <alignment horizontal="center" vertical="center" wrapText="1"/>
    </xf>
    <xf numFmtId="0" fontId="42" fillId="0" borderId="19" xfId="46" applyFont="1" applyBorder="1" applyAlignment="1">
      <alignment vertical="center" wrapText="1"/>
    </xf>
    <xf numFmtId="0" fontId="42" fillId="0" borderId="18" xfId="46" applyFont="1" applyBorder="1" applyAlignment="1">
      <alignment horizontal="center" vertical="center"/>
    </xf>
    <xf numFmtId="0" fontId="0" fillId="0" borderId="11" xfId="0" applyBorder="1"/>
    <xf numFmtId="0" fontId="35" fillId="0" borderId="16" xfId="46" applyFont="1" applyBorder="1" applyAlignment="1">
      <alignment horizontal="center" vertical="center"/>
    </xf>
    <xf numFmtId="0" fontId="0" fillId="0" borderId="13" xfId="0" applyBorder="1"/>
    <xf numFmtId="0" fontId="0" fillId="0" borderId="13" xfId="0" applyBorder="1" applyAlignment="1">
      <alignment vertical="center"/>
    </xf>
    <xf numFmtId="0" fontId="0" fillId="0" borderId="15" xfId="0" applyBorder="1" applyAlignment="1">
      <alignment horizontal="center" vertical="center"/>
    </xf>
    <xf numFmtId="0" fontId="0" fillId="0" borderId="14" xfId="0" applyBorder="1" applyAlignment="1">
      <alignment horizontal="center" vertical="center"/>
    </xf>
    <xf numFmtId="0" fontId="0" fillId="0" borderId="21" xfId="0" applyBorder="1" applyAlignment="1">
      <alignment horizontal="left" vertical="center"/>
    </xf>
    <xf numFmtId="0" fontId="0" fillId="0" borderId="21" xfId="0" applyBorder="1" applyAlignment="1">
      <alignment horizontal="center" vertical="center"/>
    </xf>
    <xf numFmtId="4" fontId="46" fillId="0" borderId="21" xfId="46" applyNumberFormat="1" applyFont="1" applyBorder="1" applyAlignment="1">
      <alignment horizontal="right" vertical="center"/>
    </xf>
    <xf numFmtId="2" fontId="0" fillId="0" borderId="21" xfId="0" applyNumberFormat="1" applyBorder="1" applyAlignment="1">
      <alignment vertical="center"/>
    </xf>
    <xf numFmtId="10" fontId="0" fillId="0" borderId="21" xfId="0" applyNumberFormat="1" applyBorder="1" applyAlignment="1">
      <alignment horizontal="center" vertical="center"/>
    </xf>
    <xf numFmtId="2" fontId="0" fillId="0" borderId="21" xfId="0" applyNumberFormat="1" applyBorder="1" applyAlignment="1">
      <alignment horizontal="right" vertical="center"/>
    </xf>
    <xf numFmtId="166" fontId="0" fillId="0" borderId="21" xfId="0" applyNumberFormat="1" applyBorder="1" applyAlignment="1">
      <alignment vertical="center"/>
    </xf>
    <xf numFmtId="4" fontId="46" fillId="0" borderId="27" xfId="46" applyNumberFormat="1" applyFont="1" applyBorder="1" applyAlignment="1">
      <alignment horizontal="right" vertical="center"/>
    </xf>
    <xf numFmtId="0" fontId="0" fillId="0" borderId="19" xfId="0" applyBorder="1" applyAlignment="1">
      <alignment horizontal="center" vertical="center"/>
    </xf>
    <xf numFmtId="0" fontId="0" fillId="0" borderId="18" xfId="0" applyBorder="1" applyAlignment="1">
      <alignment horizontal="center" vertical="center"/>
    </xf>
    <xf numFmtId="0" fontId="0" fillId="0" borderId="23" xfId="0" applyBorder="1" applyAlignment="1">
      <alignment horizontal="left" vertical="center"/>
    </xf>
    <xf numFmtId="0" fontId="0" fillId="0" borderId="23" xfId="0" applyBorder="1" applyAlignment="1">
      <alignment horizontal="center" vertical="center"/>
    </xf>
    <xf numFmtId="166" fontId="0" fillId="0" borderId="23" xfId="0" applyNumberFormat="1" applyBorder="1" applyAlignment="1">
      <alignment vertical="center"/>
    </xf>
    <xf numFmtId="2" fontId="0" fillId="0" borderId="23" xfId="0" applyNumberFormat="1" applyBorder="1" applyAlignment="1">
      <alignment vertical="center"/>
    </xf>
    <xf numFmtId="0" fontId="45" fillId="34" borderId="19" xfId="0" applyFont="1" applyFill="1" applyBorder="1" applyAlignment="1">
      <alignment horizontal="center"/>
    </xf>
    <xf numFmtId="0" fontId="0" fillId="0" borderId="0" xfId="0" applyAlignment="1">
      <alignment wrapText="1"/>
    </xf>
    <xf numFmtId="0" fontId="0" fillId="0" borderId="0" xfId="0" applyAlignment="1">
      <alignment horizontal="center" wrapText="1"/>
    </xf>
    <xf numFmtId="0" fontId="0" fillId="0" borderId="0" xfId="0" applyAlignment="1">
      <alignment horizontal="center" vertical="center" wrapText="1"/>
    </xf>
    <xf numFmtId="0" fontId="28" fillId="0" borderId="0" xfId="44"/>
    <xf numFmtId="2" fontId="28" fillId="33" borderId="33" xfId="49" applyFill="1" applyBorder="1" applyAlignment="1">
      <alignment vertical="center" wrapText="1"/>
    </xf>
    <xf numFmtId="2" fontId="28" fillId="33" borderId="0" xfId="49" applyFill="1" applyAlignment="1">
      <alignment vertical="center" wrapText="1"/>
    </xf>
    <xf numFmtId="2" fontId="36" fillId="33" borderId="0" xfId="49" applyFont="1" applyFill="1" applyAlignment="1">
      <alignment vertical="center" wrapText="1"/>
    </xf>
    <xf numFmtId="2" fontId="36" fillId="33" borderId="0" xfId="49" applyFont="1" applyFill="1">
      <alignment vertical="center"/>
    </xf>
    <xf numFmtId="0" fontId="39" fillId="33" borderId="0" xfId="50" applyFont="1" applyFill="1"/>
    <xf numFmtId="0" fontId="40" fillId="33" borderId="0" xfId="50" applyFont="1" applyFill="1"/>
    <xf numFmtId="0" fontId="0" fillId="0" borderId="20" xfId="0" applyBorder="1" applyAlignment="1">
      <alignment horizontal="left" vertical="center"/>
    </xf>
    <xf numFmtId="2" fontId="27" fillId="0" borderId="20" xfId="2" applyNumberFormat="1" applyFont="1" applyBorder="1" applyAlignment="1">
      <alignment horizontal="center" vertical="center"/>
    </xf>
    <xf numFmtId="10" fontId="33" fillId="0" borderId="20" xfId="2" applyNumberFormat="1" applyFont="1" applyBorder="1" applyAlignment="1">
      <alignment horizontal="center" vertical="center"/>
    </xf>
    <xf numFmtId="10" fontId="27" fillId="0" borderId="20" xfId="2" applyNumberFormat="1" applyFont="1" applyBorder="1" applyAlignment="1">
      <alignment horizontal="center" vertical="center"/>
    </xf>
    <xf numFmtId="10" fontId="0" fillId="0" borderId="0" xfId="0" applyNumberFormat="1"/>
    <xf numFmtId="17" fontId="0" fillId="0" borderId="0" xfId="0" applyNumberFormat="1"/>
    <xf numFmtId="10" fontId="0" fillId="0" borderId="0" xfId="0" applyNumberFormat="1" applyAlignment="1">
      <alignment wrapText="1"/>
    </xf>
    <xf numFmtId="169" fontId="49" fillId="36" borderId="40" xfId="0" applyNumberFormat="1" applyFont="1" applyFill="1" applyBorder="1" applyAlignment="1">
      <alignment horizontal="center" vertical="center" wrapText="1"/>
    </xf>
    <xf numFmtId="0" fontId="31" fillId="33" borderId="0" xfId="47" applyFont="1" applyFill="1" applyAlignment="1">
      <alignment horizontal="center" vertical="top" wrapText="1"/>
    </xf>
    <xf numFmtId="0" fontId="28" fillId="38" borderId="0" xfId="51" applyFill="1" applyAlignment="1"/>
    <xf numFmtId="0" fontId="0" fillId="38" borderId="0" xfId="0" applyFill="1"/>
    <xf numFmtId="0" fontId="0" fillId="38" borderId="13" xfId="0" applyFill="1" applyBorder="1"/>
    <xf numFmtId="2" fontId="32" fillId="38" borderId="11" xfId="49" applyFont="1" applyFill="1" applyBorder="1" applyAlignment="1">
      <alignment vertical="center" wrapText="1"/>
    </xf>
    <xf numFmtId="2" fontId="28" fillId="38" borderId="15" xfId="49" applyFill="1" applyBorder="1" applyAlignment="1">
      <alignment horizontal="center" vertical="center" wrapText="1"/>
    </xf>
    <xf numFmtId="2" fontId="28" fillId="38" borderId="12" xfId="49" applyFill="1" applyBorder="1" applyAlignment="1">
      <alignment horizontal="center" vertical="center" wrapText="1"/>
    </xf>
    <xf numFmtId="0" fontId="39" fillId="38" borderId="13" xfId="50" applyFont="1" applyFill="1" applyBorder="1"/>
    <xf numFmtId="0" fontId="39" fillId="38" borderId="0" xfId="50" applyFont="1" applyFill="1"/>
    <xf numFmtId="0" fontId="39" fillId="38" borderId="14" xfId="50" applyFont="1" applyFill="1" applyBorder="1"/>
    <xf numFmtId="0" fontId="0" fillId="38" borderId="17" xfId="0" applyFill="1" applyBorder="1" applyAlignment="1">
      <alignment horizontal="center" vertical="center"/>
    </xf>
    <xf numFmtId="0" fontId="0" fillId="38" borderId="19" xfId="0" applyFill="1" applyBorder="1" applyAlignment="1">
      <alignment horizontal="left" vertical="center"/>
    </xf>
    <xf numFmtId="0" fontId="0" fillId="38" borderId="18" xfId="0" applyFill="1" applyBorder="1" applyAlignment="1">
      <alignment horizontal="center" vertical="center"/>
    </xf>
    <xf numFmtId="2" fontId="0" fillId="0" borderId="20" xfId="2" applyNumberFormat="1" applyFont="1" applyBorder="1" applyAlignment="1">
      <alignment horizontal="center" vertical="center"/>
    </xf>
    <xf numFmtId="0" fontId="0" fillId="0" borderId="55" xfId="0" applyBorder="1" applyAlignment="1">
      <alignment horizontal="left" vertical="center"/>
    </xf>
    <xf numFmtId="0" fontId="0" fillId="0" borderId="55" xfId="0" applyBorder="1" applyAlignment="1">
      <alignment horizontal="center" vertical="center"/>
    </xf>
    <xf numFmtId="166" fontId="0" fillId="0" borderId="55" xfId="0" applyNumberFormat="1" applyBorder="1" applyAlignment="1">
      <alignment horizontal="left" vertical="center"/>
    </xf>
    <xf numFmtId="2" fontId="0" fillId="0" borderId="55" xfId="0" applyNumberFormat="1" applyBorder="1" applyAlignment="1">
      <alignment vertical="center"/>
    </xf>
    <xf numFmtId="0" fontId="0" fillId="0" borderId="53" xfId="0" applyBorder="1" applyAlignment="1">
      <alignment vertical="center" wrapText="1"/>
    </xf>
    <xf numFmtId="0" fontId="42" fillId="0" borderId="53" xfId="46" applyFont="1" applyBorder="1" applyAlignment="1">
      <alignment horizontal="center" vertical="center" wrapText="1"/>
    </xf>
    <xf numFmtId="0" fontId="34" fillId="0" borderId="53" xfId="46" applyFont="1" applyBorder="1" applyAlignment="1">
      <alignment horizontal="center" vertical="center"/>
    </xf>
    <xf numFmtId="0" fontId="35" fillId="0" borderId="58" xfId="46" applyFont="1" applyBorder="1" applyAlignment="1">
      <alignment horizontal="center" vertical="center" wrapText="1"/>
    </xf>
    <xf numFmtId="0" fontId="47" fillId="0" borderId="53" xfId="46" applyFont="1" applyBorder="1" applyAlignment="1">
      <alignment horizontal="left" vertical="center" wrapText="1"/>
    </xf>
    <xf numFmtId="0" fontId="35" fillId="0" borderId="53" xfId="46" applyFont="1" applyBorder="1" applyAlignment="1">
      <alignment horizontal="center" vertical="center"/>
    </xf>
    <xf numFmtId="0" fontId="0" fillId="0" borderId="56" xfId="0" applyBorder="1" applyAlignment="1">
      <alignment vertical="center" wrapText="1"/>
    </xf>
    <xf numFmtId="0" fontId="0" fillId="0" borderId="56" xfId="0" applyBorder="1" applyAlignment="1">
      <alignment horizontal="center" vertical="center"/>
    </xf>
    <xf numFmtId="166" fontId="0" fillId="0" borderId="56" xfId="0" applyNumberFormat="1" applyBorder="1" applyAlignment="1">
      <alignment vertical="center"/>
    </xf>
    <xf numFmtId="2" fontId="0" fillId="0" borderId="56" xfId="0" applyNumberFormat="1" applyBorder="1" applyAlignment="1">
      <alignment vertical="center"/>
    </xf>
    <xf numFmtId="2" fontId="0" fillId="0" borderId="58" xfId="0" applyNumberFormat="1" applyBorder="1" applyAlignment="1">
      <alignment vertical="center"/>
    </xf>
    <xf numFmtId="4" fontId="46" fillId="0" borderId="53" xfId="46" applyNumberFormat="1" applyFont="1" applyBorder="1" applyAlignment="1">
      <alignment horizontal="right" vertical="center"/>
    </xf>
    <xf numFmtId="4" fontId="42" fillId="0" borderId="57" xfId="46" applyNumberFormat="1" applyFont="1" applyBorder="1" applyAlignment="1">
      <alignment horizontal="center" vertical="center"/>
    </xf>
    <xf numFmtId="4" fontId="44" fillId="0" borderId="58" xfId="46" applyNumberFormat="1" applyFont="1" applyBorder="1" applyAlignment="1">
      <alignment horizontal="center" vertical="center"/>
    </xf>
    <xf numFmtId="0" fontId="0" fillId="34" borderId="57" xfId="0" applyFill="1" applyBorder="1" applyAlignment="1">
      <alignment horizontal="center"/>
    </xf>
    <xf numFmtId="0" fontId="0" fillId="34" borderId="56" xfId="0" applyFill="1" applyBorder="1" applyAlignment="1">
      <alignment horizontal="center"/>
    </xf>
    <xf numFmtId="0" fontId="0" fillId="34" borderId="56" xfId="0" applyFill="1" applyBorder="1"/>
    <xf numFmtId="0" fontId="0" fillId="34" borderId="58" xfId="0" applyFill="1" applyBorder="1"/>
    <xf numFmtId="0" fontId="0" fillId="0" borderId="17" xfId="0" applyBorder="1" applyAlignment="1">
      <alignment horizontal="center" vertical="center"/>
    </xf>
    <xf numFmtId="0" fontId="28" fillId="38" borderId="34" xfId="0" quotePrefix="1" applyFont="1" applyFill="1" applyBorder="1" applyAlignment="1">
      <alignment horizontal="center" vertical="center"/>
    </xf>
    <xf numFmtId="0" fontId="28" fillId="38" borderId="26" xfId="0" applyFont="1" applyFill="1" applyBorder="1" applyAlignment="1">
      <alignment horizontal="left" vertical="center"/>
    </xf>
    <xf numFmtId="170" fontId="28" fillId="0" borderId="0" xfId="0" applyNumberFormat="1" applyFont="1"/>
    <xf numFmtId="0" fontId="0" fillId="38" borderId="14" xfId="0" applyFill="1" applyBorder="1"/>
    <xf numFmtId="0" fontId="35" fillId="0" borderId="69" xfId="46" applyFont="1" applyBorder="1" applyAlignment="1">
      <alignment horizontal="center" vertical="center"/>
    </xf>
    <xf numFmtId="0" fontId="47" fillId="0" borderId="69" xfId="46" applyFont="1" applyBorder="1" applyAlignment="1">
      <alignment horizontal="left" vertical="center" wrapText="1"/>
    </xf>
    <xf numFmtId="0" fontId="42" fillId="0" borderId="69" xfId="46" applyFont="1" applyBorder="1" applyAlignment="1">
      <alignment horizontal="center" vertical="center" wrapText="1"/>
    </xf>
    <xf numFmtId="4" fontId="46" fillId="0" borderId="69" xfId="46" applyNumberFormat="1" applyFont="1" applyBorder="1" applyAlignment="1">
      <alignment horizontal="right" vertical="center"/>
    </xf>
    <xf numFmtId="0" fontId="33" fillId="0" borderId="69" xfId="0" applyFont="1" applyBorder="1" applyAlignment="1">
      <alignment horizontal="center" vertical="center"/>
    </xf>
    <xf numFmtId="0" fontId="33" fillId="0" borderId="69" xfId="0" applyFont="1" applyBorder="1" applyAlignment="1">
      <alignment horizontal="left" vertical="center" wrapText="1"/>
    </xf>
    <xf numFmtId="0" fontId="50" fillId="0" borderId="69" xfId="46" applyFont="1" applyBorder="1" applyAlignment="1">
      <alignment horizontal="center" vertical="center" wrapText="1"/>
    </xf>
    <xf numFmtId="0" fontId="0" fillId="0" borderId="69" xfId="0" applyBorder="1" applyAlignment="1">
      <alignment horizontal="center" vertical="center"/>
    </xf>
    <xf numFmtId="2" fontId="0" fillId="0" borderId="69" xfId="0" applyNumberFormat="1" applyBorder="1" applyAlignment="1">
      <alignment vertical="center"/>
    </xf>
    <xf numFmtId="0" fontId="34" fillId="0" borderId="69" xfId="46" applyFont="1" applyBorder="1" applyAlignment="1">
      <alignment horizontal="center" vertical="center"/>
    </xf>
    <xf numFmtId="0" fontId="34" fillId="0" borderId="72" xfId="46" applyFont="1" applyBorder="1" applyAlignment="1">
      <alignment horizontal="center" vertical="center"/>
    </xf>
    <xf numFmtId="0" fontId="35" fillId="0" borderId="71" xfId="46" applyFont="1" applyBorder="1" applyAlignment="1">
      <alignment horizontal="center" vertical="center" wrapText="1"/>
    </xf>
    <xf numFmtId="167" fontId="0" fillId="0" borderId="72" xfId="0" applyNumberFormat="1" applyBorder="1" applyAlignment="1">
      <alignment horizontal="right" vertical="center"/>
    </xf>
    <xf numFmtId="4" fontId="44" fillId="0" borderId="71" xfId="46" applyNumberFormat="1" applyFont="1" applyBorder="1" applyAlignment="1">
      <alignment horizontal="center" vertical="center"/>
    </xf>
    <xf numFmtId="0" fontId="0" fillId="0" borderId="69" xfId="0" applyBorder="1" applyAlignment="1">
      <alignment vertical="center" wrapText="1"/>
    </xf>
    <xf numFmtId="0" fontId="0" fillId="0" borderId="73" xfId="0" applyBorder="1" applyAlignment="1">
      <alignment vertical="center" wrapText="1"/>
    </xf>
    <xf numFmtId="0" fontId="0" fillId="0" borderId="73" xfId="0" applyBorder="1" applyAlignment="1">
      <alignment horizontal="center" vertical="center"/>
    </xf>
    <xf numFmtId="166" fontId="0" fillId="0" borderId="73" xfId="0" applyNumberFormat="1" applyBorder="1" applyAlignment="1">
      <alignment vertical="center"/>
    </xf>
    <xf numFmtId="2" fontId="0" fillId="0" borderId="73" xfId="0" applyNumberFormat="1" applyBorder="1" applyAlignment="1">
      <alignment vertical="center"/>
    </xf>
    <xf numFmtId="2" fontId="0" fillId="0" borderId="71" xfId="0" applyNumberFormat="1" applyBorder="1" applyAlignment="1">
      <alignment vertical="center"/>
    </xf>
    <xf numFmtId="0" fontId="0" fillId="34" borderId="70" xfId="0" applyFill="1" applyBorder="1" applyAlignment="1">
      <alignment horizontal="center" vertical="center"/>
    </xf>
    <xf numFmtId="0" fontId="0" fillId="34" borderId="73" xfId="0" applyFill="1" applyBorder="1" applyAlignment="1">
      <alignment horizontal="center" vertical="center"/>
    </xf>
    <xf numFmtId="0" fontId="0" fillId="34" borderId="73" xfId="0" applyFill="1" applyBorder="1" applyAlignment="1">
      <alignment vertical="center"/>
    </xf>
    <xf numFmtId="0" fontId="0" fillId="34" borderId="71" xfId="0" applyFill="1" applyBorder="1" applyAlignment="1">
      <alignment vertical="center"/>
    </xf>
    <xf numFmtId="0" fontId="34" fillId="0" borderId="74" xfId="46" applyFont="1" applyBorder="1" applyAlignment="1">
      <alignment vertical="center"/>
    </xf>
    <xf numFmtId="0" fontId="34" fillId="0" borderId="75" xfId="46" applyFont="1" applyBorder="1" applyAlignment="1">
      <alignment vertical="center"/>
    </xf>
    <xf numFmtId="167" fontId="46" fillId="0" borderId="75" xfId="46" applyNumberFormat="1" applyFont="1" applyBorder="1" applyAlignment="1">
      <alignment horizontal="left" vertical="center" wrapText="1"/>
    </xf>
    <xf numFmtId="4" fontId="42" fillId="0" borderId="70" xfId="46" applyNumberFormat="1" applyFont="1" applyBorder="1" applyAlignment="1">
      <alignment horizontal="center" vertical="center"/>
    </xf>
    <xf numFmtId="0" fontId="0" fillId="0" borderId="72" xfId="0" applyBorder="1" applyAlignment="1">
      <alignment vertical="center"/>
    </xf>
    <xf numFmtId="0" fontId="0" fillId="0" borderId="74" xfId="0" applyBorder="1" applyAlignment="1">
      <alignment horizontal="center" vertical="center"/>
    </xf>
    <xf numFmtId="0" fontId="37" fillId="38" borderId="76" xfId="0" applyFont="1" applyFill="1" applyBorder="1" applyAlignment="1">
      <alignment horizontal="center" vertical="center"/>
    </xf>
    <xf numFmtId="0" fontId="37" fillId="38" borderId="69" xfId="0" applyFont="1" applyFill="1" applyBorder="1" applyAlignment="1">
      <alignment horizontal="center" vertical="center"/>
    </xf>
    <xf numFmtId="0" fontId="0" fillId="0" borderId="30" xfId="0" applyBorder="1"/>
    <xf numFmtId="0" fontId="0" fillId="0" borderId="63" xfId="0" applyBorder="1"/>
    <xf numFmtId="0" fontId="0" fillId="0" borderId="63" xfId="0" applyBorder="1" applyAlignment="1">
      <alignment vertical="top"/>
    </xf>
    <xf numFmtId="0" fontId="37" fillId="38" borderId="78" xfId="0" applyFont="1" applyFill="1" applyBorder="1" applyAlignment="1">
      <alignment horizontal="center" vertical="center"/>
    </xf>
    <xf numFmtId="10" fontId="28" fillId="38" borderId="35" xfId="55" applyNumberFormat="1" applyFont="1" applyFill="1" applyBorder="1" applyAlignment="1" applyProtection="1">
      <alignment horizontal="center" vertical="center"/>
    </xf>
    <xf numFmtId="0" fontId="0" fillId="0" borderId="64" xfId="0" applyBorder="1" applyAlignment="1">
      <alignment vertical="top"/>
    </xf>
    <xf numFmtId="0" fontId="33" fillId="0" borderId="69" xfId="0" applyFont="1" applyBorder="1" applyAlignment="1">
      <alignment horizontal="center" vertical="center" wrapText="1"/>
    </xf>
    <xf numFmtId="0" fontId="0" fillId="38" borderId="13" xfId="0" applyFill="1" applyBorder="1" applyAlignment="1">
      <alignment wrapText="1"/>
    </xf>
    <xf numFmtId="43" fontId="0" fillId="0" borderId="0" xfId="1" applyFont="1" applyAlignment="1">
      <alignment vertical="top"/>
    </xf>
    <xf numFmtId="43" fontId="0" fillId="0" borderId="0" xfId="0" applyNumberFormat="1" applyAlignment="1">
      <alignment vertical="top"/>
    </xf>
    <xf numFmtId="43" fontId="28" fillId="0" borderId="0" xfId="1" applyFont="1" applyFill="1" applyBorder="1" applyAlignment="1"/>
    <xf numFmtId="43" fontId="28" fillId="0" borderId="0" xfId="0" applyNumberFormat="1" applyFont="1"/>
    <xf numFmtId="0" fontId="34" fillId="0" borderId="70" xfId="46" applyFont="1" applyBorder="1" applyAlignment="1">
      <alignment horizontal="center" vertical="center"/>
    </xf>
    <xf numFmtId="9" fontId="0" fillId="0" borderId="0" xfId="0" applyNumberFormat="1"/>
    <xf numFmtId="4" fontId="28" fillId="0" borderId="0" xfId="0" applyNumberFormat="1" applyFont="1"/>
    <xf numFmtId="184" fontId="0" fillId="0" borderId="69" xfId="0" applyNumberFormat="1" applyBorder="1" applyAlignment="1">
      <alignment vertical="center"/>
    </xf>
    <xf numFmtId="2" fontId="0" fillId="0" borderId="0" xfId="0" applyNumberFormat="1" applyAlignment="1">
      <alignment vertical="top"/>
    </xf>
    <xf numFmtId="0" fontId="0" fillId="0" borderId="14" xfId="0" applyBorder="1"/>
    <xf numFmtId="0" fontId="45" fillId="34" borderId="73" xfId="0" applyFont="1" applyFill="1" applyBorder="1" applyAlignment="1">
      <alignment horizontal="center" vertical="center"/>
    </xf>
    <xf numFmtId="0" fontId="37" fillId="38" borderId="70" xfId="0" applyFont="1" applyFill="1" applyBorder="1" applyAlignment="1">
      <alignment horizontal="center" vertical="center"/>
    </xf>
    <xf numFmtId="4" fontId="28" fillId="38" borderId="80" xfId="0" applyNumberFormat="1" applyFont="1" applyFill="1" applyBorder="1" applyAlignment="1">
      <alignment horizontal="right" vertical="center"/>
    </xf>
    <xf numFmtId="10" fontId="0" fillId="35" borderId="0" xfId="0" applyNumberFormat="1" applyFill="1" applyAlignment="1">
      <alignment wrapText="1"/>
    </xf>
    <xf numFmtId="0" fontId="34" fillId="0" borderId="57" xfId="46" applyFont="1" applyBorder="1" applyAlignment="1">
      <alignment horizontal="center" vertical="center"/>
    </xf>
    <xf numFmtId="0" fontId="45" fillId="34" borderId="73" xfId="0" applyFont="1" applyFill="1" applyBorder="1" applyAlignment="1">
      <alignment horizontal="left" vertical="center" wrapText="1"/>
    </xf>
    <xf numFmtId="0" fontId="0" fillId="33" borderId="73" xfId="0" applyFill="1" applyBorder="1" applyAlignment="1">
      <alignment horizontal="left" vertical="center" wrapText="1"/>
    </xf>
    <xf numFmtId="0" fontId="0" fillId="33" borderId="73" xfId="0" applyFill="1" applyBorder="1" applyAlignment="1">
      <alignment vertical="center" wrapText="1"/>
    </xf>
    <xf numFmtId="0" fontId="0" fillId="33" borderId="69" xfId="0" applyFill="1" applyBorder="1" applyAlignment="1">
      <alignment horizontal="center" vertical="center"/>
    </xf>
    <xf numFmtId="0" fontId="28" fillId="0" borderId="21" xfId="47" applyBorder="1" applyAlignment="1">
      <alignment horizontal="center" vertical="center"/>
    </xf>
    <xf numFmtId="4" fontId="28" fillId="38" borderId="21" xfId="47" applyNumberFormat="1" applyFill="1" applyBorder="1" applyAlignment="1">
      <alignment horizontal="right" vertical="center"/>
    </xf>
    <xf numFmtId="0" fontId="28" fillId="0" borderId="26" xfId="47" applyBorder="1" applyAlignment="1">
      <alignment horizontal="center" vertical="center"/>
    </xf>
    <xf numFmtId="0" fontId="28" fillId="38" borderId="0" xfId="51" applyFill="1" applyAlignment="1">
      <alignment horizontal="left"/>
    </xf>
    <xf numFmtId="0" fontId="37" fillId="39" borderId="0" xfId="0" applyFont="1" applyFill="1" applyAlignment="1">
      <alignment horizontal="center" vertical="center" wrapText="1"/>
    </xf>
    <xf numFmtId="0" fontId="37" fillId="38" borderId="0" xfId="0" applyFont="1" applyFill="1" applyAlignment="1">
      <alignment horizontal="center" vertical="center" wrapText="1"/>
    </xf>
    <xf numFmtId="0" fontId="84" fillId="38" borderId="0" xfId="0" applyFont="1" applyFill="1" applyAlignment="1">
      <alignment vertical="center" wrapText="1"/>
    </xf>
    <xf numFmtId="43" fontId="28" fillId="0" borderId="0" xfId="1" applyFont="1" applyFill="1" applyAlignment="1">
      <alignment horizontal="center" vertical="center"/>
    </xf>
    <xf numFmtId="166" fontId="7" fillId="0" borderId="69" xfId="0" applyNumberFormat="1" applyFont="1" applyBorder="1" applyAlignment="1">
      <alignment vertical="center"/>
    </xf>
    <xf numFmtId="2" fontId="7" fillId="0" borderId="69" xfId="0" applyNumberFormat="1" applyFont="1" applyBorder="1" applyAlignment="1">
      <alignment vertical="center"/>
    </xf>
    <xf numFmtId="0" fontId="0" fillId="33" borderId="69" xfId="0" quotePrefix="1" applyFill="1" applyBorder="1" applyAlignment="1">
      <alignment horizontal="center" vertical="center"/>
    </xf>
    <xf numFmtId="0" fontId="0" fillId="38" borderId="0" xfId="0" applyFill="1" applyAlignment="1">
      <alignment horizontal="center"/>
    </xf>
    <xf numFmtId="0" fontId="0" fillId="38" borderId="14" xfId="0" applyFill="1" applyBorder="1" applyAlignment="1">
      <alignment horizontal="center"/>
    </xf>
    <xf numFmtId="0" fontId="0" fillId="0" borderId="82" xfId="0" applyBorder="1" applyAlignment="1">
      <alignment horizontal="left" wrapText="1"/>
    </xf>
    <xf numFmtId="2" fontId="0" fillId="0" borderId="83" xfId="0" applyNumberFormat="1" applyBorder="1"/>
    <xf numFmtId="0" fontId="0" fillId="0" borderId="85" xfId="0" applyBorder="1" applyAlignment="1">
      <alignment horizontal="left" wrapText="1"/>
    </xf>
    <xf numFmtId="2" fontId="0" fillId="0" borderId="86" xfId="0" applyNumberFormat="1" applyBorder="1"/>
    <xf numFmtId="0" fontId="0" fillId="0" borderId="88" xfId="0" applyBorder="1" applyAlignment="1">
      <alignment horizontal="left"/>
    </xf>
    <xf numFmtId="2" fontId="0" fillId="0" borderId="89" xfId="0" applyNumberFormat="1" applyBorder="1"/>
    <xf numFmtId="0" fontId="0" fillId="0" borderId="88" xfId="0" applyBorder="1" applyAlignment="1">
      <alignment horizontal="left" wrapText="1"/>
    </xf>
    <xf numFmtId="0" fontId="0" fillId="38" borderId="77" xfId="0" applyFill="1" applyBorder="1"/>
    <xf numFmtId="0" fontId="0" fillId="38" borderId="29" xfId="0" applyFill="1" applyBorder="1"/>
    <xf numFmtId="0" fontId="0" fillId="38" borderId="16" xfId="0" applyFill="1" applyBorder="1"/>
    <xf numFmtId="0" fontId="0" fillId="38" borderId="29" xfId="0" applyFill="1" applyBorder="1" applyAlignment="1">
      <alignment horizontal="center" vertical="center"/>
    </xf>
    <xf numFmtId="0" fontId="33" fillId="0" borderId="29" xfId="0" applyFont="1" applyBorder="1" applyAlignment="1">
      <alignment horizontal="center" vertical="center"/>
    </xf>
    <xf numFmtId="0" fontId="33" fillId="0" borderId="93" xfId="0" applyFont="1" applyBorder="1" applyAlignment="1">
      <alignment horizontal="center" vertical="center"/>
    </xf>
    <xf numFmtId="0" fontId="0" fillId="0" borderId="94" xfId="0" applyBorder="1" applyAlignment="1">
      <alignment horizontal="left" vertical="center" wrapText="1"/>
    </xf>
    <xf numFmtId="0" fontId="33" fillId="38" borderId="69" xfId="0" applyFont="1" applyFill="1" applyBorder="1" applyAlignment="1">
      <alignment horizontal="center"/>
    </xf>
    <xf numFmtId="0" fontId="33" fillId="38" borderId="69" xfId="0" applyFont="1" applyFill="1" applyBorder="1" applyAlignment="1">
      <alignment horizontal="center" wrapText="1"/>
    </xf>
    <xf numFmtId="0" fontId="33" fillId="38" borderId="69" xfId="0" applyFont="1" applyFill="1" applyBorder="1" applyAlignment="1">
      <alignment horizontal="center" vertical="center" wrapText="1"/>
    </xf>
    <xf numFmtId="0" fontId="0" fillId="38" borderId="23" xfId="0" applyFill="1" applyBorder="1" applyAlignment="1">
      <alignment horizontal="center"/>
    </xf>
    <xf numFmtId="0" fontId="28" fillId="33" borderId="63" xfId="51" applyFill="1" applyBorder="1" applyAlignment="1"/>
    <xf numFmtId="0" fontId="28" fillId="33" borderId="64" xfId="51" applyFill="1" applyBorder="1" applyAlignment="1"/>
    <xf numFmtId="0" fontId="28" fillId="38" borderId="0" xfId="47" applyFill="1" applyAlignment="1">
      <alignment horizontal="left" vertical="top"/>
    </xf>
    <xf numFmtId="0" fontId="28" fillId="38" borderId="0" xfId="47" applyFill="1"/>
    <xf numFmtId="4" fontId="28" fillId="0" borderId="21" xfId="47" applyNumberFormat="1" applyBorder="1" applyAlignment="1">
      <alignment horizontal="right" vertical="center"/>
    </xf>
    <xf numFmtId="0" fontId="0" fillId="38" borderId="23" xfId="0" applyFill="1" applyBorder="1" applyAlignment="1">
      <alignment horizontal="center" wrapText="1"/>
    </xf>
    <xf numFmtId="171" fontId="0" fillId="0" borderId="23" xfId="0" applyNumberFormat="1" applyBorder="1" applyAlignment="1">
      <alignment horizontal="center"/>
    </xf>
    <xf numFmtId="171" fontId="0" fillId="0" borderId="0" xfId="0" applyNumberFormat="1" applyAlignment="1">
      <alignment horizontal="center"/>
    </xf>
    <xf numFmtId="0" fontId="0" fillId="38" borderId="69" xfId="0" applyFill="1" applyBorder="1" applyAlignment="1">
      <alignment horizontal="center" wrapText="1"/>
    </xf>
    <xf numFmtId="0" fontId="28" fillId="38" borderId="21" xfId="47" applyFill="1" applyBorder="1" applyAlignment="1">
      <alignment horizontal="center" vertical="center"/>
    </xf>
    <xf numFmtId="49" fontId="49" fillId="36" borderId="98" xfId="0" applyNumberFormat="1" applyFont="1" applyFill="1" applyBorder="1" applyAlignment="1">
      <alignment horizontal="center" vertical="center" wrapText="1"/>
    </xf>
    <xf numFmtId="49" fontId="49" fillId="36" borderId="99" xfId="0" applyNumberFormat="1" applyFont="1" applyFill="1" applyBorder="1" applyAlignment="1">
      <alignment horizontal="center" vertical="center" wrapText="1"/>
    </xf>
    <xf numFmtId="169" fontId="49" fillId="36" borderId="99" xfId="0" applyNumberFormat="1" applyFont="1" applyFill="1" applyBorder="1" applyAlignment="1">
      <alignment horizontal="center" vertical="center" wrapText="1"/>
    </xf>
    <xf numFmtId="17" fontId="0" fillId="0" borderId="0" xfId="0" applyNumberFormat="1" applyAlignment="1">
      <alignment horizontal="center" vertical="center" wrapText="1"/>
    </xf>
    <xf numFmtId="169" fontId="29" fillId="0" borderId="100" xfId="0" applyNumberFormat="1" applyFont="1" applyBorder="1" applyAlignment="1">
      <alignment horizontal="right" vertical="center" wrapText="1"/>
    </xf>
    <xf numFmtId="169" fontId="29" fillId="37" borderId="100" xfId="0" applyNumberFormat="1" applyFont="1" applyFill="1" applyBorder="1" applyAlignment="1">
      <alignment horizontal="right" vertical="center" wrapText="1"/>
    </xf>
    <xf numFmtId="0" fontId="0" fillId="0" borderId="101" xfId="0" applyBorder="1" applyAlignment="1">
      <alignment horizontal="center" vertical="top" wrapText="1"/>
    </xf>
    <xf numFmtId="0" fontId="0" fillId="0" borderId="101" xfId="0" applyBorder="1" applyAlignment="1">
      <alignment horizontal="right" vertical="top" wrapText="1"/>
    </xf>
    <xf numFmtId="4" fontId="0" fillId="0" borderId="101" xfId="0" applyNumberFormat="1" applyBorder="1" applyAlignment="1">
      <alignment horizontal="right" vertical="top" wrapText="1"/>
    </xf>
    <xf numFmtId="0" fontId="80" fillId="33" borderId="69" xfId="0" applyFont="1" applyFill="1" applyBorder="1" applyAlignment="1">
      <alignment vertical="center" wrapText="1"/>
    </xf>
    <xf numFmtId="0" fontId="81" fillId="33" borderId="69" xfId="0" applyFont="1" applyFill="1" applyBorder="1" applyAlignment="1">
      <alignment horizontal="center" vertical="center" wrapText="1"/>
    </xf>
    <xf numFmtId="0" fontId="28" fillId="72" borderId="0" xfId="47" applyFill="1" applyAlignment="1">
      <alignment vertical="top"/>
    </xf>
    <xf numFmtId="0" fontId="48" fillId="73" borderId="69" xfId="47" applyFont="1" applyFill="1" applyBorder="1" applyAlignment="1">
      <alignment horizontal="center" vertical="center"/>
    </xf>
    <xf numFmtId="0" fontId="48" fillId="73" borderId="73" xfId="47" applyFont="1" applyFill="1" applyBorder="1" applyAlignment="1">
      <alignment horizontal="center" vertical="center" wrapText="1"/>
    </xf>
    <xf numFmtId="0" fontId="48" fillId="73" borderId="69" xfId="47" applyFont="1" applyFill="1" applyBorder="1" applyAlignment="1">
      <alignment horizontal="center" vertical="center" wrapText="1"/>
    </xf>
    <xf numFmtId="4" fontId="48" fillId="73" borderId="69" xfId="47" applyNumberFormat="1" applyFont="1" applyFill="1" applyBorder="1" applyAlignment="1">
      <alignment horizontal="center" vertical="center"/>
    </xf>
    <xf numFmtId="0" fontId="28" fillId="73" borderId="0" xfId="47" applyFill="1" applyAlignment="1">
      <alignment vertical="top"/>
    </xf>
    <xf numFmtId="43" fontId="7" fillId="0" borderId="69" xfId="1" applyFont="1" applyFill="1" applyBorder="1" applyAlignment="1">
      <alignment horizontal="right" vertical="center"/>
    </xf>
    <xf numFmtId="0" fontId="0" fillId="0" borderId="94" xfId="0" applyBorder="1" applyAlignment="1">
      <alignment horizontal="left" wrapText="1"/>
    </xf>
    <xf numFmtId="2" fontId="0" fillId="0" borderId="93" xfId="0" applyNumberFormat="1" applyBorder="1"/>
    <xf numFmtId="43" fontId="0" fillId="0" borderId="86" xfId="1" applyFont="1" applyBorder="1"/>
    <xf numFmtId="0" fontId="0" fillId="0" borderId="0" xfId="0" applyAlignment="1">
      <alignment horizontal="left" vertical="center" wrapText="1"/>
    </xf>
    <xf numFmtId="49" fontId="49" fillId="36" borderId="99" xfId="0" applyNumberFormat="1" applyFont="1" applyFill="1" applyBorder="1" applyAlignment="1">
      <alignment horizontal="left" vertical="center" wrapText="1"/>
    </xf>
    <xf numFmtId="0" fontId="25" fillId="74" borderId="101" xfId="0" applyFont="1" applyFill="1" applyBorder="1" applyAlignment="1">
      <alignment horizontal="left" wrapText="1"/>
    </xf>
    <xf numFmtId="0" fontId="25" fillId="74" borderId="101" xfId="0" applyFont="1" applyFill="1" applyBorder="1" applyAlignment="1">
      <alignment horizontal="center" wrapText="1"/>
    </xf>
    <xf numFmtId="0" fontId="25" fillId="0" borderId="101" xfId="0" applyFont="1" applyBorder="1" applyAlignment="1">
      <alignment vertical="top" wrapText="1"/>
    </xf>
    <xf numFmtId="0" fontId="0" fillId="0" borderId="101" xfId="0" applyBorder="1" applyAlignment="1">
      <alignment vertical="top" wrapText="1"/>
    </xf>
    <xf numFmtId="0" fontId="0" fillId="0" borderId="105" xfId="0" applyBorder="1"/>
    <xf numFmtId="0" fontId="0" fillId="0" borderId="106" xfId="0" applyBorder="1"/>
    <xf numFmtId="2" fontId="0" fillId="0" borderId="69" xfId="0" applyNumberFormat="1" applyBorder="1" applyAlignment="1">
      <alignment horizontal="right" vertical="center"/>
    </xf>
    <xf numFmtId="44" fontId="48" fillId="73" borderId="69" xfId="26673" applyFont="1" applyFill="1" applyBorder="1" applyAlignment="1">
      <alignment horizontal="center" vertical="center" wrapText="1"/>
    </xf>
    <xf numFmtId="44" fontId="28" fillId="0" borderId="21" xfId="26673" applyFont="1" applyFill="1" applyBorder="1" applyAlignment="1">
      <alignment horizontal="right" vertical="center"/>
    </xf>
    <xf numFmtId="44" fontId="28" fillId="38" borderId="21" xfId="26673" applyFont="1" applyFill="1" applyBorder="1" applyAlignment="1">
      <alignment horizontal="right" vertical="center"/>
    </xf>
    <xf numFmtId="44" fontId="37" fillId="73" borderId="69" xfId="26673" applyFont="1" applyFill="1" applyBorder="1" applyAlignment="1">
      <alignment horizontal="right" vertical="center"/>
    </xf>
    <xf numFmtId="44" fontId="37" fillId="38" borderId="0" xfId="26673" applyFont="1" applyFill="1" applyBorder="1" applyAlignment="1">
      <alignment horizontal="center" vertical="center" wrapText="1"/>
    </xf>
    <xf numFmtId="44" fontId="37" fillId="38" borderId="0" xfId="26673" applyFont="1" applyFill="1" applyBorder="1" applyAlignment="1">
      <alignment horizontal="right" vertical="center"/>
    </xf>
    <xf numFmtId="44" fontId="84" fillId="38" borderId="0" xfId="26673" applyFont="1" applyFill="1" applyAlignment="1">
      <alignment vertical="center" wrapText="1"/>
    </xf>
    <xf numFmtId="44" fontId="37" fillId="39" borderId="0" xfId="26673" applyFont="1" applyFill="1" applyBorder="1" applyAlignment="1">
      <alignment horizontal="center" vertical="center" wrapText="1"/>
    </xf>
    <xf numFmtId="44" fontId="37" fillId="39" borderId="0" xfId="26673" applyFont="1" applyFill="1" applyBorder="1" applyAlignment="1">
      <alignment horizontal="right" vertical="center"/>
    </xf>
    <xf numFmtId="44" fontId="28" fillId="0" borderId="0" xfId="26673" applyFont="1" applyFill="1" applyAlignment="1">
      <alignment vertical="top"/>
    </xf>
    <xf numFmtId="44" fontId="28" fillId="0" borderId="0" xfId="26673" applyFont="1" applyFill="1" applyAlignment="1">
      <alignment vertical="center"/>
    </xf>
    <xf numFmtId="0" fontId="33" fillId="0" borderId="69" xfId="0" applyFont="1" applyBorder="1" applyAlignment="1">
      <alignment horizontal="justify" vertical="justify" wrapText="1"/>
    </xf>
    <xf numFmtId="43" fontId="0" fillId="0" borderId="95" xfId="1" applyFont="1" applyFill="1" applyBorder="1" applyAlignment="1">
      <alignment horizontal="right" vertical="center"/>
    </xf>
    <xf numFmtId="0" fontId="33" fillId="0" borderId="69" xfId="0" applyFont="1" applyBorder="1" applyAlignment="1">
      <alignment horizontal="justify" vertical="center" wrapText="1"/>
    </xf>
    <xf numFmtId="43" fontId="0" fillId="0" borderId="87" xfId="1" applyFont="1" applyFill="1" applyBorder="1" applyAlignment="1">
      <alignment vertical="center"/>
    </xf>
    <xf numFmtId="43" fontId="0" fillId="38" borderId="14" xfId="1" applyFont="1" applyFill="1" applyBorder="1" applyAlignment="1">
      <alignment wrapText="1"/>
    </xf>
    <xf numFmtId="43" fontId="0" fillId="38" borderId="0" xfId="1" applyFont="1" applyFill="1" applyBorder="1"/>
    <xf numFmtId="43" fontId="25" fillId="38" borderId="0" xfId="1" applyFont="1" applyFill="1" applyBorder="1" applyAlignment="1">
      <alignment horizontal="center" vertical="center"/>
    </xf>
    <xf numFmtId="43" fontId="0" fillId="38" borderId="14" xfId="1" applyFont="1" applyFill="1" applyBorder="1"/>
    <xf numFmtId="43" fontId="33" fillId="0" borderId="69" xfId="1" applyFont="1" applyBorder="1" applyAlignment="1">
      <alignment horizontal="center" vertical="center" wrapText="1"/>
    </xf>
    <xf numFmtId="43" fontId="0" fillId="33" borderId="73" xfId="1" applyFont="1" applyFill="1" applyBorder="1" applyAlignment="1">
      <alignment vertical="center" wrapText="1"/>
    </xf>
    <xf numFmtId="43" fontId="0" fillId="33" borderId="71" xfId="1" applyFont="1" applyFill="1" applyBorder="1" applyAlignment="1">
      <alignment vertical="center" wrapText="1"/>
    </xf>
    <xf numFmtId="43" fontId="0" fillId="0" borderId="69" xfId="1" applyFont="1" applyFill="1" applyBorder="1" applyAlignment="1">
      <alignment horizontal="center" vertical="center" wrapText="1"/>
    </xf>
    <xf numFmtId="43" fontId="33" fillId="0" borderId="69" xfId="1" applyFont="1" applyFill="1" applyBorder="1" applyAlignment="1">
      <alignment horizontal="center" vertical="center"/>
    </xf>
    <xf numFmtId="43" fontId="0" fillId="0" borderId="83" xfId="1" applyFont="1" applyFill="1" applyBorder="1" applyAlignment="1">
      <alignment horizontal="center" vertical="center"/>
    </xf>
    <xf numFmtId="43" fontId="0" fillId="0" borderId="84" xfId="1" applyFont="1" applyFill="1" applyBorder="1" applyAlignment="1">
      <alignment vertical="center"/>
    </xf>
    <xf numFmtId="43" fontId="0" fillId="0" borderId="86" xfId="1" applyFont="1" applyFill="1" applyBorder="1" applyAlignment="1">
      <alignment horizontal="center" vertical="center"/>
    </xf>
    <xf numFmtId="43" fontId="46" fillId="0" borderId="89" xfId="1" applyFont="1" applyFill="1" applyBorder="1" applyAlignment="1">
      <alignment horizontal="center" vertical="center"/>
    </xf>
    <xf numFmtId="43" fontId="0" fillId="0" borderId="89" xfId="1" applyFont="1" applyFill="1" applyBorder="1" applyAlignment="1">
      <alignment horizontal="center" vertical="center"/>
    </xf>
    <xf numFmtId="43" fontId="0" fillId="0" borderId="90" xfId="1" applyFont="1" applyFill="1" applyBorder="1" applyAlignment="1">
      <alignment vertical="center"/>
    </xf>
    <xf numFmtId="43" fontId="0" fillId="34" borderId="73" xfId="1" applyFont="1" applyFill="1" applyBorder="1" applyAlignment="1">
      <alignment horizontal="center" vertical="center"/>
    </xf>
    <xf numFmtId="43" fontId="0" fillId="34" borderId="73" xfId="1" applyFont="1" applyFill="1" applyBorder="1" applyAlignment="1">
      <alignment vertical="center"/>
    </xf>
    <xf numFmtId="43" fontId="0" fillId="34" borderId="71" xfId="1" applyFont="1" applyFill="1" applyBorder="1" applyAlignment="1">
      <alignment vertical="center"/>
    </xf>
    <xf numFmtId="43" fontId="0" fillId="0" borderId="92" xfId="1" applyFont="1" applyFill="1" applyBorder="1" applyAlignment="1">
      <alignment vertical="center"/>
    </xf>
    <xf numFmtId="43" fontId="0" fillId="0" borderId="93" xfId="1" applyFont="1" applyFill="1" applyBorder="1" applyAlignment="1">
      <alignment horizontal="center" vertical="center"/>
    </xf>
    <xf numFmtId="43" fontId="0" fillId="0" borderId="95" xfId="1" applyFont="1" applyFill="1" applyBorder="1" applyAlignment="1">
      <alignment vertical="center"/>
    </xf>
    <xf numFmtId="43" fontId="0" fillId="0" borderId="93" xfId="1" applyFont="1" applyFill="1" applyBorder="1" applyAlignment="1">
      <alignment horizontal="center" vertical="center" wrapText="1"/>
    </xf>
    <xf numFmtId="43" fontId="0" fillId="0" borderId="93" xfId="1" applyFont="1" applyBorder="1" applyAlignment="1">
      <alignment vertical="center"/>
    </xf>
    <xf numFmtId="43" fontId="33" fillId="0" borderId="95" xfId="1" applyFont="1" applyFill="1" applyBorder="1" applyAlignment="1">
      <alignment horizontal="center" vertical="center"/>
    </xf>
    <xf numFmtId="43" fontId="0" fillId="0" borderId="0" xfId="1" applyFont="1"/>
    <xf numFmtId="0" fontId="36" fillId="38" borderId="63" xfId="51" applyFont="1" applyFill="1" applyBorder="1">
      <alignment vertical="top"/>
    </xf>
    <xf numFmtId="0" fontId="0" fillId="0" borderId="102" xfId="0" applyBorder="1" applyAlignment="1">
      <alignment wrapText="1"/>
    </xf>
    <xf numFmtId="0" fontId="0" fillId="0" borderId="103" xfId="0" applyBorder="1" applyAlignment="1">
      <alignment wrapText="1"/>
    </xf>
    <xf numFmtId="0" fontId="0" fillId="0" borderId="104" xfId="0" applyBorder="1" applyAlignment="1">
      <alignment wrapText="1"/>
    </xf>
    <xf numFmtId="2" fontId="0" fillId="0" borderId="0" xfId="0" applyNumberFormat="1" applyAlignment="1">
      <alignment horizontal="center" vertical="center" wrapText="1"/>
    </xf>
    <xf numFmtId="10" fontId="0" fillId="35" borderId="0" xfId="0" applyNumberFormat="1" applyFill="1" applyAlignment="1">
      <alignment horizontal="center" vertical="center" wrapText="1"/>
    </xf>
    <xf numFmtId="0" fontId="25" fillId="0" borderId="101" xfId="0" applyFont="1" applyBorder="1" applyAlignment="1">
      <alignment horizontal="left" vertical="center" wrapText="1"/>
    </xf>
    <xf numFmtId="0" fontId="0" fillId="0" borderId="101" xfId="0" applyBorder="1" applyAlignment="1">
      <alignment horizontal="center" vertical="center" wrapText="1"/>
    </xf>
    <xf numFmtId="43" fontId="0" fillId="0" borderId="91" xfId="1" applyFont="1" applyFill="1" applyBorder="1" applyAlignment="1">
      <alignment vertical="center"/>
    </xf>
    <xf numFmtId="10" fontId="37" fillId="73" borderId="69" xfId="26673" applyNumberFormat="1" applyFont="1" applyFill="1" applyBorder="1" applyAlignment="1">
      <alignment horizontal="right" vertical="center"/>
    </xf>
    <xf numFmtId="10" fontId="28" fillId="0" borderId="21" xfId="2" applyNumberFormat="1" applyFont="1" applyFill="1" applyBorder="1" applyAlignment="1">
      <alignment horizontal="right" vertical="center"/>
    </xf>
    <xf numFmtId="0" fontId="28" fillId="35" borderId="21" xfId="47" applyFill="1" applyBorder="1" applyAlignment="1">
      <alignment horizontal="center" vertical="center"/>
    </xf>
    <xf numFmtId="4" fontId="28" fillId="35" borderId="21" xfId="47" applyNumberFormat="1" applyFill="1" applyBorder="1" applyAlignment="1">
      <alignment horizontal="right" vertical="center"/>
    </xf>
    <xf numFmtId="44" fontId="28" fillId="35" borderId="21" xfId="26673" applyFont="1" applyFill="1" applyBorder="1" applyAlignment="1">
      <alignment horizontal="right" vertical="center"/>
    </xf>
    <xf numFmtId="10" fontId="28" fillId="35" borderId="21" xfId="2" applyNumberFormat="1" applyFont="1" applyFill="1" applyBorder="1" applyAlignment="1">
      <alignment horizontal="right" vertical="center"/>
    </xf>
    <xf numFmtId="0" fontId="112" fillId="0" borderId="0" xfId="33839" applyAlignment="1">
      <alignment horizontal="left" vertical="top"/>
    </xf>
    <xf numFmtId="0" fontId="115" fillId="79" borderId="101" xfId="33839" applyFont="1" applyFill="1" applyBorder="1" applyAlignment="1">
      <alignment horizontal="center" vertical="top" wrapText="1"/>
    </xf>
    <xf numFmtId="0" fontId="115" fillId="79" borderId="101" xfId="33839" applyFont="1" applyFill="1" applyBorder="1" applyAlignment="1">
      <alignment horizontal="left" vertical="top" wrapText="1"/>
    </xf>
    <xf numFmtId="0" fontId="115" fillId="79" borderId="101" xfId="33839" applyFont="1" applyFill="1" applyBorder="1" applyAlignment="1">
      <alignment horizontal="right" vertical="top" wrapText="1"/>
    </xf>
    <xf numFmtId="1" fontId="116" fillId="0" borderId="101" xfId="33839" applyNumberFormat="1" applyFont="1" applyBorder="1" applyAlignment="1">
      <alignment horizontal="center" vertical="top" shrinkToFit="1"/>
    </xf>
    <xf numFmtId="0" fontId="114" fillId="0" borderId="101" xfId="33839" applyFont="1" applyBorder="1" applyAlignment="1">
      <alignment horizontal="left" vertical="top" wrapText="1"/>
    </xf>
    <xf numFmtId="0" fontId="114" fillId="0" borderId="101" xfId="33839" applyFont="1" applyBorder="1" applyAlignment="1">
      <alignment horizontal="center" vertical="top" wrapText="1"/>
    </xf>
    <xf numFmtId="2" fontId="116" fillId="0" borderId="101" xfId="33839" applyNumberFormat="1" applyFont="1" applyBorder="1" applyAlignment="1">
      <alignment horizontal="right" vertical="top" shrinkToFit="1"/>
    </xf>
    <xf numFmtId="0" fontId="112" fillId="0" borderId="101" xfId="33839" applyBorder="1" applyAlignment="1">
      <alignment horizontal="left" wrapText="1"/>
    </xf>
    <xf numFmtId="0" fontId="112" fillId="0" borderId="101" xfId="33839" applyBorder="1" applyAlignment="1">
      <alignment horizontal="left" vertical="top" wrapText="1"/>
    </xf>
    <xf numFmtId="0" fontId="112" fillId="0" borderId="101" xfId="33839" applyBorder="1" applyAlignment="1">
      <alignment horizontal="left" vertical="center" wrapText="1"/>
    </xf>
    <xf numFmtId="4" fontId="116" fillId="0" borderId="101" xfId="33839" applyNumberFormat="1" applyFont="1" applyBorder="1" applyAlignment="1">
      <alignment horizontal="right" vertical="top" shrinkToFit="1"/>
    </xf>
    <xf numFmtId="0" fontId="112" fillId="0" borderId="0" xfId="33839" applyAlignment="1">
      <alignment horizontal="center" vertical="top"/>
    </xf>
    <xf numFmtId="44" fontId="28" fillId="0" borderId="0" xfId="26673" applyFont="1" applyAlignment="1">
      <alignment vertical="center"/>
    </xf>
    <xf numFmtId="44" fontId="28" fillId="0" borderId="0" xfId="47" applyNumberFormat="1" applyAlignment="1">
      <alignment vertical="top"/>
    </xf>
    <xf numFmtId="0" fontId="37" fillId="38" borderId="32" xfId="0" applyFont="1" applyFill="1" applyBorder="1" applyAlignment="1">
      <alignment horizontal="left" wrapText="1"/>
    </xf>
    <xf numFmtId="0" fontId="37" fillId="38" borderId="36" xfId="0" applyFont="1" applyFill="1" applyBorder="1" applyAlignment="1">
      <alignment horizontal="left" vertical="top" wrapText="1"/>
    </xf>
    <xf numFmtId="0" fontId="31" fillId="38" borderId="76" xfId="0" applyFont="1" applyFill="1" applyBorder="1" applyAlignment="1">
      <alignment horizontal="center" vertical="center"/>
    </xf>
    <xf numFmtId="0" fontId="31" fillId="38" borderId="69" xfId="0" applyFont="1" applyFill="1" applyBorder="1" applyAlignment="1">
      <alignment horizontal="center" vertical="center"/>
    </xf>
    <xf numFmtId="0" fontId="109" fillId="0" borderId="69" xfId="0" applyFont="1" applyBorder="1"/>
    <xf numFmtId="44" fontId="117" fillId="0" borderId="107" xfId="26673" applyFont="1" applyBorder="1"/>
    <xf numFmtId="0" fontId="31" fillId="38" borderId="78" xfId="0" applyFont="1" applyFill="1" applyBorder="1" applyAlignment="1">
      <alignment horizontal="center" vertical="center"/>
    </xf>
    <xf numFmtId="0" fontId="109" fillId="0" borderId="76" xfId="0" applyFont="1" applyBorder="1" applyAlignment="1">
      <alignment horizontal="center"/>
    </xf>
    <xf numFmtId="44" fontId="109" fillId="0" borderId="78" xfId="26673" applyFont="1" applyBorder="1"/>
    <xf numFmtId="0" fontId="28" fillId="0" borderId="28" xfId="0" applyFont="1" applyBorder="1" applyAlignment="1">
      <alignment horizontal="center" vertical="center"/>
    </xf>
    <xf numFmtId="0" fontId="28" fillId="0" borderId="21" xfId="0" applyFont="1" applyBorder="1" applyAlignment="1">
      <alignment horizontal="center" vertical="center"/>
    </xf>
    <xf numFmtId="0" fontId="28" fillId="0" borderId="21" xfId="47" applyBorder="1" applyAlignment="1">
      <alignment horizontal="justify" vertical="justify"/>
    </xf>
    <xf numFmtId="0" fontId="28" fillId="0" borderId="21" xfId="47" applyBorder="1" applyAlignment="1">
      <alignment horizontal="justify" vertical="center"/>
    </xf>
    <xf numFmtId="0" fontId="28" fillId="38" borderId="28" xfId="0" applyFont="1" applyFill="1" applyBorder="1" applyAlignment="1">
      <alignment horizontal="center" vertical="center"/>
    </xf>
    <xf numFmtId="0" fontId="28" fillId="38" borderId="21" xfId="0" applyFont="1" applyFill="1" applyBorder="1" applyAlignment="1">
      <alignment horizontal="center" vertical="center"/>
    </xf>
    <xf numFmtId="0" fontId="28" fillId="38" borderId="21" xfId="47" applyFill="1" applyBorder="1" applyAlignment="1">
      <alignment horizontal="left" vertical="center"/>
    </xf>
    <xf numFmtId="0" fontId="92" fillId="0" borderId="21" xfId="0" applyFont="1" applyBorder="1" applyAlignment="1">
      <alignment horizontal="center" vertical="center"/>
    </xf>
    <xf numFmtId="0" fontId="28" fillId="0" borderId="0" xfId="0" applyFont="1" applyAlignment="1">
      <alignment horizontal="center" vertical="center"/>
    </xf>
    <xf numFmtId="0" fontId="92" fillId="0" borderId="0" xfId="0" applyFont="1" applyAlignment="1">
      <alignment horizontal="center" vertical="center"/>
    </xf>
    <xf numFmtId="0" fontId="28" fillId="35" borderId="28" xfId="0" applyFont="1" applyFill="1" applyBorder="1" applyAlignment="1">
      <alignment horizontal="center" vertical="center"/>
    </xf>
    <xf numFmtId="0" fontId="28" fillId="35" borderId="21" xfId="0" applyFont="1" applyFill="1" applyBorder="1" applyAlignment="1">
      <alignment horizontal="center" vertical="center"/>
    </xf>
    <xf numFmtId="0" fontId="28" fillId="35" borderId="21" xfId="47" applyFill="1" applyBorder="1" applyAlignment="1">
      <alignment horizontal="justify" vertical="justify"/>
    </xf>
    <xf numFmtId="0" fontId="28" fillId="0" borderId="86" xfId="0" applyFont="1" applyBorder="1" applyAlignment="1">
      <alignment horizontal="center" vertical="center" wrapText="1"/>
    </xf>
    <xf numFmtId="0" fontId="28" fillId="0" borderId="86" xfId="47" applyBorder="1" applyAlignment="1">
      <alignment horizontal="center" vertical="center"/>
    </xf>
    <xf numFmtId="44" fontId="28" fillId="0" borderId="86" xfId="26673" applyFont="1" applyFill="1" applyBorder="1" applyAlignment="1">
      <alignment horizontal="right" vertical="center"/>
    </xf>
    <xf numFmtId="0" fontId="0" fillId="0" borderId="73" xfId="0" applyBorder="1" applyAlignment="1">
      <alignment horizontal="left" vertical="center" wrapText="1"/>
    </xf>
    <xf numFmtId="43" fontId="0" fillId="0" borderId="73" xfId="1" applyFont="1" applyFill="1" applyBorder="1" applyAlignment="1">
      <alignment vertical="center" wrapText="1"/>
    </xf>
    <xf numFmtId="43" fontId="0" fillId="0" borderId="71" xfId="1" applyFont="1" applyFill="1" applyBorder="1" applyAlignment="1">
      <alignment vertical="center" wrapText="1"/>
    </xf>
    <xf numFmtId="0" fontId="28" fillId="80" borderId="0" xfId="47" applyFill="1" applyAlignment="1">
      <alignment vertical="top"/>
    </xf>
    <xf numFmtId="0" fontId="0" fillId="0" borderId="69" xfId="0" quotePrefix="1" applyBorder="1" applyAlignment="1">
      <alignment horizontal="center" vertical="center"/>
    </xf>
    <xf numFmtId="43" fontId="0" fillId="0" borderId="93" xfId="1" applyFont="1" applyFill="1" applyBorder="1" applyAlignment="1">
      <alignment vertical="center"/>
    </xf>
    <xf numFmtId="0" fontId="0" fillId="0" borderId="29" xfId="0" applyBorder="1" applyAlignment="1">
      <alignment horizontal="center" vertical="center"/>
    </xf>
    <xf numFmtId="43" fontId="0" fillId="0" borderId="86" xfId="1" applyFont="1" applyFill="1" applyBorder="1"/>
    <xf numFmtId="39" fontId="28" fillId="33" borderId="69" xfId="51" applyNumberFormat="1" applyFill="1" applyBorder="1" applyAlignment="1">
      <alignment horizontal="center"/>
    </xf>
    <xf numFmtId="10" fontId="28" fillId="33" borderId="69" xfId="51" applyNumberFormat="1" applyFill="1" applyBorder="1" applyAlignment="1">
      <alignment horizontal="center" vertical="top" wrapText="1"/>
    </xf>
    <xf numFmtId="39" fontId="28" fillId="33" borderId="108" xfId="51" applyNumberFormat="1" applyFill="1" applyBorder="1" applyAlignment="1">
      <alignment horizontal="center"/>
    </xf>
    <xf numFmtId="10" fontId="28" fillId="33" borderId="109" xfId="51" applyNumberFormat="1" applyFill="1" applyBorder="1" applyAlignment="1">
      <alignment horizontal="center" vertical="top" wrapText="1"/>
    </xf>
    <xf numFmtId="39" fontId="28" fillId="33" borderId="110" xfId="51" applyNumberFormat="1" applyFill="1" applyBorder="1" applyAlignment="1">
      <alignment horizontal="center"/>
    </xf>
    <xf numFmtId="10" fontId="28" fillId="33" borderId="111" xfId="51" applyNumberFormat="1" applyFill="1" applyBorder="1" applyAlignment="1">
      <alignment horizontal="center" vertical="top" wrapText="1"/>
    </xf>
    <xf numFmtId="4" fontId="28" fillId="33" borderId="0" xfId="51" applyNumberFormat="1" applyFill="1" applyAlignment="1">
      <alignment horizontal="right"/>
    </xf>
    <xf numFmtId="165" fontId="28" fillId="33" borderId="109" xfId="58" applyFont="1" applyFill="1" applyBorder="1" applyAlignment="1">
      <alignment horizontal="center"/>
    </xf>
    <xf numFmtId="0" fontId="28" fillId="33" borderId="0" xfId="51" applyFill="1" applyAlignment="1">
      <alignment horizontal="right"/>
    </xf>
    <xf numFmtId="168" fontId="28" fillId="33" borderId="108" xfId="51" applyNumberFormat="1" applyFill="1" applyBorder="1" applyAlignment="1">
      <alignment horizontal="center"/>
    </xf>
    <xf numFmtId="4" fontId="28" fillId="0" borderId="69" xfId="51" applyNumberFormat="1" applyBorder="1" applyAlignment="1">
      <alignment vertical="center" wrapText="1"/>
    </xf>
    <xf numFmtId="4" fontId="28" fillId="33" borderId="69" xfId="58" applyNumberFormat="1" applyFont="1" applyFill="1" applyBorder="1" applyAlignment="1">
      <alignment vertical="top" wrapText="1"/>
    </xf>
    <xf numFmtId="10" fontId="28" fillId="33" borderId="69" xfId="56" applyNumberFormat="1" applyFont="1" applyFill="1" applyBorder="1" applyAlignment="1">
      <alignment vertical="top" wrapText="1"/>
    </xf>
    <xf numFmtId="2" fontId="28" fillId="33" borderId="69" xfId="51" applyNumberFormat="1" applyFill="1" applyBorder="1" applyAlignment="1">
      <alignment vertical="center" wrapText="1"/>
    </xf>
    <xf numFmtId="0" fontId="37" fillId="33" borderId="69" xfId="51" applyFont="1" applyFill="1" applyBorder="1" applyAlignment="1">
      <alignment horizontal="center"/>
    </xf>
    <xf numFmtId="165" fontId="37" fillId="0" borderId="69" xfId="58" applyFont="1" applyFill="1" applyBorder="1"/>
    <xf numFmtId="10" fontId="37" fillId="33" borderId="69" xfId="56" applyNumberFormat="1" applyFont="1" applyFill="1" applyBorder="1"/>
    <xf numFmtId="43" fontId="0" fillId="0" borderId="92" xfId="1" applyFont="1" applyFill="1" applyBorder="1" applyAlignment="1">
      <alignment horizontal="center" vertical="center"/>
    </xf>
    <xf numFmtId="0" fontId="92" fillId="0" borderId="69" xfId="0" applyFont="1" applyBorder="1" applyAlignment="1">
      <alignment horizontal="center" vertical="center" wrapText="1"/>
    </xf>
    <xf numFmtId="2" fontId="0" fillId="0" borderId="91" xfId="0" applyNumberFormat="1" applyBorder="1"/>
    <xf numFmtId="43" fontId="0" fillId="0" borderId="112" xfId="1" applyFont="1" applyFill="1" applyBorder="1" applyAlignment="1">
      <alignment horizontal="center" vertical="center"/>
    </xf>
    <xf numFmtId="43" fontId="46" fillId="0" borderId="113" xfId="1" applyFont="1" applyFill="1" applyBorder="1" applyAlignment="1">
      <alignment horizontal="center" vertical="center"/>
    </xf>
    <xf numFmtId="2" fontId="0" fillId="0" borderId="86" xfId="0" applyNumberFormat="1" applyBorder="1" applyAlignment="1">
      <alignment vertical="center"/>
    </xf>
    <xf numFmtId="0" fontId="25" fillId="0" borderId="101" xfId="0" applyFont="1" applyBorder="1" applyAlignment="1">
      <alignment horizontal="left" vertical="top" wrapText="1"/>
    </xf>
    <xf numFmtId="0" fontId="0" fillId="0" borderId="101" xfId="0" applyBorder="1" applyAlignment="1">
      <alignment horizontal="left" vertical="top" wrapText="1"/>
    </xf>
    <xf numFmtId="0" fontId="28" fillId="0" borderId="114" xfId="47" applyBorder="1" applyAlignment="1">
      <alignment horizontal="center" vertical="center"/>
    </xf>
    <xf numFmtId="10" fontId="28" fillId="0" borderId="115" xfId="2" applyNumberFormat="1" applyFont="1" applyFill="1" applyBorder="1" applyAlignment="1">
      <alignment horizontal="right" vertical="center"/>
    </xf>
    <xf numFmtId="44" fontId="37" fillId="0" borderId="86" xfId="26673" applyFont="1" applyFill="1" applyBorder="1" applyAlignment="1">
      <alignment horizontal="right" vertical="center"/>
    </xf>
    <xf numFmtId="0" fontId="28" fillId="38" borderId="86" xfId="0" applyFont="1" applyFill="1" applyBorder="1" applyAlignment="1">
      <alignment horizontal="center" vertical="center" wrapText="1"/>
    </xf>
    <xf numFmtId="0" fontId="28" fillId="38" borderId="86" xfId="47" applyFill="1" applyBorder="1" applyAlignment="1">
      <alignment horizontal="center" vertical="center"/>
    </xf>
    <xf numFmtId="44" fontId="28" fillId="38" borderId="86" xfId="26673" applyFont="1" applyFill="1" applyBorder="1" applyAlignment="1">
      <alignment horizontal="right" vertical="center"/>
    </xf>
    <xf numFmtId="0" fontId="28" fillId="0" borderId="115" xfId="47" applyBorder="1" applyAlignment="1">
      <alignment vertical="top" wrapText="1"/>
    </xf>
    <xf numFmtId="0" fontId="28" fillId="0" borderId="116" xfId="47" applyBorder="1" applyAlignment="1">
      <alignment vertical="top" wrapText="1"/>
    </xf>
    <xf numFmtId="0" fontId="33" fillId="0" borderId="0" xfId="0" applyFont="1" applyAlignment="1">
      <alignment horizontal="center" vertical="center"/>
    </xf>
    <xf numFmtId="0" fontId="33" fillId="0" borderId="0" xfId="0" applyFont="1" applyAlignment="1">
      <alignment horizontal="justify" vertical="center" wrapText="1"/>
    </xf>
    <xf numFmtId="43" fontId="0" fillId="0" borderId="0" xfId="1" applyFont="1" applyFill="1" applyBorder="1" applyAlignment="1">
      <alignment horizontal="center" vertical="center" wrapText="1"/>
    </xf>
    <xf numFmtId="43" fontId="33" fillId="0" borderId="0" xfId="1" applyFont="1" applyFill="1" applyBorder="1" applyAlignment="1">
      <alignment horizontal="center" vertical="center"/>
    </xf>
    <xf numFmtId="168" fontId="37" fillId="33" borderId="77" xfId="51" applyNumberFormat="1" applyFont="1" applyFill="1" applyBorder="1" applyAlignment="1">
      <alignment horizontal="center" vertical="center"/>
    </xf>
    <xf numFmtId="0" fontId="37" fillId="33" borderId="77" xfId="51" applyFont="1" applyFill="1" applyBorder="1" applyAlignment="1">
      <alignment horizontal="center" vertical="center"/>
    </xf>
    <xf numFmtId="0" fontId="37" fillId="33" borderId="16" xfId="51" applyFont="1" applyFill="1" applyBorder="1" applyAlignment="1">
      <alignment horizontal="centerContinuous" vertical="center"/>
    </xf>
    <xf numFmtId="168" fontId="37" fillId="33" borderId="16" xfId="51" applyNumberFormat="1" applyFont="1" applyFill="1" applyBorder="1" applyAlignment="1">
      <alignment horizontal="centerContinuous" vertical="center"/>
    </xf>
    <xf numFmtId="49" fontId="28" fillId="33" borderId="76" xfId="51" applyNumberFormat="1" applyFill="1" applyBorder="1" applyAlignment="1">
      <alignment horizontal="center" vertical="center" wrapText="1"/>
    </xf>
    <xf numFmtId="0" fontId="28" fillId="33" borderId="76" xfId="51" applyFill="1" applyBorder="1" applyAlignment="1"/>
    <xf numFmtId="0" fontId="28" fillId="33" borderId="117" xfId="51" applyFill="1" applyBorder="1" applyAlignment="1"/>
    <xf numFmtId="0" fontId="28" fillId="33" borderId="117" xfId="51" applyFill="1" applyBorder="1" applyAlignment="1">
      <alignment horizontal="right"/>
    </xf>
    <xf numFmtId="0" fontId="28" fillId="0" borderId="63" xfId="51" applyBorder="1" applyAlignment="1"/>
    <xf numFmtId="195" fontId="28" fillId="0" borderId="0" xfId="51" applyNumberFormat="1" applyAlignment="1">
      <alignment horizontal="center"/>
    </xf>
    <xf numFmtId="0" fontId="28" fillId="0" borderId="64" xfId="51" applyBorder="1" applyAlignment="1"/>
    <xf numFmtId="0" fontId="28" fillId="0" borderId="117" xfId="51" applyBorder="1" applyAlignment="1"/>
    <xf numFmtId="168" fontId="28" fillId="0" borderId="117" xfId="51" applyNumberFormat="1" applyBorder="1" applyAlignment="1"/>
    <xf numFmtId="0" fontId="28" fillId="0" borderId="117" xfId="51" applyBorder="1" applyAlignment="1">
      <alignment horizontal="center"/>
    </xf>
    <xf numFmtId="0" fontId="107" fillId="0" borderId="30" xfId="33840" applyFont="1" applyBorder="1"/>
    <xf numFmtId="0" fontId="119" fillId="0" borderId="0" xfId="33840"/>
    <xf numFmtId="0" fontId="119" fillId="0" borderId="63" xfId="33840" applyBorder="1"/>
    <xf numFmtId="0" fontId="119" fillId="0" borderId="64" xfId="33840" applyBorder="1"/>
    <xf numFmtId="1" fontId="31" fillId="0" borderId="117" xfId="33840" applyNumberFormat="1" applyFont="1" applyBorder="1"/>
    <xf numFmtId="2" fontId="120" fillId="38" borderId="117" xfId="33840" applyNumberFormat="1" applyFont="1" applyFill="1" applyBorder="1" applyAlignment="1">
      <alignment horizontal="center"/>
    </xf>
    <xf numFmtId="2" fontId="120" fillId="38" borderId="117" xfId="33840" applyNumberFormat="1" applyFont="1" applyFill="1" applyBorder="1" applyAlignment="1">
      <alignment horizontal="center" vertical="center"/>
    </xf>
    <xf numFmtId="0" fontId="119" fillId="0" borderId="117" xfId="33840" applyBorder="1"/>
    <xf numFmtId="0" fontId="119" fillId="0" borderId="118" xfId="33840" applyBorder="1"/>
    <xf numFmtId="0" fontId="119" fillId="0" borderId="30" xfId="33840" applyBorder="1" applyAlignment="1">
      <alignment horizontal="center"/>
    </xf>
    <xf numFmtId="0" fontId="119" fillId="0" borderId="33" xfId="33840" applyBorder="1"/>
    <xf numFmtId="0" fontId="119" fillId="0" borderId="33" xfId="33840" applyBorder="1" applyAlignment="1">
      <alignment horizontal="center" vertical="center"/>
    </xf>
    <xf numFmtId="0" fontId="119" fillId="0" borderId="31" xfId="33840" applyBorder="1"/>
    <xf numFmtId="0" fontId="119" fillId="0" borderId="63" xfId="33840" applyBorder="1" applyAlignment="1">
      <alignment horizontal="center"/>
    </xf>
    <xf numFmtId="0" fontId="119" fillId="0" borderId="0" xfId="33840" applyAlignment="1">
      <alignment horizontal="center" vertical="center"/>
    </xf>
    <xf numFmtId="0" fontId="28" fillId="0" borderId="0" xfId="33840" applyFont="1" applyAlignment="1">
      <alignment vertical="center"/>
    </xf>
    <xf numFmtId="0" fontId="119" fillId="0" borderId="32" xfId="33840" applyBorder="1"/>
    <xf numFmtId="0" fontId="28" fillId="0" borderId="123" xfId="33840" applyFont="1" applyBorder="1" applyAlignment="1">
      <alignment horizontal="right" vertical="center"/>
    </xf>
    <xf numFmtId="0" fontId="28" fillId="0" borderId="126" xfId="33840" applyFont="1" applyBorder="1" applyAlignment="1">
      <alignment horizontal="right" vertical="center"/>
    </xf>
    <xf numFmtId="0" fontId="28" fillId="0" borderId="64" xfId="33840" applyFont="1" applyBorder="1" applyAlignment="1">
      <alignment horizontal="center" vertical="center"/>
    </xf>
    <xf numFmtId="0" fontId="119" fillId="0" borderId="0" xfId="33840" applyAlignment="1">
      <alignment horizontal="center" vertical="center" wrapText="1"/>
    </xf>
    <xf numFmtId="0" fontId="37" fillId="35" borderId="134" xfId="33840" applyFont="1" applyFill="1" applyBorder="1" applyAlignment="1">
      <alignment horizontal="center" vertical="center"/>
    </xf>
    <xf numFmtId="0" fontId="37" fillId="83" borderId="134" xfId="33840" applyFont="1" applyFill="1" applyBorder="1" applyAlignment="1">
      <alignment horizontal="center" vertical="center"/>
    </xf>
    <xf numFmtId="0" fontId="37" fillId="83" borderId="31" xfId="33840" applyFont="1" applyFill="1" applyBorder="1" applyAlignment="1">
      <alignment horizontal="center" vertical="center"/>
    </xf>
    <xf numFmtId="0" fontId="37" fillId="35" borderId="135" xfId="33840" applyFont="1" applyFill="1" applyBorder="1" applyAlignment="1">
      <alignment horizontal="center" vertical="center"/>
    </xf>
    <xf numFmtId="0" fontId="37" fillId="83" borderId="135" xfId="33840" applyFont="1" applyFill="1" applyBorder="1" applyAlignment="1">
      <alignment horizontal="center" vertical="center"/>
    </xf>
    <xf numFmtId="2" fontId="37" fillId="35" borderId="136" xfId="33840" applyNumberFormat="1" applyFont="1" applyFill="1" applyBorder="1" applyAlignment="1">
      <alignment horizontal="center" vertical="center"/>
    </xf>
    <xf numFmtId="0" fontId="37" fillId="35" borderId="137" xfId="33840" applyFont="1" applyFill="1" applyBorder="1" applyAlignment="1">
      <alignment horizontal="center" vertical="center"/>
    </xf>
    <xf numFmtId="0" fontId="37" fillId="35" borderId="139" xfId="33840" applyFont="1" applyFill="1" applyBorder="1" applyAlignment="1">
      <alignment horizontal="center" vertical="center"/>
    </xf>
    <xf numFmtId="0" fontId="37" fillId="35" borderId="138" xfId="33840" applyFont="1" applyFill="1" applyBorder="1" applyAlignment="1">
      <alignment horizontal="center" vertical="center"/>
    </xf>
    <xf numFmtId="2" fontId="37" fillId="83" borderId="136" xfId="33840" applyNumberFormat="1" applyFont="1" applyFill="1" applyBorder="1" applyAlignment="1">
      <alignment horizontal="center" vertical="center"/>
    </xf>
    <xf numFmtId="2" fontId="37" fillId="35" borderId="139" xfId="33840" applyNumberFormat="1" applyFont="1" applyFill="1" applyBorder="1" applyAlignment="1">
      <alignment horizontal="center" vertical="center"/>
    </xf>
    <xf numFmtId="2" fontId="37" fillId="35" borderId="138" xfId="33840" applyNumberFormat="1" applyFont="1" applyFill="1" applyBorder="1" applyAlignment="1">
      <alignment horizontal="center" vertical="center"/>
    </xf>
    <xf numFmtId="0" fontId="119" fillId="0" borderId="120" xfId="33840" applyBorder="1" applyAlignment="1">
      <alignment horizontal="center"/>
    </xf>
    <xf numFmtId="2" fontId="119" fillId="0" borderId="16" xfId="33840" applyNumberFormat="1" applyBorder="1" applyAlignment="1">
      <alignment horizontal="center" vertical="center"/>
    </xf>
    <xf numFmtId="2" fontId="119" fillId="0" borderId="17" xfId="33840" applyNumberFormat="1" applyBorder="1" applyAlignment="1">
      <alignment horizontal="center" vertical="center"/>
    </xf>
    <xf numFmtId="2" fontId="119" fillId="0" borderId="121" xfId="33840" applyNumberFormat="1" applyBorder="1" applyAlignment="1">
      <alignment horizontal="center" vertical="center"/>
    </xf>
    <xf numFmtId="0" fontId="96" fillId="0" borderId="0" xfId="33840" applyFont="1" applyAlignment="1">
      <alignment horizontal="center" vertical="center"/>
    </xf>
    <xf numFmtId="0" fontId="119" fillId="0" borderId="64" xfId="33840" applyBorder="1" applyAlignment="1">
      <alignment horizontal="center"/>
    </xf>
    <xf numFmtId="0" fontId="119" fillId="0" borderId="117" xfId="33840" applyBorder="1" applyAlignment="1">
      <alignment horizontal="center" vertical="center"/>
    </xf>
    <xf numFmtId="0" fontId="119" fillId="0" borderId="0" xfId="33840" applyAlignment="1">
      <alignment horizontal="center"/>
    </xf>
    <xf numFmtId="0" fontId="122" fillId="0" borderId="30" xfId="33840" applyFont="1" applyBorder="1" applyAlignment="1">
      <alignment horizontal="center" vertical="center"/>
    </xf>
    <xf numFmtId="0" fontId="122" fillId="0" borderId="63" xfId="33840" applyFont="1" applyBorder="1" applyAlignment="1">
      <alignment horizontal="center" vertical="center"/>
    </xf>
    <xf numFmtId="2" fontId="119" fillId="0" borderId="0" xfId="33840" applyNumberFormat="1" applyAlignment="1">
      <alignment horizontal="center" vertical="center"/>
    </xf>
    <xf numFmtId="2" fontId="28" fillId="0" borderId="123" xfId="33840" applyNumberFormat="1" applyFont="1" applyBorder="1" applyAlignment="1">
      <alignment horizontal="left" vertical="center"/>
    </xf>
    <xf numFmtId="2" fontId="28" fillId="0" borderId="124" xfId="33840" applyNumberFormat="1" applyFont="1" applyBorder="1" applyAlignment="1">
      <alignment horizontal="left" vertical="center"/>
    </xf>
    <xf numFmtId="2" fontId="28" fillId="0" borderId="125" xfId="33840" applyNumberFormat="1" applyFont="1" applyBorder="1" applyAlignment="1">
      <alignment horizontal="left" vertical="center"/>
    </xf>
    <xf numFmtId="2" fontId="28" fillId="0" borderId="126" xfId="33840" applyNumberFormat="1" applyFont="1" applyBorder="1" applyAlignment="1">
      <alignment horizontal="left" vertical="center"/>
    </xf>
    <xf numFmtId="2" fontId="28" fillId="0" borderId="73" xfId="33840" applyNumberFormat="1" applyFont="1" applyBorder="1" applyAlignment="1">
      <alignment horizontal="left" vertical="center"/>
    </xf>
    <xf numFmtId="2" fontId="28" fillId="0" borderId="127" xfId="33840" applyNumberFormat="1" applyFont="1" applyBorder="1" applyAlignment="1">
      <alignment horizontal="left" vertical="center"/>
    </xf>
    <xf numFmtId="2" fontId="28" fillId="0" borderId="59" xfId="33840" applyNumberFormat="1" applyFont="1" applyBorder="1" applyAlignment="1">
      <alignment horizontal="left" vertical="center"/>
    </xf>
    <xf numFmtId="2" fontId="28" fillId="0" borderId="130" xfId="33840" applyNumberFormat="1" applyFont="1" applyBorder="1" applyAlignment="1">
      <alignment horizontal="left" vertical="center"/>
    </xf>
    <xf numFmtId="2" fontId="28" fillId="0" borderId="131" xfId="33840" applyNumberFormat="1" applyFont="1" applyBorder="1" applyAlignment="1">
      <alignment horizontal="left" vertical="center"/>
    </xf>
    <xf numFmtId="0" fontId="37" fillId="83" borderId="30" xfId="33840" applyFont="1" applyFill="1" applyBorder="1" applyAlignment="1">
      <alignment horizontal="center" vertical="center"/>
    </xf>
    <xf numFmtId="0" fontId="37" fillId="83" borderId="141" xfId="33840" applyFont="1" applyFill="1" applyBorder="1" applyAlignment="1">
      <alignment horizontal="center" vertical="center"/>
    </xf>
    <xf numFmtId="2" fontId="37" fillId="35" borderId="134" xfId="33840" applyNumberFormat="1" applyFont="1" applyFill="1" applyBorder="1" applyAlignment="1">
      <alignment horizontal="center" vertical="center"/>
    </xf>
    <xf numFmtId="2" fontId="37" fillId="83" borderId="134" xfId="33840" applyNumberFormat="1" applyFont="1" applyFill="1" applyBorder="1" applyAlignment="1">
      <alignment horizontal="center" vertical="center"/>
    </xf>
    <xf numFmtId="0" fontId="37" fillId="35" borderId="142" xfId="33840" applyFont="1" applyFill="1" applyBorder="1" applyAlignment="1">
      <alignment horizontal="center" vertical="center"/>
    </xf>
    <xf numFmtId="0" fontId="37" fillId="83" borderId="142" xfId="33840" applyFont="1" applyFill="1" applyBorder="1" applyAlignment="1">
      <alignment horizontal="center" vertical="center"/>
    </xf>
    <xf numFmtId="0" fontId="37" fillId="83" borderId="63" xfId="33840" applyFont="1" applyFill="1" applyBorder="1" applyAlignment="1">
      <alignment horizontal="center" vertical="center"/>
    </xf>
    <xf numFmtId="0" fontId="37" fillId="83" borderId="143" xfId="33840" applyFont="1" applyFill="1" applyBorder="1" applyAlignment="1">
      <alignment horizontal="center" vertical="center"/>
    </xf>
    <xf numFmtId="2" fontId="37" fillId="35" borderId="142" xfId="33840" applyNumberFormat="1" applyFont="1" applyFill="1" applyBorder="1" applyAlignment="1">
      <alignment horizontal="center" vertical="center"/>
    </xf>
    <xf numFmtId="2" fontId="37" fillId="83" borderId="142" xfId="33840" applyNumberFormat="1" applyFont="1" applyFill="1" applyBorder="1" applyAlignment="1">
      <alignment horizontal="center" vertical="center"/>
    </xf>
    <xf numFmtId="0" fontId="37" fillId="35" borderId="137" xfId="33840" applyFont="1" applyFill="1" applyBorder="1" applyAlignment="1">
      <alignment vertical="center"/>
    </xf>
    <xf numFmtId="0" fontId="37" fillId="35" borderId="139" xfId="33840" applyFont="1" applyFill="1" applyBorder="1" applyAlignment="1">
      <alignment vertical="center"/>
    </xf>
    <xf numFmtId="0" fontId="28" fillId="0" borderId="120" xfId="33840" applyFont="1" applyBorder="1" applyAlignment="1">
      <alignment horizontal="center"/>
    </xf>
    <xf numFmtId="2" fontId="119" fillId="0" borderId="16" xfId="33840" applyNumberFormat="1" applyBorder="1" applyAlignment="1">
      <alignment horizontal="center"/>
    </xf>
    <xf numFmtId="2" fontId="28" fillId="0" borderId="16" xfId="33840" applyNumberFormat="1" applyFont="1" applyBorder="1" applyAlignment="1">
      <alignment horizontal="center"/>
    </xf>
    <xf numFmtId="2" fontId="119" fillId="0" borderId="17" xfId="33840" applyNumberFormat="1" applyBorder="1" applyAlignment="1">
      <alignment horizontal="center"/>
    </xf>
    <xf numFmtId="2" fontId="119" fillId="0" borderId="121" xfId="33840" applyNumberFormat="1" applyBorder="1" applyAlignment="1">
      <alignment horizontal="center"/>
    </xf>
    <xf numFmtId="0" fontId="0" fillId="0" borderId="120" xfId="33840" applyFont="1" applyBorder="1" applyAlignment="1">
      <alignment horizontal="center"/>
    </xf>
    <xf numFmtId="2" fontId="119" fillId="0" borderId="0" xfId="33840" applyNumberFormat="1"/>
    <xf numFmtId="0" fontId="107" fillId="0" borderId="0" xfId="33840" applyFont="1"/>
    <xf numFmtId="0" fontId="30" fillId="0" borderId="0" xfId="33840" applyFont="1"/>
    <xf numFmtId="1" fontId="91" fillId="0" borderId="0" xfId="33840" applyNumberFormat="1" applyFont="1" applyAlignment="1">
      <alignment vertical="center"/>
    </xf>
    <xf numFmtId="0" fontId="122" fillId="0" borderId="64" xfId="33840" applyFont="1" applyBorder="1" applyAlignment="1">
      <alignment horizontal="center" vertical="center"/>
    </xf>
    <xf numFmtId="0" fontId="119" fillId="0" borderId="30" xfId="33840" applyBorder="1"/>
    <xf numFmtId="0" fontId="37" fillId="35" borderId="134" xfId="33840" applyFont="1" applyFill="1" applyBorder="1" applyAlignment="1">
      <alignment horizontal="center"/>
    </xf>
    <xf numFmtId="0" fontId="37" fillId="83" borderId="134" xfId="33840" applyFont="1" applyFill="1" applyBorder="1" applyAlignment="1">
      <alignment horizontal="center"/>
    </xf>
    <xf numFmtId="0" fontId="48" fillId="35" borderId="135" xfId="33840" applyFont="1" applyFill="1" applyBorder="1" applyAlignment="1">
      <alignment horizontal="center" vertical="center"/>
    </xf>
    <xf numFmtId="0" fontId="37" fillId="83" borderId="135" xfId="33840" applyFont="1" applyFill="1" applyBorder="1" applyAlignment="1">
      <alignment horizontal="center"/>
    </xf>
    <xf numFmtId="2" fontId="37" fillId="83" borderId="136" xfId="33840" applyNumberFormat="1" applyFont="1" applyFill="1" applyBorder="1" applyAlignment="1">
      <alignment horizontal="center"/>
    </xf>
    <xf numFmtId="2" fontId="37" fillId="83" borderId="134" xfId="33840" applyNumberFormat="1" applyFont="1" applyFill="1" applyBorder="1" applyAlignment="1">
      <alignment horizontal="center"/>
    </xf>
    <xf numFmtId="2" fontId="37" fillId="83" borderId="139" xfId="33840" applyNumberFormat="1" applyFont="1" applyFill="1" applyBorder="1" applyAlignment="1">
      <alignment horizontal="center"/>
    </xf>
    <xf numFmtId="2" fontId="37" fillId="83" borderId="138" xfId="33840" applyNumberFormat="1" applyFont="1" applyFill="1" applyBorder="1" applyAlignment="1">
      <alignment horizontal="center"/>
    </xf>
    <xf numFmtId="2" fontId="119" fillId="0" borderId="78" xfId="33840" applyNumberFormat="1" applyBorder="1" applyAlignment="1">
      <alignment horizontal="center"/>
    </xf>
    <xf numFmtId="2" fontId="119" fillId="84" borderId="16" xfId="33840" applyNumberFormat="1" applyFill="1" applyBorder="1" applyAlignment="1">
      <alignment horizontal="center"/>
    </xf>
    <xf numFmtId="0" fontId="37" fillId="35" borderId="63" xfId="33840" applyFont="1" applyFill="1" applyBorder="1" applyAlignment="1">
      <alignment horizontal="center" vertical="center"/>
    </xf>
    <xf numFmtId="2" fontId="37" fillId="35" borderId="32" xfId="33840" applyNumberFormat="1" applyFont="1" applyFill="1" applyBorder="1" applyAlignment="1">
      <alignment horizontal="center" vertical="center"/>
    </xf>
    <xf numFmtId="0" fontId="37" fillId="35" borderId="33" xfId="33840" applyFont="1" applyFill="1" applyBorder="1" applyAlignment="1">
      <alignment vertical="center"/>
    </xf>
    <xf numFmtId="2" fontId="37" fillId="35" borderId="33" xfId="33840" applyNumberFormat="1" applyFont="1" applyFill="1" applyBorder="1" applyAlignment="1">
      <alignment horizontal="center" vertical="center"/>
    </xf>
    <xf numFmtId="2" fontId="37" fillId="35" borderId="141" xfId="33840" applyNumberFormat="1" applyFont="1" applyFill="1" applyBorder="1" applyAlignment="1">
      <alignment horizontal="center" vertical="center"/>
    </xf>
    <xf numFmtId="0" fontId="37" fillId="35" borderId="70" xfId="33840" applyFont="1" applyFill="1" applyBorder="1" applyAlignment="1">
      <alignment horizontal="center" vertical="center"/>
    </xf>
    <xf numFmtId="2" fontId="37" fillId="35" borderId="69" xfId="33840" applyNumberFormat="1" applyFont="1" applyFill="1" applyBorder="1" applyAlignment="1">
      <alignment horizontal="center" vertical="center"/>
    </xf>
    <xf numFmtId="2" fontId="119" fillId="81" borderId="16" xfId="33840" applyNumberFormat="1" applyFill="1" applyBorder="1" applyAlignment="1">
      <alignment horizontal="center"/>
    </xf>
    <xf numFmtId="0" fontId="119" fillId="0" borderId="137" xfId="33840" applyBorder="1"/>
    <xf numFmtId="1" fontId="31" fillId="0" borderId="139" xfId="33840" applyNumberFormat="1" applyFont="1" applyBorder="1"/>
    <xf numFmtId="2" fontId="120" fillId="38" borderId="139" xfId="33840" applyNumberFormat="1" applyFont="1" applyFill="1" applyBorder="1" applyAlignment="1">
      <alignment horizontal="center"/>
    </xf>
    <xf numFmtId="2" fontId="120" fillId="38" borderId="139" xfId="33840" applyNumberFormat="1" applyFont="1" applyFill="1" applyBorder="1" applyAlignment="1">
      <alignment horizontal="center" vertical="center"/>
    </xf>
    <xf numFmtId="0" fontId="119" fillId="0" borderId="139" xfId="33840" applyBorder="1"/>
    <xf numFmtId="0" fontId="119" fillId="0" borderId="138" xfId="33840" applyBorder="1"/>
    <xf numFmtId="0" fontId="0" fillId="35" borderId="101" xfId="0" applyFill="1" applyBorder="1" applyAlignment="1">
      <alignment horizontal="left" vertical="top" wrapText="1"/>
    </xf>
    <xf numFmtId="2" fontId="121" fillId="0" borderId="0" xfId="33840" applyNumberFormat="1" applyFont="1" applyAlignment="1">
      <alignment horizontal="center" vertical="center" wrapText="1"/>
    </xf>
    <xf numFmtId="0" fontId="123" fillId="0" borderId="0" xfId="0" applyFont="1" applyAlignment="1">
      <alignment horizontal="left"/>
    </xf>
    <xf numFmtId="0" fontId="123" fillId="0" borderId="0" xfId="0" applyFont="1" applyAlignment="1">
      <alignment horizontal="right"/>
    </xf>
    <xf numFmtId="0" fontId="123" fillId="0" borderId="0" xfId="0" applyFont="1" applyAlignment="1">
      <alignment horizontal="left" wrapText="1"/>
    </xf>
    <xf numFmtId="0" fontId="0" fillId="85" borderId="0" xfId="0" applyFill="1" applyAlignment="1">
      <alignment horizontal="center" wrapText="1"/>
    </xf>
    <xf numFmtId="0" fontId="0" fillId="85" borderId="0" xfId="0" applyFill="1" applyAlignment="1">
      <alignment vertical="center" wrapText="1"/>
    </xf>
    <xf numFmtId="17" fontId="0" fillId="85" borderId="0" xfId="0" applyNumberFormat="1" applyFill="1" applyAlignment="1">
      <alignment horizontal="center" vertical="center" wrapText="1"/>
    </xf>
    <xf numFmtId="0" fontId="0" fillId="85" borderId="0" xfId="0" applyFill="1" applyAlignment="1">
      <alignment horizontal="center" vertical="center" wrapText="1"/>
    </xf>
    <xf numFmtId="10" fontId="0" fillId="85" borderId="0" xfId="0" applyNumberFormat="1" applyFill="1"/>
    <xf numFmtId="0" fontId="0" fillId="85" borderId="0" xfId="0" applyFill="1"/>
    <xf numFmtId="10" fontId="27" fillId="85" borderId="0" xfId="2" applyNumberFormat="1" applyFont="1" applyFill="1"/>
    <xf numFmtId="169" fontId="49" fillId="36" borderId="147" xfId="0" applyNumberFormat="1" applyFont="1" applyFill="1" applyBorder="1" applyAlignment="1">
      <alignment horizontal="center" vertical="center" wrapText="1"/>
    </xf>
    <xf numFmtId="169" fontId="49" fillId="36" borderId="38" xfId="0" applyNumberFormat="1" applyFont="1" applyFill="1" applyBorder="1" applyAlignment="1">
      <alignment horizontal="center" vertical="center" wrapText="1"/>
    </xf>
    <xf numFmtId="0" fontId="0" fillId="71" borderId="137" xfId="0" applyFill="1" applyBorder="1"/>
    <xf numFmtId="0" fontId="0" fillId="71" borderId="139" xfId="0" applyFill="1" applyBorder="1"/>
    <xf numFmtId="0" fontId="0" fillId="71" borderId="138" xfId="0" applyFill="1" applyBorder="1"/>
    <xf numFmtId="2" fontId="0" fillId="0" borderId="101" xfId="0" applyNumberFormat="1" applyBorder="1" applyAlignment="1">
      <alignment horizontal="right" vertical="top" wrapText="1"/>
    </xf>
    <xf numFmtId="44" fontId="28" fillId="72" borderId="0" xfId="47" applyNumberFormat="1" applyFill="1" applyAlignment="1">
      <alignment vertical="top"/>
    </xf>
    <xf numFmtId="0" fontId="0" fillId="81" borderId="101" xfId="0" applyFill="1" applyBorder="1" applyAlignment="1">
      <alignment horizontal="left" vertical="top" wrapText="1"/>
    </xf>
    <xf numFmtId="0" fontId="0" fillId="85" borderId="101" xfId="0" applyFill="1" applyBorder="1" applyAlignment="1">
      <alignment horizontal="left" vertical="top" wrapText="1"/>
    </xf>
    <xf numFmtId="0" fontId="33" fillId="33" borderId="69" xfId="0" quotePrefix="1" applyFont="1" applyFill="1" applyBorder="1" applyAlignment="1">
      <alignment horizontal="center" vertical="center"/>
    </xf>
    <xf numFmtId="0" fontId="33" fillId="33" borderId="73" xfId="0" applyFont="1" applyFill="1" applyBorder="1" applyAlignment="1">
      <alignment horizontal="left" vertical="center" wrapText="1"/>
    </xf>
    <xf numFmtId="0" fontId="123" fillId="85" borderId="0" xfId="0" applyFont="1" applyFill="1" applyAlignment="1">
      <alignment horizontal="left"/>
    </xf>
    <xf numFmtId="0" fontId="123" fillId="35" borderId="0" xfId="0" applyFont="1" applyFill="1" applyAlignment="1">
      <alignment horizontal="left"/>
    </xf>
    <xf numFmtId="0" fontId="123" fillId="82" borderId="0" xfId="0" applyFont="1" applyFill="1" applyAlignment="1">
      <alignment horizontal="left"/>
    </xf>
    <xf numFmtId="0" fontId="0" fillId="82" borderId="101" xfId="0" applyFill="1" applyBorder="1" applyAlignment="1">
      <alignment horizontal="left" vertical="top" wrapText="1"/>
    </xf>
    <xf numFmtId="0" fontId="0" fillId="0" borderId="0" xfId="0" applyAlignment="1">
      <alignment horizontal="right"/>
    </xf>
    <xf numFmtId="0" fontId="84" fillId="38" borderId="0" xfId="0" applyFont="1" applyFill="1" applyAlignment="1">
      <alignment horizontal="center" vertical="center" wrapText="1"/>
    </xf>
    <xf numFmtId="0" fontId="25" fillId="0" borderId="102" xfId="0" applyFont="1" applyBorder="1" applyAlignment="1">
      <alignment vertical="top" wrapText="1"/>
    </xf>
    <xf numFmtId="0" fontId="25" fillId="0" borderId="103" xfId="0" applyFont="1" applyBorder="1" applyAlignment="1">
      <alignment vertical="top" wrapText="1"/>
    </xf>
    <xf numFmtId="0" fontId="25" fillId="0" borderId="104" xfId="0" applyFont="1" applyBorder="1" applyAlignment="1">
      <alignment vertical="top" wrapText="1"/>
    </xf>
    <xf numFmtId="0" fontId="84" fillId="38" borderId="0" xfId="0" applyFont="1" applyFill="1" applyAlignment="1">
      <alignment horizontal="left" vertical="center" wrapText="1"/>
    </xf>
    <xf numFmtId="0" fontId="37" fillId="39" borderId="0" xfId="0" applyFont="1" applyFill="1" applyAlignment="1">
      <alignment horizontal="left" vertical="center" wrapText="1"/>
    </xf>
    <xf numFmtId="0" fontId="28" fillId="0" borderId="0" xfId="47" applyAlignment="1">
      <alignment horizontal="left" vertical="center" wrapText="1"/>
    </xf>
    <xf numFmtId="44" fontId="124" fillId="82" borderId="0" xfId="47" applyNumberFormat="1" applyFont="1" applyFill="1" applyAlignment="1">
      <alignment vertical="top"/>
    </xf>
    <xf numFmtId="0" fontId="124" fillId="82" borderId="0" xfId="47" applyFont="1" applyFill="1" applyAlignment="1">
      <alignment vertical="top"/>
    </xf>
    <xf numFmtId="44" fontId="124" fillId="0" borderId="0" xfId="47" applyNumberFormat="1" applyFont="1" applyAlignment="1">
      <alignment vertical="top"/>
    </xf>
    <xf numFmtId="0" fontId="124" fillId="0" borderId="0" xfId="47" applyFont="1" applyAlignment="1">
      <alignment vertical="top"/>
    </xf>
    <xf numFmtId="0" fontId="28" fillId="0" borderId="86" xfId="47" applyBorder="1" applyAlignment="1">
      <alignment horizontal="justify" vertical="center" wrapText="1"/>
    </xf>
    <xf numFmtId="0" fontId="28" fillId="0" borderId="86" xfId="0" quotePrefix="1" applyFont="1" applyBorder="1" applyAlignment="1">
      <alignment horizontal="center" vertical="center" wrapText="1"/>
    </xf>
    <xf numFmtId="0" fontId="123" fillId="0" borderId="69" xfId="0" applyFont="1" applyBorder="1" applyAlignment="1">
      <alignment horizontal="left"/>
    </xf>
    <xf numFmtId="10" fontId="28" fillId="0" borderId="0" xfId="47" applyNumberFormat="1" applyAlignment="1">
      <alignment vertical="top"/>
    </xf>
    <xf numFmtId="49" fontId="0" fillId="0" borderId="53" xfId="0" quotePrefix="1" applyNumberFormat="1" applyBorder="1" applyAlignment="1">
      <alignment horizontal="center" vertical="center"/>
    </xf>
    <xf numFmtId="0" fontId="3" fillId="0" borderId="69" xfId="0" applyFont="1" applyBorder="1" applyAlignment="1">
      <alignment horizontal="center" vertical="center"/>
    </xf>
    <xf numFmtId="196" fontId="118" fillId="73" borderId="0" xfId="47" applyNumberFormat="1" applyFont="1" applyFill="1" applyAlignment="1">
      <alignment vertical="top"/>
    </xf>
    <xf numFmtId="0" fontId="30" fillId="38" borderId="63" xfId="51" applyFont="1" applyFill="1" applyBorder="1" applyAlignment="1">
      <alignment horizontal="left"/>
    </xf>
    <xf numFmtId="0" fontId="30" fillId="38" borderId="0" xfId="51" applyFont="1" applyFill="1" applyAlignment="1">
      <alignment horizontal="left"/>
    </xf>
    <xf numFmtId="0" fontId="48" fillId="85" borderId="114" xfId="47" applyFont="1" applyFill="1" applyBorder="1" applyAlignment="1">
      <alignment horizontal="center" vertical="center"/>
    </xf>
    <xf numFmtId="0" fontId="48" fillId="85" borderId="86" xfId="47" applyFont="1" applyFill="1" applyBorder="1" applyAlignment="1">
      <alignment horizontal="center" vertical="center" wrapText="1"/>
    </xf>
    <xf numFmtId="0" fontId="48" fillId="85" borderId="86" xfId="47" applyFont="1" applyFill="1" applyBorder="1" applyAlignment="1">
      <alignment horizontal="center" vertical="center"/>
    </xf>
    <xf numFmtId="44" fontId="48" fillId="85" borderId="86" xfId="26673" applyFont="1" applyFill="1" applyBorder="1" applyAlignment="1">
      <alignment horizontal="center" vertical="center" wrapText="1"/>
    </xf>
    <xf numFmtId="44" fontId="48" fillId="85" borderId="115" xfId="26673" applyFont="1" applyFill="1" applyBorder="1" applyAlignment="1">
      <alignment horizontal="center" vertical="center" wrapText="1"/>
    </xf>
    <xf numFmtId="0" fontId="37" fillId="86" borderId="114" xfId="0" quotePrefix="1" applyFont="1" applyFill="1" applyBorder="1" applyAlignment="1">
      <alignment horizontal="center" vertical="center" wrapText="1"/>
    </xf>
    <xf numFmtId="0" fontId="37" fillId="86" borderId="86" xfId="0" applyFont="1" applyFill="1" applyBorder="1" applyAlignment="1">
      <alignment horizontal="center" vertical="center" wrapText="1"/>
    </xf>
    <xf numFmtId="2" fontId="37" fillId="86" borderId="86" xfId="0" applyNumberFormat="1" applyFont="1" applyFill="1" applyBorder="1" applyAlignment="1">
      <alignment horizontal="center" vertical="center" wrapText="1"/>
    </xf>
    <xf numFmtId="0" fontId="37" fillId="86" borderId="86" xfId="47" applyFont="1" applyFill="1" applyBorder="1" applyAlignment="1">
      <alignment horizontal="left" vertical="center" wrapText="1"/>
    </xf>
    <xf numFmtId="0" fontId="28" fillId="86" borderId="86" xfId="0" applyFont="1" applyFill="1" applyBorder="1" applyAlignment="1">
      <alignment horizontal="center" vertical="center" wrapText="1"/>
    </xf>
    <xf numFmtId="44" fontId="28" fillId="86" borderId="86" xfId="26673" applyFont="1" applyFill="1" applyBorder="1" applyAlignment="1">
      <alignment horizontal="right" vertical="center" wrapText="1"/>
    </xf>
    <xf numFmtId="44" fontId="37" fillId="86" borderId="86" xfId="26673" applyFont="1" applyFill="1" applyBorder="1" applyAlignment="1">
      <alignment horizontal="right" vertical="center" wrapText="1"/>
    </xf>
    <xf numFmtId="0" fontId="28" fillId="86" borderId="115" xfId="47" applyFill="1" applyBorder="1" applyAlignment="1">
      <alignment vertical="top"/>
    </xf>
    <xf numFmtId="0" fontId="37" fillId="87" borderId="114" xfId="0" quotePrefix="1" applyFont="1" applyFill="1" applyBorder="1" applyAlignment="1">
      <alignment horizontal="center" vertical="center" wrapText="1"/>
    </xf>
    <xf numFmtId="0" fontId="37" fillId="87" borderId="86" xfId="0" applyFont="1" applyFill="1" applyBorder="1" applyAlignment="1">
      <alignment horizontal="center" vertical="center" wrapText="1"/>
    </xf>
    <xf numFmtId="2" fontId="37" fillId="87" borderId="86" xfId="0" applyNumberFormat="1" applyFont="1" applyFill="1" applyBorder="1" applyAlignment="1">
      <alignment horizontal="center" vertical="center" wrapText="1"/>
    </xf>
    <xf numFmtId="0" fontId="37" fillId="87" borderId="86" xfId="47" applyFont="1" applyFill="1" applyBorder="1" applyAlignment="1">
      <alignment horizontal="left" vertical="center" wrapText="1"/>
    </xf>
    <xf numFmtId="0" fontId="28" fillId="87" borderId="86" xfId="0" applyFont="1" applyFill="1" applyBorder="1" applyAlignment="1">
      <alignment horizontal="center" vertical="center" wrapText="1"/>
    </xf>
    <xf numFmtId="44" fontId="28" fillId="87" borderId="86" xfId="26673" applyFont="1" applyFill="1" applyBorder="1" applyAlignment="1">
      <alignment horizontal="right" vertical="center" wrapText="1"/>
    </xf>
    <xf numFmtId="44" fontId="37" fillId="87" borderId="86" xfId="26673" applyFont="1" applyFill="1" applyBorder="1" applyAlignment="1">
      <alignment horizontal="right" vertical="center" wrapText="1"/>
    </xf>
    <xf numFmtId="0" fontId="28" fillId="87" borderId="115" xfId="47" applyFill="1" applyBorder="1" applyAlignment="1">
      <alignment vertical="top"/>
    </xf>
    <xf numFmtId="0" fontId="28" fillId="88" borderId="86" xfId="0" applyFont="1" applyFill="1" applyBorder="1" applyAlignment="1">
      <alignment horizontal="center" vertical="center" wrapText="1"/>
    </xf>
    <xf numFmtId="0" fontId="28" fillId="88" borderId="114" xfId="47" applyFill="1" applyBorder="1" applyAlignment="1">
      <alignment horizontal="center" vertical="center"/>
    </xf>
    <xf numFmtId="0" fontId="37" fillId="88" borderId="86" xfId="0" applyFont="1" applyFill="1" applyBorder="1" applyAlignment="1">
      <alignment horizontal="center" vertical="center" wrapText="1"/>
    </xf>
    <xf numFmtId="0" fontId="28" fillId="88" borderId="86" xfId="47" applyFill="1" applyBorder="1" applyAlignment="1">
      <alignment horizontal="center" vertical="center"/>
    </xf>
    <xf numFmtId="44" fontId="28" fillId="88" borderId="86" xfId="26673" applyFont="1" applyFill="1" applyBorder="1" applyAlignment="1">
      <alignment horizontal="right" vertical="center"/>
    </xf>
    <xf numFmtId="44" fontId="37" fillId="88" borderId="86" xfId="26673" applyFont="1" applyFill="1" applyBorder="1" applyAlignment="1">
      <alignment horizontal="right" vertical="center"/>
    </xf>
    <xf numFmtId="10" fontId="37" fillId="88" borderId="115" xfId="2" applyNumberFormat="1" applyFont="1" applyFill="1" applyBorder="1" applyAlignment="1">
      <alignment vertical="top"/>
    </xf>
    <xf numFmtId="44" fontId="37" fillId="81" borderId="86" xfId="26673" applyFont="1" applyFill="1" applyBorder="1" applyAlignment="1">
      <alignment horizontal="right" vertical="center"/>
    </xf>
    <xf numFmtId="10" fontId="37" fillId="81" borderId="86" xfId="2" applyNumberFormat="1" applyFont="1" applyFill="1" applyBorder="1" applyAlignment="1">
      <alignment horizontal="right" vertical="center"/>
    </xf>
    <xf numFmtId="0" fontId="37" fillId="0" borderId="86" xfId="0" applyFont="1" applyBorder="1" applyAlignment="1">
      <alignment horizontal="center" vertical="center" wrapText="1"/>
    </xf>
    <xf numFmtId="10" fontId="37" fillId="0" borderId="115" xfId="2" applyNumberFormat="1" applyFont="1" applyFill="1" applyBorder="1" applyAlignment="1">
      <alignment vertical="top"/>
    </xf>
    <xf numFmtId="170" fontId="37" fillId="87" borderId="60" xfId="0" applyNumberFormat="1" applyFont="1" applyFill="1" applyBorder="1" applyAlignment="1">
      <alignment horizontal="center" vertical="center"/>
    </xf>
    <xf numFmtId="10" fontId="37" fillId="87" borderId="54" xfId="2" applyNumberFormat="1" applyFont="1" applyFill="1" applyBorder="1" applyAlignment="1">
      <alignment horizontal="center" vertical="center"/>
    </xf>
    <xf numFmtId="0" fontId="123" fillId="35" borderId="0" xfId="0" applyFont="1" applyFill="1" applyAlignment="1">
      <alignment horizontal="left" wrapText="1"/>
    </xf>
    <xf numFmtId="4" fontId="0" fillId="0" borderId="0" xfId="0" applyNumberFormat="1" applyAlignment="1">
      <alignment vertical="top"/>
    </xf>
    <xf numFmtId="0" fontId="0" fillId="0" borderId="156" xfId="0" applyBorder="1" applyAlignment="1">
      <alignment horizontal="left" vertical="top" wrapText="1"/>
    </xf>
    <xf numFmtId="0" fontId="0" fillId="0" borderId="156" xfId="0" applyBorder="1" applyAlignment="1">
      <alignment horizontal="center" vertical="top" wrapText="1"/>
    </xf>
    <xf numFmtId="0" fontId="0" fillId="0" borderId="69" xfId="0" applyBorder="1" applyAlignment="1">
      <alignment horizontal="center" vertical="center" wrapText="1"/>
    </xf>
    <xf numFmtId="0" fontId="25" fillId="0" borderId="101" xfId="0" applyFont="1" applyBorder="1" applyAlignment="1">
      <alignment vertical="center" wrapText="1"/>
    </xf>
    <xf numFmtId="0" fontId="0" fillId="0" borderId="156" xfId="0" applyBorder="1" applyAlignment="1">
      <alignment vertical="top" wrapText="1"/>
    </xf>
    <xf numFmtId="0" fontId="0" fillId="0" borderId="0" xfId="0" applyAlignment="1">
      <alignment horizontal="left"/>
    </xf>
    <xf numFmtId="0" fontId="80" fillId="33" borderId="69" xfId="0" applyFont="1" applyFill="1" applyBorder="1" applyAlignment="1">
      <alignment horizontal="left" vertical="center" wrapText="1"/>
    </xf>
    <xf numFmtId="0" fontId="0" fillId="0" borderId="69" xfId="0" applyBorder="1" applyAlignment="1">
      <alignment horizontal="left" vertical="center" wrapText="1"/>
    </xf>
    <xf numFmtId="0" fontId="81" fillId="33" borderId="69" xfId="0" applyFont="1" applyFill="1" applyBorder="1" applyAlignment="1">
      <alignment vertical="center" wrapText="1"/>
    </xf>
    <xf numFmtId="0" fontId="0" fillId="0" borderId="101" xfId="0" applyBorder="1" applyAlignment="1">
      <alignment vertical="center" wrapText="1"/>
    </xf>
    <xf numFmtId="4" fontId="0" fillId="0" borderId="101" xfId="0" applyNumberFormat="1" applyBorder="1" applyAlignment="1">
      <alignment vertical="top" wrapText="1"/>
    </xf>
    <xf numFmtId="4" fontId="0" fillId="0" borderId="156" xfId="0" applyNumberFormat="1" applyBorder="1" applyAlignment="1">
      <alignment vertical="top" wrapText="1"/>
    </xf>
    <xf numFmtId="43" fontId="48" fillId="85" borderId="86" xfId="1" applyFont="1" applyFill="1" applyBorder="1" applyAlignment="1">
      <alignment horizontal="center" vertical="center"/>
    </xf>
    <xf numFmtId="43" fontId="28" fillId="87" borderId="86" xfId="1" applyFont="1" applyFill="1" applyBorder="1" applyAlignment="1">
      <alignment horizontal="right" vertical="center" wrapText="1"/>
    </xf>
    <xf numFmtId="43" fontId="28" fillId="86" borderId="86" xfId="1" applyFont="1" applyFill="1" applyBorder="1" applyAlignment="1">
      <alignment horizontal="right" vertical="center" wrapText="1"/>
    </xf>
    <xf numFmtId="43" fontId="28" fillId="0" borderId="86" xfId="1" applyFont="1" applyBorder="1" applyAlignment="1">
      <alignment horizontal="right" vertical="center"/>
    </xf>
    <xf numFmtId="43" fontId="28" fillId="88" borderId="86" xfId="1" applyFont="1" applyFill="1" applyBorder="1" applyAlignment="1">
      <alignment horizontal="right" vertical="center"/>
    </xf>
    <xf numFmtId="43" fontId="28" fillId="38" borderId="86" xfId="1" applyFont="1" applyFill="1" applyBorder="1" applyAlignment="1">
      <alignment horizontal="right" vertical="center"/>
    </xf>
    <xf numFmtId="43" fontId="84" fillId="38" borderId="0" xfId="1" applyFont="1" applyFill="1" applyAlignment="1">
      <alignment vertical="center" wrapText="1"/>
    </xf>
    <xf numFmtId="43" fontId="37" fillId="39" borderId="0" xfId="1" applyFont="1" applyFill="1" applyAlignment="1">
      <alignment horizontal="center" vertical="center" wrapText="1"/>
    </xf>
    <xf numFmtId="43" fontId="28" fillId="0" borderId="0" xfId="1" applyFont="1" applyAlignment="1">
      <alignment vertical="top"/>
    </xf>
    <xf numFmtId="0" fontId="33" fillId="0" borderId="69" xfId="0" quotePrefix="1" applyFont="1" applyBorder="1" applyAlignment="1">
      <alignment horizontal="center" vertical="center"/>
    </xf>
    <xf numFmtId="43" fontId="28" fillId="0" borderId="86" xfId="1" applyFont="1" applyFill="1" applyBorder="1" applyAlignment="1">
      <alignment horizontal="right" vertical="center"/>
    </xf>
    <xf numFmtId="43" fontId="27" fillId="0" borderId="95" xfId="1" applyFont="1" applyFill="1" applyBorder="1" applyAlignment="1">
      <alignment horizontal="center" vertical="center"/>
    </xf>
    <xf numFmtId="43" fontId="0" fillId="0" borderId="150" xfId="1" applyFont="1" applyFill="1" applyBorder="1" applyAlignment="1">
      <alignment vertical="center"/>
    </xf>
    <xf numFmtId="49" fontId="0" fillId="0" borderId="69" xfId="0" quotePrefix="1" applyNumberFormat="1" applyBorder="1" applyAlignment="1">
      <alignment horizontal="center" vertical="center"/>
    </xf>
    <xf numFmtId="166" fontId="2" fillId="0" borderId="69" xfId="0" applyNumberFormat="1" applyFont="1" applyBorder="1" applyAlignment="1">
      <alignment vertical="center"/>
    </xf>
    <xf numFmtId="43" fontId="2" fillId="0" borderId="69" xfId="1" applyFont="1" applyFill="1" applyBorder="1" applyAlignment="1">
      <alignment horizontal="right" vertical="center"/>
    </xf>
    <xf numFmtId="2" fontId="2" fillId="0" borderId="69" xfId="0" applyNumberFormat="1" applyFont="1" applyBorder="1" applyAlignment="1">
      <alignment vertical="center"/>
    </xf>
    <xf numFmtId="0" fontId="28" fillId="0" borderId="114" xfId="47" quotePrefix="1" applyBorder="1" applyAlignment="1">
      <alignment horizontal="center" vertical="center"/>
    </xf>
    <xf numFmtId="10" fontId="28" fillId="33" borderId="69" xfId="56" applyNumberFormat="1" applyFont="1" applyFill="1" applyBorder="1" applyAlignment="1">
      <alignment horizontal="center" vertical="center" wrapText="1"/>
    </xf>
    <xf numFmtId="10" fontId="28" fillId="33" borderId="69" xfId="51" applyNumberFormat="1" applyFill="1" applyBorder="1" applyAlignment="1">
      <alignment horizontal="center" vertical="center"/>
    </xf>
    <xf numFmtId="44" fontId="28" fillId="0" borderId="0" xfId="26673" applyFont="1" applyAlignment="1"/>
    <xf numFmtId="44" fontId="28" fillId="0" borderId="0" xfId="51" applyNumberFormat="1" applyAlignment="1"/>
    <xf numFmtId="0" fontId="84" fillId="38" borderId="155" xfId="0" applyFont="1" applyFill="1" applyBorder="1" applyAlignment="1">
      <alignment vertical="center" wrapText="1"/>
    </xf>
    <xf numFmtId="0" fontId="84" fillId="38" borderId="150" xfId="0" applyFont="1" applyFill="1" applyBorder="1" applyAlignment="1">
      <alignment vertical="center" wrapText="1"/>
    </xf>
    <xf numFmtId="0" fontId="84" fillId="38" borderId="151" xfId="0" applyFont="1" applyFill="1" applyBorder="1" applyAlignment="1">
      <alignment vertical="center" wrapText="1"/>
    </xf>
    <xf numFmtId="44" fontId="37" fillId="38" borderId="86" xfId="26673" applyFont="1" applyFill="1" applyBorder="1" applyAlignment="1">
      <alignment vertical="top" wrapText="1"/>
    </xf>
    <xf numFmtId="44" fontId="37" fillId="38" borderId="115" xfId="26673" applyFont="1" applyFill="1" applyBorder="1" applyAlignment="1">
      <alignment vertical="top" wrapText="1"/>
    </xf>
    <xf numFmtId="0" fontId="30" fillId="38" borderId="114" xfId="0" applyFont="1" applyFill="1" applyBorder="1" applyAlignment="1">
      <alignment vertical="center"/>
    </xf>
    <xf numFmtId="0" fontId="30" fillId="38" borderId="86" xfId="0" applyFont="1" applyFill="1" applyBorder="1" applyAlignment="1">
      <alignment vertical="center"/>
    </xf>
    <xf numFmtId="0" fontId="30" fillId="38" borderId="115" xfId="0" applyFont="1" applyFill="1" applyBorder="1" applyAlignment="1">
      <alignment vertical="center"/>
    </xf>
    <xf numFmtId="0" fontId="91" fillId="38" borderId="114" xfId="47" applyFont="1" applyFill="1" applyBorder="1" applyAlignment="1">
      <alignment vertical="center" wrapText="1"/>
    </xf>
    <xf numFmtId="0" fontId="30" fillId="38" borderId="114" xfId="47" applyFont="1" applyFill="1" applyBorder="1" applyAlignment="1">
      <alignment vertical="center"/>
    </xf>
    <xf numFmtId="0" fontId="91" fillId="38" borderId="86" xfId="47" applyFont="1" applyFill="1" applyBorder="1" applyAlignment="1">
      <alignment vertical="center" wrapText="1"/>
    </xf>
    <xf numFmtId="0" fontId="30" fillId="38" borderId="86" xfId="47" applyFont="1" applyFill="1" applyBorder="1" applyAlignment="1">
      <alignment vertical="center"/>
    </xf>
    <xf numFmtId="44" fontId="37" fillId="38" borderId="86" xfId="26673" applyFont="1" applyFill="1" applyBorder="1" applyAlignment="1">
      <alignment vertical="center" wrapText="1"/>
    </xf>
    <xf numFmtId="10" fontId="37" fillId="0" borderId="86" xfId="2" applyNumberFormat="1" applyFont="1" applyFill="1" applyBorder="1" applyAlignment="1">
      <alignment vertical="top"/>
    </xf>
    <xf numFmtId="0" fontId="91" fillId="38" borderId="115" xfId="47" applyFont="1" applyFill="1" applyBorder="1" applyAlignment="1">
      <alignment vertical="center" wrapText="1"/>
    </xf>
    <xf numFmtId="44" fontId="37" fillId="38" borderId="115" xfId="26673" applyFont="1" applyFill="1" applyBorder="1" applyAlignment="1">
      <alignment vertical="center" wrapText="1"/>
    </xf>
    <xf numFmtId="0" fontId="28" fillId="0" borderId="86" xfId="47" applyBorder="1" applyAlignment="1">
      <alignment horizontal="justify" vertical="center"/>
    </xf>
    <xf numFmtId="10" fontId="0" fillId="0" borderId="0" xfId="2" applyNumberFormat="1" applyFont="1"/>
    <xf numFmtId="0" fontId="0" fillId="0" borderId="163" xfId="0" applyBorder="1" applyAlignment="1">
      <alignment horizontal="left" wrapText="1"/>
    </xf>
    <xf numFmtId="2" fontId="0" fillId="0" borderId="164" xfId="0" applyNumberFormat="1" applyBorder="1"/>
    <xf numFmtId="43" fontId="0" fillId="0" borderId="165" xfId="1" applyFont="1" applyFill="1" applyBorder="1" applyAlignment="1">
      <alignment horizontal="center" vertical="center"/>
    </xf>
    <xf numFmtId="43" fontId="0" fillId="0" borderId="148" xfId="1" applyFont="1" applyFill="1" applyBorder="1" applyAlignment="1">
      <alignment vertical="center"/>
    </xf>
    <xf numFmtId="43" fontId="0" fillId="0" borderId="164" xfId="1" applyFont="1" applyFill="1" applyBorder="1" applyAlignment="1">
      <alignment horizontal="center" vertical="center"/>
    </xf>
    <xf numFmtId="43" fontId="0" fillId="0" borderId="149" xfId="1" applyFont="1" applyFill="1" applyBorder="1" applyAlignment="1">
      <alignment horizontal="center" vertical="center"/>
    </xf>
    <xf numFmtId="0" fontId="126" fillId="0" borderId="94" xfId="0" applyFont="1" applyBorder="1" applyAlignment="1">
      <alignment horizontal="left" wrapText="1"/>
    </xf>
    <xf numFmtId="43" fontId="0" fillId="0" borderId="149" xfId="1" applyFont="1" applyFill="1" applyBorder="1" applyAlignment="1">
      <alignment vertical="center"/>
    </xf>
    <xf numFmtId="0" fontId="0" fillId="71" borderId="29" xfId="0" applyFill="1" applyBorder="1"/>
    <xf numFmtId="0" fontId="126" fillId="71" borderId="94" xfId="0" applyFont="1" applyFill="1" applyBorder="1" applyAlignment="1">
      <alignment horizontal="left" wrapText="1"/>
    </xf>
    <xf numFmtId="2" fontId="0" fillId="71" borderId="93" xfId="0" applyNumberFormat="1" applyFill="1" applyBorder="1"/>
    <xf numFmtId="43" fontId="0" fillId="71" borderId="149" xfId="1" applyFont="1" applyFill="1" applyBorder="1" applyAlignment="1">
      <alignment horizontal="center" vertical="center"/>
    </xf>
    <xf numFmtId="43" fontId="0" fillId="71" borderId="93" xfId="1" applyFont="1" applyFill="1" applyBorder="1" applyAlignment="1">
      <alignment horizontal="center" vertical="center"/>
    </xf>
    <xf numFmtId="43" fontId="0" fillId="71" borderId="95" xfId="1" applyFont="1" applyFill="1" applyBorder="1" applyAlignment="1">
      <alignment vertical="center"/>
    </xf>
    <xf numFmtId="0" fontId="0" fillId="71" borderId="0" xfId="0" applyFill="1"/>
    <xf numFmtId="0" fontId="0" fillId="71" borderId="0" xfId="0" applyFill="1" applyAlignment="1">
      <alignment horizontal="left" vertical="center"/>
    </xf>
    <xf numFmtId="0" fontId="0" fillId="71" borderId="16" xfId="0" applyFill="1" applyBorder="1"/>
    <xf numFmtId="0" fontId="0" fillId="71" borderId="94" xfId="0" applyFill="1" applyBorder="1" applyAlignment="1">
      <alignment horizontal="left" wrapText="1"/>
    </xf>
    <xf numFmtId="2" fontId="0" fillId="71" borderId="89" xfId="0" applyNumberFormat="1" applyFill="1" applyBorder="1"/>
    <xf numFmtId="43" fontId="46" fillId="71" borderId="89" xfId="1" applyFont="1" applyFill="1" applyBorder="1" applyAlignment="1">
      <alignment horizontal="center" vertical="center"/>
    </xf>
    <xf numFmtId="43" fontId="0" fillId="71" borderId="89" xfId="1" applyFont="1" applyFill="1" applyBorder="1" applyAlignment="1">
      <alignment horizontal="center" vertical="center"/>
    </xf>
    <xf numFmtId="43" fontId="0" fillId="71" borderId="90" xfId="1" applyFont="1" applyFill="1" applyBorder="1" applyAlignment="1">
      <alignment vertical="center"/>
    </xf>
    <xf numFmtId="43" fontId="0" fillId="0" borderId="169" xfId="1" applyFont="1" applyFill="1" applyBorder="1" applyAlignment="1">
      <alignment horizontal="center" vertical="center"/>
    </xf>
    <xf numFmtId="43" fontId="0" fillId="0" borderId="152" xfId="1" applyFont="1" applyFill="1" applyBorder="1" applyAlignment="1">
      <alignment horizontal="center" vertical="center"/>
    </xf>
    <xf numFmtId="43" fontId="0" fillId="0" borderId="91" xfId="1" applyFont="1" applyFill="1" applyBorder="1" applyAlignment="1">
      <alignment vertical="center" wrapText="1"/>
    </xf>
    <xf numFmtId="43" fontId="0" fillId="0" borderId="92" xfId="1" applyFont="1" applyFill="1" applyBorder="1" applyAlignment="1">
      <alignment vertical="center" wrapText="1"/>
    </xf>
    <xf numFmtId="0" fontId="71" fillId="0" borderId="0" xfId="0" applyFont="1" applyAlignment="1">
      <alignment wrapText="1"/>
    </xf>
    <xf numFmtId="0" fontId="28" fillId="38" borderId="114" xfId="47" quotePrefix="1" applyFill="1" applyBorder="1" applyAlignment="1">
      <alignment horizontal="center" vertical="center"/>
    </xf>
    <xf numFmtId="0" fontId="28" fillId="38" borderId="86" xfId="0" quotePrefix="1" applyFont="1" applyFill="1" applyBorder="1" applyAlignment="1">
      <alignment horizontal="center" vertical="center" wrapText="1"/>
    </xf>
    <xf numFmtId="0" fontId="28" fillId="38" borderId="86" xfId="47" applyFill="1" applyBorder="1" applyAlignment="1">
      <alignment horizontal="justify" vertical="center" wrapText="1"/>
    </xf>
    <xf numFmtId="10" fontId="28" fillId="38" borderId="115" xfId="2" applyNumberFormat="1" applyFont="1" applyFill="1" applyBorder="1" applyAlignment="1">
      <alignment horizontal="right" vertical="center"/>
    </xf>
    <xf numFmtId="0" fontId="106" fillId="38" borderId="30" xfId="0" applyFont="1" applyFill="1" applyBorder="1" applyAlignment="1">
      <alignment horizontal="center" vertical="center" wrapText="1"/>
    </xf>
    <xf numFmtId="0" fontId="106" fillId="38" borderId="33" xfId="0" applyFont="1" applyFill="1" applyBorder="1" applyAlignment="1">
      <alignment horizontal="center" vertical="center" wrapText="1"/>
    </xf>
    <xf numFmtId="0" fontId="106" fillId="38" borderId="31" xfId="0" applyFont="1" applyFill="1" applyBorder="1" applyAlignment="1">
      <alignment horizontal="center" vertical="center" wrapText="1"/>
    </xf>
    <xf numFmtId="0" fontId="106" fillId="38" borderId="63" xfId="0" applyFont="1" applyFill="1" applyBorder="1" applyAlignment="1">
      <alignment horizontal="center" vertical="center" wrapText="1"/>
    </xf>
    <xf numFmtId="0" fontId="106" fillId="38" borderId="0" xfId="0" applyFont="1" applyFill="1" applyAlignment="1">
      <alignment horizontal="center" vertical="center" wrapText="1"/>
    </xf>
    <xf numFmtId="0" fontId="106" fillId="38" borderId="32" xfId="0" applyFont="1" applyFill="1" applyBorder="1" applyAlignment="1">
      <alignment horizontal="center" vertical="center" wrapText="1"/>
    </xf>
    <xf numFmtId="0" fontId="37" fillId="87" borderId="59" xfId="0" applyFont="1" applyFill="1" applyBorder="1" applyAlignment="1">
      <alignment horizontal="right" vertical="center"/>
    </xf>
    <xf numFmtId="0" fontId="37" fillId="87" borderId="79" xfId="0" applyFont="1" applyFill="1" applyBorder="1" applyAlignment="1">
      <alignment horizontal="right" vertical="center"/>
    </xf>
    <xf numFmtId="0" fontId="37" fillId="38" borderId="63" xfId="0" applyFont="1" applyFill="1" applyBorder="1" applyAlignment="1">
      <alignment horizontal="left" wrapText="1"/>
    </xf>
    <xf numFmtId="0" fontId="37" fillId="38" borderId="0" xfId="0" applyFont="1" applyFill="1" applyAlignment="1">
      <alignment horizontal="left" wrapText="1"/>
    </xf>
    <xf numFmtId="0" fontId="28" fillId="38" borderId="81" xfId="0" applyFont="1" applyFill="1" applyBorder="1" applyAlignment="1">
      <alignment horizontal="left" vertical="top"/>
    </xf>
    <xf numFmtId="0" fontId="28" fillId="38" borderId="19" xfId="0" applyFont="1" applyFill="1" applyBorder="1" applyAlignment="1">
      <alignment horizontal="left" vertical="top"/>
    </xf>
    <xf numFmtId="0" fontId="37" fillId="38" borderId="32" xfId="0" applyFont="1" applyFill="1" applyBorder="1" applyAlignment="1">
      <alignment horizontal="left" wrapText="1"/>
    </xf>
    <xf numFmtId="0" fontId="37" fillId="38" borderId="19" xfId="0" applyFont="1" applyFill="1" applyBorder="1" applyAlignment="1">
      <alignment horizontal="left" vertical="top" wrapText="1"/>
    </xf>
    <xf numFmtId="0" fontId="37" fillId="38" borderId="36" xfId="0" applyFont="1" applyFill="1" applyBorder="1" applyAlignment="1">
      <alignment horizontal="left" vertical="top" wrapText="1"/>
    </xf>
    <xf numFmtId="0" fontId="30" fillId="38" borderId="76" xfId="0" applyFont="1" applyFill="1" applyBorder="1" applyAlignment="1">
      <alignment horizontal="center" vertical="center"/>
    </xf>
    <xf numFmtId="0" fontId="30" fillId="38" borderId="69" xfId="0" applyFont="1" applyFill="1" applyBorder="1" applyAlignment="1">
      <alignment horizontal="center" vertical="center"/>
    </xf>
    <xf numFmtId="0" fontId="30" fillId="38" borderId="78" xfId="0" applyFont="1" applyFill="1" applyBorder="1" applyAlignment="1">
      <alignment horizontal="center" vertical="center"/>
    </xf>
    <xf numFmtId="0" fontId="84" fillId="38" borderId="160" xfId="0" applyFont="1" applyFill="1" applyBorder="1" applyAlignment="1">
      <alignment horizontal="center" vertical="center" wrapText="1"/>
    </xf>
    <xf numFmtId="0" fontId="84" fillId="38" borderId="161" xfId="0" applyFont="1" applyFill="1" applyBorder="1" applyAlignment="1">
      <alignment horizontal="center" vertical="center" wrapText="1"/>
    </xf>
    <xf numFmtId="0" fontId="84" fillId="38" borderId="162" xfId="0" applyFont="1" applyFill="1" applyBorder="1" applyAlignment="1">
      <alignment horizontal="center" vertical="center" wrapText="1"/>
    </xf>
    <xf numFmtId="0" fontId="91" fillId="38" borderId="157" xfId="47" applyFont="1" applyFill="1" applyBorder="1" applyAlignment="1">
      <alignment horizontal="center" vertical="center" wrapText="1"/>
    </xf>
    <xf numFmtId="0" fontId="91" fillId="38" borderId="158" xfId="47" applyFont="1" applyFill="1" applyBorder="1" applyAlignment="1">
      <alignment horizontal="center" vertical="center" wrapText="1"/>
    </xf>
    <xf numFmtId="0" fontId="91" fillId="38" borderId="159" xfId="47" applyFont="1" applyFill="1" applyBorder="1" applyAlignment="1">
      <alignment horizontal="center" vertical="center" wrapText="1"/>
    </xf>
    <xf numFmtId="44" fontId="37" fillId="38" borderId="91" xfId="26673" applyFont="1" applyFill="1" applyBorder="1" applyAlignment="1">
      <alignment horizontal="left" vertical="center" wrapText="1"/>
    </xf>
    <xf numFmtId="44" fontId="37" fillId="38" borderId="150" xfId="26673" applyFont="1" applyFill="1" applyBorder="1" applyAlignment="1">
      <alignment horizontal="left" vertical="center" wrapText="1"/>
    </xf>
    <xf numFmtId="44" fontId="37" fillId="38" borderId="151" xfId="26673" applyFont="1" applyFill="1" applyBorder="1" applyAlignment="1">
      <alignment horizontal="left" vertical="center" wrapText="1"/>
    </xf>
    <xf numFmtId="44" fontId="37" fillId="38" borderId="91" xfId="26673" applyFont="1" applyFill="1" applyBorder="1" applyAlignment="1">
      <alignment horizontal="left" vertical="top" wrapText="1"/>
    </xf>
    <xf numFmtId="44" fontId="37" fillId="38" borderId="150" xfId="26673" applyFont="1" applyFill="1" applyBorder="1" applyAlignment="1">
      <alignment horizontal="left" vertical="top" wrapText="1"/>
    </xf>
    <xf numFmtId="44" fontId="37" fillId="38" borderId="151" xfId="26673" applyFont="1" applyFill="1" applyBorder="1" applyAlignment="1">
      <alignment horizontal="left" vertical="top" wrapText="1"/>
    </xf>
    <xf numFmtId="0" fontId="30" fillId="38" borderId="155" xfId="0" applyFont="1" applyFill="1" applyBorder="1" applyAlignment="1">
      <alignment horizontal="center" vertical="center"/>
    </xf>
    <xf numFmtId="0" fontId="30" fillId="38" borderId="150" xfId="0" applyFont="1" applyFill="1" applyBorder="1" applyAlignment="1">
      <alignment horizontal="center" vertical="center"/>
    </xf>
    <xf numFmtId="0" fontId="30" fillId="38" borderId="151" xfId="0" applyFont="1" applyFill="1" applyBorder="1" applyAlignment="1">
      <alignment horizontal="center" vertical="center"/>
    </xf>
    <xf numFmtId="0" fontId="28" fillId="38" borderId="155" xfId="44" applyFill="1" applyBorder="1" applyAlignment="1">
      <alignment horizontal="center" vertical="center"/>
    </xf>
    <xf numFmtId="0" fontId="28" fillId="38" borderId="150" xfId="44" applyFill="1" applyBorder="1" applyAlignment="1">
      <alignment horizontal="center" vertical="center"/>
    </xf>
    <xf numFmtId="0" fontId="28" fillId="38" borderId="92" xfId="44" applyFill="1" applyBorder="1" applyAlignment="1">
      <alignment horizontal="center" vertical="center"/>
    </xf>
    <xf numFmtId="0" fontId="30" fillId="38" borderId="153" xfId="47" applyFont="1" applyFill="1" applyBorder="1" applyAlignment="1">
      <alignment horizontal="center" vertical="center"/>
    </xf>
    <xf numFmtId="0" fontId="30" fillId="38" borderId="62" xfId="47" applyFont="1" applyFill="1" applyBorder="1" applyAlignment="1">
      <alignment horizontal="center" vertical="center"/>
    </xf>
    <xf numFmtId="0" fontId="30" fillId="38" borderId="148" xfId="47" applyFont="1" applyFill="1" applyBorder="1" applyAlignment="1">
      <alignment horizontal="center" vertical="center"/>
    </xf>
    <xf numFmtId="0" fontId="30" fillId="38" borderId="154" xfId="47" applyFont="1" applyFill="1" applyBorder="1" applyAlignment="1">
      <alignment horizontal="center" vertical="center"/>
    </xf>
    <xf numFmtId="0" fontId="30" fillId="38" borderId="152" xfId="47" applyFont="1" applyFill="1" applyBorder="1" applyAlignment="1">
      <alignment horizontal="center" vertical="center"/>
    </xf>
    <xf numFmtId="0" fontId="30" fillId="38" borderId="149" xfId="47" applyFont="1" applyFill="1" applyBorder="1" applyAlignment="1">
      <alignment horizontal="center" vertical="center"/>
    </xf>
    <xf numFmtId="0" fontId="84" fillId="38" borderId="155" xfId="0" applyFont="1" applyFill="1" applyBorder="1" applyAlignment="1">
      <alignment horizontal="center" vertical="center" wrapText="1"/>
    </xf>
    <xf numFmtId="0" fontId="84" fillId="38" borderId="150" xfId="0" applyFont="1" applyFill="1" applyBorder="1" applyAlignment="1">
      <alignment horizontal="center" vertical="center" wrapText="1"/>
    </xf>
    <xf numFmtId="0" fontId="84" fillId="38" borderId="151" xfId="0" applyFont="1" applyFill="1" applyBorder="1" applyAlignment="1">
      <alignment horizontal="center" vertical="center" wrapText="1"/>
    </xf>
    <xf numFmtId="0" fontId="37" fillId="81" borderId="155" xfId="0" applyFont="1" applyFill="1" applyBorder="1" applyAlignment="1">
      <alignment horizontal="center" vertical="center" wrapText="1"/>
    </xf>
    <xf numFmtId="0" fontId="37" fillId="81" borderId="150" xfId="0" applyFont="1" applyFill="1" applyBorder="1" applyAlignment="1">
      <alignment horizontal="center" vertical="center" wrapText="1"/>
    </xf>
    <xf numFmtId="0" fontId="37" fillId="81" borderId="92" xfId="0" applyFont="1" applyFill="1" applyBorder="1" applyAlignment="1">
      <alignment horizontal="center" vertical="center" wrapText="1"/>
    </xf>
    <xf numFmtId="43" fontId="0" fillId="0" borderId="91" xfId="1" applyFont="1" applyBorder="1" applyAlignment="1">
      <alignment horizontal="center"/>
    </xf>
    <xf numFmtId="43" fontId="0" fillId="0" borderId="150" xfId="1" applyFont="1" applyBorder="1" applyAlignment="1">
      <alignment horizontal="center"/>
    </xf>
    <xf numFmtId="43" fontId="0" fillId="0" borderId="166" xfId="1" applyFont="1" applyFill="1" applyBorder="1" applyAlignment="1">
      <alignment horizontal="center" vertical="center"/>
    </xf>
    <xf numFmtId="43" fontId="0" fillId="0" borderId="168" xfId="1" applyFont="1" applyFill="1" applyBorder="1" applyAlignment="1">
      <alignment horizontal="center" vertical="center"/>
    </xf>
    <xf numFmtId="43" fontId="0" fillId="0" borderId="166" xfId="1" applyFont="1" applyFill="1" applyBorder="1" applyAlignment="1">
      <alignment horizontal="center" vertical="center" wrapText="1"/>
    </xf>
    <xf numFmtId="43" fontId="0" fillId="0" borderId="168" xfId="1" applyFont="1" applyFill="1" applyBorder="1" applyAlignment="1">
      <alignment horizontal="center" vertical="center" wrapText="1"/>
    </xf>
    <xf numFmtId="43" fontId="0" fillId="0" borderId="91" xfId="1" applyFont="1" applyFill="1" applyBorder="1" applyAlignment="1">
      <alignment horizontal="center" vertical="center"/>
    </xf>
    <xf numFmtId="43" fontId="0" fillId="0" borderId="92" xfId="1" applyFont="1" applyFill="1" applyBorder="1" applyAlignment="1">
      <alignment horizontal="center" vertical="center"/>
    </xf>
    <xf numFmtId="0" fontId="108" fillId="38" borderId="72" xfId="0" applyFont="1" applyFill="1" applyBorder="1" applyAlignment="1">
      <alignment horizontal="center" vertical="center" wrapText="1"/>
    </xf>
    <xf numFmtId="0" fontId="108" fillId="38" borderId="74" xfId="0" applyFont="1" applyFill="1" applyBorder="1" applyAlignment="1">
      <alignment horizontal="center" vertical="center" wrapText="1"/>
    </xf>
    <xf numFmtId="0" fontId="108" fillId="38" borderId="75" xfId="0" applyFont="1" applyFill="1" applyBorder="1" applyAlignment="1">
      <alignment horizontal="center" vertical="center" wrapText="1"/>
    </xf>
    <xf numFmtId="0" fontId="0" fillId="38" borderId="13" xfId="0" applyFill="1" applyBorder="1" applyAlignment="1">
      <alignment horizontal="center"/>
    </xf>
    <xf numFmtId="0" fontId="0" fillId="38" borderId="0" xfId="0" applyFill="1" applyAlignment="1">
      <alignment horizontal="center"/>
    </xf>
    <xf numFmtId="0" fontId="0" fillId="38" borderId="14" xfId="0" applyFill="1" applyBorder="1" applyAlignment="1">
      <alignment horizontal="center"/>
    </xf>
    <xf numFmtId="0" fontId="31" fillId="38" borderId="70" xfId="0" applyFont="1" applyFill="1" applyBorder="1" applyAlignment="1">
      <alignment horizontal="center" vertical="center"/>
    </xf>
    <xf numFmtId="0" fontId="31" fillId="38" borderId="73" xfId="0" applyFont="1" applyFill="1" applyBorder="1" applyAlignment="1">
      <alignment horizontal="center" vertical="center"/>
    </xf>
    <xf numFmtId="0" fontId="31" fillId="38" borderId="71" xfId="0" applyFont="1" applyFill="1" applyBorder="1" applyAlignment="1">
      <alignment horizontal="center" vertical="center"/>
    </xf>
    <xf numFmtId="43" fontId="33" fillId="33" borderId="70" xfId="1" applyFont="1" applyFill="1" applyBorder="1" applyAlignment="1">
      <alignment horizontal="center" vertical="center" wrapText="1"/>
    </xf>
    <xf numFmtId="43" fontId="33" fillId="33" borderId="73" xfId="1" applyFont="1" applyFill="1" applyBorder="1" applyAlignment="1">
      <alignment horizontal="center" vertical="center" wrapText="1"/>
    </xf>
    <xf numFmtId="43" fontId="33" fillId="33" borderId="71" xfId="1" applyFont="1" applyFill="1" applyBorder="1" applyAlignment="1">
      <alignment horizontal="center" vertical="center" wrapText="1"/>
    </xf>
    <xf numFmtId="0" fontId="117" fillId="38" borderId="0" xfId="0" applyFont="1" applyFill="1" applyAlignment="1">
      <alignment horizontal="center" vertical="center" wrapText="1"/>
    </xf>
    <xf numFmtId="43" fontId="0" fillId="0" borderId="150" xfId="1" applyFont="1" applyFill="1" applyBorder="1" applyAlignment="1">
      <alignment horizontal="center" vertical="center"/>
    </xf>
    <xf numFmtId="43" fontId="46" fillId="0" borderId="166" xfId="1" applyFont="1" applyFill="1" applyBorder="1" applyAlignment="1">
      <alignment horizontal="center" vertical="center"/>
    </xf>
    <xf numFmtId="43" fontId="46" fillId="0" borderId="167" xfId="1" applyFont="1" applyFill="1" applyBorder="1" applyAlignment="1">
      <alignment horizontal="center" vertical="center"/>
    </xf>
    <xf numFmtId="43" fontId="46" fillId="0" borderId="168" xfId="1" applyFont="1" applyFill="1" applyBorder="1" applyAlignment="1">
      <alignment horizontal="center" vertical="center"/>
    </xf>
    <xf numFmtId="0" fontId="0" fillId="0" borderId="0" xfId="0" applyAlignment="1">
      <alignment horizontal="center"/>
    </xf>
    <xf numFmtId="49" fontId="28" fillId="0" borderId="76" xfId="51" applyNumberFormat="1" applyBorder="1" applyAlignment="1">
      <alignment horizontal="center" vertical="center" wrapText="1"/>
    </xf>
    <xf numFmtId="2" fontId="28" fillId="0" borderId="69" xfId="51" applyNumberFormat="1" applyBorder="1" applyAlignment="1">
      <alignment horizontal="left" vertical="center" wrapText="1"/>
    </xf>
    <xf numFmtId="168" fontId="37" fillId="33" borderId="16" xfId="51" applyNumberFormat="1" applyFont="1" applyFill="1" applyBorder="1" applyAlignment="1">
      <alignment horizontal="center" vertical="center"/>
    </xf>
    <xf numFmtId="168" fontId="37" fillId="33" borderId="77" xfId="51" applyNumberFormat="1" applyFont="1" applyFill="1" applyBorder="1" applyAlignment="1">
      <alignment horizontal="center" vertical="center"/>
    </xf>
    <xf numFmtId="0" fontId="107" fillId="38" borderId="30" xfId="51" applyFont="1" applyFill="1" applyBorder="1" applyAlignment="1">
      <alignment horizontal="center" vertical="center" wrapText="1"/>
    </xf>
    <xf numFmtId="0" fontId="107" fillId="38" borderId="33" xfId="51" applyFont="1" applyFill="1" applyBorder="1" applyAlignment="1">
      <alignment horizontal="center" vertical="center" wrapText="1"/>
    </xf>
    <xf numFmtId="0" fontId="107" fillId="38" borderId="63" xfId="51" applyFont="1" applyFill="1" applyBorder="1" applyAlignment="1">
      <alignment horizontal="center" vertical="center" wrapText="1"/>
    </xf>
    <xf numFmtId="0" fontId="107" fillId="38" borderId="0" xfId="51" applyFont="1" applyFill="1" applyAlignment="1">
      <alignment horizontal="center" vertical="center" wrapText="1"/>
    </xf>
    <xf numFmtId="0" fontId="37" fillId="38" borderId="0" xfId="0" applyFont="1" applyFill="1" applyAlignment="1">
      <alignment horizontal="left"/>
    </xf>
    <xf numFmtId="0" fontId="37" fillId="38" borderId="0" xfId="61" applyFont="1" applyFill="1" applyAlignment="1">
      <alignment horizontal="left" vertical="top" wrapText="1"/>
    </xf>
    <xf numFmtId="0" fontId="105" fillId="0" borderId="64" xfId="0" applyFont="1" applyBorder="1" applyAlignment="1">
      <alignment horizontal="center" vertical="center"/>
    </xf>
    <xf numFmtId="0" fontId="105" fillId="0" borderId="117" xfId="0" applyFont="1" applyBorder="1" applyAlignment="1">
      <alignment horizontal="center" vertical="center"/>
    </xf>
    <xf numFmtId="0" fontId="37" fillId="33" borderId="120" xfId="51" applyFont="1" applyFill="1" applyBorder="1" applyAlignment="1">
      <alignment horizontal="center" vertical="center"/>
    </xf>
    <xf numFmtId="0" fontId="37" fillId="33" borderId="122" xfId="51" applyFont="1" applyFill="1" applyBorder="1" applyAlignment="1">
      <alignment horizontal="center" vertical="center"/>
    </xf>
    <xf numFmtId="0" fontId="37" fillId="33" borderId="16" xfId="51" applyFont="1" applyFill="1" applyBorder="1" applyAlignment="1">
      <alignment horizontal="center" vertical="center"/>
    </xf>
    <xf numFmtId="0" fontId="37" fillId="33" borderId="77" xfId="51" applyFont="1" applyFill="1" applyBorder="1" applyAlignment="1">
      <alignment horizontal="center" vertical="center"/>
    </xf>
    <xf numFmtId="0" fontId="37" fillId="35" borderId="137" xfId="33840" applyFont="1" applyFill="1" applyBorder="1" applyAlignment="1">
      <alignment horizontal="center" vertical="center"/>
    </xf>
    <xf numFmtId="0" fontId="37" fillId="35" borderId="138" xfId="33840" applyFont="1" applyFill="1" applyBorder="1" applyAlignment="1">
      <alignment horizontal="center" vertical="center"/>
    </xf>
    <xf numFmtId="0" fontId="37" fillId="35" borderId="139" xfId="33840" applyFont="1" applyFill="1" applyBorder="1" applyAlignment="1">
      <alignment horizontal="center" vertical="center"/>
    </xf>
    <xf numFmtId="2" fontId="121" fillId="0" borderId="140" xfId="33840" applyNumberFormat="1" applyFont="1" applyBorder="1" applyAlignment="1">
      <alignment horizontal="center" vertical="center" wrapText="1"/>
    </xf>
    <xf numFmtId="2" fontId="121" fillId="0" borderId="63" xfId="33840" applyNumberFormat="1" applyFont="1" applyBorder="1" applyAlignment="1">
      <alignment horizontal="center" vertical="center" wrapText="1"/>
    </xf>
    <xf numFmtId="0" fontId="28" fillId="0" borderId="73" xfId="33840" applyFont="1" applyBorder="1" applyAlignment="1">
      <alignment horizontal="left" vertical="center" wrapText="1"/>
    </xf>
    <xf numFmtId="0" fontId="28" fillId="0" borderId="127" xfId="33840" applyFont="1" applyBorder="1" applyAlignment="1">
      <alignment horizontal="left" vertical="center" wrapText="1"/>
    </xf>
    <xf numFmtId="0" fontId="28" fillId="0" borderId="128" xfId="33840" applyFont="1" applyBorder="1" applyAlignment="1">
      <alignment horizontal="center" vertical="center" wrapText="1"/>
    </xf>
    <xf numFmtId="0" fontId="119" fillId="0" borderId="119" xfId="33840" applyBorder="1" applyAlignment="1">
      <alignment horizontal="center" vertical="center" wrapText="1"/>
    </xf>
    <xf numFmtId="0" fontId="119" fillId="0" borderId="129" xfId="33840" applyBorder="1" applyAlignment="1">
      <alignment horizontal="center" vertical="center" wrapText="1"/>
    </xf>
    <xf numFmtId="0" fontId="119" fillId="0" borderId="132" xfId="33840" applyBorder="1" applyAlignment="1">
      <alignment horizontal="center" vertical="center" wrapText="1"/>
    </xf>
    <xf numFmtId="0" fontId="119" fillId="0" borderId="133" xfId="33840" applyBorder="1" applyAlignment="1">
      <alignment horizontal="center" vertical="center" wrapText="1"/>
    </xf>
    <xf numFmtId="0" fontId="119" fillId="0" borderId="54" xfId="33840" applyBorder="1" applyAlignment="1">
      <alignment horizontal="center" vertical="center" wrapText="1"/>
    </xf>
    <xf numFmtId="0" fontId="28" fillId="0" borderId="130" xfId="33840" applyFont="1" applyBorder="1" applyAlignment="1">
      <alignment horizontal="left" vertical="center" wrapText="1"/>
    </xf>
    <xf numFmtId="0" fontId="28" fillId="0" borderId="131" xfId="33840" applyFont="1" applyBorder="1" applyAlignment="1">
      <alignment horizontal="left" vertical="center" wrapText="1"/>
    </xf>
    <xf numFmtId="0" fontId="37" fillId="35" borderId="134" xfId="33840" applyFont="1" applyFill="1" applyBorder="1" applyAlignment="1">
      <alignment horizontal="center" vertical="center"/>
    </xf>
    <xf numFmtId="0" fontId="37" fillId="35" borderId="135" xfId="33840" applyFont="1" applyFill="1" applyBorder="1" applyAlignment="1">
      <alignment horizontal="center" vertical="center"/>
    </xf>
    <xf numFmtId="0" fontId="107" fillId="0" borderId="33" xfId="33840" applyFont="1" applyBorder="1" applyAlignment="1">
      <alignment horizontal="center"/>
    </xf>
    <xf numFmtId="0" fontId="107" fillId="0" borderId="31" xfId="33840" applyFont="1" applyBorder="1" applyAlignment="1">
      <alignment horizontal="center"/>
    </xf>
    <xf numFmtId="0" fontId="30" fillId="0" borderId="0" xfId="33840" applyFont="1" applyAlignment="1">
      <alignment horizontal="center"/>
    </xf>
    <xf numFmtId="0" fontId="30" fillId="0" borderId="32" xfId="33840" applyFont="1" applyBorder="1" applyAlignment="1">
      <alignment horizontal="center"/>
    </xf>
    <xf numFmtId="1" fontId="91" fillId="0" borderId="63" xfId="33840" applyNumberFormat="1" applyFont="1" applyBorder="1" applyAlignment="1">
      <alignment horizontal="center" vertical="center"/>
    </xf>
    <xf numFmtId="1" fontId="91" fillId="0" borderId="0" xfId="33840" applyNumberFormat="1" applyFont="1" applyAlignment="1">
      <alignment horizontal="center" vertical="center"/>
    </xf>
    <xf numFmtId="1" fontId="91" fillId="0" borderId="32" xfId="33840" applyNumberFormat="1" applyFont="1" applyBorder="1" applyAlignment="1">
      <alignment horizontal="center" vertical="center"/>
    </xf>
    <xf numFmtId="0" fontId="28" fillId="0" borderId="124" xfId="33840" applyFont="1" applyBorder="1" applyAlignment="1">
      <alignment horizontal="left" vertical="center"/>
    </xf>
    <xf numFmtId="0" fontId="28" fillId="0" borderId="125" xfId="33840" applyFont="1" applyBorder="1" applyAlignment="1">
      <alignment horizontal="left" vertical="center"/>
    </xf>
    <xf numFmtId="0" fontId="28" fillId="0" borderId="73" xfId="33840" applyFont="1" applyBorder="1" applyAlignment="1">
      <alignment horizontal="left" vertical="center"/>
    </xf>
    <xf numFmtId="0" fontId="28" fillId="0" borderId="127" xfId="33840" applyFont="1" applyBorder="1" applyAlignment="1">
      <alignment horizontal="left" vertical="center"/>
    </xf>
    <xf numFmtId="0" fontId="0" fillId="0" borderId="139" xfId="0" applyBorder="1"/>
    <xf numFmtId="0" fontId="37" fillId="35" borderId="73" xfId="33840" applyFont="1" applyFill="1" applyBorder="1" applyAlignment="1">
      <alignment horizontal="center" vertical="center"/>
    </xf>
    <xf numFmtId="0" fontId="37" fillId="35" borderId="71" xfId="33840" applyFont="1" applyFill="1" applyBorder="1" applyAlignment="1">
      <alignment horizontal="center" vertical="center"/>
    </xf>
    <xf numFmtId="0" fontId="37" fillId="35" borderId="137" xfId="33840" applyFont="1" applyFill="1" applyBorder="1" applyAlignment="1">
      <alignment horizontal="center"/>
    </xf>
    <xf numFmtId="0" fontId="37" fillId="35" borderId="139" xfId="33840" applyFont="1" applyFill="1" applyBorder="1" applyAlignment="1">
      <alignment horizontal="center"/>
    </xf>
    <xf numFmtId="0" fontId="37" fillId="35" borderId="145" xfId="33840" applyFont="1" applyFill="1" applyBorder="1" applyAlignment="1">
      <alignment horizontal="center"/>
    </xf>
    <xf numFmtId="0" fontId="37" fillId="35" borderId="146" xfId="33840" applyFont="1" applyFill="1" applyBorder="1" applyAlignment="1">
      <alignment horizontal="center"/>
    </xf>
    <xf numFmtId="0" fontId="37" fillId="35" borderId="144" xfId="33840" applyFont="1" applyFill="1" applyBorder="1" applyAlignment="1">
      <alignment horizontal="center"/>
    </xf>
    <xf numFmtId="0" fontId="37" fillId="35" borderId="30" xfId="33840" applyFont="1" applyFill="1" applyBorder="1" applyAlignment="1">
      <alignment horizontal="center" vertical="center"/>
    </xf>
    <xf numFmtId="0" fontId="37" fillId="35" borderId="33" xfId="33840" applyFont="1" applyFill="1" applyBorder="1" applyAlignment="1">
      <alignment horizontal="center" vertical="center"/>
    </xf>
    <xf numFmtId="2" fontId="119" fillId="0" borderId="0" xfId="33840" applyNumberFormat="1" applyAlignment="1">
      <alignment horizontal="center" vertical="center"/>
    </xf>
    <xf numFmtId="0" fontId="37" fillId="35" borderId="142" xfId="33840" applyFont="1" applyFill="1" applyBorder="1" applyAlignment="1">
      <alignment horizontal="center" vertical="center"/>
    </xf>
    <xf numFmtId="0" fontId="107" fillId="0" borderId="30" xfId="33840" applyFont="1" applyBorder="1" applyAlignment="1">
      <alignment horizontal="center"/>
    </xf>
    <xf numFmtId="0" fontId="30" fillId="0" borderId="63" xfId="33840" applyFont="1" applyBorder="1" applyAlignment="1">
      <alignment horizontal="center"/>
    </xf>
    <xf numFmtId="0" fontId="37" fillId="35" borderId="134" xfId="33840" applyFont="1" applyFill="1" applyBorder="1" applyAlignment="1">
      <alignment horizontal="center"/>
    </xf>
    <xf numFmtId="0" fontId="37" fillId="35" borderId="135" xfId="33840" applyFont="1" applyFill="1" applyBorder="1" applyAlignment="1">
      <alignment horizontal="center"/>
    </xf>
    <xf numFmtId="0" fontId="37" fillId="35" borderId="138" xfId="33840" applyFont="1" applyFill="1" applyBorder="1" applyAlignment="1">
      <alignment horizontal="center"/>
    </xf>
    <xf numFmtId="49" fontId="41" fillId="36" borderId="37" xfId="0" applyNumberFormat="1" applyFont="1" applyFill="1" applyBorder="1" applyAlignment="1">
      <alignment horizontal="center" vertical="center" wrapText="1"/>
    </xf>
    <xf numFmtId="49" fontId="41" fillId="36" borderId="39" xfId="0" applyNumberFormat="1" applyFont="1" applyFill="1" applyBorder="1" applyAlignment="1">
      <alignment horizontal="center" vertical="center" wrapText="1"/>
    </xf>
    <xf numFmtId="49" fontId="41" fillId="36" borderId="38" xfId="0" applyNumberFormat="1" applyFont="1" applyFill="1" applyBorder="1" applyAlignment="1">
      <alignment horizontal="center" vertical="center" wrapText="1"/>
    </xf>
    <xf numFmtId="0" fontId="0" fillId="0" borderId="0" xfId="0" applyAlignment="1">
      <alignment wrapText="1"/>
    </xf>
    <xf numFmtId="0" fontId="34" fillId="0" borderId="57" xfId="46" applyFont="1" applyBorder="1" applyAlignment="1">
      <alignment horizontal="center" vertical="center"/>
    </xf>
    <xf numFmtId="0" fontId="34" fillId="0" borderId="58" xfId="46" applyFont="1" applyBorder="1" applyAlignment="1">
      <alignment horizontal="center" vertical="center"/>
    </xf>
    <xf numFmtId="0" fontId="30" fillId="33" borderId="0" xfId="47" applyFont="1" applyFill="1" applyAlignment="1">
      <alignment horizontal="center" vertical="center" wrapText="1"/>
    </xf>
    <xf numFmtId="0" fontId="36" fillId="33" borderId="0" xfId="47" applyFont="1" applyFill="1" applyAlignment="1">
      <alignment horizontal="left" vertical="center" wrapText="1"/>
    </xf>
    <xf numFmtId="0" fontId="36" fillId="33" borderId="14" xfId="47" applyFont="1" applyFill="1" applyBorder="1" applyAlignment="1">
      <alignment horizontal="left" vertical="center" wrapText="1"/>
    </xf>
    <xf numFmtId="0" fontId="36" fillId="33" borderId="0" xfId="47" applyFont="1" applyFill="1" applyAlignment="1">
      <alignment horizontal="left" vertical="top" wrapText="1"/>
    </xf>
    <xf numFmtId="0" fontId="36" fillId="33" borderId="14" xfId="47" applyFont="1" applyFill="1" applyBorder="1" applyAlignment="1">
      <alignment horizontal="left" vertical="top" wrapText="1"/>
    </xf>
    <xf numFmtId="0" fontId="33" fillId="38" borderId="13" xfId="0" applyFont="1" applyFill="1" applyBorder="1" applyAlignment="1">
      <alignment horizontal="center"/>
    </xf>
    <xf numFmtId="0" fontId="33" fillId="38" borderId="0" xfId="0" applyFont="1" applyFill="1" applyAlignment="1">
      <alignment horizontal="center"/>
    </xf>
    <xf numFmtId="0" fontId="33" fillId="38" borderId="14" xfId="0" applyFont="1" applyFill="1" applyBorder="1" applyAlignment="1">
      <alignment horizontal="center"/>
    </xf>
    <xf numFmtId="0" fontId="34" fillId="0" borderId="70" xfId="46" applyFont="1" applyBorder="1" applyAlignment="1">
      <alignment horizontal="center" vertical="center"/>
    </xf>
    <xf numFmtId="0" fontId="34" fillId="0" borderId="71" xfId="46" applyFont="1" applyBorder="1" applyAlignment="1">
      <alignment horizontal="center" vertical="center"/>
    </xf>
    <xf numFmtId="0" fontId="91" fillId="38" borderId="72" xfId="47" applyFont="1" applyFill="1" applyBorder="1" applyAlignment="1">
      <alignment horizontal="center" vertical="center" wrapText="1"/>
    </xf>
    <xf numFmtId="0" fontId="91" fillId="38" borderId="74" xfId="47" applyFont="1" applyFill="1" applyBorder="1" applyAlignment="1">
      <alignment horizontal="center" vertical="center" wrapText="1"/>
    </xf>
    <xf numFmtId="0" fontId="91" fillId="38" borderId="75" xfId="47" applyFont="1" applyFill="1" applyBorder="1" applyAlignment="1">
      <alignment horizontal="center" vertical="center" wrapText="1"/>
    </xf>
    <xf numFmtId="44" fontId="37" fillId="38" borderId="0" xfId="26673" applyFont="1" applyFill="1" applyBorder="1" applyAlignment="1">
      <alignment horizontal="left" wrapText="1"/>
    </xf>
    <xf numFmtId="44" fontId="37" fillId="38" borderId="14" xfId="26673" applyFont="1" applyFill="1" applyBorder="1" applyAlignment="1">
      <alignment horizontal="left" wrapText="1"/>
    </xf>
    <xf numFmtId="44" fontId="37" fillId="38" borderId="0" xfId="26673" applyFont="1" applyFill="1" applyBorder="1" applyAlignment="1">
      <alignment horizontal="left" vertical="top" wrapText="1"/>
    </xf>
    <xf numFmtId="44" fontId="37" fillId="38" borderId="14" xfId="26673" applyFont="1" applyFill="1" applyBorder="1" applyAlignment="1">
      <alignment horizontal="left" vertical="top" wrapText="1"/>
    </xf>
    <xf numFmtId="0" fontId="30" fillId="38" borderId="70" xfId="0" applyFont="1" applyFill="1" applyBorder="1" applyAlignment="1">
      <alignment horizontal="center" vertical="center"/>
    </xf>
    <xf numFmtId="0" fontId="30" fillId="38" borderId="73" xfId="0" applyFont="1" applyFill="1" applyBorder="1" applyAlignment="1">
      <alignment horizontal="center" vertical="center"/>
    </xf>
    <xf numFmtId="0" fontId="30" fillId="38" borderId="71" xfId="0" applyFont="1" applyFill="1" applyBorder="1" applyAlignment="1">
      <alignment horizontal="center" vertical="center"/>
    </xf>
    <xf numFmtId="0" fontId="84" fillId="38" borderId="0" xfId="0" applyFont="1" applyFill="1" applyAlignment="1">
      <alignment horizontal="center" vertical="center" wrapText="1"/>
    </xf>
    <xf numFmtId="0" fontId="37" fillId="73" borderId="70" xfId="0" applyFont="1" applyFill="1" applyBorder="1" applyAlignment="1">
      <alignment horizontal="center" vertical="center" wrapText="1"/>
    </xf>
    <xf numFmtId="0" fontId="37" fillId="73" borderId="73" xfId="0" applyFont="1" applyFill="1" applyBorder="1" applyAlignment="1">
      <alignment horizontal="center" vertical="center" wrapText="1"/>
    </xf>
    <xf numFmtId="0" fontId="37" fillId="73" borderId="71" xfId="0" applyFont="1" applyFill="1" applyBorder="1" applyAlignment="1">
      <alignment horizontal="center" vertical="center" wrapText="1"/>
    </xf>
    <xf numFmtId="0" fontId="31" fillId="38" borderId="0" xfId="47" applyFont="1" applyFill="1" applyAlignment="1">
      <alignment horizontal="center" vertical="center"/>
    </xf>
    <xf numFmtId="0" fontId="31" fillId="38" borderId="19" xfId="47" applyFont="1" applyFill="1" applyBorder="1" applyAlignment="1">
      <alignment horizontal="center" vertical="center"/>
    </xf>
    <xf numFmtId="49" fontId="28" fillId="0" borderId="61" xfId="47" applyNumberFormat="1" applyBorder="1" applyAlignment="1">
      <alignment horizontal="center" vertical="center"/>
    </xf>
    <xf numFmtId="49" fontId="28" fillId="0" borderId="62" xfId="47" applyNumberFormat="1" applyBorder="1" applyAlignment="1">
      <alignment horizontal="center" vertical="center"/>
    </xf>
    <xf numFmtId="49" fontId="28" fillId="0" borderId="22" xfId="47" applyNumberFormat="1" applyBorder="1" applyAlignment="1">
      <alignment horizontal="center" vertical="center"/>
    </xf>
    <xf numFmtId="0" fontId="28" fillId="38" borderId="0" xfId="44" applyFill="1" applyAlignment="1">
      <alignment horizontal="center" vertical="center"/>
    </xf>
    <xf numFmtId="2" fontId="83" fillId="38" borderId="13" xfId="49" applyFont="1" applyFill="1" applyBorder="1" applyAlignment="1">
      <alignment horizontal="center" vertical="center" wrapText="1"/>
    </xf>
    <xf numFmtId="2" fontId="83" fillId="38" borderId="0" xfId="49" applyFont="1" applyFill="1" applyAlignment="1">
      <alignment horizontal="center" vertical="center" wrapText="1"/>
    </xf>
    <xf numFmtId="2" fontId="83" fillId="38" borderId="14" xfId="49" applyFont="1" applyFill="1" applyBorder="1" applyAlignment="1">
      <alignment horizontal="center" vertical="center" wrapText="1"/>
    </xf>
    <xf numFmtId="2" fontId="28" fillId="38" borderId="13" xfId="49" applyFill="1" applyBorder="1" applyAlignment="1">
      <alignment horizontal="center" wrapText="1"/>
    </xf>
    <xf numFmtId="2" fontId="28" fillId="38" borderId="0" xfId="49" applyFill="1" applyAlignment="1">
      <alignment horizontal="center" wrapText="1"/>
    </xf>
    <xf numFmtId="2" fontId="28" fillId="38" borderId="14" xfId="49" applyFill="1" applyBorder="1" applyAlignment="1">
      <alignment horizontal="center" wrapText="1"/>
    </xf>
    <xf numFmtId="0" fontId="33" fillId="0" borderId="24" xfId="0" applyFont="1" applyBorder="1" applyAlignment="1">
      <alignment horizontal="center" vertical="center"/>
    </xf>
    <xf numFmtId="0" fontId="33" fillId="0" borderId="25" xfId="0" applyFont="1" applyBorder="1" applyAlignment="1">
      <alignment horizontal="center" vertical="center"/>
    </xf>
    <xf numFmtId="2" fontId="28" fillId="38" borderId="13" xfId="49" applyFill="1" applyBorder="1" applyAlignment="1">
      <alignment horizontal="center" vertical="center"/>
    </xf>
    <xf numFmtId="2" fontId="28" fillId="38" borderId="0" xfId="49" applyFill="1" applyAlignment="1">
      <alignment horizontal="center" vertical="center"/>
    </xf>
    <xf numFmtId="2" fontId="28" fillId="38" borderId="14" xfId="49" applyFill="1" applyBorder="1" applyAlignment="1">
      <alignment horizontal="center" vertical="center"/>
    </xf>
    <xf numFmtId="0" fontId="40" fillId="38" borderId="13" xfId="50" applyFont="1" applyFill="1" applyBorder="1" applyAlignment="1">
      <alignment horizontal="center"/>
    </xf>
    <xf numFmtId="0" fontId="40" fillId="38" borderId="0" xfId="50" applyFont="1" applyFill="1" applyAlignment="1">
      <alignment horizontal="center"/>
    </xf>
    <xf numFmtId="0" fontId="40" fillId="38" borderId="14" xfId="50" applyFont="1" applyFill="1" applyBorder="1" applyAlignment="1">
      <alignment horizontal="center"/>
    </xf>
    <xf numFmtId="0" fontId="33" fillId="0" borderId="11" xfId="0" applyFont="1" applyBorder="1" applyAlignment="1">
      <alignment horizontal="center" vertical="center"/>
    </xf>
    <xf numFmtId="0" fontId="33" fillId="0" borderId="12" xfId="0" applyFont="1" applyBorder="1" applyAlignment="1">
      <alignment horizontal="center" vertical="center"/>
    </xf>
    <xf numFmtId="0" fontId="33" fillId="0" borderId="17" xfId="0" applyFont="1" applyBorder="1" applyAlignment="1">
      <alignment horizontal="center" vertical="center"/>
    </xf>
    <xf numFmtId="0" fontId="33" fillId="0" borderId="18" xfId="0" applyFont="1" applyBorder="1" applyAlignment="1">
      <alignment horizontal="center" vertical="center"/>
    </xf>
    <xf numFmtId="0" fontId="33" fillId="0" borderId="10" xfId="0" applyFont="1" applyBorder="1" applyAlignment="1">
      <alignment horizontal="center" vertical="center"/>
    </xf>
    <xf numFmtId="0" fontId="33" fillId="0" borderId="16" xfId="0" applyFont="1" applyBorder="1" applyAlignment="1">
      <alignment horizontal="center" vertical="center"/>
    </xf>
    <xf numFmtId="0" fontId="114" fillId="0" borderId="0" xfId="33839" applyFont="1" applyAlignment="1">
      <alignment horizontal="left" vertical="top" wrapText="1" indent="1"/>
    </xf>
    <xf numFmtId="0" fontId="112" fillId="0" borderId="0" xfId="33839" applyAlignment="1">
      <alignment horizontal="left" vertical="top" wrapText="1" indent="1"/>
    </xf>
    <xf numFmtId="0" fontId="117" fillId="0" borderId="64" xfId="0" applyFont="1" applyBorder="1" applyAlignment="1">
      <alignment horizontal="center"/>
    </xf>
    <xf numFmtId="0" fontId="117" fillId="0" borderId="96" xfId="0" applyFont="1" applyBorder="1" applyAlignment="1">
      <alignment horizontal="center"/>
    </xf>
    <xf numFmtId="0" fontId="36" fillId="38" borderId="63" xfId="0" applyFont="1" applyFill="1" applyBorder="1" applyAlignment="1">
      <alignment horizontal="center" vertical="center" wrapText="1"/>
    </xf>
    <xf numFmtId="0" fontId="36" fillId="38" borderId="0" xfId="0" applyFont="1" applyFill="1" applyAlignment="1">
      <alignment horizontal="center" vertical="center" wrapText="1"/>
    </xf>
    <xf numFmtId="0" fontId="36" fillId="38" borderId="81" xfId="0" applyFont="1" applyFill="1" applyBorder="1" applyAlignment="1">
      <alignment horizontal="center" vertical="center" wrapText="1"/>
    </xf>
    <xf numFmtId="0" fontId="36" fillId="38" borderId="19" xfId="0" applyFont="1" applyFill="1" applyBorder="1" applyAlignment="1">
      <alignment horizontal="center" vertical="center" wrapText="1"/>
    </xf>
    <xf numFmtId="0" fontId="31" fillId="38" borderId="30" xfId="0" applyFont="1" applyFill="1" applyBorder="1" applyAlignment="1">
      <alignment horizontal="center" vertical="center" wrapText="1"/>
    </xf>
    <xf numFmtId="0" fontId="31" fillId="38" borderId="33" xfId="0" applyFont="1" applyFill="1" applyBorder="1" applyAlignment="1">
      <alignment horizontal="center" vertical="center" wrapText="1"/>
    </xf>
    <xf numFmtId="0" fontId="31" fillId="38" borderId="31" xfId="0" applyFont="1" applyFill="1" applyBorder="1" applyAlignment="1">
      <alignment horizontal="center" vertical="center" wrapText="1"/>
    </xf>
    <xf numFmtId="0" fontId="31" fillId="38" borderId="63" xfId="0" applyFont="1" applyFill="1" applyBorder="1" applyAlignment="1">
      <alignment horizontal="center" vertical="center" wrapText="1"/>
    </xf>
    <xf numFmtId="0" fontId="31" fillId="38" borderId="0" xfId="0" applyFont="1" applyFill="1" applyAlignment="1">
      <alignment horizontal="center" vertical="center" wrapText="1"/>
    </xf>
    <xf numFmtId="0" fontId="31" fillId="38" borderId="32" xfId="0" applyFont="1" applyFill="1" applyBorder="1" applyAlignment="1">
      <alignment horizontal="center" vertical="center" wrapText="1"/>
    </xf>
    <xf numFmtId="0" fontId="31" fillId="38" borderId="76" xfId="0" applyFont="1" applyFill="1" applyBorder="1" applyAlignment="1">
      <alignment horizontal="center" vertical="center"/>
    </xf>
    <xf numFmtId="0" fontId="31" fillId="38" borderId="69" xfId="0" applyFont="1" applyFill="1" applyBorder="1" applyAlignment="1">
      <alignment horizontal="center" vertical="center"/>
    </xf>
    <xf numFmtId="0" fontId="31" fillId="38" borderId="78" xfId="0" applyFont="1" applyFill="1" applyBorder="1" applyAlignment="1">
      <alignment horizontal="center" vertical="center"/>
    </xf>
    <xf numFmtId="0" fontId="0" fillId="0" borderId="0" xfId="0" quotePrefix="1" applyAlignment="1">
      <alignment horizontal="center" vertical="center" wrapText="1"/>
    </xf>
    <xf numFmtId="0" fontId="1" fillId="0" borderId="69" xfId="0" applyFont="1" applyBorder="1" applyAlignment="1">
      <alignment vertical="center" wrapText="1"/>
    </xf>
    <xf numFmtId="0" fontId="28" fillId="0" borderId="86" xfId="0" applyFont="1" applyFill="1" applyBorder="1" applyAlignment="1">
      <alignment horizontal="center" vertical="center" wrapText="1"/>
    </xf>
    <xf numFmtId="0" fontId="28" fillId="0" borderId="86" xfId="47" applyFill="1" applyBorder="1" applyAlignment="1">
      <alignment horizontal="justify" vertical="center" wrapText="1"/>
    </xf>
    <xf numFmtId="0" fontId="28" fillId="0" borderId="86" xfId="47" applyFill="1" applyBorder="1" applyAlignment="1">
      <alignment horizontal="center" vertical="center"/>
    </xf>
    <xf numFmtId="0" fontId="71" fillId="0" borderId="0" xfId="0" applyFont="1" applyAlignment="1">
      <alignment vertical="center" wrapText="1"/>
    </xf>
    <xf numFmtId="0" fontId="1" fillId="0" borderId="69" xfId="0" applyFont="1" applyBorder="1" applyAlignment="1">
      <alignment horizontal="center" vertical="center"/>
    </xf>
    <xf numFmtId="44" fontId="28" fillId="38" borderId="26" xfId="0" applyNumberFormat="1" applyFont="1" applyFill="1" applyBorder="1" applyAlignment="1">
      <alignment horizontal="left" vertical="center"/>
    </xf>
    <xf numFmtId="10" fontId="28" fillId="0" borderId="0" xfId="26673" applyNumberFormat="1" applyFont="1" applyAlignment="1"/>
    <xf numFmtId="0" fontId="28" fillId="38" borderId="155" xfId="44" applyFill="1" applyBorder="1" applyAlignment="1">
      <alignment vertical="center"/>
    </xf>
    <xf numFmtId="0" fontId="28" fillId="38" borderId="150" xfId="44" applyFill="1" applyBorder="1" applyAlignment="1">
      <alignment vertical="center"/>
    </xf>
    <xf numFmtId="0" fontId="28" fillId="38" borderId="92" xfId="44" applyFill="1" applyBorder="1" applyAlignment="1">
      <alignment vertical="center"/>
    </xf>
    <xf numFmtId="0" fontId="84" fillId="38" borderId="160" xfId="0" applyFont="1" applyFill="1" applyBorder="1" applyAlignment="1">
      <alignment vertical="center" wrapText="1"/>
    </xf>
    <xf numFmtId="0" fontId="84" fillId="38" borderId="161" xfId="0" applyFont="1" applyFill="1" applyBorder="1" applyAlignment="1">
      <alignment vertical="center" wrapText="1"/>
    </xf>
    <xf numFmtId="0" fontId="84" fillId="38" borderId="162" xfId="0" applyFont="1" applyFill="1" applyBorder="1" applyAlignment="1">
      <alignment vertical="center" wrapText="1"/>
    </xf>
    <xf numFmtId="0" fontId="48" fillId="85" borderId="157" xfId="47" applyFont="1" applyFill="1" applyBorder="1" applyAlignment="1">
      <alignment horizontal="center" vertical="center"/>
    </xf>
    <xf numFmtId="0" fontId="28" fillId="0" borderId="155" xfId="47" applyBorder="1" applyAlignment="1">
      <alignment horizontal="center" vertical="center"/>
    </xf>
    <xf numFmtId="0" fontId="48" fillId="85" borderId="158" xfId="47" applyFont="1" applyFill="1" applyBorder="1" applyAlignment="1">
      <alignment horizontal="center" vertical="center" wrapText="1"/>
    </xf>
    <xf numFmtId="0" fontId="28" fillId="0" borderId="150" xfId="0" applyFont="1" applyBorder="1" applyAlignment="1">
      <alignment horizontal="center" vertical="center" wrapText="1"/>
    </xf>
    <xf numFmtId="0" fontId="71" fillId="0" borderId="86" xfId="0" applyFont="1" applyBorder="1" applyAlignment="1">
      <alignment wrapText="1"/>
    </xf>
    <xf numFmtId="0" fontId="37" fillId="86" borderId="0" xfId="47" applyFont="1" applyFill="1" applyBorder="1" applyAlignment="1">
      <alignment horizontal="left" vertical="center" wrapText="1"/>
    </xf>
    <xf numFmtId="0" fontId="37" fillId="0" borderId="150" xfId="0" applyFont="1" applyBorder="1" applyAlignment="1">
      <alignment horizontal="center" vertical="center" wrapText="1"/>
    </xf>
    <xf numFmtId="0" fontId="28" fillId="0" borderId="0" xfId="47" applyBorder="1" applyAlignment="1">
      <alignment horizontal="justify" vertical="center" wrapText="1"/>
    </xf>
    <xf numFmtId="0" fontId="48" fillId="85" borderId="158" xfId="47" applyFont="1" applyFill="1" applyBorder="1" applyAlignment="1">
      <alignment horizontal="center" vertical="center"/>
    </xf>
    <xf numFmtId="0" fontId="28" fillId="0" borderId="150" xfId="47" applyBorder="1" applyAlignment="1">
      <alignment horizontal="center" vertical="center"/>
    </xf>
    <xf numFmtId="43" fontId="48" fillId="85" borderId="158" xfId="1" applyFont="1" applyFill="1" applyBorder="1" applyAlignment="1">
      <alignment horizontal="center" vertical="center"/>
    </xf>
    <xf numFmtId="43" fontId="28" fillId="0" borderId="150" xfId="1" applyFont="1" applyFill="1" applyBorder="1" applyAlignment="1">
      <alignment horizontal="right" vertical="center"/>
    </xf>
    <xf numFmtId="44" fontId="48" fillId="85" borderId="158" xfId="26673" applyFont="1" applyFill="1" applyBorder="1" applyAlignment="1">
      <alignment horizontal="center" vertical="center" wrapText="1"/>
    </xf>
    <xf numFmtId="44" fontId="28" fillId="0" borderId="92" xfId="26673" applyFont="1" applyFill="1" applyBorder="1" applyAlignment="1">
      <alignment horizontal="right" vertical="center"/>
    </xf>
    <xf numFmtId="44" fontId="48" fillId="85" borderId="159" xfId="26673" applyFont="1" applyFill="1" applyBorder="1" applyAlignment="1">
      <alignment horizontal="center" vertical="center" wrapText="1"/>
    </xf>
    <xf numFmtId="0" fontId="28" fillId="89" borderId="114" xfId="47" quotePrefix="1" applyFill="1" applyBorder="1" applyAlignment="1">
      <alignment horizontal="center" vertical="center"/>
    </xf>
    <xf numFmtId="0" fontId="28" fillId="89" borderId="86" xfId="0" applyFont="1" applyFill="1" applyBorder="1" applyAlignment="1">
      <alignment horizontal="center" vertical="center" wrapText="1"/>
    </xf>
    <xf numFmtId="0" fontId="28" fillId="89" borderId="86" xfId="0" quotePrefix="1" applyFont="1" applyFill="1" applyBorder="1" applyAlignment="1">
      <alignment horizontal="center" vertical="center" wrapText="1"/>
    </xf>
    <xf numFmtId="0" fontId="28" fillId="89" borderId="86" xfId="47" applyFill="1" applyBorder="1" applyAlignment="1">
      <alignment horizontal="justify" vertical="center" wrapText="1"/>
    </xf>
    <xf numFmtId="0" fontId="28" fillId="89" borderId="86" xfId="47" applyFill="1" applyBorder="1" applyAlignment="1">
      <alignment horizontal="center" vertical="center"/>
    </xf>
    <xf numFmtId="43" fontId="28" fillId="89" borderId="86" xfId="1" applyFont="1" applyFill="1" applyBorder="1" applyAlignment="1">
      <alignment horizontal="right" vertical="center"/>
    </xf>
    <xf numFmtId="44" fontId="28" fillId="89" borderId="86" xfId="26673" applyFont="1" applyFill="1" applyBorder="1" applyAlignment="1">
      <alignment horizontal="right" vertical="center"/>
    </xf>
    <xf numFmtId="10" fontId="28" fillId="89" borderId="115" xfId="2" applyNumberFormat="1" applyFont="1" applyFill="1" applyBorder="1" applyAlignment="1">
      <alignment horizontal="right" vertical="center"/>
    </xf>
    <xf numFmtId="43" fontId="0" fillId="0" borderId="0" xfId="0" applyNumberFormat="1" applyAlignment="1">
      <alignment vertical="center"/>
    </xf>
    <xf numFmtId="0" fontId="28" fillId="0" borderId="114" xfId="47" quotePrefix="1" applyFill="1" applyBorder="1" applyAlignment="1">
      <alignment horizontal="center" vertical="center"/>
    </xf>
    <xf numFmtId="0" fontId="28" fillId="0" borderId="86" xfId="0" quotePrefix="1" applyFont="1" applyFill="1" applyBorder="1" applyAlignment="1">
      <alignment horizontal="center" vertical="center" wrapText="1"/>
    </xf>
    <xf numFmtId="0" fontId="71" fillId="0" borderId="86" xfId="0" applyFont="1" applyFill="1" applyBorder="1" applyAlignment="1">
      <alignment vertical="center" wrapText="1"/>
    </xf>
    <xf numFmtId="43" fontId="0" fillId="0" borderId="0" xfId="0" applyNumberFormat="1" applyAlignment="1">
      <alignment horizontal="center" vertical="center"/>
    </xf>
    <xf numFmtId="43" fontId="28" fillId="0" borderId="0" xfId="51" applyNumberFormat="1" applyAlignment="1"/>
  </cellXfs>
  <cellStyles count="33841">
    <cellStyle name="_x000d__x000a_JournalTemplate=C:\COMFO\CTALK\JOURSTD.TPL_x000d__x000a_LbStateAddress=3 3 0 251 1 89 2 311_x000d__x000a_LbStateJou" xfId="26676" xr:uid="{00000000-0005-0000-0000-000000000000}"/>
    <cellStyle name="20% - Accent1" xfId="63" xr:uid="{00000000-0005-0000-0000-000001000000}"/>
    <cellStyle name="20% - Accent1 2" xfId="22711" xr:uid="{00000000-0005-0000-0000-000002000000}"/>
    <cellStyle name="20% - Accent1 3" xfId="2537" xr:uid="{00000000-0005-0000-0000-000003000000}"/>
    <cellStyle name="20% - Accent2" xfId="64" xr:uid="{00000000-0005-0000-0000-000004000000}"/>
    <cellStyle name="20% - Accent2 2" xfId="22712" xr:uid="{00000000-0005-0000-0000-000005000000}"/>
    <cellStyle name="20% - Accent2 3" xfId="2541" xr:uid="{00000000-0005-0000-0000-000006000000}"/>
    <cellStyle name="20% - Accent3" xfId="65" xr:uid="{00000000-0005-0000-0000-000007000000}"/>
    <cellStyle name="20% - Accent3 2" xfId="22713" xr:uid="{00000000-0005-0000-0000-000008000000}"/>
    <cellStyle name="20% - Accent3 3" xfId="2545" xr:uid="{00000000-0005-0000-0000-000009000000}"/>
    <cellStyle name="20% - Accent4" xfId="66" xr:uid="{00000000-0005-0000-0000-00000A000000}"/>
    <cellStyle name="20% - Accent4 2" xfId="22714" xr:uid="{00000000-0005-0000-0000-00000B000000}"/>
    <cellStyle name="20% - Accent4 3" xfId="2549" xr:uid="{00000000-0005-0000-0000-00000C000000}"/>
    <cellStyle name="20% - Accent5" xfId="67" xr:uid="{00000000-0005-0000-0000-00000D000000}"/>
    <cellStyle name="20% - Accent5 2" xfId="22715" xr:uid="{00000000-0005-0000-0000-00000E000000}"/>
    <cellStyle name="20% - Accent5 3" xfId="2553" xr:uid="{00000000-0005-0000-0000-00000F000000}"/>
    <cellStyle name="20% - Accent6" xfId="68" xr:uid="{00000000-0005-0000-0000-000010000000}"/>
    <cellStyle name="20% - Accent6 2" xfId="22716" xr:uid="{00000000-0005-0000-0000-000011000000}"/>
    <cellStyle name="20% - Accent6 3" xfId="2557" xr:uid="{00000000-0005-0000-0000-000012000000}"/>
    <cellStyle name="20% - Cor1 2" xfId="69" xr:uid="{00000000-0005-0000-0000-000013000000}"/>
    <cellStyle name="20% - Cor1 2 2" xfId="2051" xr:uid="{00000000-0005-0000-0000-000014000000}"/>
    <cellStyle name="20% - Cor1 2 2 2" xfId="26567" xr:uid="{00000000-0005-0000-0000-000015000000}"/>
    <cellStyle name="20% - Cor1 2 3" xfId="26211" xr:uid="{00000000-0005-0000-0000-000016000000}"/>
    <cellStyle name="20% - Cor2 2" xfId="70" xr:uid="{00000000-0005-0000-0000-000017000000}"/>
    <cellStyle name="20% - Cor2 2 2" xfId="2052" xr:uid="{00000000-0005-0000-0000-000018000000}"/>
    <cellStyle name="20% - Cor2 2 2 2" xfId="26568" xr:uid="{00000000-0005-0000-0000-000019000000}"/>
    <cellStyle name="20% - Cor2 2 3" xfId="26212" xr:uid="{00000000-0005-0000-0000-00001A000000}"/>
    <cellStyle name="20% - Cor3 2" xfId="71" xr:uid="{00000000-0005-0000-0000-00001B000000}"/>
    <cellStyle name="20% - Cor3 2 2" xfId="2053" xr:uid="{00000000-0005-0000-0000-00001C000000}"/>
    <cellStyle name="20% - Cor3 2 2 2" xfId="26569" xr:uid="{00000000-0005-0000-0000-00001D000000}"/>
    <cellStyle name="20% - Cor3 2 3" xfId="26213" xr:uid="{00000000-0005-0000-0000-00001E000000}"/>
    <cellStyle name="20% - Cor4 2" xfId="72" xr:uid="{00000000-0005-0000-0000-00001F000000}"/>
    <cellStyle name="20% - Cor4 2 2" xfId="2054" xr:uid="{00000000-0005-0000-0000-000020000000}"/>
    <cellStyle name="20% - Cor4 2 2 2" xfId="26570" xr:uid="{00000000-0005-0000-0000-000021000000}"/>
    <cellStyle name="20% - Cor4 2 3" xfId="26214" xr:uid="{00000000-0005-0000-0000-000022000000}"/>
    <cellStyle name="20% - Cor5 2" xfId="73" xr:uid="{00000000-0005-0000-0000-000023000000}"/>
    <cellStyle name="20% - Cor5 2 2" xfId="2055" xr:uid="{00000000-0005-0000-0000-000024000000}"/>
    <cellStyle name="20% - Cor5 2 2 2" xfId="26571" xr:uid="{00000000-0005-0000-0000-000025000000}"/>
    <cellStyle name="20% - Cor5 2 3" xfId="26215" xr:uid="{00000000-0005-0000-0000-000026000000}"/>
    <cellStyle name="20% - Cor6 2" xfId="74" xr:uid="{00000000-0005-0000-0000-000027000000}"/>
    <cellStyle name="20% - Cor6 2 2" xfId="2056" xr:uid="{00000000-0005-0000-0000-000028000000}"/>
    <cellStyle name="20% - Cor6 2 2 2" xfId="26572" xr:uid="{00000000-0005-0000-0000-000029000000}"/>
    <cellStyle name="20% - Cor6 2 3" xfId="26216" xr:uid="{00000000-0005-0000-0000-00002A000000}"/>
    <cellStyle name="20% - Ênfase1" xfId="20" builtinId="30" customBuiltin="1"/>
    <cellStyle name="20% - Ênfase1 100" xfId="26195" xr:uid="{00000000-0005-0000-0000-00002C000000}"/>
    <cellStyle name="20% - Ênfase1 2" xfId="75" xr:uid="{00000000-0005-0000-0000-00002D000000}"/>
    <cellStyle name="20% - Ênfase1 2 2" xfId="76" xr:uid="{00000000-0005-0000-0000-00002E000000}"/>
    <cellStyle name="20% - Ênfase1 2 2 2" xfId="77" xr:uid="{00000000-0005-0000-0000-00002F000000}"/>
    <cellStyle name="20% - Ênfase1 2 2 2 2" xfId="78" xr:uid="{00000000-0005-0000-0000-000030000000}"/>
    <cellStyle name="20% - Ênfase1 2 2 3" xfId="79" xr:uid="{00000000-0005-0000-0000-000031000000}"/>
    <cellStyle name="20% - Ênfase1 2 3" xfId="80" xr:uid="{00000000-0005-0000-0000-000032000000}"/>
    <cellStyle name="20% - Ênfase1 2 3 2" xfId="81" xr:uid="{00000000-0005-0000-0000-000033000000}"/>
    <cellStyle name="20% - Ênfase1 2 4" xfId="82" xr:uid="{00000000-0005-0000-0000-000034000000}"/>
    <cellStyle name="20% - Ênfase2" xfId="24" builtinId="34" customBuiltin="1"/>
    <cellStyle name="20% - Ênfase2 2" xfId="83" xr:uid="{00000000-0005-0000-0000-000036000000}"/>
    <cellStyle name="20% - Ênfase2 2 2" xfId="84" xr:uid="{00000000-0005-0000-0000-000037000000}"/>
    <cellStyle name="20% - Ênfase2 2 2 2" xfId="85" xr:uid="{00000000-0005-0000-0000-000038000000}"/>
    <cellStyle name="20% - Ênfase2 2 2 2 2" xfId="86" xr:uid="{00000000-0005-0000-0000-000039000000}"/>
    <cellStyle name="20% - Ênfase2 2 2 3" xfId="87" xr:uid="{00000000-0005-0000-0000-00003A000000}"/>
    <cellStyle name="20% - Ênfase2 2 3" xfId="88" xr:uid="{00000000-0005-0000-0000-00003B000000}"/>
    <cellStyle name="20% - Ênfase2 2 3 2" xfId="89" xr:uid="{00000000-0005-0000-0000-00003C000000}"/>
    <cellStyle name="20% - Ênfase2 2 4" xfId="90" xr:uid="{00000000-0005-0000-0000-00003D000000}"/>
    <cellStyle name="20% - Ênfase3" xfId="28" builtinId="38" customBuiltin="1"/>
    <cellStyle name="20% - Ênfase3 2" xfId="91" xr:uid="{00000000-0005-0000-0000-00003F000000}"/>
    <cellStyle name="20% - Ênfase3 2 2" xfId="92" xr:uid="{00000000-0005-0000-0000-000040000000}"/>
    <cellStyle name="20% - Ênfase3 2 2 2" xfId="93" xr:uid="{00000000-0005-0000-0000-000041000000}"/>
    <cellStyle name="20% - Ênfase3 2 2 2 2" xfId="94" xr:uid="{00000000-0005-0000-0000-000042000000}"/>
    <cellStyle name="20% - Ênfase3 2 2 3" xfId="95" xr:uid="{00000000-0005-0000-0000-000043000000}"/>
    <cellStyle name="20% - Ênfase3 2 3" xfId="96" xr:uid="{00000000-0005-0000-0000-000044000000}"/>
    <cellStyle name="20% - Ênfase3 2 3 2" xfId="97" xr:uid="{00000000-0005-0000-0000-000045000000}"/>
    <cellStyle name="20% - Ênfase3 2 4" xfId="98" xr:uid="{00000000-0005-0000-0000-000046000000}"/>
    <cellStyle name="20% - Ênfase4" xfId="32" builtinId="42" customBuiltin="1"/>
    <cellStyle name="20% - Ênfase4 2" xfId="99" xr:uid="{00000000-0005-0000-0000-000048000000}"/>
    <cellStyle name="20% - Ênfase4 2 2" xfId="100" xr:uid="{00000000-0005-0000-0000-000049000000}"/>
    <cellStyle name="20% - Ênfase4 2 2 2" xfId="101" xr:uid="{00000000-0005-0000-0000-00004A000000}"/>
    <cellStyle name="20% - Ênfase4 2 2 2 2" xfId="102" xr:uid="{00000000-0005-0000-0000-00004B000000}"/>
    <cellStyle name="20% - Ênfase4 2 2 3" xfId="103" xr:uid="{00000000-0005-0000-0000-00004C000000}"/>
    <cellStyle name="20% - Ênfase4 2 3" xfId="104" xr:uid="{00000000-0005-0000-0000-00004D000000}"/>
    <cellStyle name="20% - Ênfase4 2 3 2" xfId="105" xr:uid="{00000000-0005-0000-0000-00004E000000}"/>
    <cellStyle name="20% - Ênfase4 2 4" xfId="106" xr:uid="{00000000-0005-0000-0000-00004F000000}"/>
    <cellStyle name="20% - Ênfase5" xfId="36" builtinId="46" customBuiltin="1"/>
    <cellStyle name="20% - Ênfase5 2" xfId="107" xr:uid="{00000000-0005-0000-0000-000051000000}"/>
    <cellStyle name="20% - Ênfase5 2 2" xfId="108" xr:uid="{00000000-0005-0000-0000-000052000000}"/>
    <cellStyle name="20% - Ênfase5 2 2 2" xfId="109" xr:uid="{00000000-0005-0000-0000-000053000000}"/>
    <cellStyle name="20% - Ênfase5 2 2 2 2" xfId="110" xr:uid="{00000000-0005-0000-0000-000054000000}"/>
    <cellStyle name="20% - Ênfase5 2 2 3" xfId="111" xr:uid="{00000000-0005-0000-0000-000055000000}"/>
    <cellStyle name="20% - Ênfase5 2 3" xfId="112" xr:uid="{00000000-0005-0000-0000-000056000000}"/>
    <cellStyle name="20% - Ênfase5 2 3 2" xfId="113" xr:uid="{00000000-0005-0000-0000-000057000000}"/>
    <cellStyle name="20% - Ênfase5 2 4" xfId="114" xr:uid="{00000000-0005-0000-0000-000058000000}"/>
    <cellStyle name="20% - Ênfase6" xfId="40" builtinId="50" customBuiltin="1"/>
    <cellStyle name="20% - Ênfase6 2" xfId="115" xr:uid="{00000000-0005-0000-0000-00005A000000}"/>
    <cellStyle name="20% - Ênfase6 2 2" xfId="116" xr:uid="{00000000-0005-0000-0000-00005B000000}"/>
    <cellStyle name="20% - Ênfase6 2 2 2" xfId="117" xr:uid="{00000000-0005-0000-0000-00005C000000}"/>
    <cellStyle name="20% - Ênfase6 2 2 2 2" xfId="118" xr:uid="{00000000-0005-0000-0000-00005D000000}"/>
    <cellStyle name="20% - Ênfase6 2 2 3" xfId="119" xr:uid="{00000000-0005-0000-0000-00005E000000}"/>
    <cellStyle name="20% - Ênfase6 2 3" xfId="120" xr:uid="{00000000-0005-0000-0000-00005F000000}"/>
    <cellStyle name="20% - Ênfase6 2 3 2" xfId="121" xr:uid="{00000000-0005-0000-0000-000060000000}"/>
    <cellStyle name="20% - Ênfase6 2 4" xfId="122" xr:uid="{00000000-0005-0000-0000-000061000000}"/>
    <cellStyle name="40% - Accent1" xfId="123" xr:uid="{00000000-0005-0000-0000-000062000000}"/>
    <cellStyle name="40% - Accent1 2" xfId="22717" xr:uid="{00000000-0005-0000-0000-000063000000}"/>
    <cellStyle name="40% - Accent1 3" xfId="2538" xr:uid="{00000000-0005-0000-0000-000064000000}"/>
    <cellStyle name="40% - Accent2" xfId="124" xr:uid="{00000000-0005-0000-0000-000065000000}"/>
    <cellStyle name="40% - Accent2 2" xfId="22718" xr:uid="{00000000-0005-0000-0000-000066000000}"/>
    <cellStyle name="40% - Accent2 3" xfId="2542" xr:uid="{00000000-0005-0000-0000-000067000000}"/>
    <cellStyle name="40% - Accent3" xfId="125" xr:uid="{00000000-0005-0000-0000-000068000000}"/>
    <cellStyle name="40% - Accent3 2" xfId="22719" xr:uid="{00000000-0005-0000-0000-000069000000}"/>
    <cellStyle name="40% - Accent3 3" xfId="2546" xr:uid="{00000000-0005-0000-0000-00006A000000}"/>
    <cellStyle name="40% - Accent4" xfId="126" xr:uid="{00000000-0005-0000-0000-00006B000000}"/>
    <cellStyle name="40% - Accent4 2" xfId="22720" xr:uid="{00000000-0005-0000-0000-00006C000000}"/>
    <cellStyle name="40% - Accent4 3" xfId="2550" xr:uid="{00000000-0005-0000-0000-00006D000000}"/>
    <cellStyle name="40% - Accent5" xfId="127" xr:uid="{00000000-0005-0000-0000-00006E000000}"/>
    <cellStyle name="40% - Accent5 2" xfId="22721" xr:uid="{00000000-0005-0000-0000-00006F000000}"/>
    <cellStyle name="40% - Accent5 3" xfId="2554" xr:uid="{00000000-0005-0000-0000-000070000000}"/>
    <cellStyle name="40% - Accent6" xfId="128" xr:uid="{00000000-0005-0000-0000-000071000000}"/>
    <cellStyle name="40% - Accent6 2" xfId="22722" xr:uid="{00000000-0005-0000-0000-000072000000}"/>
    <cellStyle name="40% - Accent6 3" xfId="2558" xr:uid="{00000000-0005-0000-0000-000073000000}"/>
    <cellStyle name="40% - Cor1 2" xfId="129" xr:uid="{00000000-0005-0000-0000-000074000000}"/>
    <cellStyle name="40% - Cor1 2 2" xfId="2057" xr:uid="{00000000-0005-0000-0000-000075000000}"/>
    <cellStyle name="40% - Cor1 2 2 2" xfId="26573" xr:uid="{00000000-0005-0000-0000-000076000000}"/>
    <cellStyle name="40% - Cor1 2 3" xfId="26217" xr:uid="{00000000-0005-0000-0000-000077000000}"/>
    <cellStyle name="40% - Cor2 2" xfId="130" xr:uid="{00000000-0005-0000-0000-000078000000}"/>
    <cellStyle name="40% - Cor2 2 2" xfId="2058" xr:uid="{00000000-0005-0000-0000-000079000000}"/>
    <cellStyle name="40% - Cor2 2 2 2" xfId="26574" xr:uid="{00000000-0005-0000-0000-00007A000000}"/>
    <cellStyle name="40% - Cor2 2 3" xfId="26218" xr:uid="{00000000-0005-0000-0000-00007B000000}"/>
    <cellStyle name="40% - Cor3 2" xfId="131" xr:uid="{00000000-0005-0000-0000-00007C000000}"/>
    <cellStyle name="40% - Cor3 2 2" xfId="2059" xr:uid="{00000000-0005-0000-0000-00007D000000}"/>
    <cellStyle name="40% - Cor3 2 2 2" xfId="26575" xr:uid="{00000000-0005-0000-0000-00007E000000}"/>
    <cellStyle name="40% - Cor3 2 3" xfId="26219" xr:uid="{00000000-0005-0000-0000-00007F000000}"/>
    <cellStyle name="40% - Cor4 2" xfId="132" xr:uid="{00000000-0005-0000-0000-000080000000}"/>
    <cellStyle name="40% - Cor4 2 2" xfId="2060" xr:uid="{00000000-0005-0000-0000-000081000000}"/>
    <cellStyle name="40% - Cor4 2 2 2" xfId="26576" xr:uid="{00000000-0005-0000-0000-000082000000}"/>
    <cellStyle name="40% - Cor4 2 3" xfId="26220" xr:uid="{00000000-0005-0000-0000-000083000000}"/>
    <cellStyle name="40% - Cor5 2" xfId="133" xr:uid="{00000000-0005-0000-0000-000084000000}"/>
    <cellStyle name="40% - Cor5 2 2" xfId="2061" xr:uid="{00000000-0005-0000-0000-000085000000}"/>
    <cellStyle name="40% - Cor5 2 2 2" xfId="26577" xr:uid="{00000000-0005-0000-0000-000086000000}"/>
    <cellStyle name="40% - Cor5 2 3" xfId="26221" xr:uid="{00000000-0005-0000-0000-000087000000}"/>
    <cellStyle name="40% - Cor6 2" xfId="134" xr:uid="{00000000-0005-0000-0000-000088000000}"/>
    <cellStyle name="40% - Cor6 2 2" xfId="2062" xr:uid="{00000000-0005-0000-0000-000089000000}"/>
    <cellStyle name="40% - Cor6 2 2 2" xfId="26578" xr:uid="{00000000-0005-0000-0000-00008A000000}"/>
    <cellStyle name="40% - Cor6 2 3" xfId="26222" xr:uid="{00000000-0005-0000-0000-00008B000000}"/>
    <cellStyle name="40% - Ênfase1" xfId="21" builtinId="31" customBuiltin="1"/>
    <cellStyle name="40% - Ênfase1 2" xfId="135" xr:uid="{00000000-0005-0000-0000-00008D000000}"/>
    <cellStyle name="40% - Ênfase1 2 2" xfId="136" xr:uid="{00000000-0005-0000-0000-00008E000000}"/>
    <cellStyle name="40% - Ênfase1 2 2 2" xfId="137" xr:uid="{00000000-0005-0000-0000-00008F000000}"/>
    <cellStyle name="40% - Ênfase1 2 2 2 2" xfId="138" xr:uid="{00000000-0005-0000-0000-000090000000}"/>
    <cellStyle name="40% - Ênfase1 2 2 3" xfId="139" xr:uid="{00000000-0005-0000-0000-000091000000}"/>
    <cellStyle name="40% - Ênfase1 2 3" xfId="140" xr:uid="{00000000-0005-0000-0000-000092000000}"/>
    <cellStyle name="40% - Ênfase1 2 3 2" xfId="141" xr:uid="{00000000-0005-0000-0000-000093000000}"/>
    <cellStyle name="40% - Ênfase1 2 4" xfId="142" xr:uid="{00000000-0005-0000-0000-000094000000}"/>
    <cellStyle name="40% - Ênfase2" xfId="25" builtinId="35" customBuiltin="1"/>
    <cellStyle name="40% - Ênfase2 2" xfId="143" xr:uid="{00000000-0005-0000-0000-000096000000}"/>
    <cellStyle name="40% - Ênfase2 2 2" xfId="144" xr:uid="{00000000-0005-0000-0000-000097000000}"/>
    <cellStyle name="40% - Ênfase2 2 2 2" xfId="145" xr:uid="{00000000-0005-0000-0000-000098000000}"/>
    <cellStyle name="40% - Ênfase2 2 2 2 2" xfId="146" xr:uid="{00000000-0005-0000-0000-000099000000}"/>
    <cellStyle name="40% - Ênfase2 2 2 3" xfId="147" xr:uid="{00000000-0005-0000-0000-00009A000000}"/>
    <cellStyle name="40% - Ênfase2 2 3" xfId="148" xr:uid="{00000000-0005-0000-0000-00009B000000}"/>
    <cellStyle name="40% - Ênfase2 2 3 2" xfId="149" xr:uid="{00000000-0005-0000-0000-00009C000000}"/>
    <cellStyle name="40% - Ênfase2 2 4" xfId="150" xr:uid="{00000000-0005-0000-0000-00009D000000}"/>
    <cellStyle name="40% - Ênfase3" xfId="29" builtinId="39" customBuiltin="1"/>
    <cellStyle name="40% - Ênfase3 2" xfId="151" xr:uid="{00000000-0005-0000-0000-00009F000000}"/>
    <cellStyle name="40% - Ênfase3 2 2" xfId="152" xr:uid="{00000000-0005-0000-0000-0000A0000000}"/>
    <cellStyle name="40% - Ênfase3 2 2 2" xfId="153" xr:uid="{00000000-0005-0000-0000-0000A1000000}"/>
    <cellStyle name="40% - Ênfase3 2 2 2 2" xfId="154" xr:uid="{00000000-0005-0000-0000-0000A2000000}"/>
    <cellStyle name="40% - Ênfase3 2 2 3" xfId="155" xr:uid="{00000000-0005-0000-0000-0000A3000000}"/>
    <cellStyle name="40% - Ênfase3 2 3" xfId="156" xr:uid="{00000000-0005-0000-0000-0000A4000000}"/>
    <cellStyle name="40% - Ênfase3 2 3 2" xfId="157" xr:uid="{00000000-0005-0000-0000-0000A5000000}"/>
    <cellStyle name="40% - Ênfase3 2 4" xfId="158" xr:uid="{00000000-0005-0000-0000-0000A6000000}"/>
    <cellStyle name="40% - Ênfase4" xfId="33" builtinId="43" customBuiltin="1"/>
    <cellStyle name="40% - Ênfase4 2" xfId="159" xr:uid="{00000000-0005-0000-0000-0000A8000000}"/>
    <cellStyle name="40% - Ênfase4 2 2" xfId="160" xr:uid="{00000000-0005-0000-0000-0000A9000000}"/>
    <cellStyle name="40% - Ênfase4 2 2 2" xfId="161" xr:uid="{00000000-0005-0000-0000-0000AA000000}"/>
    <cellStyle name="40% - Ênfase4 2 2 2 2" xfId="162" xr:uid="{00000000-0005-0000-0000-0000AB000000}"/>
    <cellStyle name="40% - Ênfase4 2 2 3" xfId="163" xr:uid="{00000000-0005-0000-0000-0000AC000000}"/>
    <cellStyle name="40% - Ênfase4 2 3" xfId="164" xr:uid="{00000000-0005-0000-0000-0000AD000000}"/>
    <cellStyle name="40% - Ênfase4 2 3 2" xfId="165" xr:uid="{00000000-0005-0000-0000-0000AE000000}"/>
    <cellStyle name="40% - Ênfase4 2 4" xfId="166" xr:uid="{00000000-0005-0000-0000-0000AF000000}"/>
    <cellStyle name="40% - Ênfase5" xfId="37" builtinId="47" customBuiltin="1"/>
    <cellStyle name="40% - Ênfase5 2" xfId="167" xr:uid="{00000000-0005-0000-0000-0000B1000000}"/>
    <cellStyle name="40% - Ênfase5 2 2" xfId="168" xr:uid="{00000000-0005-0000-0000-0000B2000000}"/>
    <cellStyle name="40% - Ênfase5 2 2 2" xfId="169" xr:uid="{00000000-0005-0000-0000-0000B3000000}"/>
    <cellStyle name="40% - Ênfase5 2 2 2 2" xfId="170" xr:uid="{00000000-0005-0000-0000-0000B4000000}"/>
    <cellStyle name="40% - Ênfase5 2 2 3" xfId="171" xr:uid="{00000000-0005-0000-0000-0000B5000000}"/>
    <cellStyle name="40% - Ênfase5 2 3" xfId="172" xr:uid="{00000000-0005-0000-0000-0000B6000000}"/>
    <cellStyle name="40% - Ênfase5 2 3 2" xfId="173" xr:uid="{00000000-0005-0000-0000-0000B7000000}"/>
    <cellStyle name="40% - Ênfase5 2 4" xfId="174" xr:uid="{00000000-0005-0000-0000-0000B8000000}"/>
    <cellStyle name="40% - Ênfase6" xfId="41" builtinId="51" customBuiltin="1"/>
    <cellStyle name="40% - Ênfase6 2" xfId="175" xr:uid="{00000000-0005-0000-0000-0000BA000000}"/>
    <cellStyle name="40% - Ênfase6 2 2" xfId="176" xr:uid="{00000000-0005-0000-0000-0000BB000000}"/>
    <cellStyle name="40% - Ênfase6 2 2 2" xfId="177" xr:uid="{00000000-0005-0000-0000-0000BC000000}"/>
    <cellStyle name="40% - Ênfase6 2 2 2 2" xfId="178" xr:uid="{00000000-0005-0000-0000-0000BD000000}"/>
    <cellStyle name="40% - Ênfase6 2 2 3" xfId="179" xr:uid="{00000000-0005-0000-0000-0000BE000000}"/>
    <cellStyle name="40% - Ênfase6 2 3" xfId="180" xr:uid="{00000000-0005-0000-0000-0000BF000000}"/>
    <cellStyle name="40% - Ênfase6 2 3 2" xfId="181" xr:uid="{00000000-0005-0000-0000-0000C0000000}"/>
    <cellStyle name="40% - Ênfase6 2 4" xfId="182" xr:uid="{00000000-0005-0000-0000-0000C1000000}"/>
    <cellStyle name="60% - Accent1" xfId="183" xr:uid="{00000000-0005-0000-0000-0000C2000000}"/>
    <cellStyle name="60% - Accent1 2" xfId="22723" xr:uid="{00000000-0005-0000-0000-0000C3000000}"/>
    <cellStyle name="60% - Accent1 3" xfId="2539" xr:uid="{00000000-0005-0000-0000-0000C4000000}"/>
    <cellStyle name="60% - Accent2" xfId="184" xr:uid="{00000000-0005-0000-0000-0000C5000000}"/>
    <cellStyle name="60% - Accent2 2" xfId="22724" xr:uid="{00000000-0005-0000-0000-0000C6000000}"/>
    <cellStyle name="60% - Accent2 3" xfId="2543" xr:uid="{00000000-0005-0000-0000-0000C7000000}"/>
    <cellStyle name="60% - Accent3" xfId="185" xr:uid="{00000000-0005-0000-0000-0000C8000000}"/>
    <cellStyle name="60% - Accent3 2" xfId="22725" xr:uid="{00000000-0005-0000-0000-0000C9000000}"/>
    <cellStyle name="60% - Accent3 3" xfId="2547" xr:uid="{00000000-0005-0000-0000-0000CA000000}"/>
    <cellStyle name="60% - Accent4" xfId="186" xr:uid="{00000000-0005-0000-0000-0000CB000000}"/>
    <cellStyle name="60% - Accent4 2" xfId="22726" xr:uid="{00000000-0005-0000-0000-0000CC000000}"/>
    <cellStyle name="60% - Accent4 3" xfId="2551" xr:uid="{00000000-0005-0000-0000-0000CD000000}"/>
    <cellStyle name="60% - Accent5" xfId="187" xr:uid="{00000000-0005-0000-0000-0000CE000000}"/>
    <cellStyle name="60% - Accent5 2" xfId="22727" xr:uid="{00000000-0005-0000-0000-0000CF000000}"/>
    <cellStyle name="60% - Accent5 3" xfId="2555" xr:uid="{00000000-0005-0000-0000-0000D0000000}"/>
    <cellStyle name="60% - Accent6" xfId="188" xr:uid="{00000000-0005-0000-0000-0000D1000000}"/>
    <cellStyle name="60% - Accent6 2" xfId="22728" xr:uid="{00000000-0005-0000-0000-0000D2000000}"/>
    <cellStyle name="60% - Accent6 3" xfId="2559" xr:uid="{00000000-0005-0000-0000-0000D3000000}"/>
    <cellStyle name="60% - Cor1 2" xfId="189" xr:uid="{00000000-0005-0000-0000-0000D4000000}"/>
    <cellStyle name="60% - Cor2 2" xfId="190" xr:uid="{00000000-0005-0000-0000-0000D5000000}"/>
    <cellStyle name="60% - Cor3 2" xfId="191" xr:uid="{00000000-0005-0000-0000-0000D6000000}"/>
    <cellStyle name="60% - Cor4 2" xfId="192" xr:uid="{00000000-0005-0000-0000-0000D7000000}"/>
    <cellStyle name="60% - Cor5 2" xfId="193" xr:uid="{00000000-0005-0000-0000-0000D8000000}"/>
    <cellStyle name="60% - Cor6 2" xfId="194" xr:uid="{00000000-0005-0000-0000-0000D9000000}"/>
    <cellStyle name="60% - Ênfase1" xfId="22" builtinId="32" customBuiltin="1"/>
    <cellStyle name="60% - Ênfase1 2" xfId="195" xr:uid="{00000000-0005-0000-0000-0000DB000000}"/>
    <cellStyle name="60% - Ênfase2" xfId="26" builtinId="36" customBuiltin="1"/>
    <cellStyle name="60% - Ênfase2 2" xfId="196" xr:uid="{00000000-0005-0000-0000-0000DD000000}"/>
    <cellStyle name="60% - Ênfase3" xfId="30" builtinId="40" customBuiltin="1"/>
    <cellStyle name="60% - Ênfase3 2" xfId="197" xr:uid="{00000000-0005-0000-0000-0000DF000000}"/>
    <cellStyle name="60% - Ênfase4" xfId="34" builtinId="44" customBuiltin="1"/>
    <cellStyle name="60% - Ênfase4 2" xfId="198" xr:uid="{00000000-0005-0000-0000-0000E1000000}"/>
    <cellStyle name="60% - Ênfase5" xfId="38" builtinId="48" customBuiltin="1"/>
    <cellStyle name="60% - Ênfase5 2" xfId="199" xr:uid="{00000000-0005-0000-0000-0000E3000000}"/>
    <cellStyle name="60% - Ênfase6" xfId="42" builtinId="52" customBuiltin="1"/>
    <cellStyle name="60% - Ênfase6 2" xfId="200" xr:uid="{00000000-0005-0000-0000-0000E5000000}"/>
    <cellStyle name="60% - Ênfase6 37" xfId="26196" xr:uid="{00000000-0005-0000-0000-0000E6000000}"/>
    <cellStyle name="Accent1" xfId="201" xr:uid="{00000000-0005-0000-0000-0000E7000000}"/>
    <cellStyle name="Accent1 2" xfId="22729" xr:uid="{00000000-0005-0000-0000-0000E8000000}"/>
    <cellStyle name="Accent1 3" xfId="2536" xr:uid="{00000000-0005-0000-0000-0000E9000000}"/>
    <cellStyle name="Accent2" xfId="202" xr:uid="{00000000-0005-0000-0000-0000EA000000}"/>
    <cellStyle name="Accent2 2" xfId="22730" xr:uid="{00000000-0005-0000-0000-0000EB000000}"/>
    <cellStyle name="Accent2 3" xfId="2540" xr:uid="{00000000-0005-0000-0000-0000EC000000}"/>
    <cellStyle name="Accent3" xfId="203" xr:uid="{00000000-0005-0000-0000-0000ED000000}"/>
    <cellStyle name="Accent3 2" xfId="22731" xr:uid="{00000000-0005-0000-0000-0000EE000000}"/>
    <cellStyle name="Accent3 3" xfId="2544" xr:uid="{00000000-0005-0000-0000-0000EF000000}"/>
    <cellStyle name="Accent4" xfId="204" xr:uid="{00000000-0005-0000-0000-0000F0000000}"/>
    <cellStyle name="Accent4 2" xfId="22732" xr:uid="{00000000-0005-0000-0000-0000F1000000}"/>
    <cellStyle name="Accent4 3" xfId="2548" xr:uid="{00000000-0005-0000-0000-0000F2000000}"/>
    <cellStyle name="Accent5" xfId="205" xr:uid="{00000000-0005-0000-0000-0000F3000000}"/>
    <cellStyle name="Accent5 2" xfId="22733" xr:uid="{00000000-0005-0000-0000-0000F4000000}"/>
    <cellStyle name="Accent5 3" xfId="2552" xr:uid="{00000000-0005-0000-0000-0000F5000000}"/>
    <cellStyle name="Accent6" xfId="206" xr:uid="{00000000-0005-0000-0000-0000F6000000}"/>
    <cellStyle name="Accent6 2" xfId="22734" xr:uid="{00000000-0005-0000-0000-0000F7000000}"/>
    <cellStyle name="Accent6 3" xfId="2556" xr:uid="{00000000-0005-0000-0000-0000F8000000}"/>
    <cellStyle name="asd" xfId="33832" xr:uid="{00000000-0005-0000-0000-0000F9000000}"/>
    <cellStyle name="Bad" xfId="207" xr:uid="{00000000-0005-0000-0000-0000FA000000}"/>
    <cellStyle name="Bad 2" xfId="22735" xr:uid="{00000000-0005-0000-0000-0000FB000000}"/>
    <cellStyle name="Bad 3" xfId="2532" xr:uid="{00000000-0005-0000-0000-0000FC000000}"/>
    <cellStyle name="Bom" xfId="8" builtinId="26" customBuiltin="1"/>
    <cellStyle name="Bom 2" xfId="208" xr:uid="{00000000-0005-0000-0000-0000FE000000}"/>
    <cellStyle name="Bom 2 2" xfId="209" xr:uid="{00000000-0005-0000-0000-0000FF000000}"/>
    <cellStyle name="Bom 2 3" xfId="210" xr:uid="{00000000-0005-0000-0000-000000010000}"/>
    <cellStyle name="Bom 2 4" xfId="211" xr:uid="{00000000-0005-0000-0000-000001010000}"/>
    <cellStyle name="Bom 3" xfId="2298" xr:uid="{00000000-0005-0000-0000-000002010000}"/>
    <cellStyle name="Cabeçalho 1 2" xfId="212" xr:uid="{00000000-0005-0000-0000-000003010000}"/>
    <cellStyle name="Cabeçalho 2 2" xfId="213" xr:uid="{00000000-0005-0000-0000-000004010000}"/>
    <cellStyle name="Cabeçalho 3 2" xfId="214" xr:uid="{00000000-0005-0000-0000-000005010000}"/>
    <cellStyle name="Cabeçalho 4 2" xfId="215" xr:uid="{00000000-0005-0000-0000-000006010000}"/>
    <cellStyle name="Calculation" xfId="216" xr:uid="{00000000-0005-0000-0000-000007010000}"/>
    <cellStyle name="Calculation 2" xfId="2626" xr:uid="{00000000-0005-0000-0000-000008010000}"/>
    <cellStyle name="Calculation 2 10" xfId="4976" xr:uid="{00000000-0005-0000-0000-000009010000}"/>
    <cellStyle name="Calculation 2 10 2" xfId="10299" xr:uid="{00000000-0005-0000-0000-00000A010000}"/>
    <cellStyle name="Calculation 2 10 3" xfId="15943" xr:uid="{00000000-0005-0000-0000-00000B010000}"/>
    <cellStyle name="Calculation 2 10 4" xfId="13043" xr:uid="{00000000-0005-0000-0000-00000C010000}"/>
    <cellStyle name="Calculation 2 11" xfId="4847" xr:uid="{00000000-0005-0000-0000-00000D010000}"/>
    <cellStyle name="Calculation 2 11 2" xfId="15826" xr:uid="{00000000-0005-0000-0000-00000E010000}"/>
    <cellStyle name="Calculation 2 11 3" xfId="13159" xr:uid="{00000000-0005-0000-0000-00000F010000}"/>
    <cellStyle name="Calculation 2 12" xfId="8789" xr:uid="{00000000-0005-0000-0000-000010010000}"/>
    <cellStyle name="Calculation 2 13" xfId="14152" xr:uid="{00000000-0005-0000-0000-000011010000}"/>
    <cellStyle name="Calculation 2 2" xfId="2715" xr:uid="{00000000-0005-0000-0000-000012010000}"/>
    <cellStyle name="Calculation 2 2 10" xfId="7491" xr:uid="{00000000-0005-0000-0000-000013010000}"/>
    <cellStyle name="Calculation 2 2 10 2" xfId="11545" xr:uid="{00000000-0005-0000-0000-000014010000}"/>
    <cellStyle name="Calculation 2 2 10 3" xfId="17847" xr:uid="{00000000-0005-0000-0000-000015010000}"/>
    <cellStyle name="Calculation 2 2 10 4" xfId="21009" xr:uid="{00000000-0005-0000-0000-000016010000}"/>
    <cellStyle name="Calculation 2 2 11" xfId="4908" xr:uid="{00000000-0005-0000-0000-000017010000}"/>
    <cellStyle name="Calculation 2 2 11 2" xfId="15879" xr:uid="{00000000-0005-0000-0000-000018010000}"/>
    <cellStyle name="Calculation 2 2 11 3" xfId="13111" xr:uid="{00000000-0005-0000-0000-000019010000}"/>
    <cellStyle name="Calculation 2 2 12" xfId="8870" xr:uid="{00000000-0005-0000-0000-00001A010000}"/>
    <cellStyle name="Calculation 2 2 13" xfId="14282" xr:uid="{00000000-0005-0000-0000-00001B010000}"/>
    <cellStyle name="Calculation 2 2 14" xfId="18003" xr:uid="{00000000-0005-0000-0000-00001C010000}"/>
    <cellStyle name="Calculation 2 2 2" xfId="2648" xr:uid="{00000000-0005-0000-0000-00001D010000}"/>
    <cellStyle name="Calculation 2 2 2 10" xfId="4885" xr:uid="{00000000-0005-0000-0000-00001E010000}"/>
    <cellStyle name="Calculation 2 2 2 10 2" xfId="15860" xr:uid="{00000000-0005-0000-0000-00001F010000}"/>
    <cellStyle name="Calculation 2 2 2 10 3" xfId="13121" xr:uid="{00000000-0005-0000-0000-000020010000}"/>
    <cellStyle name="Calculation 2 2 2 11" xfId="8805" xr:uid="{00000000-0005-0000-0000-000021010000}"/>
    <cellStyle name="Calculation 2 2 2 12" xfId="14225" xr:uid="{00000000-0005-0000-0000-000022010000}"/>
    <cellStyle name="Calculation 2 2 2 2" xfId="3140" xr:uid="{00000000-0005-0000-0000-000023010000}"/>
    <cellStyle name="Calculation 2 2 2 2 10" xfId="9270" xr:uid="{00000000-0005-0000-0000-000024010000}"/>
    <cellStyle name="Calculation 2 2 2 2 11" xfId="14593" xr:uid="{00000000-0005-0000-0000-000025010000}"/>
    <cellStyle name="Calculation 2 2 2 2 12" xfId="15260" xr:uid="{00000000-0005-0000-0000-000026010000}"/>
    <cellStyle name="Calculation 2 2 2 2 2" xfId="3527" xr:uid="{00000000-0005-0000-0000-000027010000}"/>
    <cellStyle name="Calculation 2 2 2 2 2 2" xfId="7353" xr:uid="{00000000-0005-0000-0000-000028010000}"/>
    <cellStyle name="Calculation 2 2 2 2 2 2 2" xfId="11439" xr:uid="{00000000-0005-0000-0000-000029010000}"/>
    <cellStyle name="Calculation 2 2 2 2 2 2 3" xfId="17740" xr:uid="{00000000-0005-0000-0000-00002A010000}"/>
    <cellStyle name="Calculation 2 2 2 2 2 2 4" xfId="20871" xr:uid="{00000000-0005-0000-0000-00002B010000}"/>
    <cellStyle name="Calculation 2 2 2 2 2 3" xfId="5644" xr:uid="{00000000-0005-0000-0000-00002C010000}"/>
    <cellStyle name="Calculation 2 2 2 2 2 3 2" xfId="16449" xr:uid="{00000000-0005-0000-0000-00002D010000}"/>
    <cellStyle name="Calculation 2 2 2 2 2 3 3" xfId="19162" xr:uid="{00000000-0005-0000-0000-00002E010000}"/>
    <cellStyle name="Calculation 2 2 2 2 2 4" xfId="9619" xr:uid="{00000000-0005-0000-0000-00002F010000}"/>
    <cellStyle name="Calculation 2 2 2 2 2 5" xfId="14873" xr:uid="{00000000-0005-0000-0000-000030010000}"/>
    <cellStyle name="Calculation 2 2 2 2 2 6" xfId="18142" xr:uid="{00000000-0005-0000-0000-000031010000}"/>
    <cellStyle name="Calculation 2 2 2 2 3" xfId="3910" xr:uid="{00000000-0005-0000-0000-000032010000}"/>
    <cellStyle name="Calculation 2 2 2 2 3 2" xfId="7117" xr:uid="{00000000-0005-0000-0000-000033010000}"/>
    <cellStyle name="Calculation 2 2 2 2 3 2 2" xfId="11251" xr:uid="{00000000-0005-0000-0000-000034010000}"/>
    <cellStyle name="Calculation 2 2 2 2 3 2 3" xfId="17537" xr:uid="{00000000-0005-0000-0000-000035010000}"/>
    <cellStyle name="Calculation 2 2 2 2 3 2 4" xfId="20635" xr:uid="{00000000-0005-0000-0000-000036010000}"/>
    <cellStyle name="Calculation 2 2 2 2 3 3" xfId="5408" xr:uid="{00000000-0005-0000-0000-000037010000}"/>
    <cellStyle name="Calculation 2 2 2 2 3 3 2" xfId="16247" xr:uid="{00000000-0005-0000-0000-000038010000}"/>
    <cellStyle name="Calculation 2 2 2 2 3 3 3" xfId="18926" xr:uid="{00000000-0005-0000-0000-000039010000}"/>
    <cellStyle name="Calculation 2 2 2 2 3 4" xfId="9833" xr:uid="{00000000-0005-0000-0000-00003A010000}"/>
    <cellStyle name="Calculation 2 2 2 2 3 5" xfId="15149" xr:uid="{00000000-0005-0000-0000-00003B010000}"/>
    <cellStyle name="Calculation 2 2 2 2 3 6" xfId="14126" xr:uid="{00000000-0005-0000-0000-00003C010000}"/>
    <cellStyle name="Calculation 2 2 2 2 4" xfId="4293" xr:uid="{00000000-0005-0000-0000-00003D010000}"/>
    <cellStyle name="Calculation 2 2 2 2 4 2" xfId="8138" xr:uid="{00000000-0005-0000-0000-00003E010000}"/>
    <cellStyle name="Calculation 2 2 2 2 4 2 2" xfId="12106" xr:uid="{00000000-0005-0000-0000-00003F010000}"/>
    <cellStyle name="Calculation 2 2 2 2 4 2 3" xfId="18342" xr:uid="{00000000-0005-0000-0000-000040010000}"/>
    <cellStyle name="Calculation 2 2 2 2 4 2 4" xfId="21656" xr:uid="{00000000-0005-0000-0000-000041010000}"/>
    <cellStyle name="Calculation 2 2 2 2 4 3" xfId="6430" xr:uid="{00000000-0005-0000-0000-000042010000}"/>
    <cellStyle name="Calculation 2 2 2 2 4 3 2" xfId="17051" xr:uid="{00000000-0005-0000-0000-000043010000}"/>
    <cellStyle name="Calculation 2 2 2 2 4 3 3" xfId="19948" xr:uid="{00000000-0005-0000-0000-000044010000}"/>
    <cellStyle name="Calculation 2 2 2 2 4 4" xfId="10011" xr:uid="{00000000-0005-0000-0000-000045010000}"/>
    <cellStyle name="Calculation 2 2 2 2 4 5" xfId="15424" xr:uid="{00000000-0005-0000-0000-000046010000}"/>
    <cellStyle name="Calculation 2 2 2 2 4 6" xfId="13712" xr:uid="{00000000-0005-0000-0000-000047010000}"/>
    <cellStyle name="Calculation 2 2 2 2 5" xfId="4675" xr:uid="{00000000-0005-0000-0000-000048010000}"/>
    <cellStyle name="Calculation 2 2 2 2 5 2" xfId="8370" xr:uid="{00000000-0005-0000-0000-000049010000}"/>
    <cellStyle name="Calculation 2 2 2 2 5 2 2" xfId="12338" xr:uid="{00000000-0005-0000-0000-00004A010000}"/>
    <cellStyle name="Calculation 2 2 2 2 5 2 3" xfId="18513" xr:uid="{00000000-0005-0000-0000-00004B010000}"/>
    <cellStyle name="Calculation 2 2 2 2 5 2 4" xfId="21888" xr:uid="{00000000-0005-0000-0000-00004C010000}"/>
    <cellStyle name="Calculation 2 2 2 2 5 3" xfId="6662" xr:uid="{00000000-0005-0000-0000-00004D010000}"/>
    <cellStyle name="Calculation 2 2 2 2 5 3 2" xfId="17222" xr:uid="{00000000-0005-0000-0000-00004E010000}"/>
    <cellStyle name="Calculation 2 2 2 2 5 3 3" xfId="20180" xr:uid="{00000000-0005-0000-0000-00004F010000}"/>
    <cellStyle name="Calculation 2 2 2 2 5 4" xfId="10188" xr:uid="{00000000-0005-0000-0000-000050010000}"/>
    <cellStyle name="Calculation 2 2 2 2 5 5" xfId="15698" xr:uid="{00000000-0005-0000-0000-000051010000}"/>
    <cellStyle name="Calculation 2 2 2 2 5 6" xfId="13330" xr:uid="{00000000-0005-0000-0000-000052010000}"/>
    <cellStyle name="Calculation 2 2 2 2 6" xfId="6894" xr:uid="{00000000-0005-0000-0000-000053010000}"/>
    <cellStyle name="Calculation 2 2 2 2 6 2" xfId="8602" xr:uid="{00000000-0005-0000-0000-000054010000}"/>
    <cellStyle name="Calculation 2 2 2 2 6 2 2" xfId="12570" xr:uid="{00000000-0005-0000-0000-000055010000}"/>
    <cellStyle name="Calculation 2 2 2 2 6 2 3" xfId="18684" xr:uid="{00000000-0005-0000-0000-000056010000}"/>
    <cellStyle name="Calculation 2 2 2 2 6 2 4" xfId="22120" xr:uid="{00000000-0005-0000-0000-000057010000}"/>
    <cellStyle name="Calculation 2 2 2 2 6 3" xfId="11028" xr:uid="{00000000-0005-0000-0000-000058010000}"/>
    <cellStyle name="Calculation 2 2 2 2 6 4" xfId="17392" xr:uid="{00000000-0005-0000-0000-000059010000}"/>
    <cellStyle name="Calculation 2 2 2 2 6 5" xfId="20412" xr:uid="{00000000-0005-0000-0000-00005A010000}"/>
    <cellStyle name="Calculation 2 2 2 2 7" xfId="5882" xr:uid="{00000000-0005-0000-0000-00005B010000}"/>
    <cellStyle name="Calculation 2 2 2 2 7 2" xfId="10623" xr:uid="{00000000-0005-0000-0000-00005C010000}"/>
    <cellStyle name="Calculation 2 2 2 2 7 3" xfId="16630" xr:uid="{00000000-0005-0000-0000-00005D010000}"/>
    <cellStyle name="Calculation 2 2 2 2 7 4" xfId="19400" xr:uid="{00000000-0005-0000-0000-00005E010000}"/>
    <cellStyle name="Calculation 2 2 2 2 8" xfId="7590" xr:uid="{00000000-0005-0000-0000-00005F010000}"/>
    <cellStyle name="Calculation 2 2 2 2 8 2" xfId="11611" xr:uid="{00000000-0005-0000-0000-000060010000}"/>
    <cellStyle name="Calculation 2 2 2 2 8 3" xfId="17922" xr:uid="{00000000-0005-0000-0000-000061010000}"/>
    <cellStyle name="Calculation 2 2 2 2 8 4" xfId="21108" xr:uid="{00000000-0005-0000-0000-000062010000}"/>
    <cellStyle name="Calculation 2 2 2 2 9" xfId="4972" xr:uid="{00000000-0005-0000-0000-000063010000}"/>
    <cellStyle name="Calculation 2 2 2 2 9 2" xfId="15940" xr:uid="{00000000-0005-0000-0000-000064010000}"/>
    <cellStyle name="Calculation 2 2 2 2 9 3" xfId="13047" xr:uid="{00000000-0005-0000-0000-000065010000}"/>
    <cellStyle name="Calculation 2 2 2 3" xfId="3257" xr:uid="{00000000-0005-0000-0000-000066010000}"/>
    <cellStyle name="Calculation 2 2 2 3 2" xfId="3644" xr:uid="{00000000-0005-0000-0000-000067010000}"/>
    <cellStyle name="Calculation 2 2 2 3 2 2" xfId="7333" xr:uid="{00000000-0005-0000-0000-000068010000}"/>
    <cellStyle name="Calculation 2 2 2 3 2 2 2" xfId="17723" xr:uid="{00000000-0005-0000-0000-000069010000}"/>
    <cellStyle name="Calculation 2 2 2 3 2 2 3" xfId="20851" xr:uid="{00000000-0005-0000-0000-00006A010000}"/>
    <cellStyle name="Calculation 2 2 2 3 2 3" xfId="9735" xr:uid="{00000000-0005-0000-0000-00006B010000}"/>
    <cellStyle name="Calculation 2 2 2 3 2 4" xfId="14963" xr:uid="{00000000-0005-0000-0000-00006C010000}"/>
    <cellStyle name="Calculation 2 2 2 3 2 5" xfId="14251" xr:uid="{00000000-0005-0000-0000-00006D010000}"/>
    <cellStyle name="Calculation 2 2 2 3 3" xfId="4027" xr:uid="{00000000-0005-0000-0000-00006E010000}"/>
    <cellStyle name="Calculation 2 2 2 3 3 2" xfId="15238" xr:uid="{00000000-0005-0000-0000-00006F010000}"/>
    <cellStyle name="Calculation 2 2 2 3 3 3" xfId="13964" xr:uid="{00000000-0005-0000-0000-000070010000}"/>
    <cellStyle name="Calculation 2 2 2 3 4" xfId="4410" xr:uid="{00000000-0005-0000-0000-000071010000}"/>
    <cellStyle name="Calculation 2 2 2 3 4 2" xfId="15514" xr:uid="{00000000-0005-0000-0000-000072010000}"/>
    <cellStyle name="Calculation 2 2 2 3 4 3" xfId="13595" xr:uid="{00000000-0005-0000-0000-000073010000}"/>
    <cellStyle name="Calculation 2 2 2 3 5" xfId="4792" xr:uid="{00000000-0005-0000-0000-000074010000}"/>
    <cellStyle name="Calculation 2 2 2 3 5 2" xfId="15786" xr:uid="{00000000-0005-0000-0000-000075010000}"/>
    <cellStyle name="Calculation 2 2 2 3 5 3" xfId="13213" xr:uid="{00000000-0005-0000-0000-000076010000}"/>
    <cellStyle name="Calculation 2 2 2 3 6" xfId="5624" xr:uid="{00000000-0005-0000-0000-000077010000}"/>
    <cellStyle name="Calculation 2 2 2 3 6 2" xfId="16432" xr:uid="{00000000-0005-0000-0000-000078010000}"/>
    <cellStyle name="Calculation 2 2 2 3 6 3" xfId="19142" xr:uid="{00000000-0005-0000-0000-000079010000}"/>
    <cellStyle name="Calculation 2 2 2 3 7" xfId="9387" xr:uid="{00000000-0005-0000-0000-00007A010000}"/>
    <cellStyle name="Calculation 2 2 2 3 8" xfId="14683" xr:uid="{00000000-0005-0000-0000-00007B010000}"/>
    <cellStyle name="Calculation 2 2 2 3 9" xfId="18228" xr:uid="{00000000-0005-0000-0000-00007C010000}"/>
    <cellStyle name="Calculation 2 2 2 4" xfId="2848" xr:uid="{00000000-0005-0000-0000-00007D010000}"/>
    <cellStyle name="Calculation 2 2 2 4 2" xfId="8023" xr:uid="{00000000-0005-0000-0000-00007E010000}"/>
    <cellStyle name="Calculation 2 2 2 4 2 2" xfId="11998" xr:uid="{00000000-0005-0000-0000-00007F010000}"/>
    <cellStyle name="Calculation 2 2 2 4 2 3" xfId="18239" xr:uid="{00000000-0005-0000-0000-000080010000}"/>
    <cellStyle name="Calculation 2 2 2 4 2 4" xfId="21541" xr:uid="{00000000-0005-0000-0000-000081010000}"/>
    <cellStyle name="Calculation 2 2 2 4 3" xfId="6315" xr:uid="{00000000-0005-0000-0000-000082010000}"/>
    <cellStyle name="Calculation 2 2 2 4 3 2" xfId="16948" xr:uid="{00000000-0005-0000-0000-000083010000}"/>
    <cellStyle name="Calculation 2 2 2 4 3 3" xfId="19833" xr:uid="{00000000-0005-0000-0000-000084010000}"/>
    <cellStyle name="Calculation 2 2 2 4 4" xfId="9001" xr:uid="{00000000-0005-0000-0000-000085010000}"/>
    <cellStyle name="Calculation 2 2 2 4 5" xfId="14386" xr:uid="{00000000-0005-0000-0000-000086010000}"/>
    <cellStyle name="Calculation 2 2 2 4 6" xfId="15782" xr:uid="{00000000-0005-0000-0000-000087010000}"/>
    <cellStyle name="Calculation 2 2 2 5" xfId="5630" xr:uid="{00000000-0005-0000-0000-000088010000}"/>
    <cellStyle name="Calculation 2 2 2 5 2" xfId="7339" xr:uid="{00000000-0005-0000-0000-000089010000}"/>
    <cellStyle name="Calculation 2 2 2 5 2 2" xfId="11426" xr:uid="{00000000-0005-0000-0000-00008A010000}"/>
    <cellStyle name="Calculation 2 2 2 5 2 3" xfId="17728" xr:uid="{00000000-0005-0000-0000-00008B010000}"/>
    <cellStyle name="Calculation 2 2 2 5 2 4" xfId="20857" xr:uid="{00000000-0005-0000-0000-00008C010000}"/>
    <cellStyle name="Calculation 2 2 2 5 3" xfId="10504" xr:uid="{00000000-0005-0000-0000-00008D010000}"/>
    <cellStyle name="Calculation 2 2 2 5 4" xfId="16437" xr:uid="{00000000-0005-0000-0000-00008E010000}"/>
    <cellStyle name="Calculation 2 2 2 5 5" xfId="19148" xr:uid="{00000000-0005-0000-0000-00008F010000}"/>
    <cellStyle name="Calculation 2 2 2 6" xfId="6057" xr:uid="{00000000-0005-0000-0000-000090010000}"/>
    <cellStyle name="Calculation 2 2 2 6 2" xfId="7765" xr:uid="{00000000-0005-0000-0000-000091010000}"/>
    <cellStyle name="Calculation 2 2 2 6 2 2" xfId="11786" xr:uid="{00000000-0005-0000-0000-000092010000}"/>
    <cellStyle name="Calculation 2 2 2 6 2 3" xfId="18039" xr:uid="{00000000-0005-0000-0000-000093010000}"/>
    <cellStyle name="Calculation 2 2 2 6 2 4" xfId="21283" xr:uid="{00000000-0005-0000-0000-000094010000}"/>
    <cellStyle name="Calculation 2 2 2 6 3" xfId="10796" xr:uid="{00000000-0005-0000-0000-000095010000}"/>
    <cellStyle name="Calculation 2 2 2 6 4" xfId="16747" xr:uid="{00000000-0005-0000-0000-000096010000}"/>
    <cellStyle name="Calculation 2 2 2 6 5" xfId="19575" xr:uid="{00000000-0005-0000-0000-000097010000}"/>
    <cellStyle name="Calculation 2 2 2 7" xfId="5315" xr:uid="{00000000-0005-0000-0000-000098010000}"/>
    <cellStyle name="Calculation 2 2 2 7 2" xfId="5099" xr:uid="{00000000-0005-0000-0000-000099010000}"/>
    <cellStyle name="Calculation 2 2 2 7 2 2" xfId="10346" xr:uid="{00000000-0005-0000-0000-00009A010000}"/>
    <cellStyle name="Calculation 2 2 2 7 2 3" xfId="16034" xr:uid="{00000000-0005-0000-0000-00009B010000}"/>
    <cellStyle name="Calculation 2 2 2 7 2 4" xfId="12940" xr:uid="{00000000-0005-0000-0000-00009C010000}"/>
    <cellStyle name="Calculation 2 2 2 7 3" xfId="10420" xr:uid="{00000000-0005-0000-0000-00009D010000}"/>
    <cellStyle name="Calculation 2 2 2 7 4" xfId="16188" xr:uid="{00000000-0005-0000-0000-00009E010000}"/>
    <cellStyle name="Calculation 2 2 2 7 5" xfId="18833" xr:uid="{00000000-0005-0000-0000-00009F010000}"/>
    <cellStyle name="Calculation 2 2 2 8" xfId="5756" xr:uid="{00000000-0005-0000-0000-0000A0010000}"/>
    <cellStyle name="Calculation 2 2 2 8 2" xfId="10535" xr:uid="{00000000-0005-0000-0000-0000A1010000}"/>
    <cellStyle name="Calculation 2 2 2 8 3" xfId="16535" xr:uid="{00000000-0005-0000-0000-0000A2010000}"/>
    <cellStyle name="Calculation 2 2 2 8 4" xfId="19274" xr:uid="{00000000-0005-0000-0000-0000A3010000}"/>
    <cellStyle name="Calculation 2 2 2 9" xfId="7465" xr:uid="{00000000-0005-0000-0000-0000A4010000}"/>
    <cellStyle name="Calculation 2 2 2 9 2" xfId="11522" xr:uid="{00000000-0005-0000-0000-0000A5010000}"/>
    <cellStyle name="Calculation 2 2 2 9 3" xfId="17826" xr:uid="{00000000-0005-0000-0000-0000A6010000}"/>
    <cellStyle name="Calculation 2 2 2 9 4" xfId="20983" xr:uid="{00000000-0005-0000-0000-0000A7010000}"/>
    <cellStyle name="Calculation 2 2 3" xfId="3205" xr:uid="{00000000-0005-0000-0000-0000A8010000}"/>
    <cellStyle name="Calculation 2 2 3 10" xfId="9335" xr:uid="{00000000-0005-0000-0000-0000A9010000}"/>
    <cellStyle name="Calculation 2 2 3 11" xfId="14647" xr:uid="{00000000-0005-0000-0000-0000AA010000}"/>
    <cellStyle name="Calculation 2 2 3 12" xfId="14931" xr:uid="{00000000-0005-0000-0000-0000AB010000}"/>
    <cellStyle name="Calculation 2 2 3 2" xfId="3592" xr:uid="{00000000-0005-0000-0000-0000AC010000}"/>
    <cellStyle name="Calculation 2 2 3 2 2" xfId="7953" xr:uid="{00000000-0005-0000-0000-0000AD010000}"/>
    <cellStyle name="Calculation 2 2 3 2 2 2" xfId="11929" xr:uid="{00000000-0005-0000-0000-0000AE010000}"/>
    <cellStyle name="Calculation 2 2 3 2 2 3" xfId="18187" xr:uid="{00000000-0005-0000-0000-0000AF010000}"/>
    <cellStyle name="Calculation 2 2 3 2 2 4" xfId="21471" xr:uid="{00000000-0005-0000-0000-0000B0010000}"/>
    <cellStyle name="Calculation 2 2 3 2 3" xfId="6245" xr:uid="{00000000-0005-0000-0000-0000B1010000}"/>
    <cellStyle name="Calculation 2 2 3 2 3 2" xfId="16895" xr:uid="{00000000-0005-0000-0000-0000B2010000}"/>
    <cellStyle name="Calculation 2 2 3 2 3 3" xfId="19763" xr:uid="{00000000-0005-0000-0000-0000B3010000}"/>
    <cellStyle name="Calculation 2 2 3 2 4" xfId="9684" xr:uid="{00000000-0005-0000-0000-0000B4010000}"/>
    <cellStyle name="Calculation 2 2 3 2 5" xfId="14927" xr:uid="{00000000-0005-0000-0000-0000B5010000}"/>
    <cellStyle name="Calculation 2 2 3 2 6" xfId="16232" xr:uid="{00000000-0005-0000-0000-0000B6010000}"/>
    <cellStyle name="Calculation 2 2 3 3" xfId="3975" xr:uid="{00000000-0005-0000-0000-0000B7010000}"/>
    <cellStyle name="Calculation 2 2 3 3 2" xfId="7424" xr:uid="{00000000-0005-0000-0000-0000B8010000}"/>
    <cellStyle name="Calculation 2 2 3 3 2 2" xfId="11487" xr:uid="{00000000-0005-0000-0000-0000B9010000}"/>
    <cellStyle name="Calculation 2 2 3 3 2 3" xfId="17793" xr:uid="{00000000-0005-0000-0000-0000BA010000}"/>
    <cellStyle name="Calculation 2 2 3 3 2 4" xfId="20942" xr:uid="{00000000-0005-0000-0000-0000BB010000}"/>
    <cellStyle name="Calculation 2 2 3 3 3" xfId="5715" xr:uid="{00000000-0005-0000-0000-0000BC010000}"/>
    <cellStyle name="Calculation 2 2 3 3 3 2" xfId="16502" xr:uid="{00000000-0005-0000-0000-0000BD010000}"/>
    <cellStyle name="Calculation 2 2 3 3 3 3" xfId="19233" xr:uid="{00000000-0005-0000-0000-0000BE010000}"/>
    <cellStyle name="Calculation 2 2 3 3 4" xfId="9894" xr:uid="{00000000-0005-0000-0000-0000BF010000}"/>
    <cellStyle name="Calculation 2 2 3 3 5" xfId="15203" xr:uid="{00000000-0005-0000-0000-0000C0010000}"/>
    <cellStyle name="Calculation 2 2 3 3 6" xfId="14016" xr:uid="{00000000-0005-0000-0000-0000C1010000}"/>
    <cellStyle name="Calculation 2 2 3 4" xfId="4358" xr:uid="{00000000-0005-0000-0000-0000C2010000}"/>
    <cellStyle name="Calculation 2 2 3 4 2" xfId="8260" xr:uid="{00000000-0005-0000-0000-0000C3010000}"/>
    <cellStyle name="Calculation 2 2 3 4 2 2" xfId="12228" xr:uid="{00000000-0005-0000-0000-0000C4010000}"/>
    <cellStyle name="Calculation 2 2 3 4 2 3" xfId="18420" xr:uid="{00000000-0005-0000-0000-0000C5010000}"/>
    <cellStyle name="Calculation 2 2 3 4 2 4" xfId="21778" xr:uid="{00000000-0005-0000-0000-0000C6010000}"/>
    <cellStyle name="Calculation 2 2 3 4 3" xfId="6552" xr:uid="{00000000-0005-0000-0000-0000C7010000}"/>
    <cellStyle name="Calculation 2 2 3 4 3 2" xfId="17129" xr:uid="{00000000-0005-0000-0000-0000C8010000}"/>
    <cellStyle name="Calculation 2 2 3 4 3 3" xfId="20070" xr:uid="{00000000-0005-0000-0000-0000C9010000}"/>
    <cellStyle name="Calculation 2 2 3 4 4" xfId="10072" xr:uid="{00000000-0005-0000-0000-0000CA010000}"/>
    <cellStyle name="Calculation 2 2 3 4 5" xfId="15478" xr:uid="{00000000-0005-0000-0000-0000CB010000}"/>
    <cellStyle name="Calculation 2 2 3 4 6" xfId="13647" xr:uid="{00000000-0005-0000-0000-0000CC010000}"/>
    <cellStyle name="Calculation 2 2 3 5" xfId="4740" xr:uid="{00000000-0005-0000-0000-0000CD010000}"/>
    <cellStyle name="Calculation 2 2 3 5 2" xfId="8492" xr:uid="{00000000-0005-0000-0000-0000CE010000}"/>
    <cellStyle name="Calculation 2 2 3 5 2 2" xfId="12460" xr:uid="{00000000-0005-0000-0000-0000CF010000}"/>
    <cellStyle name="Calculation 2 2 3 5 2 3" xfId="18591" xr:uid="{00000000-0005-0000-0000-0000D0010000}"/>
    <cellStyle name="Calculation 2 2 3 5 2 4" xfId="22010" xr:uid="{00000000-0005-0000-0000-0000D1010000}"/>
    <cellStyle name="Calculation 2 2 3 5 3" xfId="6784" xr:uid="{00000000-0005-0000-0000-0000D2010000}"/>
    <cellStyle name="Calculation 2 2 3 5 3 2" xfId="17299" xr:uid="{00000000-0005-0000-0000-0000D3010000}"/>
    <cellStyle name="Calculation 2 2 3 5 3 3" xfId="20302" xr:uid="{00000000-0005-0000-0000-0000D4010000}"/>
    <cellStyle name="Calculation 2 2 3 5 4" xfId="10249" xr:uid="{00000000-0005-0000-0000-0000D5010000}"/>
    <cellStyle name="Calculation 2 2 3 5 5" xfId="15751" xr:uid="{00000000-0005-0000-0000-0000D6010000}"/>
    <cellStyle name="Calculation 2 2 3 5 6" xfId="13265" xr:uid="{00000000-0005-0000-0000-0000D7010000}"/>
    <cellStyle name="Calculation 2 2 3 6" xfId="7016" xr:uid="{00000000-0005-0000-0000-0000D8010000}"/>
    <cellStyle name="Calculation 2 2 3 6 2" xfId="8724" xr:uid="{00000000-0005-0000-0000-0000D9010000}"/>
    <cellStyle name="Calculation 2 2 3 6 2 2" xfId="12692" xr:uid="{00000000-0005-0000-0000-0000DA010000}"/>
    <cellStyle name="Calculation 2 2 3 6 2 3" xfId="18762" xr:uid="{00000000-0005-0000-0000-0000DB010000}"/>
    <cellStyle name="Calculation 2 2 3 6 2 4" xfId="22242" xr:uid="{00000000-0005-0000-0000-0000DC010000}"/>
    <cellStyle name="Calculation 2 2 3 6 3" xfId="11150" xr:uid="{00000000-0005-0000-0000-0000DD010000}"/>
    <cellStyle name="Calculation 2 2 3 6 4" xfId="17469" xr:uid="{00000000-0005-0000-0000-0000DE010000}"/>
    <cellStyle name="Calculation 2 2 3 6 5" xfId="20534" xr:uid="{00000000-0005-0000-0000-0000DF010000}"/>
    <cellStyle name="Calculation 2 2 3 7" xfId="6004" xr:uid="{00000000-0005-0000-0000-0000E0010000}"/>
    <cellStyle name="Calculation 2 2 3 7 2" xfId="10745" xr:uid="{00000000-0005-0000-0000-0000E1010000}"/>
    <cellStyle name="Calculation 2 2 3 7 3" xfId="16708" xr:uid="{00000000-0005-0000-0000-0000E2010000}"/>
    <cellStyle name="Calculation 2 2 3 7 4" xfId="19522" xr:uid="{00000000-0005-0000-0000-0000E3010000}"/>
    <cellStyle name="Calculation 2 2 3 8" xfId="7712" xr:uid="{00000000-0005-0000-0000-0000E4010000}"/>
    <cellStyle name="Calculation 2 2 3 8 2" xfId="11733" xr:uid="{00000000-0005-0000-0000-0000E5010000}"/>
    <cellStyle name="Calculation 2 2 3 8 3" xfId="18000" xr:uid="{00000000-0005-0000-0000-0000E6010000}"/>
    <cellStyle name="Calculation 2 2 3 8 4" xfId="21230" xr:uid="{00000000-0005-0000-0000-0000E7010000}"/>
    <cellStyle name="Calculation 2 2 3 9" xfId="5198" xr:uid="{00000000-0005-0000-0000-0000E8010000}"/>
    <cellStyle name="Calculation 2 2 3 9 2" xfId="16096" xr:uid="{00000000-0005-0000-0000-0000E9010000}"/>
    <cellStyle name="Calculation 2 2 3 9 3" xfId="12884" xr:uid="{00000000-0005-0000-0000-0000EA010000}"/>
    <cellStyle name="Calculation 2 2 4" xfId="2992" xr:uid="{00000000-0005-0000-0000-0000EB010000}"/>
    <cellStyle name="Calculation 2 2 4 2" xfId="3379" xr:uid="{00000000-0005-0000-0000-0000EC010000}"/>
    <cellStyle name="Calculation 2 2 4 2 2" xfId="7814" xr:uid="{00000000-0005-0000-0000-0000ED010000}"/>
    <cellStyle name="Calculation 2 2 4 2 2 2" xfId="18079" xr:uid="{00000000-0005-0000-0000-0000EE010000}"/>
    <cellStyle name="Calculation 2 2 4 2 2 3" xfId="21332" xr:uid="{00000000-0005-0000-0000-0000EF010000}"/>
    <cellStyle name="Calculation 2 2 4 2 3" xfId="9507" xr:uid="{00000000-0005-0000-0000-0000F0010000}"/>
    <cellStyle name="Calculation 2 2 4 2 4" xfId="14757" xr:uid="{00000000-0005-0000-0000-0000F1010000}"/>
    <cellStyle name="Calculation 2 2 4 2 5" xfId="15311" xr:uid="{00000000-0005-0000-0000-0000F2010000}"/>
    <cellStyle name="Calculation 2 2 4 3" xfId="3762" xr:uid="{00000000-0005-0000-0000-0000F3010000}"/>
    <cellStyle name="Calculation 2 2 4 3 2" xfId="15033" xr:uid="{00000000-0005-0000-0000-0000F4010000}"/>
    <cellStyle name="Calculation 2 2 4 3 3" xfId="18400" xr:uid="{00000000-0005-0000-0000-0000F5010000}"/>
    <cellStyle name="Calculation 2 2 4 4" xfId="4145" xr:uid="{00000000-0005-0000-0000-0000F6010000}"/>
    <cellStyle name="Calculation 2 2 4 4 2" xfId="15308" xr:uid="{00000000-0005-0000-0000-0000F7010000}"/>
    <cellStyle name="Calculation 2 2 4 4 3" xfId="13852" xr:uid="{00000000-0005-0000-0000-0000F8010000}"/>
    <cellStyle name="Calculation 2 2 4 5" xfId="4527" xr:uid="{00000000-0005-0000-0000-0000F9010000}"/>
    <cellStyle name="Calculation 2 2 4 5 2" xfId="15582" xr:uid="{00000000-0005-0000-0000-0000FA010000}"/>
    <cellStyle name="Calculation 2 2 4 5 3" xfId="13478" xr:uid="{00000000-0005-0000-0000-0000FB010000}"/>
    <cellStyle name="Calculation 2 2 4 6" xfId="6106" xr:uid="{00000000-0005-0000-0000-0000FC010000}"/>
    <cellStyle name="Calculation 2 2 4 6 2" xfId="16787" xr:uid="{00000000-0005-0000-0000-0000FD010000}"/>
    <cellStyle name="Calculation 2 2 4 6 3" xfId="19624" xr:uid="{00000000-0005-0000-0000-0000FE010000}"/>
    <cellStyle name="Calculation 2 2 4 7" xfId="9142" xr:uid="{00000000-0005-0000-0000-0000FF010000}"/>
    <cellStyle name="Calculation 2 2 4 8" xfId="14477" xr:uid="{00000000-0005-0000-0000-000000020000}"/>
    <cellStyle name="Calculation 2 2 4 9" xfId="15286" xr:uid="{00000000-0005-0000-0000-000001020000}"/>
    <cellStyle name="Calculation 2 2 5" xfId="6307" xr:uid="{00000000-0005-0000-0000-000002020000}"/>
    <cellStyle name="Calculation 2 2 5 2" xfId="8015" xr:uid="{00000000-0005-0000-0000-000003020000}"/>
    <cellStyle name="Calculation 2 2 5 2 2" xfId="11991" xr:uid="{00000000-0005-0000-0000-000004020000}"/>
    <cellStyle name="Calculation 2 2 5 2 3" xfId="18232" xr:uid="{00000000-0005-0000-0000-000005020000}"/>
    <cellStyle name="Calculation 2 2 5 2 4" xfId="21533" xr:uid="{00000000-0005-0000-0000-000006020000}"/>
    <cellStyle name="Calculation 2 2 5 3" xfId="10854" xr:uid="{00000000-0005-0000-0000-000007020000}"/>
    <cellStyle name="Calculation 2 2 5 4" xfId="16941" xr:uid="{00000000-0005-0000-0000-000008020000}"/>
    <cellStyle name="Calculation 2 2 5 5" xfId="19825" xr:uid="{00000000-0005-0000-0000-000009020000}"/>
    <cellStyle name="Calculation 2 2 6" xfId="5521" xr:uid="{00000000-0005-0000-0000-00000A020000}"/>
    <cellStyle name="Calculation 2 2 6 2" xfId="7230" xr:uid="{00000000-0005-0000-0000-00000B020000}"/>
    <cellStyle name="Calculation 2 2 6 2 2" xfId="11351" xr:uid="{00000000-0005-0000-0000-00000C020000}"/>
    <cellStyle name="Calculation 2 2 6 2 3" xfId="17633" xr:uid="{00000000-0005-0000-0000-00000D020000}"/>
    <cellStyle name="Calculation 2 2 6 2 4" xfId="20748" xr:uid="{00000000-0005-0000-0000-00000E020000}"/>
    <cellStyle name="Calculation 2 2 6 3" xfId="10491" xr:uid="{00000000-0005-0000-0000-00000F020000}"/>
    <cellStyle name="Calculation 2 2 6 4" xfId="16342" xr:uid="{00000000-0005-0000-0000-000010020000}"/>
    <cellStyle name="Calculation 2 2 6 5" xfId="19039" xr:uid="{00000000-0005-0000-0000-000011020000}"/>
    <cellStyle name="Calculation 2 2 7" xfId="6210" xr:uid="{00000000-0005-0000-0000-000012020000}"/>
    <cellStyle name="Calculation 2 2 7 2" xfId="7918" xr:uid="{00000000-0005-0000-0000-000013020000}"/>
    <cellStyle name="Calculation 2 2 7 2 2" xfId="11895" xr:uid="{00000000-0005-0000-0000-000014020000}"/>
    <cellStyle name="Calculation 2 2 7 2 3" xfId="18170" xr:uid="{00000000-0005-0000-0000-000015020000}"/>
    <cellStyle name="Calculation 2 2 7 2 4" xfId="21436" xr:uid="{00000000-0005-0000-0000-000016020000}"/>
    <cellStyle name="Calculation 2 2 7 3" xfId="10848" xr:uid="{00000000-0005-0000-0000-000017020000}"/>
    <cellStyle name="Calculation 2 2 7 4" xfId="16878" xr:uid="{00000000-0005-0000-0000-000018020000}"/>
    <cellStyle name="Calculation 2 2 7 5" xfId="19728" xr:uid="{00000000-0005-0000-0000-000019020000}"/>
    <cellStyle name="Calculation 2 2 8" xfId="5431" xr:uid="{00000000-0005-0000-0000-00001A020000}"/>
    <cellStyle name="Calculation 2 2 8 2" xfId="7140" xr:uid="{00000000-0005-0000-0000-00001B020000}"/>
    <cellStyle name="Calculation 2 2 8 2 2" xfId="11274" xr:uid="{00000000-0005-0000-0000-00001C020000}"/>
    <cellStyle name="Calculation 2 2 8 2 3" xfId="17556" xr:uid="{00000000-0005-0000-0000-00001D020000}"/>
    <cellStyle name="Calculation 2 2 8 2 4" xfId="20658" xr:uid="{00000000-0005-0000-0000-00001E020000}"/>
    <cellStyle name="Calculation 2 2 8 3" xfId="10448" xr:uid="{00000000-0005-0000-0000-00001F020000}"/>
    <cellStyle name="Calculation 2 2 8 4" xfId="16266" xr:uid="{00000000-0005-0000-0000-000020020000}"/>
    <cellStyle name="Calculation 2 2 8 5" xfId="18949" xr:uid="{00000000-0005-0000-0000-000021020000}"/>
    <cellStyle name="Calculation 2 2 9" xfId="5782" xr:uid="{00000000-0005-0000-0000-000022020000}"/>
    <cellStyle name="Calculation 2 2 9 2" xfId="10558" xr:uid="{00000000-0005-0000-0000-000023020000}"/>
    <cellStyle name="Calculation 2 2 9 3" xfId="16555" xr:uid="{00000000-0005-0000-0000-000024020000}"/>
    <cellStyle name="Calculation 2 2 9 4" xfId="19300" xr:uid="{00000000-0005-0000-0000-000025020000}"/>
    <cellStyle name="Calculation 2 3" xfId="2667" xr:uid="{00000000-0005-0000-0000-000026020000}"/>
    <cellStyle name="Calculation 2 3 10" xfId="7513" xr:uid="{00000000-0005-0000-0000-000027020000}"/>
    <cellStyle name="Calculation 2 3 10 2" xfId="11556" xr:uid="{00000000-0005-0000-0000-000028020000}"/>
    <cellStyle name="Calculation 2 3 10 3" xfId="17862" xr:uid="{00000000-0005-0000-0000-000029020000}"/>
    <cellStyle name="Calculation 2 3 10 4" xfId="21031" xr:uid="{00000000-0005-0000-0000-00002A020000}"/>
    <cellStyle name="Calculation 2 3 11" xfId="4919" xr:uid="{00000000-0005-0000-0000-00002B020000}"/>
    <cellStyle name="Calculation 2 3 11 2" xfId="15889" xr:uid="{00000000-0005-0000-0000-00002C020000}"/>
    <cellStyle name="Calculation 2 3 11 3" xfId="13100" xr:uid="{00000000-0005-0000-0000-00002D020000}"/>
    <cellStyle name="Calculation 2 3 12" xfId="8824" xr:uid="{00000000-0005-0000-0000-00002E020000}"/>
    <cellStyle name="Calculation 2 3 13" xfId="14242" xr:uid="{00000000-0005-0000-0000-00002F020000}"/>
    <cellStyle name="Calculation 2 3 14" xfId="15261" xr:uid="{00000000-0005-0000-0000-000030020000}"/>
    <cellStyle name="Calculation 2 3 2" xfId="2726" xr:uid="{00000000-0005-0000-0000-000031020000}"/>
    <cellStyle name="Calculation 2 3 2 10" xfId="4941" xr:uid="{00000000-0005-0000-0000-000032020000}"/>
    <cellStyle name="Calculation 2 3 2 10 2" xfId="15911" xr:uid="{00000000-0005-0000-0000-000033020000}"/>
    <cellStyle name="Calculation 2 3 2 10 3" xfId="13078" xr:uid="{00000000-0005-0000-0000-000034020000}"/>
    <cellStyle name="Calculation 2 3 2 11" xfId="8881" xr:uid="{00000000-0005-0000-0000-000035020000}"/>
    <cellStyle name="Calculation 2 3 2 12" xfId="14287" xr:uid="{00000000-0005-0000-0000-000036020000}"/>
    <cellStyle name="Calculation 2 3 2 2" xfId="3216" xr:uid="{00000000-0005-0000-0000-000037020000}"/>
    <cellStyle name="Calculation 2 3 2 2 10" xfId="9346" xr:uid="{00000000-0005-0000-0000-000038020000}"/>
    <cellStyle name="Calculation 2 3 2 2 11" xfId="14652" xr:uid="{00000000-0005-0000-0000-000039020000}"/>
    <cellStyle name="Calculation 2 3 2 2 12" xfId="18410" xr:uid="{00000000-0005-0000-0000-00003A020000}"/>
    <cellStyle name="Calculation 2 3 2 2 2" xfId="3603" xr:uid="{00000000-0005-0000-0000-00003B020000}"/>
    <cellStyle name="Calculation 2 3 2 2 2 2" xfId="7964" xr:uid="{00000000-0005-0000-0000-00003C020000}"/>
    <cellStyle name="Calculation 2 3 2 2 2 2 2" xfId="11940" xr:uid="{00000000-0005-0000-0000-00003D020000}"/>
    <cellStyle name="Calculation 2 3 2 2 2 2 3" xfId="18192" xr:uid="{00000000-0005-0000-0000-00003E020000}"/>
    <cellStyle name="Calculation 2 3 2 2 2 2 4" xfId="21482" xr:uid="{00000000-0005-0000-0000-00003F020000}"/>
    <cellStyle name="Calculation 2 3 2 2 2 3" xfId="6256" xr:uid="{00000000-0005-0000-0000-000040020000}"/>
    <cellStyle name="Calculation 2 3 2 2 2 3 2" xfId="16900" xr:uid="{00000000-0005-0000-0000-000041020000}"/>
    <cellStyle name="Calculation 2 3 2 2 2 3 3" xfId="19774" xr:uid="{00000000-0005-0000-0000-000042020000}"/>
    <cellStyle name="Calculation 2 3 2 2 2 4" xfId="9695" xr:uid="{00000000-0005-0000-0000-000043020000}"/>
    <cellStyle name="Calculation 2 3 2 2 2 5" xfId="14932" xr:uid="{00000000-0005-0000-0000-000044020000}"/>
    <cellStyle name="Calculation 2 3 2 2 2 6" xfId="15533" xr:uid="{00000000-0005-0000-0000-000045020000}"/>
    <cellStyle name="Calculation 2 3 2 2 3" xfId="3986" xr:uid="{00000000-0005-0000-0000-000046020000}"/>
    <cellStyle name="Calculation 2 3 2 2 3 2" xfId="5125" xr:uid="{00000000-0005-0000-0000-000047020000}"/>
    <cellStyle name="Calculation 2 3 2 2 3 2 2" xfId="10365" xr:uid="{00000000-0005-0000-0000-000048020000}"/>
    <cellStyle name="Calculation 2 3 2 2 3 2 3" xfId="16057" xr:uid="{00000000-0005-0000-0000-000049020000}"/>
    <cellStyle name="Calculation 2 3 2 2 3 2 4" xfId="12794" xr:uid="{00000000-0005-0000-0000-00004A020000}"/>
    <cellStyle name="Calculation 2 3 2 2 3 3" xfId="5277" xr:uid="{00000000-0005-0000-0000-00004B020000}"/>
    <cellStyle name="Calculation 2 3 2 2 3 3 2" xfId="16155" xr:uid="{00000000-0005-0000-0000-00004C020000}"/>
    <cellStyle name="Calculation 2 3 2 2 3 3 3" xfId="12746" xr:uid="{00000000-0005-0000-0000-00004D020000}"/>
    <cellStyle name="Calculation 2 3 2 2 3 4" xfId="9905" xr:uid="{00000000-0005-0000-0000-00004E020000}"/>
    <cellStyle name="Calculation 2 3 2 2 3 5" xfId="15208" xr:uid="{00000000-0005-0000-0000-00004F020000}"/>
    <cellStyle name="Calculation 2 3 2 2 3 6" xfId="14005" xr:uid="{00000000-0005-0000-0000-000050020000}"/>
    <cellStyle name="Calculation 2 3 2 2 4" xfId="4369" xr:uid="{00000000-0005-0000-0000-000051020000}"/>
    <cellStyle name="Calculation 2 3 2 2 4 2" xfId="8271" xr:uid="{00000000-0005-0000-0000-000052020000}"/>
    <cellStyle name="Calculation 2 3 2 2 4 2 2" xfId="12239" xr:uid="{00000000-0005-0000-0000-000053020000}"/>
    <cellStyle name="Calculation 2 3 2 2 4 2 3" xfId="18425" xr:uid="{00000000-0005-0000-0000-000054020000}"/>
    <cellStyle name="Calculation 2 3 2 2 4 2 4" xfId="21789" xr:uid="{00000000-0005-0000-0000-000055020000}"/>
    <cellStyle name="Calculation 2 3 2 2 4 3" xfId="6563" xr:uid="{00000000-0005-0000-0000-000056020000}"/>
    <cellStyle name="Calculation 2 3 2 2 4 3 2" xfId="17134" xr:uid="{00000000-0005-0000-0000-000057020000}"/>
    <cellStyle name="Calculation 2 3 2 2 4 3 3" xfId="20081" xr:uid="{00000000-0005-0000-0000-000058020000}"/>
    <cellStyle name="Calculation 2 3 2 2 4 4" xfId="10083" xr:uid="{00000000-0005-0000-0000-000059020000}"/>
    <cellStyle name="Calculation 2 3 2 2 4 5" xfId="15483" xr:uid="{00000000-0005-0000-0000-00005A020000}"/>
    <cellStyle name="Calculation 2 3 2 2 4 6" xfId="13636" xr:uid="{00000000-0005-0000-0000-00005B020000}"/>
    <cellStyle name="Calculation 2 3 2 2 5" xfId="4751" xr:uid="{00000000-0005-0000-0000-00005C020000}"/>
    <cellStyle name="Calculation 2 3 2 2 5 2" xfId="8503" xr:uid="{00000000-0005-0000-0000-00005D020000}"/>
    <cellStyle name="Calculation 2 3 2 2 5 2 2" xfId="12471" xr:uid="{00000000-0005-0000-0000-00005E020000}"/>
    <cellStyle name="Calculation 2 3 2 2 5 2 3" xfId="18596" xr:uid="{00000000-0005-0000-0000-00005F020000}"/>
    <cellStyle name="Calculation 2 3 2 2 5 2 4" xfId="22021" xr:uid="{00000000-0005-0000-0000-000060020000}"/>
    <cellStyle name="Calculation 2 3 2 2 5 3" xfId="6795" xr:uid="{00000000-0005-0000-0000-000061020000}"/>
    <cellStyle name="Calculation 2 3 2 2 5 3 2" xfId="17304" xr:uid="{00000000-0005-0000-0000-000062020000}"/>
    <cellStyle name="Calculation 2 3 2 2 5 3 3" xfId="20313" xr:uid="{00000000-0005-0000-0000-000063020000}"/>
    <cellStyle name="Calculation 2 3 2 2 5 4" xfId="10260" xr:uid="{00000000-0005-0000-0000-000064020000}"/>
    <cellStyle name="Calculation 2 3 2 2 5 5" xfId="15756" xr:uid="{00000000-0005-0000-0000-000065020000}"/>
    <cellStyle name="Calculation 2 3 2 2 5 6" xfId="13254" xr:uid="{00000000-0005-0000-0000-000066020000}"/>
    <cellStyle name="Calculation 2 3 2 2 6" xfId="7027" xr:uid="{00000000-0005-0000-0000-000067020000}"/>
    <cellStyle name="Calculation 2 3 2 2 6 2" xfId="8735" xr:uid="{00000000-0005-0000-0000-000068020000}"/>
    <cellStyle name="Calculation 2 3 2 2 6 2 2" xfId="12703" xr:uid="{00000000-0005-0000-0000-000069020000}"/>
    <cellStyle name="Calculation 2 3 2 2 6 2 3" xfId="18768" xr:uid="{00000000-0005-0000-0000-00006A020000}"/>
    <cellStyle name="Calculation 2 3 2 2 6 2 4" xfId="22253" xr:uid="{00000000-0005-0000-0000-00006B020000}"/>
    <cellStyle name="Calculation 2 3 2 2 6 3" xfId="11161" xr:uid="{00000000-0005-0000-0000-00006C020000}"/>
    <cellStyle name="Calculation 2 3 2 2 6 4" xfId="17475" xr:uid="{00000000-0005-0000-0000-00006D020000}"/>
    <cellStyle name="Calculation 2 3 2 2 6 5" xfId="20545" xr:uid="{00000000-0005-0000-0000-00006E020000}"/>
    <cellStyle name="Calculation 2 3 2 2 7" xfId="6015" xr:uid="{00000000-0005-0000-0000-00006F020000}"/>
    <cellStyle name="Calculation 2 3 2 2 7 2" xfId="10756" xr:uid="{00000000-0005-0000-0000-000070020000}"/>
    <cellStyle name="Calculation 2 3 2 2 7 3" xfId="16714" xr:uid="{00000000-0005-0000-0000-000071020000}"/>
    <cellStyle name="Calculation 2 3 2 2 7 4" xfId="19533" xr:uid="{00000000-0005-0000-0000-000072020000}"/>
    <cellStyle name="Calculation 2 3 2 2 8" xfId="7723" xr:uid="{00000000-0005-0000-0000-000073020000}"/>
    <cellStyle name="Calculation 2 3 2 2 8 2" xfId="11744" xr:uid="{00000000-0005-0000-0000-000074020000}"/>
    <cellStyle name="Calculation 2 3 2 2 8 3" xfId="18006" xr:uid="{00000000-0005-0000-0000-000075020000}"/>
    <cellStyle name="Calculation 2 3 2 2 8 4" xfId="21241" xr:uid="{00000000-0005-0000-0000-000076020000}"/>
    <cellStyle name="Calculation 2 3 2 2 9" xfId="5209" xr:uid="{00000000-0005-0000-0000-000077020000}"/>
    <cellStyle name="Calculation 2 3 2 2 9 2" xfId="16102" xr:uid="{00000000-0005-0000-0000-000078020000}"/>
    <cellStyle name="Calculation 2 3 2 2 9 3" xfId="12766" xr:uid="{00000000-0005-0000-0000-000079020000}"/>
    <cellStyle name="Calculation 2 3 2 3" xfId="3273" xr:uid="{00000000-0005-0000-0000-00007A020000}"/>
    <cellStyle name="Calculation 2 3 2 3 2" xfId="3660" xr:uid="{00000000-0005-0000-0000-00007B020000}"/>
    <cellStyle name="Calculation 2 3 2 3 2 2" xfId="7312" xr:uid="{00000000-0005-0000-0000-00007C020000}"/>
    <cellStyle name="Calculation 2 3 2 3 2 2 2" xfId="17705" xr:uid="{00000000-0005-0000-0000-00007D020000}"/>
    <cellStyle name="Calculation 2 3 2 3 2 2 3" xfId="20830" xr:uid="{00000000-0005-0000-0000-00007E020000}"/>
    <cellStyle name="Calculation 2 3 2 3 2 3" xfId="9744" xr:uid="{00000000-0005-0000-0000-00007F020000}"/>
    <cellStyle name="Calculation 2 3 2 3 2 4" xfId="14974" xr:uid="{00000000-0005-0000-0000-000080020000}"/>
    <cellStyle name="Calculation 2 3 2 3 2 5" xfId="15754" xr:uid="{00000000-0005-0000-0000-000081020000}"/>
    <cellStyle name="Calculation 2 3 2 3 3" xfId="4043" xr:uid="{00000000-0005-0000-0000-000082020000}"/>
    <cellStyle name="Calculation 2 3 2 3 3 2" xfId="15249" xr:uid="{00000000-0005-0000-0000-000083020000}"/>
    <cellStyle name="Calculation 2 3 2 3 3 3" xfId="13948" xr:uid="{00000000-0005-0000-0000-000084020000}"/>
    <cellStyle name="Calculation 2 3 2 3 4" xfId="4426" xr:uid="{00000000-0005-0000-0000-000085020000}"/>
    <cellStyle name="Calculation 2 3 2 3 4 2" xfId="15525" xr:uid="{00000000-0005-0000-0000-000086020000}"/>
    <cellStyle name="Calculation 2 3 2 3 4 3" xfId="13579" xr:uid="{00000000-0005-0000-0000-000087020000}"/>
    <cellStyle name="Calculation 2 3 2 3 5" xfId="4808" xr:uid="{00000000-0005-0000-0000-000088020000}"/>
    <cellStyle name="Calculation 2 3 2 3 5 2" xfId="15797" xr:uid="{00000000-0005-0000-0000-000089020000}"/>
    <cellStyle name="Calculation 2 3 2 3 5 3" xfId="13198" xr:uid="{00000000-0005-0000-0000-00008A020000}"/>
    <cellStyle name="Calculation 2 3 2 3 6" xfId="5603" xr:uid="{00000000-0005-0000-0000-00008B020000}"/>
    <cellStyle name="Calculation 2 3 2 3 6 2" xfId="16414" xr:uid="{00000000-0005-0000-0000-00008C020000}"/>
    <cellStyle name="Calculation 2 3 2 3 6 3" xfId="19121" xr:uid="{00000000-0005-0000-0000-00008D020000}"/>
    <cellStyle name="Calculation 2 3 2 3 7" xfId="9403" xr:uid="{00000000-0005-0000-0000-00008E020000}"/>
    <cellStyle name="Calculation 2 3 2 3 8" xfId="14694" xr:uid="{00000000-0005-0000-0000-00008F020000}"/>
    <cellStyle name="Calculation 2 3 2 3 9" xfId="16677" xr:uid="{00000000-0005-0000-0000-000090020000}"/>
    <cellStyle name="Calculation 2 3 2 4" xfId="2891" xr:uid="{00000000-0005-0000-0000-000091020000}"/>
    <cellStyle name="Calculation 2 3 2 4 2" xfId="7170" xr:uid="{00000000-0005-0000-0000-000092020000}"/>
    <cellStyle name="Calculation 2 3 2 4 2 2" xfId="11300" xr:uid="{00000000-0005-0000-0000-000093020000}"/>
    <cellStyle name="Calculation 2 3 2 4 2 3" xfId="17581" xr:uid="{00000000-0005-0000-0000-000094020000}"/>
    <cellStyle name="Calculation 2 3 2 4 2 4" xfId="20688" xr:uid="{00000000-0005-0000-0000-000095020000}"/>
    <cellStyle name="Calculation 2 3 2 4 3" xfId="5461" xr:uid="{00000000-0005-0000-0000-000096020000}"/>
    <cellStyle name="Calculation 2 3 2 4 3 2" xfId="16291" xr:uid="{00000000-0005-0000-0000-000097020000}"/>
    <cellStyle name="Calculation 2 3 2 4 3 3" xfId="18979" xr:uid="{00000000-0005-0000-0000-000098020000}"/>
    <cellStyle name="Calculation 2 3 2 4 4" xfId="9043" xr:uid="{00000000-0005-0000-0000-000099020000}"/>
    <cellStyle name="Calculation 2 3 2 4 5" xfId="14420" xr:uid="{00000000-0005-0000-0000-00009A020000}"/>
    <cellStyle name="Calculation 2 3 2 4 6" xfId="15115" xr:uid="{00000000-0005-0000-0000-00009B020000}"/>
    <cellStyle name="Calculation 2 3 2 5" xfId="6399" xr:uid="{00000000-0005-0000-0000-00009C020000}"/>
    <cellStyle name="Calculation 2 3 2 5 2" xfId="8107" xr:uid="{00000000-0005-0000-0000-00009D020000}"/>
    <cellStyle name="Calculation 2 3 2 5 2 2" xfId="12075" xr:uid="{00000000-0005-0000-0000-00009E020000}"/>
    <cellStyle name="Calculation 2 3 2 5 2 3" xfId="18313" xr:uid="{00000000-0005-0000-0000-00009F020000}"/>
    <cellStyle name="Calculation 2 3 2 5 2 4" xfId="21625" xr:uid="{00000000-0005-0000-0000-0000A0020000}"/>
    <cellStyle name="Calculation 2 3 2 5 3" xfId="10917" xr:uid="{00000000-0005-0000-0000-0000A1020000}"/>
    <cellStyle name="Calculation 2 3 2 5 4" xfId="17022" xr:uid="{00000000-0005-0000-0000-0000A2020000}"/>
    <cellStyle name="Calculation 2 3 2 5 5" xfId="19917" xr:uid="{00000000-0005-0000-0000-0000A3020000}"/>
    <cellStyle name="Calculation 2 3 2 6" xfId="6631" xr:uid="{00000000-0005-0000-0000-0000A4020000}"/>
    <cellStyle name="Calculation 2 3 2 6 2" xfId="8339" xr:uid="{00000000-0005-0000-0000-0000A5020000}"/>
    <cellStyle name="Calculation 2 3 2 6 2 2" xfId="12307" xr:uid="{00000000-0005-0000-0000-0000A6020000}"/>
    <cellStyle name="Calculation 2 3 2 6 2 3" xfId="18484" xr:uid="{00000000-0005-0000-0000-0000A7020000}"/>
    <cellStyle name="Calculation 2 3 2 6 2 4" xfId="21857" xr:uid="{00000000-0005-0000-0000-0000A8020000}"/>
    <cellStyle name="Calculation 2 3 2 6 3" xfId="10957" xr:uid="{00000000-0005-0000-0000-0000A9020000}"/>
    <cellStyle name="Calculation 2 3 2 6 4" xfId="17193" xr:uid="{00000000-0005-0000-0000-0000AA020000}"/>
    <cellStyle name="Calculation 2 3 2 6 5" xfId="20149" xr:uid="{00000000-0005-0000-0000-0000AB020000}"/>
    <cellStyle name="Calculation 2 3 2 7" xfId="6863" xr:uid="{00000000-0005-0000-0000-0000AC020000}"/>
    <cellStyle name="Calculation 2 3 2 7 2" xfId="8571" xr:uid="{00000000-0005-0000-0000-0000AD020000}"/>
    <cellStyle name="Calculation 2 3 2 7 2 2" xfId="12539" xr:uid="{00000000-0005-0000-0000-0000AE020000}"/>
    <cellStyle name="Calculation 2 3 2 7 2 3" xfId="18655" xr:uid="{00000000-0005-0000-0000-0000AF020000}"/>
    <cellStyle name="Calculation 2 3 2 7 2 4" xfId="22089" xr:uid="{00000000-0005-0000-0000-0000B0020000}"/>
    <cellStyle name="Calculation 2 3 2 7 3" xfId="10997" xr:uid="{00000000-0005-0000-0000-0000B1020000}"/>
    <cellStyle name="Calculation 2 3 2 7 4" xfId="17363" xr:uid="{00000000-0005-0000-0000-0000B2020000}"/>
    <cellStyle name="Calculation 2 3 2 7 5" xfId="20381" xr:uid="{00000000-0005-0000-0000-0000B3020000}"/>
    <cellStyle name="Calculation 2 3 2 8" xfId="5844" xr:uid="{00000000-0005-0000-0000-0000B4020000}"/>
    <cellStyle name="Calculation 2 3 2 8 2" xfId="10592" xr:uid="{00000000-0005-0000-0000-0000B5020000}"/>
    <cellStyle name="Calculation 2 3 2 8 3" xfId="16599" xr:uid="{00000000-0005-0000-0000-0000B6020000}"/>
    <cellStyle name="Calculation 2 3 2 8 4" xfId="19362" xr:uid="{00000000-0005-0000-0000-0000B7020000}"/>
    <cellStyle name="Calculation 2 3 2 9" xfId="7552" xr:uid="{00000000-0005-0000-0000-0000B8020000}"/>
    <cellStyle name="Calculation 2 3 2 9 2" xfId="11580" xr:uid="{00000000-0005-0000-0000-0000B9020000}"/>
    <cellStyle name="Calculation 2 3 2 9 3" xfId="17891" xr:uid="{00000000-0005-0000-0000-0000BA020000}"/>
    <cellStyle name="Calculation 2 3 2 9 4" xfId="21070" xr:uid="{00000000-0005-0000-0000-0000BB020000}"/>
    <cellStyle name="Calculation 2 3 3" xfId="3159" xr:uid="{00000000-0005-0000-0000-0000BC020000}"/>
    <cellStyle name="Calculation 2 3 3 10" xfId="9289" xr:uid="{00000000-0005-0000-0000-0000BD020000}"/>
    <cellStyle name="Calculation 2 3 3 11" xfId="14610" xr:uid="{00000000-0005-0000-0000-0000BE020000}"/>
    <cellStyle name="Calculation 2 3 3 12" xfId="14943" xr:uid="{00000000-0005-0000-0000-0000BF020000}"/>
    <cellStyle name="Calculation 2 3 3 2" xfId="3546" xr:uid="{00000000-0005-0000-0000-0000C0020000}"/>
    <cellStyle name="Calculation 2 3 3 2 2" xfId="7279" xr:uid="{00000000-0005-0000-0000-0000C1020000}"/>
    <cellStyle name="Calculation 2 3 3 2 2 2" xfId="11384" xr:uid="{00000000-0005-0000-0000-0000C2020000}"/>
    <cellStyle name="Calculation 2 3 3 2 2 3" xfId="17677" xr:uid="{00000000-0005-0000-0000-0000C3020000}"/>
    <cellStyle name="Calculation 2 3 3 2 2 4" xfId="20797" xr:uid="{00000000-0005-0000-0000-0000C4020000}"/>
    <cellStyle name="Calculation 2 3 3 2 3" xfId="5570" xr:uid="{00000000-0005-0000-0000-0000C5020000}"/>
    <cellStyle name="Calculation 2 3 3 2 3 2" xfId="16386" xr:uid="{00000000-0005-0000-0000-0000C6020000}"/>
    <cellStyle name="Calculation 2 3 3 2 3 3" xfId="19088" xr:uid="{00000000-0005-0000-0000-0000C7020000}"/>
    <cellStyle name="Calculation 2 3 3 2 4" xfId="9638" xr:uid="{00000000-0005-0000-0000-0000C8020000}"/>
    <cellStyle name="Calculation 2 3 3 2 5" xfId="14890" xr:uid="{00000000-0005-0000-0000-0000C9020000}"/>
    <cellStyle name="Calculation 2 3 3 2 6" xfId="18397" xr:uid="{00000000-0005-0000-0000-0000CA020000}"/>
    <cellStyle name="Calculation 2 3 3 3" xfId="3929" xr:uid="{00000000-0005-0000-0000-0000CB020000}"/>
    <cellStyle name="Calculation 2 3 3 3 2" xfId="7081" xr:uid="{00000000-0005-0000-0000-0000CC020000}"/>
    <cellStyle name="Calculation 2 3 3 3 2 2" xfId="11215" xr:uid="{00000000-0005-0000-0000-0000CD020000}"/>
    <cellStyle name="Calculation 2 3 3 3 2 3" xfId="17514" xr:uid="{00000000-0005-0000-0000-0000CE020000}"/>
    <cellStyle name="Calculation 2 3 3 3 2 4" xfId="20599" xr:uid="{00000000-0005-0000-0000-0000CF020000}"/>
    <cellStyle name="Calculation 2 3 3 3 3" xfId="5372" xr:uid="{00000000-0005-0000-0000-0000D0020000}"/>
    <cellStyle name="Calculation 2 3 3 3 3 2" xfId="16224" xr:uid="{00000000-0005-0000-0000-0000D1020000}"/>
    <cellStyle name="Calculation 2 3 3 3 3 3" xfId="18890" xr:uid="{00000000-0005-0000-0000-0000D2020000}"/>
    <cellStyle name="Calculation 2 3 3 3 4" xfId="9852" xr:uid="{00000000-0005-0000-0000-0000D3020000}"/>
    <cellStyle name="Calculation 2 3 3 3 5" xfId="15166" xr:uid="{00000000-0005-0000-0000-0000D4020000}"/>
    <cellStyle name="Calculation 2 3 3 3 6" xfId="14062" xr:uid="{00000000-0005-0000-0000-0000D5020000}"/>
    <cellStyle name="Calculation 2 3 3 4" xfId="4312" xr:uid="{00000000-0005-0000-0000-0000D6020000}"/>
    <cellStyle name="Calculation 2 3 3 4 2" xfId="8181" xr:uid="{00000000-0005-0000-0000-0000D7020000}"/>
    <cellStyle name="Calculation 2 3 3 4 2 2" xfId="12149" xr:uid="{00000000-0005-0000-0000-0000D8020000}"/>
    <cellStyle name="Calculation 2 3 3 4 2 3" xfId="18376" xr:uid="{00000000-0005-0000-0000-0000D9020000}"/>
    <cellStyle name="Calculation 2 3 3 4 2 4" xfId="21699" xr:uid="{00000000-0005-0000-0000-0000DA020000}"/>
    <cellStyle name="Calculation 2 3 3 4 3" xfId="6473" xr:uid="{00000000-0005-0000-0000-0000DB020000}"/>
    <cellStyle name="Calculation 2 3 3 4 3 2" xfId="17085" xr:uid="{00000000-0005-0000-0000-0000DC020000}"/>
    <cellStyle name="Calculation 2 3 3 4 3 3" xfId="19991" xr:uid="{00000000-0005-0000-0000-0000DD020000}"/>
    <cellStyle name="Calculation 2 3 3 4 4" xfId="10030" xr:uid="{00000000-0005-0000-0000-0000DE020000}"/>
    <cellStyle name="Calculation 2 3 3 4 5" xfId="15441" xr:uid="{00000000-0005-0000-0000-0000DF020000}"/>
    <cellStyle name="Calculation 2 3 3 4 6" xfId="13693" xr:uid="{00000000-0005-0000-0000-0000E0020000}"/>
    <cellStyle name="Calculation 2 3 3 5" xfId="4694" xr:uid="{00000000-0005-0000-0000-0000E1020000}"/>
    <cellStyle name="Calculation 2 3 3 5 2" xfId="8413" xr:uid="{00000000-0005-0000-0000-0000E2020000}"/>
    <cellStyle name="Calculation 2 3 3 5 2 2" xfId="12381" xr:uid="{00000000-0005-0000-0000-0000E3020000}"/>
    <cellStyle name="Calculation 2 3 3 5 2 3" xfId="18547" xr:uid="{00000000-0005-0000-0000-0000E4020000}"/>
    <cellStyle name="Calculation 2 3 3 5 2 4" xfId="21931" xr:uid="{00000000-0005-0000-0000-0000E5020000}"/>
    <cellStyle name="Calculation 2 3 3 5 3" xfId="6705" xr:uid="{00000000-0005-0000-0000-0000E6020000}"/>
    <cellStyle name="Calculation 2 3 3 5 3 2" xfId="17256" xr:uid="{00000000-0005-0000-0000-0000E7020000}"/>
    <cellStyle name="Calculation 2 3 3 5 3 3" xfId="20223" xr:uid="{00000000-0005-0000-0000-0000E8020000}"/>
    <cellStyle name="Calculation 2 3 3 5 4" xfId="10207" xr:uid="{00000000-0005-0000-0000-0000E9020000}"/>
    <cellStyle name="Calculation 2 3 3 5 5" xfId="15715" xr:uid="{00000000-0005-0000-0000-0000EA020000}"/>
    <cellStyle name="Calculation 2 3 3 5 6" xfId="13311" xr:uid="{00000000-0005-0000-0000-0000EB020000}"/>
    <cellStyle name="Calculation 2 3 3 6" xfId="6937" xr:uid="{00000000-0005-0000-0000-0000EC020000}"/>
    <cellStyle name="Calculation 2 3 3 6 2" xfId="8645" xr:uid="{00000000-0005-0000-0000-0000ED020000}"/>
    <cellStyle name="Calculation 2 3 3 6 2 2" xfId="12613" xr:uid="{00000000-0005-0000-0000-0000EE020000}"/>
    <cellStyle name="Calculation 2 3 3 6 2 3" xfId="18718" xr:uid="{00000000-0005-0000-0000-0000EF020000}"/>
    <cellStyle name="Calculation 2 3 3 6 2 4" xfId="22163" xr:uid="{00000000-0005-0000-0000-0000F0020000}"/>
    <cellStyle name="Calculation 2 3 3 6 3" xfId="11071" xr:uid="{00000000-0005-0000-0000-0000F1020000}"/>
    <cellStyle name="Calculation 2 3 3 6 4" xfId="17426" xr:uid="{00000000-0005-0000-0000-0000F2020000}"/>
    <cellStyle name="Calculation 2 3 3 6 5" xfId="20455" xr:uid="{00000000-0005-0000-0000-0000F3020000}"/>
    <cellStyle name="Calculation 2 3 3 7" xfId="5925" xr:uid="{00000000-0005-0000-0000-0000F4020000}"/>
    <cellStyle name="Calculation 2 3 3 7 2" xfId="10666" xr:uid="{00000000-0005-0000-0000-0000F5020000}"/>
    <cellStyle name="Calculation 2 3 3 7 3" xfId="16664" xr:uid="{00000000-0005-0000-0000-0000F6020000}"/>
    <cellStyle name="Calculation 2 3 3 7 4" xfId="19443" xr:uid="{00000000-0005-0000-0000-0000F7020000}"/>
    <cellStyle name="Calculation 2 3 3 8" xfId="7633" xr:uid="{00000000-0005-0000-0000-0000F8020000}"/>
    <cellStyle name="Calculation 2 3 3 8 2" xfId="11654" xr:uid="{00000000-0005-0000-0000-0000F9020000}"/>
    <cellStyle name="Calculation 2 3 3 8 3" xfId="17956" xr:uid="{00000000-0005-0000-0000-0000FA020000}"/>
    <cellStyle name="Calculation 2 3 3 8 4" xfId="21151" xr:uid="{00000000-0005-0000-0000-0000FB020000}"/>
    <cellStyle name="Calculation 2 3 3 9" xfId="5021" xr:uid="{00000000-0005-0000-0000-0000FC020000}"/>
    <cellStyle name="Calculation 2 3 3 9 2" xfId="15979" xr:uid="{00000000-0005-0000-0000-0000FD020000}"/>
    <cellStyle name="Calculation 2 3 3 9 3" xfId="12998" xr:uid="{00000000-0005-0000-0000-0000FE020000}"/>
    <cellStyle name="Calculation 2 3 4" xfId="3063" xr:uid="{00000000-0005-0000-0000-0000FF020000}"/>
    <cellStyle name="Calculation 2 3 4 2" xfId="3450" xr:uid="{00000000-0005-0000-0000-000000030000}"/>
    <cellStyle name="Calculation 2 3 4 2 2" xfId="7787" xr:uid="{00000000-0005-0000-0000-000001030000}"/>
    <cellStyle name="Calculation 2 3 4 2 2 2" xfId="18055" xr:uid="{00000000-0005-0000-0000-000002030000}"/>
    <cellStyle name="Calculation 2 3 4 2 2 3" xfId="21305" xr:uid="{00000000-0005-0000-0000-000003030000}"/>
    <cellStyle name="Calculation 2 3 4 2 3" xfId="9557" xr:uid="{00000000-0005-0000-0000-000004030000}"/>
    <cellStyle name="Calculation 2 3 4 2 4" xfId="14813" xr:uid="{00000000-0005-0000-0000-000005030000}"/>
    <cellStyle name="Calculation 2 3 4 2 5" xfId="17451" xr:uid="{00000000-0005-0000-0000-000006030000}"/>
    <cellStyle name="Calculation 2 3 4 3" xfId="3833" xr:uid="{00000000-0005-0000-0000-000007030000}"/>
    <cellStyle name="Calculation 2 3 4 3 2" xfId="15089" xr:uid="{00000000-0005-0000-0000-000008030000}"/>
    <cellStyle name="Calculation 2 3 4 3 3" xfId="14190" xr:uid="{00000000-0005-0000-0000-000009030000}"/>
    <cellStyle name="Calculation 2 3 4 4" xfId="4216" xr:uid="{00000000-0005-0000-0000-00000A030000}"/>
    <cellStyle name="Calculation 2 3 4 4 2" xfId="15364" xr:uid="{00000000-0005-0000-0000-00000B030000}"/>
    <cellStyle name="Calculation 2 3 4 4 3" xfId="13789" xr:uid="{00000000-0005-0000-0000-00000C030000}"/>
    <cellStyle name="Calculation 2 3 4 5" xfId="4598" xr:uid="{00000000-0005-0000-0000-00000D030000}"/>
    <cellStyle name="Calculation 2 3 4 5 2" xfId="15638" xr:uid="{00000000-0005-0000-0000-00000E030000}"/>
    <cellStyle name="Calculation 2 3 4 5 3" xfId="13407" xr:uid="{00000000-0005-0000-0000-00000F030000}"/>
    <cellStyle name="Calculation 2 3 4 6" xfId="6079" xr:uid="{00000000-0005-0000-0000-000010030000}"/>
    <cellStyle name="Calculation 2 3 4 6 2" xfId="16763" xr:uid="{00000000-0005-0000-0000-000011030000}"/>
    <cellStyle name="Calculation 2 3 4 6 3" xfId="19597" xr:uid="{00000000-0005-0000-0000-000012030000}"/>
    <cellStyle name="Calculation 2 3 4 7" xfId="9203" xr:uid="{00000000-0005-0000-0000-000013030000}"/>
    <cellStyle name="Calculation 2 3 4 8" xfId="14533" xr:uid="{00000000-0005-0000-0000-000014030000}"/>
    <cellStyle name="Calculation 2 3 4 9" xfId="18156" xr:uid="{00000000-0005-0000-0000-000015030000}"/>
    <cellStyle name="Calculation 2 3 5" xfId="2867" xr:uid="{00000000-0005-0000-0000-000016030000}"/>
    <cellStyle name="Calculation 2 3 5 2" xfId="5122" xr:uid="{00000000-0005-0000-0000-000017030000}"/>
    <cellStyle name="Calculation 2 3 5 2 2" xfId="10363" xr:uid="{00000000-0005-0000-0000-000018030000}"/>
    <cellStyle name="Calculation 2 3 5 2 3" xfId="16054" xr:uid="{00000000-0005-0000-0000-000019030000}"/>
    <cellStyle name="Calculation 2 3 5 2 4" xfId="14161" xr:uid="{00000000-0005-0000-0000-00001A030000}"/>
    <cellStyle name="Calculation 2 3 5 3" xfId="5280" xr:uid="{00000000-0005-0000-0000-00001B030000}"/>
    <cellStyle name="Calculation 2 3 5 3 2" xfId="16158" xr:uid="{00000000-0005-0000-0000-00001C030000}"/>
    <cellStyle name="Calculation 2 3 5 3 3" xfId="18798" xr:uid="{00000000-0005-0000-0000-00001D030000}"/>
    <cellStyle name="Calculation 2 3 5 4" xfId="9020" xr:uid="{00000000-0005-0000-0000-00001E030000}"/>
    <cellStyle name="Calculation 2 3 5 5" xfId="14403" xr:uid="{00000000-0005-0000-0000-00001F030000}"/>
    <cellStyle name="Calculation 2 3 5 6" xfId="17126" xr:uid="{00000000-0005-0000-0000-000020030000}"/>
    <cellStyle name="Calculation 2 3 6" xfId="6377" xr:uid="{00000000-0005-0000-0000-000021030000}"/>
    <cellStyle name="Calculation 2 3 6 2" xfId="8085" xr:uid="{00000000-0005-0000-0000-000022030000}"/>
    <cellStyle name="Calculation 2 3 6 2 2" xfId="12053" xr:uid="{00000000-0005-0000-0000-000023030000}"/>
    <cellStyle name="Calculation 2 3 6 2 3" xfId="18291" xr:uid="{00000000-0005-0000-0000-000024030000}"/>
    <cellStyle name="Calculation 2 3 6 2 4" xfId="21603" xr:uid="{00000000-0005-0000-0000-000025030000}"/>
    <cellStyle name="Calculation 2 3 6 3" xfId="10895" xr:uid="{00000000-0005-0000-0000-000026030000}"/>
    <cellStyle name="Calculation 2 3 6 4" xfId="17000" xr:uid="{00000000-0005-0000-0000-000027030000}"/>
    <cellStyle name="Calculation 2 3 6 5" xfId="19895" xr:uid="{00000000-0005-0000-0000-000028030000}"/>
    <cellStyle name="Calculation 2 3 7" xfId="6609" xr:uid="{00000000-0005-0000-0000-000029030000}"/>
    <cellStyle name="Calculation 2 3 7 2" xfId="8317" xr:uid="{00000000-0005-0000-0000-00002A030000}"/>
    <cellStyle name="Calculation 2 3 7 2 2" xfId="12285" xr:uid="{00000000-0005-0000-0000-00002B030000}"/>
    <cellStyle name="Calculation 2 3 7 2 3" xfId="18462" xr:uid="{00000000-0005-0000-0000-00002C030000}"/>
    <cellStyle name="Calculation 2 3 7 2 4" xfId="21835" xr:uid="{00000000-0005-0000-0000-00002D030000}"/>
    <cellStyle name="Calculation 2 3 7 3" xfId="10935" xr:uid="{00000000-0005-0000-0000-00002E030000}"/>
    <cellStyle name="Calculation 2 3 7 4" xfId="17171" xr:uid="{00000000-0005-0000-0000-00002F030000}"/>
    <cellStyle name="Calculation 2 3 7 5" xfId="20127" xr:uid="{00000000-0005-0000-0000-000030030000}"/>
    <cellStyle name="Calculation 2 3 8" xfId="6841" xr:uid="{00000000-0005-0000-0000-000031030000}"/>
    <cellStyle name="Calculation 2 3 8 2" xfId="8549" xr:uid="{00000000-0005-0000-0000-000032030000}"/>
    <cellStyle name="Calculation 2 3 8 2 2" xfId="12517" xr:uid="{00000000-0005-0000-0000-000033030000}"/>
    <cellStyle name="Calculation 2 3 8 2 3" xfId="18633" xr:uid="{00000000-0005-0000-0000-000034030000}"/>
    <cellStyle name="Calculation 2 3 8 2 4" xfId="22067" xr:uid="{00000000-0005-0000-0000-000035030000}"/>
    <cellStyle name="Calculation 2 3 8 3" xfId="10975" xr:uid="{00000000-0005-0000-0000-000036030000}"/>
    <cellStyle name="Calculation 2 3 8 4" xfId="17341" xr:uid="{00000000-0005-0000-0000-000037030000}"/>
    <cellStyle name="Calculation 2 3 8 5" xfId="20359" xr:uid="{00000000-0005-0000-0000-000038030000}"/>
    <cellStyle name="Calculation 2 3 9" xfId="5805" xr:uid="{00000000-0005-0000-0000-000039030000}"/>
    <cellStyle name="Calculation 2 3 9 2" xfId="10570" xr:uid="{00000000-0005-0000-0000-00003A030000}"/>
    <cellStyle name="Calculation 2 3 9 3" xfId="16570" xr:uid="{00000000-0005-0000-0000-00003B030000}"/>
    <cellStyle name="Calculation 2 3 9 4" xfId="19323" xr:uid="{00000000-0005-0000-0000-00003C030000}"/>
    <cellStyle name="Calculation 2 4" xfId="2832" xr:uid="{00000000-0005-0000-0000-00003D030000}"/>
    <cellStyle name="Calculation 2 4 10" xfId="8985" xr:uid="{00000000-0005-0000-0000-00003E030000}"/>
    <cellStyle name="Calculation 2 4 11" xfId="14373" xr:uid="{00000000-0005-0000-0000-00003F030000}"/>
    <cellStyle name="Calculation 2 4 12" xfId="14221" xr:uid="{00000000-0005-0000-0000-000040030000}"/>
    <cellStyle name="Calculation 2 4 2" xfId="2765" xr:uid="{00000000-0005-0000-0000-000041030000}"/>
    <cellStyle name="Calculation 2 4 2 2" xfId="7355" xr:uid="{00000000-0005-0000-0000-000042030000}"/>
    <cellStyle name="Calculation 2 4 2 2 2" xfId="11441" xr:uid="{00000000-0005-0000-0000-000043030000}"/>
    <cellStyle name="Calculation 2 4 2 2 3" xfId="17742" xr:uid="{00000000-0005-0000-0000-000044030000}"/>
    <cellStyle name="Calculation 2 4 2 2 4" xfId="20873" xr:uid="{00000000-0005-0000-0000-000045030000}"/>
    <cellStyle name="Calculation 2 4 2 3" xfId="5646" xr:uid="{00000000-0005-0000-0000-000046030000}"/>
    <cellStyle name="Calculation 2 4 2 3 2" xfId="16451" xr:uid="{00000000-0005-0000-0000-000047030000}"/>
    <cellStyle name="Calculation 2 4 2 3 3" xfId="19164" xr:uid="{00000000-0005-0000-0000-000048030000}"/>
    <cellStyle name="Calculation 2 4 2 4" xfId="8920" xr:uid="{00000000-0005-0000-0000-000049030000}"/>
    <cellStyle name="Calculation 2 4 2 5" xfId="14316" xr:uid="{00000000-0005-0000-0000-00004A030000}"/>
    <cellStyle name="Calculation 2 4 2 6" xfId="15468" xr:uid="{00000000-0005-0000-0000-00004B030000}"/>
    <cellStyle name="Calculation 2 4 3" xfId="3313" xr:uid="{00000000-0005-0000-0000-00004C030000}"/>
    <cellStyle name="Calculation 2 4 3 2" xfId="7177" xr:uid="{00000000-0005-0000-0000-00004D030000}"/>
    <cellStyle name="Calculation 2 4 3 2 2" xfId="11307" xr:uid="{00000000-0005-0000-0000-00004E030000}"/>
    <cellStyle name="Calculation 2 4 3 2 3" xfId="17588" xr:uid="{00000000-0005-0000-0000-00004F030000}"/>
    <cellStyle name="Calculation 2 4 3 2 4" xfId="20695" xr:uid="{00000000-0005-0000-0000-000050030000}"/>
    <cellStyle name="Calculation 2 4 3 3" xfId="5468" xr:uid="{00000000-0005-0000-0000-000051030000}"/>
    <cellStyle name="Calculation 2 4 3 3 2" xfId="16298" xr:uid="{00000000-0005-0000-0000-000052030000}"/>
    <cellStyle name="Calculation 2 4 3 3 3" xfId="18986" xr:uid="{00000000-0005-0000-0000-000053030000}"/>
    <cellStyle name="Calculation 2 4 3 4" xfId="9443" xr:uid="{00000000-0005-0000-0000-000054030000}"/>
    <cellStyle name="Calculation 2 4 3 5" xfId="14725" xr:uid="{00000000-0005-0000-0000-000055030000}"/>
    <cellStyle name="Calculation 2 4 3 6" xfId="15278" xr:uid="{00000000-0005-0000-0000-000056030000}"/>
    <cellStyle name="Calculation 2 4 4" xfId="3699" xr:uid="{00000000-0005-0000-0000-000057030000}"/>
    <cellStyle name="Calculation 2 4 4 2" xfId="8142" xr:uid="{00000000-0005-0000-0000-000058030000}"/>
    <cellStyle name="Calculation 2 4 4 2 2" xfId="12110" xr:uid="{00000000-0005-0000-0000-000059030000}"/>
    <cellStyle name="Calculation 2 4 4 2 3" xfId="18345" xr:uid="{00000000-0005-0000-0000-00005A030000}"/>
    <cellStyle name="Calculation 2 4 4 2 4" xfId="21660" xr:uid="{00000000-0005-0000-0000-00005B030000}"/>
    <cellStyle name="Calculation 2 4 4 3" xfId="6434" xr:uid="{00000000-0005-0000-0000-00005C030000}"/>
    <cellStyle name="Calculation 2 4 4 3 2" xfId="17054" xr:uid="{00000000-0005-0000-0000-00005D030000}"/>
    <cellStyle name="Calculation 2 4 4 3 3" xfId="19952" xr:uid="{00000000-0005-0000-0000-00005E030000}"/>
    <cellStyle name="Calculation 2 4 4 4" xfId="9766" xr:uid="{00000000-0005-0000-0000-00005F030000}"/>
    <cellStyle name="Calculation 2 4 4 5" xfId="15004" xr:uid="{00000000-0005-0000-0000-000060030000}"/>
    <cellStyle name="Calculation 2 4 4 6" xfId="17695" xr:uid="{00000000-0005-0000-0000-000061030000}"/>
    <cellStyle name="Calculation 2 4 5" xfId="3312" xr:uid="{00000000-0005-0000-0000-000062030000}"/>
    <cellStyle name="Calculation 2 4 5 2" xfId="8374" xr:uid="{00000000-0005-0000-0000-000063030000}"/>
    <cellStyle name="Calculation 2 4 5 2 2" xfId="12342" xr:uid="{00000000-0005-0000-0000-000064030000}"/>
    <cellStyle name="Calculation 2 4 5 2 3" xfId="18516" xr:uid="{00000000-0005-0000-0000-000065030000}"/>
    <cellStyle name="Calculation 2 4 5 2 4" xfId="21892" xr:uid="{00000000-0005-0000-0000-000066030000}"/>
    <cellStyle name="Calculation 2 4 5 3" xfId="6666" xr:uid="{00000000-0005-0000-0000-000067030000}"/>
    <cellStyle name="Calculation 2 4 5 3 2" xfId="17225" xr:uid="{00000000-0005-0000-0000-000068030000}"/>
    <cellStyle name="Calculation 2 4 5 3 3" xfId="20184" xr:uid="{00000000-0005-0000-0000-000069030000}"/>
    <cellStyle name="Calculation 2 4 5 4" xfId="9442" xr:uid="{00000000-0005-0000-0000-00006A030000}"/>
    <cellStyle name="Calculation 2 4 5 5" xfId="14724" xr:uid="{00000000-0005-0000-0000-00006B030000}"/>
    <cellStyle name="Calculation 2 4 5 6" xfId="15553" xr:uid="{00000000-0005-0000-0000-00006C030000}"/>
    <cellStyle name="Calculation 2 4 6" xfId="6898" xr:uid="{00000000-0005-0000-0000-00006D030000}"/>
    <cellStyle name="Calculation 2 4 6 2" xfId="8606" xr:uid="{00000000-0005-0000-0000-00006E030000}"/>
    <cellStyle name="Calculation 2 4 6 2 2" xfId="12574" xr:uid="{00000000-0005-0000-0000-00006F030000}"/>
    <cellStyle name="Calculation 2 4 6 2 3" xfId="18687" xr:uid="{00000000-0005-0000-0000-000070030000}"/>
    <cellStyle name="Calculation 2 4 6 2 4" xfId="22124" xr:uid="{00000000-0005-0000-0000-000071030000}"/>
    <cellStyle name="Calculation 2 4 6 3" xfId="11032" xr:uid="{00000000-0005-0000-0000-000072030000}"/>
    <cellStyle name="Calculation 2 4 6 4" xfId="17395" xr:uid="{00000000-0005-0000-0000-000073030000}"/>
    <cellStyle name="Calculation 2 4 6 5" xfId="20416" xr:uid="{00000000-0005-0000-0000-000074030000}"/>
    <cellStyle name="Calculation 2 4 7" xfId="5886" xr:uid="{00000000-0005-0000-0000-000075030000}"/>
    <cellStyle name="Calculation 2 4 7 2" xfId="10627" xr:uid="{00000000-0005-0000-0000-000076030000}"/>
    <cellStyle name="Calculation 2 4 7 3" xfId="16633" xr:uid="{00000000-0005-0000-0000-000077030000}"/>
    <cellStyle name="Calculation 2 4 7 4" xfId="19404" xr:uid="{00000000-0005-0000-0000-000078030000}"/>
    <cellStyle name="Calculation 2 4 8" xfId="7594" xr:uid="{00000000-0005-0000-0000-000079030000}"/>
    <cellStyle name="Calculation 2 4 8 2" xfId="11615" xr:uid="{00000000-0005-0000-0000-00007A030000}"/>
    <cellStyle name="Calculation 2 4 8 3" xfId="17925" xr:uid="{00000000-0005-0000-0000-00007B030000}"/>
    <cellStyle name="Calculation 2 4 8 4" xfId="21112" xr:uid="{00000000-0005-0000-0000-00007C030000}"/>
    <cellStyle name="Calculation 2 4 9" xfId="4979" xr:uid="{00000000-0005-0000-0000-00007D030000}"/>
    <cellStyle name="Calculation 2 4 9 2" xfId="15946" xr:uid="{00000000-0005-0000-0000-00007E030000}"/>
    <cellStyle name="Calculation 2 4 9 3" xfId="13040" xr:uid="{00000000-0005-0000-0000-00007F030000}"/>
    <cellStyle name="Calculation 2 5" xfId="3118" xr:uid="{00000000-0005-0000-0000-000080030000}"/>
    <cellStyle name="Calculation 2 5 2" xfId="3505" xr:uid="{00000000-0005-0000-0000-000081030000}"/>
    <cellStyle name="Calculation 2 5 2 2" xfId="7407" xr:uid="{00000000-0005-0000-0000-000082030000}"/>
    <cellStyle name="Calculation 2 5 2 2 2" xfId="17780" xr:uid="{00000000-0005-0000-0000-000083030000}"/>
    <cellStyle name="Calculation 2 5 2 2 3" xfId="20925" xr:uid="{00000000-0005-0000-0000-000084030000}"/>
    <cellStyle name="Calculation 2 5 2 3" xfId="9598" xr:uid="{00000000-0005-0000-0000-000085030000}"/>
    <cellStyle name="Calculation 2 5 2 4" xfId="14856" xr:uid="{00000000-0005-0000-0000-000086030000}"/>
    <cellStyle name="Calculation 2 5 2 5" xfId="16891" xr:uid="{00000000-0005-0000-0000-000087030000}"/>
    <cellStyle name="Calculation 2 5 3" xfId="3888" xr:uid="{00000000-0005-0000-0000-000088030000}"/>
    <cellStyle name="Calculation 2 5 3 2" xfId="15132" xr:uid="{00000000-0005-0000-0000-000089030000}"/>
    <cellStyle name="Calculation 2 5 3 3" xfId="14172" xr:uid="{00000000-0005-0000-0000-00008A030000}"/>
    <cellStyle name="Calculation 2 5 4" xfId="4271" xr:uid="{00000000-0005-0000-0000-00008B030000}"/>
    <cellStyle name="Calculation 2 5 4 2" xfId="15407" xr:uid="{00000000-0005-0000-0000-00008C030000}"/>
    <cellStyle name="Calculation 2 5 4 3" xfId="13734" xr:uid="{00000000-0005-0000-0000-00008D030000}"/>
    <cellStyle name="Calculation 2 5 5" xfId="4653" xr:uid="{00000000-0005-0000-0000-00008E030000}"/>
    <cellStyle name="Calculation 2 5 5 2" xfId="15681" xr:uid="{00000000-0005-0000-0000-00008F030000}"/>
    <cellStyle name="Calculation 2 5 5 3" xfId="13352" xr:uid="{00000000-0005-0000-0000-000090030000}"/>
    <cellStyle name="Calculation 2 5 6" xfId="5698" xr:uid="{00000000-0005-0000-0000-000091030000}"/>
    <cellStyle name="Calculation 2 5 6 2" xfId="16489" xr:uid="{00000000-0005-0000-0000-000092030000}"/>
    <cellStyle name="Calculation 2 5 6 3" xfId="19216" xr:uid="{00000000-0005-0000-0000-000093030000}"/>
    <cellStyle name="Calculation 2 5 7" xfId="9249" xr:uid="{00000000-0005-0000-0000-000094030000}"/>
    <cellStyle name="Calculation 2 5 8" xfId="14576" xr:uid="{00000000-0005-0000-0000-000095030000}"/>
    <cellStyle name="Calculation 2 5 9" xfId="17985" xr:uid="{00000000-0005-0000-0000-000096030000}"/>
    <cellStyle name="Calculation 2 6" xfId="3039" xr:uid="{00000000-0005-0000-0000-000097030000}"/>
    <cellStyle name="Calculation 2 6 2" xfId="3426" xr:uid="{00000000-0005-0000-0000-000098030000}"/>
    <cellStyle name="Calculation 2 6 2 2" xfId="5119" xr:uid="{00000000-0005-0000-0000-000099030000}"/>
    <cellStyle name="Calculation 2 6 2 2 2" xfId="16052" xr:uid="{00000000-0005-0000-0000-00009A030000}"/>
    <cellStyle name="Calculation 2 6 2 2 3" xfId="12931" xr:uid="{00000000-0005-0000-0000-00009B030000}"/>
    <cellStyle name="Calculation 2 6 2 3" xfId="9539" xr:uid="{00000000-0005-0000-0000-00009C030000}"/>
    <cellStyle name="Calculation 2 6 2 4" xfId="14794" xr:uid="{00000000-0005-0000-0000-00009D030000}"/>
    <cellStyle name="Calculation 2 6 2 5" xfId="14790" xr:uid="{00000000-0005-0000-0000-00009E030000}"/>
    <cellStyle name="Calculation 2 6 3" xfId="3809" xr:uid="{00000000-0005-0000-0000-00009F030000}"/>
    <cellStyle name="Calculation 2 6 3 2" xfId="15070" xr:uid="{00000000-0005-0000-0000-0000A0030000}"/>
    <cellStyle name="Calculation 2 6 3 3" xfId="16753" xr:uid="{00000000-0005-0000-0000-0000A1030000}"/>
    <cellStyle name="Calculation 2 6 4" xfId="4192" xr:uid="{00000000-0005-0000-0000-0000A2030000}"/>
    <cellStyle name="Calculation 2 6 4 2" xfId="15345" xr:uid="{00000000-0005-0000-0000-0000A3030000}"/>
    <cellStyle name="Calculation 2 6 4 3" xfId="13813" xr:uid="{00000000-0005-0000-0000-0000A4030000}"/>
    <cellStyle name="Calculation 2 6 5" xfId="4574" xr:uid="{00000000-0005-0000-0000-0000A5030000}"/>
    <cellStyle name="Calculation 2 6 5 2" xfId="15619" xr:uid="{00000000-0005-0000-0000-0000A6030000}"/>
    <cellStyle name="Calculation 2 6 5 3" xfId="13431" xr:uid="{00000000-0005-0000-0000-0000A7030000}"/>
    <cellStyle name="Calculation 2 6 6" xfId="5283" xr:uid="{00000000-0005-0000-0000-0000A8030000}"/>
    <cellStyle name="Calculation 2 6 6 2" xfId="16161" xr:uid="{00000000-0005-0000-0000-0000A9030000}"/>
    <cellStyle name="Calculation 2 6 6 3" xfId="18801" xr:uid="{00000000-0005-0000-0000-0000AA030000}"/>
    <cellStyle name="Calculation 2 6 7" xfId="9179" xr:uid="{00000000-0005-0000-0000-0000AB030000}"/>
    <cellStyle name="Calculation 2 6 8" xfId="14514" xr:uid="{00000000-0005-0000-0000-0000AC030000}"/>
    <cellStyle name="Calculation 2 6 9" xfId="18162" xr:uid="{00000000-0005-0000-0000-0000AD030000}"/>
    <cellStyle name="Calculation 2 7" xfId="5532" xr:uid="{00000000-0005-0000-0000-0000AE030000}"/>
    <cellStyle name="Calculation 2 7 2" xfId="7241" xr:uid="{00000000-0005-0000-0000-0000AF030000}"/>
    <cellStyle name="Calculation 2 7 2 2" xfId="11352" xr:uid="{00000000-0005-0000-0000-0000B0030000}"/>
    <cellStyle name="Calculation 2 7 2 3" xfId="17644" xr:uid="{00000000-0005-0000-0000-0000B1030000}"/>
    <cellStyle name="Calculation 2 7 2 4" xfId="20759" xr:uid="{00000000-0005-0000-0000-0000B2030000}"/>
    <cellStyle name="Calculation 2 7 3" xfId="10492" xr:uid="{00000000-0005-0000-0000-0000B3030000}"/>
    <cellStyle name="Calculation 2 7 4" xfId="16353" xr:uid="{00000000-0005-0000-0000-0000B4030000}"/>
    <cellStyle name="Calculation 2 7 5" xfId="19050" xr:uid="{00000000-0005-0000-0000-0000B5030000}"/>
    <cellStyle name="Calculation 2 8" xfId="6339" xr:uid="{00000000-0005-0000-0000-0000B6030000}"/>
    <cellStyle name="Calculation 2 8 2" xfId="8047" xr:uid="{00000000-0005-0000-0000-0000B7030000}"/>
    <cellStyle name="Calculation 2 8 2 2" xfId="12018" xr:uid="{00000000-0005-0000-0000-0000B8030000}"/>
    <cellStyle name="Calculation 2 8 2 3" xfId="18259" xr:uid="{00000000-0005-0000-0000-0000B9030000}"/>
    <cellStyle name="Calculation 2 8 2 4" xfId="21565" xr:uid="{00000000-0005-0000-0000-0000BA030000}"/>
    <cellStyle name="Calculation 2 8 3" xfId="10874" xr:uid="{00000000-0005-0000-0000-0000BB030000}"/>
    <cellStyle name="Calculation 2 8 4" xfId="16968" xr:uid="{00000000-0005-0000-0000-0000BC030000}"/>
    <cellStyle name="Calculation 2 8 5" xfId="19857" xr:uid="{00000000-0005-0000-0000-0000BD030000}"/>
    <cellStyle name="Calculation 2 9" xfId="5261" xr:uid="{00000000-0005-0000-0000-0000BE030000}"/>
    <cellStyle name="Calculation 2 9 2" xfId="10401" xr:uid="{00000000-0005-0000-0000-0000BF030000}"/>
    <cellStyle name="Calculation 2 9 3" xfId="16143" xr:uid="{00000000-0005-0000-0000-0000C0030000}"/>
    <cellStyle name="Calculation 2 9 4" xfId="12833" xr:uid="{00000000-0005-0000-0000-0000C1030000}"/>
    <cellStyle name="Calculation 3" xfId="2685" xr:uid="{00000000-0005-0000-0000-0000C2030000}"/>
    <cellStyle name="Calculation 3 10" xfId="5731" xr:uid="{00000000-0005-0000-0000-0000C3030000}"/>
    <cellStyle name="Calculation 3 10 2" xfId="10513" xr:uid="{00000000-0005-0000-0000-0000C4030000}"/>
    <cellStyle name="Calculation 3 10 3" xfId="16514" xr:uid="{00000000-0005-0000-0000-0000C5030000}"/>
    <cellStyle name="Calculation 3 10 4" xfId="19249" xr:uid="{00000000-0005-0000-0000-0000C6030000}"/>
    <cellStyle name="Calculation 3 11" xfId="7440" xr:uid="{00000000-0005-0000-0000-0000C7030000}"/>
    <cellStyle name="Calculation 3 11 2" xfId="11500" xr:uid="{00000000-0005-0000-0000-0000C8030000}"/>
    <cellStyle name="Calculation 3 11 3" xfId="17805" xr:uid="{00000000-0005-0000-0000-0000C9030000}"/>
    <cellStyle name="Calculation 3 11 4" xfId="20958" xr:uid="{00000000-0005-0000-0000-0000CA030000}"/>
    <cellStyle name="Calculation 3 12" xfId="4863" xr:uid="{00000000-0005-0000-0000-0000CB030000}"/>
    <cellStyle name="Calculation 3 12 2" xfId="15840" xr:uid="{00000000-0005-0000-0000-0000CC030000}"/>
    <cellStyle name="Calculation 3 12 3" xfId="13143" xr:uid="{00000000-0005-0000-0000-0000CD030000}"/>
    <cellStyle name="Calculation 3 13" xfId="8840" xr:uid="{00000000-0005-0000-0000-0000CE030000}"/>
    <cellStyle name="Calculation 3 14" xfId="14258" xr:uid="{00000000-0005-0000-0000-0000CF030000}"/>
    <cellStyle name="Calculation 3 15" xfId="14664" xr:uid="{00000000-0005-0000-0000-0000D0030000}"/>
    <cellStyle name="Calculation 3 2" xfId="2742" xr:uid="{00000000-0005-0000-0000-0000D1030000}"/>
    <cellStyle name="Calculation 3 2 10" xfId="4930" xr:uid="{00000000-0005-0000-0000-0000D2030000}"/>
    <cellStyle name="Calculation 3 2 10 2" xfId="15900" xr:uid="{00000000-0005-0000-0000-0000D3030000}"/>
    <cellStyle name="Calculation 3 2 10 3" xfId="13089" xr:uid="{00000000-0005-0000-0000-0000D4030000}"/>
    <cellStyle name="Calculation 3 2 11" xfId="8897" xr:uid="{00000000-0005-0000-0000-0000D5030000}"/>
    <cellStyle name="Calculation 3 2 12" xfId="14301" xr:uid="{00000000-0005-0000-0000-0000D6030000}"/>
    <cellStyle name="Calculation 3 2 2" xfId="3232" xr:uid="{00000000-0005-0000-0000-0000D7030000}"/>
    <cellStyle name="Calculation 3 2 2 10" xfId="9362" xr:uid="{00000000-0005-0000-0000-0000D8030000}"/>
    <cellStyle name="Calculation 3 2 2 11" xfId="14666" xr:uid="{00000000-0005-0000-0000-0000D9030000}"/>
    <cellStyle name="Calculation 3 2 2 12" xfId="15613" xr:uid="{00000000-0005-0000-0000-0000DA030000}"/>
    <cellStyle name="Calculation 3 2 2 2" xfId="3619" xr:uid="{00000000-0005-0000-0000-0000DB030000}"/>
    <cellStyle name="Calculation 3 2 2 2 2" xfId="7980" xr:uid="{00000000-0005-0000-0000-0000DC030000}"/>
    <cellStyle name="Calculation 3 2 2 2 2 2" xfId="11956" xr:uid="{00000000-0005-0000-0000-0000DD030000}"/>
    <cellStyle name="Calculation 3 2 2 2 2 3" xfId="18205" xr:uid="{00000000-0005-0000-0000-0000DE030000}"/>
    <cellStyle name="Calculation 3 2 2 2 2 4" xfId="21498" xr:uid="{00000000-0005-0000-0000-0000DF030000}"/>
    <cellStyle name="Calculation 3 2 2 2 3" xfId="6272" xr:uid="{00000000-0005-0000-0000-0000E0030000}"/>
    <cellStyle name="Calculation 3 2 2 2 3 2" xfId="16914" xr:uid="{00000000-0005-0000-0000-0000E1030000}"/>
    <cellStyle name="Calculation 3 2 2 2 3 3" xfId="19790" xr:uid="{00000000-0005-0000-0000-0000E2030000}"/>
    <cellStyle name="Calculation 3 2 2 2 4" xfId="9711" xr:uid="{00000000-0005-0000-0000-0000E3030000}"/>
    <cellStyle name="Calculation 3 2 2 2 5" xfId="14946" xr:uid="{00000000-0005-0000-0000-0000E4030000}"/>
    <cellStyle name="Calculation 3 2 2 2 6" xfId="16059" xr:uid="{00000000-0005-0000-0000-0000E5030000}"/>
    <cellStyle name="Calculation 3 2 2 3" xfId="4002" xr:uid="{00000000-0005-0000-0000-0000E6030000}"/>
    <cellStyle name="Calculation 3 2 2 3 2" xfId="7327" xr:uid="{00000000-0005-0000-0000-0000E7030000}"/>
    <cellStyle name="Calculation 3 2 2 3 2 2" xfId="11417" xr:uid="{00000000-0005-0000-0000-0000E8030000}"/>
    <cellStyle name="Calculation 3 2 2 3 2 3" xfId="17717" xr:uid="{00000000-0005-0000-0000-0000E9030000}"/>
    <cellStyle name="Calculation 3 2 2 3 2 4" xfId="20845" xr:uid="{00000000-0005-0000-0000-0000EA030000}"/>
    <cellStyle name="Calculation 3 2 2 3 3" xfId="5618" xr:uid="{00000000-0005-0000-0000-0000EB030000}"/>
    <cellStyle name="Calculation 3 2 2 3 3 2" xfId="16426" xr:uid="{00000000-0005-0000-0000-0000EC030000}"/>
    <cellStyle name="Calculation 3 2 2 3 3 3" xfId="19136" xr:uid="{00000000-0005-0000-0000-0000ED030000}"/>
    <cellStyle name="Calculation 3 2 2 3 4" xfId="9921" xr:uid="{00000000-0005-0000-0000-0000EE030000}"/>
    <cellStyle name="Calculation 3 2 2 3 5" xfId="15221" xr:uid="{00000000-0005-0000-0000-0000EF030000}"/>
    <cellStyle name="Calculation 3 2 2 3 6" xfId="13989" xr:uid="{00000000-0005-0000-0000-0000F0030000}"/>
    <cellStyle name="Calculation 3 2 2 4" xfId="4385" xr:uid="{00000000-0005-0000-0000-0000F1030000}"/>
    <cellStyle name="Calculation 3 2 2 4 2" xfId="8287" xr:uid="{00000000-0005-0000-0000-0000F2030000}"/>
    <cellStyle name="Calculation 3 2 2 4 2 2" xfId="12255" xr:uid="{00000000-0005-0000-0000-0000F3030000}"/>
    <cellStyle name="Calculation 3 2 2 4 2 3" xfId="18439" xr:uid="{00000000-0005-0000-0000-0000F4030000}"/>
    <cellStyle name="Calculation 3 2 2 4 2 4" xfId="21805" xr:uid="{00000000-0005-0000-0000-0000F5030000}"/>
    <cellStyle name="Calculation 3 2 2 4 3" xfId="6579" xr:uid="{00000000-0005-0000-0000-0000F6030000}"/>
    <cellStyle name="Calculation 3 2 2 4 3 2" xfId="17148" xr:uid="{00000000-0005-0000-0000-0000F7030000}"/>
    <cellStyle name="Calculation 3 2 2 4 3 3" xfId="20097" xr:uid="{00000000-0005-0000-0000-0000F8030000}"/>
    <cellStyle name="Calculation 3 2 2 4 4" xfId="10099" xr:uid="{00000000-0005-0000-0000-0000F9030000}"/>
    <cellStyle name="Calculation 3 2 2 4 5" xfId="15497" xr:uid="{00000000-0005-0000-0000-0000FA030000}"/>
    <cellStyle name="Calculation 3 2 2 4 6" xfId="13620" xr:uid="{00000000-0005-0000-0000-0000FB030000}"/>
    <cellStyle name="Calculation 3 2 2 5" xfId="4767" xr:uid="{00000000-0005-0000-0000-0000FC030000}"/>
    <cellStyle name="Calculation 3 2 2 5 2" xfId="8519" xr:uid="{00000000-0005-0000-0000-0000FD030000}"/>
    <cellStyle name="Calculation 3 2 2 5 2 2" xfId="12487" xr:uid="{00000000-0005-0000-0000-0000FE030000}"/>
    <cellStyle name="Calculation 3 2 2 5 2 3" xfId="18610" xr:uid="{00000000-0005-0000-0000-0000FF030000}"/>
    <cellStyle name="Calculation 3 2 2 5 2 4" xfId="22037" xr:uid="{00000000-0005-0000-0000-000000040000}"/>
    <cellStyle name="Calculation 3 2 2 5 3" xfId="6811" xr:uid="{00000000-0005-0000-0000-000001040000}"/>
    <cellStyle name="Calculation 3 2 2 5 3 2" xfId="17318" xr:uid="{00000000-0005-0000-0000-000002040000}"/>
    <cellStyle name="Calculation 3 2 2 5 3 3" xfId="20329" xr:uid="{00000000-0005-0000-0000-000003040000}"/>
    <cellStyle name="Calculation 3 2 2 5 4" xfId="10276" xr:uid="{00000000-0005-0000-0000-000004040000}"/>
    <cellStyle name="Calculation 3 2 2 5 5" xfId="15769" xr:uid="{00000000-0005-0000-0000-000005040000}"/>
    <cellStyle name="Calculation 3 2 2 5 6" xfId="13238" xr:uid="{00000000-0005-0000-0000-000006040000}"/>
    <cellStyle name="Calculation 3 2 2 6" xfId="7043" xr:uid="{00000000-0005-0000-0000-000007040000}"/>
    <cellStyle name="Calculation 3 2 2 6 2" xfId="8751" xr:uid="{00000000-0005-0000-0000-000008040000}"/>
    <cellStyle name="Calculation 3 2 2 6 2 2" xfId="12719" xr:uid="{00000000-0005-0000-0000-000009040000}"/>
    <cellStyle name="Calculation 3 2 2 6 2 3" xfId="18782" xr:uid="{00000000-0005-0000-0000-00000A040000}"/>
    <cellStyle name="Calculation 3 2 2 6 2 4" xfId="22269" xr:uid="{00000000-0005-0000-0000-00000B040000}"/>
    <cellStyle name="Calculation 3 2 2 6 3" xfId="11177" xr:uid="{00000000-0005-0000-0000-00000C040000}"/>
    <cellStyle name="Calculation 3 2 2 6 4" xfId="17489" xr:uid="{00000000-0005-0000-0000-00000D040000}"/>
    <cellStyle name="Calculation 3 2 2 6 5" xfId="20561" xr:uid="{00000000-0005-0000-0000-00000E040000}"/>
    <cellStyle name="Calculation 3 2 2 7" xfId="6031" xr:uid="{00000000-0005-0000-0000-00000F040000}"/>
    <cellStyle name="Calculation 3 2 2 7 2" xfId="10772" xr:uid="{00000000-0005-0000-0000-000010040000}"/>
    <cellStyle name="Calculation 3 2 2 7 3" xfId="16728" xr:uid="{00000000-0005-0000-0000-000011040000}"/>
    <cellStyle name="Calculation 3 2 2 7 4" xfId="19549" xr:uid="{00000000-0005-0000-0000-000012040000}"/>
    <cellStyle name="Calculation 3 2 2 8" xfId="7739" xr:uid="{00000000-0005-0000-0000-000013040000}"/>
    <cellStyle name="Calculation 3 2 2 8 2" xfId="11760" xr:uid="{00000000-0005-0000-0000-000014040000}"/>
    <cellStyle name="Calculation 3 2 2 8 3" xfId="18020" xr:uid="{00000000-0005-0000-0000-000015040000}"/>
    <cellStyle name="Calculation 3 2 2 8 4" xfId="21257" xr:uid="{00000000-0005-0000-0000-000016040000}"/>
    <cellStyle name="Calculation 3 2 2 9" xfId="5225" xr:uid="{00000000-0005-0000-0000-000017040000}"/>
    <cellStyle name="Calculation 3 2 2 9 2" xfId="16116" xr:uid="{00000000-0005-0000-0000-000018040000}"/>
    <cellStyle name="Calculation 3 2 2 9 3" xfId="12869" xr:uid="{00000000-0005-0000-0000-000019040000}"/>
    <cellStyle name="Calculation 3 2 3" xfId="3289" xr:uid="{00000000-0005-0000-0000-00001A040000}"/>
    <cellStyle name="Calculation 3 2 3 2" xfId="3676" xr:uid="{00000000-0005-0000-0000-00001B040000}"/>
    <cellStyle name="Calculation 3 2 3 2 2" xfId="7304" xr:uid="{00000000-0005-0000-0000-00001C040000}"/>
    <cellStyle name="Calculation 3 2 3 2 2 2" xfId="17697" xr:uid="{00000000-0005-0000-0000-00001D040000}"/>
    <cellStyle name="Calculation 3 2 3 2 2 3" xfId="20822" xr:uid="{00000000-0005-0000-0000-00001E040000}"/>
    <cellStyle name="Calculation 3 2 3 2 3" xfId="9755" xr:uid="{00000000-0005-0000-0000-00001F040000}"/>
    <cellStyle name="Calculation 3 2 3 2 4" xfId="14988" xr:uid="{00000000-0005-0000-0000-000020040000}"/>
    <cellStyle name="Calculation 3 2 3 2 5" xfId="17288" xr:uid="{00000000-0005-0000-0000-000021040000}"/>
    <cellStyle name="Calculation 3 2 3 3" xfId="4059" xr:uid="{00000000-0005-0000-0000-000022040000}"/>
    <cellStyle name="Calculation 3 2 3 3 2" xfId="15263" xr:uid="{00000000-0005-0000-0000-000023040000}"/>
    <cellStyle name="Calculation 3 2 3 3 3" xfId="13932" xr:uid="{00000000-0005-0000-0000-000024040000}"/>
    <cellStyle name="Calculation 3 2 3 4" xfId="4442" xr:uid="{00000000-0005-0000-0000-000025040000}"/>
    <cellStyle name="Calculation 3 2 3 4 2" xfId="15538" xr:uid="{00000000-0005-0000-0000-000026040000}"/>
    <cellStyle name="Calculation 3 2 3 4 3" xfId="13563" xr:uid="{00000000-0005-0000-0000-000027040000}"/>
    <cellStyle name="Calculation 3 2 3 5" xfId="4824" xr:uid="{00000000-0005-0000-0000-000028040000}"/>
    <cellStyle name="Calculation 3 2 3 5 2" xfId="15810" xr:uid="{00000000-0005-0000-0000-000029040000}"/>
    <cellStyle name="Calculation 3 2 3 5 3" xfId="13182" xr:uid="{00000000-0005-0000-0000-00002A040000}"/>
    <cellStyle name="Calculation 3 2 3 6" xfId="5595" xr:uid="{00000000-0005-0000-0000-00002B040000}"/>
    <cellStyle name="Calculation 3 2 3 6 2" xfId="16406" xr:uid="{00000000-0005-0000-0000-00002C040000}"/>
    <cellStyle name="Calculation 3 2 3 6 3" xfId="19113" xr:uid="{00000000-0005-0000-0000-00002D040000}"/>
    <cellStyle name="Calculation 3 2 3 7" xfId="9419" xr:uid="{00000000-0005-0000-0000-00002E040000}"/>
    <cellStyle name="Calculation 3 2 3 8" xfId="14708" xr:uid="{00000000-0005-0000-0000-00002F040000}"/>
    <cellStyle name="Calculation 3 2 3 9" xfId="16072" xr:uid="{00000000-0005-0000-0000-000030040000}"/>
    <cellStyle name="Calculation 3 2 4" xfId="2907" xr:uid="{00000000-0005-0000-0000-000031040000}"/>
    <cellStyle name="Calculation 3 2 4 2" xfId="7122" xr:uid="{00000000-0005-0000-0000-000032040000}"/>
    <cellStyle name="Calculation 3 2 4 2 2" xfId="11256" xr:uid="{00000000-0005-0000-0000-000033040000}"/>
    <cellStyle name="Calculation 3 2 4 2 3" xfId="17542" xr:uid="{00000000-0005-0000-0000-000034040000}"/>
    <cellStyle name="Calculation 3 2 4 2 4" xfId="20640" xr:uid="{00000000-0005-0000-0000-000035040000}"/>
    <cellStyle name="Calculation 3 2 4 3" xfId="5413" xr:uid="{00000000-0005-0000-0000-000036040000}"/>
    <cellStyle name="Calculation 3 2 4 3 2" xfId="16252" xr:uid="{00000000-0005-0000-0000-000037040000}"/>
    <cellStyle name="Calculation 3 2 4 3 3" xfId="18931" xr:uid="{00000000-0005-0000-0000-000038040000}"/>
    <cellStyle name="Calculation 3 2 4 4" xfId="9059" xr:uid="{00000000-0005-0000-0000-000039040000}"/>
    <cellStyle name="Calculation 3 2 4 5" xfId="14433" xr:uid="{00000000-0005-0000-0000-00003A040000}"/>
    <cellStyle name="Calculation 3 2 4 6" xfId="16061" xr:uid="{00000000-0005-0000-0000-00003B040000}"/>
    <cellStyle name="Calculation 3 2 5" xfId="6388" xr:uid="{00000000-0005-0000-0000-00003C040000}"/>
    <cellStyle name="Calculation 3 2 5 2" xfId="8096" xr:uid="{00000000-0005-0000-0000-00003D040000}"/>
    <cellStyle name="Calculation 3 2 5 2 2" xfId="12064" xr:uid="{00000000-0005-0000-0000-00003E040000}"/>
    <cellStyle name="Calculation 3 2 5 2 3" xfId="18302" xr:uid="{00000000-0005-0000-0000-00003F040000}"/>
    <cellStyle name="Calculation 3 2 5 2 4" xfId="21614" xr:uid="{00000000-0005-0000-0000-000040040000}"/>
    <cellStyle name="Calculation 3 2 5 3" xfId="10906" xr:uid="{00000000-0005-0000-0000-000041040000}"/>
    <cellStyle name="Calculation 3 2 5 4" xfId="17011" xr:uid="{00000000-0005-0000-0000-000042040000}"/>
    <cellStyle name="Calculation 3 2 5 5" xfId="19906" xr:uid="{00000000-0005-0000-0000-000043040000}"/>
    <cellStyle name="Calculation 3 2 6" xfId="6620" xr:uid="{00000000-0005-0000-0000-000044040000}"/>
    <cellStyle name="Calculation 3 2 6 2" xfId="8328" xr:uid="{00000000-0005-0000-0000-000045040000}"/>
    <cellStyle name="Calculation 3 2 6 2 2" xfId="12296" xr:uid="{00000000-0005-0000-0000-000046040000}"/>
    <cellStyle name="Calculation 3 2 6 2 3" xfId="18473" xr:uid="{00000000-0005-0000-0000-000047040000}"/>
    <cellStyle name="Calculation 3 2 6 2 4" xfId="21846" xr:uid="{00000000-0005-0000-0000-000048040000}"/>
    <cellStyle name="Calculation 3 2 6 3" xfId="10946" xr:uid="{00000000-0005-0000-0000-000049040000}"/>
    <cellStyle name="Calculation 3 2 6 4" xfId="17182" xr:uid="{00000000-0005-0000-0000-00004A040000}"/>
    <cellStyle name="Calculation 3 2 6 5" xfId="20138" xr:uid="{00000000-0005-0000-0000-00004B040000}"/>
    <cellStyle name="Calculation 3 2 7" xfId="6852" xr:uid="{00000000-0005-0000-0000-00004C040000}"/>
    <cellStyle name="Calculation 3 2 7 2" xfId="8560" xr:uid="{00000000-0005-0000-0000-00004D040000}"/>
    <cellStyle name="Calculation 3 2 7 2 2" xfId="12528" xr:uid="{00000000-0005-0000-0000-00004E040000}"/>
    <cellStyle name="Calculation 3 2 7 2 3" xfId="18644" xr:uid="{00000000-0005-0000-0000-00004F040000}"/>
    <cellStyle name="Calculation 3 2 7 2 4" xfId="22078" xr:uid="{00000000-0005-0000-0000-000050040000}"/>
    <cellStyle name="Calculation 3 2 7 3" xfId="10986" xr:uid="{00000000-0005-0000-0000-000051040000}"/>
    <cellStyle name="Calculation 3 2 7 4" xfId="17352" xr:uid="{00000000-0005-0000-0000-000052040000}"/>
    <cellStyle name="Calculation 3 2 7 5" xfId="20370" xr:uid="{00000000-0005-0000-0000-000053040000}"/>
    <cellStyle name="Calculation 3 2 8" xfId="5821" xr:uid="{00000000-0005-0000-0000-000054040000}"/>
    <cellStyle name="Calculation 3 2 8 2" xfId="10581" xr:uid="{00000000-0005-0000-0000-000055040000}"/>
    <cellStyle name="Calculation 3 2 8 3" xfId="16583" xr:uid="{00000000-0005-0000-0000-000056040000}"/>
    <cellStyle name="Calculation 3 2 8 4" xfId="19339" xr:uid="{00000000-0005-0000-0000-000057040000}"/>
    <cellStyle name="Calculation 3 2 9" xfId="7529" xr:uid="{00000000-0005-0000-0000-000058040000}"/>
    <cellStyle name="Calculation 3 2 9 2" xfId="11567" xr:uid="{00000000-0005-0000-0000-000059040000}"/>
    <cellStyle name="Calculation 3 2 9 3" xfId="17875" xr:uid="{00000000-0005-0000-0000-00005A040000}"/>
    <cellStyle name="Calculation 3 2 9 4" xfId="21047" xr:uid="{00000000-0005-0000-0000-00005B040000}"/>
    <cellStyle name="Calculation 3 3" xfId="2666" xr:uid="{00000000-0005-0000-0000-00005C040000}"/>
    <cellStyle name="Calculation 3 3 10" xfId="4881" xr:uid="{00000000-0005-0000-0000-00005D040000}"/>
    <cellStyle name="Calculation 3 3 10 2" xfId="15856" xr:uid="{00000000-0005-0000-0000-00005E040000}"/>
    <cellStyle name="Calculation 3 3 10 3" xfId="13125" xr:uid="{00000000-0005-0000-0000-00005F040000}"/>
    <cellStyle name="Calculation 3 3 11" xfId="8823" xr:uid="{00000000-0005-0000-0000-000060040000}"/>
    <cellStyle name="Calculation 3 3 12" xfId="14241" xr:uid="{00000000-0005-0000-0000-000061040000}"/>
    <cellStyle name="Calculation 3 3 2" xfId="3158" xr:uid="{00000000-0005-0000-0000-000062040000}"/>
    <cellStyle name="Calculation 3 3 2 10" xfId="9288" xr:uid="{00000000-0005-0000-0000-000063040000}"/>
    <cellStyle name="Calculation 3 3 2 11" xfId="14609" xr:uid="{00000000-0005-0000-0000-000064040000}"/>
    <cellStyle name="Calculation 3 3 2 12" xfId="18203" xr:uid="{00000000-0005-0000-0000-000065040000}"/>
    <cellStyle name="Calculation 3 3 2 2" xfId="3545" xr:uid="{00000000-0005-0000-0000-000066040000}"/>
    <cellStyle name="Calculation 3 3 2 2 2" xfId="7369" xr:uid="{00000000-0005-0000-0000-000067040000}"/>
    <cellStyle name="Calculation 3 3 2 2 2 2" xfId="11455" xr:uid="{00000000-0005-0000-0000-000068040000}"/>
    <cellStyle name="Calculation 3 3 2 2 2 3" xfId="17753" xr:uid="{00000000-0005-0000-0000-000069040000}"/>
    <cellStyle name="Calculation 3 3 2 2 2 4" xfId="20887" xr:uid="{00000000-0005-0000-0000-00006A040000}"/>
    <cellStyle name="Calculation 3 3 2 2 3" xfId="5660" xr:uid="{00000000-0005-0000-0000-00006B040000}"/>
    <cellStyle name="Calculation 3 3 2 2 3 2" xfId="16462" xr:uid="{00000000-0005-0000-0000-00006C040000}"/>
    <cellStyle name="Calculation 3 3 2 2 3 3" xfId="19178" xr:uid="{00000000-0005-0000-0000-00006D040000}"/>
    <cellStyle name="Calculation 3 3 2 2 4" xfId="9637" xr:uid="{00000000-0005-0000-0000-00006E040000}"/>
    <cellStyle name="Calculation 3 3 2 2 5" xfId="14889" xr:uid="{00000000-0005-0000-0000-00006F040000}"/>
    <cellStyle name="Calculation 3 3 2 2 6" xfId="17106" xr:uid="{00000000-0005-0000-0000-000070040000}"/>
    <cellStyle name="Calculation 3 3 2 3" xfId="3928" xr:uid="{00000000-0005-0000-0000-000071040000}"/>
    <cellStyle name="Calculation 3 3 2 3 2" xfId="5151" xr:uid="{00000000-0005-0000-0000-000072040000}"/>
    <cellStyle name="Calculation 3 3 2 3 2 2" xfId="10385" xr:uid="{00000000-0005-0000-0000-000073040000}"/>
    <cellStyle name="Calculation 3 3 2 3 2 3" xfId="16075" xr:uid="{00000000-0005-0000-0000-000074040000}"/>
    <cellStyle name="Calculation 3 3 2 3 2 4" xfId="12776" xr:uid="{00000000-0005-0000-0000-000075040000}"/>
    <cellStyle name="Calculation 3 3 2 3 3" xfId="5342" xr:uid="{00000000-0005-0000-0000-000076040000}"/>
    <cellStyle name="Calculation 3 3 2 3 3 2" xfId="16209" xr:uid="{00000000-0005-0000-0000-000077040000}"/>
    <cellStyle name="Calculation 3 3 2 3 3 3" xfId="18860" xr:uid="{00000000-0005-0000-0000-000078040000}"/>
    <cellStyle name="Calculation 3 3 2 3 4" xfId="9851" xr:uid="{00000000-0005-0000-0000-000079040000}"/>
    <cellStyle name="Calculation 3 3 2 3 5" xfId="15165" xr:uid="{00000000-0005-0000-0000-00007A040000}"/>
    <cellStyle name="Calculation 3 3 2 3 6" xfId="14063" xr:uid="{00000000-0005-0000-0000-00007B040000}"/>
    <cellStyle name="Calculation 3 3 2 4" xfId="4311" xr:uid="{00000000-0005-0000-0000-00007C040000}"/>
    <cellStyle name="Calculation 3 3 2 4 2" xfId="8182" xr:uid="{00000000-0005-0000-0000-00007D040000}"/>
    <cellStyle name="Calculation 3 3 2 4 2 2" xfId="12150" xr:uid="{00000000-0005-0000-0000-00007E040000}"/>
    <cellStyle name="Calculation 3 3 2 4 2 3" xfId="18377" xr:uid="{00000000-0005-0000-0000-00007F040000}"/>
    <cellStyle name="Calculation 3 3 2 4 2 4" xfId="21700" xr:uid="{00000000-0005-0000-0000-000080040000}"/>
    <cellStyle name="Calculation 3 3 2 4 3" xfId="6474" xr:uid="{00000000-0005-0000-0000-000081040000}"/>
    <cellStyle name="Calculation 3 3 2 4 3 2" xfId="17086" xr:uid="{00000000-0005-0000-0000-000082040000}"/>
    <cellStyle name="Calculation 3 3 2 4 3 3" xfId="19992" xr:uid="{00000000-0005-0000-0000-000083040000}"/>
    <cellStyle name="Calculation 3 3 2 4 4" xfId="10029" xr:uid="{00000000-0005-0000-0000-000084040000}"/>
    <cellStyle name="Calculation 3 3 2 4 5" xfId="15440" xr:uid="{00000000-0005-0000-0000-000085040000}"/>
    <cellStyle name="Calculation 3 3 2 4 6" xfId="13694" xr:uid="{00000000-0005-0000-0000-000086040000}"/>
    <cellStyle name="Calculation 3 3 2 5" xfId="4693" xr:uid="{00000000-0005-0000-0000-000087040000}"/>
    <cellStyle name="Calculation 3 3 2 5 2" xfId="8414" xr:uid="{00000000-0005-0000-0000-000088040000}"/>
    <cellStyle name="Calculation 3 3 2 5 2 2" xfId="12382" xr:uid="{00000000-0005-0000-0000-000089040000}"/>
    <cellStyle name="Calculation 3 3 2 5 2 3" xfId="18548" xr:uid="{00000000-0005-0000-0000-00008A040000}"/>
    <cellStyle name="Calculation 3 3 2 5 2 4" xfId="21932" xr:uid="{00000000-0005-0000-0000-00008B040000}"/>
    <cellStyle name="Calculation 3 3 2 5 3" xfId="6706" xr:uid="{00000000-0005-0000-0000-00008C040000}"/>
    <cellStyle name="Calculation 3 3 2 5 3 2" xfId="17257" xr:uid="{00000000-0005-0000-0000-00008D040000}"/>
    <cellStyle name="Calculation 3 3 2 5 3 3" xfId="20224" xr:uid="{00000000-0005-0000-0000-00008E040000}"/>
    <cellStyle name="Calculation 3 3 2 5 4" xfId="10206" xr:uid="{00000000-0005-0000-0000-00008F040000}"/>
    <cellStyle name="Calculation 3 3 2 5 5" xfId="15714" xr:uid="{00000000-0005-0000-0000-000090040000}"/>
    <cellStyle name="Calculation 3 3 2 5 6" xfId="13312" xr:uid="{00000000-0005-0000-0000-000091040000}"/>
    <cellStyle name="Calculation 3 3 2 6" xfId="6938" xr:uid="{00000000-0005-0000-0000-000092040000}"/>
    <cellStyle name="Calculation 3 3 2 6 2" xfId="8646" xr:uid="{00000000-0005-0000-0000-000093040000}"/>
    <cellStyle name="Calculation 3 3 2 6 2 2" xfId="12614" xr:uid="{00000000-0005-0000-0000-000094040000}"/>
    <cellStyle name="Calculation 3 3 2 6 2 3" xfId="18719" xr:uid="{00000000-0005-0000-0000-000095040000}"/>
    <cellStyle name="Calculation 3 3 2 6 2 4" xfId="22164" xr:uid="{00000000-0005-0000-0000-000096040000}"/>
    <cellStyle name="Calculation 3 3 2 6 3" xfId="11072" xr:uid="{00000000-0005-0000-0000-000097040000}"/>
    <cellStyle name="Calculation 3 3 2 6 4" xfId="17427" xr:uid="{00000000-0005-0000-0000-000098040000}"/>
    <cellStyle name="Calculation 3 3 2 6 5" xfId="20456" xr:uid="{00000000-0005-0000-0000-000099040000}"/>
    <cellStyle name="Calculation 3 3 2 7" xfId="5926" xr:uid="{00000000-0005-0000-0000-00009A040000}"/>
    <cellStyle name="Calculation 3 3 2 7 2" xfId="10667" xr:uid="{00000000-0005-0000-0000-00009B040000}"/>
    <cellStyle name="Calculation 3 3 2 7 3" xfId="16665" xr:uid="{00000000-0005-0000-0000-00009C040000}"/>
    <cellStyle name="Calculation 3 3 2 7 4" xfId="19444" xr:uid="{00000000-0005-0000-0000-00009D040000}"/>
    <cellStyle name="Calculation 3 3 2 8" xfId="7634" xr:uid="{00000000-0005-0000-0000-00009E040000}"/>
    <cellStyle name="Calculation 3 3 2 8 2" xfId="11655" xr:uid="{00000000-0005-0000-0000-00009F040000}"/>
    <cellStyle name="Calculation 3 3 2 8 3" xfId="17957" xr:uid="{00000000-0005-0000-0000-0000A0040000}"/>
    <cellStyle name="Calculation 3 3 2 8 4" xfId="21152" xr:uid="{00000000-0005-0000-0000-0000A1040000}"/>
    <cellStyle name="Calculation 3 3 2 9" xfId="5022" xr:uid="{00000000-0005-0000-0000-0000A2040000}"/>
    <cellStyle name="Calculation 3 3 2 9 2" xfId="15980" xr:uid="{00000000-0005-0000-0000-0000A3040000}"/>
    <cellStyle name="Calculation 3 3 2 9 3" xfId="12997" xr:uid="{00000000-0005-0000-0000-0000A4040000}"/>
    <cellStyle name="Calculation 3 3 3" xfId="3064" xr:uid="{00000000-0005-0000-0000-0000A5040000}"/>
    <cellStyle name="Calculation 3 3 3 2" xfId="3451" xr:uid="{00000000-0005-0000-0000-0000A6040000}"/>
    <cellStyle name="Calculation 3 3 3 2 2" xfId="5073" xr:uid="{00000000-0005-0000-0000-0000A7040000}"/>
    <cellStyle name="Calculation 3 3 3 2 2 2" xfId="16013" xr:uid="{00000000-0005-0000-0000-0000A8040000}"/>
    <cellStyle name="Calculation 3 3 3 2 2 3" xfId="12959" xr:uid="{00000000-0005-0000-0000-0000A9040000}"/>
    <cellStyle name="Calculation 3 3 3 2 3" xfId="9558" xr:uid="{00000000-0005-0000-0000-0000AA040000}"/>
    <cellStyle name="Calculation 3 3 3 2 4" xfId="14814" xr:uid="{00000000-0005-0000-0000-0000AB040000}"/>
    <cellStyle name="Calculation 3 3 3 2 5" xfId="17281" xr:uid="{00000000-0005-0000-0000-0000AC040000}"/>
    <cellStyle name="Calculation 3 3 3 3" xfId="3834" xr:uid="{00000000-0005-0000-0000-0000AD040000}"/>
    <cellStyle name="Calculation 3 3 3 3 2" xfId="15090" xr:uid="{00000000-0005-0000-0000-0000AE040000}"/>
    <cellStyle name="Calculation 3 3 3 3 3" xfId="14189" xr:uid="{00000000-0005-0000-0000-0000AF040000}"/>
    <cellStyle name="Calculation 3 3 3 4" xfId="4217" xr:uid="{00000000-0005-0000-0000-0000B0040000}"/>
    <cellStyle name="Calculation 3 3 3 4 2" xfId="15365" xr:uid="{00000000-0005-0000-0000-0000B1040000}"/>
    <cellStyle name="Calculation 3 3 3 4 3" xfId="13788" xr:uid="{00000000-0005-0000-0000-0000B2040000}"/>
    <cellStyle name="Calculation 3 3 3 5" xfId="4599" xr:uid="{00000000-0005-0000-0000-0000B3040000}"/>
    <cellStyle name="Calculation 3 3 3 5 2" xfId="15639" xr:uid="{00000000-0005-0000-0000-0000B4040000}"/>
    <cellStyle name="Calculation 3 3 3 5 3" xfId="13406" xr:uid="{00000000-0005-0000-0000-0000B5040000}"/>
    <cellStyle name="Calculation 3 3 3 6" xfId="5294" xr:uid="{00000000-0005-0000-0000-0000B6040000}"/>
    <cellStyle name="Calculation 3 3 3 6 2" xfId="16170" xr:uid="{00000000-0005-0000-0000-0000B7040000}"/>
    <cellStyle name="Calculation 3 3 3 6 3" xfId="18812" xr:uid="{00000000-0005-0000-0000-0000B8040000}"/>
    <cellStyle name="Calculation 3 3 3 7" xfId="9204" xr:uid="{00000000-0005-0000-0000-0000B9040000}"/>
    <cellStyle name="Calculation 3 3 3 8" xfId="14534" xr:uid="{00000000-0005-0000-0000-0000BA040000}"/>
    <cellStyle name="Calculation 3 3 3 9" xfId="14849" xr:uid="{00000000-0005-0000-0000-0000BB040000}"/>
    <cellStyle name="Calculation 3 3 4" xfId="2866" xr:uid="{00000000-0005-0000-0000-0000BC040000}"/>
    <cellStyle name="Calculation 3 3 4 2" xfId="7213" xr:uid="{00000000-0005-0000-0000-0000BD040000}"/>
    <cellStyle name="Calculation 3 3 4 2 2" xfId="11339" xr:uid="{00000000-0005-0000-0000-0000BE040000}"/>
    <cellStyle name="Calculation 3 3 4 2 3" xfId="17618" xr:uid="{00000000-0005-0000-0000-0000BF040000}"/>
    <cellStyle name="Calculation 3 3 4 2 4" xfId="20731" xr:uid="{00000000-0005-0000-0000-0000C0040000}"/>
    <cellStyle name="Calculation 3 3 4 3" xfId="5504" xr:uid="{00000000-0005-0000-0000-0000C1040000}"/>
    <cellStyle name="Calculation 3 3 4 3 2" xfId="16327" xr:uid="{00000000-0005-0000-0000-0000C2040000}"/>
    <cellStyle name="Calculation 3 3 4 3 3" xfId="19022" xr:uid="{00000000-0005-0000-0000-0000C3040000}"/>
    <cellStyle name="Calculation 3 3 4 4" xfId="9019" xr:uid="{00000000-0005-0000-0000-0000C4040000}"/>
    <cellStyle name="Calculation 3 3 4 5" xfId="14402" xr:uid="{00000000-0005-0000-0000-0000C5040000}"/>
    <cellStyle name="Calculation 3 3 4 6" xfId="15575" xr:uid="{00000000-0005-0000-0000-0000C6040000}"/>
    <cellStyle name="Calculation 3 3 5" xfId="6125" xr:uid="{00000000-0005-0000-0000-0000C7040000}"/>
    <cellStyle name="Calculation 3 3 5 2" xfId="7833" xr:uid="{00000000-0005-0000-0000-0000C8040000}"/>
    <cellStyle name="Calculation 3 3 5 2 2" xfId="11839" xr:uid="{00000000-0005-0000-0000-0000C9040000}"/>
    <cellStyle name="Calculation 3 3 5 2 3" xfId="18095" xr:uid="{00000000-0005-0000-0000-0000CA040000}"/>
    <cellStyle name="Calculation 3 3 5 2 4" xfId="21351" xr:uid="{00000000-0005-0000-0000-0000CB040000}"/>
    <cellStyle name="Calculation 3 3 5 3" xfId="10816" xr:uid="{00000000-0005-0000-0000-0000CC040000}"/>
    <cellStyle name="Calculation 3 3 5 4" xfId="16803" xr:uid="{00000000-0005-0000-0000-0000CD040000}"/>
    <cellStyle name="Calculation 3 3 5 5" xfId="19643" xr:uid="{00000000-0005-0000-0000-0000CE040000}"/>
    <cellStyle name="Calculation 3 3 6" xfId="6308" xr:uid="{00000000-0005-0000-0000-0000CF040000}"/>
    <cellStyle name="Calculation 3 3 6 2" xfId="8016" xr:uid="{00000000-0005-0000-0000-0000D0040000}"/>
    <cellStyle name="Calculation 3 3 6 2 2" xfId="11992" xr:uid="{00000000-0005-0000-0000-0000D1040000}"/>
    <cellStyle name="Calculation 3 3 6 2 3" xfId="18233" xr:uid="{00000000-0005-0000-0000-0000D2040000}"/>
    <cellStyle name="Calculation 3 3 6 2 4" xfId="21534" xr:uid="{00000000-0005-0000-0000-0000D3040000}"/>
    <cellStyle name="Calculation 3 3 6 3" xfId="10855" xr:uid="{00000000-0005-0000-0000-0000D4040000}"/>
    <cellStyle name="Calculation 3 3 6 4" xfId="16942" xr:uid="{00000000-0005-0000-0000-0000D5040000}"/>
    <cellStyle name="Calculation 3 3 6 5" xfId="19826" xr:uid="{00000000-0005-0000-0000-0000D6040000}"/>
    <cellStyle name="Calculation 3 3 7" xfId="6119" xr:uid="{00000000-0005-0000-0000-0000D7040000}"/>
    <cellStyle name="Calculation 3 3 7 2" xfId="7827" xr:uid="{00000000-0005-0000-0000-0000D8040000}"/>
    <cellStyle name="Calculation 3 3 7 2 2" xfId="11835" xr:uid="{00000000-0005-0000-0000-0000D9040000}"/>
    <cellStyle name="Calculation 3 3 7 2 3" xfId="18091" xr:uid="{00000000-0005-0000-0000-0000DA040000}"/>
    <cellStyle name="Calculation 3 3 7 2 4" xfId="21345" xr:uid="{00000000-0005-0000-0000-0000DB040000}"/>
    <cellStyle name="Calculation 3 3 7 3" xfId="10815" xr:uid="{00000000-0005-0000-0000-0000DC040000}"/>
    <cellStyle name="Calculation 3 3 7 4" xfId="16799" xr:uid="{00000000-0005-0000-0000-0000DD040000}"/>
    <cellStyle name="Calculation 3 3 7 5" xfId="19637" xr:uid="{00000000-0005-0000-0000-0000DE040000}"/>
    <cellStyle name="Calculation 3 3 8" xfId="5750" xr:uid="{00000000-0005-0000-0000-0000DF040000}"/>
    <cellStyle name="Calculation 3 3 8 2" xfId="10531" xr:uid="{00000000-0005-0000-0000-0000E0040000}"/>
    <cellStyle name="Calculation 3 3 8 3" xfId="16530" xr:uid="{00000000-0005-0000-0000-0000E1040000}"/>
    <cellStyle name="Calculation 3 3 8 4" xfId="19268" xr:uid="{00000000-0005-0000-0000-0000E2040000}"/>
    <cellStyle name="Calculation 3 3 9" xfId="7459" xr:uid="{00000000-0005-0000-0000-0000E3040000}"/>
    <cellStyle name="Calculation 3 3 9 2" xfId="11518" xr:uid="{00000000-0005-0000-0000-0000E4040000}"/>
    <cellStyle name="Calculation 3 3 9 3" xfId="17821" xr:uid="{00000000-0005-0000-0000-0000E5040000}"/>
    <cellStyle name="Calculation 3 3 9 4" xfId="20977" xr:uid="{00000000-0005-0000-0000-0000E6040000}"/>
    <cellStyle name="Calculation 3 4" xfId="3175" xr:uid="{00000000-0005-0000-0000-0000E7040000}"/>
    <cellStyle name="Calculation 3 4 10" xfId="9305" xr:uid="{00000000-0005-0000-0000-0000E8040000}"/>
    <cellStyle name="Calculation 3 4 11" xfId="14623" xr:uid="{00000000-0005-0000-0000-0000E9040000}"/>
    <cellStyle name="Calculation 3 4 12" xfId="16887" xr:uid="{00000000-0005-0000-0000-0000EA040000}"/>
    <cellStyle name="Calculation 3 4 2" xfId="3562" xr:uid="{00000000-0005-0000-0000-0000EB040000}"/>
    <cellStyle name="Calculation 3 4 2 2" xfId="7436" xr:uid="{00000000-0005-0000-0000-0000EC040000}"/>
    <cellStyle name="Calculation 3 4 2 2 2" xfId="11497" xr:uid="{00000000-0005-0000-0000-0000ED040000}"/>
    <cellStyle name="Calculation 3 4 2 2 3" xfId="17801" xr:uid="{00000000-0005-0000-0000-0000EE040000}"/>
    <cellStyle name="Calculation 3 4 2 2 4" xfId="20954" xr:uid="{00000000-0005-0000-0000-0000EF040000}"/>
    <cellStyle name="Calculation 3 4 2 3" xfId="5727" xr:uid="{00000000-0005-0000-0000-0000F0040000}"/>
    <cellStyle name="Calculation 3 4 2 3 2" xfId="16510" xr:uid="{00000000-0005-0000-0000-0000F1040000}"/>
    <cellStyle name="Calculation 3 4 2 3 3" xfId="19245" xr:uid="{00000000-0005-0000-0000-0000F2040000}"/>
    <cellStyle name="Calculation 3 4 2 4" xfId="9654" xr:uid="{00000000-0005-0000-0000-0000F3040000}"/>
    <cellStyle name="Calculation 3 4 2 5" xfId="14903" xr:uid="{00000000-0005-0000-0000-0000F4040000}"/>
    <cellStyle name="Calculation 3 4 2 6" xfId="14525" xr:uid="{00000000-0005-0000-0000-0000F5040000}"/>
    <cellStyle name="Calculation 3 4 3" xfId="3945" xr:uid="{00000000-0005-0000-0000-0000F6040000}"/>
    <cellStyle name="Calculation 3 4 3 2" xfId="7384" xr:uid="{00000000-0005-0000-0000-0000F7040000}"/>
    <cellStyle name="Calculation 3 4 3 2 2" xfId="11470" xr:uid="{00000000-0005-0000-0000-0000F8040000}"/>
    <cellStyle name="Calculation 3 4 3 2 3" xfId="17763" xr:uid="{00000000-0005-0000-0000-0000F9040000}"/>
    <cellStyle name="Calculation 3 4 3 2 4" xfId="20902" xr:uid="{00000000-0005-0000-0000-0000FA040000}"/>
    <cellStyle name="Calculation 3 4 3 3" xfId="5675" xr:uid="{00000000-0005-0000-0000-0000FB040000}"/>
    <cellStyle name="Calculation 3 4 3 3 2" xfId="16472" xr:uid="{00000000-0005-0000-0000-0000FC040000}"/>
    <cellStyle name="Calculation 3 4 3 3 3" xfId="19193" xr:uid="{00000000-0005-0000-0000-0000FD040000}"/>
    <cellStyle name="Calculation 3 4 3 4" xfId="9868" xr:uid="{00000000-0005-0000-0000-0000FE040000}"/>
    <cellStyle name="Calculation 3 4 3 5" xfId="15179" xr:uid="{00000000-0005-0000-0000-0000FF040000}"/>
    <cellStyle name="Calculation 3 4 3 6" xfId="14046" xr:uid="{00000000-0005-0000-0000-000000050000}"/>
    <cellStyle name="Calculation 3 4 4" xfId="4328" xr:uid="{00000000-0005-0000-0000-000001050000}"/>
    <cellStyle name="Calculation 3 4 4 2" xfId="8165" xr:uid="{00000000-0005-0000-0000-000002050000}"/>
    <cellStyle name="Calculation 3 4 4 2 2" xfId="12133" xr:uid="{00000000-0005-0000-0000-000003050000}"/>
    <cellStyle name="Calculation 3 4 4 2 3" xfId="18363" xr:uid="{00000000-0005-0000-0000-000004050000}"/>
    <cellStyle name="Calculation 3 4 4 2 4" xfId="21683" xr:uid="{00000000-0005-0000-0000-000005050000}"/>
    <cellStyle name="Calculation 3 4 4 3" xfId="6457" xr:uid="{00000000-0005-0000-0000-000006050000}"/>
    <cellStyle name="Calculation 3 4 4 3 2" xfId="17072" xr:uid="{00000000-0005-0000-0000-000007050000}"/>
    <cellStyle name="Calculation 3 4 4 3 3" xfId="19975" xr:uid="{00000000-0005-0000-0000-000008050000}"/>
    <cellStyle name="Calculation 3 4 4 4" xfId="10046" xr:uid="{00000000-0005-0000-0000-000009050000}"/>
    <cellStyle name="Calculation 3 4 4 5" xfId="15454" xr:uid="{00000000-0005-0000-0000-00000A050000}"/>
    <cellStyle name="Calculation 3 4 4 6" xfId="13677" xr:uid="{00000000-0005-0000-0000-00000B050000}"/>
    <cellStyle name="Calculation 3 4 5" xfId="4710" xr:uid="{00000000-0005-0000-0000-00000C050000}"/>
    <cellStyle name="Calculation 3 4 5 2" xfId="8397" xr:uid="{00000000-0005-0000-0000-00000D050000}"/>
    <cellStyle name="Calculation 3 4 5 2 2" xfId="12365" xr:uid="{00000000-0005-0000-0000-00000E050000}"/>
    <cellStyle name="Calculation 3 4 5 2 3" xfId="18534" xr:uid="{00000000-0005-0000-0000-00000F050000}"/>
    <cellStyle name="Calculation 3 4 5 2 4" xfId="21915" xr:uid="{00000000-0005-0000-0000-000010050000}"/>
    <cellStyle name="Calculation 3 4 5 3" xfId="6689" xr:uid="{00000000-0005-0000-0000-000011050000}"/>
    <cellStyle name="Calculation 3 4 5 3 2" xfId="17243" xr:uid="{00000000-0005-0000-0000-000012050000}"/>
    <cellStyle name="Calculation 3 4 5 3 3" xfId="20207" xr:uid="{00000000-0005-0000-0000-000013050000}"/>
    <cellStyle name="Calculation 3 4 5 4" xfId="10223" xr:uid="{00000000-0005-0000-0000-000014050000}"/>
    <cellStyle name="Calculation 3 4 5 5" xfId="15728" xr:uid="{00000000-0005-0000-0000-000015050000}"/>
    <cellStyle name="Calculation 3 4 5 6" xfId="13295" xr:uid="{00000000-0005-0000-0000-000016050000}"/>
    <cellStyle name="Calculation 3 4 6" xfId="6921" xr:uid="{00000000-0005-0000-0000-000017050000}"/>
    <cellStyle name="Calculation 3 4 6 2" xfId="8629" xr:uid="{00000000-0005-0000-0000-000018050000}"/>
    <cellStyle name="Calculation 3 4 6 2 2" xfId="12597" xr:uid="{00000000-0005-0000-0000-000019050000}"/>
    <cellStyle name="Calculation 3 4 6 2 3" xfId="18705" xr:uid="{00000000-0005-0000-0000-00001A050000}"/>
    <cellStyle name="Calculation 3 4 6 2 4" xfId="22147" xr:uid="{00000000-0005-0000-0000-00001B050000}"/>
    <cellStyle name="Calculation 3 4 6 3" xfId="11055" xr:uid="{00000000-0005-0000-0000-00001C050000}"/>
    <cellStyle name="Calculation 3 4 6 4" xfId="17413" xr:uid="{00000000-0005-0000-0000-00001D050000}"/>
    <cellStyle name="Calculation 3 4 6 5" xfId="20439" xr:uid="{00000000-0005-0000-0000-00001E050000}"/>
    <cellStyle name="Calculation 3 4 7" xfId="5909" xr:uid="{00000000-0005-0000-0000-00001F050000}"/>
    <cellStyle name="Calculation 3 4 7 2" xfId="10650" xr:uid="{00000000-0005-0000-0000-000020050000}"/>
    <cellStyle name="Calculation 3 4 7 3" xfId="16651" xr:uid="{00000000-0005-0000-0000-000021050000}"/>
    <cellStyle name="Calculation 3 4 7 4" xfId="19427" xr:uid="{00000000-0005-0000-0000-000022050000}"/>
    <cellStyle name="Calculation 3 4 8" xfId="7617" xr:uid="{00000000-0005-0000-0000-000023050000}"/>
    <cellStyle name="Calculation 3 4 8 2" xfId="11638" xr:uid="{00000000-0005-0000-0000-000024050000}"/>
    <cellStyle name="Calculation 3 4 8 3" xfId="17943" xr:uid="{00000000-0005-0000-0000-000025050000}"/>
    <cellStyle name="Calculation 3 4 8 4" xfId="21135" xr:uid="{00000000-0005-0000-0000-000026050000}"/>
    <cellStyle name="Calculation 3 4 9" xfId="5004" xr:uid="{00000000-0005-0000-0000-000027050000}"/>
    <cellStyle name="Calculation 3 4 9 2" xfId="15966" xr:uid="{00000000-0005-0000-0000-000028050000}"/>
    <cellStyle name="Calculation 3 4 9 3" xfId="13015" xr:uid="{00000000-0005-0000-0000-000029050000}"/>
    <cellStyle name="Calculation 3 5" xfId="3048" xr:uid="{00000000-0005-0000-0000-00002A050000}"/>
    <cellStyle name="Calculation 3 5 2" xfId="3435" xr:uid="{00000000-0005-0000-0000-00002B050000}"/>
    <cellStyle name="Calculation 3 5 2 2" xfId="7226" xr:uid="{00000000-0005-0000-0000-00002C050000}"/>
    <cellStyle name="Calculation 3 5 2 2 2" xfId="17629" xr:uid="{00000000-0005-0000-0000-00002D050000}"/>
    <cellStyle name="Calculation 3 5 2 2 3" xfId="20744" xr:uid="{00000000-0005-0000-0000-00002E050000}"/>
    <cellStyle name="Calculation 3 5 2 3" xfId="9547" xr:uid="{00000000-0005-0000-0000-00002F050000}"/>
    <cellStyle name="Calculation 3 5 2 4" xfId="14801" xr:uid="{00000000-0005-0000-0000-000030050000}"/>
    <cellStyle name="Calculation 3 5 2 5" xfId="15704" xr:uid="{00000000-0005-0000-0000-000031050000}"/>
    <cellStyle name="Calculation 3 5 3" xfId="3818" xr:uid="{00000000-0005-0000-0000-000032050000}"/>
    <cellStyle name="Calculation 3 5 3 2" xfId="15077" xr:uid="{00000000-0005-0000-0000-000033050000}"/>
    <cellStyle name="Calculation 3 5 3 3" xfId="17839" xr:uid="{00000000-0005-0000-0000-000034050000}"/>
    <cellStyle name="Calculation 3 5 4" xfId="4201" xr:uid="{00000000-0005-0000-0000-000035050000}"/>
    <cellStyle name="Calculation 3 5 4 2" xfId="15352" xr:uid="{00000000-0005-0000-0000-000036050000}"/>
    <cellStyle name="Calculation 3 5 4 3" xfId="13804" xr:uid="{00000000-0005-0000-0000-000037050000}"/>
    <cellStyle name="Calculation 3 5 5" xfId="4583" xr:uid="{00000000-0005-0000-0000-000038050000}"/>
    <cellStyle name="Calculation 3 5 5 2" xfId="15626" xr:uid="{00000000-0005-0000-0000-000039050000}"/>
    <cellStyle name="Calculation 3 5 5 3" xfId="13422" xr:uid="{00000000-0005-0000-0000-00003A050000}"/>
    <cellStyle name="Calculation 3 5 6" xfId="5517" xr:uid="{00000000-0005-0000-0000-00003B050000}"/>
    <cellStyle name="Calculation 3 5 6 2" xfId="16338" xr:uid="{00000000-0005-0000-0000-00003C050000}"/>
    <cellStyle name="Calculation 3 5 6 3" xfId="19035" xr:uid="{00000000-0005-0000-0000-00003D050000}"/>
    <cellStyle name="Calculation 3 5 7" xfId="9188" xr:uid="{00000000-0005-0000-0000-00003E050000}"/>
    <cellStyle name="Calculation 3 5 8" xfId="14521" xr:uid="{00000000-0005-0000-0000-00003F050000}"/>
    <cellStyle name="Calculation 3 5 9" xfId="16533" xr:uid="{00000000-0005-0000-0000-000040050000}"/>
    <cellStyle name="Calculation 3 6" xfId="6173" xr:uid="{00000000-0005-0000-0000-000041050000}"/>
    <cellStyle name="Calculation 3 6 2" xfId="7881" xr:uid="{00000000-0005-0000-0000-000042050000}"/>
    <cellStyle name="Calculation 3 6 2 2" xfId="11872" xr:uid="{00000000-0005-0000-0000-000043050000}"/>
    <cellStyle name="Calculation 3 6 2 3" xfId="18137" xr:uid="{00000000-0005-0000-0000-000044050000}"/>
    <cellStyle name="Calculation 3 6 2 4" xfId="21399" xr:uid="{00000000-0005-0000-0000-000045050000}"/>
    <cellStyle name="Calculation 3 6 3" xfId="10832" xr:uid="{00000000-0005-0000-0000-000046050000}"/>
    <cellStyle name="Calculation 3 6 4" xfId="16845" xr:uid="{00000000-0005-0000-0000-000047050000}"/>
    <cellStyle name="Calculation 3 6 5" xfId="19691" xr:uid="{00000000-0005-0000-0000-000048050000}"/>
    <cellStyle name="Calculation 3 7" xfId="5444" xr:uid="{00000000-0005-0000-0000-000049050000}"/>
    <cellStyle name="Calculation 3 7 2" xfId="7153" xr:uid="{00000000-0005-0000-0000-00004A050000}"/>
    <cellStyle name="Calculation 3 7 2 2" xfId="11284" xr:uid="{00000000-0005-0000-0000-00004B050000}"/>
    <cellStyle name="Calculation 3 7 2 3" xfId="17567" xr:uid="{00000000-0005-0000-0000-00004C050000}"/>
    <cellStyle name="Calculation 3 7 2 4" xfId="20671" xr:uid="{00000000-0005-0000-0000-00004D050000}"/>
    <cellStyle name="Calculation 3 7 3" xfId="10458" xr:uid="{00000000-0005-0000-0000-00004E050000}"/>
    <cellStyle name="Calculation 3 7 4" xfId="16277" xr:uid="{00000000-0005-0000-0000-00004F050000}"/>
    <cellStyle name="Calculation 3 7 5" xfId="18962" xr:uid="{00000000-0005-0000-0000-000050050000}"/>
    <cellStyle name="Calculation 3 8" xfId="6148" xr:uid="{00000000-0005-0000-0000-000051050000}"/>
    <cellStyle name="Calculation 3 8 2" xfId="7856" xr:uid="{00000000-0005-0000-0000-000052050000}"/>
    <cellStyle name="Calculation 3 8 2 2" xfId="11854" xr:uid="{00000000-0005-0000-0000-000053050000}"/>
    <cellStyle name="Calculation 3 8 2 3" xfId="18115" xr:uid="{00000000-0005-0000-0000-000054050000}"/>
    <cellStyle name="Calculation 3 8 2 4" xfId="21374" xr:uid="{00000000-0005-0000-0000-000055050000}"/>
    <cellStyle name="Calculation 3 8 3" xfId="10823" xr:uid="{00000000-0005-0000-0000-000056050000}"/>
    <cellStyle name="Calculation 3 8 4" xfId="16823" xr:uid="{00000000-0005-0000-0000-000057050000}"/>
    <cellStyle name="Calculation 3 8 5" xfId="19666" xr:uid="{00000000-0005-0000-0000-000058050000}"/>
    <cellStyle name="Calculation 3 9" xfId="5439" xr:uid="{00000000-0005-0000-0000-000059050000}"/>
    <cellStyle name="Calculation 3 9 2" xfId="7148" xr:uid="{00000000-0005-0000-0000-00005A050000}"/>
    <cellStyle name="Calculation 3 9 2 2" xfId="11280" xr:uid="{00000000-0005-0000-0000-00005B050000}"/>
    <cellStyle name="Calculation 3 9 2 3" xfId="17563" xr:uid="{00000000-0005-0000-0000-00005C050000}"/>
    <cellStyle name="Calculation 3 9 2 4" xfId="20666" xr:uid="{00000000-0005-0000-0000-00005D050000}"/>
    <cellStyle name="Calculation 3 9 3" xfId="10454" xr:uid="{00000000-0005-0000-0000-00005E050000}"/>
    <cellStyle name="Calculation 3 9 4" xfId="16273" xr:uid="{00000000-0005-0000-0000-00005F050000}"/>
    <cellStyle name="Calculation 3 9 5" xfId="18957" xr:uid="{00000000-0005-0000-0000-000060050000}"/>
    <cellStyle name="Calculation 4" xfId="2993" xr:uid="{00000000-0005-0000-0000-000061050000}"/>
    <cellStyle name="Calculation 4 2" xfId="3380" xr:uid="{00000000-0005-0000-0000-000062050000}"/>
    <cellStyle name="Calculation 4 2 2" xfId="14758" xr:uid="{00000000-0005-0000-0000-000063050000}"/>
    <cellStyle name="Calculation 4 2 3" xfId="15036" xr:uid="{00000000-0005-0000-0000-000064050000}"/>
    <cellStyle name="Calculation 4 3" xfId="3763" xr:uid="{00000000-0005-0000-0000-000065050000}"/>
    <cellStyle name="Calculation 4 3 2" xfId="15034" xr:uid="{00000000-0005-0000-0000-000066050000}"/>
    <cellStyle name="Calculation 4 3 3" xfId="15283" xr:uid="{00000000-0005-0000-0000-000067050000}"/>
    <cellStyle name="Calculation 4 4" xfId="4146" xr:uid="{00000000-0005-0000-0000-000068050000}"/>
    <cellStyle name="Calculation 4 4 2" xfId="15309" xr:uid="{00000000-0005-0000-0000-000069050000}"/>
    <cellStyle name="Calculation 4 4 3" xfId="13851" xr:uid="{00000000-0005-0000-0000-00006A050000}"/>
    <cellStyle name="Calculation 4 5" xfId="4528" xr:uid="{00000000-0005-0000-0000-00006B050000}"/>
    <cellStyle name="Calculation 4 5 2" xfId="15583" xr:uid="{00000000-0005-0000-0000-00006C050000}"/>
    <cellStyle name="Calculation 4 5 3" xfId="13477" xr:uid="{00000000-0005-0000-0000-00006D050000}"/>
    <cellStyle name="Calculation 4 6" xfId="14478" xr:uid="{00000000-0005-0000-0000-00006E050000}"/>
    <cellStyle name="Calculation 4 7" xfId="16233" xr:uid="{00000000-0005-0000-0000-00006F050000}"/>
    <cellStyle name="Calculation 5" xfId="3090" xr:uid="{00000000-0005-0000-0000-000070050000}"/>
    <cellStyle name="Calculation 5 2" xfId="3477" xr:uid="{00000000-0005-0000-0000-000071050000}"/>
    <cellStyle name="Calculation 5 2 2" xfId="14834" xr:uid="{00000000-0005-0000-0000-000072050000}"/>
    <cellStyle name="Calculation 5 2 3" xfId="17499" xr:uid="{00000000-0005-0000-0000-000073050000}"/>
    <cellStyle name="Calculation 5 3" xfId="3860" xr:uid="{00000000-0005-0000-0000-000074050000}"/>
    <cellStyle name="Calculation 5 3 2" xfId="15110" xr:uid="{00000000-0005-0000-0000-000075050000}"/>
    <cellStyle name="Calculation 5 3 3" xfId="14202" xr:uid="{00000000-0005-0000-0000-000076050000}"/>
    <cellStyle name="Calculation 5 4" xfId="4243" xr:uid="{00000000-0005-0000-0000-000077050000}"/>
    <cellStyle name="Calculation 5 4 2" xfId="15385" xr:uid="{00000000-0005-0000-0000-000078050000}"/>
    <cellStyle name="Calculation 5 4 3" xfId="13762" xr:uid="{00000000-0005-0000-0000-000079050000}"/>
    <cellStyle name="Calculation 5 5" xfId="4625" xr:uid="{00000000-0005-0000-0000-00007A050000}"/>
    <cellStyle name="Calculation 5 5 2" xfId="15659" xr:uid="{00000000-0005-0000-0000-00007B050000}"/>
    <cellStyle name="Calculation 5 5 3" xfId="13380" xr:uid="{00000000-0005-0000-0000-00007C050000}"/>
    <cellStyle name="Calculation 5 6" xfId="14554" xr:uid="{00000000-0005-0000-0000-00007D050000}"/>
    <cellStyle name="Calculation 5 7" xfId="14366" xr:uid="{00000000-0005-0000-0000-00007E050000}"/>
    <cellStyle name="Calculation 6" xfId="22390" xr:uid="{00000000-0005-0000-0000-00007F050000}"/>
    <cellStyle name="Calculation 7" xfId="2534" xr:uid="{00000000-0005-0000-0000-000080050000}"/>
    <cellStyle name="Calculation 8" xfId="2063" xr:uid="{00000000-0005-0000-0000-000081050000}"/>
    <cellStyle name="Cálculo" xfId="12" builtinId="22" customBuiltin="1"/>
    <cellStyle name="Cálculo 2" xfId="217" xr:uid="{00000000-0005-0000-0000-000083050000}"/>
    <cellStyle name="Cálculo 2 2" xfId="218" xr:uid="{00000000-0005-0000-0000-000084050000}"/>
    <cellStyle name="Cálculo 2 2 2" xfId="2629" xr:uid="{00000000-0005-0000-0000-000085050000}"/>
    <cellStyle name="Cálculo 2 2 2 10" xfId="5139" xr:uid="{00000000-0005-0000-0000-000086050000}"/>
    <cellStyle name="Cálculo 2 2 2 10 2" xfId="10378" xr:uid="{00000000-0005-0000-0000-000087050000}"/>
    <cellStyle name="Cálculo 2 2 2 10 3" xfId="16067" xr:uid="{00000000-0005-0000-0000-000088050000}"/>
    <cellStyle name="Cálculo 2 2 2 10 4" xfId="12782" xr:uid="{00000000-0005-0000-0000-000089050000}"/>
    <cellStyle name="Cálculo 2 2 2 11" xfId="4856" xr:uid="{00000000-0005-0000-0000-00008A050000}"/>
    <cellStyle name="Cálculo 2 2 2 11 2" xfId="15833" xr:uid="{00000000-0005-0000-0000-00008B050000}"/>
    <cellStyle name="Cálculo 2 2 2 11 3" xfId="13150" xr:uid="{00000000-0005-0000-0000-00008C050000}"/>
    <cellStyle name="Cálculo 2 2 2 12" xfId="8791" xr:uid="{00000000-0005-0000-0000-00008D050000}"/>
    <cellStyle name="Cálculo 2 2 2 13" xfId="14166" xr:uid="{00000000-0005-0000-0000-00008E050000}"/>
    <cellStyle name="Cálculo 2 2 2 2" xfId="2718" xr:uid="{00000000-0005-0000-0000-00008F050000}"/>
    <cellStyle name="Cálculo 2 2 2 2 10" xfId="7494" xr:uid="{00000000-0005-0000-0000-000090050000}"/>
    <cellStyle name="Cálculo 2 2 2 2 10 2" xfId="11548" xr:uid="{00000000-0005-0000-0000-000091050000}"/>
    <cellStyle name="Cálculo 2 2 2 2 10 3" xfId="17849" xr:uid="{00000000-0005-0000-0000-000092050000}"/>
    <cellStyle name="Cálculo 2 2 2 2 10 4" xfId="21012" xr:uid="{00000000-0005-0000-0000-000093050000}"/>
    <cellStyle name="Cálculo 2 2 2 2 11" xfId="4911" xr:uid="{00000000-0005-0000-0000-000094050000}"/>
    <cellStyle name="Cálculo 2 2 2 2 11 2" xfId="15881" xr:uid="{00000000-0005-0000-0000-000095050000}"/>
    <cellStyle name="Cálculo 2 2 2 2 11 3" xfId="13108" xr:uid="{00000000-0005-0000-0000-000096050000}"/>
    <cellStyle name="Cálculo 2 2 2 2 12" xfId="8873" xr:uid="{00000000-0005-0000-0000-000097050000}"/>
    <cellStyle name="Cálculo 2 2 2 2 13" xfId="14284" xr:uid="{00000000-0005-0000-0000-000098050000}"/>
    <cellStyle name="Cálculo 2 2 2 2 14" xfId="17472" xr:uid="{00000000-0005-0000-0000-000099050000}"/>
    <cellStyle name="Cálculo 2 2 2 2 2" xfId="2645" xr:uid="{00000000-0005-0000-0000-00009A050000}"/>
    <cellStyle name="Cálculo 2 2 2 2 2 10" xfId="4880" xr:uid="{00000000-0005-0000-0000-00009B050000}"/>
    <cellStyle name="Cálculo 2 2 2 2 2 10 2" xfId="15855" xr:uid="{00000000-0005-0000-0000-00009C050000}"/>
    <cellStyle name="Cálculo 2 2 2 2 2 10 3" xfId="13126" xr:uid="{00000000-0005-0000-0000-00009D050000}"/>
    <cellStyle name="Cálculo 2 2 2 2 2 11" xfId="8802" xr:uid="{00000000-0005-0000-0000-00009E050000}"/>
    <cellStyle name="Cálculo 2 2 2 2 2 12" xfId="14223" xr:uid="{00000000-0005-0000-0000-00009F050000}"/>
    <cellStyle name="Cálculo 2 2 2 2 2 2" xfId="3137" xr:uid="{00000000-0005-0000-0000-0000A0050000}"/>
    <cellStyle name="Cálculo 2 2 2 2 2 2 10" xfId="9267" xr:uid="{00000000-0005-0000-0000-0000A1050000}"/>
    <cellStyle name="Cálculo 2 2 2 2 2 2 11" xfId="14591" xr:uid="{00000000-0005-0000-0000-0000A2050000}"/>
    <cellStyle name="Cálculo 2 2 2 2 2 2 12" xfId="16610" xr:uid="{00000000-0005-0000-0000-0000A3050000}"/>
    <cellStyle name="Cálculo 2 2 2 2 2 2 2" xfId="3524" xr:uid="{00000000-0005-0000-0000-0000A4050000}"/>
    <cellStyle name="Cálculo 2 2 2 2 2 2 2 2" xfId="7265" xr:uid="{00000000-0005-0000-0000-0000A5050000}"/>
    <cellStyle name="Cálculo 2 2 2 2 2 2 2 2 2" xfId="11370" xr:uid="{00000000-0005-0000-0000-0000A6050000}"/>
    <cellStyle name="Cálculo 2 2 2 2 2 2 2 2 3" xfId="17665" xr:uid="{00000000-0005-0000-0000-0000A7050000}"/>
    <cellStyle name="Cálculo 2 2 2 2 2 2 2 2 4" xfId="20783" xr:uid="{00000000-0005-0000-0000-0000A8050000}"/>
    <cellStyle name="Cálculo 2 2 2 2 2 2 2 3" xfId="5556" xr:uid="{00000000-0005-0000-0000-0000A9050000}"/>
    <cellStyle name="Cálculo 2 2 2 2 2 2 2 3 2" xfId="16374" xr:uid="{00000000-0005-0000-0000-0000AA050000}"/>
    <cellStyle name="Cálculo 2 2 2 2 2 2 2 3 3" xfId="19074" xr:uid="{00000000-0005-0000-0000-0000AB050000}"/>
    <cellStyle name="Cálculo 2 2 2 2 2 2 2 4" xfId="9616" xr:uid="{00000000-0005-0000-0000-0000AC050000}"/>
    <cellStyle name="Cálculo 2 2 2 2 2 2 2 5" xfId="14871" xr:uid="{00000000-0005-0000-0000-0000AD050000}"/>
    <cellStyle name="Cálculo 2 2 2 2 2 2 2 6" xfId="15673" xr:uid="{00000000-0005-0000-0000-0000AE050000}"/>
    <cellStyle name="Cálculo 2 2 2 2 2 2 3" xfId="3907" xr:uid="{00000000-0005-0000-0000-0000AF050000}"/>
    <cellStyle name="Cálculo 2 2 2 2 2 2 3 2" xfId="5093" xr:uid="{00000000-0005-0000-0000-0000B0050000}"/>
    <cellStyle name="Cálculo 2 2 2 2 2 2 3 2 2" xfId="10341" xr:uid="{00000000-0005-0000-0000-0000B1050000}"/>
    <cellStyle name="Cálculo 2 2 2 2 2 2 3 2 3" xfId="16029" xr:uid="{00000000-0005-0000-0000-0000B2050000}"/>
    <cellStyle name="Cálculo 2 2 2 2 2 2 3 2 4" xfId="14159" xr:uid="{00000000-0005-0000-0000-0000B3050000}"/>
    <cellStyle name="Cálculo 2 2 2 2 2 2 3 3" xfId="5324" xr:uid="{00000000-0005-0000-0000-0000B4050000}"/>
    <cellStyle name="Cálculo 2 2 2 2 2 2 3 3 2" xfId="16195" xr:uid="{00000000-0005-0000-0000-0000B5050000}"/>
    <cellStyle name="Cálculo 2 2 2 2 2 2 3 3 3" xfId="18842" xr:uid="{00000000-0005-0000-0000-0000B6050000}"/>
    <cellStyle name="Cálculo 2 2 2 2 2 2 3 4" xfId="9830" xr:uid="{00000000-0005-0000-0000-0000B7050000}"/>
    <cellStyle name="Cálculo 2 2 2 2 2 2 3 5" xfId="15147" xr:uid="{00000000-0005-0000-0000-0000B8050000}"/>
    <cellStyle name="Cálculo 2 2 2 2 2 2 3 6" xfId="14081" xr:uid="{00000000-0005-0000-0000-0000B9050000}"/>
    <cellStyle name="Cálculo 2 2 2 2 2 2 4" xfId="4290" xr:uid="{00000000-0005-0000-0000-0000BA050000}"/>
    <cellStyle name="Cálculo 2 2 2 2 2 2 4 2" xfId="8141" xr:uid="{00000000-0005-0000-0000-0000BB050000}"/>
    <cellStyle name="Cálculo 2 2 2 2 2 2 4 2 2" xfId="12109" xr:uid="{00000000-0005-0000-0000-0000BC050000}"/>
    <cellStyle name="Cálculo 2 2 2 2 2 2 4 2 3" xfId="18344" xr:uid="{00000000-0005-0000-0000-0000BD050000}"/>
    <cellStyle name="Cálculo 2 2 2 2 2 2 4 2 4" xfId="21659" xr:uid="{00000000-0005-0000-0000-0000BE050000}"/>
    <cellStyle name="Cálculo 2 2 2 2 2 2 4 3" xfId="6433" xr:uid="{00000000-0005-0000-0000-0000BF050000}"/>
    <cellStyle name="Cálculo 2 2 2 2 2 2 4 3 2" xfId="17053" xr:uid="{00000000-0005-0000-0000-0000C0050000}"/>
    <cellStyle name="Cálculo 2 2 2 2 2 2 4 3 3" xfId="19951" xr:uid="{00000000-0005-0000-0000-0000C1050000}"/>
    <cellStyle name="Cálculo 2 2 2 2 2 2 4 4" xfId="10008" xr:uid="{00000000-0005-0000-0000-0000C2050000}"/>
    <cellStyle name="Cálculo 2 2 2 2 2 2 4 5" xfId="15422" xr:uid="{00000000-0005-0000-0000-0000C3050000}"/>
    <cellStyle name="Cálculo 2 2 2 2 2 2 4 6" xfId="13715" xr:uid="{00000000-0005-0000-0000-0000C4050000}"/>
    <cellStyle name="Cálculo 2 2 2 2 2 2 5" xfId="4672" xr:uid="{00000000-0005-0000-0000-0000C5050000}"/>
    <cellStyle name="Cálculo 2 2 2 2 2 2 5 2" xfId="8373" xr:uid="{00000000-0005-0000-0000-0000C6050000}"/>
    <cellStyle name="Cálculo 2 2 2 2 2 2 5 2 2" xfId="12341" xr:uid="{00000000-0005-0000-0000-0000C7050000}"/>
    <cellStyle name="Cálculo 2 2 2 2 2 2 5 2 3" xfId="18515" xr:uid="{00000000-0005-0000-0000-0000C8050000}"/>
    <cellStyle name="Cálculo 2 2 2 2 2 2 5 2 4" xfId="21891" xr:uid="{00000000-0005-0000-0000-0000C9050000}"/>
    <cellStyle name="Cálculo 2 2 2 2 2 2 5 3" xfId="6665" xr:uid="{00000000-0005-0000-0000-0000CA050000}"/>
    <cellStyle name="Cálculo 2 2 2 2 2 2 5 3 2" xfId="17224" xr:uid="{00000000-0005-0000-0000-0000CB050000}"/>
    <cellStyle name="Cálculo 2 2 2 2 2 2 5 3 3" xfId="20183" xr:uid="{00000000-0005-0000-0000-0000CC050000}"/>
    <cellStyle name="Cálculo 2 2 2 2 2 2 5 4" xfId="10185" xr:uid="{00000000-0005-0000-0000-0000CD050000}"/>
    <cellStyle name="Cálculo 2 2 2 2 2 2 5 5" xfId="15696" xr:uid="{00000000-0005-0000-0000-0000CE050000}"/>
    <cellStyle name="Cálculo 2 2 2 2 2 2 5 6" xfId="13333" xr:uid="{00000000-0005-0000-0000-0000CF050000}"/>
    <cellStyle name="Cálculo 2 2 2 2 2 2 6" xfId="6897" xr:uid="{00000000-0005-0000-0000-0000D0050000}"/>
    <cellStyle name="Cálculo 2 2 2 2 2 2 6 2" xfId="8605" xr:uid="{00000000-0005-0000-0000-0000D1050000}"/>
    <cellStyle name="Cálculo 2 2 2 2 2 2 6 2 2" xfId="12573" xr:uid="{00000000-0005-0000-0000-0000D2050000}"/>
    <cellStyle name="Cálculo 2 2 2 2 2 2 6 2 3" xfId="18686" xr:uid="{00000000-0005-0000-0000-0000D3050000}"/>
    <cellStyle name="Cálculo 2 2 2 2 2 2 6 2 4" xfId="22123" xr:uid="{00000000-0005-0000-0000-0000D4050000}"/>
    <cellStyle name="Cálculo 2 2 2 2 2 2 6 3" xfId="11031" xr:uid="{00000000-0005-0000-0000-0000D5050000}"/>
    <cellStyle name="Cálculo 2 2 2 2 2 2 6 4" xfId="17394" xr:uid="{00000000-0005-0000-0000-0000D6050000}"/>
    <cellStyle name="Cálculo 2 2 2 2 2 2 6 5" xfId="20415" xr:uid="{00000000-0005-0000-0000-0000D7050000}"/>
    <cellStyle name="Cálculo 2 2 2 2 2 2 7" xfId="5885" xr:uid="{00000000-0005-0000-0000-0000D8050000}"/>
    <cellStyle name="Cálculo 2 2 2 2 2 2 7 2" xfId="10626" xr:uid="{00000000-0005-0000-0000-0000D9050000}"/>
    <cellStyle name="Cálculo 2 2 2 2 2 2 7 3" xfId="16632" xr:uid="{00000000-0005-0000-0000-0000DA050000}"/>
    <cellStyle name="Cálculo 2 2 2 2 2 2 7 4" xfId="19403" xr:uid="{00000000-0005-0000-0000-0000DB050000}"/>
    <cellStyle name="Cálculo 2 2 2 2 2 2 8" xfId="7593" xr:uid="{00000000-0005-0000-0000-0000DC050000}"/>
    <cellStyle name="Cálculo 2 2 2 2 2 2 8 2" xfId="11614" xr:uid="{00000000-0005-0000-0000-0000DD050000}"/>
    <cellStyle name="Cálculo 2 2 2 2 2 2 8 3" xfId="17924" xr:uid="{00000000-0005-0000-0000-0000DE050000}"/>
    <cellStyle name="Cálculo 2 2 2 2 2 2 8 4" xfId="21111" xr:uid="{00000000-0005-0000-0000-0000DF050000}"/>
    <cellStyle name="Cálculo 2 2 2 2 2 2 9" xfId="4975" xr:uid="{00000000-0005-0000-0000-0000E0050000}"/>
    <cellStyle name="Cálculo 2 2 2 2 2 2 9 2" xfId="15942" xr:uid="{00000000-0005-0000-0000-0000E1050000}"/>
    <cellStyle name="Cálculo 2 2 2 2 2 2 9 3" xfId="13044" xr:uid="{00000000-0005-0000-0000-0000E2050000}"/>
    <cellStyle name="Cálculo 2 2 2 2 2 3" xfId="3029" xr:uid="{00000000-0005-0000-0000-0000E3050000}"/>
    <cellStyle name="Cálculo 2 2 2 2 2 3 2" xfId="3416" xr:uid="{00000000-0005-0000-0000-0000E4050000}"/>
    <cellStyle name="Cálculo 2 2 2 2 2 3 2 2" xfId="7406" xr:uid="{00000000-0005-0000-0000-0000E5050000}"/>
    <cellStyle name="Cálculo 2 2 2 2 2 3 2 2 2" xfId="17779" xr:uid="{00000000-0005-0000-0000-0000E6050000}"/>
    <cellStyle name="Cálculo 2 2 2 2 2 3 2 2 3" xfId="20924" xr:uid="{00000000-0005-0000-0000-0000E7050000}"/>
    <cellStyle name="Cálculo 2 2 2 2 2 3 2 3" xfId="9533" xr:uid="{00000000-0005-0000-0000-0000E8050000}"/>
    <cellStyle name="Cálculo 2 2 2 2 2 3 2 4" xfId="14785" xr:uid="{00000000-0005-0000-0000-0000E9050000}"/>
    <cellStyle name="Cálculo 2 2 2 2 2 3 2 5" xfId="16883" xr:uid="{00000000-0005-0000-0000-0000EA050000}"/>
    <cellStyle name="Cálculo 2 2 2 2 2 3 3" xfId="3799" xr:uid="{00000000-0005-0000-0000-0000EB050000}"/>
    <cellStyle name="Cálculo 2 2 2 2 2 3 3 2" xfId="15061" xr:uid="{00000000-0005-0000-0000-0000EC050000}"/>
    <cellStyle name="Cálculo 2 2 2 2 2 3 3 3" xfId="17998" xr:uid="{00000000-0005-0000-0000-0000ED050000}"/>
    <cellStyle name="Cálculo 2 2 2 2 2 3 4" xfId="4182" xr:uid="{00000000-0005-0000-0000-0000EE050000}"/>
    <cellStyle name="Cálculo 2 2 2 2 2 3 4 2" xfId="15336" xr:uid="{00000000-0005-0000-0000-0000EF050000}"/>
    <cellStyle name="Cálculo 2 2 2 2 2 3 4 3" xfId="13823" xr:uid="{00000000-0005-0000-0000-0000F0050000}"/>
    <cellStyle name="Cálculo 2 2 2 2 2 3 5" xfId="4564" xr:uid="{00000000-0005-0000-0000-0000F1050000}"/>
    <cellStyle name="Cálculo 2 2 2 2 2 3 5 2" xfId="15610" xr:uid="{00000000-0005-0000-0000-0000F2050000}"/>
    <cellStyle name="Cálculo 2 2 2 2 2 3 5 3" xfId="13441" xr:uid="{00000000-0005-0000-0000-0000F3050000}"/>
    <cellStyle name="Cálculo 2 2 2 2 2 3 6" xfId="5697" xr:uid="{00000000-0005-0000-0000-0000F4050000}"/>
    <cellStyle name="Cálculo 2 2 2 2 2 3 6 2" xfId="16488" xr:uid="{00000000-0005-0000-0000-0000F5050000}"/>
    <cellStyle name="Cálculo 2 2 2 2 2 3 6 3" xfId="19215" xr:uid="{00000000-0005-0000-0000-0000F6050000}"/>
    <cellStyle name="Cálculo 2 2 2 2 2 3 7" xfId="9171" xr:uid="{00000000-0005-0000-0000-0000F7050000}"/>
    <cellStyle name="Cálculo 2 2 2 2 2 3 8" xfId="14505" xr:uid="{00000000-0005-0000-0000-0000F8050000}"/>
    <cellStyle name="Cálculo 2 2 2 2 2 3 9" xfId="16703" xr:uid="{00000000-0005-0000-0000-0000F9050000}"/>
    <cellStyle name="Cálculo 2 2 2 2 2 4" xfId="2845" xr:uid="{00000000-0005-0000-0000-0000FA050000}"/>
    <cellStyle name="Cálculo 2 2 2 2 2 4 2" xfId="5145" xr:uid="{00000000-0005-0000-0000-0000FB050000}"/>
    <cellStyle name="Cálculo 2 2 2 2 2 4 2 2" xfId="10384" xr:uid="{00000000-0005-0000-0000-0000FC050000}"/>
    <cellStyle name="Cálculo 2 2 2 2 2 4 2 3" xfId="16071" xr:uid="{00000000-0005-0000-0000-0000FD050000}"/>
    <cellStyle name="Cálculo 2 2 2 2 2 4 2 4" xfId="12925" xr:uid="{00000000-0005-0000-0000-0000FE050000}"/>
    <cellStyle name="Cálculo 2 2 2 2 2 4 3" xfId="5322" xr:uid="{00000000-0005-0000-0000-0000FF050000}"/>
    <cellStyle name="Cálculo 2 2 2 2 2 4 3 2" xfId="16193" xr:uid="{00000000-0005-0000-0000-000000060000}"/>
    <cellStyle name="Cálculo 2 2 2 2 2 4 3 3" xfId="18840" xr:uid="{00000000-0005-0000-0000-000001060000}"/>
    <cellStyle name="Cálculo 2 2 2 2 2 4 4" xfId="8998" xr:uid="{00000000-0005-0000-0000-000002060000}"/>
    <cellStyle name="Cálculo 2 2 2 2 2 4 5" xfId="14384" xr:uid="{00000000-0005-0000-0000-000003060000}"/>
    <cellStyle name="Cálculo 2 2 2 2 2 4 6" xfId="17502" xr:uid="{00000000-0005-0000-0000-000004060000}"/>
    <cellStyle name="Cálculo 2 2 2 2 2 5" xfId="5632" xr:uid="{00000000-0005-0000-0000-000005060000}"/>
    <cellStyle name="Cálculo 2 2 2 2 2 5 2" xfId="7341" xr:uid="{00000000-0005-0000-0000-000006060000}"/>
    <cellStyle name="Cálculo 2 2 2 2 2 5 2 2" xfId="11427" xr:uid="{00000000-0005-0000-0000-000007060000}"/>
    <cellStyle name="Cálculo 2 2 2 2 2 5 2 3" xfId="17730" xr:uid="{00000000-0005-0000-0000-000008060000}"/>
    <cellStyle name="Cálculo 2 2 2 2 2 5 2 4" xfId="20859" xr:uid="{00000000-0005-0000-0000-000009060000}"/>
    <cellStyle name="Cálculo 2 2 2 2 2 5 3" xfId="10505" xr:uid="{00000000-0005-0000-0000-00000A060000}"/>
    <cellStyle name="Cálculo 2 2 2 2 2 5 4" xfId="16439" xr:uid="{00000000-0005-0000-0000-00000B060000}"/>
    <cellStyle name="Cálculo 2 2 2 2 2 5 5" xfId="19150" xr:uid="{00000000-0005-0000-0000-00000C060000}"/>
    <cellStyle name="Cálculo 2 2 2 2 2 6" xfId="6115" xr:uid="{00000000-0005-0000-0000-00000D060000}"/>
    <cellStyle name="Cálculo 2 2 2 2 2 6 2" xfId="7823" xr:uid="{00000000-0005-0000-0000-00000E060000}"/>
    <cellStyle name="Cálculo 2 2 2 2 2 6 2 2" xfId="11833" xr:uid="{00000000-0005-0000-0000-00000F060000}"/>
    <cellStyle name="Cálculo 2 2 2 2 2 6 2 3" xfId="18087" xr:uid="{00000000-0005-0000-0000-000010060000}"/>
    <cellStyle name="Cálculo 2 2 2 2 2 6 2 4" xfId="21341" xr:uid="{00000000-0005-0000-0000-000011060000}"/>
    <cellStyle name="Cálculo 2 2 2 2 2 6 3" xfId="10813" xr:uid="{00000000-0005-0000-0000-000012060000}"/>
    <cellStyle name="Cálculo 2 2 2 2 2 6 4" xfId="16795" xr:uid="{00000000-0005-0000-0000-000013060000}"/>
    <cellStyle name="Cálculo 2 2 2 2 2 6 5" xfId="19633" xr:uid="{00000000-0005-0000-0000-000014060000}"/>
    <cellStyle name="Cálculo 2 2 2 2 2 7" xfId="6195" xr:uid="{00000000-0005-0000-0000-000015060000}"/>
    <cellStyle name="Cálculo 2 2 2 2 2 7 2" xfId="7903" xr:uid="{00000000-0005-0000-0000-000016060000}"/>
    <cellStyle name="Cálculo 2 2 2 2 2 7 2 2" xfId="11886" xr:uid="{00000000-0005-0000-0000-000017060000}"/>
    <cellStyle name="Cálculo 2 2 2 2 2 7 2 3" xfId="18157" xr:uid="{00000000-0005-0000-0000-000018060000}"/>
    <cellStyle name="Cálculo 2 2 2 2 2 7 2 4" xfId="21421" xr:uid="{00000000-0005-0000-0000-000019060000}"/>
    <cellStyle name="Cálculo 2 2 2 2 2 7 3" xfId="10843" xr:uid="{00000000-0005-0000-0000-00001A060000}"/>
    <cellStyle name="Cálculo 2 2 2 2 2 7 4" xfId="16865" xr:uid="{00000000-0005-0000-0000-00001B060000}"/>
    <cellStyle name="Cálculo 2 2 2 2 2 7 5" xfId="19713" xr:uid="{00000000-0005-0000-0000-00001C060000}"/>
    <cellStyle name="Cálculo 2 2 2 2 2 8" xfId="5749" xr:uid="{00000000-0005-0000-0000-00001D060000}"/>
    <cellStyle name="Cálculo 2 2 2 2 2 8 2" xfId="10530" xr:uid="{00000000-0005-0000-0000-00001E060000}"/>
    <cellStyle name="Cálculo 2 2 2 2 2 8 3" xfId="16529" xr:uid="{00000000-0005-0000-0000-00001F060000}"/>
    <cellStyle name="Cálculo 2 2 2 2 2 8 4" xfId="19267" xr:uid="{00000000-0005-0000-0000-000020060000}"/>
    <cellStyle name="Cálculo 2 2 2 2 2 9" xfId="7458" xr:uid="{00000000-0005-0000-0000-000021060000}"/>
    <cellStyle name="Cálculo 2 2 2 2 2 9 2" xfId="11517" xr:uid="{00000000-0005-0000-0000-000022060000}"/>
    <cellStyle name="Cálculo 2 2 2 2 2 9 3" xfId="17820" xr:uid="{00000000-0005-0000-0000-000023060000}"/>
    <cellStyle name="Cálculo 2 2 2 2 2 9 4" xfId="20976" xr:uid="{00000000-0005-0000-0000-000024060000}"/>
    <cellStyle name="Cálculo 2 2 2 2 3" xfId="3208" xr:uid="{00000000-0005-0000-0000-000025060000}"/>
    <cellStyle name="Cálculo 2 2 2 2 3 10" xfId="9338" xr:uid="{00000000-0005-0000-0000-000026060000}"/>
    <cellStyle name="Cálculo 2 2 2 2 3 11" xfId="14649" xr:uid="{00000000-0005-0000-0000-000027060000}"/>
    <cellStyle name="Cálculo 2 2 2 2 3 12" xfId="17990" xr:uid="{00000000-0005-0000-0000-000028060000}"/>
    <cellStyle name="Cálculo 2 2 2 2 3 2" xfId="3595" xr:uid="{00000000-0005-0000-0000-000029060000}"/>
    <cellStyle name="Cálculo 2 2 2 2 3 2 2" xfId="7956" xr:uid="{00000000-0005-0000-0000-00002A060000}"/>
    <cellStyle name="Cálculo 2 2 2 2 3 2 2 2" xfId="11932" xr:uid="{00000000-0005-0000-0000-00002B060000}"/>
    <cellStyle name="Cálculo 2 2 2 2 3 2 2 3" xfId="18189" xr:uid="{00000000-0005-0000-0000-00002C060000}"/>
    <cellStyle name="Cálculo 2 2 2 2 3 2 2 4" xfId="21474" xr:uid="{00000000-0005-0000-0000-00002D060000}"/>
    <cellStyle name="Cálculo 2 2 2 2 3 2 3" xfId="6248" xr:uid="{00000000-0005-0000-0000-00002E060000}"/>
    <cellStyle name="Cálculo 2 2 2 2 3 2 3 2" xfId="16897" xr:uid="{00000000-0005-0000-0000-00002F060000}"/>
    <cellStyle name="Cálculo 2 2 2 2 3 2 3 3" xfId="19766" xr:uid="{00000000-0005-0000-0000-000030060000}"/>
    <cellStyle name="Cálculo 2 2 2 2 3 2 4" xfId="9687" xr:uid="{00000000-0005-0000-0000-000031060000}"/>
    <cellStyle name="Cálculo 2 2 2 2 3 2 5" xfId="14929" xr:uid="{00000000-0005-0000-0000-000032060000}"/>
    <cellStyle name="Cálculo 2 2 2 2 3 2 6" xfId="16423" xr:uid="{00000000-0005-0000-0000-000033060000}"/>
    <cellStyle name="Cálculo 2 2 2 2 3 3" xfId="3978" xr:uid="{00000000-0005-0000-0000-000034060000}"/>
    <cellStyle name="Cálculo 2 2 2 2 3 3 2" xfId="7329" xr:uid="{00000000-0005-0000-0000-000035060000}"/>
    <cellStyle name="Cálculo 2 2 2 2 3 3 2 2" xfId="11419" xr:uid="{00000000-0005-0000-0000-000036060000}"/>
    <cellStyle name="Cálculo 2 2 2 2 3 3 2 3" xfId="17719" xr:uid="{00000000-0005-0000-0000-000037060000}"/>
    <cellStyle name="Cálculo 2 2 2 2 3 3 2 4" xfId="20847" xr:uid="{00000000-0005-0000-0000-000038060000}"/>
    <cellStyle name="Cálculo 2 2 2 2 3 3 3" xfId="5620" xr:uid="{00000000-0005-0000-0000-000039060000}"/>
    <cellStyle name="Cálculo 2 2 2 2 3 3 3 2" xfId="16428" xr:uid="{00000000-0005-0000-0000-00003A060000}"/>
    <cellStyle name="Cálculo 2 2 2 2 3 3 3 3" xfId="19138" xr:uid="{00000000-0005-0000-0000-00003B060000}"/>
    <cellStyle name="Cálculo 2 2 2 2 3 3 4" xfId="9897" xr:uid="{00000000-0005-0000-0000-00003C060000}"/>
    <cellStyle name="Cálculo 2 2 2 2 3 3 5" xfId="15205" xr:uid="{00000000-0005-0000-0000-00003D060000}"/>
    <cellStyle name="Cálculo 2 2 2 2 3 3 6" xfId="14013" xr:uid="{00000000-0005-0000-0000-00003E060000}"/>
    <cellStyle name="Cálculo 2 2 2 2 3 4" xfId="4361" xr:uid="{00000000-0005-0000-0000-00003F060000}"/>
    <cellStyle name="Cálculo 2 2 2 2 3 4 2" xfId="8263" xr:uid="{00000000-0005-0000-0000-000040060000}"/>
    <cellStyle name="Cálculo 2 2 2 2 3 4 2 2" xfId="12231" xr:uid="{00000000-0005-0000-0000-000041060000}"/>
    <cellStyle name="Cálculo 2 2 2 2 3 4 2 3" xfId="18422" xr:uid="{00000000-0005-0000-0000-000042060000}"/>
    <cellStyle name="Cálculo 2 2 2 2 3 4 2 4" xfId="21781" xr:uid="{00000000-0005-0000-0000-000043060000}"/>
    <cellStyle name="Cálculo 2 2 2 2 3 4 3" xfId="6555" xr:uid="{00000000-0005-0000-0000-000044060000}"/>
    <cellStyle name="Cálculo 2 2 2 2 3 4 3 2" xfId="17131" xr:uid="{00000000-0005-0000-0000-000045060000}"/>
    <cellStyle name="Cálculo 2 2 2 2 3 4 3 3" xfId="20073" xr:uid="{00000000-0005-0000-0000-000046060000}"/>
    <cellStyle name="Cálculo 2 2 2 2 3 4 4" xfId="10075" xr:uid="{00000000-0005-0000-0000-000047060000}"/>
    <cellStyle name="Cálculo 2 2 2 2 3 4 5" xfId="15480" xr:uid="{00000000-0005-0000-0000-000048060000}"/>
    <cellStyle name="Cálculo 2 2 2 2 3 4 6" xfId="13644" xr:uid="{00000000-0005-0000-0000-000049060000}"/>
    <cellStyle name="Cálculo 2 2 2 2 3 5" xfId="4743" xr:uid="{00000000-0005-0000-0000-00004A060000}"/>
    <cellStyle name="Cálculo 2 2 2 2 3 5 2" xfId="8495" xr:uid="{00000000-0005-0000-0000-00004B060000}"/>
    <cellStyle name="Cálculo 2 2 2 2 3 5 2 2" xfId="12463" xr:uid="{00000000-0005-0000-0000-00004C060000}"/>
    <cellStyle name="Cálculo 2 2 2 2 3 5 2 3" xfId="18593" xr:uid="{00000000-0005-0000-0000-00004D060000}"/>
    <cellStyle name="Cálculo 2 2 2 2 3 5 2 4" xfId="22013" xr:uid="{00000000-0005-0000-0000-00004E060000}"/>
    <cellStyle name="Cálculo 2 2 2 2 3 5 3" xfId="6787" xr:uid="{00000000-0005-0000-0000-00004F060000}"/>
    <cellStyle name="Cálculo 2 2 2 2 3 5 3 2" xfId="17301" xr:uid="{00000000-0005-0000-0000-000050060000}"/>
    <cellStyle name="Cálculo 2 2 2 2 3 5 3 3" xfId="20305" xr:uid="{00000000-0005-0000-0000-000051060000}"/>
    <cellStyle name="Cálculo 2 2 2 2 3 5 4" xfId="10252" xr:uid="{00000000-0005-0000-0000-000052060000}"/>
    <cellStyle name="Cálculo 2 2 2 2 3 5 5" xfId="15753" xr:uid="{00000000-0005-0000-0000-000053060000}"/>
    <cellStyle name="Cálculo 2 2 2 2 3 5 6" xfId="13262" xr:uid="{00000000-0005-0000-0000-000054060000}"/>
    <cellStyle name="Cálculo 2 2 2 2 3 6" xfId="7019" xr:uid="{00000000-0005-0000-0000-000055060000}"/>
    <cellStyle name="Cálculo 2 2 2 2 3 6 2" xfId="8727" xr:uid="{00000000-0005-0000-0000-000056060000}"/>
    <cellStyle name="Cálculo 2 2 2 2 3 6 2 2" xfId="12695" xr:uid="{00000000-0005-0000-0000-000057060000}"/>
    <cellStyle name="Cálculo 2 2 2 2 3 6 2 3" xfId="18764" xr:uid="{00000000-0005-0000-0000-000058060000}"/>
    <cellStyle name="Cálculo 2 2 2 2 3 6 2 4" xfId="22245" xr:uid="{00000000-0005-0000-0000-000059060000}"/>
    <cellStyle name="Cálculo 2 2 2 2 3 6 3" xfId="11153" xr:uid="{00000000-0005-0000-0000-00005A060000}"/>
    <cellStyle name="Cálculo 2 2 2 2 3 6 4" xfId="17471" xr:uid="{00000000-0005-0000-0000-00005B060000}"/>
    <cellStyle name="Cálculo 2 2 2 2 3 6 5" xfId="20537" xr:uid="{00000000-0005-0000-0000-00005C060000}"/>
    <cellStyle name="Cálculo 2 2 2 2 3 7" xfId="6007" xr:uid="{00000000-0005-0000-0000-00005D060000}"/>
    <cellStyle name="Cálculo 2 2 2 2 3 7 2" xfId="10748" xr:uid="{00000000-0005-0000-0000-00005E060000}"/>
    <cellStyle name="Cálculo 2 2 2 2 3 7 3" xfId="16710" xr:uid="{00000000-0005-0000-0000-00005F060000}"/>
    <cellStyle name="Cálculo 2 2 2 2 3 7 4" xfId="19525" xr:uid="{00000000-0005-0000-0000-000060060000}"/>
    <cellStyle name="Cálculo 2 2 2 2 3 8" xfId="7715" xr:uid="{00000000-0005-0000-0000-000061060000}"/>
    <cellStyle name="Cálculo 2 2 2 2 3 8 2" xfId="11736" xr:uid="{00000000-0005-0000-0000-000062060000}"/>
    <cellStyle name="Cálculo 2 2 2 2 3 8 3" xfId="18002" xr:uid="{00000000-0005-0000-0000-000063060000}"/>
    <cellStyle name="Cálculo 2 2 2 2 3 8 4" xfId="21233" xr:uid="{00000000-0005-0000-0000-000064060000}"/>
    <cellStyle name="Cálculo 2 2 2 2 3 9" xfId="5201" xr:uid="{00000000-0005-0000-0000-000065060000}"/>
    <cellStyle name="Cálculo 2 2 2 2 3 9 2" xfId="16098" xr:uid="{00000000-0005-0000-0000-000066060000}"/>
    <cellStyle name="Cálculo 2 2 2 2 3 9 3" xfId="12881" xr:uid="{00000000-0005-0000-0000-000067060000}"/>
    <cellStyle name="Cálculo 2 2 2 2 4" xfId="3265" xr:uid="{00000000-0005-0000-0000-000068060000}"/>
    <cellStyle name="Cálculo 2 2 2 2 4 2" xfId="3652" xr:uid="{00000000-0005-0000-0000-000069060000}"/>
    <cellStyle name="Cálculo 2 2 2 2 4 2 2" xfId="7244" xr:uid="{00000000-0005-0000-0000-00006A060000}"/>
    <cellStyle name="Cálculo 2 2 2 2 4 2 2 2" xfId="17647" xr:uid="{00000000-0005-0000-0000-00006B060000}"/>
    <cellStyle name="Cálculo 2 2 2 2 4 2 2 3" xfId="20762" xr:uid="{00000000-0005-0000-0000-00006C060000}"/>
    <cellStyle name="Cálculo 2 2 2 2 4 2 3" xfId="9743" xr:uid="{00000000-0005-0000-0000-00006D060000}"/>
    <cellStyle name="Cálculo 2 2 2 2 4 2 4" xfId="14970" xr:uid="{00000000-0005-0000-0000-00006E060000}"/>
    <cellStyle name="Cálculo 2 2 2 2 4 2 5" xfId="14692" xr:uid="{00000000-0005-0000-0000-00006F060000}"/>
    <cellStyle name="Cálculo 2 2 2 2 4 3" xfId="4035" xr:uid="{00000000-0005-0000-0000-000070060000}"/>
    <cellStyle name="Cálculo 2 2 2 2 4 3 2" xfId="15245" xr:uid="{00000000-0005-0000-0000-000071060000}"/>
    <cellStyle name="Cálculo 2 2 2 2 4 3 3" xfId="13956" xr:uid="{00000000-0005-0000-0000-000072060000}"/>
    <cellStyle name="Cálculo 2 2 2 2 4 4" xfId="4418" xr:uid="{00000000-0005-0000-0000-000073060000}"/>
    <cellStyle name="Cálculo 2 2 2 2 4 4 2" xfId="15521" xr:uid="{00000000-0005-0000-0000-000074060000}"/>
    <cellStyle name="Cálculo 2 2 2 2 4 4 3" xfId="13587" xr:uid="{00000000-0005-0000-0000-000075060000}"/>
    <cellStyle name="Cálculo 2 2 2 2 4 5" xfId="4800" xr:uid="{00000000-0005-0000-0000-000076060000}"/>
    <cellStyle name="Cálculo 2 2 2 2 4 5 2" xfId="15793" xr:uid="{00000000-0005-0000-0000-000077060000}"/>
    <cellStyle name="Cálculo 2 2 2 2 4 5 3" xfId="13206" xr:uid="{00000000-0005-0000-0000-000078060000}"/>
    <cellStyle name="Cálculo 2 2 2 2 4 6" xfId="5535" xr:uid="{00000000-0005-0000-0000-000079060000}"/>
    <cellStyle name="Cálculo 2 2 2 2 4 6 2" xfId="16356" xr:uid="{00000000-0005-0000-0000-00007A060000}"/>
    <cellStyle name="Cálculo 2 2 2 2 4 6 3" xfId="19053" xr:uid="{00000000-0005-0000-0000-00007B060000}"/>
    <cellStyle name="Cálculo 2 2 2 2 4 7" xfId="9395" xr:uid="{00000000-0005-0000-0000-00007C060000}"/>
    <cellStyle name="Cálculo 2 2 2 2 4 8" xfId="14690" xr:uid="{00000000-0005-0000-0000-00007D060000}"/>
    <cellStyle name="Cálculo 2 2 2 2 4 9" xfId="16531" xr:uid="{00000000-0005-0000-0000-00007E060000}"/>
    <cellStyle name="Cálculo 2 2 2 2 5" xfId="6295" xr:uid="{00000000-0005-0000-0000-00007F060000}"/>
    <cellStyle name="Cálculo 2 2 2 2 5 2" xfId="8003" xr:uid="{00000000-0005-0000-0000-000080060000}"/>
    <cellStyle name="Cálculo 2 2 2 2 5 2 2" xfId="11979" xr:uid="{00000000-0005-0000-0000-000081060000}"/>
    <cellStyle name="Cálculo 2 2 2 2 5 2 3" xfId="18221" xr:uid="{00000000-0005-0000-0000-000082060000}"/>
    <cellStyle name="Cálculo 2 2 2 2 5 2 4" xfId="21521" xr:uid="{00000000-0005-0000-0000-000083060000}"/>
    <cellStyle name="Cálculo 2 2 2 2 5 3" xfId="10851" xr:uid="{00000000-0005-0000-0000-000084060000}"/>
    <cellStyle name="Cálculo 2 2 2 2 5 4" xfId="16930" xr:uid="{00000000-0005-0000-0000-000085060000}"/>
    <cellStyle name="Cálculo 2 2 2 2 5 5" xfId="19813" xr:uid="{00000000-0005-0000-0000-000086060000}"/>
    <cellStyle name="Cálculo 2 2 2 2 6" xfId="5622" xr:uid="{00000000-0005-0000-0000-000087060000}"/>
    <cellStyle name="Cálculo 2 2 2 2 6 2" xfId="7331" xr:uid="{00000000-0005-0000-0000-000088060000}"/>
    <cellStyle name="Cálculo 2 2 2 2 6 2 2" xfId="11421" xr:uid="{00000000-0005-0000-0000-000089060000}"/>
    <cellStyle name="Cálculo 2 2 2 2 6 2 3" xfId="17721" xr:uid="{00000000-0005-0000-0000-00008A060000}"/>
    <cellStyle name="Cálculo 2 2 2 2 6 2 4" xfId="20849" xr:uid="{00000000-0005-0000-0000-00008B060000}"/>
    <cellStyle name="Cálculo 2 2 2 2 6 3" xfId="10499" xr:uid="{00000000-0005-0000-0000-00008C060000}"/>
    <cellStyle name="Cálculo 2 2 2 2 6 4" xfId="16430" xr:uid="{00000000-0005-0000-0000-00008D060000}"/>
    <cellStyle name="Cálculo 2 2 2 2 6 5" xfId="19140" xr:uid="{00000000-0005-0000-0000-00008E060000}"/>
    <cellStyle name="Cálculo 2 2 2 2 7" xfId="6185" xr:uid="{00000000-0005-0000-0000-00008F060000}"/>
    <cellStyle name="Cálculo 2 2 2 2 7 2" xfId="7893" xr:uid="{00000000-0005-0000-0000-000090060000}"/>
    <cellStyle name="Cálculo 2 2 2 2 7 2 2" xfId="11880" xr:uid="{00000000-0005-0000-0000-000091060000}"/>
    <cellStyle name="Cálculo 2 2 2 2 7 2 3" xfId="18148" xr:uid="{00000000-0005-0000-0000-000092060000}"/>
    <cellStyle name="Cálculo 2 2 2 2 7 2 4" xfId="21411" xr:uid="{00000000-0005-0000-0000-000093060000}"/>
    <cellStyle name="Cálculo 2 2 2 2 7 3" xfId="10837" xr:uid="{00000000-0005-0000-0000-000094060000}"/>
    <cellStyle name="Cálculo 2 2 2 2 7 4" xfId="16856" xr:uid="{00000000-0005-0000-0000-000095060000}"/>
    <cellStyle name="Cálculo 2 2 2 2 7 5" xfId="19703" xr:uid="{00000000-0005-0000-0000-000096060000}"/>
    <cellStyle name="Cálculo 2 2 2 2 8" xfId="6165" xr:uid="{00000000-0005-0000-0000-000097060000}"/>
    <cellStyle name="Cálculo 2 2 2 2 8 2" xfId="7873" xr:uid="{00000000-0005-0000-0000-000098060000}"/>
    <cellStyle name="Cálculo 2 2 2 2 8 2 2" xfId="11865" xr:uid="{00000000-0005-0000-0000-000099060000}"/>
    <cellStyle name="Cálculo 2 2 2 2 8 2 3" xfId="18130" xr:uid="{00000000-0005-0000-0000-00009A060000}"/>
    <cellStyle name="Cálculo 2 2 2 2 8 2 4" xfId="21391" xr:uid="{00000000-0005-0000-0000-00009B060000}"/>
    <cellStyle name="Cálculo 2 2 2 2 8 3" xfId="10829" xr:uid="{00000000-0005-0000-0000-00009C060000}"/>
    <cellStyle name="Cálculo 2 2 2 2 8 4" xfId="16838" xr:uid="{00000000-0005-0000-0000-00009D060000}"/>
    <cellStyle name="Cálculo 2 2 2 2 8 5" xfId="19683" xr:uid="{00000000-0005-0000-0000-00009E060000}"/>
    <cellStyle name="Cálculo 2 2 2 2 9" xfId="5786" xr:uid="{00000000-0005-0000-0000-00009F060000}"/>
    <cellStyle name="Cálculo 2 2 2 2 9 2" xfId="10562" xr:uid="{00000000-0005-0000-0000-0000A0060000}"/>
    <cellStyle name="Cálculo 2 2 2 2 9 3" xfId="16557" xr:uid="{00000000-0005-0000-0000-0000A1060000}"/>
    <cellStyle name="Cálculo 2 2 2 2 9 4" xfId="19304" xr:uid="{00000000-0005-0000-0000-0000A2060000}"/>
    <cellStyle name="Cálculo 2 2 2 3" xfId="2676" xr:uid="{00000000-0005-0000-0000-0000A3060000}"/>
    <cellStyle name="Cálculo 2 2 2 3 10" xfId="7522" xr:uid="{00000000-0005-0000-0000-0000A4060000}"/>
    <cellStyle name="Cálculo 2 2 2 3 10 2" xfId="11563" xr:uid="{00000000-0005-0000-0000-0000A5060000}"/>
    <cellStyle name="Cálculo 2 2 2 3 10 3" xfId="17869" xr:uid="{00000000-0005-0000-0000-0000A6060000}"/>
    <cellStyle name="Cálculo 2 2 2 3 10 4" xfId="21040" xr:uid="{00000000-0005-0000-0000-0000A7060000}"/>
    <cellStyle name="Cálculo 2 2 2 3 11" xfId="4926" xr:uid="{00000000-0005-0000-0000-0000A8060000}"/>
    <cellStyle name="Cálculo 2 2 2 3 11 2" xfId="15896" xr:uid="{00000000-0005-0000-0000-0000A9060000}"/>
    <cellStyle name="Cálculo 2 2 2 3 11 3" xfId="13093" xr:uid="{00000000-0005-0000-0000-0000AA060000}"/>
    <cellStyle name="Cálculo 2 2 2 3 12" xfId="8833" xr:uid="{00000000-0005-0000-0000-0000AB060000}"/>
    <cellStyle name="Cálculo 2 2 2 3 13" xfId="14249" xr:uid="{00000000-0005-0000-0000-0000AC060000}"/>
    <cellStyle name="Cálculo 2 2 2 3 14" xfId="18608" xr:uid="{00000000-0005-0000-0000-0000AD060000}"/>
    <cellStyle name="Cálculo 2 2 2 3 2" xfId="2735" xr:uid="{00000000-0005-0000-0000-0000AE060000}"/>
    <cellStyle name="Cálculo 2 2 2 3 2 10" xfId="4948" xr:uid="{00000000-0005-0000-0000-0000AF060000}"/>
    <cellStyle name="Cálculo 2 2 2 3 2 10 2" xfId="15918" xr:uid="{00000000-0005-0000-0000-0000B0060000}"/>
    <cellStyle name="Cálculo 2 2 2 3 2 10 3" xfId="13071" xr:uid="{00000000-0005-0000-0000-0000B1060000}"/>
    <cellStyle name="Cálculo 2 2 2 3 2 11" xfId="8890" xr:uid="{00000000-0005-0000-0000-0000B2060000}"/>
    <cellStyle name="Cálculo 2 2 2 3 2 12" xfId="14294" xr:uid="{00000000-0005-0000-0000-0000B3060000}"/>
    <cellStyle name="Cálculo 2 2 2 3 2 2" xfId="3225" xr:uid="{00000000-0005-0000-0000-0000B4060000}"/>
    <cellStyle name="Cálculo 2 2 2 3 2 2 10" xfId="9355" xr:uid="{00000000-0005-0000-0000-0000B5060000}"/>
    <cellStyle name="Cálculo 2 2 2 3 2 2 11" xfId="14659" xr:uid="{00000000-0005-0000-0000-0000B6060000}"/>
    <cellStyle name="Cálculo 2 2 2 3 2 2 12" xfId="14286" xr:uid="{00000000-0005-0000-0000-0000B7060000}"/>
    <cellStyle name="Cálculo 2 2 2 3 2 2 2" xfId="3612" xr:uid="{00000000-0005-0000-0000-0000B8060000}"/>
    <cellStyle name="Cálculo 2 2 2 3 2 2 2 2" xfId="7973" xr:uid="{00000000-0005-0000-0000-0000B9060000}"/>
    <cellStyle name="Cálculo 2 2 2 3 2 2 2 2 2" xfId="11949" xr:uid="{00000000-0005-0000-0000-0000BA060000}"/>
    <cellStyle name="Cálculo 2 2 2 3 2 2 2 2 3" xfId="18199" xr:uid="{00000000-0005-0000-0000-0000BB060000}"/>
    <cellStyle name="Cálculo 2 2 2 3 2 2 2 2 4" xfId="21491" xr:uid="{00000000-0005-0000-0000-0000BC060000}"/>
    <cellStyle name="Cálculo 2 2 2 3 2 2 2 3" xfId="6265" xr:uid="{00000000-0005-0000-0000-0000BD060000}"/>
    <cellStyle name="Cálculo 2 2 2 3 2 2 2 3 2" xfId="16907" xr:uid="{00000000-0005-0000-0000-0000BE060000}"/>
    <cellStyle name="Cálculo 2 2 2 3 2 2 2 3 3" xfId="19783" xr:uid="{00000000-0005-0000-0000-0000BF060000}"/>
    <cellStyle name="Cálculo 2 2 2 3 2 2 2 4" xfId="9704" xr:uid="{00000000-0005-0000-0000-0000C0060000}"/>
    <cellStyle name="Cálculo 2 2 2 3 2 2 2 5" xfId="14939" xr:uid="{00000000-0005-0000-0000-0000C1060000}"/>
    <cellStyle name="Cálculo 2 2 2 3 2 2 2 6" xfId="17312" xr:uid="{00000000-0005-0000-0000-0000C2060000}"/>
    <cellStyle name="Cálculo 2 2 2 3 2 2 3" xfId="3995" xr:uid="{00000000-0005-0000-0000-0000C3060000}"/>
    <cellStyle name="Cálculo 2 2 2 3 2 2 3 2" xfId="7386" xr:uid="{00000000-0005-0000-0000-0000C4060000}"/>
    <cellStyle name="Cálculo 2 2 2 3 2 2 3 2 2" xfId="11472" xr:uid="{00000000-0005-0000-0000-0000C5060000}"/>
    <cellStyle name="Cálculo 2 2 2 3 2 2 3 2 3" xfId="17765" xr:uid="{00000000-0005-0000-0000-0000C6060000}"/>
    <cellStyle name="Cálculo 2 2 2 3 2 2 3 2 4" xfId="20904" xr:uid="{00000000-0005-0000-0000-0000C7060000}"/>
    <cellStyle name="Cálculo 2 2 2 3 2 2 3 3" xfId="5677" xr:uid="{00000000-0005-0000-0000-0000C8060000}"/>
    <cellStyle name="Cálculo 2 2 2 3 2 2 3 3 2" xfId="16474" xr:uid="{00000000-0005-0000-0000-0000C9060000}"/>
    <cellStyle name="Cálculo 2 2 2 3 2 2 3 3 3" xfId="19195" xr:uid="{00000000-0005-0000-0000-0000CA060000}"/>
    <cellStyle name="Cálculo 2 2 2 3 2 2 3 4" xfId="9914" xr:uid="{00000000-0005-0000-0000-0000CB060000}"/>
    <cellStyle name="Cálculo 2 2 2 3 2 2 3 5" xfId="15215" xr:uid="{00000000-0005-0000-0000-0000CC060000}"/>
    <cellStyle name="Cálculo 2 2 2 3 2 2 3 6" xfId="13996" xr:uid="{00000000-0005-0000-0000-0000CD060000}"/>
    <cellStyle name="Cálculo 2 2 2 3 2 2 4" xfId="4378" xr:uid="{00000000-0005-0000-0000-0000CE060000}"/>
    <cellStyle name="Cálculo 2 2 2 3 2 2 4 2" xfId="8280" xr:uid="{00000000-0005-0000-0000-0000CF060000}"/>
    <cellStyle name="Cálculo 2 2 2 3 2 2 4 2 2" xfId="12248" xr:uid="{00000000-0005-0000-0000-0000D0060000}"/>
    <cellStyle name="Cálculo 2 2 2 3 2 2 4 2 3" xfId="18432" xr:uid="{00000000-0005-0000-0000-0000D1060000}"/>
    <cellStyle name="Cálculo 2 2 2 3 2 2 4 2 4" xfId="21798" xr:uid="{00000000-0005-0000-0000-0000D2060000}"/>
    <cellStyle name="Cálculo 2 2 2 3 2 2 4 3" xfId="6572" xr:uid="{00000000-0005-0000-0000-0000D3060000}"/>
    <cellStyle name="Cálculo 2 2 2 3 2 2 4 3 2" xfId="17141" xr:uid="{00000000-0005-0000-0000-0000D4060000}"/>
    <cellStyle name="Cálculo 2 2 2 3 2 2 4 3 3" xfId="20090" xr:uid="{00000000-0005-0000-0000-0000D5060000}"/>
    <cellStyle name="Cálculo 2 2 2 3 2 2 4 4" xfId="10092" xr:uid="{00000000-0005-0000-0000-0000D6060000}"/>
    <cellStyle name="Cálculo 2 2 2 3 2 2 4 5" xfId="15490" xr:uid="{00000000-0005-0000-0000-0000D7060000}"/>
    <cellStyle name="Cálculo 2 2 2 3 2 2 4 6" xfId="13627" xr:uid="{00000000-0005-0000-0000-0000D8060000}"/>
    <cellStyle name="Cálculo 2 2 2 3 2 2 5" xfId="4760" xr:uid="{00000000-0005-0000-0000-0000D9060000}"/>
    <cellStyle name="Cálculo 2 2 2 3 2 2 5 2" xfId="8512" xr:uid="{00000000-0005-0000-0000-0000DA060000}"/>
    <cellStyle name="Cálculo 2 2 2 3 2 2 5 2 2" xfId="12480" xr:uid="{00000000-0005-0000-0000-0000DB060000}"/>
    <cellStyle name="Cálculo 2 2 2 3 2 2 5 2 3" xfId="18603" xr:uid="{00000000-0005-0000-0000-0000DC060000}"/>
    <cellStyle name="Cálculo 2 2 2 3 2 2 5 2 4" xfId="22030" xr:uid="{00000000-0005-0000-0000-0000DD060000}"/>
    <cellStyle name="Cálculo 2 2 2 3 2 2 5 3" xfId="6804" xr:uid="{00000000-0005-0000-0000-0000DE060000}"/>
    <cellStyle name="Cálculo 2 2 2 3 2 2 5 3 2" xfId="17311" xr:uid="{00000000-0005-0000-0000-0000DF060000}"/>
    <cellStyle name="Cálculo 2 2 2 3 2 2 5 3 3" xfId="20322" xr:uid="{00000000-0005-0000-0000-0000E0060000}"/>
    <cellStyle name="Cálculo 2 2 2 3 2 2 5 4" xfId="10269" xr:uid="{00000000-0005-0000-0000-0000E1060000}"/>
    <cellStyle name="Cálculo 2 2 2 3 2 2 5 5" xfId="15763" xr:uid="{00000000-0005-0000-0000-0000E2060000}"/>
    <cellStyle name="Cálculo 2 2 2 3 2 2 5 6" xfId="13245" xr:uid="{00000000-0005-0000-0000-0000E3060000}"/>
    <cellStyle name="Cálculo 2 2 2 3 2 2 6" xfId="7036" xr:uid="{00000000-0005-0000-0000-0000E4060000}"/>
    <cellStyle name="Cálculo 2 2 2 3 2 2 6 2" xfId="8744" xr:uid="{00000000-0005-0000-0000-0000E5060000}"/>
    <cellStyle name="Cálculo 2 2 2 3 2 2 6 2 2" xfId="12712" xr:uid="{00000000-0005-0000-0000-0000E6060000}"/>
    <cellStyle name="Cálculo 2 2 2 3 2 2 6 2 3" xfId="18775" xr:uid="{00000000-0005-0000-0000-0000E7060000}"/>
    <cellStyle name="Cálculo 2 2 2 3 2 2 6 2 4" xfId="22262" xr:uid="{00000000-0005-0000-0000-0000E8060000}"/>
    <cellStyle name="Cálculo 2 2 2 3 2 2 6 3" xfId="11170" xr:uid="{00000000-0005-0000-0000-0000E9060000}"/>
    <cellStyle name="Cálculo 2 2 2 3 2 2 6 4" xfId="17482" xr:uid="{00000000-0005-0000-0000-0000EA060000}"/>
    <cellStyle name="Cálculo 2 2 2 3 2 2 6 5" xfId="20554" xr:uid="{00000000-0005-0000-0000-0000EB060000}"/>
    <cellStyle name="Cálculo 2 2 2 3 2 2 7" xfId="6024" xr:uid="{00000000-0005-0000-0000-0000EC060000}"/>
    <cellStyle name="Cálculo 2 2 2 3 2 2 7 2" xfId="10765" xr:uid="{00000000-0005-0000-0000-0000ED060000}"/>
    <cellStyle name="Cálculo 2 2 2 3 2 2 7 3" xfId="16721" xr:uid="{00000000-0005-0000-0000-0000EE060000}"/>
    <cellStyle name="Cálculo 2 2 2 3 2 2 7 4" xfId="19542" xr:uid="{00000000-0005-0000-0000-0000EF060000}"/>
    <cellStyle name="Cálculo 2 2 2 3 2 2 8" xfId="7732" xr:uid="{00000000-0005-0000-0000-0000F0060000}"/>
    <cellStyle name="Cálculo 2 2 2 3 2 2 8 2" xfId="11753" xr:uid="{00000000-0005-0000-0000-0000F1060000}"/>
    <cellStyle name="Cálculo 2 2 2 3 2 2 8 3" xfId="18013" xr:uid="{00000000-0005-0000-0000-0000F2060000}"/>
    <cellStyle name="Cálculo 2 2 2 3 2 2 8 4" xfId="21250" xr:uid="{00000000-0005-0000-0000-0000F3060000}"/>
    <cellStyle name="Cálculo 2 2 2 3 2 2 9" xfId="5218" xr:uid="{00000000-0005-0000-0000-0000F4060000}"/>
    <cellStyle name="Cálculo 2 2 2 3 2 2 9 2" xfId="16109" xr:uid="{00000000-0005-0000-0000-0000F5060000}"/>
    <cellStyle name="Cálculo 2 2 2 3 2 2 9 3" xfId="12757" xr:uid="{00000000-0005-0000-0000-0000F6060000}"/>
    <cellStyle name="Cálculo 2 2 2 3 2 3" xfId="3282" xr:uid="{00000000-0005-0000-0000-0000F7060000}"/>
    <cellStyle name="Cálculo 2 2 2 3 2 3 2" xfId="3669" xr:uid="{00000000-0005-0000-0000-0000F8060000}"/>
    <cellStyle name="Cálculo 2 2 2 3 2 3 2 2" xfId="7340" xr:uid="{00000000-0005-0000-0000-0000F9060000}"/>
    <cellStyle name="Cálculo 2 2 2 3 2 3 2 2 2" xfId="17729" xr:uid="{00000000-0005-0000-0000-0000FA060000}"/>
    <cellStyle name="Cálculo 2 2 2 3 2 3 2 2 3" xfId="20858" xr:uid="{00000000-0005-0000-0000-0000FB060000}"/>
    <cellStyle name="Cálculo 2 2 2 3 2 3 2 3" xfId="9751" xr:uid="{00000000-0005-0000-0000-0000FC060000}"/>
    <cellStyle name="Cálculo 2 2 2 3 2 3 2 4" xfId="14981" xr:uid="{00000000-0005-0000-0000-0000FD060000}"/>
    <cellStyle name="Cálculo 2 2 2 3 2 3 2 5" xfId="14930" xr:uid="{00000000-0005-0000-0000-0000FE060000}"/>
    <cellStyle name="Cálculo 2 2 2 3 2 3 3" xfId="4052" xr:uid="{00000000-0005-0000-0000-0000FF060000}"/>
    <cellStyle name="Cálculo 2 2 2 3 2 3 3 2" xfId="15256" xr:uid="{00000000-0005-0000-0000-000000070000}"/>
    <cellStyle name="Cálculo 2 2 2 3 2 3 3 3" xfId="13939" xr:uid="{00000000-0005-0000-0000-000001070000}"/>
    <cellStyle name="Cálculo 2 2 2 3 2 3 4" xfId="4435" xr:uid="{00000000-0005-0000-0000-000002070000}"/>
    <cellStyle name="Cálculo 2 2 2 3 2 3 4 2" xfId="15532" xr:uid="{00000000-0005-0000-0000-000003070000}"/>
    <cellStyle name="Cálculo 2 2 2 3 2 3 4 3" xfId="13570" xr:uid="{00000000-0005-0000-0000-000004070000}"/>
    <cellStyle name="Cálculo 2 2 2 3 2 3 5" xfId="4817" xr:uid="{00000000-0005-0000-0000-000005070000}"/>
    <cellStyle name="Cálculo 2 2 2 3 2 3 5 2" xfId="15804" xr:uid="{00000000-0005-0000-0000-000006070000}"/>
    <cellStyle name="Cálculo 2 2 2 3 2 3 5 3" xfId="13189" xr:uid="{00000000-0005-0000-0000-000007070000}"/>
    <cellStyle name="Cálculo 2 2 2 3 2 3 6" xfId="5631" xr:uid="{00000000-0005-0000-0000-000008070000}"/>
    <cellStyle name="Cálculo 2 2 2 3 2 3 6 2" xfId="16438" xr:uid="{00000000-0005-0000-0000-000009070000}"/>
    <cellStyle name="Cálculo 2 2 2 3 2 3 6 3" xfId="19149" xr:uid="{00000000-0005-0000-0000-00000A070000}"/>
    <cellStyle name="Cálculo 2 2 2 3 2 3 7" xfId="9412" xr:uid="{00000000-0005-0000-0000-00000B070000}"/>
    <cellStyle name="Cálculo 2 2 2 3 2 3 8" xfId="14701" xr:uid="{00000000-0005-0000-0000-00000C070000}"/>
    <cellStyle name="Cálculo 2 2 2 3 2 3 9" xfId="16240" xr:uid="{00000000-0005-0000-0000-00000D070000}"/>
    <cellStyle name="Cálculo 2 2 2 3 2 4" xfId="2900" xr:uid="{00000000-0005-0000-0000-00000E070000}"/>
    <cellStyle name="Cálculo 2 2 2 3 2 4 2" xfId="7208" xr:uid="{00000000-0005-0000-0000-00000F070000}"/>
    <cellStyle name="Cálculo 2 2 2 3 2 4 2 2" xfId="11334" xr:uid="{00000000-0005-0000-0000-000010070000}"/>
    <cellStyle name="Cálculo 2 2 2 3 2 4 2 3" xfId="17614" xr:uid="{00000000-0005-0000-0000-000011070000}"/>
    <cellStyle name="Cálculo 2 2 2 3 2 4 2 4" xfId="20726" xr:uid="{00000000-0005-0000-0000-000012070000}"/>
    <cellStyle name="Cálculo 2 2 2 3 2 4 3" xfId="5499" xr:uid="{00000000-0005-0000-0000-000013070000}"/>
    <cellStyle name="Cálculo 2 2 2 3 2 4 3 2" xfId="16323" xr:uid="{00000000-0005-0000-0000-000014070000}"/>
    <cellStyle name="Cálculo 2 2 2 3 2 4 3 3" xfId="19017" xr:uid="{00000000-0005-0000-0000-000015070000}"/>
    <cellStyle name="Cálculo 2 2 2 3 2 4 4" xfId="9052" xr:uid="{00000000-0005-0000-0000-000016070000}"/>
    <cellStyle name="Cálculo 2 2 2 3 2 4 5" xfId="14427" xr:uid="{00000000-0005-0000-0000-000017070000}"/>
    <cellStyle name="Cálculo 2 2 2 3 2 4 6" xfId="14754" xr:uid="{00000000-0005-0000-0000-000018070000}"/>
    <cellStyle name="Cálculo 2 2 2 3 2 5" xfId="6406" xr:uid="{00000000-0005-0000-0000-000019070000}"/>
    <cellStyle name="Cálculo 2 2 2 3 2 5 2" xfId="8114" xr:uid="{00000000-0005-0000-0000-00001A070000}"/>
    <cellStyle name="Cálculo 2 2 2 3 2 5 2 2" xfId="12082" xr:uid="{00000000-0005-0000-0000-00001B070000}"/>
    <cellStyle name="Cálculo 2 2 2 3 2 5 2 3" xfId="18320" xr:uid="{00000000-0005-0000-0000-00001C070000}"/>
    <cellStyle name="Cálculo 2 2 2 3 2 5 2 4" xfId="21632" xr:uid="{00000000-0005-0000-0000-00001D070000}"/>
    <cellStyle name="Cálculo 2 2 2 3 2 5 3" xfId="10924" xr:uid="{00000000-0005-0000-0000-00001E070000}"/>
    <cellStyle name="Cálculo 2 2 2 3 2 5 4" xfId="17029" xr:uid="{00000000-0005-0000-0000-00001F070000}"/>
    <cellStyle name="Cálculo 2 2 2 3 2 5 5" xfId="19924" xr:uid="{00000000-0005-0000-0000-000020070000}"/>
    <cellStyle name="Cálculo 2 2 2 3 2 6" xfId="6638" xr:uid="{00000000-0005-0000-0000-000021070000}"/>
    <cellStyle name="Cálculo 2 2 2 3 2 6 2" xfId="8346" xr:uid="{00000000-0005-0000-0000-000022070000}"/>
    <cellStyle name="Cálculo 2 2 2 3 2 6 2 2" xfId="12314" xr:uid="{00000000-0005-0000-0000-000023070000}"/>
    <cellStyle name="Cálculo 2 2 2 3 2 6 2 3" xfId="18491" xr:uid="{00000000-0005-0000-0000-000024070000}"/>
    <cellStyle name="Cálculo 2 2 2 3 2 6 2 4" xfId="21864" xr:uid="{00000000-0005-0000-0000-000025070000}"/>
    <cellStyle name="Cálculo 2 2 2 3 2 6 3" xfId="10964" xr:uid="{00000000-0005-0000-0000-000026070000}"/>
    <cellStyle name="Cálculo 2 2 2 3 2 6 4" xfId="17200" xr:uid="{00000000-0005-0000-0000-000027070000}"/>
    <cellStyle name="Cálculo 2 2 2 3 2 6 5" xfId="20156" xr:uid="{00000000-0005-0000-0000-000028070000}"/>
    <cellStyle name="Cálculo 2 2 2 3 2 7" xfId="6870" xr:uid="{00000000-0005-0000-0000-000029070000}"/>
    <cellStyle name="Cálculo 2 2 2 3 2 7 2" xfId="8578" xr:uid="{00000000-0005-0000-0000-00002A070000}"/>
    <cellStyle name="Cálculo 2 2 2 3 2 7 2 2" xfId="12546" xr:uid="{00000000-0005-0000-0000-00002B070000}"/>
    <cellStyle name="Cálculo 2 2 2 3 2 7 2 3" xfId="18662" xr:uid="{00000000-0005-0000-0000-00002C070000}"/>
    <cellStyle name="Cálculo 2 2 2 3 2 7 2 4" xfId="22096" xr:uid="{00000000-0005-0000-0000-00002D070000}"/>
    <cellStyle name="Cálculo 2 2 2 3 2 7 3" xfId="11004" xr:uid="{00000000-0005-0000-0000-00002E070000}"/>
    <cellStyle name="Cálculo 2 2 2 3 2 7 4" xfId="17370" xr:uid="{00000000-0005-0000-0000-00002F070000}"/>
    <cellStyle name="Cálculo 2 2 2 3 2 7 5" xfId="20388" xr:uid="{00000000-0005-0000-0000-000030070000}"/>
    <cellStyle name="Cálculo 2 2 2 3 2 8" xfId="5853" xr:uid="{00000000-0005-0000-0000-000031070000}"/>
    <cellStyle name="Cálculo 2 2 2 3 2 8 2" xfId="10599" xr:uid="{00000000-0005-0000-0000-000032070000}"/>
    <cellStyle name="Cálculo 2 2 2 3 2 8 3" xfId="16606" xr:uid="{00000000-0005-0000-0000-000033070000}"/>
    <cellStyle name="Cálculo 2 2 2 3 2 8 4" xfId="19371" xr:uid="{00000000-0005-0000-0000-000034070000}"/>
    <cellStyle name="Cálculo 2 2 2 3 2 9" xfId="7561" xr:uid="{00000000-0005-0000-0000-000035070000}"/>
    <cellStyle name="Cálculo 2 2 2 3 2 9 2" xfId="11587" xr:uid="{00000000-0005-0000-0000-000036070000}"/>
    <cellStyle name="Cálculo 2 2 2 3 2 9 3" xfId="17898" xr:uid="{00000000-0005-0000-0000-000037070000}"/>
    <cellStyle name="Cálculo 2 2 2 3 2 9 4" xfId="21079" xr:uid="{00000000-0005-0000-0000-000038070000}"/>
    <cellStyle name="Cálculo 2 2 2 3 3" xfId="3168" xr:uid="{00000000-0005-0000-0000-000039070000}"/>
    <cellStyle name="Cálculo 2 2 2 3 3 10" xfId="9298" xr:uid="{00000000-0005-0000-0000-00003A070000}"/>
    <cellStyle name="Cálculo 2 2 2 3 3 11" xfId="14617" xr:uid="{00000000-0005-0000-0000-00003B070000}"/>
    <cellStyle name="Cálculo 2 2 2 3 3 12" xfId="15571" xr:uid="{00000000-0005-0000-0000-00003C070000}"/>
    <cellStyle name="Cálculo 2 2 2 3 3 2" xfId="3555" xr:uid="{00000000-0005-0000-0000-00003D070000}"/>
    <cellStyle name="Cálculo 2 2 2 3 3 2 2" xfId="7274" xr:uid="{00000000-0005-0000-0000-00003E070000}"/>
    <cellStyle name="Cálculo 2 2 2 3 3 2 2 2" xfId="11379" xr:uid="{00000000-0005-0000-0000-00003F070000}"/>
    <cellStyle name="Cálculo 2 2 2 3 3 2 2 3" xfId="17673" xr:uid="{00000000-0005-0000-0000-000040070000}"/>
    <cellStyle name="Cálculo 2 2 2 3 3 2 2 4" xfId="20792" xr:uid="{00000000-0005-0000-0000-000041070000}"/>
    <cellStyle name="Cálculo 2 2 2 3 3 2 3" xfId="5565" xr:uid="{00000000-0005-0000-0000-000042070000}"/>
    <cellStyle name="Cálculo 2 2 2 3 3 2 3 2" xfId="16382" xr:uid="{00000000-0005-0000-0000-000043070000}"/>
    <cellStyle name="Cálculo 2 2 2 3 3 2 3 3" xfId="19083" xr:uid="{00000000-0005-0000-0000-000044070000}"/>
    <cellStyle name="Cálculo 2 2 2 3 3 2 4" xfId="9647" xr:uid="{00000000-0005-0000-0000-000045070000}"/>
    <cellStyle name="Cálculo 2 2 2 3 3 2 5" xfId="14897" xr:uid="{00000000-0005-0000-0000-000046070000}"/>
    <cellStyle name="Cálculo 2 2 2 3 3 2 6" xfId="17870" xr:uid="{00000000-0005-0000-0000-000047070000}"/>
    <cellStyle name="Cálculo 2 2 2 3 3 3" xfId="3938" xr:uid="{00000000-0005-0000-0000-000048070000}"/>
    <cellStyle name="Cálculo 2 2 2 3 3 3 2" xfId="7796" xr:uid="{00000000-0005-0000-0000-000049070000}"/>
    <cellStyle name="Cálculo 2 2 2 3 3 3 2 2" xfId="11812" xr:uid="{00000000-0005-0000-0000-00004A070000}"/>
    <cellStyle name="Cálculo 2 2 2 3 3 3 2 3" xfId="18064" xr:uid="{00000000-0005-0000-0000-00004B070000}"/>
    <cellStyle name="Cálculo 2 2 2 3 3 3 2 4" xfId="21314" xr:uid="{00000000-0005-0000-0000-00004C070000}"/>
    <cellStyle name="Cálculo 2 2 2 3 3 3 3" xfId="6088" xr:uid="{00000000-0005-0000-0000-00004D070000}"/>
    <cellStyle name="Cálculo 2 2 2 3 3 3 3 2" xfId="16772" xr:uid="{00000000-0005-0000-0000-00004E070000}"/>
    <cellStyle name="Cálculo 2 2 2 3 3 3 3 3" xfId="19606" xr:uid="{00000000-0005-0000-0000-00004F070000}"/>
    <cellStyle name="Cálculo 2 2 2 3 3 3 4" xfId="9861" xr:uid="{00000000-0005-0000-0000-000050070000}"/>
    <cellStyle name="Cálculo 2 2 2 3 3 3 5" xfId="15173" xr:uid="{00000000-0005-0000-0000-000051070000}"/>
    <cellStyle name="Cálculo 2 2 2 3 3 3 6" xfId="14053" xr:uid="{00000000-0005-0000-0000-000052070000}"/>
    <cellStyle name="Cálculo 2 2 2 3 3 4" xfId="4321" xr:uid="{00000000-0005-0000-0000-000053070000}"/>
    <cellStyle name="Cálculo 2 2 2 3 3 4 2" xfId="8172" xr:uid="{00000000-0005-0000-0000-000054070000}"/>
    <cellStyle name="Cálculo 2 2 2 3 3 4 2 2" xfId="12140" xr:uid="{00000000-0005-0000-0000-000055070000}"/>
    <cellStyle name="Cálculo 2 2 2 3 3 4 2 3" xfId="18369" xr:uid="{00000000-0005-0000-0000-000056070000}"/>
    <cellStyle name="Cálculo 2 2 2 3 3 4 2 4" xfId="21690" xr:uid="{00000000-0005-0000-0000-000057070000}"/>
    <cellStyle name="Cálculo 2 2 2 3 3 4 3" xfId="6464" xr:uid="{00000000-0005-0000-0000-000058070000}"/>
    <cellStyle name="Cálculo 2 2 2 3 3 4 3 2" xfId="17078" xr:uid="{00000000-0005-0000-0000-000059070000}"/>
    <cellStyle name="Cálculo 2 2 2 3 3 4 3 3" xfId="19982" xr:uid="{00000000-0005-0000-0000-00005A070000}"/>
    <cellStyle name="Cálculo 2 2 2 3 3 4 4" xfId="10039" xr:uid="{00000000-0005-0000-0000-00005B070000}"/>
    <cellStyle name="Cálculo 2 2 2 3 3 4 5" xfId="15448" xr:uid="{00000000-0005-0000-0000-00005C070000}"/>
    <cellStyle name="Cálculo 2 2 2 3 3 4 6" xfId="13684" xr:uid="{00000000-0005-0000-0000-00005D070000}"/>
    <cellStyle name="Cálculo 2 2 2 3 3 5" xfId="4703" xr:uid="{00000000-0005-0000-0000-00005E070000}"/>
    <cellStyle name="Cálculo 2 2 2 3 3 5 2" xfId="8404" xr:uid="{00000000-0005-0000-0000-00005F070000}"/>
    <cellStyle name="Cálculo 2 2 2 3 3 5 2 2" xfId="12372" xr:uid="{00000000-0005-0000-0000-000060070000}"/>
    <cellStyle name="Cálculo 2 2 2 3 3 5 2 3" xfId="18540" xr:uid="{00000000-0005-0000-0000-000061070000}"/>
    <cellStyle name="Cálculo 2 2 2 3 3 5 2 4" xfId="21922" xr:uid="{00000000-0005-0000-0000-000062070000}"/>
    <cellStyle name="Cálculo 2 2 2 3 3 5 3" xfId="6696" xr:uid="{00000000-0005-0000-0000-000063070000}"/>
    <cellStyle name="Cálculo 2 2 2 3 3 5 3 2" xfId="17249" xr:uid="{00000000-0005-0000-0000-000064070000}"/>
    <cellStyle name="Cálculo 2 2 2 3 3 5 3 3" xfId="20214" xr:uid="{00000000-0005-0000-0000-000065070000}"/>
    <cellStyle name="Cálculo 2 2 2 3 3 5 4" xfId="10216" xr:uid="{00000000-0005-0000-0000-000066070000}"/>
    <cellStyle name="Cálculo 2 2 2 3 3 5 5" xfId="15722" xr:uid="{00000000-0005-0000-0000-000067070000}"/>
    <cellStyle name="Cálculo 2 2 2 3 3 5 6" xfId="13302" xr:uid="{00000000-0005-0000-0000-000068070000}"/>
    <cellStyle name="Cálculo 2 2 2 3 3 6" xfId="6928" xr:uid="{00000000-0005-0000-0000-000069070000}"/>
    <cellStyle name="Cálculo 2 2 2 3 3 6 2" xfId="8636" xr:uid="{00000000-0005-0000-0000-00006A070000}"/>
    <cellStyle name="Cálculo 2 2 2 3 3 6 2 2" xfId="12604" xr:uid="{00000000-0005-0000-0000-00006B070000}"/>
    <cellStyle name="Cálculo 2 2 2 3 3 6 2 3" xfId="18711" xr:uid="{00000000-0005-0000-0000-00006C070000}"/>
    <cellStyle name="Cálculo 2 2 2 3 3 6 2 4" xfId="22154" xr:uid="{00000000-0005-0000-0000-00006D070000}"/>
    <cellStyle name="Cálculo 2 2 2 3 3 6 3" xfId="11062" xr:uid="{00000000-0005-0000-0000-00006E070000}"/>
    <cellStyle name="Cálculo 2 2 2 3 3 6 4" xfId="17419" xr:uid="{00000000-0005-0000-0000-00006F070000}"/>
    <cellStyle name="Cálculo 2 2 2 3 3 6 5" xfId="20446" xr:uid="{00000000-0005-0000-0000-000070070000}"/>
    <cellStyle name="Cálculo 2 2 2 3 3 7" xfId="5916" xr:uid="{00000000-0005-0000-0000-000071070000}"/>
    <cellStyle name="Cálculo 2 2 2 3 3 7 2" xfId="10657" xr:uid="{00000000-0005-0000-0000-000072070000}"/>
    <cellStyle name="Cálculo 2 2 2 3 3 7 3" xfId="16657" xr:uid="{00000000-0005-0000-0000-000073070000}"/>
    <cellStyle name="Cálculo 2 2 2 3 3 7 4" xfId="19434" xr:uid="{00000000-0005-0000-0000-000074070000}"/>
    <cellStyle name="Cálculo 2 2 2 3 3 8" xfId="7624" xr:uid="{00000000-0005-0000-0000-000075070000}"/>
    <cellStyle name="Cálculo 2 2 2 3 3 8 2" xfId="11645" xr:uid="{00000000-0005-0000-0000-000076070000}"/>
    <cellStyle name="Cálculo 2 2 2 3 3 8 3" xfId="17949" xr:uid="{00000000-0005-0000-0000-000077070000}"/>
    <cellStyle name="Cálculo 2 2 2 3 3 8 4" xfId="21142" xr:uid="{00000000-0005-0000-0000-000078070000}"/>
    <cellStyle name="Cálculo 2 2 2 3 3 9" xfId="5012" xr:uid="{00000000-0005-0000-0000-000079070000}"/>
    <cellStyle name="Cálculo 2 2 2 3 3 9 2" xfId="15972" xr:uid="{00000000-0005-0000-0000-00007A070000}"/>
    <cellStyle name="Cálculo 2 2 2 3 3 9 3" xfId="13007" xr:uid="{00000000-0005-0000-0000-00007B070000}"/>
    <cellStyle name="Cálculo 2 2 2 3 4" xfId="3054" xr:uid="{00000000-0005-0000-0000-00007C070000}"/>
    <cellStyle name="Cálculo 2 2 2 3 4 2" xfId="3441" xr:uid="{00000000-0005-0000-0000-00007D070000}"/>
    <cellStyle name="Cálculo 2 2 2 3 4 2 2" xfId="7901" xr:uid="{00000000-0005-0000-0000-00007E070000}"/>
    <cellStyle name="Cálculo 2 2 2 3 4 2 2 2" xfId="18155" xr:uid="{00000000-0005-0000-0000-00007F070000}"/>
    <cellStyle name="Cálculo 2 2 2 3 4 2 2 3" xfId="21419" xr:uid="{00000000-0005-0000-0000-000080070000}"/>
    <cellStyle name="Cálculo 2 2 2 3 4 2 3" xfId="9550" xr:uid="{00000000-0005-0000-0000-000081070000}"/>
    <cellStyle name="Cálculo 2 2 2 3 4 2 4" xfId="14806" xr:uid="{00000000-0005-0000-0000-000082070000}"/>
    <cellStyle name="Cálculo 2 2 2 3 4 2 5" xfId="15155" xr:uid="{00000000-0005-0000-0000-000083070000}"/>
    <cellStyle name="Cálculo 2 2 2 3 4 3" xfId="3824" xr:uid="{00000000-0005-0000-0000-000084070000}"/>
    <cellStyle name="Cálculo 2 2 2 3 4 3 2" xfId="15082" xr:uid="{00000000-0005-0000-0000-000085070000}"/>
    <cellStyle name="Cálculo 2 2 2 3 4 3 3" xfId="14097" xr:uid="{00000000-0005-0000-0000-000086070000}"/>
    <cellStyle name="Cálculo 2 2 2 3 4 4" xfId="4207" xr:uid="{00000000-0005-0000-0000-000087070000}"/>
    <cellStyle name="Cálculo 2 2 2 3 4 4 2" xfId="15357" xr:uid="{00000000-0005-0000-0000-000088070000}"/>
    <cellStyle name="Cálculo 2 2 2 3 4 4 3" xfId="13798" xr:uid="{00000000-0005-0000-0000-000089070000}"/>
    <cellStyle name="Cálculo 2 2 2 3 4 5" xfId="4589" xr:uid="{00000000-0005-0000-0000-00008A070000}"/>
    <cellStyle name="Cálculo 2 2 2 3 4 5 2" xfId="15631" xr:uid="{00000000-0005-0000-0000-00008B070000}"/>
    <cellStyle name="Cálculo 2 2 2 3 4 5 3" xfId="13416" xr:uid="{00000000-0005-0000-0000-00008C070000}"/>
    <cellStyle name="Cálculo 2 2 2 3 4 6" xfId="6193" xr:uid="{00000000-0005-0000-0000-00008D070000}"/>
    <cellStyle name="Cálculo 2 2 2 3 4 6 2" xfId="16863" xr:uid="{00000000-0005-0000-0000-00008E070000}"/>
    <cellStyle name="Cálculo 2 2 2 3 4 6 3" xfId="19711" xr:uid="{00000000-0005-0000-0000-00008F070000}"/>
    <cellStyle name="Cálculo 2 2 2 3 4 7" xfId="9194" xr:uid="{00000000-0005-0000-0000-000090070000}"/>
    <cellStyle name="Cálculo 2 2 2 3 4 8" xfId="14526" xr:uid="{00000000-0005-0000-0000-000091070000}"/>
    <cellStyle name="Cálculo 2 2 2 3 4 9" xfId="15388" xr:uid="{00000000-0005-0000-0000-000092070000}"/>
    <cellStyle name="Cálculo 2 2 2 3 5" xfId="2876" xr:uid="{00000000-0005-0000-0000-000093070000}"/>
    <cellStyle name="Cálculo 2 2 2 3 5 2" xfId="5080" xr:uid="{00000000-0005-0000-0000-000094070000}"/>
    <cellStyle name="Cálculo 2 2 2 3 5 2 2" xfId="10331" xr:uid="{00000000-0005-0000-0000-000095070000}"/>
    <cellStyle name="Cálculo 2 2 2 3 5 2 3" xfId="16018" xr:uid="{00000000-0005-0000-0000-000096070000}"/>
    <cellStyle name="Cálculo 2 2 2 3 5 2 4" xfId="12955" xr:uid="{00000000-0005-0000-0000-000097070000}"/>
    <cellStyle name="Cálculo 2 2 2 3 5 3" xfId="5287" xr:uid="{00000000-0005-0000-0000-000098070000}"/>
    <cellStyle name="Cálculo 2 2 2 3 5 3 2" xfId="16165" xr:uid="{00000000-0005-0000-0000-000099070000}"/>
    <cellStyle name="Cálculo 2 2 2 3 5 3 3" xfId="18805" xr:uid="{00000000-0005-0000-0000-00009A070000}"/>
    <cellStyle name="Cálculo 2 2 2 3 5 4" xfId="9029" xr:uid="{00000000-0005-0000-0000-00009B070000}"/>
    <cellStyle name="Cálculo 2 2 2 3 5 5" xfId="14410" xr:uid="{00000000-0005-0000-0000-00009C070000}"/>
    <cellStyle name="Cálculo 2 2 2 3 5 6" xfId="14470" xr:uid="{00000000-0005-0000-0000-00009D070000}"/>
    <cellStyle name="Cálculo 2 2 2 3 6" xfId="6384" xr:uid="{00000000-0005-0000-0000-00009E070000}"/>
    <cellStyle name="Cálculo 2 2 2 3 6 2" xfId="8092" xr:uid="{00000000-0005-0000-0000-00009F070000}"/>
    <cellStyle name="Cálculo 2 2 2 3 6 2 2" xfId="12060" xr:uid="{00000000-0005-0000-0000-0000A0070000}"/>
    <cellStyle name="Cálculo 2 2 2 3 6 2 3" xfId="18298" xr:uid="{00000000-0005-0000-0000-0000A1070000}"/>
    <cellStyle name="Cálculo 2 2 2 3 6 2 4" xfId="21610" xr:uid="{00000000-0005-0000-0000-0000A2070000}"/>
    <cellStyle name="Cálculo 2 2 2 3 6 3" xfId="10902" xr:uid="{00000000-0005-0000-0000-0000A3070000}"/>
    <cellStyle name="Cálculo 2 2 2 3 6 4" xfId="17007" xr:uid="{00000000-0005-0000-0000-0000A4070000}"/>
    <cellStyle name="Cálculo 2 2 2 3 6 5" xfId="19902" xr:uid="{00000000-0005-0000-0000-0000A5070000}"/>
    <cellStyle name="Cálculo 2 2 2 3 7" xfId="6616" xr:uid="{00000000-0005-0000-0000-0000A6070000}"/>
    <cellStyle name="Cálculo 2 2 2 3 7 2" xfId="8324" xr:uid="{00000000-0005-0000-0000-0000A7070000}"/>
    <cellStyle name="Cálculo 2 2 2 3 7 2 2" xfId="12292" xr:uid="{00000000-0005-0000-0000-0000A8070000}"/>
    <cellStyle name="Cálculo 2 2 2 3 7 2 3" xfId="18469" xr:uid="{00000000-0005-0000-0000-0000A9070000}"/>
    <cellStyle name="Cálculo 2 2 2 3 7 2 4" xfId="21842" xr:uid="{00000000-0005-0000-0000-0000AA070000}"/>
    <cellStyle name="Cálculo 2 2 2 3 7 3" xfId="10942" xr:uid="{00000000-0005-0000-0000-0000AB070000}"/>
    <cellStyle name="Cálculo 2 2 2 3 7 4" xfId="17178" xr:uid="{00000000-0005-0000-0000-0000AC070000}"/>
    <cellStyle name="Cálculo 2 2 2 3 7 5" xfId="20134" xr:uid="{00000000-0005-0000-0000-0000AD070000}"/>
    <cellStyle name="Cálculo 2 2 2 3 8" xfId="6848" xr:uid="{00000000-0005-0000-0000-0000AE070000}"/>
    <cellStyle name="Cálculo 2 2 2 3 8 2" xfId="8556" xr:uid="{00000000-0005-0000-0000-0000AF070000}"/>
    <cellStyle name="Cálculo 2 2 2 3 8 2 2" xfId="12524" xr:uid="{00000000-0005-0000-0000-0000B0070000}"/>
    <cellStyle name="Cálculo 2 2 2 3 8 2 3" xfId="18640" xr:uid="{00000000-0005-0000-0000-0000B1070000}"/>
    <cellStyle name="Cálculo 2 2 2 3 8 2 4" xfId="22074" xr:uid="{00000000-0005-0000-0000-0000B2070000}"/>
    <cellStyle name="Cálculo 2 2 2 3 8 3" xfId="10982" xr:uid="{00000000-0005-0000-0000-0000B3070000}"/>
    <cellStyle name="Cálculo 2 2 2 3 8 4" xfId="17348" xr:uid="{00000000-0005-0000-0000-0000B4070000}"/>
    <cellStyle name="Cálculo 2 2 2 3 8 5" xfId="20366" xr:uid="{00000000-0005-0000-0000-0000B5070000}"/>
    <cellStyle name="Cálculo 2 2 2 3 9" xfId="5814" xr:uid="{00000000-0005-0000-0000-0000B6070000}"/>
    <cellStyle name="Cálculo 2 2 2 3 9 2" xfId="10577" xr:uid="{00000000-0005-0000-0000-0000B7070000}"/>
    <cellStyle name="Cálculo 2 2 2 3 9 3" xfId="16577" xr:uid="{00000000-0005-0000-0000-0000B8070000}"/>
    <cellStyle name="Cálculo 2 2 2 3 9 4" xfId="19332" xr:uid="{00000000-0005-0000-0000-0000B9070000}"/>
    <cellStyle name="Cálculo 2 2 2 4" xfId="2834" xr:uid="{00000000-0005-0000-0000-0000BA070000}"/>
    <cellStyle name="Cálculo 2 2 2 4 10" xfId="8987" xr:uid="{00000000-0005-0000-0000-0000BB070000}"/>
    <cellStyle name="Cálculo 2 2 2 4 11" xfId="14375" xr:uid="{00000000-0005-0000-0000-0000BC070000}"/>
    <cellStyle name="Cálculo 2 2 2 4 12" xfId="14446" xr:uid="{00000000-0005-0000-0000-0000BD070000}"/>
    <cellStyle name="Cálculo 2 2 2 4 2" xfId="2774" xr:uid="{00000000-0005-0000-0000-0000BE070000}"/>
    <cellStyle name="Cálculo 2 2 2 4 2 2" xfId="5117" xr:uid="{00000000-0005-0000-0000-0000BF070000}"/>
    <cellStyle name="Cálculo 2 2 2 4 2 2 2" xfId="10360" xr:uid="{00000000-0005-0000-0000-0000C0070000}"/>
    <cellStyle name="Cálculo 2 2 2 4 2 2 3" xfId="16050" xr:uid="{00000000-0005-0000-0000-0000C1070000}"/>
    <cellStyle name="Cálculo 2 2 2 4 2 2 4" xfId="14160" xr:uid="{00000000-0005-0000-0000-0000C2070000}"/>
    <cellStyle name="Cálculo 2 2 2 4 2 3" xfId="5297" xr:uid="{00000000-0005-0000-0000-0000C3070000}"/>
    <cellStyle name="Cálculo 2 2 2 4 2 3 2" xfId="16172" xr:uid="{00000000-0005-0000-0000-0000C4070000}"/>
    <cellStyle name="Cálculo 2 2 2 4 2 3 3" xfId="18815" xr:uid="{00000000-0005-0000-0000-0000C5070000}"/>
    <cellStyle name="Cálculo 2 2 2 4 2 4" xfId="8929" xr:uid="{00000000-0005-0000-0000-0000C6070000}"/>
    <cellStyle name="Cálculo 2 2 2 4 2 5" xfId="14323" xr:uid="{00000000-0005-0000-0000-0000C7070000}"/>
    <cellStyle name="Cálculo 2 2 2 4 2 6" xfId="17383" xr:uid="{00000000-0005-0000-0000-0000C8070000}"/>
    <cellStyle name="Cálculo 2 2 2 4 3" xfId="2799" xr:uid="{00000000-0005-0000-0000-0000C9070000}"/>
    <cellStyle name="Cálculo 2 2 2 4 3 2" xfId="7093" xr:uid="{00000000-0005-0000-0000-0000CA070000}"/>
    <cellStyle name="Cálculo 2 2 2 4 3 2 2" xfId="11227" xr:uid="{00000000-0005-0000-0000-0000CB070000}"/>
    <cellStyle name="Cálculo 2 2 2 4 3 2 3" xfId="17521" xr:uid="{00000000-0005-0000-0000-0000CC070000}"/>
    <cellStyle name="Cálculo 2 2 2 4 3 2 4" xfId="20611" xr:uid="{00000000-0005-0000-0000-0000CD070000}"/>
    <cellStyle name="Cálculo 2 2 2 4 3 3" xfId="5384" xr:uid="{00000000-0005-0000-0000-0000CE070000}"/>
    <cellStyle name="Cálculo 2 2 2 4 3 3 2" xfId="16231" xr:uid="{00000000-0005-0000-0000-0000CF070000}"/>
    <cellStyle name="Cálculo 2 2 2 4 3 3 3" xfId="18902" xr:uid="{00000000-0005-0000-0000-0000D0070000}"/>
    <cellStyle name="Cálculo 2 2 2 4 3 4" xfId="8954" xr:uid="{00000000-0005-0000-0000-0000D1070000}"/>
    <cellStyle name="Cálculo 2 2 2 4 3 5" xfId="14345" xr:uid="{00000000-0005-0000-0000-0000D2070000}"/>
    <cellStyle name="Cálculo 2 2 2 4 3 6" xfId="18728" xr:uid="{00000000-0005-0000-0000-0000D3070000}"/>
    <cellStyle name="Cálculo 2 2 2 4 4" xfId="2783" xr:uid="{00000000-0005-0000-0000-0000D4070000}"/>
    <cellStyle name="Cálculo 2 2 2 4 4 2" xfId="8228" xr:uid="{00000000-0005-0000-0000-0000D5070000}"/>
    <cellStyle name="Cálculo 2 2 2 4 4 2 2" xfId="12196" xr:uid="{00000000-0005-0000-0000-0000D6070000}"/>
    <cellStyle name="Cálculo 2 2 2 4 4 2 3" xfId="18406" xr:uid="{00000000-0005-0000-0000-0000D7070000}"/>
    <cellStyle name="Cálculo 2 2 2 4 4 2 4" xfId="21746" xr:uid="{00000000-0005-0000-0000-0000D8070000}"/>
    <cellStyle name="Cálculo 2 2 2 4 4 3" xfId="6520" xr:uid="{00000000-0005-0000-0000-0000D9070000}"/>
    <cellStyle name="Cálculo 2 2 2 4 4 3 2" xfId="17115" xr:uid="{00000000-0005-0000-0000-0000DA070000}"/>
    <cellStyle name="Cálculo 2 2 2 4 4 3 3" xfId="20038" xr:uid="{00000000-0005-0000-0000-0000DB070000}"/>
    <cellStyle name="Cálculo 2 2 2 4 4 4" xfId="8938" xr:uid="{00000000-0005-0000-0000-0000DC070000}"/>
    <cellStyle name="Cálculo 2 2 2 4 4 5" xfId="14331" xr:uid="{00000000-0005-0000-0000-0000DD070000}"/>
    <cellStyle name="Cálculo 2 2 2 4 4 6" xfId="15016" xr:uid="{00000000-0005-0000-0000-0000DE070000}"/>
    <cellStyle name="Cálculo 2 2 2 4 5" xfId="2793" xr:uid="{00000000-0005-0000-0000-0000DF070000}"/>
    <cellStyle name="Cálculo 2 2 2 4 5 2" xfId="8460" xr:uid="{00000000-0005-0000-0000-0000E0070000}"/>
    <cellStyle name="Cálculo 2 2 2 4 5 2 2" xfId="12428" xr:uid="{00000000-0005-0000-0000-0000E1070000}"/>
    <cellStyle name="Cálculo 2 2 2 4 5 2 3" xfId="18577" xr:uid="{00000000-0005-0000-0000-0000E2070000}"/>
    <cellStyle name="Cálculo 2 2 2 4 5 2 4" xfId="21978" xr:uid="{00000000-0005-0000-0000-0000E3070000}"/>
    <cellStyle name="Cálculo 2 2 2 4 5 3" xfId="6752" xr:uid="{00000000-0005-0000-0000-0000E4070000}"/>
    <cellStyle name="Cálculo 2 2 2 4 5 3 2" xfId="17285" xr:uid="{00000000-0005-0000-0000-0000E5070000}"/>
    <cellStyle name="Cálculo 2 2 2 4 5 3 3" xfId="20270" xr:uid="{00000000-0005-0000-0000-0000E6070000}"/>
    <cellStyle name="Cálculo 2 2 2 4 5 4" xfId="8948" xr:uid="{00000000-0005-0000-0000-0000E7070000}"/>
    <cellStyle name="Cálculo 2 2 2 4 5 5" xfId="14340" xr:uid="{00000000-0005-0000-0000-0000E8070000}"/>
    <cellStyle name="Cálculo 2 2 2 4 5 6" xfId="15096" xr:uid="{00000000-0005-0000-0000-0000E9070000}"/>
    <cellStyle name="Cálculo 2 2 2 4 6" xfId="6984" xr:uid="{00000000-0005-0000-0000-0000EA070000}"/>
    <cellStyle name="Cálculo 2 2 2 4 6 2" xfId="8692" xr:uid="{00000000-0005-0000-0000-0000EB070000}"/>
    <cellStyle name="Cálculo 2 2 2 4 6 2 2" xfId="12660" xr:uid="{00000000-0005-0000-0000-0000EC070000}"/>
    <cellStyle name="Cálculo 2 2 2 4 6 2 3" xfId="18748" xr:uid="{00000000-0005-0000-0000-0000ED070000}"/>
    <cellStyle name="Cálculo 2 2 2 4 6 2 4" xfId="22210" xr:uid="{00000000-0005-0000-0000-0000EE070000}"/>
    <cellStyle name="Cálculo 2 2 2 4 6 3" xfId="11118" xr:uid="{00000000-0005-0000-0000-0000EF070000}"/>
    <cellStyle name="Cálculo 2 2 2 4 6 4" xfId="17455" xr:uid="{00000000-0005-0000-0000-0000F0070000}"/>
    <cellStyle name="Cálculo 2 2 2 4 6 5" xfId="20502" xr:uid="{00000000-0005-0000-0000-0000F1070000}"/>
    <cellStyle name="Cálculo 2 2 2 4 7" xfId="5972" xr:uid="{00000000-0005-0000-0000-0000F2070000}"/>
    <cellStyle name="Cálculo 2 2 2 4 7 2" xfId="10713" xr:uid="{00000000-0005-0000-0000-0000F3070000}"/>
    <cellStyle name="Cálculo 2 2 2 4 7 3" xfId="16694" xr:uid="{00000000-0005-0000-0000-0000F4070000}"/>
    <cellStyle name="Cálculo 2 2 2 4 7 4" xfId="19490" xr:uid="{00000000-0005-0000-0000-0000F5070000}"/>
    <cellStyle name="Cálculo 2 2 2 4 8" xfId="7680" xr:uid="{00000000-0005-0000-0000-0000F6070000}"/>
    <cellStyle name="Cálculo 2 2 2 4 8 2" xfId="11701" xr:uid="{00000000-0005-0000-0000-0000F7070000}"/>
    <cellStyle name="Cálculo 2 2 2 4 8 3" xfId="17986" xr:uid="{00000000-0005-0000-0000-0000F8070000}"/>
    <cellStyle name="Cálculo 2 2 2 4 8 4" xfId="21198" xr:uid="{00000000-0005-0000-0000-0000F9070000}"/>
    <cellStyle name="Cálculo 2 2 2 4 9" xfId="5165" xr:uid="{00000000-0005-0000-0000-0000FA070000}"/>
    <cellStyle name="Cálculo 2 2 2 4 9 2" xfId="16081" xr:uid="{00000000-0005-0000-0000-0000FB070000}"/>
    <cellStyle name="Cálculo 2 2 2 4 9 3" xfId="12917" xr:uid="{00000000-0005-0000-0000-0000FC070000}"/>
    <cellStyle name="Cálculo 2 2 2 5" xfId="3124" xr:uid="{00000000-0005-0000-0000-0000FD070000}"/>
    <cellStyle name="Cálculo 2 2 2 5 2" xfId="3511" xr:uid="{00000000-0005-0000-0000-0000FE070000}"/>
    <cellStyle name="Cálculo 2 2 2 5 2 2" xfId="7416" xr:uid="{00000000-0005-0000-0000-0000FF070000}"/>
    <cellStyle name="Cálculo 2 2 2 5 2 2 2" xfId="17787" xr:uid="{00000000-0005-0000-0000-000000080000}"/>
    <cellStyle name="Cálculo 2 2 2 5 2 2 3" xfId="20934" xr:uid="{00000000-0005-0000-0000-000001080000}"/>
    <cellStyle name="Cálculo 2 2 2 5 2 3" xfId="9604" xr:uid="{00000000-0005-0000-0000-000002080000}"/>
    <cellStyle name="Cálculo 2 2 2 5 2 4" xfId="14861" xr:uid="{00000000-0005-0000-0000-000003080000}"/>
    <cellStyle name="Cálculo 2 2 2 5 2 5" xfId="17825" xr:uid="{00000000-0005-0000-0000-000004080000}"/>
    <cellStyle name="Cálculo 2 2 2 5 3" xfId="3894" xr:uid="{00000000-0005-0000-0000-000005080000}"/>
    <cellStyle name="Cálculo 2 2 2 5 3 2" xfId="15137" xr:uid="{00000000-0005-0000-0000-000006080000}"/>
    <cellStyle name="Cálculo 2 2 2 5 3 3" xfId="14136" xr:uid="{00000000-0005-0000-0000-000007080000}"/>
    <cellStyle name="Cálculo 2 2 2 5 4" xfId="4277" xr:uid="{00000000-0005-0000-0000-000008080000}"/>
    <cellStyle name="Cálculo 2 2 2 5 4 2" xfId="15412" xr:uid="{00000000-0005-0000-0000-000009080000}"/>
    <cellStyle name="Cálculo 2 2 2 5 4 3" xfId="13728" xr:uid="{00000000-0005-0000-0000-00000A080000}"/>
    <cellStyle name="Cálculo 2 2 2 5 5" xfId="4659" xr:uid="{00000000-0005-0000-0000-00000B080000}"/>
    <cellStyle name="Cálculo 2 2 2 5 5 2" xfId="15686" xr:uid="{00000000-0005-0000-0000-00000C080000}"/>
    <cellStyle name="Cálculo 2 2 2 5 5 3" xfId="13346" xr:uid="{00000000-0005-0000-0000-00000D080000}"/>
    <cellStyle name="Cálculo 2 2 2 5 6" xfId="5707" xr:uid="{00000000-0005-0000-0000-00000E080000}"/>
    <cellStyle name="Cálculo 2 2 2 5 6 2" xfId="16496" xr:uid="{00000000-0005-0000-0000-00000F080000}"/>
    <cellStyle name="Cálculo 2 2 2 5 6 3" xfId="19225" xr:uid="{00000000-0005-0000-0000-000010080000}"/>
    <cellStyle name="Cálculo 2 2 2 5 7" xfId="9255" xr:uid="{00000000-0005-0000-0000-000011080000}"/>
    <cellStyle name="Cálculo 2 2 2 5 8" xfId="14581" xr:uid="{00000000-0005-0000-0000-000012080000}"/>
    <cellStyle name="Cálculo 2 2 2 5 9" xfId="15562" xr:uid="{00000000-0005-0000-0000-000013080000}"/>
    <cellStyle name="Cálculo 2 2 2 6" xfId="3102" xr:uid="{00000000-0005-0000-0000-000014080000}"/>
    <cellStyle name="Cálculo 2 2 2 6 2" xfId="3489" xr:uid="{00000000-0005-0000-0000-000015080000}"/>
    <cellStyle name="Cálculo 2 2 2 6 2 2" xfId="7921" xr:uid="{00000000-0005-0000-0000-000016080000}"/>
    <cellStyle name="Cálculo 2 2 2 6 2 2 2" xfId="18173" xr:uid="{00000000-0005-0000-0000-000017080000}"/>
    <cellStyle name="Cálculo 2 2 2 6 2 2 3" xfId="21439" xr:uid="{00000000-0005-0000-0000-000018080000}"/>
    <cellStyle name="Cálculo 2 2 2 6 2 3" xfId="9582" xr:uid="{00000000-0005-0000-0000-000019080000}"/>
    <cellStyle name="Cálculo 2 2 2 6 2 4" xfId="14844" xr:uid="{00000000-0005-0000-0000-00001A080000}"/>
    <cellStyle name="Cálculo 2 2 2 6 2 5" xfId="14956" xr:uid="{00000000-0005-0000-0000-00001B080000}"/>
    <cellStyle name="Cálculo 2 2 2 6 3" xfId="3872" xr:uid="{00000000-0005-0000-0000-00001C080000}"/>
    <cellStyle name="Cálculo 2 2 2 6 3 2" xfId="15120" xr:uid="{00000000-0005-0000-0000-00001D080000}"/>
    <cellStyle name="Cálculo 2 2 2 6 3 3" xfId="14206" xr:uid="{00000000-0005-0000-0000-00001E080000}"/>
    <cellStyle name="Cálculo 2 2 2 6 4" xfId="4255" xr:uid="{00000000-0005-0000-0000-00001F080000}"/>
    <cellStyle name="Cálculo 2 2 2 6 4 2" xfId="15395" xr:uid="{00000000-0005-0000-0000-000020080000}"/>
    <cellStyle name="Cálculo 2 2 2 6 4 3" xfId="13750" xr:uid="{00000000-0005-0000-0000-000021080000}"/>
    <cellStyle name="Cálculo 2 2 2 6 5" xfId="4637" xr:uid="{00000000-0005-0000-0000-000022080000}"/>
    <cellStyle name="Cálculo 2 2 2 6 5 2" xfId="15669" xr:uid="{00000000-0005-0000-0000-000023080000}"/>
    <cellStyle name="Cálculo 2 2 2 6 5 3" xfId="13368" xr:uid="{00000000-0005-0000-0000-000024080000}"/>
    <cellStyle name="Cálculo 2 2 2 6 6" xfId="6213" xr:uid="{00000000-0005-0000-0000-000025080000}"/>
    <cellStyle name="Cálculo 2 2 2 6 6 2" xfId="16881" xr:uid="{00000000-0005-0000-0000-000026080000}"/>
    <cellStyle name="Cálculo 2 2 2 6 6 3" xfId="19731" xr:uid="{00000000-0005-0000-0000-000027080000}"/>
    <cellStyle name="Cálculo 2 2 2 6 7" xfId="9233" xr:uid="{00000000-0005-0000-0000-000028080000}"/>
    <cellStyle name="Cálculo 2 2 2 6 8" xfId="14564" xr:uid="{00000000-0005-0000-0000-000029080000}"/>
    <cellStyle name="Cálculo 2 2 2 6 9" xfId="18707" xr:uid="{00000000-0005-0000-0000-00002A080000}"/>
    <cellStyle name="Cálculo 2 2 2 7" xfId="5292" xr:uid="{00000000-0005-0000-0000-00002B080000}"/>
    <cellStyle name="Cálculo 2 2 2 7 2" xfId="5075" xr:uid="{00000000-0005-0000-0000-00002C080000}"/>
    <cellStyle name="Cálculo 2 2 2 7 2 2" xfId="10326" xr:uid="{00000000-0005-0000-0000-00002D080000}"/>
    <cellStyle name="Cálculo 2 2 2 7 2 3" xfId="16015" xr:uid="{00000000-0005-0000-0000-00002E080000}"/>
    <cellStyle name="Cálculo 2 2 2 7 2 4" xfId="14158" xr:uid="{00000000-0005-0000-0000-00002F080000}"/>
    <cellStyle name="Cálculo 2 2 2 7 3" xfId="10412" xr:uid="{00000000-0005-0000-0000-000030080000}"/>
    <cellStyle name="Cálculo 2 2 2 7 4" xfId="16168" xr:uid="{00000000-0005-0000-0000-000031080000}"/>
    <cellStyle name="Cálculo 2 2 2 7 5" xfId="18810" xr:uid="{00000000-0005-0000-0000-000032080000}"/>
    <cellStyle name="Cálculo 2 2 2 8" xfId="6170" xr:uid="{00000000-0005-0000-0000-000033080000}"/>
    <cellStyle name="Cálculo 2 2 2 8 2" xfId="7878" xr:uid="{00000000-0005-0000-0000-000034080000}"/>
    <cellStyle name="Cálculo 2 2 2 8 2 2" xfId="11869" xr:uid="{00000000-0005-0000-0000-000035080000}"/>
    <cellStyle name="Cálculo 2 2 2 8 2 3" xfId="18134" xr:uid="{00000000-0005-0000-0000-000036080000}"/>
    <cellStyle name="Cálculo 2 2 2 8 2 4" xfId="21396" xr:uid="{00000000-0005-0000-0000-000037080000}"/>
    <cellStyle name="Cálculo 2 2 2 8 3" xfId="10831" xr:uid="{00000000-0005-0000-0000-000038080000}"/>
    <cellStyle name="Cálculo 2 2 2 8 4" xfId="16842" xr:uid="{00000000-0005-0000-0000-000039080000}"/>
    <cellStyle name="Cálculo 2 2 2 8 5" xfId="19688" xr:uid="{00000000-0005-0000-0000-00003A080000}"/>
    <cellStyle name="Cálculo 2 2 2 9" xfId="5253" xr:uid="{00000000-0005-0000-0000-00003B080000}"/>
    <cellStyle name="Cálculo 2 2 2 9 2" xfId="10393" xr:uid="{00000000-0005-0000-0000-00003C080000}"/>
    <cellStyle name="Cálculo 2 2 2 9 3" xfId="16137" xr:uid="{00000000-0005-0000-0000-00003D080000}"/>
    <cellStyle name="Cálculo 2 2 2 9 4" xfId="12841" xr:uid="{00000000-0005-0000-0000-00003E080000}"/>
    <cellStyle name="Cálculo 2 2 3" xfId="2694" xr:uid="{00000000-0005-0000-0000-00003F080000}"/>
    <cellStyle name="Cálculo 2 2 3 10" xfId="5741" xr:uid="{00000000-0005-0000-0000-000040080000}"/>
    <cellStyle name="Cálculo 2 2 3 10 2" xfId="10523" xr:uid="{00000000-0005-0000-0000-000041080000}"/>
    <cellStyle name="Cálculo 2 2 3 10 3" xfId="16522" xr:uid="{00000000-0005-0000-0000-000042080000}"/>
    <cellStyle name="Cálculo 2 2 3 10 4" xfId="19259" xr:uid="{00000000-0005-0000-0000-000043080000}"/>
    <cellStyle name="Cálculo 2 2 3 11" xfId="7450" xr:uid="{00000000-0005-0000-0000-000044080000}"/>
    <cellStyle name="Cálculo 2 2 3 11 2" xfId="11510" xr:uid="{00000000-0005-0000-0000-000045080000}"/>
    <cellStyle name="Cálculo 2 2 3 11 3" xfId="17813" xr:uid="{00000000-0005-0000-0000-000046080000}"/>
    <cellStyle name="Cálculo 2 2 3 11 4" xfId="20968" xr:uid="{00000000-0005-0000-0000-000047080000}"/>
    <cellStyle name="Cálculo 2 2 3 12" xfId="4873" xr:uid="{00000000-0005-0000-0000-000048080000}"/>
    <cellStyle name="Cálculo 2 2 3 12 2" xfId="15848" xr:uid="{00000000-0005-0000-0000-000049080000}"/>
    <cellStyle name="Cálculo 2 2 3 12 3" xfId="13133" xr:uid="{00000000-0005-0000-0000-00004A080000}"/>
    <cellStyle name="Cálculo 2 2 3 13" xfId="8849" xr:uid="{00000000-0005-0000-0000-00004B080000}"/>
    <cellStyle name="Cálculo 2 2 3 14" xfId="14265" xr:uid="{00000000-0005-0000-0000-00004C080000}"/>
    <cellStyle name="Cálculo 2 2 3 15" xfId="17122" xr:uid="{00000000-0005-0000-0000-00004D080000}"/>
    <cellStyle name="Cálculo 2 2 3 2" xfId="2751" xr:uid="{00000000-0005-0000-0000-00004E080000}"/>
    <cellStyle name="Cálculo 2 2 3 2 10" xfId="4937" xr:uid="{00000000-0005-0000-0000-00004F080000}"/>
    <cellStyle name="Cálculo 2 2 3 2 10 2" xfId="15907" xr:uid="{00000000-0005-0000-0000-000050080000}"/>
    <cellStyle name="Cálculo 2 2 3 2 10 3" xfId="13082" xr:uid="{00000000-0005-0000-0000-000051080000}"/>
    <cellStyle name="Cálculo 2 2 3 2 11" xfId="8906" xr:uid="{00000000-0005-0000-0000-000052080000}"/>
    <cellStyle name="Cálculo 2 2 3 2 12" xfId="14308" xr:uid="{00000000-0005-0000-0000-000053080000}"/>
    <cellStyle name="Cálculo 2 2 3 2 2" xfId="3241" xr:uid="{00000000-0005-0000-0000-000054080000}"/>
    <cellStyle name="Cálculo 2 2 3 2 2 10" xfId="9371" xr:uid="{00000000-0005-0000-0000-000055080000}"/>
    <cellStyle name="Cálculo 2 2 3 2 2 11" xfId="14673" xr:uid="{00000000-0005-0000-0000-000056080000}"/>
    <cellStyle name="Cálculo 2 2 3 2 2 12" xfId="15196" xr:uid="{00000000-0005-0000-0000-000057080000}"/>
    <cellStyle name="Cálculo 2 2 3 2 2 2" xfId="3628" xr:uid="{00000000-0005-0000-0000-000058080000}"/>
    <cellStyle name="Cálculo 2 2 3 2 2 2 2" xfId="7989" xr:uid="{00000000-0005-0000-0000-000059080000}"/>
    <cellStyle name="Cálculo 2 2 3 2 2 2 2 2" xfId="11965" xr:uid="{00000000-0005-0000-0000-00005A080000}"/>
    <cellStyle name="Cálculo 2 2 3 2 2 2 2 3" xfId="18212" xr:uid="{00000000-0005-0000-0000-00005B080000}"/>
    <cellStyle name="Cálculo 2 2 3 2 2 2 2 4" xfId="21507" xr:uid="{00000000-0005-0000-0000-00005C080000}"/>
    <cellStyle name="Cálculo 2 2 3 2 2 2 3" xfId="6281" xr:uid="{00000000-0005-0000-0000-00005D080000}"/>
    <cellStyle name="Cálculo 2 2 3 2 2 2 3 2" xfId="16921" xr:uid="{00000000-0005-0000-0000-00005E080000}"/>
    <cellStyle name="Cálculo 2 2 3 2 2 2 3 3" xfId="19799" xr:uid="{00000000-0005-0000-0000-00005F080000}"/>
    <cellStyle name="Cálculo 2 2 3 2 2 2 4" xfId="9720" xr:uid="{00000000-0005-0000-0000-000060080000}"/>
    <cellStyle name="Cálculo 2 2 3 2 2 2 5" xfId="14953" xr:uid="{00000000-0005-0000-0000-000061080000}"/>
    <cellStyle name="Cálculo 2 2 3 2 2 2 6" xfId="18753" xr:uid="{00000000-0005-0000-0000-000062080000}"/>
    <cellStyle name="Cálculo 2 2 3 2 2 3" xfId="4011" xr:uid="{00000000-0005-0000-0000-000063080000}"/>
    <cellStyle name="Cálculo 2 2 3 2 2 3 2" xfId="7330" xr:uid="{00000000-0005-0000-0000-000064080000}"/>
    <cellStyle name="Cálculo 2 2 3 2 2 3 2 2" xfId="11420" xr:uid="{00000000-0005-0000-0000-000065080000}"/>
    <cellStyle name="Cálculo 2 2 3 2 2 3 2 3" xfId="17720" xr:uid="{00000000-0005-0000-0000-000066080000}"/>
    <cellStyle name="Cálculo 2 2 3 2 2 3 2 4" xfId="20848" xr:uid="{00000000-0005-0000-0000-000067080000}"/>
    <cellStyle name="Cálculo 2 2 3 2 2 3 3" xfId="5621" xr:uid="{00000000-0005-0000-0000-000068080000}"/>
    <cellStyle name="Cálculo 2 2 3 2 2 3 3 2" xfId="16429" xr:uid="{00000000-0005-0000-0000-000069080000}"/>
    <cellStyle name="Cálculo 2 2 3 2 2 3 3 3" xfId="19139" xr:uid="{00000000-0005-0000-0000-00006A080000}"/>
    <cellStyle name="Cálculo 2 2 3 2 2 3 4" xfId="9930" xr:uid="{00000000-0005-0000-0000-00006B080000}"/>
    <cellStyle name="Cálculo 2 2 3 2 2 3 5" xfId="15228" xr:uid="{00000000-0005-0000-0000-00006C080000}"/>
    <cellStyle name="Cálculo 2 2 3 2 2 3 6" xfId="13980" xr:uid="{00000000-0005-0000-0000-00006D080000}"/>
    <cellStyle name="Cálculo 2 2 3 2 2 4" xfId="4394" xr:uid="{00000000-0005-0000-0000-00006E080000}"/>
    <cellStyle name="Cálculo 2 2 3 2 2 4 2" xfId="8296" xr:uid="{00000000-0005-0000-0000-00006F080000}"/>
    <cellStyle name="Cálculo 2 2 3 2 2 4 2 2" xfId="12264" xr:uid="{00000000-0005-0000-0000-000070080000}"/>
    <cellStyle name="Cálculo 2 2 3 2 2 4 2 3" xfId="18446" xr:uid="{00000000-0005-0000-0000-000071080000}"/>
    <cellStyle name="Cálculo 2 2 3 2 2 4 2 4" xfId="21814" xr:uid="{00000000-0005-0000-0000-000072080000}"/>
    <cellStyle name="Cálculo 2 2 3 2 2 4 3" xfId="6588" xr:uid="{00000000-0005-0000-0000-000073080000}"/>
    <cellStyle name="Cálculo 2 2 3 2 2 4 3 2" xfId="17155" xr:uid="{00000000-0005-0000-0000-000074080000}"/>
    <cellStyle name="Cálculo 2 2 3 2 2 4 3 3" xfId="20106" xr:uid="{00000000-0005-0000-0000-000075080000}"/>
    <cellStyle name="Cálculo 2 2 3 2 2 4 4" xfId="10108" xr:uid="{00000000-0005-0000-0000-000076080000}"/>
    <cellStyle name="Cálculo 2 2 3 2 2 4 5" xfId="15504" xr:uid="{00000000-0005-0000-0000-000077080000}"/>
    <cellStyle name="Cálculo 2 2 3 2 2 4 6" xfId="13611" xr:uid="{00000000-0005-0000-0000-000078080000}"/>
    <cellStyle name="Cálculo 2 2 3 2 2 5" xfId="4776" xr:uid="{00000000-0005-0000-0000-000079080000}"/>
    <cellStyle name="Cálculo 2 2 3 2 2 5 2" xfId="8528" xr:uid="{00000000-0005-0000-0000-00007A080000}"/>
    <cellStyle name="Cálculo 2 2 3 2 2 5 2 2" xfId="12496" xr:uid="{00000000-0005-0000-0000-00007B080000}"/>
    <cellStyle name="Cálculo 2 2 3 2 2 5 2 3" xfId="18617" xr:uid="{00000000-0005-0000-0000-00007C080000}"/>
    <cellStyle name="Cálculo 2 2 3 2 2 5 2 4" xfId="22046" xr:uid="{00000000-0005-0000-0000-00007D080000}"/>
    <cellStyle name="Cálculo 2 2 3 2 2 5 3" xfId="6820" xr:uid="{00000000-0005-0000-0000-00007E080000}"/>
    <cellStyle name="Cálculo 2 2 3 2 2 5 3 2" xfId="17325" xr:uid="{00000000-0005-0000-0000-00007F080000}"/>
    <cellStyle name="Cálculo 2 2 3 2 2 5 3 3" xfId="20338" xr:uid="{00000000-0005-0000-0000-000080080000}"/>
    <cellStyle name="Cálculo 2 2 3 2 2 5 4" xfId="10285" xr:uid="{00000000-0005-0000-0000-000081080000}"/>
    <cellStyle name="Cálculo 2 2 3 2 2 5 5" xfId="15776" xr:uid="{00000000-0005-0000-0000-000082080000}"/>
    <cellStyle name="Cálculo 2 2 3 2 2 5 6" xfId="13229" xr:uid="{00000000-0005-0000-0000-000083080000}"/>
    <cellStyle name="Cálculo 2 2 3 2 2 6" xfId="7052" xr:uid="{00000000-0005-0000-0000-000084080000}"/>
    <cellStyle name="Cálculo 2 2 3 2 2 6 2" xfId="8760" xr:uid="{00000000-0005-0000-0000-000085080000}"/>
    <cellStyle name="Cálculo 2 2 3 2 2 6 2 2" xfId="12728" xr:uid="{00000000-0005-0000-0000-000086080000}"/>
    <cellStyle name="Cálculo 2 2 3 2 2 6 2 3" xfId="18789" xr:uid="{00000000-0005-0000-0000-000087080000}"/>
    <cellStyle name="Cálculo 2 2 3 2 2 6 2 4" xfId="22278" xr:uid="{00000000-0005-0000-0000-000088080000}"/>
    <cellStyle name="Cálculo 2 2 3 2 2 6 3" xfId="11186" xr:uid="{00000000-0005-0000-0000-000089080000}"/>
    <cellStyle name="Cálculo 2 2 3 2 2 6 4" xfId="17496" xr:uid="{00000000-0005-0000-0000-00008A080000}"/>
    <cellStyle name="Cálculo 2 2 3 2 2 6 5" xfId="20570" xr:uid="{00000000-0005-0000-0000-00008B080000}"/>
    <cellStyle name="Cálculo 2 2 3 2 2 7" xfId="6040" xr:uid="{00000000-0005-0000-0000-00008C080000}"/>
    <cellStyle name="Cálculo 2 2 3 2 2 7 2" xfId="10781" xr:uid="{00000000-0005-0000-0000-00008D080000}"/>
    <cellStyle name="Cálculo 2 2 3 2 2 7 3" xfId="16735" xr:uid="{00000000-0005-0000-0000-00008E080000}"/>
    <cellStyle name="Cálculo 2 2 3 2 2 7 4" xfId="19558" xr:uid="{00000000-0005-0000-0000-00008F080000}"/>
    <cellStyle name="Cálculo 2 2 3 2 2 8" xfId="7748" xr:uid="{00000000-0005-0000-0000-000090080000}"/>
    <cellStyle name="Cálculo 2 2 3 2 2 8 2" xfId="11769" xr:uid="{00000000-0005-0000-0000-000091080000}"/>
    <cellStyle name="Cálculo 2 2 3 2 2 8 3" xfId="18027" xr:uid="{00000000-0005-0000-0000-000092080000}"/>
    <cellStyle name="Cálculo 2 2 3 2 2 8 4" xfId="21266" xr:uid="{00000000-0005-0000-0000-000093080000}"/>
    <cellStyle name="Cálculo 2 2 3 2 2 9" xfId="5234" xr:uid="{00000000-0005-0000-0000-000094080000}"/>
    <cellStyle name="Cálculo 2 2 3 2 2 9 2" xfId="16123" xr:uid="{00000000-0005-0000-0000-000095080000}"/>
    <cellStyle name="Cálculo 2 2 3 2 2 9 3" xfId="12860" xr:uid="{00000000-0005-0000-0000-000096080000}"/>
    <cellStyle name="Cálculo 2 2 3 2 3" xfId="3298" xr:uid="{00000000-0005-0000-0000-000097080000}"/>
    <cellStyle name="Cálculo 2 2 3 2 3 2" xfId="3685" xr:uid="{00000000-0005-0000-0000-000098080000}"/>
    <cellStyle name="Cálculo 2 2 3 2 3 2 2" xfId="7310" xr:uid="{00000000-0005-0000-0000-000099080000}"/>
    <cellStyle name="Cálculo 2 2 3 2 3 2 2 2" xfId="17703" xr:uid="{00000000-0005-0000-0000-00009A080000}"/>
    <cellStyle name="Cálculo 2 2 3 2 3 2 2 3" xfId="20828" xr:uid="{00000000-0005-0000-0000-00009B080000}"/>
    <cellStyle name="Cálculo 2 2 3 2 3 2 3" xfId="9762" xr:uid="{00000000-0005-0000-0000-00009C080000}"/>
    <cellStyle name="Cálculo 2 2 3 2 3 2 4" xfId="14995" xr:uid="{00000000-0005-0000-0000-00009D080000}"/>
    <cellStyle name="Cálculo 2 2 3 2 3 2 5" xfId="16884" xr:uid="{00000000-0005-0000-0000-00009E080000}"/>
    <cellStyle name="Cálculo 2 2 3 2 3 3" xfId="4068" xr:uid="{00000000-0005-0000-0000-00009F080000}"/>
    <cellStyle name="Cálculo 2 2 3 2 3 3 2" xfId="15270" xr:uid="{00000000-0005-0000-0000-0000A0080000}"/>
    <cellStyle name="Cálculo 2 2 3 2 3 3 3" xfId="13923" xr:uid="{00000000-0005-0000-0000-0000A1080000}"/>
    <cellStyle name="Cálculo 2 2 3 2 3 4" xfId="4451" xr:uid="{00000000-0005-0000-0000-0000A2080000}"/>
    <cellStyle name="Cálculo 2 2 3 2 3 4 2" xfId="15545" xr:uid="{00000000-0005-0000-0000-0000A3080000}"/>
    <cellStyle name="Cálculo 2 2 3 2 3 4 3" xfId="13554" xr:uid="{00000000-0005-0000-0000-0000A4080000}"/>
    <cellStyle name="Cálculo 2 2 3 2 3 5" xfId="4833" xr:uid="{00000000-0005-0000-0000-0000A5080000}"/>
    <cellStyle name="Cálculo 2 2 3 2 3 5 2" xfId="15817" xr:uid="{00000000-0005-0000-0000-0000A6080000}"/>
    <cellStyle name="Cálculo 2 2 3 2 3 5 3" xfId="13173" xr:uid="{00000000-0005-0000-0000-0000A7080000}"/>
    <cellStyle name="Cálculo 2 2 3 2 3 6" xfId="5601" xr:uid="{00000000-0005-0000-0000-0000A8080000}"/>
    <cellStyle name="Cálculo 2 2 3 2 3 6 2" xfId="16412" xr:uid="{00000000-0005-0000-0000-0000A9080000}"/>
    <cellStyle name="Cálculo 2 2 3 2 3 6 3" xfId="19119" xr:uid="{00000000-0005-0000-0000-0000AA080000}"/>
    <cellStyle name="Cálculo 2 2 3 2 3 7" xfId="9428" xr:uid="{00000000-0005-0000-0000-0000AB080000}"/>
    <cellStyle name="Cálculo 2 2 3 2 3 8" xfId="14715" xr:uid="{00000000-0005-0000-0000-0000AC080000}"/>
    <cellStyle name="Cálculo 2 2 3 2 3 9" xfId="18399" xr:uid="{00000000-0005-0000-0000-0000AD080000}"/>
    <cellStyle name="Cálculo 2 2 3 2 4" xfId="2916" xr:uid="{00000000-0005-0000-0000-0000AE080000}"/>
    <cellStyle name="Cálculo 2 2 3 2 4 2" xfId="7119" xr:uid="{00000000-0005-0000-0000-0000AF080000}"/>
    <cellStyle name="Cálculo 2 2 3 2 4 2 2" xfId="11253" xr:uid="{00000000-0005-0000-0000-0000B0080000}"/>
    <cellStyle name="Cálculo 2 2 3 2 4 2 3" xfId="17539" xr:uid="{00000000-0005-0000-0000-0000B1080000}"/>
    <cellStyle name="Cálculo 2 2 3 2 4 2 4" xfId="20637" xr:uid="{00000000-0005-0000-0000-0000B2080000}"/>
    <cellStyle name="Cálculo 2 2 3 2 4 3" xfId="5410" xr:uid="{00000000-0005-0000-0000-0000B3080000}"/>
    <cellStyle name="Cálculo 2 2 3 2 4 3 2" xfId="16249" xr:uid="{00000000-0005-0000-0000-0000B4080000}"/>
    <cellStyle name="Cálculo 2 2 3 2 4 3 3" xfId="18928" xr:uid="{00000000-0005-0000-0000-0000B5080000}"/>
    <cellStyle name="Cálculo 2 2 3 2 4 4" xfId="9068" xr:uid="{00000000-0005-0000-0000-0000B6080000}"/>
    <cellStyle name="Cálculo 2 2 3 2 4 5" xfId="14440" xr:uid="{00000000-0005-0000-0000-0000B7080000}"/>
    <cellStyle name="Cálculo 2 2 3 2 4 6" xfId="15072" xr:uid="{00000000-0005-0000-0000-0000B8080000}"/>
    <cellStyle name="Cálculo 2 2 3 2 5" xfId="6395" xr:uid="{00000000-0005-0000-0000-0000B9080000}"/>
    <cellStyle name="Cálculo 2 2 3 2 5 2" xfId="8103" xr:uid="{00000000-0005-0000-0000-0000BA080000}"/>
    <cellStyle name="Cálculo 2 2 3 2 5 2 2" xfId="12071" xr:uid="{00000000-0005-0000-0000-0000BB080000}"/>
    <cellStyle name="Cálculo 2 2 3 2 5 2 3" xfId="18309" xr:uid="{00000000-0005-0000-0000-0000BC080000}"/>
    <cellStyle name="Cálculo 2 2 3 2 5 2 4" xfId="21621" xr:uid="{00000000-0005-0000-0000-0000BD080000}"/>
    <cellStyle name="Cálculo 2 2 3 2 5 3" xfId="10913" xr:uid="{00000000-0005-0000-0000-0000BE080000}"/>
    <cellStyle name="Cálculo 2 2 3 2 5 4" xfId="17018" xr:uid="{00000000-0005-0000-0000-0000BF080000}"/>
    <cellStyle name="Cálculo 2 2 3 2 5 5" xfId="19913" xr:uid="{00000000-0005-0000-0000-0000C0080000}"/>
    <cellStyle name="Cálculo 2 2 3 2 6" xfId="6627" xr:uid="{00000000-0005-0000-0000-0000C1080000}"/>
    <cellStyle name="Cálculo 2 2 3 2 6 2" xfId="8335" xr:uid="{00000000-0005-0000-0000-0000C2080000}"/>
    <cellStyle name="Cálculo 2 2 3 2 6 2 2" xfId="12303" xr:uid="{00000000-0005-0000-0000-0000C3080000}"/>
    <cellStyle name="Cálculo 2 2 3 2 6 2 3" xfId="18480" xr:uid="{00000000-0005-0000-0000-0000C4080000}"/>
    <cellStyle name="Cálculo 2 2 3 2 6 2 4" xfId="21853" xr:uid="{00000000-0005-0000-0000-0000C5080000}"/>
    <cellStyle name="Cálculo 2 2 3 2 6 3" xfId="10953" xr:uid="{00000000-0005-0000-0000-0000C6080000}"/>
    <cellStyle name="Cálculo 2 2 3 2 6 4" xfId="17189" xr:uid="{00000000-0005-0000-0000-0000C7080000}"/>
    <cellStyle name="Cálculo 2 2 3 2 6 5" xfId="20145" xr:uid="{00000000-0005-0000-0000-0000C8080000}"/>
    <cellStyle name="Cálculo 2 2 3 2 7" xfId="6859" xr:uid="{00000000-0005-0000-0000-0000C9080000}"/>
    <cellStyle name="Cálculo 2 2 3 2 7 2" xfId="8567" xr:uid="{00000000-0005-0000-0000-0000CA080000}"/>
    <cellStyle name="Cálculo 2 2 3 2 7 2 2" xfId="12535" xr:uid="{00000000-0005-0000-0000-0000CB080000}"/>
    <cellStyle name="Cálculo 2 2 3 2 7 2 3" xfId="18651" xr:uid="{00000000-0005-0000-0000-0000CC080000}"/>
    <cellStyle name="Cálculo 2 2 3 2 7 2 4" xfId="22085" xr:uid="{00000000-0005-0000-0000-0000CD080000}"/>
    <cellStyle name="Cálculo 2 2 3 2 7 3" xfId="10993" xr:uid="{00000000-0005-0000-0000-0000CE080000}"/>
    <cellStyle name="Cálculo 2 2 3 2 7 4" xfId="17359" xr:uid="{00000000-0005-0000-0000-0000CF080000}"/>
    <cellStyle name="Cálculo 2 2 3 2 7 5" xfId="20377" xr:uid="{00000000-0005-0000-0000-0000D0080000}"/>
    <cellStyle name="Cálculo 2 2 3 2 8" xfId="5830" xr:uid="{00000000-0005-0000-0000-0000D1080000}"/>
    <cellStyle name="Cálculo 2 2 3 2 8 2" xfId="10588" xr:uid="{00000000-0005-0000-0000-0000D2080000}"/>
    <cellStyle name="Cálculo 2 2 3 2 8 3" xfId="16590" xr:uid="{00000000-0005-0000-0000-0000D3080000}"/>
    <cellStyle name="Cálculo 2 2 3 2 8 4" xfId="19348" xr:uid="{00000000-0005-0000-0000-0000D4080000}"/>
    <cellStyle name="Cálculo 2 2 3 2 9" xfId="7538" xr:uid="{00000000-0005-0000-0000-0000D5080000}"/>
    <cellStyle name="Cálculo 2 2 3 2 9 2" xfId="11574" xr:uid="{00000000-0005-0000-0000-0000D6080000}"/>
    <cellStyle name="Cálculo 2 2 3 2 9 3" xfId="17882" xr:uid="{00000000-0005-0000-0000-0000D7080000}"/>
    <cellStyle name="Cálculo 2 2 3 2 9 4" xfId="21056" xr:uid="{00000000-0005-0000-0000-0000D8080000}"/>
    <cellStyle name="Cálculo 2 2 3 3" xfId="2657" xr:uid="{00000000-0005-0000-0000-0000D9080000}"/>
    <cellStyle name="Cálculo 2 2 3 3 10" xfId="4914" xr:uid="{00000000-0005-0000-0000-0000DA080000}"/>
    <cellStyle name="Cálculo 2 2 3 3 10 2" xfId="15884" xr:uid="{00000000-0005-0000-0000-0000DB080000}"/>
    <cellStyle name="Cálculo 2 2 3 3 10 3" xfId="13105" xr:uid="{00000000-0005-0000-0000-0000DC080000}"/>
    <cellStyle name="Cálculo 2 2 3 3 11" xfId="8814" xr:uid="{00000000-0005-0000-0000-0000DD080000}"/>
    <cellStyle name="Cálculo 2 2 3 3 12" xfId="14234" xr:uid="{00000000-0005-0000-0000-0000DE080000}"/>
    <cellStyle name="Cálculo 2 2 3 3 2" xfId="3149" xr:uid="{00000000-0005-0000-0000-0000DF080000}"/>
    <cellStyle name="Cálculo 2 2 3 3 2 10" xfId="9279" xr:uid="{00000000-0005-0000-0000-0000E0080000}"/>
    <cellStyle name="Cálculo 2 2 3 3 2 11" xfId="14602" xr:uid="{00000000-0005-0000-0000-0000E1080000}"/>
    <cellStyle name="Cálculo 2 2 3 3 2 12" xfId="18607" xr:uid="{00000000-0005-0000-0000-0000E2080000}"/>
    <cellStyle name="Cálculo 2 2 3 3 2 2" xfId="3536" xr:uid="{00000000-0005-0000-0000-0000E3080000}"/>
    <cellStyle name="Cálculo 2 2 3 3 2 2 2" xfId="7372" xr:uid="{00000000-0005-0000-0000-0000E4080000}"/>
    <cellStyle name="Cálculo 2 2 3 3 2 2 2 2" xfId="11458" xr:uid="{00000000-0005-0000-0000-0000E5080000}"/>
    <cellStyle name="Cálculo 2 2 3 3 2 2 2 3" xfId="17754" xr:uid="{00000000-0005-0000-0000-0000E6080000}"/>
    <cellStyle name="Cálculo 2 2 3 3 2 2 2 4" xfId="20890" xr:uid="{00000000-0005-0000-0000-0000E7080000}"/>
    <cellStyle name="Cálculo 2 2 3 3 2 2 3" xfId="5663" xr:uid="{00000000-0005-0000-0000-0000E8080000}"/>
    <cellStyle name="Cálculo 2 2 3 3 2 2 3 2" xfId="16463" xr:uid="{00000000-0005-0000-0000-0000E9080000}"/>
    <cellStyle name="Cálculo 2 2 3 3 2 2 3 3" xfId="19181" xr:uid="{00000000-0005-0000-0000-0000EA080000}"/>
    <cellStyle name="Cálculo 2 2 3 3 2 2 4" xfId="9628" xr:uid="{00000000-0005-0000-0000-0000EB080000}"/>
    <cellStyle name="Cálculo 2 2 3 3 2 2 5" xfId="14882" xr:uid="{00000000-0005-0000-0000-0000EC080000}"/>
    <cellStyle name="Cálculo 2 2 3 3 2 2 6" xfId="14449" xr:uid="{00000000-0005-0000-0000-0000ED080000}"/>
    <cellStyle name="Cálculo 2 2 3 3 2 3" xfId="3919" xr:uid="{00000000-0005-0000-0000-0000EE080000}"/>
    <cellStyle name="Cálculo 2 2 3 3 2 3 2" xfId="7843" xr:uid="{00000000-0005-0000-0000-0000EF080000}"/>
    <cellStyle name="Cálculo 2 2 3 3 2 3 2 2" xfId="11847" xr:uid="{00000000-0005-0000-0000-0000F0080000}"/>
    <cellStyle name="Cálculo 2 2 3 3 2 3 2 3" xfId="18102" xr:uid="{00000000-0005-0000-0000-0000F1080000}"/>
    <cellStyle name="Cálculo 2 2 3 3 2 3 2 4" xfId="21361" xr:uid="{00000000-0005-0000-0000-0000F2080000}"/>
    <cellStyle name="Cálculo 2 2 3 3 2 3 3" xfId="6135" xr:uid="{00000000-0005-0000-0000-0000F3080000}"/>
    <cellStyle name="Cálculo 2 2 3 3 2 3 3 2" xfId="16810" xr:uid="{00000000-0005-0000-0000-0000F4080000}"/>
    <cellStyle name="Cálculo 2 2 3 3 2 3 3 3" xfId="19653" xr:uid="{00000000-0005-0000-0000-0000F5080000}"/>
    <cellStyle name="Cálculo 2 2 3 3 2 3 4" xfId="9842" xr:uid="{00000000-0005-0000-0000-0000F6080000}"/>
    <cellStyle name="Cálculo 2 2 3 3 2 3 5" xfId="15158" xr:uid="{00000000-0005-0000-0000-0000F7080000}"/>
    <cellStyle name="Cálculo 2 2 3 3 2 3 6" xfId="14072" xr:uid="{00000000-0005-0000-0000-0000F8080000}"/>
    <cellStyle name="Cálculo 2 2 3 3 2 4" xfId="4302" xr:uid="{00000000-0005-0000-0000-0000F9080000}"/>
    <cellStyle name="Cálculo 2 2 3 3 2 4 2" xfId="8191" xr:uid="{00000000-0005-0000-0000-0000FA080000}"/>
    <cellStyle name="Cálculo 2 2 3 3 2 4 2 2" xfId="12159" xr:uid="{00000000-0005-0000-0000-0000FB080000}"/>
    <cellStyle name="Cálculo 2 2 3 3 2 4 2 3" xfId="18384" xr:uid="{00000000-0005-0000-0000-0000FC080000}"/>
    <cellStyle name="Cálculo 2 2 3 3 2 4 2 4" xfId="21709" xr:uid="{00000000-0005-0000-0000-0000FD080000}"/>
    <cellStyle name="Cálculo 2 2 3 3 2 4 3" xfId="6483" xr:uid="{00000000-0005-0000-0000-0000FE080000}"/>
    <cellStyle name="Cálculo 2 2 3 3 2 4 3 2" xfId="17093" xr:uid="{00000000-0005-0000-0000-0000FF080000}"/>
    <cellStyle name="Cálculo 2 2 3 3 2 4 3 3" xfId="20001" xr:uid="{00000000-0005-0000-0000-000000090000}"/>
    <cellStyle name="Cálculo 2 2 3 3 2 4 4" xfId="10020" xr:uid="{00000000-0005-0000-0000-000001090000}"/>
    <cellStyle name="Cálculo 2 2 3 3 2 4 5" xfId="15433" xr:uid="{00000000-0005-0000-0000-000002090000}"/>
    <cellStyle name="Cálculo 2 2 3 3 2 4 6" xfId="13703" xr:uid="{00000000-0005-0000-0000-000003090000}"/>
    <cellStyle name="Cálculo 2 2 3 3 2 5" xfId="4684" xr:uid="{00000000-0005-0000-0000-000004090000}"/>
    <cellStyle name="Cálculo 2 2 3 3 2 5 2" xfId="8423" xr:uid="{00000000-0005-0000-0000-000005090000}"/>
    <cellStyle name="Cálculo 2 2 3 3 2 5 2 2" xfId="12391" xr:uid="{00000000-0005-0000-0000-000006090000}"/>
    <cellStyle name="Cálculo 2 2 3 3 2 5 2 3" xfId="18555" xr:uid="{00000000-0005-0000-0000-000007090000}"/>
    <cellStyle name="Cálculo 2 2 3 3 2 5 2 4" xfId="21941" xr:uid="{00000000-0005-0000-0000-000008090000}"/>
    <cellStyle name="Cálculo 2 2 3 3 2 5 3" xfId="6715" xr:uid="{00000000-0005-0000-0000-000009090000}"/>
    <cellStyle name="Cálculo 2 2 3 3 2 5 3 2" xfId="17264" xr:uid="{00000000-0005-0000-0000-00000A090000}"/>
    <cellStyle name="Cálculo 2 2 3 3 2 5 3 3" xfId="20233" xr:uid="{00000000-0005-0000-0000-00000B090000}"/>
    <cellStyle name="Cálculo 2 2 3 3 2 5 4" xfId="10197" xr:uid="{00000000-0005-0000-0000-00000C090000}"/>
    <cellStyle name="Cálculo 2 2 3 3 2 5 5" xfId="15707" xr:uid="{00000000-0005-0000-0000-00000D090000}"/>
    <cellStyle name="Cálculo 2 2 3 3 2 5 6" xfId="13321" xr:uid="{00000000-0005-0000-0000-00000E090000}"/>
    <cellStyle name="Cálculo 2 2 3 3 2 6" xfId="6947" xr:uid="{00000000-0005-0000-0000-00000F090000}"/>
    <cellStyle name="Cálculo 2 2 3 3 2 6 2" xfId="8655" xr:uid="{00000000-0005-0000-0000-000010090000}"/>
    <cellStyle name="Cálculo 2 2 3 3 2 6 2 2" xfId="12623" xr:uid="{00000000-0005-0000-0000-000011090000}"/>
    <cellStyle name="Cálculo 2 2 3 3 2 6 2 3" xfId="18726" xr:uid="{00000000-0005-0000-0000-000012090000}"/>
    <cellStyle name="Cálculo 2 2 3 3 2 6 2 4" xfId="22173" xr:uid="{00000000-0005-0000-0000-000013090000}"/>
    <cellStyle name="Cálculo 2 2 3 3 2 6 3" xfId="11081" xr:uid="{00000000-0005-0000-0000-000014090000}"/>
    <cellStyle name="Cálculo 2 2 3 3 2 6 4" xfId="17434" xr:uid="{00000000-0005-0000-0000-000015090000}"/>
    <cellStyle name="Cálculo 2 2 3 3 2 6 5" xfId="20465" xr:uid="{00000000-0005-0000-0000-000016090000}"/>
    <cellStyle name="Cálculo 2 2 3 3 2 7" xfId="5935" xr:uid="{00000000-0005-0000-0000-000017090000}"/>
    <cellStyle name="Cálculo 2 2 3 3 2 7 2" xfId="10676" xr:uid="{00000000-0005-0000-0000-000018090000}"/>
    <cellStyle name="Cálculo 2 2 3 3 2 7 3" xfId="16672" xr:uid="{00000000-0005-0000-0000-000019090000}"/>
    <cellStyle name="Cálculo 2 2 3 3 2 7 4" xfId="19453" xr:uid="{00000000-0005-0000-0000-00001A090000}"/>
    <cellStyle name="Cálculo 2 2 3 3 2 8" xfId="7643" xr:uid="{00000000-0005-0000-0000-00001B090000}"/>
    <cellStyle name="Cálculo 2 2 3 3 2 8 2" xfId="11664" xr:uid="{00000000-0005-0000-0000-00001C090000}"/>
    <cellStyle name="Cálculo 2 2 3 3 2 8 3" xfId="17964" xr:uid="{00000000-0005-0000-0000-00001D090000}"/>
    <cellStyle name="Cálculo 2 2 3 3 2 8 4" xfId="21161" xr:uid="{00000000-0005-0000-0000-00001E090000}"/>
    <cellStyle name="Cálculo 2 2 3 3 2 9" xfId="5031" xr:uid="{00000000-0005-0000-0000-00001F090000}"/>
    <cellStyle name="Cálculo 2 2 3 3 2 9 2" xfId="15987" xr:uid="{00000000-0005-0000-0000-000020090000}"/>
    <cellStyle name="Cálculo 2 2 3 3 2 9 3" xfId="12988" xr:uid="{00000000-0005-0000-0000-000021090000}"/>
    <cellStyle name="Cálculo 2 2 3 3 3" xfId="3121" xr:uid="{00000000-0005-0000-0000-000022090000}"/>
    <cellStyle name="Cálculo 2 2 3 3 3 2" xfId="3508" xr:uid="{00000000-0005-0000-0000-000023090000}"/>
    <cellStyle name="Cálculo 2 2 3 3 3 2 2" xfId="7852" xr:uid="{00000000-0005-0000-0000-000024090000}"/>
    <cellStyle name="Cálculo 2 2 3 3 3 2 2 2" xfId="18111" xr:uid="{00000000-0005-0000-0000-000025090000}"/>
    <cellStyle name="Cálculo 2 2 3 3 3 2 2 3" xfId="21370" xr:uid="{00000000-0005-0000-0000-000026090000}"/>
    <cellStyle name="Cálculo 2 2 3 3 3 2 3" xfId="9601" xr:uid="{00000000-0005-0000-0000-000027090000}"/>
    <cellStyle name="Cálculo 2 2 3 3 3 2 4" xfId="14858" xr:uid="{00000000-0005-0000-0000-000028090000}"/>
    <cellStyle name="Cálculo 2 2 3 3 3 2 5" xfId="14469" xr:uid="{00000000-0005-0000-0000-000029090000}"/>
    <cellStyle name="Cálculo 2 2 3 3 3 3" xfId="3891" xr:uid="{00000000-0005-0000-0000-00002A090000}"/>
    <cellStyle name="Cálculo 2 2 3 3 3 3 2" xfId="15134" xr:uid="{00000000-0005-0000-0000-00002B090000}"/>
    <cellStyle name="Cálculo 2 2 3 3 3 3 3" xfId="14170" xr:uid="{00000000-0005-0000-0000-00002C090000}"/>
    <cellStyle name="Cálculo 2 2 3 3 3 4" xfId="4274" xr:uid="{00000000-0005-0000-0000-00002D090000}"/>
    <cellStyle name="Cálculo 2 2 3 3 3 4 2" xfId="15409" xr:uid="{00000000-0005-0000-0000-00002E090000}"/>
    <cellStyle name="Cálculo 2 2 3 3 3 4 3" xfId="13731" xr:uid="{00000000-0005-0000-0000-00002F090000}"/>
    <cellStyle name="Cálculo 2 2 3 3 3 5" xfId="4656" xr:uid="{00000000-0005-0000-0000-000030090000}"/>
    <cellStyle name="Cálculo 2 2 3 3 3 5 2" xfId="15683" xr:uid="{00000000-0005-0000-0000-000031090000}"/>
    <cellStyle name="Cálculo 2 2 3 3 3 5 3" xfId="13349" xr:uid="{00000000-0005-0000-0000-000032090000}"/>
    <cellStyle name="Cálculo 2 2 3 3 3 6" xfId="6144" xr:uid="{00000000-0005-0000-0000-000033090000}"/>
    <cellStyle name="Cálculo 2 2 3 3 3 6 2" xfId="16819" xr:uid="{00000000-0005-0000-0000-000034090000}"/>
    <cellStyle name="Cálculo 2 2 3 3 3 6 3" xfId="19662" xr:uid="{00000000-0005-0000-0000-000035090000}"/>
    <cellStyle name="Cálculo 2 2 3 3 3 7" xfId="9252" xr:uid="{00000000-0005-0000-0000-000036090000}"/>
    <cellStyle name="Cálculo 2 2 3 3 3 8" xfId="14578" xr:uid="{00000000-0005-0000-0000-000037090000}"/>
    <cellStyle name="Cálculo 2 2 3 3 3 9" xfId="17454" xr:uid="{00000000-0005-0000-0000-000038090000}"/>
    <cellStyle name="Cálculo 2 2 3 3 4" xfId="2857" xr:uid="{00000000-0005-0000-0000-000039090000}"/>
    <cellStyle name="Cálculo 2 2 3 3 4 2" xfId="7199" xr:uid="{00000000-0005-0000-0000-00003A090000}"/>
    <cellStyle name="Cálculo 2 2 3 3 4 2 2" xfId="11325" xr:uid="{00000000-0005-0000-0000-00003B090000}"/>
    <cellStyle name="Cálculo 2 2 3 3 4 2 3" xfId="17605" xr:uid="{00000000-0005-0000-0000-00003C090000}"/>
    <cellStyle name="Cálculo 2 2 3 3 4 2 4" xfId="20717" xr:uid="{00000000-0005-0000-0000-00003D090000}"/>
    <cellStyle name="Cálculo 2 2 3 3 4 3" xfId="5490" xr:uid="{00000000-0005-0000-0000-00003E090000}"/>
    <cellStyle name="Cálculo 2 2 3 3 4 3 2" xfId="16314" xr:uid="{00000000-0005-0000-0000-00003F090000}"/>
    <cellStyle name="Cálculo 2 2 3 3 4 3 3" xfId="19008" xr:uid="{00000000-0005-0000-0000-000040090000}"/>
    <cellStyle name="Cálculo 2 2 3 3 4 4" xfId="9010" xr:uid="{00000000-0005-0000-0000-000041090000}"/>
    <cellStyle name="Cálculo 2 2 3 3 4 5" xfId="14395" xr:uid="{00000000-0005-0000-0000-000042090000}"/>
    <cellStyle name="Cálculo 2 2 3 3 4 6" xfId="14959" xr:uid="{00000000-0005-0000-0000-000043090000}"/>
    <cellStyle name="Cálculo 2 2 3 3 5" xfId="6372" xr:uid="{00000000-0005-0000-0000-000044090000}"/>
    <cellStyle name="Cálculo 2 2 3 3 5 2" xfId="8080" xr:uid="{00000000-0005-0000-0000-000045090000}"/>
    <cellStyle name="Cálculo 2 2 3 3 5 2 2" xfId="12048" xr:uid="{00000000-0005-0000-0000-000046090000}"/>
    <cellStyle name="Cálculo 2 2 3 3 5 2 3" xfId="18286" xr:uid="{00000000-0005-0000-0000-000047090000}"/>
    <cellStyle name="Cálculo 2 2 3 3 5 2 4" xfId="21598" xr:uid="{00000000-0005-0000-0000-000048090000}"/>
    <cellStyle name="Cálculo 2 2 3 3 5 3" xfId="10890" xr:uid="{00000000-0005-0000-0000-000049090000}"/>
    <cellStyle name="Cálculo 2 2 3 3 5 4" xfId="16995" xr:uid="{00000000-0005-0000-0000-00004A090000}"/>
    <cellStyle name="Cálculo 2 2 3 3 5 5" xfId="19890" xr:uid="{00000000-0005-0000-0000-00004B090000}"/>
    <cellStyle name="Cálculo 2 2 3 3 6" xfId="6604" xr:uid="{00000000-0005-0000-0000-00004C090000}"/>
    <cellStyle name="Cálculo 2 2 3 3 6 2" xfId="8312" xr:uid="{00000000-0005-0000-0000-00004D090000}"/>
    <cellStyle name="Cálculo 2 2 3 3 6 2 2" xfId="12280" xr:uid="{00000000-0005-0000-0000-00004E090000}"/>
    <cellStyle name="Cálculo 2 2 3 3 6 2 3" xfId="18457" xr:uid="{00000000-0005-0000-0000-00004F090000}"/>
    <cellStyle name="Cálculo 2 2 3 3 6 2 4" xfId="21830" xr:uid="{00000000-0005-0000-0000-000050090000}"/>
    <cellStyle name="Cálculo 2 2 3 3 6 3" xfId="10930" xr:uid="{00000000-0005-0000-0000-000051090000}"/>
    <cellStyle name="Cálculo 2 2 3 3 6 4" xfId="17166" xr:uid="{00000000-0005-0000-0000-000052090000}"/>
    <cellStyle name="Cálculo 2 2 3 3 6 5" xfId="20122" xr:uid="{00000000-0005-0000-0000-000053090000}"/>
    <cellStyle name="Cálculo 2 2 3 3 7" xfId="6836" xr:uid="{00000000-0005-0000-0000-000054090000}"/>
    <cellStyle name="Cálculo 2 2 3 3 7 2" xfId="8544" xr:uid="{00000000-0005-0000-0000-000055090000}"/>
    <cellStyle name="Cálculo 2 2 3 3 7 2 2" xfId="12512" xr:uid="{00000000-0005-0000-0000-000056090000}"/>
    <cellStyle name="Cálculo 2 2 3 3 7 2 3" xfId="18628" xr:uid="{00000000-0005-0000-0000-000057090000}"/>
    <cellStyle name="Cálculo 2 2 3 3 7 2 4" xfId="22062" xr:uid="{00000000-0005-0000-0000-000058090000}"/>
    <cellStyle name="Cálculo 2 2 3 3 7 3" xfId="10970" xr:uid="{00000000-0005-0000-0000-000059090000}"/>
    <cellStyle name="Cálculo 2 2 3 3 7 4" xfId="17336" xr:uid="{00000000-0005-0000-0000-00005A090000}"/>
    <cellStyle name="Cálculo 2 2 3 3 7 5" xfId="20354" xr:uid="{00000000-0005-0000-0000-00005B090000}"/>
    <cellStyle name="Cálculo 2 2 3 3 8" xfId="5797" xr:uid="{00000000-0005-0000-0000-00005C090000}"/>
    <cellStyle name="Cálculo 2 2 3 3 8 2" xfId="10565" xr:uid="{00000000-0005-0000-0000-00005D090000}"/>
    <cellStyle name="Cálculo 2 2 3 3 8 3" xfId="16564" xr:uid="{00000000-0005-0000-0000-00005E090000}"/>
    <cellStyle name="Cálculo 2 2 3 3 8 4" xfId="19315" xr:uid="{00000000-0005-0000-0000-00005F090000}"/>
    <cellStyle name="Cálculo 2 2 3 3 9" xfId="7505" xr:uid="{00000000-0005-0000-0000-000060090000}"/>
    <cellStyle name="Cálculo 2 2 3 3 9 2" xfId="11551" xr:uid="{00000000-0005-0000-0000-000061090000}"/>
    <cellStyle name="Cálculo 2 2 3 3 9 3" xfId="17856" xr:uid="{00000000-0005-0000-0000-000062090000}"/>
    <cellStyle name="Cálculo 2 2 3 3 9 4" xfId="21023" xr:uid="{00000000-0005-0000-0000-000063090000}"/>
    <cellStyle name="Cálculo 2 2 3 4" xfId="3184" xr:uid="{00000000-0005-0000-0000-000064090000}"/>
    <cellStyle name="Cálculo 2 2 3 4 10" xfId="9314" xr:uid="{00000000-0005-0000-0000-000065090000}"/>
    <cellStyle name="Cálculo 2 2 3 4 11" xfId="14630" xr:uid="{00000000-0005-0000-0000-000066090000}"/>
    <cellStyle name="Cálculo 2 2 3 4 12" xfId="15796" xr:uid="{00000000-0005-0000-0000-000067090000}"/>
    <cellStyle name="Cálculo 2 2 3 4 2" xfId="3571" xr:uid="{00000000-0005-0000-0000-000068090000}"/>
    <cellStyle name="Cálculo 2 2 3 4 2 2" xfId="7272" xr:uid="{00000000-0005-0000-0000-000069090000}"/>
    <cellStyle name="Cálculo 2 2 3 4 2 2 2" xfId="11377" xr:uid="{00000000-0005-0000-0000-00006A090000}"/>
    <cellStyle name="Cálculo 2 2 3 4 2 2 3" xfId="17671" xr:uid="{00000000-0005-0000-0000-00006B090000}"/>
    <cellStyle name="Cálculo 2 2 3 4 2 2 4" xfId="20790" xr:uid="{00000000-0005-0000-0000-00006C090000}"/>
    <cellStyle name="Cálculo 2 2 3 4 2 3" xfId="5563" xr:uid="{00000000-0005-0000-0000-00006D090000}"/>
    <cellStyle name="Cálculo 2 2 3 4 2 3 2" xfId="16380" xr:uid="{00000000-0005-0000-0000-00006E090000}"/>
    <cellStyle name="Cálculo 2 2 3 4 2 3 3" xfId="19081" xr:uid="{00000000-0005-0000-0000-00006F090000}"/>
    <cellStyle name="Cálculo 2 2 3 4 2 4" xfId="9663" xr:uid="{00000000-0005-0000-0000-000070090000}"/>
    <cellStyle name="Cálculo 2 2 3 4 2 5" xfId="14910" xr:uid="{00000000-0005-0000-0000-000071090000}"/>
    <cellStyle name="Cálculo 2 2 3 4 2 6" xfId="17077" xr:uid="{00000000-0005-0000-0000-000072090000}"/>
    <cellStyle name="Cálculo 2 2 3 4 3" xfId="3954" xr:uid="{00000000-0005-0000-0000-000073090000}"/>
    <cellStyle name="Cálculo 2 2 3 4 3 2" xfId="8006" xr:uid="{00000000-0005-0000-0000-000074090000}"/>
    <cellStyle name="Cálculo 2 2 3 4 3 2 2" xfId="11982" xr:uid="{00000000-0005-0000-0000-000075090000}"/>
    <cellStyle name="Cálculo 2 2 3 4 3 2 3" xfId="18223" xr:uid="{00000000-0005-0000-0000-000076090000}"/>
    <cellStyle name="Cálculo 2 2 3 4 3 2 4" xfId="21524" xr:uid="{00000000-0005-0000-0000-000077090000}"/>
    <cellStyle name="Cálculo 2 2 3 4 3 3" xfId="6298" xr:uid="{00000000-0005-0000-0000-000078090000}"/>
    <cellStyle name="Cálculo 2 2 3 4 3 3 2" xfId="16932" xr:uid="{00000000-0005-0000-0000-000079090000}"/>
    <cellStyle name="Cálculo 2 2 3 4 3 3 3" xfId="19816" xr:uid="{00000000-0005-0000-0000-00007A090000}"/>
    <cellStyle name="Cálculo 2 2 3 4 3 4" xfId="9877" xr:uid="{00000000-0005-0000-0000-00007B090000}"/>
    <cellStyle name="Cálculo 2 2 3 4 3 5" xfId="15186" xr:uid="{00000000-0005-0000-0000-00007C090000}"/>
    <cellStyle name="Cálculo 2 2 3 4 3 6" xfId="14037" xr:uid="{00000000-0005-0000-0000-00007D090000}"/>
    <cellStyle name="Cálculo 2 2 3 4 4" xfId="4337" xr:uid="{00000000-0005-0000-0000-00007E090000}"/>
    <cellStyle name="Cálculo 2 2 3 4 4 2" xfId="8156" xr:uid="{00000000-0005-0000-0000-00007F090000}"/>
    <cellStyle name="Cálculo 2 2 3 4 4 2 2" xfId="12124" xr:uid="{00000000-0005-0000-0000-000080090000}"/>
    <cellStyle name="Cálculo 2 2 3 4 4 2 3" xfId="18356" xr:uid="{00000000-0005-0000-0000-000081090000}"/>
    <cellStyle name="Cálculo 2 2 3 4 4 2 4" xfId="21674" xr:uid="{00000000-0005-0000-0000-000082090000}"/>
    <cellStyle name="Cálculo 2 2 3 4 4 3" xfId="6448" xr:uid="{00000000-0005-0000-0000-000083090000}"/>
    <cellStyle name="Cálculo 2 2 3 4 4 3 2" xfId="17065" xr:uid="{00000000-0005-0000-0000-000084090000}"/>
    <cellStyle name="Cálculo 2 2 3 4 4 3 3" xfId="19966" xr:uid="{00000000-0005-0000-0000-000085090000}"/>
    <cellStyle name="Cálculo 2 2 3 4 4 4" xfId="10055" xr:uid="{00000000-0005-0000-0000-000086090000}"/>
    <cellStyle name="Cálculo 2 2 3 4 4 5" xfId="15461" xr:uid="{00000000-0005-0000-0000-000087090000}"/>
    <cellStyle name="Cálculo 2 2 3 4 4 6" xfId="13668" xr:uid="{00000000-0005-0000-0000-000088090000}"/>
    <cellStyle name="Cálculo 2 2 3 4 5" xfId="4719" xr:uid="{00000000-0005-0000-0000-000089090000}"/>
    <cellStyle name="Cálculo 2 2 3 4 5 2" xfId="8388" xr:uid="{00000000-0005-0000-0000-00008A090000}"/>
    <cellStyle name="Cálculo 2 2 3 4 5 2 2" xfId="12356" xr:uid="{00000000-0005-0000-0000-00008B090000}"/>
    <cellStyle name="Cálculo 2 2 3 4 5 2 3" xfId="18527" xr:uid="{00000000-0005-0000-0000-00008C090000}"/>
    <cellStyle name="Cálculo 2 2 3 4 5 2 4" xfId="21906" xr:uid="{00000000-0005-0000-0000-00008D090000}"/>
    <cellStyle name="Cálculo 2 2 3 4 5 3" xfId="6680" xr:uid="{00000000-0005-0000-0000-00008E090000}"/>
    <cellStyle name="Cálculo 2 2 3 4 5 3 2" xfId="17236" xr:uid="{00000000-0005-0000-0000-00008F090000}"/>
    <cellStyle name="Cálculo 2 2 3 4 5 3 3" xfId="20198" xr:uid="{00000000-0005-0000-0000-000090090000}"/>
    <cellStyle name="Cálculo 2 2 3 4 5 4" xfId="10232" xr:uid="{00000000-0005-0000-0000-000091090000}"/>
    <cellStyle name="Cálculo 2 2 3 4 5 5" xfId="15735" xr:uid="{00000000-0005-0000-0000-000092090000}"/>
    <cellStyle name="Cálculo 2 2 3 4 5 6" xfId="13286" xr:uid="{00000000-0005-0000-0000-000093090000}"/>
    <cellStyle name="Cálculo 2 2 3 4 6" xfId="6912" xr:uid="{00000000-0005-0000-0000-000094090000}"/>
    <cellStyle name="Cálculo 2 2 3 4 6 2" xfId="8620" xr:uid="{00000000-0005-0000-0000-000095090000}"/>
    <cellStyle name="Cálculo 2 2 3 4 6 2 2" xfId="12588" xr:uid="{00000000-0005-0000-0000-000096090000}"/>
    <cellStyle name="Cálculo 2 2 3 4 6 2 3" xfId="18698" xr:uid="{00000000-0005-0000-0000-000097090000}"/>
    <cellStyle name="Cálculo 2 2 3 4 6 2 4" xfId="22138" xr:uid="{00000000-0005-0000-0000-000098090000}"/>
    <cellStyle name="Cálculo 2 2 3 4 6 3" xfId="11046" xr:uid="{00000000-0005-0000-0000-000099090000}"/>
    <cellStyle name="Cálculo 2 2 3 4 6 4" xfId="17406" xr:uid="{00000000-0005-0000-0000-00009A090000}"/>
    <cellStyle name="Cálculo 2 2 3 4 6 5" xfId="20430" xr:uid="{00000000-0005-0000-0000-00009B090000}"/>
    <cellStyle name="Cálculo 2 2 3 4 7" xfId="5900" xr:uid="{00000000-0005-0000-0000-00009C090000}"/>
    <cellStyle name="Cálculo 2 2 3 4 7 2" xfId="10641" xr:uid="{00000000-0005-0000-0000-00009D090000}"/>
    <cellStyle name="Cálculo 2 2 3 4 7 3" xfId="16644" xr:uid="{00000000-0005-0000-0000-00009E090000}"/>
    <cellStyle name="Cálculo 2 2 3 4 7 4" xfId="19418" xr:uid="{00000000-0005-0000-0000-00009F090000}"/>
    <cellStyle name="Cálculo 2 2 3 4 8" xfId="7608" xr:uid="{00000000-0005-0000-0000-0000A0090000}"/>
    <cellStyle name="Cálculo 2 2 3 4 8 2" xfId="11629" xr:uid="{00000000-0005-0000-0000-0000A1090000}"/>
    <cellStyle name="Cálculo 2 2 3 4 8 3" xfId="17936" xr:uid="{00000000-0005-0000-0000-0000A2090000}"/>
    <cellStyle name="Cálculo 2 2 3 4 8 4" xfId="21126" xr:uid="{00000000-0005-0000-0000-0000A3090000}"/>
    <cellStyle name="Cálculo 2 2 3 4 9" xfId="4995" xr:uid="{00000000-0005-0000-0000-0000A4090000}"/>
    <cellStyle name="Cálculo 2 2 3 4 9 2" xfId="15959" xr:uid="{00000000-0005-0000-0000-0000A5090000}"/>
    <cellStyle name="Cálculo 2 2 3 4 9 3" xfId="13024" xr:uid="{00000000-0005-0000-0000-0000A6090000}"/>
    <cellStyle name="Cálculo 2 2 3 5" xfId="3024" xr:uid="{00000000-0005-0000-0000-0000A7090000}"/>
    <cellStyle name="Cálculo 2 2 3 5 2" xfId="3411" xr:uid="{00000000-0005-0000-0000-0000A8090000}"/>
    <cellStyle name="Cálculo 2 2 3 5 2 2" xfId="7235" xr:uid="{00000000-0005-0000-0000-0000A9090000}"/>
    <cellStyle name="Cálculo 2 2 3 5 2 2 2" xfId="17638" xr:uid="{00000000-0005-0000-0000-0000AA090000}"/>
    <cellStyle name="Cálculo 2 2 3 5 2 2 3" xfId="20753" xr:uid="{00000000-0005-0000-0000-0000AB090000}"/>
    <cellStyle name="Cálculo 2 2 3 5 2 3" xfId="9529" xr:uid="{00000000-0005-0000-0000-0000AC090000}"/>
    <cellStyle name="Cálculo 2 2 3 5 2 4" xfId="14781" xr:uid="{00000000-0005-0000-0000-0000AD090000}"/>
    <cellStyle name="Cálculo 2 2 3 5 2 5" xfId="18408" xr:uid="{00000000-0005-0000-0000-0000AE090000}"/>
    <cellStyle name="Cálculo 2 2 3 5 3" xfId="3794" xr:uid="{00000000-0005-0000-0000-0000AF090000}"/>
    <cellStyle name="Cálculo 2 2 3 5 3 2" xfId="15057" xr:uid="{00000000-0005-0000-0000-0000B0090000}"/>
    <cellStyle name="Cálculo 2 2 3 5 3 3" xfId="16928" xr:uid="{00000000-0005-0000-0000-0000B1090000}"/>
    <cellStyle name="Cálculo 2 2 3 5 4" xfId="4177" xr:uid="{00000000-0005-0000-0000-0000B2090000}"/>
    <cellStyle name="Cálculo 2 2 3 5 4 2" xfId="15332" xr:uid="{00000000-0005-0000-0000-0000B3090000}"/>
    <cellStyle name="Cálculo 2 2 3 5 4 3" xfId="13828" xr:uid="{00000000-0005-0000-0000-0000B4090000}"/>
    <cellStyle name="Cálculo 2 2 3 5 5" xfId="4559" xr:uid="{00000000-0005-0000-0000-0000B5090000}"/>
    <cellStyle name="Cálculo 2 2 3 5 5 2" xfId="15606" xr:uid="{00000000-0005-0000-0000-0000B6090000}"/>
    <cellStyle name="Cálculo 2 2 3 5 5 3" xfId="13446" xr:uid="{00000000-0005-0000-0000-0000B7090000}"/>
    <cellStyle name="Cálculo 2 2 3 5 6" xfId="5526" xr:uid="{00000000-0005-0000-0000-0000B8090000}"/>
    <cellStyle name="Cálculo 2 2 3 5 6 2" xfId="16347" xr:uid="{00000000-0005-0000-0000-0000B9090000}"/>
    <cellStyle name="Cálculo 2 2 3 5 6 3" xfId="19044" xr:uid="{00000000-0005-0000-0000-0000BA090000}"/>
    <cellStyle name="Cálculo 2 2 3 5 7" xfId="9166" xr:uid="{00000000-0005-0000-0000-0000BB090000}"/>
    <cellStyle name="Cálculo 2 2 3 5 8" xfId="14501" xr:uid="{00000000-0005-0000-0000-0000BC090000}"/>
    <cellStyle name="Cálculo 2 2 3 5 9" xfId="18214" xr:uid="{00000000-0005-0000-0000-0000BD090000}"/>
    <cellStyle name="Cálculo 2 2 3 6" xfId="5676" xr:uid="{00000000-0005-0000-0000-0000BE090000}"/>
    <cellStyle name="Cálculo 2 2 3 6 2" xfId="7385" xr:uid="{00000000-0005-0000-0000-0000BF090000}"/>
    <cellStyle name="Cálculo 2 2 3 6 2 2" xfId="11471" xr:uid="{00000000-0005-0000-0000-0000C0090000}"/>
    <cellStyle name="Cálculo 2 2 3 6 2 3" xfId="17764" xr:uid="{00000000-0005-0000-0000-0000C1090000}"/>
    <cellStyle name="Cálculo 2 2 3 6 2 4" xfId="20903" xr:uid="{00000000-0005-0000-0000-0000C2090000}"/>
    <cellStyle name="Cálculo 2 2 3 6 3" xfId="10507" xr:uid="{00000000-0005-0000-0000-0000C3090000}"/>
    <cellStyle name="Cálculo 2 2 3 6 4" xfId="16473" xr:uid="{00000000-0005-0000-0000-0000C4090000}"/>
    <cellStyle name="Cálculo 2 2 3 6 5" xfId="19194" xr:uid="{00000000-0005-0000-0000-0000C5090000}"/>
    <cellStyle name="Cálculo 2 2 3 7" xfId="5512" xr:uid="{00000000-0005-0000-0000-0000C6090000}"/>
    <cellStyle name="Cálculo 2 2 3 7 2" xfId="7221" xr:uid="{00000000-0005-0000-0000-0000C7090000}"/>
    <cellStyle name="Cálculo 2 2 3 7 2 2" xfId="11346" xr:uid="{00000000-0005-0000-0000-0000C8090000}"/>
    <cellStyle name="Cálculo 2 2 3 7 2 3" xfId="17624" xr:uid="{00000000-0005-0000-0000-0000C9090000}"/>
    <cellStyle name="Cálculo 2 2 3 7 2 4" xfId="20739" xr:uid="{00000000-0005-0000-0000-0000CA090000}"/>
    <cellStyle name="Cálculo 2 2 3 7 3" xfId="10486" xr:uid="{00000000-0005-0000-0000-0000CB090000}"/>
    <cellStyle name="Cálculo 2 2 3 7 4" xfId="16333" xr:uid="{00000000-0005-0000-0000-0000CC090000}"/>
    <cellStyle name="Cálculo 2 2 3 7 5" xfId="19030" xr:uid="{00000000-0005-0000-0000-0000CD090000}"/>
    <cellStyle name="Cálculo 2 2 3 8" xfId="6313" xr:uid="{00000000-0005-0000-0000-0000CE090000}"/>
    <cellStyle name="Cálculo 2 2 3 8 2" xfId="8021" xr:uid="{00000000-0005-0000-0000-0000CF090000}"/>
    <cellStyle name="Cálculo 2 2 3 8 2 2" xfId="11996" xr:uid="{00000000-0005-0000-0000-0000D0090000}"/>
    <cellStyle name="Cálculo 2 2 3 8 2 3" xfId="18237" xr:uid="{00000000-0005-0000-0000-0000D1090000}"/>
    <cellStyle name="Cálculo 2 2 3 8 2 4" xfId="21539" xr:uid="{00000000-0005-0000-0000-0000D2090000}"/>
    <cellStyle name="Cálculo 2 2 3 8 3" xfId="10858" xr:uid="{00000000-0005-0000-0000-0000D3090000}"/>
    <cellStyle name="Cálculo 2 2 3 8 4" xfId="16946" xr:uid="{00000000-0005-0000-0000-0000D4090000}"/>
    <cellStyle name="Cálculo 2 2 3 8 5" xfId="19831" xr:uid="{00000000-0005-0000-0000-0000D5090000}"/>
    <cellStyle name="Cálculo 2 2 3 9" xfId="5420" xr:uid="{00000000-0005-0000-0000-0000D6090000}"/>
    <cellStyle name="Cálculo 2 2 3 9 2" xfId="7129" xr:uid="{00000000-0005-0000-0000-0000D7090000}"/>
    <cellStyle name="Cálculo 2 2 3 9 2 2" xfId="11263" xr:uid="{00000000-0005-0000-0000-0000D8090000}"/>
    <cellStyle name="Cálculo 2 2 3 9 2 3" xfId="17549" xr:uid="{00000000-0005-0000-0000-0000D9090000}"/>
    <cellStyle name="Cálculo 2 2 3 9 2 4" xfId="20647" xr:uid="{00000000-0005-0000-0000-0000DA090000}"/>
    <cellStyle name="Cálculo 2 2 3 9 3" xfId="10437" xr:uid="{00000000-0005-0000-0000-0000DB090000}"/>
    <cellStyle name="Cálculo 2 2 3 9 4" xfId="16259" xr:uid="{00000000-0005-0000-0000-0000DC090000}"/>
    <cellStyle name="Cálculo 2 2 3 9 5" xfId="18938" xr:uid="{00000000-0005-0000-0000-0000DD090000}"/>
    <cellStyle name="Cálculo 2 2 4" xfId="3020" xr:uid="{00000000-0005-0000-0000-0000DE090000}"/>
    <cellStyle name="Cálculo 2 2 4 2" xfId="3407" xr:uid="{00000000-0005-0000-0000-0000DF090000}"/>
    <cellStyle name="Cálculo 2 2 4 2 2" xfId="14778" xr:uid="{00000000-0005-0000-0000-0000E0090000}"/>
    <cellStyle name="Cálculo 2 2 4 2 3" xfId="17287" xr:uid="{00000000-0005-0000-0000-0000E1090000}"/>
    <cellStyle name="Cálculo 2 2 4 3" xfId="3790" xr:uid="{00000000-0005-0000-0000-0000E2090000}"/>
    <cellStyle name="Cálculo 2 2 4 3 2" xfId="15054" xr:uid="{00000000-0005-0000-0000-0000E3090000}"/>
    <cellStyle name="Cálculo 2 2 4 3 3" xfId="15511" xr:uid="{00000000-0005-0000-0000-0000E4090000}"/>
    <cellStyle name="Cálculo 2 2 4 4" xfId="4173" xr:uid="{00000000-0005-0000-0000-0000E5090000}"/>
    <cellStyle name="Cálculo 2 2 4 4 2" xfId="15329" xr:uid="{00000000-0005-0000-0000-0000E6090000}"/>
    <cellStyle name="Cálculo 2 2 4 4 3" xfId="13832" xr:uid="{00000000-0005-0000-0000-0000E7090000}"/>
    <cellStyle name="Cálculo 2 2 4 5" xfId="4555" xr:uid="{00000000-0005-0000-0000-0000E8090000}"/>
    <cellStyle name="Cálculo 2 2 4 5 2" xfId="15603" xr:uid="{00000000-0005-0000-0000-0000E9090000}"/>
    <cellStyle name="Cálculo 2 2 4 5 3" xfId="13450" xr:uid="{00000000-0005-0000-0000-0000EA090000}"/>
    <cellStyle name="Cálculo 2 2 4 6" xfId="14498" xr:uid="{00000000-0005-0000-0000-0000EB090000}"/>
    <cellStyle name="Cálculo 2 2 4 7" xfId="16204" xr:uid="{00000000-0005-0000-0000-0000EC090000}"/>
    <cellStyle name="Cálculo 2 2 5" xfId="3008" xr:uid="{00000000-0005-0000-0000-0000ED090000}"/>
    <cellStyle name="Cálculo 2 2 5 2" xfId="3395" xr:uid="{00000000-0005-0000-0000-0000EE090000}"/>
    <cellStyle name="Cálculo 2 2 5 2 2" xfId="14770" xr:uid="{00000000-0005-0000-0000-0000EF090000}"/>
    <cellStyle name="Cálculo 2 2 5 2 3" xfId="16424" xr:uid="{00000000-0005-0000-0000-0000F0090000}"/>
    <cellStyle name="Cálculo 2 2 5 3" xfId="3778" xr:uid="{00000000-0005-0000-0000-0000F1090000}"/>
    <cellStyle name="Cálculo 2 2 5 3 2" xfId="15046" xr:uid="{00000000-0005-0000-0000-0000F2090000}"/>
    <cellStyle name="Cálculo 2 2 5 3 3" xfId="15002" xr:uid="{00000000-0005-0000-0000-0000F3090000}"/>
    <cellStyle name="Cálculo 2 2 5 4" xfId="4161" xr:uid="{00000000-0005-0000-0000-0000F4090000}"/>
    <cellStyle name="Cálculo 2 2 5 4 2" xfId="15321" xr:uid="{00000000-0005-0000-0000-0000F5090000}"/>
    <cellStyle name="Cálculo 2 2 5 4 3" xfId="13844" xr:uid="{00000000-0005-0000-0000-0000F6090000}"/>
    <cellStyle name="Cálculo 2 2 5 5" xfId="4543" xr:uid="{00000000-0005-0000-0000-0000F7090000}"/>
    <cellStyle name="Cálculo 2 2 5 5 2" xfId="15595" xr:uid="{00000000-0005-0000-0000-0000F8090000}"/>
    <cellStyle name="Cálculo 2 2 5 5 3" xfId="13462" xr:uid="{00000000-0005-0000-0000-0000F9090000}"/>
    <cellStyle name="Cálculo 2 2 5 6" xfId="14490" xr:uid="{00000000-0005-0000-0000-0000FA090000}"/>
    <cellStyle name="Cálculo 2 2 5 7" xfId="14717" xr:uid="{00000000-0005-0000-0000-0000FB090000}"/>
    <cellStyle name="Cálculo 2 2 6" xfId="22392" xr:uid="{00000000-0005-0000-0000-0000FC090000}"/>
    <cellStyle name="Cálculo 2 2 7" xfId="2074" xr:uid="{00000000-0005-0000-0000-0000FD090000}"/>
    <cellStyle name="Cálculo 2 3" xfId="219" xr:uid="{00000000-0005-0000-0000-0000FE090000}"/>
    <cellStyle name="Cálculo 2 4" xfId="220" xr:uid="{00000000-0005-0000-0000-0000FF090000}"/>
    <cellStyle name="Cálculo 3" xfId="221" xr:uid="{00000000-0005-0000-0000-0000000A0000}"/>
    <cellStyle name="Cálculo 3 2" xfId="2625" xr:uid="{00000000-0005-0000-0000-0000010A0000}"/>
    <cellStyle name="Cálculo 3 2 10" xfId="5083" xr:uid="{00000000-0005-0000-0000-0000020A0000}"/>
    <cellStyle name="Cálculo 3 2 10 2" xfId="10334" xr:uid="{00000000-0005-0000-0000-0000030A0000}"/>
    <cellStyle name="Cálculo 3 2 10 3" xfId="16021" xr:uid="{00000000-0005-0000-0000-0000040A0000}"/>
    <cellStyle name="Cálculo 3 2 10 4" xfId="12952" xr:uid="{00000000-0005-0000-0000-0000050A0000}"/>
    <cellStyle name="Cálculo 3 2 11" xfId="4862" xr:uid="{00000000-0005-0000-0000-0000060A0000}"/>
    <cellStyle name="Cálculo 3 2 11 2" xfId="15839" xr:uid="{00000000-0005-0000-0000-0000070A0000}"/>
    <cellStyle name="Cálculo 3 2 11 3" xfId="13144" xr:uid="{00000000-0005-0000-0000-0000080A0000}"/>
    <cellStyle name="Cálculo 3 2 12" xfId="8788" xr:uid="{00000000-0005-0000-0000-0000090A0000}"/>
    <cellStyle name="Cálculo 3 2 13" xfId="14151" xr:uid="{00000000-0005-0000-0000-00000A0A0000}"/>
    <cellStyle name="Cálculo 3 2 2" xfId="2714" xr:uid="{00000000-0005-0000-0000-00000B0A0000}"/>
    <cellStyle name="Cálculo 3 2 2 10" xfId="7490" xr:uid="{00000000-0005-0000-0000-00000C0A0000}"/>
    <cellStyle name="Cálculo 3 2 2 10 2" xfId="11544" xr:uid="{00000000-0005-0000-0000-00000D0A0000}"/>
    <cellStyle name="Cálculo 3 2 2 10 3" xfId="17846" xr:uid="{00000000-0005-0000-0000-00000E0A0000}"/>
    <cellStyle name="Cálculo 3 2 2 10 4" xfId="21008" xr:uid="{00000000-0005-0000-0000-00000F0A0000}"/>
    <cellStyle name="Cálculo 3 2 2 11" xfId="4907" xr:uid="{00000000-0005-0000-0000-0000100A0000}"/>
    <cellStyle name="Cálculo 3 2 2 11 2" xfId="15878" xr:uid="{00000000-0005-0000-0000-0000110A0000}"/>
    <cellStyle name="Cálculo 3 2 2 11 3" xfId="13112" xr:uid="{00000000-0005-0000-0000-0000120A0000}"/>
    <cellStyle name="Cálculo 3 2 2 12" xfId="8869" xr:uid="{00000000-0005-0000-0000-0000130A0000}"/>
    <cellStyle name="Cálculo 3 2 2 13" xfId="14281" xr:uid="{00000000-0005-0000-0000-0000140A0000}"/>
    <cellStyle name="Cálculo 3 2 2 14" xfId="16099" xr:uid="{00000000-0005-0000-0000-0000150A0000}"/>
    <cellStyle name="Cálculo 3 2 2 2" xfId="2649" xr:uid="{00000000-0005-0000-0000-0000160A0000}"/>
    <cellStyle name="Cálculo 3 2 2 2 10" xfId="4875" xr:uid="{00000000-0005-0000-0000-0000170A0000}"/>
    <cellStyle name="Cálculo 3 2 2 2 10 2" xfId="15850" xr:uid="{00000000-0005-0000-0000-0000180A0000}"/>
    <cellStyle name="Cálculo 3 2 2 2 10 3" xfId="13131" xr:uid="{00000000-0005-0000-0000-0000190A0000}"/>
    <cellStyle name="Cálculo 3 2 2 2 11" xfId="8806" xr:uid="{00000000-0005-0000-0000-00001A0A0000}"/>
    <cellStyle name="Cálculo 3 2 2 2 12" xfId="14226" xr:uid="{00000000-0005-0000-0000-00001B0A0000}"/>
    <cellStyle name="Cálculo 3 2 2 2 2" xfId="3141" xr:uid="{00000000-0005-0000-0000-00001C0A0000}"/>
    <cellStyle name="Cálculo 3 2 2 2 2 10" xfId="9271" xr:uid="{00000000-0005-0000-0000-00001D0A0000}"/>
    <cellStyle name="Cálculo 3 2 2 2 2 11" xfId="14594" xr:uid="{00000000-0005-0000-0000-00001E0A0000}"/>
    <cellStyle name="Cálculo 3 2 2 2 2 12" xfId="14985" xr:uid="{00000000-0005-0000-0000-00001F0A0000}"/>
    <cellStyle name="Cálculo 3 2 2 2 2 2" xfId="3528" xr:uid="{00000000-0005-0000-0000-0000200A0000}"/>
    <cellStyle name="Cálculo 3 2 2 2 2 2 2" xfId="7263" xr:uid="{00000000-0005-0000-0000-0000210A0000}"/>
    <cellStyle name="Cálculo 3 2 2 2 2 2 2 2" xfId="11368" xr:uid="{00000000-0005-0000-0000-0000220A0000}"/>
    <cellStyle name="Cálculo 3 2 2 2 2 2 2 3" xfId="17663" xr:uid="{00000000-0005-0000-0000-0000230A0000}"/>
    <cellStyle name="Cálculo 3 2 2 2 2 2 2 4" xfId="20781" xr:uid="{00000000-0005-0000-0000-0000240A0000}"/>
    <cellStyle name="Cálculo 3 2 2 2 2 2 3" xfId="5554" xr:uid="{00000000-0005-0000-0000-0000250A0000}"/>
    <cellStyle name="Cálculo 3 2 2 2 2 2 3 2" xfId="16372" xr:uid="{00000000-0005-0000-0000-0000260A0000}"/>
    <cellStyle name="Cálculo 3 2 2 2 2 2 3 3" xfId="19072" xr:uid="{00000000-0005-0000-0000-0000270A0000}"/>
    <cellStyle name="Cálculo 3 2 2 2 2 2 4" xfId="9620" xr:uid="{00000000-0005-0000-0000-0000280A0000}"/>
    <cellStyle name="Cálculo 3 2 2 2 2 2 5" xfId="14874" xr:uid="{00000000-0005-0000-0000-0000290A0000}"/>
    <cellStyle name="Cálculo 3 2 2 2 2 2 6" xfId="14848" xr:uid="{00000000-0005-0000-0000-00002A0A0000}"/>
    <cellStyle name="Cálculo 3 2 2 2 2 3" xfId="3911" xr:uid="{00000000-0005-0000-0000-00002B0A0000}"/>
    <cellStyle name="Cálculo 3 2 2 2 2 3 2" xfId="7166" xr:uid="{00000000-0005-0000-0000-00002C0A0000}"/>
    <cellStyle name="Cálculo 3 2 2 2 2 3 2 2" xfId="11296" xr:uid="{00000000-0005-0000-0000-00002D0A0000}"/>
    <cellStyle name="Cálculo 3 2 2 2 2 3 2 3" xfId="17578" xr:uid="{00000000-0005-0000-0000-00002E0A0000}"/>
    <cellStyle name="Cálculo 3 2 2 2 2 3 2 4" xfId="20684" xr:uid="{00000000-0005-0000-0000-00002F0A0000}"/>
    <cellStyle name="Cálculo 3 2 2 2 2 3 3" xfId="5457" xr:uid="{00000000-0005-0000-0000-0000300A0000}"/>
    <cellStyle name="Cálculo 3 2 2 2 2 3 3 2" xfId="16288" xr:uid="{00000000-0005-0000-0000-0000310A0000}"/>
    <cellStyle name="Cálculo 3 2 2 2 2 3 3 3" xfId="18975" xr:uid="{00000000-0005-0000-0000-0000320A0000}"/>
    <cellStyle name="Cálculo 3 2 2 2 2 3 4" xfId="9834" xr:uid="{00000000-0005-0000-0000-0000330A0000}"/>
    <cellStyle name="Cálculo 3 2 2 2 2 3 5" xfId="15150" xr:uid="{00000000-0005-0000-0000-0000340A0000}"/>
    <cellStyle name="Cálculo 3 2 2 2 2 3 6" xfId="13935" xr:uid="{00000000-0005-0000-0000-0000350A0000}"/>
    <cellStyle name="Cálculo 3 2 2 2 2 4" xfId="4294" xr:uid="{00000000-0005-0000-0000-0000360A0000}"/>
    <cellStyle name="Cálculo 3 2 2 2 2 4 2" xfId="8137" xr:uid="{00000000-0005-0000-0000-0000370A0000}"/>
    <cellStyle name="Cálculo 3 2 2 2 2 4 2 2" xfId="12105" xr:uid="{00000000-0005-0000-0000-0000380A0000}"/>
    <cellStyle name="Cálculo 3 2 2 2 2 4 2 3" xfId="18341" xr:uid="{00000000-0005-0000-0000-0000390A0000}"/>
    <cellStyle name="Cálculo 3 2 2 2 2 4 2 4" xfId="21655" xr:uid="{00000000-0005-0000-0000-00003A0A0000}"/>
    <cellStyle name="Cálculo 3 2 2 2 2 4 3" xfId="6429" xr:uid="{00000000-0005-0000-0000-00003B0A0000}"/>
    <cellStyle name="Cálculo 3 2 2 2 2 4 3 2" xfId="17050" xr:uid="{00000000-0005-0000-0000-00003C0A0000}"/>
    <cellStyle name="Cálculo 3 2 2 2 2 4 3 3" xfId="19947" xr:uid="{00000000-0005-0000-0000-00003D0A0000}"/>
    <cellStyle name="Cálculo 3 2 2 2 2 4 4" xfId="10012" xr:uid="{00000000-0005-0000-0000-00003E0A0000}"/>
    <cellStyle name="Cálculo 3 2 2 2 2 4 5" xfId="15425" xr:uid="{00000000-0005-0000-0000-00003F0A0000}"/>
    <cellStyle name="Cálculo 3 2 2 2 2 4 6" xfId="13711" xr:uid="{00000000-0005-0000-0000-0000400A0000}"/>
    <cellStyle name="Cálculo 3 2 2 2 2 5" xfId="4676" xr:uid="{00000000-0005-0000-0000-0000410A0000}"/>
    <cellStyle name="Cálculo 3 2 2 2 2 5 2" xfId="8369" xr:uid="{00000000-0005-0000-0000-0000420A0000}"/>
    <cellStyle name="Cálculo 3 2 2 2 2 5 2 2" xfId="12337" xr:uid="{00000000-0005-0000-0000-0000430A0000}"/>
    <cellStyle name="Cálculo 3 2 2 2 2 5 2 3" xfId="18512" xr:uid="{00000000-0005-0000-0000-0000440A0000}"/>
    <cellStyle name="Cálculo 3 2 2 2 2 5 2 4" xfId="21887" xr:uid="{00000000-0005-0000-0000-0000450A0000}"/>
    <cellStyle name="Cálculo 3 2 2 2 2 5 3" xfId="6661" xr:uid="{00000000-0005-0000-0000-0000460A0000}"/>
    <cellStyle name="Cálculo 3 2 2 2 2 5 3 2" xfId="17221" xr:uid="{00000000-0005-0000-0000-0000470A0000}"/>
    <cellStyle name="Cálculo 3 2 2 2 2 5 3 3" xfId="20179" xr:uid="{00000000-0005-0000-0000-0000480A0000}"/>
    <cellStyle name="Cálculo 3 2 2 2 2 5 4" xfId="10189" xr:uid="{00000000-0005-0000-0000-0000490A0000}"/>
    <cellStyle name="Cálculo 3 2 2 2 2 5 5" xfId="15699" xr:uid="{00000000-0005-0000-0000-00004A0A0000}"/>
    <cellStyle name="Cálculo 3 2 2 2 2 5 6" xfId="13329" xr:uid="{00000000-0005-0000-0000-00004B0A0000}"/>
    <cellStyle name="Cálculo 3 2 2 2 2 6" xfId="6893" xr:uid="{00000000-0005-0000-0000-00004C0A0000}"/>
    <cellStyle name="Cálculo 3 2 2 2 2 6 2" xfId="8601" xr:uid="{00000000-0005-0000-0000-00004D0A0000}"/>
    <cellStyle name="Cálculo 3 2 2 2 2 6 2 2" xfId="12569" xr:uid="{00000000-0005-0000-0000-00004E0A0000}"/>
    <cellStyle name="Cálculo 3 2 2 2 2 6 2 3" xfId="18683" xr:uid="{00000000-0005-0000-0000-00004F0A0000}"/>
    <cellStyle name="Cálculo 3 2 2 2 2 6 2 4" xfId="22119" xr:uid="{00000000-0005-0000-0000-0000500A0000}"/>
    <cellStyle name="Cálculo 3 2 2 2 2 6 3" xfId="11027" xr:uid="{00000000-0005-0000-0000-0000510A0000}"/>
    <cellStyle name="Cálculo 3 2 2 2 2 6 4" xfId="17391" xr:uid="{00000000-0005-0000-0000-0000520A0000}"/>
    <cellStyle name="Cálculo 3 2 2 2 2 6 5" xfId="20411" xr:uid="{00000000-0005-0000-0000-0000530A0000}"/>
    <cellStyle name="Cálculo 3 2 2 2 2 7" xfId="5881" xr:uid="{00000000-0005-0000-0000-0000540A0000}"/>
    <cellStyle name="Cálculo 3 2 2 2 2 7 2" xfId="10622" xr:uid="{00000000-0005-0000-0000-0000550A0000}"/>
    <cellStyle name="Cálculo 3 2 2 2 2 7 3" xfId="16629" xr:uid="{00000000-0005-0000-0000-0000560A0000}"/>
    <cellStyle name="Cálculo 3 2 2 2 2 7 4" xfId="19399" xr:uid="{00000000-0005-0000-0000-0000570A0000}"/>
    <cellStyle name="Cálculo 3 2 2 2 2 8" xfId="7589" xr:uid="{00000000-0005-0000-0000-0000580A0000}"/>
    <cellStyle name="Cálculo 3 2 2 2 2 8 2" xfId="11610" xr:uid="{00000000-0005-0000-0000-0000590A0000}"/>
    <cellStyle name="Cálculo 3 2 2 2 2 8 3" xfId="17921" xr:uid="{00000000-0005-0000-0000-00005A0A0000}"/>
    <cellStyle name="Cálculo 3 2 2 2 2 8 4" xfId="21107" xr:uid="{00000000-0005-0000-0000-00005B0A0000}"/>
    <cellStyle name="Cálculo 3 2 2 2 2 9" xfId="4971" xr:uid="{00000000-0005-0000-0000-00005C0A0000}"/>
    <cellStyle name="Cálculo 3 2 2 2 2 9 2" xfId="15939" xr:uid="{00000000-0005-0000-0000-00005D0A0000}"/>
    <cellStyle name="Cálculo 3 2 2 2 2 9 3" xfId="13048" xr:uid="{00000000-0005-0000-0000-00005E0A0000}"/>
    <cellStyle name="Cálculo 3 2 2 2 3" xfId="3261" xr:uid="{00000000-0005-0000-0000-00005F0A0000}"/>
    <cellStyle name="Cálculo 3 2 2 2 3 2" xfId="3648" xr:uid="{00000000-0005-0000-0000-0000600A0000}"/>
    <cellStyle name="Cálculo 3 2 2 2 3 2 2" xfId="7237" xr:uid="{00000000-0005-0000-0000-0000610A0000}"/>
    <cellStyle name="Cálculo 3 2 2 2 3 2 2 2" xfId="17640" xr:uid="{00000000-0005-0000-0000-0000620A0000}"/>
    <cellStyle name="Cálculo 3 2 2 2 3 2 2 3" xfId="20755" xr:uid="{00000000-0005-0000-0000-0000630A0000}"/>
    <cellStyle name="Cálculo 3 2 2 2 3 2 3" xfId="9739" xr:uid="{00000000-0005-0000-0000-0000640A0000}"/>
    <cellStyle name="Cálculo 3 2 2 2 3 2 4" xfId="14967" xr:uid="{00000000-0005-0000-0000-0000650A0000}"/>
    <cellStyle name="Cálculo 3 2 2 2 3 2 5" xfId="15795" xr:uid="{00000000-0005-0000-0000-0000660A0000}"/>
    <cellStyle name="Cálculo 3 2 2 2 3 3" xfId="4031" xr:uid="{00000000-0005-0000-0000-0000670A0000}"/>
    <cellStyle name="Cálculo 3 2 2 2 3 3 2" xfId="15242" xr:uid="{00000000-0005-0000-0000-0000680A0000}"/>
    <cellStyle name="Cálculo 3 2 2 2 3 3 3" xfId="13960" xr:uid="{00000000-0005-0000-0000-0000690A0000}"/>
    <cellStyle name="Cálculo 3 2 2 2 3 4" xfId="4414" xr:uid="{00000000-0005-0000-0000-00006A0A0000}"/>
    <cellStyle name="Cálculo 3 2 2 2 3 4 2" xfId="15518" xr:uid="{00000000-0005-0000-0000-00006B0A0000}"/>
    <cellStyle name="Cálculo 3 2 2 2 3 4 3" xfId="13591" xr:uid="{00000000-0005-0000-0000-00006C0A0000}"/>
    <cellStyle name="Cálculo 3 2 2 2 3 5" xfId="4796" xr:uid="{00000000-0005-0000-0000-00006D0A0000}"/>
    <cellStyle name="Cálculo 3 2 2 2 3 5 2" xfId="15790" xr:uid="{00000000-0005-0000-0000-00006E0A0000}"/>
    <cellStyle name="Cálculo 3 2 2 2 3 5 3" xfId="13210" xr:uid="{00000000-0005-0000-0000-00006F0A0000}"/>
    <cellStyle name="Cálculo 3 2 2 2 3 6" xfId="5528" xr:uid="{00000000-0005-0000-0000-0000700A0000}"/>
    <cellStyle name="Cálculo 3 2 2 2 3 6 2" xfId="16349" xr:uid="{00000000-0005-0000-0000-0000710A0000}"/>
    <cellStyle name="Cálculo 3 2 2 2 3 6 3" xfId="19046" xr:uid="{00000000-0005-0000-0000-0000720A0000}"/>
    <cellStyle name="Cálculo 3 2 2 2 3 7" xfId="9391" xr:uid="{00000000-0005-0000-0000-0000730A0000}"/>
    <cellStyle name="Cálculo 3 2 2 2 3 8" xfId="14687" xr:uid="{00000000-0005-0000-0000-0000740A0000}"/>
    <cellStyle name="Cálculo 3 2 2 2 3 9" xfId="14742" xr:uid="{00000000-0005-0000-0000-0000750A0000}"/>
    <cellStyle name="Cálculo 3 2 2 2 4" xfId="2849" xr:uid="{00000000-0005-0000-0000-0000760A0000}"/>
    <cellStyle name="Cálculo 3 2 2 2 4 2" xfId="7799" xr:uid="{00000000-0005-0000-0000-0000770A0000}"/>
    <cellStyle name="Cálculo 3 2 2 2 4 2 2" xfId="11815" xr:uid="{00000000-0005-0000-0000-0000780A0000}"/>
    <cellStyle name="Cálculo 3 2 2 2 4 2 3" xfId="18066" xr:uid="{00000000-0005-0000-0000-0000790A0000}"/>
    <cellStyle name="Cálculo 3 2 2 2 4 2 4" xfId="21317" xr:uid="{00000000-0005-0000-0000-00007A0A0000}"/>
    <cellStyle name="Cálculo 3 2 2 2 4 3" xfId="6091" xr:uid="{00000000-0005-0000-0000-00007B0A0000}"/>
    <cellStyle name="Cálculo 3 2 2 2 4 3 2" xfId="16774" xr:uid="{00000000-0005-0000-0000-00007C0A0000}"/>
    <cellStyle name="Cálculo 3 2 2 2 4 3 3" xfId="19609" xr:uid="{00000000-0005-0000-0000-00007D0A0000}"/>
    <cellStyle name="Cálculo 3 2 2 2 4 4" xfId="9002" xr:uid="{00000000-0005-0000-0000-00007E0A0000}"/>
    <cellStyle name="Cálculo 3 2 2 2 4 5" xfId="14387" xr:uid="{00000000-0005-0000-0000-00007F0A0000}"/>
    <cellStyle name="Cálculo 3 2 2 2 4 6" xfId="17161" xr:uid="{00000000-0005-0000-0000-0000800A0000}"/>
    <cellStyle name="Cálculo 3 2 2 2 5" xfId="5629" xr:uid="{00000000-0005-0000-0000-0000810A0000}"/>
    <cellStyle name="Cálculo 3 2 2 2 5 2" xfId="7338" xr:uid="{00000000-0005-0000-0000-0000820A0000}"/>
    <cellStyle name="Cálculo 3 2 2 2 5 2 2" xfId="11425" xr:uid="{00000000-0005-0000-0000-0000830A0000}"/>
    <cellStyle name="Cálculo 3 2 2 2 5 2 3" xfId="17727" xr:uid="{00000000-0005-0000-0000-0000840A0000}"/>
    <cellStyle name="Cálculo 3 2 2 2 5 2 4" xfId="20856" xr:uid="{00000000-0005-0000-0000-0000850A0000}"/>
    <cellStyle name="Cálculo 3 2 2 2 5 3" xfId="10503" xr:uid="{00000000-0005-0000-0000-0000860A0000}"/>
    <cellStyle name="Cálculo 3 2 2 2 5 4" xfId="16436" xr:uid="{00000000-0005-0000-0000-0000870A0000}"/>
    <cellStyle name="Cálculo 3 2 2 2 5 5" xfId="19147" xr:uid="{00000000-0005-0000-0000-0000880A0000}"/>
    <cellStyle name="Cálculo 3 2 2 2 6" xfId="6326" xr:uid="{00000000-0005-0000-0000-0000890A0000}"/>
    <cellStyle name="Cálculo 3 2 2 2 6 2" xfId="8034" xr:uid="{00000000-0005-0000-0000-00008A0A0000}"/>
    <cellStyle name="Cálculo 3 2 2 2 6 2 2" xfId="12007" xr:uid="{00000000-0005-0000-0000-00008B0A0000}"/>
    <cellStyle name="Cálculo 3 2 2 2 6 2 3" xfId="18247" xr:uid="{00000000-0005-0000-0000-00008C0A0000}"/>
    <cellStyle name="Cálculo 3 2 2 2 6 2 4" xfId="21552" xr:uid="{00000000-0005-0000-0000-00008D0A0000}"/>
    <cellStyle name="Cálculo 3 2 2 2 6 3" xfId="10865" xr:uid="{00000000-0005-0000-0000-00008E0A0000}"/>
    <cellStyle name="Cálculo 3 2 2 2 6 4" xfId="16956" xr:uid="{00000000-0005-0000-0000-00008F0A0000}"/>
    <cellStyle name="Cálculo 3 2 2 2 6 5" xfId="19844" xr:uid="{00000000-0005-0000-0000-0000900A0000}"/>
    <cellStyle name="Cálculo 3 2 2 2 7" xfId="5511" xr:uid="{00000000-0005-0000-0000-0000910A0000}"/>
    <cellStyle name="Cálculo 3 2 2 2 7 2" xfId="7220" xr:uid="{00000000-0005-0000-0000-0000920A0000}"/>
    <cellStyle name="Cálculo 3 2 2 2 7 2 2" xfId="11345" xr:uid="{00000000-0005-0000-0000-0000930A0000}"/>
    <cellStyle name="Cálculo 3 2 2 2 7 2 3" xfId="17623" xr:uid="{00000000-0005-0000-0000-0000940A0000}"/>
    <cellStyle name="Cálculo 3 2 2 2 7 2 4" xfId="20738" xr:uid="{00000000-0005-0000-0000-0000950A0000}"/>
    <cellStyle name="Cálculo 3 2 2 2 7 3" xfId="10485" xr:uid="{00000000-0005-0000-0000-0000960A0000}"/>
    <cellStyle name="Cálculo 3 2 2 2 7 4" xfId="16332" xr:uid="{00000000-0005-0000-0000-0000970A0000}"/>
    <cellStyle name="Cálculo 3 2 2 2 7 5" xfId="19029" xr:uid="{00000000-0005-0000-0000-0000980A0000}"/>
    <cellStyle name="Cálculo 3 2 2 2 8" xfId="5743" xr:uid="{00000000-0005-0000-0000-0000990A0000}"/>
    <cellStyle name="Cálculo 3 2 2 2 8 2" xfId="10525" xr:uid="{00000000-0005-0000-0000-00009A0A0000}"/>
    <cellStyle name="Cálculo 3 2 2 2 8 3" xfId="16524" xr:uid="{00000000-0005-0000-0000-00009B0A0000}"/>
    <cellStyle name="Cálculo 3 2 2 2 8 4" xfId="19261" xr:uid="{00000000-0005-0000-0000-00009C0A0000}"/>
    <cellStyle name="Cálculo 3 2 2 2 9" xfId="7452" xr:uid="{00000000-0005-0000-0000-00009D0A0000}"/>
    <cellStyle name="Cálculo 3 2 2 2 9 2" xfId="11512" xr:uid="{00000000-0005-0000-0000-00009E0A0000}"/>
    <cellStyle name="Cálculo 3 2 2 2 9 3" xfId="17815" xr:uid="{00000000-0005-0000-0000-00009F0A0000}"/>
    <cellStyle name="Cálculo 3 2 2 2 9 4" xfId="20970" xr:uid="{00000000-0005-0000-0000-0000A00A0000}"/>
    <cellStyle name="Cálculo 3 2 2 3" xfId="3204" xr:uid="{00000000-0005-0000-0000-0000A10A0000}"/>
    <cellStyle name="Cálculo 3 2 2 3 10" xfId="9334" xr:uid="{00000000-0005-0000-0000-0000A20A0000}"/>
    <cellStyle name="Cálculo 3 2 2 3 11" xfId="14646" xr:uid="{00000000-0005-0000-0000-0000A30A0000}"/>
    <cellStyle name="Cálculo 3 2 2 3 12" xfId="18191" xr:uid="{00000000-0005-0000-0000-0000A40A0000}"/>
    <cellStyle name="Cálculo 3 2 2 3 2" xfId="3591" xr:uid="{00000000-0005-0000-0000-0000A50A0000}"/>
    <cellStyle name="Cálculo 3 2 2 3 2 2" xfId="7342" xr:uid="{00000000-0005-0000-0000-0000A60A0000}"/>
    <cellStyle name="Cálculo 3 2 2 3 2 2 2" xfId="11428" xr:uid="{00000000-0005-0000-0000-0000A70A0000}"/>
    <cellStyle name="Cálculo 3 2 2 3 2 2 3" xfId="17731" xr:uid="{00000000-0005-0000-0000-0000A80A0000}"/>
    <cellStyle name="Cálculo 3 2 2 3 2 2 4" xfId="20860" xr:uid="{00000000-0005-0000-0000-0000A90A0000}"/>
    <cellStyle name="Cálculo 3 2 2 3 2 3" xfId="5633" xr:uid="{00000000-0005-0000-0000-0000AA0A0000}"/>
    <cellStyle name="Cálculo 3 2 2 3 2 3 2" xfId="16440" xr:uid="{00000000-0005-0000-0000-0000AB0A0000}"/>
    <cellStyle name="Cálculo 3 2 2 3 2 3 3" xfId="19151" xr:uid="{00000000-0005-0000-0000-0000AC0A0000}"/>
    <cellStyle name="Cálculo 3 2 2 3 2 4" xfId="9683" xr:uid="{00000000-0005-0000-0000-0000AD0A0000}"/>
    <cellStyle name="Cálculo 3 2 2 3 2 5" xfId="14926" xr:uid="{00000000-0005-0000-0000-0000AE0A0000}"/>
    <cellStyle name="Cálculo 3 2 2 3 2 6" xfId="15287" xr:uid="{00000000-0005-0000-0000-0000AF0A0000}"/>
    <cellStyle name="Cálculo 3 2 2 3 3" xfId="3974" xr:uid="{00000000-0005-0000-0000-0000B00A0000}"/>
    <cellStyle name="Cálculo 3 2 2 3 3 2" xfId="7173" xr:uid="{00000000-0005-0000-0000-0000B10A0000}"/>
    <cellStyle name="Cálculo 3 2 2 3 3 2 2" xfId="11303" xr:uid="{00000000-0005-0000-0000-0000B20A0000}"/>
    <cellStyle name="Cálculo 3 2 2 3 3 2 3" xfId="17584" xr:uid="{00000000-0005-0000-0000-0000B30A0000}"/>
    <cellStyle name="Cálculo 3 2 2 3 3 2 4" xfId="20691" xr:uid="{00000000-0005-0000-0000-0000B40A0000}"/>
    <cellStyle name="Cálculo 3 2 2 3 3 3" xfId="5464" xr:uid="{00000000-0005-0000-0000-0000B50A0000}"/>
    <cellStyle name="Cálculo 3 2 2 3 3 3 2" xfId="16294" xr:uid="{00000000-0005-0000-0000-0000B60A0000}"/>
    <cellStyle name="Cálculo 3 2 2 3 3 3 3" xfId="18982" xr:uid="{00000000-0005-0000-0000-0000B70A0000}"/>
    <cellStyle name="Cálculo 3 2 2 3 3 4" xfId="9893" xr:uid="{00000000-0005-0000-0000-0000B80A0000}"/>
    <cellStyle name="Cálculo 3 2 2 3 3 5" xfId="15202" xr:uid="{00000000-0005-0000-0000-0000B90A0000}"/>
    <cellStyle name="Cálculo 3 2 2 3 3 6" xfId="14017" xr:uid="{00000000-0005-0000-0000-0000BA0A0000}"/>
    <cellStyle name="Cálculo 3 2 2 3 4" xfId="4357" xr:uid="{00000000-0005-0000-0000-0000BB0A0000}"/>
    <cellStyle name="Cálculo 3 2 2 3 4 2" xfId="8118" xr:uid="{00000000-0005-0000-0000-0000BC0A0000}"/>
    <cellStyle name="Cálculo 3 2 2 3 4 2 2" xfId="12086" xr:uid="{00000000-0005-0000-0000-0000BD0A0000}"/>
    <cellStyle name="Cálculo 3 2 2 3 4 2 3" xfId="18324" xr:uid="{00000000-0005-0000-0000-0000BE0A0000}"/>
    <cellStyle name="Cálculo 3 2 2 3 4 2 4" xfId="21636" xr:uid="{00000000-0005-0000-0000-0000BF0A0000}"/>
    <cellStyle name="Cálculo 3 2 2 3 4 3" xfId="6410" xr:uid="{00000000-0005-0000-0000-0000C00A0000}"/>
    <cellStyle name="Cálculo 3 2 2 3 4 3 2" xfId="17033" xr:uid="{00000000-0005-0000-0000-0000C10A0000}"/>
    <cellStyle name="Cálculo 3 2 2 3 4 3 3" xfId="19928" xr:uid="{00000000-0005-0000-0000-0000C20A0000}"/>
    <cellStyle name="Cálculo 3 2 2 3 4 4" xfId="10071" xr:uid="{00000000-0005-0000-0000-0000C30A0000}"/>
    <cellStyle name="Cálculo 3 2 2 3 4 5" xfId="15477" xr:uid="{00000000-0005-0000-0000-0000C40A0000}"/>
    <cellStyle name="Cálculo 3 2 2 3 4 6" xfId="13648" xr:uid="{00000000-0005-0000-0000-0000C50A0000}"/>
    <cellStyle name="Cálculo 3 2 2 3 5" xfId="4739" xr:uid="{00000000-0005-0000-0000-0000C60A0000}"/>
    <cellStyle name="Cálculo 3 2 2 3 5 2" xfId="8350" xr:uid="{00000000-0005-0000-0000-0000C70A0000}"/>
    <cellStyle name="Cálculo 3 2 2 3 5 2 2" xfId="12318" xr:uid="{00000000-0005-0000-0000-0000C80A0000}"/>
    <cellStyle name="Cálculo 3 2 2 3 5 2 3" xfId="18495" xr:uid="{00000000-0005-0000-0000-0000C90A0000}"/>
    <cellStyle name="Cálculo 3 2 2 3 5 2 4" xfId="21868" xr:uid="{00000000-0005-0000-0000-0000CA0A0000}"/>
    <cellStyle name="Cálculo 3 2 2 3 5 3" xfId="6642" xr:uid="{00000000-0005-0000-0000-0000CB0A0000}"/>
    <cellStyle name="Cálculo 3 2 2 3 5 3 2" xfId="17204" xr:uid="{00000000-0005-0000-0000-0000CC0A0000}"/>
    <cellStyle name="Cálculo 3 2 2 3 5 3 3" xfId="20160" xr:uid="{00000000-0005-0000-0000-0000CD0A0000}"/>
    <cellStyle name="Cálculo 3 2 2 3 5 4" xfId="10248" xr:uid="{00000000-0005-0000-0000-0000CE0A0000}"/>
    <cellStyle name="Cálculo 3 2 2 3 5 5" xfId="15750" xr:uid="{00000000-0005-0000-0000-0000CF0A0000}"/>
    <cellStyle name="Cálculo 3 2 2 3 5 6" xfId="13266" xr:uid="{00000000-0005-0000-0000-0000D00A0000}"/>
    <cellStyle name="Cálculo 3 2 2 3 6" xfId="6874" xr:uid="{00000000-0005-0000-0000-0000D10A0000}"/>
    <cellStyle name="Cálculo 3 2 2 3 6 2" xfId="8582" xr:uid="{00000000-0005-0000-0000-0000D20A0000}"/>
    <cellStyle name="Cálculo 3 2 2 3 6 2 2" xfId="12550" xr:uid="{00000000-0005-0000-0000-0000D30A0000}"/>
    <cellStyle name="Cálculo 3 2 2 3 6 2 3" xfId="18666" xr:uid="{00000000-0005-0000-0000-0000D40A0000}"/>
    <cellStyle name="Cálculo 3 2 2 3 6 2 4" xfId="22100" xr:uid="{00000000-0005-0000-0000-0000D50A0000}"/>
    <cellStyle name="Cálculo 3 2 2 3 6 3" xfId="11008" xr:uid="{00000000-0005-0000-0000-0000D60A0000}"/>
    <cellStyle name="Cálculo 3 2 2 3 6 4" xfId="17374" xr:uid="{00000000-0005-0000-0000-0000D70A0000}"/>
    <cellStyle name="Cálculo 3 2 2 3 6 5" xfId="20392" xr:uid="{00000000-0005-0000-0000-0000D80A0000}"/>
    <cellStyle name="Cálculo 3 2 2 3 7" xfId="5862" xr:uid="{00000000-0005-0000-0000-0000D90A0000}"/>
    <cellStyle name="Cálculo 3 2 2 3 7 2" xfId="10603" xr:uid="{00000000-0005-0000-0000-0000DA0A0000}"/>
    <cellStyle name="Cálculo 3 2 2 3 7 3" xfId="16612" xr:uid="{00000000-0005-0000-0000-0000DB0A0000}"/>
    <cellStyle name="Cálculo 3 2 2 3 7 4" xfId="19380" xr:uid="{00000000-0005-0000-0000-0000DC0A0000}"/>
    <cellStyle name="Cálculo 3 2 2 3 8" xfId="7570" xr:uid="{00000000-0005-0000-0000-0000DD0A0000}"/>
    <cellStyle name="Cálculo 3 2 2 3 8 2" xfId="11591" xr:uid="{00000000-0005-0000-0000-0000DE0A0000}"/>
    <cellStyle name="Cálculo 3 2 2 3 8 3" xfId="17904" xr:uid="{00000000-0005-0000-0000-0000DF0A0000}"/>
    <cellStyle name="Cálculo 3 2 2 3 8 4" xfId="21088" xr:uid="{00000000-0005-0000-0000-0000E00A0000}"/>
    <cellStyle name="Cálculo 3 2 2 3 9" xfId="4952" xr:uid="{00000000-0005-0000-0000-0000E10A0000}"/>
    <cellStyle name="Cálculo 3 2 2 3 9 2" xfId="15922" xr:uid="{00000000-0005-0000-0000-0000E20A0000}"/>
    <cellStyle name="Cálculo 3 2 2 3 9 3" xfId="13067" xr:uid="{00000000-0005-0000-0000-0000E30A0000}"/>
    <cellStyle name="Cálculo 3 2 2 4" xfId="2990" xr:uid="{00000000-0005-0000-0000-0000E40A0000}"/>
    <cellStyle name="Cálculo 3 2 2 4 2" xfId="3377" xr:uid="{00000000-0005-0000-0000-0000E50A0000}"/>
    <cellStyle name="Cálculo 3 2 2 4 2 2" xfId="7301" xr:uid="{00000000-0005-0000-0000-0000E60A0000}"/>
    <cellStyle name="Cálculo 3 2 2 4 2 2 2" xfId="17694" xr:uid="{00000000-0005-0000-0000-0000E70A0000}"/>
    <cellStyle name="Cálculo 3 2 2 4 2 2 3" xfId="20819" xr:uid="{00000000-0005-0000-0000-0000E80A0000}"/>
    <cellStyle name="Cálculo 3 2 2 4 2 3" xfId="9505" xr:uid="{00000000-0005-0000-0000-0000E90A0000}"/>
    <cellStyle name="Cálculo 3 2 2 4 2 4" xfId="14755" xr:uid="{00000000-0005-0000-0000-0000EA0A0000}"/>
    <cellStyle name="Cálculo 3 2 2 4 2 5" xfId="16185" xr:uid="{00000000-0005-0000-0000-0000EB0A0000}"/>
    <cellStyle name="Cálculo 3 2 2 4 3" xfId="3760" xr:uid="{00000000-0005-0000-0000-0000EC0A0000}"/>
    <cellStyle name="Cálculo 3 2 2 4 3 2" xfId="15031" xr:uid="{00000000-0005-0000-0000-0000ED0A0000}"/>
    <cellStyle name="Cálculo 3 2 2 4 3 3" xfId="15557" xr:uid="{00000000-0005-0000-0000-0000EE0A0000}"/>
    <cellStyle name="Cálculo 3 2 2 4 4" xfId="4143" xr:uid="{00000000-0005-0000-0000-0000EF0A0000}"/>
    <cellStyle name="Cálculo 3 2 2 4 4 2" xfId="15306" xr:uid="{00000000-0005-0000-0000-0000F00A0000}"/>
    <cellStyle name="Cálculo 3 2 2 4 4 3" xfId="13854" xr:uid="{00000000-0005-0000-0000-0000F10A0000}"/>
    <cellStyle name="Cálculo 3 2 2 4 5" xfId="4525" xr:uid="{00000000-0005-0000-0000-0000F20A0000}"/>
    <cellStyle name="Cálculo 3 2 2 4 5 2" xfId="15580" xr:uid="{00000000-0005-0000-0000-0000F30A0000}"/>
    <cellStyle name="Cálculo 3 2 2 4 5 3" xfId="13480" xr:uid="{00000000-0005-0000-0000-0000F40A0000}"/>
    <cellStyle name="Cálculo 3 2 2 4 6" xfId="5592" xr:uid="{00000000-0005-0000-0000-0000F50A0000}"/>
    <cellStyle name="Cálculo 3 2 2 4 6 2" xfId="16403" xr:uid="{00000000-0005-0000-0000-0000F60A0000}"/>
    <cellStyle name="Cálculo 3 2 2 4 6 3" xfId="19110" xr:uid="{00000000-0005-0000-0000-0000F70A0000}"/>
    <cellStyle name="Cálculo 3 2 2 4 7" xfId="9140" xr:uid="{00000000-0005-0000-0000-0000F80A0000}"/>
    <cellStyle name="Cálculo 3 2 2 4 8" xfId="14475" xr:uid="{00000000-0005-0000-0000-0000F90A0000}"/>
    <cellStyle name="Cálculo 3 2 2 4 9" xfId="17112" xr:uid="{00000000-0005-0000-0000-0000FA0A0000}"/>
    <cellStyle name="Cálculo 3 2 2 5" xfId="5304" xr:uid="{00000000-0005-0000-0000-0000FB0A0000}"/>
    <cellStyle name="Cálculo 3 2 2 5 2" xfId="5110" xr:uid="{00000000-0005-0000-0000-0000FC0A0000}"/>
    <cellStyle name="Cálculo 3 2 2 5 2 2" xfId="10353" xr:uid="{00000000-0005-0000-0000-0000FD0A0000}"/>
    <cellStyle name="Cálculo 3 2 2 5 2 3" xfId="16044" xr:uid="{00000000-0005-0000-0000-0000FE0A0000}"/>
    <cellStyle name="Cálculo 3 2 2 5 2 4" xfId="12800" xr:uid="{00000000-0005-0000-0000-0000FF0A0000}"/>
    <cellStyle name="Cálculo 3 2 2 5 3" xfId="10415" xr:uid="{00000000-0005-0000-0000-0000000B0000}"/>
    <cellStyle name="Cálculo 3 2 2 5 4" xfId="16178" xr:uid="{00000000-0005-0000-0000-0000010B0000}"/>
    <cellStyle name="Cálculo 3 2 2 5 5" xfId="18822" xr:uid="{00000000-0005-0000-0000-0000020B0000}"/>
    <cellStyle name="Cálculo 3 2 2 6" xfId="5449" xr:uid="{00000000-0005-0000-0000-0000030B0000}"/>
    <cellStyle name="Cálculo 3 2 2 6 2" xfId="7158" xr:uid="{00000000-0005-0000-0000-0000040B0000}"/>
    <cellStyle name="Cálculo 3 2 2 6 2 2" xfId="11289" xr:uid="{00000000-0005-0000-0000-0000050B0000}"/>
    <cellStyle name="Cálculo 3 2 2 6 2 3" xfId="17572" xr:uid="{00000000-0005-0000-0000-0000060B0000}"/>
    <cellStyle name="Cálculo 3 2 2 6 2 4" xfId="20676" xr:uid="{00000000-0005-0000-0000-0000070B0000}"/>
    <cellStyle name="Cálculo 3 2 2 6 3" xfId="10463" xr:uid="{00000000-0005-0000-0000-0000080B0000}"/>
    <cellStyle name="Cálculo 3 2 2 6 4" xfId="16282" xr:uid="{00000000-0005-0000-0000-0000090B0000}"/>
    <cellStyle name="Cálculo 3 2 2 6 5" xfId="18967" xr:uid="{00000000-0005-0000-0000-00000A0B0000}"/>
    <cellStyle name="Cálculo 3 2 2 7" xfId="6310" xr:uid="{00000000-0005-0000-0000-00000B0B0000}"/>
    <cellStyle name="Cálculo 3 2 2 7 2" xfId="8018" xr:uid="{00000000-0005-0000-0000-00000C0B0000}"/>
    <cellStyle name="Cálculo 3 2 2 7 2 2" xfId="11994" xr:uid="{00000000-0005-0000-0000-00000D0B0000}"/>
    <cellStyle name="Cálculo 3 2 2 7 2 3" xfId="18235" xr:uid="{00000000-0005-0000-0000-00000E0B0000}"/>
    <cellStyle name="Cálculo 3 2 2 7 2 4" xfId="21536" xr:uid="{00000000-0005-0000-0000-00000F0B0000}"/>
    <cellStyle name="Cálculo 3 2 2 7 3" xfId="10856" xr:uid="{00000000-0005-0000-0000-0000100B0000}"/>
    <cellStyle name="Cálculo 3 2 2 7 4" xfId="16944" xr:uid="{00000000-0005-0000-0000-0000110B0000}"/>
    <cellStyle name="Cálculo 3 2 2 7 5" xfId="19828" xr:uid="{00000000-0005-0000-0000-0000120B0000}"/>
    <cellStyle name="Cálculo 3 2 2 8" xfId="5432" xr:uid="{00000000-0005-0000-0000-0000130B0000}"/>
    <cellStyle name="Cálculo 3 2 2 8 2" xfId="7141" xr:uid="{00000000-0005-0000-0000-0000140B0000}"/>
    <cellStyle name="Cálculo 3 2 2 8 2 2" xfId="11275" xr:uid="{00000000-0005-0000-0000-0000150B0000}"/>
    <cellStyle name="Cálculo 3 2 2 8 2 3" xfId="17557" xr:uid="{00000000-0005-0000-0000-0000160B0000}"/>
    <cellStyle name="Cálculo 3 2 2 8 2 4" xfId="20659" xr:uid="{00000000-0005-0000-0000-0000170B0000}"/>
    <cellStyle name="Cálculo 3 2 2 8 3" xfId="10449" xr:uid="{00000000-0005-0000-0000-0000180B0000}"/>
    <cellStyle name="Cálculo 3 2 2 8 4" xfId="16267" xr:uid="{00000000-0005-0000-0000-0000190B0000}"/>
    <cellStyle name="Cálculo 3 2 2 8 5" xfId="18950" xr:uid="{00000000-0005-0000-0000-00001A0B0000}"/>
    <cellStyle name="Cálculo 3 2 2 9" xfId="5781" xr:uid="{00000000-0005-0000-0000-00001B0B0000}"/>
    <cellStyle name="Cálculo 3 2 2 9 2" xfId="10557" xr:uid="{00000000-0005-0000-0000-00001C0B0000}"/>
    <cellStyle name="Cálculo 3 2 2 9 3" xfId="16554" xr:uid="{00000000-0005-0000-0000-00001D0B0000}"/>
    <cellStyle name="Cálculo 3 2 2 9 4" xfId="19299" xr:uid="{00000000-0005-0000-0000-00001E0B0000}"/>
    <cellStyle name="Cálculo 3 2 3" xfId="2684" xr:uid="{00000000-0005-0000-0000-00001F0B0000}"/>
    <cellStyle name="Cálculo 3 2 3 10" xfId="7528" xr:uid="{00000000-0005-0000-0000-0000200B0000}"/>
    <cellStyle name="Cálculo 3 2 3 10 2" xfId="11566" xr:uid="{00000000-0005-0000-0000-0000210B0000}"/>
    <cellStyle name="Cálculo 3 2 3 10 3" xfId="17874" xr:uid="{00000000-0005-0000-0000-0000220B0000}"/>
    <cellStyle name="Cálculo 3 2 3 10 4" xfId="21046" xr:uid="{00000000-0005-0000-0000-0000230B0000}"/>
    <cellStyle name="Cálculo 3 2 3 11" xfId="4929" xr:uid="{00000000-0005-0000-0000-0000240B0000}"/>
    <cellStyle name="Cálculo 3 2 3 11 2" xfId="15899" xr:uid="{00000000-0005-0000-0000-0000250B0000}"/>
    <cellStyle name="Cálculo 3 2 3 11 3" xfId="13090" xr:uid="{00000000-0005-0000-0000-0000260B0000}"/>
    <cellStyle name="Cálculo 3 2 3 12" xfId="8839" xr:uid="{00000000-0005-0000-0000-0000270B0000}"/>
    <cellStyle name="Cálculo 3 2 3 13" xfId="14257" xr:uid="{00000000-0005-0000-0000-0000280B0000}"/>
    <cellStyle name="Cálculo 3 2 3 14" xfId="14944" xr:uid="{00000000-0005-0000-0000-0000290B0000}"/>
    <cellStyle name="Cálculo 3 2 3 2" xfId="2741" xr:uid="{00000000-0005-0000-0000-00002A0B0000}"/>
    <cellStyle name="Cálculo 3 2 3 2 10" xfId="4951" xr:uid="{00000000-0005-0000-0000-00002B0B0000}"/>
    <cellStyle name="Cálculo 3 2 3 2 10 2" xfId="15921" xr:uid="{00000000-0005-0000-0000-00002C0B0000}"/>
    <cellStyle name="Cálculo 3 2 3 2 10 3" xfId="13068" xr:uid="{00000000-0005-0000-0000-00002D0B0000}"/>
    <cellStyle name="Cálculo 3 2 3 2 11" xfId="8896" xr:uid="{00000000-0005-0000-0000-00002E0B0000}"/>
    <cellStyle name="Cálculo 3 2 3 2 12" xfId="14300" xr:uid="{00000000-0005-0000-0000-00002F0B0000}"/>
    <cellStyle name="Cálculo 3 2 3 2 2" xfId="3231" xr:uid="{00000000-0005-0000-0000-0000300B0000}"/>
    <cellStyle name="Cálculo 3 2 3 2 2 10" xfId="9361" xr:uid="{00000000-0005-0000-0000-0000310B0000}"/>
    <cellStyle name="Cálculo 3 2 3 2 2 11" xfId="14665" xr:uid="{00000000-0005-0000-0000-0000320B0000}"/>
    <cellStyle name="Cálculo 3 2 3 2 2 12" xfId="16871" xr:uid="{00000000-0005-0000-0000-0000330B0000}"/>
    <cellStyle name="Cálculo 3 2 3 2 2 2" xfId="3618" xr:uid="{00000000-0005-0000-0000-0000340B0000}"/>
    <cellStyle name="Cálculo 3 2 3 2 2 2 2" xfId="7979" xr:uid="{00000000-0005-0000-0000-0000350B0000}"/>
    <cellStyle name="Cálculo 3 2 3 2 2 2 2 2" xfId="11955" xr:uid="{00000000-0005-0000-0000-0000360B0000}"/>
    <cellStyle name="Cálculo 3 2 3 2 2 2 2 3" xfId="18204" xr:uid="{00000000-0005-0000-0000-0000370B0000}"/>
    <cellStyle name="Cálculo 3 2 3 2 2 2 2 4" xfId="21497" xr:uid="{00000000-0005-0000-0000-0000380B0000}"/>
    <cellStyle name="Cálculo 3 2 3 2 2 2 3" xfId="6271" xr:uid="{00000000-0005-0000-0000-0000390B0000}"/>
    <cellStyle name="Cálculo 3 2 3 2 2 2 3 2" xfId="16913" xr:uid="{00000000-0005-0000-0000-00003A0B0000}"/>
    <cellStyle name="Cálculo 3 2 3 2 2 2 3 3" xfId="19789" xr:uid="{00000000-0005-0000-0000-00003B0B0000}"/>
    <cellStyle name="Cálculo 3 2 3 2 2 2 4" xfId="9710" xr:uid="{00000000-0005-0000-0000-00003C0B0000}"/>
    <cellStyle name="Cálculo 3 2 3 2 2 2 5" xfId="14945" xr:uid="{00000000-0005-0000-0000-00003D0B0000}"/>
    <cellStyle name="Cálculo 3 2 3 2 2 2 6" xfId="16153" xr:uid="{00000000-0005-0000-0000-00003E0B0000}"/>
    <cellStyle name="Cálculo 3 2 3 2 2 3" xfId="4001" xr:uid="{00000000-0005-0000-0000-00003F0B0000}"/>
    <cellStyle name="Cálculo 3 2 3 2 2 3 2" xfId="7770" xr:uid="{00000000-0005-0000-0000-0000400B0000}"/>
    <cellStyle name="Cálculo 3 2 3 2 2 3 2 2" xfId="11791" xr:uid="{00000000-0005-0000-0000-0000410B0000}"/>
    <cellStyle name="Cálculo 3 2 3 2 2 3 2 3" xfId="18043" xr:uid="{00000000-0005-0000-0000-0000420B0000}"/>
    <cellStyle name="Cálculo 3 2 3 2 2 3 2 4" xfId="21288" xr:uid="{00000000-0005-0000-0000-0000430B0000}"/>
    <cellStyle name="Cálculo 3 2 3 2 2 3 3" xfId="6062" xr:uid="{00000000-0005-0000-0000-0000440B0000}"/>
    <cellStyle name="Cálculo 3 2 3 2 2 3 3 2" xfId="16751" xr:uid="{00000000-0005-0000-0000-0000450B0000}"/>
    <cellStyle name="Cálculo 3 2 3 2 2 3 3 3" xfId="19580" xr:uid="{00000000-0005-0000-0000-0000460B0000}"/>
    <cellStyle name="Cálculo 3 2 3 2 2 3 4" xfId="9920" xr:uid="{00000000-0005-0000-0000-0000470B0000}"/>
    <cellStyle name="Cálculo 3 2 3 2 2 3 5" xfId="15220" xr:uid="{00000000-0005-0000-0000-0000480B0000}"/>
    <cellStyle name="Cálculo 3 2 3 2 2 3 6" xfId="13990" xr:uid="{00000000-0005-0000-0000-0000490B0000}"/>
    <cellStyle name="Cálculo 3 2 3 2 2 4" xfId="4384" xr:uid="{00000000-0005-0000-0000-00004A0B0000}"/>
    <cellStyle name="Cálculo 3 2 3 2 2 4 2" xfId="8286" xr:uid="{00000000-0005-0000-0000-00004B0B0000}"/>
    <cellStyle name="Cálculo 3 2 3 2 2 4 2 2" xfId="12254" xr:uid="{00000000-0005-0000-0000-00004C0B0000}"/>
    <cellStyle name="Cálculo 3 2 3 2 2 4 2 3" xfId="18438" xr:uid="{00000000-0005-0000-0000-00004D0B0000}"/>
    <cellStyle name="Cálculo 3 2 3 2 2 4 2 4" xfId="21804" xr:uid="{00000000-0005-0000-0000-00004E0B0000}"/>
    <cellStyle name="Cálculo 3 2 3 2 2 4 3" xfId="6578" xr:uid="{00000000-0005-0000-0000-00004F0B0000}"/>
    <cellStyle name="Cálculo 3 2 3 2 2 4 3 2" xfId="17147" xr:uid="{00000000-0005-0000-0000-0000500B0000}"/>
    <cellStyle name="Cálculo 3 2 3 2 2 4 3 3" xfId="20096" xr:uid="{00000000-0005-0000-0000-0000510B0000}"/>
    <cellStyle name="Cálculo 3 2 3 2 2 4 4" xfId="10098" xr:uid="{00000000-0005-0000-0000-0000520B0000}"/>
    <cellStyle name="Cálculo 3 2 3 2 2 4 5" xfId="15496" xr:uid="{00000000-0005-0000-0000-0000530B0000}"/>
    <cellStyle name="Cálculo 3 2 3 2 2 4 6" xfId="13621" xr:uid="{00000000-0005-0000-0000-0000540B0000}"/>
    <cellStyle name="Cálculo 3 2 3 2 2 5" xfId="4766" xr:uid="{00000000-0005-0000-0000-0000550B0000}"/>
    <cellStyle name="Cálculo 3 2 3 2 2 5 2" xfId="8518" xr:uid="{00000000-0005-0000-0000-0000560B0000}"/>
    <cellStyle name="Cálculo 3 2 3 2 2 5 2 2" xfId="12486" xr:uid="{00000000-0005-0000-0000-0000570B0000}"/>
    <cellStyle name="Cálculo 3 2 3 2 2 5 2 3" xfId="18609" xr:uid="{00000000-0005-0000-0000-0000580B0000}"/>
    <cellStyle name="Cálculo 3 2 3 2 2 5 2 4" xfId="22036" xr:uid="{00000000-0005-0000-0000-0000590B0000}"/>
    <cellStyle name="Cálculo 3 2 3 2 2 5 3" xfId="6810" xr:uid="{00000000-0005-0000-0000-00005A0B0000}"/>
    <cellStyle name="Cálculo 3 2 3 2 2 5 3 2" xfId="17317" xr:uid="{00000000-0005-0000-0000-00005B0B0000}"/>
    <cellStyle name="Cálculo 3 2 3 2 2 5 3 3" xfId="20328" xr:uid="{00000000-0005-0000-0000-00005C0B0000}"/>
    <cellStyle name="Cálculo 3 2 3 2 2 5 4" xfId="10275" xr:uid="{00000000-0005-0000-0000-00005D0B0000}"/>
    <cellStyle name="Cálculo 3 2 3 2 2 5 5" xfId="15768" xr:uid="{00000000-0005-0000-0000-00005E0B0000}"/>
    <cellStyle name="Cálculo 3 2 3 2 2 5 6" xfId="13239" xr:uid="{00000000-0005-0000-0000-00005F0B0000}"/>
    <cellStyle name="Cálculo 3 2 3 2 2 6" xfId="7042" xr:uid="{00000000-0005-0000-0000-0000600B0000}"/>
    <cellStyle name="Cálculo 3 2 3 2 2 6 2" xfId="8750" xr:uid="{00000000-0005-0000-0000-0000610B0000}"/>
    <cellStyle name="Cálculo 3 2 3 2 2 6 2 2" xfId="12718" xr:uid="{00000000-0005-0000-0000-0000620B0000}"/>
    <cellStyle name="Cálculo 3 2 3 2 2 6 2 3" xfId="18781" xr:uid="{00000000-0005-0000-0000-0000630B0000}"/>
    <cellStyle name="Cálculo 3 2 3 2 2 6 2 4" xfId="22268" xr:uid="{00000000-0005-0000-0000-0000640B0000}"/>
    <cellStyle name="Cálculo 3 2 3 2 2 6 3" xfId="11176" xr:uid="{00000000-0005-0000-0000-0000650B0000}"/>
    <cellStyle name="Cálculo 3 2 3 2 2 6 4" xfId="17488" xr:uid="{00000000-0005-0000-0000-0000660B0000}"/>
    <cellStyle name="Cálculo 3 2 3 2 2 6 5" xfId="20560" xr:uid="{00000000-0005-0000-0000-0000670B0000}"/>
    <cellStyle name="Cálculo 3 2 3 2 2 7" xfId="6030" xr:uid="{00000000-0005-0000-0000-0000680B0000}"/>
    <cellStyle name="Cálculo 3 2 3 2 2 7 2" xfId="10771" xr:uid="{00000000-0005-0000-0000-0000690B0000}"/>
    <cellStyle name="Cálculo 3 2 3 2 2 7 3" xfId="16727" xr:uid="{00000000-0005-0000-0000-00006A0B0000}"/>
    <cellStyle name="Cálculo 3 2 3 2 2 7 4" xfId="19548" xr:uid="{00000000-0005-0000-0000-00006B0B0000}"/>
    <cellStyle name="Cálculo 3 2 3 2 2 8" xfId="7738" xr:uid="{00000000-0005-0000-0000-00006C0B0000}"/>
    <cellStyle name="Cálculo 3 2 3 2 2 8 2" xfId="11759" xr:uid="{00000000-0005-0000-0000-00006D0B0000}"/>
    <cellStyle name="Cálculo 3 2 3 2 2 8 3" xfId="18019" xr:uid="{00000000-0005-0000-0000-00006E0B0000}"/>
    <cellStyle name="Cálculo 3 2 3 2 2 8 4" xfId="21256" xr:uid="{00000000-0005-0000-0000-00006F0B0000}"/>
    <cellStyle name="Cálculo 3 2 3 2 2 9" xfId="5224" xr:uid="{00000000-0005-0000-0000-0000700B0000}"/>
    <cellStyle name="Cálculo 3 2 3 2 2 9 2" xfId="16115" xr:uid="{00000000-0005-0000-0000-0000710B0000}"/>
    <cellStyle name="Cálculo 3 2 3 2 2 9 3" xfId="12870" xr:uid="{00000000-0005-0000-0000-0000720B0000}"/>
    <cellStyle name="Cálculo 3 2 3 2 3" xfId="3288" xr:uid="{00000000-0005-0000-0000-0000730B0000}"/>
    <cellStyle name="Cálculo 3 2 3 2 3 2" xfId="3675" xr:uid="{00000000-0005-0000-0000-0000740B0000}"/>
    <cellStyle name="Cálculo 3 2 3 2 3 2 2" xfId="7251" xr:uid="{00000000-0005-0000-0000-0000750B0000}"/>
    <cellStyle name="Cálculo 3 2 3 2 3 2 2 2" xfId="17652" xr:uid="{00000000-0005-0000-0000-0000760B0000}"/>
    <cellStyle name="Cálculo 3 2 3 2 3 2 2 3" xfId="20769" xr:uid="{00000000-0005-0000-0000-0000770B0000}"/>
    <cellStyle name="Cálculo 3 2 3 2 3 2 3" xfId="9754" xr:uid="{00000000-0005-0000-0000-0000780B0000}"/>
    <cellStyle name="Cálculo 3 2 3 2 3 2 4" xfId="14987" xr:uid="{00000000-0005-0000-0000-0000790B0000}"/>
    <cellStyle name="Cálculo 3 2 3 2 3 2 5" xfId="17458" xr:uid="{00000000-0005-0000-0000-00007A0B0000}"/>
    <cellStyle name="Cálculo 3 2 3 2 3 3" xfId="4058" xr:uid="{00000000-0005-0000-0000-00007B0B0000}"/>
    <cellStyle name="Cálculo 3 2 3 2 3 3 2" xfId="15262" xr:uid="{00000000-0005-0000-0000-00007C0B0000}"/>
    <cellStyle name="Cálculo 3 2 3 2 3 3 3" xfId="13933" xr:uid="{00000000-0005-0000-0000-00007D0B0000}"/>
    <cellStyle name="Cálculo 3 2 3 2 3 4" xfId="4441" xr:uid="{00000000-0005-0000-0000-00007E0B0000}"/>
    <cellStyle name="Cálculo 3 2 3 2 3 4 2" xfId="15537" xr:uid="{00000000-0005-0000-0000-00007F0B0000}"/>
    <cellStyle name="Cálculo 3 2 3 2 3 4 3" xfId="13564" xr:uid="{00000000-0005-0000-0000-0000800B0000}"/>
    <cellStyle name="Cálculo 3 2 3 2 3 5" xfId="4823" xr:uid="{00000000-0005-0000-0000-0000810B0000}"/>
    <cellStyle name="Cálculo 3 2 3 2 3 5 2" xfId="15809" xr:uid="{00000000-0005-0000-0000-0000820B0000}"/>
    <cellStyle name="Cálculo 3 2 3 2 3 5 3" xfId="13183" xr:uid="{00000000-0005-0000-0000-0000830B0000}"/>
    <cellStyle name="Cálculo 3 2 3 2 3 6" xfId="5542" xr:uid="{00000000-0005-0000-0000-0000840B0000}"/>
    <cellStyle name="Cálculo 3 2 3 2 3 6 2" xfId="16361" xr:uid="{00000000-0005-0000-0000-0000850B0000}"/>
    <cellStyle name="Cálculo 3 2 3 2 3 6 3" xfId="19060" xr:uid="{00000000-0005-0000-0000-0000860B0000}"/>
    <cellStyle name="Cálculo 3 2 3 2 3 7" xfId="9418" xr:uid="{00000000-0005-0000-0000-0000870B0000}"/>
    <cellStyle name="Cálculo 3 2 3 2 3 8" xfId="14707" xr:uid="{00000000-0005-0000-0000-0000880B0000}"/>
    <cellStyle name="Cálculo 3 2 3 2 3 9" xfId="14586" xr:uid="{00000000-0005-0000-0000-0000890B0000}"/>
    <cellStyle name="Cálculo 3 2 3 2 4" xfId="2906" xr:uid="{00000000-0005-0000-0000-00008A0B0000}"/>
    <cellStyle name="Cálculo 3 2 3 2 4 2" xfId="7183" xr:uid="{00000000-0005-0000-0000-00008B0B0000}"/>
    <cellStyle name="Cálculo 3 2 3 2 4 2 2" xfId="11312" xr:uid="{00000000-0005-0000-0000-00008C0B0000}"/>
    <cellStyle name="Cálculo 3 2 3 2 4 2 3" xfId="17593" xr:uid="{00000000-0005-0000-0000-00008D0B0000}"/>
    <cellStyle name="Cálculo 3 2 3 2 4 2 4" xfId="20701" xr:uid="{00000000-0005-0000-0000-00008E0B0000}"/>
    <cellStyle name="Cálculo 3 2 3 2 4 3" xfId="5474" xr:uid="{00000000-0005-0000-0000-00008F0B0000}"/>
    <cellStyle name="Cálculo 3 2 3 2 4 3 2" xfId="16303" xr:uid="{00000000-0005-0000-0000-0000900B0000}"/>
    <cellStyle name="Cálculo 3 2 3 2 4 3 3" xfId="18992" xr:uid="{00000000-0005-0000-0000-0000910B0000}"/>
    <cellStyle name="Cálculo 3 2 3 2 4 4" xfId="9058" xr:uid="{00000000-0005-0000-0000-0000920B0000}"/>
    <cellStyle name="Cálculo 3 2 3 2 4 5" xfId="14432" xr:uid="{00000000-0005-0000-0000-0000930B0000}"/>
    <cellStyle name="Cálculo 3 2 3 2 4 6" xfId="14546" xr:uid="{00000000-0005-0000-0000-0000940B0000}"/>
    <cellStyle name="Cálculo 3 2 3 2 5" xfId="6409" xr:uid="{00000000-0005-0000-0000-0000950B0000}"/>
    <cellStyle name="Cálculo 3 2 3 2 5 2" xfId="8117" xr:uid="{00000000-0005-0000-0000-0000960B0000}"/>
    <cellStyle name="Cálculo 3 2 3 2 5 2 2" xfId="12085" xr:uid="{00000000-0005-0000-0000-0000970B0000}"/>
    <cellStyle name="Cálculo 3 2 3 2 5 2 3" xfId="18323" xr:uid="{00000000-0005-0000-0000-0000980B0000}"/>
    <cellStyle name="Cálculo 3 2 3 2 5 2 4" xfId="21635" xr:uid="{00000000-0005-0000-0000-0000990B0000}"/>
    <cellStyle name="Cálculo 3 2 3 2 5 3" xfId="10927" xr:uid="{00000000-0005-0000-0000-00009A0B0000}"/>
    <cellStyle name="Cálculo 3 2 3 2 5 4" xfId="17032" xr:uid="{00000000-0005-0000-0000-00009B0B0000}"/>
    <cellStyle name="Cálculo 3 2 3 2 5 5" xfId="19927" xr:uid="{00000000-0005-0000-0000-00009C0B0000}"/>
    <cellStyle name="Cálculo 3 2 3 2 6" xfId="6641" xr:uid="{00000000-0005-0000-0000-00009D0B0000}"/>
    <cellStyle name="Cálculo 3 2 3 2 6 2" xfId="8349" xr:uid="{00000000-0005-0000-0000-00009E0B0000}"/>
    <cellStyle name="Cálculo 3 2 3 2 6 2 2" xfId="12317" xr:uid="{00000000-0005-0000-0000-00009F0B0000}"/>
    <cellStyle name="Cálculo 3 2 3 2 6 2 3" xfId="18494" xr:uid="{00000000-0005-0000-0000-0000A00B0000}"/>
    <cellStyle name="Cálculo 3 2 3 2 6 2 4" xfId="21867" xr:uid="{00000000-0005-0000-0000-0000A10B0000}"/>
    <cellStyle name="Cálculo 3 2 3 2 6 3" xfId="10967" xr:uid="{00000000-0005-0000-0000-0000A20B0000}"/>
    <cellStyle name="Cálculo 3 2 3 2 6 4" xfId="17203" xr:uid="{00000000-0005-0000-0000-0000A30B0000}"/>
    <cellStyle name="Cálculo 3 2 3 2 6 5" xfId="20159" xr:uid="{00000000-0005-0000-0000-0000A40B0000}"/>
    <cellStyle name="Cálculo 3 2 3 2 7" xfId="6873" xr:uid="{00000000-0005-0000-0000-0000A50B0000}"/>
    <cellStyle name="Cálculo 3 2 3 2 7 2" xfId="8581" xr:uid="{00000000-0005-0000-0000-0000A60B0000}"/>
    <cellStyle name="Cálculo 3 2 3 2 7 2 2" xfId="12549" xr:uid="{00000000-0005-0000-0000-0000A70B0000}"/>
    <cellStyle name="Cálculo 3 2 3 2 7 2 3" xfId="18665" xr:uid="{00000000-0005-0000-0000-0000A80B0000}"/>
    <cellStyle name="Cálculo 3 2 3 2 7 2 4" xfId="22099" xr:uid="{00000000-0005-0000-0000-0000A90B0000}"/>
    <cellStyle name="Cálculo 3 2 3 2 7 3" xfId="11007" xr:uid="{00000000-0005-0000-0000-0000AA0B0000}"/>
    <cellStyle name="Cálculo 3 2 3 2 7 4" xfId="17373" xr:uid="{00000000-0005-0000-0000-0000AB0B0000}"/>
    <cellStyle name="Cálculo 3 2 3 2 7 5" xfId="20391" xr:uid="{00000000-0005-0000-0000-0000AC0B0000}"/>
    <cellStyle name="Cálculo 3 2 3 2 8" xfId="5859" xr:uid="{00000000-0005-0000-0000-0000AD0B0000}"/>
    <cellStyle name="Cálculo 3 2 3 2 8 2" xfId="10602" xr:uid="{00000000-0005-0000-0000-0000AE0B0000}"/>
    <cellStyle name="Cálculo 3 2 3 2 8 3" xfId="16611" xr:uid="{00000000-0005-0000-0000-0000AF0B0000}"/>
    <cellStyle name="Cálculo 3 2 3 2 8 4" xfId="19377" xr:uid="{00000000-0005-0000-0000-0000B00B0000}"/>
    <cellStyle name="Cálculo 3 2 3 2 9" xfId="7567" xr:uid="{00000000-0005-0000-0000-0000B10B0000}"/>
    <cellStyle name="Cálculo 3 2 3 2 9 2" xfId="11590" xr:uid="{00000000-0005-0000-0000-0000B20B0000}"/>
    <cellStyle name="Cálculo 3 2 3 2 9 3" xfId="17903" xr:uid="{00000000-0005-0000-0000-0000B30B0000}"/>
    <cellStyle name="Cálculo 3 2 3 2 9 4" xfId="21085" xr:uid="{00000000-0005-0000-0000-0000B40B0000}"/>
    <cellStyle name="Cálculo 3 2 3 3" xfId="3174" xr:uid="{00000000-0005-0000-0000-0000B50B0000}"/>
    <cellStyle name="Cálculo 3 2 3 3 10" xfId="9304" xr:uid="{00000000-0005-0000-0000-0000B60B0000}"/>
    <cellStyle name="Cálculo 3 2 3 3 11" xfId="14622" xr:uid="{00000000-0005-0000-0000-0000B70B0000}"/>
    <cellStyle name="Cálculo 3 2 3 3 12" xfId="15022" xr:uid="{00000000-0005-0000-0000-0000B80B0000}"/>
    <cellStyle name="Cálculo 3 2 3 3 2" xfId="3561" xr:uid="{00000000-0005-0000-0000-0000B90B0000}"/>
    <cellStyle name="Cálculo 3 2 3 3 2 2" xfId="7401" xr:uid="{00000000-0005-0000-0000-0000BA0B0000}"/>
    <cellStyle name="Cálculo 3 2 3 3 2 2 2" xfId="11480" xr:uid="{00000000-0005-0000-0000-0000BB0B0000}"/>
    <cellStyle name="Cálculo 3 2 3 3 2 2 3" xfId="17777" xr:uid="{00000000-0005-0000-0000-0000BC0B0000}"/>
    <cellStyle name="Cálculo 3 2 3 3 2 2 4" xfId="20919" xr:uid="{00000000-0005-0000-0000-0000BD0B0000}"/>
    <cellStyle name="Cálculo 3 2 3 3 2 3" xfId="5692" xr:uid="{00000000-0005-0000-0000-0000BE0B0000}"/>
    <cellStyle name="Cálculo 3 2 3 3 2 3 2" xfId="16486" xr:uid="{00000000-0005-0000-0000-0000BF0B0000}"/>
    <cellStyle name="Cálculo 3 2 3 3 2 3 3" xfId="19210" xr:uid="{00000000-0005-0000-0000-0000C00B0000}"/>
    <cellStyle name="Cálculo 3 2 3 3 2 4" xfId="9653" xr:uid="{00000000-0005-0000-0000-0000C10B0000}"/>
    <cellStyle name="Cálculo 3 2 3 3 2 5" xfId="14902" xr:uid="{00000000-0005-0000-0000-0000C20B0000}"/>
    <cellStyle name="Cálculo 3 2 3 3 2 6" xfId="14805" xr:uid="{00000000-0005-0000-0000-0000C30B0000}"/>
    <cellStyle name="Cálculo 3 2 3 3 3" xfId="3944" xr:uid="{00000000-0005-0000-0000-0000C40B0000}"/>
    <cellStyle name="Cálculo 3 2 3 3 3 2" xfId="5057" xr:uid="{00000000-0005-0000-0000-0000C50B0000}"/>
    <cellStyle name="Cálculo 3 2 3 3 3 2 2" xfId="10310" xr:uid="{00000000-0005-0000-0000-0000C60B0000}"/>
    <cellStyle name="Cálculo 3 2 3 3 3 2 3" xfId="16007" xr:uid="{00000000-0005-0000-0000-0000C70B0000}"/>
    <cellStyle name="Cálculo 3 2 3 3 3 2 4" xfId="12965" xr:uid="{00000000-0005-0000-0000-0000C80B0000}"/>
    <cellStyle name="Cálculo 3 2 3 3 3 3" xfId="5321" xr:uid="{00000000-0005-0000-0000-0000C90B0000}"/>
    <cellStyle name="Cálculo 3 2 3 3 3 3 2" xfId="16192" xr:uid="{00000000-0005-0000-0000-0000CA0B0000}"/>
    <cellStyle name="Cálculo 3 2 3 3 3 3 3" xfId="18839" xr:uid="{00000000-0005-0000-0000-0000CB0B0000}"/>
    <cellStyle name="Cálculo 3 2 3 3 3 4" xfId="9867" xr:uid="{00000000-0005-0000-0000-0000CC0B0000}"/>
    <cellStyle name="Cálculo 3 2 3 3 3 5" xfId="15178" xr:uid="{00000000-0005-0000-0000-0000CD0B0000}"/>
    <cellStyle name="Cálculo 3 2 3 3 3 6" xfId="14047" xr:uid="{00000000-0005-0000-0000-0000CE0B0000}"/>
    <cellStyle name="Cálculo 3 2 3 3 4" xfId="4327" xr:uid="{00000000-0005-0000-0000-0000CF0B0000}"/>
    <cellStyle name="Cálculo 3 2 3 3 4 2" xfId="8166" xr:uid="{00000000-0005-0000-0000-0000D00B0000}"/>
    <cellStyle name="Cálculo 3 2 3 3 4 2 2" xfId="12134" xr:uid="{00000000-0005-0000-0000-0000D10B0000}"/>
    <cellStyle name="Cálculo 3 2 3 3 4 2 3" xfId="18364" xr:uid="{00000000-0005-0000-0000-0000D20B0000}"/>
    <cellStyle name="Cálculo 3 2 3 3 4 2 4" xfId="21684" xr:uid="{00000000-0005-0000-0000-0000D30B0000}"/>
    <cellStyle name="Cálculo 3 2 3 3 4 3" xfId="6458" xr:uid="{00000000-0005-0000-0000-0000D40B0000}"/>
    <cellStyle name="Cálculo 3 2 3 3 4 3 2" xfId="17073" xr:uid="{00000000-0005-0000-0000-0000D50B0000}"/>
    <cellStyle name="Cálculo 3 2 3 3 4 3 3" xfId="19976" xr:uid="{00000000-0005-0000-0000-0000D60B0000}"/>
    <cellStyle name="Cálculo 3 2 3 3 4 4" xfId="10045" xr:uid="{00000000-0005-0000-0000-0000D70B0000}"/>
    <cellStyle name="Cálculo 3 2 3 3 4 5" xfId="15453" xr:uid="{00000000-0005-0000-0000-0000D80B0000}"/>
    <cellStyle name="Cálculo 3 2 3 3 4 6" xfId="13678" xr:uid="{00000000-0005-0000-0000-0000D90B0000}"/>
    <cellStyle name="Cálculo 3 2 3 3 5" xfId="4709" xr:uid="{00000000-0005-0000-0000-0000DA0B0000}"/>
    <cellStyle name="Cálculo 3 2 3 3 5 2" xfId="8398" xr:uid="{00000000-0005-0000-0000-0000DB0B0000}"/>
    <cellStyle name="Cálculo 3 2 3 3 5 2 2" xfId="12366" xr:uid="{00000000-0005-0000-0000-0000DC0B0000}"/>
    <cellStyle name="Cálculo 3 2 3 3 5 2 3" xfId="18535" xr:uid="{00000000-0005-0000-0000-0000DD0B0000}"/>
    <cellStyle name="Cálculo 3 2 3 3 5 2 4" xfId="21916" xr:uid="{00000000-0005-0000-0000-0000DE0B0000}"/>
    <cellStyle name="Cálculo 3 2 3 3 5 3" xfId="6690" xr:uid="{00000000-0005-0000-0000-0000DF0B0000}"/>
    <cellStyle name="Cálculo 3 2 3 3 5 3 2" xfId="17244" xr:uid="{00000000-0005-0000-0000-0000E00B0000}"/>
    <cellStyle name="Cálculo 3 2 3 3 5 3 3" xfId="20208" xr:uid="{00000000-0005-0000-0000-0000E10B0000}"/>
    <cellStyle name="Cálculo 3 2 3 3 5 4" xfId="10222" xr:uid="{00000000-0005-0000-0000-0000E20B0000}"/>
    <cellStyle name="Cálculo 3 2 3 3 5 5" xfId="15727" xr:uid="{00000000-0005-0000-0000-0000E30B0000}"/>
    <cellStyle name="Cálculo 3 2 3 3 5 6" xfId="13296" xr:uid="{00000000-0005-0000-0000-0000E40B0000}"/>
    <cellStyle name="Cálculo 3 2 3 3 6" xfId="6922" xr:uid="{00000000-0005-0000-0000-0000E50B0000}"/>
    <cellStyle name="Cálculo 3 2 3 3 6 2" xfId="8630" xr:uid="{00000000-0005-0000-0000-0000E60B0000}"/>
    <cellStyle name="Cálculo 3 2 3 3 6 2 2" xfId="12598" xr:uid="{00000000-0005-0000-0000-0000E70B0000}"/>
    <cellStyle name="Cálculo 3 2 3 3 6 2 3" xfId="18706" xr:uid="{00000000-0005-0000-0000-0000E80B0000}"/>
    <cellStyle name="Cálculo 3 2 3 3 6 2 4" xfId="22148" xr:uid="{00000000-0005-0000-0000-0000E90B0000}"/>
    <cellStyle name="Cálculo 3 2 3 3 6 3" xfId="11056" xr:uid="{00000000-0005-0000-0000-0000EA0B0000}"/>
    <cellStyle name="Cálculo 3 2 3 3 6 4" xfId="17414" xr:uid="{00000000-0005-0000-0000-0000EB0B0000}"/>
    <cellStyle name="Cálculo 3 2 3 3 6 5" xfId="20440" xr:uid="{00000000-0005-0000-0000-0000EC0B0000}"/>
    <cellStyle name="Cálculo 3 2 3 3 7" xfId="5910" xr:uid="{00000000-0005-0000-0000-0000ED0B0000}"/>
    <cellStyle name="Cálculo 3 2 3 3 7 2" xfId="10651" xr:uid="{00000000-0005-0000-0000-0000EE0B0000}"/>
    <cellStyle name="Cálculo 3 2 3 3 7 3" xfId="16652" xr:uid="{00000000-0005-0000-0000-0000EF0B0000}"/>
    <cellStyle name="Cálculo 3 2 3 3 7 4" xfId="19428" xr:uid="{00000000-0005-0000-0000-0000F00B0000}"/>
    <cellStyle name="Cálculo 3 2 3 3 8" xfId="7618" xr:uid="{00000000-0005-0000-0000-0000F10B0000}"/>
    <cellStyle name="Cálculo 3 2 3 3 8 2" xfId="11639" xr:uid="{00000000-0005-0000-0000-0000F20B0000}"/>
    <cellStyle name="Cálculo 3 2 3 3 8 3" xfId="17944" xr:uid="{00000000-0005-0000-0000-0000F30B0000}"/>
    <cellStyle name="Cálculo 3 2 3 3 8 4" xfId="21136" xr:uid="{00000000-0005-0000-0000-0000F40B0000}"/>
    <cellStyle name="Cálculo 3 2 3 3 9" xfId="5005" xr:uid="{00000000-0005-0000-0000-0000F50B0000}"/>
    <cellStyle name="Cálculo 3 2 3 3 9 2" xfId="15967" xr:uid="{00000000-0005-0000-0000-0000F60B0000}"/>
    <cellStyle name="Cálculo 3 2 3 3 9 3" xfId="13014" xr:uid="{00000000-0005-0000-0000-0000F70B0000}"/>
    <cellStyle name="Cálculo 3 2 3 4" xfId="3025" xr:uid="{00000000-0005-0000-0000-0000F80B0000}"/>
    <cellStyle name="Cálculo 3 2 3 4 2" xfId="3412" xr:uid="{00000000-0005-0000-0000-0000F90B0000}"/>
    <cellStyle name="Cálculo 3 2 3 4 2 2" xfId="7303" xr:uid="{00000000-0005-0000-0000-0000FA0B0000}"/>
    <cellStyle name="Cálculo 3 2 3 4 2 2 2" xfId="17696" xr:uid="{00000000-0005-0000-0000-0000FB0B0000}"/>
    <cellStyle name="Cálculo 3 2 3 4 2 2 3" xfId="20821" xr:uid="{00000000-0005-0000-0000-0000FC0B0000}"/>
    <cellStyle name="Cálculo 3 2 3 4 2 3" xfId="9530" xr:uid="{00000000-0005-0000-0000-0000FD0B0000}"/>
    <cellStyle name="Cálculo 3 2 3 4 2 4" xfId="14782" xr:uid="{00000000-0005-0000-0000-0000FE0B0000}"/>
    <cellStyle name="Cálculo 3 2 3 4 2 5" xfId="15290" xr:uid="{00000000-0005-0000-0000-0000FF0B0000}"/>
    <cellStyle name="Cálculo 3 2 3 4 3" xfId="3795" xr:uid="{00000000-0005-0000-0000-0000000C0000}"/>
    <cellStyle name="Cálculo 3 2 3 4 3 2" xfId="15058" xr:uid="{00000000-0005-0000-0000-0000010C0000}"/>
    <cellStyle name="Cálculo 3 2 3 4 3 3" xfId="18219" xr:uid="{00000000-0005-0000-0000-0000020C0000}"/>
    <cellStyle name="Cálculo 3 2 3 4 4" xfId="4178" xr:uid="{00000000-0005-0000-0000-0000030C0000}"/>
    <cellStyle name="Cálculo 3 2 3 4 4 2" xfId="15333" xr:uid="{00000000-0005-0000-0000-0000040C0000}"/>
    <cellStyle name="Cálculo 3 2 3 4 4 3" xfId="13827" xr:uid="{00000000-0005-0000-0000-0000050C0000}"/>
    <cellStyle name="Cálculo 3 2 3 4 5" xfId="4560" xr:uid="{00000000-0005-0000-0000-0000060C0000}"/>
    <cellStyle name="Cálculo 3 2 3 4 5 2" xfId="15607" xr:uid="{00000000-0005-0000-0000-0000070C0000}"/>
    <cellStyle name="Cálculo 3 2 3 4 5 3" xfId="13445" xr:uid="{00000000-0005-0000-0000-0000080C0000}"/>
    <cellStyle name="Cálculo 3 2 3 4 6" xfId="5594" xr:uid="{00000000-0005-0000-0000-0000090C0000}"/>
    <cellStyle name="Cálculo 3 2 3 4 6 2" xfId="16405" xr:uid="{00000000-0005-0000-0000-00000A0C0000}"/>
    <cellStyle name="Cálculo 3 2 3 4 6 3" xfId="19112" xr:uid="{00000000-0005-0000-0000-00000B0C0000}"/>
    <cellStyle name="Cálculo 3 2 3 4 7" xfId="9167" xr:uid="{00000000-0005-0000-0000-00000C0C0000}"/>
    <cellStyle name="Cálculo 3 2 3 4 8" xfId="14502" xr:uid="{00000000-0005-0000-0000-00000D0C0000}"/>
    <cellStyle name="Cálculo 3 2 3 4 9" xfId="14955" xr:uid="{00000000-0005-0000-0000-00000E0C0000}"/>
    <cellStyle name="Cálculo 3 2 3 5" xfId="2883" xr:uid="{00000000-0005-0000-0000-00000F0C0000}"/>
    <cellStyle name="Cálculo 3 2 3 5 2" xfId="7165" xr:uid="{00000000-0005-0000-0000-0000100C0000}"/>
    <cellStyle name="Cálculo 3 2 3 5 2 2" xfId="11295" xr:uid="{00000000-0005-0000-0000-0000110C0000}"/>
    <cellStyle name="Cálculo 3 2 3 5 2 3" xfId="17577" xr:uid="{00000000-0005-0000-0000-0000120C0000}"/>
    <cellStyle name="Cálculo 3 2 3 5 2 4" xfId="20683" xr:uid="{00000000-0005-0000-0000-0000130C0000}"/>
    <cellStyle name="Cálculo 3 2 3 5 3" xfId="5456" xr:uid="{00000000-0005-0000-0000-0000140C0000}"/>
    <cellStyle name="Cálculo 3 2 3 5 3 2" xfId="16287" xr:uid="{00000000-0005-0000-0000-0000150C0000}"/>
    <cellStyle name="Cálculo 3 2 3 5 3 3" xfId="18974" xr:uid="{00000000-0005-0000-0000-0000160C0000}"/>
    <cellStyle name="Cálculo 3 2 3 5 4" xfId="9035" xr:uid="{00000000-0005-0000-0000-0000170C0000}"/>
    <cellStyle name="Cálculo 3 2 3 5 5" xfId="14416" xr:uid="{00000000-0005-0000-0000-0000180C0000}"/>
    <cellStyle name="Cálculo 3 2 3 5 6" xfId="16147" xr:uid="{00000000-0005-0000-0000-0000190C0000}"/>
    <cellStyle name="Cálculo 3 2 3 6" xfId="6387" xr:uid="{00000000-0005-0000-0000-00001A0C0000}"/>
    <cellStyle name="Cálculo 3 2 3 6 2" xfId="8095" xr:uid="{00000000-0005-0000-0000-00001B0C0000}"/>
    <cellStyle name="Cálculo 3 2 3 6 2 2" xfId="12063" xr:uid="{00000000-0005-0000-0000-00001C0C0000}"/>
    <cellStyle name="Cálculo 3 2 3 6 2 3" xfId="18301" xr:uid="{00000000-0005-0000-0000-00001D0C0000}"/>
    <cellStyle name="Cálculo 3 2 3 6 2 4" xfId="21613" xr:uid="{00000000-0005-0000-0000-00001E0C0000}"/>
    <cellStyle name="Cálculo 3 2 3 6 3" xfId="10905" xr:uid="{00000000-0005-0000-0000-00001F0C0000}"/>
    <cellStyle name="Cálculo 3 2 3 6 4" xfId="17010" xr:uid="{00000000-0005-0000-0000-0000200C0000}"/>
    <cellStyle name="Cálculo 3 2 3 6 5" xfId="19905" xr:uid="{00000000-0005-0000-0000-0000210C0000}"/>
    <cellStyle name="Cálculo 3 2 3 7" xfId="6619" xr:uid="{00000000-0005-0000-0000-0000220C0000}"/>
    <cellStyle name="Cálculo 3 2 3 7 2" xfId="8327" xr:uid="{00000000-0005-0000-0000-0000230C0000}"/>
    <cellStyle name="Cálculo 3 2 3 7 2 2" xfId="12295" xr:uid="{00000000-0005-0000-0000-0000240C0000}"/>
    <cellStyle name="Cálculo 3 2 3 7 2 3" xfId="18472" xr:uid="{00000000-0005-0000-0000-0000250C0000}"/>
    <cellStyle name="Cálculo 3 2 3 7 2 4" xfId="21845" xr:uid="{00000000-0005-0000-0000-0000260C0000}"/>
    <cellStyle name="Cálculo 3 2 3 7 3" xfId="10945" xr:uid="{00000000-0005-0000-0000-0000270C0000}"/>
    <cellStyle name="Cálculo 3 2 3 7 4" xfId="17181" xr:uid="{00000000-0005-0000-0000-0000280C0000}"/>
    <cellStyle name="Cálculo 3 2 3 7 5" xfId="20137" xr:uid="{00000000-0005-0000-0000-0000290C0000}"/>
    <cellStyle name="Cálculo 3 2 3 8" xfId="6851" xr:uid="{00000000-0005-0000-0000-00002A0C0000}"/>
    <cellStyle name="Cálculo 3 2 3 8 2" xfId="8559" xr:uid="{00000000-0005-0000-0000-00002B0C0000}"/>
    <cellStyle name="Cálculo 3 2 3 8 2 2" xfId="12527" xr:uid="{00000000-0005-0000-0000-00002C0C0000}"/>
    <cellStyle name="Cálculo 3 2 3 8 2 3" xfId="18643" xr:uid="{00000000-0005-0000-0000-00002D0C0000}"/>
    <cellStyle name="Cálculo 3 2 3 8 2 4" xfId="22077" xr:uid="{00000000-0005-0000-0000-00002E0C0000}"/>
    <cellStyle name="Cálculo 3 2 3 8 3" xfId="10985" xr:uid="{00000000-0005-0000-0000-00002F0C0000}"/>
    <cellStyle name="Cálculo 3 2 3 8 4" xfId="17351" xr:uid="{00000000-0005-0000-0000-0000300C0000}"/>
    <cellStyle name="Cálculo 3 2 3 8 5" xfId="20369" xr:uid="{00000000-0005-0000-0000-0000310C0000}"/>
    <cellStyle name="Cálculo 3 2 3 9" xfId="5820" xr:uid="{00000000-0005-0000-0000-0000320C0000}"/>
    <cellStyle name="Cálculo 3 2 3 9 2" xfId="10580" xr:uid="{00000000-0005-0000-0000-0000330C0000}"/>
    <cellStyle name="Cálculo 3 2 3 9 3" xfId="16582" xr:uid="{00000000-0005-0000-0000-0000340C0000}"/>
    <cellStyle name="Cálculo 3 2 3 9 4" xfId="19338" xr:uid="{00000000-0005-0000-0000-0000350C0000}"/>
    <cellStyle name="Cálculo 3 2 4" xfId="2831" xr:uid="{00000000-0005-0000-0000-0000360C0000}"/>
    <cellStyle name="Cálculo 3 2 4 10" xfId="8984" xr:uid="{00000000-0005-0000-0000-0000370C0000}"/>
    <cellStyle name="Cálculo 3 2 4 11" xfId="14372" xr:uid="{00000000-0005-0000-0000-0000380C0000}"/>
    <cellStyle name="Cálculo 3 2 4 12" xfId="14453" xr:uid="{00000000-0005-0000-0000-0000390C0000}"/>
    <cellStyle name="Cálculo 3 2 4 2" xfId="2766" xr:uid="{00000000-0005-0000-0000-00003A0C0000}"/>
    <cellStyle name="Cálculo 3 2 4 2 2" xfId="7354" xr:uid="{00000000-0005-0000-0000-00003B0C0000}"/>
    <cellStyle name="Cálculo 3 2 4 2 2 2" xfId="11440" xr:uid="{00000000-0005-0000-0000-00003C0C0000}"/>
    <cellStyle name="Cálculo 3 2 4 2 2 3" xfId="17741" xr:uid="{00000000-0005-0000-0000-00003D0C0000}"/>
    <cellStyle name="Cálculo 3 2 4 2 2 4" xfId="20872" xr:uid="{00000000-0005-0000-0000-00003E0C0000}"/>
    <cellStyle name="Cálculo 3 2 4 2 3" xfId="5645" xr:uid="{00000000-0005-0000-0000-00003F0C0000}"/>
    <cellStyle name="Cálculo 3 2 4 2 3 2" xfId="16450" xr:uid="{00000000-0005-0000-0000-0000400C0000}"/>
    <cellStyle name="Cálculo 3 2 4 2 3 3" xfId="19163" xr:uid="{00000000-0005-0000-0000-0000410C0000}"/>
    <cellStyle name="Cálculo 3 2 4 2 4" xfId="8921" xr:uid="{00000000-0005-0000-0000-0000420C0000}"/>
    <cellStyle name="Cálculo 3 2 4 2 5" xfId="14317" xr:uid="{00000000-0005-0000-0000-0000430C0000}"/>
    <cellStyle name="Cálculo 3 2 4 2 6" xfId="15193" xr:uid="{00000000-0005-0000-0000-0000440C0000}"/>
    <cellStyle name="Cálculo 3 2 4 3" xfId="3315" xr:uid="{00000000-0005-0000-0000-0000450C0000}"/>
    <cellStyle name="Cálculo 3 2 4 3 2" xfId="8073" xr:uid="{00000000-0005-0000-0000-0000460C0000}"/>
    <cellStyle name="Cálculo 3 2 4 3 2 2" xfId="12043" xr:uid="{00000000-0005-0000-0000-0000470C0000}"/>
    <cellStyle name="Cálculo 3 2 4 3 2 3" xfId="18279" xr:uid="{00000000-0005-0000-0000-0000480C0000}"/>
    <cellStyle name="Cálculo 3 2 4 3 2 4" xfId="21591" xr:uid="{00000000-0005-0000-0000-0000490C0000}"/>
    <cellStyle name="Cálculo 3 2 4 3 3" xfId="6365" xr:uid="{00000000-0005-0000-0000-00004A0C0000}"/>
    <cellStyle name="Cálculo 3 2 4 3 3 2" xfId="16988" xr:uid="{00000000-0005-0000-0000-00004B0C0000}"/>
    <cellStyle name="Cálculo 3 2 4 3 3 3" xfId="19883" xr:uid="{00000000-0005-0000-0000-00004C0C0000}"/>
    <cellStyle name="Cálculo 3 2 4 3 4" xfId="9445" xr:uid="{00000000-0005-0000-0000-00004D0C0000}"/>
    <cellStyle name="Cálculo 3 2 4 3 5" xfId="14727" xr:uid="{00000000-0005-0000-0000-00004E0C0000}"/>
    <cellStyle name="Cálculo 3 2 4 3 6" xfId="14723" xr:uid="{00000000-0005-0000-0000-00004F0C0000}"/>
    <cellStyle name="Cálculo 3 2 4 4" xfId="2812" xr:uid="{00000000-0005-0000-0000-0000500C0000}"/>
    <cellStyle name="Cálculo 3 2 4 4 2" xfId="8143" xr:uid="{00000000-0005-0000-0000-0000510C0000}"/>
    <cellStyle name="Cálculo 3 2 4 4 2 2" xfId="12111" xr:uid="{00000000-0005-0000-0000-0000520C0000}"/>
    <cellStyle name="Cálculo 3 2 4 4 2 3" xfId="18346" xr:uid="{00000000-0005-0000-0000-0000530C0000}"/>
    <cellStyle name="Cálculo 3 2 4 4 2 4" xfId="21661" xr:uid="{00000000-0005-0000-0000-0000540C0000}"/>
    <cellStyle name="Cálculo 3 2 4 4 3" xfId="6435" xr:uid="{00000000-0005-0000-0000-0000550C0000}"/>
    <cellStyle name="Cálculo 3 2 4 4 3 2" xfId="17055" xr:uid="{00000000-0005-0000-0000-0000560C0000}"/>
    <cellStyle name="Cálculo 3 2 4 4 3 3" xfId="19953" xr:uid="{00000000-0005-0000-0000-0000570C0000}"/>
    <cellStyle name="Cálculo 3 2 4 4 4" xfId="8967" xr:uid="{00000000-0005-0000-0000-0000580C0000}"/>
    <cellStyle name="Cálculo 3 2 4 4 5" xfId="14356" xr:uid="{00000000-0005-0000-0000-0000590C0000}"/>
    <cellStyle name="Cálculo 3 2 4 4 6" xfId="14869" xr:uid="{00000000-0005-0000-0000-00005A0C0000}"/>
    <cellStyle name="Cálculo 3 2 4 5" xfId="2772" xr:uid="{00000000-0005-0000-0000-00005B0C0000}"/>
    <cellStyle name="Cálculo 3 2 4 5 2" xfId="8375" xr:uid="{00000000-0005-0000-0000-00005C0C0000}"/>
    <cellStyle name="Cálculo 3 2 4 5 2 2" xfId="12343" xr:uid="{00000000-0005-0000-0000-00005D0C0000}"/>
    <cellStyle name="Cálculo 3 2 4 5 2 3" xfId="18517" xr:uid="{00000000-0005-0000-0000-00005E0C0000}"/>
    <cellStyle name="Cálculo 3 2 4 5 2 4" xfId="21893" xr:uid="{00000000-0005-0000-0000-00005F0C0000}"/>
    <cellStyle name="Cálculo 3 2 4 5 3" xfId="6667" xr:uid="{00000000-0005-0000-0000-0000600C0000}"/>
    <cellStyle name="Cálculo 3 2 4 5 3 2" xfId="17226" xr:uid="{00000000-0005-0000-0000-0000610C0000}"/>
    <cellStyle name="Cálculo 3 2 4 5 3 3" xfId="20185" xr:uid="{00000000-0005-0000-0000-0000620C0000}"/>
    <cellStyle name="Cálculo 3 2 4 5 4" xfId="8927" xr:uid="{00000000-0005-0000-0000-0000630C0000}"/>
    <cellStyle name="Cálculo 3 2 4 5 5" xfId="14322" xr:uid="{00000000-0005-0000-0000-0000640C0000}"/>
    <cellStyle name="Cálculo 3 2 4 5 6" xfId="16621" xr:uid="{00000000-0005-0000-0000-0000650C0000}"/>
    <cellStyle name="Cálculo 3 2 4 6" xfId="6899" xr:uid="{00000000-0005-0000-0000-0000660C0000}"/>
    <cellStyle name="Cálculo 3 2 4 6 2" xfId="8607" xr:uid="{00000000-0005-0000-0000-0000670C0000}"/>
    <cellStyle name="Cálculo 3 2 4 6 2 2" xfId="12575" xr:uid="{00000000-0005-0000-0000-0000680C0000}"/>
    <cellStyle name="Cálculo 3 2 4 6 2 3" xfId="18688" xr:uid="{00000000-0005-0000-0000-0000690C0000}"/>
    <cellStyle name="Cálculo 3 2 4 6 2 4" xfId="22125" xr:uid="{00000000-0005-0000-0000-00006A0C0000}"/>
    <cellStyle name="Cálculo 3 2 4 6 3" xfId="11033" xr:uid="{00000000-0005-0000-0000-00006B0C0000}"/>
    <cellStyle name="Cálculo 3 2 4 6 4" xfId="17396" xr:uid="{00000000-0005-0000-0000-00006C0C0000}"/>
    <cellStyle name="Cálculo 3 2 4 6 5" xfId="20417" xr:uid="{00000000-0005-0000-0000-00006D0C0000}"/>
    <cellStyle name="Cálculo 3 2 4 7" xfId="5887" xr:uid="{00000000-0005-0000-0000-00006E0C0000}"/>
    <cellStyle name="Cálculo 3 2 4 7 2" xfId="10628" xr:uid="{00000000-0005-0000-0000-00006F0C0000}"/>
    <cellStyle name="Cálculo 3 2 4 7 3" xfId="16634" xr:uid="{00000000-0005-0000-0000-0000700C0000}"/>
    <cellStyle name="Cálculo 3 2 4 7 4" xfId="19405" xr:uid="{00000000-0005-0000-0000-0000710C0000}"/>
    <cellStyle name="Cálculo 3 2 4 8" xfId="7595" xr:uid="{00000000-0005-0000-0000-0000720C0000}"/>
    <cellStyle name="Cálculo 3 2 4 8 2" xfId="11616" xr:uid="{00000000-0005-0000-0000-0000730C0000}"/>
    <cellStyle name="Cálculo 3 2 4 8 3" xfId="17926" xr:uid="{00000000-0005-0000-0000-0000740C0000}"/>
    <cellStyle name="Cálculo 3 2 4 8 4" xfId="21113" xr:uid="{00000000-0005-0000-0000-0000750C0000}"/>
    <cellStyle name="Cálculo 3 2 4 9" xfId="4980" xr:uid="{00000000-0005-0000-0000-0000760C0000}"/>
    <cellStyle name="Cálculo 3 2 4 9 2" xfId="15947" xr:uid="{00000000-0005-0000-0000-0000770C0000}"/>
    <cellStyle name="Cálculo 3 2 4 9 3" xfId="13039" xr:uid="{00000000-0005-0000-0000-0000780C0000}"/>
    <cellStyle name="Cálculo 3 2 5" xfId="3117" xr:uid="{00000000-0005-0000-0000-0000790C0000}"/>
    <cellStyle name="Cálculo 3 2 5 2" xfId="3504" xr:uid="{00000000-0005-0000-0000-00007A0C0000}"/>
    <cellStyle name="Cálculo 3 2 5 2 2" xfId="7439" xr:uid="{00000000-0005-0000-0000-00007B0C0000}"/>
    <cellStyle name="Cálculo 3 2 5 2 2 2" xfId="17804" xr:uid="{00000000-0005-0000-0000-00007C0C0000}"/>
    <cellStyle name="Cálculo 3 2 5 2 2 3" xfId="20957" xr:uid="{00000000-0005-0000-0000-00007D0C0000}"/>
    <cellStyle name="Cálculo 3 2 5 2 3" xfId="9597" xr:uid="{00000000-0005-0000-0000-00007E0C0000}"/>
    <cellStyle name="Cálculo 3 2 5 2 4" xfId="14855" xr:uid="{00000000-0005-0000-0000-00007F0C0000}"/>
    <cellStyle name="Cálculo 3 2 5 2 5" xfId="15025" xr:uid="{00000000-0005-0000-0000-0000800C0000}"/>
    <cellStyle name="Cálculo 3 2 5 3" xfId="3887" xr:uid="{00000000-0005-0000-0000-0000810C0000}"/>
    <cellStyle name="Cálculo 3 2 5 3 2" xfId="15131" xr:uid="{00000000-0005-0000-0000-0000820C0000}"/>
    <cellStyle name="Cálculo 3 2 5 3 3" xfId="14131" xr:uid="{00000000-0005-0000-0000-0000830C0000}"/>
    <cellStyle name="Cálculo 3 2 5 4" xfId="4270" xr:uid="{00000000-0005-0000-0000-0000840C0000}"/>
    <cellStyle name="Cálculo 3 2 5 4 2" xfId="15406" xr:uid="{00000000-0005-0000-0000-0000850C0000}"/>
    <cellStyle name="Cálculo 3 2 5 4 3" xfId="13735" xr:uid="{00000000-0005-0000-0000-0000860C0000}"/>
    <cellStyle name="Cálculo 3 2 5 5" xfId="4652" xr:uid="{00000000-0005-0000-0000-0000870C0000}"/>
    <cellStyle name="Cálculo 3 2 5 5 2" xfId="15680" xr:uid="{00000000-0005-0000-0000-0000880C0000}"/>
    <cellStyle name="Cálculo 3 2 5 5 3" xfId="13353" xr:uid="{00000000-0005-0000-0000-0000890C0000}"/>
    <cellStyle name="Cálculo 3 2 5 6" xfId="5730" xr:uid="{00000000-0005-0000-0000-00008A0C0000}"/>
    <cellStyle name="Cálculo 3 2 5 6 2" xfId="16513" xr:uid="{00000000-0005-0000-0000-00008B0C0000}"/>
    <cellStyle name="Cálculo 3 2 5 6 3" xfId="19248" xr:uid="{00000000-0005-0000-0000-00008C0C0000}"/>
    <cellStyle name="Cálculo 3 2 5 7" xfId="9248" xr:uid="{00000000-0005-0000-0000-00008D0C0000}"/>
    <cellStyle name="Cálculo 3 2 5 8" xfId="14575" xr:uid="{00000000-0005-0000-0000-00008E0C0000}"/>
    <cellStyle name="Cálculo 3 2 5 9" xfId="16080" xr:uid="{00000000-0005-0000-0000-00008F0C0000}"/>
    <cellStyle name="Cálculo 3 2 6" xfId="3036" xr:uid="{00000000-0005-0000-0000-0000900C0000}"/>
    <cellStyle name="Cálculo 3 2 6 2" xfId="3423" xr:uid="{00000000-0005-0000-0000-0000910C0000}"/>
    <cellStyle name="Cálculo 3 2 6 2 2" xfId="7869" xr:uid="{00000000-0005-0000-0000-0000920C0000}"/>
    <cellStyle name="Cálculo 3 2 6 2 2 2" xfId="18126" xr:uid="{00000000-0005-0000-0000-0000930C0000}"/>
    <cellStyle name="Cálculo 3 2 6 2 2 3" xfId="21387" xr:uid="{00000000-0005-0000-0000-0000940C0000}"/>
    <cellStyle name="Cálculo 3 2 6 2 3" xfId="9536" xr:uid="{00000000-0005-0000-0000-0000950C0000}"/>
    <cellStyle name="Cálculo 3 2 6 2 4" xfId="14791" xr:uid="{00000000-0005-0000-0000-0000960C0000}"/>
    <cellStyle name="Cálculo 3 2 6 2 5" xfId="15615" xr:uid="{00000000-0005-0000-0000-0000970C0000}"/>
    <cellStyle name="Cálculo 3 2 6 3" xfId="3806" xr:uid="{00000000-0005-0000-0000-0000980C0000}"/>
    <cellStyle name="Cálculo 3 2 6 3 2" xfId="15067" xr:uid="{00000000-0005-0000-0000-0000990C0000}"/>
    <cellStyle name="Cálculo 3 2 6 3 3" xfId="17127" xr:uid="{00000000-0005-0000-0000-00009A0C0000}"/>
    <cellStyle name="Cálculo 3 2 6 4" xfId="4189" xr:uid="{00000000-0005-0000-0000-00009B0C0000}"/>
    <cellStyle name="Cálculo 3 2 6 4 2" xfId="15342" xr:uid="{00000000-0005-0000-0000-00009C0C0000}"/>
    <cellStyle name="Cálculo 3 2 6 4 3" xfId="13816" xr:uid="{00000000-0005-0000-0000-00009D0C0000}"/>
    <cellStyle name="Cálculo 3 2 6 5" xfId="4571" xr:uid="{00000000-0005-0000-0000-00009E0C0000}"/>
    <cellStyle name="Cálculo 3 2 6 5 2" xfId="15616" xr:uid="{00000000-0005-0000-0000-00009F0C0000}"/>
    <cellStyle name="Cálculo 3 2 6 5 3" xfId="13434" xr:uid="{00000000-0005-0000-0000-0000A00C0000}"/>
    <cellStyle name="Cálculo 3 2 6 6" xfId="6161" xr:uid="{00000000-0005-0000-0000-0000A10C0000}"/>
    <cellStyle name="Cálculo 3 2 6 6 2" xfId="16834" xr:uid="{00000000-0005-0000-0000-0000A20C0000}"/>
    <cellStyle name="Cálculo 3 2 6 6 3" xfId="19679" xr:uid="{00000000-0005-0000-0000-0000A30C0000}"/>
    <cellStyle name="Cálculo 3 2 6 7" xfId="9176" xr:uid="{00000000-0005-0000-0000-0000A40C0000}"/>
    <cellStyle name="Cálculo 3 2 6 8" xfId="14511" xr:uid="{00000000-0005-0000-0000-0000A50C0000}"/>
    <cellStyle name="Cálculo 3 2 6 9" xfId="18415" xr:uid="{00000000-0005-0000-0000-0000A60C0000}"/>
    <cellStyle name="Cálculo 3 2 7" xfId="5323" xr:uid="{00000000-0005-0000-0000-0000A70C0000}"/>
    <cellStyle name="Cálculo 3 2 7 2" xfId="5094" xr:uid="{00000000-0005-0000-0000-0000A80C0000}"/>
    <cellStyle name="Cálculo 3 2 7 2 2" xfId="10342" xr:uid="{00000000-0005-0000-0000-0000A90C0000}"/>
    <cellStyle name="Cálculo 3 2 7 2 3" xfId="16030" xr:uid="{00000000-0005-0000-0000-0000AA0C0000}"/>
    <cellStyle name="Cálculo 3 2 7 2 4" xfId="14119" xr:uid="{00000000-0005-0000-0000-0000AB0C0000}"/>
    <cellStyle name="Cálculo 3 2 7 3" xfId="10423" xr:uid="{00000000-0005-0000-0000-0000AC0C0000}"/>
    <cellStyle name="Cálculo 3 2 7 4" xfId="16194" xr:uid="{00000000-0005-0000-0000-0000AD0C0000}"/>
    <cellStyle name="Cálculo 3 2 7 5" xfId="18841" xr:uid="{00000000-0005-0000-0000-0000AE0C0000}"/>
    <cellStyle name="Cálculo 3 2 8" xfId="6337" xr:uid="{00000000-0005-0000-0000-0000AF0C0000}"/>
    <cellStyle name="Cálculo 3 2 8 2" xfId="8045" xr:uid="{00000000-0005-0000-0000-0000B00C0000}"/>
    <cellStyle name="Cálculo 3 2 8 2 2" xfId="12016" xr:uid="{00000000-0005-0000-0000-0000B10C0000}"/>
    <cellStyle name="Cálculo 3 2 8 2 3" xfId="18257" xr:uid="{00000000-0005-0000-0000-0000B20C0000}"/>
    <cellStyle name="Cálculo 3 2 8 2 4" xfId="21563" xr:uid="{00000000-0005-0000-0000-0000B30C0000}"/>
    <cellStyle name="Cálculo 3 2 8 3" xfId="10872" xr:uid="{00000000-0005-0000-0000-0000B40C0000}"/>
    <cellStyle name="Cálculo 3 2 8 4" xfId="16966" xr:uid="{00000000-0005-0000-0000-0000B50C0000}"/>
    <cellStyle name="Cálculo 3 2 8 5" xfId="19855" xr:uid="{00000000-0005-0000-0000-0000B60C0000}"/>
    <cellStyle name="Cálculo 3 2 9" xfId="5262" xr:uid="{00000000-0005-0000-0000-0000B70C0000}"/>
    <cellStyle name="Cálculo 3 2 9 2" xfId="10402" xr:uid="{00000000-0005-0000-0000-0000B80C0000}"/>
    <cellStyle name="Cálculo 3 2 9 3" xfId="16144" xr:uid="{00000000-0005-0000-0000-0000B90C0000}"/>
    <cellStyle name="Cálculo 3 2 9 4" xfId="12832" xr:uid="{00000000-0005-0000-0000-0000BA0C0000}"/>
    <cellStyle name="Cálculo 3 3" xfId="2686" xr:uid="{00000000-0005-0000-0000-0000BB0C0000}"/>
    <cellStyle name="Cálculo 3 3 10" xfId="5732" xr:uid="{00000000-0005-0000-0000-0000BC0C0000}"/>
    <cellStyle name="Cálculo 3 3 10 2" xfId="10514" xr:uid="{00000000-0005-0000-0000-0000BD0C0000}"/>
    <cellStyle name="Cálculo 3 3 10 3" xfId="16515" xr:uid="{00000000-0005-0000-0000-0000BE0C0000}"/>
    <cellStyle name="Cálculo 3 3 10 4" xfId="19250" xr:uid="{00000000-0005-0000-0000-0000BF0C0000}"/>
    <cellStyle name="Cálculo 3 3 11" xfId="7441" xr:uid="{00000000-0005-0000-0000-0000C00C0000}"/>
    <cellStyle name="Cálculo 3 3 11 2" xfId="11501" xr:uid="{00000000-0005-0000-0000-0000C10C0000}"/>
    <cellStyle name="Cálculo 3 3 11 3" xfId="17806" xr:uid="{00000000-0005-0000-0000-0000C20C0000}"/>
    <cellStyle name="Cálculo 3 3 11 4" xfId="20959" xr:uid="{00000000-0005-0000-0000-0000C30C0000}"/>
    <cellStyle name="Cálculo 3 3 12" xfId="4864" xr:uid="{00000000-0005-0000-0000-0000C40C0000}"/>
    <cellStyle name="Cálculo 3 3 12 2" xfId="15841" xr:uid="{00000000-0005-0000-0000-0000C50C0000}"/>
    <cellStyle name="Cálculo 3 3 12 3" xfId="13142" xr:uid="{00000000-0005-0000-0000-0000C60C0000}"/>
    <cellStyle name="Cálculo 3 3 13" xfId="8841" xr:uid="{00000000-0005-0000-0000-0000C70C0000}"/>
    <cellStyle name="Cálculo 3 3 14" xfId="14259" xr:uid="{00000000-0005-0000-0000-0000C80C0000}"/>
    <cellStyle name="Cálculo 3 3 15" xfId="16089" xr:uid="{00000000-0005-0000-0000-0000C90C0000}"/>
    <cellStyle name="Cálculo 3 3 2" xfId="2743" xr:uid="{00000000-0005-0000-0000-0000CA0C0000}"/>
    <cellStyle name="Cálculo 3 3 2 10" xfId="4931" xr:uid="{00000000-0005-0000-0000-0000CB0C0000}"/>
    <cellStyle name="Cálculo 3 3 2 10 2" xfId="15901" xr:uid="{00000000-0005-0000-0000-0000CC0C0000}"/>
    <cellStyle name="Cálculo 3 3 2 10 3" xfId="13088" xr:uid="{00000000-0005-0000-0000-0000CD0C0000}"/>
    <cellStyle name="Cálculo 3 3 2 11" xfId="8898" xr:uid="{00000000-0005-0000-0000-0000CE0C0000}"/>
    <cellStyle name="Cálculo 3 3 2 12" xfId="14302" xr:uid="{00000000-0005-0000-0000-0000CF0C0000}"/>
    <cellStyle name="Cálculo 3 3 2 2" xfId="3233" xr:uid="{00000000-0005-0000-0000-0000D00C0000}"/>
    <cellStyle name="Cálculo 3 3 2 2 10" xfId="9363" xr:uid="{00000000-0005-0000-0000-0000D10C0000}"/>
    <cellStyle name="Cálculo 3 3 2 2 11" xfId="14667" xr:uid="{00000000-0005-0000-0000-0000D20C0000}"/>
    <cellStyle name="Cálculo 3 3 2 2 12" xfId="15339" xr:uid="{00000000-0005-0000-0000-0000D30C0000}"/>
    <cellStyle name="Cálculo 3 3 2 2 2" xfId="3620" xr:uid="{00000000-0005-0000-0000-0000D40C0000}"/>
    <cellStyle name="Cálculo 3 3 2 2 2 2" xfId="7981" xr:uid="{00000000-0005-0000-0000-0000D50C0000}"/>
    <cellStyle name="Cálculo 3 3 2 2 2 2 2" xfId="11957" xr:uid="{00000000-0005-0000-0000-0000D60C0000}"/>
    <cellStyle name="Cálculo 3 3 2 2 2 2 3" xfId="18206" xr:uid="{00000000-0005-0000-0000-0000D70C0000}"/>
    <cellStyle name="Cálculo 3 3 2 2 2 2 4" xfId="21499" xr:uid="{00000000-0005-0000-0000-0000D80C0000}"/>
    <cellStyle name="Cálculo 3 3 2 2 2 3" xfId="6273" xr:uid="{00000000-0005-0000-0000-0000D90C0000}"/>
    <cellStyle name="Cálculo 3 3 2 2 2 3 2" xfId="16915" xr:uid="{00000000-0005-0000-0000-0000DA0C0000}"/>
    <cellStyle name="Cálculo 3 3 2 2 2 3 3" xfId="19791" xr:uid="{00000000-0005-0000-0000-0000DB0C0000}"/>
    <cellStyle name="Cálculo 3 3 2 2 2 4" xfId="9712" xr:uid="{00000000-0005-0000-0000-0000DC0C0000}"/>
    <cellStyle name="Cálculo 3 3 2 2 2 5" xfId="14947" xr:uid="{00000000-0005-0000-0000-0000DD0C0000}"/>
    <cellStyle name="Cálculo 3 3 2 2 2 6" xfId="15216" xr:uid="{00000000-0005-0000-0000-0000DE0C0000}"/>
    <cellStyle name="Cálculo 3 3 2 2 3" xfId="4003" xr:uid="{00000000-0005-0000-0000-0000DF0C0000}"/>
    <cellStyle name="Cálculo 3 3 2 2 3 2" xfId="7328" xr:uid="{00000000-0005-0000-0000-0000E00C0000}"/>
    <cellStyle name="Cálculo 3 3 2 2 3 2 2" xfId="11418" xr:uid="{00000000-0005-0000-0000-0000E10C0000}"/>
    <cellStyle name="Cálculo 3 3 2 2 3 2 3" xfId="17718" xr:uid="{00000000-0005-0000-0000-0000E20C0000}"/>
    <cellStyle name="Cálculo 3 3 2 2 3 2 4" xfId="20846" xr:uid="{00000000-0005-0000-0000-0000E30C0000}"/>
    <cellStyle name="Cálculo 3 3 2 2 3 3" xfId="5619" xr:uid="{00000000-0005-0000-0000-0000E40C0000}"/>
    <cellStyle name="Cálculo 3 3 2 2 3 3 2" xfId="16427" xr:uid="{00000000-0005-0000-0000-0000E50C0000}"/>
    <cellStyle name="Cálculo 3 3 2 2 3 3 3" xfId="19137" xr:uid="{00000000-0005-0000-0000-0000E60C0000}"/>
    <cellStyle name="Cálculo 3 3 2 2 3 4" xfId="9922" xr:uid="{00000000-0005-0000-0000-0000E70C0000}"/>
    <cellStyle name="Cálculo 3 3 2 2 3 5" xfId="15222" xr:uid="{00000000-0005-0000-0000-0000E80C0000}"/>
    <cellStyle name="Cálculo 3 3 2 2 3 6" xfId="13988" xr:uid="{00000000-0005-0000-0000-0000E90C0000}"/>
    <cellStyle name="Cálculo 3 3 2 2 4" xfId="4386" xr:uid="{00000000-0005-0000-0000-0000EA0C0000}"/>
    <cellStyle name="Cálculo 3 3 2 2 4 2" xfId="8288" xr:uid="{00000000-0005-0000-0000-0000EB0C0000}"/>
    <cellStyle name="Cálculo 3 3 2 2 4 2 2" xfId="12256" xr:uid="{00000000-0005-0000-0000-0000EC0C0000}"/>
    <cellStyle name="Cálculo 3 3 2 2 4 2 3" xfId="18440" xr:uid="{00000000-0005-0000-0000-0000ED0C0000}"/>
    <cellStyle name="Cálculo 3 3 2 2 4 2 4" xfId="21806" xr:uid="{00000000-0005-0000-0000-0000EE0C0000}"/>
    <cellStyle name="Cálculo 3 3 2 2 4 3" xfId="6580" xr:uid="{00000000-0005-0000-0000-0000EF0C0000}"/>
    <cellStyle name="Cálculo 3 3 2 2 4 3 2" xfId="17149" xr:uid="{00000000-0005-0000-0000-0000F00C0000}"/>
    <cellStyle name="Cálculo 3 3 2 2 4 3 3" xfId="20098" xr:uid="{00000000-0005-0000-0000-0000F10C0000}"/>
    <cellStyle name="Cálculo 3 3 2 2 4 4" xfId="10100" xr:uid="{00000000-0005-0000-0000-0000F20C0000}"/>
    <cellStyle name="Cálculo 3 3 2 2 4 5" xfId="15498" xr:uid="{00000000-0005-0000-0000-0000F30C0000}"/>
    <cellStyle name="Cálculo 3 3 2 2 4 6" xfId="13619" xr:uid="{00000000-0005-0000-0000-0000F40C0000}"/>
    <cellStyle name="Cálculo 3 3 2 2 5" xfId="4768" xr:uid="{00000000-0005-0000-0000-0000F50C0000}"/>
    <cellStyle name="Cálculo 3 3 2 2 5 2" xfId="8520" xr:uid="{00000000-0005-0000-0000-0000F60C0000}"/>
    <cellStyle name="Cálculo 3 3 2 2 5 2 2" xfId="12488" xr:uid="{00000000-0005-0000-0000-0000F70C0000}"/>
    <cellStyle name="Cálculo 3 3 2 2 5 2 3" xfId="18611" xr:uid="{00000000-0005-0000-0000-0000F80C0000}"/>
    <cellStyle name="Cálculo 3 3 2 2 5 2 4" xfId="22038" xr:uid="{00000000-0005-0000-0000-0000F90C0000}"/>
    <cellStyle name="Cálculo 3 3 2 2 5 3" xfId="6812" xr:uid="{00000000-0005-0000-0000-0000FA0C0000}"/>
    <cellStyle name="Cálculo 3 3 2 2 5 3 2" xfId="17319" xr:uid="{00000000-0005-0000-0000-0000FB0C0000}"/>
    <cellStyle name="Cálculo 3 3 2 2 5 3 3" xfId="20330" xr:uid="{00000000-0005-0000-0000-0000FC0C0000}"/>
    <cellStyle name="Cálculo 3 3 2 2 5 4" xfId="10277" xr:uid="{00000000-0005-0000-0000-0000FD0C0000}"/>
    <cellStyle name="Cálculo 3 3 2 2 5 5" xfId="15770" xr:uid="{00000000-0005-0000-0000-0000FE0C0000}"/>
    <cellStyle name="Cálculo 3 3 2 2 5 6" xfId="13237" xr:uid="{00000000-0005-0000-0000-0000FF0C0000}"/>
    <cellStyle name="Cálculo 3 3 2 2 6" xfId="7044" xr:uid="{00000000-0005-0000-0000-0000000D0000}"/>
    <cellStyle name="Cálculo 3 3 2 2 6 2" xfId="8752" xr:uid="{00000000-0005-0000-0000-0000010D0000}"/>
    <cellStyle name="Cálculo 3 3 2 2 6 2 2" xfId="12720" xr:uid="{00000000-0005-0000-0000-0000020D0000}"/>
    <cellStyle name="Cálculo 3 3 2 2 6 2 3" xfId="18783" xr:uid="{00000000-0005-0000-0000-0000030D0000}"/>
    <cellStyle name="Cálculo 3 3 2 2 6 2 4" xfId="22270" xr:uid="{00000000-0005-0000-0000-0000040D0000}"/>
    <cellStyle name="Cálculo 3 3 2 2 6 3" xfId="11178" xr:uid="{00000000-0005-0000-0000-0000050D0000}"/>
    <cellStyle name="Cálculo 3 3 2 2 6 4" xfId="17490" xr:uid="{00000000-0005-0000-0000-0000060D0000}"/>
    <cellStyle name="Cálculo 3 3 2 2 6 5" xfId="20562" xr:uid="{00000000-0005-0000-0000-0000070D0000}"/>
    <cellStyle name="Cálculo 3 3 2 2 7" xfId="6032" xr:uid="{00000000-0005-0000-0000-0000080D0000}"/>
    <cellStyle name="Cálculo 3 3 2 2 7 2" xfId="10773" xr:uid="{00000000-0005-0000-0000-0000090D0000}"/>
    <cellStyle name="Cálculo 3 3 2 2 7 3" xfId="16729" xr:uid="{00000000-0005-0000-0000-00000A0D0000}"/>
    <cellStyle name="Cálculo 3 3 2 2 7 4" xfId="19550" xr:uid="{00000000-0005-0000-0000-00000B0D0000}"/>
    <cellStyle name="Cálculo 3 3 2 2 8" xfId="7740" xr:uid="{00000000-0005-0000-0000-00000C0D0000}"/>
    <cellStyle name="Cálculo 3 3 2 2 8 2" xfId="11761" xr:uid="{00000000-0005-0000-0000-00000D0D0000}"/>
    <cellStyle name="Cálculo 3 3 2 2 8 3" xfId="18021" xr:uid="{00000000-0005-0000-0000-00000E0D0000}"/>
    <cellStyle name="Cálculo 3 3 2 2 8 4" xfId="21258" xr:uid="{00000000-0005-0000-0000-00000F0D0000}"/>
    <cellStyle name="Cálculo 3 3 2 2 9" xfId="5226" xr:uid="{00000000-0005-0000-0000-0000100D0000}"/>
    <cellStyle name="Cálculo 3 3 2 2 9 2" xfId="16117" xr:uid="{00000000-0005-0000-0000-0000110D0000}"/>
    <cellStyle name="Cálculo 3 3 2 2 9 3" xfId="12868" xr:uid="{00000000-0005-0000-0000-0000120D0000}"/>
    <cellStyle name="Cálculo 3 3 2 3" xfId="3290" xr:uid="{00000000-0005-0000-0000-0000130D0000}"/>
    <cellStyle name="Cálculo 3 3 2 3 2" xfId="3677" xr:uid="{00000000-0005-0000-0000-0000140D0000}"/>
    <cellStyle name="Cálculo 3 3 2 3 2 2" xfId="7305" xr:uid="{00000000-0005-0000-0000-0000150D0000}"/>
    <cellStyle name="Cálculo 3 3 2 3 2 2 2" xfId="17698" xr:uid="{00000000-0005-0000-0000-0000160D0000}"/>
    <cellStyle name="Cálculo 3 3 2 3 2 2 3" xfId="20823" xr:uid="{00000000-0005-0000-0000-0000170D0000}"/>
    <cellStyle name="Cálculo 3 3 2 3 2 3" xfId="9756" xr:uid="{00000000-0005-0000-0000-0000180D0000}"/>
    <cellStyle name="Cálculo 3 3 2 3 2 4" xfId="14989" xr:uid="{00000000-0005-0000-0000-0000190D0000}"/>
    <cellStyle name="Cálculo 3 3 2 3 2 5" xfId="18580" xr:uid="{00000000-0005-0000-0000-00001A0D0000}"/>
    <cellStyle name="Cálculo 3 3 2 3 3" xfId="4060" xr:uid="{00000000-0005-0000-0000-00001B0D0000}"/>
    <cellStyle name="Cálculo 3 3 2 3 3 2" xfId="15264" xr:uid="{00000000-0005-0000-0000-00001C0D0000}"/>
    <cellStyle name="Cálculo 3 3 2 3 3 3" xfId="13931" xr:uid="{00000000-0005-0000-0000-00001D0D0000}"/>
    <cellStyle name="Cálculo 3 3 2 3 4" xfId="4443" xr:uid="{00000000-0005-0000-0000-00001E0D0000}"/>
    <cellStyle name="Cálculo 3 3 2 3 4 2" xfId="15539" xr:uid="{00000000-0005-0000-0000-00001F0D0000}"/>
    <cellStyle name="Cálculo 3 3 2 3 4 3" xfId="13562" xr:uid="{00000000-0005-0000-0000-0000200D0000}"/>
    <cellStyle name="Cálculo 3 3 2 3 5" xfId="4825" xr:uid="{00000000-0005-0000-0000-0000210D0000}"/>
    <cellStyle name="Cálculo 3 3 2 3 5 2" xfId="15811" xr:uid="{00000000-0005-0000-0000-0000220D0000}"/>
    <cellStyle name="Cálculo 3 3 2 3 5 3" xfId="13181" xr:uid="{00000000-0005-0000-0000-0000230D0000}"/>
    <cellStyle name="Cálculo 3 3 2 3 6" xfId="5596" xr:uid="{00000000-0005-0000-0000-0000240D0000}"/>
    <cellStyle name="Cálculo 3 3 2 3 6 2" xfId="16407" xr:uid="{00000000-0005-0000-0000-0000250D0000}"/>
    <cellStyle name="Cálculo 3 3 2 3 6 3" xfId="19114" xr:uid="{00000000-0005-0000-0000-0000260D0000}"/>
    <cellStyle name="Cálculo 3 3 2 3 7" xfId="9420" xr:uid="{00000000-0005-0000-0000-0000270D0000}"/>
    <cellStyle name="Cálculo 3 3 2 3 8" xfId="14709" xr:uid="{00000000-0005-0000-0000-0000280D0000}"/>
    <cellStyle name="Cálculo 3 3 2 3 9" xfId="17979" xr:uid="{00000000-0005-0000-0000-0000290D0000}"/>
    <cellStyle name="Cálculo 3 3 2 4" xfId="2908" xr:uid="{00000000-0005-0000-0000-00002A0D0000}"/>
    <cellStyle name="Cálculo 3 3 2 4 2" xfId="7086" xr:uid="{00000000-0005-0000-0000-00002B0D0000}"/>
    <cellStyle name="Cálculo 3 3 2 4 2 2" xfId="11220" xr:uid="{00000000-0005-0000-0000-00002C0D0000}"/>
    <cellStyle name="Cálculo 3 3 2 4 2 3" xfId="17517" xr:uid="{00000000-0005-0000-0000-00002D0D0000}"/>
    <cellStyle name="Cálculo 3 3 2 4 2 4" xfId="20604" xr:uid="{00000000-0005-0000-0000-00002E0D0000}"/>
    <cellStyle name="Cálculo 3 3 2 4 3" xfId="5377" xr:uid="{00000000-0005-0000-0000-00002F0D0000}"/>
    <cellStyle name="Cálculo 3 3 2 4 3 2" xfId="16227" xr:uid="{00000000-0005-0000-0000-0000300D0000}"/>
    <cellStyle name="Cálculo 3 3 2 4 3 3" xfId="18895" xr:uid="{00000000-0005-0000-0000-0000310D0000}"/>
    <cellStyle name="Cálculo 3 3 2 4 4" xfId="9060" xr:uid="{00000000-0005-0000-0000-0000320D0000}"/>
    <cellStyle name="Cálculo 3 3 2 4 5" xfId="14434" xr:uid="{00000000-0005-0000-0000-0000330D0000}"/>
    <cellStyle name="Cálculo 3 3 2 4 6" xfId="16151" xr:uid="{00000000-0005-0000-0000-0000340D0000}"/>
    <cellStyle name="Cálculo 3 3 2 5" xfId="6389" xr:uid="{00000000-0005-0000-0000-0000350D0000}"/>
    <cellStyle name="Cálculo 3 3 2 5 2" xfId="8097" xr:uid="{00000000-0005-0000-0000-0000360D0000}"/>
    <cellStyle name="Cálculo 3 3 2 5 2 2" xfId="12065" xr:uid="{00000000-0005-0000-0000-0000370D0000}"/>
    <cellStyle name="Cálculo 3 3 2 5 2 3" xfId="18303" xr:uid="{00000000-0005-0000-0000-0000380D0000}"/>
    <cellStyle name="Cálculo 3 3 2 5 2 4" xfId="21615" xr:uid="{00000000-0005-0000-0000-0000390D0000}"/>
    <cellStyle name="Cálculo 3 3 2 5 3" xfId="10907" xr:uid="{00000000-0005-0000-0000-00003A0D0000}"/>
    <cellStyle name="Cálculo 3 3 2 5 4" xfId="17012" xr:uid="{00000000-0005-0000-0000-00003B0D0000}"/>
    <cellStyle name="Cálculo 3 3 2 5 5" xfId="19907" xr:uid="{00000000-0005-0000-0000-00003C0D0000}"/>
    <cellStyle name="Cálculo 3 3 2 6" xfId="6621" xr:uid="{00000000-0005-0000-0000-00003D0D0000}"/>
    <cellStyle name="Cálculo 3 3 2 6 2" xfId="8329" xr:uid="{00000000-0005-0000-0000-00003E0D0000}"/>
    <cellStyle name="Cálculo 3 3 2 6 2 2" xfId="12297" xr:uid="{00000000-0005-0000-0000-00003F0D0000}"/>
    <cellStyle name="Cálculo 3 3 2 6 2 3" xfId="18474" xr:uid="{00000000-0005-0000-0000-0000400D0000}"/>
    <cellStyle name="Cálculo 3 3 2 6 2 4" xfId="21847" xr:uid="{00000000-0005-0000-0000-0000410D0000}"/>
    <cellStyle name="Cálculo 3 3 2 6 3" xfId="10947" xr:uid="{00000000-0005-0000-0000-0000420D0000}"/>
    <cellStyle name="Cálculo 3 3 2 6 4" xfId="17183" xr:uid="{00000000-0005-0000-0000-0000430D0000}"/>
    <cellStyle name="Cálculo 3 3 2 6 5" xfId="20139" xr:uid="{00000000-0005-0000-0000-0000440D0000}"/>
    <cellStyle name="Cálculo 3 3 2 7" xfId="6853" xr:uid="{00000000-0005-0000-0000-0000450D0000}"/>
    <cellStyle name="Cálculo 3 3 2 7 2" xfId="8561" xr:uid="{00000000-0005-0000-0000-0000460D0000}"/>
    <cellStyle name="Cálculo 3 3 2 7 2 2" xfId="12529" xr:uid="{00000000-0005-0000-0000-0000470D0000}"/>
    <cellStyle name="Cálculo 3 3 2 7 2 3" xfId="18645" xr:uid="{00000000-0005-0000-0000-0000480D0000}"/>
    <cellStyle name="Cálculo 3 3 2 7 2 4" xfId="22079" xr:uid="{00000000-0005-0000-0000-0000490D0000}"/>
    <cellStyle name="Cálculo 3 3 2 7 3" xfId="10987" xr:uid="{00000000-0005-0000-0000-00004A0D0000}"/>
    <cellStyle name="Cálculo 3 3 2 7 4" xfId="17353" xr:uid="{00000000-0005-0000-0000-00004B0D0000}"/>
    <cellStyle name="Cálculo 3 3 2 7 5" xfId="20371" xr:uid="{00000000-0005-0000-0000-00004C0D0000}"/>
    <cellStyle name="Cálculo 3 3 2 8" xfId="5822" xr:uid="{00000000-0005-0000-0000-00004D0D0000}"/>
    <cellStyle name="Cálculo 3 3 2 8 2" xfId="10582" xr:uid="{00000000-0005-0000-0000-00004E0D0000}"/>
    <cellStyle name="Cálculo 3 3 2 8 3" xfId="16584" xr:uid="{00000000-0005-0000-0000-00004F0D0000}"/>
    <cellStyle name="Cálculo 3 3 2 8 4" xfId="19340" xr:uid="{00000000-0005-0000-0000-0000500D0000}"/>
    <cellStyle name="Cálculo 3 3 2 9" xfId="7530" xr:uid="{00000000-0005-0000-0000-0000510D0000}"/>
    <cellStyle name="Cálculo 3 3 2 9 2" xfId="11568" xr:uid="{00000000-0005-0000-0000-0000520D0000}"/>
    <cellStyle name="Cálculo 3 3 2 9 3" xfId="17876" xr:uid="{00000000-0005-0000-0000-0000530D0000}"/>
    <cellStyle name="Cálculo 3 3 2 9 4" xfId="21048" xr:uid="{00000000-0005-0000-0000-0000540D0000}"/>
    <cellStyle name="Cálculo 3 3 3" xfId="2665" xr:uid="{00000000-0005-0000-0000-0000550D0000}"/>
    <cellStyle name="Cálculo 3 3 3 10" xfId="4871" xr:uid="{00000000-0005-0000-0000-0000560D0000}"/>
    <cellStyle name="Cálculo 3 3 3 10 2" xfId="15846" xr:uid="{00000000-0005-0000-0000-0000570D0000}"/>
    <cellStyle name="Cálculo 3 3 3 10 3" xfId="13135" xr:uid="{00000000-0005-0000-0000-0000580D0000}"/>
    <cellStyle name="Cálculo 3 3 3 11" xfId="8822" xr:uid="{00000000-0005-0000-0000-0000590D0000}"/>
    <cellStyle name="Cálculo 3 3 3 12" xfId="14240" xr:uid="{00000000-0005-0000-0000-00005A0D0000}"/>
    <cellStyle name="Cálculo 3 3 3 2" xfId="3157" xr:uid="{00000000-0005-0000-0000-00005B0D0000}"/>
    <cellStyle name="Cálculo 3 3 3 2 10" xfId="9287" xr:uid="{00000000-0005-0000-0000-00005C0D0000}"/>
    <cellStyle name="Cálculo 3 3 3 2 11" xfId="14608" xr:uid="{00000000-0005-0000-0000-00005D0D0000}"/>
    <cellStyle name="Cálculo 3 3 3 2 12" xfId="16911" xr:uid="{00000000-0005-0000-0000-00005E0D0000}"/>
    <cellStyle name="Cálculo 3 3 3 2 2" xfId="3544" xr:uid="{00000000-0005-0000-0000-00005F0D0000}"/>
    <cellStyle name="Cálculo 3 3 3 2 2 2" xfId="7368" xr:uid="{00000000-0005-0000-0000-0000600D0000}"/>
    <cellStyle name="Cálculo 3 3 3 2 2 2 2" xfId="11454" xr:uid="{00000000-0005-0000-0000-0000610D0000}"/>
    <cellStyle name="Cálculo 3 3 3 2 2 2 3" xfId="17752" xr:uid="{00000000-0005-0000-0000-0000620D0000}"/>
    <cellStyle name="Cálculo 3 3 3 2 2 2 4" xfId="20886" xr:uid="{00000000-0005-0000-0000-0000630D0000}"/>
    <cellStyle name="Cálculo 3 3 3 2 2 3" xfId="5659" xr:uid="{00000000-0005-0000-0000-0000640D0000}"/>
    <cellStyle name="Cálculo 3 3 3 2 2 3 2" xfId="16461" xr:uid="{00000000-0005-0000-0000-0000650D0000}"/>
    <cellStyle name="Cálculo 3 3 3 2 2 3 3" xfId="19177" xr:uid="{00000000-0005-0000-0000-0000660D0000}"/>
    <cellStyle name="Cálculo 3 3 3 2 2 4" xfId="9636" xr:uid="{00000000-0005-0000-0000-0000670D0000}"/>
    <cellStyle name="Cálculo 3 3 3 2 2 5" xfId="14888" xr:uid="{00000000-0005-0000-0000-0000680D0000}"/>
    <cellStyle name="Cálculo 3 3 3 2 2 6" xfId="14338" xr:uid="{00000000-0005-0000-0000-0000690D0000}"/>
    <cellStyle name="Cálculo 3 3 3 2 3" xfId="3927" xr:uid="{00000000-0005-0000-0000-00006A0D0000}"/>
    <cellStyle name="Cálculo 3 3 3 2 3 2" xfId="4977" xr:uid="{00000000-0005-0000-0000-00006B0D0000}"/>
    <cellStyle name="Cálculo 3 3 3 2 3 2 2" xfId="10300" xr:uid="{00000000-0005-0000-0000-00006C0D0000}"/>
    <cellStyle name="Cálculo 3 3 3 2 3 2 3" xfId="15944" xr:uid="{00000000-0005-0000-0000-00006D0D0000}"/>
    <cellStyle name="Cálculo 3 3 3 2 3 2 4" xfId="13042" xr:uid="{00000000-0005-0000-0000-00006E0D0000}"/>
    <cellStyle name="Cálculo 3 3 3 2 3 3" xfId="5343" xr:uid="{00000000-0005-0000-0000-00006F0D0000}"/>
    <cellStyle name="Cálculo 3 3 3 2 3 3 2" xfId="16210" xr:uid="{00000000-0005-0000-0000-0000700D0000}"/>
    <cellStyle name="Cálculo 3 3 3 2 3 3 3" xfId="18861" xr:uid="{00000000-0005-0000-0000-0000710D0000}"/>
    <cellStyle name="Cálculo 3 3 3 2 3 4" xfId="9850" xr:uid="{00000000-0005-0000-0000-0000720D0000}"/>
    <cellStyle name="Cálculo 3 3 3 2 3 5" xfId="15164" xr:uid="{00000000-0005-0000-0000-0000730D0000}"/>
    <cellStyle name="Cálculo 3 3 3 2 3 6" xfId="14064" xr:uid="{00000000-0005-0000-0000-0000740D0000}"/>
    <cellStyle name="Cálculo 3 3 3 2 4" xfId="4310" xr:uid="{00000000-0005-0000-0000-0000750D0000}"/>
    <cellStyle name="Cálculo 3 3 3 2 4 2" xfId="8183" xr:uid="{00000000-0005-0000-0000-0000760D0000}"/>
    <cellStyle name="Cálculo 3 3 3 2 4 2 2" xfId="12151" xr:uid="{00000000-0005-0000-0000-0000770D0000}"/>
    <cellStyle name="Cálculo 3 3 3 2 4 2 3" xfId="18378" xr:uid="{00000000-0005-0000-0000-0000780D0000}"/>
    <cellStyle name="Cálculo 3 3 3 2 4 2 4" xfId="21701" xr:uid="{00000000-0005-0000-0000-0000790D0000}"/>
    <cellStyle name="Cálculo 3 3 3 2 4 3" xfId="6475" xr:uid="{00000000-0005-0000-0000-00007A0D0000}"/>
    <cellStyle name="Cálculo 3 3 3 2 4 3 2" xfId="17087" xr:uid="{00000000-0005-0000-0000-00007B0D0000}"/>
    <cellStyle name="Cálculo 3 3 3 2 4 3 3" xfId="19993" xr:uid="{00000000-0005-0000-0000-00007C0D0000}"/>
    <cellStyle name="Cálculo 3 3 3 2 4 4" xfId="10028" xr:uid="{00000000-0005-0000-0000-00007D0D0000}"/>
    <cellStyle name="Cálculo 3 3 3 2 4 5" xfId="15439" xr:uid="{00000000-0005-0000-0000-00007E0D0000}"/>
    <cellStyle name="Cálculo 3 3 3 2 4 6" xfId="13695" xr:uid="{00000000-0005-0000-0000-00007F0D0000}"/>
    <cellStyle name="Cálculo 3 3 3 2 5" xfId="4692" xr:uid="{00000000-0005-0000-0000-0000800D0000}"/>
    <cellStyle name="Cálculo 3 3 3 2 5 2" xfId="8415" xr:uid="{00000000-0005-0000-0000-0000810D0000}"/>
    <cellStyle name="Cálculo 3 3 3 2 5 2 2" xfId="12383" xr:uid="{00000000-0005-0000-0000-0000820D0000}"/>
    <cellStyle name="Cálculo 3 3 3 2 5 2 3" xfId="18549" xr:uid="{00000000-0005-0000-0000-0000830D0000}"/>
    <cellStyle name="Cálculo 3 3 3 2 5 2 4" xfId="21933" xr:uid="{00000000-0005-0000-0000-0000840D0000}"/>
    <cellStyle name="Cálculo 3 3 3 2 5 3" xfId="6707" xr:uid="{00000000-0005-0000-0000-0000850D0000}"/>
    <cellStyle name="Cálculo 3 3 3 2 5 3 2" xfId="17258" xr:uid="{00000000-0005-0000-0000-0000860D0000}"/>
    <cellStyle name="Cálculo 3 3 3 2 5 3 3" xfId="20225" xr:uid="{00000000-0005-0000-0000-0000870D0000}"/>
    <cellStyle name="Cálculo 3 3 3 2 5 4" xfId="10205" xr:uid="{00000000-0005-0000-0000-0000880D0000}"/>
    <cellStyle name="Cálculo 3 3 3 2 5 5" xfId="15713" xr:uid="{00000000-0005-0000-0000-0000890D0000}"/>
    <cellStyle name="Cálculo 3 3 3 2 5 6" xfId="13313" xr:uid="{00000000-0005-0000-0000-00008A0D0000}"/>
    <cellStyle name="Cálculo 3 3 3 2 6" xfId="6939" xr:uid="{00000000-0005-0000-0000-00008B0D0000}"/>
    <cellStyle name="Cálculo 3 3 3 2 6 2" xfId="8647" xr:uid="{00000000-0005-0000-0000-00008C0D0000}"/>
    <cellStyle name="Cálculo 3 3 3 2 6 2 2" xfId="12615" xr:uid="{00000000-0005-0000-0000-00008D0D0000}"/>
    <cellStyle name="Cálculo 3 3 3 2 6 2 3" xfId="18720" xr:uid="{00000000-0005-0000-0000-00008E0D0000}"/>
    <cellStyle name="Cálculo 3 3 3 2 6 2 4" xfId="22165" xr:uid="{00000000-0005-0000-0000-00008F0D0000}"/>
    <cellStyle name="Cálculo 3 3 3 2 6 3" xfId="11073" xr:uid="{00000000-0005-0000-0000-0000900D0000}"/>
    <cellStyle name="Cálculo 3 3 3 2 6 4" xfId="17428" xr:uid="{00000000-0005-0000-0000-0000910D0000}"/>
    <cellStyle name="Cálculo 3 3 3 2 6 5" xfId="20457" xr:uid="{00000000-0005-0000-0000-0000920D0000}"/>
    <cellStyle name="Cálculo 3 3 3 2 7" xfId="5927" xr:uid="{00000000-0005-0000-0000-0000930D0000}"/>
    <cellStyle name="Cálculo 3 3 3 2 7 2" xfId="10668" xr:uid="{00000000-0005-0000-0000-0000940D0000}"/>
    <cellStyle name="Cálculo 3 3 3 2 7 3" xfId="16666" xr:uid="{00000000-0005-0000-0000-0000950D0000}"/>
    <cellStyle name="Cálculo 3 3 3 2 7 4" xfId="19445" xr:uid="{00000000-0005-0000-0000-0000960D0000}"/>
    <cellStyle name="Cálculo 3 3 3 2 8" xfId="7635" xr:uid="{00000000-0005-0000-0000-0000970D0000}"/>
    <cellStyle name="Cálculo 3 3 3 2 8 2" xfId="11656" xr:uid="{00000000-0005-0000-0000-0000980D0000}"/>
    <cellStyle name="Cálculo 3 3 3 2 8 3" xfId="17958" xr:uid="{00000000-0005-0000-0000-0000990D0000}"/>
    <cellStyle name="Cálculo 3 3 3 2 8 4" xfId="21153" xr:uid="{00000000-0005-0000-0000-00009A0D0000}"/>
    <cellStyle name="Cálculo 3 3 3 2 9" xfId="5023" xr:uid="{00000000-0005-0000-0000-00009B0D0000}"/>
    <cellStyle name="Cálculo 3 3 3 2 9 2" xfId="15981" xr:uid="{00000000-0005-0000-0000-00009C0D0000}"/>
    <cellStyle name="Cálculo 3 3 3 2 9 3" xfId="12996" xr:uid="{00000000-0005-0000-0000-00009D0D0000}"/>
    <cellStyle name="Cálculo 3 3 3 3" xfId="3027" xr:uid="{00000000-0005-0000-0000-00009E0D0000}"/>
    <cellStyle name="Cálculo 3 3 3 3 2" xfId="3414" xr:uid="{00000000-0005-0000-0000-00009F0D0000}"/>
    <cellStyle name="Cálculo 3 3 3 3 2 2" xfId="7233" xr:uid="{00000000-0005-0000-0000-0000A00D0000}"/>
    <cellStyle name="Cálculo 3 3 3 3 2 2 2" xfId="17636" xr:uid="{00000000-0005-0000-0000-0000A10D0000}"/>
    <cellStyle name="Cálculo 3 3 3 3 2 2 3" xfId="20751" xr:uid="{00000000-0005-0000-0000-0000A20D0000}"/>
    <cellStyle name="Cálculo 3 3 3 3 2 3" xfId="9532" xr:uid="{00000000-0005-0000-0000-0000A30D0000}"/>
    <cellStyle name="Cálculo 3 3 3 3 2 4" xfId="14784" xr:uid="{00000000-0005-0000-0000-0000A40D0000}"/>
    <cellStyle name="Cálculo 3 3 3 3 2 5" xfId="18135" xr:uid="{00000000-0005-0000-0000-0000A50D0000}"/>
    <cellStyle name="Cálculo 3 3 3 3 3" xfId="3797" xr:uid="{00000000-0005-0000-0000-0000A60D0000}"/>
    <cellStyle name="Cálculo 3 3 3 3 3 2" xfId="15060" xr:uid="{00000000-0005-0000-0000-0000A70D0000}"/>
    <cellStyle name="Cálculo 3 3 3 3 3 3" xfId="14680" xr:uid="{00000000-0005-0000-0000-0000A80D0000}"/>
    <cellStyle name="Cálculo 3 3 3 3 4" xfId="4180" xr:uid="{00000000-0005-0000-0000-0000A90D0000}"/>
    <cellStyle name="Cálculo 3 3 3 3 4 2" xfId="15335" xr:uid="{00000000-0005-0000-0000-0000AA0D0000}"/>
    <cellStyle name="Cálculo 3 3 3 3 4 3" xfId="13825" xr:uid="{00000000-0005-0000-0000-0000AB0D0000}"/>
    <cellStyle name="Cálculo 3 3 3 3 5" xfId="4562" xr:uid="{00000000-0005-0000-0000-0000AC0D0000}"/>
    <cellStyle name="Cálculo 3 3 3 3 5 2" xfId="15609" xr:uid="{00000000-0005-0000-0000-0000AD0D0000}"/>
    <cellStyle name="Cálculo 3 3 3 3 5 3" xfId="13443" xr:uid="{00000000-0005-0000-0000-0000AE0D0000}"/>
    <cellStyle name="Cálculo 3 3 3 3 6" xfId="5524" xr:uid="{00000000-0005-0000-0000-0000AF0D0000}"/>
    <cellStyle name="Cálculo 3 3 3 3 6 2" xfId="16345" xr:uid="{00000000-0005-0000-0000-0000B00D0000}"/>
    <cellStyle name="Cálculo 3 3 3 3 6 3" xfId="19042" xr:uid="{00000000-0005-0000-0000-0000B10D0000}"/>
    <cellStyle name="Cálculo 3 3 3 3 7" xfId="9169" xr:uid="{00000000-0005-0000-0000-0000B20D0000}"/>
    <cellStyle name="Cálculo 3 3 3 3 8" xfId="14504" xr:uid="{00000000-0005-0000-0000-0000B30D0000}"/>
    <cellStyle name="Cálculo 3 3 3 3 9" xfId="16091" xr:uid="{00000000-0005-0000-0000-0000B40D0000}"/>
    <cellStyle name="Cálculo 3 3 3 4" xfId="2865" xr:uid="{00000000-0005-0000-0000-0000B50D0000}"/>
    <cellStyle name="Cálculo 3 3 3 4 2" xfId="7889" xr:uid="{00000000-0005-0000-0000-0000B60D0000}"/>
    <cellStyle name="Cálculo 3 3 3 4 2 2" xfId="11878" xr:uid="{00000000-0005-0000-0000-0000B70D0000}"/>
    <cellStyle name="Cálculo 3 3 3 4 2 3" xfId="18145" xr:uid="{00000000-0005-0000-0000-0000B80D0000}"/>
    <cellStyle name="Cálculo 3 3 3 4 2 4" xfId="21407" xr:uid="{00000000-0005-0000-0000-0000B90D0000}"/>
    <cellStyle name="Cálculo 3 3 3 4 3" xfId="6181" xr:uid="{00000000-0005-0000-0000-0000BA0D0000}"/>
    <cellStyle name="Cálculo 3 3 3 4 3 2" xfId="16853" xr:uid="{00000000-0005-0000-0000-0000BB0D0000}"/>
    <cellStyle name="Cálculo 3 3 3 4 3 3" xfId="19699" xr:uid="{00000000-0005-0000-0000-0000BC0D0000}"/>
    <cellStyle name="Cálculo 3 3 3 4 4" xfId="9018" xr:uid="{00000000-0005-0000-0000-0000BD0D0000}"/>
    <cellStyle name="Cálculo 3 3 3 4 5" xfId="14401" xr:uid="{00000000-0005-0000-0000-0000BE0D0000}"/>
    <cellStyle name="Cálculo 3 3 3 4 6" xfId="18588" xr:uid="{00000000-0005-0000-0000-0000BF0D0000}"/>
    <cellStyle name="Cálculo 3 3 3 5" xfId="5446" xr:uid="{00000000-0005-0000-0000-0000C00D0000}"/>
    <cellStyle name="Cálculo 3 3 3 5 2" xfId="7155" xr:uid="{00000000-0005-0000-0000-0000C10D0000}"/>
    <cellStyle name="Cálculo 3 3 3 5 2 2" xfId="11286" xr:uid="{00000000-0005-0000-0000-0000C20D0000}"/>
    <cellStyle name="Cálculo 3 3 3 5 2 3" xfId="17569" xr:uid="{00000000-0005-0000-0000-0000C30D0000}"/>
    <cellStyle name="Cálculo 3 3 3 5 2 4" xfId="20673" xr:uid="{00000000-0005-0000-0000-0000C40D0000}"/>
    <cellStyle name="Cálculo 3 3 3 5 3" xfId="10460" xr:uid="{00000000-0005-0000-0000-0000C50D0000}"/>
    <cellStyle name="Cálculo 3 3 3 5 4" xfId="16279" xr:uid="{00000000-0005-0000-0000-0000C60D0000}"/>
    <cellStyle name="Cálculo 3 3 3 5 5" xfId="18964" xr:uid="{00000000-0005-0000-0000-0000C70D0000}"/>
    <cellStyle name="Cálculo 3 3 3 6" xfId="6346" xr:uid="{00000000-0005-0000-0000-0000C80D0000}"/>
    <cellStyle name="Cálculo 3 3 3 6 2" xfId="8054" xr:uid="{00000000-0005-0000-0000-0000C90D0000}"/>
    <cellStyle name="Cálculo 3 3 3 6 2 2" xfId="12025" xr:uid="{00000000-0005-0000-0000-0000CA0D0000}"/>
    <cellStyle name="Cálculo 3 3 3 6 2 3" xfId="18265" xr:uid="{00000000-0005-0000-0000-0000CB0D0000}"/>
    <cellStyle name="Cálculo 3 3 3 6 2 4" xfId="21572" xr:uid="{00000000-0005-0000-0000-0000CC0D0000}"/>
    <cellStyle name="Cálculo 3 3 3 6 3" xfId="10880" xr:uid="{00000000-0005-0000-0000-0000CD0D0000}"/>
    <cellStyle name="Cálculo 3 3 3 6 4" xfId="16974" xr:uid="{00000000-0005-0000-0000-0000CE0D0000}"/>
    <cellStyle name="Cálculo 3 3 3 6 5" xfId="19864" xr:uid="{00000000-0005-0000-0000-0000CF0D0000}"/>
    <cellStyle name="Cálculo 3 3 3 7" xfId="6085" xr:uid="{00000000-0005-0000-0000-0000D00D0000}"/>
    <cellStyle name="Cálculo 3 3 3 7 2" xfId="7793" xr:uid="{00000000-0005-0000-0000-0000D10D0000}"/>
    <cellStyle name="Cálculo 3 3 3 7 2 2" xfId="11809" xr:uid="{00000000-0005-0000-0000-0000D20D0000}"/>
    <cellStyle name="Cálculo 3 3 3 7 2 3" xfId="18061" xr:uid="{00000000-0005-0000-0000-0000D30D0000}"/>
    <cellStyle name="Cálculo 3 3 3 7 2 4" xfId="21311" xr:uid="{00000000-0005-0000-0000-0000D40D0000}"/>
    <cellStyle name="Cálculo 3 3 3 7 3" xfId="10802" xr:uid="{00000000-0005-0000-0000-0000D50D0000}"/>
    <cellStyle name="Cálculo 3 3 3 7 4" xfId="16769" xr:uid="{00000000-0005-0000-0000-0000D60D0000}"/>
    <cellStyle name="Cálculo 3 3 3 7 5" xfId="19603" xr:uid="{00000000-0005-0000-0000-0000D70D0000}"/>
    <cellStyle name="Cálculo 3 3 3 8" xfId="5739" xr:uid="{00000000-0005-0000-0000-0000D80D0000}"/>
    <cellStyle name="Cálculo 3 3 3 8 2" xfId="10521" xr:uid="{00000000-0005-0000-0000-0000D90D0000}"/>
    <cellStyle name="Cálculo 3 3 3 8 3" xfId="16520" xr:uid="{00000000-0005-0000-0000-0000DA0D0000}"/>
    <cellStyle name="Cálculo 3 3 3 8 4" xfId="19257" xr:uid="{00000000-0005-0000-0000-0000DB0D0000}"/>
    <cellStyle name="Cálculo 3 3 3 9" xfId="7448" xr:uid="{00000000-0005-0000-0000-0000DC0D0000}"/>
    <cellStyle name="Cálculo 3 3 3 9 2" xfId="11508" xr:uid="{00000000-0005-0000-0000-0000DD0D0000}"/>
    <cellStyle name="Cálculo 3 3 3 9 3" xfId="17811" xr:uid="{00000000-0005-0000-0000-0000DE0D0000}"/>
    <cellStyle name="Cálculo 3 3 3 9 4" xfId="20966" xr:uid="{00000000-0005-0000-0000-0000DF0D0000}"/>
    <cellStyle name="Cálculo 3 3 4" xfId="3176" xr:uid="{00000000-0005-0000-0000-0000E00D0000}"/>
    <cellStyle name="Cálculo 3 3 4 10" xfId="9306" xr:uid="{00000000-0005-0000-0000-0000E10D0000}"/>
    <cellStyle name="Cálculo 3 3 4 11" xfId="14624" xr:uid="{00000000-0005-0000-0000-0000E20D0000}"/>
    <cellStyle name="Cálculo 3 3 4 12" xfId="18179" xr:uid="{00000000-0005-0000-0000-0000E30D0000}"/>
    <cellStyle name="Cálculo 3 3 4 2" xfId="3563" xr:uid="{00000000-0005-0000-0000-0000E40D0000}"/>
    <cellStyle name="Cálculo 3 3 4 2 2" xfId="7402" xr:uid="{00000000-0005-0000-0000-0000E50D0000}"/>
    <cellStyle name="Cálculo 3 3 4 2 2 2" xfId="11481" xr:uid="{00000000-0005-0000-0000-0000E60D0000}"/>
    <cellStyle name="Cálculo 3 3 4 2 2 3" xfId="17778" xr:uid="{00000000-0005-0000-0000-0000E70D0000}"/>
    <cellStyle name="Cálculo 3 3 4 2 2 4" xfId="20920" xr:uid="{00000000-0005-0000-0000-0000E80D0000}"/>
    <cellStyle name="Cálculo 3 3 4 2 3" xfId="5693" xr:uid="{00000000-0005-0000-0000-0000E90D0000}"/>
    <cellStyle name="Cálculo 3 3 4 2 3 2" xfId="16487" xr:uid="{00000000-0005-0000-0000-0000EA0D0000}"/>
    <cellStyle name="Cálculo 3 3 4 2 3 3" xfId="19211" xr:uid="{00000000-0005-0000-0000-0000EB0D0000}"/>
    <cellStyle name="Cálculo 3 3 4 2 4" xfId="9655" xr:uid="{00000000-0005-0000-0000-0000EC0D0000}"/>
    <cellStyle name="Cálculo 3 3 4 2 5" xfId="14904" xr:uid="{00000000-0005-0000-0000-0000ED0D0000}"/>
    <cellStyle name="Cálculo 3 3 4 2 6" xfId="15971" xr:uid="{00000000-0005-0000-0000-0000EE0D0000}"/>
    <cellStyle name="Cálculo 3 3 4 3" xfId="3946" xr:uid="{00000000-0005-0000-0000-0000EF0D0000}"/>
    <cellStyle name="Cálculo 3 3 4 3 2" xfId="7083" xr:uid="{00000000-0005-0000-0000-0000F00D0000}"/>
    <cellStyle name="Cálculo 3 3 4 3 2 2" xfId="11217" xr:uid="{00000000-0005-0000-0000-0000F10D0000}"/>
    <cellStyle name="Cálculo 3 3 4 3 2 3" xfId="17515" xr:uid="{00000000-0005-0000-0000-0000F20D0000}"/>
    <cellStyle name="Cálculo 3 3 4 3 2 4" xfId="20601" xr:uid="{00000000-0005-0000-0000-0000F30D0000}"/>
    <cellStyle name="Cálculo 3 3 4 3 3" xfId="5374" xr:uid="{00000000-0005-0000-0000-0000F40D0000}"/>
    <cellStyle name="Cálculo 3 3 4 3 3 2" xfId="16225" xr:uid="{00000000-0005-0000-0000-0000F50D0000}"/>
    <cellStyle name="Cálculo 3 3 4 3 3 3" xfId="18892" xr:uid="{00000000-0005-0000-0000-0000F60D0000}"/>
    <cellStyle name="Cálculo 3 3 4 3 4" xfId="9869" xr:uid="{00000000-0005-0000-0000-0000F70D0000}"/>
    <cellStyle name="Cálculo 3 3 4 3 5" xfId="15180" xr:uid="{00000000-0005-0000-0000-0000F80D0000}"/>
    <cellStyle name="Cálculo 3 3 4 3 6" xfId="14045" xr:uid="{00000000-0005-0000-0000-0000F90D0000}"/>
    <cellStyle name="Cálculo 3 3 4 4" xfId="4329" xr:uid="{00000000-0005-0000-0000-0000FA0D0000}"/>
    <cellStyle name="Cálculo 3 3 4 4 2" xfId="8164" xr:uid="{00000000-0005-0000-0000-0000FB0D0000}"/>
    <cellStyle name="Cálculo 3 3 4 4 2 2" xfId="12132" xr:uid="{00000000-0005-0000-0000-0000FC0D0000}"/>
    <cellStyle name="Cálculo 3 3 4 4 2 3" xfId="18362" xr:uid="{00000000-0005-0000-0000-0000FD0D0000}"/>
    <cellStyle name="Cálculo 3 3 4 4 2 4" xfId="21682" xr:uid="{00000000-0005-0000-0000-0000FE0D0000}"/>
    <cellStyle name="Cálculo 3 3 4 4 3" xfId="6456" xr:uid="{00000000-0005-0000-0000-0000FF0D0000}"/>
    <cellStyle name="Cálculo 3 3 4 4 3 2" xfId="17071" xr:uid="{00000000-0005-0000-0000-0000000E0000}"/>
    <cellStyle name="Cálculo 3 3 4 4 3 3" xfId="19974" xr:uid="{00000000-0005-0000-0000-0000010E0000}"/>
    <cellStyle name="Cálculo 3 3 4 4 4" xfId="10047" xr:uid="{00000000-0005-0000-0000-0000020E0000}"/>
    <cellStyle name="Cálculo 3 3 4 4 5" xfId="15455" xr:uid="{00000000-0005-0000-0000-0000030E0000}"/>
    <cellStyle name="Cálculo 3 3 4 4 6" xfId="13676" xr:uid="{00000000-0005-0000-0000-0000040E0000}"/>
    <cellStyle name="Cálculo 3 3 4 5" xfId="4711" xr:uid="{00000000-0005-0000-0000-0000050E0000}"/>
    <cellStyle name="Cálculo 3 3 4 5 2" xfId="8396" xr:uid="{00000000-0005-0000-0000-0000060E0000}"/>
    <cellStyle name="Cálculo 3 3 4 5 2 2" xfId="12364" xr:uid="{00000000-0005-0000-0000-0000070E0000}"/>
    <cellStyle name="Cálculo 3 3 4 5 2 3" xfId="18533" xr:uid="{00000000-0005-0000-0000-0000080E0000}"/>
    <cellStyle name="Cálculo 3 3 4 5 2 4" xfId="21914" xr:uid="{00000000-0005-0000-0000-0000090E0000}"/>
    <cellStyle name="Cálculo 3 3 4 5 3" xfId="6688" xr:uid="{00000000-0005-0000-0000-00000A0E0000}"/>
    <cellStyle name="Cálculo 3 3 4 5 3 2" xfId="17242" xr:uid="{00000000-0005-0000-0000-00000B0E0000}"/>
    <cellStyle name="Cálculo 3 3 4 5 3 3" xfId="20206" xr:uid="{00000000-0005-0000-0000-00000C0E0000}"/>
    <cellStyle name="Cálculo 3 3 4 5 4" xfId="10224" xr:uid="{00000000-0005-0000-0000-00000D0E0000}"/>
    <cellStyle name="Cálculo 3 3 4 5 5" xfId="15729" xr:uid="{00000000-0005-0000-0000-00000E0E0000}"/>
    <cellStyle name="Cálculo 3 3 4 5 6" xfId="13294" xr:uid="{00000000-0005-0000-0000-00000F0E0000}"/>
    <cellStyle name="Cálculo 3 3 4 6" xfId="6920" xr:uid="{00000000-0005-0000-0000-0000100E0000}"/>
    <cellStyle name="Cálculo 3 3 4 6 2" xfId="8628" xr:uid="{00000000-0005-0000-0000-0000110E0000}"/>
    <cellStyle name="Cálculo 3 3 4 6 2 2" xfId="12596" xr:uid="{00000000-0005-0000-0000-0000120E0000}"/>
    <cellStyle name="Cálculo 3 3 4 6 2 3" xfId="18704" xr:uid="{00000000-0005-0000-0000-0000130E0000}"/>
    <cellStyle name="Cálculo 3 3 4 6 2 4" xfId="22146" xr:uid="{00000000-0005-0000-0000-0000140E0000}"/>
    <cellStyle name="Cálculo 3 3 4 6 3" xfId="11054" xr:uid="{00000000-0005-0000-0000-0000150E0000}"/>
    <cellStyle name="Cálculo 3 3 4 6 4" xfId="17412" xr:uid="{00000000-0005-0000-0000-0000160E0000}"/>
    <cellStyle name="Cálculo 3 3 4 6 5" xfId="20438" xr:uid="{00000000-0005-0000-0000-0000170E0000}"/>
    <cellStyle name="Cálculo 3 3 4 7" xfId="5908" xr:uid="{00000000-0005-0000-0000-0000180E0000}"/>
    <cellStyle name="Cálculo 3 3 4 7 2" xfId="10649" xr:uid="{00000000-0005-0000-0000-0000190E0000}"/>
    <cellStyle name="Cálculo 3 3 4 7 3" xfId="16650" xr:uid="{00000000-0005-0000-0000-00001A0E0000}"/>
    <cellStyle name="Cálculo 3 3 4 7 4" xfId="19426" xr:uid="{00000000-0005-0000-0000-00001B0E0000}"/>
    <cellStyle name="Cálculo 3 3 4 8" xfId="7616" xr:uid="{00000000-0005-0000-0000-00001C0E0000}"/>
    <cellStyle name="Cálculo 3 3 4 8 2" xfId="11637" xr:uid="{00000000-0005-0000-0000-00001D0E0000}"/>
    <cellStyle name="Cálculo 3 3 4 8 3" xfId="17942" xr:uid="{00000000-0005-0000-0000-00001E0E0000}"/>
    <cellStyle name="Cálculo 3 3 4 8 4" xfId="21134" xr:uid="{00000000-0005-0000-0000-00001F0E0000}"/>
    <cellStyle name="Cálculo 3 3 4 9" xfId="5003" xr:uid="{00000000-0005-0000-0000-0000200E0000}"/>
    <cellStyle name="Cálculo 3 3 4 9 2" xfId="15965" xr:uid="{00000000-0005-0000-0000-0000210E0000}"/>
    <cellStyle name="Cálculo 3 3 4 9 3" xfId="13016" xr:uid="{00000000-0005-0000-0000-0000220E0000}"/>
    <cellStyle name="Cálculo 3 3 5" xfId="3047" xr:uid="{00000000-0005-0000-0000-0000230E0000}"/>
    <cellStyle name="Cálculo 3 3 5 2" xfId="3434" xr:uid="{00000000-0005-0000-0000-0000240E0000}"/>
    <cellStyle name="Cálculo 3 3 5 2 2" xfId="7227" xr:uid="{00000000-0005-0000-0000-0000250E0000}"/>
    <cellStyle name="Cálculo 3 3 5 2 2 2" xfId="17630" xr:uid="{00000000-0005-0000-0000-0000260E0000}"/>
    <cellStyle name="Cálculo 3 3 5 2 2 3" xfId="20745" xr:uid="{00000000-0005-0000-0000-0000270E0000}"/>
    <cellStyle name="Cálculo 3 3 5 2 3" xfId="9546" xr:uid="{00000000-0005-0000-0000-0000280E0000}"/>
    <cellStyle name="Cálculo 3 3 5 2 4" xfId="14800" xr:uid="{00000000-0005-0000-0000-0000290E0000}"/>
    <cellStyle name="Cálculo 3 3 5 2 5" xfId="18507" xr:uid="{00000000-0005-0000-0000-00002A0E0000}"/>
    <cellStyle name="Cálculo 3 3 5 3" xfId="3817" xr:uid="{00000000-0005-0000-0000-00002B0E0000}"/>
    <cellStyle name="Cálculo 3 3 5 3 2" xfId="15076" xr:uid="{00000000-0005-0000-0000-00002C0E0000}"/>
    <cellStyle name="Cálculo 3 3 5 3 3" xfId="15871" xr:uid="{00000000-0005-0000-0000-00002D0E0000}"/>
    <cellStyle name="Cálculo 3 3 5 4" xfId="4200" xr:uid="{00000000-0005-0000-0000-00002E0E0000}"/>
    <cellStyle name="Cálculo 3 3 5 4 2" xfId="15351" xr:uid="{00000000-0005-0000-0000-00002F0E0000}"/>
    <cellStyle name="Cálculo 3 3 5 4 3" xfId="13805" xr:uid="{00000000-0005-0000-0000-0000300E0000}"/>
    <cellStyle name="Cálculo 3 3 5 5" xfId="4582" xr:uid="{00000000-0005-0000-0000-0000310E0000}"/>
    <cellStyle name="Cálculo 3 3 5 5 2" xfId="15625" xr:uid="{00000000-0005-0000-0000-0000320E0000}"/>
    <cellStyle name="Cálculo 3 3 5 5 3" xfId="13423" xr:uid="{00000000-0005-0000-0000-0000330E0000}"/>
    <cellStyle name="Cálculo 3 3 5 6" xfId="5518" xr:uid="{00000000-0005-0000-0000-0000340E0000}"/>
    <cellStyle name="Cálculo 3 3 5 6 2" xfId="16339" xr:uid="{00000000-0005-0000-0000-0000350E0000}"/>
    <cellStyle name="Cálculo 3 3 5 6 3" xfId="19036" xr:uid="{00000000-0005-0000-0000-0000360E0000}"/>
    <cellStyle name="Cálculo 3 3 5 7" xfId="9187" xr:uid="{00000000-0005-0000-0000-0000370E0000}"/>
    <cellStyle name="Cálculo 3 3 5 8" xfId="14520" xr:uid="{00000000-0005-0000-0000-0000380E0000}"/>
    <cellStyle name="Cálculo 3 3 5 9" xfId="17824" xr:uid="{00000000-0005-0000-0000-0000390E0000}"/>
    <cellStyle name="Cálculo 3 3 6" xfId="6072" xr:uid="{00000000-0005-0000-0000-00003A0E0000}"/>
    <cellStyle name="Cálculo 3 3 6 2" xfId="7780" xr:uid="{00000000-0005-0000-0000-00003B0E0000}"/>
    <cellStyle name="Cálculo 3 3 6 2 2" xfId="11800" xr:uid="{00000000-0005-0000-0000-00003C0E0000}"/>
    <cellStyle name="Cálculo 3 3 6 2 3" xfId="18050" xr:uid="{00000000-0005-0000-0000-00003D0E0000}"/>
    <cellStyle name="Cálculo 3 3 6 2 4" xfId="21298" xr:uid="{00000000-0005-0000-0000-00003E0E0000}"/>
    <cellStyle name="Cálculo 3 3 6 3" xfId="10799" xr:uid="{00000000-0005-0000-0000-00003F0E0000}"/>
    <cellStyle name="Cálculo 3 3 6 4" xfId="16758" xr:uid="{00000000-0005-0000-0000-0000400E0000}"/>
    <cellStyle name="Cálculo 3 3 6 5" xfId="19590" xr:uid="{00000000-0005-0000-0000-0000410E0000}"/>
    <cellStyle name="Cálculo 3 3 7" xfId="5443" xr:uid="{00000000-0005-0000-0000-0000420E0000}"/>
    <cellStyle name="Cálculo 3 3 7 2" xfId="7152" xr:uid="{00000000-0005-0000-0000-0000430E0000}"/>
    <cellStyle name="Cálculo 3 3 7 2 2" xfId="11283" xr:uid="{00000000-0005-0000-0000-0000440E0000}"/>
    <cellStyle name="Cálculo 3 3 7 2 3" xfId="17566" xr:uid="{00000000-0005-0000-0000-0000450E0000}"/>
    <cellStyle name="Cálculo 3 3 7 2 4" xfId="20670" xr:uid="{00000000-0005-0000-0000-0000460E0000}"/>
    <cellStyle name="Cálculo 3 3 7 3" xfId="10457" xr:uid="{00000000-0005-0000-0000-0000470E0000}"/>
    <cellStyle name="Cálculo 3 3 7 4" xfId="16276" xr:uid="{00000000-0005-0000-0000-0000480E0000}"/>
    <cellStyle name="Cálculo 3 3 7 5" xfId="18961" xr:uid="{00000000-0005-0000-0000-0000490E0000}"/>
    <cellStyle name="Cálculo 3 3 8" xfId="6136" xr:uid="{00000000-0005-0000-0000-00004A0E0000}"/>
    <cellStyle name="Cálculo 3 3 8 2" xfId="7844" xr:uid="{00000000-0005-0000-0000-00004B0E0000}"/>
    <cellStyle name="Cálculo 3 3 8 2 2" xfId="11848" xr:uid="{00000000-0005-0000-0000-00004C0E0000}"/>
    <cellStyle name="Cálculo 3 3 8 2 3" xfId="18103" xr:uid="{00000000-0005-0000-0000-00004D0E0000}"/>
    <cellStyle name="Cálculo 3 3 8 2 4" xfId="21362" xr:uid="{00000000-0005-0000-0000-00004E0E0000}"/>
    <cellStyle name="Cálculo 3 3 8 3" xfId="10820" xr:uid="{00000000-0005-0000-0000-00004F0E0000}"/>
    <cellStyle name="Cálculo 3 3 8 4" xfId="16811" xr:uid="{00000000-0005-0000-0000-0000500E0000}"/>
    <cellStyle name="Cálculo 3 3 8 5" xfId="19654" xr:uid="{00000000-0005-0000-0000-0000510E0000}"/>
    <cellStyle name="Cálculo 3 3 9" xfId="6340" xr:uid="{00000000-0005-0000-0000-0000520E0000}"/>
    <cellStyle name="Cálculo 3 3 9 2" xfId="8048" xr:uid="{00000000-0005-0000-0000-0000530E0000}"/>
    <cellStyle name="Cálculo 3 3 9 2 2" xfId="12019" xr:uid="{00000000-0005-0000-0000-0000540E0000}"/>
    <cellStyle name="Cálculo 3 3 9 2 3" xfId="18260" xr:uid="{00000000-0005-0000-0000-0000550E0000}"/>
    <cellStyle name="Cálculo 3 3 9 2 4" xfId="21566" xr:uid="{00000000-0005-0000-0000-0000560E0000}"/>
    <cellStyle name="Cálculo 3 3 9 3" xfId="10875" xr:uid="{00000000-0005-0000-0000-0000570E0000}"/>
    <cellStyle name="Cálculo 3 3 9 4" xfId="16969" xr:uid="{00000000-0005-0000-0000-0000580E0000}"/>
    <cellStyle name="Cálculo 3 3 9 5" xfId="19858" xr:uid="{00000000-0005-0000-0000-0000590E0000}"/>
    <cellStyle name="Cálculo 3 4" xfId="2994" xr:uid="{00000000-0005-0000-0000-00005A0E0000}"/>
    <cellStyle name="Cálculo 3 4 2" xfId="3381" xr:uid="{00000000-0005-0000-0000-00005B0E0000}"/>
    <cellStyle name="Cálculo 3 4 2 2" xfId="14759" xr:uid="{00000000-0005-0000-0000-00005C0E0000}"/>
    <cellStyle name="Cálculo 3 4 2 3" xfId="16037" xr:uid="{00000000-0005-0000-0000-00005D0E0000}"/>
    <cellStyle name="Cálculo 3 4 3" xfId="3764" xr:uid="{00000000-0005-0000-0000-00005E0E0000}"/>
    <cellStyle name="Cálculo 3 4 3 2" xfId="15035" xr:uid="{00000000-0005-0000-0000-00005F0E0000}"/>
    <cellStyle name="Cálculo 3 4 3 3" xfId="16236" xr:uid="{00000000-0005-0000-0000-0000600E0000}"/>
    <cellStyle name="Cálculo 3 4 4" xfId="4147" xr:uid="{00000000-0005-0000-0000-0000610E0000}"/>
    <cellStyle name="Cálculo 3 4 4 2" xfId="15310" xr:uid="{00000000-0005-0000-0000-0000620E0000}"/>
    <cellStyle name="Cálculo 3 4 4 3" xfId="13850" xr:uid="{00000000-0005-0000-0000-0000630E0000}"/>
    <cellStyle name="Cálculo 3 4 5" xfId="4529" xr:uid="{00000000-0005-0000-0000-0000640E0000}"/>
    <cellStyle name="Cálculo 3 4 5 2" xfId="15584" xr:uid="{00000000-0005-0000-0000-0000650E0000}"/>
    <cellStyle name="Cálculo 3 4 5 3" xfId="13476" xr:uid="{00000000-0005-0000-0000-0000660E0000}"/>
    <cellStyle name="Cálculo 3 4 6" xfId="14479" xr:uid="{00000000-0005-0000-0000-0000670E0000}"/>
    <cellStyle name="Cálculo 3 4 7" xfId="17523" xr:uid="{00000000-0005-0000-0000-0000680E0000}"/>
    <cellStyle name="Cálculo 3 5" xfId="3089" xr:uid="{00000000-0005-0000-0000-0000690E0000}"/>
    <cellStyle name="Cálculo 3 5 2" xfId="3476" xr:uid="{00000000-0005-0000-0000-00006A0E0000}"/>
    <cellStyle name="Cálculo 3 5 2 2" xfId="14833" xr:uid="{00000000-0005-0000-0000-00006B0E0000}"/>
    <cellStyle name="Cálculo 3 5 2 3" xfId="18792" xr:uid="{00000000-0005-0000-0000-00006C0E0000}"/>
    <cellStyle name="Cálculo 3 5 3" xfId="3859" xr:uid="{00000000-0005-0000-0000-00006D0E0000}"/>
    <cellStyle name="Cálculo 3 5 3 2" xfId="15109" xr:uid="{00000000-0005-0000-0000-00006E0E0000}"/>
    <cellStyle name="Cálculo 3 5 3 3" xfId="14203" xr:uid="{00000000-0005-0000-0000-00006F0E0000}"/>
    <cellStyle name="Cálculo 3 5 4" xfId="4242" xr:uid="{00000000-0005-0000-0000-0000700E0000}"/>
    <cellStyle name="Cálculo 3 5 4 2" xfId="15384" xr:uid="{00000000-0005-0000-0000-0000710E0000}"/>
    <cellStyle name="Cálculo 3 5 4 3" xfId="13763" xr:uid="{00000000-0005-0000-0000-0000720E0000}"/>
    <cellStyle name="Cálculo 3 5 5" xfId="4624" xr:uid="{00000000-0005-0000-0000-0000730E0000}"/>
    <cellStyle name="Cálculo 3 5 5 2" xfId="15658" xr:uid="{00000000-0005-0000-0000-0000740E0000}"/>
    <cellStyle name="Cálculo 3 5 5 3" xfId="13381" xr:uid="{00000000-0005-0000-0000-0000750E0000}"/>
    <cellStyle name="Cálculo 3 5 6" xfId="14553" xr:uid="{00000000-0005-0000-0000-0000760E0000}"/>
    <cellStyle name="Cálculo 3 5 7" xfId="14327" xr:uid="{00000000-0005-0000-0000-0000770E0000}"/>
    <cellStyle name="Cálculo 3 6" xfId="22389" xr:uid="{00000000-0005-0000-0000-0000780E0000}"/>
    <cellStyle name="Cálculo 3 7" xfId="2064" xr:uid="{00000000-0005-0000-0000-0000790E0000}"/>
    <cellStyle name="Célula de Verificação" xfId="14" builtinId="23" customBuiltin="1"/>
    <cellStyle name="Célula de Verificação 2" xfId="222" xr:uid="{00000000-0005-0000-0000-00007B0E0000}"/>
    <cellStyle name="Célula de Verificação 2 2" xfId="223" xr:uid="{00000000-0005-0000-0000-00007C0E0000}"/>
    <cellStyle name="Célula de Verificação 2 3" xfId="224" xr:uid="{00000000-0005-0000-0000-00007D0E0000}"/>
    <cellStyle name="Célula de Verificação 2 4" xfId="225" xr:uid="{00000000-0005-0000-0000-00007E0E0000}"/>
    <cellStyle name="Célula de Verificação 3" xfId="2297" xr:uid="{00000000-0005-0000-0000-00007F0E0000}"/>
    <cellStyle name="Célula Ligada 2" xfId="226" xr:uid="{00000000-0005-0000-0000-0000800E0000}"/>
    <cellStyle name="Célula Vinculada" xfId="13" builtinId="24" customBuiltin="1"/>
    <cellStyle name="Célula Vinculada 2" xfId="227" xr:uid="{00000000-0005-0000-0000-0000820E0000}"/>
    <cellStyle name="Célula Vinculada 3" xfId="2300" xr:uid="{00000000-0005-0000-0000-0000830E0000}"/>
    <cellStyle name="Check Cell" xfId="228" xr:uid="{00000000-0005-0000-0000-0000840E0000}"/>
    <cellStyle name="Comma_Arauco Piping list" xfId="26677" xr:uid="{00000000-0005-0000-0000-0000850E0000}"/>
    <cellStyle name="Comma0" xfId="26678" xr:uid="{00000000-0005-0000-0000-0000860E0000}"/>
    <cellStyle name="Company Logo" xfId="229" xr:uid="{00000000-0005-0000-0000-0000870E0000}"/>
    <cellStyle name="Cor1 2" xfId="230" xr:uid="{00000000-0005-0000-0000-0000880E0000}"/>
    <cellStyle name="Cor2 2" xfId="231" xr:uid="{00000000-0005-0000-0000-0000890E0000}"/>
    <cellStyle name="Cor3 2" xfId="232" xr:uid="{00000000-0005-0000-0000-00008A0E0000}"/>
    <cellStyle name="Cor4 2" xfId="233" xr:uid="{00000000-0005-0000-0000-00008B0E0000}"/>
    <cellStyle name="Cor5 2" xfId="234" xr:uid="{00000000-0005-0000-0000-00008C0E0000}"/>
    <cellStyle name="Cor6 2" xfId="235" xr:uid="{00000000-0005-0000-0000-00008D0E0000}"/>
    <cellStyle name="CORES" xfId="26679" xr:uid="{00000000-0005-0000-0000-00008E0E0000}"/>
    <cellStyle name="Correcto" xfId="236" xr:uid="{00000000-0005-0000-0000-00008F0E0000}"/>
    <cellStyle name="Currency [0]_Arauco Piping list" xfId="26680" xr:uid="{00000000-0005-0000-0000-0000900E0000}"/>
    <cellStyle name="Currency_Arauco Piping list" xfId="26681" xr:uid="{00000000-0005-0000-0000-0000910E0000}"/>
    <cellStyle name="Currency0" xfId="26682" xr:uid="{00000000-0005-0000-0000-0000920E0000}"/>
    <cellStyle name="Data" xfId="26683" xr:uid="{00000000-0005-0000-0000-0000930E0000}"/>
    <cellStyle name="Data Headings" xfId="237" xr:uid="{00000000-0005-0000-0000-0000940E0000}"/>
    <cellStyle name="Data Headings 2" xfId="238" xr:uid="{00000000-0005-0000-0000-0000950E0000}"/>
    <cellStyle name="Data Input" xfId="239" xr:uid="{00000000-0005-0000-0000-0000960E0000}"/>
    <cellStyle name="Date" xfId="26684" xr:uid="{00000000-0005-0000-0000-0000970E0000}"/>
    <cellStyle name="Ênfase1" xfId="19" builtinId="29" customBuiltin="1"/>
    <cellStyle name="Ênfase1 2" xfId="240" xr:uid="{00000000-0005-0000-0000-0000990E0000}"/>
    <cellStyle name="Ênfase2" xfId="23" builtinId="33" customBuiltin="1"/>
    <cellStyle name="Ênfase2 2" xfId="241" xr:uid="{00000000-0005-0000-0000-00009B0E0000}"/>
    <cellStyle name="Ênfase3" xfId="27" builtinId="37" customBuiltin="1"/>
    <cellStyle name="Ênfase3 2" xfId="242" xr:uid="{00000000-0005-0000-0000-00009D0E0000}"/>
    <cellStyle name="Ênfase4" xfId="31" builtinId="41" customBuiltin="1"/>
    <cellStyle name="Ênfase4 2" xfId="243" xr:uid="{00000000-0005-0000-0000-00009F0E0000}"/>
    <cellStyle name="Ênfase5" xfId="35" builtinId="45" customBuiltin="1"/>
    <cellStyle name="Ênfase5 2" xfId="244" xr:uid="{00000000-0005-0000-0000-0000A10E0000}"/>
    <cellStyle name="Ênfase6" xfId="39" builtinId="49" customBuiltin="1"/>
    <cellStyle name="Ênfase6 2" xfId="245" xr:uid="{00000000-0005-0000-0000-0000A30E0000}"/>
    <cellStyle name="Entrada" xfId="10" builtinId="20" customBuiltin="1"/>
    <cellStyle name="Entrada 2" xfId="246" xr:uid="{00000000-0005-0000-0000-0000A50E0000}"/>
    <cellStyle name="Entrada 2 2" xfId="247" xr:uid="{00000000-0005-0000-0000-0000A60E0000}"/>
    <cellStyle name="Entrada 2 2 2" xfId="2628" xr:uid="{00000000-0005-0000-0000-0000A70E0000}"/>
    <cellStyle name="Entrada 2 2 2 10" xfId="5264" xr:uid="{00000000-0005-0000-0000-0000A80E0000}"/>
    <cellStyle name="Entrada 2 2 2 10 2" xfId="10404" xr:uid="{00000000-0005-0000-0000-0000A90E0000}"/>
    <cellStyle name="Entrada 2 2 2 10 3" xfId="16146" xr:uid="{00000000-0005-0000-0000-0000AA0E0000}"/>
    <cellStyle name="Entrada 2 2 2 10 4" xfId="12830" xr:uid="{00000000-0005-0000-0000-0000AB0E0000}"/>
    <cellStyle name="Entrada 2 2 2 11" xfId="4851" xr:uid="{00000000-0005-0000-0000-0000AC0E0000}"/>
    <cellStyle name="Entrada 2 2 2 11 2" xfId="15828" xr:uid="{00000000-0005-0000-0000-0000AD0E0000}"/>
    <cellStyle name="Entrada 2 2 2 11 3" xfId="13155" xr:uid="{00000000-0005-0000-0000-0000AE0E0000}"/>
    <cellStyle name="Entrada 2 2 2 12" xfId="8790" xr:uid="{00000000-0005-0000-0000-0000AF0E0000}"/>
    <cellStyle name="Entrada 2 2 2 13" xfId="14165" xr:uid="{00000000-0005-0000-0000-0000B00E0000}"/>
    <cellStyle name="Entrada 2 2 2 2" xfId="2717" xr:uid="{00000000-0005-0000-0000-0000B10E0000}"/>
    <cellStyle name="Entrada 2 2 2 2 10" xfId="7493" xr:uid="{00000000-0005-0000-0000-0000B20E0000}"/>
    <cellStyle name="Entrada 2 2 2 2 10 2" xfId="11547" xr:uid="{00000000-0005-0000-0000-0000B30E0000}"/>
    <cellStyle name="Entrada 2 2 2 2 10 3" xfId="17848" xr:uid="{00000000-0005-0000-0000-0000B40E0000}"/>
    <cellStyle name="Entrada 2 2 2 2 10 4" xfId="21011" xr:uid="{00000000-0005-0000-0000-0000B50E0000}"/>
    <cellStyle name="Entrada 2 2 2 2 11" xfId="4910" xr:uid="{00000000-0005-0000-0000-0000B60E0000}"/>
    <cellStyle name="Entrada 2 2 2 2 11 2" xfId="15880" xr:uid="{00000000-0005-0000-0000-0000B70E0000}"/>
    <cellStyle name="Entrada 2 2 2 2 11 3" xfId="13109" xr:uid="{00000000-0005-0000-0000-0000B80E0000}"/>
    <cellStyle name="Entrada 2 2 2 2 12" xfId="8872" xr:uid="{00000000-0005-0000-0000-0000B90E0000}"/>
    <cellStyle name="Entrada 2 2 2 2 13" xfId="14283" xr:uid="{00000000-0005-0000-0000-0000BA0E0000}"/>
    <cellStyle name="Entrada 2 2 2 2 14" xfId="18765" xr:uid="{00000000-0005-0000-0000-0000BB0E0000}"/>
    <cellStyle name="Entrada 2 2 2 2 2" xfId="2646" xr:uid="{00000000-0005-0000-0000-0000BC0E0000}"/>
    <cellStyle name="Entrada 2 2 2 2 2 10" xfId="4918" xr:uid="{00000000-0005-0000-0000-0000BD0E0000}"/>
    <cellStyle name="Entrada 2 2 2 2 2 10 2" xfId="15888" xr:uid="{00000000-0005-0000-0000-0000BE0E0000}"/>
    <cellStyle name="Entrada 2 2 2 2 2 10 3" xfId="13101" xr:uid="{00000000-0005-0000-0000-0000BF0E0000}"/>
    <cellStyle name="Entrada 2 2 2 2 2 11" xfId="8803" xr:uid="{00000000-0005-0000-0000-0000C00E0000}"/>
    <cellStyle name="Entrada 2 2 2 2 2 12" xfId="14224" xr:uid="{00000000-0005-0000-0000-0000C10E0000}"/>
    <cellStyle name="Entrada 2 2 2 2 2 2" xfId="3138" xr:uid="{00000000-0005-0000-0000-0000C20E0000}"/>
    <cellStyle name="Entrada 2 2 2 2 2 2 10" xfId="9268" xr:uid="{00000000-0005-0000-0000-0000C30E0000}"/>
    <cellStyle name="Entrada 2 2 2 2 2 2 11" xfId="14592" xr:uid="{00000000-0005-0000-0000-0000C40E0000}"/>
    <cellStyle name="Entrada 2 2 2 2 2 2 12" xfId="15808" xr:uid="{00000000-0005-0000-0000-0000C50E0000}"/>
    <cellStyle name="Entrada 2 2 2 2 2 2 2" xfId="3525" xr:uid="{00000000-0005-0000-0000-0000C60E0000}"/>
    <cellStyle name="Entrada 2 2 2 2 2 2 2 2" xfId="7264" xr:uid="{00000000-0005-0000-0000-0000C70E0000}"/>
    <cellStyle name="Entrada 2 2 2 2 2 2 2 2 2" xfId="11369" xr:uid="{00000000-0005-0000-0000-0000C80E0000}"/>
    <cellStyle name="Entrada 2 2 2 2 2 2 2 2 3" xfId="17664" xr:uid="{00000000-0005-0000-0000-0000C90E0000}"/>
    <cellStyle name="Entrada 2 2 2 2 2 2 2 2 4" xfId="20782" xr:uid="{00000000-0005-0000-0000-0000CA0E0000}"/>
    <cellStyle name="Entrada 2 2 2 2 2 2 2 3" xfId="5555" xr:uid="{00000000-0005-0000-0000-0000CB0E0000}"/>
    <cellStyle name="Entrada 2 2 2 2 2 2 2 3 2" xfId="16373" xr:uid="{00000000-0005-0000-0000-0000CC0E0000}"/>
    <cellStyle name="Entrada 2 2 2 2 2 2 2 3 3" xfId="19073" xr:uid="{00000000-0005-0000-0000-0000CD0E0000}"/>
    <cellStyle name="Entrada 2 2 2 2 2 2 2 4" xfId="9617" xr:uid="{00000000-0005-0000-0000-0000CE0E0000}"/>
    <cellStyle name="Entrada 2 2 2 2 2 2 2 5" xfId="14872" xr:uid="{00000000-0005-0000-0000-0000CF0E0000}"/>
    <cellStyle name="Entrada 2 2 2 2 2 2 2 6" xfId="15399" xr:uid="{00000000-0005-0000-0000-0000D00E0000}"/>
    <cellStyle name="Entrada 2 2 2 2 2 2 3" xfId="3908" xr:uid="{00000000-0005-0000-0000-0000D10E0000}"/>
    <cellStyle name="Entrada 2 2 2 2 2 2 3 2" xfId="7188" xr:uid="{00000000-0005-0000-0000-0000D20E0000}"/>
    <cellStyle name="Entrada 2 2 2 2 2 2 3 2 2" xfId="11317" xr:uid="{00000000-0005-0000-0000-0000D30E0000}"/>
    <cellStyle name="Entrada 2 2 2 2 2 2 3 2 3" xfId="17597" xr:uid="{00000000-0005-0000-0000-0000D40E0000}"/>
    <cellStyle name="Entrada 2 2 2 2 2 2 3 2 4" xfId="20706" xr:uid="{00000000-0005-0000-0000-0000D50E0000}"/>
    <cellStyle name="Entrada 2 2 2 2 2 2 3 3" xfId="5479" xr:uid="{00000000-0005-0000-0000-0000D60E0000}"/>
    <cellStyle name="Entrada 2 2 2 2 2 2 3 3 2" xfId="16307" xr:uid="{00000000-0005-0000-0000-0000D70E0000}"/>
    <cellStyle name="Entrada 2 2 2 2 2 2 3 3 3" xfId="18997" xr:uid="{00000000-0005-0000-0000-0000D80E0000}"/>
    <cellStyle name="Entrada 2 2 2 2 2 2 3 4" xfId="9831" xr:uid="{00000000-0005-0000-0000-0000D90E0000}"/>
    <cellStyle name="Entrada 2 2 2 2 2 2 3 5" xfId="15148" xr:uid="{00000000-0005-0000-0000-0000DA0E0000}"/>
    <cellStyle name="Entrada 2 2 2 2 2 2 3 6" xfId="14080" xr:uid="{00000000-0005-0000-0000-0000DB0E0000}"/>
    <cellStyle name="Entrada 2 2 2 2 2 2 4" xfId="4291" xr:uid="{00000000-0005-0000-0000-0000DC0E0000}"/>
    <cellStyle name="Entrada 2 2 2 2 2 2 4 2" xfId="8140" xr:uid="{00000000-0005-0000-0000-0000DD0E0000}"/>
    <cellStyle name="Entrada 2 2 2 2 2 2 4 2 2" xfId="12108" xr:uid="{00000000-0005-0000-0000-0000DE0E0000}"/>
    <cellStyle name="Entrada 2 2 2 2 2 2 4 2 3" xfId="18343" xr:uid="{00000000-0005-0000-0000-0000DF0E0000}"/>
    <cellStyle name="Entrada 2 2 2 2 2 2 4 2 4" xfId="21658" xr:uid="{00000000-0005-0000-0000-0000E00E0000}"/>
    <cellStyle name="Entrada 2 2 2 2 2 2 4 3" xfId="6432" xr:uid="{00000000-0005-0000-0000-0000E10E0000}"/>
    <cellStyle name="Entrada 2 2 2 2 2 2 4 3 2" xfId="17052" xr:uid="{00000000-0005-0000-0000-0000E20E0000}"/>
    <cellStyle name="Entrada 2 2 2 2 2 2 4 3 3" xfId="19950" xr:uid="{00000000-0005-0000-0000-0000E30E0000}"/>
    <cellStyle name="Entrada 2 2 2 2 2 2 4 4" xfId="10009" xr:uid="{00000000-0005-0000-0000-0000E40E0000}"/>
    <cellStyle name="Entrada 2 2 2 2 2 2 4 5" xfId="15423" xr:uid="{00000000-0005-0000-0000-0000E50E0000}"/>
    <cellStyle name="Entrada 2 2 2 2 2 2 4 6" xfId="13714" xr:uid="{00000000-0005-0000-0000-0000E60E0000}"/>
    <cellStyle name="Entrada 2 2 2 2 2 2 5" xfId="4673" xr:uid="{00000000-0005-0000-0000-0000E70E0000}"/>
    <cellStyle name="Entrada 2 2 2 2 2 2 5 2" xfId="8372" xr:uid="{00000000-0005-0000-0000-0000E80E0000}"/>
    <cellStyle name="Entrada 2 2 2 2 2 2 5 2 2" xfId="12340" xr:uid="{00000000-0005-0000-0000-0000E90E0000}"/>
    <cellStyle name="Entrada 2 2 2 2 2 2 5 2 3" xfId="18514" xr:uid="{00000000-0005-0000-0000-0000EA0E0000}"/>
    <cellStyle name="Entrada 2 2 2 2 2 2 5 2 4" xfId="21890" xr:uid="{00000000-0005-0000-0000-0000EB0E0000}"/>
    <cellStyle name="Entrada 2 2 2 2 2 2 5 3" xfId="6664" xr:uid="{00000000-0005-0000-0000-0000EC0E0000}"/>
    <cellStyle name="Entrada 2 2 2 2 2 2 5 3 2" xfId="17223" xr:uid="{00000000-0005-0000-0000-0000ED0E0000}"/>
    <cellStyle name="Entrada 2 2 2 2 2 2 5 3 3" xfId="20182" xr:uid="{00000000-0005-0000-0000-0000EE0E0000}"/>
    <cellStyle name="Entrada 2 2 2 2 2 2 5 4" xfId="10186" xr:uid="{00000000-0005-0000-0000-0000EF0E0000}"/>
    <cellStyle name="Entrada 2 2 2 2 2 2 5 5" xfId="15697" xr:uid="{00000000-0005-0000-0000-0000F00E0000}"/>
    <cellStyle name="Entrada 2 2 2 2 2 2 5 6" xfId="13332" xr:uid="{00000000-0005-0000-0000-0000F10E0000}"/>
    <cellStyle name="Entrada 2 2 2 2 2 2 6" xfId="6896" xr:uid="{00000000-0005-0000-0000-0000F20E0000}"/>
    <cellStyle name="Entrada 2 2 2 2 2 2 6 2" xfId="8604" xr:uid="{00000000-0005-0000-0000-0000F30E0000}"/>
    <cellStyle name="Entrada 2 2 2 2 2 2 6 2 2" xfId="12572" xr:uid="{00000000-0005-0000-0000-0000F40E0000}"/>
    <cellStyle name="Entrada 2 2 2 2 2 2 6 2 3" xfId="18685" xr:uid="{00000000-0005-0000-0000-0000F50E0000}"/>
    <cellStyle name="Entrada 2 2 2 2 2 2 6 2 4" xfId="22122" xr:uid="{00000000-0005-0000-0000-0000F60E0000}"/>
    <cellStyle name="Entrada 2 2 2 2 2 2 6 3" xfId="11030" xr:uid="{00000000-0005-0000-0000-0000F70E0000}"/>
    <cellStyle name="Entrada 2 2 2 2 2 2 6 4" xfId="17393" xr:uid="{00000000-0005-0000-0000-0000F80E0000}"/>
    <cellStyle name="Entrada 2 2 2 2 2 2 6 5" xfId="20414" xr:uid="{00000000-0005-0000-0000-0000F90E0000}"/>
    <cellStyle name="Entrada 2 2 2 2 2 2 7" xfId="5884" xr:uid="{00000000-0005-0000-0000-0000FA0E0000}"/>
    <cellStyle name="Entrada 2 2 2 2 2 2 7 2" xfId="10625" xr:uid="{00000000-0005-0000-0000-0000FB0E0000}"/>
    <cellStyle name="Entrada 2 2 2 2 2 2 7 3" xfId="16631" xr:uid="{00000000-0005-0000-0000-0000FC0E0000}"/>
    <cellStyle name="Entrada 2 2 2 2 2 2 7 4" xfId="19402" xr:uid="{00000000-0005-0000-0000-0000FD0E0000}"/>
    <cellStyle name="Entrada 2 2 2 2 2 2 8" xfId="7592" xr:uid="{00000000-0005-0000-0000-0000FE0E0000}"/>
    <cellStyle name="Entrada 2 2 2 2 2 2 8 2" xfId="11613" xr:uid="{00000000-0005-0000-0000-0000FF0E0000}"/>
    <cellStyle name="Entrada 2 2 2 2 2 2 8 3" xfId="17923" xr:uid="{00000000-0005-0000-0000-0000000F0000}"/>
    <cellStyle name="Entrada 2 2 2 2 2 2 8 4" xfId="21110" xr:uid="{00000000-0005-0000-0000-0000010F0000}"/>
    <cellStyle name="Entrada 2 2 2 2 2 2 9" xfId="4974" xr:uid="{00000000-0005-0000-0000-0000020F0000}"/>
    <cellStyle name="Entrada 2 2 2 2 2 2 9 2" xfId="15941" xr:uid="{00000000-0005-0000-0000-0000030F0000}"/>
    <cellStyle name="Entrada 2 2 2 2 2 2 9 3" xfId="13045" xr:uid="{00000000-0005-0000-0000-0000040F0000}"/>
    <cellStyle name="Entrada 2 2 2 2 2 3" xfId="3260" xr:uid="{00000000-0005-0000-0000-0000050F0000}"/>
    <cellStyle name="Entrada 2 2 2 2 2 3 2" xfId="3647" xr:uid="{00000000-0005-0000-0000-0000060F0000}"/>
    <cellStyle name="Entrada 2 2 2 2 2 3 2 2" xfId="7872" xr:uid="{00000000-0005-0000-0000-0000070F0000}"/>
    <cellStyle name="Entrada 2 2 2 2 2 3 2 2 2" xfId="18129" xr:uid="{00000000-0005-0000-0000-0000080F0000}"/>
    <cellStyle name="Entrada 2 2 2 2 2 3 2 2 3" xfId="21390" xr:uid="{00000000-0005-0000-0000-0000090F0000}"/>
    <cellStyle name="Entrada 2 2 2 2 2 3 2 3" xfId="9738" xr:uid="{00000000-0005-0000-0000-00000A0F0000}"/>
    <cellStyle name="Entrada 2 2 2 2 2 3 2 4" xfId="14966" xr:uid="{00000000-0005-0000-0000-00000B0F0000}"/>
    <cellStyle name="Entrada 2 2 2 2 2 3 2 5" xfId="16559" xr:uid="{00000000-0005-0000-0000-00000C0F0000}"/>
    <cellStyle name="Entrada 2 2 2 2 2 3 3" xfId="4030" xr:uid="{00000000-0005-0000-0000-00000D0F0000}"/>
    <cellStyle name="Entrada 2 2 2 2 2 3 3 2" xfId="15241" xr:uid="{00000000-0005-0000-0000-00000E0F0000}"/>
    <cellStyle name="Entrada 2 2 2 2 2 3 3 3" xfId="13961" xr:uid="{00000000-0005-0000-0000-00000F0F0000}"/>
    <cellStyle name="Entrada 2 2 2 2 2 3 4" xfId="4413" xr:uid="{00000000-0005-0000-0000-0000100F0000}"/>
    <cellStyle name="Entrada 2 2 2 2 2 3 4 2" xfId="15517" xr:uid="{00000000-0005-0000-0000-0000110F0000}"/>
    <cellStyle name="Entrada 2 2 2 2 2 3 4 3" xfId="13592" xr:uid="{00000000-0005-0000-0000-0000120F0000}"/>
    <cellStyle name="Entrada 2 2 2 2 2 3 5" xfId="4795" xr:uid="{00000000-0005-0000-0000-0000130F0000}"/>
    <cellStyle name="Entrada 2 2 2 2 2 3 5 2" xfId="15789" xr:uid="{00000000-0005-0000-0000-0000140F0000}"/>
    <cellStyle name="Entrada 2 2 2 2 2 3 5 3" xfId="13211" xr:uid="{00000000-0005-0000-0000-0000150F0000}"/>
    <cellStyle name="Entrada 2 2 2 2 2 3 6" xfId="6164" xr:uid="{00000000-0005-0000-0000-0000160F0000}"/>
    <cellStyle name="Entrada 2 2 2 2 2 3 6 2" xfId="16837" xr:uid="{00000000-0005-0000-0000-0000170F0000}"/>
    <cellStyle name="Entrada 2 2 2 2 2 3 6 3" xfId="19682" xr:uid="{00000000-0005-0000-0000-0000180F0000}"/>
    <cellStyle name="Entrada 2 2 2 2 2 3 7" xfId="9390" xr:uid="{00000000-0005-0000-0000-0000190F0000}"/>
    <cellStyle name="Entrada 2 2 2 2 2 3 8" xfId="14686" xr:uid="{00000000-0005-0000-0000-00001A0F0000}"/>
    <cellStyle name="Entrada 2 2 2 2 2 3 9" xfId="17736" xr:uid="{00000000-0005-0000-0000-00001B0F0000}"/>
    <cellStyle name="Entrada 2 2 2 2 2 4" xfId="2846" xr:uid="{00000000-0005-0000-0000-00001C0F0000}"/>
    <cellStyle name="Entrada 2 2 2 2 2 4 2" xfId="7171" xr:uid="{00000000-0005-0000-0000-00001D0F0000}"/>
    <cellStyle name="Entrada 2 2 2 2 2 4 2 2" xfId="11301" xr:uid="{00000000-0005-0000-0000-00001E0F0000}"/>
    <cellStyle name="Entrada 2 2 2 2 2 4 2 3" xfId="17582" xr:uid="{00000000-0005-0000-0000-00001F0F0000}"/>
    <cellStyle name="Entrada 2 2 2 2 2 4 2 4" xfId="20689" xr:uid="{00000000-0005-0000-0000-0000200F0000}"/>
    <cellStyle name="Entrada 2 2 2 2 2 4 3" xfId="5462" xr:uid="{00000000-0005-0000-0000-0000210F0000}"/>
    <cellStyle name="Entrada 2 2 2 2 2 4 3 2" xfId="16292" xr:uid="{00000000-0005-0000-0000-0000220F0000}"/>
    <cellStyle name="Entrada 2 2 2 2 2 4 3 3" xfId="18980" xr:uid="{00000000-0005-0000-0000-0000230F0000}"/>
    <cellStyle name="Entrada 2 2 2 2 2 4 4" xfId="8999" xr:uid="{00000000-0005-0000-0000-0000240F0000}"/>
    <cellStyle name="Entrada 2 2 2 2 2 4 5" xfId="14385" xr:uid="{00000000-0005-0000-0000-0000250F0000}"/>
    <cellStyle name="Entrada 2 2 2 2 2 4 6" xfId="17331" xr:uid="{00000000-0005-0000-0000-0000260F0000}"/>
    <cellStyle name="Entrada 2 2 2 2 2 5" xfId="6376" xr:uid="{00000000-0005-0000-0000-0000270F0000}"/>
    <cellStyle name="Entrada 2 2 2 2 2 5 2" xfId="8084" xr:uid="{00000000-0005-0000-0000-0000280F0000}"/>
    <cellStyle name="Entrada 2 2 2 2 2 5 2 2" xfId="12052" xr:uid="{00000000-0005-0000-0000-0000290F0000}"/>
    <cellStyle name="Entrada 2 2 2 2 2 5 2 3" xfId="18290" xr:uid="{00000000-0005-0000-0000-00002A0F0000}"/>
    <cellStyle name="Entrada 2 2 2 2 2 5 2 4" xfId="21602" xr:uid="{00000000-0005-0000-0000-00002B0F0000}"/>
    <cellStyle name="Entrada 2 2 2 2 2 5 3" xfId="10894" xr:uid="{00000000-0005-0000-0000-00002C0F0000}"/>
    <cellStyle name="Entrada 2 2 2 2 2 5 4" xfId="16999" xr:uid="{00000000-0005-0000-0000-00002D0F0000}"/>
    <cellStyle name="Entrada 2 2 2 2 2 5 5" xfId="19894" xr:uid="{00000000-0005-0000-0000-00002E0F0000}"/>
    <cellStyle name="Entrada 2 2 2 2 2 6" xfId="6608" xr:uid="{00000000-0005-0000-0000-00002F0F0000}"/>
    <cellStyle name="Entrada 2 2 2 2 2 6 2" xfId="8316" xr:uid="{00000000-0005-0000-0000-0000300F0000}"/>
    <cellStyle name="Entrada 2 2 2 2 2 6 2 2" xfId="12284" xr:uid="{00000000-0005-0000-0000-0000310F0000}"/>
    <cellStyle name="Entrada 2 2 2 2 2 6 2 3" xfId="18461" xr:uid="{00000000-0005-0000-0000-0000320F0000}"/>
    <cellStyle name="Entrada 2 2 2 2 2 6 2 4" xfId="21834" xr:uid="{00000000-0005-0000-0000-0000330F0000}"/>
    <cellStyle name="Entrada 2 2 2 2 2 6 3" xfId="10934" xr:uid="{00000000-0005-0000-0000-0000340F0000}"/>
    <cellStyle name="Entrada 2 2 2 2 2 6 4" xfId="17170" xr:uid="{00000000-0005-0000-0000-0000350F0000}"/>
    <cellStyle name="Entrada 2 2 2 2 2 6 5" xfId="20126" xr:uid="{00000000-0005-0000-0000-0000360F0000}"/>
    <cellStyle name="Entrada 2 2 2 2 2 7" xfId="6840" xr:uid="{00000000-0005-0000-0000-0000370F0000}"/>
    <cellStyle name="Entrada 2 2 2 2 2 7 2" xfId="8548" xr:uid="{00000000-0005-0000-0000-0000380F0000}"/>
    <cellStyle name="Entrada 2 2 2 2 2 7 2 2" xfId="12516" xr:uid="{00000000-0005-0000-0000-0000390F0000}"/>
    <cellStyle name="Entrada 2 2 2 2 2 7 2 3" xfId="18632" xr:uid="{00000000-0005-0000-0000-00003A0F0000}"/>
    <cellStyle name="Entrada 2 2 2 2 2 7 2 4" xfId="22066" xr:uid="{00000000-0005-0000-0000-00003B0F0000}"/>
    <cellStyle name="Entrada 2 2 2 2 2 7 3" xfId="10974" xr:uid="{00000000-0005-0000-0000-00003C0F0000}"/>
    <cellStyle name="Entrada 2 2 2 2 2 7 4" xfId="17340" xr:uid="{00000000-0005-0000-0000-00003D0F0000}"/>
    <cellStyle name="Entrada 2 2 2 2 2 7 5" xfId="20358" xr:uid="{00000000-0005-0000-0000-00003E0F0000}"/>
    <cellStyle name="Entrada 2 2 2 2 2 8" xfId="5804" xr:uid="{00000000-0005-0000-0000-00003F0F0000}"/>
    <cellStyle name="Entrada 2 2 2 2 2 8 2" xfId="10569" xr:uid="{00000000-0005-0000-0000-0000400F0000}"/>
    <cellStyle name="Entrada 2 2 2 2 2 8 3" xfId="16569" xr:uid="{00000000-0005-0000-0000-0000410F0000}"/>
    <cellStyle name="Entrada 2 2 2 2 2 8 4" xfId="19322" xr:uid="{00000000-0005-0000-0000-0000420F0000}"/>
    <cellStyle name="Entrada 2 2 2 2 2 9" xfId="7512" xr:uid="{00000000-0005-0000-0000-0000430F0000}"/>
    <cellStyle name="Entrada 2 2 2 2 2 9 2" xfId="11555" xr:uid="{00000000-0005-0000-0000-0000440F0000}"/>
    <cellStyle name="Entrada 2 2 2 2 2 9 3" xfId="17861" xr:uid="{00000000-0005-0000-0000-0000450F0000}"/>
    <cellStyle name="Entrada 2 2 2 2 2 9 4" xfId="21030" xr:uid="{00000000-0005-0000-0000-0000460F0000}"/>
    <cellStyle name="Entrada 2 2 2 2 3" xfId="3207" xr:uid="{00000000-0005-0000-0000-0000470F0000}"/>
    <cellStyle name="Entrada 2 2 2 2 3 10" xfId="9337" xr:uid="{00000000-0005-0000-0000-0000480F0000}"/>
    <cellStyle name="Entrada 2 2 2 2 3 11" xfId="14648" xr:uid="{00000000-0005-0000-0000-0000490F0000}"/>
    <cellStyle name="Entrada 2 2 2 2 3 12" xfId="16086" xr:uid="{00000000-0005-0000-0000-00004A0F0000}"/>
    <cellStyle name="Entrada 2 2 2 2 3 2" xfId="3594" xr:uid="{00000000-0005-0000-0000-00004B0F0000}"/>
    <cellStyle name="Entrada 2 2 2 2 3 2 2" xfId="7955" xr:uid="{00000000-0005-0000-0000-00004C0F0000}"/>
    <cellStyle name="Entrada 2 2 2 2 3 2 2 2" xfId="11931" xr:uid="{00000000-0005-0000-0000-00004D0F0000}"/>
    <cellStyle name="Entrada 2 2 2 2 3 2 2 3" xfId="18188" xr:uid="{00000000-0005-0000-0000-00004E0F0000}"/>
    <cellStyle name="Entrada 2 2 2 2 3 2 2 4" xfId="21473" xr:uid="{00000000-0005-0000-0000-00004F0F0000}"/>
    <cellStyle name="Entrada 2 2 2 2 3 2 3" xfId="6247" xr:uid="{00000000-0005-0000-0000-0000500F0000}"/>
    <cellStyle name="Entrada 2 2 2 2 3 2 3 2" xfId="16896" xr:uid="{00000000-0005-0000-0000-0000510F0000}"/>
    <cellStyle name="Entrada 2 2 2 2 3 2 3 3" xfId="19765" xr:uid="{00000000-0005-0000-0000-0000520F0000}"/>
    <cellStyle name="Entrada 2 2 2 2 3 2 4" xfId="9686" xr:uid="{00000000-0005-0000-0000-0000530F0000}"/>
    <cellStyle name="Entrada 2 2 2 2 3 2 5" xfId="14928" xr:uid="{00000000-0005-0000-0000-0000540F0000}"/>
    <cellStyle name="Entrada 2 2 2 2 3 2 6" xfId="15012" xr:uid="{00000000-0005-0000-0000-0000550F0000}"/>
    <cellStyle name="Entrada 2 2 2 2 3 3" xfId="3977" xr:uid="{00000000-0005-0000-0000-0000560F0000}"/>
    <cellStyle name="Entrada 2 2 2 2 3 3 2" xfId="7783" xr:uid="{00000000-0005-0000-0000-0000570F0000}"/>
    <cellStyle name="Entrada 2 2 2 2 3 3 2 2" xfId="11803" xr:uid="{00000000-0005-0000-0000-0000580F0000}"/>
    <cellStyle name="Entrada 2 2 2 2 3 3 2 3" xfId="18052" xr:uid="{00000000-0005-0000-0000-0000590F0000}"/>
    <cellStyle name="Entrada 2 2 2 2 3 3 2 4" xfId="21301" xr:uid="{00000000-0005-0000-0000-00005A0F0000}"/>
    <cellStyle name="Entrada 2 2 2 2 3 3 3" xfId="6075" xr:uid="{00000000-0005-0000-0000-00005B0F0000}"/>
    <cellStyle name="Entrada 2 2 2 2 3 3 3 2" xfId="16760" xr:uid="{00000000-0005-0000-0000-00005C0F0000}"/>
    <cellStyle name="Entrada 2 2 2 2 3 3 3 3" xfId="19593" xr:uid="{00000000-0005-0000-0000-00005D0F0000}"/>
    <cellStyle name="Entrada 2 2 2 2 3 3 4" xfId="9896" xr:uid="{00000000-0005-0000-0000-00005E0F0000}"/>
    <cellStyle name="Entrada 2 2 2 2 3 3 5" xfId="15204" xr:uid="{00000000-0005-0000-0000-00005F0F0000}"/>
    <cellStyle name="Entrada 2 2 2 2 3 3 6" xfId="14014" xr:uid="{00000000-0005-0000-0000-0000600F0000}"/>
    <cellStyle name="Entrada 2 2 2 2 3 4" xfId="4360" xr:uid="{00000000-0005-0000-0000-0000610F0000}"/>
    <cellStyle name="Entrada 2 2 2 2 3 4 2" xfId="8262" xr:uid="{00000000-0005-0000-0000-0000620F0000}"/>
    <cellStyle name="Entrada 2 2 2 2 3 4 2 2" xfId="12230" xr:uid="{00000000-0005-0000-0000-0000630F0000}"/>
    <cellStyle name="Entrada 2 2 2 2 3 4 2 3" xfId="18421" xr:uid="{00000000-0005-0000-0000-0000640F0000}"/>
    <cellStyle name="Entrada 2 2 2 2 3 4 2 4" xfId="21780" xr:uid="{00000000-0005-0000-0000-0000650F0000}"/>
    <cellStyle name="Entrada 2 2 2 2 3 4 3" xfId="6554" xr:uid="{00000000-0005-0000-0000-0000660F0000}"/>
    <cellStyle name="Entrada 2 2 2 2 3 4 3 2" xfId="17130" xr:uid="{00000000-0005-0000-0000-0000670F0000}"/>
    <cellStyle name="Entrada 2 2 2 2 3 4 3 3" xfId="20072" xr:uid="{00000000-0005-0000-0000-0000680F0000}"/>
    <cellStyle name="Entrada 2 2 2 2 3 4 4" xfId="10074" xr:uid="{00000000-0005-0000-0000-0000690F0000}"/>
    <cellStyle name="Entrada 2 2 2 2 3 4 5" xfId="15479" xr:uid="{00000000-0005-0000-0000-00006A0F0000}"/>
    <cellStyle name="Entrada 2 2 2 2 3 4 6" xfId="13645" xr:uid="{00000000-0005-0000-0000-00006B0F0000}"/>
    <cellStyle name="Entrada 2 2 2 2 3 5" xfId="4742" xr:uid="{00000000-0005-0000-0000-00006C0F0000}"/>
    <cellStyle name="Entrada 2 2 2 2 3 5 2" xfId="8494" xr:uid="{00000000-0005-0000-0000-00006D0F0000}"/>
    <cellStyle name="Entrada 2 2 2 2 3 5 2 2" xfId="12462" xr:uid="{00000000-0005-0000-0000-00006E0F0000}"/>
    <cellStyle name="Entrada 2 2 2 2 3 5 2 3" xfId="18592" xr:uid="{00000000-0005-0000-0000-00006F0F0000}"/>
    <cellStyle name="Entrada 2 2 2 2 3 5 2 4" xfId="22012" xr:uid="{00000000-0005-0000-0000-0000700F0000}"/>
    <cellStyle name="Entrada 2 2 2 2 3 5 3" xfId="6786" xr:uid="{00000000-0005-0000-0000-0000710F0000}"/>
    <cellStyle name="Entrada 2 2 2 2 3 5 3 2" xfId="17300" xr:uid="{00000000-0005-0000-0000-0000720F0000}"/>
    <cellStyle name="Entrada 2 2 2 2 3 5 3 3" xfId="20304" xr:uid="{00000000-0005-0000-0000-0000730F0000}"/>
    <cellStyle name="Entrada 2 2 2 2 3 5 4" xfId="10251" xr:uid="{00000000-0005-0000-0000-0000740F0000}"/>
    <cellStyle name="Entrada 2 2 2 2 3 5 5" xfId="15752" xr:uid="{00000000-0005-0000-0000-0000750F0000}"/>
    <cellStyle name="Entrada 2 2 2 2 3 5 6" xfId="13263" xr:uid="{00000000-0005-0000-0000-0000760F0000}"/>
    <cellStyle name="Entrada 2 2 2 2 3 6" xfId="7018" xr:uid="{00000000-0005-0000-0000-0000770F0000}"/>
    <cellStyle name="Entrada 2 2 2 2 3 6 2" xfId="8726" xr:uid="{00000000-0005-0000-0000-0000780F0000}"/>
    <cellStyle name="Entrada 2 2 2 2 3 6 2 2" xfId="12694" xr:uid="{00000000-0005-0000-0000-0000790F0000}"/>
    <cellStyle name="Entrada 2 2 2 2 3 6 2 3" xfId="18763" xr:uid="{00000000-0005-0000-0000-00007A0F0000}"/>
    <cellStyle name="Entrada 2 2 2 2 3 6 2 4" xfId="22244" xr:uid="{00000000-0005-0000-0000-00007B0F0000}"/>
    <cellStyle name="Entrada 2 2 2 2 3 6 3" xfId="11152" xr:uid="{00000000-0005-0000-0000-00007C0F0000}"/>
    <cellStyle name="Entrada 2 2 2 2 3 6 4" xfId="17470" xr:uid="{00000000-0005-0000-0000-00007D0F0000}"/>
    <cellStyle name="Entrada 2 2 2 2 3 6 5" xfId="20536" xr:uid="{00000000-0005-0000-0000-00007E0F0000}"/>
    <cellStyle name="Entrada 2 2 2 2 3 7" xfId="6006" xr:uid="{00000000-0005-0000-0000-00007F0F0000}"/>
    <cellStyle name="Entrada 2 2 2 2 3 7 2" xfId="10747" xr:uid="{00000000-0005-0000-0000-0000800F0000}"/>
    <cellStyle name="Entrada 2 2 2 2 3 7 3" xfId="16709" xr:uid="{00000000-0005-0000-0000-0000810F0000}"/>
    <cellStyle name="Entrada 2 2 2 2 3 7 4" xfId="19524" xr:uid="{00000000-0005-0000-0000-0000820F0000}"/>
    <cellStyle name="Entrada 2 2 2 2 3 8" xfId="7714" xr:uid="{00000000-0005-0000-0000-0000830F0000}"/>
    <cellStyle name="Entrada 2 2 2 2 3 8 2" xfId="11735" xr:uid="{00000000-0005-0000-0000-0000840F0000}"/>
    <cellStyle name="Entrada 2 2 2 2 3 8 3" xfId="18001" xr:uid="{00000000-0005-0000-0000-0000850F0000}"/>
    <cellStyle name="Entrada 2 2 2 2 3 8 4" xfId="21232" xr:uid="{00000000-0005-0000-0000-0000860F0000}"/>
    <cellStyle name="Entrada 2 2 2 2 3 9" xfId="5200" xr:uid="{00000000-0005-0000-0000-0000870F0000}"/>
    <cellStyle name="Entrada 2 2 2 2 3 9 2" xfId="16097" xr:uid="{00000000-0005-0000-0000-0000880F0000}"/>
    <cellStyle name="Entrada 2 2 2 2 3 9 3" xfId="12882" xr:uid="{00000000-0005-0000-0000-0000890F0000}"/>
    <cellStyle name="Entrada 2 2 2 2 4" xfId="3264" xr:uid="{00000000-0005-0000-0000-00008A0F0000}"/>
    <cellStyle name="Entrada 2 2 2 2 4 2" xfId="3651" xr:uid="{00000000-0005-0000-0000-00008B0F0000}"/>
    <cellStyle name="Entrada 2 2 2 2 4 2 2" xfId="7336" xr:uid="{00000000-0005-0000-0000-00008C0F0000}"/>
    <cellStyle name="Entrada 2 2 2 2 4 2 2 2" xfId="17725" xr:uid="{00000000-0005-0000-0000-00008D0F0000}"/>
    <cellStyle name="Entrada 2 2 2 2 4 2 2 3" xfId="20854" xr:uid="{00000000-0005-0000-0000-00008E0F0000}"/>
    <cellStyle name="Entrada 2 2 2 2 4 2 3" xfId="9742" xr:uid="{00000000-0005-0000-0000-00008F0F0000}"/>
    <cellStyle name="Entrada 2 2 2 2 4 2 4" xfId="14969" xr:uid="{00000000-0005-0000-0000-0000900F0000}"/>
    <cellStyle name="Entrada 2 2 2 2 4 2 5" xfId="14972" xr:uid="{00000000-0005-0000-0000-0000910F0000}"/>
    <cellStyle name="Entrada 2 2 2 2 4 3" xfId="4034" xr:uid="{00000000-0005-0000-0000-0000920F0000}"/>
    <cellStyle name="Entrada 2 2 2 2 4 3 2" xfId="15244" xr:uid="{00000000-0005-0000-0000-0000930F0000}"/>
    <cellStyle name="Entrada 2 2 2 2 4 3 3" xfId="13957" xr:uid="{00000000-0005-0000-0000-0000940F0000}"/>
    <cellStyle name="Entrada 2 2 2 2 4 4" xfId="4417" xr:uid="{00000000-0005-0000-0000-0000950F0000}"/>
    <cellStyle name="Entrada 2 2 2 2 4 4 2" xfId="15520" xr:uid="{00000000-0005-0000-0000-0000960F0000}"/>
    <cellStyle name="Entrada 2 2 2 2 4 4 3" xfId="13588" xr:uid="{00000000-0005-0000-0000-0000970F0000}"/>
    <cellStyle name="Entrada 2 2 2 2 4 5" xfId="4799" xr:uid="{00000000-0005-0000-0000-0000980F0000}"/>
    <cellStyle name="Entrada 2 2 2 2 4 5 2" xfId="15792" xr:uid="{00000000-0005-0000-0000-0000990F0000}"/>
    <cellStyle name="Entrada 2 2 2 2 4 5 3" xfId="13207" xr:uid="{00000000-0005-0000-0000-00009A0F0000}"/>
    <cellStyle name="Entrada 2 2 2 2 4 6" xfId="5627" xr:uid="{00000000-0005-0000-0000-00009B0F0000}"/>
    <cellStyle name="Entrada 2 2 2 2 4 6 2" xfId="16434" xr:uid="{00000000-0005-0000-0000-00009C0F0000}"/>
    <cellStyle name="Entrada 2 2 2 2 4 6 3" xfId="19145" xr:uid="{00000000-0005-0000-0000-00009D0F0000}"/>
    <cellStyle name="Entrada 2 2 2 2 4 7" xfId="9394" xr:uid="{00000000-0005-0000-0000-00009E0F0000}"/>
    <cellStyle name="Entrada 2 2 2 2 4 8" xfId="14689" xr:uid="{00000000-0005-0000-0000-00009F0F0000}"/>
    <cellStyle name="Entrada 2 2 2 2 4 9" xfId="14379" xr:uid="{00000000-0005-0000-0000-0000A00F0000}"/>
    <cellStyle name="Entrada 2 2 2 2 5" xfId="5340" xr:uid="{00000000-0005-0000-0000-0000A10F0000}"/>
    <cellStyle name="Entrada 2 2 2 2 5 2" xfId="4978" xr:uid="{00000000-0005-0000-0000-0000A20F0000}"/>
    <cellStyle name="Entrada 2 2 2 2 5 2 2" xfId="10301" xr:uid="{00000000-0005-0000-0000-0000A30F0000}"/>
    <cellStyle name="Entrada 2 2 2 2 5 2 3" xfId="15945" xr:uid="{00000000-0005-0000-0000-0000A40F0000}"/>
    <cellStyle name="Entrada 2 2 2 2 5 2 4" xfId="13041" xr:uid="{00000000-0005-0000-0000-0000A50F0000}"/>
    <cellStyle name="Entrada 2 2 2 2 5 3" xfId="10427" xr:uid="{00000000-0005-0000-0000-0000A60F0000}"/>
    <cellStyle name="Entrada 2 2 2 2 5 4" xfId="16207" xr:uid="{00000000-0005-0000-0000-0000A70F0000}"/>
    <cellStyle name="Entrada 2 2 2 2 5 5" xfId="18858" xr:uid="{00000000-0005-0000-0000-0000A80F0000}"/>
    <cellStyle name="Entrada 2 2 2 2 6" xfId="5498" xr:uid="{00000000-0005-0000-0000-0000A90F0000}"/>
    <cellStyle name="Entrada 2 2 2 2 6 2" xfId="7207" xr:uid="{00000000-0005-0000-0000-0000AA0F0000}"/>
    <cellStyle name="Entrada 2 2 2 2 6 2 2" xfId="11333" xr:uid="{00000000-0005-0000-0000-0000AB0F0000}"/>
    <cellStyle name="Entrada 2 2 2 2 6 2 3" xfId="17613" xr:uid="{00000000-0005-0000-0000-0000AC0F0000}"/>
    <cellStyle name="Entrada 2 2 2 2 6 2 4" xfId="20725" xr:uid="{00000000-0005-0000-0000-0000AD0F0000}"/>
    <cellStyle name="Entrada 2 2 2 2 6 3" xfId="10480" xr:uid="{00000000-0005-0000-0000-0000AE0F0000}"/>
    <cellStyle name="Entrada 2 2 2 2 6 4" xfId="16322" xr:uid="{00000000-0005-0000-0000-0000AF0F0000}"/>
    <cellStyle name="Entrada 2 2 2 2 6 5" xfId="19016" xr:uid="{00000000-0005-0000-0000-0000B00F0000}"/>
    <cellStyle name="Entrada 2 2 2 2 7" xfId="6316" xr:uid="{00000000-0005-0000-0000-0000B10F0000}"/>
    <cellStyle name="Entrada 2 2 2 2 7 2" xfId="8024" xr:uid="{00000000-0005-0000-0000-0000B20F0000}"/>
    <cellStyle name="Entrada 2 2 2 2 7 2 2" xfId="11999" xr:uid="{00000000-0005-0000-0000-0000B30F0000}"/>
    <cellStyle name="Entrada 2 2 2 2 7 2 3" xfId="18240" xr:uid="{00000000-0005-0000-0000-0000B40F0000}"/>
    <cellStyle name="Entrada 2 2 2 2 7 2 4" xfId="21542" xr:uid="{00000000-0005-0000-0000-0000B50F0000}"/>
    <cellStyle name="Entrada 2 2 2 2 7 3" xfId="10860" xr:uid="{00000000-0005-0000-0000-0000B60F0000}"/>
    <cellStyle name="Entrada 2 2 2 2 7 4" xfId="16949" xr:uid="{00000000-0005-0000-0000-0000B70F0000}"/>
    <cellStyle name="Entrada 2 2 2 2 7 5" xfId="19834" xr:uid="{00000000-0005-0000-0000-0000B80F0000}"/>
    <cellStyle name="Entrada 2 2 2 2 8" xfId="5493" xr:uid="{00000000-0005-0000-0000-0000B90F0000}"/>
    <cellStyle name="Entrada 2 2 2 2 8 2" xfId="7202" xr:uid="{00000000-0005-0000-0000-0000BA0F0000}"/>
    <cellStyle name="Entrada 2 2 2 2 8 2 2" xfId="11328" xr:uid="{00000000-0005-0000-0000-0000BB0F0000}"/>
    <cellStyle name="Entrada 2 2 2 2 8 2 3" xfId="17608" xr:uid="{00000000-0005-0000-0000-0000BC0F0000}"/>
    <cellStyle name="Entrada 2 2 2 2 8 2 4" xfId="20720" xr:uid="{00000000-0005-0000-0000-0000BD0F0000}"/>
    <cellStyle name="Entrada 2 2 2 2 8 3" xfId="10476" xr:uid="{00000000-0005-0000-0000-0000BE0F0000}"/>
    <cellStyle name="Entrada 2 2 2 2 8 4" xfId="16317" xr:uid="{00000000-0005-0000-0000-0000BF0F0000}"/>
    <cellStyle name="Entrada 2 2 2 2 8 5" xfId="19011" xr:uid="{00000000-0005-0000-0000-0000C00F0000}"/>
    <cellStyle name="Entrada 2 2 2 2 9" xfId="5785" xr:uid="{00000000-0005-0000-0000-0000C10F0000}"/>
    <cellStyle name="Entrada 2 2 2 2 9 2" xfId="10561" xr:uid="{00000000-0005-0000-0000-0000C20F0000}"/>
    <cellStyle name="Entrada 2 2 2 2 9 3" xfId="16556" xr:uid="{00000000-0005-0000-0000-0000C30F0000}"/>
    <cellStyle name="Entrada 2 2 2 2 9 4" xfId="19303" xr:uid="{00000000-0005-0000-0000-0000C40F0000}"/>
    <cellStyle name="Entrada 2 2 2 3" xfId="2671" xr:uid="{00000000-0005-0000-0000-0000C50F0000}"/>
    <cellStyle name="Entrada 2 2 2 3 10" xfId="7517" xr:uid="{00000000-0005-0000-0000-0000C60F0000}"/>
    <cellStyle name="Entrada 2 2 2 3 10 2" xfId="11558" xr:uid="{00000000-0005-0000-0000-0000C70F0000}"/>
    <cellStyle name="Entrada 2 2 2 3 10 3" xfId="17864" xr:uid="{00000000-0005-0000-0000-0000C80F0000}"/>
    <cellStyle name="Entrada 2 2 2 3 10 4" xfId="21035" xr:uid="{00000000-0005-0000-0000-0000C90F0000}"/>
    <cellStyle name="Entrada 2 2 2 3 11" xfId="4921" xr:uid="{00000000-0005-0000-0000-0000CA0F0000}"/>
    <cellStyle name="Entrada 2 2 2 3 11 2" xfId="15891" xr:uid="{00000000-0005-0000-0000-0000CB0F0000}"/>
    <cellStyle name="Entrada 2 2 2 3 11 3" xfId="13098" xr:uid="{00000000-0005-0000-0000-0000CC0F0000}"/>
    <cellStyle name="Entrada 2 2 2 3 12" xfId="8828" xr:uid="{00000000-0005-0000-0000-0000CD0F0000}"/>
    <cellStyle name="Entrada 2 2 2 3 13" xfId="14244" xr:uid="{00000000-0005-0000-0000-0000CE0F0000}"/>
    <cellStyle name="Entrada 2 2 2 3 14" xfId="18018" xr:uid="{00000000-0005-0000-0000-0000CF0F0000}"/>
    <cellStyle name="Entrada 2 2 2 3 2" xfId="2730" xr:uid="{00000000-0005-0000-0000-0000D00F0000}"/>
    <cellStyle name="Entrada 2 2 2 3 2 10" xfId="4943" xr:uid="{00000000-0005-0000-0000-0000D10F0000}"/>
    <cellStyle name="Entrada 2 2 2 3 2 10 2" xfId="15913" xr:uid="{00000000-0005-0000-0000-0000D20F0000}"/>
    <cellStyle name="Entrada 2 2 2 3 2 10 3" xfId="13076" xr:uid="{00000000-0005-0000-0000-0000D30F0000}"/>
    <cellStyle name="Entrada 2 2 2 3 2 11" xfId="8885" xr:uid="{00000000-0005-0000-0000-0000D40F0000}"/>
    <cellStyle name="Entrada 2 2 2 3 2 12" xfId="14289" xr:uid="{00000000-0005-0000-0000-0000D50F0000}"/>
    <cellStyle name="Entrada 2 2 2 3 2 2" xfId="3220" xr:uid="{00000000-0005-0000-0000-0000D60F0000}"/>
    <cellStyle name="Entrada 2 2 2 3 2 2 10" xfId="9350" xr:uid="{00000000-0005-0000-0000-0000D70F0000}"/>
    <cellStyle name="Entrada 2 2 2 3 2 2 11" xfId="14654" xr:uid="{00000000-0005-0000-0000-0000D80F0000}"/>
    <cellStyle name="Entrada 2 2 2 3 2 2 12" xfId="15020" xr:uid="{00000000-0005-0000-0000-0000D90F0000}"/>
    <cellStyle name="Entrada 2 2 2 3 2 2 2" xfId="3607" xr:uid="{00000000-0005-0000-0000-0000DA0F0000}"/>
    <cellStyle name="Entrada 2 2 2 3 2 2 2 2" xfId="7968" xr:uid="{00000000-0005-0000-0000-0000DB0F0000}"/>
    <cellStyle name="Entrada 2 2 2 3 2 2 2 2 2" xfId="11944" xr:uid="{00000000-0005-0000-0000-0000DC0F0000}"/>
    <cellStyle name="Entrada 2 2 2 3 2 2 2 2 3" xfId="18194" xr:uid="{00000000-0005-0000-0000-0000DD0F0000}"/>
    <cellStyle name="Entrada 2 2 2 3 2 2 2 2 4" xfId="21486" xr:uid="{00000000-0005-0000-0000-0000DE0F0000}"/>
    <cellStyle name="Entrada 2 2 2 3 2 2 2 3" xfId="6260" xr:uid="{00000000-0005-0000-0000-0000DF0F0000}"/>
    <cellStyle name="Entrada 2 2 2 3 2 2 2 3 2" xfId="16902" xr:uid="{00000000-0005-0000-0000-0000E00F0000}"/>
    <cellStyle name="Entrada 2 2 2 3 2 2 2 3 3" xfId="19778" xr:uid="{00000000-0005-0000-0000-0000E10F0000}"/>
    <cellStyle name="Entrada 2 2 2 3 2 2 2 4" xfId="9699" xr:uid="{00000000-0005-0000-0000-0000E20F0000}"/>
    <cellStyle name="Entrada 2 2 2 3 2 2 2 5" xfId="14934" xr:uid="{00000000-0005-0000-0000-0000E30F0000}"/>
    <cellStyle name="Entrada 2 2 2 3 2 2 2 6" xfId="16110" xr:uid="{00000000-0005-0000-0000-0000E40F0000}"/>
    <cellStyle name="Entrada 2 2 2 3 2 2 3" xfId="3990" xr:uid="{00000000-0005-0000-0000-0000E50F0000}"/>
    <cellStyle name="Entrada 2 2 2 3 2 2 3 2" xfId="7778" xr:uid="{00000000-0005-0000-0000-0000E60F0000}"/>
    <cellStyle name="Entrada 2 2 2 3 2 2 3 2 2" xfId="11799" xr:uid="{00000000-0005-0000-0000-0000E70F0000}"/>
    <cellStyle name="Entrada 2 2 2 3 2 2 3 2 3" xfId="18048" xr:uid="{00000000-0005-0000-0000-0000E80F0000}"/>
    <cellStyle name="Entrada 2 2 2 3 2 2 3 2 4" xfId="21296" xr:uid="{00000000-0005-0000-0000-0000E90F0000}"/>
    <cellStyle name="Entrada 2 2 2 3 2 2 3 3" xfId="6070" xr:uid="{00000000-0005-0000-0000-0000EA0F0000}"/>
    <cellStyle name="Entrada 2 2 2 3 2 2 3 3 2" xfId="16756" xr:uid="{00000000-0005-0000-0000-0000EB0F0000}"/>
    <cellStyle name="Entrada 2 2 2 3 2 2 3 3 3" xfId="19588" xr:uid="{00000000-0005-0000-0000-0000EC0F0000}"/>
    <cellStyle name="Entrada 2 2 2 3 2 2 3 4" xfId="9909" xr:uid="{00000000-0005-0000-0000-0000ED0F0000}"/>
    <cellStyle name="Entrada 2 2 2 3 2 2 3 5" xfId="15210" xr:uid="{00000000-0005-0000-0000-0000EE0F0000}"/>
    <cellStyle name="Entrada 2 2 2 3 2 2 3 6" xfId="14001" xr:uid="{00000000-0005-0000-0000-0000EF0F0000}"/>
    <cellStyle name="Entrada 2 2 2 3 2 2 4" xfId="4373" xr:uid="{00000000-0005-0000-0000-0000F00F0000}"/>
    <cellStyle name="Entrada 2 2 2 3 2 2 4 2" xfId="8275" xr:uid="{00000000-0005-0000-0000-0000F10F0000}"/>
    <cellStyle name="Entrada 2 2 2 3 2 2 4 2 2" xfId="12243" xr:uid="{00000000-0005-0000-0000-0000F20F0000}"/>
    <cellStyle name="Entrada 2 2 2 3 2 2 4 2 3" xfId="18427" xr:uid="{00000000-0005-0000-0000-0000F30F0000}"/>
    <cellStyle name="Entrada 2 2 2 3 2 2 4 2 4" xfId="21793" xr:uid="{00000000-0005-0000-0000-0000F40F0000}"/>
    <cellStyle name="Entrada 2 2 2 3 2 2 4 3" xfId="6567" xr:uid="{00000000-0005-0000-0000-0000F50F0000}"/>
    <cellStyle name="Entrada 2 2 2 3 2 2 4 3 2" xfId="17136" xr:uid="{00000000-0005-0000-0000-0000F60F0000}"/>
    <cellStyle name="Entrada 2 2 2 3 2 2 4 3 3" xfId="20085" xr:uid="{00000000-0005-0000-0000-0000F70F0000}"/>
    <cellStyle name="Entrada 2 2 2 3 2 2 4 4" xfId="10087" xr:uid="{00000000-0005-0000-0000-0000F80F0000}"/>
    <cellStyle name="Entrada 2 2 2 3 2 2 4 5" xfId="15485" xr:uid="{00000000-0005-0000-0000-0000F90F0000}"/>
    <cellStyle name="Entrada 2 2 2 3 2 2 4 6" xfId="13632" xr:uid="{00000000-0005-0000-0000-0000FA0F0000}"/>
    <cellStyle name="Entrada 2 2 2 3 2 2 5" xfId="4755" xr:uid="{00000000-0005-0000-0000-0000FB0F0000}"/>
    <cellStyle name="Entrada 2 2 2 3 2 2 5 2" xfId="8507" xr:uid="{00000000-0005-0000-0000-0000FC0F0000}"/>
    <cellStyle name="Entrada 2 2 2 3 2 2 5 2 2" xfId="12475" xr:uid="{00000000-0005-0000-0000-0000FD0F0000}"/>
    <cellStyle name="Entrada 2 2 2 3 2 2 5 2 3" xfId="18598" xr:uid="{00000000-0005-0000-0000-0000FE0F0000}"/>
    <cellStyle name="Entrada 2 2 2 3 2 2 5 2 4" xfId="22025" xr:uid="{00000000-0005-0000-0000-0000FF0F0000}"/>
    <cellStyle name="Entrada 2 2 2 3 2 2 5 3" xfId="6799" xr:uid="{00000000-0005-0000-0000-000000100000}"/>
    <cellStyle name="Entrada 2 2 2 3 2 2 5 3 2" xfId="17306" xr:uid="{00000000-0005-0000-0000-000001100000}"/>
    <cellStyle name="Entrada 2 2 2 3 2 2 5 3 3" xfId="20317" xr:uid="{00000000-0005-0000-0000-000002100000}"/>
    <cellStyle name="Entrada 2 2 2 3 2 2 5 4" xfId="10264" xr:uid="{00000000-0005-0000-0000-000003100000}"/>
    <cellStyle name="Entrada 2 2 2 3 2 2 5 5" xfId="15758" xr:uid="{00000000-0005-0000-0000-000004100000}"/>
    <cellStyle name="Entrada 2 2 2 3 2 2 5 6" xfId="13250" xr:uid="{00000000-0005-0000-0000-000005100000}"/>
    <cellStyle name="Entrada 2 2 2 3 2 2 6" xfId="7031" xr:uid="{00000000-0005-0000-0000-000006100000}"/>
    <cellStyle name="Entrada 2 2 2 3 2 2 6 2" xfId="8739" xr:uid="{00000000-0005-0000-0000-000007100000}"/>
    <cellStyle name="Entrada 2 2 2 3 2 2 6 2 2" xfId="12707" xr:uid="{00000000-0005-0000-0000-000008100000}"/>
    <cellStyle name="Entrada 2 2 2 3 2 2 6 2 3" xfId="18770" xr:uid="{00000000-0005-0000-0000-000009100000}"/>
    <cellStyle name="Entrada 2 2 2 3 2 2 6 2 4" xfId="22257" xr:uid="{00000000-0005-0000-0000-00000A100000}"/>
    <cellStyle name="Entrada 2 2 2 3 2 2 6 3" xfId="11165" xr:uid="{00000000-0005-0000-0000-00000B100000}"/>
    <cellStyle name="Entrada 2 2 2 3 2 2 6 4" xfId="17477" xr:uid="{00000000-0005-0000-0000-00000C100000}"/>
    <cellStyle name="Entrada 2 2 2 3 2 2 6 5" xfId="20549" xr:uid="{00000000-0005-0000-0000-00000D100000}"/>
    <cellStyle name="Entrada 2 2 2 3 2 2 7" xfId="6019" xr:uid="{00000000-0005-0000-0000-00000E100000}"/>
    <cellStyle name="Entrada 2 2 2 3 2 2 7 2" xfId="10760" xr:uid="{00000000-0005-0000-0000-00000F100000}"/>
    <cellStyle name="Entrada 2 2 2 3 2 2 7 3" xfId="16716" xr:uid="{00000000-0005-0000-0000-000010100000}"/>
    <cellStyle name="Entrada 2 2 2 3 2 2 7 4" xfId="19537" xr:uid="{00000000-0005-0000-0000-000011100000}"/>
    <cellStyle name="Entrada 2 2 2 3 2 2 8" xfId="7727" xr:uid="{00000000-0005-0000-0000-000012100000}"/>
    <cellStyle name="Entrada 2 2 2 3 2 2 8 2" xfId="11748" xr:uid="{00000000-0005-0000-0000-000013100000}"/>
    <cellStyle name="Entrada 2 2 2 3 2 2 8 3" xfId="18008" xr:uid="{00000000-0005-0000-0000-000014100000}"/>
    <cellStyle name="Entrada 2 2 2 3 2 2 8 4" xfId="21245" xr:uid="{00000000-0005-0000-0000-000015100000}"/>
    <cellStyle name="Entrada 2 2 2 3 2 2 9" xfId="5213" xr:uid="{00000000-0005-0000-0000-000016100000}"/>
    <cellStyle name="Entrada 2 2 2 3 2 2 9 2" xfId="16104" xr:uid="{00000000-0005-0000-0000-000017100000}"/>
    <cellStyle name="Entrada 2 2 2 3 2 2 9 3" xfId="12762" xr:uid="{00000000-0005-0000-0000-000018100000}"/>
    <cellStyle name="Entrada 2 2 2 3 2 3" xfId="3277" xr:uid="{00000000-0005-0000-0000-000019100000}"/>
    <cellStyle name="Entrada 2 2 2 3 2 3 2" xfId="3664" xr:uid="{00000000-0005-0000-0000-00001A100000}"/>
    <cellStyle name="Entrada 2 2 2 3 2 3 2 2" xfId="7393" xr:uid="{00000000-0005-0000-0000-00001B100000}"/>
    <cellStyle name="Entrada 2 2 2 3 2 3 2 2 2" xfId="17772" xr:uid="{00000000-0005-0000-0000-00001C100000}"/>
    <cellStyle name="Entrada 2 2 2 3 2 3 2 2 3" xfId="20911" xr:uid="{00000000-0005-0000-0000-00001D100000}"/>
    <cellStyle name="Entrada 2 2 2 3 2 3 2 3" xfId="9746" xr:uid="{00000000-0005-0000-0000-00001E100000}"/>
    <cellStyle name="Entrada 2 2 2 3 2 3 2 4" xfId="14976" xr:uid="{00000000-0005-0000-0000-00001F100000}"/>
    <cellStyle name="Entrada 2 2 2 3 2 3 2 5" xfId="16827" xr:uid="{00000000-0005-0000-0000-000020100000}"/>
    <cellStyle name="Entrada 2 2 2 3 2 3 3" xfId="4047" xr:uid="{00000000-0005-0000-0000-000021100000}"/>
    <cellStyle name="Entrada 2 2 2 3 2 3 3 2" xfId="15251" xr:uid="{00000000-0005-0000-0000-000022100000}"/>
    <cellStyle name="Entrada 2 2 2 3 2 3 3 3" xfId="13944" xr:uid="{00000000-0005-0000-0000-000023100000}"/>
    <cellStyle name="Entrada 2 2 2 3 2 3 4" xfId="4430" xr:uid="{00000000-0005-0000-0000-000024100000}"/>
    <cellStyle name="Entrada 2 2 2 3 2 3 4 2" xfId="15527" xr:uid="{00000000-0005-0000-0000-000025100000}"/>
    <cellStyle name="Entrada 2 2 2 3 2 3 4 3" xfId="13575" xr:uid="{00000000-0005-0000-0000-000026100000}"/>
    <cellStyle name="Entrada 2 2 2 3 2 3 5" xfId="4812" xr:uid="{00000000-0005-0000-0000-000027100000}"/>
    <cellStyle name="Entrada 2 2 2 3 2 3 5 2" xfId="15799" xr:uid="{00000000-0005-0000-0000-000028100000}"/>
    <cellStyle name="Entrada 2 2 2 3 2 3 5 3" xfId="13194" xr:uid="{00000000-0005-0000-0000-000029100000}"/>
    <cellStyle name="Entrada 2 2 2 3 2 3 6" xfId="5684" xr:uid="{00000000-0005-0000-0000-00002A100000}"/>
    <cellStyle name="Entrada 2 2 2 3 2 3 6 2" xfId="16481" xr:uid="{00000000-0005-0000-0000-00002B100000}"/>
    <cellStyle name="Entrada 2 2 2 3 2 3 6 3" xfId="19202" xr:uid="{00000000-0005-0000-0000-00002C100000}"/>
    <cellStyle name="Entrada 2 2 2 3 2 3 7" xfId="9407" xr:uid="{00000000-0005-0000-0000-00002D100000}"/>
    <cellStyle name="Entrada 2 2 2 3 2 3 8" xfId="14696" xr:uid="{00000000-0005-0000-0000-00002E100000}"/>
    <cellStyle name="Entrada 2 2 2 3 2 3 9" xfId="18560" xr:uid="{00000000-0005-0000-0000-00002F100000}"/>
    <cellStyle name="Entrada 2 2 2 3 2 4" xfId="2895" xr:uid="{00000000-0005-0000-0000-000030100000}"/>
    <cellStyle name="Entrada 2 2 2 3 2 4 2" xfId="5079" xr:uid="{00000000-0005-0000-0000-000031100000}"/>
    <cellStyle name="Entrada 2 2 2 3 2 4 2 2" xfId="10330" xr:uid="{00000000-0005-0000-0000-000032100000}"/>
    <cellStyle name="Entrada 2 2 2 3 2 4 2 3" xfId="16017" xr:uid="{00000000-0005-0000-0000-000033100000}"/>
    <cellStyle name="Entrada 2 2 2 3 2 4 2 4" xfId="12956" xr:uid="{00000000-0005-0000-0000-000034100000}"/>
    <cellStyle name="Entrada 2 2 2 3 2 4 3" xfId="5288" xr:uid="{00000000-0005-0000-0000-000035100000}"/>
    <cellStyle name="Entrada 2 2 2 3 2 4 3 2" xfId="16166" xr:uid="{00000000-0005-0000-0000-000036100000}"/>
    <cellStyle name="Entrada 2 2 2 3 2 4 3 3" xfId="18806" xr:uid="{00000000-0005-0000-0000-000037100000}"/>
    <cellStyle name="Entrada 2 2 2 3 2 4 4" xfId="9047" xr:uid="{00000000-0005-0000-0000-000038100000}"/>
    <cellStyle name="Entrada 2 2 2 3 2 4 5" xfId="14422" xr:uid="{00000000-0005-0000-0000-000039100000}"/>
    <cellStyle name="Entrada 2 2 2 3 2 4 6" xfId="14153" xr:uid="{00000000-0005-0000-0000-00003A100000}"/>
    <cellStyle name="Entrada 2 2 2 3 2 5" xfId="6401" xr:uid="{00000000-0005-0000-0000-00003B100000}"/>
    <cellStyle name="Entrada 2 2 2 3 2 5 2" xfId="8109" xr:uid="{00000000-0005-0000-0000-00003C100000}"/>
    <cellStyle name="Entrada 2 2 2 3 2 5 2 2" xfId="12077" xr:uid="{00000000-0005-0000-0000-00003D100000}"/>
    <cellStyle name="Entrada 2 2 2 3 2 5 2 3" xfId="18315" xr:uid="{00000000-0005-0000-0000-00003E100000}"/>
    <cellStyle name="Entrada 2 2 2 3 2 5 2 4" xfId="21627" xr:uid="{00000000-0005-0000-0000-00003F100000}"/>
    <cellStyle name="Entrada 2 2 2 3 2 5 3" xfId="10919" xr:uid="{00000000-0005-0000-0000-000040100000}"/>
    <cellStyle name="Entrada 2 2 2 3 2 5 4" xfId="17024" xr:uid="{00000000-0005-0000-0000-000041100000}"/>
    <cellStyle name="Entrada 2 2 2 3 2 5 5" xfId="19919" xr:uid="{00000000-0005-0000-0000-000042100000}"/>
    <cellStyle name="Entrada 2 2 2 3 2 6" xfId="6633" xr:uid="{00000000-0005-0000-0000-000043100000}"/>
    <cellStyle name="Entrada 2 2 2 3 2 6 2" xfId="8341" xr:uid="{00000000-0005-0000-0000-000044100000}"/>
    <cellStyle name="Entrada 2 2 2 3 2 6 2 2" xfId="12309" xr:uid="{00000000-0005-0000-0000-000045100000}"/>
    <cellStyle name="Entrada 2 2 2 3 2 6 2 3" xfId="18486" xr:uid="{00000000-0005-0000-0000-000046100000}"/>
    <cellStyle name="Entrada 2 2 2 3 2 6 2 4" xfId="21859" xr:uid="{00000000-0005-0000-0000-000047100000}"/>
    <cellStyle name="Entrada 2 2 2 3 2 6 3" xfId="10959" xr:uid="{00000000-0005-0000-0000-000048100000}"/>
    <cellStyle name="Entrada 2 2 2 3 2 6 4" xfId="17195" xr:uid="{00000000-0005-0000-0000-000049100000}"/>
    <cellStyle name="Entrada 2 2 2 3 2 6 5" xfId="20151" xr:uid="{00000000-0005-0000-0000-00004A100000}"/>
    <cellStyle name="Entrada 2 2 2 3 2 7" xfId="6865" xr:uid="{00000000-0005-0000-0000-00004B100000}"/>
    <cellStyle name="Entrada 2 2 2 3 2 7 2" xfId="8573" xr:uid="{00000000-0005-0000-0000-00004C100000}"/>
    <cellStyle name="Entrada 2 2 2 3 2 7 2 2" xfId="12541" xr:uid="{00000000-0005-0000-0000-00004D100000}"/>
    <cellStyle name="Entrada 2 2 2 3 2 7 2 3" xfId="18657" xr:uid="{00000000-0005-0000-0000-00004E100000}"/>
    <cellStyle name="Entrada 2 2 2 3 2 7 2 4" xfId="22091" xr:uid="{00000000-0005-0000-0000-00004F100000}"/>
    <cellStyle name="Entrada 2 2 2 3 2 7 3" xfId="10999" xr:uid="{00000000-0005-0000-0000-000050100000}"/>
    <cellStyle name="Entrada 2 2 2 3 2 7 4" xfId="17365" xr:uid="{00000000-0005-0000-0000-000051100000}"/>
    <cellStyle name="Entrada 2 2 2 3 2 7 5" xfId="20383" xr:uid="{00000000-0005-0000-0000-000052100000}"/>
    <cellStyle name="Entrada 2 2 2 3 2 8" xfId="5848" xr:uid="{00000000-0005-0000-0000-000053100000}"/>
    <cellStyle name="Entrada 2 2 2 3 2 8 2" xfId="10594" xr:uid="{00000000-0005-0000-0000-000054100000}"/>
    <cellStyle name="Entrada 2 2 2 3 2 8 3" xfId="16601" xr:uid="{00000000-0005-0000-0000-000055100000}"/>
    <cellStyle name="Entrada 2 2 2 3 2 8 4" xfId="19366" xr:uid="{00000000-0005-0000-0000-000056100000}"/>
    <cellStyle name="Entrada 2 2 2 3 2 9" xfId="7556" xr:uid="{00000000-0005-0000-0000-000057100000}"/>
    <cellStyle name="Entrada 2 2 2 3 2 9 2" xfId="11582" xr:uid="{00000000-0005-0000-0000-000058100000}"/>
    <cellStyle name="Entrada 2 2 2 3 2 9 3" xfId="17893" xr:uid="{00000000-0005-0000-0000-000059100000}"/>
    <cellStyle name="Entrada 2 2 2 3 2 9 4" xfId="21074" xr:uid="{00000000-0005-0000-0000-00005A100000}"/>
    <cellStyle name="Entrada 2 2 2 3 3" xfId="3163" xr:uid="{00000000-0005-0000-0000-00005B100000}"/>
    <cellStyle name="Entrada 2 2 2 3 3 10" xfId="9293" xr:uid="{00000000-0005-0000-0000-00005C100000}"/>
    <cellStyle name="Entrada 2 2 2 3 3 11" xfId="14612" xr:uid="{00000000-0005-0000-0000-00005D100000}"/>
    <cellStyle name="Entrada 2 2 2 3 3 12" xfId="16700" xr:uid="{00000000-0005-0000-0000-00005E100000}"/>
    <cellStyle name="Entrada 2 2 2 3 3 2" xfId="3550" xr:uid="{00000000-0005-0000-0000-00005F100000}"/>
    <cellStyle name="Entrada 2 2 2 3 3 2 2" xfId="7277" xr:uid="{00000000-0005-0000-0000-000060100000}"/>
    <cellStyle name="Entrada 2 2 2 3 3 2 2 2" xfId="11382" xr:uid="{00000000-0005-0000-0000-000061100000}"/>
    <cellStyle name="Entrada 2 2 2 3 3 2 2 3" xfId="17676" xr:uid="{00000000-0005-0000-0000-000062100000}"/>
    <cellStyle name="Entrada 2 2 2 3 3 2 2 4" xfId="20795" xr:uid="{00000000-0005-0000-0000-000063100000}"/>
    <cellStyle name="Entrada 2 2 2 3 3 2 3" xfId="5568" xr:uid="{00000000-0005-0000-0000-000064100000}"/>
    <cellStyle name="Entrada 2 2 2 3 3 2 3 2" xfId="16385" xr:uid="{00000000-0005-0000-0000-000065100000}"/>
    <cellStyle name="Entrada 2 2 2 3 3 2 3 3" xfId="19086" xr:uid="{00000000-0005-0000-0000-000066100000}"/>
    <cellStyle name="Entrada 2 2 2 3 3 2 4" xfId="9642" xr:uid="{00000000-0005-0000-0000-000067100000}"/>
    <cellStyle name="Entrada 2 2 2 3 3 2 5" xfId="14892" xr:uid="{00000000-0005-0000-0000-000068100000}"/>
    <cellStyle name="Entrada 2 2 2 3 3 2 6" xfId="14351" xr:uid="{00000000-0005-0000-0000-000069100000}"/>
    <cellStyle name="Entrada 2 2 2 3 3 3" xfId="3933" xr:uid="{00000000-0005-0000-0000-00006A100000}"/>
    <cellStyle name="Entrada 2 2 2 3 3 3 2" xfId="7114" xr:uid="{00000000-0005-0000-0000-00006B100000}"/>
    <cellStyle name="Entrada 2 2 2 3 3 3 2 2" xfId="11248" xr:uid="{00000000-0005-0000-0000-00006C100000}"/>
    <cellStyle name="Entrada 2 2 2 3 3 3 2 3" xfId="17534" xr:uid="{00000000-0005-0000-0000-00006D100000}"/>
    <cellStyle name="Entrada 2 2 2 3 3 3 2 4" xfId="20632" xr:uid="{00000000-0005-0000-0000-00006E100000}"/>
    <cellStyle name="Entrada 2 2 2 3 3 3 3" xfId="5405" xr:uid="{00000000-0005-0000-0000-00006F100000}"/>
    <cellStyle name="Entrada 2 2 2 3 3 3 3 2" xfId="16244" xr:uid="{00000000-0005-0000-0000-000070100000}"/>
    <cellStyle name="Entrada 2 2 2 3 3 3 3 3" xfId="18923" xr:uid="{00000000-0005-0000-0000-000071100000}"/>
    <cellStyle name="Entrada 2 2 2 3 3 3 4" xfId="9856" xr:uid="{00000000-0005-0000-0000-000072100000}"/>
    <cellStyle name="Entrada 2 2 2 3 3 3 5" xfId="15168" xr:uid="{00000000-0005-0000-0000-000073100000}"/>
    <cellStyle name="Entrada 2 2 2 3 3 3 6" xfId="14058" xr:uid="{00000000-0005-0000-0000-000074100000}"/>
    <cellStyle name="Entrada 2 2 2 3 3 4" xfId="4316" xr:uid="{00000000-0005-0000-0000-000075100000}"/>
    <cellStyle name="Entrada 2 2 2 3 3 4 2" xfId="8177" xr:uid="{00000000-0005-0000-0000-000076100000}"/>
    <cellStyle name="Entrada 2 2 2 3 3 4 2 2" xfId="12145" xr:uid="{00000000-0005-0000-0000-000077100000}"/>
    <cellStyle name="Entrada 2 2 2 3 3 4 2 3" xfId="18374" xr:uid="{00000000-0005-0000-0000-000078100000}"/>
    <cellStyle name="Entrada 2 2 2 3 3 4 2 4" xfId="21695" xr:uid="{00000000-0005-0000-0000-000079100000}"/>
    <cellStyle name="Entrada 2 2 2 3 3 4 3" xfId="6469" xr:uid="{00000000-0005-0000-0000-00007A100000}"/>
    <cellStyle name="Entrada 2 2 2 3 3 4 3 2" xfId="17083" xr:uid="{00000000-0005-0000-0000-00007B100000}"/>
    <cellStyle name="Entrada 2 2 2 3 3 4 3 3" xfId="19987" xr:uid="{00000000-0005-0000-0000-00007C100000}"/>
    <cellStyle name="Entrada 2 2 2 3 3 4 4" xfId="10034" xr:uid="{00000000-0005-0000-0000-00007D100000}"/>
    <cellStyle name="Entrada 2 2 2 3 3 4 5" xfId="15443" xr:uid="{00000000-0005-0000-0000-00007E100000}"/>
    <cellStyle name="Entrada 2 2 2 3 3 4 6" xfId="13689" xr:uid="{00000000-0005-0000-0000-00007F100000}"/>
    <cellStyle name="Entrada 2 2 2 3 3 5" xfId="4698" xr:uid="{00000000-0005-0000-0000-000080100000}"/>
    <cellStyle name="Entrada 2 2 2 3 3 5 2" xfId="8409" xr:uid="{00000000-0005-0000-0000-000081100000}"/>
    <cellStyle name="Entrada 2 2 2 3 3 5 2 2" xfId="12377" xr:uid="{00000000-0005-0000-0000-000082100000}"/>
    <cellStyle name="Entrada 2 2 2 3 3 5 2 3" xfId="18545" xr:uid="{00000000-0005-0000-0000-000083100000}"/>
    <cellStyle name="Entrada 2 2 2 3 3 5 2 4" xfId="21927" xr:uid="{00000000-0005-0000-0000-000084100000}"/>
    <cellStyle name="Entrada 2 2 2 3 3 5 3" xfId="6701" xr:uid="{00000000-0005-0000-0000-000085100000}"/>
    <cellStyle name="Entrada 2 2 2 3 3 5 3 2" xfId="17254" xr:uid="{00000000-0005-0000-0000-000086100000}"/>
    <cellStyle name="Entrada 2 2 2 3 3 5 3 3" xfId="20219" xr:uid="{00000000-0005-0000-0000-000087100000}"/>
    <cellStyle name="Entrada 2 2 2 3 3 5 4" xfId="10211" xr:uid="{00000000-0005-0000-0000-000088100000}"/>
    <cellStyle name="Entrada 2 2 2 3 3 5 5" xfId="15717" xr:uid="{00000000-0005-0000-0000-000089100000}"/>
    <cellStyle name="Entrada 2 2 2 3 3 5 6" xfId="13307" xr:uid="{00000000-0005-0000-0000-00008A100000}"/>
    <cellStyle name="Entrada 2 2 2 3 3 6" xfId="6933" xr:uid="{00000000-0005-0000-0000-00008B100000}"/>
    <cellStyle name="Entrada 2 2 2 3 3 6 2" xfId="8641" xr:uid="{00000000-0005-0000-0000-00008C100000}"/>
    <cellStyle name="Entrada 2 2 2 3 3 6 2 2" xfId="12609" xr:uid="{00000000-0005-0000-0000-00008D100000}"/>
    <cellStyle name="Entrada 2 2 2 3 3 6 2 3" xfId="18716" xr:uid="{00000000-0005-0000-0000-00008E100000}"/>
    <cellStyle name="Entrada 2 2 2 3 3 6 2 4" xfId="22159" xr:uid="{00000000-0005-0000-0000-00008F100000}"/>
    <cellStyle name="Entrada 2 2 2 3 3 6 3" xfId="11067" xr:uid="{00000000-0005-0000-0000-000090100000}"/>
    <cellStyle name="Entrada 2 2 2 3 3 6 4" xfId="17424" xr:uid="{00000000-0005-0000-0000-000091100000}"/>
    <cellStyle name="Entrada 2 2 2 3 3 6 5" xfId="20451" xr:uid="{00000000-0005-0000-0000-000092100000}"/>
    <cellStyle name="Entrada 2 2 2 3 3 7" xfId="5921" xr:uid="{00000000-0005-0000-0000-000093100000}"/>
    <cellStyle name="Entrada 2 2 2 3 3 7 2" xfId="10662" xr:uid="{00000000-0005-0000-0000-000094100000}"/>
    <cellStyle name="Entrada 2 2 2 3 3 7 3" xfId="16662" xr:uid="{00000000-0005-0000-0000-000095100000}"/>
    <cellStyle name="Entrada 2 2 2 3 3 7 4" xfId="19439" xr:uid="{00000000-0005-0000-0000-000096100000}"/>
    <cellStyle name="Entrada 2 2 2 3 3 8" xfId="7629" xr:uid="{00000000-0005-0000-0000-000097100000}"/>
    <cellStyle name="Entrada 2 2 2 3 3 8 2" xfId="11650" xr:uid="{00000000-0005-0000-0000-000098100000}"/>
    <cellStyle name="Entrada 2 2 2 3 3 8 3" xfId="17954" xr:uid="{00000000-0005-0000-0000-000099100000}"/>
    <cellStyle name="Entrada 2 2 2 3 3 8 4" xfId="21147" xr:uid="{00000000-0005-0000-0000-00009A100000}"/>
    <cellStyle name="Entrada 2 2 2 3 3 9" xfId="5017" xr:uid="{00000000-0005-0000-0000-00009B100000}"/>
    <cellStyle name="Entrada 2 2 2 3 3 9 2" xfId="15977" xr:uid="{00000000-0005-0000-0000-00009C100000}"/>
    <cellStyle name="Entrada 2 2 2 3 3 9 3" xfId="13002" xr:uid="{00000000-0005-0000-0000-00009D100000}"/>
    <cellStyle name="Entrada 2 2 2 3 4" xfId="3059" xr:uid="{00000000-0005-0000-0000-00009E100000}"/>
    <cellStyle name="Entrada 2 2 2 3 4 2" xfId="3446" xr:uid="{00000000-0005-0000-0000-00009F100000}"/>
    <cellStyle name="Entrada 2 2 2 3 4 2 2" xfId="7853" xr:uid="{00000000-0005-0000-0000-0000A0100000}"/>
    <cellStyle name="Entrada 2 2 2 3 4 2 2 2" xfId="18112" xr:uid="{00000000-0005-0000-0000-0000A1100000}"/>
    <cellStyle name="Entrada 2 2 2 3 4 2 2 3" xfId="21371" xr:uid="{00000000-0005-0000-0000-0000A2100000}"/>
    <cellStyle name="Entrada 2 2 2 3 4 2 3" xfId="9555" xr:uid="{00000000-0005-0000-0000-0000A3100000}"/>
    <cellStyle name="Entrada 2 2 2 3 4 2 4" xfId="14811" xr:uid="{00000000-0005-0000-0000-0000A4100000}"/>
    <cellStyle name="Entrada 2 2 2 3 4 2 5" xfId="16076" xr:uid="{00000000-0005-0000-0000-0000A5100000}"/>
    <cellStyle name="Entrada 2 2 2 3 4 3" xfId="3829" xr:uid="{00000000-0005-0000-0000-0000A6100000}"/>
    <cellStyle name="Entrada 2 2 2 3 4 3 2" xfId="15087" xr:uid="{00000000-0005-0000-0000-0000A7100000}"/>
    <cellStyle name="Entrada 2 2 2 3 4 3 3" xfId="14103" xr:uid="{00000000-0005-0000-0000-0000A8100000}"/>
    <cellStyle name="Entrada 2 2 2 3 4 4" xfId="4212" xr:uid="{00000000-0005-0000-0000-0000A9100000}"/>
    <cellStyle name="Entrada 2 2 2 3 4 4 2" xfId="15362" xr:uid="{00000000-0005-0000-0000-0000AA100000}"/>
    <cellStyle name="Entrada 2 2 2 3 4 4 3" xfId="13793" xr:uid="{00000000-0005-0000-0000-0000AB100000}"/>
    <cellStyle name="Entrada 2 2 2 3 4 5" xfId="4594" xr:uid="{00000000-0005-0000-0000-0000AC100000}"/>
    <cellStyle name="Entrada 2 2 2 3 4 5 2" xfId="15636" xr:uid="{00000000-0005-0000-0000-0000AD100000}"/>
    <cellStyle name="Entrada 2 2 2 3 4 5 3" xfId="13411" xr:uid="{00000000-0005-0000-0000-0000AE100000}"/>
    <cellStyle name="Entrada 2 2 2 3 4 6" xfId="6145" xr:uid="{00000000-0005-0000-0000-0000AF100000}"/>
    <cellStyle name="Entrada 2 2 2 3 4 6 2" xfId="16820" xr:uid="{00000000-0005-0000-0000-0000B0100000}"/>
    <cellStyle name="Entrada 2 2 2 3 4 6 3" xfId="19663" xr:uid="{00000000-0005-0000-0000-0000B1100000}"/>
    <cellStyle name="Entrada 2 2 2 3 4 7" xfId="9199" xr:uid="{00000000-0005-0000-0000-0000B2100000}"/>
    <cellStyle name="Entrada 2 2 2 3 4 8" xfId="14531" xr:uid="{00000000-0005-0000-0000-0000B3100000}"/>
    <cellStyle name="Entrada 2 2 2 3 4 9" xfId="16864" xr:uid="{00000000-0005-0000-0000-0000B4100000}"/>
    <cellStyle name="Entrada 2 2 2 3 5" xfId="2871" xr:uid="{00000000-0005-0000-0000-0000B5100000}"/>
    <cellStyle name="Entrada 2 2 2 3 5 2" xfId="8053" xr:uid="{00000000-0005-0000-0000-0000B6100000}"/>
    <cellStyle name="Entrada 2 2 2 3 5 2 2" xfId="12024" xr:uid="{00000000-0005-0000-0000-0000B7100000}"/>
    <cellStyle name="Entrada 2 2 2 3 5 2 3" xfId="18264" xr:uid="{00000000-0005-0000-0000-0000B8100000}"/>
    <cellStyle name="Entrada 2 2 2 3 5 2 4" xfId="21571" xr:uid="{00000000-0005-0000-0000-0000B9100000}"/>
    <cellStyle name="Entrada 2 2 2 3 5 3" xfId="6345" xr:uid="{00000000-0005-0000-0000-0000BA100000}"/>
    <cellStyle name="Entrada 2 2 2 3 5 3 2" xfId="16973" xr:uid="{00000000-0005-0000-0000-0000BB100000}"/>
    <cellStyle name="Entrada 2 2 2 3 5 3 3" xfId="19863" xr:uid="{00000000-0005-0000-0000-0000BC100000}"/>
    <cellStyle name="Entrada 2 2 2 3 5 4" xfId="9024" xr:uid="{00000000-0005-0000-0000-0000BD100000}"/>
    <cellStyle name="Entrada 2 2 2 3 5 5" xfId="14405" xr:uid="{00000000-0005-0000-0000-0000BE100000}"/>
    <cellStyle name="Entrada 2 2 2 3 5 6" xfId="18139" xr:uid="{00000000-0005-0000-0000-0000BF100000}"/>
    <cellStyle name="Entrada 2 2 2 3 6" xfId="6379" xr:uid="{00000000-0005-0000-0000-0000C0100000}"/>
    <cellStyle name="Entrada 2 2 2 3 6 2" xfId="8087" xr:uid="{00000000-0005-0000-0000-0000C1100000}"/>
    <cellStyle name="Entrada 2 2 2 3 6 2 2" xfId="12055" xr:uid="{00000000-0005-0000-0000-0000C2100000}"/>
    <cellStyle name="Entrada 2 2 2 3 6 2 3" xfId="18293" xr:uid="{00000000-0005-0000-0000-0000C3100000}"/>
    <cellStyle name="Entrada 2 2 2 3 6 2 4" xfId="21605" xr:uid="{00000000-0005-0000-0000-0000C4100000}"/>
    <cellStyle name="Entrada 2 2 2 3 6 3" xfId="10897" xr:uid="{00000000-0005-0000-0000-0000C5100000}"/>
    <cellStyle name="Entrada 2 2 2 3 6 4" xfId="17002" xr:uid="{00000000-0005-0000-0000-0000C6100000}"/>
    <cellStyle name="Entrada 2 2 2 3 6 5" xfId="19897" xr:uid="{00000000-0005-0000-0000-0000C7100000}"/>
    <cellStyle name="Entrada 2 2 2 3 7" xfId="6611" xr:uid="{00000000-0005-0000-0000-0000C8100000}"/>
    <cellStyle name="Entrada 2 2 2 3 7 2" xfId="8319" xr:uid="{00000000-0005-0000-0000-0000C9100000}"/>
    <cellStyle name="Entrada 2 2 2 3 7 2 2" xfId="12287" xr:uid="{00000000-0005-0000-0000-0000CA100000}"/>
    <cellStyle name="Entrada 2 2 2 3 7 2 3" xfId="18464" xr:uid="{00000000-0005-0000-0000-0000CB100000}"/>
    <cellStyle name="Entrada 2 2 2 3 7 2 4" xfId="21837" xr:uid="{00000000-0005-0000-0000-0000CC100000}"/>
    <cellStyle name="Entrada 2 2 2 3 7 3" xfId="10937" xr:uid="{00000000-0005-0000-0000-0000CD100000}"/>
    <cellStyle name="Entrada 2 2 2 3 7 4" xfId="17173" xr:uid="{00000000-0005-0000-0000-0000CE100000}"/>
    <cellStyle name="Entrada 2 2 2 3 7 5" xfId="20129" xr:uid="{00000000-0005-0000-0000-0000CF100000}"/>
    <cellStyle name="Entrada 2 2 2 3 8" xfId="6843" xr:uid="{00000000-0005-0000-0000-0000D0100000}"/>
    <cellStyle name="Entrada 2 2 2 3 8 2" xfId="8551" xr:uid="{00000000-0005-0000-0000-0000D1100000}"/>
    <cellStyle name="Entrada 2 2 2 3 8 2 2" xfId="12519" xr:uid="{00000000-0005-0000-0000-0000D2100000}"/>
    <cellStyle name="Entrada 2 2 2 3 8 2 3" xfId="18635" xr:uid="{00000000-0005-0000-0000-0000D3100000}"/>
    <cellStyle name="Entrada 2 2 2 3 8 2 4" xfId="22069" xr:uid="{00000000-0005-0000-0000-0000D4100000}"/>
    <cellStyle name="Entrada 2 2 2 3 8 3" xfId="10977" xr:uid="{00000000-0005-0000-0000-0000D5100000}"/>
    <cellStyle name="Entrada 2 2 2 3 8 4" xfId="17343" xr:uid="{00000000-0005-0000-0000-0000D6100000}"/>
    <cellStyle name="Entrada 2 2 2 3 8 5" xfId="20361" xr:uid="{00000000-0005-0000-0000-0000D7100000}"/>
    <cellStyle name="Entrada 2 2 2 3 9" xfId="5809" xr:uid="{00000000-0005-0000-0000-0000D8100000}"/>
    <cellStyle name="Entrada 2 2 2 3 9 2" xfId="10572" xr:uid="{00000000-0005-0000-0000-0000D9100000}"/>
    <cellStyle name="Entrada 2 2 2 3 9 3" xfId="16572" xr:uid="{00000000-0005-0000-0000-0000DA100000}"/>
    <cellStyle name="Entrada 2 2 2 3 9 4" xfId="19327" xr:uid="{00000000-0005-0000-0000-0000DB100000}"/>
    <cellStyle name="Entrada 2 2 2 4" xfId="2833" xr:uid="{00000000-0005-0000-0000-0000DC100000}"/>
    <cellStyle name="Entrada 2 2 2 4 10" xfId="8986" xr:uid="{00000000-0005-0000-0000-0000DD100000}"/>
    <cellStyle name="Entrada 2 2 2 4 11" xfId="14374" xr:uid="{00000000-0005-0000-0000-0000DE100000}"/>
    <cellStyle name="Entrada 2 2 2 4 12" xfId="17888" xr:uid="{00000000-0005-0000-0000-0000DF100000}"/>
    <cellStyle name="Entrada 2 2 2 4 2" xfId="2775" xr:uid="{00000000-0005-0000-0000-0000E0100000}"/>
    <cellStyle name="Entrada 2 2 2 4 2 2" xfId="7942" xr:uid="{00000000-0005-0000-0000-0000E1100000}"/>
    <cellStyle name="Entrada 2 2 2 4 2 2 2" xfId="11918" xr:uid="{00000000-0005-0000-0000-0000E2100000}"/>
    <cellStyle name="Entrada 2 2 2 4 2 2 3" xfId="18181" xr:uid="{00000000-0005-0000-0000-0000E3100000}"/>
    <cellStyle name="Entrada 2 2 2 4 2 2 4" xfId="21460" xr:uid="{00000000-0005-0000-0000-0000E4100000}"/>
    <cellStyle name="Entrada 2 2 2 4 2 3" xfId="6234" xr:uid="{00000000-0005-0000-0000-0000E5100000}"/>
    <cellStyle name="Entrada 2 2 2 4 2 3 2" xfId="16889" xr:uid="{00000000-0005-0000-0000-0000E6100000}"/>
    <cellStyle name="Entrada 2 2 2 4 2 3 3" xfId="19752" xr:uid="{00000000-0005-0000-0000-0000E7100000}"/>
    <cellStyle name="Entrada 2 2 2 4 2 4" xfId="8930" xr:uid="{00000000-0005-0000-0000-0000E8100000}"/>
    <cellStyle name="Entrada 2 2 2 4 2 5" xfId="14324" xr:uid="{00000000-0005-0000-0000-0000E9100000}"/>
    <cellStyle name="Entrada 2 2 2 4 2 6" xfId="17213" xr:uid="{00000000-0005-0000-0000-0000EA100000}"/>
    <cellStyle name="Entrada 2 2 2 4 3" xfId="2811" xr:uid="{00000000-0005-0000-0000-0000EB100000}"/>
    <cellStyle name="Entrada 2 2 2 4 3 2" xfId="7077" xr:uid="{00000000-0005-0000-0000-0000EC100000}"/>
    <cellStyle name="Entrada 2 2 2 4 3 2 2" xfId="11211" xr:uid="{00000000-0005-0000-0000-0000ED100000}"/>
    <cellStyle name="Entrada 2 2 2 4 3 2 3" xfId="17512" xr:uid="{00000000-0005-0000-0000-0000EE100000}"/>
    <cellStyle name="Entrada 2 2 2 4 3 2 4" xfId="20595" xr:uid="{00000000-0005-0000-0000-0000EF100000}"/>
    <cellStyle name="Entrada 2 2 2 4 3 3" xfId="5368" xr:uid="{00000000-0005-0000-0000-0000F0100000}"/>
    <cellStyle name="Entrada 2 2 2 4 3 3 2" xfId="16222" xr:uid="{00000000-0005-0000-0000-0000F1100000}"/>
    <cellStyle name="Entrada 2 2 2 4 3 3 3" xfId="18886" xr:uid="{00000000-0005-0000-0000-0000F2100000}"/>
    <cellStyle name="Entrada 2 2 2 4 3 4" xfId="8966" xr:uid="{00000000-0005-0000-0000-0000F3100000}"/>
    <cellStyle name="Entrada 2 2 2 4 3 5" xfId="14355" xr:uid="{00000000-0005-0000-0000-0000F4100000}"/>
    <cellStyle name="Entrada 2 2 2 4 3 6" xfId="17684" xr:uid="{00000000-0005-0000-0000-0000F5100000}"/>
    <cellStyle name="Entrada 2 2 2 4 4" xfId="2784" xr:uid="{00000000-0005-0000-0000-0000F6100000}"/>
    <cellStyle name="Entrada 2 2 2 4 4 2" xfId="8249" xr:uid="{00000000-0005-0000-0000-0000F7100000}"/>
    <cellStyle name="Entrada 2 2 2 4 4 2 2" xfId="12217" xr:uid="{00000000-0005-0000-0000-0000F8100000}"/>
    <cellStyle name="Entrada 2 2 2 4 4 2 3" xfId="18414" xr:uid="{00000000-0005-0000-0000-0000F9100000}"/>
    <cellStyle name="Entrada 2 2 2 4 4 2 4" xfId="21767" xr:uid="{00000000-0005-0000-0000-0000FA100000}"/>
    <cellStyle name="Entrada 2 2 2 4 4 3" xfId="6541" xr:uid="{00000000-0005-0000-0000-0000FB100000}"/>
    <cellStyle name="Entrada 2 2 2 4 4 3 2" xfId="17123" xr:uid="{00000000-0005-0000-0000-0000FC100000}"/>
    <cellStyle name="Entrada 2 2 2 4 4 3 3" xfId="20059" xr:uid="{00000000-0005-0000-0000-0000FD100000}"/>
    <cellStyle name="Entrada 2 2 2 4 4 4" xfId="8939" xr:uid="{00000000-0005-0000-0000-0000FE100000}"/>
    <cellStyle name="Entrada 2 2 2 4 4 5" xfId="14332" xr:uid="{00000000-0005-0000-0000-0000FF100000}"/>
    <cellStyle name="Entrada 2 2 2 4 4 6" xfId="16368" xr:uid="{00000000-0005-0000-0000-000000110000}"/>
    <cellStyle name="Entrada 2 2 2 4 5" xfId="2794" xr:uid="{00000000-0005-0000-0000-000001110000}"/>
    <cellStyle name="Entrada 2 2 2 4 5 2" xfId="8481" xr:uid="{00000000-0005-0000-0000-000002110000}"/>
    <cellStyle name="Entrada 2 2 2 4 5 2 2" xfId="12449" xr:uid="{00000000-0005-0000-0000-000003110000}"/>
    <cellStyle name="Entrada 2 2 2 4 5 2 3" xfId="18585" xr:uid="{00000000-0005-0000-0000-000004110000}"/>
    <cellStyle name="Entrada 2 2 2 4 5 2 4" xfId="21999" xr:uid="{00000000-0005-0000-0000-000005110000}"/>
    <cellStyle name="Entrada 2 2 2 4 5 3" xfId="6773" xr:uid="{00000000-0005-0000-0000-000006110000}"/>
    <cellStyle name="Entrada 2 2 2 4 5 3 2" xfId="17293" xr:uid="{00000000-0005-0000-0000-000007110000}"/>
    <cellStyle name="Entrada 2 2 2 4 5 3 3" xfId="20291" xr:uid="{00000000-0005-0000-0000-000008110000}"/>
    <cellStyle name="Entrada 2 2 2 4 5 4" xfId="8949" xr:uid="{00000000-0005-0000-0000-000009110000}"/>
    <cellStyle name="Entrada 2 2 2 4 5 5" xfId="14341" xr:uid="{00000000-0005-0000-0000-00000A110000}"/>
    <cellStyle name="Entrada 2 2 2 4 5 6" xfId="14820" xr:uid="{00000000-0005-0000-0000-00000B110000}"/>
    <cellStyle name="Entrada 2 2 2 4 6" xfId="7005" xr:uid="{00000000-0005-0000-0000-00000C110000}"/>
    <cellStyle name="Entrada 2 2 2 4 6 2" xfId="8713" xr:uid="{00000000-0005-0000-0000-00000D110000}"/>
    <cellStyle name="Entrada 2 2 2 4 6 2 2" xfId="12681" xr:uid="{00000000-0005-0000-0000-00000E110000}"/>
    <cellStyle name="Entrada 2 2 2 4 6 2 3" xfId="18756" xr:uid="{00000000-0005-0000-0000-00000F110000}"/>
    <cellStyle name="Entrada 2 2 2 4 6 2 4" xfId="22231" xr:uid="{00000000-0005-0000-0000-000010110000}"/>
    <cellStyle name="Entrada 2 2 2 4 6 3" xfId="11139" xr:uid="{00000000-0005-0000-0000-000011110000}"/>
    <cellStyle name="Entrada 2 2 2 4 6 4" xfId="17463" xr:uid="{00000000-0005-0000-0000-000012110000}"/>
    <cellStyle name="Entrada 2 2 2 4 6 5" xfId="20523" xr:uid="{00000000-0005-0000-0000-000013110000}"/>
    <cellStyle name="Entrada 2 2 2 4 7" xfId="5993" xr:uid="{00000000-0005-0000-0000-000014110000}"/>
    <cellStyle name="Entrada 2 2 2 4 7 2" xfId="10734" xr:uid="{00000000-0005-0000-0000-000015110000}"/>
    <cellStyle name="Entrada 2 2 2 4 7 3" xfId="16702" xr:uid="{00000000-0005-0000-0000-000016110000}"/>
    <cellStyle name="Entrada 2 2 2 4 7 4" xfId="19511" xr:uid="{00000000-0005-0000-0000-000017110000}"/>
    <cellStyle name="Entrada 2 2 2 4 8" xfId="7701" xr:uid="{00000000-0005-0000-0000-000018110000}"/>
    <cellStyle name="Entrada 2 2 2 4 8 2" xfId="11722" xr:uid="{00000000-0005-0000-0000-000019110000}"/>
    <cellStyle name="Entrada 2 2 2 4 8 3" xfId="17994" xr:uid="{00000000-0005-0000-0000-00001A110000}"/>
    <cellStyle name="Entrada 2 2 2 4 8 4" xfId="21219" xr:uid="{00000000-0005-0000-0000-00001B110000}"/>
    <cellStyle name="Entrada 2 2 2 4 9" xfId="5187" xr:uid="{00000000-0005-0000-0000-00001C110000}"/>
    <cellStyle name="Entrada 2 2 2 4 9 2" xfId="16090" xr:uid="{00000000-0005-0000-0000-00001D110000}"/>
    <cellStyle name="Entrada 2 2 2 4 9 3" xfId="12895" xr:uid="{00000000-0005-0000-0000-00001E110000}"/>
    <cellStyle name="Entrada 2 2 2 5" xfId="3123" xr:uid="{00000000-0005-0000-0000-00001F110000}"/>
    <cellStyle name="Entrada 2 2 2 5 2" xfId="3510" xr:uid="{00000000-0005-0000-0000-000020110000}"/>
    <cellStyle name="Entrada 2 2 2 5 2 2" xfId="7411" xr:uid="{00000000-0005-0000-0000-000021110000}"/>
    <cellStyle name="Entrada 2 2 2 5 2 2 2" xfId="17782" xr:uid="{00000000-0005-0000-0000-000022110000}"/>
    <cellStyle name="Entrada 2 2 2 5 2 2 3" xfId="20929" xr:uid="{00000000-0005-0000-0000-000023110000}"/>
    <cellStyle name="Entrada 2 2 2 5 2 3" xfId="9603" xr:uid="{00000000-0005-0000-0000-000024110000}"/>
    <cellStyle name="Entrada 2 2 2 5 2 4" xfId="14860" xr:uid="{00000000-0005-0000-0000-000025110000}"/>
    <cellStyle name="Entrada 2 2 2 5 2 5" xfId="15859" xr:uid="{00000000-0005-0000-0000-000026110000}"/>
    <cellStyle name="Entrada 2 2 2 5 3" xfId="3893" xr:uid="{00000000-0005-0000-0000-000027110000}"/>
    <cellStyle name="Entrada 2 2 2 5 3 2" xfId="15136" xr:uid="{00000000-0005-0000-0000-000028110000}"/>
    <cellStyle name="Entrada 2 2 2 5 3 3" xfId="14129" xr:uid="{00000000-0005-0000-0000-000029110000}"/>
    <cellStyle name="Entrada 2 2 2 5 4" xfId="4276" xr:uid="{00000000-0005-0000-0000-00002A110000}"/>
    <cellStyle name="Entrada 2 2 2 5 4 2" xfId="15411" xr:uid="{00000000-0005-0000-0000-00002B110000}"/>
    <cellStyle name="Entrada 2 2 2 5 4 3" xfId="13729" xr:uid="{00000000-0005-0000-0000-00002C110000}"/>
    <cellStyle name="Entrada 2 2 2 5 5" xfId="4658" xr:uid="{00000000-0005-0000-0000-00002D110000}"/>
    <cellStyle name="Entrada 2 2 2 5 5 2" xfId="15685" xr:uid="{00000000-0005-0000-0000-00002E110000}"/>
    <cellStyle name="Entrada 2 2 2 5 5 3" xfId="13347" xr:uid="{00000000-0005-0000-0000-00002F110000}"/>
    <cellStyle name="Entrada 2 2 2 5 6" xfId="5702" xr:uid="{00000000-0005-0000-0000-000030110000}"/>
    <cellStyle name="Entrada 2 2 2 5 6 2" xfId="16491" xr:uid="{00000000-0005-0000-0000-000031110000}"/>
    <cellStyle name="Entrada 2 2 2 5 6 3" xfId="19220" xr:uid="{00000000-0005-0000-0000-000032110000}"/>
    <cellStyle name="Entrada 2 2 2 5 7" xfId="9254" xr:uid="{00000000-0005-0000-0000-000033110000}"/>
    <cellStyle name="Entrada 2 2 2 5 8" xfId="14580" xr:uid="{00000000-0005-0000-0000-000034110000}"/>
    <cellStyle name="Entrada 2 2 2 5 9" xfId="18576" xr:uid="{00000000-0005-0000-0000-000035110000}"/>
    <cellStyle name="Entrada 2 2 2 6" xfId="3097" xr:uid="{00000000-0005-0000-0000-000036110000}"/>
    <cellStyle name="Entrada 2 2 2 6 2" xfId="3484" xr:uid="{00000000-0005-0000-0000-000037110000}"/>
    <cellStyle name="Entrada 2 2 2 6 2 2" xfId="7855" xr:uid="{00000000-0005-0000-0000-000038110000}"/>
    <cellStyle name="Entrada 2 2 2 6 2 2 2" xfId="18114" xr:uid="{00000000-0005-0000-0000-000039110000}"/>
    <cellStyle name="Entrada 2 2 2 6 2 2 3" xfId="21373" xr:uid="{00000000-0005-0000-0000-00003A110000}"/>
    <cellStyle name="Entrada 2 2 2 6 2 3" xfId="9578" xr:uid="{00000000-0005-0000-0000-00003B110000}"/>
    <cellStyle name="Entrada 2 2 2 6 2 4" xfId="14840" xr:uid="{00000000-0005-0000-0000-00003C110000}"/>
    <cellStyle name="Entrada 2 2 2 6 2 5" xfId="16180" xr:uid="{00000000-0005-0000-0000-00003D110000}"/>
    <cellStyle name="Entrada 2 2 2 6 3" xfId="3867" xr:uid="{00000000-0005-0000-0000-00003E110000}"/>
    <cellStyle name="Entrada 2 2 2 6 3 2" xfId="15116" xr:uid="{00000000-0005-0000-0000-00003F110000}"/>
    <cellStyle name="Entrada 2 2 2 6 3 3" xfId="14207" xr:uid="{00000000-0005-0000-0000-000040110000}"/>
    <cellStyle name="Entrada 2 2 2 6 4" xfId="4250" xr:uid="{00000000-0005-0000-0000-000041110000}"/>
    <cellStyle name="Entrada 2 2 2 6 4 2" xfId="15391" xr:uid="{00000000-0005-0000-0000-000042110000}"/>
    <cellStyle name="Entrada 2 2 2 6 4 3" xfId="13755" xr:uid="{00000000-0005-0000-0000-000043110000}"/>
    <cellStyle name="Entrada 2 2 2 6 5" xfId="4632" xr:uid="{00000000-0005-0000-0000-000044110000}"/>
    <cellStyle name="Entrada 2 2 2 6 5 2" xfId="15665" xr:uid="{00000000-0005-0000-0000-000045110000}"/>
    <cellStyle name="Entrada 2 2 2 6 5 3" xfId="13373" xr:uid="{00000000-0005-0000-0000-000046110000}"/>
    <cellStyle name="Entrada 2 2 2 6 6" xfId="6147" xr:uid="{00000000-0005-0000-0000-000047110000}"/>
    <cellStyle name="Entrada 2 2 2 6 6 2" xfId="16822" xr:uid="{00000000-0005-0000-0000-000048110000}"/>
    <cellStyle name="Entrada 2 2 2 6 6 3" xfId="19665" xr:uid="{00000000-0005-0000-0000-000049110000}"/>
    <cellStyle name="Entrada 2 2 2 6 7" xfId="9229" xr:uid="{00000000-0005-0000-0000-00004A110000}"/>
    <cellStyle name="Entrada 2 2 2 6 8" xfId="14560" xr:uid="{00000000-0005-0000-0000-00004B110000}"/>
    <cellStyle name="Entrada 2 2 2 6 9" xfId="14802" xr:uid="{00000000-0005-0000-0000-00004C110000}"/>
    <cellStyle name="Entrada 2 2 2 7" xfId="5463" xr:uid="{00000000-0005-0000-0000-00004D110000}"/>
    <cellStyle name="Entrada 2 2 2 7 2" xfId="7172" xr:uid="{00000000-0005-0000-0000-00004E110000}"/>
    <cellStyle name="Entrada 2 2 2 7 2 2" xfId="11302" xr:uid="{00000000-0005-0000-0000-00004F110000}"/>
    <cellStyle name="Entrada 2 2 2 7 2 3" xfId="17583" xr:uid="{00000000-0005-0000-0000-000050110000}"/>
    <cellStyle name="Entrada 2 2 2 7 2 4" xfId="20690" xr:uid="{00000000-0005-0000-0000-000051110000}"/>
    <cellStyle name="Entrada 2 2 2 7 3" xfId="10469" xr:uid="{00000000-0005-0000-0000-000052110000}"/>
    <cellStyle name="Entrada 2 2 2 7 4" xfId="16293" xr:uid="{00000000-0005-0000-0000-000053110000}"/>
    <cellStyle name="Entrada 2 2 2 7 5" xfId="18981" xr:uid="{00000000-0005-0000-0000-000054110000}"/>
    <cellStyle name="Entrada 2 2 2 8" xfId="5352" xr:uid="{00000000-0005-0000-0000-000055110000}"/>
    <cellStyle name="Entrada 2 2 2 8 2" xfId="5063" xr:uid="{00000000-0005-0000-0000-000056110000}"/>
    <cellStyle name="Entrada 2 2 2 8 2 2" xfId="10316" xr:uid="{00000000-0005-0000-0000-000057110000}"/>
    <cellStyle name="Entrada 2 2 2 8 2 3" xfId="16009" xr:uid="{00000000-0005-0000-0000-000058110000}"/>
    <cellStyle name="Entrada 2 2 2 8 2 4" xfId="14177" xr:uid="{00000000-0005-0000-0000-000059110000}"/>
    <cellStyle name="Entrada 2 2 2 8 3" xfId="10430" xr:uid="{00000000-0005-0000-0000-00005A110000}"/>
    <cellStyle name="Entrada 2 2 2 8 4" xfId="16214" xr:uid="{00000000-0005-0000-0000-00005B110000}"/>
    <cellStyle name="Entrada 2 2 2 8 5" xfId="18870" xr:uid="{00000000-0005-0000-0000-00005C110000}"/>
    <cellStyle name="Entrada 2 2 2 9" xfId="5252" xr:uid="{00000000-0005-0000-0000-00005D110000}"/>
    <cellStyle name="Entrada 2 2 2 9 2" xfId="10392" xr:uid="{00000000-0005-0000-0000-00005E110000}"/>
    <cellStyle name="Entrada 2 2 2 9 3" xfId="16136" xr:uid="{00000000-0005-0000-0000-00005F110000}"/>
    <cellStyle name="Entrada 2 2 2 9 4" xfId="12842" xr:uid="{00000000-0005-0000-0000-000060110000}"/>
    <cellStyle name="Entrada 2 2 3" xfId="2695" xr:uid="{00000000-0005-0000-0000-000061110000}"/>
    <cellStyle name="Entrada 2 2 3 10" xfId="5742" xr:uid="{00000000-0005-0000-0000-000062110000}"/>
    <cellStyle name="Entrada 2 2 3 10 2" xfId="10524" xr:uid="{00000000-0005-0000-0000-000063110000}"/>
    <cellStyle name="Entrada 2 2 3 10 3" xfId="16523" xr:uid="{00000000-0005-0000-0000-000064110000}"/>
    <cellStyle name="Entrada 2 2 3 10 4" xfId="19260" xr:uid="{00000000-0005-0000-0000-000065110000}"/>
    <cellStyle name="Entrada 2 2 3 11" xfId="7451" xr:uid="{00000000-0005-0000-0000-000066110000}"/>
    <cellStyle name="Entrada 2 2 3 11 2" xfId="11511" xr:uid="{00000000-0005-0000-0000-000067110000}"/>
    <cellStyle name="Entrada 2 2 3 11 3" xfId="17814" xr:uid="{00000000-0005-0000-0000-000068110000}"/>
    <cellStyle name="Entrada 2 2 3 11 4" xfId="20969" xr:uid="{00000000-0005-0000-0000-000069110000}"/>
    <cellStyle name="Entrada 2 2 3 12" xfId="4874" xr:uid="{00000000-0005-0000-0000-00006A110000}"/>
    <cellStyle name="Entrada 2 2 3 12 2" xfId="15849" xr:uid="{00000000-0005-0000-0000-00006B110000}"/>
    <cellStyle name="Entrada 2 2 3 12 3" xfId="13132" xr:uid="{00000000-0005-0000-0000-00006C110000}"/>
    <cellStyle name="Entrada 2 2 3 13" xfId="8850" xr:uid="{00000000-0005-0000-0000-00006D110000}"/>
    <cellStyle name="Entrada 2 2 3 14" xfId="14266" xr:uid="{00000000-0005-0000-0000-00006E110000}"/>
    <cellStyle name="Entrada 2 2 3 15" xfId="18413" xr:uid="{00000000-0005-0000-0000-00006F110000}"/>
    <cellStyle name="Entrada 2 2 3 2" xfId="2752" xr:uid="{00000000-0005-0000-0000-000070110000}"/>
    <cellStyle name="Entrada 2 2 3 2 10" xfId="4938" xr:uid="{00000000-0005-0000-0000-000071110000}"/>
    <cellStyle name="Entrada 2 2 3 2 10 2" xfId="15908" xr:uid="{00000000-0005-0000-0000-000072110000}"/>
    <cellStyle name="Entrada 2 2 3 2 10 3" xfId="13081" xr:uid="{00000000-0005-0000-0000-000073110000}"/>
    <cellStyle name="Entrada 2 2 3 2 11" xfId="8907" xr:uid="{00000000-0005-0000-0000-000074110000}"/>
    <cellStyle name="Entrada 2 2 3 2 12" xfId="14309" xr:uid="{00000000-0005-0000-0000-000075110000}"/>
    <cellStyle name="Entrada 2 2 3 2 2" xfId="3242" xr:uid="{00000000-0005-0000-0000-000076110000}"/>
    <cellStyle name="Entrada 2 2 3 2 2 10" xfId="9372" xr:uid="{00000000-0005-0000-0000-000077110000}"/>
    <cellStyle name="Entrada 2 2 3 2 2 11" xfId="14674" xr:uid="{00000000-0005-0000-0000-000078110000}"/>
    <cellStyle name="Entrada 2 2 3 2 2 12" xfId="16035" xr:uid="{00000000-0005-0000-0000-000079110000}"/>
    <cellStyle name="Entrada 2 2 3 2 2 2" xfId="3629" xr:uid="{00000000-0005-0000-0000-00007A110000}"/>
    <cellStyle name="Entrada 2 2 3 2 2 2 2" xfId="7990" xr:uid="{00000000-0005-0000-0000-00007B110000}"/>
    <cellStyle name="Entrada 2 2 3 2 2 2 2 2" xfId="11966" xr:uid="{00000000-0005-0000-0000-00007C110000}"/>
    <cellStyle name="Entrada 2 2 3 2 2 2 2 3" xfId="18213" xr:uid="{00000000-0005-0000-0000-00007D110000}"/>
    <cellStyle name="Entrada 2 2 3 2 2 2 2 4" xfId="21508" xr:uid="{00000000-0005-0000-0000-00007E110000}"/>
    <cellStyle name="Entrada 2 2 3 2 2 2 3" xfId="6282" xr:uid="{00000000-0005-0000-0000-00007F110000}"/>
    <cellStyle name="Entrada 2 2 3 2 2 2 3 2" xfId="16922" xr:uid="{00000000-0005-0000-0000-000080110000}"/>
    <cellStyle name="Entrada 2 2 3 2 2 2 3 3" xfId="19800" xr:uid="{00000000-0005-0000-0000-000081110000}"/>
    <cellStyle name="Entrada 2 2 3 2 2 2 4" xfId="9721" xr:uid="{00000000-0005-0000-0000-000082110000}"/>
    <cellStyle name="Entrada 2 2 3 2 2 2 5" xfId="14954" xr:uid="{00000000-0005-0000-0000-000083110000}"/>
    <cellStyle name="Entrada 2 2 3 2 2 2 6" xfId="17460" xr:uid="{00000000-0005-0000-0000-000084110000}"/>
    <cellStyle name="Entrada 2 2 3 2 2 3" xfId="4012" xr:uid="{00000000-0005-0000-0000-000085110000}"/>
    <cellStyle name="Entrada 2 2 3 2 2 3 2" xfId="7767" xr:uid="{00000000-0005-0000-0000-000086110000}"/>
    <cellStyle name="Entrada 2 2 3 2 2 3 2 2" xfId="11788" xr:uid="{00000000-0005-0000-0000-000087110000}"/>
    <cellStyle name="Entrada 2 2 3 2 2 3 2 3" xfId="18041" xr:uid="{00000000-0005-0000-0000-000088110000}"/>
    <cellStyle name="Entrada 2 2 3 2 2 3 2 4" xfId="21285" xr:uid="{00000000-0005-0000-0000-000089110000}"/>
    <cellStyle name="Entrada 2 2 3 2 2 3 3" xfId="6059" xr:uid="{00000000-0005-0000-0000-00008A110000}"/>
    <cellStyle name="Entrada 2 2 3 2 2 3 3 2" xfId="16749" xr:uid="{00000000-0005-0000-0000-00008B110000}"/>
    <cellStyle name="Entrada 2 2 3 2 2 3 3 3" xfId="19577" xr:uid="{00000000-0005-0000-0000-00008C110000}"/>
    <cellStyle name="Entrada 2 2 3 2 2 3 4" xfId="9931" xr:uid="{00000000-0005-0000-0000-00008D110000}"/>
    <cellStyle name="Entrada 2 2 3 2 2 3 5" xfId="15229" xr:uid="{00000000-0005-0000-0000-00008E110000}"/>
    <cellStyle name="Entrada 2 2 3 2 2 3 6" xfId="13979" xr:uid="{00000000-0005-0000-0000-00008F110000}"/>
    <cellStyle name="Entrada 2 2 3 2 2 4" xfId="4395" xr:uid="{00000000-0005-0000-0000-000090110000}"/>
    <cellStyle name="Entrada 2 2 3 2 2 4 2" xfId="8297" xr:uid="{00000000-0005-0000-0000-000091110000}"/>
    <cellStyle name="Entrada 2 2 3 2 2 4 2 2" xfId="12265" xr:uid="{00000000-0005-0000-0000-000092110000}"/>
    <cellStyle name="Entrada 2 2 3 2 2 4 2 3" xfId="18447" xr:uid="{00000000-0005-0000-0000-000093110000}"/>
    <cellStyle name="Entrada 2 2 3 2 2 4 2 4" xfId="21815" xr:uid="{00000000-0005-0000-0000-000094110000}"/>
    <cellStyle name="Entrada 2 2 3 2 2 4 3" xfId="6589" xr:uid="{00000000-0005-0000-0000-000095110000}"/>
    <cellStyle name="Entrada 2 2 3 2 2 4 3 2" xfId="17156" xr:uid="{00000000-0005-0000-0000-000096110000}"/>
    <cellStyle name="Entrada 2 2 3 2 2 4 3 3" xfId="20107" xr:uid="{00000000-0005-0000-0000-000097110000}"/>
    <cellStyle name="Entrada 2 2 3 2 2 4 4" xfId="10109" xr:uid="{00000000-0005-0000-0000-000098110000}"/>
    <cellStyle name="Entrada 2 2 3 2 2 4 5" xfId="15505" xr:uid="{00000000-0005-0000-0000-000099110000}"/>
    <cellStyle name="Entrada 2 2 3 2 2 4 6" xfId="13610" xr:uid="{00000000-0005-0000-0000-00009A110000}"/>
    <cellStyle name="Entrada 2 2 3 2 2 5" xfId="4777" xr:uid="{00000000-0005-0000-0000-00009B110000}"/>
    <cellStyle name="Entrada 2 2 3 2 2 5 2" xfId="8529" xr:uid="{00000000-0005-0000-0000-00009C110000}"/>
    <cellStyle name="Entrada 2 2 3 2 2 5 2 2" xfId="12497" xr:uid="{00000000-0005-0000-0000-00009D110000}"/>
    <cellStyle name="Entrada 2 2 3 2 2 5 2 3" xfId="18618" xr:uid="{00000000-0005-0000-0000-00009E110000}"/>
    <cellStyle name="Entrada 2 2 3 2 2 5 2 4" xfId="22047" xr:uid="{00000000-0005-0000-0000-00009F110000}"/>
    <cellStyle name="Entrada 2 2 3 2 2 5 3" xfId="6821" xr:uid="{00000000-0005-0000-0000-0000A0110000}"/>
    <cellStyle name="Entrada 2 2 3 2 2 5 3 2" xfId="17326" xr:uid="{00000000-0005-0000-0000-0000A1110000}"/>
    <cellStyle name="Entrada 2 2 3 2 2 5 3 3" xfId="20339" xr:uid="{00000000-0005-0000-0000-0000A2110000}"/>
    <cellStyle name="Entrada 2 2 3 2 2 5 4" xfId="10286" xr:uid="{00000000-0005-0000-0000-0000A3110000}"/>
    <cellStyle name="Entrada 2 2 3 2 2 5 5" xfId="15777" xr:uid="{00000000-0005-0000-0000-0000A4110000}"/>
    <cellStyle name="Entrada 2 2 3 2 2 5 6" xfId="13228" xr:uid="{00000000-0005-0000-0000-0000A5110000}"/>
    <cellStyle name="Entrada 2 2 3 2 2 6" xfId="7053" xr:uid="{00000000-0005-0000-0000-0000A6110000}"/>
    <cellStyle name="Entrada 2 2 3 2 2 6 2" xfId="8761" xr:uid="{00000000-0005-0000-0000-0000A7110000}"/>
    <cellStyle name="Entrada 2 2 3 2 2 6 2 2" xfId="12729" xr:uid="{00000000-0005-0000-0000-0000A8110000}"/>
    <cellStyle name="Entrada 2 2 3 2 2 6 2 3" xfId="18790" xr:uid="{00000000-0005-0000-0000-0000A9110000}"/>
    <cellStyle name="Entrada 2 2 3 2 2 6 2 4" xfId="22279" xr:uid="{00000000-0005-0000-0000-0000AA110000}"/>
    <cellStyle name="Entrada 2 2 3 2 2 6 3" xfId="11187" xr:uid="{00000000-0005-0000-0000-0000AB110000}"/>
    <cellStyle name="Entrada 2 2 3 2 2 6 4" xfId="17497" xr:uid="{00000000-0005-0000-0000-0000AC110000}"/>
    <cellStyle name="Entrada 2 2 3 2 2 6 5" xfId="20571" xr:uid="{00000000-0005-0000-0000-0000AD110000}"/>
    <cellStyle name="Entrada 2 2 3 2 2 7" xfId="6041" xr:uid="{00000000-0005-0000-0000-0000AE110000}"/>
    <cellStyle name="Entrada 2 2 3 2 2 7 2" xfId="10782" xr:uid="{00000000-0005-0000-0000-0000AF110000}"/>
    <cellStyle name="Entrada 2 2 3 2 2 7 3" xfId="16736" xr:uid="{00000000-0005-0000-0000-0000B0110000}"/>
    <cellStyle name="Entrada 2 2 3 2 2 7 4" xfId="19559" xr:uid="{00000000-0005-0000-0000-0000B1110000}"/>
    <cellStyle name="Entrada 2 2 3 2 2 8" xfId="7749" xr:uid="{00000000-0005-0000-0000-0000B2110000}"/>
    <cellStyle name="Entrada 2 2 3 2 2 8 2" xfId="11770" xr:uid="{00000000-0005-0000-0000-0000B3110000}"/>
    <cellStyle name="Entrada 2 2 3 2 2 8 3" xfId="18028" xr:uid="{00000000-0005-0000-0000-0000B4110000}"/>
    <cellStyle name="Entrada 2 2 3 2 2 8 4" xfId="21267" xr:uid="{00000000-0005-0000-0000-0000B5110000}"/>
    <cellStyle name="Entrada 2 2 3 2 2 9" xfId="5235" xr:uid="{00000000-0005-0000-0000-0000B6110000}"/>
    <cellStyle name="Entrada 2 2 3 2 2 9 2" xfId="16124" xr:uid="{00000000-0005-0000-0000-0000B7110000}"/>
    <cellStyle name="Entrada 2 2 3 2 2 9 3" xfId="12859" xr:uid="{00000000-0005-0000-0000-0000B8110000}"/>
    <cellStyle name="Entrada 2 2 3 2 3" xfId="3299" xr:uid="{00000000-0005-0000-0000-0000B9110000}"/>
    <cellStyle name="Entrada 2 2 3 2 3 2" xfId="3686" xr:uid="{00000000-0005-0000-0000-0000BA110000}"/>
    <cellStyle name="Entrada 2 2 3 2 3 2 2" xfId="7392" xr:uid="{00000000-0005-0000-0000-0000BB110000}"/>
    <cellStyle name="Entrada 2 2 3 2 3 2 2 2" xfId="17771" xr:uid="{00000000-0005-0000-0000-0000BC110000}"/>
    <cellStyle name="Entrada 2 2 3 2 3 2 2 3" xfId="20910" xr:uid="{00000000-0005-0000-0000-0000BD110000}"/>
    <cellStyle name="Entrada 2 2 3 2 3 2 3" xfId="9763" xr:uid="{00000000-0005-0000-0000-0000BE110000}"/>
    <cellStyle name="Entrada 2 2 3 2 3 2 4" xfId="14996" xr:uid="{00000000-0005-0000-0000-0000BF110000}"/>
    <cellStyle name="Entrada 2 2 3 2 3 2 5" xfId="18176" xr:uid="{00000000-0005-0000-0000-0000C0110000}"/>
    <cellStyle name="Entrada 2 2 3 2 3 3" xfId="4069" xr:uid="{00000000-0005-0000-0000-0000C1110000}"/>
    <cellStyle name="Entrada 2 2 3 2 3 3 2" xfId="15271" xr:uid="{00000000-0005-0000-0000-0000C2110000}"/>
    <cellStyle name="Entrada 2 2 3 2 3 3 3" xfId="13922" xr:uid="{00000000-0005-0000-0000-0000C3110000}"/>
    <cellStyle name="Entrada 2 2 3 2 3 4" xfId="4452" xr:uid="{00000000-0005-0000-0000-0000C4110000}"/>
    <cellStyle name="Entrada 2 2 3 2 3 4 2" xfId="15546" xr:uid="{00000000-0005-0000-0000-0000C5110000}"/>
    <cellStyle name="Entrada 2 2 3 2 3 4 3" xfId="13553" xr:uid="{00000000-0005-0000-0000-0000C6110000}"/>
    <cellStyle name="Entrada 2 2 3 2 3 5" xfId="4834" xr:uid="{00000000-0005-0000-0000-0000C7110000}"/>
    <cellStyle name="Entrada 2 2 3 2 3 5 2" xfId="15818" xr:uid="{00000000-0005-0000-0000-0000C8110000}"/>
    <cellStyle name="Entrada 2 2 3 2 3 5 3" xfId="13172" xr:uid="{00000000-0005-0000-0000-0000C9110000}"/>
    <cellStyle name="Entrada 2 2 3 2 3 6" xfId="5683" xr:uid="{00000000-0005-0000-0000-0000CA110000}"/>
    <cellStyle name="Entrada 2 2 3 2 3 6 2" xfId="16480" xr:uid="{00000000-0005-0000-0000-0000CB110000}"/>
    <cellStyle name="Entrada 2 2 3 2 3 6 3" xfId="19201" xr:uid="{00000000-0005-0000-0000-0000CC110000}"/>
    <cellStyle name="Entrada 2 2 3 2 3 7" xfId="9429" xr:uid="{00000000-0005-0000-0000-0000CD110000}"/>
    <cellStyle name="Entrada 2 2 3 2 3 8" xfId="14716" xr:uid="{00000000-0005-0000-0000-0000CE110000}"/>
    <cellStyle name="Entrada 2 2 3 2 3 9" xfId="15282" xr:uid="{00000000-0005-0000-0000-0000CF110000}"/>
    <cellStyle name="Entrada 2 2 3 2 4" xfId="2917" xr:uid="{00000000-0005-0000-0000-0000D0110000}"/>
    <cellStyle name="Entrada 2 2 3 2 4 2" xfId="7118" xr:uid="{00000000-0005-0000-0000-0000D1110000}"/>
    <cellStyle name="Entrada 2 2 3 2 4 2 2" xfId="11252" xr:uid="{00000000-0005-0000-0000-0000D2110000}"/>
    <cellStyle name="Entrada 2 2 3 2 4 2 3" xfId="17538" xr:uid="{00000000-0005-0000-0000-0000D3110000}"/>
    <cellStyle name="Entrada 2 2 3 2 4 2 4" xfId="20636" xr:uid="{00000000-0005-0000-0000-0000D4110000}"/>
    <cellStyle name="Entrada 2 2 3 2 4 3" xfId="5409" xr:uid="{00000000-0005-0000-0000-0000D5110000}"/>
    <cellStyle name="Entrada 2 2 3 2 4 3 2" xfId="16248" xr:uid="{00000000-0005-0000-0000-0000D6110000}"/>
    <cellStyle name="Entrada 2 2 3 2 4 3 3" xfId="18927" xr:uid="{00000000-0005-0000-0000-0000D7110000}"/>
    <cellStyle name="Entrada 2 2 3 2 4 4" xfId="9069" xr:uid="{00000000-0005-0000-0000-0000D8110000}"/>
    <cellStyle name="Entrada 2 2 3 2 4 5" xfId="14441" xr:uid="{00000000-0005-0000-0000-0000D9110000}"/>
    <cellStyle name="Entrada 2 2 3 2 4 6" xfId="16024" xr:uid="{00000000-0005-0000-0000-0000DA110000}"/>
    <cellStyle name="Entrada 2 2 3 2 5" xfId="6396" xr:uid="{00000000-0005-0000-0000-0000DB110000}"/>
    <cellStyle name="Entrada 2 2 3 2 5 2" xfId="8104" xr:uid="{00000000-0005-0000-0000-0000DC110000}"/>
    <cellStyle name="Entrada 2 2 3 2 5 2 2" xfId="12072" xr:uid="{00000000-0005-0000-0000-0000DD110000}"/>
    <cellStyle name="Entrada 2 2 3 2 5 2 3" xfId="18310" xr:uid="{00000000-0005-0000-0000-0000DE110000}"/>
    <cellStyle name="Entrada 2 2 3 2 5 2 4" xfId="21622" xr:uid="{00000000-0005-0000-0000-0000DF110000}"/>
    <cellStyle name="Entrada 2 2 3 2 5 3" xfId="10914" xr:uid="{00000000-0005-0000-0000-0000E0110000}"/>
    <cellStyle name="Entrada 2 2 3 2 5 4" xfId="17019" xr:uid="{00000000-0005-0000-0000-0000E1110000}"/>
    <cellStyle name="Entrada 2 2 3 2 5 5" xfId="19914" xr:uid="{00000000-0005-0000-0000-0000E2110000}"/>
    <cellStyle name="Entrada 2 2 3 2 6" xfId="6628" xr:uid="{00000000-0005-0000-0000-0000E3110000}"/>
    <cellStyle name="Entrada 2 2 3 2 6 2" xfId="8336" xr:uid="{00000000-0005-0000-0000-0000E4110000}"/>
    <cellStyle name="Entrada 2 2 3 2 6 2 2" xfId="12304" xr:uid="{00000000-0005-0000-0000-0000E5110000}"/>
    <cellStyle name="Entrada 2 2 3 2 6 2 3" xfId="18481" xr:uid="{00000000-0005-0000-0000-0000E6110000}"/>
    <cellStyle name="Entrada 2 2 3 2 6 2 4" xfId="21854" xr:uid="{00000000-0005-0000-0000-0000E7110000}"/>
    <cellStyle name="Entrada 2 2 3 2 6 3" xfId="10954" xr:uid="{00000000-0005-0000-0000-0000E8110000}"/>
    <cellStyle name="Entrada 2 2 3 2 6 4" xfId="17190" xr:uid="{00000000-0005-0000-0000-0000E9110000}"/>
    <cellStyle name="Entrada 2 2 3 2 6 5" xfId="20146" xr:uid="{00000000-0005-0000-0000-0000EA110000}"/>
    <cellStyle name="Entrada 2 2 3 2 7" xfId="6860" xr:uid="{00000000-0005-0000-0000-0000EB110000}"/>
    <cellStyle name="Entrada 2 2 3 2 7 2" xfId="8568" xr:uid="{00000000-0005-0000-0000-0000EC110000}"/>
    <cellStyle name="Entrada 2 2 3 2 7 2 2" xfId="12536" xr:uid="{00000000-0005-0000-0000-0000ED110000}"/>
    <cellStyle name="Entrada 2 2 3 2 7 2 3" xfId="18652" xr:uid="{00000000-0005-0000-0000-0000EE110000}"/>
    <cellStyle name="Entrada 2 2 3 2 7 2 4" xfId="22086" xr:uid="{00000000-0005-0000-0000-0000EF110000}"/>
    <cellStyle name="Entrada 2 2 3 2 7 3" xfId="10994" xr:uid="{00000000-0005-0000-0000-0000F0110000}"/>
    <cellStyle name="Entrada 2 2 3 2 7 4" xfId="17360" xr:uid="{00000000-0005-0000-0000-0000F1110000}"/>
    <cellStyle name="Entrada 2 2 3 2 7 5" xfId="20378" xr:uid="{00000000-0005-0000-0000-0000F2110000}"/>
    <cellStyle name="Entrada 2 2 3 2 8" xfId="5831" xr:uid="{00000000-0005-0000-0000-0000F3110000}"/>
    <cellStyle name="Entrada 2 2 3 2 8 2" xfId="10589" xr:uid="{00000000-0005-0000-0000-0000F4110000}"/>
    <cellStyle name="Entrada 2 2 3 2 8 3" xfId="16591" xr:uid="{00000000-0005-0000-0000-0000F5110000}"/>
    <cellStyle name="Entrada 2 2 3 2 8 4" xfId="19349" xr:uid="{00000000-0005-0000-0000-0000F6110000}"/>
    <cellStyle name="Entrada 2 2 3 2 9" xfId="7539" xr:uid="{00000000-0005-0000-0000-0000F7110000}"/>
    <cellStyle name="Entrada 2 2 3 2 9 2" xfId="11575" xr:uid="{00000000-0005-0000-0000-0000F8110000}"/>
    <cellStyle name="Entrada 2 2 3 2 9 3" xfId="17883" xr:uid="{00000000-0005-0000-0000-0000F9110000}"/>
    <cellStyle name="Entrada 2 2 3 2 9 4" xfId="21057" xr:uid="{00000000-0005-0000-0000-0000FA110000}"/>
    <cellStyle name="Entrada 2 2 3 3" xfId="2656" xr:uid="{00000000-0005-0000-0000-0000FB110000}"/>
    <cellStyle name="Entrada 2 2 3 3 10" xfId="4912" xr:uid="{00000000-0005-0000-0000-0000FC110000}"/>
    <cellStyle name="Entrada 2 2 3 3 10 2" xfId="15882" xr:uid="{00000000-0005-0000-0000-0000FD110000}"/>
    <cellStyle name="Entrada 2 2 3 3 10 3" xfId="13107" xr:uid="{00000000-0005-0000-0000-0000FE110000}"/>
    <cellStyle name="Entrada 2 2 3 3 11" xfId="8813" xr:uid="{00000000-0005-0000-0000-0000FF110000}"/>
    <cellStyle name="Entrada 2 2 3 3 12" xfId="14233" xr:uid="{00000000-0005-0000-0000-000000120000}"/>
    <cellStyle name="Entrada 2 2 3 3 2" xfId="3148" xr:uid="{00000000-0005-0000-0000-000001120000}"/>
    <cellStyle name="Entrada 2 2 3 3 2 10" xfId="9278" xr:uid="{00000000-0005-0000-0000-000002120000}"/>
    <cellStyle name="Entrada 2 2 3 3 2 11" xfId="14601" xr:uid="{00000000-0005-0000-0000-000003120000}"/>
    <cellStyle name="Entrada 2 2 3 3 2 12" xfId="17315" xr:uid="{00000000-0005-0000-0000-000004120000}"/>
    <cellStyle name="Entrada 2 2 3 3 2 2" xfId="3535" xr:uid="{00000000-0005-0000-0000-000005120000}"/>
    <cellStyle name="Entrada 2 2 3 3 2 2 2" xfId="7349" xr:uid="{00000000-0005-0000-0000-000006120000}"/>
    <cellStyle name="Entrada 2 2 3 3 2 2 2 2" xfId="11435" xr:uid="{00000000-0005-0000-0000-000007120000}"/>
    <cellStyle name="Entrada 2 2 3 3 2 2 2 3" xfId="17737" xr:uid="{00000000-0005-0000-0000-000008120000}"/>
    <cellStyle name="Entrada 2 2 3 3 2 2 2 4" xfId="20867" xr:uid="{00000000-0005-0000-0000-000009120000}"/>
    <cellStyle name="Entrada 2 2 3 3 2 2 3" xfId="5640" xr:uid="{00000000-0005-0000-0000-00000A120000}"/>
    <cellStyle name="Entrada 2 2 3 3 2 2 3 2" xfId="16446" xr:uid="{00000000-0005-0000-0000-00000B120000}"/>
    <cellStyle name="Entrada 2 2 3 3 2 2 3 3" xfId="19158" xr:uid="{00000000-0005-0000-0000-00000C120000}"/>
    <cellStyle name="Entrada 2 2 3 3 2 2 4" xfId="9627" xr:uid="{00000000-0005-0000-0000-00000D120000}"/>
    <cellStyle name="Entrada 2 2 3 3 2 2 5" xfId="14881" xr:uid="{00000000-0005-0000-0000-00000E120000}"/>
    <cellStyle name="Entrada 2 2 3 3 2 2 6" xfId="14729" xr:uid="{00000000-0005-0000-0000-00000F120000}"/>
    <cellStyle name="Entrada 2 2 3 3 2 3" xfId="3918" xr:uid="{00000000-0005-0000-0000-000010120000}"/>
    <cellStyle name="Entrada 2 2 3 3 2 3 2" xfId="8071" xr:uid="{00000000-0005-0000-0000-000011120000}"/>
    <cellStyle name="Entrada 2 2 3 3 2 3 2 2" xfId="12041" xr:uid="{00000000-0005-0000-0000-000012120000}"/>
    <cellStyle name="Entrada 2 2 3 3 2 3 2 3" xfId="18277" xr:uid="{00000000-0005-0000-0000-000013120000}"/>
    <cellStyle name="Entrada 2 2 3 3 2 3 2 4" xfId="21589" xr:uid="{00000000-0005-0000-0000-000014120000}"/>
    <cellStyle name="Entrada 2 2 3 3 2 3 3" xfId="6363" xr:uid="{00000000-0005-0000-0000-000015120000}"/>
    <cellStyle name="Entrada 2 2 3 3 2 3 3 2" xfId="16986" xr:uid="{00000000-0005-0000-0000-000016120000}"/>
    <cellStyle name="Entrada 2 2 3 3 2 3 3 3" xfId="19881" xr:uid="{00000000-0005-0000-0000-000017120000}"/>
    <cellStyle name="Entrada 2 2 3 3 2 3 4" xfId="9841" xr:uid="{00000000-0005-0000-0000-000018120000}"/>
    <cellStyle name="Entrada 2 2 3 3 2 3 5" xfId="15157" xr:uid="{00000000-0005-0000-0000-000019120000}"/>
    <cellStyle name="Entrada 2 2 3 3 2 3 6" xfId="14073" xr:uid="{00000000-0005-0000-0000-00001A120000}"/>
    <cellStyle name="Entrada 2 2 3 3 2 4" xfId="4301" xr:uid="{00000000-0005-0000-0000-00001B120000}"/>
    <cellStyle name="Entrada 2 2 3 3 2 4 2" xfId="8130" xr:uid="{00000000-0005-0000-0000-00001C120000}"/>
    <cellStyle name="Entrada 2 2 3 3 2 4 2 2" xfId="12098" xr:uid="{00000000-0005-0000-0000-00001D120000}"/>
    <cellStyle name="Entrada 2 2 3 3 2 4 2 3" xfId="18334" xr:uid="{00000000-0005-0000-0000-00001E120000}"/>
    <cellStyle name="Entrada 2 2 3 3 2 4 2 4" xfId="21648" xr:uid="{00000000-0005-0000-0000-00001F120000}"/>
    <cellStyle name="Entrada 2 2 3 3 2 4 3" xfId="6422" xr:uid="{00000000-0005-0000-0000-000020120000}"/>
    <cellStyle name="Entrada 2 2 3 3 2 4 3 2" xfId="17043" xr:uid="{00000000-0005-0000-0000-000021120000}"/>
    <cellStyle name="Entrada 2 2 3 3 2 4 3 3" xfId="19940" xr:uid="{00000000-0005-0000-0000-000022120000}"/>
    <cellStyle name="Entrada 2 2 3 3 2 4 4" xfId="10019" xr:uid="{00000000-0005-0000-0000-000023120000}"/>
    <cellStyle name="Entrada 2 2 3 3 2 4 5" xfId="15432" xr:uid="{00000000-0005-0000-0000-000024120000}"/>
    <cellStyle name="Entrada 2 2 3 3 2 4 6" xfId="13704" xr:uid="{00000000-0005-0000-0000-000025120000}"/>
    <cellStyle name="Entrada 2 2 3 3 2 5" xfId="4683" xr:uid="{00000000-0005-0000-0000-000026120000}"/>
    <cellStyle name="Entrada 2 2 3 3 2 5 2" xfId="8362" xr:uid="{00000000-0005-0000-0000-000027120000}"/>
    <cellStyle name="Entrada 2 2 3 3 2 5 2 2" xfId="12330" xr:uid="{00000000-0005-0000-0000-000028120000}"/>
    <cellStyle name="Entrada 2 2 3 3 2 5 2 3" xfId="18505" xr:uid="{00000000-0005-0000-0000-000029120000}"/>
    <cellStyle name="Entrada 2 2 3 3 2 5 2 4" xfId="21880" xr:uid="{00000000-0005-0000-0000-00002A120000}"/>
    <cellStyle name="Entrada 2 2 3 3 2 5 3" xfId="6654" xr:uid="{00000000-0005-0000-0000-00002B120000}"/>
    <cellStyle name="Entrada 2 2 3 3 2 5 3 2" xfId="17214" xr:uid="{00000000-0005-0000-0000-00002C120000}"/>
    <cellStyle name="Entrada 2 2 3 3 2 5 3 3" xfId="20172" xr:uid="{00000000-0005-0000-0000-00002D120000}"/>
    <cellStyle name="Entrada 2 2 3 3 2 5 4" xfId="10196" xr:uid="{00000000-0005-0000-0000-00002E120000}"/>
    <cellStyle name="Entrada 2 2 3 3 2 5 5" xfId="15706" xr:uid="{00000000-0005-0000-0000-00002F120000}"/>
    <cellStyle name="Entrada 2 2 3 3 2 5 6" xfId="13322" xr:uid="{00000000-0005-0000-0000-000030120000}"/>
    <cellStyle name="Entrada 2 2 3 3 2 6" xfId="6886" xr:uid="{00000000-0005-0000-0000-000031120000}"/>
    <cellStyle name="Entrada 2 2 3 3 2 6 2" xfId="8594" xr:uid="{00000000-0005-0000-0000-000032120000}"/>
    <cellStyle name="Entrada 2 2 3 3 2 6 2 2" xfId="12562" xr:uid="{00000000-0005-0000-0000-000033120000}"/>
    <cellStyle name="Entrada 2 2 3 3 2 6 2 3" xfId="18676" xr:uid="{00000000-0005-0000-0000-000034120000}"/>
    <cellStyle name="Entrada 2 2 3 3 2 6 2 4" xfId="22112" xr:uid="{00000000-0005-0000-0000-000035120000}"/>
    <cellStyle name="Entrada 2 2 3 3 2 6 3" xfId="11020" xr:uid="{00000000-0005-0000-0000-000036120000}"/>
    <cellStyle name="Entrada 2 2 3 3 2 6 4" xfId="17384" xr:uid="{00000000-0005-0000-0000-000037120000}"/>
    <cellStyle name="Entrada 2 2 3 3 2 6 5" xfId="20404" xr:uid="{00000000-0005-0000-0000-000038120000}"/>
    <cellStyle name="Entrada 2 2 3 3 2 7" xfId="5874" xr:uid="{00000000-0005-0000-0000-000039120000}"/>
    <cellStyle name="Entrada 2 2 3 3 2 7 2" xfId="10615" xr:uid="{00000000-0005-0000-0000-00003A120000}"/>
    <cellStyle name="Entrada 2 2 3 3 2 7 3" xfId="16622" xr:uid="{00000000-0005-0000-0000-00003B120000}"/>
    <cellStyle name="Entrada 2 2 3 3 2 7 4" xfId="19392" xr:uid="{00000000-0005-0000-0000-00003C120000}"/>
    <cellStyle name="Entrada 2 2 3 3 2 8" xfId="7582" xr:uid="{00000000-0005-0000-0000-00003D120000}"/>
    <cellStyle name="Entrada 2 2 3 3 2 8 2" xfId="11603" xr:uid="{00000000-0005-0000-0000-00003E120000}"/>
    <cellStyle name="Entrada 2 2 3 3 2 8 3" xfId="17914" xr:uid="{00000000-0005-0000-0000-00003F120000}"/>
    <cellStyle name="Entrada 2 2 3 3 2 8 4" xfId="21100" xr:uid="{00000000-0005-0000-0000-000040120000}"/>
    <cellStyle name="Entrada 2 2 3 3 2 9" xfId="4964" xr:uid="{00000000-0005-0000-0000-000041120000}"/>
    <cellStyle name="Entrada 2 2 3 3 2 9 2" xfId="15932" xr:uid="{00000000-0005-0000-0000-000042120000}"/>
    <cellStyle name="Entrada 2 2 3 3 2 9 3" xfId="13055" xr:uid="{00000000-0005-0000-0000-000043120000}"/>
    <cellStyle name="Entrada 2 2 3 3 3" xfId="3099" xr:uid="{00000000-0005-0000-0000-000044120000}"/>
    <cellStyle name="Entrada 2 2 3 3 3 2" xfId="3486" xr:uid="{00000000-0005-0000-0000-000045120000}"/>
    <cellStyle name="Entrada 2 2 3 3 3 2 2" xfId="7830" xr:uid="{00000000-0005-0000-0000-000046120000}"/>
    <cellStyle name="Entrada 2 2 3 3 3 2 2 2" xfId="18093" xr:uid="{00000000-0005-0000-0000-000047120000}"/>
    <cellStyle name="Entrada 2 2 3 3 3 2 2 3" xfId="21348" xr:uid="{00000000-0005-0000-0000-000048120000}"/>
    <cellStyle name="Entrada 2 2 3 3 3 2 3" xfId="9580" xr:uid="{00000000-0005-0000-0000-000049120000}"/>
    <cellStyle name="Entrada 2 2 3 3 3 2 4" xfId="14842" xr:uid="{00000000-0005-0000-0000-00004A120000}"/>
    <cellStyle name="Entrada 2 2 3 3 3 2 5" xfId="15231" xr:uid="{00000000-0005-0000-0000-00004B120000}"/>
    <cellStyle name="Entrada 2 2 3 3 3 3" xfId="3869" xr:uid="{00000000-0005-0000-0000-00004C120000}"/>
    <cellStyle name="Entrada 2 2 3 3 3 3 2" xfId="15118" xr:uid="{00000000-0005-0000-0000-00004D120000}"/>
    <cellStyle name="Entrada 2 2 3 3 3 3 3" xfId="14197" xr:uid="{00000000-0005-0000-0000-00004E120000}"/>
    <cellStyle name="Entrada 2 2 3 3 3 4" xfId="4252" xr:uid="{00000000-0005-0000-0000-00004F120000}"/>
    <cellStyle name="Entrada 2 2 3 3 3 4 2" xfId="15393" xr:uid="{00000000-0005-0000-0000-000050120000}"/>
    <cellStyle name="Entrada 2 2 3 3 3 4 3" xfId="13753" xr:uid="{00000000-0005-0000-0000-000051120000}"/>
    <cellStyle name="Entrada 2 2 3 3 3 5" xfId="4634" xr:uid="{00000000-0005-0000-0000-000052120000}"/>
    <cellStyle name="Entrada 2 2 3 3 3 5 2" xfId="15667" xr:uid="{00000000-0005-0000-0000-000053120000}"/>
    <cellStyle name="Entrada 2 2 3 3 3 5 3" xfId="13371" xr:uid="{00000000-0005-0000-0000-000054120000}"/>
    <cellStyle name="Entrada 2 2 3 3 3 6" xfId="6122" xr:uid="{00000000-0005-0000-0000-000055120000}"/>
    <cellStyle name="Entrada 2 2 3 3 3 6 2" xfId="16801" xr:uid="{00000000-0005-0000-0000-000056120000}"/>
    <cellStyle name="Entrada 2 2 3 3 3 6 3" xfId="19640" xr:uid="{00000000-0005-0000-0000-000057120000}"/>
    <cellStyle name="Entrada 2 2 3 3 3 7" xfId="9231" xr:uid="{00000000-0005-0000-0000-000058120000}"/>
    <cellStyle name="Entrada 2 2 3 3 3 8" xfId="14562" xr:uid="{00000000-0005-0000-0000-000059120000}"/>
    <cellStyle name="Entrada 2 2 3 3 3 9" xfId="15968" xr:uid="{00000000-0005-0000-0000-00005A120000}"/>
    <cellStyle name="Entrada 2 2 3 3 4" xfId="2856" xr:uid="{00000000-0005-0000-0000-00005B120000}"/>
    <cellStyle name="Entrada 2 2 3 3 4 2" xfId="7198" xr:uid="{00000000-0005-0000-0000-00005C120000}"/>
    <cellStyle name="Entrada 2 2 3 3 4 2 2" xfId="11324" xr:uid="{00000000-0005-0000-0000-00005D120000}"/>
    <cellStyle name="Entrada 2 2 3 3 4 2 3" xfId="17604" xr:uid="{00000000-0005-0000-0000-00005E120000}"/>
    <cellStyle name="Entrada 2 2 3 3 4 2 4" xfId="20716" xr:uid="{00000000-0005-0000-0000-00005F120000}"/>
    <cellStyle name="Entrada 2 2 3 3 4 3" xfId="5489" xr:uid="{00000000-0005-0000-0000-000060120000}"/>
    <cellStyle name="Entrada 2 2 3 3 4 3 2" xfId="16313" xr:uid="{00000000-0005-0000-0000-000061120000}"/>
    <cellStyle name="Entrada 2 2 3 3 4 3 3" xfId="19007" xr:uid="{00000000-0005-0000-0000-000062120000}"/>
    <cellStyle name="Entrada 2 2 3 3 4 4" xfId="9009" xr:uid="{00000000-0005-0000-0000-000063120000}"/>
    <cellStyle name="Entrada 2 2 3 3 4 5" xfId="14394" xr:uid="{00000000-0005-0000-0000-000064120000}"/>
    <cellStyle name="Entrada 2 2 3 3 4 6" xfId="18218" xr:uid="{00000000-0005-0000-0000-000065120000}"/>
    <cellStyle name="Entrada 2 2 3 3 5" xfId="6370" xr:uid="{00000000-0005-0000-0000-000066120000}"/>
    <cellStyle name="Entrada 2 2 3 3 5 2" xfId="8078" xr:uid="{00000000-0005-0000-0000-000067120000}"/>
    <cellStyle name="Entrada 2 2 3 3 5 2 2" xfId="12046" xr:uid="{00000000-0005-0000-0000-000068120000}"/>
    <cellStyle name="Entrada 2 2 3 3 5 2 3" xfId="18284" xr:uid="{00000000-0005-0000-0000-000069120000}"/>
    <cellStyle name="Entrada 2 2 3 3 5 2 4" xfId="21596" xr:uid="{00000000-0005-0000-0000-00006A120000}"/>
    <cellStyle name="Entrada 2 2 3 3 5 3" xfId="10888" xr:uid="{00000000-0005-0000-0000-00006B120000}"/>
    <cellStyle name="Entrada 2 2 3 3 5 4" xfId="16993" xr:uid="{00000000-0005-0000-0000-00006C120000}"/>
    <cellStyle name="Entrada 2 2 3 3 5 5" xfId="19888" xr:uid="{00000000-0005-0000-0000-00006D120000}"/>
    <cellStyle name="Entrada 2 2 3 3 6" xfId="6602" xr:uid="{00000000-0005-0000-0000-00006E120000}"/>
    <cellStyle name="Entrada 2 2 3 3 6 2" xfId="8310" xr:uid="{00000000-0005-0000-0000-00006F120000}"/>
    <cellStyle name="Entrada 2 2 3 3 6 2 2" xfId="12278" xr:uid="{00000000-0005-0000-0000-000070120000}"/>
    <cellStyle name="Entrada 2 2 3 3 6 2 3" xfId="18455" xr:uid="{00000000-0005-0000-0000-000071120000}"/>
    <cellStyle name="Entrada 2 2 3 3 6 2 4" xfId="21828" xr:uid="{00000000-0005-0000-0000-000072120000}"/>
    <cellStyle name="Entrada 2 2 3 3 6 3" xfId="10928" xr:uid="{00000000-0005-0000-0000-000073120000}"/>
    <cellStyle name="Entrada 2 2 3 3 6 4" xfId="17164" xr:uid="{00000000-0005-0000-0000-000074120000}"/>
    <cellStyle name="Entrada 2 2 3 3 6 5" xfId="20120" xr:uid="{00000000-0005-0000-0000-000075120000}"/>
    <cellStyle name="Entrada 2 2 3 3 7" xfId="6834" xr:uid="{00000000-0005-0000-0000-000076120000}"/>
    <cellStyle name="Entrada 2 2 3 3 7 2" xfId="8542" xr:uid="{00000000-0005-0000-0000-000077120000}"/>
    <cellStyle name="Entrada 2 2 3 3 7 2 2" xfId="12510" xr:uid="{00000000-0005-0000-0000-000078120000}"/>
    <cellStyle name="Entrada 2 2 3 3 7 2 3" xfId="18626" xr:uid="{00000000-0005-0000-0000-000079120000}"/>
    <cellStyle name="Entrada 2 2 3 3 7 2 4" xfId="22060" xr:uid="{00000000-0005-0000-0000-00007A120000}"/>
    <cellStyle name="Entrada 2 2 3 3 7 3" xfId="10968" xr:uid="{00000000-0005-0000-0000-00007B120000}"/>
    <cellStyle name="Entrada 2 2 3 3 7 4" xfId="17334" xr:uid="{00000000-0005-0000-0000-00007C120000}"/>
    <cellStyle name="Entrada 2 2 3 3 7 5" xfId="20352" xr:uid="{00000000-0005-0000-0000-00007D120000}"/>
    <cellStyle name="Entrada 2 2 3 3 8" xfId="5795" xr:uid="{00000000-0005-0000-0000-00007E120000}"/>
    <cellStyle name="Entrada 2 2 3 3 8 2" xfId="10563" xr:uid="{00000000-0005-0000-0000-00007F120000}"/>
    <cellStyle name="Entrada 2 2 3 3 8 3" xfId="16562" xr:uid="{00000000-0005-0000-0000-000080120000}"/>
    <cellStyle name="Entrada 2 2 3 3 8 4" xfId="19313" xr:uid="{00000000-0005-0000-0000-000081120000}"/>
    <cellStyle name="Entrada 2 2 3 3 9" xfId="7503" xr:uid="{00000000-0005-0000-0000-000082120000}"/>
    <cellStyle name="Entrada 2 2 3 3 9 2" xfId="11549" xr:uid="{00000000-0005-0000-0000-000083120000}"/>
    <cellStyle name="Entrada 2 2 3 3 9 3" xfId="17854" xr:uid="{00000000-0005-0000-0000-000084120000}"/>
    <cellStyle name="Entrada 2 2 3 3 9 4" xfId="21021" xr:uid="{00000000-0005-0000-0000-000085120000}"/>
    <cellStyle name="Entrada 2 2 3 4" xfId="3185" xr:uid="{00000000-0005-0000-0000-000086120000}"/>
    <cellStyle name="Entrada 2 2 3 4 10" xfId="9315" xr:uid="{00000000-0005-0000-0000-000087120000}"/>
    <cellStyle name="Entrada 2 2 3 4 11" xfId="14631" xr:uid="{00000000-0005-0000-0000-000088120000}"/>
    <cellStyle name="Entrada 2 2 3 4 12" xfId="15524" xr:uid="{00000000-0005-0000-0000-000089120000}"/>
    <cellStyle name="Entrada 2 2 3 4 2" xfId="3572" xr:uid="{00000000-0005-0000-0000-00008A120000}"/>
    <cellStyle name="Entrada 2 2 3 4 2 2" xfId="7360" xr:uid="{00000000-0005-0000-0000-00008B120000}"/>
    <cellStyle name="Entrada 2 2 3 4 2 2 2" xfId="11446" xr:uid="{00000000-0005-0000-0000-00008C120000}"/>
    <cellStyle name="Entrada 2 2 3 4 2 2 3" xfId="17745" xr:uid="{00000000-0005-0000-0000-00008D120000}"/>
    <cellStyle name="Entrada 2 2 3 4 2 2 4" xfId="20878" xr:uid="{00000000-0005-0000-0000-00008E120000}"/>
    <cellStyle name="Entrada 2 2 3 4 2 3" xfId="5651" xr:uid="{00000000-0005-0000-0000-00008F120000}"/>
    <cellStyle name="Entrada 2 2 3 4 2 3 2" xfId="16454" xr:uid="{00000000-0005-0000-0000-000090120000}"/>
    <cellStyle name="Entrada 2 2 3 4 2 3 3" xfId="19169" xr:uid="{00000000-0005-0000-0000-000091120000}"/>
    <cellStyle name="Entrada 2 2 3 4 2 4" xfId="9664" xr:uid="{00000000-0005-0000-0000-000092120000}"/>
    <cellStyle name="Entrada 2 2 3 4 2 5" xfId="14911" xr:uid="{00000000-0005-0000-0000-000093120000}"/>
    <cellStyle name="Entrada 2 2 3 4 2 6" xfId="18368" xr:uid="{00000000-0005-0000-0000-000094120000}"/>
    <cellStyle name="Entrada 2 2 3 4 3" xfId="3955" xr:uid="{00000000-0005-0000-0000-000095120000}"/>
    <cellStyle name="Entrada 2 2 3 4 3 2" xfId="7164" xr:uid="{00000000-0005-0000-0000-000096120000}"/>
    <cellStyle name="Entrada 2 2 3 4 3 2 2" xfId="11294" xr:uid="{00000000-0005-0000-0000-000097120000}"/>
    <cellStyle name="Entrada 2 2 3 4 3 2 3" xfId="17576" xr:uid="{00000000-0005-0000-0000-000098120000}"/>
    <cellStyle name="Entrada 2 2 3 4 3 2 4" xfId="20682" xr:uid="{00000000-0005-0000-0000-000099120000}"/>
    <cellStyle name="Entrada 2 2 3 4 3 3" xfId="5455" xr:uid="{00000000-0005-0000-0000-00009A120000}"/>
    <cellStyle name="Entrada 2 2 3 4 3 3 2" xfId="16286" xr:uid="{00000000-0005-0000-0000-00009B120000}"/>
    <cellStyle name="Entrada 2 2 3 4 3 3 3" xfId="18973" xr:uid="{00000000-0005-0000-0000-00009C120000}"/>
    <cellStyle name="Entrada 2 2 3 4 3 4" xfId="9878" xr:uid="{00000000-0005-0000-0000-00009D120000}"/>
    <cellStyle name="Entrada 2 2 3 4 3 5" xfId="15187" xr:uid="{00000000-0005-0000-0000-00009E120000}"/>
    <cellStyle name="Entrada 2 2 3 4 3 6" xfId="14036" xr:uid="{00000000-0005-0000-0000-00009F120000}"/>
    <cellStyle name="Entrada 2 2 3 4 4" xfId="4338" xr:uid="{00000000-0005-0000-0000-0000A0120000}"/>
    <cellStyle name="Entrada 2 2 3 4 4 2" xfId="8155" xr:uid="{00000000-0005-0000-0000-0000A1120000}"/>
    <cellStyle name="Entrada 2 2 3 4 4 2 2" xfId="12123" xr:uid="{00000000-0005-0000-0000-0000A2120000}"/>
    <cellStyle name="Entrada 2 2 3 4 4 2 3" xfId="18355" xr:uid="{00000000-0005-0000-0000-0000A3120000}"/>
    <cellStyle name="Entrada 2 2 3 4 4 2 4" xfId="21673" xr:uid="{00000000-0005-0000-0000-0000A4120000}"/>
    <cellStyle name="Entrada 2 2 3 4 4 3" xfId="6447" xr:uid="{00000000-0005-0000-0000-0000A5120000}"/>
    <cellStyle name="Entrada 2 2 3 4 4 3 2" xfId="17064" xr:uid="{00000000-0005-0000-0000-0000A6120000}"/>
    <cellStyle name="Entrada 2 2 3 4 4 3 3" xfId="19965" xr:uid="{00000000-0005-0000-0000-0000A7120000}"/>
    <cellStyle name="Entrada 2 2 3 4 4 4" xfId="10056" xr:uid="{00000000-0005-0000-0000-0000A8120000}"/>
    <cellStyle name="Entrada 2 2 3 4 4 5" xfId="15462" xr:uid="{00000000-0005-0000-0000-0000A9120000}"/>
    <cellStyle name="Entrada 2 2 3 4 4 6" xfId="13667" xr:uid="{00000000-0005-0000-0000-0000AA120000}"/>
    <cellStyle name="Entrada 2 2 3 4 5" xfId="4720" xr:uid="{00000000-0005-0000-0000-0000AB120000}"/>
    <cellStyle name="Entrada 2 2 3 4 5 2" xfId="8387" xr:uid="{00000000-0005-0000-0000-0000AC120000}"/>
    <cellStyle name="Entrada 2 2 3 4 5 2 2" xfId="12355" xr:uid="{00000000-0005-0000-0000-0000AD120000}"/>
    <cellStyle name="Entrada 2 2 3 4 5 2 3" xfId="18526" xr:uid="{00000000-0005-0000-0000-0000AE120000}"/>
    <cellStyle name="Entrada 2 2 3 4 5 2 4" xfId="21905" xr:uid="{00000000-0005-0000-0000-0000AF120000}"/>
    <cellStyle name="Entrada 2 2 3 4 5 3" xfId="6679" xr:uid="{00000000-0005-0000-0000-0000B0120000}"/>
    <cellStyle name="Entrada 2 2 3 4 5 3 2" xfId="17235" xr:uid="{00000000-0005-0000-0000-0000B1120000}"/>
    <cellStyle name="Entrada 2 2 3 4 5 3 3" xfId="20197" xr:uid="{00000000-0005-0000-0000-0000B2120000}"/>
    <cellStyle name="Entrada 2 2 3 4 5 4" xfId="10233" xr:uid="{00000000-0005-0000-0000-0000B3120000}"/>
    <cellStyle name="Entrada 2 2 3 4 5 5" xfId="15736" xr:uid="{00000000-0005-0000-0000-0000B4120000}"/>
    <cellStyle name="Entrada 2 2 3 4 5 6" xfId="13285" xr:uid="{00000000-0005-0000-0000-0000B5120000}"/>
    <cellStyle name="Entrada 2 2 3 4 6" xfId="6911" xr:uid="{00000000-0005-0000-0000-0000B6120000}"/>
    <cellStyle name="Entrada 2 2 3 4 6 2" xfId="8619" xr:uid="{00000000-0005-0000-0000-0000B7120000}"/>
    <cellStyle name="Entrada 2 2 3 4 6 2 2" xfId="12587" xr:uid="{00000000-0005-0000-0000-0000B8120000}"/>
    <cellStyle name="Entrada 2 2 3 4 6 2 3" xfId="18697" xr:uid="{00000000-0005-0000-0000-0000B9120000}"/>
    <cellStyle name="Entrada 2 2 3 4 6 2 4" xfId="22137" xr:uid="{00000000-0005-0000-0000-0000BA120000}"/>
    <cellStyle name="Entrada 2 2 3 4 6 3" xfId="11045" xr:uid="{00000000-0005-0000-0000-0000BB120000}"/>
    <cellStyle name="Entrada 2 2 3 4 6 4" xfId="17405" xr:uid="{00000000-0005-0000-0000-0000BC120000}"/>
    <cellStyle name="Entrada 2 2 3 4 6 5" xfId="20429" xr:uid="{00000000-0005-0000-0000-0000BD120000}"/>
    <cellStyle name="Entrada 2 2 3 4 7" xfId="5899" xr:uid="{00000000-0005-0000-0000-0000BE120000}"/>
    <cellStyle name="Entrada 2 2 3 4 7 2" xfId="10640" xr:uid="{00000000-0005-0000-0000-0000BF120000}"/>
    <cellStyle name="Entrada 2 2 3 4 7 3" xfId="16643" xr:uid="{00000000-0005-0000-0000-0000C0120000}"/>
    <cellStyle name="Entrada 2 2 3 4 7 4" xfId="19417" xr:uid="{00000000-0005-0000-0000-0000C1120000}"/>
    <cellStyle name="Entrada 2 2 3 4 8" xfId="7607" xr:uid="{00000000-0005-0000-0000-0000C2120000}"/>
    <cellStyle name="Entrada 2 2 3 4 8 2" xfId="11628" xr:uid="{00000000-0005-0000-0000-0000C3120000}"/>
    <cellStyle name="Entrada 2 2 3 4 8 3" xfId="17935" xr:uid="{00000000-0005-0000-0000-0000C4120000}"/>
    <cellStyle name="Entrada 2 2 3 4 8 4" xfId="21125" xr:uid="{00000000-0005-0000-0000-0000C5120000}"/>
    <cellStyle name="Entrada 2 2 3 4 9" xfId="4994" xr:uid="{00000000-0005-0000-0000-0000C6120000}"/>
    <cellStyle name="Entrada 2 2 3 4 9 2" xfId="15958" xr:uid="{00000000-0005-0000-0000-0000C7120000}"/>
    <cellStyle name="Entrada 2 2 3 4 9 3" xfId="13025" xr:uid="{00000000-0005-0000-0000-0000C8120000}"/>
    <cellStyle name="Entrada 2 2 3 5" xfId="3043" xr:uid="{00000000-0005-0000-0000-0000C9120000}"/>
    <cellStyle name="Entrada 2 2 3 5 2" xfId="3430" xr:uid="{00000000-0005-0000-0000-0000CA120000}"/>
    <cellStyle name="Entrada 2 2 3 5 2 2" xfId="7236" xr:uid="{00000000-0005-0000-0000-0000CB120000}"/>
    <cellStyle name="Entrada 2 2 3 5 2 2 2" xfId="17639" xr:uid="{00000000-0005-0000-0000-0000CC120000}"/>
    <cellStyle name="Entrada 2 2 3 5 2 2 3" xfId="20754" xr:uid="{00000000-0005-0000-0000-0000CD120000}"/>
    <cellStyle name="Entrada 2 2 3 5 2 3" xfId="9542" xr:uid="{00000000-0005-0000-0000-0000CE120000}"/>
    <cellStyle name="Entrada 2 2 3 5 2 4" xfId="14797" xr:uid="{00000000-0005-0000-0000-0000CF120000}"/>
    <cellStyle name="Entrada 2 2 3 5 2 5" xfId="16624" xr:uid="{00000000-0005-0000-0000-0000D0120000}"/>
    <cellStyle name="Entrada 2 2 3 5 3" xfId="3813" xr:uid="{00000000-0005-0000-0000-0000D1120000}"/>
    <cellStyle name="Entrada 2 2 3 5 3 2" xfId="15073" xr:uid="{00000000-0005-0000-0000-0000D2120000}"/>
    <cellStyle name="Entrada 2 2 3 5 3 3" xfId="18185" xr:uid="{00000000-0005-0000-0000-0000D3120000}"/>
    <cellStyle name="Entrada 2 2 3 5 4" xfId="4196" xr:uid="{00000000-0005-0000-0000-0000D4120000}"/>
    <cellStyle name="Entrada 2 2 3 5 4 2" xfId="15348" xr:uid="{00000000-0005-0000-0000-0000D5120000}"/>
    <cellStyle name="Entrada 2 2 3 5 4 3" xfId="13809" xr:uid="{00000000-0005-0000-0000-0000D6120000}"/>
    <cellStyle name="Entrada 2 2 3 5 5" xfId="4578" xr:uid="{00000000-0005-0000-0000-0000D7120000}"/>
    <cellStyle name="Entrada 2 2 3 5 5 2" xfId="15622" xr:uid="{00000000-0005-0000-0000-0000D8120000}"/>
    <cellStyle name="Entrada 2 2 3 5 5 3" xfId="13427" xr:uid="{00000000-0005-0000-0000-0000D9120000}"/>
    <cellStyle name="Entrada 2 2 3 5 6" xfId="5527" xr:uid="{00000000-0005-0000-0000-0000DA120000}"/>
    <cellStyle name="Entrada 2 2 3 5 6 2" xfId="16348" xr:uid="{00000000-0005-0000-0000-0000DB120000}"/>
    <cellStyle name="Entrada 2 2 3 5 6 3" xfId="19045" xr:uid="{00000000-0005-0000-0000-0000DC120000}"/>
    <cellStyle name="Entrada 2 2 3 5 7" xfId="9183" xr:uid="{00000000-0005-0000-0000-0000DD120000}"/>
    <cellStyle name="Entrada 2 2 3 5 8" xfId="14517" xr:uid="{00000000-0005-0000-0000-0000DE120000}"/>
    <cellStyle name="Entrada 2 2 3 5 9" xfId="14748" xr:uid="{00000000-0005-0000-0000-0000DF120000}"/>
    <cellStyle name="Entrada 2 2 3 6" xfId="5270" xr:uid="{00000000-0005-0000-0000-0000E0120000}"/>
    <cellStyle name="Entrada 2 2 3 6 2" xfId="5132" xr:uid="{00000000-0005-0000-0000-0000E1120000}"/>
    <cellStyle name="Entrada 2 2 3 6 2 2" xfId="10372" xr:uid="{00000000-0005-0000-0000-0000E2120000}"/>
    <cellStyle name="Entrada 2 2 3 6 2 3" xfId="16062" xr:uid="{00000000-0005-0000-0000-0000E3120000}"/>
    <cellStyle name="Entrada 2 2 3 6 2 4" xfId="14116" xr:uid="{00000000-0005-0000-0000-0000E4120000}"/>
    <cellStyle name="Entrada 2 2 3 6 3" xfId="10407" xr:uid="{00000000-0005-0000-0000-0000E5120000}"/>
    <cellStyle name="Entrada 2 2 3 6 4" xfId="16150" xr:uid="{00000000-0005-0000-0000-0000E6120000}"/>
    <cellStyle name="Entrada 2 2 3 6 5" xfId="12753" xr:uid="{00000000-0005-0000-0000-0000E7120000}"/>
    <cellStyle name="Entrada 2 2 3 7" xfId="6162" xr:uid="{00000000-0005-0000-0000-0000E8120000}"/>
    <cellStyle name="Entrada 2 2 3 7 2" xfId="7870" xr:uid="{00000000-0005-0000-0000-0000E9120000}"/>
    <cellStyle name="Entrada 2 2 3 7 2 2" xfId="11864" xr:uid="{00000000-0005-0000-0000-0000EA120000}"/>
    <cellStyle name="Entrada 2 2 3 7 2 3" xfId="18127" xr:uid="{00000000-0005-0000-0000-0000EB120000}"/>
    <cellStyle name="Entrada 2 2 3 7 2 4" xfId="21388" xr:uid="{00000000-0005-0000-0000-0000EC120000}"/>
    <cellStyle name="Entrada 2 2 3 7 3" xfId="10828" xr:uid="{00000000-0005-0000-0000-0000ED120000}"/>
    <cellStyle name="Entrada 2 2 3 7 4" xfId="16835" xr:uid="{00000000-0005-0000-0000-0000EE120000}"/>
    <cellStyle name="Entrada 2 2 3 7 5" xfId="19680" xr:uid="{00000000-0005-0000-0000-0000EF120000}"/>
    <cellStyle name="Entrada 2 2 3 8" xfId="6212" xr:uid="{00000000-0005-0000-0000-0000F0120000}"/>
    <cellStyle name="Entrada 2 2 3 8 2" xfId="7920" xr:uid="{00000000-0005-0000-0000-0000F1120000}"/>
    <cellStyle name="Entrada 2 2 3 8 2 2" xfId="11897" xr:uid="{00000000-0005-0000-0000-0000F2120000}"/>
    <cellStyle name="Entrada 2 2 3 8 2 3" xfId="18172" xr:uid="{00000000-0005-0000-0000-0000F3120000}"/>
    <cellStyle name="Entrada 2 2 3 8 2 4" xfId="21438" xr:uid="{00000000-0005-0000-0000-0000F4120000}"/>
    <cellStyle name="Entrada 2 2 3 8 3" xfId="10850" xr:uid="{00000000-0005-0000-0000-0000F5120000}"/>
    <cellStyle name="Entrada 2 2 3 8 4" xfId="16880" xr:uid="{00000000-0005-0000-0000-0000F6120000}"/>
    <cellStyle name="Entrada 2 2 3 8 5" xfId="19730" xr:uid="{00000000-0005-0000-0000-0000F7120000}"/>
    <cellStyle name="Entrada 2 2 3 9" xfId="6105" xr:uid="{00000000-0005-0000-0000-0000F8120000}"/>
    <cellStyle name="Entrada 2 2 3 9 2" xfId="7813" xr:uid="{00000000-0005-0000-0000-0000F9120000}"/>
    <cellStyle name="Entrada 2 2 3 9 2 2" xfId="11825" xr:uid="{00000000-0005-0000-0000-0000FA120000}"/>
    <cellStyle name="Entrada 2 2 3 9 2 3" xfId="18078" xr:uid="{00000000-0005-0000-0000-0000FB120000}"/>
    <cellStyle name="Entrada 2 2 3 9 2 4" xfId="21331" xr:uid="{00000000-0005-0000-0000-0000FC120000}"/>
    <cellStyle name="Entrada 2 2 3 9 3" xfId="10807" xr:uid="{00000000-0005-0000-0000-0000FD120000}"/>
    <cellStyle name="Entrada 2 2 3 9 4" xfId="16786" xr:uid="{00000000-0005-0000-0000-0000FE120000}"/>
    <cellStyle name="Entrada 2 2 3 9 5" xfId="19623" xr:uid="{00000000-0005-0000-0000-0000FF120000}"/>
    <cellStyle name="Entrada 2 2 4" xfId="3030" xr:uid="{00000000-0005-0000-0000-000000130000}"/>
    <cellStyle name="Entrada 2 2 4 2" xfId="3417" xr:uid="{00000000-0005-0000-0000-000001130000}"/>
    <cellStyle name="Entrada 2 2 4 2 2" xfId="14786" xr:uid="{00000000-0005-0000-0000-000002130000}"/>
    <cellStyle name="Entrada 2 2 4 2 3" xfId="18175" xr:uid="{00000000-0005-0000-0000-000003130000}"/>
    <cellStyle name="Entrada 2 2 4 3" xfId="3800" xr:uid="{00000000-0005-0000-0000-000004130000}"/>
    <cellStyle name="Entrada 2 2 4 3 2" xfId="15062" xr:uid="{00000000-0005-0000-0000-000005130000}"/>
    <cellStyle name="Entrada 2 2 4 3 3" xfId="16706" xr:uid="{00000000-0005-0000-0000-000006130000}"/>
    <cellStyle name="Entrada 2 2 4 4" xfId="4183" xr:uid="{00000000-0005-0000-0000-000007130000}"/>
    <cellStyle name="Entrada 2 2 4 4 2" xfId="15337" xr:uid="{00000000-0005-0000-0000-000008130000}"/>
    <cellStyle name="Entrada 2 2 4 4 3" xfId="13822" xr:uid="{00000000-0005-0000-0000-000009130000}"/>
    <cellStyle name="Entrada 2 2 4 5" xfId="4565" xr:uid="{00000000-0005-0000-0000-00000A130000}"/>
    <cellStyle name="Entrada 2 2 4 5 2" xfId="15611" xr:uid="{00000000-0005-0000-0000-00000B130000}"/>
    <cellStyle name="Entrada 2 2 4 5 3" xfId="13440" xr:uid="{00000000-0005-0000-0000-00000C130000}"/>
    <cellStyle name="Entrada 2 2 4 6" xfId="14506" xr:uid="{00000000-0005-0000-0000-00000D130000}"/>
    <cellStyle name="Entrada 2 2 4 7" xfId="18757" xr:uid="{00000000-0005-0000-0000-00000E130000}"/>
    <cellStyle name="Entrada 2 2 5" xfId="3087" xr:uid="{00000000-0005-0000-0000-00000F130000}"/>
    <cellStyle name="Entrada 2 2 5 2" xfId="3474" xr:uid="{00000000-0005-0000-0000-000010130000}"/>
    <cellStyle name="Entrada 2 2 5 2 2" xfId="14831" xr:uid="{00000000-0005-0000-0000-000011130000}"/>
    <cellStyle name="Entrada 2 2 5 2 3" xfId="18030" xr:uid="{00000000-0005-0000-0000-000012130000}"/>
    <cellStyle name="Entrada 2 2 5 3" xfId="3857" xr:uid="{00000000-0005-0000-0000-000013130000}"/>
    <cellStyle name="Entrada 2 2 5 3 2" xfId="15107" xr:uid="{00000000-0005-0000-0000-000014130000}"/>
    <cellStyle name="Entrada 2 2 5 3 3" xfId="14209" xr:uid="{00000000-0005-0000-0000-000015130000}"/>
    <cellStyle name="Entrada 2 2 5 4" xfId="4240" xr:uid="{00000000-0005-0000-0000-000016130000}"/>
    <cellStyle name="Entrada 2 2 5 4 2" xfId="15382" xr:uid="{00000000-0005-0000-0000-000017130000}"/>
    <cellStyle name="Entrada 2 2 5 4 3" xfId="13765" xr:uid="{00000000-0005-0000-0000-000018130000}"/>
    <cellStyle name="Entrada 2 2 5 5" xfId="4622" xr:uid="{00000000-0005-0000-0000-000019130000}"/>
    <cellStyle name="Entrada 2 2 5 5 2" xfId="15656" xr:uid="{00000000-0005-0000-0000-00001A130000}"/>
    <cellStyle name="Entrada 2 2 5 5 3" xfId="13383" xr:uid="{00000000-0005-0000-0000-00001B130000}"/>
    <cellStyle name="Entrada 2 2 5 6" xfId="14551" xr:uid="{00000000-0005-0000-0000-00001C130000}"/>
    <cellStyle name="Entrada 2 2 5 7" xfId="16398" xr:uid="{00000000-0005-0000-0000-00001D130000}"/>
    <cellStyle name="Entrada 2 2 6" xfId="22393" xr:uid="{00000000-0005-0000-0000-00001E130000}"/>
    <cellStyle name="Entrada 2 2 7" xfId="2075" xr:uid="{00000000-0005-0000-0000-00001F130000}"/>
    <cellStyle name="Entrada 2 3" xfId="248" xr:uid="{00000000-0005-0000-0000-000020130000}"/>
    <cellStyle name="Entrada 2 4" xfId="249" xr:uid="{00000000-0005-0000-0000-000021130000}"/>
    <cellStyle name="Entrada 3" xfId="250" xr:uid="{00000000-0005-0000-0000-000022130000}"/>
    <cellStyle name="Entrada 3 2" xfId="2624" xr:uid="{00000000-0005-0000-0000-000023130000}"/>
    <cellStyle name="Entrada 3 2 10" xfId="5138" xr:uid="{00000000-0005-0000-0000-000024130000}"/>
    <cellStyle name="Entrada 3 2 10 2" xfId="10377" xr:uid="{00000000-0005-0000-0000-000025130000}"/>
    <cellStyle name="Entrada 3 2 10 3" xfId="16066" xr:uid="{00000000-0005-0000-0000-000026130000}"/>
    <cellStyle name="Entrada 3 2 10 4" xfId="12783" xr:uid="{00000000-0005-0000-0000-000027130000}"/>
    <cellStyle name="Entrada 3 2 11" xfId="4852" xr:uid="{00000000-0005-0000-0000-000028130000}"/>
    <cellStyle name="Entrada 3 2 11 2" xfId="15829" xr:uid="{00000000-0005-0000-0000-000029130000}"/>
    <cellStyle name="Entrada 3 2 11 3" xfId="13154" xr:uid="{00000000-0005-0000-0000-00002A130000}"/>
    <cellStyle name="Entrada 3 2 12" xfId="8787" xr:uid="{00000000-0005-0000-0000-00002B130000}"/>
    <cellStyle name="Entrada 3 2 13" xfId="14150" xr:uid="{00000000-0005-0000-0000-00002C130000}"/>
    <cellStyle name="Entrada 3 2 2" xfId="2713" xr:uid="{00000000-0005-0000-0000-00002D130000}"/>
    <cellStyle name="Entrada 3 2 2 10" xfId="7489" xr:uid="{00000000-0005-0000-0000-00002E130000}"/>
    <cellStyle name="Entrada 3 2 2 10 2" xfId="11543" xr:uid="{00000000-0005-0000-0000-00002F130000}"/>
    <cellStyle name="Entrada 3 2 2 10 3" xfId="17845" xr:uid="{00000000-0005-0000-0000-000030130000}"/>
    <cellStyle name="Entrada 3 2 2 10 4" xfId="21007" xr:uid="{00000000-0005-0000-0000-000031130000}"/>
    <cellStyle name="Entrada 3 2 2 11" xfId="4906" xr:uid="{00000000-0005-0000-0000-000032130000}"/>
    <cellStyle name="Entrada 3 2 2 11 2" xfId="15877" xr:uid="{00000000-0005-0000-0000-000033130000}"/>
    <cellStyle name="Entrada 3 2 2 11 3" xfId="13113" xr:uid="{00000000-0005-0000-0000-000034130000}"/>
    <cellStyle name="Entrada 3 2 2 12" xfId="8868" xr:uid="{00000000-0005-0000-0000-000035130000}"/>
    <cellStyle name="Entrada 3 2 2 13" xfId="14280" xr:uid="{00000000-0005-0000-0000-000036130000}"/>
    <cellStyle name="Entrada 3 2 2 14" xfId="14691" xr:uid="{00000000-0005-0000-0000-000037130000}"/>
    <cellStyle name="Entrada 3 2 2 2" xfId="2650" xr:uid="{00000000-0005-0000-0000-000038130000}"/>
    <cellStyle name="Entrada 3 2 2 2 10" xfId="4889" xr:uid="{00000000-0005-0000-0000-000039130000}"/>
    <cellStyle name="Entrada 3 2 2 2 10 2" xfId="15864" xr:uid="{00000000-0005-0000-0000-00003A130000}"/>
    <cellStyle name="Entrada 3 2 2 2 10 3" xfId="12819" xr:uid="{00000000-0005-0000-0000-00003B130000}"/>
    <cellStyle name="Entrada 3 2 2 2 11" xfId="8807" xr:uid="{00000000-0005-0000-0000-00003C130000}"/>
    <cellStyle name="Entrada 3 2 2 2 12" xfId="14227" xr:uid="{00000000-0005-0000-0000-00003D130000}"/>
    <cellStyle name="Entrada 3 2 2 2 2" xfId="3142" xr:uid="{00000000-0005-0000-0000-00003E130000}"/>
    <cellStyle name="Entrada 3 2 2 2 2 10" xfId="9272" xr:uid="{00000000-0005-0000-0000-00003F130000}"/>
    <cellStyle name="Entrada 3 2 2 2 2 11" xfId="14595" xr:uid="{00000000-0005-0000-0000-000040130000}"/>
    <cellStyle name="Entrada 3 2 2 2 2 12" xfId="14705" xr:uid="{00000000-0005-0000-0000-000041130000}"/>
    <cellStyle name="Entrada 3 2 2 2 2 2" xfId="3529" xr:uid="{00000000-0005-0000-0000-000042130000}"/>
    <cellStyle name="Entrada 3 2 2 2 2 2 2" xfId="7262" xr:uid="{00000000-0005-0000-0000-000043130000}"/>
    <cellStyle name="Entrada 3 2 2 2 2 2 2 2" xfId="11367" xr:uid="{00000000-0005-0000-0000-000044130000}"/>
    <cellStyle name="Entrada 3 2 2 2 2 2 2 3" xfId="17662" xr:uid="{00000000-0005-0000-0000-000045130000}"/>
    <cellStyle name="Entrada 3 2 2 2 2 2 2 4" xfId="20780" xr:uid="{00000000-0005-0000-0000-000046130000}"/>
    <cellStyle name="Entrada 3 2 2 2 2 2 3" xfId="5553" xr:uid="{00000000-0005-0000-0000-000047130000}"/>
    <cellStyle name="Entrada 3 2 2 2 2 2 3 2" xfId="16371" xr:uid="{00000000-0005-0000-0000-000048130000}"/>
    <cellStyle name="Entrada 3 2 2 2 2 2 3 3" xfId="19071" xr:uid="{00000000-0005-0000-0000-000049130000}"/>
    <cellStyle name="Entrada 3 2 2 2 2 2 4" xfId="9621" xr:uid="{00000000-0005-0000-0000-00004A130000}"/>
    <cellStyle name="Entrada 3 2 2 2 2 2 5" xfId="14875" xr:uid="{00000000-0005-0000-0000-00004B130000}"/>
    <cellStyle name="Entrada 3 2 2 2 2 2 6" xfId="14568" xr:uid="{00000000-0005-0000-0000-00004C130000}"/>
    <cellStyle name="Entrada 3 2 2 2 2 3" xfId="3912" xr:uid="{00000000-0005-0000-0000-00004D130000}"/>
    <cellStyle name="Entrada 3 2 2 2 2 3 2" xfId="7426" xr:uid="{00000000-0005-0000-0000-00004E130000}"/>
    <cellStyle name="Entrada 3 2 2 2 2 3 2 2" xfId="11489" xr:uid="{00000000-0005-0000-0000-00004F130000}"/>
    <cellStyle name="Entrada 3 2 2 2 2 3 2 3" xfId="17794" xr:uid="{00000000-0005-0000-0000-000050130000}"/>
    <cellStyle name="Entrada 3 2 2 2 2 3 2 4" xfId="20944" xr:uid="{00000000-0005-0000-0000-000051130000}"/>
    <cellStyle name="Entrada 3 2 2 2 2 3 3" xfId="5717" xr:uid="{00000000-0005-0000-0000-000052130000}"/>
    <cellStyle name="Entrada 3 2 2 2 2 3 3 2" xfId="16503" xr:uid="{00000000-0005-0000-0000-000053130000}"/>
    <cellStyle name="Entrada 3 2 2 2 2 3 3 3" xfId="19235" xr:uid="{00000000-0005-0000-0000-000054130000}"/>
    <cellStyle name="Entrada 3 2 2 2 2 3 4" xfId="9835" xr:uid="{00000000-0005-0000-0000-000055130000}"/>
    <cellStyle name="Entrada 3 2 2 2 2 3 5" xfId="15151" xr:uid="{00000000-0005-0000-0000-000056130000}"/>
    <cellStyle name="Entrada 3 2 2 2 2 3 6" xfId="14079" xr:uid="{00000000-0005-0000-0000-000057130000}"/>
    <cellStyle name="Entrada 3 2 2 2 2 4" xfId="4295" xr:uid="{00000000-0005-0000-0000-000058130000}"/>
    <cellStyle name="Entrada 3 2 2 2 2 4 2" xfId="8136" xr:uid="{00000000-0005-0000-0000-000059130000}"/>
    <cellStyle name="Entrada 3 2 2 2 2 4 2 2" xfId="12104" xr:uid="{00000000-0005-0000-0000-00005A130000}"/>
    <cellStyle name="Entrada 3 2 2 2 2 4 2 3" xfId="18340" xr:uid="{00000000-0005-0000-0000-00005B130000}"/>
    <cellStyle name="Entrada 3 2 2 2 2 4 2 4" xfId="21654" xr:uid="{00000000-0005-0000-0000-00005C130000}"/>
    <cellStyle name="Entrada 3 2 2 2 2 4 3" xfId="6428" xr:uid="{00000000-0005-0000-0000-00005D130000}"/>
    <cellStyle name="Entrada 3 2 2 2 2 4 3 2" xfId="17049" xr:uid="{00000000-0005-0000-0000-00005E130000}"/>
    <cellStyle name="Entrada 3 2 2 2 2 4 3 3" xfId="19946" xr:uid="{00000000-0005-0000-0000-00005F130000}"/>
    <cellStyle name="Entrada 3 2 2 2 2 4 4" xfId="10013" xr:uid="{00000000-0005-0000-0000-000060130000}"/>
    <cellStyle name="Entrada 3 2 2 2 2 4 5" xfId="15426" xr:uid="{00000000-0005-0000-0000-000061130000}"/>
    <cellStyle name="Entrada 3 2 2 2 2 4 6" xfId="13710" xr:uid="{00000000-0005-0000-0000-000062130000}"/>
    <cellStyle name="Entrada 3 2 2 2 2 5" xfId="4677" xr:uid="{00000000-0005-0000-0000-000063130000}"/>
    <cellStyle name="Entrada 3 2 2 2 2 5 2" xfId="8368" xr:uid="{00000000-0005-0000-0000-000064130000}"/>
    <cellStyle name="Entrada 3 2 2 2 2 5 2 2" xfId="12336" xr:uid="{00000000-0005-0000-0000-000065130000}"/>
    <cellStyle name="Entrada 3 2 2 2 2 5 2 3" xfId="18511" xr:uid="{00000000-0005-0000-0000-000066130000}"/>
    <cellStyle name="Entrada 3 2 2 2 2 5 2 4" xfId="21886" xr:uid="{00000000-0005-0000-0000-000067130000}"/>
    <cellStyle name="Entrada 3 2 2 2 2 5 3" xfId="6660" xr:uid="{00000000-0005-0000-0000-000068130000}"/>
    <cellStyle name="Entrada 3 2 2 2 2 5 3 2" xfId="17220" xr:uid="{00000000-0005-0000-0000-000069130000}"/>
    <cellStyle name="Entrada 3 2 2 2 2 5 3 3" xfId="20178" xr:uid="{00000000-0005-0000-0000-00006A130000}"/>
    <cellStyle name="Entrada 3 2 2 2 2 5 4" xfId="10190" xr:uid="{00000000-0005-0000-0000-00006B130000}"/>
    <cellStyle name="Entrada 3 2 2 2 2 5 5" xfId="15700" xr:uid="{00000000-0005-0000-0000-00006C130000}"/>
    <cellStyle name="Entrada 3 2 2 2 2 5 6" xfId="13328" xr:uid="{00000000-0005-0000-0000-00006D130000}"/>
    <cellStyle name="Entrada 3 2 2 2 2 6" xfId="6892" xr:uid="{00000000-0005-0000-0000-00006E130000}"/>
    <cellStyle name="Entrada 3 2 2 2 2 6 2" xfId="8600" xr:uid="{00000000-0005-0000-0000-00006F130000}"/>
    <cellStyle name="Entrada 3 2 2 2 2 6 2 2" xfId="12568" xr:uid="{00000000-0005-0000-0000-000070130000}"/>
    <cellStyle name="Entrada 3 2 2 2 2 6 2 3" xfId="18682" xr:uid="{00000000-0005-0000-0000-000071130000}"/>
    <cellStyle name="Entrada 3 2 2 2 2 6 2 4" xfId="22118" xr:uid="{00000000-0005-0000-0000-000072130000}"/>
    <cellStyle name="Entrada 3 2 2 2 2 6 3" xfId="11026" xr:uid="{00000000-0005-0000-0000-000073130000}"/>
    <cellStyle name="Entrada 3 2 2 2 2 6 4" xfId="17390" xr:uid="{00000000-0005-0000-0000-000074130000}"/>
    <cellStyle name="Entrada 3 2 2 2 2 6 5" xfId="20410" xr:uid="{00000000-0005-0000-0000-000075130000}"/>
    <cellStyle name="Entrada 3 2 2 2 2 7" xfId="5880" xr:uid="{00000000-0005-0000-0000-000076130000}"/>
    <cellStyle name="Entrada 3 2 2 2 2 7 2" xfId="10621" xr:uid="{00000000-0005-0000-0000-000077130000}"/>
    <cellStyle name="Entrada 3 2 2 2 2 7 3" xfId="16628" xr:uid="{00000000-0005-0000-0000-000078130000}"/>
    <cellStyle name="Entrada 3 2 2 2 2 7 4" xfId="19398" xr:uid="{00000000-0005-0000-0000-000079130000}"/>
    <cellStyle name="Entrada 3 2 2 2 2 8" xfId="7588" xr:uid="{00000000-0005-0000-0000-00007A130000}"/>
    <cellStyle name="Entrada 3 2 2 2 2 8 2" xfId="11609" xr:uid="{00000000-0005-0000-0000-00007B130000}"/>
    <cellStyle name="Entrada 3 2 2 2 2 8 3" xfId="17920" xr:uid="{00000000-0005-0000-0000-00007C130000}"/>
    <cellStyle name="Entrada 3 2 2 2 2 8 4" xfId="21106" xr:uid="{00000000-0005-0000-0000-00007D130000}"/>
    <cellStyle name="Entrada 3 2 2 2 2 9" xfId="4970" xr:uid="{00000000-0005-0000-0000-00007E130000}"/>
    <cellStyle name="Entrada 3 2 2 2 2 9 2" xfId="15938" xr:uid="{00000000-0005-0000-0000-00007F130000}"/>
    <cellStyle name="Entrada 3 2 2 2 2 9 3" xfId="13049" xr:uid="{00000000-0005-0000-0000-000080130000}"/>
    <cellStyle name="Entrada 3 2 2 2 3" xfId="3259" xr:uid="{00000000-0005-0000-0000-000081130000}"/>
    <cellStyle name="Entrada 3 2 2 2 3 2" xfId="3646" xr:uid="{00000000-0005-0000-0000-000082130000}"/>
    <cellStyle name="Entrada 3 2 2 2 3 2 2" xfId="7390" xr:uid="{00000000-0005-0000-0000-000083130000}"/>
    <cellStyle name="Entrada 3 2 2 2 3 2 2 2" xfId="17769" xr:uid="{00000000-0005-0000-0000-000084130000}"/>
    <cellStyle name="Entrada 3 2 2 2 3 2 2 3" xfId="20908" xr:uid="{00000000-0005-0000-0000-000085130000}"/>
    <cellStyle name="Entrada 3 2 2 2 3 2 3" xfId="9737" xr:uid="{00000000-0005-0000-0000-000086130000}"/>
    <cellStyle name="Entrada 3 2 2 2 3 2 4" xfId="14965" xr:uid="{00000000-0005-0000-0000-000087130000}"/>
    <cellStyle name="Entrada 3 2 2 2 3 2 5" xfId="14418" xr:uid="{00000000-0005-0000-0000-000088130000}"/>
    <cellStyle name="Entrada 3 2 2 2 3 3" xfId="4029" xr:uid="{00000000-0005-0000-0000-000089130000}"/>
    <cellStyle name="Entrada 3 2 2 2 3 3 2" xfId="15240" xr:uid="{00000000-0005-0000-0000-00008A130000}"/>
    <cellStyle name="Entrada 3 2 2 2 3 3 3" xfId="13962" xr:uid="{00000000-0005-0000-0000-00008B130000}"/>
    <cellStyle name="Entrada 3 2 2 2 3 4" xfId="4412" xr:uid="{00000000-0005-0000-0000-00008C130000}"/>
    <cellStyle name="Entrada 3 2 2 2 3 4 2" xfId="15516" xr:uid="{00000000-0005-0000-0000-00008D130000}"/>
    <cellStyle name="Entrada 3 2 2 2 3 4 3" xfId="13593" xr:uid="{00000000-0005-0000-0000-00008E130000}"/>
    <cellStyle name="Entrada 3 2 2 2 3 5" xfId="4794" xr:uid="{00000000-0005-0000-0000-00008F130000}"/>
    <cellStyle name="Entrada 3 2 2 2 3 5 2" xfId="15788" xr:uid="{00000000-0005-0000-0000-000090130000}"/>
    <cellStyle name="Entrada 3 2 2 2 3 5 3" xfId="13212" xr:uid="{00000000-0005-0000-0000-000091130000}"/>
    <cellStyle name="Entrada 3 2 2 2 3 6" xfId="5681" xr:uid="{00000000-0005-0000-0000-000092130000}"/>
    <cellStyle name="Entrada 3 2 2 2 3 6 2" xfId="16478" xr:uid="{00000000-0005-0000-0000-000093130000}"/>
    <cellStyle name="Entrada 3 2 2 2 3 6 3" xfId="19199" xr:uid="{00000000-0005-0000-0000-000094130000}"/>
    <cellStyle name="Entrada 3 2 2 2 3 7" xfId="9389" xr:uid="{00000000-0005-0000-0000-000095130000}"/>
    <cellStyle name="Entrada 3 2 2 2 3 8" xfId="14685" xr:uid="{00000000-0005-0000-0000-000096130000}"/>
    <cellStyle name="Entrada 3 2 2 2 3 9" xfId="16445" xr:uid="{00000000-0005-0000-0000-000097130000}"/>
    <cellStyle name="Entrada 3 2 2 2 4" xfId="2850" xr:uid="{00000000-0005-0000-0000-000098130000}"/>
    <cellStyle name="Entrada 3 2 2 2 4 2" xfId="5143" xr:uid="{00000000-0005-0000-0000-000099130000}"/>
    <cellStyle name="Entrada 3 2 2 2 4 2 2" xfId="10382" xr:uid="{00000000-0005-0000-0000-00009A130000}"/>
    <cellStyle name="Entrada 3 2 2 2 4 2 3" xfId="16070" xr:uid="{00000000-0005-0000-0000-00009B130000}"/>
    <cellStyle name="Entrada 3 2 2 2 4 2 4" xfId="12927" xr:uid="{00000000-0005-0000-0000-00009C130000}"/>
    <cellStyle name="Entrada 3 2 2 2 4 3" xfId="5333" xr:uid="{00000000-0005-0000-0000-00009D130000}"/>
    <cellStyle name="Entrada 3 2 2 2 4 3 2" xfId="16202" xr:uid="{00000000-0005-0000-0000-00009E130000}"/>
    <cellStyle name="Entrada 3 2 2 2 4 3 3" xfId="18851" xr:uid="{00000000-0005-0000-0000-00009F130000}"/>
    <cellStyle name="Entrada 3 2 2 2 4 4" xfId="9003" xr:uid="{00000000-0005-0000-0000-0000A0130000}"/>
    <cellStyle name="Entrada 3 2 2 2 4 5" xfId="14388" xr:uid="{00000000-0005-0000-0000-0000A1130000}"/>
    <cellStyle name="Entrada 3 2 2 2 4 6" xfId="18452" xr:uid="{00000000-0005-0000-0000-0000A2130000}"/>
    <cellStyle name="Entrada 3 2 2 2 5" xfId="5480" xr:uid="{00000000-0005-0000-0000-0000A3130000}"/>
    <cellStyle name="Entrada 3 2 2 2 5 2" xfId="7189" xr:uid="{00000000-0005-0000-0000-0000A4130000}"/>
    <cellStyle name="Entrada 3 2 2 2 5 2 2" xfId="11318" xr:uid="{00000000-0005-0000-0000-0000A5130000}"/>
    <cellStyle name="Entrada 3 2 2 2 5 2 3" xfId="17598" xr:uid="{00000000-0005-0000-0000-0000A6130000}"/>
    <cellStyle name="Entrada 3 2 2 2 5 2 4" xfId="20707" xr:uid="{00000000-0005-0000-0000-0000A7130000}"/>
    <cellStyle name="Entrada 3 2 2 2 5 3" xfId="10474" xr:uid="{00000000-0005-0000-0000-0000A8130000}"/>
    <cellStyle name="Entrada 3 2 2 2 5 4" xfId="16308" xr:uid="{00000000-0005-0000-0000-0000A9130000}"/>
    <cellStyle name="Entrada 3 2 2 2 5 5" xfId="18998" xr:uid="{00000000-0005-0000-0000-0000AA130000}"/>
    <cellStyle name="Entrada 3 2 2 2 6" xfId="6338" xr:uid="{00000000-0005-0000-0000-0000AB130000}"/>
    <cellStyle name="Entrada 3 2 2 2 6 2" xfId="8046" xr:uid="{00000000-0005-0000-0000-0000AC130000}"/>
    <cellStyle name="Entrada 3 2 2 2 6 2 2" xfId="12017" xr:uid="{00000000-0005-0000-0000-0000AD130000}"/>
    <cellStyle name="Entrada 3 2 2 2 6 2 3" xfId="18258" xr:uid="{00000000-0005-0000-0000-0000AE130000}"/>
    <cellStyle name="Entrada 3 2 2 2 6 2 4" xfId="21564" xr:uid="{00000000-0005-0000-0000-0000AF130000}"/>
    <cellStyle name="Entrada 3 2 2 2 6 3" xfId="10873" xr:uid="{00000000-0005-0000-0000-0000B0130000}"/>
    <cellStyle name="Entrada 3 2 2 2 6 4" xfId="16967" xr:uid="{00000000-0005-0000-0000-0000B1130000}"/>
    <cellStyle name="Entrada 3 2 2 2 6 5" xfId="19856" xr:uid="{00000000-0005-0000-0000-0000B2130000}"/>
    <cellStyle name="Entrada 3 2 2 2 7" xfId="5414" xr:uid="{00000000-0005-0000-0000-0000B3130000}"/>
    <cellStyle name="Entrada 3 2 2 2 7 2" xfId="7123" xr:uid="{00000000-0005-0000-0000-0000B4130000}"/>
    <cellStyle name="Entrada 3 2 2 2 7 2 2" xfId="11257" xr:uid="{00000000-0005-0000-0000-0000B5130000}"/>
    <cellStyle name="Entrada 3 2 2 2 7 2 3" xfId="17543" xr:uid="{00000000-0005-0000-0000-0000B6130000}"/>
    <cellStyle name="Entrada 3 2 2 2 7 2 4" xfId="20641" xr:uid="{00000000-0005-0000-0000-0000B7130000}"/>
    <cellStyle name="Entrada 3 2 2 2 7 3" xfId="10431" xr:uid="{00000000-0005-0000-0000-0000B8130000}"/>
    <cellStyle name="Entrada 3 2 2 2 7 4" xfId="16253" xr:uid="{00000000-0005-0000-0000-0000B9130000}"/>
    <cellStyle name="Entrada 3 2 2 2 7 5" xfId="18932" xr:uid="{00000000-0005-0000-0000-0000BA130000}"/>
    <cellStyle name="Entrada 3 2 2 2 8" xfId="5762" xr:uid="{00000000-0005-0000-0000-0000BB130000}"/>
    <cellStyle name="Entrada 3 2 2 2 8 2" xfId="10539" xr:uid="{00000000-0005-0000-0000-0000BC130000}"/>
    <cellStyle name="Entrada 3 2 2 2 8 3" xfId="16540" xr:uid="{00000000-0005-0000-0000-0000BD130000}"/>
    <cellStyle name="Entrada 3 2 2 2 8 4" xfId="19280" xr:uid="{00000000-0005-0000-0000-0000BE130000}"/>
    <cellStyle name="Entrada 3 2 2 2 9" xfId="7471" xr:uid="{00000000-0005-0000-0000-0000BF130000}"/>
    <cellStyle name="Entrada 3 2 2 2 9 2" xfId="11526" xr:uid="{00000000-0005-0000-0000-0000C0130000}"/>
    <cellStyle name="Entrada 3 2 2 2 9 3" xfId="17831" xr:uid="{00000000-0005-0000-0000-0000C1130000}"/>
    <cellStyle name="Entrada 3 2 2 2 9 4" xfId="20989" xr:uid="{00000000-0005-0000-0000-0000C2130000}"/>
    <cellStyle name="Entrada 3 2 2 3" xfId="3203" xr:uid="{00000000-0005-0000-0000-0000C3130000}"/>
    <cellStyle name="Entrada 3 2 2 3 10" xfId="9333" xr:uid="{00000000-0005-0000-0000-0000C4130000}"/>
    <cellStyle name="Entrada 3 2 2 3 11" xfId="14645" xr:uid="{00000000-0005-0000-0000-0000C5130000}"/>
    <cellStyle name="Entrada 3 2 2 3 12" xfId="16899" xr:uid="{00000000-0005-0000-0000-0000C6130000}"/>
    <cellStyle name="Entrada 3 2 2 3 2" xfId="3590" xr:uid="{00000000-0005-0000-0000-0000C7130000}"/>
    <cellStyle name="Entrada 3 2 2 3 2 2" xfId="7253" xr:uid="{00000000-0005-0000-0000-0000C8130000}"/>
    <cellStyle name="Entrada 3 2 2 3 2 2 2" xfId="11358" xr:uid="{00000000-0005-0000-0000-0000C9130000}"/>
    <cellStyle name="Entrada 3 2 2 3 2 2 3" xfId="17654" xr:uid="{00000000-0005-0000-0000-0000CA130000}"/>
    <cellStyle name="Entrada 3 2 2 3 2 2 4" xfId="20771" xr:uid="{00000000-0005-0000-0000-0000CB130000}"/>
    <cellStyle name="Entrada 3 2 2 3 2 3" xfId="5544" xr:uid="{00000000-0005-0000-0000-0000CC130000}"/>
    <cellStyle name="Entrada 3 2 2 3 2 3 2" xfId="16363" xr:uid="{00000000-0005-0000-0000-0000CD130000}"/>
    <cellStyle name="Entrada 3 2 2 3 2 3 3" xfId="19062" xr:uid="{00000000-0005-0000-0000-0000CE130000}"/>
    <cellStyle name="Entrada 3 2 2 3 2 4" xfId="9682" xr:uid="{00000000-0005-0000-0000-0000CF130000}"/>
    <cellStyle name="Entrada 3 2 2 3 2 5" xfId="14925" xr:uid="{00000000-0005-0000-0000-0000D0130000}"/>
    <cellStyle name="Entrada 3 2 2 3 2 6" xfId="18404" xr:uid="{00000000-0005-0000-0000-0000D1130000}"/>
    <cellStyle name="Entrada 3 2 2 3 3" xfId="3973" xr:uid="{00000000-0005-0000-0000-0000D2130000}"/>
    <cellStyle name="Entrada 3 2 2 3 3 2" xfId="8005" xr:uid="{00000000-0005-0000-0000-0000D3130000}"/>
    <cellStyle name="Entrada 3 2 2 3 3 2 2" xfId="11981" xr:uid="{00000000-0005-0000-0000-0000D4130000}"/>
    <cellStyle name="Entrada 3 2 2 3 3 2 3" xfId="18222" xr:uid="{00000000-0005-0000-0000-0000D5130000}"/>
    <cellStyle name="Entrada 3 2 2 3 3 2 4" xfId="21523" xr:uid="{00000000-0005-0000-0000-0000D6130000}"/>
    <cellStyle name="Entrada 3 2 2 3 3 3" xfId="6297" xr:uid="{00000000-0005-0000-0000-0000D7130000}"/>
    <cellStyle name="Entrada 3 2 2 3 3 3 2" xfId="16931" xr:uid="{00000000-0005-0000-0000-0000D8130000}"/>
    <cellStyle name="Entrada 3 2 2 3 3 3 3" xfId="19815" xr:uid="{00000000-0005-0000-0000-0000D9130000}"/>
    <cellStyle name="Entrada 3 2 2 3 3 4" xfId="9892" xr:uid="{00000000-0005-0000-0000-0000DA130000}"/>
    <cellStyle name="Entrada 3 2 2 3 3 5" xfId="15201" xr:uid="{00000000-0005-0000-0000-0000DB130000}"/>
    <cellStyle name="Entrada 3 2 2 3 3 6" xfId="14018" xr:uid="{00000000-0005-0000-0000-0000DC130000}"/>
    <cellStyle name="Entrada 3 2 2 3 4" xfId="4356" xr:uid="{00000000-0005-0000-0000-0000DD130000}"/>
    <cellStyle name="Entrada 3 2 2 3 4 2" xfId="8119" xr:uid="{00000000-0005-0000-0000-0000DE130000}"/>
    <cellStyle name="Entrada 3 2 2 3 4 2 2" xfId="12087" xr:uid="{00000000-0005-0000-0000-0000DF130000}"/>
    <cellStyle name="Entrada 3 2 2 3 4 2 3" xfId="18325" xr:uid="{00000000-0005-0000-0000-0000E0130000}"/>
    <cellStyle name="Entrada 3 2 2 3 4 2 4" xfId="21637" xr:uid="{00000000-0005-0000-0000-0000E1130000}"/>
    <cellStyle name="Entrada 3 2 2 3 4 3" xfId="6411" xr:uid="{00000000-0005-0000-0000-0000E2130000}"/>
    <cellStyle name="Entrada 3 2 2 3 4 3 2" xfId="17034" xr:uid="{00000000-0005-0000-0000-0000E3130000}"/>
    <cellStyle name="Entrada 3 2 2 3 4 3 3" xfId="19929" xr:uid="{00000000-0005-0000-0000-0000E4130000}"/>
    <cellStyle name="Entrada 3 2 2 3 4 4" xfId="10070" xr:uid="{00000000-0005-0000-0000-0000E5130000}"/>
    <cellStyle name="Entrada 3 2 2 3 4 5" xfId="15476" xr:uid="{00000000-0005-0000-0000-0000E6130000}"/>
    <cellStyle name="Entrada 3 2 2 3 4 6" xfId="13649" xr:uid="{00000000-0005-0000-0000-0000E7130000}"/>
    <cellStyle name="Entrada 3 2 2 3 5" xfId="4738" xr:uid="{00000000-0005-0000-0000-0000E8130000}"/>
    <cellStyle name="Entrada 3 2 2 3 5 2" xfId="8351" xr:uid="{00000000-0005-0000-0000-0000E9130000}"/>
    <cellStyle name="Entrada 3 2 2 3 5 2 2" xfId="12319" xr:uid="{00000000-0005-0000-0000-0000EA130000}"/>
    <cellStyle name="Entrada 3 2 2 3 5 2 3" xfId="18496" xr:uid="{00000000-0005-0000-0000-0000EB130000}"/>
    <cellStyle name="Entrada 3 2 2 3 5 2 4" xfId="21869" xr:uid="{00000000-0005-0000-0000-0000EC130000}"/>
    <cellStyle name="Entrada 3 2 2 3 5 3" xfId="6643" xr:uid="{00000000-0005-0000-0000-0000ED130000}"/>
    <cellStyle name="Entrada 3 2 2 3 5 3 2" xfId="17205" xr:uid="{00000000-0005-0000-0000-0000EE130000}"/>
    <cellStyle name="Entrada 3 2 2 3 5 3 3" xfId="20161" xr:uid="{00000000-0005-0000-0000-0000EF130000}"/>
    <cellStyle name="Entrada 3 2 2 3 5 4" xfId="10247" xr:uid="{00000000-0005-0000-0000-0000F0130000}"/>
    <cellStyle name="Entrada 3 2 2 3 5 5" xfId="15749" xr:uid="{00000000-0005-0000-0000-0000F1130000}"/>
    <cellStyle name="Entrada 3 2 2 3 5 6" xfId="13267" xr:uid="{00000000-0005-0000-0000-0000F2130000}"/>
    <cellStyle name="Entrada 3 2 2 3 6" xfId="6875" xr:uid="{00000000-0005-0000-0000-0000F3130000}"/>
    <cellStyle name="Entrada 3 2 2 3 6 2" xfId="8583" xr:uid="{00000000-0005-0000-0000-0000F4130000}"/>
    <cellStyle name="Entrada 3 2 2 3 6 2 2" xfId="12551" xr:uid="{00000000-0005-0000-0000-0000F5130000}"/>
    <cellStyle name="Entrada 3 2 2 3 6 2 3" xfId="18667" xr:uid="{00000000-0005-0000-0000-0000F6130000}"/>
    <cellStyle name="Entrada 3 2 2 3 6 2 4" xfId="22101" xr:uid="{00000000-0005-0000-0000-0000F7130000}"/>
    <cellStyle name="Entrada 3 2 2 3 6 3" xfId="11009" xr:uid="{00000000-0005-0000-0000-0000F8130000}"/>
    <cellStyle name="Entrada 3 2 2 3 6 4" xfId="17375" xr:uid="{00000000-0005-0000-0000-0000F9130000}"/>
    <cellStyle name="Entrada 3 2 2 3 6 5" xfId="20393" xr:uid="{00000000-0005-0000-0000-0000FA130000}"/>
    <cellStyle name="Entrada 3 2 2 3 7" xfId="5863" xr:uid="{00000000-0005-0000-0000-0000FB130000}"/>
    <cellStyle name="Entrada 3 2 2 3 7 2" xfId="10604" xr:uid="{00000000-0005-0000-0000-0000FC130000}"/>
    <cellStyle name="Entrada 3 2 2 3 7 3" xfId="16613" xr:uid="{00000000-0005-0000-0000-0000FD130000}"/>
    <cellStyle name="Entrada 3 2 2 3 7 4" xfId="19381" xr:uid="{00000000-0005-0000-0000-0000FE130000}"/>
    <cellStyle name="Entrada 3 2 2 3 8" xfId="7571" xr:uid="{00000000-0005-0000-0000-0000FF130000}"/>
    <cellStyle name="Entrada 3 2 2 3 8 2" xfId="11592" xr:uid="{00000000-0005-0000-0000-000000140000}"/>
    <cellStyle name="Entrada 3 2 2 3 8 3" xfId="17905" xr:uid="{00000000-0005-0000-0000-000001140000}"/>
    <cellStyle name="Entrada 3 2 2 3 8 4" xfId="21089" xr:uid="{00000000-0005-0000-0000-000002140000}"/>
    <cellStyle name="Entrada 3 2 2 3 9" xfId="4953" xr:uid="{00000000-0005-0000-0000-000003140000}"/>
    <cellStyle name="Entrada 3 2 2 3 9 2" xfId="15923" xr:uid="{00000000-0005-0000-0000-000004140000}"/>
    <cellStyle name="Entrada 3 2 2 3 9 3" xfId="13066" xr:uid="{00000000-0005-0000-0000-000005140000}"/>
    <cellStyle name="Entrada 3 2 2 4" xfId="3258" xr:uid="{00000000-0005-0000-0000-000006140000}"/>
    <cellStyle name="Entrada 3 2 2 4 2" xfId="3645" xr:uid="{00000000-0005-0000-0000-000007140000}"/>
    <cellStyle name="Entrada 3 2 2 4 2 2" xfId="7243" xr:uid="{00000000-0005-0000-0000-000008140000}"/>
    <cellStyle name="Entrada 3 2 2 4 2 2 2" xfId="17646" xr:uid="{00000000-0005-0000-0000-000009140000}"/>
    <cellStyle name="Entrada 3 2 2 4 2 2 3" xfId="20761" xr:uid="{00000000-0005-0000-0000-00000A140000}"/>
    <cellStyle name="Entrada 3 2 2 4 2 3" xfId="9736" xr:uid="{00000000-0005-0000-0000-00000B140000}"/>
    <cellStyle name="Entrada 3 2 2 4 2 4" xfId="14964" xr:uid="{00000000-0005-0000-0000-00000C140000}"/>
    <cellStyle name="Entrada 3 2 2 4 2 5" xfId="17851" xr:uid="{00000000-0005-0000-0000-00000D140000}"/>
    <cellStyle name="Entrada 3 2 2 4 3" xfId="4028" xr:uid="{00000000-0005-0000-0000-00000E140000}"/>
    <cellStyle name="Entrada 3 2 2 4 3 2" xfId="15239" xr:uid="{00000000-0005-0000-0000-00000F140000}"/>
    <cellStyle name="Entrada 3 2 2 4 3 3" xfId="13963" xr:uid="{00000000-0005-0000-0000-000010140000}"/>
    <cellStyle name="Entrada 3 2 2 4 4" xfId="4411" xr:uid="{00000000-0005-0000-0000-000011140000}"/>
    <cellStyle name="Entrada 3 2 2 4 4 2" xfId="15515" xr:uid="{00000000-0005-0000-0000-000012140000}"/>
    <cellStyle name="Entrada 3 2 2 4 4 3" xfId="13594" xr:uid="{00000000-0005-0000-0000-000013140000}"/>
    <cellStyle name="Entrada 3 2 2 4 5" xfId="4793" xr:uid="{00000000-0005-0000-0000-000014140000}"/>
    <cellStyle name="Entrada 3 2 2 4 5 2" xfId="15787" xr:uid="{00000000-0005-0000-0000-000015140000}"/>
    <cellStyle name="Entrada 3 2 2 4 5 3" xfId="12820" xr:uid="{00000000-0005-0000-0000-000016140000}"/>
    <cellStyle name="Entrada 3 2 2 4 6" xfId="5534" xr:uid="{00000000-0005-0000-0000-000017140000}"/>
    <cellStyle name="Entrada 3 2 2 4 6 2" xfId="16355" xr:uid="{00000000-0005-0000-0000-000018140000}"/>
    <cellStyle name="Entrada 3 2 2 4 6 3" xfId="19052" xr:uid="{00000000-0005-0000-0000-000019140000}"/>
    <cellStyle name="Entrada 3 2 2 4 7" xfId="9388" xr:uid="{00000000-0005-0000-0000-00001A140000}"/>
    <cellStyle name="Entrada 3 2 2 4 8" xfId="14684" xr:uid="{00000000-0005-0000-0000-00001B140000}"/>
    <cellStyle name="Entrada 3 2 2 4 9" xfId="15018" xr:uid="{00000000-0005-0000-0000-00001C140000}"/>
    <cellStyle name="Entrada 3 2 2 5" xfId="6333" xr:uid="{00000000-0005-0000-0000-00001D140000}"/>
    <cellStyle name="Entrada 3 2 2 5 2" xfId="8041" xr:uid="{00000000-0005-0000-0000-00001E140000}"/>
    <cellStyle name="Entrada 3 2 2 5 2 2" xfId="12012" xr:uid="{00000000-0005-0000-0000-00001F140000}"/>
    <cellStyle name="Entrada 3 2 2 5 2 3" xfId="18254" xr:uid="{00000000-0005-0000-0000-000020140000}"/>
    <cellStyle name="Entrada 3 2 2 5 2 4" xfId="21559" xr:uid="{00000000-0005-0000-0000-000021140000}"/>
    <cellStyle name="Entrada 3 2 2 5 3" xfId="10869" xr:uid="{00000000-0005-0000-0000-000022140000}"/>
    <cellStyle name="Entrada 3 2 2 5 4" xfId="16963" xr:uid="{00000000-0005-0000-0000-000023140000}"/>
    <cellStyle name="Entrada 3 2 2 5 5" xfId="19851" xr:uid="{00000000-0005-0000-0000-000024140000}"/>
    <cellStyle name="Entrada 3 2 2 6" xfId="5450" xr:uid="{00000000-0005-0000-0000-000025140000}"/>
    <cellStyle name="Entrada 3 2 2 6 2" xfId="7159" xr:uid="{00000000-0005-0000-0000-000026140000}"/>
    <cellStyle name="Entrada 3 2 2 6 2 2" xfId="11290" xr:uid="{00000000-0005-0000-0000-000027140000}"/>
    <cellStyle name="Entrada 3 2 2 6 2 3" xfId="17573" xr:uid="{00000000-0005-0000-0000-000028140000}"/>
    <cellStyle name="Entrada 3 2 2 6 2 4" xfId="20677" xr:uid="{00000000-0005-0000-0000-000029140000}"/>
    <cellStyle name="Entrada 3 2 2 6 3" xfId="10464" xr:uid="{00000000-0005-0000-0000-00002A140000}"/>
    <cellStyle name="Entrada 3 2 2 6 4" xfId="16283" xr:uid="{00000000-0005-0000-0000-00002B140000}"/>
    <cellStyle name="Entrada 3 2 2 6 5" xfId="18968" xr:uid="{00000000-0005-0000-0000-00002C140000}"/>
    <cellStyle name="Entrada 3 2 2 7" xfId="5311" xr:uid="{00000000-0005-0000-0000-00002D140000}"/>
    <cellStyle name="Entrada 3 2 2 7 2" xfId="5103" xr:uid="{00000000-0005-0000-0000-00002E140000}"/>
    <cellStyle name="Entrada 3 2 2 7 2 2" xfId="10347" xr:uid="{00000000-0005-0000-0000-00002F140000}"/>
    <cellStyle name="Entrada 3 2 2 7 2 3" xfId="16038" xr:uid="{00000000-0005-0000-0000-000030140000}"/>
    <cellStyle name="Entrada 3 2 2 7 2 4" xfId="12936" xr:uid="{00000000-0005-0000-0000-000031140000}"/>
    <cellStyle name="Entrada 3 2 2 7 3" xfId="10419" xr:uid="{00000000-0005-0000-0000-000032140000}"/>
    <cellStyle name="Entrada 3 2 2 7 4" xfId="16184" xr:uid="{00000000-0005-0000-0000-000033140000}"/>
    <cellStyle name="Entrada 3 2 2 7 5" xfId="18829" xr:uid="{00000000-0005-0000-0000-000034140000}"/>
    <cellStyle name="Entrada 3 2 2 8" xfId="5473" xr:uid="{00000000-0005-0000-0000-000035140000}"/>
    <cellStyle name="Entrada 3 2 2 8 2" xfId="7182" xr:uid="{00000000-0005-0000-0000-000036140000}"/>
    <cellStyle name="Entrada 3 2 2 8 2 2" xfId="11311" xr:uid="{00000000-0005-0000-0000-000037140000}"/>
    <cellStyle name="Entrada 3 2 2 8 2 3" xfId="17592" xr:uid="{00000000-0005-0000-0000-000038140000}"/>
    <cellStyle name="Entrada 3 2 2 8 2 4" xfId="20700" xr:uid="{00000000-0005-0000-0000-000039140000}"/>
    <cellStyle name="Entrada 3 2 2 8 3" xfId="10472" xr:uid="{00000000-0005-0000-0000-00003A140000}"/>
    <cellStyle name="Entrada 3 2 2 8 4" xfId="16302" xr:uid="{00000000-0005-0000-0000-00003B140000}"/>
    <cellStyle name="Entrada 3 2 2 8 5" xfId="18991" xr:uid="{00000000-0005-0000-0000-00003C140000}"/>
    <cellStyle name="Entrada 3 2 2 9" xfId="5780" xr:uid="{00000000-0005-0000-0000-00003D140000}"/>
    <cellStyle name="Entrada 3 2 2 9 2" xfId="10556" xr:uid="{00000000-0005-0000-0000-00003E140000}"/>
    <cellStyle name="Entrada 3 2 2 9 3" xfId="16553" xr:uid="{00000000-0005-0000-0000-00003F140000}"/>
    <cellStyle name="Entrada 3 2 2 9 4" xfId="19298" xr:uid="{00000000-0005-0000-0000-000040140000}"/>
    <cellStyle name="Entrada 3 2 3" xfId="2672" xr:uid="{00000000-0005-0000-0000-000041140000}"/>
    <cellStyle name="Entrada 3 2 3 10" xfId="7518" xr:uid="{00000000-0005-0000-0000-000042140000}"/>
    <cellStyle name="Entrada 3 2 3 10 2" xfId="11559" xr:uid="{00000000-0005-0000-0000-000043140000}"/>
    <cellStyle name="Entrada 3 2 3 10 3" xfId="17865" xr:uid="{00000000-0005-0000-0000-000044140000}"/>
    <cellStyle name="Entrada 3 2 3 10 4" xfId="21036" xr:uid="{00000000-0005-0000-0000-000045140000}"/>
    <cellStyle name="Entrada 3 2 3 11" xfId="4922" xr:uid="{00000000-0005-0000-0000-000046140000}"/>
    <cellStyle name="Entrada 3 2 3 11 2" xfId="15892" xr:uid="{00000000-0005-0000-0000-000047140000}"/>
    <cellStyle name="Entrada 3 2 3 11 3" xfId="13097" xr:uid="{00000000-0005-0000-0000-000048140000}"/>
    <cellStyle name="Entrada 3 2 3 12" xfId="8829" xr:uid="{00000000-0005-0000-0000-000049140000}"/>
    <cellStyle name="Entrada 3 2 3 13" xfId="14245" xr:uid="{00000000-0005-0000-0000-00004A140000}"/>
    <cellStyle name="Entrada 3 2 3 14" xfId="16726" xr:uid="{00000000-0005-0000-0000-00004B140000}"/>
    <cellStyle name="Entrada 3 2 3 2" xfId="2731" xr:uid="{00000000-0005-0000-0000-00004C140000}"/>
    <cellStyle name="Entrada 3 2 3 2 10" xfId="4944" xr:uid="{00000000-0005-0000-0000-00004D140000}"/>
    <cellStyle name="Entrada 3 2 3 2 10 2" xfId="15914" xr:uid="{00000000-0005-0000-0000-00004E140000}"/>
    <cellStyle name="Entrada 3 2 3 2 10 3" xfId="13075" xr:uid="{00000000-0005-0000-0000-00004F140000}"/>
    <cellStyle name="Entrada 3 2 3 2 11" xfId="8886" xr:uid="{00000000-0005-0000-0000-000050140000}"/>
    <cellStyle name="Entrada 3 2 3 2 12" xfId="14290" xr:uid="{00000000-0005-0000-0000-000051140000}"/>
    <cellStyle name="Entrada 3 2 3 2 2" xfId="3221" xr:uid="{00000000-0005-0000-0000-000052140000}"/>
    <cellStyle name="Entrada 3 2 3 2 2 10" xfId="9351" xr:uid="{00000000-0005-0000-0000-000053140000}"/>
    <cellStyle name="Entrada 3 2 3 2 2 11" xfId="14655" xr:uid="{00000000-0005-0000-0000-000054140000}"/>
    <cellStyle name="Entrada 3 2 3 2 2 12" xfId="16885" xr:uid="{00000000-0005-0000-0000-000055140000}"/>
    <cellStyle name="Entrada 3 2 3 2 2 2" xfId="3608" xr:uid="{00000000-0005-0000-0000-000056140000}"/>
    <cellStyle name="Entrada 3 2 3 2 2 2 2" xfId="7969" xr:uid="{00000000-0005-0000-0000-000057140000}"/>
    <cellStyle name="Entrada 3 2 3 2 2 2 2 2" xfId="11945" xr:uid="{00000000-0005-0000-0000-000058140000}"/>
    <cellStyle name="Entrada 3 2 3 2 2 2 2 3" xfId="18195" xr:uid="{00000000-0005-0000-0000-000059140000}"/>
    <cellStyle name="Entrada 3 2 3 2 2 2 2 4" xfId="21487" xr:uid="{00000000-0005-0000-0000-00005A140000}"/>
    <cellStyle name="Entrada 3 2 3 2 2 2 3" xfId="6261" xr:uid="{00000000-0005-0000-0000-00005B140000}"/>
    <cellStyle name="Entrada 3 2 3 2 2 2 3 2" xfId="16903" xr:uid="{00000000-0005-0000-0000-00005C140000}"/>
    <cellStyle name="Entrada 3 2 3 2 2 2 3 3" xfId="19779" xr:uid="{00000000-0005-0000-0000-00005D140000}"/>
    <cellStyle name="Entrada 3 2 3 2 2 2 4" xfId="9700" xr:uid="{00000000-0005-0000-0000-00005E140000}"/>
    <cellStyle name="Entrada 3 2 3 2 2 2 5" xfId="14935" xr:uid="{00000000-0005-0000-0000-00005F140000}"/>
    <cellStyle name="Entrada 3 2 3 2 2 2 6" xfId="18014" xr:uid="{00000000-0005-0000-0000-000060140000}"/>
    <cellStyle name="Entrada 3 2 3 2 2 3" xfId="3991" xr:uid="{00000000-0005-0000-0000-000061140000}"/>
    <cellStyle name="Entrada 3 2 3 2 2 3 2" xfId="7776" xr:uid="{00000000-0005-0000-0000-000062140000}"/>
    <cellStyle name="Entrada 3 2 3 2 2 3 2 2" xfId="11797" xr:uid="{00000000-0005-0000-0000-000063140000}"/>
    <cellStyle name="Entrada 3 2 3 2 2 3 2 3" xfId="18047" xr:uid="{00000000-0005-0000-0000-000064140000}"/>
    <cellStyle name="Entrada 3 2 3 2 2 3 2 4" xfId="21294" xr:uid="{00000000-0005-0000-0000-000065140000}"/>
    <cellStyle name="Entrada 3 2 3 2 2 3 3" xfId="6068" xr:uid="{00000000-0005-0000-0000-000066140000}"/>
    <cellStyle name="Entrada 3 2 3 2 2 3 3 2" xfId="16755" xr:uid="{00000000-0005-0000-0000-000067140000}"/>
    <cellStyle name="Entrada 3 2 3 2 2 3 3 3" xfId="19586" xr:uid="{00000000-0005-0000-0000-000068140000}"/>
    <cellStyle name="Entrada 3 2 3 2 2 3 4" xfId="9910" xr:uid="{00000000-0005-0000-0000-000069140000}"/>
    <cellStyle name="Entrada 3 2 3 2 2 3 5" xfId="15211" xr:uid="{00000000-0005-0000-0000-00006A140000}"/>
    <cellStyle name="Entrada 3 2 3 2 2 3 6" xfId="14000" xr:uid="{00000000-0005-0000-0000-00006B140000}"/>
    <cellStyle name="Entrada 3 2 3 2 2 4" xfId="4374" xr:uid="{00000000-0005-0000-0000-00006C140000}"/>
    <cellStyle name="Entrada 3 2 3 2 2 4 2" xfId="8276" xr:uid="{00000000-0005-0000-0000-00006D140000}"/>
    <cellStyle name="Entrada 3 2 3 2 2 4 2 2" xfId="12244" xr:uid="{00000000-0005-0000-0000-00006E140000}"/>
    <cellStyle name="Entrada 3 2 3 2 2 4 2 3" xfId="18428" xr:uid="{00000000-0005-0000-0000-00006F140000}"/>
    <cellStyle name="Entrada 3 2 3 2 2 4 2 4" xfId="21794" xr:uid="{00000000-0005-0000-0000-000070140000}"/>
    <cellStyle name="Entrada 3 2 3 2 2 4 3" xfId="6568" xr:uid="{00000000-0005-0000-0000-000071140000}"/>
    <cellStyle name="Entrada 3 2 3 2 2 4 3 2" xfId="17137" xr:uid="{00000000-0005-0000-0000-000072140000}"/>
    <cellStyle name="Entrada 3 2 3 2 2 4 3 3" xfId="20086" xr:uid="{00000000-0005-0000-0000-000073140000}"/>
    <cellStyle name="Entrada 3 2 3 2 2 4 4" xfId="10088" xr:uid="{00000000-0005-0000-0000-000074140000}"/>
    <cellStyle name="Entrada 3 2 3 2 2 4 5" xfId="15486" xr:uid="{00000000-0005-0000-0000-000075140000}"/>
    <cellStyle name="Entrada 3 2 3 2 2 4 6" xfId="13631" xr:uid="{00000000-0005-0000-0000-000076140000}"/>
    <cellStyle name="Entrada 3 2 3 2 2 5" xfId="4756" xr:uid="{00000000-0005-0000-0000-000077140000}"/>
    <cellStyle name="Entrada 3 2 3 2 2 5 2" xfId="8508" xr:uid="{00000000-0005-0000-0000-000078140000}"/>
    <cellStyle name="Entrada 3 2 3 2 2 5 2 2" xfId="12476" xr:uid="{00000000-0005-0000-0000-000079140000}"/>
    <cellStyle name="Entrada 3 2 3 2 2 5 2 3" xfId="18599" xr:uid="{00000000-0005-0000-0000-00007A140000}"/>
    <cellStyle name="Entrada 3 2 3 2 2 5 2 4" xfId="22026" xr:uid="{00000000-0005-0000-0000-00007B140000}"/>
    <cellStyle name="Entrada 3 2 3 2 2 5 3" xfId="6800" xr:uid="{00000000-0005-0000-0000-00007C140000}"/>
    <cellStyle name="Entrada 3 2 3 2 2 5 3 2" xfId="17307" xr:uid="{00000000-0005-0000-0000-00007D140000}"/>
    <cellStyle name="Entrada 3 2 3 2 2 5 3 3" xfId="20318" xr:uid="{00000000-0005-0000-0000-00007E140000}"/>
    <cellStyle name="Entrada 3 2 3 2 2 5 4" xfId="10265" xr:uid="{00000000-0005-0000-0000-00007F140000}"/>
    <cellStyle name="Entrada 3 2 3 2 2 5 5" xfId="15759" xr:uid="{00000000-0005-0000-0000-000080140000}"/>
    <cellStyle name="Entrada 3 2 3 2 2 5 6" xfId="13249" xr:uid="{00000000-0005-0000-0000-000081140000}"/>
    <cellStyle name="Entrada 3 2 3 2 2 6" xfId="7032" xr:uid="{00000000-0005-0000-0000-000082140000}"/>
    <cellStyle name="Entrada 3 2 3 2 2 6 2" xfId="8740" xr:uid="{00000000-0005-0000-0000-000083140000}"/>
    <cellStyle name="Entrada 3 2 3 2 2 6 2 2" xfId="12708" xr:uid="{00000000-0005-0000-0000-000084140000}"/>
    <cellStyle name="Entrada 3 2 3 2 2 6 2 3" xfId="18771" xr:uid="{00000000-0005-0000-0000-000085140000}"/>
    <cellStyle name="Entrada 3 2 3 2 2 6 2 4" xfId="22258" xr:uid="{00000000-0005-0000-0000-000086140000}"/>
    <cellStyle name="Entrada 3 2 3 2 2 6 3" xfId="11166" xr:uid="{00000000-0005-0000-0000-000087140000}"/>
    <cellStyle name="Entrada 3 2 3 2 2 6 4" xfId="17478" xr:uid="{00000000-0005-0000-0000-000088140000}"/>
    <cellStyle name="Entrada 3 2 3 2 2 6 5" xfId="20550" xr:uid="{00000000-0005-0000-0000-000089140000}"/>
    <cellStyle name="Entrada 3 2 3 2 2 7" xfId="6020" xr:uid="{00000000-0005-0000-0000-00008A140000}"/>
    <cellStyle name="Entrada 3 2 3 2 2 7 2" xfId="10761" xr:uid="{00000000-0005-0000-0000-00008B140000}"/>
    <cellStyle name="Entrada 3 2 3 2 2 7 3" xfId="16717" xr:uid="{00000000-0005-0000-0000-00008C140000}"/>
    <cellStyle name="Entrada 3 2 3 2 2 7 4" xfId="19538" xr:uid="{00000000-0005-0000-0000-00008D140000}"/>
    <cellStyle name="Entrada 3 2 3 2 2 8" xfId="7728" xr:uid="{00000000-0005-0000-0000-00008E140000}"/>
    <cellStyle name="Entrada 3 2 3 2 2 8 2" xfId="11749" xr:uid="{00000000-0005-0000-0000-00008F140000}"/>
    <cellStyle name="Entrada 3 2 3 2 2 8 3" xfId="18009" xr:uid="{00000000-0005-0000-0000-000090140000}"/>
    <cellStyle name="Entrada 3 2 3 2 2 8 4" xfId="21246" xr:uid="{00000000-0005-0000-0000-000091140000}"/>
    <cellStyle name="Entrada 3 2 3 2 2 9" xfId="5214" xr:uid="{00000000-0005-0000-0000-000092140000}"/>
    <cellStyle name="Entrada 3 2 3 2 2 9 2" xfId="16105" xr:uid="{00000000-0005-0000-0000-000093140000}"/>
    <cellStyle name="Entrada 3 2 3 2 2 9 3" xfId="12761" xr:uid="{00000000-0005-0000-0000-000094140000}"/>
    <cellStyle name="Entrada 3 2 3 2 3" xfId="3278" xr:uid="{00000000-0005-0000-0000-000095140000}"/>
    <cellStyle name="Entrada 3 2 3 2 3 2" xfId="3665" xr:uid="{00000000-0005-0000-0000-000096140000}"/>
    <cellStyle name="Entrada 3 2 3 2 3 2 2" xfId="7314" xr:uid="{00000000-0005-0000-0000-000097140000}"/>
    <cellStyle name="Entrada 3 2 3 2 3 2 2 2" xfId="17707" xr:uid="{00000000-0005-0000-0000-000098140000}"/>
    <cellStyle name="Entrada 3 2 3 2 3 2 2 3" xfId="20832" xr:uid="{00000000-0005-0000-0000-000099140000}"/>
    <cellStyle name="Entrada 3 2 3 2 3 2 3" xfId="9747" xr:uid="{00000000-0005-0000-0000-00009A140000}"/>
    <cellStyle name="Entrada 3 2 3 2 3 2 4" xfId="14977" xr:uid="{00000000-0005-0000-0000-00009B140000}"/>
    <cellStyle name="Entrada 3 2 3 2 3 2 5" xfId="18119" xr:uid="{00000000-0005-0000-0000-00009C140000}"/>
    <cellStyle name="Entrada 3 2 3 2 3 3" xfId="4048" xr:uid="{00000000-0005-0000-0000-00009D140000}"/>
    <cellStyle name="Entrada 3 2 3 2 3 3 2" xfId="15252" xr:uid="{00000000-0005-0000-0000-00009E140000}"/>
    <cellStyle name="Entrada 3 2 3 2 3 3 3" xfId="13943" xr:uid="{00000000-0005-0000-0000-00009F140000}"/>
    <cellStyle name="Entrada 3 2 3 2 3 4" xfId="4431" xr:uid="{00000000-0005-0000-0000-0000A0140000}"/>
    <cellStyle name="Entrada 3 2 3 2 3 4 2" xfId="15528" xr:uid="{00000000-0005-0000-0000-0000A1140000}"/>
    <cellStyle name="Entrada 3 2 3 2 3 4 3" xfId="13574" xr:uid="{00000000-0005-0000-0000-0000A2140000}"/>
    <cellStyle name="Entrada 3 2 3 2 3 5" xfId="4813" xr:uid="{00000000-0005-0000-0000-0000A3140000}"/>
    <cellStyle name="Entrada 3 2 3 2 3 5 2" xfId="15800" xr:uid="{00000000-0005-0000-0000-0000A4140000}"/>
    <cellStyle name="Entrada 3 2 3 2 3 5 3" xfId="13193" xr:uid="{00000000-0005-0000-0000-0000A5140000}"/>
    <cellStyle name="Entrada 3 2 3 2 3 6" xfId="5605" xr:uid="{00000000-0005-0000-0000-0000A6140000}"/>
    <cellStyle name="Entrada 3 2 3 2 3 6 2" xfId="16416" xr:uid="{00000000-0005-0000-0000-0000A7140000}"/>
    <cellStyle name="Entrada 3 2 3 2 3 6 3" xfId="19123" xr:uid="{00000000-0005-0000-0000-0000A8140000}"/>
    <cellStyle name="Entrada 3 2 3 2 3 7" xfId="9408" xr:uid="{00000000-0005-0000-0000-0000A9140000}"/>
    <cellStyle name="Entrada 3 2 3 2 3 8" xfId="14697" xr:uid="{00000000-0005-0000-0000-0000AA140000}"/>
    <cellStyle name="Entrada 3 2 3 2 3 9" xfId="15691" xr:uid="{00000000-0005-0000-0000-0000AB140000}"/>
    <cellStyle name="Entrada 3 2 3 2 4" xfId="2896" xr:uid="{00000000-0005-0000-0000-0000AC140000}"/>
    <cellStyle name="Entrada 3 2 3 2 4 2" xfId="7204" xr:uid="{00000000-0005-0000-0000-0000AD140000}"/>
    <cellStyle name="Entrada 3 2 3 2 4 2 2" xfId="11330" xr:uid="{00000000-0005-0000-0000-0000AE140000}"/>
    <cellStyle name="Entrada 3 2 3 2 4 2 3" xfId="17610" xr:uid="{00000000-0005-0000-0000-0000AF140000}"/>
    <cellStyle name="Entrada 3 2 3 2 4 2 4" xfId="20722" xr:uid="{00000000-0005-0000-0000-0000B0140000}"/>
    <cellStyle name="Entrada 3 2 3 2 4 3" xfId="5495" xr:uid="{00000000-0005-0000-0000-0000B1140000}"/>
    <cellStyle name="Entrada 3 2 3 2 4 3 2" xfId="16319" xr:uid="{00000000-0005-0000-0000-0000B2140000}"/>
    <cellStyle name="Entrada 3 2 3 2 4 3 3" xfId="19013" xr:uid="{00000000-0005-0000-0000-0000B3140000}"/>
    <cellStyle name="Entrada 3 2 3 2 4 4" xfId="9048" xr:uid="{00000000-0005-0000-0000-0000B4140000}"/>
    <cellStyle name="Entrada 3 2 3 2 4 5" xfId="14423" xr:uid="{00000000-0005-0000-0000-0000B5140000}"/>
    <cellStyle name="Entrada 3 2 3 2 4 6" xfId="14127" xr:uid="{00000000-0005-0000-0000-0000B6140000}"/>
    <cellStyle name="Entrada 3 2 3 2 5" xfId="6402" xr:uid="{00000000-0005-0000-0000-0000B7140000}"/>
    <cellStyle name="Entrada 3 2 3 2 5 2" xfId="8110" xr:uid="{00000000-0005-0000-0000-0000B8140000}"/>
    <cellStyle name="Entrada 3 2 3 2 5 2 2" xfId="12078" xr:uid="{00000000-0005-0000-0000-0000B9140000}"/>
    <cellStyle name="Entrada 3 2 3 2 5 2 3" xfId="18316" xr:uid="{00000000-0005-0000-0000-0000BA140000}"/>
    <cellStyle name="Entrada 3 2 3 2 5 2 4" xfId="21628" xr:uid="{00000000-0005-0000-0000-0000BB140000}"/>
    <cellStyle name="Entrada 3 2 3 2 5 3" xfId="10920" xr:uid="{00000000-0005-0000-0000-0000BC140000}"/>
    <cellStyle name="Entrada 3 2 3 2 5 4" xfId="17025" xr:uid="{00000000-0005-0000-0000-0000BD140000}"/>
    <cellStyle name="Entrada 3 2 3 2 5 5" xfId="19920" xr:uid="{00000000-0005-0000-0000-0000BE140000}"/>
    <cellStyle name="Entrada 3 2 3 2 6" xfId="6634" xr:uid="{00000000-0005-0000-0000-0000BF140000}"/>
    <cellStyle name="Entrada 3 2 3 2 6 2" xfId="8342" xr:uid="{00000000-0005-0000-0000-0000C0140000}"/>
    <cellStyle name="Entrada 3 2 3 2 6 2 2" xfId="12310" xr:uid="{00000000-0005-0000-0000-0000C1140000}"/>
    <cellStyle name="Entrada 3 2 3 2 6 2 3" xfId="18487" xr:uid="{00000000-0005-0000-0000-0000C2140000}"/>
    <cellStyle name="Entrada 3 2 3 2 6 2 4" xfId="21860" xr:uid="{00000000-0005-0000-0000-0000C3140000}"/>
    <cellStyle name="Entrada 3 2 3 2 6 3" xfId="10960" xr:uid="{00000000-0005-0000-0000-0000C4140000}"/>
    <cellStyle name="Entrada 3 2 3 2 6 4" xfId="17196" xr:uid="{00000000-0005-0000-0000-0000C5140000}"/>
    <cellStyle name="Entrada 3 2 3 2 6 5" xfId="20152" xr:uid="{00000000-0005-0000-0000-0000C6140000}"/>
    <cellStyle name="Entrada 3 2 3 2 7" xfId="6866" xr:uid="{00000000-0005-0000-0000-0000C7140000}"/>
    <cellStyle name="Entrada 3 2 3 2 7 2" xfId="8574" xr:uid="{00000000-0005-0000-0000-0000C8140000}"/>
    <cellStyle name="Entrada 3 2 3 2 7 2 2" xfId="12542" xr:uid="{00000000-0005-0000-0000-0000C9140000}"/>
    <cellStyle name="Entrada 3 2 3 2 7 2 3" xfId="18658" xr:uid="{00000000-0005-0000-0000-0000CA140000}"/>
    <cellStyle name="Entrada 3 2 3 2 7 2 4" xfId="22092" xr:uid="{00000000-0005-0000-0000-0000CB140000}"/>
    <cellStyle name="Entrada 3 2 3 2 7 3" xfId="11000" xr:uid="{00000000-0005-0000-0000-0000CC140000}"/>
    <cellStyle name="Entrada 3 2 3 2 7 4" xfId="17366" xr:uid="{00000000-0005-0000-0000-0000CD140000}"/>
    <cellStyle name="Entrada 3 2 3 2 7 5" xfId="20384" xr:uid="{00000000-0005-0000-0000-0000CE140000}"/>
    <cellStyle name="Entrada 3 2 3 2 8" xfId="5849" xr:uid="{00000000-0005-0000-0000-0000CF140000}"/>
    <cellStyle name="Entrada 3 2 3 2 8 2" xfId="10595" xr:uid="{00000000-0005-0000-0000-0000D0140000}"/>
    <cellStyle name="Entrada 3 2 3 2 8 3" xfId="16602" xr:uid="{00000000-0005-0000-0000-0000D1140000}"/>
    <cellStyle name="Entrada 3 2 3 2 8 4" xfId="19367" xr:uid="{00000000-0005-0000-0000-0000D2140000}"/>
    <cellStyle name="Entrada 3 2 3 2 9" xfId="7557" xr:uid="{00000000-0005-0000-0000-0000D3140000}"/>
    <cellStyle name="Entrada 3 2 3 2 9 2" xfId="11583" xr:uid="{00000000-0005-0000-0000-0000D4140000}"/>
    <cellStyle name="Entrada 3 2 3 2 9 3" xfId="17894" xr:uid="{00000000-0005-0000-0000-0000D5140000}"/>
    <cellStyle name="Entrada 3 2 3 2 9 4" xfId="21075" xr:uid="{00000000-0005-0000-0000-0000D6140000}"/>
    <cellStyle name="Entrada 3 2 3 3" xfId="3164" xr:uid="{00000000-0005-0000-0000-0000D7140000}"/>
    <cellStyle name="Entrada 3 2 3 3 10" xfId="9294" xr:uid="{00000000-0005-0000-0000-0000D8140000}"/>
    <cellStyle name="Entrada 3 2 3 3 11" xfId="14613" xr:uid="{00000000-0005-0000-0000-0000D9140000}"/>
    <cellStyle name="Entrada 3 2 3 3 12" xfId="18754" xr:uid="{00000000-0005-0000-0000-0000DA140000}"/>
    <cellStyle name="Entrada 3 2 3 3 2" xfId="3551" xr:uid="{00000000-0005-0000-0000-0000DB140000}"/>
    <cellStyle name="Entrada 3 2 3 3 2 2" xfId="7276" xr:uid="{00000000-0005-0000-0000-0000DC140000}"/>
    <cellStyle name="Entrada 3 2 3 3 2 2 2" xfId="11381" xr:uid="{00000000-0005-0000-0000-0000DD140000}"/>
    <cellStyle name="Entrada 3 2 3 3 2 2 3" xfId="17675" xr:uid="{00000000-0005-0000-0000-0000DE140000}"/>
    <cellStyle name="Entrada 3 2 3 3 2 2 4" xfId="20794" xr:uid="{00000000-0005-0000-0000-0000DF140000}"/>
    <cellStyle name="Entrada 3 2 3 3 2 3" xfId="5567" xr:uid="{00000000-0005-0000-0000-0000E0140000}"/>
    <cellStyle name="Entrada 3 2 3 3 2 3 2" xfId="16384" xr:uid="{00000000-0005-0000-0000-0000E1140000}"/>
    <cellStyle name="Entrada 3 2 3 3 2 3 3" xfId="19085" xr:uid="{00000000-0005-0000-0000-0000E2140000}"/>
    <cellStyle name="Entrada 3 2 3 3 2 4" xfId="9643" xr:uid="{00000000-0005-0000-0000-0000E3140000}"/>
    <cellStyle name="Entrada 3 2 3 3 2 5" xfId="14893" xr:uid="{00000000-0005-0000-0000-0000E4140000}"/>
    <cellStyle name="Entrada 3 2 3 3 2 6" xfId="16399" xr:uid="{00000000-0005-0000-0000-0000E5140000}"/>
    <cellStyle name="Entrada 3 2 3 3 3" xfId="3934" xr:uid="{00000000-0005-0000-0000-0000E6140000}"/>
    <cellStyle name="Entrada 3 2 3 3 3 2" xfId="7877" xr:uid="{00000000-0005-0000-0000-0000E7140000}"/>
    <cellStyle name="Entrada 3 2 3 3 3 2 2" xfId="11868" xr:uid="{00000000-0005-0000-0000-0000E8140000}"/>
    <cellStyle name="Entrada 3 2 3 3 3 2 3" xfId="18133" xr:uid="{00000000-0005-0000-0000-0000E9140000}"/>
    <cellStyle name="Entrada 3 2 3 3 3 2 4" xfId="21395" xr:uid="{00000000-0005-0000-0000-0000EA140000}"/>
    <cellStyle name="Entrada 3 2 3 3 3 3" xfId="6169" xr:uid="{00000000-0005-0000-0000-0000EB140000}"/>
    <cellStyle name="Entrada 3 2 3 3 3 3 2" xfId="16841" xr:uid="{00000000-0005-0000-0000-0000EC140000}"/>
    <cellStyle name="Entrada 3 2 3 3 3 3 3" xfId="19687" xr:uid="{00000000-0005-0000-0000-0000ED140000}"/>
    <cellStyle name="Entrada 3 2 3 3 3 4" xfId="9857" xr:uid="{00000000-0005-0000-0000-0000EE140000}"/>
    <cellStyle name="Entrada 3 2 3 3 3 5" xfId="15169" xr:uid="{00000000-0005-0000-0000-0000EF140000}"/>
    <cellStyle name="Entrada 3 2 3 3 3 6" xfId="14057" xr:uid="{00000000-0005-0000-0000-0000F0140000}"/>
    <cellStyle name="Entrada 3 2 3 3 4" xfId="4317" xr:uid="{00000000-0005-0000-0000-0000F1140000}"/>
    <cellStyle name="Entrada 3 2 3 3 4 2" xfId="8176" xr:uid="{00000000-0005-0000-0000-0000F2140000}"/>
    <cellStyle name="Entrada 3 2 3 3 4 2 2" xfId="12144" xr:uid="{00000000-0005-0000-0000-0000F3140000}"/>
    <cellStyle name="Entrada 3 2 3 3 4 2 3" xfId="18373" xr:uid="{00000000-0005-0000-0000-0000F4140000}"/>
    <cellStyle name="Entrada 3 2 3 3 4 2 4" xfId="21694" xr:uid="{00000000-0005-0000-0000-0000F5140000}"/>
    <cellStyle name="Entrada 3 2 3 3 4 3" xfId="6468" xr:uid="{00000000-0005-0000-0000-0000F6140000}"/>
    <cellStyle name="Entrada 3 2 3 3 4 3 2" xfId="17082" xr:uid="{00000000-0005-0000-0000-0000F7140000}"/>
    <cellStyle name="Entrada 3 2 3 3 4 3 3" xfId="19986" xr:uid="{00000000-0005-0000-0000-0000F8140000}"/>
    <cellStyle name="Entrada 3 2 3 3 4 4" xfId="10035" xr:uid="{00000000-0005-0000-0000-0000F9140000}"/>
    <cellStyle name="Entrada 3 2 3 3 4 5" xfId="15444" xr:uid="{00000000-0005-0000-0000-0000FA140000}"/>
    <cellStyle name="Entrada 3 2 3 3 4 6" xfId="13688" xr:uid="{00000000-0005-0000-0000-0000FB140000}"/>
    <cellStyle name="Entrada 3 2 3 3 5" xfId="4699" xr:uid="{00000000-0005-0000-0000-0000FC140000}"/>
    <cellStyle name="Entrada 3 2 3 3 5 2" xfId="8408" xr:uid="{00000000-0005-0000-0000-0000FD140000}"/>
    <cellStyle name="Entrada 3 2 3 3 5 2 2" xfId="12376" xr:uid="{00000000-0005-0000-0000-0000FE140000}"/>
    <cellStyle name="Entrada 3 2 3 3 5 2 3" xfId="18544" xr:uid="{00000000-0005-0000-0000-0000FF140000}"/>
    <cellStyle name="Entrada 3 2 3 3 5 2 4" xfId="21926" xr:uid="{00000000-0005-0000-0000-000000150000}"/>
    <cellStyle name="Entrada 3 2 3 3 5 3" xfId="6700" xr:uid="{00000000-0005-0000-0000-000001150000}"/>
    <cellStyle name="Entrada 3 2 3 3 5 3 2" xfId="17253" xr:uid="{00000000-0005-0000-0000-000002150000}"/>
    <cellStyle name="Entrada 3 2 3 3 5 3 3" xfId="20218" xr:uid="{00000000-0005-0000-0000-000003150000}"/>
    <cellStyle name="Entrada 3 2 3 3 5 4" xfId="10212" xr:uid="{00000000-0005-0000-0000-000004150000}"/>
    <cellStyle name="Entrada 3 2 3 3 5 5" xfId="15718" xr:uid="{00000000-0005-0000-0000-000005150000}"/>
    <cellStyle name="Entrada 3 2 3 3 5 6" xfId="13306" xr:uid="{00000000-0005-0000-0000-000006150000}"/>
    <cellStyle name="Entrada 3 2 3 3 6" xfId="6932" xr:uid="{00000000-0005-0000-0000-000007150000}"/>
    <cellStyle name="Entrada 3 2 3 3 6 2" xfId="8640" xr:uid="{00000000-0005-0000-0000-000008150000}"/>
    <cellStyle name="Entrada 3 2 3 3 6 2 2" xfId="12608" xr:uid="{00000000-0005-0000-0000-000009150000}"/>
    <cellStyle name="Entrada 3 2 3 3 6 2 3" xfId="18715" xr:uid="{00000000-0005-0000-0000-00000A150000}"/>
    <cellStyle name="Entrada 3 2 3 3 6 2 4" xfId="22158" xr:uid="{00000000-0005-0000-0000-00000B150000}"/>
    <cellStyle name="Entrada 3 2 3 3 6 3" xfId="11066" xr:uid="{00000000-0005-0000-0000-00000C150000}"/>
    <cellStyle name="Entrada 3 2 3 3 6 4" xfId="17423" xr:uid="{00000000-0005-0000-0000-00000D150000}"/>
    <cellStyle name="Entrada 3 2 3 3 6 5" xfId="20450" xr:uid="{00000000-0005-0000-0000-00000E150000}"/>
    <cellStyle name="Entrada 3 2 3 3 7" xfId="5920" xr:uid="{00000000-0005-0000-0000-00000F150000}"/>
    <cellStyle name="Entrada 3 2 3 3 7 2" xfId="10661" xr:uid="{00000000-0005-0000-0000-000010150000}"/>
    <cellStyle name="Entrada 3 2 3 3 7 3" xfId="16661" xr:uid="{00000000-0005-0000-0000-000011150000}"/>
    <cellStyle name="Entrada 3 2 3 3 7 4" xfId="19438" xr:uid="{00000000-0005-0000-0000-000012150000}"/>
    <cellStyle name="Entrada 3 2 3 3 8" xfId="7628" xr:uid="{00000000-0005-0000-0000-000013150000}"/>
    <cellStyle name="Entrada 3 2 3 3 8 2" xfId="11649" xr:uid="{00000000-0005-0000-0000-000014150000}"/>
    <cellStyle name="Entrada 3 2 3 3 8 3" xfId="17953" xr:uid="{00000000-0005-0000-0000-000015150000}"/>
    <cellStyle name="Entrada 3 2 3 3 8 4" xfId="21146" xr:uid="{00000000-0005-0000-0000-000016150000}"/>
    <cellStyle name="Entrada 3 2 3 3 9" xfId="5016" xr:uid="{00000000-0005-0000-0000-000017150000}"/>
    <cellStyle name="Entrada 3 2 3 3 9 2" xfId="15976" xr:uid="{00000000-0005-0000-0000-000018150000}"/>
    <cellStyle name="Entrada 3 2 3 3 9 3" xfId="13003" xr:uid="{00000000-0005-0000-0000-000019150000}"/>
    <cellStyle name="Entrada 3 2 3 4" xfId="3058" xr:uid="{00000000-0005-0000-0000-00001A150000}"/>
    <cellStyle name="Entrada 3 2 3 4 2" xfId="3445" xr:uid="{00000000-0005-0000-0000-00001B150000}"/>
    <cellStyle name="Entrada 3 2 3 4 2 2" xfId="7871" xr:uid="{00000000-0005-0000-0000-00001C150000}"/>
    <cellStyle name="Entrada 3 2 3 4 2 2 2" xfId="18128" xr:uid="{00000000-0005-0000-0000-00001D150000}"/>
    <cellStyle name="Entrada 3 2 3 4 2 2 3" xfId="21389" xr:uid="{00000000-0005-0000-0000-00001E150000}"/>
    <cellStyle name="Entrada 3 2 3 4 2 3" xfId="9554" xr:uid="{00000000-0005-0000-0000-00001F150000}"/>
    <cellStyle name="Entrada 3 2 3 4 2 4" xfId="14810" xr:uid="{00000000-0005-0000-0000-000020150000}"/>
    <cellStyle name="Entrada 3 2 3 4 2 5" xfId="14599" xr:uid="{00000000-0005-0000-0000-000021150000}"/>
    <cellStyle name="Entrada 3 2 3 4 3" xfId="3828" xr:uid="{00000000-0005-0000-0000-000022150000}"/>
    <cellStyle name="Entrada 3 2 3 4 3 2" xfId="15086" xr:uid="{00000000-0005-0000-0000-000023150000}"/>
    <cellStyle name="Entrada 3 2 3 4 3 3" xfId="14101" xr:uid="{00000000-0005-0000-0000-000024150000}"/>
    <cellStyle name="Entrada 3 2 3 4 4" xfId="4211" xr:uid="{00000000-0005-0000-0000-000025150000}"/>
    <cellStyle name="Entrada 3 2 3 4 4 2" xfId="15361" xr:uid="{00000000-0005-0000-0000-000026150000}"/>
    <cellStyle name="Entrada 3 2 3 4 4 3" xfId="13794" xr:uid="{00000000-0005-0000-0000-000027150000}"/>
    <cellStyle name="Entrada 3 2 3 4 5" xfId="4593" xr:uid="{00000000-0005-0000-0000-000028150000}"/>
    <cellStyle name="Entrada 3 2 3 4 5 2" xfId="15635" xr:uid="{00000000-0005-0000-0000-000029150000}"/>
    <cellStyle name="Entrada 3 2 3 4 5 3" xfId="13412" xr:uid="{00000000-0005-0000-0000-00002A150000}"/>
    <cellStyle name="Entrada 3 2 3 4 6" xfId="6163" xr:uid="{00000000-0005-0000-0000-00002B150000}"/>
    <cellStyle name="Entrada 3 2 3 4 6 2" xfId="16836" xr:uid="{00000000-0005-0000-0000-00002C150000}"/>
    <cellStyle name="Entrada 3 2 3 4 6 3" xfId="19681" xr:uid="{00000000-0005-0000-0000-00002D150000}"/>
    <cellStyle name="Entrada 3 2 3 4 7" xfId="9198" xr:uid="{00000000-0005-0000-0000-00002E150000}"/>
    <cellStyle name="Entrada 3 2 3 4 8" xfId="14530" xr:uid="{00000000-0005-0000-0000-00002F150000}"/>
    <cellStyle name="Entrada 3 2 3 4 9" xfId="14557" xr:uid="{00000000-0005-0000-0000-000030150000}"/>
    <cellStyle name="Entrada 3 2 3 5" xfId="2872" xr:uid="{00000000-0005-0000-0000-000031150000}"/>
    <cellStyle name="Entrada 3 2 3 5 2" xfId="7175" xr:uid="{00000000-0005-0000-0000-000032150000}"/>
    <cellStyle name="Entrada 3 2 3 5 2 2" xfId="11305" xr:uid="{00000000-0005-0000-0000-000033150000}"/>
    <cellStyle name="Entrada 3 2 3 5 2 3" xfId="17586" xr:uid="{00000000-0005-0000-0000-000034150000}"/>
    <cellStyle name="Entrada 3 2 3 5 2 4" xfId="20693" xr:uid="{00000000-0005-0000-0000-000035150000}"/>
    <cellStyle name="Entrada 3 2 3 5 3" xfId="5466" xr:uid="{00000000-0005-0000-0000-000036150000}"/>
    <cellStyle name="Entrada 3 2 3 5 3 2" xfId="16296" xr:uid="{00000000-0005-0000-0000-000037150000}"/>
    <cellStyle name="Entrada 3 2 3 5 3 3" xfId="18984" xr:uid="{00000000-0005-0000-0000-000038150000}"/>
    <cellStyle name="Entrada 3 2 3 5 4" xfId="9025" xr:uid="{00000000-0005-0000-0000-000039150000}"/>
    <cellStyle name="Entrada 3 2 3 5 5" xfId="14406" xr:uid="{00000000-0005-0000-0000-00003A150000}"/>
    <cellStyle name="Entrada 3 2 3 5 6" xfId="15026" xr:uid="{00000000-0005-0000-0000-00003B150000}"/>
    <cellStyle name="Entrada 3 2 3 6" xfId="6380" xr:uid="{00000000-0005-0000-0000-00003C150000}"/>
    <cellStyle name="Entrada 3 2 3 6 2" xfId="8088" xr:uid="{00000000-0005-0000-0000-00003D150000}"/>
    <cellStyle name="Entrada 3 2 3 6 2 2" xfId="12056" xr:uid="{00000000-0005-0000-0000-00003E150000}"/>
    <cellStyle name="Entrada 3 2 3 6 2 3" xfId="18294" xr:uid="{00000000-0005-0000-0000-00003F150000}"/>
    <cellStyle name="Entrada 3 2 3 6 2 4" xfId="21606" xr:uid="{00000000-0005-0000-0000-000040150000}"/>
    <cellStyle name="Entrada 3 2 3 6 3" xfId="10898" xr:uid="{00000000-0005-0000-0000-000041150000}"/>
    <cellStyle name="Entrada 3 2 3 6 4" xfId="17003" xr:uid="{00000000-0005-0000-0000-000042150000}"/>
    <cellStyle name="Entrada 3 2 3 6 5" xfId="19898" xr:uid="{00000000-0005-0000-0000-000043150000}"/>
    <cellStyle name="Entrada 3 2 3 7" xfId="6612" xr:uid="{00000000-0005-0000-0000-000044150000}"/>
    <cellStyle name="Entrada 3 2 3 7 2" xfId="8320" xr:uid="{00000000-0005-0000-0000-000045150000}"/>
    <cellStyle name="Entrada 3 2 3 7 2 2" xfId="12288" xr:uid="{00000000-0005-0000-0000-000046150000}"/>
    <cellStyle name="Entrada 3 2 3 7 2 3" xfId="18465" xr:uid="{00000000-0005-0000-0000-000047150000}"/>
    <cellStyle name="Entrada 3 2 3 7 2 4" xfId="21838" xr:uid="{00000000-0005-0000-0000-000048150000}"/>
    <cellStyle name="Entrada 3 2 3 7 3" xfId="10938" xr:uid="{00000000-0005-0000-0000-000049150000}"/>
    <cellStyle name="Entrada 3 2 3 7 4" xfId="17174" xr:uid="{00000000-0005-0000-0000-00004A150000}"/>
    <cellStyle name="Entrada 3 2 3 7 5" xfId="20130" xr:uid="{00000000-0005-0000-0000-00004B150000}"/>
    <cellStyle name="Entrada 3 2 3 8" xfId="6844" xr:uid="{00000000-0005-0000-0000-00004C150000}"/>
    <cellStyle name="Entrada 3 2 3 8 2" xfId="8552" xr:uid="{00000000-0005-0000-0000-00004D150000}"/>
    <cellStyle name="Entrada 3 2 3 8 2 2" xfId="12520" xr:uid="{00000000-0005-0000-0000-00004E150000}"/>
    <cellStyle name="Entrada 3 2 3 8 2 3" xfId="18636" xr:uid="{00000000-0005-0000-0000-00004F150000}"/>
    <cellStyle name="Entrada 3 2 3 8 2 4" xfId="22070" xr:uid="{00000000-0005-0000-0000-000050150000}"/>
    <cellStyle name="Entrada 3 2 3 8 3" xfId="10978" xr:uid="{00000000-0005-0000-0000-000051150000}"/>
    <cellStyle name="Entrada 3 2 3 8 4" xfId="17344" xr:uid="{00000000-0005-0000-0000-000052150000}"/>
    <cellStyle name="Entrada 3 2 3 8 5" xfId="20362" xr:uid="{00000000-0005-0000-0000-000053150000}"/>
    <cellStyle name="Entrada 3 2 3 9" xfId="5810" xr:uid="{00000000-0005-0000-0000-000054150000}"/>
    <cellStyle name="Entrada 3 2 3 9 2" xfId="10573" xr:uid="{00000000-0005-0000-0000-000055150000}"/>
    <cellStyle name="Entrada 3 2 3 9 3" xfId="16573" xr:uid="{00000000-0005-0000-0000-000056150000}"/>
    <cellStyle name="Entrada 3 2 3 9 4" xfId="19328" xr:uid="{00000000-0005-0000-0000-000057150000}"/>
    <cellStyle name="Entrada 3 2 4" xfId="2830" xr:uid="{00000000-0005-0000-0000-000058150000}"/>
    <cellStyle name="Entrada 3 2 4 10" xfId="8983" xr:uid="{00000000-0005-0000-0000-000059150000}"/>
    <cellStyle name="Entrada 3 2 4 11" xfId="14371" xr:uid="{00000000-0005-0000-0000-00005A150000}"/>
    <cellStyle name="Entrada 3 2 4 12" xfId="14733" xr:uid="{00000000-0005-0000-0000-00005B150000}"/>
    <cellStyle name="Entrada 3 2 4 2" xfId="2767" xr:uid="{00000000-0005-0000-0000-00005C150000}"/>
    <cellStyle name="Entrada 3 2 4 2 2" xfId="7266" xr:uid="{00000000-0005-0000-0000-00005D150000}"/>
    <cellStyle name="Entrada 3 2 4 2 2 2" xfId="11371" xr:uid="{00000000-0005-0000-0000-00005E150000}"/>
    <cellStyle name="Entrada 3 2 4 2 2 3" xfId="17666" xr:uid="{00000000-0005-0000-0000-00005F150000}"/>
    <cellStyle name="Entrada 3 2 4 2 2 4" xfId="20784" xr:uid="{00000000-0005-0000-0000-000060150000}"/>
    <cellStyle name="Entrada 3 2 4 2 3" xfId="5557" xr:uid="{00000000-0005-0000-0000-000061150000}"/>
    <cellStyle name="Entrada 3 2 4 2 3 2" xfId="16375" xr:uid="{00000000-0005-0000-0000-000062150000}"/>
    <cellStyle name="Entrada 3 2 4 2 3 3" xfId="19075" xr:uid="{00000000-0005-0000-0000-000063150000}"/>
    <cellStyle name="Entrada 3 2 4 2 4" xfId="8922" xr:uid="{00000000-0005-0000-0000-000064150000}"/>
    <cellStyle name="Entrada 3 2 4 2 5" xfId="14318" xr:uid="{00000000-0005-0000-0000-000065150000}"/>
    <cellStyle name="Entrada 3 2 4 2 6" xfId="17601" xr:uid="{00000000-0005-0000-0000-000066150000}"/>
    <cellStyle name="Entrada 3 2 4 3" xfId="3314" xr:uid="{00000000-0005-0000-0000-000067150000}"/>
    <cellStyle name="Entrada 3 2 4 3 2" xfId="8037" xr:uid="{00000000-0005-0000-0000-000068150000}"/>
    <cellStyle name="Entrada 3 2 4 3 2 2" xfId="12009" xr:uid="{00000000-0005-0000-0000-000069150000}"/>
    <cellStyle name="Entrada 3 2 4 3 2 3" xfId="18250" xr:uid="{00000000-0005-0000-0000-00006A150000}"/>
    <cellStyle name="Entrada 3 2 4 3 2 4" xfId="21555" xr:uid="{00000000-0005-0000-0000-00006B150000}"/>
    <cellStyle name="Entrada 3 2 4 3 3" xfId="6329" xr:uid="{00000000-0005-0000-0000-00006C150000}"/>
    <cellStyle name="Entrada 3 2 4 3 3 2" xfId="16959" xr:uid="{00000000-0005-0000-0000-00006D150000}"/>
    <cellStyle name="Entrada 3 2 4 3 3 3" xfId="19847" xr:uid="{00000000-0005-0000-0000-00006E150000}"/>
    <cellStyle name="Entrada 3 2 4 3 4" xfId="9444" xr:uid="{00000000-0005-0000-0000-00006F150000}"/>
    <cellStyle name="Entrada 3 2 4 3 5" xfId="14726" xr:uid="{00000000-0005-0000-0000-000070150000}"/>
    <cellStyle name="Entrada 3 2 4 3 6" xfId="15003" xr:uid="{00000000-0005-0000-0000-000071150000}"/>
    <cellStyle name="Entrada 3 2 4 4" xfId="2805" xr:uid="{00000000-0005-0000-0000-000072150000}"/>
    <cellStyle name="Entrada 3 2 4 4 2" xfId="8144" xr:uid="{00000000-0005-0000-0000-000073150000}"/>
    <cellStyle name="Entrada 3 2 4 4 2 2" xfId="12112" xr:uid="{00000000-0005-0000-0000-000074150000}"/>
    <cellStyle name="Entrada 3 2 4 4 2 3" xfId="18347" xr:uid="{00000000-0005-0000-0000-000075150000}"/>
    <cellStyle name="Entrada 3 2 4 4 2 4" xfId="21662" xr:uid="{00000000-0005-0000-0000-000076150000}"/>
    <cellStyle name="Entrada 3 2 4 4 3" xfId="6436" xr:uid="{00000000-0005-0000-0000-000077150000}"/>
    <cellStyle name="Entrada 3 2 4 4 3 2" xfId="17056" xr:uid="{00000000-0005-0000-0000-000078150000}"/>
    <cellStyle name="Entrada 3 2 4 4 3 3" xfId="19954" xr:uid="{00000000-0005-0000-0000-000079150000}"/>
    <cellStyle name="Entrada 3 2 4 4 4" xfId="8960" xr:uid="{00000000-0005-0000-0000-00007A150000}"/>
    <cellStyle name="Entrada 3 2 4 4 5" xfId="14349" xr:uid="{00000000-0005-0000-0000-00007B150000}"/>
    <cellStyle name="Entrada 3 2 4 4 6" xfId="18386" xr:uid="{00000000-0005-0000-0000-00007C150000}"/>
    <cellStyle name="Entrada 3 2 4 5" xfId="2803" xr:uid="{00000000-0005-0000-0000-00007D150000}"/>
    <cellStyle name="Entrada 3 2 4 5 2" xfId="8376" xr:uid="{00000000-0005-0000-0000-00007E150000}"/>
    <cellStyle name="Entrada 3 2 4 5 2 2" xfId="12344" xr:uid="{00000000-0005-0000-0000-00007F150000}"/>
    <cellStyle name="Entrada 3 2 4 5 2 3" xfId="18518" xr:uid="{00000000-0005-0000-0000-000080150000}"/>
    <cellStyle name="Entrada 3 2 4 5 2 4" xfId="21894" xr:uid="{00000000-0005-0000-0000-000081150000}"/>
    <cellStyle name="Entrada 3 2 4 5 3" xfId="6668" xr:uid="{00000000-0005-0000-0000-000082150000}"/>
    <cellStyle name="Entrada 3 2 4 5 3 2" xfId="17227" xr:uid="{00000000-0005-0000-0000-000083150000}"/>
    <cellStyle name="Entrada 3 2 4 5 3 3" xfId="20186" xr:uid="{00000000-0005-0000-0000-000084150000}"/>
    <cellStyle name="Entrada 3 2 4 5 4" xfId="8958" xr:uid="{00000000-0005-0000-0000-000085150000}"/>
    <cellStyle name="Entrada 3 2 4 5 5" xfId="14348" xr:uid="{00000000-0005-0000-0000-000086150000}"/>
    <cellStyle name="Entrada 3 2 4 5 6" xfId="15694" xr:uid="{00000000-0005-0000-0000-000087150000}"/>
    <cellStyle name="Entrada 3 2 4 6" xfId="6900" xr:uid="{00000000-0005-0000-0000-000088150000}"/>
    <cellStyle name="Entrada 3 2 4 6 2" xfId="8608" xr:uid="{00000000-0005-0000-0000-000089150000}"/>
    <cellStyle name="Entrada 3 2 4 6 2 2" xfId="12576" xr:uid="{00000000-0005-0000-0000-00008A150000}"/>
    <cellStyle name="Entrada 3 2 4 6 2 3" xfId="18689" xr:uid="{00000000-0005-0000-0000-00008B150000}"/>
    <cellStyle name="Entrada 3 2 4 6 2 4" xfId="22126" xr:uid="{00000000-0005-0000-0000-00008C150000}"/>
    <cellStyle name="Entrada 3 2 4 6 3" xfId="11034" xr:uid="{00000000-0005-0000-0000-00008D150000}"/>
    <cellStyle name="Entrada 3 2 4 6 4" xfId="17397" xr:uid="{00000000-0005-0000-0000-00008E150000}"/>
    <cellStyle name="Entrada 3 2 4 6 5" xfId="20418" xr:uid="{00000000-0005-0000-0000-00008F150000}"/>
    <cellStyle name="Entrada 3 2 4 7" xfId="5888" xr:uid="{00000000-0005-0000-0000-000090150000}"/>
    <cellStyle name="Entrada 3 2 4 7 2" xfId="10629" xr:uid="{00000000-0005-0000-0000-000091150000}"/>
    <cellStyle name="Entrada 3 2 4 7 3" xfId="16635" xr:uid="{00000000-0005-0000-0000-000092150000}"/>
    <cellStyle name="Entrada 3 2 4 7 4" xfId="19406" xr:uid="{00000000-0005-0000-0000-000093150000}"/>
    <cellStyle name="Entrada 3 2 4 8" xfId="7596" xr:uid="{00000000-0005-0000-0000-000094150000}"/>
    <cellStyle name="Entrada 3 2 4 8 2" xfId="11617" xr:uid="{00000000-0005-0000-0000-000095150000}"/>
    <cellStyle name="Entrada 3 2 4 8 3" xfId="17927" xr:uid="{00000000-0005-0000-0000-000096150000}"/>
    <cellStyle name="Entrada 3 2 4 8 4" xfId="21114" xr:uid="{00000000-0005-0000-0000-000097150000}"/>
    <cellStyle name="Entrada 3 2 4 9" xfId="4981" xr:uid="{00000000-0005-0000-0000-000098150000}"/>
    <cellStyle name="Entrada 3 2 4 9 2" xfId="15948" xr:uid="{00000000-0005-0000-0000-000099150000}"/>
    <cellStyle name="Entrada 3 2 4 9 3" xfId="13038" xr:uid="{00000000-0005-0000-0000-00009A150000}"/>
    <cellStyle name="Entrada 3 2 5" xfId="3116" xr:uid="{00000000-0005-0000-0000-00009B150000}"/>
    <cellStyle name="Entrada 3 2 5 2" xfId="3503" xr:uid="{00000000-0005-0000-0000-00009C150000}"/>
    <cellStyle name="Entrada 3 2 5 2 2" xfId="7412" xr:uid="{00000000-0005-0000-0000-00009D150000}"/>
    <cellStyle name="Entrada 3 2 5 2 2 2" xfId="17783" xr:uid="{00000000-0005-0000-0000-00009E150000}"/>
    <cellStyle name="Entrada 3 2 5 2 2 3" xfId="20930" xr:uid="{00000000-0005-0000-0000-00009F150000}"/>
    <cellStyle name="Entrada 3 2 5 2 3" xfId="9596" xr:uid="{00000000-0005-0000-0000-0000A0150000}"/>
    <cellStyle name="Entrada 3 2 5 2 4" xfId="14854" xr:uid="{00000000-0005-0000-0000-0000A1150000}"/>
    <cellStyle name="Entrada 3 2 5 2 5" xfId="16016" xr:uid="{00000000-0005-0000-0000-0000A2150000}"/>
    <cellStyle name="Entrada 3 2 5 3" xfId="3886" xr:uid="{00000000-0005-0000-0000-0000A3150000}"/>
    <cellStyle name="Entrada 3 2 5 3 2" xfId="15130" xr:uid="{00000000-0005-0000-0000-0000A4150000}"/>
    <cellStyle name="Entrada 3 2 5 3 3" xfId="14138" xr:uid="{00000000-0005-0000-0000-0000A5150000}"/>
    <cellStyle name="Entrada 3 2 5 4" xfId="4269" xr:uid="{00000000-0005-0000-0000-0000A6150000}"/>
    <cellStyle name="Entrada 3 2 5 4 2" xfId="15405" xr:uid="{00000000-0005-0000-0000-0000A7150000}"/>
    <cellStyle name="Entrada 3 2 5 4 3" xfId="13736" xr:uid="{00000000-0005-0000-0000-0000A8150000}"/>
    <cellStyle name="Entrada 3 2 5 5" xfId="4651" xr:uid="{00000000-0005-0000-0000-0000A9150000}"/>
    <cellStyle name="Entrada 3 2 5 5 2" xfId="15679" xr:uid="{00000000-0005-0000-0000-0000AA150000}"/>
    <cellStyle name="Entrada 3 2 5 5 3" xfId="13354" xr:uid="{00000000-0005-0000-0000-0000AB150000}"/>
    <cellStyle name="Entrada 3 2 5 6" xfId="5703" xr:uid="{00000000-0005-0000-0000-0000AC150000}"/>
    <cellStyle name="Entrada 3 2 5 6 2" xfId="16492" xr:uid="{00000000-0005-0000-0000-0000AD150000}"/>
    <cellStyle name="Entrada 3 2 5 6 3" xfId="19221" xr:uid="{00000000-0005-0000-0000-0000AE150000}"/>
    <cellStyle name="Entrada 3 2 5 7" xfId="9247" xr:uid="{00000000-0005-0000-0000-0000AF150000}"/>
    <cellStyle name="Entrada 3 2 5 8" xfId="14574" xr:uid="{00000000-0005-0000-0000-0000B0150000}"/>
    <cellStyle name="Entrada 3 2 5 9" xfId="14621" xr:uid="{00000000-0005-0000-0000-0000B1150000}"/>
    <cellStyle name="Entrada 3 2 6" xfId="3037" xr:uid="{00000000-0005-0000-0000-0000B2150000}"/>
    <cellStyle name="Entrada 3 2 6 2" xfId="3424" xr:uid="{00000000-0005-0000-0000-0000B3150000}"/>
    <cellStyle name="Entrada 3 2 6 2 2" xfId="7885" xr:uid="{00000000-0005-0000-0000-0000B4150000}"/>
    <cellStyle name="Entrada 3 2 6 2 2 2" xfId="18141" xr:uid="{00000000-0005-0000-0000-0000B5150000}"/>
    <cellStyle name="Entrada 3 2 6 2 2 3" xfId="21403" xr:uid="{00000000-0005-0000-0000-0000B6150000}"/>
    <cellStyle name="Entrada 3 2 6 2 3" xfId="9537" xr:uid="{00000000-0005-0000-0000-0000B7150000}"/>
    <cellStyle name="Entrada 3 2 6 2 4" xfId="14792" xr:uid="{00000000-0005-0000-0000-0000B8150000}"/>
    <cellStyle name="Entrada 3 2 6 2 5" xfId="15341" xr:uid="{00000000-0005-0000-0000-0000B9150000}"/>
    <cellStyle name="Entrada 3 2 6 3" xfId="3807" xr:uid="{00000000-0005-0000-0000-0000BA150000}"/>
    <cellStyle name="Entrada 3 2 6 3 2" xfId="15068" xr:uid="{00000000-0005-0000-0000-0000BB150000}"/>
    <cellStyle name="Entrada 3 2 6 3 3" xfId="18418" xr:uid="{00000000-0005-0000-0000-0000BC150000}"/>
    <cellStyle name="Entrada 3 2 6 4" xfId="4190" xr:uid="{00000000-0005-0000-0000-0000BD150000}"/>
    <cellStyle name="Entrada 3 2 6 4 2" xfId="15343" xr:uid="{00000000-0005-0000-0000-0000BE150000}"/>
    <cellStyle name="Entrada 3 2 6 4 3" xfId="13815" xr:uid="{00000000-0005-0000-0000-0000BF150000}"/>
    <cellStyle name="Entrada 3 2 6 5" xfId="4572" xr:uid="{00000000-0005-0000-0000-0000C0150000}"/>
    <cellStyle name="Entrada 3 2 6 5 2" xfId="15617" xr:uid="{00000000-0005-0000-0000-0000C1150000}"/>
    <cellStyle name="Entrada 3 2 6 5 3" xfId="13433" xr:uid="{00000000-0005-0000-0000-0000C2150000}"/>
    <cellStyle name="Entrada 3 2 6 6" xfId="6177" xr:uid="{00000000-0005-0000-0000-0000C3150000}"/>
    <cellStyle name="Entrada 3 2 6 6 2" xfId="16849" xr:uid="{00000000-0005-0000-0000-0000C4150000}"/>
    <cellStyle name="Entrada 3 2 6 6 3" xfId="19695" xr:uid="{00000000-0005-0000-0000-0000C5150000}"/>
    <cellStyle name="Entrada 3 2 6 7" xfId="9177" xr:uid="{00000000-0005-0000-0000-0000C6150000}"/>
    <cellStyle name="Entrada 3 2 6 8" xfId="14512" xr:uid="{00000000-0005-0000-0000-0000C7150000}"/>
    <cellStyle name="Entrada 3 2 6 9" xfId="15299" xr:uid="{00000000-0005-0000-0000-0000C8150000}"/>
    <cellStyle name="Entrada 3 2 7" xfId="6067" xr:uid="{00000000-0005-0000-0000-0000C9150000}"/>
    <cellStyle name="Entrada 3 2 7 2" xfId="7775" xr:uid="{00000000-0005-0000-0000-0000CA150000}"/>
    <cellStyle name="Entrada 3 2 7 2 2" xfId="11796" xr:uid="{00000000-0005-0000-0000-0000CB150000}"/>
    <cellStyle name="Entrada 3 2 7 2 3" xfId="18046" xr:uid="{00000000-0005-0000-0000-0000CC150000}"/>
    <cellStyle name="Entrada 3 2 7 2 4" xfId="21293" xr:uid="{00000000-0005-0000-0000-0000CD150000}"/>
    <cellStyle name="Entrada 3 2 7 3" xfId="10798" xr:uid="{00000000-0005-0000-0000-0000CE150000}"/>
    <cellStyle name="Entrada 3 2 7 4" xfId="16754" xr:uid="{00000000-0005-0000-0000-0000CF150000}"/>
    <cellStyle name="Entrada 3 2 7 5" xfId="19585" xr:uid="{00000000-0005-0000-0000-0000D0150000}"/>
    <cellStyle name="Entrada 3 2 8" xfId="6197" xr:uid="{00000000-0005-0000-0000-0000D1150000}"/>
    <cellStyle name="Entrada 3 2 8 2" xfId="7905" xr:uid="{00000000-0005-0000-0000-0000D2150000}"/>
    <cellStyle name="Entrada 3 2 8 2 2" xfId="11887" xr:uid="{00000000-0005-0000-0000-0000D3150000}"/>
    <cellStyle name="Entrada 3 2 8 2 3" xfId="18159" xr:uid="{00000000-0005-0000-0000-0000D4150000}"/>
    <cellStyle name="Entrada 3 2 8 2 4" xfId="21423" xr:uid="{00000000-0005-0000-0000-0000D5150000}"/>
    <cellStyle name="Entrada 3 2 8 3" xfId="10844" xr:uid="{00000000-0005-0000-0000-0000D6150000}"/>
    <cellStyle name="Entrada 3 2 8 4" xfId="16867" xr:uid="{00000000-0005-0000-0000-0000D7150000}"/>
    <cellStyle name="Entrada 3 2 8 5" xfId="19715" xr:uid="{00000000-0005-0000-0000-0000D8150000}"/>
    <cellStyle name="Entrada 3 2 9" xfId="5258" xr:uid="{00000000-0005-0000-0000-0000D9150000}"/>
    <cellStyle name="Entrada 3 2 9 2" xfId="10398" xr:uid="{00000000-0005-0000-0000-0000DA150000}"/>
    <cellStyle name="Entrada 3 2 9 3" xfId="16140" xr:uid="{00000000-0005-0000-0000-0000DB150000}"/>
    <cellStyle name="Entrada 3 2 9 4" xfId="12836" xr:uid="{00000000-0005-0000-0000-0000DC150000}"/>
    <cellStyle name="Entrada 3 3" xfId="2687" xr:uid="{00000000-0005-0000-0000-0000DD150000}"/>
    <cellStyle name="Entrada 3 3 10" xfId="5733" xr:uid="{00000000-0005-0000-0000-0000DE150000}"/>
    <cellStyle name="Entrada 3 3 10 2" xfId="10515" xr:uid="{00000000-0005-0000-0000-0000DF150000}"/>
    <cellStyle name="Entrada 3 3 10 3" xfId="16516" xr:uid="{00000000-0005-0000-0000-0000E0150000}"/>
    <cellStyle name="Entrada 3 3 10 4" xfId="19251" xr:uid="{00000000-0005-0000-0000-0000E1150000}"/>
    <cellStyle name="Entrada 3 3 11" xfId="7442" xr:uid="{00000000-0005-0000-0000-0000E2150000}"/>
    <cellStyle name="Entrada 3 3 11 2" xfId="11502" xr:uid="{00000000-0005-0000-0000-0000E3150000}"/>
    <cellStyle name="Entrada 3 3 11 3" xfId="17807" xr:uid="{00000000-0005-0000-0000-0000E4150000}"/>
    <cellStyle name="Entrada 3 3 11 4" xfId="20960" xr:uid="{00000000-0005-0000-0000-0000E5150000}"/>
    <cellStyle name="Entrada 3 3 12" xfId="4865" xr:uid="{00000000-0005-0000-0000-0000E6150000}"/>
    <cellStyle name="Entrada 3 3 12 2" xfId="15842" xr:uid="{00000000-0005-0000-0000-0000E7150000}"/>
    <cellStyle name="Entrada 3 3 12 3" xfId="13141" xr:uid="{00000000-0005-0000-0000-0000E8150000}"/>
    <cellStyle name="Entrada 3 3 13" xfId="8842" xr:uid="{00000000-0005-0000-0000-0000E9150000}"/>
    <cellStyle name="Entrada 3 3 14" xfId="14260" xr:uid="{00000000-0005-0000-0000-0000EA150000}"/>
    <cellStyle name="Entrada 3 3 15" xfId="17993" xr:uid="{00000000-0005-0000-0000-0000EB150000}"/>
    <cellStyle name="Entrada 3 3 2" xfId="2744" xr:uid="{00000000-0005-0000-0000-0000EC150000}"/>
    <cellStyle name="Entrada 3 3 2 10" xfId="4932" xr:uid="{00000000-0005-0000-0000-0000ED150000}"/>
    <cellStyle name="Entrada 3 3 2 10 2" xfId="15902" xr:uid="{00000000-0005-0000-0000-0000EE150000}"/>
    <cellStyle name="Entrada 3 3 2 10 3" xfId="13087" xr:uid="{00000000-0005-0000-0000-0000EF150000}"/>
    <cellStyle name="Entrada 3 3 2 11" xfId="8899" xr:uid="{00000000-0005-0000-0000-0000F0150000}"/>
    <cellStyle name="Entrada 3 3 2 12" xfId="14303" xr:uid="{00000000-0005-0000-0000-0000F1150000}"/>
    <cellStyle name="Entrada 3 3 2 2" xfId="3234" xr:uid="{00000000-0005-0000-0000-0000F2150000}"/>
    <cellStyle name="Entrada 3 3 2 2 10" xfId="9364" xr:uid="{00000000-0005-0000-0000-0000F3150000}"/>
    <cellStyle name="Entrada 3 3 2 2 11" xfId="14668" xr:uid="{00000000-0005-0000-0000-0000F4150000}"/>
    <cellStyle name="Entrada 3 3 2 2 12" xfId="15064" xr:uid="{00000000-0005-0000-0000-0000F5150000}"/>
    <cellStyle name="Entrada 3 3 2 2 2" xfId="3621" xr:uid="{00000000-0005-0000-0000-0000F6150000}"/>
    <cellStyle name="Entrada 3 3 2 2 2 2" xfId="7982" xr:uid="{00000000-0005-0000-0000-0000F7150000}"/>
    <cellStyle name="Entrada 3 3 2 2 2 2 2" xfId="11958" xr:uid="{00000000-0005-0000-0000-0000F8150000}"/>
    <cellStyle name="Entrada 3 3 2 2 2 2 3" xfId="18207" xr:uid="{00000000-0005-0000-0000-0000F9150000}"/>
    <cellStyle name="Entrada 3 3 2 2 2 2 4" xfId="21500" xr:uid="{00000000-0005-0000-0000-0000FA150000}"/>
    <cellStyle name="Entrada 3 3 2 2 2 3" xfId="6274" xr:uid="{00000000-0005-0000-0000-0000FB150000}"/>
    <cellStyle name="Entrada 3 3 2 2 2 3 2" xfId="16916" xr:uid="{00000000-0005-0000-0000-0000FC150000}"/>
    <cellStyle name="Entrada 3 3 2 2 2 3 3" xfId="19792" xr:uid="{00000000-0005-0000-0000-0000FD150000}"/>
    <cellStyle name="Entrada 3 3 2 2 2 4" xfId="9713" xr:uid="{00000000-0005-0000-0000-0000FE150000}"/>
    <cellStyle name="Entrada 3 3 2 2 2 5" xfId="14948" xr:uid="{00000000-0005-0000-0000-0000FF150000}"/>
    <cellStyle name="Entrada 3 3 2 2 2 6" xfId="16908" xr:uid="{00000000-0005-0000-0000-000000160000}"/>
    <cellStyle name="Entrada 3 3 2 2 3" xfId="4004" xr:uid="{00000000-0005-0000-0000-000001160000}"/>
    <cellStyle name="Entrada 3 3 2 2 3 2" xfId="7771" xr:uid="{00000000-0005-0000-0000-000002160000}"/>
    <cellStyle name="Entrada 3 3 2 2 3 2 2" xfId="11792" xr:uid="{00000000-0005-0000-0000-000003160000}"/>
    <cellStyle name="Entrada 3 3 2 2 3 2 3" xfId="18044" xr:uid="{00000000-0005-0000-0000-000004160000}"/>
    <cellStyle name="Entrada 3 3 2 2 3 2 4" xfId="21289" xr:uid="{00000000-0005-0000-0000-000005160000}"/>
    <cellStyle name="Entrada 3 3 2 2 3 3" xfId="6063" xr:uid="{00000000-0005-0000-0000-000006160000}"/>
    <cellStyle name="Entrada 3 3 2 2 3 3 2" xfId="16752" xr:uid="{00000000-0005-0000-0000-000007160000}"/>
    <cellStyle name="Entrada 3 3 2 2 3 3 3" xfId="19581" xr:uid="{00000000-0005-0000-0000-000008160000}"/>
    <cellStyle name="Entrada 3 3 2 2 3 4" xfId="9923" xr:uid="{00000000-0005-0000-0000-000009160000}"/>
    <cellStyle name="Entrada 3 3 2 2 3 5" xfId="15223" xr:uid="{00000000-0005-0000-0000-00000A160000}"/>
    <cellStyle name="Entrada 3 3 2 2 3 6" xfId="13987" xr:uid="{00000000-0005-0000-0000-00000B160000}"/>
    <cellStyle name="Entrada 3 3 2 2 4" xfId="4387" xr:uid="{00000000-0005-0000-0000-00000C160000}"/>
    <cellStyle name="Entrada 3 3 2 2 4 2" xfId="8289" xr:uid="{00000000-0005-0000-0000-00000D160000}"/>
    <cellStyle name="Entrada 3 3 2 2 4 2 2" xfId="12257" xr:uid="{00000000-0005-0000-0000-00000E160000}"/>
    <cellStyle name="Entrada 3 3 2 2 4 2 3" xfId="18441" xr:uid="{00000000-0005-0000-0000-00000F160000}"/>
    <cellStyle name="Entrada 3 3 2 2 4 2 4" xfId="21807" xr:uid="{00000000-0005-0000-0000-000010160000}"/>
    <cellStyle name="Entrada 3 3 2 2 4 3" xfId="6581" xr:uid="{00000000-0005-0000-0000-000011160000}"/>
    <cellStyle name="Entrada 3 3 2 2 4 3 2" xfId="17150" xr:uid="{00000000-0005-0000-0000-000012160000}"/>
    <cellStyle name="Entrada 3 3 2 2 4 3 3" xfId="20099" xr:uid="{00000000-0005-0000-0000-000013160000}"/>
    <cellStyle name="Entrada 3 3 2 2 4 4" xfId="10101" xr:uid="{00000000-0005-0000-0000-000014160000}"/>
    <cellStyle name="Entrada 3 3 2 2 4 5" xfId="15499" xr:uid="{00000000-0005-0000-0000-000015160000}"/>
    <cellStyle name="Entrada 3 3 2 2 4 6" xfId="13618" xr:uid="{00000000-0005-0000-0000-000016160000}"/>
    <cellStyle name="Entrada 3 3 2 2 5" xfId="4769" xr:uid="{00000000-0005-0000-0000-000017160000}"/>
    <cellStyle name="Entrada 3 3 2 2 5 2" xfId="8521" xr:uid="{00000000-0005-0000-0000-000018160000}"/>
    <cellStyle name="Entrada 3 3 2 2 5 2 2" xfId="12489" xr:uid="{00000000-0005-0000-0000-000019160000}"/>
    <cellStyle name="Entrada 3 3 2 2 5 2 3" xfId="18612" xr:uid="{00000000-0005-0000-0000-00001A160000}"/>
    <cellStyle name="Entrada 3 3 2 2 5 2 4" xfId="22039" xr:uid="{00000000-0005-0000-0000-00001B160000}"/>
    <cellStyle name="Entrada 3 3 2 2 5 3" xfId="6813" xr:uid="{00000000-0005-0000-0000-00001C160000}"/>
    <cellStyle name="Entrada 3 3 2 2 5 3 2" xfId="17320" xr:uid="{00000000-0005-0000-0000-00001D160000}"/>
    <cellStyle name="Entrada 3 3 2 2 5 3 3" xfId="20331" xr:uid="{00000000-0005-0000-0000-00001E160000}"/>
    <cellStyle name="Entrada 3 3 2 2 5 4" xfId="10278" xr:uid="{00000000-0005-0000-0000-00001F160000}"/>
    <cellStyle name="Entrada 3 3 2 2 5 5" xfId="15771" xr:uid="{00000000-0005-0000-0000-000020160000}"/>
    <cellStyle name="Entrada 3 3 2 2 5 6" xfId="13236" xr:uid="{00000000-0005-0000-0000-000021160000}"/>
    <cellStyle name="Entrada 3 3 2 2 6" xfId="7045" xr:uid="{00000000-0005-0000-0000-000022160000}"/>
    <cellStyle name="Entrada 3 3 2 2 6 2" xfId="8753" xr:uid="{00000000-0005-0000-0000-000023160000}"/>
    <cellStyle name="Entrada 3 3 2 2 6 2 2" xfId="12721" xr:uid="{00000000-0005-0000-0000-000024160000}"/>
    <cellStyle name="Entrada 3 3 2 2 6 2 3" xfId="18784" xr:uid="{00000000-0005-0000-0000-000025160000}"/>
    <cellStyle name="Entrada 3 3 2 2 6 2 4" xfId="22271" xr:uid="{00000000-0005-0000-0000-000026160000}"/>
    <cellStyle name="Entrada 3 3 2 2 6 3" xfId="11179" xr:uid="{00000000-0005-0000-0000-000027160000}"/>
    <cellStyle name="Entrada 3 3 2 2 6 4" xfId="17491" xr:uid="{00000000-0005-0000-0000-000028160000}"/>
    <cellStyle name="Entrada 3 3 2 2 6 5" xfId="20563" xr:uid="{00000000-0005-0000-0000-000029160000}"/>
    <cellStyle name="Entrada 3 3 2 2 7" xfId="6033" xr:uid="{00000000-0005-0000-0000-00002A160000}"/>
    <cellStyle name="Entrada 3 3 2 2 7 2" xfId="10774" xr:uid="{00000000-0005-0000-0000-00002B160000}"/>
    <cellStyle name="Entrada 3 3 2 2 7 3" xfId="16730" xr:uid="{00000000-0005-0000-0000-00002C160000}"/>
    <cellStyle name="Entrada 3 3 2 2 7 4" xfId="19551" xr:uid="{00000000-0005-0000-0000-00002D160000}"/>
    <cellStyle name="Entrada 3 3 2 2 8" xfId="7741" xr:uid="{00000000-0005-0000-0000-00002E160000}"/>
    <cellStyle name="Entrada 3 3 2 2 8 2" xfId="11762" xr:uid="{00000000-0005-0000-0000-00002F160000}"/>
    <cellStyle name="Entrada 3 3 2 2 8 3" xfId="18022" xr:uid="{00000000-0005-0000-0000-000030160000}"/>
    <cellStyle name="Entrada 3 3 2 2 8 4" xfId="21259" xr:uid="{00000000-0005-0000-0000-000031160000}"/>
    <cellStyle name="Entrada 3 3 2 2 9" xfId="5227" xr:uid="{00000000-0005-0000-0000-000032160000}"/>
    <cellStyle name="Entrada 3 3 2 2 9 2" xfId="16118" xr:uid="{00000000-0005-0000-0000-000033160000}"/>
    <cellStyle name="Entrada 3 3 2 2 9 3" xfId="12867" xr:uid="{00000000-0005-0000-0000-000034160000}"/>
    <cellStyle name="Entrada 3 3 2 3" xfId="3291" xr:uid="{00000000-0005-0000-0000-000035160000}"/>
    <cellStyle name="Entrada 3 3 2 3 2" xfId="3678" xr:uid="{00000000-0005-0000-0000-000036160000}"/>
    <cellStyle name="Entrada 3 3 2 3 2 2" xfId="7306" xr:uid="{00000000-0005-0000-0000-000037160000}"/>
    <cellStyle name="Entrada 3 3 2 3 2 2 2" xfId="17699" xr:uid="{00000000-0005-0000-0000-000038160000}"/>
    <cellStyle name="Entrada 3 3 2 3 2 2 3" xfId="20824" xr:uid="{00000000-0005-0000-0000-000039160000}"/>
    <cellStyle name="Entrada 3 3 2 3 2 3" xfId="9757" xr:uid="{00000000-0005-0000-0000-00003A160000}"/>
    <cellStyle name="Entrada 3 3 2 3 2 4" xfId="14990" xr:uid="{00000000-0005-0000-0000-00003B160000}"/>
    <cellStyle name="Entrada 3 3 2 3 2 5" xfId="15568" xr:uid="{00000000-0005-0000-0000-00003C160000}"/>
    <cellStyle name="Entrada 3 3 2 3 3" xfId="4061" xr:uid="{00000000-0005-0000-0000-00003D160000}"/>
    <cellStyle name="Entrada 3 3 2 3 3 2" xfId="15265" xr:uid="{00000000-0005-0000-0000-00003E160000}"/>
    <cellStyle name="Entrada 3 3 2 3 3 3" xfId="13930" xr:uid="{00000000-0005-0000-0000-00003F160000}"/>
    <cellStyle name="Entrada 3 3 2 3 4" xfId="4444" xr:uid="{00000000-0005-0000-0000-000040160000}"/>
    <cellStyle name="Entrada 3 3 2 3 4 2" xfId="15540" xr:uid="{00000000-0005-0000-0000-000041160000}"/>
    <cellStyle name="Entrada 3 3 2 3 4 3" xfId="13561" xr:uid="{00000000-0005-0000-0000-000042160000}"/>
    <cellStyle name="Entrada 3 3 2 3 5" xfId="4826" xr:uid="{00000000-0005-0000-0000-000043160000}"/>
    <cellStyle name="Entrada 3 3 2 3 5 2" xfId="15812" xr:uid="{00000000-0005-0000-0000-000044160000}"/>
    <cellStyle name="Entrada 3 3 2 3 5 3" xfId="13180" xr:uid="{00000000-0005-0000-0000-000045160000}"/>
    <cellStyle name="Entrada 3 3 2 3 6" xfId="5597" xr:uid="{00000000-0005-0000-0000-000046160000}"/>
    <cellStyle name="Entrada 3 3 2 3 6 2" xfId="16408" xr:uid="{00000000-0005-0000-0000-000047160000}"/>
    <cellStyle name="Entrada 3 3 2 3 6 3" xfId="19115" xr:uid="{00000000-0005-0000-0000-000048160000}"/>
    <cellStyle name="Entrada 3 3 2 3 7" xfId="9421" xr:uid="{00000000-0005-0000-0000-000049160000}"/>
    <cellStyle name="Entrada 3 3 2 3 8" xfId="14710" xr:uid="{00000000-0005-0000-0000-00004A160000}"/>
    <cellStyle name="Entrada 3 3 2 3 9" xfId="16687" xr:uid="{00000000-0005-0000-0000-00004B160000}"/>
    <cellStyle name="Entrada 3 3 2 4" xfId="2909" xr:uid="{00000000-0005-0000-0000-00004C160000}"/>
    <cellStyle name="Entrada 3 3 2 4 2" xfId="7121" xr:uid="{00000000-0005-0000-0000-00004D160000}"/>
    <cellStyle name="Entrada 3 3 2 4 2 2" xfId="11255" xr:uid="{00000000-0005-0000-0000-00004E160000}"/>
    <cellStyle name="Entrada 3 3 2 4 2 3" xfId="17541" xr:uid="{00000000-0005-0000-0000-00004F160000}"/>
    <cellStyle name="Entrada 3 3 2 4 2 4" xfId="20639" xr:uid="{00000000-0005-0000-0000-000050160000}"/>
    <cellStyle name="Entrada 3 3 2 4 3" xfId="5412" xr:uid="{00000000-0005-0000-0000-000051160000}"/>
    <cellStyle name="Entrada 3 3 2 4 3 2" xfId="16251" xr:uid="{00000000-0005-0000-0000-000052160000}"/>
    <cellStyle name="Entrada 3 3 2 4 3 3" xfId="18930" xr:uid="{00000000-0005-0000-0000-000053160000}"/>
    <cellStyle name="Entrada 3 3 2 4 4" xfId="9061" xr:uid="{00000000-0005-0000-0000-000054160000}"/>
    <cellStyle name="Entrada 3 3 2 4 5" xfId="14435" xr:uid="{00000000-0005-0000-0000-000055160000}"/>
    <cellStyle name="Entrada 3 3 2 4 6" xfId="18107" xr:uid="{00000000-0005-0000-0000-000056160000}"/>
    <cellStyle name="Entrada 3 3 2 5" xfId="6390" xr:uid="{00000000-0005-0000-0000-000057160000}"/>
    <cellStyle name="Entrada 3 3 2 5 2" xfId="8098" xr:uid="{00000000-0005-0000-0000-000058160000}"/>
    <cellStyle name="Entrada 3 3 2 5 2 2" xfId="12066" xr:uid="{00000000-0005-0000-0000-000059160000}"/>
    <cellStyle name="Entrada 3 3 2 5 2 3" xfId="18304" xr:uid="{00000000-0005-0000-0000-00005A160000}"/>
    <cellStyle name="Entrada 3 3 2 5 2 4" xfId="21616" xr:uid="{00000000-0005-0000-0000-00005B160000}"/>
    <cellStyle name="Entrada 3 3 2 5 3" xfId="10908" xr:uid="{00000000-0005-0000-0000-00005C160000}"/>
    <cellStyle name="Entrada 3 3 2 5 4" xfId="17013" xr:uid="{00000000-0005-0000-0000-00005D160000}"/>
    <cellStyle name="Entrada 3 3 2 5 5" xfId="19908" xr:uid="{00000000-0005-0000-0000-00005E160000}"/>
    <cellStyle name="Entrada 3 3 2 6" xfId="6622" xr:uid="{00000000-0005-0000-0000-00005F160000}"/>
    <cellStyle name="Entrada 3 3 2 6 2" xfId="8330" xr:uid="{00000000-0005-0000-0000-000060160000}"/>
    <cellStyle name="Entrada 3 3 2 6 2 2" xfId="12298" xr:uid="{00000000-0005-0000-0000-000061160000}"/>
    <cellStyle name="Entrada 3 3 2 6 2 3" xfId="18475" xr:uid="{00000000-0005-0000-0000-000062160000}"/>
    <cellStyle name="Entrada 3 3 2 6 2 4" xfId="21848" xr:uid="{00000000-0005-0000-0000-000063160000}"/>
    <cellStyle name="Entrada 3 3 2 6 3" xfId="10948" xr:uid="{00000000-0005-0000-0000-000064160000}"/>
    <cellStyle name="Entrada 3 3 2 6 4" xfId="17184" xr:uid="{00000000-0005-0000-0000-000065160000}"/>
    <cellStyle name="Entrada 3 3 2 6 5" xfId="20140" xr:uid="{00000000-0005-0000-0000-000066160000}"/>
    <cellStyle name="Entrada 3 3 2 7" xfId="6854" xr:uid="{00000000-0005-0000-0000-000067160000}"/>
    <cellStyle name="Entrada 3 3 2 7 2" xfId="8562" xr:uid="{00000000-0005-0000-0000-000068160000}"/>
    <cellStyle name="Entrada 3 3 2 7 2 2" xfId="12530" xr:uid="{00000000-0005-0000-0000-000069160000}"/>
    <cellStyle name="Entrada 3 3 2 7 2 3" xfId="18646" xr:uid="{00000000-0005-0000-0000-00006A160000}"/>
    <cellStyle name="Entrada 3 3 2 7 2 4" xfId="22080" xr:uid="{00000000-0005-0000-0000-00006B160000}"/>
    <cellStyle name="Entrada 3 3 2 7 3" xfId="10988" xr:uid="{00000000-0005-0000-0000-00006C160000}"/>
    <cellStyle name="Entrada 3 3 2 7 4" xfId="17354" xr:uid="{00000000-0005-0000-0000-00006D160000}"/>
    <cellStyle name="Entrada 3 3 2 7 5" xfId="20372" xr:uid="{00000000-0005-0000-0000-00006E160000}"/>
    <cellStyle name="Entrada 3 3 2 8" xfId="5823" xr:uid="{00000000-0005-0000-0000-00006F160000}"/>
    <cellStyle name="Entrada 3 3 2 8 2" xfId="10583" xr:uid="{00000000-0005-0000-0000-000070160000}"/>
    <cellStyle name="Entrada 3 3 2 8 3" xfId="16585" xr:uid="{00000000-0005-0000-0000-000071160000}"/>
    <cellStyle name="Entrada 3 3 2 8 4" xfId="19341" xr:uid="{00000000-0005-0000-0000-000072160000}"/>
    <cellStyle name="Entrada 3 3 2 9" xfId="7531" xr:uid="{00000000-0005-0000-0000-000073160000}"/>
    <cellStyle name="Entrada 3 3 2 9 2" xfId="11569" xr:uid="{00000000-0005-0000-0000-000074160000}"/>
    <cellStyle name="Entrada 3 3 2 9 3" xfId="17877" xr:uid="{00000000-0005-0000-0000-000075160000}"/>
    <cellStyle name="Entrada 3 3 2 9 4" xfId="21049" xr:uid="{00000000-0005-0000-0000-000076160000}"/>
    <cellStyle name="Entrada 3 3 3" xfId="2664" xr:uid="{00000000-0005-0000-0000-000077160000}"/>
    <cellStyle name="Entrada 3 3 3 10" xfId="4882" xr:uid="{00000000-0005-0000-0000-000078160000}"/>
    <cellStyle name="Entrada 3 3 3 10 2" xfId="15857" xr:uid="{00000000-0005-0000-0000-000079160000}"/>
    <cellStyle name="Entrada 3 3 3 10 3" xfId="13124" xr:uid="{00000000-0005-0000-0000-00007A160000}"/>
    <cellStyle name="Entrada 3 3 3 11" xfId="8821" xr:uid="{00000000-0005-0000-0000-00007B160000}"/>
    <cellStyle name="Entrada 3 3 3 12" xfId="14239" xr:uid="{00000000-0005-0000-0000-00007C160000}"/>
    <cellStyle name="Entrada 3 3 3 2" xfId="3156" xr:uid="{00000000-0005-0000-0000-00007D160000}"/>
    <cellStyle name="Entrada 3 3 3 2 10" xfId="9286" xr:uid="{00000000-0005-0000-0000-00007E160000}"/>
    <cellStyle name="Entrada 3 3 3 2 11" xfId="14607" xr:uid="{00000000-0005-0000-0000-00007F160000}"/>
    <cellStyle name="Entrada 3 3 3 2 12" xfId="15219" xr:uid="{00000000-0005-0000-0000-000080160000}"/>
    <cellStyle name="Entrada 3 3 3 2 2" xfId="3543" xr:uid="{00000000-0005-0000-0000-000081160000}"/>
    <cellStyle name="Entrada 3 3 3 2 2 2" xfId="7280" xr:uid="{00000000-0005-0000-0000-000082160000}"/>
    <cellStyle name="Entrada 3 3 3 2 2 2 2" xfId="11385" xr:uid="{00000000-0005-0000-0000-000083160000}"/>
    <cellStyle name="Entrada 3 3 3 2 2 2 3" xfId="17678" xr:uid="{00000000-0005-0000-0000-000084160000}"/>
    <cellStyle name="Entrada 3 3 3 2 2 2 4" xfId="20798" xr:uid="{00000000-0005-0000-0000-000085160000}"/>
    <cellStyle name="Entrada 3 3 3 2 2 3" xfId="5571" xr:uid="{00000000-0005-0000-0000-000086160000}"/>
    <cellStyle name="Entrada 3 3 3 2 2 3 2" xfId="16387" xr:uid="{00000000-0005-0000-0000-000087160000}"/>
    <cellStyle name="Entrada 3 3 3 2 2 3 3" xfId="19089" xr:uid="{00000000-0005-0000-0000-000088160000}"/>
    <cellStyle name="Entrada 3 3 3 2 2 4" xfId="9635" xr:uid="{00000000-0005-0000-0000-000089160000}"/>
    <cellStyle name="Entrada 3 3 3 2 2 5" xfId="14887" xr:uid="{00000000-0005-0000-0000-00008A160000}"/>
    <cellStyle name="Entrada 3 3 3 2 2 6" xfId="18568" xr:uid="{00000000-0005-0000-0000-00008B160000}"/>
    <cellStyle name="Entrada 3 3 3 2 3" xfId="3926" xr:uid="{00000000-0005-0000-0000-00008C160000}"/>
    <cellStyle name="Entrada 3 3 3 2 3 2" xfId="5074" xr:uid="{00000000-0005-0000-0000-00008D160000}"/>
    <cellStyle name="Entrada 3 3 3 2 3 2 2" xfId="10325" xr:uid="{00000000-0005-0000-0000-00008E160000}"/>
    <cellStyle name="Entrada 3 3 3 2 3 2 3" xfId="16014" xr:uid="{00000000-0005-0000-0000-00008F160000}"/>
    <cellStyle name="Entrada 3 3 3 2 3 2 4" xfId="12958" xr:uid="{00000000-0005-0000-0000-000090160000}"/>
    <cellStyle name="Entrada 3 3 3 2 3 3" xfId="5293" xr:uid="{00000000-0005-0000-0000-000091160000}"/>
    <cellStyle name="Entrada 3 3 3 2 3 3 2" xfId="16169" xr:uid="{00000000-0005-0000-0000-000092160000}"/>
    <cellStyle name="Entrada 3 3 3 2 3 3 3" xfId="18811" xr:uid="{00000000-0005-0000-0000-000093160000}"/>
    <cellStyle name="Entrada 3 3 3 2 3 4" xfId="9849" xr:uid="{00000000-0005-0000-0000-000094160000}"/>
    <cellStyle name="Entrada 3 3 3 2 3 5" xfId="15163" xr:uid="{00000000-0005-0000-0000-000095160000}"/>
    <cellStyle name="Entrada 3 3 3 2 3 6" xfId="14065" xr:uid="{00000000-0005-0000-0000-000096160000}"/>
    <cellStyle name="Entrada 3 3 3 2 4" xfId="4309" xr:uid="{00000000-0005-0000-0000-000097160000}"/>
    <cellStyle name="Entrada 3 3 3 2 4 2" xfId="8184" xr:uid="{00000000-0005-0000-0000-000098160000}"/>
    <cellStyle name="Entrada 3 3 3 2 4 2 2" xfId="12152" xr:uid="{00000000-0005-0000-0000-000099160000}"/>
    <cellStyle name="Entrada 3 3 3 2 4 2 3" xfId="18379" xr:uid="{00000000-0005-0000-0000-00009A160000}"/>
    <cellStyle name="Entrada 3 3 3 2 4 2 4" xfId="21702" xr:uid="{00000000-0005-0000-0000-00009B160000}"/>
    <cellStyle name="Entrada 3 3 3 2 4 3" xfId="6476" xr:uid="{00000000-0005-0000-0000-00009C160000}"/>
    <cellStyle name="Entrada 3 3 3 2 4 3 2" xfId="17088" xr:uid="{00000000-0005-0000-0000-00009D160000}"/>
    <cellStyle name="Entrada 3 3 3 2 4 3 3" xfId="19994" xr:uid="{00000000-0005-0000-0000-00009E160000}"/>
    <cellStyle name="Entrada 3 3 3 2 4 4" xfId="10027" xr:uid="{00000000-0005-0000-0000-00009F160000}"/>
    <cellStyle name="Entrada 3 3 3 2 4 5" xfId="15438" xr:uid="{00000000-0005-0000-0000-0000A0160000}"/>
    <cellStyle name="Entrada 3 3 3 2 4 6" xfId="13696" xr:uid="{00000000-0005-0000-0000-0000A1160000}"/>
    <cellStyle name="Entrada 3 3 3 2 5" xfId="4691" xr:uid="{00000000-0005-0000-0000-0000A2160000}"/>
    <cellStyle name="Entrada 3 3 3 2 5 2" xfId="8416" xr:uid="{00000000-0005-0000-0000-0000A3160000}"/>
    <cellStyle name="Entrada 3 3 3 2 5 2 2" xfId="12384" xr:uid="{00000000-0005-0000-0000-0000A4160000}"/>
    <cellStyle name="Entrada 3 3 3 2 5 2 3" xfId="18550" xr:uid="{00000000-0005-0000-0000-0000A5160000}"/>
    <cellStyle name="Entrada 3 3 3 2 5 2 4" xfId="21934" xr:uid="{00000000-0005-0000-0000-0000A6160000}"/>
    <cellStyle name="Entrada 3 3 3 2 5 3" xfId="6708" xr:uid="{00000000-0005-0000-0000-0000A7160000}"/>
    <cellStyle name="Entrada 3 3 3 2 5 3 2" xfId="17259" xr:uid="{00000000-0005-0000-0000-0000A8160000}"/>
    <cellStyle name="Entrada 3 3 3 2 5 3 3" xfId="20226" xr:uid="{00000000-0005-0000-0000-0000A9160000}"/>
    <cellStyle name="Entrada 3 3 3 2 5 4" xfId="10204" xr:uid="{00000000-0005-0000-0000-0000AA160000}"/>
    <cellStyle name="Entrada 3 3 3 2 5 5" xfId="15712" xr:uid="{00000000-0005-0000-0000-0000AB160000}"/>
    <cellStyle name="Entrada 3 3 3 2 5 6" xfId="13314" xr:uid="{00000000-0005-0000-0000-0000AC160000}"/>
    <cellStyle name="Entrada 3 3 3 2 6" xfId="6940" xr:uid="{00000000-0005-0000-0000-0000AD160000}"/>
    <cellStyle name="Entrada 3 3 3 2 6 2" xfId="8648" xr:uid="{00000000-0005-0000-0000-0000AE160000}"/>
    <cellStyle name="Entrada 3 3 3 2 6 2 2" xfId="12616" xr:uid="{00000000-0005-0000-0000-0000AF160000}"/>
    <cellStyle name="Entrada 3 3 3 2 6 2 3" xfId="18721" xr:uid="{00000000-0005-0000-0000-0000B0160000}"/>
    <cellStyle name="Entrada 3 3 3 2 6 2 4" xfId="22166" xr:uid="{00000000-0005-0000-0000-0000B1160000}"/>
    <cellStyle name="Entrada 3 3 3 2 6 3" xfId="11074" xr:uid="{00000000-0005-0000-0000-0000B2160000}"/>
    <cellStyle name="Entrada 3 3 3 2 6 4" xfId="17429" xr:uid="{00000000-0005-0000-0000-0000B3160000}"/>
    <cellStyle name="Entrada 3 3 3 2 6 5" xfId="20458" xr:uid="{00000000-0005-0000-0000-0000B4160000}"/>
    <cellStyle name="Entrada 3 3 3 2 7" xfId="5928" xr:uid="{00000000-0005-0000-0000-0000B5160000}"/>
    <cellStyle name="Entrada 3 3 3 2 7 2" xfId="10669" xr:uid="{00000000-0005-0000-0000-0000B6160000}"/>
    <cellStyle name="Entrada 3 3 3 2 7 3" xfId="16667" xr:uid="{00000000-0005-0000-0000-0000B7160000}"/>
    <cellStyle name="Entrada 3 3 3 2 7 4" xfId="19446" xr:uid="{00000000-0005-0000-0000-0000B8160000}"/>
    <cellStyle name="Entrada 3 3 3 2 8" xfId="7636" xr:uid="{00000000-0005-0000-0000-0000B9160000}"/>
    <cellStyle name="Entrada 3 3 3 2 8 2" xfId="11657" xr:uid="{00000000-0005-0000-0000-0000BA160000}"/>
    <cellStyle name="Entrada 3 3 3 2 8 3" xfId="17959" xr:uid="{00000000-0005-0000-0000-0000BB160000}"/>
    <cellStyle name="Entrada 3 3 3 2 8 4" xfId="21154" xr:uid="{00000000-0005-0000-0000-0000BC160000}"/>
    <cellStyle name="Entrada 3 3 3 2 9" xfId="5024" xr:uid="{00000000-0005-0000-0000-0000BD160000}"/>
    <cellStyle name="Entrada 3 3 3 2 9 2" xfId="15982" xr:uid="{00000000-0005-0000-0000-0000BE160000}"/>
    <cellStyle name="Entrada 3 3 3 2 9 3" xfId="12995" xr:uid="{00000000-0005-0000-0000-0000BF160000}"/>
    <cellStyle name="Entrada 3 3 3 3" xfId="3026" xr:uid="{00000000-0005-0000-0000-0000C0160000}"/>
    <cellStyle name="Entrada 3 3 3 3 2" xfId="3413" xr:uid="{00000000-0005-0000-0000-0000C1160000}"/>
    <cellStyle name="Entrada 3 3 3 3 2 2" xfId="7427" xr:uid="{00000000-0005-0000-0000-0000C2160000}"/>
    <cellStyle name="Entrada 3 3 3 3 2 2 2" xfId="17795" xr:uid="{00000000-0005-0000-0000-0000C3160000}"/>
    <cellStyle name="Entrada 3 3 3 3 2 2 3" xfId="20945" xr:uid="{00000000-0005-0000-0000-0000C4160000}"/>
    <cellStyle name="Entrada 3 3 3 3 2 3" xfId="9531" xr:uid="{00000000-0005-0000-0000-0000C5160000}"/>
    <cellStyle name="Entrada 3 3 3 3 2 4" xfId="14783" xr:uid="{00000000-0005-0000-0000-0000C6160000}"/>
    <cellStyle name="Entrada 3 3 3 3 2 5" xfId="16843" xr:uid="{00000000-0005-0000-0000-0000C7160000}"/>
    <cellStyle name="Entrada 3 3 3 3 3" xfId="3796" xr:uid="{00000000-0005-0000-0000-0000C8160000}"/>
    <cellStyle name="Entrada 3 3 3 3 3 2" xfId="15059" xr:uid="{00000000-0005-0000-0000-0000C9160000}"/>
    <cellStyle name="Entrada 3 3 3 3 3 3" xfId="14960" xr:uid="{00000000-0005-0000-0000-0000CA160000}"/>
    <cellStyle name="Entrada 3 3 3 3 4" xfId="4179" xr:uid="{00000000-0005-0000-0000-0000CB160000}"/>
    <cellStyle name="Entrada 3 3 3 3 4 2" xfId="15334" xr:uid="{00000000-0005-0000-0000-0000CC160000}"/>
    <cellStyle name="Entrada 3 3 3 3 4 3" xfId="13826" xr:uid="{00000000-0005-0000-0000-0000CD160000}"/>
    <cellStyle name="Entrada 3 3 3 3 5" xfId="4561" xr:uid="{00000000-0005-0000-0000-0000CE160000}"/>
    <cellStyle name="Entrada 3 3 3 3 5 2" xfId="15608" xr:uid="{00000000-0005-0000-0000-0000CF160000}"/>
    <cellStyle name="Entrada 3 3 3 3 5 3" xfId="13444" xr:uid="{00000000-0005-0000-0000-0000D0160000}"/>
    <cellStyle name="Entrada 3 3 3 3 6" xfId="5718" xr:uid="{00000000-0005-0000-0000-0000D1160000}"/>
    <cellStyle name="Entrada 3 3 3 3 6 2" xfId="16504" xr:uid="{00000000-0005-0000-0000-0000D2160000}"/>
    <cellStyle name="Entrada 3 3 3 3 6 3" xfId="19236" xr:uid="{00000000-0005-0000-0000-0000D3160000}"/>
    <cellStyle name="Entrada 3 3 3 3 7" xfId="9168" xr:uid="{00000000-0005-0000-0000-0000D4160000}"/>
    <cellStyle name="Entrada 3 3 3 3 8" xfId="14503" xr:uid="{00000000-0005-0000-0000-0000D5160000}"/>
    <cellStyle name="Entrada 3 3 3 3 9" xfId="14675" xr:uid="{00000000-0005-0000-0000-0000D6160000}"/>
    <cellStyle name="Entrada 3 3 3 4" xfId="2864" xr:uid="{00000000-0005-0000-0000-0000D7160000}"/>
    <cellStyle name="Entrada 3 3 3 4 2" xfId="4985" xr:uid="{00000000-0005-0000-0000-0000D8160000}"/>
    <cellStyle name="Entrada 3 3 3 4 2 2" xfId="10302" xr:uid="{00000000-0005-0000-0000-0000D9160000}"/>
    <cellStyle name="Entrada 3 3 3 4 2 3" xfId="15951" xr:uid="{00000000-0005-0000-0000-0000DA160000}"/>
    <cellStyle name="Entrada 3 3 3 4 2 4" xfId="13034" xr:uid="{00000000-0005-0000-0000-0000DB160000}"/>
    <cellStyle name="Entrada 3 3 3 4 3" xfId="5341" xr:uid="{00000000-0005-0000-0000-0000DC160000}"/>
    <cellStyle name="Entrada 3 3 3 4 3 2" xfId="16208" xr:uid="{00000000-0005-0000-0000-0000DD160000}"/>
    <cellStyle name="Entrada 3 3 3 4 3 3" xfId="18859" xr:uid="{00000000-0005-0000-0000-0000DE160000}"/>
    <cellStyle name="Entrada 3 3 3 4 4" xfId="9017" xr:uid="{00000000-0005-0000-0000-0000DF160000}"/>
    <cellStyle name="Entrada 3 3 3 4 5" xfId="14400" xr:uid="{00000000-0005-0000-0000-0000E0160000}"/>
    <cellStyle name="Entrada 3 3 3 4 6" xfId="17296" xr:uid="{00000000-0005-0000-0000-0000E1160000}"/>
    <cellStyle name="Entrada 3 3 3 5" xfId="5533" xr:uid="{00000000-0005-0000-0000-0000E2160000}"/>
    <cellStyle name="Entrada 3 3 3 5 2" xfId="7242" xr:uid="{00000000-0005-0000-0000-0000E3160000}"/>
    <cellStyle name="Entrada 3 3 3 5 2 2" xfId="11353" xr:uid="{00000000-0005-0000-0000-0000E4160000}"/>
    <cellStyle name="Entrada 3 3 3 5 2 3" xfId="17645" xr:uid="{00000000-0005-0000-0000-0000E5160000}"/>
    <cellStyle name="Entrada 3 3 3 5 2 4" xfId="20760" xr:uid="{00000000-0005-0000-0000-0000E6160000}"/>
    <cellStyle name="Entrada 3 3 3 5 3" xfId="10493" xr:uid="{00000000-0005-0000-0000-0000E7160000}"/>
    <cellStyle name="Entrada 3 3 3 5 4" xfId="16354" xr:uid="{00000000-0005-0000-0000-0000E8160000}"/>
    <cellStyle name="Entrada 3 3 3 5 5" xfId="19051" xr:uid="{00000000-0005-0000-0000-0000E9160000}"/>
    <cellStyle name="Entrada 3 3 3 6" xfId="6182" xr:uid="{00000000-0005-0000-0000-0000EA160000}"/>
    <cellStyle name="Entrada 3 3 3 6 2" xfId="7890" xr:uid="{00000000-0005-0000-0000-0000EB160000}"/>
    <cellStyle name="Entrada 3 3 3 6 2 2" xfId="11879" xr:uid="{00000000-0005-0000-0000-0000EC160000}"/>
    <cellStyle name="Entrada 3 3 3 6 2 3" xfId="18146" xr:uid="{00000000-0005-0000-0000-0000ED160000}"/>
    <cellStyle name="Entrada 3 3 3 6 2 4" xfId="21408" xr:uid="{00000000-0005-0000-0000-0000EE160000}"/>
    <cellStyle name="Entrada 3 3 3 6 3" xfId="10836" xr:uid="{00000000-0005-0000-0000-0000EF160000}"/>
    <cellStyle name="Entrada 3 3 3 6 4" xfId="16854" xr:uid="{00000000-0005-0000-0000-0000F0160000}"/>
    <cellStyle name="Entrada 3 3 3 6 5" xfId="19700" xr:uid="{00000000-0005-0000-0000-0000F1160000}"/>
    <cellStyle name="Entrada 3 3 3 7" xfId="5425" xr:uid="{00000000-0005-0000-0000-0000F2160000}"/>
    <cellStyle name="Entrada 3 3 3 7 2" xfId="7134" xr:uid="{00000000-0005-0000-0000-0000F3160000}"/>
    <cellStyle name="Entrada 3 3 3 7 2 2" xfId="11268" xr:uid="{00000000-0005-0000-0000-0000F4160000}"/>
    <cellStyle name="Entrada 3 3 3 7 2 3" xfId="17553" xr:uid="{00000000-0005-0000-0000-0000F5160000}"/>
    <cellStyle name="Entrada 3 3 3 7 2 4" xfId="20652" xr:uid="{00000000-0005-0000-0000-0000F6160000}"/>
    <cellStyle name="Entrada 3 3 3 7 3" xfId="10442" xr:uid="{00000000-0005-0000-0000-0000F7160000}"/>
    <cellStyle name="Entrada 3 3 3 7 4" xfId="16263" xr:uid="{00000000-0005-0000-0000-0000F8160000}"/>
    <cellStyle name="Entrada 3 3 3 7 5" xfId="18943" xr:uid="{00000000-0005-0000-0000-0000F9160000}"/>
    <cellStyle name="Entrada 3 3 3 8" xfId="5752" xr:uid="{00000000-0005-0000-0000-0000FA160000}"/>
    <cellStyle name="Entrada 3 3 3 8 2" xfId="10532" xr:uid="{00000000-0005-0000-0000-0000FB160000}"/>
    <cellStyle name="Entrada 3 3 3 8 3" xfId="16532" xr:uid="{00000000-0005-0000-0000-0000FC160000}"/>
    <cellStyle name="Entrada 3 3 3 8 4" xfId="19270" xr:uid="{00000000-0005-0000-0000-0000FD160000}"/>
    <cellStyle name="Entrada 3 3 3 9" xfId="7461" xr:uid="{00000000-0005-0000-0000-0000FE160000}"/>
    <cellStyle name="Entrada 3 3 3 9 2" xfId="11519" xr:uid="{00000000-0005-0000-0000-0000FF160000}"/>
    <cellStyle name="Entrada 3 3 3 9 3" xfId="17823" xr:uid="{00000000-0005-0000-0000-000000170000}"/>
    <cellStyle name="Entrada 3 3 3 9 4" xfId="20979" xr:uid="{00000000-0005-0000-0000-000001170000}"/>
    <cellStyle name="Entrada 3 3 4" xfId="3177" xr:uid="{00000000-0005-0000-0000-000002170000}"/>
    <cellStyle name="Entrada 3 3 4 10" xfId="9307" xr:uid="{00000000-0005-0000-0000-000003170000}"/>
    <cellStyle name="Entrada 3 3 4 11" xfId="14625" xr:uid="{00000000-0005-0000-0000-000004170000}"/>
    <cellStyle name="Entrada 3 3 4 12" xfId="14746" xr:uid="{00000000-0005-0000-0000-000005170000}"/>
    <cellStyle name="Entrada 3 3 4 2" xfId="3564" xr:uid="{00000000-0005-0000-0000-000006170000}"/>
    <cellStyle name="Entrada 3 3 4 2 2" xfId="7319" xr:uid="{00000000-0005-0000-0000-000007170000}"/>
    <cellStyle name="Entrada 3 3 4 2 2 2" xfId="11409" xr:uid="{00000000-0005-0000-0000-000008170000}"/>
    <cellStyle name="Entrada 3 3 4 2 2 3" xfId="17712" xr:uid="{00000000-0005-0000-0000-000009170000}"/>
    <cellStyle name="Entrada 3 3 4 2 2 4" xfId="20837" xr:uid="{00000000-0005-0000-0000-00000A170000}"/>
    <cellStyle name="Entrada 3 3 4 2 3" xfId="5610" xr:uid="{00000000-0005-0000-0000-00000B170000}"/>
    <cellStyle name="Entrada 3 3 4 2 3 2" xfId="16421" xr:uid="{00000000-0005-0000-0000-00000C170000}"/>
    <cellStyle name="Entrada 3 3 4 2 3 3" xfId="19128" xr:uid="{00000000-0005-0000-0000-00000D170000}"/>
    <cellStyle name="Entrada 3 3 4 2 4" xfId="9656" xr:uid="{00000000-0005-0000-0000-00000E170000}"/>
    <cellStyle name="Entrada 3 3 4 2 5" xfId="14905" xr:uid="{00000000-0005-0000-0000-00000F170000}"/>
    <cellStyle name="Entrada 3 3 4 2 6" xfId="17948" xr:uid="{00000000-0005-0000-0000-000010170000}"/>
    <cellStyle name="Entrada 3 3 4 3" xfId="3947" xr:uid="{00000000-0005-0000-0000-000011170000}"/>
    <cellStyle name="Entrada 3 3 4 3 2" xfId="7794" xr:uid="{00000000-0005-0000-0000-000012170000}"/>
    <cellStyle name="Entrada 3 3 4 3 2 2" xfId="11810" xr:uid="{00000000-0005-0000-0000-000013170000}"/>
    <cellStyle name="Entrada 3 3 4 3 2 3" xfId="18062" xr:uid="{00000000-0005-0000-0000-000014170000}"/>
    <cellStyle name="Entrada 3 3 4 3 2 4" xfId="21312" xr:uid="{00000000-0005-0000-0000-000015170000}"/>
    <cellStyle name="Entrada 3 3 4 3 3" xfId="6086" xr:uid="{00000000-0005-0000-0000-000016170000}"/>
    <cellStyle name="Entrada 3 3 4 3 3 2" xfId="16770" xr:uid="{00000000-0005-0000-0000-000017170000}"/>
    <cellStyle name="Entrada 3 3 4 3 3 3" xfId="19604" xr:uid="{00000000-0005-0000-0000-000018170000}"/>
    <cellStyle name="Entrada 3 3 4 3 4" xfId="9870" xr:uid="{00000000-0005-0000-0000-000019170000}"/>
    <cellStyle name="Entrada 3 3 4 3 5" xfId="15181" xr:uid="{00000000-0005-0000-0000-00001A170000}"/>
    <cellStyle name="Entrada 3 3 4 3 6" xfId="14044" xr:uid="{00000000-0005-0000-0000-00001B170000}"/>
    <cellStyle name="Entrada 3 3 4 4" xfId="4330" xr:uid="{00000000-0005-0000-0000-00001C170000}"/>
    <cellStyle name="Entrada 3 3 4 4 2" xfId="8163" xr:uid="{00000000-0005-0000-0000-00001D170000}"/>
    <cellStyle name="Entrada 3 3 4 4 2 2" xfId="12131" xr:uid="{00000000-0005-0000-0000-00001E170000}"/>
    <cellStyle name="Entrada 3 3 4 4 2 3" xfId="18361" xr:uid="{00000000-0005-0000-0000-00001F170000}"/>
    <cellStyle name="Entrada 3 3 4 4 2 4" xfId="21681" xr:uid="{00000000-0005-0000-0000-000020170000}"/>
    <cellStyle name="Entrada 3 3 4 4 3" xfId="6455" xr:uid="{00000000-0005-0000-0000-000021170000}"/>
    <cellStyle name="Entrada 3 3 4 4 3 2" xfId="17070" xr:uid="{00000000-0005-0000-0000-000022170000}"/>
    <cellStyle name="Entrada 3 3 4 4 3 3" xfId="19973" xr:uid="{00000000-0005-0000-0000-000023170000}"/>
    <cellStyle name="Entrada 3 3 4 4 4" xfId="10048" xr:uid="{00000000-0005-0000-0000-000024170000}"/>
    <cellStyle name="Entrada 3 3 4 4 5" xfId="15456" xr:uid="{00000000-0005-0000-0000-000025170000}"/>
    <cellStyle name="Entrada 3 3 4 4 6" xfId="13675" xr:uid="{00000000-0005-0000-0000-000026170000}"/>
    <cellStyle name="Entrada 3 3 4 5" xfId="4712" xr:uid="{00000000-0005-0000-0000-000027170000}"/>
    <cellStyle name="Entrada 3 3 4 5 2" xfId="8395" xr:uid="{00000000-0005-0000-0000-000028170000}"/>
    <cellStyle name="Entrada 3 3 4 5 2 2" xfId="12363" xr:uid="{00000000-0005-0000-0000-000029170000}"/>
    <cellStyle name="Entrada 3 3 4 5 2 3" xfId="18532" xr:uid="{00000000-0005-0000-0000-00002A170000}"/>
    <cellStyle name="Entrada 3 3 4 5 2 4" xfId="21913" xr:uid="{00000000-0005-0000-0000-00002B170000}"/>
    <cellStyle name="Entrada 3 3 4 5 3" xfId="6687" xr:uid="{00000000-0005-0000-0000-00002C170000}"/>
    <cellStyle name="Entrada 3 3 4 5 3 2" xfId="17241" xr:uid="{00000000-0005-0000-0000-00002D170000}"/>
    <cellStyle name="Entrada 3 3 4 5 3 3" xfId="20205" xr:uid="{00000000-0005-0000-0000-00002E170000}"/>
    <cellStyle name="Entrada 3 3 4 5 4" xfId="10225" xr:uid="{00000000-0005-0000-0000-00002F170000}"/>
    <cellStyle name="Entrada 3 3 4 5 5" xfId="15730" xr:uid="{00000000-0005-0000-0000-000030170000}"/>
    <cellStyle name="Entrada 3 3 4 5 6" xfId="13293" xr:uid="{00000000-0005-0000-0000-000031170000}"/>
    <cellStyle name="Entrada 3 3 4 6" xfId="6919" xr:uid="{00000000-0005-0000-0000-000032170000}"/>
    <cellStyle name="Entrada 3 3 4 6 2" xfId="8627" xr:uid="{00000000-0005-0000-0000-000033170000}"/>
    <cellStyle name="Entrada 3 3 4 6 2 2" xfId="12595" xr:uid="{00000000-0005-0000-0000-000034170000}"/>
    <cellStyle name="Entrada 3 3 4 6 2 3" xfId="18703" xr:uid="{00000000-0005-0000-0000-000035170000}"/>
    <cellStyle name="Entrada 3 3 4 6 2 4" xfId="22145" xr:uid="{00000000-0005-0000-0000-000036170000}"/>
    <cellStyle name="Entrada 3 3 4 6 3" xfId="11053" xr:uid="{00000000-0005-0000-0000-000037170000}"/>
    <cellStyle name="Entrada 3 3 4 6 4" xfId="17411" xr:uid="{00000000-0005-0000-0000-000038170000}"/>
    <cellStyle name="Entrada 3 3 4 6 5" xfId="20437" xr:uid="{00000000-0005-0000-0000-000039170000}"/>
    <cellStyle name="Entrada 3 3 4 7" xfId="5907" xr:uid="{00000000-0005-0000-0000-00003A170000}"/>
    <cellStyle name="Entrada 3 3 4 7 2" xfId="10648" xr:uid="{00000000-0005-0000-0000-00003B170000}"/>
    <cellStyle name="Entrada 3 3 4 7 3" xfId="16649" xr:uid="{00000000-0005-0000-0000-00003C170000}"/>
    <cellStyle name="Entrada 3 3 4 7 4" xfId="19425" xr:uid="{00000000-0005-0000-0000-00003D170000}"/>
    <cellStyle name="Entrada 3 3 4 8" xfId="7615" xr:uid="{00000000-0005-0000-0000-00003E170000}"/>
    <cellStyle name="Entrada 3 3 4 8 2" xfId="11636" xr:uid="{00000000-0005-0000-0000-00003F170000}"/>
    <cellStyle name="Entrada 3 3 4 8 3" xfId="17941" xr:uid="{00000000-0005-0000-0000-000040170000}"/>
    <cellStyle name="Entrada 3 3 4 8 4" xfId="21133" xr:uid="{00000000-0005-0000-0000-000041170000}"/>
    <cellStyle name="Entrada 3 3 4 9" xfId="5002" xr:uid="{00000000-0005-0000-0000-000042170000}"/>
    <cellStyle name="Entrada 3 3 4 9 2" xfId="15964" xr:uid="{00000000-0005-0000-0000-000043170000}"/>
    <cellStyle name="Entrada 3 3 4 9 3" xfId="13017" xr:uid="{00000000-0005-0000-0000-000044170000}"/>
    <cellStyle name="Entrada 3 3 5" xfId="3046" xr:uid="{00000000-0005-0000-0000-000045170000}"/>
    <cellStyle name="Entrada 3 3 5 2" xfId="3433" xr:uid="{00000000-0005-0000-0000-000046170000}"/>
    <cellStyle name="Entrada 3 3 5 2 2" xfId="7228" xr:uid="{00000000-0005-0000-0000-000047170000}"/>
    <cellStyle name="Entrada 3 3 5 2 2 2" xfId="17631" xr:uid="{00000000-0005-0000-0000-000048170000}"/>
    <cellStyle name="Entrada 3 3 5 2 2 3" xfId="20746" xr:uid="{00000000-0005-0000-0000-000049170000}"/>
    <cellStyle name="Entrada 3 3 5 2 3" xfId="9545" xr:uid="{00000000-0005-0000-0000-00004A170000}"/>
    <cellStyle name="Entrada 3 3 5 2 4" xfId="14799" xr:uid="{00000000-0005-0000-0000-00004B170000}"/>
    <cellStyle name="Entrada 3 3 5 2 5" xfId="17216" xr:uid="{00000000-0005-0000-0000-00004C170000}"/>
    <cellStyle name="Entrada 3 3 5 3" xfId="3816" xr:uid="{00000000-0005-0000-0000-00004D170000}"/>
    <cellStyle name="Entrada 3 3 5 3 2" xfId="15075" xr:uid="{00000000-0005-0000-0000-00004E170000}"/>
    <cellStyle name="Entrada 3 3 5 3 3" xfId="14314" xr:uid="{00000000-0005-0000-0000-00004F170000}"/>
    <cellStyle name="Entrada 3 3 5 4" xfId="4199" xr:uid="{00000000-0005-0000-0000-000050170000}"/>
    <cellStyle name="Entrada 3 3 5 4 2" xfId="15350" xr:uid="{00000000-0005-0000-0000-000051170000}"/>
    <cellStyle name="Entrada 3 3 5 4 3" xfId="13806" xr:uid="{00000000-0005-0000-0000-000052170000}"/>
    <cellStyle name="Entrada 3 3 5 5" xfId="4581" xr:uid="{00000000-0005-0000-0000-000053170000}"/>
    <cellStyle name="Entrada 3 3 5 5 2" xfId="15624" xr:uid="{00000000-0005-0000-0000-000054170000}"/>
    <cellStyle name="Entrada 3 3 5 5 3" xfId="13424" xr:uid="{00000000-0005-0000-0000-000055170000}"/>
    <cellStyle name="Entrada 3 3 5 6" xfId="5519" xr:uid="{00000000-0005-0000-0000-000056170000}"/>
    <cellStyle name="Entrada 3 3 5 6 2" xfId="16340" xr:uid="{00000000-0005-0000-0000-000057170000}"/>
    <cellStyle name="Entrada 3 3 5 6 3" xfId="19037" xr:uid="{00000000-0005-0000-0000-000058170000}"/>
    <cellStyle name="Entrada 3 3 5 7" xfId="9186" xr:uid="{00000000-0005-0000-0000-000059170000}"/>
    <cellStyle name="Entrada 3 3 5 8" xfId="14519" xr:uid="{00000000-0005-0000-0000-00005A170000}"/>
    <cellStyle name="Entrada 3 3 5 9" xfId="15858" xr:uid="{00000000-0005-0000-0000-00005B170000}"/>
    <cellStyle name="Entrada 3 3 6" xfId="6126" xr:uid="{00000000-0005-0000-0000-00005C170000}"/>
    <cellStyle name="Entrada 3 3 6 2" xfId="7834" xr:uid="{00000000-0005-0000-0000-00005D170000}"/>
    <cellStyle name="Entrada 3 3 6 2 2" xfId="11840" xr:uid="{00000000-0005-0000-0000-00005E170000}"/>
    <cellStyle name="Entrada 3 3 6 2 3" xfId="18096" xr:uid="{00000000-0005-0000-0000-00005F170000}"/>
    <cellStyle name="Entrada 3 3 6 2 4" xfId="21352" xr:uid="{00000000-0005-0000-0000-000060170000}"/>
    <cellStyle name="Entrada 3 3 6 3" xfId="10817" xr:uid="{00000000-0005-0000-0000-000061170000}"/>
    <cellStyle name="Entrada 3 3 6 4" xfId="16804" xr:uid="{00000000-0005-0000-0000-000062170000}"/>
    <cellStyle name="Entrada 3 3 6 5" xfId="19644" xr:uid="{00000000-0005-0000-0000-000063170000}"/>
    <cellStyle name="Entrada 3 3 7" xfId="5423" xr:uid="{00000000-0005-0000-0000-000064170000}"/>
    <cellStyle name="Entrada 3 3 7 2" xfId="7132" xr:uid="{00000000-0005-0000-0000-000065170000}"/>
    <cellStyle name="Entrada 3 3 7 2 2" xfId="11266" xr:uid="{00000000-0005-0000-0000-000066170000}"/>
    <cellStyle name="Entrada 3 3 7 2 3" xfId="17551" xr:uid="{00000000-0005-0000-0000-000067170000}"/>
    <cellStyle name="Entrada 3 3 7 2 4" xfId="20650" xr:uid="{00000000-0005-0000-0000-000068170000}"/>
    <cellStyle name="Entrada 3 3 7 3" xfId="10440" xr:uid="{00000000-0005-0000-0000-000069170000}"/>
    <cellStyle name="Entrada 3 3 7 4" xfId="16261" xr:uid="{00000000-0005-0000-0000-00006A170000}"/>
    <cellStyle name="Entrada 3 3 7 5" xfId="18941" xr:uid="{00000000-0005-0000-0000-00006B170000}"/>
    <cellStyle name="Entrada 3 3 8" xfId="5589" xr:uid="{00000000-0005-0000-0000-00006C170000}"/>
    <cellStyle name="Entrada 3 3 8 2" xfId="7298" xr:uid="{00000000-0005-0000-0000-00006D170000}"/>
    <cellStyle name="Entrada 3 3 8 2 2" xfId="11403" xr:uid="{00000000-0005-0000-0000-00006E170000}"/>
    <cellStyle name="Entrada 3 3 8 2 3" xfId="17692" xr:uid="{00000000-0005-0000-0000-00006F170000}"/>
    <cellStyle name="Entrada 3 3 8 2 4" xfId="20816" xr:uid="{00000000-0005-0000-0000-000070170000}"/>
    <cellStyle name="Entrada 3 3 8 3" xfId="10498" xr:uid="{00000000-0005-0000-0000-000071170000}"/>
    <cellStyle name="Entrada 3 3 8 4" xfId="16401" xr:uid="{00000000-0005-0000-0000-000072170000}"/>
    <cellStyle name="Entrada 3 3 8 5" xfId="19107" xr:uid="{00000000-0005-0000-0000-000073170000}"/>
    <cellStyle name="Entrada 3 3 9" xfId="6074" xr:uid="{00000000-0005-0000-0000-000074170000}"/>
    <cellStyle name="Entrada 3 3 9 2" xfId="7782" xr:uid="{00000000-0005-0000-0000-000075170000}"/>
    <cellStyle name="Entrada 3 3 9 2 2" xfId="11802" xr:uid="{00000000-0005-0000-0000-000076170000}"/>
    <cellStyle name="Entrada 3 3 9 2 3" xfId="18051" xr:uid="{00000000-0005-0000-0000-000077170000}"/>
    <cellStyle name="Entrada 3 3 9 2 4" xfId="21300" xr:uid="{00000000-0005-0000-0000-000078170000}"/>
    <cellStyle name="Entrada 3 3 9 3" xfId="10800" xr:uid="{00000000-0005-0000-0000-000079170000}"/>
    <cellStyle name="Entrada 3 3 9 4" xfId="16759" xr:uid="{00000000-0005-0000-0000-00007A170000}"/>
    <cellStyle name="Entrada 3 3 9 5" xfId="19592" xr:uid="{00000000-0005-0000-0000-00007B170000}"/>
    <cellStyle name="Entrada 3 4" xfId="3000" xr:uid="{00000000-0005-0000-0000-00007C170000}"/>
    <cellStyle name="Entrada 3 4 2" xfId="3387" xr:uid="{00000000-0005-0000-0000-00007D170000}"/>
    <cellStyle name="Entrada 3 4 2 2" xfId="14764" xr:uid="{00000000-0005-0000-0000-00007E170000}"/>
    <cellStyle name="Entrada 3 4 2 3" xfId="18695" xr:uid="{00000000-0005-0000-0000-00007F170000}"/>
    <cellStyle name="Entrada 3 4 3" xfId="3770" xr:uid="{00000000-0005-0000-0000-000080170000}"/>
    <cellStyle name="Entrada 3 4 3 2" xfId="15040" xr:uid="{00000000-0005-0000-0000-000081170000}"/>
    <cellStyle name="Entrada 3 4 3 3" xfId="14452" xr:uid="{00000000-0005-0000-0000-000082170000}"/>
    <cellStyle name="Entrada 3 4 4" xfId="4153" xr:uid="{00000000-0005-0000-0000-000083170000}"/>
    <cellStyle name="Entrada 3 4 4 2" xfId="15315" xr:uid="{00000000-0005-0000-0000-000084170000}"/>
    <cellStyle name="Entrada 3 4 4 3" xfId="13847" xr:uid="{00000000-0005-0000-0000-000085170000}"/>
    <cellStyle name="Entrada 3 4 5" xfId="4535" xr:uid="{00000000-0005-0000-0000-000086170000}"/>
    <cellStyle name="Entrada 3 4 5 2" xfId="15589" xr:uid="{00000000-0005-0000-0000-000087170000}"/>
    <cellStyle name="Entrada 3 4 5 3" xfId="13470" xr:uid="{00000000-0005-0000-0000-000088170000}"/>
    <cellStyle name="Entrada 3 4 6" xfId="14484" xr:uid="{00000000-0005-0000-0000-000089170000}"/>
    <cellStyle name="Entrada 3 4 7" xfId="14232" xr:uid="{00000000-0005-0000-0000-00008A170000}"/>
    <cellStyle name="Entrada 3 5" xfId="3086" xr:uid="{00000000-0005-0000-0000-00008B170000}"/>
    <cellStyle name="Entrada 3 5 2" xfId="3473" xr:uid="{00000000-0005-0000-0000-00008C170000}"/>
    <cellStyle name="Entrada 3 5 2 2" xfId="14830" xr:uid="{00000000-0005-0000-0000-00008D170000}"/>
    <cellStyle name="Entrada 3 5 2 3" xfId="16126" xr:uid="{00000000-0005-0000-0000-00008E170000}"/>
    <cellStyle name="Entrada 3 5 3" xfId="3856" xr:uid="{00000000-0005-0000-0000-00008F170000}"/>
    <cellStyle name="Entrada 3 5 3 2" xfId="15106" xr:uid="{00000000-0005-0000-0000-000090170000}"/>
    <cellStyle name="Entrada 3 5 3 3" xfId="14198" xr:uid="{00000000-0005-0000-0000-000091170000}"/>
    <cellStyle name="Entrada 3 5 4" xfId="4239" xr:uid="{00000000-0005-0000-0000-000092170000}"/>
    <cellStyle name="Entrada 3 5 4 2" xfId="15381" xr:uid="{00000000-0005-0000-0000-000093170000}"/>
    <cellStyle name="Entrada 3 5 4 3" xfId="13766" xr:uid="{00000000-0005-0000-0000-000094170000}"/>
    <cellStyle name="Entrada 3 5 5" xfId="4621" xr:uid="{00000000-0005-0000-0000-000095170000}"/>
    <cellStyle name="Entrada 3 5 5 2" xfId="15655" xr:uid="{00000000-0005-0000-0000-000096170000}"/>
    <cellStyle name="Entrada 3 5 5 3" xfId="13384" xr:uid="{00000000-0005-0000-0000-000097170000}"/>
    <cellStyle name="Entrada 3 5 6" xfId="14550" xr:uid="{00000000-0005-0000-0000-000098170000}"/>
    <cellStyle name="Entrada 3 5 7" xfId="14342" xr:uid="{00000000-0005-0000-0000-000099170000}"/>
    <cellStyle name="Entrada 3 6" xfId="22386" xr:uid="{00000000-0005-0000-0000-00009A170000}"/>
    <cellStyle name="Entrada 3 7" xfId="2065" xr:uid="{00000000-0005-0000-0000-00009B170000}"/>
    <cellStyle name="Entrada 4" xfId="2299" xr:uid="{00000000-0005-0000-0000-00009C170000}"/>
    <cellStyle name="Estilo 1" xfId="251" xr:uid="{00000000-0005-0000-0000-00009D170000}"/>
    <cellStyle name="Estilo 1 2" xfId="252" xr:uid="{00000000-0005-0000-0000-00009E170000}"/>
    <cellStyle name="Estilo 1 2 2" xfId="253" xr:uid="{00000000-0005-0000-0000-00009F170000}"/>
    <cellStyle name="Estilo 1 2 2 2" xfId="254" xr:uid="{00000000-0005-0000-0000-0000A0170000}"/>
    <cellStyle name="Estilo 1 2 3" xfId="255" xr:uid="{00000000-0005-0000-0000-0000A1170000}"/>
    <cellStyle name="Estilo 1 2 3 2" xfId="256" xr:uid="{00000000-0005-0000-0000-0000A2170000}"/>
    <cellStyle name="Estilo 1 2 4" xfId="257" xr:uid="{00000000-0005-0000-0000-0000A3170000}"/>
    <cellStyle name="Estilo 1 3" xfId="258" xr:uid="{00000000-0005-0000-0000-0000A4170000}"/>
    <cellStyle name="Estilo 1 3 2" xfId="259" xr:uid="{00000000-0005-0000-0000-0000A5170000}"/>
    <cellStyle name="Estilo 1 3 2 2" xfId="260" xr:uid="{00000000-0005-0000-0000-0000A6170000}"/>
    <cellStyle name="Estilo 1 3 3" xfId="261" xr:uid="{00000000-0005-0000-0000-0000A7170000}"/>
    <cellStyle name="Estilo 1 3 3 2" xfId="262" xr:uid="{00000000-0005-0000-0000-0000A8170000}"/>
    <cellStyle name="Estilo 1 3 4" xfId="263" xr:uid="{00000000-0005-0000-0000-0000A9170000}"/>
    <cellStyle name="Estilo 1 4" xfId="264" xr:uid="{00000000-0005-0000-0000-0000AA170000}"/>
    <cellStyle name="Estilo 1 5" xfId="265" xr:uid="{00000000-0005-0000-0000-0000AB170000}"/>
    <cellStyle name="Estilo 1 6" xfId="266" xr:uid="{00000000-0005-0000-0000-0000AC170000}"/>
    <cellStyle name="Estilo 1 7" xfId="267" xr:uid="{00000000-0005-0000-0000-0000AD170000}"/>
    <cellStyle name="Euro" xfId="268" xr:uid="{00000000-0005-0000-0000-0000AE170000}"/>
    <cellStyle name="Euro 2" xfId="269" xr:uid="{00000000-0005-0000-0000-0000AF170000}"/>
    <cellStyle name="Euro 2 2" xfId="270" xr:uid="{00000000-0005-0000-0000-0000B0170000}"/>
    <cellStyle name="Euro 3" xfId="271" xr:uid="{00000000-0005-0000-0000-0000B1170000}"/>
    <cellStyle name="Euro 4" xfId="272" xr:uid="{00000000-0005-0000-0000-0000B2170000}"/>
    <cellStyle name="Excel Built-in Excel Built-in Excel Built-in Excel Built-in Excel Built-in Excel Built-in Excel Built-in Excel Built-in Separador de milhares 4" xfId="26197" xr:uid="{00000000-0005-0000-0000-0000B3170000}"/>
    <cellStyle name="Excel Built-in Excel Built-in Excel Built-in Excel Built-in Excel Built-in Excel Built-in Excel Built-in Separador de milhares 4" xfId="26198" xr:uid="{00000000-0005-0000-0000-0000B4170000}"/>
    <cellStyle name="Excel Built-in Normal" xfId="26199" xr:uid="{00000000-0005-0000-0000-0000B5170000}"/>
    <cellStyle name="Excel Built-in Normal 1" xfId="26200" xr:uid="{00000000-0005-0000-0000-0000B6170000}"/>
    <cellStyle name="Excel Built-in Normal 2" xfId="26685" xr:uid="{00000000-0005-0000-0000-0000B7170000}"/>
    <cellStyle name="Excel Built-in Normal 3" xfId="26686" xr:uid="{00000000-0005-0000-0000-0000B8170000}"/>
    <cellStyle name="Excel_BuiltIn_Comma" xfId="273" xr:uid="{00000000-0005-0000-0000-0000B9170000}"/>
    <cellStyle name="Explanatory Text" xfId="274" xr:uid="{00000000-0005-0000-0000-0000BA170000}"/>
    <cellStyle name="Explanatory Text 2" xfId="22736" xr:uid="{00000000-0005-0000-0000-0000BB170000}"/>
    <cellStyle name="Explanatory Text 3" xfId="2535" xr:uid="{00000000-0005-0000-0000-0000BC170000}"/>
    <cellStyle name="Fixed" xfId="26687" xr:uid="{00000000-0005-0000-0000-0000BD170000}"/>
    <cellStyle name="Fixo" xfId="26688" xr:uid="{00000000-0005-0000-0000-0000BE170000}"/>
    <cellStyle name="Followed Hyperlink" xfId="26689" xr:uid="{00000000-0005-0000-0000-0000BF170000}"/>
    <cellStyle name="GLEICY" xfId="33833" xr:uid="{00000000-0005-0000-0000-0000C0170000}"/>
    <cellStyle name="GLEICY 2" xfId="33834" xr:uid="{00000000-0005-0000-0000-0000C1170000}"/>
    <cellStyle name="Good" xfId="275" xr:uid="{00000000-0005-0000-0000-0000C2170000}"/>
    <cellStyle name="Grey" xfId="26690" xr:uid="{00000000-0005-0000-0000-0000C3170000}"/>
    <cellStyle name="Heading" xfId="276" xr:uid="{00000000-0005-0000-0000-0000C4170000}"/>
    <cellStyle name="Heading 1" xfId="277" xr:uid="{00000000-0005-0000-0000-0000C5170000}"/>
    <cellStyle name="Heading 1 2" xfId="22737" xr:uid="{00000000-0005-0000-0000-0000C6170000}"/>
    <cellStyle name="Heading 1 3" xfId="2528" xr:uid="{00000000-0005-0000-0000-0000C7170000}"/>
    <cellStyle name="Heading 2" xfId="278" xr:uid="{00000000-0005-0000-0000-0000C8170000}"/>
    <cellStyle name="Heading 2 2" xfId="22738" xr:uid="{00000000-0005-0000-0000-0000C9170000}"/>
    <cellStyle name="Heading 2 3" xfId="2529" xr:uid="{00000000-0005-0000-0000-0000CA170000}"/>
    <cellStyle name="Heading 3" xfId="279" xr:uid="{00000000-0005-0000-0000-0000CB170000}"/>
    <cellStyle name="Heading 3 2" xfId="22739" xr:uid="{00000000-0005-0000-0000-0000CC170000}"/>
    <cellStyle name="Heading 3 2 2" xfId="26671" xr:uid="{00000000-0005-0000-0000-0000CD170000}"/>
    <cellStyle name="Heading 3 3" xfId="2530" xr:uid="{00000000-0005-0000-0000-0000CE170000}"/>
    <cellStyle name="Heading 3 4" xfId="26311" xr:uid="{00000000-0005-0000-0000-0000CF170000}"/>
    <cellStyle name="Heading 4" xfId="280" xr:uid="{00000000-0005-0000-0000-0000D0170000}"/>
    <cellStyle name="Heading 4 2" xfId="22740" xr:uid="{00000000-0005-0000-0000-0000D1170000}"/>
    <cellStyle name="Heading 4 3" xfId="2531" xr:uid="{00000000-0005-0000-0000-0000D2170000}"/>
    <cellStyle name="Heading 5" xfId="26201" xr:uid="{00000000-0005-0000-0000-0000D3170000}"/>
    <cellStyle name="Heading1" xfId="281" xr:uid="{00000000-0005-0000-0000-0000D4170000}"/>
    <cellStyle name="Heading1 2" xfId="26202" xr:uid="{00000000-0005-0000-0000-0000D5170000}"/>
    <cellStyle name="Hiperlink 2" xfId="26691" xr:uid="{00000000-0005-0000-0000-0000D6170000}"/>
    <cellStyle name="Hyperlink 2" xfId="282" xr:uid="{00000000-0005-0000-0000-0000D7170000}"/>
    <cellStyle name="Incorrecto 2" xfId="283" xr:uid="{00000000-0005-0000-0000-0000D8170000}"/>
    <cellStyle name="Incorreto 2" xfId="284" xr:uid="{00000000-0005-0000-0000-0000DA170000}"/>
    <cellStyle name="Indefinido" xfId="26692" xr:uid="{00000000-0005-0000-0000-0000DB170000}"/>
    <cellStyle name="Input" xfId="285" xr:uid="{00000000-0005-0000-0000-0000DC170000}"/>
    <cellStyle name="Input [yellow]" xfId="26693" xr:uid="{00000000-0005-0000-0000-0000DD170000}"/>
    <cellStyle name="Input 2" xfId="2623" xr:uid="{00000000-0005-0000-0000-0000DE170000}"/>
    <cellStyle name="Input 2 10" xfId="5263" xr:uid="{00000000-0005-0000-0000-0000DF170000}"/>
    <cellStyle name="Input 2 10 2" xfId="10403" xr:uid="{00000000-0005-0000-0000-0000E0170000}"/>
    <cellStyle name="Input 2 10 3" xfId="16145" xr:uid="{00000000-0005-0000-0000-0000E1170000}"/>
    <cellStyle name="Input 2 10 4" xfId="12831" xr:uid="{00000000-0005-0000-0000-0000E2170000}"/>
    <cellStyle name="Input 2 11" xfId="4849" xr:uid="{00000000-0005-0000-0000-0000E3170000}"/>
    <cellStyle name="Input 2 11 2" xfId="15827" xr:uid="{00000000-0005-0000-0000-0000E4170000}"/>
    <cellStyle name="Input 2 11 3" xfId="13157" xr:uid="{00000000-0005-0000-0000-0000E5170000}"/>
    <cellStyle name="Input 2 12" xfId="8786" xr:uid="{00000000-0005-0000-0000-0000E6170000}"/>
    <cellStyle name="Input 2 13" xfId="14149" xr:uid="{00000000-0005-0000-0000-0000E7170000}"/>
    <cellStyle name="Input 2 2" xfId="2712" xr:uid="{00000000-0005-0000-0000-0000E8170000}"/>
    <cellStyle name="Input 2 2 10" xfId="7488" xr:uid="{00000000-0005-0000-0000-0000E9170000}"/>
    <cellStyle name="Input 2 2 10 2" xfId="11542" xr:uid="{00000000-0005-0000-0000-0000EA170000}"/>
    <cellStyle name="Input 2 2 10 3" xfId="17844" xr:uid="{00000000-0005-0000-0000-0000EB170000}"/>
    <cellStyle name="Input 2 2 10 4" xfId="21006" xr:uid="{00000000-0005-0000-0000-0000EC170000}"/>
    <cellStyle name="Input 2 2 11" xfId="4905" xr:uid="{00000000-0005-0000-0000-0000ED170000}"/>
    <cellStyle name="Input 2 2 11 2" xfId="15876" xr:uid="{00000000-0005-0000-0000-0000EE170000}"/>
    <cellStyle name="Input 2 2 11 3" xfId="14108" xr:uid="{00000000-0005-0000-0000-0000EF170000}"/>
    <cellStyle name="Input 2 2 12" xfId="8867" xr:uid="{00000000-0005-0000-0000-0000F0170000}"/>
    <cellStyle name="Input 2 2 13" xfId="14279" xr:uid="{00000000-0005-0000-0000-0000F1170000}"/>
    <cellStyle name="Input 2 2 14" xfId="14971" xr:uid="{00000000-0005-0000-0000-0000F2170000}"/>
    <cellStyle name="Input 2 2 2" xfId="2651" xr:uid="{00000000-0005-0000-0000-0000F3170000}"/>
    <cellStyle name="Input 2 2 2 10" xfId="4878" xr:uid="{00000000-0005-0000-0000-0000F4170000}"/>
    <cellStyle name="Input 2 2 2 10 2" xfId="15853" xr:uid="{00000000-0005-0000-0000-0000F5170000}"/>
    <cellStyle name="Input 2 2 2 10 3" xfId="13128" xr:uid="{00000000-0005-0000-0000-0000F6170000}"/>
    <cellStyle name="Input 2 2 2 11" xfId="8808" xr:uid="{00000000-0005-0000-0000-0000F7170000}"/>
    <cellStyle name="Input 2 2 2 12" xfId="14228" xr:uid="{00000000-0005-0000-0000-0000F8170000}"/>
    <cellStyle name="Input 2 2 2 2" xfId="3143" xr:uid="{00000000-0005-0000-0000-0000F9170000}"/>
    <cellStyle name="Input 2 2 2 2 10" xfId="9273" xr:uid="{00000000-0005-0000-0000-0000FA170000}"/>
    <cellStyle name="Input 2 2 2 2 11" xfId="14596" xr:uid="{00000000-0005-0000-0000-0000FB170000}"/>
    <cellStyle name="Input 2 2 2 2 12" xfId="16113" xr:uid="{00000000-0005-0000-0000-0000FC170000}"/>
    <cellStyle name="Input 2 2 2 2 2" xfId="3530" xr:uid="{00000000-0005-0000-0000-0000FD170000}"/>
    <cellStyle name="Input 2 2 2 2 2 2" xfId="7350" xr:uid="{00000000-0005-0000-0000-0000FE170000}"/>
    <cellStyle name="Input 2 2 2 2 2 2 2" xfId="11436" xr:uid="{00000000-0005-0000-0000-0000FF170000}"/>
    <cellStyle name="Input 2 2 2 2 2 2 3" xfId="17738" xr:uid="{00000000-0005-0000-0000-000000180000}"/>
    <cellStyle name="Input 2 2 2 2 2 2 4" xfId="20868" xr:uid="{00000000-0005-0000-0000-000001180000}"/>
    <cellStyle name="Input 2 2 2 2 2 3" xfId="5641" xr:uid="{00000000-0005-0000-0000-000002180000}"/>
    <cellStyle name="Input 2 2 2 2 2 3 2" xfId="16447" xr:uid="{00000000-0005-0000-0000-000003180000}"/>
    <cellStyle name="Input 2 2 2 2 2 3 3" xfId="19159" xr:uid="{00000000-0005-0000-0000-000004180000}"/>
    <cellStyle name="Input 2 2 2 2 2 4" xfId="9622" xr:uid="{00000000-0005-0000-0000-000005180000}"/>
    <cellStyle name="Input 2 2 2 2 2 5" xfId="14876" xr:uid="{00000000-0005-0000-0000-000006180000}"/>
    <cellStyle name="Input 2 2 2 2 2 6" xfId="16497" xr:uid="{00000000-0005-0000-0000-000007180000}"/>
    <cellStyle name="Input 2 2 2 2 3" xfId="3913" xr:uid="{00000000-0005-0000-0000-000008180000}"/>
    <cellStyle name="Input 2 2 2 2 3 2" xfId="7176" xr:uid="{00000000-0005-0000-0000-000009180000}"/>
    <cellStyle name="Input 2 2 2 2 3 2 2" xfId="11306" xr:uid="{00000000-0005-0000-0000-00000A180000}"/>
    <cellStyle name="Input 2 2 2 2 3 2 3" xfId="17587" xr:uid="{00000000-0005-0000-0000-00000B180000}"/>
    <cellStyle name="Input 2 2 2 2 3 2 4" xfId="20694" xr:uid="{00000000-0005-0000-0000-00000C180000}"/>
    <cellStyle name="Input 2 2 2 2 3 3" xfId="5467" xr:uid="{00000000-0005-0000-0000-00000D180000}"/>
    <cellStyle name="Input 2 2 2 2 3 3 2" xfId="16297" xr:uid="{00000000-0005-0000-0000-00000E180000}"/>
    <cellStyle name="Input 2 2 2 2 3 3 3" xfId="18985" xr:uid="{00000000-0005-0000-0000-00000F180000}"/>
    <cellStyle name="Input 2 2 2 2 3 4" xfId="9836" xr:uid="{00000000-0005-0000-0000-000010180000}"/>
    <cellStyle name="Input 2 2 2 2 3 5" xfId="15152" xr:uid="{00000000-0005-0000-0000-000011180000}"/>
    <cellStyle name="Input 2 2 2 2 3 6" xfId="14078" xr:uid="{00000000-0005-0000-0000-000012180000}"/>
    <cellStyle name="Input 2 2 2 2 4" xfId="4296" xr:uid="{00000000-0005-0000-0000-000013180000}"/>
    <cellStyle name="Input 2 2 2 2 4 2" xfId="8135" xr:uid="{00000000-0005-0000-0000-000014180000}"/>
    <cellStyle name="Input 2 2 2 2 4 2 2" xfId="12103" xr:uid="{00000000-0005-0000-0000-000015180000}"/>
    <cellStyle name="Input 2 2 2 2 4 2 3" xfId="18339" xr:uid="{00000000-0005-0000-0000-000016180000}"/>
    <cellStyle name="Input 2 2 2 2 4 2 4" xfId="21653" xr:uid="{00000000-0005-0000-0000-000017180000}"/>
    <cellStyle name="Input 2 2 2 2 4 3" xfId="6427" xr:uid="{00000000-0005-0000-0000-000018180000}"/>
    <cellStyle name="Input 2 2 2 2 4 3 2" xfId="17048" xr:uid="{00000000-0005-0000-0000-000019180000}"/>
    <cellStyle name="Input 2 2 2 2 4 3 3" xfId="19945" xr:uid="{00000000-0005-0000-0000-00001A180000}"/>
    <cellStyle name="Input 2 2 2 2 4 4" xfId="10014" xr:uid="{00000000-0005-0000-0000-00001B180000}"/>
    <cellStyle name="Input 2 2 2 2 4 5" xfId="15427" xr:uid="{00000000-0005-0000-0000-00001C180000}"/>
    <cellStyle name="Input 2 2 2 2 4 6" xfId="13709" xr:uid="{00000000-0005-0000-0000-00001D180000}"/>
    <cellStyle name="Input 2 2 2 2 5" xfId="4678" xr:uid="{00000000-0005-0000-0000-00001E180000}"/>
    <cellStyle name="Input 2 2 2 2 5 2" xfId="8367" xr:uid="{00000000-0005-0000-0000-00001F180000}"/>
    <cellStyle name="Input 2 2 2 2 5 2 2" xfId="12335" xr:uid="{00000000-0005-0000-0000-000020180000}"/>
    <cellStyle name="Input 2 2 2 2 5 2 3" xfId="18510" xr:uid="{00000000-0005-0000-0000-000021180000}"/>
    <cellStyle name="Input 2 2 2 2 5 2 4" xfId="21885" xr:uid="{00000000-0005-0000-0000-000022180000}"/>
    <cellStyle name="Input 2 2 2 2 5 3" xfId="6659" xr:uid="{00000000-0005-0000-0000-000023180000}"/>
    <cellStyle name="Input 2 2 2 2 5 3 2" xfId="17219" xr:uid="{00000000-0005-0000-0000-000024180000}"/>
    <cellStyle name="Input 2 2 2 2 5 3 3" xfId="20177" xr:uid="{00000000-0005-0000-0000-000025180000}"/>
    <cellStyle name="Input 2 2 2 2 5 4" xfId="10191" xr:uid="{00000000-0005-0000-0000-000026180000}"/>
    <cellStyle name="Input 2 2 2 2 5 5" xfId="15701" xr:uid="{00000000-0005-0000-0000-000027180000}"/>
    <cellStyle name="Input 2 2 2 2 5 6" xfId="13327" xr:uid="{00000000-0005-0000-0000-000028180000}"/>
    <cellStyle name="Input 2 2 2 2 6" xfId="6891" xr:uid="{00000000-0005-0000-0000-000029180000}"/>
    <cellStyle name="Input 2 2 2 2 6 2" xfId="8599" xr:uid="{00000000-0005-0000-0000-00002A180000}"/>
    <cellStyle name="Input 2 2 2 2 6 2 2" xfId="12567" xr:uid="{00000000-0005-0000-0000-00002B180000}"/>
    <cellStyle name="Input 2 2 2 2 6 2 3" xfId="18681" xr:uid="{00000000-0005-0000-0000-00002C180000}"/>
    <cellStyle name="Input 2 2 2 2 6 2 4" xfId="22117" xr:uid="{00000000-0005-0000-0000-00002D180000}"/>
    <cellStyle name="Input 2 2 2 2 6 3" xfId="11025" xr:uid="{00000000-0005-0000-0000-00002E180000}"/>
    <cellStyle name="Input 2 2 2 2 6 4" xfId="17389" xr:uid="{00000000-0005-0000-0000-00002F180000}"/>
    <cellStyle name="Input 2 2 2 2 6 5" xfId="20409" xr:uid="{00000000-0005-0000-0000-000030180000}"/>
    <cellStyle name="Input 2 2 2 2 7" xfId="5879" xr:uid="{00000000-0005-0000-0000-000031180000}"/>
    <cellStyle name="Input 2 2 2 2 7 2" xfId="10620" xr:uid="{00000000-0005-0000-0000-000032180000}"/>
    <cellStyle name="Input 2 2 2 2 7 3" xfId="16627" xr:uid="{00000000-0005-0000-0000-000033180000}"/>
    <cellStyle name="Input 2 2 2 2 7 4" xfId="19397" xr:uid="{00000000-0005-0000-0000-000034180000}"/>
    <cellStyle name="Input 2 2 2 2 8" xfId="7587" xr:uid="{00000000-0005-0000-0000-000035180000}"/>
    <cellStyle name="Input 2 2 2 2 8 2" xfId="11608" xr:uid="{00000000-0005-0000-0000-000036180000}"/>
    <cellStyle name="Input 2 2 2 2 8 3" xfId="17919" xr:uid="{00000000-0005-0000-0000-000037180000}"/>
    <cellStyle name="Input 2 2 2 2 8 4" xfId="21105" xr:uid="{00000000-0005-0000-0000-000038180000}"/>
    <cellStyle name="Input 2 2 2 2 9" xfId="4969" xr:uid="{00000000-0005-0000-0000-000039180000}"/>
    <cellStyle name="Input 2 2 2 2 9 2" xfId="15937" xr:uid="{00000000-0005-0000-0000-00003A180000}"/>
    <cellStyle name="Input 2 2 2 2 9 3" xfId="13050" xr:uid="{00000000-0005-0000-0000-00003B180000}"/>
    <cellStyle name="Input 2 2 2 3" xfId="3262" xr:uid="{00000000-0005-0000-0000-00003C180000}"/>
    <cellStyle name="Input 2 2 2 3 2" xfId="3649" xr:uid="{00000000-0005-0000-0000-00003D180000}"/>
    <cellStyle name="Input 2 2 2 3 2 2" xfId="5121" xr:uid="{00000000-0005-0000-0000-00003E180000}"/>
    <cellStyle name="Input 2 2 2 3 2 2 2" xfId="16053" xr:uid="{00000000-0005-0000-0000-00003F180000}"/>
    <cellStyle name="Input 2 2 2 3 2 2 3" xfId="12793" xr:uid="{00000000-0005-0000-0000-000040180000}"/>
    <cellStyle name="Input 2 2 2 3 2 3" xfId="9740" xr:uid="{00000000-0005-0000-0000-000041180000}"/>
    <cellStyle name="Input 2 2 2 3 2 4" xfId="14968" xr:uid="{00000000-0005-0000-0000-000042180000}"/>
    <cellStyle name="Input 2 2 2 3 2 5" xfId="15523" xr:uid="{00000000-0005-0000-0000-000043180000}"/>
    <cellStyle name="Input 2 2 2 3 3" xfId="4032" xr:uid="{00000000-0005-0000-0000-000044180000}"/>
    <cellStyle name="Input 2 2 2 3 3 2" xfId="15243" xr:uid="{00000000-0005-0000-0000-000045180000}"/>
    <cellStyle name="Input 2 2 2 3 3 3" xfId="13959" xr:uid="{00000000-0005-0000-0000-000046180000}"/>
    <cellStyle name="Input 2 2 2 3 4" xfId="4415" xr:uid="{00000000-0005-0000-0000-000047180000}"/>
    <cellStyle name="Input 2 2 2 3 4 2" xfId="15519" xr:uid="{00000000-0005-0000-0000-000048180000}"/>
    <cellStyle name="Input 2 2 2 3 4 3" xfId="13590" xr:uid="{00000000-0005-0000-0000-000049180000}"/>
    <cellStyle name="Input 2 2 2 3 5" xfId="4797" xr:uid="{00000000-0005-0000-0000-00004A180000}"/>
    <cellStyle name="Input 2 2 2 3 5 2" xfId="15791" xr:uid="{00000000-0005-0000-0000-00004B180000}"/>
    <cellStyle name="Input 2 2 2 3 5 3" xfId="13209" xr:uid="{00000000-0005-0000-0000-00004C180000}"/>
    <cellStyle name="Input 2 2 2 3 6" xfId="5281" xr:uid="{00000000-0005-0000-0000-00004D180000}"/>
    <cellStyle name="Input 2 2 2 3 6 2" xfId="16159" xr:uid="{00000000-0005-0000-0000-00004E180000}"/>
    <cellStyle name="Input 2 2 2 3 6 3" xfId="18799" xr:uid="{00000000-0005-0000-0000-00004F180000}"/>
    <cellStyle name="Input 2 2 2 3 7" xfId="9392" xr:uid="{00000000-0005-0000-0000-000050180000}"/>
    <cellStyle name="Input 2 2 2 3 8" xfId="14688" xr:uid="{00000000-0005-0000-0000-000051180000}"/>
    <cellStyle name="Input 2 2 2 3 9" xfId="14462" xr:uid="{00000000-0005-0000-0000-000052180000}"/>
    <cellStyle name="Input 2 2 2 4" xfId="2851" xr:uid="{00000000-0005-0000-0000-000053180000}"/>
    <cellStyle name="Input 2 2 2 4 2" xfId="7828" xr:uid="{00000000-0005-0000-0000-000054180000}"/>
    <cellStyle name="Input 2 2 2 4 2 2" xfId="11836" xr:uid="{00000000-0005-0000-0000-000055180000}"/>
    <cellStyle name="Input 2 2 2 4 2 3" xfId="18092" xr:uid="{00000000-0005-0000-0000-000056180000}"/>
    <cellStyle name="Input 2 2 2 4 2 4" xfId="21346" xr:uid="{00000000-0005-0000-0000-000057180000}"/>
    <cellStyle name="Input 2 2 2 4 3" xfId="6120" xr:uid="{00000000-0005-0000-0000-000058180000}"/>
    <cellStyle name="Input 2 2 2 4 3 2" xfId="16800" xr:uid="{00000000-0005-0000-0000-000059180000}"/>
    <cellStyle name="Input 2 2 2 4 3 3" xfId="19638" xr:uid="{00000000-0005-0000-0000-00005A180000}"/>
    <cellStyle name="Input 2 2 2 4 4" xfId="9004" xr:uid="{00000000-0005-0000-0000-00005B180000}"/>
    <cellStyle name="Input 2 2 2 4 5" xfId="14389" xr:uid="{00000000-0005-0000-0000-00005C180000}"/>
    <cellStyle name="Input 2 2 2 4 6" xfId="15510" xr:uid="{00000000-0005-0000-0000-00005D180000}"/>
    <cellStyle name="Input 2 2 2 5" xfId="5448" xr:uid="{00000000-0005-0000-0000-00005E180000}"/>
    <cellStyle name="Input 2 2 2 5 2" xfId="7157" xr:uid="{00000000-0005-0000-0000-00005F180000}"/>
    <cellStyle name="Input 2 2 2 5 2 2" xfId="11288" xr:uid="{00000000-0005-0000-0000-000060180000}"/>
    <cellStyle name="Input 2 2 2 5 2 3" xfId="17571" xr:uid="{00000000-0005-0000-0000-000061180000}"/>
    <cellStyle name="Input 2 2 2 5 2 4" xfId="20675" xr:uid="{00000000-0005-0000-0000-000062180000}"/>
    <cellStyle name="Input 2 2 2 5 3" xfId="10462" xr:uid="{00000000-0005-0000-0000-000063180000}"/>
    <cellStyle name="Input 2 2 2 5 4" xfId="16281" xr:uid="{00000000-0005-0000-0000-000064180000}"/>
    <cellStyle name="Input 2 2 2 5 5" xfId="18966" xr:uid="{00000000-0005-0000-0000-000065180000}"/>
    <cellStyle name="Input 2 2 2 6" xfId="6114" xr:uid="{00000000-0005-0000-0000-000066180000}"/>
    <cellStyle name="Input 2 2 2 6 2" xfId="7822" xr:uid="{00000000-0005-0000-0000-000067180000}"/>
    <cellStyle name="Input 2 2 2 6 2 2" xfId="11832" xr:uid="{00000000-0005-0000-0000-000068180000}"/>
    <cellStyle name="Input 2 2 2 6 2 3" xfId="18086" xr:uid="{00000000-0005-0000-0000-000069180000}"/>
    <cellStyle name="Input 2 2 2 6 2 4" xfId="21340" xr:uid="{00000000-0005-0000-0000-00006A180000}"/>
    <cellStyle name="Input 2 2 2 6 3" xfId="10812" xr:uid="{00000000-0005-0000-0000-00006B180000}"/>
    <cellStyle name="Input 2 2 2 6 4" xfId="16794" xr:uid="{00000000-0005-0000-0000-00006C180000}"/>
    <cellStyle name="Input 2 2 2 6 5" xfId="19632" xr:uid="{00000000-0005-0000-0000-00006D180000}"/>
    <cellStyle name="Input 2 2 2 7" xfId="5318" xr:uid="{00000000-0005-0000-0000-00006E180000}"/>
    <cellStyle name="Input 2 2 2 7 2" xfId="5096" xr:uid="{00000000-0005-0000-0000-00006F180000}"/>
    <cellStyle name="Input 2 2 2 7 2 2" xfId="10343" xr:uid="{00000000-0005-0000-0000-000070180000}"/>
    <cellStyle name="Input 2 2 2 7 2 3" xfId="16032" xr:uid="{00000000-0005-0000-0000-000071180000}"/>
    <cellStyle name="Input 2 2 2 7 2 4" xfId="12806" xr:uid="{00000000-0005-0000-0000-000072180000}"/>
    <cellStyle name="Input 2 2 2 7 3" xfId="10421" xr:uid="{00000000-0005-0000-0000-000073180000}"/>
    <cellStyle name="Input 2 2 2 7 4" xfId="16190" xr:uid="{00000000-0005-0000-0000-000074180000}"/>
    <cellStyle name="Input 2 2 2 7 5" xfId="18836" xr:uid="{00000000-0005-0000-0000-000075180000}"/>
    <cellStyle name="Input 2 2 2 8" xfId="5747" xr:uid="{00000000-0005-0000-0000-000076180000}"/>
    <cellStyle name="Input 2 2 2 8 2" xfId="10528" xr:uid="{00000000-0005-0000-0000-000077180000}"/>
    <cellStyle name="Input 2 2 2 8 3" xfId="16527" xr:uid="{00000000-0005-0000-0000-000078180000}"/>
    <cellStyle name="Input 2 2 2 8 4" xfId="19265" xr:uid="{00000000-0005-0000-0000-000079180000}"/>
    <cellStyle name="Input 2 2 2 9" xfId="7456" xr:uid="{00000000-0005-0000-0000-00007A180000}"/>
    <cellStyle name="Input 2 2 2 9 2" xfId="11515" xr:uid="{00000000-0005-0000-0000-00007B180000}"/>
    <cellStyle name="Input 2 2 2 9 3" xfId="17818" xr:uid="{00000000-0005-0000-0000-00007C180000}"/>
    <cellStyle name="Input 2 2 2 9 4" xfId="20974" xr:uid="{00000000-0005-0000-0000-00007D180000}"/>
    <cellStyle name="Input 2 2 3" xfId="3202" xr:uid="{00000000-0005-0000-0000-00007E180000}"/>
    <cellStyle name="Input 2 2 3 10" xfId="9332" xr:uid="{00000000-0005-0000-0000-00007F180000}"/>
    <cellStyle name="Input 2 2 3 11" xfId="14644" xr:uid="{00000000-0005-0000-0000-000080180000}"/>
    <cellStyle name="Input 2 2 3 12" xfId="15207" xr:uid="{00000000-0005-0000-0000-000081180000}"/>
    <cellStyle name="Input 2 2 3 2" xfId="3589" xr:uid="{00000000-0005-0000-0000-000082180000}"/>
    <cellStyle name="Input 2 2 3 2 2" xfId="7254" xr:uid="{00000000-0005-0000-0000-000083180000}"/>
    <cellStyle name="Input 2 2 3 2 2 2" xfId="11359" xr:uid="{00000000-0005-0000-0000-000084180000}"/>
    <cellStyle name="Input 2 2 3 2 2 3" xfId="17655" xr:uid="{00000000-0005-0000-0000-000085180000}"/>
    <cellStyle name="Input 2 2 3 2 2 4" xfId="20772" xr:uid="{00000000-0005-0000-0000-000086180000}"/>
    <cellStyle name="Input 2 2 3 2 3" xfId="5545" xr:uid="{00000000-0005-0000-0000-000087180000}"/>
    <cellStyle name="Input 2 2 3 2 3 2" xfId="16364" xr:uid="{00000000-0005-0000-0000-000088180000}"/>
    <cellStyle name="Input 2 2 3 2 3 3" xfId="19063" xr:uid="{00000000-0005-0000-0000-000089180000}"/>
    <cellStyle name="Input 2 2 3 2 4" xfId="9681" xr:uid="{00000000-0005-0000-0000-00008A180000}"/>
    <cellStyle name="Input 2 2 3 2 5" xfId="14924" xr:uid="{00000000-0005-0000-0000-00008B180000}"/>
    <cellStyle name="Input 2 2 3 2 6" xfId="17113" xr:uid="{00000000-0005-0000-0000-00008C180000}"/>
    <cellStyle name="Input 2 2 3 3" xfId="3972" xr:uid="{00000000-0005-0000-0000-00008D180000}"/>
    <cellStyle name="Input 2 2 3 3 2" xfId="7764" xr:uid="{00000000-0005-0000-0000-00008E180000}"/>
    <cellStyle name="Input 2 2 3 3 2 2" xfId="11785" xr:uid="{00000000-0005-0000-0000-00008F180000}"/>
    <cellStyle name="Input 2 2 3 3 2 3" xfId="18038" xr:uid="{00000000-0005-0000-0000-000090180000}"/>
    <cellStyle name="Input 2 2 3 3 2 4" xfId="21282" xr:uid="{00000000-0005-0000-0000-000091180000}"/>
    <cellStyle name="Input 2 2 3 3 3" xfId="6056" xr:uid="{00000000-0005-0000-0000-000092180000}"/>
    <cellStyle name="Input 2 2 3 3 3 2" xfId="16746" xr:uid="{00000000-0005-0000-0000-000093180000}"/>
    <cellStyle name="Input 2 2 3 3 3 3" xfId="19574" xr:uid="{00000000-0005-0000-0000-000094180000}"/>
    <cellStyle name="Input 2 2 3 3 4" xfId="9891" xr:uid="{00000000-0005-0000-0000-000095180000}"/>
    <cellStyle name="Input 2 2 3 3 5" xfId="15200" xr:uid="{00000000-0005-0000-0000-000096180000}"/>
    <cellStyle name="Input 2 2 3 3 6" xfId="14019" xr:uid="{00000000-0005-0000-0000-000097180000}"/>
    <cellStyle name="Input 2 2 3 4" xfId="4355" xr:uid="{00000000-0005-0000-0000-000098180000}"/>
    <cellStyle name="Input 2 2 3 4 2" xfId="8120" xr:uid="{00000000-0005-0000-0000-000099180000}"/>
    <cellStyle name="Input 2 2 3 4 2 2" xfId="12088" xr:uid="{00000000-0005-0000-0000-00009A180000}"/>
    <cellStyle name="Input 2 2 3 4 2 3" xfId="18326" xr:uid="{00000000-0005-0000-0000-00009B180000}"/>
    <cellStyle name="Input 2 2 3 4 2 4" xfId="21638" xr:uid="{00000000-0005-0000-0000-00009C180000}"/>
    <cellStyle name="Input 2 2 3 4 3" xfId="6412" xr:uid="{00000000-0005-0000-0000-00009D180000}"/>
    <cellStyle name="Input 2 2 3 4 3 2" xfId="17035" xr:uid="{00000000-0005-0000-0000-00009E180000}"/>
    <cellStyle name="Input 2 2 3 4 3 3" xfId="19930" xr:uid="{00000000-0005-0000-0000-00009F180000}"/>
    <cellStyle name="Input 2 2 3 4 4" xfId="10069" xr:uid="{00000000-0005-0000-0000-0000A0180000}"/>
    <cellStyle name="Input 2 2 3 4 5" xfId="15475" xr:uid="{00000000-0005-0000-0000-0000A1180000}"/>
    <cellStyle name="Input 2 2 3 4 6" xfId="13650" xr:uid="{00000000-0005-0000-0000-0000A2180000}"/>
    <cellStyle name="Input 2 2 3 5" xfId="4737" xr:uid="{00000000-0005-0000-0000-0000A3180000}"/>
    <cellStyle name="Input 2 2 3 5 2" xfId="8352" xr:uid="{00000000-0005-0000-0000-0000A4180000}"/>
    <cellStyle name="Input 2 2 3 5 2 2" xfId="12320" xr:uid="{00000000-0005-0000-0000-0000A5180000}"/>
    <cellStyle name="Input 2 2 3 5 2 3" xfId="18497" xr:uid="{00000000-0005-0000-0000-0000A6180000}"/>
    <cellStyle name="Input 2 2 3 5 2 4" xfId="21870" xr:uid="{00000000-0005-0000-0000-0000A7180000}"/>
    <cellStyle name="Input 2 2 3 5 3" xfId="6644" xr:uid="{00000000-0005-0000-0000-0000A8180000}"/>
    <cellStyle name="Input 2 2 3 5 3 2" xfId="17206" xr:uid="{00000000-0005-0000-0000-0000A9180000}"/>
    <cellStyle name="Input 2 2 3 5 3 3" xfId="20162" xr:uid="{00000000-0005-0000-0000-0000AA180000}"/>
    <cellStyle name="Input 2 2 3 5 4" xfId="10246" xr:uid="{00000000-0005-0000-0000-0000AB180000}"/>
    <cellStyle name="Input 2 2 3 5 5" xfId="15748" xr:uid="{00000000-0005-0000-0000-0000AC180000}"/>
    <cellStyle name="Input 2 2 3 5 6" xfId="13268" xr:uid="{00000000-0005-0000-0000-0000AD180000}"/>
    <cellStyle name="Input 2 2 3 6" xfId="6876" xr:uid="{00000000-0005-0000-0000-0000AE180000}"/>
    <cellStyle name="Input 2 2 3 6 2" xfId="8584" xr:uid="{00000000-0005-0000-0000-0000AF180000}"/>
    <cellStyle name="Input 2 2 3 6 2 2" xfId="12552" xr:uid="{00000000-0005-0000-0000-0000B0180000}"/>
    <cellStyle name="Input 2 2 3 6 2 3" xfId="18668" xr:uid="{00000000-0005-0000-0000-0000B1180000}"/>
    <cellStyle name="Input 2 2 3 6 2 4" xfId="22102" xr:uid="{00000000-0005-0000-0000-0000B2180000}"/>
    <cellStyle name="Input 2 2 3 6 3" xfId="11010" xr:uid="{00000000-0005-0000-0000-0000B3180000}"/>
    <cellStyle name="Input 2 2 3 6 4" xfId="17376" xr:uid="{00000000-0005-0000-0000-0000B4180000}"/>
    <cellStyle name="Input 2 2 3 6 5" xfId="20394" xr:uid="{00000000-0005-0000-0000-0000B5180000}"/>
    <cellStyle name="Input 2 2 3 7" xfId="5864" xr:uid="{00000000-0005-0000-0000-0000B6180000}"/>
    <cellStyle name="Input 2 2 3 7 2" xfId="10605" xr:uid="{00000000-0005-0000-0000-0000B7180000}"/>
    <cellStyle name="Input 2 2 3 7 3" xfId="16614" xr:uid="{00000000-0005-0000-0000-0000B8180000}"/>
    <cellStyle name="Input 2 2 3 7 4" xfId="19382" xr:uid="{00000000-0005-0000-0000-0000B9180000}"/>
    <cellStyle name="Input 2 2 3 8" xfId="7572" xr:uid="{00000000-0005-0000-0000-0000BA180000}"/>
    <cellStyle name="Input 2 2 3 8 2" xfId="11593" xr:uid="{00000000-0005-0000-0000-0000BB180000}"/>
    <cellStyle name="Input 2 2 3 8 3" xfId="17906" xr:uid="{00000000-0005-0000-0000-0000BC180000}"/>
    <cellStyle name="Input 2 2 3 8 4" xfId="21090" xr:uid="{00000000-0005-0000-0000-0000BD180000}"/>
    <cellStyle name="Input 2 2 3 9" xfId="4954" xr:uid="{00000000-0005-0000-0000-0000BE180000}"/>
    <cellStyle name="Input 2 2 3 9 2" xfId="15924" xr:uid="{00000000-0005-0000-0000-0000BF180000}"/>
    <cellStyle name="Input 2 2 3 9 3" xfId="13065" xr:uid="{00000000-0005-0000-0000-0000C0180000}"/>
    <cellStyle name="Input 2 2 4" xfId="3122" xr:uid="{00000000-0005-0000-0000-0000C1180000}"/>
    <cellStyle name="Input 2 2 4 2" xfId="3509" xr:uid="{00000000-0005-0000-0000-0000C2180000}"/>
    <cellStyle name="Input 2 2 4 2 2" xfId="7389" xr:uid="{00000000-0005-0000-0000-0000C3180000}"/>
    <cellStyle name="Input 2 2 4 2 2 2" xfId="17768" xr:uid="{00000000-0005-0000-0000-0000C4180000}"/>
    <cellStyle name="Input 2 2 4 2 2 3" xfId="20907" xr:uid="{00000000-0005-0000-0000-0000C5180000}"/>
    <cellStyle name="Input 2 2 4 2 3" xfId="9602" xr:uid="{00000000-0005-0000-0000-0000C6180000}"/>
    <cellStyle name="Input 2 2 4 2 4" xfId="14859" xr:uid="{00000000-0005-0000-0000-0000C7180000}"/>
    <cellStyle name="Input 2 2 4 2 5" xfId="14311" xr:uid="{00000000-0005-0000-0000-0000C8180000}"/>
    <cellStyle name="Input 2 2 4 3" xfId="3892" xr:uid="{00000000-0005-0000-0000-0000C9180000}"/>
    <cellStyle name="Input 2 2 4 3 2" xfId="15135" xr:uid="{00000000-0005-0000-0000-0000CA180000}"/>
    <cellStyle name="Input 2 2 4 3 3" xfId="14256" xr:uid="{00000000-0005-0000-0000-0000CB180000}"/>
    <cellStyle name="Input 2 2 4 4" xfId="4275" xr:uid="{00000000-0005-0000-0000-0000CC180000}"/>
    <cellStyle name="Input 2 2 4 4 2" xfId="15410" xr:uid="{00000000-0005-0000-0000-0000CD180000}"/>
    <cellStyle name="Input 2 2 4 4 3" xfId="13730" xr:uid="{00000000-0005-0000-0000-0000CE180000}"/>
    <cellStyle name="Input 2 2 4 5" xfId="4657" xr:uid="{00000000-0005-0000-0000-0000CF180000}"/>
    <cellStyle name="Input 2 2 4 5 2" xfId="15684" xr:uid="{00000000-0005-0000-0000-0000D0180000}"/>
    <cellStyle name="Input 2 2 4 5 3" xfId="13348" xr:uid="{00000000-0005-0000-0000-0000D1180000}"/>
    <cellStyle name="Input 2 2 4 6" xfId="5680" xr:uid="{00000000-0005-0000-0000-0000D2180000}"/>
    <cellStyle name="Input 2 2 4 6 2" xfId="16477" xr:uid="{00000000-0005-0000-0000-0000D3180000}"/>
    <cellStyle name="Input 2 2 4 6 3" xfId="19198" xr:uid="{00000000-0005-0000-0000-0000D4180000}"/>
    <cellStyle name="Input 2 2 4 7" xfId="9253" xr:uid="{00000000-0005-0000-0000-0000D5180000}"/>
    <cellStyle name="Input 2 2 4 8" xfId="14579" xr:uid="{00000000-0005-0000-0000-0000D6180000}"/>
    <cellStyle name="Input 2 2 4 9" xfId="17284" xr:uid="{00000000-0005-0000-0000-0000D7180000}"/>
    <cellStyle name="Input 2 2 5" xfId="6327" xr:uid="{00000000-0005-0000-0000-0000D8180000}"/>
    <cellStyle name="Input 2 2 5 2" xfId="8035" xr:uid="{00000000-0005-0000-0000-0000D9180000}"/>
    <cellStyle name="Input 2 2 5 2 2" xfId="12008" xr:uid="{00000000-0005-0000-0000-0000DA180000}"/>
    <cellStyle name="Input 2 2 5 2 3" xfId="18248" xr:uid="{00000000-0005-0000-0000-0000DB180000}"/>
    <cellStyle name="Input 2 2 5 2 4" xfId="21553" xr:uid="{00000000-0005-0000-0000-0000DC180000}"/>
    <cellStyle name="Input 2 2 5 3" xfId="10866" xr:uid="{00000000-0005-0000-0000-0000DD180000}"/>
    <cellStyle name="Input 2 2 5 4" xfId="16957" xr:uid="{00000000-0005-0000-0000-0000DE180000}"/>
    <cellStyle name="Input 2 2 5 5" xfId="19845" xr:uid="{00000000-0005-0000-0000-0000DF180000}"/>
    <cellStyle name="Input 2 2 6" xfId="5634" xr:uid="{00000000-0005-0000-0000-0000E0180000}"/>
    <cellStyle name="Input 2 2 6 2" xfId="7343" xr:uid="{00000000-0005-0000-0000-0000E1180000}"/>
    <cellStyle name="Input 2 2 6 2 2" xfId="11429" xr:uid="{00000000-0005-0000-0000-0000E2180000}"/>
    <cellStyle name="Input 2 2 6 2 3" xfId="17732" xr:uid="{00000000-0005-0000-0000-0000E3180000}"/>
    <cellStyle name="Input 2 2 6 2 4" xfId="20861" xr:uid="{00000000-0005-0000-0000-0000E4180000}"/>
    <cellStyle name="Input 2 2 6 3" xfId="10506" xr:uid="{00000000-0005-0000-0000-0000E5180000}"/>
    <cellStyle name="Input 2 2 6 4" xfId="16441" xr:uid="{00000000-0005-0000-0000-0000E6180000}"/>
    <cellStyle name="Input 2 2 6 5" xfId="19152" xr:uid="{00000000-0005-0000-0000-0000E7180000}"/>
    <cellStyle name="Input 2 2 7" xfId="6087" xr:uid="{00000000-0005-0000-0000-0000E8180000}"/>
    <cellStyle name="Input 2 2 7 2" xfId="7795" xr:uid="{00000000-0005-0000-0000-0000E9180000}"/>
    <cellStyle name="Input 2 2 7 2 2" xfId="11811" xr:uid="{00000000-0005-0000-0000-0000EA180000}"/>
    <cellStyle name="Input 2 2 7 2 3" xfId="18063" xr:uid="{00000000-0005-0000-0000-0000EB180000}"/>
    <cellStyle name="Input 2 2 7 2 4" xfId="21313" xr:uid="{00000000-0005-0000-0000-0000EC180000}"/>
    <cellStyle name="Input 2 2 7 3" xfId="10803" xr:uid="{00000000-0005-0000-0000-0000ED180000}"/>
    <cellStyle name="Input 2 2 7 4" xfId="16771" xr:uid="{00000000-0005-0000-0000-0000EE180000}"/>
    <cellStyle name="Input 2 2 7 5" xfId="19605" xr:uid="{00000000-0005-0000-0000-0000EF180000}"/>
    <cellStyle name="Input 2 2 8" xfId="5503" xr:uid="{00000000-0005-0000-0000-0000F0180000}"/>
    <cellStyle name="Input 2 2 8 2" xfId="7212" xr:uid="{00000000-0005-0000-0000-0000F1180000}"/>
    <cellStyle name="Input 2 2 8 2 2" xfId="11338" xr:uid="{00000000-0005-0000-0000-0000F2180000}"/>
    <cellStyle name="Input 2 2 8 2 3" xfId="17617" xr:uid="{00000000-0005-0000-0000-0000F3180000}"/>
    <cellStyle name="Input 2 2 8 2 4" xfId="20730" xr:uid="{00000000-0005-0000-0000-0000F4180000}"/>
    <cellStyle name="Input 2 2 8 3" xfId="10481" xr:uid="{00000000-0005-0000-0000-0000F5180000}"/>
    <cellStyle name="Input 2 2 8 4" xfId="16326" xr:uid="{00000000-0005-0000-0000-0000F6180000}"/>
    <cellStyle name="Input 2 2 8 5" xfId="19021" xr:uid="{00000000-0005-0000-0000-0000F7180000}"/>
    <cellStyle name="Input 2 2 9" xfId="5779" xr:uid="{00000000-0005-0000-0000-0000F8180000}"/>
    <cellStyle name="Input 2 2 9 2" xfId="10555" xr:uid="{00000000-0005-0000-0000-0000F9180000}"/>
    <cellStyle name="Input 2 2 9 3" xfId="16552" xr:uid="{00000000-0005-0000-0000-0000FA180000}"/>
    <cellStyle name="Input 2 2 9 4" xfId="19297" xr:uid="{00000000-0005-0000-0000-0000FB180000}"/>
    <cellStyle name="Input 2 3" xfId="2669" xr:uid="{00000000-0005-0000-0000-0000FC180000}"/>
    <cellStyle name="Input 2 3 10" xfId="7515" xr:uid="{00000000-0005-0000-0000-0000FD180000}"/>
    <cellStyle name="Input 2 3 10 2" xfId="11557" xr:uid="{00000000-0005-0000-0000-0000FE180000}"/>
    <cellStyle name="Input 2 3 10 3" xfId="17863" xr:uid="{00000000-0005-0000-0000-0000FF180000}"/>
    <cellStyle name="Input 2 3 10 4" xfId="21033" xr:uid="{00000000-0005-0000-0000-000000190000}"/>
    <cellStyle name="Input 2 3 11" xfId="4920" xr:uid="{00000000-0005-0000-0000-000001190000}"/>
    <cellStyle name="Input 2 3 11 2" xfId="15890" xr:uid="{00000000-0005-0000-0000-000002190000}"/>
    <cellStyle name="Input 2 3 11 3" xfId="13099" xr:uid="{00000000-0005-0000-0000-000003190000}"/>
    <cellStyle name="Input 2 3 12" xfId="8826" xr:uid="{00000000-0005-0000-0000-000004190000}"/>
    <cellStyle name="Input 2 3 13" xfId="14243" xr:uid="{00000000-0005-0000-0000-000005190000}"/>
    <cellStyle name="Input 2 3 14" xfId="14706" xr:uid="{00000000-0005-0000-0000-000006190000}"/>
    <cellStyle name="Input 2 3 2" xfId="2728" xr:uid="{00000000-0005-0000-0000-000007190000}"/>
    <cellStyle name="Input 2 3 2 10" xfId="4942" xr:uid="{00000000-0005-0000-0000-000008190000}"/>
    <cellStyle name="Input 2 3 2 10 2" xfId="15912" xr:uid="{00000000-0005-0000-0000-000009190000}"/>
    <cellStyle name="Input 2 3 2 10 3" xfId="13077" xr:uid="{00000000-0005-0000-0000-00000A190000}"/>
    <cellStyle name="Input 2 3 2 11" xfId="8883" xr:uid="{00000000-0005-0000-0000-00000B190000}"/>
    <cellStyle name="Input 2 3 2 12" xfId="14288" xr:uid="{00000000-0005-0000-0000-00000C190000}"/>
    <cellStyle name="Input 2 3 2 2" xfId="3218" xr:uid="{00000000-0005-0000-0000-00000D190000}"/>
    <cellStyle name="Input 2 3 2 2 10" xfId="9348" xr:uid="{00000000-0005-0000-0000-00000E190000}"/>
    <cellStyle name="Input 2 3 2 2 11" xfId="14653" xr:uid="{00000000-0005-0000-0000-00000F190000}"/>
    <cellStyle name="Input 2 3 2 2 12" xfId="16310" xr:uid="{00000000-0005-0000-0000-000010190000}"/>
    <cellStyle name="Input 2 3 2 2 2" xfId="3605" xr:uid="{00000000-0005-0000-0000-000011190000}"/>
    <cellStyle name="Input 2 3 2 2 2 2" xfId="7966" xr:uid="{00000000-0005-0000-0000-000012190000}"/>
    <cellStyle name="Input 2 3 2 2 2 2 2" xfId="11942" xr:uid="{00000000-0005-0000-0000-000013190000}"/>
    <cellStyle name="Input 2 3 2 2 2 2 3" xfId="18193" xr:uid="{00000000-0005-0000-0000-000014190000}"/>
    <cellStyle name="Input 2 3 2 2 2 2 4" xfId="21484" xr:uid="{00000000-0005-0000-0000-000015190000}"/>
    <cellStyle name="Input 2 3 2 2 2 3" xfId="6258" xr:uid="{00000000-0005-0000-0000-000016190000}"/>
    <cellStyle name="Input 2 3 2 2 2 3 2" xfId="16901" xr:uid="{00000000-0005-0000-0000-000017190000}"/>
    <cellStyle name="Input 2 3 2 2 2 3 3" xfId="19776" xr:uid="{00000000-0005-0000-0000-000018190000}"/>
    <cellStyle name="Input 2 3 2 2 2 4" xfId="9697" xr:uid="{00000000-0005-0000-0000-000019190000}"/>
    <cellStyle name="Input 2 3 2 2 2 5" xfId="14933" xr:uid="{00000000-0005-0000-0000-00001A190000}"/>
    <cellStyle name="Input 2 3 2 2 2 6" xfId="14982" xr:uid="{00000000-0005-0000-0000-00001B190000}"/>
    <cellStyle name="Input 2 3 2 2 3" xfId="3988" xr:uid="{00000000-0005-0000-0000-00001C190000}"/>
    <cellStyle name="Input 2 3 2 2 3 2" xfId="5070" xr:uid="{00000000-0005-0000-0000-00001D190000}"/>
    <cellStyle name="Input 2 3 2 2 3 2 2" xfId="10322" xr:uid="{00000000-0005-0000-0000-00001E190000}"/>
    <cellStyle name="Input 2 3 2 2 3 2 3" xfId="16011" xr:uid="{00000000-0005-0000-0000-00001F190000}"/>
    <cellStyle name="Input 2 3 2 2 3 2 4" xfId="12962" xr:uid="{00000000-0005-0000-0000-000020190000}"/>
    <cellStyle name="Input 2 3 2 2 3 3" xfId="5345" xr:uid="{00000000-0005-0000-0000-000021190000}"/>
    <cellStyle name="Input 2 3 2 2 3 3 2" xfId="16212" xr:uid="{00000000-0005-0000-0000-000022190000}"/>
    <cellStyle name="Input 2 3 2 2 3 3 3" xfId="18863" xr:uid="{00000000-0005-0000-0000-000023190000}"/>
    <cellStyle name="Input 2 3 2 2 3 4" xfId="9907" xr:uid="{00000000-0005-0000-0000-000024190000}"/>
    <cellStyle name="Input 2 3 2 2 3 5" xfId="15209" xr:uid="{00000000-0005-0000-0000-000025190000}"/>
    <cellStyle name="Input 2 3 2 2 3 6" xfId="14003" xr:uid="{00000000-0005-0000-0000-000026190000}"/>
    <cellStyle name="Input 2 3 2 2 4" xfId="4371" xr:uid="{00000000-0005-0000-0000-000027190000}"/>
    <cellStyle name="Input 2 3 2 2 4 2" xfId="8273" xr:uid="{00000000-0005-0000-0000-000028190000}"/>
    <cellStyle name="Input 2 3 2 2 4 2 2" xfId="12241" xr:uid="{00000000-0005-0000-0000-000029190000}"/>
    <cellStyle name="Input 2 3 2 2 4 2 3" xfId="18426" xr:uid="{00000000-0005-0000-0000-00002A190000}"/>
    <cellStyle name="Input 2 3 2 2 4 2 4" xfId="21791" xr:uid="{00000000-0005-0000-0000-00002B190000}"/>
    <cellStyle name="Input 2 3 2 2 4 3" xfId="6565" xr:uid="{00000000-0005-0000-0000-00002C190000}"/>
    <cellStyle name="Input 2 3 2 2 4 3 2" xfId="17135" xr:uid="{00000000-0005-0000-0000-00002D190000}"/>
    <cellStyle name="Input 2 3 2 2 4 3 3" xfId="20083" xr:uid="{00000000-0005-0000-0000-00002E190000}"/>
    <cellStyle name="Input 2 3 2 2 4 4" xfId="10085" xr:uid="{00000000-0005-0000-0000-00002F190000}"/>
    <cellStyle name="Input 2 3 2 2 4 5" xfId="15484" xr:uid="{00000000-0005-0000-0000-000030190000}"/>
    <cellStyle name="Input 2 3 2 2 4 6" xfId="13634" xr:uid="{00000000-0005-0000-0000-000031190000}"/>
    <cellStyle name="Input 2 3 2 2 5" xfId="4753" xr:uid="{00000000-0005-0000-0000-000032190000}"/>
    <cellStyle name="Input 2 3 2 2 5 2" xfId="8505" xr:uid="{00000000-0005-0000-0000-000033190000}"/>
    <cellStyle name="Input 2 3 2 2 5 2 2" xfId="12473" xr:uid="{00000000-0005-0000-0000-000034190000}"/>
    <cellStyle name="Input 2 3 2 2 5 2 3" xfId="18597" xr:uid="{00000000-0005-0000-0000-000035190000}"/>
    <cellStyle name="Input 2 3 2 2 5 2 4" xfId="22023" xr:uid="{00000000-0005-0000-0000-000036190000}"/>
    <cellStyle name="Input 2 3 2 2 5 3" xfId="6797" xr:uid="{00000000-0005-0000-0000-000037190000}"/>
    <cellStyle name="Input 2 3 2 2 5 3 2" xfId="17305" xr:uid="{00000000-0005-0000-0000-000038190000}"/>
    <cellStyle name="Input 2 3 2 2 5 3 3" xfId="20315" xr:uid="{00000000-0005-0000-0000-000039190000}"/>
    <cellStyle name="Input 2 3 2 2 5 4" xfId="10262" xr:uid="{00000000-0005-0000-0000-00003A190000}"/>
    <cellStyle name="Input 2 3 2 2 5 5" xfId="15757" xr:uid="{00000000-0005-0000-0000-00003B190000}"/>
    <cellStyle name="Input 2 3 2 2 5 6" xfId="13252" xr:uid="{00000000-0005-0000-0000-00003C190000}"/>
    <cellStyle name="Input 2 3 2 2 6" xfId="7029" xr:uid="{00000000-0005-0000-0000-00003D190000}"/>
    <cellStyle name="Input 2 3 2 2 6 2" xfId="8737" xr:uid="{00000000-0005-0000-0000-00003E190000}"/>
    <cellStyle name="Input 2 3 2 2 6 2 2" xfId="12705" xr:uid="{00000000-0005-0000-0000-00003F190000}"/>
    <cellStyle name="Input 2 3 2 2 6 2 3" xfId="18769" xr:uid="{00000000-0005-0000-0000-000040190000}"/>
    <cellStyle name="Input 2 3 2 2 6 2 4" xfId="22255" xr:uid="{00000000-0005-0000-0000-000041190000}"/>
    <cellStyle name="Input 2 3 2 2 6 3" xfId="11163" xr:uid="{00000000-0005-0000-0000-000042190000}"/>
    <cellStyle name="Input 2 3 2 2 6 4" xfId="17476" xr:uid="{00000000-0005-0000-0000-000043190000}"/>
    <cellStyle name="Input 2 3 2 2 6 5" xfId="20547" xr:uid="{00000000-0005-0000-0000-000044190000}"/>
    <cellStyle name="Input 2 3 2 2 7" xfId="6017" xr:uid="{00000000-0005-0000-0000-000045190000}"/>
    <cellStyle name="Input 2 3 2 2 7 2" xfId="10758" xr:uid="{00000000-0005-0000-0000-000046190000}"/>
    <cellStyle name="Input 2 3 2 2 7 3" xfId="16715" xr:uid="{00000000-0005-0000-0000-000047190000}"/>
    <cellStyle name="Input 2 3 2 2 7 4" xfId="19535" xr:uid="{00000000-0005-0000-0000-000048190000}"/>
    <cellStyle name="Input 2 3 2 2 8" xfId="7725" xr:uid="{00000000-0005-0000-0000-000049190000}"/>
    <cellStyle name="Input 2 3 2 2 8 2" xfId="11746" xr:uid="{00000000-0005-0000-0000-00004A190000}"/>
    <cellStyle name="Input 2 3 2 2 8 3" xfId="18007" xr:uid="{00000000-0005-0000-0000-00004B190000}"/>
    <cellStyle name="Input 2 3 2 2 8 4" xfId="21243" xr:uid="{00000000-0005-0000-0000-00004C190000}"/>
    <cellStyle name="Input 2 3 2 2 9" xfId="5211" xr:uid="{00000000-0005-0000-0000-00004D190000}"/>
    <cellStyle name="Input 2 3 2 2 9 2" xfId="16103" xr:uid="{00000000-0005-0000-0000-00004E190000}"/>
    <cellStyle name="Input 2 3 2 2 9 3" xfId="12764" xr:uid="{00000000-0005-0000-0000-00004F190000}"/>
    <cellStyle name="Input 2 3 2 3" xfId="3275" xr:uid="{00000000-0005-0000-0000-000050190000}"/>
    <cellStyle name="Input 2 3 2 3 2" xfId="3662" xr:uid="{00000000-0005-0000-0000-000051190000}"/>
    <cellStyle name="Input 2 3 2 3 2 2" xfId="7313" xr:uid="{00000000-0005-0000-0000-000052190000}"/>
    <cellStyle name="Input 2 3 2 3 2 2 2" xfId="17706" xr:uid="{00000000-0005-0000-0000-000053190000}"/>
    <cellStyle name="Input 2 3 2 3 2 2 3" xfId="20831" xr:uid="{00000000-0005-0000-0000-000054190000}"/>
    <cellStyle name="Input 2 3 2 3 2 3" xfId="9745" xr:uid="{00000000-0005-0000-0000-000055190000}"/>
    <cellStyle name="Input 2 3 2 3 2 4" xfId="14975" xr:uid="{00000000-0005-0000-0000-000056190000}"/>
    <cellStyle name="Input 2 3 2 3 2 5" xfId="18423" xr:uid="{00000000-0005-0000-0000-000057190000}"/>
    <cellStyle name="Input 2 3 2 3 3" xfId="4045" xr:uid="{00000000-0005-0000-0000-000058190000}"/>
    <cellStyle name="Input 2 3 2 3 3 2" xfId="15250" xr:uid="{00000000-0005-0000-0000-000059190000}"/>
    <cellStyle name="Input 2 3 2 3 3 3" xfId="13946" xr:uid="{00000000-0005-0000-0000-00005A190000}"/>
    <cellStyle name="Input 2 3 2 3 4" xfId="4428" xr:uid="{00000000-0005-0000-0000-00005B190000}"/>
    <cellStyle name="Input 2 3 2 3 4 2" xfId="15526" xr:uid="{00000000-0005-0000-0000-00005C190000}"/>
    <cellStyle name="Input 2 3 2 3 4 3" xfId="13577" xr:uid="{00000000-0005-0000-0000-00005D190000}"/>
    <cellStyle name="Input 2 3 2 3 5" xfId="4810" xr:uid="{00000000-0005-0000-0000-00005E190000}"/>
    <cellStyle name="Input 2 3 2 3 5 2" xfId="15798" xr:uid="{00000000-0005-0000-0000-00005F190000}"/>
    <cellStyle name="Input 2 3 2 3 5 3" xfId="13196" xr:uid="{00000000-0005-0000-0000-000060190000}"/>
    <cellStyle name="Input 2 3 2 3 6" xfId="5604" xr:uid="{00000000-0005-0000-0000-000061190000}"/>
    <cellStyle name="Input 2 3 2 3 6 2" xfId="16415" xr:uid="{00000000-0005-0000-0000-000062190000}"/>
    <cellStyle name="Input 2 3 2 3 6 3" xfId="19122" xr:uid="{00000000-0005-0000-0000-000063190000}"/>
    <cellStyle name="Input 2 3 2 3 7" xfId="9405" xr:uid="{00000000-0005-0000-0000-000064190000}"/>
    <cellStyle name="Input 2 3 2 3 8" xfId="14695" xr:uid="{00000000-0005-0000-0000-000065190000}"/>
    <cellStyle name="Input 2 3 2 3 9" xfId="17439" xr:uid="{00000000-0005-0000-0000-000066190000}"/>
    <cellStyle name="Input 2 3 2 4" xfId="2893" xr:uid="{00000000-0005-0000-0000-000067190000}"/>
    <cellStyle name="Input 2 3 2 4 2" xfId="5130" xr:uid="{00000000-0005-0000-0000-000068190000}"/>
    <cellStyle name="Input 2 3 2 4 2 2" xfId="10370" xr:uid="{00000000-0005-0000-0000-000069190000}"/>
    <cellStyle name="Input 2 3 2 4 2 3" xfId="16060" xr:uid="{00000000-0005-0000-0000-00006A190000}"/>
    <cellStyle name="Input 2 3 2 4 2 4" xfId="12788" xr:uid="{00000000-0005-0000-0000-00006B190000}"/>
    <cellStyle name="Input 2 3 2 4 3" xfId="5272" xr:uid="{00000000-0005-0000-0000-00006C190000}"/>
    <cellStyle name="Input 2 3 2 4 3 2" xfId="16152" xr:uid="{00000000-0005-0000-0000-00006D190000}"/>
    <cellStyle name="Input 2 3 2 4 3 3" xfId="12751" xr:uid="{00000000-0005-0000-0000-00006E190000}"/>
    <cellStyle name="Input 2 3 2 4 4" xfId="9045" xr:uid="{00000000-0005-0000-0000-00006F190000}"/>
    <cellStyle name="Input 2 3 2 4 5" xfId="14421" xr:uid="{00000000-0005-0000-0000-000070190000}"/>
    <cellStyle name="Input 2 3 2 4 6" xfId="14559" xr:uid="{00000000-0005-0000-0000-000071190000}"/>
    <cellStyle name="Input 2 3 2 5" xfId="6400" xr:uid="{00000000-0005-0000-0000-000072190000}"/>
    <cellStyle name="Input 2 3 2 5 2" xfId="8108" xr:uid="{00000000-0005-0000-0000-000073190000}"/>
    <cellStyle name="Input 2 3 2 5 2 2" xfId="12076" xr:uid="{00000000-0005-0000-0000-000074190000}"/>
    <cellStyle name="Input 2 3 2 5 2 3" xfId="18314" xr:uid="{00000000-0005-0000-0000-000075190000}"/>
    <cellStyle name="Input 2 3 2 5 2 4" xfId="21626" xr:uid="{00000000-0005-0000-0000-000076190000}"/>
    <cellStyle name="Input 2 3 2 5 3" xfId="10918" xr:uid="{00000000-0005-0000-0000-000077190000}"/>
    <cellStyle name="Input 2 3 2 5 4" xfId="17023" xr:uid="{00000000-0005-0000-0000-000078190000}"/>
    <cellStyle name="Input 2 3 2 5 5" xfId="19918" xr:uid="{00000000-0005-0000-0000-000079190000}"/>
    <cellStyle name="Input 2 3 2 6" xfId="6632" xr:uid="{00000000-0005-0000-0000-00007A190000}"/>
    <cellStyle name="Input 2 3 2 6 2" xfId="8340" xr:uid="{00000000-0005-0000-0000-00007B190000}"/>
    <cellStyle name="Input 2 3 2 6 2 2" xfId="12308" xr:uid="{00000000-0005-0000-0000-00007C190000}"/>
    <cellStyle name="Input 2 3 2 6 2 3" xfId="18485" xr:uid="{00000000-0005-0000-0000-00007D190000}"/>
    <cellStyle name="Input 2 3 2 6 2 4" xfId="21858" xr:uid="{00000000-0005-0000-0000-00007E190000}"/>
    <cellStyle name="Input 2 3 2 6 3" xfId="10958" xr:uid="{00000000-0005-0000-0000-00007F190000}"/>
    <cellStyle name="Input 2 3 2 6 4" xfId="17194" xr:uid="{00000000-0005-0000-0000-000080190000}"/>
    <cellStyle name="Input 2 3 2 6 5" xfId="20150" xr:uid="{00000000-0005-0000-0000-000081190000}"/>
    <cellStyle name="Input 2 3 2 7" xfId="6864" xr:uid="{00000000-0005-0000-0000-000082190000}"/>
    <cellStyle name="Input 2 3 2 7 2" xfId="8572" xr:uid="{00000000-0005-0000-0000-000083190000}"/>
    <cellStyle name="Input 2 3 2 7 2 2" xfId="12540" xr:uid="{00000000-0005-0000-0000-000084190000}"/>
    <cellStyle name="Input 2 3 2 7 2 3" xfId="18656" xr:uid="{00000000-0005-0000-0000-000085190000}"/>
    <cellStyle name="Input 2 3 2 7 2 4" xfId="22090" xr:uid="{00000000-0005-0000-0000-000086190000}"/>
    <cellStyle name="Input 2 3 2 7 3" xfId="10998" xr:uid="{00000000-0005-0000-0000-000087190000}"/>
    <cellStyle name="Input 2 3 2 7 4" xfId="17364" xr:uid="{00000000-0005-0000-0000-000088190000}"/>
    <cellStyle name="Input 2 3 2 7 5" xfId="20382" xr:uid="{00000000-0005-0000-0000-000089190000}"/>
    <cellStyle name="Input 2 3 2 8" xfId="5846" xr:uid="{00000000-0005-0000-0000-00008A190000}"/>
    <cellStyle name="Input 2 3 2 8 2" xfId="10593" xr:uid="{00000000-0005-0000-0000-00008B190000}"/>
    <cellStyle name="Input 2 3 2 8 3" xfId="16600" xr:uid="{00000000-0005-0000-0000-00008C190000}"/>
    <cellStyle name="Input 2 3 2 8 4" xfId="19364" xr:uid="{00000000-0005-0000-0000-00008D190000}"/>
    <cellStyle name="Input 2 3 2 9" xfId="7554" xr:uid="{00000000-0005-0000-0000-00008E190000}"/>
    <cellStyle name="Input 2 3 2 9 2" xfId="11581" xr:uid="{00000000-0005-0000-0000-00008F190000}"/>
    <cellStyle name="Input 2 3 2 9 3" xfId="17892" xr:uid="{00000000-0005-0000-0000-000090190000}"/>
    <cellStyle name="Input 2 3 2 9 4" xfId="21072" xr:uid="{00000000-0005-0000-0000-000091190000}"/>
    <cellStyle name="Input 2 3 3" xfId="3161" xr:uid="{00000000-0005-0000-0000-000092190000}"/>
    <cellStyle name="Input 2 3 3 10" xfId="9291" xr:uid="{00000000-0005-0000-0000-000093190000}"/>
    <cellStyle name="Input 2 3 3 11" xfId="14611" xr:uid="{00000000-0005-0000-0000-000094190000}"/>
    <cellStyle name="Input 2 3 3 12" xfId="16088" xr:uid="{00000000-0005-0000-0000-000095190000}"/>
    <cellStyle name="Input 2 3 3 2" xfId="3548" xr:uid="{00000000-0005-0000-0000-000096190000}"/>
    <cellStyle name="Input 2 3 3 2 2" xfId="7366" xr:uid="{00000000-0005-0000-0000-000097190000}"/>
    <cellStyle name="Input 2 3 3 2 2 2" xfId="11452" xr:uid="{00000000-0005-0000-0000-000098190000}"/>
    <cellStyle name="Input 2 3 3 2 2 3" xfId="17751" xr:uid="{00000000-0005-0000-0000-000099190000}"/>
    <cellStyle name="Input 2 3 3 2 2 4" xfId="20884" xr:uid="{00000000-0005-0000-0000-00009A190000}"/>
    <cellStyle name="Input 2 3 3 2 3" xfId="5657" xr:uid="{00000000-0005-0000-0000-00009B190000}"/>
    <cellStyle name="Input 2 3 3 2 3 2" xfId="16460" xr:uid="{00000000-0005-0000-0000-00009C190000}"/>
    <cellStyle name="Input 2 3 3 2 3 3" xfId="19175" xr:uid="{00000000-0005-0000-0000-00009D190000}"/>
    <cellStyle name="Input 2 3 3 2 4" xfId="9640" xr:uid="{00000000-0005-0000-0000-00009E190000}"/>
    <cellStyle name="Input 2 3 3 2 5" xfId="14891" xr:uid="{00000000-0005-0000-0000-00009F190000}"/>
    <cellStyle name="Input 2 3 3 2 6" xfId="16816" xr:uid="{00000000-0005-0000-0000-0000A0190000}"/>
    <cellStyle name="Input 2 3 3 3" xfId="3931" xr:uid="{00000000-0005-0000-0000-0000A1190000}"/>
    <cellStyle name="Input 2 3 3 3 2" xfId="5091" xr:uid="{00000000-0005-0000-0000-0000A2190000}"/>
    <cellStyle name="Input 2 3 3 3 2 2" xfId="10340" xr:uid="{00000000-0005-0000-0000-0000A3190000}"/>
    <cellStyle name="Input 2 3 3 3 2 3" xfId="16027" xr:uid="{00000000-0005-0000-0000-0000A4190000}"/>
    <cellStyle name="Input 2 3 3 3 2 4" xfId="12807" xr:uid="{00000000-0005-0000-0000-0000A5190000}"/>
    <cellStyle name="Input 2 3 3 3 3" xfId="5326" xr:uid="{00000000-0005-0000-0000-0000A6190000}"/>
    <cellStyle name="Input 2 3 3 3 3 2" xfId="16197" xr:uid="{00000000-0005-0000-0000-0000A7190000}"/>
    <cellStyle name="Input 2 3 3 3 3 3" xfId="18844" xr:uid="{00000000-0005-0000-0000-0000A8190000}"/>
    <cellStyle name="Input 2 3 3 3 4" xfId="9854" xr:uid="{00000000-0005-0000-0000-0000A9190000}"/>
    <cellStyle name="Input 2 3 3 3 5" xfId="15167" xr:uid="{00000000-0005-0000-0000-0000AA190000}"/>
    <cellStyle name="Input 2 3 3 3 6" xfId="14060" xr:uid="{00000000-0005-0000-0000-0000AB190000}"/>
    <cellStyle name="Input 2 3 3 4" xfId="4314" xr:uid="{00000000-0005-0000-0000-0000AC190000}"/>
    <cellStyle name="Input 2 3 3 4 2" xfId="8179" xr:uid="{00000000-0005-0000-0000-0000AD190000}"/>
    <cellStyle name="Input 2 3 3 4 2 2" xfId="12147" xr:uid="{00000000-0005-0000-0000-0000AE190000}"/>
    <cellStyle name="Input 2 3 3 4 2 3" xfId="18375" xr:uid="{00000000-0005-0000-0000-0000AF190000}"/>
    <cellStyle name="Input 2 3 3 4 2 4" xfId="21697" xr:uid="{00000000-0005-0000-0000-0000B0190000}"/>
    <cellStyle name="Input 2 3 3 4 3" xfId="6471" xr:uid="{00000000-0005-0000-0000-0000B1190000}"/>
    <cellStyle name="Input 2 3 3 4 3 2" xfId="17084" xr:uid="{00000000-0005-0000-0000-0000B2190000}"/>
    <cellStyle name="Input 2 3 3 4 3 3" xfId="19989" xr:uid="{00000000-0005-0000-0000-0000B3190000}"/>
    <cellStyle name="Input 2 3 3 4 4" xfId="10032" xr:uid="{00000000-0005-0000-0000-0000B4190000}"/>
    <cellStyle name="Input 2 3 3 4 5" xfId="15442" xr:uid="{00000000-0005-0000-0000-0000B5190000}"/>
    <cellStyle name="Input 2 3 3 4 6" xfId="13691" xr:uid="{00000000-0005-0000-0000-0000B6190000}"/>
    <cellStyle name="Input 2 3 3 5" xfId="4696" xr:uid="{00000000-0005-0000-0000-0000B7190000}"/>
    <cellStyle name="Input 2 3 3 5 2" xfId="8411" xr:uid="{00000000-0005-0000-0000-0000B8190000}"/>
    <cellStyle name="Input 2 3 3 5 2 2" xfId="12379" xr:uid="{00000000-0005-0000-0000-0000B9190000}"/>
    <cellStyle name="Input 2 3 3 5 2 3" xfId="18546" xr:uid="{00000000-0005-0000-0000-0000BA190000}"/>
    <cellStyle name="Input 2 3 3 5 2 4" xfId="21929" xr:uid="{00000000-0005-0000-0000-0000BB190000}"/>
    <cellStyle name="Input 2 3 3 5 3" xfId="6703" xr:uid="{00000000-0005-0000-0000-0000BC190000}"/>
    <cellStyle name="Input 2 3 3 5 3 2" xfId="17255" xr:uid="{00000000-0005-0000-0000-0000BD190000}"/>
    <cellStyle name="Input 2 3 3 5 3 3" xfId="20221" xr:uid="{00000000-0005-0000-0000-0000BE190000}"/>
    <cellStyle name="Input 2 3 3 5 4" xfId="10209" xr:uid="{00000000-0005-0000-0000-0000BF190000}"/>
    <cellStyle name="Input 2 3 3 5 5" xfId="15716" xr:uid="{00000000-0005-0000-0000-0000C0190000}"/>
    <cellStyle name="Input 2 3 3 5 6" xfId="13309" xr:uid="{00000000-0005-0000-0000-0000C1190000}"/>
    <cellStyle name="Input 2 3 3 6" xfId="6935" xr:uid="{00000000-0005-0000-0000-0000C2190000}"/>
    <cellStyle name="Input 2 3 3 6 2" xfId="8643" xr:uid="{00000000-0005-0000-0000-0000C3190000}"/>
    <cellStyle name="Input 2 3 3 6 2 2" xfId="12611" xr:uid="{00000000-0005-0000-0000-0000C4190000}"/>
    <cellStyle name="Input 2 3 3 6 2 3" xfId="18717" xr:uid="{00000000-0005-0000-0000-0000C5190000}"/>
    <cellStyle name="Input 2 3 3 6 2 4" xfId="22161" xr:uid="{00000000-0005-0000-0000-0000C6190000}"/>
    <cellStyle name="Input 2 3 3 6 3" xfId="11069" xr:uid="{00000000-0005-0000-0000-0000C7190000}"/>
    <cellStyle name="Input 2 3 3 6 4" xfId="17425" xr:uid="{00000000-0005-0000-0000-0000C8190000}"/>
    <cellStyle name="Input 2 3 3 6 5" xfId="20453" xr:uid="{00000000-0005-0000-0000-0000C9190000}"/>
    <cellStyle name="Input 2 3 3 7" xfId="5923" xr:uid="{00000000-0005-0000-0000-0000CA190000}"/>
    <cellStyle name="Input 2 3 3 7 2" xfId="10664" xr:uid="{00000000-0005-0000-0000-0000CB190000}"/>
    <cellStyle name="Input 2 3 3 7 3" xfId="16663" xr:uid="{00000000-0005-0000-0000-0000CC190000}"/>
    <cellStyle name="Input 2 3 3 7 4" xfId="19441" xr:uid="{00000000-0005-0000-0000-0000CD190000}"/>
    <cellStyle name="Input 2 3 3 8" xfId="7631" xr:uid="{00000000-0005-0000-0000-0000CE190000}"/>
    <cellStyle name="Input 2 3 3 8 2" xfId="11652" xr:uid="{00000000-0005-0000-0000-0000CF190000}"/>
    <cellStyle name="Input 2 3 3 8 3" xfId="17955" xr:uid="{00000000-0005-0000-0000-0000D0190000}"/>
    <cellStyle name="Input 2 3 3 8 4" xfId="21149" xr:uid="{00000000-0005-0000-0000-0000D1190000}"/>
    <cellStyle name="Input 2 3 3 9" xfId="5019" xr:uid="{00000000-0005-0000-0000-0000D2190000}"/>
    <cellStyle name="Input 2 3 3 9 2" xfId="15978" xr:uid="{00000000-0005-0000-0000-0000D3190000}"/>
    <cellStyle name="Input 2 3 3 9 3" xfId="13000" xr:uid="{00000000-0005-0000-0000-0000D4190000}"/>
    <cellStyle name="Input 2 3 4" xfId="3061" xr:uid="{00000000-0005-0000-0000-0000D5190000}"/>
    <cellStyle name="Input 2 3 4 2" xfId="3448" xr:uid="{00000000-0005-0000-0000-0000D6190000}"/>
    <cellStyle name="Input 2 3 4 2 2" xfId="7832" xr:uid="{00000000-0005-0000-0000-0000D7190000}"/>
    <cellStyle name="Input 2 3 4 2 2 2" xfId="18094" xr:uid="{00000000-0005-0000-0000-0000D8190000}"/>
    <cellStyle name="Input 2 3 4 2 2 3" xfId="21350" xr:uid="{00000000-0005-0000-0000-0000D9190000}"/>
    <cellStyle name="Input 2 3 4 2 3" xfId="9556" xr:uid="{00000000-0005-0000-0000-0000DA190000}"/>
    <cellStyle name="Input 2 3 4 2 4" xfId="14812" xr:uid="{00000000-0005-0000-0000-0000DB190000}"/>
    <cellStyle name="Input 2 3 4 2 5" xfId="16690" xr:uid="{00000000-0005-0000-0000-0000DC190000}"/>
    <cellStyle name="Input 2 3 4 3" xfId="3831" xr:uid="{00000000-0005-0000-0000-0000DD190000}"/>
    <cellStyle name="Input 2 3 4 3 2" xfId="15088" xr:uid="{00000000-0005-0000-0000-0000DE190000}"/>
    <cellStyle name="Input 2 3 4 3 3" xfId="14094" xr:uid="{00000000-0005-0000-0000-0000DF190000}"/>
    <cellStyle name="Input 2 3 4 4" xfId="4214" xr:uid="{00000000-0005-0000-0000-0000E0190000}"/>
    <cellStyle name="Input 2 3 4 4 2" xfId="15363" xr:uid="{00000000-0005-0000-0000-0000E1190000}"/>
    <cellStyle name="Input 2 3 4 4 3" xfId="13791" xr:uid="{00000000-0005-0000-0000-0000E2190000}"/>
    <cellStyle name="Input 2 3 4 5" xfId="4596" xr:uid="{00000000-0005-0000-0000-0000E3190000}"/>
    <cellStyle name="Input 2 3 4 5 2" xfId="15637" xr:uid="{00000000-0005-0000-0000-0000E4190000}"/>
    <cellStyle name="Input 2 3 4 5 3" xfId="13409" xr:uid="{00000000-0005-0000-0000-0000E5190000}"/>
    <cellStyle name="Input 2 3 4 6" xfId="6124" xr:uid="{00000000-0005-0000-0000-0000E6190000}"/>
    <cellStyle name="Input 2 3 4 6 2" xfId="16802" xr:uid="{00000000-0005-0000-0000-0000E7190000}"/>
    <cellStyle name="Input 2 3 4 6 3" xfId="19642" xr:uid="{00000000-0005-0000-0000-0000E8190000}"/>
    <cellStyle name="Input 2 3 4 7" xfId="9201" xr:uid="{00000000-0005-0000-0000-0000E9190000}"/>
    <cellStyle name="Input 2 3 4 8" xfId="14532" xr:uid="{00000000-0005-0000-0000-0000EA190000}"/>
    <cellStyle name="Input 2 3 4 9" xfId="15400" xr:uid="{00000000-0005-0000-0000-0000EB190000}"/>
    <cellStyle name="Input 2 3 5" xfId="2869" xr:uid="{00000000-0005-0000-0000-0000EC190000}"/>
    <cellStyle name="Input 2 3 5 2" xfId="8026" xr:uid="{00000000-0005-0000-0000-0000ED190000}"/>
    <cellStyle name="Input 2 3 5 2 2" xfId="12001" xr:uid="{00000000-0005-0000-0000-0000EE190000}"/>
    <cellStyle name="Input 2 3 5 2 3" xfId="18242" xr:uid="{00000000-0005-0000-0000-0000EF190000}"/>
    <cellStyle name="Input 2 3 5 2 4" xfId="21544" xr:uid="{00000000-0005-0000-0000-0000F0190000}"/>
    <cellStyle name="Input 2 3 5 3" xfId="6318" xr:uid="{00000000-0005-0000-0000-0000F1190000}"/>
    <cellStyle name="Input 2 3 5 3 2" xfId="16951" xr:uid="{00000000-0005-0000-0000-0000F2190000}"/>
    <cellStyle name="Input 2 3 5 3 3" xfId="19836" xr:uid="{00000000-0005-0000-0000-0000F3190000}"/>
    <cellStyle name="Input 2 3 5 4" xfId="9022" xr:uid="{00000000-0005-0000-0000-0000F4190000}"/>
    <cellStyle name="Input 2 3 5 5" xfId="14404" xr:uid="{00000000-0005-0000-0000-0000F5190000}"/>
    <cellStyle name="Input 2 3 5 6" xfId="15301" xr:uid="{00000000-0005-0000-0000-0000F6190000}"/>
    <cellStyle name="Input 2 3 6" xfId="6378" xr:uid="{00000000-0005-0000-0000-0000F7190000}"/>
    <cellStyle name="Input 2 3 6 2" xfId="8086" xr:uid="{00000000-0005-0000-0000-0000F8190000}"/>
    <cellStyle name="Input 2 3 6 2 2" xfId="12054" xr:uid="{00000000-0005-0000-0000-0000F9190000}"/>
    <cellStyle name="Input 2 3 6 2 3" xfId="18292" xr:uid="{00000000-0005-0000-0000-0000FA190000}"/>
    <cellStyle name="Input 2 3 6 2 4" xfId="21604" xr:uid="{00000000-0005-0000-0000-0000FB190000}"/>
    <cellStyle name="Input 2 3 6 3" xfId="10896" xr:uid="{00000000-0005-0000-0000-0000FC190000}"/>
    <cellStyle name="Input 2 3 6 4" xfId="17001" xr:uid="{00000000-0005-0000-0000-0000FD190000}"/>
    <cellStyle name="Input 2 3 6 5" xfId="19896" xr:uid="{00000000-0005-0000-0000-0000FE190000}"/>
    <cellStyle name="Input 2 3 7" xfId="6610" xr:uid="{00000000-0005-0000-0000-0000FF190000}"/>
    <cellStyle name="Input 2 3 7 2" xfId="8318" xr:uid="{00000000-0005-0000-0000-0000001A0000}"/>
    <cellStyle name="Input 2 3 7 2 2" xfId="12286" xr:uid="{00000000-0005-0000-0000-0000011A0000}"/>
    <cellStyle name="Input 2 3 7 2 3" xfId="18463" xr:uid="{00000000-0005-0000-0000-0000021A0000}"/>
    <cellStyle name="Input 2 3 7 2 4" xfId="21836" xr:uid="{00000000-0005-0000-0000-0000031A0000}"/>
    <cellStyle name="Input 2 3 7 3" xfId="10936" xr:uid="{00000000-0005-0000-0000-0000041A0000}"/>
    <cellStyle name="Input 2 3 7 4" xfId="17172" xr:uid="{00000000-0005-0000-0000-0000051A0000}"/>
    <cellStyle name="Input 2 3 7 5" xfId="20128" xr:uid="{00000000-0005-0000-0000-0000061A0000}"/>
    <cellStyle name="Input 2 3 8" xfId="6842" xr:uid="{00000000-0005-0000-0000-0000071A0000}"/>
    <cellStyle name="Input 2 3 8 2" xfId="8550" xr:uid="{00000000-0005-0000-0000-0000081A0000}"/>
    <cellStyle name="Input 2 3 8 2 2" xfId="12518" xr:uid="{00000000-0005-0000-0000-0000091A0000}"/>
    <cellStyle name="Input 2 3 8 2 3" xfId="18634" xr:uid="{00000000-0005-0000-0000-00000A1A0000}"/>
    <cellStyle name="Input 2 3 8 2 4" xfId="22068" xr:uid="{00000000-0005-0000-0000-00000B1A0000}"/>
    <cellStyle name="Input 2 3 8 3" xfId="10976" xr:uid="{00000000-0005-0000-0000-00000C1A0000}"/>
    <cellStyle name="Input 2 3 8 4" xfId="17342" xr:uid="{00000000-0005-0000-0000-00000D1A0000}"/>
    <cellStyle name="Input 2 3 8 5" xfId="20360" xr:uid="{00000000-0005-0000-0000-00000E1A0000}"/>
    <cellStyle name="Input 2 3 9" xfId="5807" xr:uid="{00000000-0005-0000-0000-00000F1A0000}"/>
    <cellStyle name="Input 2 3 9 2" xfId="10571" xr:uid="{00000000-0005-0000-0000-0000101A0000}"/>
    <cellStyle name="Input 2 3 9 3" xfId="16571" xr:uid="{00000000-0005-0000-0000-0000111A0000}"/>
    <cellStyle name="Input 2 3 9 4" xfId="19325" xr:uid="{00000000-0005-0000-0000-0000121A0000}"/>
    <cellStyle name="Input 2 4" xfId="2829" xr:uid="{00000000-0005-0000-0000-0000131A0000}"/>
    <cellStyle name="Input 2 4 10" xfId="8982" xr:uid="{00000000-0005-0000-0000-0000141A0000}"/>
    <cellStyle name="Input 2 4 11" xfId="14370" xr:uid="{00000000-0005-0000-0000-0000151A0000}"/>
    <cellStyle name="Input 2 4 12" xfId="17691" xr:uid="{00000000-0005-0000-0000-0000161A0000}"/>
    <cellStyle name="Input 2 4 2" xfId="2768" xr:uid="{00000000-0005-0000-0000-0000171A0000}"/>
    <cellStyle name="Input 2 4 2 2" xfId="7267" xr:uid="{00000000-0005-0000-0000-0000181A0000}"/>
    <cellStyle name="Input 2 4 2 2 2" xfId="11372" xr:uid="{00000000-0005-0000-0000-0000191A0000}"/>
    <cellStyle name="Input 2 4 2 2 3" xfId="17667" xr:uid="{00000000-0005-0000-0000-00001A1A0000}"/>
    <cellStyle name="Input 2 4 2 2 4" xfId="20785" xr:uid="{00000000-0005-0000-0000-00001B1A0000}"/>
    <cellStyle name="Input 2 4 2 3" xfId="5558" xr:uid="{00000000-0005-0000-0000-00001C1A0000}"/>
    <cellStyle name="Input 2 4 2 3 2" xfId="16376" xr:uid="{00000000-0005-0000-0000-00001D1A0000}"/>
    <cellStyle name="Input 2 4 2 3 3" xfId="19076" xr:uid="{00000000-0005-0000-0000-00001E1A0000}"/>
    <cellStyle name="Input 2 4 2 4" xfId="8923" xr:uid="{00000000-0005-0000-0000-00001F1A0000}"/>
    <cellStyle name="Input 2 4 2 5" xfId="14319" xr:uid="{00000000-0005-0000-0000-0000201A0000}"/>
    <cellStyle name="Input 2 4 2 6" xfId="14917" xr:uid="{00000000-0005-0000-0000-0000211A0000}"/>
    <cellStyle name="Input 2 4 3" xfId="3316" xr:uid="{00000000-0005-0000-0000-0000221A0000}"/>
    <cellStyle name="Input 2 4 3 2" xfId="7433" xr:uid="{00000000-0005-0000-0000-0000231A0000}"/>
    <cellStyle name="Input 2 4 3 2 2" xfId="11494" xr:uid="{00000000-0005-0000-0000-0000241A0000}"/>
    <cellStyle name="Input 2 4 3 2 3" xfId="17798" xr:uid="{00000000-0005-0000-0000-0000251A0000}"/>
    <cellStyle name="Input 2 4 3 2 4" xfId="20951" xr:uid="{00000000-0005-0000-0000-0000261A0000}"/>
    <cellStyle name="Input 2 4 3 3" xfId="5724" xr:uid="{00000000-0005-0000-0000-0000271A0000}"/>
    <cellStyle name="Input 2 4 3 3 2" xfId="16507" xr:uid="{00000000-0005-0000-0000-0000281A0000}"/>
    <cellStyle name="Input 2 4 3 3 3" xfId="19242" xr:uid="{00000000-0005-0000-0000-0000291A0000}"/>
    <cellStyle name="Input 2 4 3 4" xfId="9446" xr:uid="{00000000-0005-0000-0000-00002A1A0000}"/>
    <cellStyle name="Input 2 4 3 5" xfId="14728" xr:uid="{00000000-0005-0000-0000-00002B1A0000}"/>
    <cellStyle name="Input 2 4 3 6" xfId="16131" xr:uid="{00000000-0005-0000-0000-00002C1A0000}"/>
    <cellStyle name="Input 2 4 4" xfId="2798" xr:uid="{00000000-0005-0000-0000-00002D1A0000}"/>
    <cellStyle name="Input 2 4 4 2" xfId="8145" xr:uid="{00000000-0005-0000-0000-00002E1A0000}"/>
    <cellStyle name="Input 2 4 4 2 2" xfId="12113" xr:uid="{00000000-0005-0000-0000-00002F1A0000}"/>
    <cellStyle name="Input 2 4 4 2 3" xfId="18348" xr:uid="{00000000-0005-0000-0000-0000301A0000}"/>
    <cellStyle name="Input 2 4 4 2 4" xfId="21663" xr:uid="{00000000-0005-0000-0000-0000311A0000}"/>
    <cellStyle name="Input 2 4 4 3" xfId="6437" xr:uid="{00000000-0005-0000-0000-0000321A0000}"/>
    <cellStyle name="Input 2 4 4 3 2" xfId="17057" xr:uid="{00000000-0005-0000-0000-0000331A0000}"/>
    <cellStyle name="Input 2 4 4 3 3" xfId="19955" xr:uid="{00000000-0005-0000-0000-0000341A0000}"/>
    <cellStyle name="Input 2 4 4 4" xfId="8953" xr:uid="{00000000-0005-0000-0000-0000351A0000}"/>
    <cellStyle name="Input 2 4 4 5" xfId="14344" xr:uid="{00000000-0005-0000-0000-0000361A0000}"/>
    <cellStyle name="Input 2 4 4 6" xfId="16674" xr:uid="{00000000-0005-0000-0000-0000371A0000}"/>
    <cellStyle name="Input 2 4 5" xfId="4082" xr:uid="{00000000-0005-0000-0000-0000381A0000}"/>
    <cellStyle name="Input 2 4 5 2" xfId="8377" xr:uid="{00000000-0005-0000-0000-0000391A0000}"/>
    <cellStyle name="Input 2 4 5 2 2" xfId="12345" xr:uid="{00000000-0005-0000-0000-00003A1A0000}"/>
    <cellStyle name="Input 2 4 5 2 3" xfId="18519" xr:uid="{00000000-0005-0000-0000-00003B1A0000}"/>
    <cellStyle name="Input 2 4 5 2 4" xfId="21895" xr:uid="{00000000-0005-0000-0000-00003C1A0000}"/>
    <cellStyle name="Input 2 4 5 3" xfId="6669" xr:uid="{00000000-0005-0000-0000-00003D1A0000}"/>
    <cellStyle name="Input 2 4 5 3 2" xfId="17228" xr:uid="{00000000-0005-0000-0000-00003E1A0000}"/>
    <cellStyle name="Input 2 4 5 3 3" xfId="20187" xr:uid="{00000000-0005-0000-0000-00003F1A0000}"/>
    <cellStyle name="Input 2 4 5 4" xfId="9944" xr:uid="{00000000-0005-0000-0000-0000401A0000}"/>
    <cellStyle name="Input 2 4 5 5" xfId="15279" xr:uid="{00000000-0005-0000-0000-0000411A0000}"/>
    <cellStyle name="Input 2 4 5 6" xfId="13912" xr:uid="{00000000-0005-0000-0000-0000421A0000}"/>
    <cellStyle name="Input 2 4 6" xfId="6901" xr:uid="{00000000-0005-0000-0000-0000431A0000}"/>
    <cellStyle name="Input 2 4 6 2" xfId="8609" xr:uid="{00000000-0005-0000-0000-0000441A0000}"/>
    <cellStyle name="Input 2 4 6 2 2" xfId="12577" xr:uid="{00000000-0005-0000-0000-0000451A0000}"/>
    <cellStyle name="Input 2 4 6 2 3" xfId="18690" xr:uid="{00000000-0005-0000-0000-0000461A0000}"/>
    <cellStyle name="Input 2 4 6 2 4" xfId="22127" xr:uid="{00000000-0005-0000-0000-0000471A0000}"/>
    <cellStyle name="Input 2 4 6 3" xfId="11035" xr:uid="{00000000-0005-0000-0000-0000481A0000}"/>
    <cellStyle name="Input 2 4 6 4" xfId="17398" xr:uid="{00000000-0005-0000-0000-0000491A0000}"/>
    <cellStyle name="Input 2 4 6 5" xfId="20419" xr:uid="{00000000-0005-0000-0000-00004A1A0000}"/>
    <cellStyle name="Input 2 4 7" xfId="5889" xr:uid="{00000000-0005-0000-0000-00004B1A0000}"/>
    <cellStyle name="Input 2 4 7 2" xfId="10630" xr:uid="{00000000-0005-0000-0000-00004C1A0000}"/>
    <cellStyle name="Input 2 4 7 3" xfId="16636" xr:uid="{00000000-0005-0000-0000-00004D1A0000}"/>
    <cellStyle name="Input 2 4 7 4" xfId="19407" xr:uid="{00000000-0005-0000-0000-00004E1A0000}"/>
    <cellStyle name="Input 2 4 8" xfId="7597" xr:uid="{00000000-0005-0000-0000-00004F1A0000}"/>
    <cellStyle name="Input 2 4 8 2" xfId="11618" xr:uid="{00000000-0005-0000-0000-0000501A0000}"/>
    <cellStyle name="Input 2 4 8 3" xfId="17928" xr:uid="{00000000-0005-0000-0000-0000511A0000}"/>
    <cellStyle name="Input 2 4 8 4" xfId="21115" xr:uid="{00000000-0005-0000-0000-0000521A0000}"/>
    <cellStyle name="Input 2 4 9" xfId="4982" xr:uid="{00000000-0005-0000-0000-0000531A0000}"/>
    <cellStyle name="Input 2 4 9 2" xfId="15949" xr:uid="{00000000-0005-0000-0000-0000541A0000}"/>
    <cellStyle name="Input 2 4 9 3" xfId="13037" xr:uid="{00000000-0005-0000-0000-0000551A0000}"/>
    <cellStyle name="Input 2 5" xfId="3115" xr:uid="{00000000-0005-0000-0000-0000561A0000}"/>
    <cellStyle name="Input 2 5 2" xfId="3502" xr:uid="{00000000-0005-0000-0000-0000571A0000}"/>
    <cellStyle name="Input 2 5 2 2" xfId="7409" xr:uid="{00000000-0005-0000-0000-0000581A0000}"/>
    <cellStyle name="Input 2 5 2 2 2" xfId="17781" xr:uid="{00000000-0005-0000-0000-0000591A0000}"/>
    <cellStyle name="Input 2 5 2 2 3" xfId="20927" xr:uid="{00000000-0005-0000-0000-00005A1A0000}"/>
    <cellStyle name="Input 2 5 2 3" xfId="9595" xr:uid="{00000000-0005-0000-0000-00005B1A0000}"/>
    <cellStyle name="Input 2 5 2 4" xfId="14853" xr:uid="{00000000-0005-0000-0000-00005C1A0000}"/>
    <cellStyle name="Input 2 5 2 5" xfId="16167" xr:uid="{00000000-0005-0000-0000-00005D1A0000}"/>
    <cellStyle name="Input 2 5 3" xfId="3885" xr:uid="{00000000-0005-0000-0000-00005E1A0000}"/>
    <cellStyle name="Input 2 5 3 2" xfId="15129" xr:uid="{00000000-0005-0000-0000-00005F1A0000}"/>
    <cellStyle name="Input 2 5 3 3" xfId="14174" xr:uid="{00000000-0005-0000-0000-0000601A0000}"/>
    <cellStyle name="Input 2 5 4" xfId="4268" xr:uid="{00000000-0005-0000-0000-0000611A0000}"/>
    <cellStyle name="Input 2 5 4 2" xfId="15404" xr:uid="{00000000-0005-0000-0000-0000621A0000}"/>
    <cellStyle name="Input 2 5 4 3" xfId="13737" xr:uid="{00000000-0005-0000-0000-0000631A0000}"/>
    <cellStyle name="Input 2 5 5" xfId="4650" xr:uid="{00000000-0005-0000-0000-0000641A0000}"/>
    <cellStyle name="Input 2 5 5 2" xfId="15678" xr:uid="{00000000-0005-0000-0000-0000651A0000}"/>
    <cellStyle name="Input 2 5 5 3" xfId="13355" xr:uid="{00000000-0005-0000-0000-0000661A0000}"/>
    <cellStyle name="Input 2 5 6" xfId="5700" xr:uid="{00000000-0005-0000-0000-0000671A0000}"/>
    <cellStyle name="Input 2 5 6 2" xfId="16490" xr:uid="{00000000-0005-0000-0000-0000681A0000}"/>
    <cellStyle name="Input 2 5 6 3" xfId="19218" xr:uid="{00000000-0005-0000-0000-0000691A0000}"/>
    <cellStyle name="Input 2 5 7" xfId="9246" xr:uid="{00000000-0005-0000-0000-00006A1A0000}"/>
    <cellStyle name="Input 2 5 8" xfId="14573" xr:uid="{00000000-0005-0000-0000-00006B1A0000}"/>
    <cellStyle name="Input 2 5 9" xfId="14901" xr:uid="{00000000-0005-0000-0000-00006C1A0000}"/>
    <cellStyle name="Input 2 6" xfId="3038" xr:uid="{00000000-0005-0000-0000-00006D1A0000}"/>
    <cellStyle name="Input 2 6 2" xfId="3425" xr:uid="{00000000-0005-0000-0000-00006E1A0000}"/>
    <cellStyle name="Input 2 6 2 2" xfId="7917" xr:uid="{00000000-0005-0000-0000-00006F1A0000}"/>
    <cellStyle name="Input 2 6 2 2 2" xfId="18169" xr:uid="{00000000-0005-0000-0000-0000701A0000}"/>
    <cellStyle name="Input 2 6 2 2 3" xfId="21435" xr:uid="{00000000-0005-0000-0000-0000711A0000}"/>
    <cellStyle name="Input 2 6 2 3" xfId="9538" xr:uid="{00000000-0005-0000-0000-0000721A0000}"/>
    <cellStyle name="Input 2 6 2 4" xfId="14793" xr:uid="{00000000-0005-0000-0000-0000731A0000}"/>
    <cellStyle name="Input 2 6 2 5" xfId="15066" xr:uid="{00000000-0005-0000-0000-0000741A0000}"/>
    <cellStyle name="Input 2 6 3" xfId="3808" xr:uid="{00000000-0005-0000-0000-0000751A0000}"/>
    <cellStyle name="Input 2 6 3 2" xfId="15069" xr:uid="{00000000-0005-0000-0000-0000761A0000}"/>
    <cellStyle name="Input 2 6 3 3" xfId="15302" xr:uid="{00000000-0005-0000-0000-0000771A0000}"/>
    <cellStyle name="Input 2 6 4" xfId="4191" xr:uid="{00000000-0005-0000-0000-0000781A0000}"/>
    <cellStyle name="Input 2 6 4 2" xfId="15344" xr:uid="{00000000-0005-0000-0000-0000791A0000}"/>
    <cellStyle name="Input 2 6 4 3" xfId="13814" xr:uid="{00000000-0005-0000-0000-00007A1A0000}"/>
    <cellStyle name="Input 2 6 5" xfId="4573" xr:uid="{00000000-0005-0000-0000-00007B1A0000}"/>
    <cellStyle name="Input 2 6 5 2" xfId="15618" xr:uid="{00000000-0005-0000-0000-00007C1A0000}"/>
    <cellStyle name="Input 2 6 5 3" xfId="13432" xr:uid="{00000000-0005-0000-0000-00007D1A0000}"/>
    <cellStyle name="Input 2 6 6" xfId="6209" xr:uid="{00000000-0005-0000-0000-00007E1A0000}"/>
    <cellStyle name="Input 2 6 6 2" xfId="16877" xr:uid="{00000000-0005-0000-0000-00007F1A0000}"/>
    <cellStyle name="Input 2 6 6 3" xfId="19727" xr:uid="{00000000-0005-0000-0000-0000801A0000}"/>
    <cellStyle name="Input 2 6 7" xfId="9178" xr:uid="{00000000-0005-0000-0000-0000811A0000}"/>
    <cellStyle name="Input 2 6 8" xfId="14513" xr:uid="{00000000-0005-0000-0000-0000821A0000}"/>
    <cellStyle name="Input 2 6 9" xfId="16870" xr:uid="{00000000-0005-0000-0000-0000831A0000}"/>
    <cellStyle name="Input 2 7" xfId="5441" xr:uid="{00000000-0005-0000-0000-0000841A0000}"/>
    <cellStyle name="Input 2 7 2" xfId="7150" xr:uid="{00000000-0005-0000-0000-0000851A0000}"/>
    <cellStyle name="Input 2 7 2 2" xfId="11282" xr:uid="{00000000-0005-0000-0000-0000861A0000}"/>
    <cellStyle name="Input 2 7 2 3" xfId="17565" xr:uid="{00000000-0005-0000-0000-0000871A0000}"/>
    <cellStyle name="Input 2 7 2 4" xfId="20668" xr:uid="{00000000-0005-0000-0000-0000881A0000}"/>
    <cellStyle name="Input 2 7 3" xfId="10456" xr:uid="{00000000-0005-0000-0000-0000891A0000}"/>
    <cellStyle name="Input 2 7 4" xfId="16275" xr:uid="{00000000-0005-0000-0000-00008A1A0000}"/>
    <cellStyle name="Input 2 7 5" xfId="18959" xr:uid="{00000000-0005-0000-0000-00008B1A0000}"/>
    <cellStyle name="Input 2 8" xfId="6080" xr:uid="{00000000-0005-0000-0000-00008C1A0000}"/>
    <cellStyle name="Input 2 8 2" xfId="7788" xr:uid="{00000000-0005-0000-0000-00008D1A0000}"/>
    <cellStyle name="Input 2 8 2 2" xfId="11805" xr:uid="{00000000-0005-0000-0000-00008E1A0000}"/>
    <cellStyle name="Input 2 8 2 3" xfId="18056" xr:uid="{00000000-0005-0000-0000-00008F1A0000}"/>
    <cellStyle name="Input 2 8 2 4" xfId="21306" xr:uid="{00000000-0005-0000-0000-0000901A0000}"/>
    <cellStyle name="Input 2 8 3" xfId="10801" xr:uid="{00000000-0005-0000-0000-0000911A0000}"/>
    <cellStyle name="Input 2 8 4" xfId="16764" xr:uid="{00000000-0005-0000-0000-0000921A0000}"/>
    <cellStyle name="Input 2 8 5" xfId="19598" xr:uid="{00000000-0005-0000-0000-0000931A0000}"/>
    <cellStyle name="Input 2 9" xfId="5257" xr:uid="{00000000-0005-0000-0000-0000941A0000}"/>
    <cellStyle name="Input 2 9 2" xfId="10397" xr:uid="{00000000-0005-0000-0000-0000951A0000}"/>
    <cellStyle name="Input 2 9 3" xfId="16139" xr:uid="{00000000-0005-0000-0000-0000961A0000}"/>
    <cellStyle name="Input 2 9 4" xfId="12837" xr:uid="{00000000-0005-0000-0000-0000971A0000}"/>
    <cellStyle name="Input 3" xfId="2688" xr:uid="{00000000-0005-0000-0000-0000981A0000}"/>
    <cellStyle name="Input 3 10" xfId="5734" xr:uid="{00000000-0005-0000-0000-0000991A0000}"/>
    <cellStyle name="Input 3 10 2" xfId="10516" xr:uid="{00000000-0005-0000-0000-00009A1A0000}"/>
    <cellStyle name="Input 3 10 3" xfId="16517" xr:uid="{00000000-0005-0000-0000-00009B1A0000}"/>
    <cellStyle name="Input 3 10 4" xfId="19252" xr:uid="{00000000-0005-0000-0000-00009C1A0000}"/>
    <cellStyle name="Input 3 11" xfId="7443" xr:uid="{00000000-0005-0000-0000-00009D1A0000}"/>
    <cellStyle name="Input 3 11 2" xfId="11503" xr:uid="{00000000-0005-0000-0000-00009E1A0000}"/>
    <cellStyle name="Input 3 11 3" xfId="17808" xr:uid="{00000000-0005-0000-0000-00009F1A0000}"/>
    <cellStyle name="Input 3 11 4" xfId="20961" xr:uid="{00000000-0005-0000-0000-0000A01A0000}"/>
    <cellStyle name="Input 3 12" xfId="4866" xr:uid="{00000000-0005-0000-0000-0000A11A0000}"/>
    <cellStyle name="Input 3 12 2" xfId="15843" xr:uid="{00000000-0005-0000-0000-0000A21A0000}"/>
    <cellStyle name="Input 3 12 3" xfId="13140" xr:uid="{00000000-0005-0000-0000-0000A31A0000}"/>
    <cellStyle name="Input 3 13" xfId="8843" xr:uid="{00000000-0005-0000-0000-0000A41A0000}"/>
    <cellStyle name="Input 3 14" xfId="14261" xr:uid="{00000000-0005-0000-0000-0000A51A0000}"/>
    <cellStyle name="Input 3 15" xfId="16701" xr:uid="{00000000-0005-0000-0000-0000A61A0000}"/>
    <cellStyle name="Input 3 2" xfId="2745" xr:uid="{00000000-0005-0000-0000-0000A71A0000}"/>
    <cellStyle name="Input 3 2 10" xfId="4933" xr:uid="{00000000-0005-0000-0000-0000A81A0000}"/>
    <cellStyle name="Input 3 2 10 2" xfId="15903" xr:uid="{00000000-0005-0000-0000-0000A91A0000}"/>
    <cellStyle name="Input 3 2 10 3" xfId="13086" xr:uid="{00000000-0005-0000-0000-0000AA1A0000}"/>
    <cellStyle name="Input 3 2 11" xfId="8900" xr:uid="{00000000-0005-0000-0000-0000AB1A0000}"/>
    <cellStyle name="Input 3 2 12" xfId="14304" xr:uid="{00000000-0005-0000-0000-0000AC1A0000}"/>
    <cellStyle name="Input 3 2 2" xfId="3235" xr:uid="{00000000-0005-0000-0000-0000AD1A0000}"/>
    <cellStyle name="Input 3 2 2 10" xfId="9365" xr:uid="{00000000-0005-0000-0000-0000AE1A0000}"/>
    <cellStyle name="Input 3 2 2 11" xfId="14669" xr:uid="{00000000-0005-0000-0000-0000AF1A0000}"/>
    <cellStyle name="Input 3 2 2 12" xfId="18163" xr:uid="{00000000-0005-0000-0000-0000B01A0000}"/>
    <cellStyle name="Input 3 2 2 2" xfId="3622" xr:uid="{00000000-0005-0000-0000-0000B11A0000}"/>
    <cellStyle name="Input 3 2 2 2 2" xfId="7983" xr:uid="{00000000-0005-0000-0000-0000B21A0000}"/>
    <cellStyle name="Input 3 2 2 2 2 2" xfId="11959" xr:uid="{00000000-0005-0000-0000-0000B31A0000}"/>
    <cellStyle name="Input 3 2 2 2 2 3" xfId="18208" xr:uid="{00000000-0005-0000-0000-0000B41A0000}"/>
    <cellStyle name="Input 3 2 2 2 2 4" xfId="21501" xr:uid="{00000000-0005-0000-0000-0000B51A0000}"/>
    <cellStyle name="Input 3 2 2 2 3" xfId="6275" xr:uid="{00000000-0005-0000-0000-0000B61A0000}"/>
    <cellStyle name="Input 3 2 2 2 3 2" xfId="16917" xr:uid="{00000000-0005-0000-0000-0000B71A0000}"/>
    <cellStyle name="Input 3 2 2 2 3 3" xfId="19793" xr:uid="{00000000-0005-0000-0000-0000B81A0000}"/>
    <cellStyle name="Input 3 2 2 2 4" xfId="9714" xr:uid="{00000000-0005-0000-0000-0000B91A0000}"/>
    <cellStyle name="Input 3 2 2 2 5" xfId="14949" xr:uid="{00000000-0005-0000-0000-0000BA1A0000}"/>
    <cellStyle name="Input 3 2 2 2 6" xfId="18200" xr:uid="{00000000-0005-0000-0000-0000BB1A0000}"/>
    <cellStyle name="Input 3 2 2 3" xfId="4005" xr:uid="{00000000-0005-0000-0000-0000BC1A0000}"/>
    <cellStyle name="Input 3 2 2 3 2" xfId="5112" xr:uid="{00000000-0005-0000-0000-0000BD1A0000}"/>
    <cellStyle name="Input 3 2 2 3 2 2" xfId="10355" xr:uid="{00000000-0005-0000-0000-0000BE1A0000}"/>
    <cellStyle name="Input 3 2 2 3 2 3" xfId="16046" xr:uid="{00000000-0005-0000-0000-0000BF1A0000}"/>
    <cellStyle name="Input 3 2 2 3 2 4" xfId="12798" xr:uid="{00000000-0005-0000-0000-0000C01A0000}"/>
    <cellStyle name="Input 3 2 2 3 3" xfId="5302" xr:uid="{00000000-0005-0000-0000-0000C11A0000}"/>
    <cellStyle name="Input 3 2 2 3 3 2" xfId="16176" xr:uid="{00000000-0005-0000-0000-0000C21A0000}"/>
    <cellStyle name="Input 3 2 2 3 3 3" xfId="18820" xr:uid="{00000000-0005-0000-0000-0000C31A0000}"/>
    <cellStyle name="Input 3 2 2 3 4" xfId="9924" xr:uid="{00000000-0005-0000-0000-0000C41A0000}"/>
    <cellStyle name="Input 3 2 2 3 5" xfId="15224" xr:uid="{00000000-0005-0000-0000-0000C51A0000}"/>
    <cellStyle name="Input 3 2 2 3 6" xfId="13986" xr:uid="{00000000-0005-0000-0000-0000C61A0000}"/>
    <cellStyle name="Input 3 2 2 4" xfId="4388" xr:uid="{00000000-0005-0000-0000-0000C71A0000}"/>
    <cellStyle name="Input 3 2 2 4 2" xfId="8290" xr:uid="{00000000-0005-0000-0000-0000C81A0000}"/>
    <cellStyle name="Input 3 2 2 4 2 2" xfId="12258" xr:uid="{00000000-0005-0000-0000-0000C91A0000}"/>
    <cellStyle name="Input 3 2 2 4 2 3" xfId="18442" xr:uid="{00000000-0005-0000-0000-0000CA1A0000}"/>
    <cellStyle name="Input 3 2 2 4 2 4" xfId="21808" xr:uid="{00000000-0005-0000-0000-0000CB1A0000}"/>
    <cellStyle name="Input 3 2 2 4 3" xfId="6582" xr:uid="{00000000-0005-0000-0000-0000CC1A0000}"/>
    <cellStyle name="Input 3 2 2 4 3 2" xfId="17151" xr:uid="{00000000-0005-0000-0000-0000CD1A0000}"/>
    <cellStyle name="Input 3 2 2 4 3 3" xfId="20100" xr:uid="{00000000-0005-0000-0000-0000CE1A0000}"/>
    <cellStyle name="Input 3 2 2 4 4" xfId="10102" xr:uid="{00000000-0005-0000-0000-0000CF1A0000}"/>
    <cellStyle name="Input 3 2 2 4 5" xfId="15500" xr:uid="{00000000-0005-0000-0000-0000D01A0000}"/>
    <cellStyle name="Input 3 2 2 4 6" xfId="13617" xr:uid="{00000000-0005-0000-0000-0000D11A0000}"/>
    <cellStyle name="Input 3 2 2 5" xfId="4770" xr:uid="{00000000-0005-0000-0000-0000D21A0000}"/>
    <cellStyle name="Input 3 2 2 5 2" xfId="8522" xr:uid="{00000000-0005-0000-0000-0000D31A0000}"/>
    <cellStyle name="Input 3 2 2 5 2 2" xfId="12490" xr:uid="{00000000-0005-0000-0000-0000D41A0000}"/>
    <cellStyle name="Input 3 2 2 5 2 3" xfId="18613" xr:uid="{00000000-0005-0000-0000-0000D51A0000}"/>
    <cellStyle name="Input 3 2 2 5 2 4" xfId="22040" xr:uid="{00000000-0005-0000-0000-0000D61A0000}"/>
    <cellStyle name="Input 3 2 2 5 3" xfId="6814" xr:uid="{00000000-0005-0000-0000-0000D71A0000}"/>
    <cellStyle name="Input 3 2 2 5 3 2" xfId="17321" xr:uid="{00000000-0005-0000-0000-0000D81A0000}"/>
    <cellStyle name="Input 3 2 2 5 3 3" xfId="20332" xr:uid="{00000000-0005-0000-0000-0000D91A0000}"/>
    <cellStyle name="Input 3 2 2 5 4" xfId="10279" xr:uid="{00000000-0005-0000-0000-0000DA1A0000}"/>
    <cellStyle name="Input 3 2 2 5 5" xfId="15772" xr:uid="{00000000-0005-0000-0000-0000DB1A0000}"/>
    <cellStyle name="Input 3 2 2 5 6" xfId="13235" xr:uid="{00000000-0005-0000-0000-0000DC1A0000}"/>
    <cellStyle name="Input 3 2 2 6" xfId="7046" xr:uid="{00000000-0005-0000-0000-0000DD1A0000}"/>
    <cellStyle name="Input 3 2 2 6 2" xfId="8754" xr:uid="{00000000-0005-0000-0000-0000DE1A0000}"/>
    <cellStyle name="Input 3 2 2 6 2 2" xfId="12722" xr:uid="{00000000-0005-0000-0000-0000DF1A0000}"/>
    <cellStyle name="Input 3 2 2 6 2 3" xfId="18785" xr:uid="{00000000-0005-0000-0000-0000E01A0000}"/>
    <cellStyle name="Input 3 2 2 6 2 4" xfId="22272" xr:uid="{00000000-0005-0000-0000-0000E11A0000}"/>
    <cellStyle name="Input 3 2 2 6 3" xfId="11180" xr:uid="{00000000-0005-0000-0000-0000E21A0000}"/>
    <cellStyle name="Input 3 2 2 6 4" xfId="17492" xr:uid="{00000000-0005-0000-0000-0000E31A0000}"/>
    <cellStyle name="Input 3 2 2 6 5" xfId="20564" xr:uid="{00000000-0005-0000-0000-0000E41A0000}"/>
    <cellStyle name="Input 3 2 2 7" xfId="6034" xr:uid="{00000000-0005-0000-0000-0000E51A0000}"/>
    <cellStyle name="Input 3 2 2 7 2" xfId="10775" xr:uid="{00000000-0005-0000-0000-0000E61A0000}"/>
    <cellStyle name="Input 3 2 2 7 3" xfId="16731" xr:uid="{00000000-0005-0000-0000-0000E71A0000}"/>
    <cellStyle name="Input 3 2 2 7 4" xfId="19552" xr:uid="{00000000-0005-0000-0000-0000E81A0000}"/>
    <cellStyle name="Input 3 2 2 8" xfId="7742" xr:uid="{00000000-0005-0000-0000-0000E91A0000}"/>
    <cellStyle name="Input 3 2 2 8 2" xfId="11763" xr:uid="{00000000-0005-0000-0000-0000EA1A0000}"/>
    <cellStyle name="Input 3 2 2 8 3" xfId="18023" xr:uid="{00000000-0005-0000-0000-0000EB1A0000}"/>
    <cellStyle name="Input 3 2 2 8 4" xfId="21260" xr:uid="{00000000-0005-0000-0000-0000EC1A0000}"/>
    <cellStyle name="Input 3 2 2 9" xfId="5228" xr:uid="{00000000-0005-0000-0000-0000ED1A0000}"/>
    <cellStyle name="Input 3 2 2 9 2" xfId="16119" xr:uid="{00000000-0005-0000-0000-0000EE1A0000}"/>
    <cellStyle name="Input 3 2 2 9 3" xfId="12866" xr:uid="{00000000-0005-0000-0000-0000EF1A0000}"/>
    <cellStyle name="Input 3 2 3" xfId="3292" xr:uid="{00000000-0005-0000-0000-0000F01A0000}"/>
    <cellStyle name="Input 3 2 3 2" xfId="3679" xr:uid="{00000000-0005-0000-0000-0000F11A0000}"/>
    <cellStyle name="Input 3 2 3 2 2" xfId="7806" xr:uid="{00000000-0005-0000-0000-0000F21A0000}"/>
    <cellStyle name="Input 3 2 3 2 2 2" xfId="18071" xr:uid="{00000000-0005-0000-0000-0000F31A0000}"/>
    <cellStyle name="Input 3 2 3 2 2 3" xfId="21324" xr:uid="{00000000-0005-0000-0000-0000F41A0000}"/>
    <cellStyle name="Input 3 2 3 2 3" xfId="9758" xr:uid="{00000000-0005-0000-0000-0000F51A0000}"/>
    <cellStyle name="Input 3 2 3 2 4" xfId="14991" xr:uid="{00000000-0005-0000-0000-0000F61A0000}"/>
    <cellStyle name="Input 3 2 3 2 5" xfId="17118" xr:uid="{00000000-0005-0000-0000-0000F71A0000}"/>
    <cellStyle name="Input 3 2 3 3" xfId="4062" xr:uid="{00000000-0005-0000-0000-0000F81A0000}"/>
    <cellStyle name="Input 3 2 3 3 2" xfId="15266" xr:uid="{00000000-0005-0000-0000-0000F91A0000}"/>
    <cellStyle name="Input 3 2 3 3 3" xfId="13929" xr:uid="{00000000-0005-0000-0000-0000FA1A0000}"/>
    <cellStyle name="Input 3 2 3 4" xfId="4445" xr:uid="{00000000-0005-0000-0000-0000FB1A0000}"/>
    <cellStyle name="Input 3 2 3 4 2" xfId="15541" xr:uid="{00000000-0005-0000-0000-0000FC1A0000}"/>
    <cellStyle name="Input 3 2 3 4 3" xfId="13560" xr:uid="{00000000-0005-0000-0000-0000FD1A0000}"/>
    <cellStyle name="Input 3 2 3 5" xfId="4827" xr:uid="{00000000-0005-0000-0000-0000FE1A0000}"/>
    <cellStyle name="Input 3 2 3 5 2" xfId="15813" xr:uid="{00000000-0005-0000-0000-0000FF1A0000}"/>
    <cellStyle name="Input 3 2 3 5 3" xfId="13179" xr:uid="{00000000-0005-0000-0000-0000001B0000}"/>
    <cellStyle name="Input 3 2 3 6" xfId="6098" xr:uid="{00000000-0005-0000-0000-0000011B0000}"/>
    <cellStyle name="Input 3 2 3 6 2" xfId="16779" xr:uid="{00000000-0005-0000-0000-0000021B0000}"/>
    <cellStyle name="Input 3 2 3 6 3" xfId="19616" xr:uid="{00000000-0005-0000-0000-0000031B0000}"/>
    <cellStyle name="Input 3 2 3 7" xfId="9422" xr:uid="{00000000-0005-0000-0000-0000041B0000}"/>
    <cellStyle name="Input 3 2 3 8" xfId="14711" xr:uid="{00000000-0005-0000-0000-0000051B0000}"/>
    <cellStyle name="Input 3 2 3 9" xfId="18741" xr:uid="{00000000-0005-0000-0000-0000061B0000}"/>
    <cellStyle name="Input 3 2 4" xfId="2910" xr:uid="{00000000-0005-0000-0000-0000071B0000}"/>
    <cellStyle name="Input 3 2 4 2" xfId="5115" xr:uid="{00000000-0005-0000-0000-0000081B0000}"/>
    <cellStyle name="Input 3 2 4 2 2" xfId="10358" xr:uid="{00000000-0005-0000-0000-0000091B0000}"/>
    <cellStyle name="Input 3 2 4 2 3" xfId="16048" xr:uid="{00000000-0005-0000-0000-00000A1B0000}"/>
    <cellStyle name="Input 3 2 4 2 4" xfId="12932" xr:uid="{00000000-0005-0000-0000-00000B1B0000}"/>
    <cellStyle name="Input 3 2 4 3" xfId="5299" xr:uid="{00000000-0005-0000-0000-00000C1B0000}"/>
    <cellStyle name="Input 3 2 4 3 2" xfId="16174" xr:uid="{00000000-0005-0000-0000-00000D1B0000}"/>
    <cellStyle name="Input 3 2 4 3 3" xfId="18817" xr:uid="{00000000-0005-0000-0000-00000E1B0000}"/>
    <cellStyle name="Input 3 2 4 4" xfId="9062" xr:uid="{00000000-0005-0000-0000-00000F1B0000}"/>
    <cellStyle name="Input 3 2 4 5" xfId="14436" xr:uid="{00000000-0005-0000-0000-0000101B0000}"/>
    <cellStyle name="Input 3 2 4 6" xfId="16815" xr:uid="{00000000-0005-0000-0000-0000111B0000}"/>
    <cellStyle name="Input 3 2 5" xfId="6391" xr:uid="{00000000-0005-0000-0000-0000121B0000}"/>
    <cellStyle name="Input 3 2 5 2" xfId="8099" xr:uid="{00000000-0005-0000-0000-0000131B0000}"/>
    <cellStyle name="Input 3 2 5 2 2" xfId="12067" xr:uid="{00000000-0005-0000-0000-0000141B0000}"/>
    <cellStyle name="Input 3 2 5 2 3" xfId="18305" xr:uid="{00000000-0005-0000-0000-0000151B0000}"/>
    <cellStyle name="Input 3 2 5 2 4" xfId="21617" xr:uid="{00000000-0005-0000-0000-0000161B0000}"/>
    <cellStyle name="Input 3 2 5 3" xfId="10909" xr:uid="{00000000-0005-0000-0000-0000171B0000}"/>
    <cellStyle name="Input 3 2 5 4" xfId="17014" xr:uid="{00000000-0005-0000-0000-0000181B0000}"/>
    <cellStyle name="Input 3 2 5 5" xfId="19909" xr:uid="{00000000-0005-0000-0000-0000191B0000}"/>
    <cellStyle name="Input 3 2 6" xfId="6623" xr:uid="{00000000-0005-0000-0000-00001A1B0000}"/>
    <cellStyle name="Input 3 2 6 2" xfId="8331" xr:uid="{00000000-0005-0000-0000-00001B1B0000}"/>
    <cellStyle name="Input 3 2 6 2 2" xfId="12299" xr:uid="{00000000-0005-0000-0000-00001C1B0000}"/>
    <cellStyle name="Input 3 2 6 2 3" xfId="18476" xr:uid="{00000000-0005-0000-0000-00001D1B0000}"/>
    <cellStyle name="Input 3 2 6 2 4" xfId="21849" xr:uid="{00000000-0005-0000-0000-00001E1B0000}"/>
    <cellStyle name="Input 3 2 6 3" xfId="10949" xr:uid="{00000000-0005-0000-0000-00001F1B0000}"/>
    <cellStyle name="Input 3 2 6 4" xfId="17185" xr:uid="{00000000-0005-0000-0000-0000201B0000}"/>
    <cellStyle name="Input 3 2 6 5" xfId="20141" xr:uid="{00000000-0005-0000-0000-0000211B0000}"/>
    <cellStyle name="Input 3 2 7" xfId="6855" xr:uid="{00000000-0005-0000-0000-0000221B0000}"/>
    <cellStyle name="Input 3 2 7 2" xfId="8563" xr:uid="{00000000-0005-0000-0000-0000231B0000}"/>
    <cellStyle name="Input 3 2 7 2 2" xfId="12531" xr:uid="{00000000-0005-0000-0000-0000241B0000}"/>
    <cellStyle name="Input 3 2 7 2 3" xfId="18647" xr:uid="{00000000-0005-0000-0000-0000251B0000}"/>
    <cellStyle name="Input 3 2 7 2 4" xfId="22081" xr:uid="{00000000-0005-0000-0000-0000261B0000}"/>
    <cellStyle name="Input 3 2 7 3" xfId="10989" xr:uid="{00000000-0005-0000-0000-0000271B0000}"/>
    <cellStyle name="Input 3 2 7 4" xfId="17355" xr:uid="{00000000-0005-0000-0000-0000281B0000}"/>
    <cellStyle name="Input 3 2 7 5" xfId="20373" xr:uid="{00000000-0005-0000-0000-0000291B0000}"/>
    <cellStyle name="Input 3 2 8" xfId="5824" xr:uid="{00000000-0005-0000-0000-00002A1B0000}"/>
    <cellStyle name="Input 3 2 8 2" xfId="10584" xr:uid="{00000000-0005-0000-0000-00002B1B0000}"/>
    <cellStyle name="Input 3 2 8 3" xfId="16586" xr:uid="{00000000-0005-0000-0000-00002C1B0000}"/>
    <cellStyle name="Input 3 2 8 4" xfId="19342" xr:uid="{00000000-0005-0000-0000-00002D1B0000}"/>
    <cellStyle name="Input 3 2 9" xfId="7532" xr:uid="{00000000-0005-0000-0000-00002E1B0000}"/>
    <cellStyle name="Input 3 2 9 2" xfId="11570" xr:uid="{00000000-0005-0000-0000-00002F1B0000}"/>
    <cellStyle name="Input 3 2 9 3" xfId="17878" xr:uid="{00000000-0005-0000-0000-0000301B0000}"/>
    <cellStyle name="Input 3 2 9 4" xfId="21050" xr:uid="{00000000-0005-0000-0000-0000311B0000}"/>
    <cellStyle name="Input 3 3" xfId="2663" xr:uid="{00000000-0005-0000-0000-0000321B0000}"/>
    <cellStyle name="Input 3 3 10" xfId="4915" xr:uid="{00000000-0005-0000-0000-0000331B0000}"/>
    <cellStyle name="Input 3 3 10 2" xfId="15885" xr:uid="{00000000-0005-0000-0000-0000341B0000}"/>
    <cellStyle name="Input 3 3 10 3" xfId="13104" xr:uid="{00000000-0005-0000-0000-0000351B0000}"/>
    <cellStyle name="Input 3 3 11" xfId="8820" xr:uid="{00000000-0005-0000-0000-0000361B0000}"/>
    <cellStyle name="Input 3 3 12" xfId="14238" xr:uid="{00000000-0005-0000-0000-0000371B0000}"/>
    <cellStyle name="Input 3 3 2" xfId="3155" xr:uid="{00000000-0005-0000-0000-0000381B0000}"/>
    <cellStyle name="Input 3 3 2 10" xfId="9285" xr:uid="{00000000-0005-0000-0000-0000391B0000}"/>
    <cellStyle name="Input 3 3 2 11" xfId="14606" xr:uid="{00000000-0005-0000-0000-00003A1B0000}"/>
    <cellStyle name="Input 3 3 2 12" xfId="17518" xr:uid="{00000000-0005-0000-0000-00003B1B0000}"/>
    <cellStyle name="Input 3 3 2 2" xfId="3542" xr:uid="{00000000-0005-0000-0000-00003C1B0000}"/>
    <cellStyle name="Input 3 3 2 2 2" xfId="7281" xr:uid="{00000000-0005-0000-0000-00003D1B0000}"/>
    <cellStyle name="Input 3 3 2 2 2 2" xfId="11386" xr:uid="{00000000-0005-0000-0000-00003E1B0000}"/>
    <cellStyle name="Input 3 3 2 2 2 3" xfId="17679" xr:uid="{00000000-0005-0000-0000-00003F1B0000}"/>
    <cellStyle name="Input 3 3 2 2 2 4" xfId="20799" xr:uid="{00000000-0005-0000-0000-0000401B0000}"/>
    <cellStyle name="Input 3 3 2 2 3" xfId="5572" xr:uid="{00000000-0005-0000-0000-0000411B0000}"/>
    <cellStyle name="Input 3 3 2 2 3 2" xfId="16388" xr:uid="{00000000-0005-0000-0000-0000421B0000}"/>
    <cellStyle name="Input 3 3 2 2 3 3" xfId="19090" xr:uid="{00000000-0005-0000-0000-0000431B0000}"/>
    <cellStyle name="Input 3 3 2 2 4" xfId="9634" xr:uid="{00000000-0005-0000-0000-0000441B0000}"/>
    <cellStyle name="Input 3 3 2 2 5" xfId="14886" xr:uid="{00000000-0005-0000-0000-0000451B0000}"/>
    <cellStyle name="Input 3 3 2 2 6" xfId="17277" xr:uid="{00000000-0005-0000-0000-0000461B0000}"/>
    <cellStyle name="Input 3 3 2 3" xfId="3925" xr:uid="{00000000-0005-0000-0000-0000471B0000}"/>
    <cellStyle name="Input 3 3 2 3 2" xfId="7080" xr:uid="{00000000-0005-0000-0000-0000481B0000}"/>
    <cellStyle name="Input 3 3 2 3 2 2" xfId="11214" xr:uid="{00000000-0005-0000-0000-0000491B0000}"/>
    <cellStyle name="Input 3 3 2 3 2 3" xfId="17513" xr:uid="{00000000-0005-0000-0000-00004A1B0000}"/>
    <cellStyle name="Input 3 3 2 3 2 4" xfId="20598" xr:uid="{00000000-0005-0000-0000-00004B1B0000}"/>
    <cellStyle name="Input 3 3 2 3 3" xfId="5371" xr:uid="{00000000-0005-0000-0000-00004C1B0000}"/>
    <cellStyle name="Input 3 3 2 3 3 2" xfId="16223" xr:uid="{00000000-0005-0000-0000-00004D1B0000}"/>
    <cellStyle name="Input 3 3 2 3 3 3" xfId="18889" xr:uid="{00000000-0005-0000-0000-00004E1B0000}"/>
    <cellStyle name="Input 3 3 2 3 4" xfId="9848" xr:uid="{00000000-0005-0000-0000-00004F1B0000}"/>
    <cellStyle name="Input 3 3 2 3 5" xfId="15162" xr:uid="{00000000-0005-0000-0000-0000501B0000}"/>
    <cellStyle name="Input 3 3 2 3 6" xfId="14066" xr:uid="{00000000-0005-0000-0000-0000511B0000}"/>
    <cellStyle name="Input 3 3 2 4" xfId="4308" xr:uid="{00000000-0005-0000-0000-0000521B0000}"/>
    <cellStyle name="Input 3 3 2 4 2" xfId="8185" xr:uid="{00000000-0005-0000-0000-0000531B0000}"/>
    <cellStyle name="Input 3 3 2 4 2 2" xfId="12153" xr:uid="{00000000-0005-0000-0000-0000541B0000}"/>
    <cellStyle name="Input 3 3 2 4 2 3" xfId="18380" xr:uid="{00000000-0005-0000-0000-0000551B0000}"/>
    <cellStyle name="Input 3 3 2 4 2 4" xfId="21703" xr:uid="{00000000-0005-0000-0000-0000561B0000}"/>
    <cellStyle name="Input 3 3 2 4 3" xfId="6477" xr:uid="{00000000-0005-0000-0000-0000571B0000}"/>
    <cellStyle name="Input 3 3 2 4 3 2" xfId="17089" xr:uid="{00000000-0005-0000-0000-0000581B0000}"/>
    <cellStyle name="Input 3 3 2 4 3 3" xfId="19995" xr:uid="{00000000-0005-0000-0000-0000591B0000}"/>
    <cellStyle name="Input 3 3 2 4 4" xfId="10026" xr:uid="{00000000-0005-0000-0000-00005A1B0000}"/>
    <cellStyle name="Input 3 3 2 4 5" xfId="15437" xr:uid="{00000000-0005-0000-0000-00005B1B0000}"/>
    <cellStyle name="Input 3 3 2 4 6" xfId="13697" xr:uid="{00000000-0005-0000-0000-00005C1B0000}"/>
    <cellStyle name="Input 3 3 2 5" xfId="4690" xr:uid="{00000000-0005-0000-0000-00005D1B0000}"/>
    <cellStyle name="Input 3 3 2 5 2" xfId="8417" xr:uid="{00000000-0005-0000-0000-00005E1B0000}"/>
    <cellStyle name="Input 3 3 2 5 2 2" xfId="12385" xr:uid="{00000000-0005-0000-0000-00005F1B0000}"/>
    <cellStyle name="Input 3 3 2 5 2 3" xfId="18551" xr:uid="{00000000-0005-0000-0000-0000601B0000}"/>
    <cellStyle name="Input 3 3 2 5 2 4" xfId="21935" xr:uid="{00000000-0005-0000-0000-0000611B0000}"/>
    <cellStyle name="Input 3 3 2 5 3" xfId="6709" xr:uid="{00000000-0005-0000-0000-0000621B0000}"/>
    <cellStyle name="Input 3 3 2 5 3 2" xfId="17260" xr:uid="{00000000-0005-0000-0000-0000631B0000}"/>
    <cellStyle name="Input 3 3 2 5 3 3" xfId="20227" xr:uid="{00000000-0005-0000-0000-0000641B0000}"/>
    <cellStyle name="Input 3 3 2 5 4" xfId="10203" xr:uid="{00000000-0005-0000-0000-0000651B0000}"/>
    <cellStyle name="Input 3 3 2 5 5" xfId="15711" xr:uid="{00000000-0005-0000-0000-0000661B0000}"/>
    <cellStyle name="Input 3 3 2 5 6" xfId="13315" xr:uid="{00000000-0005-0000-0000-0000671B0000}"/>
    <cellStyle name="Input 3 3 2 6" xfId="6941" xr:uid="{00000000-0005-0000-0000-0000681B0000}"/>
    <cellStyle name="Input 3 3 2 6 2" xfId="8649" xr:uid="{00000000-0005-0000-0000-0000691B0000}"/>
    <cellStyle name="Input 3 3 2 6 2 2" xfId="12617" xr:uid="{00000000-0005-0000-0000-00006A1B0000}"/>
    <cellStyle name="Input 3 3 2 6 2 3" xfId="18722" xr:uid="{00000000-0005-0000-0000-00006B1B0000}"/>
    <cellStyle name="Input 3 3 2 6 2 4" xfId="22167" xr:uid="{00000000-0005-0000-0000-00006C1B0000}"/>
    <cellStyle name="Input 3 3 2 6 3" xfId="11075" xr:uid="{00000000-0005-0000-0000-00006D1B0000}"/>
    <cellStyle name="Input 3 3 2 6 4" xfId="17430" xr:uid="{00000000-0005-0000-0000-00006E1B0000}"/>
    <cellStyle name="Input 3 3 2 6 5" xfId="20459" xr:uid="{00000000-0005-0000-0000-00006F1B0000}"/>
    <cellStyle name="Input 3 3 2 7" xfId="5929" xr:uid="{00000000-0005-0000-0000-0000701B0000}"/>
    <cellStyle name="Input 3 3 2 7 2" xfId="10670" xr:uid="{00000000-0005-0000-0000-0000711B0000}"/>
    <cellStyle name="Input 3 3 2 7 3" xfId="16668" xr:uid="{00000000-0005-0000-0000-0000721B0000}"/>
    <cellStyle name="Input 3 3 2 7 4" xfId="19447" xr:uid="{00000000-0005-0000-0000-0000731B0000}"/>
    <cellStyle name="Input 3 3 2 8" xfId="7637" xr:uid="{00000000-0005-0000-0000-0000741B0000}"/>
    <cellStyle name="Input 3 3 2 8 2" xfId="11658" xr:uid="{00000000-0005-0000-0000-0000751B0000}"/>
    <cellStyle name="Input 3 3 2 8 3" xfId="17960" xr:uid="{00000000-0005-0000-0000-0000761B0000}"/>
    <cellStyle name="Input 3 3 2 8 4" xfId="21155" xr:uid="{00000000-0005-0000-0000-0000771B0000}"/>
    <cellStyle name="Input 3 3 2 9" xfId="5025" xr:uid="{00000000-0005-0000-0000-0000781B0000}"/>
    <cellStyle name="Input 3 3 2 9 2" xfId="15983" xr:uid="{00000000-0005-0000-0000-0000791B0000}"/>
    <cellStyle name="Input 3 3 2 9 3" xfId="12994" xr:uid="{00000000-0005-0000-0000-00007A1B0000}"/>
    <cellStyle name="Input 3 3 3" xfId="3065" xr:uid="{00000000-0005-0000-0000-00007B1B0000}"/>
    <cellStyle name="Input 3 3 3 2" xfId="3452" xr:uid="{00000000-0005-0000-0000-00007C1B0000}"/>
    <cellStyle name="Input 3 3 3 2 2" xfId="7807" xr:uid="{00000000-0005-0000-0000-00007D1B0000}"/>
    <cellStyle name="Input 3 3 3 2 2 2" xfId="18072" xr:uid="{00000000-0005-0000-0000-00007E1B0000}"/>
    <cellStyle name="Input 3 3 3 2 2 3" xfId="21325" xr:uid="{00000000-0005-0000-0000-00007F1B0000}"/>
    <cellStyle name="Input 3 3 3 2 3" xfId="9559" xr:uid="{00000000-0005-0000-0000-0000801B0000}"/>
    <cellStyle name="Input 3 3 3 2 4" xfId="14815" xr:uid="{00000000-0005-0000-0000-0000811B0000}"/>
    <cellStyle name="Input 3 3 3 2 5" xfId="18573" xr:uid="{00000000-0005-0000-0000-0000821B0000}"/>
    <cellStyle name="Input 3 3 3 3" xfId="3835" xr:uid="{00000000-0005-0000-0000-0000831B0000}"/>
    <cellStyle name="Input 3 3 3 3 2" xfId="15091" xr:uid="{00000000-0005-0000-0000-0000841B0000}"/>
    <cellStyle name="Input 3 3 3 3 3" xfId="14188" xr:uid="{00000000-0005-0000-0000-0000851B0000}"/>
    <cellStyle name="Input 3 3 3 4" xfId="4218" xr:uid="{00000000-0005-0000-0000-0000861B0000}"/>
    <cellStyle name="Input 3 3 3 4 2" xfId="15366" xr:uid="{00000000-0005-0000-0000-0000871B0000}"/>
    <cellStyle name="Input 3 3 3 4 3" xfId="13787" xr:uid="{00000000-0005-0000-0000-0000881B0000}"/>
    <cellStyle name="Input 3 3 3 5" xfId="4600" xr:uid="{00000000-0005-0000-0000-0000891B0000}"/>
    <cellStyle name="Input 3 3 3 5 2" xfId="15640" xr:uid="{00000000-0005-0000-0000-00008A1B0000}"/>
    <cellStyle name="Input 3 3 3 5 3" xfId="13405" xr:uid="{00000000-0005-0000-0000-00008B1B0000}"/>
    <cellStyle name="Input 3 3 3 6" xfId="6099" xr:uid="{00000000-0005-0000-0000-00008C1B0000}"/>
    <cellStyle name="Input 3 3 3 6 2" xfId="16780" xr:uid="{00000000-0005-0000-0000-00008D1B0000}"/>
    <cellStyle name="Input 3 3 3 6 3" xfId="19617" xr:uid="{00000000-0005-0000-0000-00008E1B0000}"/>
    <cellStyle name="Input 3 3 3 7" xfId="9205" xr:uid="{00000000-0005-0000-0000-00008F1B0000}"/>
    <cellStyle name="Input 3 3 3 8" xfId="14535" xr:uid="{00000000-0005-0000-0000-0000901B0000}"/>
    <cellStyle name="Input 3 3 3 9" xfId="14569" xr:uid="{00000000-0005-0000-0000-0000911B0000}"/>
    <cellStyle name="Input 3 3 4" xfId="2863" xr:uid="{00000000-0005-0000-0000-0000921B0000}"/>
    <cellStyle name="Input 3 3 4 2" xfId="7178" xr:uid="{00000000-0005-0000-0000-0000931B0000}"/>
    <cellStyle name="Input 3 3 4 2 2" xfId="11308" xr:uid="{00000000-0005-0000-0000-0000941B0000}"/>
    <cellStyle name="Input 3 3 4 2 3" xfId="17589" xr:uid="{00000000-0005-0000-0000-0000951B0000}"/>
    <cellStyle name="Input 3 3 4 2 4" xfId="20696" xr:uid="{00000000-0005-0000-0000-0000961B0000}"/>
    <cellStyle name="Input 3 3 4 3" xfId="5469" xr:uid="{00000000-0005-0000-0000-0000971B0000}"/>
    <cellStyle name="Input 3 3 4 3 2" xfId="16299" xr:uid="{00000000-0005-0000-0000-0000981B0000}"/>
    <cellStyle name="Input 3 3 4 3 3" xfId="18987" xr:uid="{00000000-0005-0000-0000-0000991B0000}"/>
    <cellStyle name="Input 3 3 4 4" xfId="9016" xr:uid="{00000000-0005-0000-0000-00009A1B0000}"/>
    <cellStyle name="Input 3 3 4 5" xfId="14399" xr:uid="{00000000-0005-0000-0000-00009B1B0000}"/>
    <cellStyle name="Input 3 3 4 6" xfId="17466" xr:uid="{00000000-0005-0000-0000-00009C1B0000}"/>
    <cellStyle name="Input 3 3 5" xfId="6373" xr:uid="{00000000-0005-0000-0000-00009D1B0000}"/>
    <cellStyle name="Input 3 3 5 2" xfId="8081" xr:uid="{00000000-0005-0000-0000-00009E1B0000}"/>
    <cellStyle name="Input 3 3 5 2 2" xfId="12049" xr:uid="{00000000-0005-0000-0000-00009F1B0000}"/>
    <cellStyle name="Input 3 3 5 2 3" xfId="18287" xr:uid="{00000000-0005-0000-0000-0000A01B0000}"/>
    <cellStyle name="Input 3 3 5 2 4" xfId="21599" xr:uid="{00000000-0005-0000-0000-0000A11B0000}"/>
    <cellStyle name="Input 3 3 5 3" xfId="10891" xr:uid="{00000000-0005-0000-0000-0000A21B0000}"/>
    <cellStyle name="Input 3 3 5 4" xfId="16996" xr:uid="{00000000-0005-0000-0000-0000A31B0000}"/>
    <cellStyle name="Input 3 3 5 5" xfId="19891" xr:uid="{00000000-0005-0000-0000-0000A41B0000}"/>
    <cellStyle name="Input 3 3 6" xfId="6605" xr:uid="{00000000-0005-0000-0000-0000A51B0000}"/>
    <cellStyle name="Input 3 3 6 2" xfId="8313" xr:uid="{00000000-0005-0000-0000-0000A61B0000}"/>
    <cellStyle name="Input 3 3 6 2 2" xfId="12281" xr:uid="{00000000-0005-0000-0000-0000A71B0000}"/>
    <cellStyle name="Input 3 3 6 2 3" xfId="18458" xr:uid="{00000000-0005-0000-0000-0000A81B0000}"/>
    <cellStyle name="Input 3 3 6 2 4" xfId="21831" xr:uid="{00000000-0005-0000-0000-0000A91B0000}"/>
    <cellStyle name="Input 3 3 6 3" xfId="10931" xr:uid="{00000000-0005-0000-0000-0000AA1B0000}"/>
    <cellStyle name="Input 3 3 6 4" xfId="17167" xr:uid="{00000000-0005-0000-0000-0000AB1B0000}"/>
    <cellStyle name="Input 3 3 6 5" xfId="20123" xr:uid="{00000000-0005-0000-0000-0000AC1B0000}"/>
    <cellStyle name="Input 3 3 7" xfId="6837" xr:uid="{00000000-0005-0000-0000-0000AD1B0000}"/>
    <cellStyle name="Input 3 3 7 2" xfId="8545" xr:uid="{00000000-0005-0000-0000-0000AE1B0000}"/>
    <cellStyle name="Input 3 3 7 2 2" xfId="12513" xr:uid="{00000000-0005-0000-0000-0000AF1B0000}"/>
    <cellStyle name="Input 3 3 7 2 3" xfId="18629" xr:uid="{00000000-0005-0000-0000-0000B01B0000}"/>
    <cellStyle name="Input 3 3 7 2 4" xfId="22063" xr:uid="{00000000-0005-0000-0000-0000B11B0000}"/>
    <cellStyle name="Input 3 3 7 3" xfId="10971" xr:uid="{00000000-0005-0000-0000-0000B21B0000}"/>
    <cellStyle name="Input 3 3 7 4" xfId="17337" xr:uid="{00000000-0005-0000-0000-0000B31B0000}"/>
    <cellStyle name="Input 3 3 7 5" xfId="20355" xr:uid="{00000000-0005-0000-0000-0000B41B0000}"/>
    <cellStyle name="Input 3 3 8" xfId="5799" xr:uid="{00000000-0005-0000-0000-0000B51B0000}"/>
    <cellStyle name="Input 3 3 8 2" xfId="10566" xr:uid="{00000000-0005-0000-0000-0000B61B0000}"/>
    <cellStyle name="Input 3 3 8 3" xfId="16565" xr:uid="{00000000-0005-0000-0000-0000B71B0000}"/>
    <cellStyle name="Input 3 3 8 4" xfId="19317" xr:uid="{00000000-0005-0000-0000-0000B81B0000}"/>
    <cellStyle name="Input 3 3 9" xfId="7507" xr:uid="{00000000-0005-0000-0000-0000B91B0000}"/>
    <cellStyle name="Input 3 3 9 2" xfId="11552" xr:uid="{00000000-0005-0000-0000-0000BA1B0000}"/>
    <cellStyle name="Input 3 3 9 3" xfId="17857" xr:uid="{00000000-0005-0000-0000-0000BB1B0000}"/>
    <cellStyle name="Input 3 3 9 4" xfId="21025" xr:uid="{00000000-0005-0000-0000-0000BC1B0000}"/>
    <cellStyle name="Input 3 4" xfId="3178" xr:uid="{00000000-0005-0000-0000-0000BD1B0000}"/>
    <cellStyle name="Input 3 4 10" xfId="9308" xr:uid="{00000000-0005-0000-0000-0000BE1B0000}"/>
    <cellStyle name="Input 3 4 11" xfId="14626" xr:uid="{00000000-0005-0000-0000-0000BF1B0000}"/>
    <cellStyle name="Input 3 4 12" xfId="14466" xr:uid="{00000000-0005-0000-0000-0000C01B0000}"/>
    <cellStyle name="Input 3 4 2" xfId="3565" xr:uid="{00000000-0005-0000-0000-0000C11B0000}"/>
    <cellStyle name="Input 3 4 2 2" xfId="7318" xr:uid="{00000000-0005-0000-0000-0000C21B0000}"/>
    <cellStyle name="Input 3 4 2 2 2" xfId="11408" xr:uid="{00000000-0005-0000-0000-0000C31B0000}"/>
    <cellStyle name="Input 3 4 2 2 3" xfId="17711" xr:uid="{00000000-0005-0000-0000-0000C41B0000}"/>
    <cellStyle name="Input 3 4 2 2 4" xfId="20836" xr:uid="{00000000-0005-0000-0000-0000C51B0000}"/>
    <cellStyle name="Input 3 4 2 3" xfId="5609" xr:uid="{00000000-0005-0000-0000-0000C61B0000}"/>
    <cellStyle name="Input 3 4 2 3 2" xfId="16420" xr:uid="{00000000-0005-0000-0000-0000C71B0000}"/>
    <cellStyle name="Input 3 4 2 3 3" xfId="19127" xr:uid="{00000000-0005-0000-0000-0000C81B0000}"/>
    <cellStyle name="Input 3 4 2 4" xfId="9657" xr:uid="{00000000-0005-0000-0000-0000C91B0000}"/>
    <cellStyle name="Input 3 4 2 5" xfId="14906" xr:uid="{00000000-0005-0000-0000-0000CA1B0000}"/>
    <cellStyle name="Input 3 4 2 6" xfId="16656" xr:uid="{00000000-0005-0000-0000-0000CB1B0000}"/>
    <cellStyle name="Input 3 4 3" xfId="3948" xr:uid="{00000000-0005-0000-0000-0000CC1B0000}"/>
    <cellStyle name="Input 3 4 3 2" xfId="7168" xr:uid="{00000000-0005-0000-0000-0000CD1B0000}"/>
    <cellStyle name="Input 3 4 3 2 2" xfId="11298" xr:uid="{00000000-0005-0000-0000-0000CE1B0000}"/>
    <cellStyle name="Input 3 4 3 2 3" xfId="17580" xr:uid="{00000000-0005-0000-0000-0000CF1B0000}"/>
    <cellStyle name="Input 3 4 3 2 4" xfId="20686" xr:uid="{00000000-0005-0000-0000-0000D01B0000}"/>
    <cellStyle name="Input 3 4 3 3" xfId="5459" xr:uid="{00000000-0005-0000-0000-0000D11B0000}"/>
    <cellStyle name="Input 3 4 3 3 2" xfId="16290" xr:uid="{00000000-0005-0000-0000-0000D21B0000}"/>
    <cellStyle name="Input 3 4 3 3 3" xfId="18977" xr:uid="{00000000-0005-0000-0000-0000D31B0000}"/>
    <cellStyle name="Input 3 4 3 4" xfId="9871" xr:uid="{00000000-0005-0000-0000-0000D41B0000}"/>
    <cellStyle name="Input 3 4 3 5" xfId="15182" xr:uid="{00000000-0005-0000-0000-0000D51B0000}"/>
    <cellStyle name="Input 3 4 3 6" xfId="14043" xr:uid="{00000000-0005-0000-0000-0000D61B0000}"/>
    <cellStyle name="Input 3 4 4" xfId="4331" xr:uid="{00000000-0005-0000-0000-0000D71B0000}"/>
    <cellStyle name="Input 3 4 4 2" xfId="8162" xr:uid="{00000000-0005-0000-0000-0000D81B0000}"/>
    <cellStyle name="Input 3 4 4 2 2" xfId="12130" xr:uid="{00000000-0005-0000-0000-0000D91B0000}"/>
    <cellStyle name="Input 3 4 4 2 3" xfId="18360" xr:uid="{00000000-0005-0000-0000-0000DA1B0000}"/>
    <cellStyle name="Input 3 4 4 2 4" xfId="21680" xr:uid="{00000000-0005-0000-0000-0000DB1B0000}"/>
    <cellStyle name="Input 3 4 4 3" xfId="6454" xr:uid="{00000000-0005-0000-0000-0000DC1B0000}"/>
    <cellStyle name="Input 3 4 4 3 2" xfId="17069" xr:uid="{00000000-0005-0000-0000-0000DD1B0000}"/>
    <cellStyle name="Input 3 4 4 3 3" xfId="19972" xr:uid="{00000000-0005-0000-0000-0000DE1B0000}"/>
    <cellStyle name="Input 3 4 4 4" xfId="10049" xr:uid="{00000000-0005-0000-0000-0000DF1B0000}"/>
    <cellStyle name="Input 3 4 4 5" xfId="15457" xr:uid="{00000000-0005-0000-0000-0000E01B0000}"/>
    <cellStyle name="Input 3 4 4 6" xfId="13674" xr:uid="{00000000-0005-0000-0000-0000E11B0000}"/>
    <cellStyle name="Input 3 4 5" xfId="4713" xr:uid="{00000000-0005-0000-0000-0000E21B0000}"/>
    <cellStyle name="Input 3 4 5 2" xfId="8394" xr:uid="{00000000-0005-0000-0000-0000E31B0000}"/>
    <cellStyle name="Input 3 4 5 2 2" xfId="12362" xr:uid="{00000000-0005-0000-0000-0000E41B0000}"/>
    <cellStyle name="Input 3 4 5 2 3" xfId="18531" xr:uid="{00000000-0005-0000-0000-0000E51B0000}"/>
    <cellStyle name="Input 3 4 5 2 4" xfId="21912" xr:uid="{00000000-0005-0000-0000-0000E61B0000}"/>
    <cellStyle name="Input 3 4 5 3" xfId="6686" xr:uid="{00000000-0005-0000-0000-0000E71B0000}"/>
    <cellStyle name="Input 3 4 5 3 2" xfId="17240" xr:uid="{00000000-0005-0000-0000-0000E81B0000}"/>
    <cellStyle name="Input 3 4 5 3 3" xfId="20204" xr:uid="{00000000-0005-0000-0000-0000E91B0000}"/>
    <cellStyle name="Input 3 4 5 4" xfId="10226" xr:uid="{00000000-0005-0000-0000-0000EA1B0000}"/>
    <cellStyle name="Input 3 4 5 5" xfId="15731" xr:uid="{00000000-0005-0000-0000-0000EB1B0000}"/>
    <cellStyle name="Input 3 4 5 6" xfId="13292" xr:uid="{00000000-0005-0000-0000-0000EC1B0000}"/>
    <cellStyle name="Input 3 4 6" xfId="6918" xr:uid="{00000000-0005-0000-0000-0000ED1B0000}"/>
    <cellStyle name="Input 3 4 6 2" xfId="8626" xr:uid="{00000000-0005-0000-0000-0000EE1B0000}"/>
    <cellStyle name="Input 3 4 6 2 2" xfId="12594" xr:uid="{00000000-0005-0000-0000-0000EF1B0000}"/>
    <cellStyle name="Input 3 4 6 2 3" xfId="18702" xr:uid="{00000000-0005-0000-0000-0000F01B0000}"/>
    <cellStyle name="Input 3 4 6 2 4" xfId="22144" xr:uid="{00000000-0005-0000-0000-0000F11B0000}"/>
    <cellStyle name="Input 3 4 6 3" xfId="11052" xr:uid="{00000000-0005-0000-0000-0000F21B0000}"/>
    <cellStyle name="Input 3 4 6 4" xfId="17410" xr:uid="{00000000-0005-0000-0000-0000F31B0000}"/>
    <cellStyle name="Input 3 4 6 5" xfId="20436" xr:uid="{00000000-0005-0000-0000-0000F41B0000}"/>
    <cellStyle name="Input 3 4 7" xfId="5906" xr:uid="{00000000-0005-0000-0000-0000F51B0000}"/>
    <cellStyle name="Input 3 4 7 2" xfId="10647" xr:uid="{00000000-0005-0000-0000-0000F61B0000}"/>
    <cellStyle name="Input 3 4 7 3" xfId="16648" xr:uid="{00000000-0005-0000-0000-0000F71B0000}"/>
    <cellStyle name="Input 3 4 7 4" xfId="19424" xr:uid="{00000000-0005-0000-0000-0000F81B0000}"/>
    <cellStyle name="Input 3 4 8" xfId="7614" xr:uid="{00000000-0005-0000-0000-0000F91B0000}"/>
    <cellStyle name="Input 3 4 8 2" xfId="11635" xr:uid="{00000000-0005-0000-0000-0000FA1B0000}"/>
    <cellStyle name="Input 3 4 8 3" xfId="17940" xr:uid="{00000000-0005-0000-0000-0000FB1B0000}"/>
    <cellStyle name="Input 3 4 8 4" xfId="21132" xr:uid="{00000000-0005-0000-0000-0000FC1B0000}"/>
    <cellStyle name="Input 3 4 9" xfId="5001" xr:uid="{00000000-0005-0000-0000-0000FD1B0000}"/>
    <cellStyle name="Input 3 4 9 2" xfId="15963" xr:uid="{00000000-0005-0000-0000-0000FE1B0000}"/>
    <cellStyle name="Input 3 4 9 3" xfId="13018" xr:uid="{00000000-0005-0000-0000-0000FF1B0000}"/>
    <cellStyle name="Input 3 5" xfId="3022" xr:uid="{00000000-0005-0000-0000-0000001C0000}"/>
    <cellStyle name="Input 3 5 2" xfId="3409" xr:uid="{00000000-0005-0000-0000-0000011C0000}"/>
    <cellStyle name="Input 3 5 2 2" xfId="7229" xr:uid="{00000000-0005-0000-0000-0000021C0000}"/>
    <cellStyle name="Input 3 5 2 2 2" xfId="17632" xr:uid="{00000000-0005-0000-0000-0000031C0000}"/>
    <cellStyle name="Input 3 5 2 2 3" xfId="20747" xr:uid="{00000000-0005-0000-0000-0000041C0000}"/>
    <cellStyle name="Input 3 5 2 3" xfId="9527" xr:uid="{00000000-0005-0000-0000-0000051C0000}"/>
    <cellStyle name="Input 3 5 2 4" xfId="14780" xr:uid="{00000000-0005-0000-0000-0000061C0000}"/>
    <cellStyle name="Input 3 5 2 5" xfId="15564" xr:uid="{00000000-0005-0000-0000-0000071C0000}"/>
    <cellStyle name="Input 3 5 3" xfId="3792" xr:uid="{00000000-0005-0000-0000-0000081C0000}"/>
    <cellStyle name="Input 3 5 3 2" xfId="15056" xr:uid="{00000000-0005-0000-0000-0000091C0000}"/>
    <cellStyle name="Input 3 5 3 3" xfId="17506" xr:uid="{00000000-0005-0000-0000-00000A1C0000}"/>
    <cellStyle name="Input 3 5 4" xfId="4175" xr:uid="{00000000-0005-0000-0000-00000B1C0000}"/>
    <cellStyle name="Input 3 5 4 2" xfId="15331" xr:uid="{00000000-0005-0000-0000-00000C1C0000}"/>
    <cellStyle name="Input 3 5 4 3" xfId="13830" xr:uid="{00000000-0005-0000-0000-00000D1C0000}"/>
    <cellStyle name="Input 3 5 5" xfId="4557" xr:uid="{00000000-0005-0000-0000-00000E1C0000}"/>
    <cellStyle name="Input 3 5 5 2" xfId="15605" xr:uid="{00000000-0005-0000-0000-00000F1C0000}"/>
    <cellStyle name="Input 3 5 5 3" xfId="13448" xr:uid="{00000000-0005-0000-0000-0000101C0000}"/>
    <cellStyle name="Input 3 5 6" xfId="5520" xr:uid="{00000000-0005-0000-0000-0000111C0000}"/>
    <cellStyle name="Input 3 5 6 2" xfId="16341" xr:uid="{00000000-0005-0000-0000-0000121C0000}"/>
    <cellStyle name="Input 3 5 6 3" xfId="19038" xr:uid="{00000000-0005-0000-0000-0000131C0000}"/>
    <cellStyle name="Input 3 5 7" xfId="9164" xr:uid="{00000000-0005-0000-0000-0000141C0000}"/>
    <cellStyle name="Input 3 5 8" xfId="14500" xr:uid="{00000000-0005-0000-0000-0000151C0000}"/>
    <cellStyle name="Input 3 5 9" xfId="15230" xr:uid="{00000000-0005-0000-0000-0000161C0000}"/>
    <cellStyle name="Input 3 6" xfId="6187" xr:uid="{00000000-0005-0000-0000-0000171C0000}"/>
    <cellStyle name="Input 3 6 2" xfId="7895" xr:uid="{00000000-0005-0000-0000-0000181C0000}"/>
    <cellStyle name="Input 3 6 2 2" xfId="11882" xr:uid="{00000000-0005-0000-0000-0000191C0000}"/>
    <cellStyle name="Input 3 6 2 3" xfId="18150" xr:uid="{00000000-0005-0000-0000-00001A1C0000}"/>
    <cellStyle name="Input 3 6 2 4" xfId="21413" xr:uid="{00000000-0005-0000-0000-00001B1C0000}"/>
    <cellStyle name="Input 3 6 3" xfId="10839" xr:uid="{00000000-0005-0000-0000-00001C1C0000}"/>
    <cellStyle name="Input 3 6 4" xfId="16858" xr:uid="{00000000-0005-0000-0000-00001D1C0000}"/>
    <cellStyle name="Input 3 6 5" xfId="19705" xr:uid="{00000000-0005-0000-0000-00001E1C0000}"/>
    <cellStyle name="Input 3 7" xfId="5424" xr:uid="{00000000-0005-0000-0000-00001F1C0000}"/>
    <cellStyle name="Input 3 7 2" xfId="7133" xr:uid="{00000000-0005-0000-0000-0000201C0000}"/>
    <cellStyle name="Input 3 7 2 2" xfId="11267" xr:uid="{00000000-0005-0000-0000-0000211C0000}"/>
    <cellStyle name="Input 3 7 2 3" xfId="17552" xr:uid="{00000000-0005-0000-0000-0000221C0000}"/>
    <cellStyle name="Input 3 7 2 4" xfId="20651" xr:uid="{00000000-0005-0000-0000-0000231C0000}"/>
    <cellStyle name="Input 3 7 3" xfId="10441" xr:uid="{00000000-0005-0000-0000-0000241C0000}"/>
    <cellStyle name="Input 3 7 4" xfId="16262" xr:uid="{00000000-0005-0000-0000-0000251C0000}"/>
    <cellStyle name="Input 3 7 5" xfId="18942" xr:uid="{00000000-0005-0000-0000-0000261C0000}"/>
    <cellStyle name="Input 3 8" xfId="6356" xr:uid="{00000000-0005-0000-0000-0000271C0000}"/>
    <cellStyle name="Input 3 8 2" xfId="8064" xr:uid="{00000000-0005-0000-0000-0000281C0000}"/>
    <cellStyle name="Input 3 8 2 2" xfId="12034" xr:uid="{00000000-0005-0000-0000-0000291C0000}"/>
    <cellStyle name="Input 3 8 2 3" xfId="18271" xr:uid="{00000000-0005-0000-0000-00002A1C0000}"/>
    <cellStyle name="Input 3 8 2 4" xfId="21582" xr:uid="{00000000-0005-0000-0000-00002B1C0000}"/>
    <cellStyle name="Input 3 8 3" xfId="10887" xr:uid="{00000000-0005-0000-0000-00002C1C0000}"/>
    <cellStyle name="Input 3 8 4" xfId="16980" xr:uid="{00000000-0005-0000-0000-00002D1C0000}"/>
    <cellStyle name="Input 3 8 5" xfId="19874" xr:uid="{00000000-0005-0000-0000-00002E1C0000}"/>
    <cellStyle name="Input 3 9" xfId="5497" xr:uid="{00000000-0005-0000-0000-00002F1C0000}"/>
    <cellStyle name="Input 3 9 2" xfId="7206" xr:uid="{00000000-0005-0000-0000-0000301C0000}"/>
    <cellStyle name="Input 3 9 2 2" xfId="11332" xr:uid="{00000000-0005-0000-0000-0000311C0000}"/>
    <cellStyle name="Input 3 9 2 3" xfId="17612" xr:uid="{00000000-0005-0000-0000-0000321C0000}"/>
    <cellStyle name="Input 3 9 2 4" xfId="20724" xr:uid="{00000000-0005-0000-0000-0000331C0000}"/>
    <cellStyle name="Input 3 9 3" xfId="10479" xr:uid="{00000000-0005-0000-0000-0000341C0000}"/>
    <cellStyle name="Input 3 9 4" xfId="16321" xr:uid="{00000000-0005-0000-0000-0000351C0000}"/>
    <cellStyle name="Input 3 9 5" xfId="19015" xr:uid="{00000000-0005-0000-0000-0000361C0000}"/>
    <cellStyle name="Input 4" xfId="3006" xr:uid="{00000000-0005-0000-0000-0000371C0000}"/>
    <cellStyle name="Input 4 2" xfId="3393" xr:uid="{00000000-0005-0000-0000-0000381C0000}"/>
    <cellStyle name="Input 4 2 2" xfId="14769" xr:uid="{00000000-0005-0000-0000-0000391C0000}"/>
    <cellStyle name="Input 4 2 3" xfId="18353" xr:uid="{00000000-0005-0000-0000-00003A1C0000}"/>
    <cellStyle name="Input 4 3" xfId="3776" xr:uid="{00000000-0005-0000-0000-00003B1C0000}"/>
    <cellStyle name="Input 4 3 2" xfId="15045" xr:uid="{00000000-0005-0000-0000-00003C1C0000}"/>
    <cellStyle name="Input 4 3 3" xfId="15552" xr:uid="{00000000-0005-0000-0000-00003D1C0000}"/>
    <cellStyle name="Input 4 4" xfId="4159" xr:uid="{00000000-0005-0000-0000-00003E1C0000}"/>
    <cellStyle name="Input 4 4 2" xfId="15320" xr:uid="{00000000-0005-0000-0000-00003F1C0000}"/>
    <cellStyle name="Input 4 4 3" xfId="13846" xr:uid="{00000000-0005-0000-0000-0000401C0000}"/>
    <cellStyle name="Input 4 5" xfId="4541" xr:uid="{00000000-0005-0000-0000-0000411C0000}"/>
    <cellStyle name="Input 4 5 2" xfId="15594" xr:uid="{00000000-0005-0000-0000-0000421C0000}"/>
    <cellStyle name="Input 4 5 3" xfId="13464" xr:uid="{00000000-0005-0000-0000-0000431C0000}"/>
    <cellStyle name="Input 4 6" xfId="14489" xr:uid="{00000000-0005-0000-0000-0000441C0000}"/>
    <cellStyle name="Input 4 7" xfId="15272" xr:uid="{00000000-0005-0000-0000-0000451C0000}"/>
    <cellStyle name="Input 5" xfId="3085" xr:uid="{00000000-0005-0000-0000-0000461C0000}"/>
    <cellStyle name="Input 5 2" xfId="3472" xr:uid="{00000000-0005-0000-0000-0000471C0000}"/>
    <cellStyle name="Input 5 2 2" xfId="14829" xr:uid="{00000000-0005-0000-0000-0000481C0000}"/>
    <cellStyle name="Input 5 2 3" xfId="14718" xr:uid="{00000000-0005-0000-0000-0000491C0000}"/>
    <cellStyle name="Input 5 3" xfId="3855" xr:uid="{00000000-0005-0000-0000-00004A1C0000}"/>
    <cellStyle name="Input 5 3 2" xfId="15105" xr:uid="{00000000-0005-0000-0000-00004B1C0000}"/>
    <cellStyle name="Input 5 3 3" xfId="14175" xr:uid="{00000000-0005-0000-0000-00004C1C0000}"/>
    <cellStyle name="Input 5 4" xfId="4238" xr:uid="{00000000-0005-0000-0000-00004D1C0000}"/>
    <cellStyle name="Input 5 4 2" xfId="15380" xr:uid="{00000000-0005-0000-0000-00004E1C0000}"/>
    <cellStyle name="Input 5 4 3" xfId="13767" xr:uid="{00000000-0005-0000-0000-00004F1C0000}"/>
    <cellStyle name="Input 5 5" xfId="4620" xr:uid="{00000000-0005-0000-0000-0000501C0000}"/>
    <cellStyle name="Input 5 5 2" xfId="15654" xr:uid="{00000000-0005-0000-0000-0000511C0000}"/>
    <cellStyle name="Input 5 5 3" xfId="13385" xr:uid="{00000000-0005-0000-0000-0000521C0000}"/>
    <cellStyle name="Input 5 6" xfId="14549" xr:uid="{00000000-0005-0000-0000-0000531C0000}"/>
    <cellStyle name="Input 5 7" xfId="17527" xr:uid="{00000000-0005-0000-0000-0000541C0000}"/>
    <cellStyle name="Input 6" xfId="22385" xr:uid="{00000000-0005-0000-0000-0000551C0000}"/>
    <cellStyle name="Input 7" xfId="2066" xr:uid="{00000000-0005-0000-0000-0000561C0000}"/>
    <cellStyle name="Linked Cell" xfId="286" xr:uid="{00000000-0005-0000-0000-0000571C0000}"/>
    <cellStyle name="material" xfId="287" xr:uid="{00000000-0005-0000-0000-0000581C0000}"/>
    <cellStyle name="material 2" xfId="288" xr:uid="{00000000-0005-0000-0000-0000591C0000}"/>
    <cellStyle name="material 2 2" xfId="26694" xr:uid="{00000000-0005-0000-0000-00005A1C0000}"/>
    <cellStyle name="material 3" xfId="26695" xr:uid="{00000000-0005-0000-0000-00005B1C0000}"/>
    <cellStyle name="material 4" xfId="26696" xr:uid="{00000000-0005-0000-0000-00005C1C0000}"/>
    <cellStyle name="MINIPG" xfId="26697" xr:uid="{00000000-0005-0000-0000-00005D1C0000}"/>
    <cellStyle name="Moeda" xfId="26673" builtinId="4"/>
    <cellStyle name="Moeda 10" xfId="289" xr:uid="{00000000-0005-0000-0000-00005F1C0000}"/>
    <cellStyle name="Moeda 10 2" xfId="290" xr:uid="{00000000-0005-0000-0000-0000601C0000}"/>
    <cellStyle name="Moeda 10 2 2" xfId="291" xr:uid="{00000000-0005-0000-0000-0000611C0000}"/>
    <cellStyle name="Moeda 10 2 2 2" xfId="22616" xr:uid="{00000000-0005-0000-0000-0000621C0000}"/>
    <cellStyle name="Moeda 10 2 2 2 2" xfId="23172" xr:uid="{00000000-0005-0000-0000-0000631C0000}"/>
    <cellStyle name="Moeda 10 2 2 2 2 2" xfId="24059" xr:uid="{00000000-0005-0000-0000-0000641C0000}"/>
    <cellStyle name="Moeda 10 2 2 2 2 2 2" xfId="25835" xr:uid="{00000000-0005-0000-0000-0000651C0000}"/>
    <cellStyle name="Moeda 10 2 2 2 2 3" xfId="24947" xr:uid="{00000000-0005-0000-0000-0000661C0000}"/>
    <cellStyle name="Moeda 10 2 2 2 3" xfId="23556" xr:uid="{00000000-0005-0000-0000-0000671C0000}"/>
    <cellStyle name="Moeda 10 2 2 2 3 2" xfId="25332" xr:uid="{00000000-0005-0000-0000-0000681C0000}"/>
    <cellStyle name="Moeda 10 2 2 2 4" xfId="24444" xr:uid="{00000000-0005-0000-0000-0000691C0000}"/>
    <cellStyle name="Moeda 10 2 2 3" xfId="2567" xr:uid="{00000000-0005-0000-0000-00006A1C0000}"/>
    <cellStyle name="Moeda 10 2 3" xfId="2569" xr:uid="{00000000-0005-0000-0000-00006B1C0000}"/>
    <cellStyle name="Moeda 10 2 3 2" xfId="22309" xr:uid="{00000000-0005-0000-0000-00006C1C0000}"/>
    <cellStyle name="Moeda 10 2 3 2 2" xfId="22647" xr:uid="{00000000-0005-0000-0000-00006D1C0000}"/>
    <cellStyle name="Moeda 10 2 3 2 2 2" xfId="23203" xr:uid="{00000000-0005-0000-0000-00006E1C0000}"/>
    <cellStyle name="Moeda 10 2 3 2 2 2 2" xfId="24090" xr:uid="{00000000-0005-0000-0000-00006F1C0000}"/>
    <cellStyle name="Moeda 10 2 3 2 2 2 2 2" xfId="25866" xr:uid="{00000000-0005-0000-0000-0000701C0000}"/>
    <cellStyle name="Moeda 10 2 3 2 2 2 3" xfId="24978" xr:uid="{00000000-0005-0000-0000-0000711C0000}"/>
    <cellStyle name="Moeda 10 2 3 2 2 3" xfId="23587" xr:uid="{00000000-0005-0000-0000-0000721C0000}"/>
    <cellStyle name="Moeda 10 2 3 2 2 3 2" xfId="25363" xr:uid="{00000000-0005-0000-0000-0000731C0000}"/>
    <cellStyle name="Moeda 10 2 3 2 2 4" xfId="24475" xr:uid="{00000000-0005-0000-0000-0000741C0000}"/>
    <cellStyle name="Moeda 10 2 3 3" xfId="22331" xr:uid="{00000000-0005-0000-0000-0000751C0000}"/>
    <cellStyle name="Moeda 10 2 3 3 2" xfId="22370" xr:uid="{00000000-0005-0000-0000-0000761C0000}"/>
    <cellStyle name="Moeda 10 2 3 3 2 2" xfId="22670" xr:uid="{00000000-0005-0000-0000-0000771C0000}"/>
    <cellStyle name="Moeda 10 2 3 3 2 2 2" xfId="23226" xr:uid="{00000000-0005-0000-0000-0000781C0000}"/>
    <cellStyle name="Moeda 10 2 3 3 2 2 2 2" xfId="24113" xr:uid="{00000000-0005-0000-0000-0000791C0000}"/>
    <cellStyle name="Moeda 10 2 3 3 2 2 2 2 2" xfId="25889" xr:uid="{00000000-0005-0000-0000-00007A1C0000}"/>
    <cellStyle name="Moeda 10 2 3 3 2 2 2 3" xfId="25001" xr:uid="{00000000-0005-0000-0000-00007B1C0000}"/>
    <cellStyle name="Moeda 10 2 3 3 2 2 3" xfId="23610" xr:uid="{00000000-0005-0000-0000-00007C1C0000}"/>
    <cellStyle name="Moeda 10 2 3 3 2 2 3 2" xfId="25386" xr:uid="{00000000-0005-0000-0000-00007D1C0000}"/>
    <cellStyle name="Moeda 10 2 3 3 2 2 4" xfId="24498" xr:uid="{00000000-0005-0000-0000-00007E1C0000}"/>
    <cellStyle name="Moeda 10 2 3 3 3" xfId="22408" xr:uid="{00000000-0005-0000-0000-00007F1C0000}"/>
    <cellStyle name="Moeda 10 2 3 3 3 2" xfId="22682" xr:uid="{00000000-0005-0000-0000-0000801C0000}"/>
    <cellStyle name="Moeda 10 2 3 3 3 2 2" xfId="23233" xr:uid="{00000000-0005-0000-0000-0000811C0000}"/>
    <cellStyle name="Moeda 10 2 3 3 3 2 2 2" xfId="24120" xr:uid="{00000000-0005-0000-0000-0000821C0000}"/>
    <cellStyle name="Moeda 10 2 3 3 3 2 2 2 2" xfId="25896" xr:uid="{00000000-0005-0000-0000-0000831C0000}"/>
    <cellStyle name="Moeda 10 2 3 3 3 2 2 3" xfId="25008" xr:uid="{00000000-0005-0000-0000-0000841C0000}"/>
    <cellStyle name="Moeda 10 2 3 3 3 2 3" xfId="23617" xr:uid="{00000000-0005-0000-0000-0000851C0000}"/>
    <cellStyle name="Moeda 10 2 3 3 3 2 3 2" xfId="25393" xr:uid="{00000000-0005-0000-0000-0000861C0000}"/>
    <cellStyle name="Moeda 10 2 3 3 3 2 4" xfId="24505" xr:uid="{00000000-0005-0000-0000-0000871C0000}"/>
    <cellStyle name="Moeda 10 2 3 3 4" xfId="22655" xr:uid="{00000000-0005-0000-0000-0000881C0000}"/>
    <cellStyle name="Moeda 10 2 3 3 4 2" xfId="23211" xr:uid="{00000000-0005-0000-0000-0000891C0000}"/>
    <cellStyle name="Moeda 10 2 3 3 4 2 2" xfId="24098" xr:uid="{00000000-0005-0000-0000-00008A1C0000}"/>
    <cellStyle name="Moeda 10 2 3 3 4 2 2 2" xfId="25874" xr:uid="{00000000-0005-0000-0000-00008B1C0000}"/>
    <cellStyle name="Moeda 10 2 3 3 4 2 3" xfId="24986" xr:uid="{00000000-0005-0000-0000-00008C1C0000}"/>
    <cellStyle name="Moeda 10 2 3 3 4 3" xfId="23595" xr:uid="{00000000-0005-0000-0000-00008D1C0000}"/>
    <cellStyle name="Moeda 10 2 3 3 4 3 2" xfId="25371" xr:uid="{00000000-0005-0000-0000-00008E1C0000}"/>
    <cellStyle name="Moeda 10 2 3 3 4 4" xfId="24483" xr:uid="{00000000-0005-0000-0000-00008F1C0000}"/>
    <cellStyle name="Moeda 10 2 3 4" xfId="22347" xr:uid="{00000000-0005-0000-0000-0000901C0000}"/>
    <cellStyle name="Moeda 10 2 3 4 2" xfId="22661" xr:uid="{00000000-0005-0000-0000-0000911C0000}"/>
    <cellStyle name="Moeda 10 2 3 4 2 2" xfId="23217" xr:uid="{00000000-0005-0000-0000-0000921C0000}"/>
    <cellStyle name="Moeda 10 2 3 4 2 2 2" xfId="24104" xr:uid="{00000000-0005-0000-0000-0000931C0000}"/>
    <cellStyle name="Moeda 10 2 3 4 2 2 2 2" xfId="25880" xr:uid="{00000000-0005-0000-0000-0000941C0000}"/>
    <cellStyle name="Moeda 10 2 3 4 2 2 3" xfId="24992" xr:uid="{00000000-0005-0000-0000-0000951C0000}"/>
    <cellStyle name="Moeda 10 2 3 4 2 3" xfId="23601" xr:uid="{00000000-0005-0000-0000-0000961C0000}"/>
    <cellStyle name="Moeda 10 2 3 4 2 3 2" xfId="25377" xr:uid="{00000000-0005-0000-0000-0000971C0000}"/>
    <cellStyle name="Moeda 10 2 3 4 2 4" xfId="24489" xr:uid="{00000000-0005-0000-0000-0000981C0000}"/>
    <cellStyle name="Moeda 10 2 3 5" xfId="22293" xr:uid="{00000000-0005-0000-0000-0000991C0000}"/>
    <cellStyle name="Moeda 10 2 3 5 2" xfId="22641" xr:uid="{00000000-0005-0000-0000-00009A1C0000}"/>
    <cellStyle name="Moeda 10 2 3 5 2 2" xfId="23197" xr:uid="{00000000-0005-0000-0000-00009B1C0000}"/>
    <cellStyle name="Moeda 10 2 3 5 2 2 2" xfId="24084" xr:uid="{00000000-0005-0000-0000-00009C1C0000}"/>
    <cellStyle name="Moeda 10 2 3 5 2 2 2 2" xfId="25860" xr:uid="{00000000-0005-0000-0000-00009D1C0000}"/>
    <cellStyle name="Moeda 10 2 3 5 2 2 3" xfId="24972" xr:uid="{00000000-0005-0000-0000-00009E1C0000}"/>
    <cellStyle name="Moeda 10 2 3 5 2 3" xfId="23581" xr:uid="{00000000-0005-0000-0000-00009F1C0000}"/>
    <cellStyle name="Moeda 10 2 3 5 2 3 2" xfId="25357" xr:uid="{00000000-0005-0000-0000-0000A01C0000}"/>
    <cellStyle name="Moeda 10 2 3 5 2 4" xfId="24469" xr:uid="{00000000-0005-0000-0000-0000A11C0000}"/>
    <cellStyle name="Moeda 10 2 3 6" xfId="22617" xr:uid="{00000000-0005-0000-0000-0000A21C0000}"/>
    <cellStyle name="Moeda 10 2 3 6 2" xfId="23173" xr:uid="{00000000-0005-0000-0000-0000A31C0000}"/>
    <cellStyle name="Moeda 10 2 3 6 2 2" xfId="24060" xr:uid="{00000000-0005-0000-0000-0000A41C0000}"/>
    <cellStyle name="Moeda 10 2 3 6 2 2 2" xfId="25836" xr:uid="{00000000-0005-0000-0000-0000A51C0000}"/>
    <cellStyle name="Moeda 10 2 3 6 2 3" xfId="24948" xr:uid="{00000000-0005-0000-0000-0000A61C0000}"/>
    <cellStyle name="Moeda 10 2 3 6 3" xfId="23557" xr:uid="{00000000-0005-0000-0000-0000A71C0000}"/>
    <cellStyle name="Moeda 10 2 3 6 3 2" xfId="25333" xr:uid="{00000000-0005-0000-0000-0000A81C0000}"/>
    <cellStyle name="Moeda 10 2 3 6 4" xfId="24445" xr:uid="{00000000-0005-0000-0000-0000A91C0000}"/>
    <cellStyle name="Moeda 10 2 4" xfId="22588" xr:uid="{00000000-0005-0000-0000-0000AA1C0000}"/>
    <cellStyle name="Moeda 10 2 4 2" xfId="23144" xr:uid="{00000000-0005-0000-0000-0000AB1C0000}"/>
    <cellStyle name="Moeda 10 2 4 2 2" xfId="24031" xr:uid="{00000000-0005-0000-0000-0000AC1C0000}"/>
    <cellStyle name="Moeda 10 2 4 2 2 2" xfId="25807" xr:uid="{00000000-0005-0000-0000-0000AD1C0000}"/>
    <cellStyle name="Moeda 10 2 4 2 3" xfId="24919" xr:uid="{00000000-0005-0000-0000-0000AE1C0000}"/>
    <cellStyle name="Moeda 10 2 4 3" xfId="23528" xr:uid="{00000000-0005-0000-0000-0000AF1C0000}"/>
    <cellStyle name="Moeda 10 2 4 3 2" xfId="25304" xr:uid="{00000000-0005-0000-0000-0000B01C0000}"/>
    <cellStyle name="Moeda 10 2 4 4" xfId="24416" xr:uid="{00000000-0005-0000-0000-0000B11C0000}"/>
    <cellStyle name="Moeda 10 2 5" xfId="26032" xr:uid="{00000000-0005-0000-0000-0000B21C0000}"/>
    <cellStyle name="Moeda 10 2 6" xfId="2480" xr:uid="{00000000-0005-0000-0000-0000B31C0000}"/>
    <cellStyle name="Moeda 10 3" xfId="22567" xr:uid="{00000000-0005-0000-0000-0000B41C0000}"/>
    <cellStyle name="Moeda 10 3 2" xfId="23123" xr:uid="{00000000-0005-0000-0000-0000B51C0000}"/>
    <cellStyle name="Moeda 10 3 2 2" xfId="24010" xr:uid="{00000000-0005-0000-0000-0000B61C0000}"/>
    <cellStyle name="Moeda 10 3 2 2 2" xfId="25786" xr:uid="{00000000-0005-0000-0000-0000B71C0000}"/>
    <cellStyle name="Moeda 10 3 2 3" xfId="24898" xr:uid="{00000000-0005-0000-0000-0000B81C0000}"/>
    <cellStyle name="Moeda 10 3 3" xfId="23507" xr:uid="{00000000-0005-0000-0000-0000B91C0000}"/>
    <cellStyle name="Moeda 10 3 3 2" xfId="25283" xr:uid="{00000000-0005-0000-0000-0000BA1C0000}"/>
    <cellStyle name="Moeda 10 3 4" xfId="24395" xr:uid="{00000000-0005-0000-0000-0000BB1C0000}"/>
    <cellStyle name="Moeda 10 3 5" xfId="26050" xr:uid="{00000000-0005-0000-0000-0000BC1C0000}"/>
    <cellStyle name="Moeda 10 3 6" xfId="26440" xr:uid="{00000000-0005-0000-0000-0000BD1C0000}"/>
    <cellStyle name="Moeda 10 4" xfId="2443" xr:uid="{00000000-0005-0000-0000-0000BE1C0000}"/>
    <cellStyle name="Moeda 11" xfId="292" xr:uid="{00000000-0005-0000-0000-0000BF1C0000}"/>
    <cellStyle name="Moeda 11 2" xfId="22606" xr:uid="{00000000-0005-0000-0000-0000C01C0000}"/>
    <cellStyle name="Moeda 11 2 2" xfId="23162" xr:uid="{00000000-0005-0000-0000-0000C11C0000}"/>
    <cellStyle name="Moeda 11 2 2 2" xfId="24049" xr:uid="{00000000-0005-0000-0000-0000C21C0000}"/>
    <cellStyle name="Moeda 11 2 2 2 2" xfId="25825" xr:uid="{00000000-0005-0000-0000-0000C31C0000}"/>
    <cellStyle name="Moeda 11 2 2 3" xfId="24937" xr:uid="{00000000-0005-0000-0000-0000C41C0000}"/>
    <cellStyle name="Moeda 11 2 3" xfId="23546" xr:uid="{00000000-0005-0000-0000-0000C51C0000}"/>
    <cellStyle name="Moeda 11 2 3 2" xfId="25322" xr:uid="{00000000-0005-0000-0000-0000C61C0000}"/>
    <cellStyle name="Moeda 11 2 4" xfId="24434" xr:uid="{00000000-0005-0000-0000-0000C71C0000}"/>
    <cellStyle name="Moeda 11 3" xfId="2522" xr:uid="{00000000-0005-0000-0000-0000C81C0000}"/>
    <cellStyle name="Moeda 12" xfId="24131" xr:uid="{00000000-0005-0000-0000-0000C91C0000}"/>
    <cellStyle name="Moeda 12 2" xfId="25907" xr:uid="{00000000-0005-0000-0000-0000CA1C0000}"/>
    <cellStyle name="Moeda 13" xfId="25019" xr:uid="{00000000-0005-0000-0000-0000CB1C0000}"/>
    <cellStyle name="Moeda 14" xfId="26208" xr:uid="{00000000-0005-0000-0000-0000CC1C0000}"/>
    <cellStyle name="Moeda 2" xfId="293" xr:uid="{00000000-0005-0000-0000-0000CD1C0000}"/>
    <cellStyle name="Moeda 2 10" xfId="294" xr:uid="{00000000-0005-0000-0000-0000CE1C0000}"/>
    <cellStyle name="Moeda 2 10 2" xfId="295" xr:uid="{00000000-0005-0000-0000-0000CF1C0000}"/>
    <cellStyle name="Moeda 2 11" xfId="296" xr:uid="{00000000-0005-0000-0000-0000D01C0000}"/>
    <cellStyle name="Moeda 2 11 2" xfId="297" xr:uid="{00000000-0005-0000-0000-0000D11C0000}"/>
    <cellStyle name="Moeda 2 12" xfId="298" xr:uid="{00000000-0005-0000-0000-0000D21C0000}"/>
    <cellStyle name="Moeda 2 12 2" xfId="299" xr:uid="{00000000-0005-0000-0000-0000D31C0000}"/>
    <cellStyle name="Moeda 2 13" xfId="300" xr:uid="{00000000-0005-0000-0000-0000D41C0000}"/>
    <cellStyle name="Moeda 2 13 2" xfId="301" xr:uid="{00000000-0005-0000-0000-0000D51C0000}"/>
    <cellStyle name="Moeda 2 13 2 2" xfId="302" xr:uid="{00000000-0005-0000-0000-0000D61C0000}"/>
    <cellStyle name="Moeda 2 13 3" xfId="303" xr:uid="{00000000-0005-0000-0000-0000D71C0000}"/>
    <cellStyle name="Moeda 2 13 3 2" xfId="304" xr:uid="{00000000-0005-0000-0000-0000D81C0000}"/>
    <cellStyle name="Moeda 2 13 3 2 10" xfId="26322" xr:uid="{00000000-0005-0000-0000-0000D91C0000}"/>
    <cellStyle name="Moeda 2 13 3 2 2" xfId="22455" xr:uid="{00000000-0005-0000-0000-0000DA1C0000}"/>
    <cellStyle name="Moeda 2 13 3 2 2 2" xfId="23011" xr:uid="{00000000-0005-0000-0000-0000DB1C0000}"/>
    <cellStyle name="Moeda 2 13 3 2 2 2 2" xfId="23898" xr:uid="{00000000-0005-0000-0000-0000DC1C0000}"/>
    <cellStyle name="Moeda 2 13 3 2 2 2 2 2" xfId="25674" xr:uid="{00000000-0005-0000-0000-0000DD1C0000}"/>
    <cellStyle name="Moeda 2 13 3 2 2 2 3" xfId="24786" xr:uid="{00000000-0005-0000-0000-0000DE1C0000}"/>
    <cellStyle name="Moeda 2 13 3 2 2 3" xfId="23395" xr:uid="{00000000-0005-0000-0000-0000DF1C0000}"/>
    <cellStyle name="Moeda 2 13 3 2 2 3 2" xfId="25171" xr:uid="{00000000-0005-0000-0000-0000E01C0000}"/>
    <cellStyle name="Moeda 2 13 3 2 2 4" xfId="24283" xr:uid="{00000000-0005-0000-0000-0000E11C0000}"/>
    <cellStyle name="Moeda 2 13 3 2 2 5" xfId="26051" xr:uid="{00000000-0005-0000-0000-0000E21C0000}"/>
    <cellStyle name="Moeda 2 13 3 2 2 6" xfId="26441" xr:uid="{00000000-0005-0000-0000-0000E31C0000}"/>
    <cellStyle name="Moeda 2 13 3 2 3" xfId="22752" xr:uid="{00000000-0005-0000-0000-0000E41C0000}"/>
    <cellStyle name="Moeda 2 13 3 2 3 2" xfId="23639" xr:uid="{00000000-0005-0000-0000-0000E51C0000}"/>
    <cellStyle name="Moeda 2 13 3 2 3 2 2" xfId="25415" xr:uid="{00000000-0005-0000-0000-0000E61C0000}"/>
    <cellStyle name="Moeda 2 13 3 2 3 3" xfId="24527" xr:uid="{00000000-0005-0000-0000-0000E71C0000}"/>
    <cellStyle name="Moeda 2 13 3 2 4" xfId="22871" xr:uid="{00000000-0005-0000-0000-0000E81C0000}"/>
    <cellStyle name="Moeda 2 13 3 2 4 2" xfId="23758" xr:uid="{00000000-0005-0000-0000-0000E91C0000}"/>
    <cellStyle name="Moeda 2 13 3 2 4 2 2" xfId="25534" xr:uid="{00000000-0005-0000-0000-0000EA1C0000}"/>
    <cellStyle name="Moeda 2 13 3 2 4 3" xfId="24646" xr:uid="{00000000-0005-0000-0000-0000EB1C0000}"/>
    <cellStyle name="Moeda 2 13 3 2 5" xfId="23255" xr:uid="{00000000-0005-0000-0000-0000EC1C0000}"/>
    <cellStyle name="Moeda 2 13 3 2 5 2" xfId="25031" xr:uid="{00000000-0005-0000-0000-0000ED1C0000}"/>
    <cellStyle name="Moeda 2 13 3 2 6" xfId="24143" xr:uid="{00000000-0005-0000-0000-0000EE1C0000}"/>
    <cellStyle name="Moeda 2 13 3 2 7" xfId="2328" xr:uid="{00000000-0005-0000-0000-0000EF1C0000}"/>
    <cellStyle name="Moeda 2 13 3 2 8" xfId="25917" xr:uid="{00000000-0005-0000-0000-0000F01C0000}"/>
    <cellStyle name="Moeda 2 13 3 2 9" xfId="2185" xr:uid="{00000000-0005-0000-0000-0000F11C0000}"/>
    <cellStyle name="Moeda 2 13 4" xfId="305" xr:uid="{00000000-0005-0000-0000-0000F21C0000}"/>
    <cellStyle name="Moeda 2 13 4 10" xfId="26323" xr:uid="{00000000-0005-0000-0000-0000F31C0000}"/>
    <cellStyle name="Moeda 2 13 4 2" xfId="22454" xr:uid="{00000000-0005-0000-0000-0000F41C0000}"/>
    <cellStyle name="Moeda 2 13 4 2 2" xfId="23010" xr:uid="{00000000-0005-0000-0000-0000F51C0000}"/>
    <cellStyle name="Moeda 2 13 4 2 2 2" xfId="23897" xr:uid="{00000000-0005-0000-0000-0000F61C0000}"/>
    <cellStyle name="Moeda 2 13 4 2 2 2 2" xfId="25673" xr:uid="{00000000-0005-0000-0000-0000F71C0000}"/>
    <cellStyle name="Moeda 2 13 4 2 2 3" xfId="24785" xr:uid="{00000000-0005-0000-0000-0000F81C0000}"/>
    <cellStyle name="Moeda 2 13 4 2 3" xfId="23394" xr:uid="{00000000-0005-0000-0000-0000F91C0000}"/>
    <cellStyle name="Moeda 2 13 4 2 3 2" xfId="25170" xr:uid="{00000000-0005-0000-0000-0000FA1C0000}"/>
    <cellStyle name="Moeda 2 13 4 2 4" xfId="24282" xr:uid="{00000000-0005-0000-0000-0000FB1C0000}"/>
    <cellStyle name="Moeda 2 13 4 2 5" xfId="26052" xr:uid="{00000000-0005-0000-0000-0000FC1C0000}"/>
    <cellStyle name="Moeda 2 13 4 2 6" xfId="26442" xr:uid="{00000000-0005-0000-0000-0000FD1C0000}"/>
    <cellStyle name="Moeda 2 13 4 3" xfId="22751" xr:uid="{00000000-0005-0000-0000-0000FE1C0000}"/>
    <cellStyle name="Moeda 2 13 4 3 2" xfId="23638" xr:uid="{00000000-0005-0000-0000-0000FF1C0000}"/>
    <cellStyle name="Moeda 2 13 4 3 2 2" xfId="25414" xr:uid="{00000000-0005-0000-0000-0000001D0000}"/>
    <cellStyle name="Moeda 2 13 4 3 3" xfId="24526" xr:uid="{00000000-0005-0000-0000-0000011D0000}"/>
    <cellStyle name="Moeda 2 13 4 4" xfId="22870" xr:uid="{00000000-0005-0000-0000-0000021D0000}"/>
    <cellStyle name="Moeda 2 13 4 4 2" xfId="23757" xr:uid="{00000000-0005-0000-0000-0000031D0000}"/>
    <cellStyle name="Moeda 2 13 4 4 2 2" xfId="25533" xr:uid="{00000000-0005-0000-0000-0000041D0000}"/>
    <cellStyle name="Moeda 2 13 4 4 3" xfId="24645" xr:uid="{00000000-0005-0000-0000-0000051D0000}"/>
    <cellStyle name="Moeda 2 13 4 5" xfId="23254" xr:uid="{00000000-0005-0000-0000-0000061D0000}"/>
    <cellStyle name="Moeda 2 13 4 5 2" xfId="25030" xr:uid="{00000000-0005-0000-0000-0000071D0000}"/>
    <cellStyle name="Moeda 2 13 4 6" xfId="24142" xr:uid="{00000000-0005-0000-0000-0000081D0000}"/>
    <cellStyle name="Moeda 2 13 4 7" xfId="2327" xr:uid="{00000000-0005-0000-0000-0000091D0000}"/>
    <cellStyle name="Moeda 2 13 4 8" xfId="25918" xr:uid="{00000000-0005-0000-0000-00000A1D0000}"/>
    <cellStyle name="Moeda 2 13 4 9" xfId="2184" xr:uid="{00000000-0005-0000-0000-00000B1D0000}"/>
    <cellStyle name="Moeda 2 14" xfId="306" xr:uid="{00000000-0005-0000-0000-00000C1D0000}"/>
    <cellStyle name="Moeda 2 14 2" xfId="307" xr:uid="{00000000-0005-0000-0000-00000D1D0000}"/>
    <cellStyle name="Moeda 2 15" xfId="308" xr:uid="{00000000-0005-0000-0000-00000E1D0000}"/>
    <cellStyle name="Moeda 2 15 2" xfId="309" xr:uid="{00000000-0005-0000-0000-00000F1D0000}"/>
    <cellStyle name="Moeda 2 16" xfId="310" xr:uid="{00000000-0005-0000-0000-0000101D0000}"/>
    <cellStyle name="Moeda 2 16 2" xfId="311" xr:uid="{00000000-0005-0000-0000-0000111D0000}"/>
    <cellStyle name="Moeda 2 17" xfId="312" xr:uid="{00000000-0005-0000-0000-0000121D0000}"/>
    <cellStyle name="Moeda 2 17 2" xfId="313" xr:uid="{00000000-0005-0000-0000-0000131D0000}"/>
    <cellStyle name="Moeda 2 18" xfId="314" xr:uid="{00000000-0005-0000-0000-0000141D0000}"/>
    <cellStyle name="Moeda 2 18 2" xfId="315" xr:uid="{00000000-0005-0000-0000-0000151D0000}"/>
    <cellStyle name="Moeda 2 19" xfId="316" xr:uid="{00000000-0005-0000-0000-0000161D0000}"/>
    <cellStyle name="Moeda 2 19 2" xfId="317" xr:uid="{00000000-0005-0000-0000-0000171D0000}"/>
    <cellStyle name="Moeda 2 2" xfId="318" xr:uid="{00000000-0005-0000-0000-0000181D0000}"/>
    <cellStyle name="Moeda 2 2 10" xfId="319" xr:uid="{00000000-0005-0000-0000-0000191D0000}"/>
    <cellStyle name="Moeda 2 2 10 2" xfId="320" xr:uid="{00000000-0005-0000-0000-00001A1D0000}"/>
    <cellStyle name="Moeda 2 2 11" xfId="321" xr:uid="{00000000-0005-0000-0000-00001B1D0000}"/>
    <cellStyle name="Moeda 2 2 12" xfId="322" xr:uid="{00000000-0005-0000-0000-00001C1D0000}"/>
    <cellStyle name="Moeda 2 2 2" xfId="323" xr:uid="{00000000-0005-0000-0000-00001D1D0000}"/>
    <cellStyle name="Moeda 2 2 2 2" xfId="324" xr:uid="{00000000-0005-0000-0000-00001E1D0000}"/>
    <cellStyle name="Moeda 2 2 3" xfId="325" xr:uid="{00000000-0005-0000-0000-00001F1D0000}"/>
    <cellStyle name="Moeda 2 2 3 2" xfId="326" xr:uid="{00000000-0005-0000-0000-0000201D0000}"/>
    <cellStyle name="Moeda 2 2 4" xfId="327" xr:uid="{00000000-0005-0000-0000-0000211D0000}"/>
    <cellStyle name="Moeda 2 2 4 2" xfId="328" xr:uid="{00000000-0005-0000-0000-0000221D0000}"/>
    <cellStyle name="Moeda 2 2 5" xfId="329" xr:uid="{00000000-0005-0000-0000-0000231D0000}"/>
    <cellStyle name="Moeda 2 2 5 2" xfId="330" xr:uid="{00000000-0005-0000-0000-0000241D0000}"/>
    <cellStyle name="Moeda 2 2 6" xfId="331" xr:uid="{00000000-0005-0000-0000-0000251D0000}"/>
    <cellStyle name="Moeda 2 2 6 2" xfId="332" xr:uid="{00000000-0005-0000-0000-0000261D0000}"/>
    <cellStyle name="Moeda 2 2 7" xfId="333" xr:uid="{00000000-0005-0000-0000-0000271D0000}"/>
    <cellStyle name="Moeda 2 2 7 2" xfId="334" xr:uid="{00000000-0005-0000-0000-0000281D0000}"/>
    <cellStyle name="Moeda 2 2 8" xfId="335" xr:uid="{00000000-0005-0000-0000-0000291D0000}"/>
    <cellStyle name="Moeda 2 2 8 2" xfId="336" xr:uid="{00000000-0005-0000-0000-00002A1D0000}"/>
    <cellStyle name="Moeda 2 2 9" xfId="337" xr:uid="{00000000-0005-0000-0000-00002B1D0000}"/>
    <cellStyle name="Moeda 2 2 9 2" xfId="338" xr:uid="{00000000-0005-0000-0000-00002C1D0000}"/>
    <cellStyle name="Moeda 2 20" xfId="339" xr:uid="{00000000-0005-0000-0000-00002D1D0000}"/>
    <cellStyle name="Moeda 2 20 2" xfId="340" xr:uid="{00000000-0005-0000-0000-00002E1D0000}"/>
    <cellStyle name="Moeda 2 21" xfId="341" xr:uid="{00000000-0005-0000-0000-00002F1D0000}"/>
    <cellStyle name="Moeda 2 22" xfId="342" xr:uid="{00000000-0005-0000-0000-0000301D0000}"/>
    <cellStyle name="Moeda 2 3" xfId="343" xr:uid="{00000000-0005-0000-0000-0000311D0000}"/>
    <cellStyle name="Moeda 2 3 10" xfId="344" xr:uid="{00000000-0005-0000-0000-0000321D0000}"/>
    <cellStyle name="Moeda 2 3 10 2" xfId="345" xr:uid="{00000000-0005-0000-0000-0000331D0000}"/>
    <cellStyle name="Moeda 2 3 11" xfId="346" xr:uid="{00000000-0005-0000-0000-0000341D0000}"/>
    <cellStyle name="Moeda 2 3 2" xfId="347" xr:uid="{00000000-0005-0000-0000-0000351D0000}"/>
    <cellStyle name="Moeda 2 3 2 2" xfId="348" xr:uid="{00000000-0005-0000-0000-0000361D0000}"/>
    <cellStyle name="Moeda 2 3 3" xfId="349" xr:uid="{00000000-0005-0000-0000-0000371D0000}"/>
    <cellStyle name="Moeda 2 3 3 2" xfId="350" xr:uid="{00000000-0005-0000-0000-0000381D0000}"/>
    <cellStyle name="Moeda 2 3 4" xfId="351" xr:uid="{00000000-0005-0000-0000-0000391D0000}"/>
    <cellStyle name="Moeda 2 3 4 2" xfId="352" xr:uid="{00000000-0005-0000-0000-00003A1D0000}"/>
    <cellStyle name="Moeda 2 3 5" xfId="353" xr:uid="{00000000-0005-0000-0000-00003B1D0000}"/>
    <cellStyle name="Moeda 2 3 5 2" xfId="354" xr:uid="{00000000-0005-0000-0000-00003C1D0000}"/>
    <cellStyle name="Moeda 2 3 6" xfId="355" xr:uid="{00000000-0005-0000-0000-00003D1D0000}"/>
    <cellStyle name="Moeda 2 3 6 2" xfId="356" xr:uid="{00000000-0005-0000-0000-00003E1D0000}"/>
    <cellStyle name="Moeda 2 3 7" xfId="357" xr:uid="{00000000-0005-0000-0000-00003F1D0000}"/>
    <cellStyle name="Moeda 2 3 7 2" xfId="358" xr:uid="{00000000-0005-0000-0000-0000401D0000}"/>
    <cellStyle name="Moeda 2 3 8" xfId="359" xr:uid="{00000000-0005-0000-0000-0000411D0000}"/>
    <cellStyle name="Moeda 2 3 8 2" xfId="360" xr:uid="{00000000-0005-0000-0000-0000421D0000}"/>
    <cellStyle name="Moeda 2 3 9" xfId="361" xr:uid="{00000000-0005-0000-0000-0000431D0000}"/>
    <cellStyle name="Moeda 2 3 9 2" xfId="362" xr:uid="{00000000-0005-0000-0000-0000441D0000}"/>
    <cellStyle name="Moeda 2 4" xfId="363" xr:uid="{00000000-0005-0000-0000-0000451D0000}"/>
    <cellStyle name="Moeda 2 4 2" xfId="364" xr:uid="{00000000-0005-0000-0000-0000461D0000}"/>
    <cellStyle name="Moeda 2 5" xfId="365" xr:uid="{00000000-0005-0000-0000-0000471D0000}"/>
    <cellStyle name="Moeda 2 5 2" xfId="366" xr:uid="{00000000-0005-0000-0000-0000481D0000}"/>
    <cellStyle name="Moeda 2 6" xfId="367" xr:uid="{00000000-0005-0000-0000-0000491D0000}"/>
    <cellStyle name="Moeda 2 6 2" xfId="368" xr:uid="{00000000-0005-0000-0000-00004A1D0000}"/>
    <cellStyle name="Moeda 2 7" xfId="369" xr:uid="{00000000-0005-0000-0000-00004B1D0000}"/>
    <cellStyle name="Moeda 2 7 2" xfId="370" xr:uid="{00000000-0005-0000-0000-00004C1D0000}"/>
    <cellStyle name="Moeda 2 8" xfId="371" xr:uid="{00000000-0005-0000-0000-00004D1D0000}"/>
    <cellStyle name="Moeda 2 8 2" xfId="372" xr:uid="{00000000-0005-0000-0000-00004E1D0000}"/>
    <cellStyle name="Moeda 2 9" xfId="373" xr:uid="{00000000-0005-0000-0000-00004F1D0000}"/>
    <cellStyle name="Moeda 2 9 2" xfId="374" xr:uid="{00000000-0005-0000-0000-0000501D0000}"/>
    <cellStyle name="Moeda 3" xfId="375" xr:uid="{00000000-0005-0000-0000-0000511D0000}"/>
    <cellStyle name="Moeda 3 10" xfId="376" xr:uid="{00000000-0005-0000-0000-0000521D0000}"/>
    <cellStyle name="Moeda 3 10 2" xfId="377" xr:uid="{00000000-0005-0000-0000-0000531D0000}"/>
    <cellStyle name="Moeda 3 11" xfId="378" xr:uid="{00000000-0005-0000-0000-0000541D0000}"/>
    <cellStyle name="Moeda 3 11 2" xfId="379" xr:uid="{00000000-0005-0000-0000-0000551D0000}"/>
    <cellStyle name="Moeda 3 12" xfId="380" xr:uid="{00000000-0005-0000-0000-0000561D0000}"/>
    <cellStyle name="Moeda 3 12 2" xfId="381" xr:uid="{00000000-0005-0000-0000-0000571D0000}"/>
    <cellStyle name="Moeda 3 13" xfId="382" xr:uid="{00000000-0005-0000-0000-0000581D0000}"/>
    <cellStyle name="Moeda 3 14" xfId="383" xr:uid="{00000000-0005-0000-0000-0000591D0000}"/>
    <cellStyle name="Moeda 3 2" xfId="384" xr:uid="{00000000-0005-0000-0000-00005A1D0000}"/>
    <cellStyle name="Moeda 3 2 10" xfId="385" xr:uid="{00000000-0005-0000-0000-00005B1D0000}"/>
    <cellStyle name="Moeda 3 2 10 2" xfId="386" xr:uid="{00000000-0005-0000-0000-00005C1D0000}"/>
    <cellStyle name="Moeda 3 2 11" xfId="387" xr:uid="{00000000-0005-0000-0000-00005D1D0000}"/>
    <cellStyle name="Moeda 3 2 12" xfId="388" xr:uid="{00000000-0005-0000-0000-00005E1D0000}"/>
    <cellStyle name="Moeda 3 2 2" xfId="389" xr:uid="{00000000-0005-0000-0000-00005F1D0000}"/>
    <cellStyle name="Moeda 3 2 2 2" xfId="390" xr:uid="{00000000-0005-0000-0000-0000601D0000}"/>
    <cellStyle name="Moeda 3 2 3" xfId="391" xr:uid="{00000000-0005-0000-0000-0000611D0000}"/>
    <cellStyle name="Moeda 3 2 3 2" xfId="392" xr:uid="{00000000-0005-0000-0000-0000621D0000}"/>
    <cellStyle name="Moeda 3 2 4" xfId="393" xr:uid="{00000000-0005-0000-0000-0000631D0000}"/>
    <cellStyle name="Moeda 3 2 4 2" xfId="394" xr:uid="{00000000-0005-0000-0000-0000641D0000}"/>
    <cellStyle name="Moeda 3 2 5" xfId="395" xr:uid="{00000000-0005-0000-0000-0000651D0000}"/>
    <cellStyle name="Moeda 3 2 5 2" xfId="396" xr:uid="{00000000-0005-0000-0000-0000661D0000}"/>
    <cellStyle name="Moeda 3 2 6" xfId="397" xr:uid="{00000000-0005-0000-0000-0000671D0000}"/>
    <cellStyle name="Moeda 3 2 6 2" xfId="398" xr:uid="{00000000-0005-0000-0000-0000681D0000}"/>
    <cellStyle name="Moeda 3 2 7" xfId="399" xr:uid="{00000000-0005-0000-0000-0000691D0000}"/>
    <cellStyle name="Moeda 3 2 7 2" xfId="400" xr:uid="{00000000-0005-0000-0000-00006A1D0000}"/>
    <cellStyle name="Moeda 3 2 8" xfId="401" xr:uid="{00000000-0005-0000-0000-00006B1D0000}"/>
    <cellStyle name="Moeda 3 2 8 2" xfId="402" xr:uid="{00000000-0005-0000-0000-00006C1D0000}"/>
    <cellStyle name="Moeda 3 2 9" xfId="403" xr:uid="{00000000-0005-0000-0000-00006D1D0000}"/>
    <cellStyle name="Moeda 3 2 9 2" xfId="404" xr:uid="{00000000-0005-0000-0000-00006E1D0000}"/>
    <cellStyle name="Moeda 3 3" xfId="405" xr:uid="{00000000-0005-0000-0000-00006F1D0000}"/>
    <cellStyle name="Moeda 3 3 10" xfId="406" xr:uid="{00000000-0005-0000-0000-0000701D0000}"/>
    <cellStyle name="Moeda 3 3 10 2" xfId="407" xr:uid="{00000000-0005-0000-0000-0000711D0000}"/>
    <cellStyle name="Moeda 3 3 11" xfId="408" xr:uid="{00000000-0005-0000-0000-0000721D0000}"/>
    <cellStyle name="Moeda 3 3 2" xfId="409" xr:uid="{00000000-0005-0000-0000-0000731D0000}"/>
    <cellStyle name="Moeda 3 3 2 2" xfId="410" xr:uid="{00000000-0005-0000-0000-0000741D0000}"/>
    <cellStyle name="Moeda 3 3 3" xfId="411" xr:uid="{00000000-0005-0000-0000-0000751D0000}"/>
    <cellStyle name="Moeda 3 3 3 2" xfId="412" xr:uid="{00000000-0005-0000-0000-0000761D0000}"/>
    <cellStyle name="Moeda 3 3 4" xfId="413" xr:uid="{00000000-0005-0000-0000-0000771D0000}"/>
    <cellStyle name="Moeda 3 3 4 2" xfId="414" xr:uid="{00000000-0005-0000-0000-0000781D0000}"/>
    <cellStyle name="Moeda 3 3 5" xfId="415" xr:uid="{00000000-0005-0000-0000-0000791D0000}"/>
    <cellStyle name="Moeda 3 3 5 2" xfId="416" xr:uid="{00000000-0005-0000-0000-00007A1D0000}"/>
    <cellStyle name="Moeda 3 3 6" xfId="417" xr:uid="{00000000-0005-0000-0000-00007B1D0000}"/>
    <cellStyle name="Moeda 3 3 6 2" xfId="418" xr:uid="{00000000-0005-0000-0000-00007C1D0000}"/>
    <cellStyle name="Moeda 3 3 7" xfId="419" xr:uid="{00000000-0005-0000-0000-00007D1D0000}"/>
    <cellStyle name="Moeda 3 3 7 2" xfId="420" xr:uid="{00000000-0005-0000-0000-00007E1D0000}"/>
    <cellStyle name="Moeda 3 3 8" xfId="421" xr:uid="{00000000-0005-0000-0000-00007F1D0000}"/>
    <cellStyle name="Moeda 3 3 8 2" xfId="422" xr:uid="{00000000-0005-0000-0000-0000801D0000}"/>
    <cellStyle name="Moeda 3 3 9" xfId="423" xr:uid="{00000000-0005-0000-0000-0000811D0000}"/>
    <cellStyle name="Moeda 3 3 9 2" xfId="424" xr:uid="{00000000-0005-0000-0000-0000821D0000}"/>
    <cellStyle name="Moeda 3 4" xfId="425" xr:uid="{00000000-0005-0000-0000-0000831D0000}"/>
    <cellStyle name="Moeda 3 4 2" xfId="426" xr:uid="{00000000-0005-0000-0000-0000841D0000}"/>
    <cellStyle name="Moeda 3 5" xfId="427" xr:uid="{00000000-0005-0000-0000-0000851D0000}"/>
    <cellStyle name="Moeda 3 5 2" xfId="428" xr:uid="{00000000-0005-0000-0000-0000861D0000}"/>
    <cellStyle name="Moeda 3 6" xfId="429" xr:uid="{00000000-0005-0000-0000-0000871D0000}"/>
    <cellStyle name="Moeda 3 6 2" xfId="430" xr:uid="{00000000-0005-0000-0000-0000881D0000}"/>
    <cellStyle name="Moeda 3 7" xfId="431" xr:uid="{00000000-0005-0000-0000-0000891D0000}"/>
    <cellStyle name="Moeda 3 7 2" xfId="432" xr:uid="{00000000-0005-0000-0000-00008A1D0000}"/>
    <cellStyle name="Moeda 3 8" xfId="433" xr:uid="{00000000-0005-0000-0000-00008B1D0000}"/>
    <cellStyle name="Moeda 3 8 2" xfId="434" xr:uid="{00000000-0005-0000-0000-00008C1D0000}"/>
    <cellStyle name="Moeda 3 9" xfId="435" xr:uid="{00000000-0005-0000-0000-00008D1D0000}"/>
    <cellStyle name="Moeda 3 9 2" xfId="436" xr:uid="{00000000-0005-0000-0000-00008E1D0000}"/>
    <cellStyle name="Moeda 4" xfId="437" xr:uid="{00000000-0005-0000-0000-00008F1D0000}"/>
    <cellStyle name="Moeda 4 2" xfId="438" xr:uid="{00000000-0005-0000-0000-0000901D0000}"/>
    <cellStyle name="Moeda 5" xfId="439" xr:uid="{00000000-0005-0000-0000-0000911D0000}"/>
    <cellStyle name="Moeda 5 2" xfId="440" xr:uid="{00000000-0005-0000-0000-0000921D0000}"/>
    <cellStyle name="Moeda 6" xfId="441" xr:uid="{00000000-0005-0000-0000-0000931D0000}"/>
    <cellStyle name="Moeda 6 10" xfId="25908" xr:uid="{00000000-0005-0000-0000-0000941D0000}"/>
    <cellStyle name="Moeda 6 11" xfId="2076" xr:uid="{00000000-0005-0000-0000-0000951D0000}"/>
    <cellStyle name="Moeda 6 12" xfId="26229" xr:uid="{00000000-0005-0000-0000-0000961D0000}"/>
    <cellStyle name="Moeda 6 2" xfId="442" xr:uid="{00000000-0005-0000-0000-0000971D0000}"/>
    <cellStyle name="Moeda 6 2 10" xfId="2077" xr:uid="{00000000-0005-0000-0000-0000981D0000}"/>
    <cellStyle name="Moeda 6 2 11" xfId="26230" xr:uid="{00000000-0005-0000-0000-0000991D0000}"/>
    <cellStyle name="Moeda 6 2 2" xfId="443" xr:uid="{00000000-0005-0000-0000-00009A1D0000}"/>
    <cellStyle name="Moeda 6 2 2 10" xfId="26324" xr:uid="{00000000-0005-0000-0000-00009B1D0000}"/>
    <cellStyle name="Moeda 6 2 2 2" xfId="22457" xr:uid="{00000000-0005-0000-0000-00009C1D0000}"/>
    <cellStyle name="Moeda 6 2 2 2 2" xfId="23013" xr:uid="{00000000-0005-0000-0000-00009D1D0000}"/>
    <cellStyle name="Moeda 6 2 2 2 2 2" xfId="23900" xr:uid="{00000000-0005-0000-0000-00009E1D0000}"/>
    <cellStyle name="Moeda 6 2 2 2 2 2 2" xfId="25676" xr:uid="{00000000-0005-0000-0000-00009F1D0000}"/>
    <cellStyle name="Moeda 6 2 2 2 2 3" xfId="24788" xr:uid="{00000000-0005-0000-0000-0000A01D0000}"/>
    <cellStyle name="Moeda 6 2 2 2 3" xfId="23397" xr:uid="{00000000-0005-0000-0000-0000A11D0000}"/>
    <cellStyle name="Moeda 6 2 2 2 3 2" xfId="25173" xr:uid="{00000000-0005-0000-0000-0000A21D0000}"/>
    <cellStyle name="Moeda 6 2 2 2 4" xfId="24285" xr:uid="{00000000-0005-0000-0000-0000A31D0000}"/>
    <cellStyle name="Moeda 6 2 2 2 5" xfId="26055" xr:uid="{00000000-0005-0000-0000-0000A41D0000}"/>
    <cellStyle name="Moeda 6 2 2 2 6" xfId="26445" xr:uid="{00000000-0005-0000-0000-0000A51D0000}"/>
    <cellStyle name="Moeda 6 2 2 3" xfId="22754" xr:uid="{00000000-0005-0000-0000-0000A61D0000}"/>
    <cellStyle name="Moeda 6 2 2 3 2" xfId="23641" xr:uid="{00000000-0005-0000-0000-0000A71D0000}"/>
    <cellStyle name="Moeda 6 2 2 3 2 2" xfId="25417" xr:uid="{00000000-0005-0000-0000-0000A81D0000}"/>
    <cellStyle name="Moeda 6 2 2 3 3" xfId="24529" xr:uid="{00000000-0005-0000-0000-0000A91D0000}"/>
    <cellStyle name="Moeda 6 2 2 4" xfId="22873" xr:uid="{00000000-0005-0000-0000-0000AA1D0000}"/>
    <cellStyle name="Moeda 6 2 2 4 2" xfId="23760" xr:uid="{00000000-0005-0000-0000-0000AB1D0000}"/>
    <cellStyle name="Moeda 6 2 2 4 2 2" xfId="25536" xr:uid="{00000000-0005-0000-0000-0000AC1D0000}"/>
    <cellStyle name="Moeda 6 2 2 4 3" xfId="24648" xr:uid="{00000000-0005-0000-0000-0000AD1D0000}"/>
    <cellStyle name="Moeda 6 2 2 5" xfId="23257" xr:uid="{00000000-0005-0000-0000-0000AE1D0000}"/>
    <cellStyle name="Moeda 6 2 2 5 2" xfId="25033" xr:uid="{00000000-0005-0000-0000-0000AF1D0000}"/>
    <cellStyle name="Moeda 6 2 2 6" xfId="24145" xr:uid="{00000000-0005-0000-0000-0000B01D0000}"/>
    <cellStyle name="Moeda 6 2 2 7" xfId="2330" xr:uid="{00000000-0005-0000-0000-0000B11D0000}"/>
    <cellStyle name="Moeda 6 2 2 8" xfId="25919" xr:uid="{00000000-0005-0000-0000-0000B21D0000}"/>
    <cellStyle name="Moeda 6 2 2 9" xfId="2187" xr:uid="{00000000-0005-0000-0000-0000B31D0000}"/>
    <cellStyle name="Moeda 6 2 3" xfId="22438" xr:uid="{00000000-0005-0000-0000-0000B41D0000}"/>
    <cellStyle name="Moeda 6 2 3 2" xfId="22994" xr:uid="{00000000-0005-0000-0000-0000B51D0000}"/>
    <cellStyle name="Moeda 6 2 3 2 2" xfId="23881" xr:uid="{00000000-0005-0000-0000-0000B61D0000}"/>
    <cellStyle name="Moeda 6 2 3 2 2 2" xfId="25657" xr:uid="{00000000-0005-0000-0000-0000B71D0000}"/>
    <cellStyle name="Moeda 6 2 3 2 3" xfId="24769" xr:uid="{00000000-0005-0000-0000-0000B81D0000}"/>
    <cellStyle name="Moeda 6 2 3 3" xfId="23378" xr:uid="{00000000-0005-0000-0000-0000B91D0000}"/>
    <cellStyle name="Moeda 6 2 3 3 2" xfId="25154" xr:uid="{00000000-0005-0000-0000-0000BA1D0000}"/>
    <cellStyle name="Moeda 6 2 3 4" xfId="24266" xr:uid="{00000000-0005-0000-0000-0000BB1D0000}"/>
    <cellStyle name="Moeda 6 2 3 5" xfId="26054" xr:uid="{00000000-0005-0000-0000-0000BC1D0000}"/>
    <cellStyle name="Moeda 6 2 3 6" xfId="26444" xr:uid="{00000000-0005-0000-0000-0000BD1D0000}"/>
    <cellStyle name="Moeda 6 2 4" xfId="22742" xr:uid="{00000000-0005-0000-0000-0000BE1D0000}"/>
    <cellStyle name="Moeda 6 2 4 2" xfId="23629" xr:uid="{00000000-0005-0000-0000-0000BF1D0000}"/>
    <cellStyle name="Moeda 6 2 4 2 2" xfId="25405" xr:uid="{00000000-0005-0000-0000-0000C01D0000}"/>
    <cellStyle name="Moeda 6 2 4 3" xfId="24517" xr:uid="{00000000-0005-0000-0000-0000C11D0000}"/>
    <cellStyle name="Moeda 6 2 5" xfId="22861" xr:uid="{00000000-0005-0000-0000-0000C21D0000}"/>
    <cellStyle name="Moeda 6 2 5 2" xfId="23748" xr:uid="{00000000-0005-0000-0000-0000C31D0000}"/>
    <cellStyle name="Moeda 6 2 5 2 2" xfId="25524" xr:uid="{00000000-0005-0000-0000-0000C41D0000}"/>
    <cellStyle name="Moeda 6 2 5 3" xfId="24636" xr:uid="{00000000-0005-0000-0000-0000C51D0000}"/>
    <cellStyle name="Moeda 6 2 6" xfId="23245" xr:uid="{00000000-0005-0000-0000-0000C61D0000}"/>
    <cellStyle name="Moeda 6 2 6 2" xfId="25021" xr:uid="{00000000-0005-0000-0000-0000C71D0000}"/>
    <cellStyle name="Moeda 6 2 7" xfId="24133" xr:uid="{00000000-0005-0000-0000-0000C81D0000}"/>
    <cellStyle name="Moeda 6 2 8" xfId="2305" xr:uid="{00000000-0005-0000-0000-0000C91D0000}"/>
    <cellStyle name="Moeda 6 2 9" xfId="25909" xr:uid="{00000000-0005-0000-0000-0000CA1D0000}"/>
    <cellStyle name="Moeda 6 3" xfId="444" xr:uid="{00000000-0005-0000-0000-0000CB1D0000}"/>
    <cellStyle name="Moeda 6 3 10" xfId="26325" xr:uid="{00000000-0005-0000-0000-0000CC1D0000}"/>
    <cellStyle name="Moeda 6 3 2" xfId="22456" xr:uid="{00000000-0005-0000-0000-0000CD1D0000}"/>
    <cellStyle name="Moeda 6 3 2 2" xfId="23012" xr:uid="{00000000-0005-0000-0000-0000CE1D0000}"/>
    <cellStyle name="Moeda 6 3 2 2 2" xfId="23899" xr:uid="{00000000-0005-0000-0000-0000CF1D0000}"/>
    <cellStyle name="Moeda 6 3 2 2 2 2" xfId="25675" xr:uid="{00000000-0005-0000-0000-0000D01D0000}"/>
    <cellStyle name="Moeda 6 3 2 2 3" xfId="24787" xr:uid="{00000000-0005-0000-0000-0000D11D0000}"/>
    <cellStyle name="Moeda 6 3 2 3" xfId="23396" xr:uid="{00000000-0005-0000-0000-0000D21D0000}"/>
    <cellStyle name="Moeda 6 3 2 3 2" xfId="25172" xr:uid="{00000000-0005-0000-0000-0000D31D0000}"/>
    <cellStyle name="Moeda 6 3 2 4" xfId="24284" xr:uid="{00000000-0005-0000-0000-0000D41D0000}"/>
    <cellStyle name="Moeda 6 3 2 5" xfId="26056" xr:uid="{00000000-0005-0000-0000-0000D51D0000}"/>
    <cellStyle name="Moeda 6 3 2 6" xfId="26446" xr:uid="{00000000-0005-0000-0000-0000D61D0000}"/>
    <cellStyle name="Moeda 6 3 3" xfId="22753" xr:uid="{00000000-0005-0000-0000-0000D71D0000}"/>
    <cellStyle name="Moeda 6 3 3 2" xfId="23640" xr:uid="{00000000-0005-0000-0000-0000D81D0000}"/>
    <cellStyle name="Moeda 6 3 3 2 2" xfId="25416" xr:uid="{00000000-0005-0000-0000-0000D91D0000}"/>
    <cellStyle name="Moeda 6 3 3 3" xfId="24528" xr:uid="{00000000-0005-0000-0000-0000DA1D0000}"/>
    <cellStyle name="Moeda 6 3 4" xfId="22872" xr:uid="{00000000-0005-0000-0000-0000DB1D0000}"/>
    <cellStyle name="Moeda 6 3 4 2" xfId="23759" xr:uid="{00000000-0005-0000-0000-0000DC1D0000}"/>
    <cellStyle name="Moeda 6 3 4 2 2" xfId="25535" xr:uid="{00000000-0005-0000-0000-0000DD1D0000}"/>
    <cellStyle name="Moeda 6 3 4 3" xfId="24647" xr:uid="{00000000-0005-0000-0000-0000DE1D0000}"/>
    <cellStyle name="Moeda 6 3 5" xfId="23256" xr:uid="{00000000-0005-0000-0000-0000DF1D0000}"/>
    <cellStyle name="Moeda 6 3 5 2" xfId="25032" xr:uid="{00000000-0005-0000-0000-0000E01D0000}"/>
    <cellStyle name="Moeda 6 3 6" xfId="24144" xr:uid="{00000000-0005-0000-0000-0000E11D0000}"/>
    <cellStyle name="Moeda 6 3 7" xfId="2329" xr:uid="{00000000-0005-0000-0000-0000E21D0000}"/>
    <cellStyle name="Moeda 6 3 8" xfId="25920" xr:uid="{00000000-0005-0000-0000-0000E31D0000}"/>
    <cellStyle name="Moeda 6 3 9" xfId="2186" xr:uid="{00000000-0005-0000-0000-0000E41D0000}"/>
    <cellStyle name="Moeda 6 4" xfId="22437" xr:uid="{00000000-0005-0000-0000-0000E51D0000}"/>
    <cellStyle name="Moeda 6 4 2" xfId="22993" xr:uid="{00000000-0005-0000-0000-0000E61D0000}"/>
    <cellStyle name="Moeda 6 4 2 2" xfId="23880" xr:uid="{00000000-0005-0000-0000-0000E71D0000}"/>
    <cellStyle name="Moeda 6 4 2 2 2" xfId="25656" xr:uid="{00000000-0005-0000-0000-0000E81D0000}"/>
    <cellStyle name="Moeda 6 4 2 3" xfId="24768" xr:uid="{00000000-0005-0000-0000-0000E91D0000}"/>
    <cellStyle name="Moeda 6 4 3" xfId="23377" xr:uid="{00000000-0005-0000-0000-0000EA1D0000}"/>
    <cellStyle name="Moeda 6 4 3 2" xfId="25153" xr:uid="{00000000-0005-0000-0000-0000EB1D0000}"/>
    <cellStyle name="Moeda 6 4 4" xfId="24265" xr:uid="{00000000-0005-0000-0000-0000EC1D0000}"/>
    <cellStyle name="Moeda 6 4 5" xfId="26053" xr:uid="{00000000-0005-0000-0000-0000ED1D0000}"/>
    <cellStyle name="Moeda 6 4 6" xfId="26443" xr:uid="{00000000-0005-0000-0000-0000EE1D0000}"/>
    <cellStyle name="Moeda 6 5" xfId="22741" xr:uid="{00000000-0005-0000-0000-0000EF1D0000}"/>
    <cellStyle name="Moeda 6 5 2" xfId="23628" xr:uid="{00000000-0005-0000-0000-0000F01D0000}"/>
    <cellStyle name="Moeda 6 5 2 2" xfId="25404" xr:uid="{00000000-0005-0000-0000-0000F11D0000}"/>
    <cellStyle name="Moeda 6 5 3" xfId="24516" xr:uid="{00000000-0005-0000-0000-0000F21D0000}"/>
    <cellStyle name="Moeda 6 6" xfId="22860" xr:uid="{00000000-0005-0000-0000-0000F31D0000}"/>
    <cellStyle name="Moeda 6 6 2" xfId="23747" xr:uid="{00000000-0005-0000-0000-0000F41D0000}"/>
    <cellStyle name="Moeda 6 6 2 2" xfId="25523" xr:uid="{00000000-0005-0000-0000-0000F51D0000}"/>
    <cellStyle name="Moeda 6 6 3" xfId="24635" xr:uid="{00000000-0005-0000-0000-0000F61D0000}"/>
    <cellStyle name="Moeda 6 7" xfId="23244" xr:uid="{00000000-0005-0000-0000-0000F71D0000}"/>
    <cellStyle name="Moeda 6 7 2" xfId="25020" xr:uid="{00000000-0005-0000-0000-0000F81D0000}"/>
    <cellStyle name="Moeda 6 8" xfId="24132" xr:uid="{00000000-0005-0000-0000-0000F91D0000}"/>
    <cellStyle name="Moeda 6 9" xfId="2304" xr:uid="{00000000-0005-0000-0000-0000FA1D0000}"/>
    <cellStyle name="Moeda 7" xfId="43" xr:uid="{00000000-0005-0000-0000-0000FB1D0000}"/>
    <cellStyle name="Moeda 7 2" xfId="445" xr:uid="{00000000-0005-0000-0000-0000FC1D0000}"/>
    <cellStyle name="Moeda 7 2 2" xfId="446" xr:uid="{00000000-0005-0000-0000-0000FD1D0000}"/>
    <cellStyle name="Moeda 7 2 2 10" xfId="26326" xr:uid="{00000000-0005-0000-0000-0000FE1D0000}"/>
    <cellStyle name="Moeda 7 2 2 2" xfId="22459" xr:uid="{00000000-0005-0000-0000-0000FF1D0000}"/>
    <cellStyle name="Moeda 7 2 2 2 2" xfId="23015" xr:uid="{00000000-0005-0000-0000-0000001E0000}"/>
    <cellStyle name="Moeda 7 2 2 2 2 2" xfId="23902" xr:uid="{00000000-0005-0000-0000-0000011E0000}"/>
    <cellStyle name="Moeda 7 2 2 2 2 2 2" xfId="25678" xr:uid="{00000000-0005-0000-0000-0000021E0000}"/>
    <cellStyle name="Moeda 7 2 2 2 2 3" xfId="24790" xr:uid="{00000000-0005-0000-0000-0000031E0000}"/>
    <cellStyle name="Moeda 7 2 2 2 3" xfId="23399" xr:uid="{00000000-0005-0000-0000-0000041E0000}"/>
    <cellStyle name="Moeda 7 2 2 2 3 2" xfId="25175" xr:uid="{00000000-0005-0000-0000-0000051E0000}"/>
    <cellStyle name="Moeda 7 2 2 2 4" xfId="24287" xr:uid="{00000000-0005-0000-0000-0000061E0000}"/>
    <cellStyle name="Moeda 7 2 2 2 5" xfId="26057" xr:uid="{00000000-0005-0000-0000-0000071E0000}"/>
    <cellStyle name="Moeda 7 2 2 2 6" xfId="26447" xr:uid="{00000000-0005-0000-0000-0000081E0000}"/>
    <cellStyle name="Moeda 7 2 2 3" xfId="22756" xr:uid="{00000000-0005-0000-0000-0000091E0000}"/>
    <cellStyle name="Moeda 7 2 2 3 2" xfId="23643" xr:uid="{00000000-0005-0000-0000-00000A1E0000}"/>
    <cellStyle name="Moeda 7 2 2 3 2 2" xfId="25419" xr:uid="{00000000-0005-0000-0000-00000B1E0000}"/>
    <cellStyle name="Moeda 7 2 2 3 3" xfId="24531" xr:uid="{00000000-0005-0000-0000-00000C1E0000}"/>
    <cellStyle name="Moeda 7 2 2 4" xfId="22875" xr:uid="{00000000-0005-0000-0000-00000D1E0000}"/>
    <cellStyle name="Moeda 7 2 2 4 2" xfId="23762" xr:uid="{00000000-0005-0000-0000-00000E1E0000}"/>
    <cellStyle name="Moeda 7 2 2 4 2 2" xfId="25538" xr:uid="{00000000-0005-0000-0000-00000F1E0000}"/>
    <cellStyle name="Moeda 7 2 2 4 3" xfId="24650" xr:uid="{00000000-0005-0000-0000-0000101E0000}"/>
    <cellStyle name="Moeda 7 2 2 5" xfId="23259" xr:uid="{00000000-0005-0000-0000-0000111E0000}"/>
    <cellStyle name="Moeda 7 2 2 5 2" xfId="25035" xr:uid="{00000000-0005-0000-0000-0000121E0000}"/>
    <cellStyle name="Moeda 7 2 2 6" xfId="24147" xr:uid="{00000000-0005-0000-0000-0000131E0000}"/>
    <cellStyle name="Moeda 7 2 2 7" xfId="2332" xr:uid="{00000000-0005-0000-0000-0000141E0000}"/>
    <cellStyle name="Moeda 7 2 2 8" xfId="25921" xr:uid="{00000000-0005-0000-0000-0000151E0000}"/>
    <cellStyle name="Moeda 7 2 2 9" xfId="2189" xr:uid="{00000000-0005-0000-0000-0000161E0000}"/>
    <cellStyle name="Moeda 7 3" xfId="447" xr:uid="{00000000-0005-0000-0000-0000171E0000}"/>
    <cellStyle name="Moeda 7 3 10" xfId="26327" xr:uid="{00000000-0005-0000-0000-0000181E0000}"/>
    <cellStyle name="Moeda 7 3 2" xfId="22458" xr:uid="{00000000-0005-0000-0000-0000191E0000}"/>
    <cellStyle name="Moeda 7 3 2 2" xfId="23014" xr:uid="{00000000-0005-0000-0000-00001A1E0000}"/>
    <cellStyle name="Moeda 7 3 2 2 2" xfId="23901" xr:uid="{00000000-0005-0000-0000-00001B1E0000}"/>
    <cellStyle name="Moeda 7 3 2 2 2 2" xfId="25677" xr:uid="{00000000-0005-0000-0000-00001C1E0000}"/>
    <cellStyle name="Moeda 7 3 2 2 3" xfId="24789" xr:uid="{00000000-0005-0000-0000-00001D1E0000}"/>
    <cellStyle name="Moeda 7 3 2 3" xfId="23398" xr:uid="{00000000-0005-0000-0000-00001E1E0000}"/>
    <cellStyle name="Moeda 7 3 2 3 2" xfId="25174" xr:uid="{00000000-0005-0000-0000-00001F1E0000}"/>
    <cellStyle name="Moeda 7 3 2 4" xfId="24286" xr:uid="{00000000-0005-0000-0000-0000201E0000}"/>
    <cellStyle name="Moeda 7 3 2 5" xfId="26058" xr:uid="{00000000-0005-0000-0000-0000211E0000}"/>
    <cellStyle name="Moeda 7 3 2 6" xfId="26448" xr:uid="{00000000-0005-0000-0000-0000221E0000}"/>
    <cellStyle name="Moeda 7 3 3" xfId="22755" xr:uid="{00000000-0005-0000-0000-0000231E0000}"/>
    <cellStyle name="Moeda 7 3 3 2" xfId="23642" xr:uid="{00000000-0005-0000-0000-0000241E0000}"/>
    <cellStyle name="Moeda 7 3 3 2 2" xfId="25418" xr:uid="{00000000-0005-0000-0000-0000251E0000}"/>
    <cellStyle name="Moeda 7 3 3 3" xfId="24530" xr:uid="{00000000-0005-0000-0000-0000261E0000}"/>
    <cellStyle name="Moeda 7 3 4" xfId="22874" xr:uid="{00000000-0005-0000-0000-0000271E0000}"/>
    <cellStyle name="Moeda 7 3 4 2" xfId="23761" xr:uid="{00000000-0005-0000-0000-0000281E0000}"/>
    <cellStyle name="Moeda 7 3 4 2 2" xfId="25537" xr:uid="{00000000-0005-0000-0000-0000291E0000}"/>
    <cellStyle name="Moeda 7 3 4 3" xfId="24649" xr:uid="{00000000-0005-0000-0000-00002A1E0000}"/>
    <cellStyle name="Moeda 7 3 5" xfId="23258" xr:uid="{00000000-0005-0000-0000-00002B1E0000}"/>
    <cellStyle name="Moeda 7 3 5 2" xfId="25034" xr:uid="{00000000-0005-0000-0000-00002C1E0000}"/>
    <cellStyle name="Moeda 7 3 6" xfId="24146" xr:uid="{00000000-0005-0000-0000-00002D1E0000}"/>
    <cellStyle name="Moeda 7 3 7" xfId="2331" xr:uid="{00000000-0005-0000-0000-00002E1E0000}"/>
    <cellStyle name="Moeda 7 3 8" xfId="25922" xr:uid="{00000000-0005-0000-0000-00002F1E0000}"/>
    <cellStyle name="Moeda 7 3 9" xfId="2188" xr:uid="{00000000-0005-0000-0000-0000301E0000}"/>
    <cellStyle name="Moeda 7 4" xfId="448" xr:uid="{00000000-0005-0000-0000-0000311E0000}"/>
    <cellStyle name="Moeda 7 4 2" xfId="449" xr:uid="{00000000-0005-0000-0000-0000321E0000}"/>
    <cellStyle name="Moeda 7 4 2 2" xfId="2570" xr:uid="{00000000-0005-0000-0000-0000331E0000}"/>
    <cellStyle name="Moeda 7 4 2 2 2" xfId="22424" xr:uid="{00000000-0005-0000-0000-0000341E0000}"/>
    <cellStyle name="Moeda 7 4 2 2 2 2" xfId="22698" xr:uid="{00000000-0005-0000-0000-0000351E0000}"/>
    <cellStyle name="Moeda 7 4 2 2 2 2 2" xfId="23239" xr:uid="{00000000-0005-0000-0000-0000361E0000}"/>
    <cellStyle name="Moeda 7 4 2 2 2 2 2 2" xfId="24126" xr:uid="{00000000-0005-0000-0000-0000371E0000}"/>
    <cellStyle name="Moeda 7 4 2 2 2 2 2 2 2" xfId="25902" xr:uid="{00000000-0005-0000-0000-0000381E0000}"/>
    <cellStyle name="Moeda 7 4 2 2 2 2 2 3" xfId="25014" xr:uid="{00000000-0005-0000-0000-0000391E0000}"/>
    <cellStyle name="Moeda 7 4 2 2 2 2 3" xfId="23623" xr:uid="{00000000-0005-0000-0000-00003A1E0000}"/>
    <cellStyle name="Moeda 7 4 2 2 2 2 3 2" xfId="25399" xr:uid="{00000000-0005-0000-0000-00003B1E0000}"/>
    <cellStyle name="Moeda 7 4 2 2 2 2 4" xfId="24511" xr:uid="{00000000-0005-0000-0000-00003C1E0000}"/>
    <cellStyle name="Moeda 7 4 2 2 3" xfId="22618" xr:uid="{00000000-0005-0000-0000-00003D1E0000}"/>
    <cellStyle name="Moeda 7 4 2 2 3 2" xfId="23174" xr:uid="{00000000-0005-0000-0000-00003E1E0000}"/>
    <cellStyle name="Moeda 7 4 2 2 3 2 2" xfId="24061" xr:uid="{00000000-0005-0000-0000-00003F1E0000}"/>
    <cellStyle name="Moeda 7 4 2 2 3 2 2 2" xfId="25837" xr:uid="{00000000-0005-0000-0000-0000401E0000}"/>
    <cellStyle name="Moeda 7 4 2 2 3 2 3" xfId="24949" xr:uid="{00000000-0005-0000-0000-0000411E0000}"/>
    <cellStyle name="Moeda 7 4 2 2 3 3" xfId="23558" xr:uid="{00000000-0005-0000-0000-0000421E0000}"/>
    <cellStyle name="Moeda 7 4 2 2 3 3 2" xfId="25334" xr:uid="{00000000-0005-0000-0000-0000431E0000}"/>
    <cellStyle name="Moeda 7 4 2 2 3 4" xfId="24446" xr:uid="{00000000-0005-0000-0000-0000441E0000}"/>
    <cellStyle name="Moeda 7 4 2 3" xfId="22589" xr:uid="{00000000-0005-0000-0000-0000451E0000}"/>
    <cellStyle name="Moeda 7 4 2 3 2" xfId="23145" xr:uid="{00000000-0005-0000-0000-0000461E0000}"/>
    <cellStyle name="Moeda 7 4 2 3 2 2" xfId="24032" xr:uid="{00000000-0005-0000-0000-0000471E0000}"/>
    <cellStyle name="Moeda 7 4 2 3 2 2 2" xfId="25808" xr:uid="{00000000-0005-0000-0000-0000481E0000}"/>
    <cellStyle name="Moeda 7 4 2 3 2 3" xfId="24920" xr:uid="{00000000-0005-0000-0000-0000491E0000}"/>
    <cellStyle name="Moeda 7 4 2 3 3" xfId="23529" xr:uid="{00000000-0005-0000-0000-00004A1E0000}"/>
    <cellStyle name="Moeda 7 4 2 3 3 2" xfId="25305" xr:uid="{00000000-0005-0000-0000-00004B1E0000}"/>
    <cellStyle name="Moeda 7 4 2 3 4" xfId="24417" xr:uid="{00000000-0005-0000-0000-00004C1E0000}"/>
    <cellStyle name="Moeda 7 4 2 4" xfId="2481" xr:uid="{00000000-0005-0000-0000-00004D1E0000}"/>
    <cellStyle name="Moeda 7 4 3" xfId="22294" xr:uid="{00000000-0005-0000-0000-00004E1E0000}"/>
    <cellStyle name="Moeda 7 4 3 2" xfId="22310" xr:uid="{00000000-0005-0000-0000-00004F1E0000}"/>
    <cellStyle name="Moeda 7 4 3 2 2" xfId="22648" xr:uid="{00000000-0005-0000-0000-0000501E0000}"/>
    <cellStyle name="Moeda 7 4 3 2 2 2" xfId="23204" xr:uid="{00000000-0005-0000-0000-0000511E0000}"/>
    <cellStyle name="Moeda 7 4 3 2 2 2 2" xfId="24091" xr:uid="{00000000-0005-0000-0000-0000521E0000}"/>
    <cellStyle name="Moeda 7 4 3 2 2 2 2 2" xfId="25867" xr:uid="{00000000-0005-0000-0000-0000531E0000}"/>
    <cellStyle name="Moeda 7 4 3 2 2 2 3" xfId="24979" xr:uid="{00000000-0005-0000-0000-0000541E0000}"/>
    <cellStyle name="Moeda 7 4 3 2 2 3" xfId="23588" xr:uid="{00000000-0005-0000-0000-0000551E0000}"/>
    <cellStyle name="Moeda 7 4 3 2 2 3 2" xfId="25364" xr:uid="{00000000-0005-0000-0000-0000561E0000}"/>
    <cellStyle name="Moeda 7 4 3 2 2 4" xfId="24476" xr:uid="{00000000-0005-0000-0000-0000571E0000}"/>
    <cellStyle name="Moeda 7 4 3 3" xfId="22332" xr:uid="{00000000-0005-0000-0000-0000581E0000}"/>
    <cellStyle name="Moeda 7 4 3 3 2" xfId="22373" xr:uid="{00000000-0005-0000-0000-0000591E0000}"/>
    <cellStyle name="Moeda 7 4 3 3 2 2" xfId="22672" xr:uid="{00000000-0005-0000-0000-00005A1E0000}"/>
    <cellStyle name="Moeda 7 4 3 3 2 2 2" xfId="23228" xr:uid="{00000000-0005-0000-0000-00005B1E0000}"/>
    <cellStyle name="Moeda 7 4 3 3 2 2 2 2" xfId="24115" xr:uid="{00000000-0005-0000-0000-00005C1E0000}"/>
    <cellStyle name="Moeda 7 4 3 3 2 2 2 2 2" xfId="25891" xr:uid="{00000000-0005-0000-0000-00005D1E0000}"/>
    <cellStyle name="Moeda 7 4 3 3 2 2 2 3" xfId="25003" xr:uid="{00000000-0005-0000-0000-00005E1E0000}"/>
    <cellStyle name="Moeda 7 4 3 3 2 2 3" xfId="23612" xr:uid="{00000000-0005-0000-0000-00005F1E0000}"/>
    <cellStyle name="Moeda 7 4 3 3 2 2 3 2" xfId="25388" xr:uid="{00000000-0005-0000-0000-0000601E0000}"/>
    <cellStyle name="Moeda 7 4 3 3 2 2 4" xfId="24500" xr:uid="{00000000-0005-0000-0000-0000611E0000}"/>
    <cellStyle name="Moeda 7 4 3 3 3" xfId="22409" xr:uid="{00000000-0005-0000-0000-0000621E0000}"/>
    <cellStyle name="Moeda 7 4 3 3 3 2" xfId="22683" xr:uid="{00000000-0005-0000-0000-0000631E0000}"/>
    <cellStyle name="Moeda 7 4 3 3 3 2 2" xfId="23234" xr:uid="{00000000-0005-0000-0000-0000641E0000}"/>
    <cellStyle name="Moeda 7 4 3 3 3 2 2 2" xfId="24121" xr:uid="{00000000-0005-0000-0000-0000651E0000}"/>
    <cellStyle name="Moeda 7 4 3 3 3 2 2 2 2" xfId="25897" xr:uid="{00000000-0005-0000-0000-0000661E0000}"/>
    <cellStyle name="Moeda 7 4 3 3 3 2 2 3" xfId="25009" xr:uid="{00000000-0005-0000-0000-0000671E0000}"/>
    <cellStyle name="Moeda 7 4 3 3 3 2 3" xfId="23618" xr:uid="{00000000-0005-0000-0000-0000681E0000}"/>
    <cellStyle name="Moeda 7 4 3 3 3 2 3 2" xfId="25394" xr:uid="{00000000-0005-0000-0000-0000691E0000}"/>
    <cellStyle name="Moeda 7 4 3 3 3 2 4" xfId="24506" xr:uid="{00000000-0005-0000-0000-00006A1E0000}"/>
    <cellStyle name="Moeda 7 4 3 3 4" xfId="22656" xr:uid="{00000000-0005-0000-0000-00006B1E0000}"/>
    <cellStyle name="Moeda 7 4 3 3 4 2" xfId="23212" xr:uid="{00000000-0005-0000-0000-00006C1E0000}"/>
    <cellStyle name="Moeda 7 4 3 3 4 2 2" xfId="24099" xr:uid="{00000000-0005-0000-0000-00006D1E0000}"/>
    <cellStyle name="Moeda 7 4 3 3 4 2 2 2" xfId="25875" xr:uid="{00000000-0005-0000-0000-00006E1E0000}"/>
    <cellStyle name="Moeda 7 4 3 3 4 2 3" xfId="24987" xr:uid="{00000000-0005-0000-0000-00006F1E0000}"/>
    <cellStyle name="Moeda 7 4 3 3 4 3" xfId="23596" xr:uid="{00000000-0005-0000-0000-0000701E0000}"/>
    <cellStyle name="Moeda 7 4 3 3 4 3 2" xfId="25372" xr:uid="{00000000-0005-0000-0000-0000711E0000}"/>
    <cellStyle name="Moeda 7 4 3 3 4 4" xfId="24484" xr:uid="{00000000-0005-0000-0000-0000721E0000}"/>
    <cellStyle name="Moeda 7 4 3 4" xfId="22348" xr:uid="{00000000-0005-0000-0000-0000731E0000}"/>
    <cellStyle name="Moeda 7 4 3 4 2" xfId="22662" xr:uid="{00000000-0005-0000-0000-0000741E0000}"/>
    <cellStyle name="Moeda 7 4 3 4 2 2" xfId="23218" xr:uid="{00000000-0005-0000-0000-0000751E0000}"/>
    <cellStyle name="Moeda 7 4 3 4 2 2 2" xfId="24105" xr:uid="{00000000-0005-0000-0000-0000761E0000}"/>
    <cellStyle name="Moeda 7 4 3 4 2 2 2 2" xfId="25881" xr:uid="{00000000-0005-0000-0000-0000771E0000}"/>
    <cellStyle name="Moeda 7 4 3 4 2 2 3" xfId="24993" xr:uid="{00000000-0005-0000-0000-0000781E0000}"/>
    <cellStyle name="Moeda 7 4 3 4 2 3" xfId="23602" xr:uid="{00000000-0005-0000-0000-0000791E0000}"/>
    <cellStyle name="Moeda 7 4 3 4 2 3 2" xfId="25378" xr:uid="{00000000-0005-0000-0000-00007A1E0000}"/>
    <cellStyle name="Moeda 7 4 3 4 2 4" xfId="24490" xr:uid="{00000000-0005-0000-0000-00007B1E0000}"/>
    <cellStyle name="Moeda 7 4 3 5" xfId="22642" xr:uid="{00000000-0005-0000-0000-00007C1E0000}"/>
    <cellStyle name="Moeda 7 4 3 5 2" xfId="23198" xr:uid="{00000000-0005-0000-0000-00007D1E0000}"/>
    <cellStyle name="Moeda 7 4 3 5 2 2" xfId="24085" xr:uid="{00000000-0005-0000-0000-00007E1E0000}"/>
    <cellStyle name="Moeda 7 4 3 5 2 2 2" xfId="25861" xr:uid="{00000000-0005-0000-0000-00007F1E0000}"/>
    <cellStyle name="Moeda 7 4 3 5 2 3" xfId="24973" xr:uid="{00000000-0005-0000-0000-0000801E0000}"/>
    <cellStyle name="Moeda 7 4 3 5 3" xfId="23582" xr:uid="{00000000-0005-0000-0000-0000811E0000}"/>
    <cellStyle name="Moeda 7 4 3 5 3 2" xfId="25358" xr:uid="{00000000-0005-0000-0000-0000821E0000}"/>
    <cellStyle name="Moeda 7 4 3 5 4" xfId="24470" xr:uid="{00000000-0005-0000-0000-0000831E0000}"/>
    <cellStyle name="Moeda 7 4 4" xfId="22581" xr:uid="{00000000-0005-0000-0000-0000841E0000}"/>
    <cellStyle name="Moeda 7 4 4 2" xfId="23137" xr:uid="{00000000-0005-0000-0000-0000851E0000}"/>
    <cellStyle name="Moeda 7 4 4 2 2" xfId="24024" xr:uid="{00000000-0005-0000-0000-0000861E0000}"/>
    <cellStyle name="Moeda 7 4 4 2 2 2" xfId="25800" xr:uid="{00000000-0005-0000-0000-0000871E0000}"/>
    <cellStyle name="Moeda 7 4 4 2 3" xfId="24912" xr:uid="{00000000-0005-0000-0000-0000881E0000}"/>
    <cellStyle name="Moeda 7 4 4 3" xfId="23521" xr:uid="{00000000-0005-0000-0000-0000891E0000}"/>
    <cellStyle name="Moeda 7 4 4 3 2" xfId="25297" xr:uid="{00000000-0005-0000-0000-00008A1E0000}"/>
    <cellStyle name="Moeda 7 4 4 4" xfId="24409" xr:uid="{00000000-0005-0000-0000-00008B1E0000}"/>
    <cellStyle name="Moeda 7 4 5" xfId="26033" xr:uid="{00000000-0005-0000-0000-00008C1E0000}"/>
    <cellStyle name="Moeda 7 4 6" xfId="2470" xr:uid="{00000000-0005-0000-0000-00008D1E0000}"/>
    <cellStyle name="Moeda 8" xfId="450" xr:uid="{00000000-0005-0000-0000-00008E1E0000}"/>
    <cellStyle name="Moeda 8 2" xfId="451" xr:uid="{00000000-0005-0000-0000-00008F1E0000}"/>
    <cellStyle name="Moeda 8 2 2" xfId="452" xr:uid="{00000000-0005-0000-0000-0000901E0000}"/>
    <cellStyle name="Moeda 8 2 2 10" xfId="26328" xr:uid="{00000000-0005-0000-0000-0000911E0000}"/>
    <cellStyle name="Moeda 8 2 2 2" xfId="22461" xr:uid="{00000000-0005-0000-0000-0000921E0000}"/>
    <cellStyle name="Moeda 8 2 2 2 2" xfId="23017" xr:uid="{00000000-0005-0000-0000-0000931E0000}"/>
    <cellStyle name="Moeda 8 2 2 2 2 2" xfId="23904" xr:uid="{00000000-0005-0000-0000-0000941E0000}"/>
    <cellStyle name="Moeda 8 2 2 2 2 2 2" xfId="25680" xr:uid="{00000000-0005-0000-0000-0000951E0000}"/>
    <cellStyle name="Moeda 8 2 2 2 2 3" xfId="24792" xr:uid="{00000000-0005-0000-0000-0000961E0000}"/>
    <cellStyle name="Moeda 8 2 2 2 3" xfId="23401" xr:uid="{00000000-0005-0000-0000-0000971E0000}"/>
    <cellStyle name="Moeda 8 2 2 2 3 2" xfId="25177" xr:uid="{00000000-0005-0000-0000-0000981E0000}"/>
    <cellStyle name="Moeda 8 2 2 2 4" xfId="24289" xr:uid="{00000000-0005-0000-0000-0000991E0000}"/>
    <cellStyle name="Moeda 8 2 2 2 5" xfId="26059" xr:uid="{00000000-0005-0000-0000-00009A1E0000}"/>
    <cellStyle name="Moeda 8 2 2 2 6" xfId="26449" xr:uid="{00000000-0005-0000-0000-00009B1E0000}"/>
    <cellStyle name="Moeda 8 2 2 3" xfId="22758" xr:uid="{00000000-0005-0000-0000-00009C1E0000}"/>
    <cellStyle name="Moeda 8 2 2 3 2" xfId="23645" xr:uid="{00000000-0005-0000-0000-00009D1E0000}"/>
    <cellStyle name="Moeda 8 2 2 3 2 2" xfId="25421" xr:uid="{00000000-0005-0000-0000-00009E1E0000}"/>
    <cellStyle name="Moeda 8 2 2 3 3" xfId="24533" xr:uid="{00000000-0005-0000-0000-00009F1E0000}"/>
    <cellStyle name="Moeda 8 2 2 4" xfId="22877" xr:uid="{00000000-0005-0000-0000-0000A01E0000}"/>
    <cellStyle name="Moeda 8 2 2 4 2" xfId="23764" xr:uid="{00000000-0005-0000-0000-0000A11E0000}"/>
    <cellStyle name="Moeda 8 2 2 4 2 2" xfId="25540" xr:uid="{00000000-0005-0000-0000-0000A21E0000}"/>
    <cellStyle name="Moeda 8 2 2 4 3" xfId="24652" xr:uid="{00000000-0005-0000-0000-0000A31E0000}"/>
    <cellStyle name="Moeda 8 2 2 5" xfId="23261" xr:uid="{00000000-0005-0000-0000-0000A41E0000}"/>
    <cellStyle name="Moeda 8 2 2 5 2" xfId="25037" xr:uid="{00000000-0005-0000-0000-0000A51E0000}"/>
    <cellStyle name="Moeda 8 2 2 6" xfId="24149" xr:uid="{00000000-0005-0000-0000-0000A61E0000}"/>
    <cellStyle name="Moeda 8 2 2 7" xfId="2334" xr:uid="{00000000-0005-0000-0000-0000A71E0000}"/>
    <cellStyle name="Moeda 8 2 2 8" xfId="25923" xr:uid="{00000000-0005-0000-0000-0000A81E0000}"/>
    <cellStyle name="Moeda 8 2 2 9" xfId="2191" xr:uid="{00000000-0005-0000-0000-0000A91E0000}"/>
    <cellStyle name="Moeda 8 3" xfId="453" xr:uid="{00000000-0005-0000-0000-0000AA1E0000}"/>
    <cellStyle name="Moeda 8 3 10" xfId="26329" xr:uid="{00000000-0005-0000-0000-0000AB1E0000}"/>
    <cellStyle name="Moeda 8 3 2" xfId="22460" xr:uid="{00000000-0005-0000-0000-0000AC1E0000}"/>
    <cellStyle name="Moeda 8 3 2 2" xfId="23016" xr:uid="{00000000-0005-0000-0000-0000AD1E0000}"/>
    <cellStyle name="Moeda 8 3 2 2 2" xfId="23903" xr:uid="{00000000-0005-0000-0000-0000AE1E0000}"/>
    <cellStyle name="Moeda 8 3 2 2 2 2" xfId="25679" xr:uid="{00000000-0005-0000-0000-0000AF1E0000}"/>
    <cellStyle name="Moeda 8 3 2 2 3" xfId="24791" xr:uid="{00000000-0005-0000-0000-0000B01E0000}"/>
    <cellStyle name="Moeda 8 3 2 3" xfId="23400" xr:uid="{00000000-0005-0000-0000-0000B11E0000}"/>
    <cellStyle name="Moeda 8 3 2 3 2" xfId="25176" xr:uid="{00000000-0005-0000-0000-0000B21E0000}"/>
    <cellStyle name="Moeda 8 3 2 4" xfId="24288" xr:uid="{00000000-0005-0000-0000-0000B31E0000}"/>
    <cellStyle name="Moeda 8 3 2 5" xfId="26060" xr:uid="{00000000-0005-0000-0000-0000B41E0000}"/>
    <cellStyle name="Moeda 8 3 2 6" xfId="26450" xr:uid="{00000000-0005-0000-0000-0000B51E0000}"/>
    <cellStyle name="Moeda 8 3 3" xfId="22757" xr:uid="{00000000-0005-0000-0000-0000B61E0000}"/>
    <cellStyle name="Moeda 8 3 3 2" xfId="23644" xr:uid="{00000000-0005-0000-0000-0000B71E0000}"/>
    <cellStyle name="Moeda 8 3 3 2 2" xfId="25420" xr:uid="{00000000-0005-0000-0000-0000B81E0000}"/>
    <cellStyle name="Moeda 8 3 3 3" xfId="24532" xr:uid="{00000000-0005-0000-0000-0000B91E0000}"/>
    <cellStyle name="Moeda 8 3 4" xfId="22876" xr:uid="{00000000-0005-0000-0000-0000BA1E0000}"/>
    <cellStyle name="Moeda 8 3 4 2" xfId="23763" xr:uid="{00000000-0005-0000-0000-0000BB1E0000}"/>
    <cellStyle name="Moeda 8 3 4 2 2" xfId="25539" xr:uid="{00000000-0005-0000-0000-0000BC1E0000}"/>
    <cellStyle name="Moeda 8 3 4 3" xfId="24651" xr:uid="{00000000-0005-0000-0000-0000BD1E0000}"/>
    <cellStyle name="Moeda 8 3 5" xfId="23260" xr:uid="{00000000-0005-0000-0000-0000BE1E0000}"/>
    <cellStyle name="Moeda 8 3 5 2" xfId="25036" xr:uid="{00000000-0005-0000-0000-0000BF1E0000}"/>
    <cellStyle name="Moeda 8 3 6" xfId="24148" xr:uid="{00000000-0005-0000-0000-0000C01E0000}"/>
    <cellStyle name="Moeda 8 3 7" xfId="2333" xr:uid="{00000000-0005-0000-0000-0000C11E0000}"/>
    <cellStyle name="Moeda 8 3 8" xfId="25924" xr:uid="{00000000-0005-0000-0000-0000C21E0000}"/>
    <cellStyle name="Moeda 8 3 9" xfId="2190" xr:uid="{00000000-0005-0000-0000-0000C31E0000}"/>
    <cellStyle name="Moeda 8 4" xfId="454" xr:uid="{00000000-0005-0000-0000-0000C41E0000}"/>
    <cellStyle name="Moeda 8 4 2" xfId="455" xr:uid="{00000000-0005-0000-0000-0000C51E0000}"/>
    <cellStyle name="Moeda 8 4 2 2" xfId="2571" xr:uid="{00000000-0005-0000-0000-0000C61E0000}"/>
    <cellStyle name="Moeda 8 4 2 2 2" xfId="22425" xr:uid="{00000000-0005-0000-0000-0000C71E0000}"/>
    <cellStyle name="Moeda 8 4 2 2 2 2" xfId="22699" xr:uid="{00000000-0005-0000-0000-0000C81E0000}"/>
    <cellStyle name="Moeda 8 4 2 2 2 2 2" xfId="23240" xr:uid="{00000000-0005-0000-0000-0000C91E0000}"/>
    <cellStyle name="Moeda 8 4 2 2 2 2 2 2" xfId="24127" xr:uid="{00000000-0005-0000-0000-0000CA1E0000}"/>
    <cellStyle name="Moeda 8 4 2 2 2 2 2 2 2" xfId="25903" xr:uid="{00000000-0005-0000-0000-0000CB1E0000}"/>
    <cellStyle name="Moeda 8 4 2 2 2 2 2 3" xfId="25015" xr:uid="{00000000-0005-0000-0000-0000CC1E0000}"/>
    <cellStyle name="Moeda 8 4 2 2 2 2 3" xfId="23624" xr:uid="{00000000-0005-0000-0000-0000CD1E0000}"/>
    <cellStyle name="Moeda 8 4 2 2 2 2 3 2" xfId="25400" xr:uid="{00000000-0005-0000-0000-0000CE1E0000}"/>
    <cellStyle name="Moeda 8 4 2 2 2 2 4" xfId="24512" xr:uid="{00000000-0005-0000-0000-0000CF1E0000}"/>
    <cellStyle name="Moeda 8 4 2 2 3" xfId="22619" xr:uid="{00000000-0005-0000-0000-0000D01E0000}"/>
    <cellStyle name="Moeda 8 4 2 2 3 2" xfId="23175" xr:uid="{00000000-0005-0000-0000-0000D11E0000}"/>
    <cellStyle name="Moeda 8 4 2 2 3 2 2" xfId="24062" xr:uid="{00000000-0005-0000-0000-0000D21E0000}"/>
    <cellStyle name="Moeda 8 4 2 2 3 2 2 2" xfId="25838" xr:uid="{00000000-0005-0000-0000-0000D31E0000}"/>
    <cellStyle name="Moeda 8 4 2 2 3 2 3" xfId="24950" xr:uid="{00000000-0005-0000-0000-0000D41E0000}"/>
    <cellStyle name="Moeda 8 4 2 2 3 3" xfId="23559" xr:uid="{00000000-0005-0000-0000-0000D51E0000}"/>
    <cellStyle name="Moeda 8 4 2 2 3 3 2" xfId="25335" xr:uid="{00000000-0005-0000-0000-0000D61E0000}"/>
    <cellStyle name="Moeda 8 4 2 2 3 4" xfId="24447" xr:uid="{00000000-0005-0000-0000-0000D71E0000}"/>
    <cellStyle name="Moeda 8 4 2 3" xfId="22590" xr:uid="{00000000-0005-0000-0000-0000D81E0000}"/>
    <cellStyle name="Moeda 8 4 2 3 2" xfId="23146" xr:uid="{00000000-0005-0000-0000-0000D91E0000}"/>
    <cellStyle name="Moeda 8 4 2 3 2 2" xfId="24033" xr:uid="{00000000-0005-0000-0000-0000DA1E0000}"/>
    <cellStyle name="Moeda 8 4 2 3 2 2 2" xfId="25809" xr:uid="{00000000-0005-0000-0000-0000DB1E0000}"/>
    <cellStyle name="Moeda 8 4 2 3 2 3" xfId="24921" xr:uid="{00000000-0005-0000-0000-0000DC1E0000}"/>
    <cellStyle name="Moeda 8 4 2 3 3" xfId="23530" xr:uid="{00000000-0005-0000-0000-0000DD1E0000}"/>
    <cellStyle name="Moeda 8 4 2 3 3 2" xfId="25306" xr:uid="{00000000-0005-0000-0000-0000DE1E0000}"/>
    <cellStyle name="Moeda 8 4 2 3 4" xfId="24418" xr:uid="{00000000-0005-0000-0000-0000DF1E0000}"/>
    <cellStyle name="Moeda 8 4 2 4" xfId="2482" xr:uid="{00000000-0005-0000-0000-0000E01E0000}"/>
    <cellStyle name="Moeda 8 4 3" xfId="22295" xr:uid="{00000000-0005-0000-0000-0000E11E0000}"/>
    <cellStyle name="Moeda 8 4 3 2" xfId="22311" xr:uid="{00000000-0005-0000-0000-0000E21E0000}"/>
    <cellStyle name="Moeda 8 4 3 2 2" xfId="22649" xr:uid="{00000000-0005-0000-0000-0000E31E0000}"/>
    <cellStyle name="Moeda 8 4 3 2 2 2" xfId="23205" xr:uid="{00000000-0005-0000-0000-0000E41E0000}"/>
    <cellStyle name="Moeda 8 4 3 2 2 2 2" xfId="24092" xr:uid="{00000000-0005-0000-0000-0000E51E0000}"/>
    <cellStyle name="Moeda 8 4 3 2 2 2 2 2" xfId="25868" xr:uid="{00000000-0005-0000-0000-0000E61E0000}"/>
    <cellStyle name="Moeda 8 4 3 2 2 2 3" xfId="24980" xr:uid="{00000000-0005-0000-0000-0000E71E0000}"/>
    <cellStyle name="Moeda 8 4 3 2 2 3" xfId="23589" xr:uid="{00000000-0005-0000-0000-0000E81E0000}"/>
    <cellStyle name="Moeda 8 4 3 2 2 3 2" xfId="25365" xr:uid="{00000000-0005-0000-0000-0000E91E0000}"/>
    <cellStyle name="Moeda 8 4 3 2 2 4" xfId="24477" xr:uid="{00000000-0005-0000-0000-0000EA1E0000}"/>
    <cellStyle name="Moeda 8 4 3 3" xfId="22333" xr:uid="{00000000-0005-0000-0000-0000EB1E0000}"/>
    <cellStyle name="Moeda 8 4 3 3 2" xfId="22375" xr:uid="{00000000-0005-0000-0000-0000EC1E0000}"/>
    <cellStyle name="Moeda 8 4 3 3 2 2" xfId="22673" xr:uid="{00000000-0005-0000-0000-0000ED1E0000}"/>
    <cellStyle name="Moeda 8 4 3 3 2 2 2" xfId="23229" xr:uid="{00000000-0005-0000-0000-0000EE1E0000}"/>
    <cellStyle name="Moeda 8 4 3 3 2 2 2 2" xfId="24116" xr:uid="{00000000-0005-0000-0000-0000EF1E0000}"/>
    <cellStyle name="Moeda 8 4 3 3 2 2 2 2 2" xfId="25892" xr:uid="{00000000-0005-0000-0000-0000F01E0000}"/>
    <cellStyle name="Moeda 8 4 3 3 2 2 2 3" xfId="25004" xr:uid="{00000000-0005-0000-0000-0000F11E0000}"/>
    <cellStyle name="Moeda 8 4 3 3 2 2 3" xfId="23613" xr:uid="{00000000-0005-0000-0000-0000F21E0000}"/>
    <cellStyle name="Moeda 8 4 3 3 2 2 3 2" xfId="25389" xr:uid="{00000000-0005-0000-0000-0000F31E0000}"/>
    <cellStyle name="Moeda 8 4 3 3 2 2 4" xfId="24501" xr:uid="{00000000-0005-0000-0000-0000F41E0000}"/>
    <cellStyle name="Moeda 8 4 3 3 3" xfId="22410" xr:uid="{00000000-0005-0000-0000-0000F51E0000}"/>
    <cellStyle name="Moeda 8 4 3 3 3 2" xfId="22684" xr:uid="{00000000-0005-0000-0000-0000F61E0000}"/>
    <cellStyle name="Moeda 8 4 3 3 3 2 2" xfId="23235" xr:uid="{00000000-0005-0000-0000-0000F71E0000}"/>
    <cellStyle name="Moeda 8 4 3 3 3 2 2 2" xfId="24122" xr:uid="{00000000-0005-0000-0000-0000F81E0000}"/>
    <cellStyle name="Moeda 8 4 3 3 3 2 2 2 2" xfId="25898" xr:uid="{00000000-0005-0000-0000-0000F91E0000}"/>
    <cellStyle name="Moeda 8 4 3 3 3 2 2 3" xfId="25010" xr:uid="{00000000-0005-0000-0000-0000FA1E0000}"/>
    <cellStyle name="Moeda 8 4 3 3 3 2 3" xfId="23619" xr:uid="{00000000-0005-0000-0000-0000FB1E0000}"/>
    <cellStyle name="Moeda 8 4 3 3 3 2 3 2" xfId="25395" xr:uid="{00000000-0005-0000-0000-0000FC1E0000}"/>
    <cellStyle name="Moeda 8 4 3 3 3 2 4" xfId="24507" xr:uid="{00000000-0005-0000-0000-0000FD1E0000}"/>
    <cellStyle name="Moeda 8 4 3 3 4" xfId="22657" xr:uid="{00000000-0005-0000-0000-0000FE1E0000}"/>
    <cellStyle name="Moeda 8 4 3 3 4 2" xfId="23213" xr:uid="{00000000-0005-0000-0000-0000FF1E0000}"/>
    <cellStyle name="Moeda 8 4 3 3 4 2 2" xfId="24100" xr:uid="{00000000-0005-0000-0000-0000001F0000}"/>
    <cellStyle name="Moeda 8 4 3 3 4 2 2 2" xfId="25876" xr:uid="{00000000-0005-0000-0000-0000011F0000}"/>
    <cellStyle name="Moeda 8 4 3 3 4 2 3" xfId="24988" xr:uid="{00000000-0005-0000-0000-0000021F0000}"/>
    <cellStyle name="Moeda 8 4 3 3 4 3" xfId="23597" xr:uid="{00000000-0005-0000-0000-0000031F0000}"/>
    <cellStyle name="Moeda 8 4 3 3 4 3 2" xfId="25373" xr:uid="{00000000-0005-0000-0000-0000041F0000}"/>
    <cellStyle name="Moeda 8 4 3 3 4 4" xfId="24485" xr:uid="{00000000-0005-0000-0000-0000051F0000}"/>
    <cellStyle name="Moeda 8 4 3 4" xfId="22349" xr:uid="{00000000-0005-0000-0000-0000061F0000}"/>
    <cellStyle name="Moeda 8 4 3 4 2" xfId="22663" xr:uid="{00000000-0005-0000-0000-0000071F0000}"/>
    <cellStyle name="Moeda 8 4 3 4 2 2" xfId="23219" xr:uid="{00000000-0005-0000-0000-0000081F0000}"/>
    <cellStyle name="Moeda 8 4 3 4 2 2 2" xfId="24106" xr:uid="{00000000-0005-0000-0000-0000091F0000}"/>
    <cellStyle name="Moeda 8 4 3 4 2 2 2 2" xfId="25882" xr:uid="{00000000-0005-0000-0000-00000A1F0000}"/>
    <cellStyle name="Moeda 8 4 3 4 2 2 3" xfId="24994" xr:uid="{00000000-0005-0000-0000-00000B1F0000}"/>
    <cellStyle name="Moeda 8 4 3 4 2 3" xfId="23603" xr:uid="{00000000-0005-0000-0000-00000C1F0000}"/>
    <cellStyle name="Moeda 8 4 3 4 2 3 2" xfId="25379" xr:uid="{00000000-0005-0000-0000-00000D1F0000}"/>
    <cellStyle name="Moeda 8 4 3 4 2 4" xfId="24491" xr:uid="{00000000-0005-0000-0000-00000E1F0000}"/>
    <cellStyle name="Moeda 8 4 3 5" xfId="22643" xr:uid="{00000000-0005-0000-0000-00000F1F0000}"/>
    <cellStyle name="Moeda 8 4 3 5 2" xfId="23199" xr:uid="{00000000-0005-0000-0000-0000101F0000}"/>
    <cellStyle name="Moeda 8 4 3 5 2 2" xfId="24086" xr:uid="{00000000-0005-0000-0000-0000111F0000}"/>
    <cellStyle name="Moeda 8 4 3 5 2 2 2" xfId="25862" xr:uid="{00000000-0005-0000-0000-0000121F0000}"/>
    <cellStyle name="Moeda 8 4 3 5 2 3" xfId="24974" xr:uid="{00000000-0005-0000-0000-0000131F0000}"/>
    <cellStyle name="Moeda 8 4 3 5 3" xfId="23583" xr:uid="{00000000-0005-0000-0000-0000141F0000}"/>
    <cellStyle name="Moeda 8 4 3 5 3 2" xfId="25359" xr:uid="{00000000-0005-0000-0000-0000151F0000}"/>
    <cellStyle name="Moeda 8 4 3 5 4" xfId="24471" xr:uid="{00000000-0005-0000-0000-0000161F0000}"/>
    <cellStyle name="Moeda 8 4 4" xfId="22582" xr:uid="{00000000-0005-0000-0000-0000171F0000}"/>
    <cellStyle name="Moeda 8 4 4 2" xfId="23138" xr:uid="{00000000-0005-0000-0000-0000181F0000}"/>
    <cellStyle name="Moeda 8 4 4 2 2" xfId="24025" xr:uid="{00000000-0005-0000-0000-0000191F0000}"/>
    <cellStyle name="Moeda 8 4 4 2 2 2" xfId="25801" xr:uid="{00000000-0005-0000-0000-00001A1F0000}"/>
    <cellStyle name="Moeda 8 4 4 2 3" xfId="24913" xr:uid="{00000000-0005-0000-0000-00001B1F0000}"/>
    <cellStyle name="Moeda 8 4 4 3" xfId="23522" xr:uid="{00000000-0005-0000-0000-00001C1F0000}"/>
    <cellStyle name="Moeda 8 4 4 3 2" xfId="25298" xr:uid="{00000000-0005-0000-0000-00001D1F0000}"/>
    <cellStyle name="Moeda 8 4 4 4" xfId="24410" xr:uid="{00000000-0005-0000-0000-00001E1F0000}"/>
    <cellStyle name="Moeda 8 4 5" xfId="26034" xr:uid="{00000000-0005-0000-0000-00001F1F0000}"/>
    <cellStyle name="Moeda 8 4 6" xfId="2471" xr:uid="{00000000-0005-0000-0000-0000201F0000}"/>
    <cellStyle name="Moeda 9" xfId="456" xr:uid="{00000000-0005-0000-0000-0000211F0000}"/>
    <cellStyle name="Moeda 9 2" xfId="457" xr:uid="{00000000-0005-0000-0000-0000221F0000}"/>
    <cellStyle name="Moeda 9 2 2" xfId="22573" xr:uid="{00000000-0005-0000-0000-0000231F0000}"/>
    <cellStyle name="Moeda 9 2 2 2" xfId="23129" xr:uid="{00000000-0005-0000-0000-0000241F0000}"/>
    <cellStyle name="Moeda 9 2 2 2 2" xfId="24016" xr:uid="{00000000-0005-0000-0000-0000251F0000}"/>
    <cellStyle name="Moeda 9 2 2 2 2 2" xfId="25792" xr:uid="{00000000-0005-0000-0000-0000261F0000}"/>
    <cellStyle name="Moeda 9 2 2 2 3" xfId="24904" xr:uid="{00000000-0005-0000-0000-0000271F0000}"/>
    <cellStyle name="Moeda 9 2 2 3" xfId="23513" xr:uid="{00000000-0005-0000-0000-0000281F0000}"/>
    <cellStyle name="Moeda 9 2 2 3 2" xfId="25289" xr:uid="{00000000-0005-0000-0000-0000291F0000}"/>
    <cellStyle name="Moeda 9 2 2 4" xfId="24401" xr:uid="{00000000-0005-0000-0000-00002A1F0000}"/>
    <cellStyle name="Moeda 9 2 3" xfId="22980" xr:uid="{00000000-0005-0000-0000-00002B1F0000}"/>
    <cellStyle name="Moeda 9 2 3 2" xfId="23867" xr:uid="{00000000-0005-0000-0000-00002C1F0000}"/>
    <cellStyle name="Moeda 9 2 3 2 2" xfId="25643" xr:uid="{00000000-0005-0000-0000-00002D1F0000}"/>
    <cellStyle name="Moeda 9 2 3 3" xfId="24755" xr:uid="{00000000-0005-0000-0000-00002E1F0000}"/>
    <cellStyle name="Moeda 9 2 4" xfId="23364" xr:uid="{00000000-0005-0000-0000-00002F1F0000}"/>
    <cellStyle name="Moeda 9 2 4 2" xfId="25140" xr:uid="{00000000-0005-0000-0000-0000301F0000}"/>
    <cellStyle name="Moeda 9 2 5" xfId="24252" xr:uid="{00000000-0005-0000-0000-0000311F0000}"/>
    <cellStyle name="Moeda 9 2 6" xfId="26026" xr:uid="{00000000-0005-0000-0000-0000321F0000}"/>
    <cellStyle name="Moeda 9 2 7" xfId="2462" xr:uid="{00000000-0005-0000-0000-0000331F0000}"/>
    <cellStyle name="Moeda 9 2 8" xfId="26431" xr:uid="{00000000-0005-0000-0000-0000341F0000}"/>
    <cellStyle name="Moeda 9 3" xfId="2309" xr:uid="{00000000-0005-0000-0000-0000351F0000}"/>
    <cellStyle name="Neutra 2" xfId="458" xr:uid="{00000000-0005-0000-0000-0000371F0000}"/>
    <cellStyle name="Neutra 2 2" xfId="459" xr:uid="{00000000-0005-0000-0000-0000381F0000}"/>
    <cellStyle name="Neutra 2 3" xfId="460" xr:uid="{00000000-0005-0000-0000-0000391F0000}"/>
    <cellStyle name="Neutra 2 4" xfId="461" xr:uid="{00000000-0005-0000-0000-00003A1F0000}"/>
    <cellStyle name="Neutra 3" xfId="2301" xr:uid="{00000000-0005-0000-0000-00003B1F0000}"/>
    <cellStyle name="Neutral" xfId="462" xr:uid="{00000000-0005-0000-0000-00003C1F0000}"/>
    <cellStyle name="Neutro" xfId="463" builtinId="28" customBuiltin="1"/>
    <cellStyle name="Neutro 2" xfId="26223" xr:uid="{00000000-0005-0000-0000-00003D1F0000}"/>
    <cellStyle name="Normal" xfId="0" builtinId="0" customBuiltin="1"/>
    <cellStyle name="Normal - Style1" xfId="26698" xr:uid="{00000000-0005-0000-0000-00003F1F0000}"/>
    <cellStyle name="Normal 10" xfId="61" xr:uid="{00000000-0005-0000-0000-0000401F0000}"/>
    <cellStyle name="Normal 10 2" xfId="464" xr:uid="{00000000-0005-0000-0000-0000411F0000}"/>
    <cellStyle name="Normal 10 2 2" xfId="465" xr:uid="{00000000-0005-0000-0000-0000421F0000}"/>
    <cellStyle name="Normal 10 3" xfId="466" xr:uid="{00000000-0005-0000-0000-0000431F0000}"/>
    <cellStyle name="Normal 100" xfId="26699" xr:uid="{00000000-0005-0000-0000-0000441F0000}"/>
    <cellStyle name="Normal 101" xfId="26700" xr:uid="{00000000-0005-0000-0000-0000451F0000}"/>
    <cellStyle name="Normal 102" xfId="26701" xr:uid="{00000000-0005-0000-0000-0000461F0000}"/>
    <cellStyle name="Normal 103" xfId="26702" xr:uid="{00000000-0005-0000-0000-0000471F0000}"/>
    <cellStyle name="Normal 104" xfId="26703" xr:uid="{00000000-0005-0000-0000-0000481F0000}"/>
    <cellStyle name="Normal 105" xfId="26704" xr:uid="{00000000-0005-0000-0000-0000491F0000}"/>
    <cellStyle name="Normal 106" xfId="26705" xr:uid="{00000000-0005-0000-0000-00004A1F0000}"/>
    <cellStyle name="Normal 107" xfId="26706" xr:uid="{00000000-0005-0000-0000-00004B1F0000}"/>
    <cellStyle name="Normal 108" xfId="26707" xr:uid="{00000000-0005-0000-0000-00004C1F0000}"/>
    <cellStyle name="Normal 109" xfId="26708" xr:uid="{00000000-0005-0000-0000-00004D1F0000}"/>
    <cellStyle name="Normal 11" xfId="467" xr:uid="{00000000-0005-0000-0000-00004E1F0000}"/>
    <cellStyle name="Normal 11 2" xfId="468" xr:uid="{00000000-0005-0000-0000-00004F1F0000}"/>
    <cellStyle name="Normal 11 2 2" xfId="26709" xr:uid="{00000000-0005-0000-0000-0000501F0000}"/>
    <cellStyle name="Normal 11 3" xfId="26710" xr:uid="{00000000-0005-0000-0000-0000511F0000}"/>
    <cellStyle name="Normal 110" xfId="26711" xr:uid="{00000000-0005-0000-0000-0000521F0000}"/>
    <cellStyle name="Normal 111" xfId="26712" xr:uid="{00000000-0005-0000-0000-0000531F0000}"/>
    <cellStyle name="Normal 112" xfId="26713" xr:uid="{00000000-0005-0000-0000-0000541F0000}"/>
    <cellStyle name="Normal 113" xfId="26714" xr:uid="{00000000-0005-0000-0000-0000551F0000}"/>
    <cellStyle name="Normal 114" xfId="26715" xr:uid="{00000000-0005-0000-0000-0000561F0000}"/>
    <cellStyle name="Normal 115" xfId="26716" xr:uid="{00000000-0005-0000-0000-0000571F0000}"/>
    <cellStyle name="Normal 116" xfId="26717" xr:uid="{00000000-0005-0000-0000-0000581F0000}"/>
    <cellStyle name="Normal 117" xfId="26718" xr:uid="{00000000-0005-0000-0000-0000591F0000}"/>
    <cellStyle name="Normal 118" xfId="26719" xr:uid="{00000000-0005-0000-0000-00005A1F0000}"/>
    <cellStyle name="Normal 119" xfId="26720" xr:uid="{00000000-0005-0000-0000-00005B1F0000}"/>
    <cellStyle name="Normal 12" xfId="469" xr:uid="{00000000-0005-0000-0000-00005C1F0000}"/>
    <cellStyle name="Normal 12 2" xfId="470" xr:uid="{00000000-0005-0000-0000-00005D1F0000}"/>
    <cellStyle name="Normal 12 2 2" xfId="26721" xr:uid="{00000000-0005-0000-0000-00005E1F0000}"/>
    <cellStyle name="Normal 12 3" xfId="26722" xr:uid="{00000000-0005-0000-0000-00005F1F0000}"/>
    <cellStyle name="Normal 12 4" xfId="26723" xr:uid="{00000000-0005-0000-0000-0000601F0000}"/>
    <cellStyle name="Normal 120" xfId="26724" xr:uid="{00000000-0005-0000-0000-0000611F0000}"/>
    <cellStyle name="Normal 121" xfId="26725" xr:uid="{00000000-0005-0000-0000-0000621F0000}"/>
    <cellStyle name="Normal 122" xfId="26726" xr:uid="{00000000-0005-0000-0000-0000631F0000}"/>
    <cellStyle name="Normal 123" xfId="26727" xr:uid="{00000000-0005-0000-0000-0000641F0000}"/>
    <cellStyle name="Normal 124" xfId="26728" xr:uid="{00000000-0005-0000-0000-0000651F0000}"/>
    <cellStyle name="Normal 125" xfId="26729" xr:uid="{00000000-0005-0000-0000-0000661F0000}"/>
    <cellStyle name="Normal 126" xfId="26730" xr:uid="{00000000-0005-0000-0000-0000671F0000}"/>
    <cellStyle name="Normal 127" xfId="26731" xr:uid="{00000000-0005-0000-0000-0000681F0000}"/>
    <cellStyle name="Normal 128" xfId="26732" xr:uid="{00000000-0005-0000-0000-0000691F0000}"/>
    <cellStyle name="Normal 129" xfId="26733" xr:uid="{00000000-0005-0000-0000-00006A1F0000}"/>
    <cellStyle name="Normal 13" xfId="471" xr:uid="{00000000-0005-0000-0000-00006B1F0000}"/>
    <cellStyle name="Normal 13 10" xfId="26734" xr:uid="{00000000-0005-0000-0000-00006C1F0000}"/>
    <cellStyle name="Normal 13 10 2" xfId="26735" xr:uid="{00000000-0005-0000-0000-00006D1F0000}"/>
    <cellStyle name="Normal 13 10 3" xfId="26736" xr:uid="{00000000-0005-0000-0000-00006E1F0000}"/>
    <cellStyle name="Normal 13 10 4" xfId="26737" xr:uid="{00000000-0005-0000-0000-00006F1F0000}"/>
    <cellStyle name="Normal 13 11" xfId="26738" xr:uid="{00000000-0005-0000-0000-0000701F0000}"/>
    <cellStyle name="Normal 13 11 2" xfId="26739" xr:uid="{00000000-0005-0000-0000-0000711F0000}"/>
    <cellStyle name="Normal 13 11 3" xfId="26740" xr:uid="{00000000-0005-0000-0000-0000721F0000}"/>
    <cellStyle name="Normal 13 11 4" xfId="26741" xr:uid="{00000000-0005-0000-0000-0000731F0000}"/>
    <cellStyle name="Normal 13 12" xfId="26742" xr:uid="{00000000-0005-0000-0000-0000741F0000}"/>
    <cellStyle name="Normal 13 12 2" xfId="26743" xr:uid="{00000000-0005-0000-0000-0000751F0000}"/>
    <cellStyle name="Normal 13 12 3" xfId="26744" xr:uid="{00000000-0005-0000-0000-0000761F0000}"/>
    <cellStyle name="Normal 13 12 4" xfId="26745" xr:uid="{00000000-0005-0000-0000-0000771F0000}"/>
    <cellStyle name="Normal 13 13" xfId="26746" xr:uid="{00000000-0005-0000-0000-0000781F0000}"/>
    <cellStyle name="Normal 13 13 2" xfId="26747" xr:uid="{00000000-0005-0000-0000-0000791F0000}"/>
    <cellStyle name="Normal 13 13 3" xfId="26748" xr:uid="{00000000-0005-0000-0000-00007A1F0000}"/>
    <cellStyle name="Normal 13 14" xfId="26749" xr:uid="{00000000-0005-0000-0000-00007B1F0000}"/>
    <cellStyle name="Normal 13 14 2" xfId="26750" xr:uid="{00000000-0005-0000-0000-00007C1F0000}"/>
    <cellStyle name="Normal 13 15" xfId="26751" xr:uid="{00000000-0005-0000-0000-00007D1F0000}"/>
    <cellStyle name="Normal 13 16" xfId="26752" xr:uid="{00000000-0005-0000-0000-00007E1F0000}"/>
    <cellStyle name="Normal 13 2" xfId="472" xr:uid="{00000000-0005-0000-0000-00007F1F0000}"/>
    <cellStyle name="Normal 13 2 10" xfId="26753" xr:uid="{00000000-0005-0000-0000-0000801F0000}"/>
    <cellStyle name="Normal 13 2 10 2" xfId="26754" xr:uid="{00000000-0005-0000-0000-0000811F0000}"/>
    <cellStyle name="Normal 13 2 10 3" xfId="26755" xr:uid="{00000000-0005-0000-0000-0000821F0000}"/>
    <cellStyle name="Normal 13 2 10 4" xfId="26756" xr:uid="{00000000-0005-0000-0000-0000831F0000}"/>
    <cellStyle name="Normal 13 2 11" xfId="26757" xr:uid="{00000000-0005-0000-0000-0000841F0000}"/>
    <cellStyle name="Normal 13 2 11 2" xfId="26758" xr:uid="{00000000-0005-0000-0000-0000851F0000}"/>
    <cellStyle name="Normal 13 2 11 3" xfId="26759" xr:uid="{00000000-0005-0000-0000-0000861F0000}"/>
    <cellStyle name="Normal 13 2 12" xfId="26760" xr:uid="{00000000-0005-0000-0000-0000871F0000}"/>
    <cellStyle name="Normal 13 2 12 2" xfId="26761" xr:uid="{00000000-0005-0000-0000-0000881F0000}"/>
    <cellStyle name="Normal 13 2 13" xfId="26762" xr:uid="{00000000-0005-0000-0000-0000891F0000}"/>
    <cellStyle name="Normal 13 2 14" xfId="26763" xr:uid="{00000000-0005-0000-0000-00008A1F0000}"/>
    <cellStyle name="Normal 13 2 2" xfId="26764" xr:uid="{00000000-0005-0000-0000-00008B1F0000}"/>
    <cellStyle name="Normal 13 2 2 2" xfId="26765" xr:uid="{00000000-0005-0000-0000-00008C1F0000}"/>
    <cellStyle name="Normal 13 2 2 2 2" xfId="26766" xr:uid="{00000000-0005-0000-0000-00008D1F0000}"/>
    <cellStyle name="Normal 13 2 2 2 2 2" xfId="26767" xr:uid="{00000000-0005-0000-0000-00008E1F0000}"/>
    <cellStyle name="Normal 13 2 2 2 2 2 2" xfId="26768" xr:uid="{00000000-0005-0000-0000-00008F1F0000}"/>
    <cellStyle name="Normal 13 2 2 2 2 2 3" xfId="26769" xr:uid="{00000000-0005-0000-0000-0000901F0000}"/>
    <cellStyle name="Normal 13 2 2 2 2 2 4" xfId="26770" xr:uid="{00000000-0005-0000-0000-0000911F0000}"/>
    <cellStyle name="Normal 13 2 2 2 2 3" xfId="26771" xr:uid="{00000000-0005-0000-0000-0000921F0000}"/>
    <cellStyle name="Normal 13 2 2 2 2 4" xfId="26772" xr:uid="{00000000-0005-0000-0000-0000931F0000}"/>
    <cellStyle name="Normal 13 2 2 2 2 5" xfId="26773" xr:uid="{00000000-0005-0000-0000-0000941F0000}"/>
    <cellStyle name="Normal 13 2 2 2 3" xfId="26774" xr:uid="{00000000-0005-0000-0000-0000951F0000}"/>
    <cellStyle name="Normal 13 2 2 2 3 2" xfId="26775" xr:uid="{00000000-0005-0000-0000-0000961F0000}"/>
    <cellStyle name="Normal 13 2 2 2 3 3" xfId="26776" xr:uid="{00000000-0005-0000-0000-0000971F0000}"/>
    <cellStyle name="Normal 13 2 2 2 3 4" xfId="26777" xr:uid="{00000000-0005-0000-0000-0000981F0000}"/>
    <cellStyle name="Normal 13 2 2 2 4" xfId="26778" xr:uid="{00000000-0005-0000-0000-0000991F0000}"/>
    <cellStyle name="Normal 13 2 2 2 5" xfId="26779" xr:uid="{00000000-0005-0000-0000-00009A1F0000}"/>
    <cellStyle name="Normal 13 2 2 2 6" xfId="26780" xr:uid="{00000000-0005-0000-0000-00009B1F0000}"/>
    <cellStyle name="Normal 13 2 2 3" xfId="26781" xr:uid="{00000000-0005-0000-0000-00009C1F0000}"/>
    <cellStyle name="Normal 13 2 2 3 2" xfId="26782" xr:uid="{00000000-0005-0000-0000-00009D1F0000}"/>
    <cellStyle name="Normal 13 2 2 3 2 2" xfId="26783" xr:uid="{00000000-0005-0000-0000-00009E1F0000}"/>
    <cellStyle name="Normal 13 2 2 3 2 3" xfId="26784" xr:uid="{00000000-0005-0000-0000-00009F1F0000}"/>
    <cellStyle name="Normal 13 2 2 3 2 4" xfId="26785" xr:uid="{00000000-0005-0000-0000-0000A01F0000}"/>
    <cellStyle name="Normal 13 2 2 3 3" xfId="26786" xr:uid="{00000000-0005-0000-0000-0000A11F0000}"/>
    <cellStyle name="Normal 13 2 2 3 4" xfId="26787" xr:uid="{00000000-0005-0000-0000-0000A21F0000}"/>
    <cellStyle name="Normal 13 2 2 3 5" xfId="26788" xr:uid="{00000000-0005-0000-0000-0000A31F0000}"/>
    <cellStyle name="Normal 13 2 2 4" xfId="26789" xr:uid="{00000000-0005-0000-0000-0000A41F0000}"/>
    <cellStyle name="Normal 13 2 2 4 2" xfId="26790" xr:uid="{00000000-0005-0000-0000-0000A51F0000}"/>
    <cellStyle name="Normal 13 2 2 4 3" xfId="26791" xr:uid="{00000000-0005-0000-0000-0000A61F0000}"/>
    <cellStyle name="Normal 13 2 2 4 4" xfId="26792" xr:uid="{00000000-0005-0000-0000-0000A71F0000}"/>
    <cellStyle name="Normal 13 2 2 5" xfId="26793" xr:uid="{00000000-0005-0000-0000-0000A81F0000}"/>
    <cellStyle name="Normal 13 2 2 5 2" xfId="26794" xr:uid="{00000000-0005-0000-0000-0000A91F0000}"/>
    <cellStyle name="Normal 13 2 2 5 3" xfId="26795" xr:uid="{00000000-0005-0000-0000-0000AA1F0000}"/>
    <cellStyle name="Normal 13 2 2 5 4" xfId="26796" xr:uid="{00000000-0005-0000-0000-0000AB1F0000}"/>
    <cellStyle name="Normal 13 2 2 6" xfId="26797" xr:uid="{00000000-0005-0000-0000-0000AC1F0000}"/>
    <cellStyle name="Normal 13 2 2 6 2" xfId="26798" xr:uid="{00000000-0005-0000-0000-0000AD1F0000}"/>
    <cellStyle name="Normal 13 2 2 6 3" xfId="26799" xr:uid="{00000000-0005-0000-0000-0000AE1F0000}"/>
    <cellStyle name="Normal 13 2 2 7" xfId="26800" xr:uid="{00000000-0005-0000-0000-0000AF1F0000}"/>
    <cellStyle name="Normal 13 2 2 8" xfId="26801" xr:uid="{00000000-0005-0000-0000-0000B01F0000}"/>
    <cellStyle name="Normal 13 2 2 9" xfId="26802" xr:uid="{00000000-0005-0000-0000-0000B11F0000}"/>
    <cellStyle name="Normal 13 2 3" xfId="26803" xr:uid="{00000000-0005-0000-0000-0000B21F0000}"/>
    <cellStyle name="Normal 13 2 3 2" xfId="26804" xr:uid="{00000000-0005-0000-0000-0000B31F0000}"/>
    <cellStyle name="Normal 13 2 3 2 2" xfId="26805" xr:uid="{00000000-0005-0000-0000-0000B41F0000}"/>
    <cellStyle name="Normal 13 2 3 2 2 2" xfId="26806" xr:uid="{00000000-0005-0000-0000-0000B51F0000}"/>
    <cellStyle name="Normal 13 2 3 2 2 2 2" xfId="26807" xr:uid="{00000000-0005-0000-0000-0000B61F0000}"/>
    <cellStyle name="Normal 13 2 3 2 2 2 3" xfId="26808" xr:uid="{00000000-0005-0000-0000-0000B71F0000}"/>
    <cellStyle name="Normal 13 2 3 2 2 2 4" xfId="26809" xr:uid="{00000000-0005-0000-0000-0000B81F0000}"/>
    <cellStyle name="Normal 13 2 3 2 2 3" xfId="26810" xr:uid="{00000000-0005-0000-0000-0000B91F0000}"/>
    <cellStyle name="Normal 13 2 3 2 2 4" xfId="26811" xr:uid="{00000000-0005-0000-0000-0000BA1F0000}"/>
    <cellStyle name="Normal 13 2 3 2 2 5" xfId="26812" xr:uid="{00000000-0005-0000-0000-0000BB1F0000}"/>
    <cellStyle name="Normal 13 2 3 2 3" xfId="26813" xr:uid="{00000000-0005-0000-0000-0000BC1F0000}"/>
    <cellStyle name="Normal 13 2 3 2 3 2" xfId="26814" xr:uid="{00000000-0005-0000-0000-0000BD1F0000}"/>
    <cellStyle name="Normal 13 2 3 2 3 3" xfId="26815" xr:uid="{00000000-0005-0000-0000-0000BE1F0000}"/>
    <cellStyle name="Normal 13 2 3 2 3 4" xfId="26816" xr:uid="{00000000-0005-0000-0000-0000BF1F0000}"/>
    <cellStyle name="Normal 13 2 3 2 4" xfId="26817" xr:uid="{00000000-0005-0000-0000-0000C01F0000}"/>
    <cellStyle name="Normal 13 2 3 2 5" xfId="26818" xr:uid="{00000000-0005-0000-0000-0000C11F0000}"/>
    <cellStyle name="Normal 13 2 3 2 6" xfId="26819" xr:uid="{00000000-0005-0000-0000-0000C21F0000}"/>
    <cellStyle name="Normal 13 2 3 3" xfId="26820" xr:uid="{00000000-0005-0000-0000-0000C31F0000}"/>
    <cellStyle name="Normal 13 2 3 3 2" xfId="26821" xr:uid="{00000000-0005-0000-0000-0000C41F0000}"/>
    <cellStyle name="Normal 13 2 3 3 2 2" xfId="26822" xr:uid="{00000000-0005-0000-0000-0000C51F0000}"/>
    <cellStyle name="Normal 13 2 3 3 2 3" xfId="26823" xr:uid="{00000000-0005-0000-0000-0000C61F0000}"/>
    <cellStyle name="Normal 13 2 3 3 2 4" xfId="26824" xr:uid="{00000000-0005-0000-0000-0000C71F0000}"/>
    <cellStyle name="Normal 13 2 3 3 3" xfId="26825" xr:uid="{00000000-0005-0000-0000-0000C81F0000}"/>
    <cellStyle name="Normal 13 2 3 3 4" xfId="26826" xr:uid="{00000000-0005-0000-0000-0000C91F0000}"/>
    <cellStyle name="Normal 13 2 3 3 5" xfId="26827" xr:uid="{00000000-0005-0000-0000-0000CA1F0000}"/>
    <cellStyle name="Normal 13 2 3 4" xfId="26828" xr:uid="{00000000-0005-0000-0000-0000CB1F0000}"/>
    <cellStyle name="Normal 13 2 3 4 2" xfId="26829" xr:uid="{00000000-0005-0000-0000-0000CC1F0000}"/>
    <cellStyle name="Normal 13 2 3 4 3" xfId="26830" xr:uid="{00000000-0005-0000-0000-0000CD1F0000}"/>
    <cellStyle name="Normal 13 2 3 4 4" xfId="26831" xr:uid="{00000000-0005-0000-0000-0000CE1F0000}"/>
    <cellStyle name="Normal 13 2 3 5" xfId="26832" xr:uid="{00000000-0005-0000-0000-0000CF1F0000}"/>
    <cellStyle name="Normal 13 2 3 5 2" xfId="26833" xr:uid="{00000000-0005-0000-0000-0000D01F0000}"/>
    <cellStyle name="Normal 13 2 3 5 3" xfId="26834" xr:uid="{00000000-0005-0000-0000-0000D11F0000}"/>
    <cellStyle name="Normal 13 2 3 5 4" xfId="26835" xr:uid="{00000000-0005-0000-0000-0000D21F0000}"/>
    <cellStyle name="Normal 13 2 3 6" xfId="26836" xr:uid="{00000000-0005-0000-0000-0000D31F0000}"/>
    <cellStyle name="Normal 13 2 3 6 2" xfId="26837" xr:uid="{00000000-0005-0000-0000-0000D41F0000}"/>
    <cellStyle name="Normal 13 2 3 6 3" xfId="26838" xr:uid="{00000000-0005-0000-0000-0000D51F0000}"/>
    <cellStyle name="Normal 13 2 3 7" xfId="26839" xr:uid="{00000000-0005-0000-0000-0000D61F0000}"/>
    <cellStyle name="Normal 13 2 3 8" xfId="26840" xr:uid="{00000000-0005-0000-0000-0000D71F0000}"/>
    <cellStyle name="Normal 13 2 3 9" xfId="26841" xr:uid="{00000000-0005-0000-0000-0000D81F0000}"/>
    <cellStyle name="Normal 13 2 4" xfId="26842" xr:uid="{00000000-0005-0000-0000-0000D91F0000}"/>
    <cellStyle name="Normal 13 2 4 2" xfId="26843" xr:uid="{00000000-0005-0000-0000-0000DA1F0000}"/>
    <cellStyle name="Normal 13 2 4 2 2" xfId="26844" xr:uid="{00000000-0005-0000-0000-0000DB1F0000}"/>
    <cellStyle name="Normal 13 2 4 2 2 2" xfId="26845" xr:uid="{00000000-0005-0000-0000-0000DC1F0000}"/>
    <cellStyle name="Normal 13 2 4 2 2 3" xfId="26846" xr:uid="{00000000-0005-0000-0000-0000DD1F0000}"/>
    <cellStyle name="Normal 13 2 4 2 2 4" xfId="26847" xr:uid="{00000000-0005-0000-0000-0000DE1F0000}"/>
    <cellStyle name="Normal 13 2 4 2 3" xfId="26848" xr:uid="{00000000-0005-0000-0000-0000DF1F0000}"/>
    <cellStyle name="Normal 13 2 4 2 4" xfId="26849" xr:uid="{00000000-0005-0000-0000-0000E01F0000}"/>
    <cellStyle name="Normal 13 2 4 2 5" xfId="26850" xr:uid="{00000000-0005-0000-0000-0000E11F0000}"/>
    <cellStyle name="Normal 13 2 4 3" xfId="26851" xr:uid="{00000000-0005-0000-0000-0000E21F0000}"/>
    <cellStyle name="Normal 13 2 4 3 2" xfId="26852" xr:uid="{00000000-0005-0000-0000-0000E31F0000}"/>
    <cellStyle name="Normal 13 2 4 3 3" xfId="26853" xr:uid="{00000000-0005-0000-0000-0000E41F0000}"/>
    <cellStyle name="Normal 13 2 4 3 4" xfId="26854" xr:uid="{00000000-0005-0000-0000-0000E51F0000}"/>
    <cellStyle name="Normal 13 2 4 4" xfId="26855" xr:uid="{00000000-0005-0000-0000-0000E61F0000}"/>
    <cellStyle name="Normal 13 2 4 5" xfId="26856" xr:uid="{00000000-0005-0000-0000-0000E71F0000}"/>
    <cellStyle name="Normal 13 2 4 6" xfId="26857" xr:uid="{00000000-0005-0000-0000-0000E81F0000}"/>
    <cellStyle name="Normal 13 2 5" xfId="26858" xr:uid="{00000000-0005-0000-0000-0000E91F0000}"/>
    <cellStyle name="Normal 13 2 5 2" xfId="26859" xr:uid="{00000000-0005-0000-0000-0000EA1F0000}"/>
    <cellStyle name="Normal 13 2 5 2 2" xfId="26860" xr:uid="{00000000-0005-0000-0000-0000EB1F0000}"/>
    <cellStyle name="Normal 13 2 5 2 2 2" xfId="26861" xr:uid="{00000000-0005-0000-0000-0000EC1F0000}"/>
    <cellStyle name="Normal 13 2 5 2 2 3" xfId="26862" xr:uid="{00000000-0005-0000-0000-0000ED1F0000}"/>
    <cellStyle name="Normal 13 2 5 2 2 4" xfId="26863" xr:uid="{00000000-0005-0000-0000-0000EE1F0000}"/>
    <cellStyle name="Normal 13 2 5 2 3" xfId="26864" xr:uid="{00000000-0005-0000-0000-0000EF1F0000}"/>
    <cellStyle name="Normal 13 2 5 2 4" xfId="26865" xr:uid="{00000000-0005-0000-0000-0000F01F0000}"/>
    <cellStyle name="Normal 13 2 5 2 5" xfId="26866" xr:uid="{00000000-0005-0000-0000-0000F11F0000}"/>
    <cellStyle name="Normal 13 2 5 3" xfId="26867" xr:uid="{00000000-0005-0000-0000-0000F21F0000}"/>
    <cellStyle name="Normal 13 2 5 3 2" xfId="26868" xr:uid="{00000000-0005-0000-0000-0000F31F0000}"/>
    <cellStyle name="Normal 13 2 5 3 3" xfId="26869" xr:uid="{00000000-0005-0000-0000-0000F41F0000}"/>
    <cellStyle name="Normal 13 2 5 3 4" xfId="26870" xr:uid="{00000000-0005-0000-0000-0000F51F0000}"/>
    <cellStyle name="Normal 13 2 5 4" xfId="26871" xr:uid="{00000000-0005-0000-0000-0000F61F0000}"/>
    <cellStyle name="Normal 13 2 5 5" xfId="26872" xr:uid="{00000000-0005-0000-0000-0000F71F0000}"/>
    <cellStyle name="Normal 13 2 5 6" xfId="26873" xr:uid="{00000000-0005-0000-0000-0000F81F0000}"/>
    <cellStyle name="Normal 13 2 6" xfId="26874" xr:uid="{00000000-0005-0000-0000-0000F91F0000}"/>
    <cellStyle name="Normal 13 2 6 2" xfId="26875" xr:uid="{00000000-0005-0000-0000-0000FA1F0000}"/>
    <cellStyle name="Normal 13 2 6 2 2" xfId="26876" xr:uid="{00000000-0005-0000-0000-0000FB1F0000}"/>
    <cellStyle name="Normal 13 2 6 2 2 2" xfId="26877" xr:uid="{00000000-0005-0000-0000-0000FC1F0000}"/>
    <cellStyle name="Normal 13 2 6 2 2 3" xfId="26878" xr:uid="{00000000-0005-0000-0000-0000FD1F0000}"/>
    <cellStyle name="Normal 13 2 6 2 2 4" xfId="26879" xr:uid="{00000000-0005-0000-0000-0000FE1F0000}"/>
    <cellStyle name="Normal 13 2 6 2 3" xfId="26880" xr:uid="{00000000-0005-0000-0000-0000FF1F0000}"/>
    <cellStyle name="Normal 13 2 6 2 4" xfId="26881" xr:uid="{00000000-0005-0000-0000-000000200000}"/>
    <cellStyle name="Normal 13 2 6 2 5" xfId="26882" xr:uid="{00000000-0005-0000-0000-000001200000}"/>
    <cellStyle name="Normal 13 2 6 3" xfId="26883" xr:uid="{00000000-0005-0000-0000-000002200000}"/>
    <cellStyle name="Normal 13 2 6 3 2" xfId="26884" xr:uid="{00000000-0005-0000-0000-000003200000}"/>
    <cellStyle name="Normal 13 2 6 3 3" xfId="26885" xr:uid="{00000000-0005-0000-0000-000004200000}"/>
    <cellStyle name="Normal 13 2 6 3 4" xfId="26886" xr:uid="{00000000-0005-0000-0000-000005200000}"/>
    <cellStyle name="Normal 13 2 6 4" xfId="26887" xr:uid="{00000000-0005-0000-0000-000006200000}"/>
    <cellStyle name="Normal 13 2 6 5" xfId="26888" xr:uid="{00000000-0005-0000-0000-000007200000}"/>
    <cellStyle name="Normal 13 2 6 6" xfId="26889" xr:uid="{00000000-0005-0000-0000-000008200000}"/>
    <cellStyle name="Normal 13 2 7" xfId="26890" xr:uid="{00000000-0005-0000-0000-000009200000}"/>
    <cellStyle name="Normal 13 2 7 2" xfId="26891" xr:uid="{00000000-0005-0000-0000-00000A200000}"/>
    <cellStyle name="Normal 13 2 7 2 2" xfId="26892" xr:uid="{00000000-0005-0000-0000-00000B200000}"/>
    <cellStyle name="Normal 13 2 7 2 3" xfId="26893" xr:uid="{00000000-0005-0000-0000-00000C200000}"/>
    <cellStyle name="Normal 13 2 7 2 4" xfId="26894" xr:uid="{00000000-0005-0000-0000-00000D200000}"/>
    <cellStyle name="Normal 13 2 7 3" xfId="26895" xr:uid="{00000000-0005-0000-0000-00000E200000}"/>
    <cellStyle name="Normal 13 2 7 4" xfId="26896" xr:uid="{00000000-0005-0000-0000-00000F200000}"/>
    <cellStyle name="Normal 13 2 7 5" xfId="26897" xr:uid="{00000000-0005-0000-0000-000010200000}"/>
    <cellStyle name="Normal 13 2 8" xfId="26898" xr:uid="{00000000-0005-0000-0000-000011200000}"/>
    <cellStyle name="Normal 13 2 8 2" xfId="26899" xr:uid="{00000000-0005-0000-0000-000012200000}"/>
    <cellStyle name="Normal 13 2 8 3" xfId="26900" xr:uid="{00000000-0005-0000-0000-000013200000}"/>
    <cellStyle name="Normal 13 2 8 4" xfId="26901" xr:uid="{00000000-0005-0000-0000-000014200000}"/>
    <cellStyle name="Normal 13 2 9" xfId="26902" xr:uid="{00000000-0005-0000-0000-000015200000}"/>
    <cellStyle name="Normal 13 2 9 2" xfId="26903" xr:uid="{00000000-0005-0000-0000-000016200000}"/>
    <cellStyle name="Normal 13 2 9 3" xfId="26904" xr:uid="{00000000-0005-0000-0000-000017200000}"/>
    <cellStyle name="Normal 13 2 9 4" xfId="26905" xr:uid="{00000000-0005-0000-0000-000018200000}"/>
    <cellStyle name="Normal 13 3" xfId="26906" xr:uid="{00000000-0005-0000-0000-000019200000}"/>
    <cellStyle name="Normal 13 3 10" xfId="26907" xr:uid="{00000000-0005-0000-0000-00001A200000}"/>
    <cellStyle name="Normal 13 3 10 2" xfId="26908" xr:uid="{00000000-0005-0000-0000-00001B200000}"/>
    <cellStyle name="Normal 13 3 10 3" xfId="26909" xr:uid="{00000000-0005-0000-0000-00001C200000}"/>
    <cellStyle name="Normal 13 3 10 4" xfId="26910" xr:uid="{00000000-0005-0000-0000-00001D200000}"/>
    <cellStyle name="Normal 13 3 11" xfId="26911" xr:uid="{00000000-0005-0000-0000-00001E200000}"/>
    <cellStyle name="Normal 13 3 11 2" xfId="26912" xr:uid="{00000000-0005-0000-0000-00001F200000}"/>
    <cellStyle name="Normal 13 3 11 3" xfId="26913" xr:uid="{00000000-0005-0000-0000-000020200000}"/>
    <cellStyle name="Normal 13 3 12" xfId="26914" xr:uid="{00000000-0005-0000-0000-000021200000}"/>
    <cellStyle name="Normal 13 3 12 2" xfId="26915" xr:uid="{00000000-0005-0000-0000-000022200000}"/>
    <cellStyle name="Normal 13 3 13" xfId="26916" xr:uid="{00000000-0005-0000-0000-000023200000}"/>
    <cellStyle name="Normal 13 3 14" xfId="26917" xr:uid="{00000000-0005-0000-0000-000024200000}"/>
    <cellStyle name="Normal 13 3 2" xfId="26918" xr:uid="{00000000-0005-0000-0000-000025200000}"/>
    <cellStyle name="Normal 13 3 2 2" xfId="26919" xr:uid="{00000000-0005-0000-0000-000026200000}"/>
    <cellStyle name="Normal 13 3 2 2 2" xfId="26920" xr:uid="{00000000-0005-0000-0000-000027200000}"/>
    <cellStyle name="Normal 13 3 2 2 2 2" xfId="26921" xr:uid="{00000000-0005-0000-0000-000028200000}"/>
    <cellStyle name="Normal 13 3 2 2 2 2 2" xfId="26922" xr:uid="{00000000-0005-0000-0000-000029200000}"/>
    <cellStyle name="Normal 13 3 2 2 2 2 3" xfId="26923" xr:uid="{00000000-0005-0000-0000-00002A200000}"/>
    <cellStyle name="Normal 13 3 2 2 2 2 4" xfId="26924" xr:uid="{00000000-0005-0000-0000-00002B200000}"/>
    <cellStyle name="Normal 13 3 2 2 2 3" xfId="26925" xr:uid="{00000000-0005-0000-0000-00002C200000}"/>
    <cellStyle name="Normal 13 3 2 2 2 4" xfId="26926" xr:uid="{00000000-0005-0000-0000-00002D200000}"/>
    <cellStyle name="Normal 13 3 2 2 2 5" xfId="26927" xr:uid="{00000000-0005-0000-0000-00002E200000}"/>
    <cellStyle name="Normal 13 3 2 2 3" xfId="26928" xr:uid="{00000000-0005-0000-0000-00002F200000}"/>
    <cellStyle name="Normal 13 3 2 2 3 2" xfId="26929" xr:uid="{00000000-0005-0000-0000-000030200000}"/>
    <cellStyle name="Normal 13 3 2 2 3 3" xfId="26930" xr:uid="{00000000-0005-0000-0000-000031200000}"/>
    <cellStyle name="Normal 13 3 2 2 3 4" xfId="26931" xr:uid="{00000000-0005-0000-0000-000032200000}"/>
    <cellStyle name="Normal 13 3 2 2 4" xfId="26932" xr:uid="{00000000-0005-0000-0000-000033200000}"/>
    <cellStyle name="Normal 13 3 2 2 5" xfId="26933" xr:uid="{00000000-0005-0000-0000-000034200000}"/>
    <cellStyle name="Normal 13 3 2 2 6" xfId="26934" xr:uid="{00000000-0005-0000-0000-000035200000}"/>
    <cellStyle name="Normal 13 3 2 3" xfId="26935" xr:uid="{00000000-0005-0000-0000-000036200000}"/>
    <cellStyle name="Normal 13 3 2 3 2" xfId="26936" xr:uid="{00000000-0005-0000-0000-000037200000}"/>
    <cellStyle name="Normal 13 3 2 3 2 2" xfId="26937" xr:uid="{00000000-0005-0000-0000-000038200000}"/>
    <cellStyle name="Normal 13 3 2 3 2 3" xfId="26938" xr:uid="{00000000-0005-0000-0000-000039200000}"/>
    <cellStyle name="Normal 13 3 2 3 2 4" xfId="26939" xr:uid="{00000000-0005-0000-0000-00003A200000}"/>
    <cellStyle name="Normal 13 3 2 3 3" xfId="26940" xr:uid="{00000000-0005-0000-0000-00003B200000}"/>
    <cellStyle name="Normal 13 3 2 3 4" xfId="26941" xr:uid="{00000000-0005-0000-0000-00003C200000}"/>
    <cellStyle name="Normal 13 3 2 3 5" xfId="26942" xr:uid="{00000000-0005-0000-0000-00003D200000}"/>
    <cellStyle name="Normal 13 3 2 4" xfId="26943" xr:uid="{00000000-0005-0000-0000-00003E200000}"/>
    <cellStyle name="Normal 13 3 2 4 2" xfId="26944" xr:uid="{00000000-0005-0000-0000-00003F200000}"/>
    <cellStyle name="Normal 13 3 2 4 3" xfId="26945" xr:uid="{00000000-0005-0000-0000-000040200000}"/>
    <cellStyle name="Normal 13 3 2 4 4" xfId="26946" xr:uid="{00000000-0005-0000-0000-000041200000}"/>
    <cellStyle name="Normal 13 3 2 5" xfId="26947" xr:uid="{00000000-0005-0000-0000-000042200000}"/>
    <cellStyle name="Normal 13 3 2 5 2" xfId="26948" xr:uid="{00000000-0005-0000-0000-000043200000}"/>
    <cellStyle name="Normal 13 3 2 5 3" xfId="26949" xr:uid="{00000000-0005-0000-0000-000044200000}"/>
    <cellStyle name="Normal 13 3 2 5 4" xfId="26950" xr:uid="{00000000-0005-0000-0000-000045200000}"/>
    <cellStyle name="Normal 13 3 2 6" xfId="26951" xr:uid="{00000000-0005-0000-0000-000046200000}"/>
    <cellStyle name="Normal 13 3 2 6 2" xfId="26952" xr:uid="{00000000-0005-0000-0000-000047200000}"/>
    <cellStyle name="Normal 13 3 2 6 3" xfId="26953" xr:uid="{00000000-0005-0000-0000-000048200000}"/>
    <cellStyle name="Normal 13 3 2 7" xfId="26954" xr:uid="{00000000-0005-0000-0000-000049200000}"/>
    <cellStyle name="Normal 13 3 2 8" xfId="26955" xr:uid="{00000000-0005-0000-0000-00004A200000}"/>
    <cellStyle name="Normal 13 3 2 9" xfId="26956" xr:uid="{00000000-0005-0000-0000-00004B200000}"/>
    <cellStyle name="Normal 13 3 3" xfId="26957" xr:uid="{00000000-0005-0000-0000-00004C200000}"/>
    <cellStyle name="Normal 13 3 3 2" xfId="26958" xr:uid="{00000000-0005-0000-0000-00004D200000}"/>
    <cellStyle name="Normal 13 3 3 2 2" xfId="26959" xr:uid="{00000000-0005-0000-0000-00004E200000}"/>
    <cellStyle name="Normal 13 3 3 2 2 2" xfId="26960" xr:uid="{00000000-0005-0000-0000-00004F200000}"/>
    <cellStyle name="Normal 13 3 3 2 2 2 2" xfId="26961" xr:uid="{00000000-0005-0000-0000-000050200000}"/>
    <cellStyle name="Normal 13 3 3 2 2 2 3" xfId="26962" xr:uid="{00000000-0005-0000-0000-000051200000}"/>
    <cellStyle name="Normal 13 3 3 2 2 2 4" xfId="26963" xr:uid="{00000000-0005-0000-0000-000052200000}"/>
    <cellStyle name="Normal 13 3 3 2 2 3" xfId="26964" xr:uid="{00000000-0005-0000-0000-000053200000}"/>
    <cellStyle name="Normal 13 3 3 2 2 4" xfId="26965" xr:uid="{00000000-0005-0000-0000-000054200000}"/>
    <cellStyle name="Normal 13 3 3 2 2 5" xfId="26966" xr:uid="{00000000-0005-0000-0000-000055200000}"/>
    <cellStyle name="Normal 13 3 3 2 3" xfId="26967" xr:uid="{00000000-0005-0000-0000-000056200000}"/>
    <cellStyle name="Normal 13 3 3 2 3 2" xfId="26968" xr:uid="{00000000-0005-0000-0000-000057200000}"/>
    <cellStyle name="Normal 13 3 3 2 3 3" xfId="26969" xr:uid="{00000000-0005-0000-0000-000058200000}"/>
    <cellStyle name="Normal 13 3 3 2 3 4" xfId="26970" xr:uid="{00000000-0005-0000-0000-000059200000}"/>
    <cellStyle name="Normal 13 3 3 2 4" xfId="26971" xr:uid="{00000000-0005-0000-0000-00005A200000}"/>
    <cellStyle name="Normal 13 3 3 2 5" xfId="26972" xr:uid="{00000000-0005-0000-0000-00005B200000}"/>
    <cellStyle name="Normal 13 3 3 2 6" xfId="26973" xr:uid="{00000000-0005-0000-0000-00005C200000}"/>
    <cellStyle name="Normal 13 3 3 3" xfId="26974" xr:uid="{00000000-0005-0000-0000-00005D200000}"/>
    <cellStyle name="Normal 13 3 3 3 2" xfId="26975" xr:uid="{00000000-0005-0000-0000-00005E200000}"/>
    <cellStyle name="Normal 13 3 3 3 2 2" xfId="26976" xr:uid="{00000000-0005-0000-0000-00005F200000}"/>
    <cellStyle name="Normal 13 3 3 3 2 3" xfId="26977" xr:uid="{00000000-0005-0000-0000-000060200000}"/>
    <cellStyle name="Normal 13 3 3 3 2 4" xfId="26978" xr:uid="{00000000-0005-0000-0000-000061200000}"/>
    <cellStyle name="Normal 13 3 3 3 3" xfId="26979" xr:uid="{00000000-0005-0000-0000-000062200000}"/>
    <cellStyle name="Normal 13 3 3 3 4" xfId="26980" xr:uid="{00000000-0005-0000-0000-000063200000}"/>
    <cellStyle name="Normal 13 3 3 3 5" xfId="26981" xr:uid="{00000000-0005-0000-0000-000064200000}"/>
    <cellStyle name="Normal 13 3 3 4" xfId="26982" xr:uid="{00000000-0005-0000-0000-000065200000}"/>
    <cellStyle name="Normal 13 3 3 4 2" xfId="26983" xr:uid="{00000000-0005-0000-0000-000066200000}"/>
    <cellStyle name="Normal 13 3 3 4 3" xfId="26984" xr:uid="{00000000-0005-0000-0000-000067200000}"/>
    <cellStyle name="Normal 13 3 3 4 4" xfId="26985" xr:uid="{00000000-0005-0000-0000-000068200000}"/>
    <cellStyle name="Normal 13 3 3 5" xfId="26986" xr:uid="{00000000-0005-0000-0000-000069200000}"/>
    <cellStyle name="Normal 13 3 3 5 2" xfId="26987" xr:uid="{00000000-0005-0000-0000-00006A200000}"/>
    <cellStyle name="Normal 13 3 3 5 3" xfId="26988" xr:uid="{00000000-0005-0000-0000-00006B200000}"/>
    <cellStyle name="Normal 13 3 3 5 4" xfId="26989" xr:uid="{00000000-0005-0000-0000-00006C200000}"/>
    <cellStyle name="Normal 13 3 3 6" xfId="26990" xr:uid="{00000000-0005-0000-0000-00006D200000}"/>
    <cellStyle name="Normal 13 3 3 6 2" xfId="26991" xr:uid="{00000000-0005-0000-0000-00006E200000}"/>
    <cellStyle name="Normal 13 3 3 6 3" xfId="26992" xr:uid="{00000000-0005-0000-0000-00006F200000}"/>
    <cellStyle name="Normal 13 3 3 7" xfId="26993" xr:uid="{00000000-0005-0000-0000-000070200000}"/>
    <cellStyle name="Normal 13 3 3 8" xfId="26994" xr:uid="{00000000-0005-0000-0000-000071200000}"/>
    <cellStyle name="Normal 13 3 3 9" xfId="26995" xr:uid="{00000000-0005-0000-0000-000072200000}"/>
    <cellStyle name="Normal 13 3 4" xfId="26996" xr:uid="{00000000-0005-0000-0000-000073200000}"/>
    <cellStyle name="Normal 13 3 4 2" xfId="26997" xr:uid="{00000000-0005-0000-0000-000074200000}"/>
    <cellStyle name="Normal 13 3 4 2 2" xfId="26998" xr:uid="{00000000-0005-0000-0000-000075200000}"/>
    <cellStyle name="Normal 13 3 4 2 2 2" xfId="26999" xr:uid="{00000000-0005-0000-0000-000076200000}"/>
    <cellStyle name="Normal 13 3 4 2 2 3" xfId="27000" xr:uid="{00000000-0005-0000-0000-000077200000}"/>
    <cellStyle name="Normal 13 3 4 2 2 4" xfId="27001" xr:uid="{00000000-0005-0000-0000-000078200000}"/>
    <cellStyle name="Normal 13 3 4 2 3" xfId="27002" xr:uid="{00000000-0005-0000-0000-000079200000}"/>
    <cellStyle name="Normal 13 3 4 2 4" xfId="27003" xr:uid="{00000000-0005-0000-0000-00007A200000}"/>
    <cellStyle name="Normal 13 3 4 2 5" xfId="27004" xr:uid="{00000000-0005-0000-0000-00007B200000}"/>
    <cellStyle name="Normal 13 3 4 3" xfId="27005" xr:uid="{00000000-0005-0000-0000-00007C200000}"/>
    <cellStyle name="Normal 13 3 4 3 2" xfId="27006" xr:uid="{00000000-0005-0000-0000-00007D200000}"/>
    <cellStyle name="Normal 13 3 4 3 3" xfId="27007" xr:uid="{00000000-0005-0000-0000-00007E200000}"/>
    <cellStyle name="Normal 13 3 4 3 4" xfId="27008" xr:uid="{00000000-0005-0000-0000-00007F200000}"/>
    <cellStyle name="Normal 13 3 4 4" xfId="27009" xr:uid="{00000000-0005-0000-0000-000080200000}"/>
    <cellStyle name="Normal 13 3 4 5" xfId="27010" xr:uid="{00000000-0005-0000-0000-000081200000}"/>
    <cellStyle name="Normal 13 3 4 6" xfId="27011" xr:uid="{00000000-0005-0000-0000-000082200000}"/>
    <cellStyle name="Normal 13 3 5" xfId="27012" xr:uid="{00000000-0005-0000-0000-000083200000}"/>
    <cellStyle name="Normal 13 3 5 2" xfId="27013" xr:uid="{00000000-0005-0000-0000-000084200000}"/>
    <cellStyle name="Normal 13 3 5 2 2" xfId="27014" xr:uid="{00000000-0005-0000-0000-000085200000}"/>
    <cellStyle name="Normal 13 3 5 2 2 2" xfId="27015" xr:uid="{00000000-0005-0000-0000-000086200000}"/>
    <cellStyle name="Normal 13 3 5 2 2 3" xfId="27016" xr:uid="{00000000-0005-0000-0000-000087200000}"/>
    <cellStyle name="Normal 13 3 5 2 2 4" xfId="27017" xr:uid="{00000000-0005-0000-0000-000088200000}"/>
    <cellStyle name="Normal 13 3 5 2 3" xfId="27018" xr:uid="{00000000-0005-0000-0000-000089200000}"/>
    <cellStyle name="Normal 13 3 5 2 4" xfId="27019" xr:uid="{00000000-0005-0000-0000-00008A200000}"/>
    <cellStyle name="Normal 13 3 5 2 5" xfId="27020" xr:uid="{00000000-0005-0000-0000-00008B200000}"/>
    <cellStyle name="Normal 13 3 5 3" xfId="27021" xr:uid="{00000000-0005-0000-0000-00008C200000}"/>
    <cellStyle name="Normal 13 3 5 3 2" xfId="27022" xr:uid="{00000000-0005-0000-0000-00008D200000}"/>
    <cellStyle name="Normal 13 3 5 3 3" xfId="27023" xr:uid="{00000000-0005-0000-0000-00008E200000}"/>
    <cellStyle name="Normal 13 3 5 3 4" xfId="27024" xr:uid="{00000000-0005-0000-0000-00008F200000}"/>
    <cellStyle name="Normal 13 3 5 4" xfId="27025" xr:uid="{00000000-0005-0000-0000-000090200000}"/>
    <cellStyle name="Normal 13 3 5 5" xfId="27026" xr:uid="{00000000-0005-0000-0000-000091200000}"/>
    <cellStyle name="Normal 13 3 5 6" xfId="27027" xr:uid="{00000000-0005-0000-0000-000092200000}"/>
    <cellStyle name="Normal 13 3 6" xfId="27028" xr:uid="{00000000-0005-0000-0000-000093200000}"/>
    <cellStyle name="Normal 13 3 6 2" xfId="27029" xr:uid="{00000000-0005-0000-0000-000094200000}"/>
    <cellStyle name="Normal 13 3 6 2 2" xfId="27030" xr:uid="{00000000-0005-0000-0000-000095200000}"/>
    <cellStyle name="Normal 13 3 6 2 2 2" xfId="27031" xr:uid="{00000000-0005-0000-0000-000096200000}"/>
    <cellStyle name="Normal 13 3 6 2 2 3" xfId="27032" xr:uid="{00000000-0005-0000-0000-000097200000}"/>
    <cellStyle name="Normal 13 3 6 2 2 4" xfId="27033" xr:uid="{00000000-0005-0000-0000-000098200000}"/>
    <cellStyle name="Normal 13 3 6 2 3" xfId="27034" xr:uid="{00000000-0005-0000-0000-000099200000}"/>
    <cellStyle name="Normal 13 3 6 2 4" xfId="27035" xr:uid="{00000000-0005-0000-0000-00009A200000}"/>
    <cellStyle name="Normal 13 3 6 2 5" xfId="27036" xr:uid="{00000000-0005-0000-0000-00009B200000}"/>
    <cellStyle name="Normal 13 3 6 3" xfId="27037" xr:uid="{00000000-0005-0000-0000-00009C200000}"/>
    <cellStyle name="Normal 13 3 6 3 2" xfId="27038" xr:uid="{00000000-0005-0000-0000-00009D200000}"/>
    <cellStyle name="Normal 13 3 6 3 3" xfId="27039" xr:uid="{00000000-0005-0000-0000-00009E200000}"/>
    <cellStyle name="Normal 13 3 6 3 4" xfId="27040" xr:uid="{00000000-0005-0000-0000-00009F200000}"/>
    <cellStyle name="Normal 13 3 6 4" xfId="27041" xr:uid="{00000000-0005-0000-0000-0000A0200000}"/>
    <cellStyle name="Normal 13 3 6 5" xfId="27042" xr:uid="{00000000-0005-0000-0000-0000A1200000}"/>
    <cellStyle name="Normal 13 3 6 6" xfId="27043" xr:uid="{00000000-0005-0000-0000-0000A2200000}"/>
    <cellStyle name="Normal 13 3 7" xfId="27044" xr:uid="{00000000-0005-0000-0000-0000A3200000}"/>
    <cellStyle name="Normal 13 3 7 2" xfId="27045" xr:uid="{00000000-0005-0000-0000-0000A4200000}"/>
    <cellStyle name="Normal 13 3 7 2 2" xfId="27046" xr:uid="{00000000-0005-0000-0000-0000A5200000}"/>
    <cellStyle name="Normal 13 3 7 2 3" xfId="27047" xr:uid="{00000000-0005-0000-0000-0000A6200000}"/>
    <cellStyle name="Normal 13 3 7 2 4" xfId="27048" xr:uid="{00000000-0005-0000-0000-0000A7200000}"/>
    <cellStyle name="Normal 13 3 7 3" xfId="27049" xr:uid="{00000000-0005-0000-0000-0000A8200000}"/>
    <cellStyle name="Normal 13 3 7 4" xfId="27050" xr:uid="{00000000-0005-0000-0000-0000A9200000}"/>
    <cellStyle name="Normal 13 3 7 5" xfId="27051" xr:uid="{00000000-0005-0000-0000-0000AA200000}"/>
    <cellStyle name="Normal 13 3 8" xfId="27052" xr:uid="{00000000-0005-0000-0000-0000AB200000}"/>
    <cellStyle name="Normal 13 3 8 2" xfId="27053" xr:uid="{00000000-0005-0000-0000-0000AC200000}"/>
    <cellStyle name="Normal 13 3 8 3" xfId="27054" xr:uid="{00000000-0005-0000-0000-0000AD200000}"/>
    <cellStyle name="Normal 13 3 8 4" xfId="27055" xr:uid="{00000000-0005-0000-0000-0000AE200000}"/>
    <cellStyle name="Normal 13 3 9" xfId="27056" xr:uid="{00000000-0005-0000-0000-0000AF200000}"/>
    <cellStyle name="Normal 13 3 9 2" xfId="27057" xr:uid="{00000000-0005-0000-0000-0000B0200000}"/>
    <cellStyle name="Normal 13 3 9 3" xfId="27058" xr:uid="{00000000-0005-0000-0000-0000B1200000}"/>
    <cellStyle name="Normal 13 3 9 4" xfId="27059" xr:uid="{00000000-0005-0000-0000-0000B2200000}"/>
    <cellStyle name="Normal 13 4" xfId="27060" xr:uid="{00000000-0005-0000-0000-0000B3200000}"/>
    <cellStyle name="Normal 13 4 10" xfId="27061" xr:uid="{00000000-0005-0000-0000-0000B4200000}"/>
    <cellStyle name="Normal 13 4 10 2" xfId="27062" xr:uid="{00000000-0005-0000-0000-0000B5200000}"/>
    <cellStyle name="Normal 13 4 10 3" xfId="27063" xr:uid="{00000000-0005-0000-0000-0000B6200000}"/>
    <cellStyle name="Normal 13 4 10 4" xfId="27064" xr:uid="{00000000-0005-0000-0000-0000B7200000}"/>
    <cellStyle name="Normal 13 4 11" xfId="27065" xr:uid="{00000000-0005-0000-0000-0000B8200000}"/>
    <cellStyle name="Normal 13 4 11 2" xfId="27066" xr:uid="{00000000-0005-0000-0000-0000B9200000}"/>
    <cellStyle name="Normal 13 4 11 3" xfId="27067" xr:uid="{00000000-0005-0000-0000-0000BA200000}"/>
    <cellStyle name="Normal 13 4 12" xfId="27068" xr:uid="{00000000-0005-0000-0000-0000BB200000}"/>
    <cellStyle name="Normal 13 4 13" xfId="27069" xr:uid="{00000000-0005-0000-0000-0000BC200000}"/>
    <cellStyle name="Normal 13 4 14" xfId="27070" xr:uid="{00000000-0005-0000-0000-0000BD200000}"/>
    <cellStyle name="Normal 13 4 2" xfId="27071" xr:uid="{00000000-0005-0000-0000-0000BE200000}"/>
    <cellStyle name="Normal 13 4 2 10" xfId="27072" xr:uid="{00000000-0005-0000-0000-0000BF200000}"/>
    <cellStyle name="Normal 13 4 2 11" xfId="27073" xr:uid="{00000000-0005-0000-0000-0000C0200000}"/>
    <cellStyle name="Normal 13 4 2 2" xfId="27074" xr:uid="{00000000-0005-0000-0000-0000C1200000}"/>
    <cellStyle name="Normal 13 4 2 2 2" xfId="27075" xr:uid="{00000000-0005-0000-0000-0000C2200000}"/>
    <cellStyle name="Normal 13 4 2 2 2 2" xfId="27076" xr:uid="{00000000-0005-0000-0000-0000C3200000}"/>
    <cellStyle name="Normal 13 4 2 2 2 2 2" xfId="27077" xr:uid="{00000000-0005-0000-0000-0000C4200000}"/>
    <cellStyle name="Normal 13 4 2 2 2 2 3" xfId="27078" xr:uid="{00000000-0005-0000-0000-0000C5200000}"/>
    <cellStyle name="Normal 13 4 2 2 2 2 4" xfId="27079" xr:uid="{00000000-0005-0000-0000-0000C6200000}"/>
    <cellStyle name="Normal 13 4 2 2 2 3" xfId="27080" xr:uid="{00000000-0005-0000-0000-0000C7200000}"/>
    <cellStyle name="Normal 13 4 2 2 2 4" xfId="27081" xr:uid="{00000000-0005-0000-0000-0000C8200000}"/>
    <cellStyle name="Normal 13 4 2 2 2 5" xfId="27082" xr:uid="{00000000-0005-0000-0000-0000C9200000}"/>
    <cellStyle name="Normal 13 4 2 2 3" xfId="27083" xr:uid="{00000000-0005-0000-0000-0000CA200000}"/>
    <cellStyle name="Normal 13 4 2 2 3 2" xfId="27084" xr:uid="{00000000-0005-0000-0000-0000CB200000}"/>
    <cellStyle name="Normal 13 4 2 2 3 3" xfId="27085" xr:uid="{00000000-0005-0000-0000-0000CC200000}"/>
    <cellStyle name="Normal 13 4 2 2 3 4" xfId="27086" xr:uid="{00000000-0005-0000-0000-0000CD200000}"/>
    <cellStyle name="Normal 13 4 2 2 4" xfId="27087" xr:uid="{00000000-0005-0000-0000-0000CE200000}"/>
    <cellStyle name="Normal 13 4 2 2 5" xfId="27088" xr:uid="{00000000-0005-0000-0000-0000CF200000}"/>
    <cellStyle name="Normal 13 4 2 2 6" xfId="27089" xr:uid="{00000000-0005-0000-0000-0000D0200000}"/>
    <cellStyle name="Normal 13 4 2 3" xfId="27090" xr:uid="{00000000-0005-0000-0000-0000D1200000}"/>
    <cellStyle name="Normal 13 4 2 3 2" xfId="27091" xr:uid="{00000000-0005-0000-0000-0000D2200000}"/>
    <cellStyle name="Normal 13 4 2 3 2 2" xfId="27092" xr:uid="{00000000-0005-0000-0000-0000D3200000}"/>
    <cellStyle name="Normal 13 4 2 3 2 2 2" xfId="27093" xr:uid="{00000000-0005-0000-0000-0000D4200000}"/>
    <cellStyle name="Normal 13 4 2 3 2 2 3" xfId="27094" xr:uid="{00000000-0005-0000-0000-0000D5200000}"/>
    <cellStyle name="Normal 13 4 2 3 2 2 4" xfId="27095" xr:uid="{00000000-0005-0000-0000-0000D6200000}"/>
    <cellStyle name="Normal 13 4 2 3 2 3" xfId="27096" xr:uid="{00000000-0005-0000-0000-0000D7200000}"/>
    <cellStyle name="Normal 13 4 2 3 2 4" xfId="27097" xr:uid="{00000000-0005-0000-0000-0000D8200000}"/>
    <cellStyle name="Normal 13 4 2 3 2 5" xfId="27098" xr:uid="{00000000-0005-0000-0000-0000D9200000}"/>
    <cellStyle name="Normal 13 4 2 3 3" xfId="27099" xr:uid="{00000000-0005-0000-0000-0000DA200000}"/>
    <cellStyle name="Normal 13 4 2 3 3 2" xfId="27100" xr:uid="{00000000-0005-0000-0000-0000DB200000}"/>
    <cellStyle name="Normal 13 4 2 3 3 3" xfId="27101" xr:uid="{00000000-0005-0000-0000-0000DC200000}"/>
    <cellStyle name="Normal 13 4 2 3 3 4" xfId="27102" xr:uid="{00000000-0005-0000-0000-0000DD200000}"/>
    <cellStyle name="Normal 13 4 2 3 4" xfId="27103" xr:uid="{00000000-0005-0000-0000-0000DE200000}"/>
    <cellStyle name="Normal 13 4 2 3 5" xfId="27104" xr:uid="{00000000-0005-0000-0000-0000DF200000}"/>
    <cellStyle name="Normal 13 4 2 3 6" xfId="27105" xr:uid="{00000000-0005-0000-0000-0000E0200000}"/>
    <cellStyle name="Normal 13 4 2 4" xfId="27106" xr:uid="{00000000-0005-0000-0000-0000E1200000}"/>
    <cellStyle name="Normal 13 4 2 4 2" xfId="27107" xr:uid="{00000000-0005-0000-0000-0000E2200000}"/>
    <cellStyle name="Normal 13 4 2 4 2 2" xfId="27108" xr:uid="{00000000-0005-0000-0000-0000E3200000}"/>
    <cellStyle name="Normal 13 4 2 4 2 2 2" xfId="27109" xr:uid="{00000000-0005-0000-0000-0000E4200000}"/>
    <cellStyle name="Normal 13 4 2 4 2 2 3" xfId="27110" xr:uid="{00000000-0005-0000-0000-0000E5200000}"/>
    <cellStyle name="Normal 13 4 2 4 2 2 4" xfId="27111" xr:uid="{00000000-0005-0000-0000-0000E6200000}"/>
    <cellStyle name="Normal 13 4 2 4 2 3" xfId="27112" xr:uid="{00000000-0005-0000-0000-0000E7200000}"/>
    <cellStyle name="Normal 13 4 2 4 2 4" xfId="27113" xr:uid="{00000000-0005-0000-0000-0000E8200000}"/>
    <cellStyle name="Normal 13 4 2 4 2 5" xfId="27114" xr:uid="{00000000-0005-0000-0000-0000E9200000}"/>
    <cellStyle name="Normal 13 4 2 4 3" xfId="27115" xr:uid="{00000000-0005-0000-0000-0000EA200000}"/>
    <cellStyle name="Normal 13 4 2 4 3 2" xfId="27116" xr:uid="{00000000-0005-0000-0000-0000EB200000}"/>
    <cellStyle name="Normal 13 4 2 4 3 3" xfId="27117" xr:uid="{00000000-0005-0000-0000-0000EC200000}"/>
    <cellStyle name="Normal 13 4 2 4 3 4" xfId="27118" xr:uid="{00000000-0005-0000-0000-0000ED200000}"/>
    <cellStyle name="Normal 13 4 2 4 4" xfId="27119" xr:uid="{00000000-0005-0000-0000-0000EE200000}"/>
    <cellStyle name="Normal 13 4 2 4 5" xfId="27120" xr:uid="{00000000-0005-0000-0000-0000EF200000}"/>
    <cellStyle name="Normal 13 4 2 4 6" xfId="27121" xr:uid="{00000000-0005-0000-0000-0000F0200000}"/>
    <cellStyle name="Normal 13 4 2 5" xfId="27122" xr:uid="{00000000-0005-0000-0000-0000F1200000}"/>
    <cellStyle name="Normal 13 4 2 5 2" xfId="27123" xr:uid="{00000000-0005-0000-0000-0000F2200000}"/>
    <cellStyle name="Normal 13 4 2 5 2 2" xfId="27124" xr:uid="{00000000-0005-0000-0000-0000F3200000}"/>
    <cellStyle name="Normal 13 4 2 5 2 3" xfId="27125" xr:uid="{00000000-0005-0000-0000-0000F4200000}"/>
    <cellStyle name="Normal 13 4 2 5 2 4" xfId="27126" xr:uid="{00000000-0005-0000-0000-0000F5200000}"/>
    <cellStyle name="Normal 13 4 2 5 3" xfId="27127" xr:uid="{00000000-0005-0000-0000-0000F6200000}"/>
    <cellStyle name="Normal 13 4 2 5 4" xfId="27128" xr:uid="{00000000-0005-0000-0000-0000F7200000}"/>
    <cellStyle name="Normal 13 4 2 5 5" xfId="27129" xr:uid="{00000000-0005-0000-0000-0000F8200000}"/>
    <cellStyle name="Normal 13 4 2 6" xfId="27130" xr:uid="{00000000-0005-0000-0000-0000F9200000}"/>
    <cellStyle name="Normal 13 4 2 6 2" xfId="27131" xr:uid="{00000000-0005-0000-0000-0000FA200000}"/>
    <cellStyle name="Normal 13 4 2 6 3" xfId="27132" xr:uid="{00000000-0005-0000-0000-0000FB200000}"/>
    <cellStyle name="Normal 13 4 2 6 4" xfId="27133" xr:uid="{00000000-0005-0000-0000-0000FC200000}"/>
    <cellStyle name="Normal 13 4 2 7" xfId="27134" xr:uid="{00000000-0005-0000-0000-0000FD200000}"/>
    <cellStyle name="Normal 13 4 2 7 2" xfId="27135" xr:uid="{00000000-0005-0000-0000-0000FE200000}"/>
    <cellStyle name="Normal 13 4 2 7 3" xfId="27136" xr:uid="{00000000-0005-0000-0000-0000FF200000}"/>
    <cellStyle name="Normal 13 4 2 7 4" xfId="27137" xr:uid="{00000000-0005-0000-0000-000000210000}"/>
    <cellStyle name="Normal 13 4 2 8" xfId="27138" xr:uid="{00000000-0005-0000-0000-000001210000}"/>
    <cellStyle name="Normal 13 4 2 8 2" xfId="27139" xr:uid="{00000000-0005-0000-0000-000002210000}"/>
    <cellStyle name="Normal 13 4 2 8 3" xfId="27140" xr:uid="{00000000-0005-0000-0000-000003210000}"/>
    <cellStyle name="Normal 13 4 2 9" xfId="27141" xr:uid="{00000000-0005-0000-0000-000004210000}"/>
    <cellStyle name="Normal 13 4 3" xfId="27142" xr:uid="{00000000-0005-0000-0000-000005210000}"/>
    <cellStyle name="Normal 13 4 3 10" xfId="27143" xr:uid="{00000000-0005-0000-0000-000006210000}"/>
    <cellStyle name="Normal 13 4 3 2" xfId="27144" xr:uid="{00000000-0005-0000-0000-000007210000}"/>
    <cellStyle name="Normal 13 4 3 2 2" xfId="27145" xr:uid="{00000000-0005-0000-0000-000008210000}"/>
    <cellStyle name="Normal 13 4 3 2 2 2" xfId="27146" xr:uid="{00000000-0005-0000-0000-000009210000}"/>
    <cellStyle name="Normal 13 4 3 2 2 2 2" xfId="27147" xr:uid="{00000000-0005-0000-0000-00000A210000}"/>
    <cellStyle name="Normal 13 4 3 2 2 2 3" xfId="27148" xr:uid="{00000000-0005-0000-0000-00000B210000}"/>
    <cellStyle name="Normal 13 4 3 2 2 2 4" xfId="27149" xr:uid="{00000000-0005-0000-0000-00000C210000}"/>
    <cellStyle name="Normal 13 4 3 2 2 3" xfId="27150" xr:uid="{00000000-0005-0000-0000-00000D210000}"/>
    <cellStyle name="Normal 13 4 3 2 2 4" xfId="27151" xr:uid="{00000000-0005-0000-0000-00000E210000}"/>
    <cellStyle name="Normal 13 4 3 2 2 5" xfId="27152" xr:uid="{00000000-0005-0000-0000-00000F210000}"/>
    <cellStyle name="Normal 13 4 3 2 3" xfId="27153" xr:uid="{00000000-0005-0000-0000-000010210000}"/>
    <cellStyle name="Normal 13 4 3 2 3 2" xfId="27154" xr:uid="{00000000-0005-0000-0000-000011210000}"/>
    <cellStyle name="Normal 13 4 3 2 3 3" xfId="27155" xr:uid="{00000000-0005-0000-0000-000012210000}"/>
    <cellStyle name="Normal 13 4 3 2 3 4" xfId="27156" xr:uid="{00000000-0005-0000-0000-000013210000}"/>
    <cellStyle name="Normal 13 4 3 2 4" xfId="27157" xr:uid="{00000000-0005-0000-0000-000014210000}"/>
    <cellStyle name="Normal 13 4 3 2 5" xfId="27158" xr:uid="{00000000-0005-0000-0000-000015210000}"/>
    <cellStyle name="Normal 13 4 3 2 6" xfId="27159" xr:uid="{00000000-0005-0000-0000-000016210000}"/>
    <cellStyle name="Normal 13 4 3 3" xfId="27160" xr:uid="{00000000-0005-0000-0000-000017210000}"/>
    <cellStyle name="Normal 13 4 3 3 2" xfId="27161" xr:uid="{00000000-0005-0000-0000-000018210000}"/>
    <cellStyle name="Normal 13 4 3 3 2 2" xfId="27162" xr:uid="{00000000-0005-0000-0000-000019210000}"/>
    <cellStyle name="Normal 13 4 3 3 2 2 2" xfId="27163" xr:uid="{00000000-0005-0000-0000-00001A210000}"/>
    <cellStyle name="Normal 13 4 3 3 2 2 3" xfId="27164" xr:uid="{00000000-0005-0000-0000-00001B210000}"/>
    <cellStyle name="Normal 13 4 3 3 2 2 4" xfId="27165" xr:uid="{00000000-0005-0000-0000-00001C210000}"/>
    <cellStyle name="Normal 13 4 3 3 2 3" xfId="27166" xr:uid="{00000000-0005-0000-0000-00001D210000}"/>
    <cellStyle name="Normal 13 4 3 3 2 4" xfId="27167" xr:uid="{00000000-0005-0000-0000-00001E210000}"/>
    <cellStyle name="Normal 13 4 3 3 2 5" xfId="27168" xr:uid="{00000000-0005-0000-0000-00001F210000}"/>
    <cellStyle name="Normal 13 4 3 3 3" xfId="27169" xr:uid="{00000000-0005-0000-0000-000020210000}"/>
    <cellStyle name="Normal 13 4 3 3 3 2" xfId="27170" xr:uid="{00000000-0005-0000-0000-000021210000}"/>
    <cellStyle name="Normal 13 4 3 3 3 3" xfId="27171" xr:uid="{00000000-0005-0000-0000-000022210000}"/>
    <cellStyle name="Normal 13 4 3 3 3 4" xfId="27172" xr:uid="{00000000-0005-0000-0000-000023210000}"/>
    <cellStyle name="Normal 13 4 3 3 4" xfId="27173" xr:uid="{00000000-0005-0000-0000-000024210000}"/>
    <cellStyle name="Normal 13 4 3 3 5" xfId="27174" xr:uid="{00000000-0005-0000-0000-000025210000}"/>
    <cellStyle name="Normal 13 4 3 3 6" xfId="27175" xr:uid="{00000000-0005-0000-0000-000026210000}"/>
    <cellStyle name="Normal 13 4 3 4" xfId="27176" xr:uid="{00000000-0005-0000-0000-000027210000}"/>
    <cellStyle name="Normal 13 4 3 4 2" xfId="27177" xr:uid="{00000000-0005-0000-0000-000028210000}"/>
    <cellStyle name="Normal 13 4 3 4 2 2" xfId="27178" xr:uid="{00000000-0005-0000-0000-000029210000}"/>
    <cellStyle name="Normal 13 4 3 4 2 3" xfId="27179" xr:uid="{00000000-0005-0000-0000-00002A210000}"/>
    <cellStyle name="Normal 13 4 3 4 2 4" xfId="27180" xr:uid="{00000000-0005-0000-0000-00002B210000}"/>
    <cellStyle name="Normal 13 4 3 4 3" xfId="27181" xr:uid="{00000000-0005-0000-0000-00002C210000}"/>
    <cellStyle name="Normal 13 4 3 4 4" xfId="27182" xr:uid="{00000000-0005-0000-0000-00002D210000}"/>
    <cellStyle name="Normal 13 4 3 4 5" xfId="27183" xr:uid="{00000000-0005-0000-0000-00002E210000}"/>
    <cellStyle name="Normal 13 4 3 5" xfId="27184" xr:uid="{00000000-0005-0000-0000-00002F210000}"/>
    <cellStyle name="Normal 13 4 3 5 2" xfId="27185" xr:uid="{00000000-0005-0000-0000-000030210000}"/>
    <cellStyle name="Normal 13 4 3 5 3" xfId="27186" xr:uid="{00000000-0005-0000-0000-000031210000}"/>
    <cellStyle name="Normal 13 4 3 5 4" xfId="27187" xr:uid="{00000000-0005-0000-0000-000032210000}"/>
    <cellStyle name="Normal 13 4 3 6" xfId="27188" xr:uid="{00000000-0005-0000-0000-000033210000}"/>
    <cellStyle name="Normal 13 4 3 6 2" xfId="27189" xr:uid="{00000000-0005-0000-0000-000034210000}"/>
    <cellStyle name="Normal 13 4 3 6 3" xfId="27190" xr:uid="{00000000-0005-0000-0000-000035210000}"/>
    <cellStyle name="Normal 13 4 3 6 4" xfId="27191" xr:uid="{00000000-0005-0000-0000-000036210000}"/>
    <cellStyle name="Normal 13 4 3 7" xfId="27192" xr:uid="{00000000-0005-0000-0000-000037210000}"/>
    <cellStyle name="Normal 13 4 3 7 2" xfId="27193" xr:uid="{00000000-0005-0000-0000-000038210000}"/>
    <cellStyle name="Normal 13 4 3 7 3" xfId="27194" xr:uid="{00000000-0005-0000-0000-000039210000}"/>
    <cellStyle name="Normal 13 4 3 8" xfId="27195" xr:uid="{00000000-0005-0000-0000-00003A210000}"/>
    <cellStyle name="Normal 13 4 3 9" xfId="27196" xr:uid="{00000000-0005-0000-0000-00003B210000}"/>
    <cellStyle name="Normal 13 4 4" xfId="27197" xr:uid="{00000000-0005-0000-0000-00003C210000}"/>
    <cellStyle name="Normal 13 4 4 2" xfId="27198" xr:uid="{00000000-0005-0000-0000-00003D210000}"/>
    <cellStyle name="Normal 13 4 4 2 2" xfId="27199" xr:uid="{00000000-0005-0000-0000-00003E210000}"/>
    <cellStyle name="Normal 13 4 4 2 2 2" xfId="27200" xr:uid="{00000000-0005-0000-0000-00003F210000}"/>
    <cellStyle name="Normal 13 4 4 2 2 3" xfId="27201" xr:uid="{00000000-0005-0000-0000-000040210000}"/>
    <cellStyle name="Normal 13 4 4 2 2 4" xfId="27202" xr:uid="{00000000-0005-0000-0000-000041210000}"/>
    <cellStyle name="Normal 13 4 4 2 3" xfId="27203" xr:uid="{00000000-0005-0000-0000-000042210000}"/>
    <cellStyle name="Normal 13 4 4 2 4" xfId="27204" xr:uid="{00000000-0005-0000-0000-000043210000}"/>
    <cellStyle name="Normal 13 4 4 2 5" xfId="27205" xr:uid="{00000000-0005-0000-0000-000044210000}"/>
    <cellStyle name="Normal 13 4 4 3" xfId="27206" xr:uid="{00000000-0005-0000-0000-000045210000}"/>
    <cellStyle name="Normal 13 4 4 3 2" xfId="27207" xr:uid="{00000000-0005-0000-0000-000046210000}"/>
    <cellStyle name="Normal 13 4 4 3 3" xfId="27208" xr:uid="{00000000-0005-0000-0000-000047210000}"/>
    <cellStyle name="Normal 13 4 4 3 4" xfId="27209" xr:uid="{00000000-0005-0000-0000-000048210000}"/>
    <cellStyle name="Normal 13 4 4 4" xfId="27210" xr:uid="{00000000-0005-0000-0000-000049210000}"/>
    <cellStyle name="Normal 13 4 4 5" xfId="27211" xr:uid="{00000000-0005-0000-0000-00004A210000}"/>
    <cellStyle name="Normal 13 4 4 6" xfId="27212" xr:uid="{00000000-0005-0000-0000-00004B210000}"/>
    <cellStyle name="Normal 13 4 5" xfId="27213" xr:uid="{00000000-0005-0000-0000-00004C210000}"/>
    <cellStyle name="Normal 13 4 5 2" xfId="27214" xr:uid="{00000000-0005-0000-0000-00004D210000}"/>
    <cellStyle name="Normal 13 4 5 2 2" xfId="27215" xr:uid="{00000000-0005-0000-0000-00004E210000}"/>
    <cellStyle name="Normal 13 4 5 2 2 2" xfId="27216" xr:uid="{00000000-0005-0000-0000-00004F210000}"/>
    <cellStyle name="Normal 13 4 5 2 2 3" xfId="27217" xr:uid="{00000000-0005-0000-0000-000050210000}"/>
    <cellStyle name="Normal 13 4 5 2 2 4" xfId="27218" xr:uid="{00000000-0005-0000-0000-000051210000}"/>
    <cellStyle name="Normal 13 4 5 2 3" xfId="27219" xr:uid="{00000000-0005-0000-0000-000052210000}"/>
    <cellStyle name="Normal 13 4 5 2 4" xfId="27220" xr:uid="{00000000-0005-0000-0000-000053210000}"/>
    <cellStyle name="Normal 13 4 5 2 5" xfId="27221" xr:uid="{00000000-0005-0000-0000-000054210000}"/>
    <cellStyle name="Normal 13 4 5 3" xfId="27222" xr:uid="{00000000-0005-0000-0000-000055210000}"/>
    <cellStyle name="Normal 13 4 5 3 2" xfId="27223" xr:uid="{00000000-0005-0000-0000-000056210000}"/>
    <cellStyle name="Normal 13 4 5 3 3" xfId="27224" xr:uid="{00000000-0005-0000-0000-000057210000}"/>
    <cellStyle name="Normal 13 4 5 3 4" xfId="27225" xr:uid="{00000000-0005-0000-0000-000058210000}"/>
    <cellStyle name="Normal 13 4 5 4" xfId="27226" xr:uid="{00000000-0005-0000-0000-000059210000}"/>
    <cellStyle name="Normal 13 4 5 5" xfId="27227" xr:uid="{00000000-0005-0000-0000-00005A210000}"/>
    <cellStyle name="Normal 13 4 5 6" xfId="27228" xr:uid="{00000000-0005-0000-0000-00005B210000}"/>
    <cellStyle name="Normal 13 4 6" xfId="27229" xr:uid="{00000000-0005-0000-0000-00005C210000}"/>
    <cellStyle name="Normal 13 4 6 2" xfId="27230" xr:uid="{00000000-0005-0000-0000-00005D210000}"/>
    <cellStyle name="Normal 13 4 6 2 2" xfId="27231" xr:uid="{00000000-0005-0000-0000-00005E210000}"/>
    <cellStyle name="Normal 13 4 6 2 2 2" xfId="27232" xr:uid="{00000000-0005-0000-0000-00005F210000}"/>
    <cellStyle name="Normal 13 4 6 2 2 3" xfId="27233" xr:uid="{00000000-0005-0000-0000-000060210000}"/>
    <cellStyle name="Normal 13 4 6 2 2 4" xfId="27234" xr:uid="{00000000-0005-0000-0000-000061210000}"/>
    <cellStyle name="Normal 13 4 6 2 3" xfId="27235" xr:uid="{00000000-0005-0000-0000-000062210000}"/>
    <cellStyle name="Normal 13 4 6 2 4" xfId="27236" xr:uid="{00000000-0005-0000-0000-000063210000}"/>
    <cellStyle name="Normal 13 4 6 2 5" xfId="27237" xr:uid="{00000000-0005-0000-0000-000064210000}"/>
    <cellStyle name="Normal 13 4 6 3" xfId="27238" xr:uid="{00000000-0005-0000-0000-000065210000}"/>
    <cellStyle name="Normal 13 4 6 3 2" xfId="27239" xr:uid="{00000000-0005-0000-0000-000066210000}"/>
    <cellStyle name="Normal 13 4 6 3 3" xfId="27240" xr:uid="{00000000-0005-0000-0000-000067210000}"/>
    <cellStyle name="Normal 13 4 6 3 4" xfId="27241" xr:uid="{00000000-0005-0000-0000-000068210000}"/>
    <cellStyle name="Normal 13 4 6 4" xfId="27242" xr:uid="{00000000-0005-0000-0000-000069210000}"/>
    <cellStyle name="Normal 13 4 6 5" xfId="27243" xr:uid="{00000000-0005-0000-0000-00006A210000}"/>
    <cellStyle name="Normal 13 4 6 6" xfId="27244" xr:uid="{00000000-0005-0000-0000-00006B210000}"/>
    <cellStyle name="Normal 13 4 7" xfId="27245" xr:uid="{00000000-0005-0000-0000-00006C210000}"/>
    <cellStyle name="Normal 13 4 7 2" xfId="27246" xr:uid="{00000000-0005-0000-0000-00006D210000}"/>
    <cellStyle name="Normal 13 4 7 2 2" xfId="27247" xr:uid="{00000000-0005-0000-0000-00006E210000}"/>
    <cellStyle name="Normal 13 4 7 2 2 2" xfId="27248" xr:uid="{00000000-0005-0000-0000-00006F210000}"/>
    <cellStyle name="Normal 13 4 7 2 2 3" xfId="27249" xr:uid="{00000000-0005-0000-0000-000070210000}"/>
    <cellStyle name="Normal 13 4 7 2 2 4" xfId="27250" xr:uid="{00000000-0005-0000-0000-000071210000}"/>
    <cellStyle name="Normal 13 4 7 2 3" xfId="27251" xr:uid="{00000000-0005-0000-0000-000072210000}"/>
    <cellStyle name="Normal 13 4 7 2 4" xfId="27252" xr:uid="{00000000-0005-0000-0000-000073210000}"/>
    <cellStyle name="Normal 13 4 7 2 5" xfId="27253" xr:uid="{00000000-0005-0000-0000-000074210000}"/>
    <cellStyle name="Normal 13 4 7 3" xfId="27254" xr:uid="{00000000-0005-0000-0000-000075210000}"/>
    <cellStyle name="Normal 13 4 7 3 2" xfId="27255" xr:uid="{00000000-0005-0000-0000-000076210000}"/>
    <cellStyle name="Normal 13 4 7 3 3" xfId="27256" xr:uid="{00000000-0005-0000-0000-000077210000}"/>
    <cellStyle name="Normal 13 4 7 3 4" xfId="27257" xr:uid="{00000000-0005-0000-0000-000078210000}"/>
    <cellStyle name="Normal 13 4 7 4" xfId="27258" xr:uid="{00000000-0005-0000-0000-000079210000}"/>
    <cellStyle name="Normal 13 4 7 5" xfId="27259" xr:uid="{00000000-0005-0000-0000-00007A210000}"/>
    <cellStyle name="Normal 13 4 7 6" xfId="27260" xr:uid="{00000000-0005-0000-0000-00007B210000}"/>
    <cellStyle name="Normal 13 4 8" xfId="27261" xr:uid="{00000000-0005-0000-0000-00007C210000}"/>
    <cellStyle name="Normal 13 4 8 2" xfId="27262" xr:uid="{00000000-0005-0000-0000-00007D210000}"/>
    <cellStyle name="Normal 13 4 8 2 2" xfId="27263" xr:uid="{00000000-0005-0000-0000-00007E210000}"/>
    <cellStyle name="Normal 13 4 8 2 3" xfId="27264" xr:uid="{00000000-0005-0000-0000-00007F210000}"/>
    <cellStyle name="Normal 13 4 8 2 4" xfId="27265" xr:uid="{00000000-0005-0000-0000-000080210000}"/>
    <cellStyle name="Normal 13 4 8 3" xfId="27266" xr:uid="{00000000-0005-0000-0000-000081210000}"/>
    <cellStyle name="Normal 13 4 8 4" xfId="27267" xr:uid="{00000000-0005-0000-0000-000082210000}"/>
    <cellStyle name="Normal 13 4 8 5" xfId="27268" xr:uid="{00000000-0005-0000-0000-000083210000}"/>
    <cellStyle name="Normal 13 4 9" xfId="27269" xr:uid="{00000000-0005-0000-0000-000084210000}"/>
    <cellStyle name="Normal 13 4 9 2" xfId="27270" xr:uid="{00000000-0005-0000-0000-000085210000}"/>
    <cellStyle name="Normal 13 4 9 3" xfId="27271" xr:uid="{00000000-0005-0000-0000-000086210000}"/>
    <cellStyle name="Normal 13 4 9 4" xfId="27272" xr:uid="{00000000-0005-0000-0000-000087210000}"/>
    <cellStyle name="Normal 13 5" xfId="27273" xr:uid="{00000000-0005-0000-0000-000088210000}"/>
    <cellStyle name="Normal 13 5 10" xfId="27274" xr:uid="{00000000-0005-0000-0000-000089210000}"/>
    <cellStyle name="Normal 13 5 11" xfId="27275" xr:uid="{00000000-0005-0000-0000-00008A210000}"/>
    <cellStyle name="Normal 13 5 2" xfId="27276" xr:uid="{00000000-0005-0000-0000-00008B210000}"/>
    <cellStyle name="Normal 13 5 2 2" xfId="27277" xr:uid="{00000000-0005-0000-0000-00008C210000}"/>
    <cellStyle name="Normal 13 5 2 2 2" xfId="27278" xr:uid="{00000000-0005-0000-0000-00008D210000}"/>
    <cellStyle name="Normal 13 5 2 2 2 2" xfId="27279" xr:uid="{00000000-0005-0000-0000-00008E210000}"/>
    <cellStyle name="Normal 13 5 2 2 2 2 2" xfId="27280" xr:uid="{00000000-0005-0000-0000-00008F210000}"/>
    <cellStyle name="Normal 13 5 2 2 2 2 3" xfId="27281" xr:uid="{00000000-0005-0000-0000-000090210000}"/>
    <cellStyle name="Normal 13 5 2 2 2 2 4" xfId="27282" xr:uid="{00000000-0005-0000-0000-000091210000}"/>
    <cellStyle name="Normal 13 5 2 2 2 3" xfId="27283" xr:uid="{00000000-0005-0000-0000-000092210000}"/>
    <cellStyle name="Normal 13 5 2 2 2 4" xfId="27284" xr:uid="{00000000-0005-0000-0000-000093210000}"/>
    <cellStyle name="Normal 13 5 2 2 2 5" xfId="27285" xr:uid="{00000000-0005-0000-0000-000094210000}"/>
    <cellStyle name="Normal 13 5 2 2 3" xfId="27286" xr:uid="{00000000-0005-0000-0000-000095210000}"/>
    <cellStyle name="Normal 13 5 2 2 3 2" xfId="27287" xr:uid="{00000000-0005-0000-0000-000096210000}"/>
    <cellStyle name="Normal 13 5 2 2 3 3" xfId="27288" xr:uid="{00000000-0005-0000-0000-000097210000}"/>
    <cellStyle name="Normal 13 5 2 2 3 4" xfId="27289" xr:uid="{00000000-0005-0000-0000-000098210000}"/>
    <cellStyle name="Normal 13 5 2 2 4" xfId="27290" xr:uid="{00000000-0005-0000-0000-000099210000}"/>
    <cellStyle name="Normal 13 5 2 2 5" xfId="27291" xr:uid="{00000000-0005-0000-0000-00009A210000}"/>
    <cellStyle name="Normal 13 5 2 2 6" xfId="27292" xr:uid="{00000000-0005-0000-0000-00009B210000}"/>
    <cellStyle name="Normal 13 5 2 3" xfId="27293" xr:uid="{00000000-0005-0000-0000-00009C210000}"/>
    <cellStyle name="Normal 13 5 2 3 2" xfId="27294" xr:uid="{00000000-0005-0000-0000-00009D210000}"/>
    <cellStyle name="Normal 13 5 2 3 2 2" xfId="27295" xr:uid="{00000000-0005-0000-0000-00009E210000}"/>
    <cellStyle name="Normal 13 5 2 3 2 3" xfId="27296" xr:uid="{00000000-0005-0000-0000-00009F210000}"/>
    <cellStyle name="Normal 13 5 2 3 2 4" xfId="27297" xr:uid="{00000000-0005-0000-0000-0000A0210000}"/>
    <cellStyle name="Normal 13 5 2 3 3" xfId="27298" xr:uid="{00000000-0005-0000-0000-0000A1210000}"/>
    <cellStyle name="Normal 13 5 2 3 4" xfId="27299" xr:uid="{00000000-0005-0000-0000-0000A2210000}"/>
    <cellStyle name="Normal 13 5 2 3 5" xfId="27300" xr:uid="{00000000-0005-0000-0000-0000A3210000}"/>
    <cellStyle name="Normal 13 5 2 4" xfId="27301" xr:uid="{00000000-0005-0000-0000-0000A4210000}"/>
    <cellStyle name="Normal 13 5 2 4 2" xfId="27302" xr:uid="{00000000-0005-0000-0000-0000A5210000}"/>
    <cellStyle name="Normal 13 5 2 4 3" xfId="27303" xr:uid="{00000000-0005-0000-0000-0000A6210000}"/>
    <cellStyle name="Normal 13 5 2 4 4" xfId="27304" xr:uid="{00000000-0005-0000-0000-0000A7210000}"/>
    <cellStyle name="Normal 13 5 2 5" xfId="27305" xr:uid="{00000000-0005-0000-0000-0000A8210000}"/>
    <cellStyle name="Normal 13 5 2 5 2" xfId="27306" xr:uid="{00000000-0005-0000-0000-0000A9210000}"/>
    <cellStyle name="Normal 13 5 2 5 3" xfId="27307" xr:uid="{00000000-0005-0000-0000-0000AA210000}"/>
    <cellStyle name="Normal 13 5 2 5 4" xfId="27308" xr:uid="{00000000-0005-0000-0000-0000AB210000}"/>
    <cellStyle name="Normal 13 5 2 6" xfId="27309" xr:uid="{00000000-0005-0000-0000-0000AC210000}"/>
    <cellStyle name="Normal 13 5 2 6 2" xfId="27310" xr:uid="{00000000-0005-0000-0000-0000AD210000}"/>
    <cellStyle name="Normal 13 5 2 6 3" xfId="27311" xr:uid="{00000000-0005-0000-0000-0000AE210000}"/>
    <cellStyle name="Normal 13 5 2 7" xfId="27312" xr:uid="{00000000-0005-0000-0000-0000AF210000}"/>
    <cellStyle name="Normal 13 5 2 8" xfId="27313" xr:uid="{00000000-0005-0000-0000-0000B0210000}"/>
    <cellStyle name="Normal 13 5 2 9" xfId="27314" xr:uid="{00000000-0005-0000-0000-0000B1210000}"/>
    <cellStyle name="Normal 13 5 3" xfId="27315" xr:uid="{00000000-0005-0000-0000-0000B2210000}"/>
    <cellStyle name="Normal 13 5 3 2" xfId="27316" xr:uid="{00000000-0005-0000-0000-0000B3210000}"/>
    <cellStyle name="Normal 13 5 3 2 2" xfId="27317" xr:uid="{00000000-0005-0000-0000-0000B4210000}"/>
    <cellStyle name="Normal 13 5 3 2 2 2" xfId="27318" xr:uid="{00000000-0005-0000-0000-0000B5210000}"/>
    <cellStyle name="Normal 13 5 3 2 2 3" xfId="27319" xr:uid="{00000000-0005-0000-0000-0000B6210000}"/>
    <cellStyle name="Normal 13 5 3 2 2 4" xfId="27320" xr:uid="{00000000-0005-0000-0000-0000B7210000}"/>
    <cellStyle name="Normal 13 5 3 2 3" xfId="27321" xr:uid="{00000000-0005-0000-0000-0000B8210000}"/>
    <cellStyle name="Normal 13 5 3 2 4" xfId="27322" xr:uid="{00000000-0005-0000-0000-0000B9210000}"/>
    <cellStyle name="Normal 13 5 3 2 5" xfId="27323" xr:uid="{00000000-0005-0000-0000-0000BA210000}"/>
    <cellStyle name="Normal 13 5 3 3" xfId="27324" xr:uid="{00000000-0005-0000-0000-0000BB210000}"/>
    <cellStyle name="Normal 13 5 3 3 2" xfId="27325" xr:uid="{00000000-0005-0000-0000-0000BC210000}"/>
    <cellStyle name="Normal 13 5 3 3 3" xfId="27326" xr:uid="{00000000-0005-0000-0000-0000BD210000}"/>
    <cellStyle name="Normal 13 5 3 3 4" xfId="27327" xr:uid="{00000000-0005-0000-0000-0000BE210000}"/>
    <cellStyle name="Normal 13 5 3 4" xfId="27328" xr:uid="{00000000-0005-0000-0000-0000BF210000}"/>
    <cellStyle name="Normal 13 5 3 5" xfId="27329" xr:uid="{00000000-0005-0000-0000-0000C0210000}"/>
    <cellStyle name="Normal 13 5 3 6" xfId="27330" xr:uid="{00000000-0005-0000-0000-0000C1210000}"/>
    <cellStyle name="Normal 13 5 4" xfId="27331" xr:uid="{00000000-0005-0000-0000-0000C2210000}"/>
    <cellStyle name="Normal 13 5 4 2" xfId="27332" xr:uid="{00000000-0005-0000-0000-0000C3210000}"/>
    <cellStyle name="Normal 13 5 4 2 2" xfId="27333" xr:uid="{00000000-0005-0000-0000-0000C4210000}"/>
    <cellStyle name="Normal 13 5 4 2 2 2" xfId="27334" xr:uid="{00000000-0005-0000-0000-0000C5210000}"/>
    <cellStyle name="Normal 13 5 4 2 2 3" xfId="27335" xr:uid="{00000000-0005-0000-0000-0000C6210000}"/>
    <cellStyle name="Normal 13 5 4 2 2 4" xfId="27336" xr:uid="{00000000-0005-0000-0000-0000C7210000}"/>
    <cellStyle name="Normal 13 5 4 2 3" xfId="27337" xr:uid="{00000000-0005-0000-0000-0000C8210000}"/>
    <cellStyle name="Normal 13 5 4 2 4" xfId="27338" xr:uid="{00000000-0005-0000-0000-0000C9210000}"/>
    <cellStyle name="Normal 13 5 4 2 5" xfId="27339" xr:uid="{00000000-0005-0000-0000-0000CA210000}"/>
    <cellStyle name="Normal 13 5 4 3" xfId="27340" xr:uid="{00000000-0005-0000-0000-0000CB210000}"/>
    <cellStyle name="Normal 13 5 4 3 2" xfId="27341" xr:uid="{00000000-0005-0000-0000-0000CC210000}"/>
    <cellStyle name="Normal 13 5 4 3 3" xfId="27342" xr:uid="{00000000-0005-0000-0000-0000CD210000}"/>
    <cellStyle name="Normal 13 5 4 3 4" xfId="27343" xr:uid="{00000000-0005-0000-0000-0000CE210000}"/>
    <cellStyle name="Normal 13 5 4 4" xfId="27344" xr:uid="{00000000-0005-0000-0000-0000CF210000}"/>
    <cellStyle name="Normal 13 5 4 5" xfId="27345" xr:uid="{00000000-0005-0000-0000-0000D0210000}"/>
    <cellStyle name="Normal 13 5 4 6" xfId="27346" xr:uid="{00000000-0005-0000-0000-0000D1210000}"/>
    <cellStyle name="Normal 13 5 5" xfId="27347" xr:uid="{00000000-0005-0000-0000-0000D2210000}"/>
    <cellStyle name="Normal 13 5 5 2" xfId="27348" xr:uid="{00000000-0005-0000-0000-0000D3210000}"/>
    <cellStyle name="Normal 13 5 5 2 2" xfId="27349" xr:uid="{00000000-0005-0000-0000-0000D4210000}"/>
    <cellStyle name="Normal 13 5 5 2 3" xfId="27350" xr:uid="{00000000-0005-0000-0000-0000D5210000}"/>
    <cellStyle name="Normal 13 5 5 2 4" xfId="27351" xr:uid="{00000000-0005-0000-0000-0000D6210000}"/>
    <cellStyle name="Normal 13 5 5 3" xfId="27352" xr:uid="{00000000-0005-0000-0000-0000D7210000}"/>
    <cellStyle name="Normal 13 5 5 4" xfId="27353" xr:uid="{00000000-0005-0000-0000-0000D8210000}"/>
    <cellStyle name="Normal 13 5 5 5" xfId="27354" xr:uid="{00000000-0005-0000-0000-0000D9210000}"/>
    <cellStyle name="Normal 13 5 6" xfId="27355" xr:uid="{00000000-0005-0000-0000-0000DA210000}"/>
    <cellStyle name="Normal 13 5 6 2" xfId="27356" xr:uid="{00000000-0005-0000-0000-0000DB210000}"/>
    <cellStyle name="Normal 13 5 6 3" xfId="27357" xr:uid="{00000000-0005-0000-0000-0000DC210000}"/>
    <cellStyle name="Normal 13 5 6 4" xfId="27358" xr:uid="{00000000-0005-0000-0000-0000DD210000}"/>
    <cellStyle name="Normal 13 5 7" xfId="27359" xr:uid="{00000000-0005-0000-0000-0000DE210000}"/>
    <cellStyle name="Normal 13 5 7 2" xfId="27360" xr:uid="{00000000-0005-0000-0000-0000DF210000}"/>
    <cellStyle name="Normal 13 5 7 3" xfId="27361" xr:uid="{00000000-0005-0000-0000-0000E0210000}"/>
    <cellStyle name="Normal 13 5 7 4" xfId="27362" xr:uid="{00000000-0005-0000-0000-0000E1210000}"/>
    <cellStyle name="Normal 13 5 8" xfId="27363" xr:uid="{00000000-0005-0000-0000-0000E2210000}"/>
    <cellStyle name="Normal 13 5 8 2" xfId="27364" xr:uid="{00000000-0005-0000-0000-0000E3210000}"/>
    <cellStyle name="Normal 13 5 8 3" xfId="27365" xr:uid="{00000000-0005-0000-0000-0000E4210000}"/>
    <cellStyle name="Normal 13 5 9" xfId="27366" xr:uid="{00000000-0005-0000-0000-0000E5210000}"/>
    <cellStyle name="Normal 13 6" xfId="27367" xr:uid="{00000000-0005-0000-0000-0000E6210000}"/>
    <cellStyle name="Normal 13 6 2" xfId="27368" xr:uid="{00000000-0005-0000-0000-0000E7210000}"/>
    <cellStyle name="Normal 13 6 2 2" xfId="27369" xr:uid="{00000000-0005-0000-0000-0000E8210000}"/>
    <cellStyle name="Normal 13 6 2 2 2" xfId="27370" xr:uid="{00000000-0005-0000-0000-0000E9210000}"/>
    <cellStyle name="Normal 13 6 2 2 3" xfId="27371" xr:uid="{00000000-0005-0000-0000-0000EA210000}"/>
    <cellStyle name="Normal 13 6 2 2 4" xfId="27372" xr:uid="{00000000-0005-0000-0000-0000EB210000}"/>
    <cellStyle name="Normal 13 6 2 3" xfId="27373" xr:uid="{00000000-0005-0000-0000-0000EC210000}"/>
    <cellStyle name="Normal 13 6 2 4" xfId="27374" xr:uid="{00000000-0005-0000-0000-0000ED210000}"/>
    <cellStyle name="Normal 13 6 2 5" xfId="27375" xr:uid="{00000000-0005-0000-0000-0000EE210000}"/>
    <cellStyle name="Normal 13 6 3" xfId="27376" xr:uid="{00000000-0005-0000-0000-0000EF210000}"/>
    <cellStyle name="Normal 13 6 3 2" xfId="27377" xr:uid="{00000000-0005-0000-0000-0000F0210000}"/>
    <cellStyle name="Normal 13 6 3 3" xfId="27378" xr:uid="{00000000-0005-0000-0000-0000F1210000}"/>
    <cellStyle name="Normal 13 6 3 4" xfId="27379" xr:uid="{00000000-0005-0000-0000-0000F2210000}"/>
    <cellStyle name="Normal 13 6 4" xfId="27380" xr:uid="{00000000-0005-0000-0000-0000F3210000}"/>
    <cellStyle name="Normal 13 6 5" xfId="27381" xr:uid="{00000000-0005-0000-0000-0000F4210000}"/>
    <cellStyle name="Normal 13 6 6" xfId="27382" xr:uid="{00000000-0005-0000-0000-0000F5210000}"/>
    <cellStyle name="Normal 13 7" xfId="27383" xr:uid="{00000000-0005-0000-0000-0000F6210000}"/>
    <cellStyle name="Normal 13 7 2" xfId="27384" xr:uid="{00000000-0005-0000-0000-0000F7210000}"/>
    <cellStyle name="Normal 13 7 2 2" xfId="27385" xr:uid="{00000000-0005-0000-0000-0000F8210000}"/>
    <cellStyle name="Normal 13 7 2 2 2" xfId="27386" xr:uid="{00000000-0005-0000-0000-0000F9210000}"/>
    <cellStyle name="Normal 13 7 2 2 3" xfId="27387" xr:uid="{00000000-0005-0000-0000-0000FA210000}"/>
    <cellStyle name="Normal 13 7 2 2 4" xfId="27388" xr:uid="{00000000-0005-0000-0000-0000FB210000}"/>
    <cellStyle name="Normal 13 7 2 3" xfId="27389" xr:uid="{00000000-0005-0000-0000-0000FC210000}"/>
    <cellStyle name="Normal 13 7 2 4" xfId="27390" xr:uid="{00000000-0005-0000-0000-0000FD210000}"/>
    <cellStyle name="Normal 13 7 2 5" xfId="27391" xr:uid="{00000000-0005-0000-0000-0000FE210000}"/>
    <cellStyle name="Normal 13 7 3" xfId="27392" xr:uid="{00000000-0005-0000-0000-0000FF210000}"/>
    <cellStyle name="Normal 13 7 3 2" xfId="27393" xr:uid="{00000000-0005-0000-0000-000000220000}"/>
    <cellStyle name="Normal 13 7 3 3" xfId="27394" xr:uid="{00000000-0005-0000-0000-000001220000}"/>
    <cellStyle name="Normal 13 7 3 4" xfId="27395" xr:uid="{00000000-0005-0000-0000-000002220000}"/>
    <cellStyle name="Normal 13 7 4" xfId="27396" xr:uid="{00000000-0005-0000-0000-000003220000}"/>
    <cellStyle name="Normal 13 7 5" xfId="27397" xr:uid="{00000000-0005-0000-0000-000004220000}"/>
    <cellStyle name="Normal 13 7 6" xfId="27398" xr:uid="{00000000-0005-0000-0000-000005220000}"/>
    <cellStyle name="Normal 13 8" xfId="27399" xr:uid="{00000000-0005-0000-0000-000006220000}"/>
    <cellStyle name="Normal 13 8 2" xfId="27400" xr:uid="{00000000-0005-0000-0000-000007220000}"/>
    <cellStyle name="Normal 13 8 2 2" xfId="27401" xr:uid="{00000000-0005-0000-0000-000008220000}"/>
    <cellStyle name="Normal 13 8 2 2 2" xfId="27402" xr:uid="{00000000-0005-0000-0000-000009220000}"/>
    <cellStyle name="Normal 13 8 2 2 3" xfId="27403" xr:uid="{00000000-0005-0000-0000-00000A220000}"/>
    <cellStyle name="Normal 13 8 2 2 4" xfId="27404" xr:uid="{00000000-0005-0000-0000-00000B220000}"/>
    <cellStyle name="Normal 13 8 2 3" xfId="27405" xr:uid="{00000000-0005-0000-0000-00000C220000}"/>
    <cellStyle name="Normal 13 8 2 4" xfId="27406" xr:uid="{00000000-0005-0000-0000-00000D220000}"/>
    <cellStyle name="Normal 13 8 2 5" xfId="27407" xr:uid="{00000000-0005-0000-0000-00000E220000}"/>
    <cellStyle name="Normal 13 8 3" xfId="27408" xr:uid="{00000000-0005-0000-0000-00000F220000}"/>
    <cellStyle name="Normal 13 8 3 2" xfId="27409" xr:uid="{00000000-0005-0000-0000-000010220000}"/>
    <cellStyle name="Normal 13 8 3 3" xfId="27410" xr:uid="{00000000-0005-0000-0000-000011220000}"/>
    <cellStyle name="Normal 13 8 3 4" xfId="27411" xr:uid="{00000000-0005-0000-0000-000012220000}"/>
    <cellStyle name="Normal 13 8 4" xfId="27412" xr:uid="{00000000-0005-0000-0000-000013220000}"/>
    <cellStyle name="Normal 13 8 5" xfId="27413" xr:uid="{00000000-0005-0000-0000-000014220000}"/>
    <cellStyle name="Normal 13 8 6" xfId="27414" xr:uid="{00000000-0005-0000-0000-000015220000}"/>
    <cellStyle name="Normal 13 9" xfId="27415" xr:uid="{00000000-0005-0000-0000-000016220000}"/>
    <cellStyle name="Normal 13 9 2" xfId="27416" xr:uid="{00000000-0005-0000-0000-000017220000}"/>
    <cellStyle name="Normal 13 9 2 2" xfId="27417" xr:uid="{00000000-0005-0000-0000-000018220000}"/>
    <cellStyle name="Normal 13 9 2 3" xfId="27418" xr:uid="{00000000-0005-0000-0000-000019220000}"/>
    <cellStyle name="Normal 13 9 2 4" xfId="27419" xr:uid="{00000000-0005-0000-0000-00001A220000}"/>
    <cellStyle name="Normal 13 9 3" xfId="27420" xr:uid="{00000000-0005-0000-0000-00001B220000}"/>
    <cellStyle name="Normal 13 9 4" xfId="27421" xr:uid="{00000000-0005-0000-0000-00001C220000}"/>
    <cellStyle name="Normal 13 9 5" xfId="27422" xr:uid="{00000000-0005-0000-0000-00001D220000}"/>
    <cellStyle name="Normal 130" xfId="27423" xr:uid="{00000000-0005-0000-0000-00001E220000}"/>
    <cellStyle name="Normal 131" xfId="27424" xr:uid="{00000000-0005-0000-0000-00001F220000}"/>
    <cellStyle name="Normal 132" xfId="27425" xr:uid="{00000000-0005-0000-0000-000020220000}"/>
    <cellStyle name="Normal 132 2" xfId="27426" xr:uid="{00000000-0005-0000-0000-000021220000}"/>
    <cellStyle name="Normal 132 3" xfId="27427" xr:uid="{00000000-0005-0000-0000-000022220000}"/>
    <cellStyle name="Normal 133" xfId="27428" xr:uid="{00000000-0005-0000-0000-000023220000}"/>
    <cellStyle name="Normal 133 2" xfId="27429" xr:uid="{00000000-0005-0000-0000-000024220000}"/>
    <cellStyle name="Normal 133 3" xfId="27430" xr:uid="{00000000-0005-0000-0000-000025220000}"/>
    <cellStyle name="Normal 134" xfId="27431" xr:uid="{00000000-0005-0000-0000-000026220000}"/>
    <cellStyle name="Normal 134 2" xfId="27432" xr:uid="{00000000-0005-0000-0000-000027220000}"/>
    <cellStyle name="Normal 134 3" xfId="27433" xr:uid="{00000000-0005-0000-0000-000028220000}"/>
    <cellStyle name="Normal 135" xfId="27434" xr:uid="{00000000-0005-0000-0000-000029220000}"/>
    <cellStyle name="Normal 135 2" xfId="27435" xr:uid="{00000000-0005-0000-0000-00002A220000}"/>
    <cellStyle name="Normal 135 3" xfId="27436" xr:uid="{00000000-0005-0000-0000-00002B220000}"/>
    <cellStyle name="Normal 136" xfId="27437" xr:uid="{00000000-0005-0000-0000-00002C220000}"/>
    <cellStyle name="Normal 136 2" xfId="27438" xr:uid="{00000000-0005-0000-0000-00002D220000}"/>
    <cellStyle name="Normal 136 3" xfId="27439" xr:uid="{00000000-0005-0000-0000-00002E220000}"/>
    <cellStyle name="Normal 137" xfId="27440" xr:uid="{00000000-0005-0000-0000-00002F220000}"/>
    <cellStyle name="Normal 138" xfId="27441" xr:uid="{00000000-0005-0000-0000-000030220000}"/>
    <cellStyle name="Normal 139" xfId="27442" xr:uid="{00000000-0005-0000-0000-000031220000}"/>
    <cellStyle name="Normal 14" xfId="473" xr:uid="{00000000-0005-0000-0000-000032220000}"/>
    <cellStyle name="Normal 14 10" xfId="27443" xr:uid="{00000000-0005-0000-0000-000033220000}"/>
    <cellStyle name="Normal 14 10 2" xfId="27444" xr:uid="{00000000-0005-0000-0000-000034220000}"/>
    <cellStyle name="Normal 14 10 3" xfId="27445" xr:uid="{00000000-0005-0000-0000-000035220000}"/>
    <cellStyle name="Normal 14 10 4" xfId="27446" xr:uid="{00000000-0005-0000-0000-000036220000}"/>
    <cellStyle name="Normal 14 11" xfId="27447" xr:uid="{00000000-0005-0000-0000-000037220000}"/>
    <cellStyle name="Normal 14 11 2" xfId="27448" xr:uid="{00000000-0005-0000-0000-000038220000}"/>
    <cellStyle name="Normal 14 11 3" xfId="27449" xr:uid="{00000000-0005-0000-0000-000039220000}"/>
    <cellStyle name="Normal 14 11 4" xfId="27450" xr:uid="{00000000-0005-0000-0000-00003A220000}"/>
    <cellStyle name="Normal 14 12" xfId="27451" xr:uid="{00000000-0005-0000-0000-00003B220000}"/>
    <cellStyle name="Normal 14 12 2" xfId="27452" xr:uid="{00000000-0005-0000-0000-00003C220000}"/>
    <cellStyle name="Normal 14 12 3" xfId="27453" xr:uid="{00000000-0005-0000-0000-00003D220000}"/>
    <cellStyle name="Normal 14 12 4" xfId="27454" xr:uid="{00000000-0005-0000-0000-00003E220000}"/>
    <cellStyle name="Normal 14 13" xfId="27455" xr:uid="{00000000-0005-0000-0000-00003F220000}"/>
    <cellStyle name="Normal 14 13 2" xfId="27456" xr:uid="{00000000-0005-0000-0000-000040220000}"/>
    <cellStyle name="Normal 14 13 3" xfId="27457" xr:uid="{00000000-0005-0000-0000-000041220000}"/>
    <cellStyle name="Normal 14 14" xfId="27458" xr:uid="{00000000-0005-0000-0000-000042220000}"/>
    <cellStyle name="Normal 14 14 2" xfId="27459" xr:uid="{00000000-0005-0000-0000-000043220000}"/>
    <cellStyle name="Normal 14 15" xfId="27460" xr:uid="{00000000-0005-0000-0000-000044220000}"/>
    <cellStyle name="Normal 14 16" xfId="27461" xr:uid="{00000000-0005-0000-0000-000045220000}"/>
    <cellStyle name="Normal 14 2" xfId="474" xr:uid="{00000000-0005-0000-0000-000046220000}"/>
    <cellStyle name="Normal 14 2 10" xfId="27462" xr:uid="{00000000-0005-0000-0000-000047220000}"/>
    <cellStyle name="Normal 14 2 10 2" xfId="27463" xr:uid="{00000000-0005-0000-0000-000048220000}"/>
    <cellStyle name="Normal 14 2 10 3" xfId="27464" xr:uid="{00000000-0005-0000-0000-000049220000}"/>
    <cellStyle name="Normal 14 2 10 4" xfId="27465" xr:uid="{00000000-0005-0000-0000-00004A220000}"/>
    <cellStyle name="Normal 14 2 11" xfId="27466" xr:uid="{00000000-0005-0000-0000-00004B220000}"/>
    <cellStyle name="Normal 14 2 11 2" xfId="27467" xr:uid="{00000000-0005-0000-0000-00004C220000}"/>
    <cellStyle name="Normal 14 2 11 3" xfId="27468" xr:uid="{00000000-0005-0000-0000-00004D220000}"/>
    <cellStyle name="Normal 14 2 12" xfId="27469" xr:uid="{00000000-0005-0000-0000-00004E220000}"/>
    <cellStyle name="Normal 14 2 12 2" xfId="27470" xr:uid="{00000000-0005-0000-0000-00004F220000}"/>
    <cellStyle name="Normal 14 2 13" xfId="27471" xr:uid="{00000000-0005-0000-0000-000050220000}"/>
    <cellStyle name="Normal 14 2 14" xfId="27472" xr:uid="{00000000-0005-0000-0000-000051220000}"/>
    <cellStyle name="Normal 14 2 2" xfId="27473" xr:uid="{00000000-0005-0000-0000-000052220000}"/>
    <cellStyle name="Normal 14 2 2 2" xfId="27474" xr:uid="{00000000-0005-0000-0000-000053220000}"/>
    <cellStyle name="Normal 14 2 2 2 2" xfId="27475" xr:uid="{00000000-0005-0000-0000-000054220000}"/>
    <cellStyle name="Normal 14 2 2 2 2 2" xfId="27476" xr:uid="{00000000-0005-0000-0000-000055220000}"/>
    <cellStyle name="Normal 14 2 2 2 2 2 2" xfId="27477" xr:uid="{00000000-0005-0000-0000-000056220000}"/>
    <cellStyle name="Normal 14 2 2 2 2 2 3" xfId="27478" xr:uid="{00000000-0005-0000-0000-000057220000}"/>
    <cellStyle name="Normal 14 2 2 2 2 2 4" xfId="27479" xr:uid="{00000000-0005-0000-0000-000058220000}"/>
    <cellStyle name="Normal 14 2 2 2 2 3" xfId="27480" xr:uid="{00000000-0005-0000-0000-000059220000}"/>
    <cellStyle name="Normal 14 2 2 2 2 4" xfId="27481" xr:uid="{00000000-0005-0000-0000-00005A220000}"/>
    <cellStyle name="Normal 14 2 2 2 2 5" xfId="27482" xr:uid="{00000000-0005-0000-0000-00005B220000}"/>
    <cellStyle name="Normal 14 2 2 2 3" xfId="27483" xr:uid="{00000000-0005-0000-0000-00005C220000}"/>
    <cellStyle name="Normal 14 2 2 2 3 2" xfId="27484" xr:uid="{00000000-0005-0000-0000-00005D220000}"/>
    <cellStyle name="Normal 14 2 2 2 3 3" xfId="27485" xr:uid="{00000000-0005-0000-0000-00005E220000}"/>
    <cellStyle name="Normal 14 2 2 2 3 4" xfId="27486" xr:uid="{00000000-0005-0000-0000-00005F220000}"/>
    <cellStyle name="Normal 14 2 2 2 4" xfId="27487" xr:uid="{00000000-0005-0000-0000-000060220000}"/>
    <cellStyle name="Normal 14 2 2 2 5" xfId="27488" xr:uid="{00000000-0005-0000-0000-000061220000}"/>
    <cellStyle name="Normal 14 2 2 2 6" xfId="27489" xr:uid="{00000000-0005-0000-0000-000062220000}"/>
    <cellStyle name="Normal 14 2 2 3" xfId="27490" xr:uid="{00000000-0005-0000-0000-000063220000}"/>
    <cellStyle name="Normal 14 2 2 3 2" xfId="27491" xr:uid="{00000000-0005-0000-0000-000064220000}"/>
    <cellStyle name="Normal 14 2 2 3 2 2" xfId="27492" xr:uid="{00000000-0005-0000-0000-000065220000}"/>
    <cellStyle name="Normal 14 2 2 3 2 3" xfId="27493" xr:uid="{00000000-0005-0000-0000-000066220000}"/>
    <cellStyle name="Normal 14 2 2 3 2 4" xfId="27494" xr:uid="{00000000-0005-0000-0000-000067220000}"/>
    <cellStyle name="Normal 14 2 2 3 3" xfId="27495" xr:uid="{00000000-0005-0000-0000-000068220000}"/>
    <cellStyle name="Normal 14 2 2 3 4" xfId="27496" xr:uid="{00000000-0005-0000-0000-000069220000}"/>
    <cellStyle name="Normal 14 2 2 3 5" xfId="27497" xr:uid="{00000000-0005-0000-0000-00006A220000}"/>
    <cellStyle name="Normal 14 2 2 4" xfId="27498" xr:uid="{00000000-0005-0000-0000-00006B220000}"/>
    <cellStyle name="Normal 14 2 2 4 2" xfId="27499" xr:uid="{00000000-0005-0000-0000-00006C220000}"/>
    <cellStyle name="Normal 14 2 2 4 3" xfId="27500" xr:uid="{00000000-0005-0000-0000-00006D220000}"/>
    <cellStyle name="Normal 14 2 2 4 4" xfId="27501" xr:uid="{00000000-0005-0000-0000-00006E220000}"/>
    <cellStyle name="Normal 14 2 2 5" xfId="27502" xr:uid="{00000000-0005-0000-0000-00006F220000}"/>
    <cellStyle name="Normal 14 2 2 5 2" xfId="27503" xr:uid="{00000000-0005-0000-0000-000070220000}"/>
    <cellStyle name="Normal 14 2 2 5 3" xfId="27504" xr:uid="{00000000-0005-0000-0000-000071220000}"/>
    <cellStyle name="Normal 14 2 2 5 4" xfId="27505" xr:uid="{00000000-0005-0000-0000-000072220000}"/>
    <cellStyle name="Normal 14 2 2 6" xfId="27506" xr:uid="{00000000-0005-0000-0000-000073220000}"/>
    <cellStyle name="Normal 14 2 2 6 2" xfId="27507" xr:uid="{00000000-0005-0000-0000-000074220000}"/>
    <cellStyle name="Normal 14 2 2 6 3" xfId="27508" xr:uid="{00000000-0005-0000-0000-000075220000}"/>
    <cellStyle name="Normal 14 2 2 7" xfId="27509" xr:uid="{00000000-0005-0000-0000-000076220000}"/>
    <cellStyle name="Normal 14 2 2 8" xfId="27510" xr:uid="{00000000-0005-0000-0000-000077220000}"/>
    <cellStyle name="Normal 14 2 2 9" xfId="27511" xr:uid="{00000000-0005-0000-0000-000078220000}"/>
    <cellStyle name="Normal 14 2 3" xfId="27512" xr:uid="{00000000-0005-0000-0000-000079220000}"/>
    <cellStyle name="Normal 14 2 3 2" xfId="27513" xr:uid="{00000000-0005-0000-0000-00007A220000}"/>
    <cellStyle name="Normal 14 2 3 2 2" xfId="27514" xr:uid="{00000000-0005-0000-0000-00007B220000}"/>
    <cellStyle name="Normal 14 2 3 2 2 2" xfId="27515" xr:uid="{00000000-0005-0000-0000-00007C220000}"/>
    <cellStyle name="Normal 14 2 3 2 2 2 2" xfId="27516" xr:uid="{00000000-0005-0000-0000-00007D220000}"/>
    <cellStyle name="Normal 14 2 3 2 2 2 3" xfId="27517" xr:uid="{00000000-0005-0000-0000-00007E220000}"/>
    <cellStyle name="Normal 14 2 3 2 2 2 4" xfId="27518" xr:uid="{00000000-0005-0000-0000-00007F220000}"/>
    <cellStyle name="Normal 14 2 3 2 2 3" xfId="27519" xr:uid="{00000000-0005-0000-0000-000080220000}"/>
    <cellStyle name="Normal 14 2 3 2 2 4" xfId="27520" xr:uid="{00000000-0005-0000-0000-000081220000}"/>
    <cellStyle name="Normal 14 2 3 2 2 5" xfId="27521" xr:uid="{00000000-0005-0000-0000-000082220000}"/>
    <cellStyle name="Normal 14 2 3 2 3" xfId="27522" xr:uid="{00000000-0005-0000-0000-000083220000}"/>
    <cellStyle name="Normal 14 2 3 2 3 2" xfId="27523" xr:uid="{00000000-0005-0000-0000-000084220000}"/>
    <cellStyle name="Normal 14 2 3 2 3 3" xfId="27524" xr:uid="{00000000-0005-0000-0000-000085220000}"/>
    <cellStyle name="Normal 14 2 3 2 3 4" xfId="27525" xr:uid="{00000000-0005-0000-0000-000086220000}"/>
    <cellStyle name="Normal 14 2 3 2 4" xfId="27526" xr:uid="{00000000-0005-0000-0000-000087220000}"/>
    <cellStyle name="Normal 14 2 3 2 5" xfId="27527" xr:uid="{00000000-0005-0000-0000-000088220000}"/>
    <cellStyle name="Normal 14 2 3 2 6" xfId="27528" xr:uid="{00000000-0005-0000-0000-000089220000}"/>
    <cellStyle name="Normal 14 2 3 3" xfId="27529" xr:uid="{00000000-0005-0000-0000-00008A220000}"/>
    <cellStyle name="Normal 14 2 3 3 2" xfId="27530" xr:uid="{00000000-0005-0000-0000-00008B220000}"/>
    <cellStyle name="Normal 14 2 3 3 2 2" xfId="27531" xr:uid="{00000000-0005-0000-0000-00008C220000}"/>
    <cellStyle name="Normal 14 2 3 3 2 3" xfId="27532" xr:uid="{00000000-0005-0000-0000-00008D220000}"/>
    <cellStyle name="Normal 14 2 3 3 2 4" xfId="27533" xr:uid="{00000000-0005-0000-0000-00008E220000}"/>
    <cellStyle name="Normal 14 2 3 3 3" xfId="27534" xr:uid="{00000000-0005-0000-0000-00008F220000}"/>
    <cellStyle name="Normal 14 2 3 3 4" xfId="27535" xr:uid="{00000000-0005-0000-0000-000090220000}"/>
    <cellStyle name="Normal 14 2 3 3 5" xfId="27536" xr:uid="{00000000-0005-0000-0000-000091220000}"/>
    <cellStyle name="Normal 14 2 3 4" xfId="27537" xr:uid="{00000000-0005-0000-0000-000092220000}"/>
    <cellStyle name="Normal 14 2 3 4 2" xfId="27538" xr:uid="{00000000-0005-0000-0000-000093220000}"/>
    <cellStyle name="Normal 14 2 3 4 3" xfId="27539" xr:uid="{00000000-0005-0000-0000-000094220000}"/>
    <cellStyle name="Normal 14 2 3 4 4" xfId="27540" xr:uid="{00000000-0005-0000-0000-000095220000}"/>
    <cellStyle name="Normal 14 2 3 5" xfId="27541" xr:uid="{00000000-0005-0000-0000-000096220000}"/>
    <cellStyle name="Normal 14 2 3 5 2" xfId="27542" xr:uid="{00000000-0005-0000-0000-000097220000}"/>
    <cellStyle name="Normal 14 2 3 5 3" xfId="27543" xr:uid="{00000000-0005-0000-0000-000098220000}"/>
    <cellStyle name="Normal 14 2 3 5 4" xfId="27544" xr:uid="{00000000-0005-0000-0000-000099220000}"/>
    <cellStyle name="Normal 14 2 3 6" xfId="27545" xr:uid="{00000000-0005-0000-0000-00009A220000}"/>
    <cellStyle name="Normal 14 2 3 6 2" xfId="27546" xr:uid="{00000000-0005-0000-0000-00009B220000}"/>
    <cellStyle name="Normal 14 2 3 6 3" xfId="27547" xr:uid="{00000000-0005-0000-0000-00009C220000}"/>
    <cellStyle name="Normal 14 2 3 7" xfId="27548" xr:uid="{00000000-0005-0000-0000-00009D220000}"/>
    <cellStyle name="Normal 14 2 3 8" xfId="27549" xr:uid="{00000000-0005-0000-0000-00009E220000}"/>
    <cellStyle name="Normal 14 2 3 9" xfId="27550" xr:uid="{00000000-0005-0000-0000-00009F220000}"/>
    <cellStyle name="Normal 14 2 4" xfId="27551" xr:uid="{00000000-0005-0000-0000-0000A0220000}"/>
    <cellStyle name="Normal 14 2 4 2" xfId="27552" xr:uid="{00000000-0005-0000-0000-0000A1220000}"/>
    <cellStyle name="Normal 14 2 4 2 2" xfId="27553" xr:uid="{00000000-0005-0000-0000-0000A2220000}"/>
    <cellStyle name="Normal 14 2 4 2 2 2" xfId="27554" xr:uid="{00000000-0005-0000-0000-0000A3220000}"/>
    <cellStyle name="Normal 14 2 4 2 2 3" xfId="27555" xr:uid="{00000000-0005-0000-0000-0000A4220000}"/>
    <cellStyle name="Normal 14 2 4 2 2 4" xfId="27556" xr:uid="{00000000-0005-0000-0000-0000A5220000}"/>
    <cellStyle name="Normal 14 2 4 2 3" xfId="27557" xr:uid="{00000000-0005-0000-0000-0000A6220000}"/>
    <cellStyle name="Normal 14 2 4 2 4" xfId="27558" xr:uid="{00000000-0005-0000-0000-0000A7220000}"/>
    <cellStyle name="Normal 14 2 4 2 5" xfId="27559" xr:uid="{00000000-0005-0000-0000-0000A8220000}"/>
    <cellStyle name="Normal 14 2 4 3" xfId="27560" xr:uid="{00000000-0005-0000-0000-0000A9220000}"/>
    <cellStyle name="Normal 14 2 4 3 2" xfId="27561" xr:uid="{00000000-0005-0000-0000-0000AA220000}"/>
    <cellStyle name="Normal 14 2 4 3 3" xfId="27562" xr:uid="{00000000-0005-0000-0000-0000AB220000}"/>
    <cellStyle name="Normal 14 2 4 3 4" xfId="27563" xr:uid="{00000000-0005-0000-0000-0000AC220000}"/>
    <cellStyle name="Normal 14 2 4 4" xfId="27564" xr:uid="{00000000-0005-0000-0000-0000AD220000}"/>
    <cellStyle name="Normal 14 2 4 5" xfId="27565" xr:uid="{00000000-0005-0000-0000-0000AE220000}"/>
    <cellStyle name="Normal 14 2 4 6" xfId="27566" xr:uid="{00000000-0005-0000-0000-0000AF220000}"/>
    <cellStyle name="Normal 14 2 5" xfId="27567" xr:uid="{00000000-0005-0000-0000-0000B0220000}"/>
    <cellStyle name="Normal 14 2 5 2" xfId="27568" xr:uid="{00000000-0005-0000-0000-0000B1220000}"/>
    <cellStyle name="Normal 14 2 5 2 2" xfId="27569" xr:uid="{00000000-0005-0000-0000-0000B2220000}"/>
    <cellStyle name="Normal 14 2 5 2 2 2" xfId="27570" xr:uid="{00000000-0005-0000-0000-0000B3220000}"/>
    <cellStyle name="Normal 14 2 5 2 2 3" xfId="27571" xr:uid="{00000000-0005-0000-0000-0000B4220000}"/>
    <cellStyle name="Normal 14 2 5 2 2 4" xfId="27572" xr:uid="{00000000-0005-0000-0000-0000B5220000}"/>
    <cellStyle name="Normal 14 2 5 2 3" xfId="27573" xr:uid="{00000000-0005-0000-0000-0000B6220000}"/>
    <cellStyle name="Normal 14 2 5 2 4" xfId="27574" xr:uid="{00000000-0005-0000-0000-0000B7220000}"/>
    <cellStyle name="Normal 14 2 5 2 5" xfId="27575" xr:uid="{00000000-0005-0000-0000-0000B8220000}"/>
    <cellStyle name="Normal 14 2 5 3" xfId="27576" xr:uid="{00000000-0005-0000-0000-0000B9220000}"/>
    <cellStyle name="Normal 14 2 5 3 2" xfId="27577" xr:uid="{00000000-0005-0000-0000-0000BA220000}"/>
    <cellStyle name="Normal 14 2 5 3 3" xfId="27578" xr:uid="{00000000-0005-0000-0000-0000BB220000}"/>
    <cellStyle name="Normal 14 2 5 3 4" xfId="27579" xr:uid="{00000000-0005-0000-0000-0000BC220000}"/>
    <cellStyle name="Normal 14 2 5 4" xfId="27580" xr:uid="{00000000-0005-0000-0000-0000BD220000}"/>
    <cellStyle name="Normal 14 2 5 5" xfId="27581" xr:uid="{00000000-0005-0000-0000-0000BE220000}"/>
    <cellStyle name="Normal 14 2 5 6" xfId="27582" xr:uid="{00000000-0005-0000-0000-0000BF220000}"/>
    <cellStyle name="Normal 14 2 6" xfId="27583" xr:uid="{00000000-0005-0000-0000-0000C0220000}"/>
    <cellStyle name="Normal 14 2 6 2" xfId="27584" xr:uid="{00000000-0005-0000-0000-0000C1220000}"/>
    <cellStyle name="Normal 14 2 6 2 2" xfId="27585" xr:uid="{00000000-0005-0000-0000-0000C2220000}"/>
    <cellStyle name="Normal 14 2 6 2 2 2" xfId="27586" xr:uid="{00000000-0005-0000-0000-0000C3220000}"/>
    <cellStyle name="Normal 14 2 6 2 2 3" xfId="27587" xr:uid="{00000000-0005-0000-0000-0000C4220000}"/>
    <cellStyle name="Normal 14 2 6 2 2 4" xfId="27588" xr:uid="{00000000-0005-0000-0000-0000C5220000}"/>
    <cellStyle name="Normal 14 2 6 2 3" xfId="27589" xr:uid="{00000000-0005-0000-0000-0000C6220000}"/>
    <cellStyle name="Normal 14 2 6 2 4" xfId="27590" xr:uid="{00000000-0005-0000-0000-0000C7220000}"/>
    <cellStyle name="Normal 14 2 6 2 5" xfId="27591" xr:uid="{00000000-0005-0000-0000-0000C8220000}"/>
    <cellStyle name="Normal 14 2 6 3" xfId="27592" xr:uid="{00000000-0005-0000-0000-0000C9220000}"/>
    <cellStyle name="Normal 14 2 6 3 2" xfId="27593" xr:uid="{00000000-0005-0000-0000-0000CA220000}"/>
    <cellStyle name="Normal 14 2 6 3 3" xfId="27594" xr:uid="{00000000-0005-0000-0000-0000CB220000}"/>
    <cellStyle name="Normal 14 2 6 3 4" xfId="27595" xr:uid="{00000000-0005-0000-0000-0000CC220000}"/>
    <cellStyle name="Normal 14 2 6 4" xfId="27596" xr:uid="{00000000-0005-0000-0000-0000CD220000}"/>
    <cellStyle name="Normal 14 2 6 5" xfId="27597" xr:uid="{00000000-0005-0000-0000-0000CE220000}"/>
    <cellStyle name="Normal 14 2 6 6" xfId="27598" xr:uid="{00000000-0005-0000-0000-0000CF220000}"/>
    <cellStyle name="Normal 14 2 7" xfId="27599" xr:uid="{00000000-0005-0000-0000-0000D0220000}"/>
    <cellStyle name="Normal 14 2 7 2" xfId="27600" xr:uid="{00000000-0005-0000-0000-0000D1220000}"/>
    <cellStyle name="Normal 14 2 7 2 2" xfId="27601" xr:uid="{00000000-0005-0000-0000-0000D2220000}"/>
    <cellStyle name="Normal 14 2 7 2 3" xfId="27602" xr:uid="{00000000-0005-0000-0000-0000D3220000}"/>
    <cellStyle name="Normal 14 2 7 2 4" xfId="27603" xr:uid="{00000000-0005-0000-0000-0000D4220000}"/>
    <cellStyle name="Normal 14 2 7 3" xfId="27604" xr:uid="{00000000-0005-0000-0000-0000D5220000}"/>
    <cellStyle name="Normal 14 2 7 4" xfId="27605" xr:uid="{00000000-0005-0000-0000-0000D6220000}"/>
    <cellStyle name="Normal 14 2 7 5" xfId="27606" xr:uid="{00000000-0005-0000-0000-0000D7220000}"/>
    <cellStyle name="Normal 14 2 8" xfId="27607" xr:uid="{00000000-0005-0000-0000-0000D8220000}"/>
    <cellStyle name="Normal 14 2 8 2" xfId="27608" xr:uid="{00000000-0005-0000-0000-0000D9220000}"/>
    <cellStyle name="Normal 14 2 8 3" xfId="27609" xr:uid="{00000000-0005-0000-0000-0000DA220000}"/>
    <cellStyle name="Normal 14 2 8 4" xfId="27610" xr:uid="{00000000-0005-0000-0000-0000DB220000}"/>
    <cellStyle name="Normal 14 2 9" xfId="27611" xr:uid="{00000000-0005-0000-0000-0000DC220000}"/>
    <cellStyle name="Normal 14 2 9 2" xfId="27612" xr:uid="{00000000-0005-0000-0000-0000DD220000}"/>
    <cellStyle name="Normal 14 2 9 3" xfId="27613" xr:uid="{00000000-0005-0000-0000-0000DE220000}"/>
    <cellStyle name="Normal 14 2 9 4" xfId="27614" xr:uid="{00000000-0005-0000-0000-0000DF220000}"/>
    <cellStyle name="Normal 14 3" xfId="27615" xr:uid="{00000000-0005-0000-0000-0000E0220000}"/>
    <cellStyle name="Normal 14 3 10" xfId="27616" xr:uid="{00000000-0005-0000-0000-0000E1220000}"/>
    <cellStyle name="Normal 14 3 10 2" xfId="27617" xr:uid="{00000000-0005-0000-0000-0000E2220000}"/>
    <cellStyle name="Normal 14 3 10 3" xfId="27618" xr:uid="{00000000-0005-0000-0000-0000E3220000}"/>
    <cellStyle name="Normal 14 3 10 4" xfId="27619" xr:uid="{00000000-0005-0000-0000-0000E4220000}"/>
    <cellStyle name="Normal 14 3 11" xfId="27620" xr:uid="{00000000-0005-0000-0000-0000E5220000}"/>
    <cellStyle name="Normal 14 3 11 2" xfId="27621" xr:uid="{00000000-0005-0000-0000-0000E6220000}"/>
    <cellStyle name="Normal 14 3 11 3" xfId="27622" xr:uid="{00000000-0005-0000-0000-0000E7220000}"/>
    <cellStyle name="Normal 14 3 12" xfId="27623" xr:uid="{00000000-0005-0000-0000-0000E8220000}"/>
    <cellStyle name="Normal 14 3 12 2" xfId="27624" xr:uid="{00000000-0005-0000-0000-0000E9220000}"/>
    <cellStyle name="Normal 14 3 13" xfId="27625" xr:uid="{00000000-0005-0000-0000-0000EA220000}"/>
    <cellStyle name="Normal 14 3 14" xfId="27626" xr:uid="{00000000-0005-0000-0000-0000EB220000}"/>
    <cellStyle name="Normal 14 3 2" xfId="27627" xr:uid="{00000000-0005-0000-0000-0000EC220000}"/>
    <cellStyle name="Normal 14 3 2 2" xfId="27628" xr:uid="{00000000-0005-0000-0000-0000ED220000}"/>
    <cellStyle name="Normal 14 3 2 2 2" xfId="27629" xr:uid="{00000000-0005-0000-0000-0000EE220000}"/>
    <cellStyle name="Normal 14 3 2 2 2 2" xfId="27630" xr:uid="{00000000-0005-0000-0000-0000EF220000}"/>
    <cellStyle name="Normal 14 3 2 2 2 2 2" xfId="27631" xr:uid="{00000000-0005-0000-0000-0000F0220000}"/>
    <cellStyle name="Normal 14 3 2 2 2 2 3" xfId="27632" xr:uid="{00000000-0005-0000-0000-0000F1220000}"/>
    <cellStyle name="Normal 14 3 2 2 2 2 4" xfId="27633" xr:uid="{00000000-0005-0000-0000-0000F2220000}"/>
    <cellStyle name="Normal 14 3 2 2 2 3" xfId="27634" xr:uid="{00000000-0005-0000-0000-0000F3220000}"/>
    <cellStyle name="Normal 14 3 2 2 2 4" xfId="27635" xr:uid="{00000000-0005-0000-0000-0000F4220000}"/>
    <cellStyle name="Normal 14 3 2 2 2 5" xfId="27636" xr:uid="{00000000-0005-0000-0000-0000F5220000}"/>
    <cellStyle name="Normal 14 3 2 2 3" xfId="27637" xr:uid="{00000000-0005-0000-0000-0000F6220000}"/>
    <cellStyle name="Normal 14 3 2 2 3 2" xfId="27638" xr:uid="{00000000-0005-0000-0000-0000F7220000}"/>
    <cellStyle name="Normal 14 3 2 2 3 3" xfId="27639" xr:uid="{00000000-0005-0000-0000-0000F8220000}"/>
    <cellStyle name="Normal 14 3 2 2 3 4" xfId="27640" xr:uid="{00000000-0005-0000-0000-0000F9220000}"/>
    <cellStyle name="Normal 14 3 2 2 4" xfId="27641" xr:uid="{00000000-0005-0000-0000-0000FA220000}"/>
    <cellStyle name="Normal 14 3 2 2 5" xfId="27642" xr:uid="{00000000-0005-0000-0000-0000FB220000}"/>
    <cellStyle name="Normal 14 3 2 2 6" xfId="27643" xr:uid="{00000000-0005-0000-0000-0000FC220000}"/>
    <cellStyle name="Normal 14 3 2 3" xfId="27644" xr:uid="{00000000-0005-0000-0000-0000FD220000}"/>
    <cellStyle name="Normal 14 3 2 3 2" xfId="27645" xr:uid="{00000000-0005-0000-0000-0000FE220000}"/>
    <cellStyle name="Normal 14 3 2 3 2 2" xfId="27646" xr:uid="{00000000-0005-0000-0000-0000FF220000}"/>
    <cellStyle name="Normal 14 3 2 3 2 3" xfId="27647" xr:uid="{00000000-0005-0000-0000-000000230000}"/>
    <cellStyle name="Normal 14 3 2 3 2 4" xfId="27648" xr:uid="{00000000-0005-0000-0000-000001230000}"/>
    <cellStyle name="Normal 14 3 2 3 3" xfId="27649" xr:uid="{00000000-0005-0000-0000-000002230000}"/>
    <cellStyle name="Normal 14 3 2 3 4" xfId="27650" xr:uid="{00000000-0005-0000-0000-000003230000}"/>
    <cellStyle name="Normal 14 3 2 3 5" xfId="27651" xr:uid="{00000000-0005-0000-0000-000004230000}"/>
    <cellStyle name="Normal 14 3 2 4" xfId="27652" xr:uid="{00000000-0005-0000-0000-000005230000}"/>
    <cellStyle name="Normal 14 3 2 4 2" xfId="27653" xr:uid="{00000000-0005-0000-0000-000006230000}"/>
    <cellStyle name="Normal 14 3 2 4 3" xfId="27654" xr:uid="{00000000-0005-0000-0000-000007230000}"/>
    <cellStyle name="Normal 14 3 2 4 4" xfId="27655" xr:uid="{00000000-0005-0000-0000-000008230000}"/>
    <cellStyle name="Normal 14 3 2 5" xfId="27656" xr:uid="{00000000-0005-0000-0000-000009230000}"/>
    <cellStyle name="Normal 14 3 2 5 2" xfId="27657" xr:uid="{00000000-0005-0000-0000-00000A230000}"/>
    <cellStyle name="Normal 14 3 2 5 3" xfId="27658" xr:uid="{00000000-0005-0000-0000-00000B230000}"/>
    <cellStyle name="Normal 14 3 2 5 4" xfId="27659" xr:uid="{00000000-0005-0000-0000-00000C230000}"/>
    <cellStyle name="Normal 14 3 2 6" xfId="27660" xr:uid="{00000000-0005-0000-0000-00000D230000}"/>
    <cellStyle name="Normal 14 3 2 6 2" xfId="27661" xr:uid="{00000000-0005-0000-0000-00000E230000}"/>
    <cellStyle name="Normal 14 3 2 6 3" xfId="27662" xr:uid="{00000000-0005-0000-0000-00000F230000}"/>
    <cellStyle name="Normal 14 3 2 7" xfId="27663" xr:uid="{00000000-0005-0000-0000-000010230000}"/>
    <cellStyle name="Normal 14 3 2 8" xfId="27664" xr:uid="{00000000-0005-0000-0000-000011230000}"/>
    <cellStyle name="Normal 14 3 2 9" xfId="27665" xr:uid="{00000000-0005-0000-0000-000012230000}"/>
    <cellStyle name="Normal 14 3 3" xfId="27666" xr:uid="{00000000-0005-0000-0000-000013230000}"/>
    <cellStyle name="Normal 14 3 3 2" xfId="27667" xr:uid="{00000000-0005-0000-0000-000014230000}"/>
    <cellStyle name="Normal 14 3 3 2 2" xfId="27668" xr:uid="{00000000-0005-0000-0000-000015230000}"/>
    <cellStyle name="Normal 14 3 3 2 2 2" xfId="27669" xr:uid="{00000000-0005-0000-0000-000016230000}"/>
    <cellStyle name="Normal 14 3 3 2 2 2 2" xfId="27670" xr:uid="{00000000-0005-0000-0000-000017230000}"/>
    <cellStyle name="Normal 14 3 3 2 2 2 3" xfId="27671" xr:uid="{00000000-0005-0000-0000-000018230000}"/>
    <cellStyle name="Normal 14 3 3 2 2 2 4" xfId="27672" xr:uid="{00000000-0005-0000-0000-000019230000}"/>
    <cellStyle name="Normal 14 3 3 2 2 3" xfId="27673" xr:uid="{00000000-0005-0000-0000-00001A230000}"/>
    <cellStyle name="Normal 14 3 3 2 2 4" xfId="27674" xr:uid="{00000000-0005-0000-0000-00001B230000}"/>
    <cellStyle name="Normal 14 3 3 2 2 5" xfId="27675" xr:uid="{00000000-0005-0000-0000-00001C230000}"/>
    <cellStyle name="Normal 14 3 3 2 3" xfId="27676" xr:uid="{00000000-0005-0000-0000-00001D230000}"/>
    <cellStyle name="Normal 14 3 3 2 3 2" xfId="27677" xr:uid="{00000000-0005-0000-0000-00001E230000}"/>
    <cellStyle name="Normal 14 3 3 2 3 3" xfId="27678" xr:uid="{00000000-0005-0000-0000-00001F230000}"/>
    <cellStyle name="Normal 14 3 3 2 3 4" xfId="27679" xr:uid="{00000000-0005-0000-0000-000020230000}"/>
    <cellStyle name="Normal 14 3 3 2 4" xfId="27680" xr:uid="{00000000-0005-0000-0000-000021230000}"/>
    <cellStyle name="Normal 14 3 3 2 5" xfId="27681" xr:uid="{00000000-0005-0000-0000-000022230000}"/>
    <cellStyle name="Normal 14 3 3 2 6" xfId="27682" xr:uid="{00000000-0005-0000-0000-000023230000}"/>
    <cellStyle name="Normal 14 3 3 3" xfId="27683" xr:uid="{00000000-0005-0000-0000-000024230000}"/>
    <cellStyle name="Normal 14 3 3 3 2" xfId="27684" xr:uid="{00000000-0005-0000-0000-000025230000}"/>
    <cellStyle name="Normal 14 3 3 3 2 2" xfId="27685" xr:uid="{00000000-0005-0000-0000-000026230000}"/>
    <cellStyle name="Normal 14 3 3 3 2 3" xfId="27686" xr:uid="{00000000-0005-0000-0000-000027230000}"/>
    <cellStyle name="Normal 14 3 3 3 2 4" xfId="27687" xr:uid="{00000000-0005-0000-0000-000028230000}"/>
    <cellStyle name="Normal 14 3 3 3 3" xfId="27688" xr:uid="{00000000-0005-0000-0000-000029230000}"/>
    <cellStyle name="Normal 14 3 3 3 4" xfId="27689" xr:uid="{00000000-0005-0000-0000-00002A230000}"/>
    <cellStyle name="Normal 14 3 3 3 5" xfId="27690" xr:uid="{00000000-0005-0000-0000-00002B230000}"/>
    <cellStyle name="Normal 14 3 3 4" xfId="27691" xr:uid="{00000000-0005-0000-0000-00002C230000}"/>
    <cellStyle name="Normal 14 3 3 4 2" xfId="27692" xr:uid="{00000000-0005-0000-0000-00002D230000}"/>
    <cellStyle name="Normal 14 3 3 4 3" xfId="27693" xr:uid="{00000000-0005-0000-0000-00002E230000}"/>
    <cellStyle name="Normal 14 3 3 4 4" xfId="27694" xr:uid="{00000000-0005-0000-0000-00002F230000}"/>
    <cellStyle name="Normal 14 3 3 5" xfId="27695" xr:uid="{00000000-0005-0000-0000-000030230000}"/>
    <cellStyle name="Normal 14 3 3 5 2" xfId="27696" xr:uid="{00000000-0005-0000-0000-000031230000}"/>
    <cellStyle name="Normal 14 3 3 5 3" xfId="27697" xr:uid="{00000000-0005-0000-0000-000032230000}"/>
    <cellStyle name="Normal 14 3 3 5 4" xfId="27698" xr:uid="{00000000-0005-0000-0000-000033230000}"/>
    <cellStyle name="Normal 14 3 3 6" xfId="27699" xr:uid="{00000000-0005-0000-0000-000034230000}"/>
    <cellStyle name="Normal 14 3 3 6 2" xfId="27700" xr:uid="{00000000-0005-0000-0000-000035230000}"/>
    <cellStyle name="Normal 14 3 3 6 3" xfId="27701" xr:uid="{00000000-0005-0000-0000-000036230000}"/>
    <cellStyle name="Normal 14 3 3 7" xfId="27702" xr:uid="{00000000-0005-0000-0000-000037230000}"/>
    <cellStyle name="Normal 14 3 3 8" xfId="27703" xr:uid="{00000000-0005-0000-0000-000038230000}"/>
    <cellStyle name="Normal 14 3 3 9" xfId="27704" xr:uid="{00000000-0005-0000-0000-000039230000}"/>
    <cellStyle name="Normal 14 3 4" xfId="27705" xr:uid="{00000000-0005-0000-0000-00003A230000}"/>
    <cellStyle name="Normal 14 3 4 2" xfId="27706" xr:uid="{00000000-0005-0000-0000-00003B230000}"/>
    <cellStyle name="Normal 14 3 4 2 2" xfId="27707" xr:uid="{00000000-0005-0000-0000-00003C230000}"/>
    <cellStyle name="Normal 14 3 4 2 2 2" xfId="27708" xr:uid="{00000000-0005-0000-0000-00003D230000}"/>
    <cellStyle name="Normal 14 3 4 2 2 3" xfId="27709" xr:uid="{00000000-0005-0000-0000-00003E230000}"/>
    <cellStyle name="Normal 14 3 4 2 2 4" xfId="27710" xr:uid="{00000000-0005-0000-0000-00003F230000}"/>
    <cellStyle name="Normal 14 3 4 2 3" xfId="27711" xr:uid="{00000000-0005-0000-0000-000040230000}"/>
    <cellStyle name="Normal 14 3 4 2 4" xfId="27712" xr:uid="{00000000-0005-0000-0000-000041230000}"/>
    <cellStyle name="Normal 14 3 4 2 5" xfId="27713" xr:uid="{00000000-0005-0000-0000-000042230000}"/>
    <cellStyle name="Normal 14 3 4 3" xfId="27714" xr:uid="{00000000-0005-0000-0000-000043230000}"/>
    <cellStyle name="Normal 14 3 4 3 2" xfId="27715" xr:uid="{00000000-0005-0000-0000-000044230000}"/>
    <cellStyle name="Normal 14 3 4 3 3" xfId="27716" xr:uid="{00000000-0005-0000-0000-000045230000}"/>
    <cellStyle name="Normal 14 3 4 3 4" xfId="27717" xr:uid="{00000000-0005-0000-0000-000046230000}"/>
    <cellStyle name="Normal 14 3 4 4" xfId="27718" xr:uid="{00000000-0005-0000-0000-000047230000}"/>
    <cellStyle name="Normal 14 3 4 5" xfId="27719" xr:uid="{00000000-0005-0000-0000-000048230000}"/>
    <cellStyle name="Normal 14 3 4 6" xfId="27720" xr:uid="{00000000-0005-0000-0000-000049230000}"/>
    <cellStyle name="Normal 14 3 5" xfId="27721" xr:uid="{00000000-0005-0000-0000-00004A230000}"/>
    <cellStyle name="Normal 14 3 5 2" xfId="27722" xr:uid="{00000000-0005-0000-0000-00004B230000}"/>
    <cellStyle name="Normal 14 3 5 2 2" xfId="27723" xr:uid="{00000000-0005-0000-0000-00004C230000}"/>
    <cellStyle name="Normal 14 3 5 2 2 2" xfId="27724" xr:uid="{00000000-0005-0000-0000-00004D230000}"/>
    <cellStyle name="Normal 14 3 5 2 2 3" xfId="27725" xr:uid="{00000000-0005-0000-0000-00004E230000}"/>
    <cellStyle name="Normal 14 3 5 2 2 4" xfId="27726" xr:uid="{00000000-0005-0000-0000-00004F230000}"/>
    <cellStyle name="Normal 14 3 5 2 3" xfId="27727" xr:uid="{00000000-0005-0000-0000-000050230000}"/>
    <cellStyle name="Normal 14 3 5 2 4" xfId="27728" xr:uid="{00000000-0005-0000-0000-000051230000}"/>
    <cellStyle name="Normal 14 3 5 2 5" xfId="27729" xr:uid="{00000000-0005-0000-0000-000052230000}"/>
    <cellStyle name="Normal 14 3 5 3" xfId="27730" xr:uid="{00000000-0005-0000-0000-000053230000}"/>
    <cellStyle name="Normal 14 3 5 3 2" xfId="27731" xr:uid="{00000000-0005-0000-0000-000054230000}"/>
    <cellStyle name="Normal 14 3 5 3 3" xfId="27732" xr:uid="{00000000-0005-0000-0000-000055230000}"/>
    <cellStyle name="Normal 14 3 5 3 4" xfId="27733" xr:uid="{00000000-0005-0000-0000-000056230000}"/>
    <cellStyle name="Normal 14 3 5 4" xfId="27734" xr:uid="{00000000-0005-0000-0000-000057230000}"/>
    <cellStyle name="Normal 14 3 5 5" xfId="27735" xr:uid="{00000000-0005-0000-0000-000058230000}"/>
    <cellStyle name="Normal 14 3 5 6" xfId="27736" xr:uid="{00000000-0005-0000-0000-000059230000}"/>
    <cellStyle name="Normal 14 3 6" xfId="27737" xr:uid="{00000000-0005-0000-0000-00005A230000}"/>
    <cellStyle name="Normal 14 3 6 2" xfId="27738" xr:uid="{00000000-0005-0000-0000-00005B230000}"/>
    <cellStyle name="Normal 14 3 6 2 2" xfId="27739" xr:uid="{00000000-0005-0000-0000-00005C230000}"/>
    <cellStyle name="Normal 14 3 6 2 2 2" xfId="27740" xr:uid="{00000000-0005-0000-0000-00005D230000}"/>
    <cellStyle name="Normal 14 3 6 2 2 3" xfId="27741" xr:uid="{00000000-0005-0000-0000-00005E230000}"/>
    <cellStyle name="Normal 14 3 6 2 2 4" xfId="27742" xr:uid="{00000000-0005-0000-0000-00005F230000}"/>
    <cellStyle name="Normal 14 3 6 2 3" xfId="27743" xr:uid="{00000000-0005-0000-0000-000060230000}"/>
    <cellStyle name="Normal 14 3 6 2 4" xfId="27744" xr:uid="{00000000-0005-0000-0000-000061230000}"/>
    <cellStyle name="Normal 14 3 6 2 5" xfId="27745" xr:uid="{00000000-0005-0000-0000-000062230000}"/>
    <cellStyle name="Normal 14 3 6 3" xfId="27746" xr:uid="{00000000-0005-0000-0000-000063230000}"/>
    <cellStyle name="Normal 14 3 6 3 2" xfId="27747" xr:uid="{00000000-0005-0000-0000-000064230000}"/>
    <cellStyle name="Normal 14 3 6 3 3" xfId="27748" xr:uid="{00000000-0005-0000-0000-000065230000}"/>
    <cellStyle name="Normal 14 3 6 3 4" xfId="27749" xr:uid="{00000000-0005-0000-0000-000066230000}"/>
    <cellStyle name="Normal 14 3 6 4" xfId="27750" xr:uid="{00000000-0005-0000-0000-000067230000}"/>
    <cellStyle name="Normal 14 3 6 5" xfId="27751" xr:uid="{00000000-0005-0000-0000-000068230000}"/>
    <cellStyle name="Normal 14 3 6 6" xfId="27752" xr:uid="{00000000-0005-0000-0000-000069230000}"/>
    <cellStyle name="Normal 14 3 7" xfId="27753" xr:uid="{00000000-0005-0000-0000-00006A230000}"/>
    <cellStyle name="Normal 14 3 7 2" xfId="27754" xr:uid="{00000000-0005-0000-0000-00006B230000}"/>
    <cellStyle name="Normal 14 3 7 2 2" xfId="27755" xr:uid="{00000000-0005-0000-0000-00006C230000}"/>
    <cellStyle name="Normal 14 3 7 2 3" xfId="27756" xr:uid="{00000000-0005-0000-0000-00006D230000}"/>
    <cellStyle name="Normal 14 3 7 2 4" xfId="27757" xr:uid="{00000000-0005-0000-0000-00006E230000}"/>
    <cellStyle name="Normal 14 3 7 3" xfId="27758" xr:uid="{00000000-0005-0000-0000-00006F230000}"/>
    <cellStyle name="Normal 14 3 7 4" xfId="27759" xr:uid="{00000000-0005-0000-0000-000070230000}"/>
    <cellStyle name="Normal 14 3 7 5" xfId="27760" xr:uid="{00000000-0005-0000-0000-000071230000}"/>
    <cellStyle name="Normal 14 3 8" xfId="27761" xr:uid="{00000000-0005-0000-0000-000072230000}"/>
    <cellStyle name="Normal 14 3 8 2" xfId="27762" xr:uid="{00000000-0005-0000-0000-000073230000}"/>
    <cellStyle name="Normal 14 3 8 3" xfId="27763" xr:uid="{00000000-0005-0000-0000-000074230000}"/>
    <cellStyle name="Normal 14 3 8 4" xfId="27764" xr:uid="{00000000-0005-0000-0000-000075230000}"/>
    <cellStyle name="Normal 14 3 9" xfId="27765" xr:uid="{00000000-0005-0000-0000-000076230000}"/>
    <cellStyle name="Normal 14 3 9 2" xfId="27766" xr:uid="{00000000-0005-0000-0000-000077230000}"/>
    <cellStyle name="Normal 14 3 9 3" xfId="27767" xr:uid="{00000000-0005-0000-0000-000078230000}"/>
    <cellStyle name="Normal 14 3 9 4" xfId="27768" xr:uid="{00000000-0005-0000-0000-000079230000}"/>
    <cellStyle name="Normal 14 4" xfId="27769" xr:uid="{00000000-0005-0000-0000-00007A230000}"/>
    <cellStyle name="Normal 14 4 2" xfId="27770" xr:uid="{00000000-0005-0000-0000-00007B230000}"/>
    <cellStyle name="Normal 14 4 2 2" xfId="27771" xr:uid="{00000000-0005-0000-0000-00007C230000}"/>
    <cellStyle name="Normal 14 4 2 2 2" xfId="27772" xr:uid="{00000000-0005-0000-0000-00007D230000}"/>
    <cellStyle name="Normal 14 4 2 2 2 2" xfId="27773" xr:uid="{00000000-0005-0000-0000-00007E230000}"/>
    <cellStyle name="Normal 14 4 2 2 2 3" xfId="27774" xr:uid="{00000000-0005-0000-0000-00007F230000}"/>
    <cellStyle name="Normal 14 4 2 2 2 4" xfId="27775" xr:uid="{00000000-0005-0000-0000-000080230000}"/>
    <cellStyle name="Normal 14 4 2 2 3" xfId="27776" xr:uid="{00000000-0005-0000-0000-000081230000}"/>
    <cellStyle name="Normal 14 4 2 2 4" xfId="27777" xr:uid="{00000000-0005-0000-0000-000082230000}"/>
    <cellStyle name="Normal 14 4 2 2 5" xfId="27778" xr:uid="{00000000-0005-0000-0000-000083230000}"/>
    <cellStyle name="Normal 14 4 2 3" xfId="27779" xr:uid="{00000000-0005-0000-0000-000084230000}"/>
    <cellStyle name="Normal 14 4 2 3 2" xfId="27780" xr:uid="{00000000-0005-0000-0000-000085230000}"/>
    <cellStyle name="Normal 14 4 2 3 3" xfId="27781" xr:uid="{00000000-0005-0000-0000-000086230000}"/>
    <cellStyle name="Normal 14 4 2 3 4" xfId="27782" xr:uid="{00000000-0005-0000-0000-000087230000}"/>
    <cellStyle name="Normal 14 4 2 4" xfId="27783" xr:uid="{00000000-0005-0000-0000-000088230000}"/>
    <cellStyle name="Normal 14 4 2 5" xfId="27784" xr:uid="{00000000-0005-0000-0000-000089230000}"/>
    <cellStyle name="Normal 14 4 2 6" xfId="27785" xr:uid="{00000000-0005-0000-0000-00008A230000}"/>
    <cellStyle name="Normal 14 4 3" xfId="27786" xr:uid="{00000000-0005-0000-0000-00008B230000}"/>
    <cellStyle name="Normal 14 4 3 2" xfId="27787" xr:uid="{00000000-0005-0000-0000-00008C230000}"/>
    <cellStyle name="Normal 14 4 3 2 2" xfId="27788" xr:uid="{00000000-0005-0000-0000-00008D230000}"/>
    <cellStyle name="Normal 14 4 3 2 3" xfId="27789" xr:uid="{00000000-0005-0000-0000-00008E230000}"/>
    <cellStyle name="Normal 14 4 3 2 4" xfId="27790" xr:uid="{00000000-0005-0000-0000-00008F230000}"/>
    <cellStyle name="Normal 14 4 3 3" xfId="27791" xr:uid="{00000000-0005-0000-0000-000090230000}"/>
    <cellStyle name="Normal 14 4 3 4" xfId="27792" xr:uid="{00000000-0005-0000-0000-000091230000}"/>
    <cellStyle name="Normal 14 4 3 5" xfId="27793" xr:uid="{00000000-0005-0000-0000-000092230000}"/>
    <cellStyle name="Normal 14 4 4" xfId="27794" xr:uid="{00000000-0005-0000-0000-000093230000}"/>
    <cellStyle name="Normal 14 4 4 2" xfId="27795" xr:uid="{00000000-0005-0000-0000-000094230000}"/>
    <cellStyle name="Normal 14 4 4 3" xfId="27796" xr:uid="{00000000-0005-0000-0000-000095230000}"/>
    <cellStyle name="Normal 14 4 4 4" xfId="27797" xr:uid="{00000000-0005-0000-0000-000096230000}"/>
    <cellStyle name="Normal 14 4 5" xfId="27798" xr:uid="{00000000-0005-0000-0000-000097230000}"/>
    <cellStyle name="Normal 14 4 5 2" xfId="27799" xr:uid="{00000000-0005-0000-0000-000098230000}"/>
    <cellStyle name="Normal 14 4 5 3" xfId="27800" xr:uid="{00000000-0005-0000-0000-000099230000}"/>
    <cellStyle name="Normal 14 4 5 4" xfId="27801" xr:uid="{00000000-0005-0000-0000-00009A230000}"/>
    <cellStyle name="Normal 14 4 6" xfId="27802" xr:uid="{00000000-0005-0000-0000-00009B230000}"/>
    <cellStyle name="Normal 14 4 6 2" xfId="27803" xr:uid="{00000000-0005-0000-0000-00009C230000}"/>
    <cellStyle name="Normal 14 4 6 3" xfId="27804" xr:uid="{00000000-0005-0000-0000-00009D230000}"/>
    <cellStyle name="Normal 14 4 7" xfId="27805" xr:uid="{00000000-0005-0000-0000-00009E230000}"/>
    <cellStyle name="Normal 14 4 8" xfId="27806" xr:uid="{00000000-0005-0000-0000-00009F230000}"/>
    <cellStyle name="Normal 14 4 9" xfId="27807" xr:uid="{00000000-0005-0000-0000-0000A0230000}"/>
    <cellStyle name="Normal 14 5" xfId="27808" xr:uid="{00000000-0005-0000-0000-0000A1230000}"/>
    <cellStyle name="Normal 14 5 2" xfId="27809" xr:uid="{00000000-0005-0000-0000-0000A2230000}"/>
    <cellStyle name="Normal 14 5 2 2" xfId="27810" xr:uid="{00000000-0005-0000-0000-0000A3230000}"/>
    <cellStyle name="Normal 14 5 2 2 2" xfId="27811" xr:uid="{00000000-0005-0000-0000-0000A4230000}"/>
    <cellStyle name="Normal 14 5 2 2 2 2" xfId="27812" xr:uid="{00000000-0005-0000-0000-0000A5230000}"/>
    <cellStyle name="Normal 14 5 2 2 2 3" xfId="27813" xr:uid="{00000000-0005-0000-0000-0000A6230000}"/>
    <cellStyle name="Normal 14 5 2 2 2 4" xfId="27814" xr:uid="{00000000-0005-0000-0000-0000A7230000}"/>
    <cellStyle name="Normal 14 5 2 2 3" xfId="27815" xr:uid="{00000000-0005-0000-0000-0000A8230000}"/>
    <cellStyle name="Normal 14 5 2 2 4" xfId="27816" xr:uid="{00000000-0005-0000-0000-0000A9230000}"/>
    <cellStyle name="Normal 14 5 2 2 5" xfId="27817" xr:uid="{00000000-0005-0000-0000-0000AA230000}"/>
    <cellStyle name="Normal 14 5 2 3" xfId="27818" xr:uid="{00000000-0005-0000-0000-0000AB230000}"/>
    <cellStyle name="Normal 14 5 2 3 2" xfId="27819" xr:uid="{00000000-0005-0000-0000-0000AC230000}"/>
    <cellStyle name="Normal 14 5 2 3 3" xfId="27820" xr:uid="{00000000-0005-0000-0000-0000AD230000}"/>
    <cellStyle name="Normal 14 5 2 3 4" xfId="27821" xr:uid="{00000000-0005-0000-0000-0000AE230000}"/>
    <cellStyle name="Normal 14 5 2 4" xfId="27822" xr:uid="{00000000-0005-0000-0000-0000AF230000}"/>
    <cellStyle name="Normal 14 5 2 5" xfId="27823" xr:uid="{00000000-0005-0000-0000-0000B0230000}"/>
    <cellStyle name="Normal 14 5 2 6" xfId="27824" xr:uid="{00000000-0005-0000-0000-0000B1230000}"/>
    <cellStyle name="Normal 14 5 3" xfId="27825" xr:uid="{00000000-0005-0000-0000-0000B2230000}"/>
    <cellStyle name="Normal 14 5 3 2" xfId="27826" xr:uid="{00000000-0005-0000-0000-0000B3230000}"/>
    <cellStyle name="Normal 14 5 3 2 2" xfId="27827" xr:uid="{00000000-0005-0000-0000-0000B4230000}"/>
    <cellStyle name="Normal 14 5 3 2 3" xfId="27828" xr:uid="{00000000-0005-0000-0000-0000B5230000}"/>
    <cellStyle name="Normal 14 5 3 2 4" xfId="27829" xr:uid="{00000000-0005-0000-0000-0000B6230000}"/>
    <cellStyle name="Normal 14 5 3 3" xfId="27830" xr:uid="{00000000-0005-0000-0000-0000B7230000}"/>
    <cellStyle name="Normal 14 5 3 4" xfId="27831" xr:uid="{00000000-0005-0000-0000-0000B8230000}"/>
    <cellStyle name="Normal 14 5 3 5" xfId="27832" xr:uid="{00000000-0005-0000-0000-0000B9230000}"/>
    <cellStyle name="Normal 14 5 4" xfId="27833" xr:uid="{00000000-0005-0000-0000-0000BA230000}"/>
    <cellStyle name="Normal 14 5 4 2" xfId="27834" xr:uid="{00000000-0005-0000-0000-0000BB230000}"/>
    <cellStyle name="Normal 14 5 4 3" xfId="27835" xr:uid="{00000000-0005-0000-0000-0000BC230000}"/>
    <cellStyle name="Normal 14 5 4 4" xfId="27836" xr:uid="{00000000-0005-0000-0000-0000BD230000}"/>
    <cellStyle name="Normal 14 5 5" xfId="27837" xr:uid="{00000000-0005-0000-0000-0000BE230000}"/>
    <cellStyle name="Normal 14 5 5 2" xfId="27838" xr:uid="{00000000-0005-0000-0000-0000BF230000}"/>
    <cellStyle name="Normal 14 5 5 3" xfId="27839" xr:uid="{00000000-0005-0000-0000-0000C0230000}"/>
    <cellStyle name="Normal 14 5 5 4" xfId="27840" xr:uid="{00000000-0005-0000-0000-0000C1230000}"/>
    <cellStyle name="Normal 14 5 6" xfId="27841" xr:uid="{00000000-0005-0000-0000-0000C2230000}"/>
    <cellStyle name="Normal 14 5 6 2" xfId="27842" xr:uid="{00000000-0005-0000-0000-0000C3230000}"/>
    <cellStyle name="Normal 14 5 6 3" xfId="27843" xr:uid="{00000000-0005-0000-0000-0000C4230000}"/>
    <cellStyle name="Normal 14 5 7" xfId="27844" xr:uid="{00000000-0005-0000-0000-0000C5230000}"/>
    <cellStyle name="Normal 14 5 8" xfId="27845" xr:uid="{00000000-0005-0000-0000-0000C6230000}"/>
    <cellStyle name="Normal 14 5 9" xfId="27846" xr:uid="{00000000-0005-0000-0000-0000C7230000}"/>
    <cellStyle name="Normal 14 6" xfId="27847" xr:uid="{00000000-0005-0000-0000-0000C8230000}"/>
    <cellStyle name="Normal 14 6 2" xfId="27848" xr:uid="{00000000-0005-0000-0000-0000C9230000}"/>
    <cellStyle name="Normal 14 6 2 2" xfId="27849" xr:uid="{00000000-0005-0000-0000-0000CA230000}"/>
    <cellStyle name="Normal 14 6 2 2 2" xfId="27850" xr:uid="{00000000-0005-0000-0000-0000CB230000}"/>
    <cellStyle name="Normal 14 6 2 2 3" xfId="27851" xr:uid="{00000000-0005-0000-0000-0000CC230000}"/>
    <cellStyle name="Normal 14 6 2 2 4" xfId="27852" xr:uid="{00000000-0005-0000-0000-0000CD230000}"/>
    <cellStyle name="Normal 14 6 2 3" xfId="27853" xr:uid="{00000000-0005-0000-0000-0000CE230000}"/>
    <cellStyle name="Normal 14 6 2 4" xfId="27854" xr:uid="{00000000-0005-0000-0000-0000CF230000}"/>
    <cellStyle name="Normal 14 6 2 5" xfId="27855" xr:uid="{00000000-0005-0000-0000-0000D0230000}"/>
    <cellStyle name="Normal 14 6 3" xfId="27856" xr:uid="{00000000-0005-0000-0000-0000D1230000}"/>
    <cellStyle name="Normal 14 6 3 2" xfId="27857" xr:uid="{00000000-0005-0000-0000-0000D2230000}"/>
    <cellStyle name="Normal 14 6 3 3" xfId="27858" xr:uid="{00000000-0005-0000-0000-0000D3230000}"/>
    <cellStyle name="Normal 14 6 3 4" xfId="27859" xr:uid="{00000000-0005-0000-0000-0000D4230000}"/>
    <cellStyle name="Normal 14 6 4" xfId="27860" xr:uid="{00000000-0005-0000-0000-0000D5230000}"/>
    <cellStyle name="Normal 14 6 5" xfId="27861" xr:uid="{00000000-0005-0000-0000-0000D6230000}"/>
    <cellStyle name="Normal 14 6 6" xfId="27862" xr:uid="{00000000-0005-0000-0000-0000D7230000}"/>
    <cellStyle name="Normal 14 7" xfId="27863" xr:uid="{00000000-0005-0000-0000-0000D8230000}"/>
    <cellStyle name="Normal 14 7 2" xfId="27864" xr:uid="{00000000-0005-0000-0000-0000D9230000}"/>
    <cellStyle name="Normal 14 7 2 2" xfId="27865" xr:uid="{00000000-0005-0000-0000-0000DA230000}"/>
    <cellStyle name="Normal 14 7 2 2 2" xfId="27866" xr:uid="{00000000-0005-0000-0000-0000DB230000}"/>
    <cellStyle name="Normal 14 7 2 2 3" xfId="27867" xr:uid="{00000000-0005-0000-0000-0000DC230000}"/>
    <cellStyle name="Normal 14 7 2 2 4" xfId="27868" xr:uid="{00000000-0005-0000-0000-0000DD230000}"/>
    <cellStyle name="Normal 14 7 2 3" xfId="27869" xr:uid="{00000000-0005-0000-0000-0000DE230000}"/>
    <cellStyle name="Normal 14 7 2 4" xfId="27870" xr:uid="{00000000-0005-0000-0000-0000DF230000}"/>
    <cellStyle name="Normal 14 7 2 5" xfId="27871" xr:uid="{00000000-0005-0000-0000-0000E0230000}"/>
    <cellStyle name="Normal 14 7 3" xfId="27872" xr:uid="{00000000-0005-0000-0000-0000E1230000}"/>
    <cellStyle name="Normal 14 7 3 2" xfId="27873" xr:uid="{00000000-0005-0000-0000-0000E2230000}"/>
    <cellStyle name="Normal 14 7 3 3" xfId="27874" xr:uid="{00000000-0005-0000-0000-0000E3230000}"/>
    <cellStyle name="Normal 14 7 3 4" xfId="27875" xr:uid="{00000000-0005-0000-0000-0000E4230000}"/>
    <cellStyle name="Normal 14 7 4" xfId="27876" xr:uid="{00000000-0005-0000-0000-0000E5230000}"/>
    <cellStyle name="Normal 14 7 5" xfId="27877" xr:uid="{00000000-0005-0000-0000-0000E6230000}"/>
    <cellStyle name="Normal 14 7 6" xfId="27878" xr:uid="{00000000-0005-0000-0000-0000E7230000}"/>
    <cellStyle name="Normal 14 8" xfId="27879" xr:uid="{00000000-0005-0000-0000-0000E8230000}"/>
    <cellStyle name="Normal 14 8 2" xfId="27880" xr:uid="{00000000-0005-0000-0000-0000E9230000}"/>
    <cellStyle name="Normal 14 8 2 2" xfId="27881" xr:uid="{00000000-0005-0000-0000-0000EA230000}"/>
    <cellStyle name="Normal 14 8 2 2 2" xfId="27882" xr:uid="{00000000-0005-0000-0000-0000EB230000}"/>
    <cellStyle name="Normal 14 8 2 2 3" xfId="27883" xr:uid="{00000000-0005-0000-0000-0000EC230000}"/>
    <cellStyle name="Normal 14 8 2 2 4" xfId="27884" xr:uid="{00000000-0005-0000-0000-0000ED230000}"/>
    <cellStyle name="Normal 14 8 2 3" xfId="27885" xr:uid="{00000000-0005-0000-0000-0000EE230000}"/>
    <cellStyle name="Normal 14 8 2 4" xfId="27886" xr:uid="{00000000-0005-0000-0000-0000EF230000}"/>
    <cellStyle name="Normal 14 8 2 5" xfId="27887" xr:uid="{00000000-0005-0000-0000-0000F0230000}"/>
    <cellStyle name="Normal 14 8 3" xfId="27888" xr:uid="{00000000-0005-0000-0000-0000F1230000}"/>
    <cellStyle name="Normal 14 8 3 2" xfId="27889" xr:uid="{00000000-0005-0000-0000-0000F2230000}"/>
    <cellStyle name="Normal 14 8 3 3" xfId="27890" xr:uid="{00000000-0005-0000-0000-0000F3230000}"/>
    <cellStyle name="Normal 14 8 3 4" xfId="27891" xr:uid="{00000000-0005-0000-0000-0000F4230000}"/>
    <cellStyle name="Normal 14 8 4" xfId="27892" xr:uid="{00000000-0005-0000-0000-0000F5230000}"/>
    <cellStyle name="Normal 14 8 5" xfId="27893" xr:uid="{00000000-0005-0000-0000-0000F6230000}"/>
    <cellStyle name="Normal 14 8 6" xfId="27894" xr:uid="{00000000-0005-0000-0000-0000F7230000}"/>
    <cellStyle name="Normal 14 9" xfId="27895" xr:uid="{00000000-0005-0000-0000-0000F8230000}"/>
    <cellStyle name="Normal 14 9 2" xfId="27896" xr:uid="{00000000-0005-0000-0000-0000F9230000}"/>
    <cellStyle name="Normal 14 9 2 2" xfId="27897" xr:uid="{00000000-0005-0000-0000-0000FA230000}"/>
    <cellStyle name="Normal 14 9 2 3" xfId="27898" xr:uid="{00000000-0005-0000-0000-0000FB230000}"/>
    <cellStyle name="Normal 14 9 2 4" xfId="27899" xr:uid="{00000000-0005-0000-0000-0000FC230000}"/>
    <cellStyle name="Normal 14 9 3" xfId="27900" xr:uid="{00000000-0005-0000-0000-0000FD230000}"/>
    <cellStyle name="Normal 14 9 4" xfId="27901" xr:uid="{00000000-0005-0000-0000-0000FE230000}"/>
    <cellStyle name="Normal 14 9 5" xfId="27902" xr:uid="{00000000-0005-0000-0000-0000FF230000}"/>
    <cellStyle name="Normal 140" xfId="27903" xr:uid="{00000000-0005-0000-0000-000000240000}"/>
    <cellStyle name="Normal 141" xfId="27904" xr:uid="{00000000-0005-0000-0000-000001240000}"/>
    <cellStyle name="Normal 142" xfId="27905" xr:uid="{00000000-0005-0000-0000-000002240000}"/>
    <cellStyle name="Normal 143" xfId="27906" xr:uid="{00000000-0005-0000-0000-000003240000}"/>
    <cellStyle name="Normal 144" xfId="27907" xr:uid="{00000000-0005-0000-0000-000004240000}"/>
    <cellStyle name="Normal 145" xfId="27908" xr:uid="{00000000-0005-0000-0000-000005240000}"/>
    <cellStyle name="Normal 146" xfId="27909" xr:uid="{00000000-0005-0000-0000-000006240000}"/>
    <cellStyle name="Normal 147" xfId="27910" xr:uid="{00000000-0005-0000-0000-000007240000}"/>
    <cellStyle name="Normal 148" xfId="27911" xr:uid="{00000000-0005-0000-0000-000008240000}"/>
    <cellStyle name="Normal 149" xfId="27912" xr:uid="{00000000-0005-0000-0000-000009240000}"/>
    <cellStyle name="Normal 15" xfId="475" xr:uid="{00000000-0005-0000-0000-00000A240000}"/>
    <cellStyle name="Normal 15 2" xfId="27913" xr:uid="{00000000-0005-0000-0000-00000B240000}"/>
    <cellStyle name="Normal 150" xfId="27914" xr:uid="{00000000-0005-0000-0000-00000C240000}"/>
    <cellStyle name="Normal 151" xfId="27915" xr:uid="{00000000-0005-0000-0000-00000D240000}"/>
    <cellStyle name="Normal 152" xfId="27916" xr:uid="{00000000-0005-0000-0000-00000E240000}"/>
    <cellStyle name="Normal 153" xfId="27917" xr:uid="{00000000-0005-0000-0000-00000F240000}"/>
    <cellStyle name="Normal 154" xfId="27918" xr:uid="{00000000-0005-0000-0000-000010240000}"/>
    <cellStyle name="Normal 155" xfId="27919" xr:uid="{00000000-0005-0000-0000-000011240000}"/>
    <cellStyle name="Normal 156" xfId="27920" xr:uid="{00000000-0005-0000-0000-000012240000}"/>
    <cellStyle name="Normal 157" xfId="27921" xr:uid="{00000000-0005-0000-0000-000013240000}"/>
    <cellStyle name="Normal 158" xfId="27922" xr:uid="{00000000-0005-0000-0000-000014240000}"/>
    <cellStyle name="Normal 159" xfId="27923" xr:uid="{00000000-0005-0000-0000-000015240000}"/>
    <cellStyle name="Normal 16" xfId="476" xr:uid="{00000000-0005-0000-0000-000016240000}"/>
    <cellStyle name="Normal 16 10" xfId="477" xr:uid="{00000000-0005-0000-0000-000017240000}"/>
    <cellStyle name="Normal 16 10 2" xfId="2079" xr:uid="{00000000-0005-0000-0000-000018240000}"/>
    <cellStyle name="Normal 16 10 2 2" xfId="26582" xr:uid="{00000000-0005-0000-0000-000019240000}"/>
    <cellStyle name="Normal 16 10 3" xfId="26232" xr:uid="{00000000-0005-0000-0000-00001A240000}"/>
    <cellStyle name="Normal 16 10 4" xfId="27924" xr:uid="{00000000-0005-0000-0000-00001B240000}"/>
    <cellStyle name="Normal 16 11" xfId="478" xr:uid="{00000000-0005-0000-0000-00001C240000}"/>
    <cellStyle name="Normal 16 11 2" xfId="2080" xr:uid="{00000000-0005-0000-0000-00001D240000}"/>
    <cellStyle name="Normal 16 11 2 2" xfId="26583" xr:uid="{00000000-0005-0000-0000-00001E240000}"/>
    <cellStyle name="Normal 16 11 3" xfId="26233" xr:uid="{00000000-0005-0000-0000-00001F240000}"/>
    <cellStyle name="Normal 16 11 4" xfId="27925" xr:uid="{00000000-0005-0000-0000-000020240000}"/>
    <cellStyle name="Normal 16 12" xfId="479" xr:uid="{00000000-0005-0000-0000-000021240000}"/>
    <cellStyle name="Normal 16 12 2" xfId="2081" xr:uid="{00000000-0005-0000-0000-000022240000}"/>
    <cellStyle name="Normal 16 12 2 2" xfId="26584" xr:uid="{00000000-0005-0000-0000-000023240000}"/>
    <cellStyle name="Normal 16 12 3" xfId="26234" xr:uid="{00000000-0005-0000-0000-000024240000}"/>
    <cellStyle name="Normal 16 12 4" xfId="27926" xr:uid="{00000000-0005-0000-0000-000025240000}"/>
    <cellStyle name="Normal 16 13" xfId="480" xr:uid="{00000000-0005-0000-0000-000026240000}"/>
    <cellStyle name="Normal 16 13 2" xfId="2082" xr:uid="{00000000-0005-0000-0000-000027240000}"/>
    <cellStyle name="Normal 16 13 2 2" xfId="26585" xr:uid="{00000000-0005-0000-0000-000028240000}"/>
    <cellStyle name="Normal 16 13 3" xfId="26235" xr:uid="{00000000-0005-0000-0000-000029240000}"/>
    <cellStyle name="Normal 16 14" xfId="481" xr:uid="{00000000-0005-0000-0000-00002A240000}"/>
    <cellStyle name="Normal 16 14 2" xfId="2083" xr:uid="{00000000-0005-0000-0000-00002B240000}"/>
    <cellStyle name="Normal 16 14 2 2" xfId="26586" xr:uid="{00000000-0005-0000-0000-00002C240000}"/>
    <cellStyle name="Normal 16 14 3" xfId="26236" xr:uid="{00000000-0005-0000-0000-00002D240000}"/>
    <cellStyle name="Normal 16 15" xfId="482" xr:uid="{00000000-0005-0000-0000-00002E240000}"/>
    <cellStyle name="Normal 16 15 2" xfId="2084" xr:uid="{00000000-0005-0000-0000-00002F240000}"/>
    <cellStyle name="Normal 16 15 2 2" xfId="26587" xr:uid="{00000000-0005-0000-0000-000030240000}"/>
    <cellStyle name="Normal 16 15 3" xfId="26237" xr:uid="{00000000-0005-0000-0000-000031240000}"/>
    <cellStyle name="Normal 16 16" xfId="483" xr:uid="{00000000-0005-0000-0000-000032240000}"/>
    <cellStyle name="Normal 16 16 2" xfId="2085" xr:uid="{00000000-0005-0000-0000-000033240000}"/>
    <cellStyle name="Normal 16 16 2 2" xfId="26588" xr:uid="{00000000-0005-0000-0000-000034240000}"/>
    <cellStyle name="Normal 16 16 3" xfId="26238" xr:uid="{00000000-0005-0000-0000-000035240000}"/>
    <cellStyle name="Normal 16 17" xfId="484" xr:uid="{00000000-0005-0000-0000-000036240000}"/>
    <cellStyle name="Normal 16 17 2" xfId="2086" xr:uid="{00000000-0005-0000-0000-000037240000}"/>
    <cellStyle name="Normal 16 17 2 2" xfId="26589" xr:uid="{00000000-0005-0000-0000-000038240000}"/>
    <cellStyle name="Normal 16 17 3" xfId="26239" xr:uid="{00000000-0005-0000-0000-000039240000}"/>
    <cellStyle name="Normal 16 18" xfId="485" xr:uid="{00000000-0005-0000-0000-00003A240000}"/>
    <cellStyle name="Normal 16 18 2" xfId="2087" xr:uid="{00000000-0005-0000-0000-00003B240000}"/>
    <cellStyle name="Normal 16 18 2 2" xfId="26590" xr:uid="{00000000-0005-0000-0000-00003C240000}"/>
    <cellStyle name="Normal 16 18 3" xfId="26240" xr:uid="{00000000-0005-0000-0000-00003D240000}"/>
    <cellStyle name="Normal 16 19" xfId="486" xr:uid="{00000000-0005-0000-0000-00003E240000}"/>
    <cellStyle name="Normal 16 19 2" xfId="2088" xr:uid="{00000000-0005-0000-0000-00003F240000}"/>
    <cellStyle name="Normal 16 19 2 2" xfId="26591" xr:uid="{00000000-0005-0000-0000-000040240000}"/>
    <cellStyle name="Normal 16 19 3" xfId="26241" xr:uid="{00000000-0005-0000-0000-000041240000}"/>
    <cellStyle name="Normal 16 2" xfId="487" xr:uid="{00000000-0005-0000-0000-000042240000}"/>
    <cellStyle name="Normal 16 2 10" xfId="27927" xr:uid="{00000000-0005-0000-0000-000043240000}"/>
    <cellStyle name="Normal 16 2 10 2" xfId="27928" xr:uid="{00000000-0005-0000-0000-000044240000}"/>
    <cellStyle name="Normal 16 2 10 3" xfId="27929" xr:uid="{00000000-0005-0000-0000-000045240000}"/>
    <cellStyle name="Normal 16 2 10 4" xfId="27930" xr:uid="{00000000-0005-0000-0000-000046240000}"/>
    <cellStyle name="Normal 16 2 11" xfId="27931" xr:uid="{00000000-0005-0000-0000-000047240000}"/>
    <cellStyle name="Normal 16 2 11 2" xfId="27932" xr:uid="{00000000-0005-0000-0000-000048240000}"/>
    <cellStyle name="Normal 16 2 11 3" xfId="27933" xr:uid="{00000000-0005-0000-0000-000049240000}"/>
    <cellStyle name="Normal 16 2 12" xfId="27934" xr:uid="{00000000-0005-0000-0000-00004A240000}"/>
    <cellStyle name="Normal 16 2 12 2" xfId="27935" xr:uid="{00000000-0005-0000-0000-00004B240000}"/>
    <cellStyle name="Normal 16 2 13" xfId="27936" xr:uid="{00000000-0005-0000-0000-00004C240000}"/>
    <cellStyle name="Normal 16 2 14" xfId="27937" xr:uid="{00000000-0005-0000-0000-00004D240000}"/>
    <cellStyle name="Normal 16 2 2" xfId="2089" xr:uid="{00000000-0005-0000-0000-00004E240000}"/>
    <cellStyle name="Normal 16 2 2 2" xfId="26592" xr:uid="{00000000-0005-0000-0000-00004F240000}"/>
    <cellStyle name="Normal 16 2 2 2 2" xfId="27938" xr:uid="{00000000-0005-0000-0000-000050240000}"/>
    <cellStyle name="Normal 16 2 2 2 2 2" xfId="27939" xr:uid="{00000000-0005-0000-0000-000051240000}"/>
    <cellStyle name="Normal 16 2 2 2 2 2 2" xfId="27940" xr:uid="{00000000-0005-0000-0000-000052240000}"/>
    <cellStyle name="Normal 16 2 2 2 2 2 3" xfId="27941" xr:uid="{00000000-0005-0000-0000-000053240000}"/>
    <cellStyle name="Normal 16 2 2 2 2 2 4" xfId="27942" xr:uid="{00000000-0005-0000-0000-000054240000}"/>
    <cellStyle name="Normal 16 2 2 2 2 3" xfId="27943" xr:uid="{00000000-0005-0000-0000-000055240000}"/>
    <cellStyle name="Normal 16 2 2 2 2 4" xfId="27944" xr:uid="{00000000-0005-0000-0000-000056240000}"/>
    <cellStyle name="Normal 16 2 2 2 2 5" xfId="27945" xr:uid="{00000000-0005-0000-0000-000057240000}"/>
    <cellStyle name="Normal 16 2 2 2 3" xfId="27946" xr:uid="{00000000-0005-0000-0000-000058240000}"/>
    <cellStyle name="Normal 16 2 2 2 3 2" xfId="27947" xr:uid="{00000000-0005-0000-0000-000059240000}"/>
    <cellStyle name="Normal 16 2 2 2 3 3" xfId="27948" xr:uid="{00000000-0005-0000-0000-00005A240000}"/>
    <cellStyle name="Normal 16 2 2 2 3 4" xfId="27949" xr:uid="{00000000-0005-0000-0000-00005B240000}"/>
    <cellStyle name="Normal 16 2 2 2 4" xfId="27950" xr:uid="{00000000-0005-0000-0000-00005C240000}"/>
    <cellStyle name="Normal 16 2 2 2 5" xfId="27951" xr:uid="{00000000-0005-0000-0000-00005D240000}"/>
    <cellStyle name="Normal 16 2 2 2 6" xfId="27952" xr:uid="{00000000-0005-0000-0000-00005E240000}"/>
    <cellStyle name="Normal 16 2 2 3" xfId="27953" xr:uid="{00000000-0005-0000-0000-00005F240000}"/>
    <cellStyle name="Normal 16 2 2 3 2" xfId="27954" xr:uid="{00000000-0005-0000-0000-000060240000}"/>
    <cellStyle name="Normal 16 2 2 3 2 2" xfId="27955" xr:uid="{00000000-0005-0000-0000-000061240000}"/>
    <cellStyle name="Normal 16 2 2 3 2 3" xfId="27956" xr:uid="{00000000-0005-0000-0000-000062240000}"/>
    <cellStyle name="Normal 16 2 2 3 2 4" xfId="27957" xr:uid="{00000000-0005-0000-0000-000063240000}"/>
    <cellStyle name="Normal 16 2 2 3 3" xfId="27958" xr:uid="{00000000-0005-0000-0000-000064240000}"/>
    <cellStyle name="Normal 16 2 2 3 4" xfId="27959" xr:uid="{00000000-0005-0000-0000-000065240000}"/>
    <cellStyle name="Normal 16 2 2 3 5" xfId="27960" xr:uid="{00000000-0005-0000-0000-000066240000}"/>
    <cellStyle name="Normal 16 2 2 4" xfId="27961" xr:uid="{00000000-0005-0000-0000-000067240000}"/>
    <cellStyle name="Normal 16 2 2 4 2" xfId="27962" xr:uid="{00000000-0005-0000-0000-000068240000}"/>
    <cellStyle name="Normal 16 2 2 4 3" xfId="27963" xr:uid="{00000000-0005-0000-0000-000069240000}"/>
    <cellStyle name="Normal 16 2 2 4 4" xfId="27964" xr:uid="{00000000-0005-0000-0000-00006A240000}"/>
    <cellStyle name="Normal 16 2 2 5" xfId="27965" xr:uid="{00000000-0005-0000-0000-00006B240000}"/>
    <cellStyle name="Normal 16 2 2 5 2" xfId="27966" xr:uid="{00000000-0005-0000-0000-00006C240000}"/>
    <cellStyle name="Normal 16 2 2 5 3" xfId="27967" xr:uid="{00000000-0005-0000-0000-00006D240000}"/>
    <cellStyle name="Normal 16 2 2 5 4" xfId="27968" xr:uid="{00000000-0005-0000-0000-00006E240000}"/>
    <cellStyle name="Normal 16 2 2 6" xfId="27969" xr:uid="{00000000-0005-0000-0000-00006F240000}"/>
    <cellStyle name="Normal 16 2 2 6 2" xfId="27970" xr:uid="{00000000-0005-0000-0000-000070240000}"/>
    <cellStyle name="Normal 16 2 2 6 3" xfId="27971" xr:uid="{00000000-0005-0000-0000-000071240000}"/>
    <cellStyle name="Normal 16 2 2 7" xfId="27972" xr:uid="{00000000-0005-0000-0000-000072240000}"/>
    <cellStyle name="Normal 16 2 2 8" xfId="27973" xr:uid="{00000000-0005-0000-0000-000073240000}"/>
    <cellStyle name="Normal 16 2 2 9" xfId="27974" xr:uid="{00000000-0005-0000-0000-000074240000}"/>
    <cellStyle name="Normal 16 2 3" xfId="26242" xr:uid="{00000000-0005-0000-0000-000075240000}"/>
    <cellStyle name="Normal 16 2 3 2" xfId="27975" xr:uid="{00000000-0005-0000-0000-000076240000}"/>
    <cellStyle name="Normal 16 2 3 2 2" xfId="27976" xr:uid="{00000000-0005-0000-0000-000077240000}"/>
    <cellStyle name="Normal 16 2 3 2 2 2" xfId="27977" xr:uid="{00000000-0005-0000-0000-000078240000}"/>
    <cellStyle name="Normal 16 2 3 2 2 2 2" xfId="27978" xr:uid="{00000000-0005-0000-0000-000079240000}"/>
    <cellStyle name="Normal 16 2 3 2 2 2 3" xfId="27979" xr:uid="{00000000-0005-0000-0000-00007A240000}"/>
    <cellStyle name="Normal 16 2 3 2 2 2 4" xfId="27980" xr:uid="{00000000-0005-0000-0000-00007B240000}"/>
    <cellStyle name="Normal 16 2 3 2 2 3" xfId="27981" xr:uid="{00000000-0005-0000-0000-00007C240000}"/>
    <cellStyle name="Normal 16 2 3 2 2 4" xfId="27982" xr:uid="{00000000-0005-0000-0000-00007D240000}"/>
    <cellStyle name="Normal 16 2 3 2 2 5" xfId="27983" xr:uid="{00000000-0005-0000-0000-00007E240000}"/>
    <cellStyle name="Normal 16 2 3 2 3" xfId="27984" xr:uid="{00000000-0005-0000-0000-00007F240000}"/>
    <cellStyle name="Normal 16 2 3 2 3 2" xfId="27985" xr:uid="{00000000-0005-0000-0000-000080240000}"/>
    <cellStyle name="Normal 16 2 3 2 3 3" xfId="27986" xr:uid="{00000000-0005-0000-0000-000081240000}"/>
    <cellStyle name="Normal 16 2 3 2 3 4" xfId="27987" xr:uid="{00000000-0005-0000-0000-000082240000}"/>
    <cellStyle name="Normal 16 2 3 2 4" xfId="27988" xr:uid="{00000000-0005-0000-0000-000083240000}"/>
    <cellStyle name="Normal 16 2 3 2 5" xfId="27989" xr:uid="{00000000-0005-0000-0000-000084240000}"/>
    <cellStyle name="Normal 16 2 3 2 6" xfId="27990" xr:uid="{00000000-0005-0000-0000-000085240000}"/>
    <cellStyle name="Normal 16 2 3 3" xfId="27991" xr:uid="{00000000-0005-0000-0000-000086240000}"/>
    <cellStyle name="Normal 16 2 3 3 2" xfId="27992" xr:uid="{00000000-0005-0000-0000-000087240000}"/>
    <cellStyle name="Normal 16 2 3 3 2 2" xfId="27993" xr:uid="{00000000-0005-0000-0000-000088240000}"/>
    <cellStyle name="Normal 16 2 3 3 2 3" xfId="27994" xr:uid="{00000000-0005-0000-0000-000089240000}"/>
    <cellStyle name="Normal 16 2 3 3 2 4" xfId="27995" xr:uid="{00000000-0005-0000-0000-00008A240000}"/>
    <cellStyle name="Normal 16 2 3 3 3" xfId="27996" xr:uid="{00000000-0005-0000-0000-00008B240000}"/>
    <cellStyle name="Normal 16 2 3 3 4" xfId="27997" xr:uid="{00000000-0005-0000-0000-00008C240000}"/>
    <cellStyle name="Normal 16 2 3 3 5" xfId="27998" xr:uid="{00000000-0005-0000-0000-00008D240000}"/>
    <cellStyle name="Normal 16 2 3 4" xfId="27999" xr:uid="{00000000-0005-0000-0000-00008E240000}"/>
    <cellStyle name="Normal 16 2 3 4 2" xfId="28000" xr:uid="{00000000-0005-0000-0000-00008F240000}"/>
    <cellStyle name="Normal 16 2 3 4 3" xfId="28001" xr:uid="{00000000-0005-0000-0000-000090240000}"/>
    <cellStyle name="Normal 16 2 3 4 4" xfId="28002" xr:uid="{00000000-0005-0000-0000-000091240000}"/>
    <cellStyle name="Normal 16 2 3 5" xfId="28003" xr:uid="{00000000-0005-0000-0000-000092240000}"/>
    <cellStyle name="Normal 16 2 3 5 2" xfId="28004" xr:uid="{00000000-0005-0000-0000-000093240000}"/>
    <cellStyle name="Normal 16 2 3 5 3" xfId="28005" xr:uid="{00000000-0005-0000-0000-000094240000}"/>
    <cellStyle name="Normal 16 2 3 5 4" xfId="28006" xr:uid="{00000000-0005-0000-0000-000095240000}"/>
    <cellStyle name="Normal 16 2 3 6" xfId="28007" xr:uid="{00000000-0005-0000-0000-000096240000}"/>
    <cellStyle name="Normal 16 2 3 6 2" xfId="28008" xr:uid="{00000000-0005-0000-0000-000097240000}"/>
    <cellStyle name="Normal 16 2 3 6 3" xfId="28009" xr:uid="{00000000-0005-0000-0000-000098240000}"/>
    <cellStyle name="Normal 16 2 3 7" xfId="28010" xr:uid="{00000000-0005-0000-0000-000099240000}"/>
    <cellStyle name="Normal 16 2 3 8" xfId="28011" xr:uid="{00000000-0005-0000-0000-00009A240000}"/>
    <cellStyle name="Normal 16 2 3 9" xfId="28012" xr:uid="{00000000-0005-0000-0000-00009B240000}"/>
    <cellStyle name="Normal 16 2 4" xfId="28013" xr:uid="{00000000-0005-0000-0000-00009C240000}"/>
    <cellStyle name="Normal 16 2 4 2" xfId="28014" xr:uid="{00000000-0005-0000-0000-00009D240000}"/>
    <cellStyle name="Normal 16 2 4 2 2" xfId="28015" xr:uid="{00000000-0005-0000-0000-00009E240000}"/>
    <cellStyle name="Normal 16 2 4 2 2 2" xfId="28016" xr:uid="{00000000-0005-0000-0000-00009F240000}"/>
    <cellStyle name="Normal 16 2 4 2 2 3" xfId="28017" xr:uid="{00000000-0005-0000-0000-0000A0240000}"/>
    <cellStyle name="Normal 16 2 4 2 2 4" xfId="28018" xr:uid="{00000000-0005-0000-0000-0000A1240000}"/>
    <cellStyle name="Normal 16 2 4 2 3" xfId="28019" xr:uid="{00000000-0005-0000-0000-0000A2240000}"/>
    <cellStyle name="Normal 16 2 4 2 4" xfId="28020" xr:uid="{00000000-0005-0000-0000-0000A3240000}"/>
    <cellStyle name="Normal 16 2 4 2 5" xfId="28021" xr:uid="{00000000-0005-0000-0000-0000A4240000}"/>
    <cellStyle name="Normal 16 2 4 3" xfId="28022" xr:uid="{00000000-0005-0000-0000-0000A5240000}"/>
    <cellStyle name="Normal 16 2 4 3 2" xfId="28023" xr:uid="{00000000-0005-0000-0000-0000A6240000}"/>
    <cellStyle name="Normal 16 2 4 3 3" xfId="28024" xr:uid="{00000000-0005-0000-0000-0000A7240000}"/>
    <cellStyle name="Normal 16 2 4 3 4" xfId="28025" xr:uid="{00000000-0005-0000-0000-0000A8240000}"/>
    <cellStyle name="Normal 16 2 4 4" xfId="28026" xr:uid="{00000000-0005-0000-0000-0000A9240000}"/>
    <cellStyle name="Normal 16 2 4 5" xfId="28027" xr:uid="{00000000-0005-0000-0000-0000AA240000}"/>
    <cellStyle name="Normal 16 2 4 6" xfId="28028" xr:uid="{00000000-0005-0000-0000-0000AB240000}"/>
    <cellStyle name="Normal 16 2 5" xfId="28029" xr:uid="{00000000-0005-0000-0000-0000AC240000}"/>
    <cellStyle name="Normal 16 2 5 2" xfId="28030" xr:uid="{00000000-0005-0000-0000-0000AD240000}"/>
    <cellStyle name="Normal 16 2 5 2 2" xfId="28031" xr:uid="{00000000-0005-0000-0000-0000AE240000}"/>
    <cellStyle name="Normal 16 2 5 2 2 2" xfId="28032" xr:uid="{00000000-0005-0000-0000-0000AF240000}"/>
    <cellStyle name="Normal 16 2 5 2 2 3" xfId="28033" xr:uid="{00000000-0005-0000-0000-0000B0240000}"/>
    <cellStyle name="Normal 16 2 5 2 2 4" xfId="28034" xr:uid="{00000000-0005-0000-0000-0000B1240000}"/>
    <cellStyle name="Normal 16 2 5 2 3" xfId="28035" xr:uid="{00000000-0005-0000-0000-0000B2240000}"/>
    <cellStyle name="Normal 16 2 5 2 4" xfId="28036" xr:uid="{00000000-0005-0000-0000-0000B3240000}"/>
    <cellStyle name="Normal 16 2 5 2 5" xfId="28037" xr:uid="{00000000-0005-0000-0000-0000B4240000}"/>
    <cellStyle name="Normal 16 2 5 3" xfId="28038" xr:uid="{00000000-0005-0000-0000-0000B5240000}"/>
    <cellStyle name="Normal 16 2 5 3 2" xfId="28039" xr:uid="{00000000-0005-0000-0000-0000B6240000}"/>
    <cellStyle name="Normal 16 2 5 3 3" xfId="28040" xr:uid="{00000000-0005-0000-0000-0000B7240000}"/>
    <cellStyle name="Normal 16 2 5 3 4" xfId="28041" xr:uid="{00000000-0005-0000-0000-0000B8240000}"/>
    <cellStyle name="Normal 16 2 5 4" xfId="28042" xr:uid="{00000000-0005-0000-0000-0000B9240000}"/>
    <cellStyle name="Normal 16 2 5 5" xfId="28043" xr:uid="{00000000-0005-0000-0000-0000BA240000}"/>
    <cellStyle name="Normal 16 2 5 6" xfId="28044" xr:uid="{00000000-0005-0000-0000-0000BB240000}"/>
    <cellStyle name="Normal 16 2 6" xfId="28045" xr:uid="{00000000-0005-0000-0000-0000BC240000}"/>
    <cellStyle name="Normal 16 2 6 2" xfId="28046" xr:uid="{00000000-0005-0000-0000-0000BD240000}"/>
    <cellStyle name="Normal 16 2 6 2 2" xfId="28047" xr:uid="{00000000-0005-0000-0000-0000BE240000}"/>
    <cellStyle name="Normal 16 2 6 2 2 2" xfId="28048" xr:uid="{00000000-0005-0000-0000-0000BF240000}"/>
    <cellStyle name="Normal 16 2 6 2 2 3" xfId="28049" xr:uid="{00000000-0005-0000-0000-0000C0240000}"/>
    <cellStyle name="Normal 16 2 6 2 2 4" xfId="28050" xr:uid="{00000000-0005-0000-0000-0000C1240000}"/>
    <cellStyle name="Normal 16 2 6 2 3" xfId="28051" xr:uid="{00000000-0005-0000-0000-0000C2240000}"/>
    <cellStyle name="Normal 16 2 6 2 4" xfId="28052" xr:uid="{00000000-0005-0000-0000-0000C3240000}"/>
    <cellStyle name="Normal 16 2 6 2 5" xfId="28053" xr:uid="{00000000-0005-0000-0000-0000C4240000}"/>
    <cellStyle name="Normal 16 2 6 3" xfId="28054" xr:uid="{00000000-0005-0000-0000-0000C5240000}"/>
    <cellStyle name="Normal 16 2 6 3 2" xfId="28055" xr:uid="{00000000-0005-0000-0000-0000C6240000}"/>
    <cellStyle name="Normal 16 2 6 3 3" xfId="28056" xr:uid="{00000000-0005-0000-0000-0000C7240000}"/>
    <cellStyle name="Normal 16 2 6 3 4" xfId="28057" xr:uid="{00000000-0005-0000-0000-0000C8240000}"/>
    <cellStyle name="Normal 16 2 6 4" xfId="28058" xr:uid="{00000000-0005-0000-0000-0000C9240000}"/>
    <cellStyle name="Normal 16 2 6 5" xfId="28059" xr:uid="{00000000-0005-0000-0000-0000CA240000}"/>
    <cellStyle name="Normal 16 2 6 6" xfId="28060" xr:uid="{00000000-0005-0000-0000-0000CB240000}"/>
    <cellStyle name="Normal 16 2 7" xfId="28061" xr:uid="{00000000-0005-0000-0000-0000CC240000}"/>
    <cellStyle name="Normal 16 2 7 2" xfId="28062" xr:uid="{00000000-0005-0000-0000-0000CD240000}"/>
    <cellStyle name="Normal 16 2 7 2 2" xfId="28063" xr:uid="{00000000-0005-0000-0000-0000CE240000}"/>
    <cellStyle name="Normal 16 2 7 2 3" xfId="28064" xr:uid="{00000000-0005-0000-0000-0000CF240000}"/>
    <cellStyle name="Normal 16 2 7 2 4" xfId="28065" xr:uid="{00000000-0005-0000-0000-0000D0240000}"/>
    <cellStyle name="Normal 16 2 7 3" xfId="28066" xr:uid="{00000000-0005-0000-0000-0000D1240000}"/>
    <cellStyle name="Normal 16 2 7 4" xfId="28067" xr:uid="{00000000-0005-0000-0000-0000D2240000}"/>
    <cellStyle name="Normal 16 2 7 5" xfId="28068" xr:uid="{00000000-0005-0000-0000-0000D3240000}"/>
    <cellStyle name="Normal 16 2 8" xfId="28069" xr:uid="{00000000-0005-0000-0000-0000D4240000}"/>
    <cellStyle name="Normal 16 2 8 2" xfId="28070" xr:uid="{00000000-0005-0000-0000-0000D5240000}"/>
    <cellStyle name="Normal 16 2 8 3" xfId="28071" xr:uid="{00000000-0005-0000-0000-0000D6240000}"/>
    <cellStyle name="Normal 16 2 8 4" xfId="28072" xr:uid="{00000000-0005-0000-0000-0000D7240000}"/>
    <cellStyle name="Normal 16 2 9" xfId="28073" xr:uid="{00000000-0005-0000-0000-0000D8240000}"/>
    <cellStyle name="Normal 16 2 9 2" xfId="28074" xr:uid="{00000000-0005-0000-0000-0000D9240000}"/>
    <cellStyle name="Normal 16 2 9 3" xfId="28075" xr:uid="{00000000-0005-0000-0000-0000DA240000}"/>
    <cellStyle name="Normal 16 2 9 4" xfId="28076" xr:uid="{00000000-0005-0000-0000-0000DB240000}"/>
    <cellStyle name="Normal 16 20" xfId="488" xr:uid="{00000000-0005-0000-0000-0000DC240000}"/>
    <cellStyle name="Normal 16 20 2" xfId="2090" xr:uid="{00000000-0005-0000-0000-0000DD240000}"/>
    <cellStyle name="Normal 16 20 2 2" xfId="26593" xr:uid="{00000000-0005-0000-0000-0000DE240000}"/>
    <cellStyle name="Normal 16 20 3" xfId="26243" xr:uid="{00000000-0005-0000-0000-0000DF240000}"/>
    <cellStyle name="Normal 16 21" xfId="489" xr:uid="{00000000-0005-0000-0000-0000E0240000}"/>
    <cellStyle name="Normal 16 21 2" xfId="2091" xr:uid="{00000000-0005-0000-0000-0000E1240000}"/>
    <cellStyle name="Normal 16 21 2 2" xfId="26594" xr:uid="{00000000-0005-0000-0000-0000E2240000}"/>
    <cellStyle name="Normal 16 21 3" xfId="26244" xr:uid="{00000000-0005-0000-0000-0000E3240000}"/>
    <cellStyle name="Normal 16 22" xfId="490" xr:uid="{00000000-0005-0000-0000-0000E4240000}"/>
    <cellStyle name="Normal 16 22 2" xfId="2092" xr:uid="{00000000-0005-0000-0000-0000E5240000}"/>
    <cellStyle name="Normal 16 22 2 2" xfId="26595" xr:uid="{00000000-0005-0000-0000-0000E6240000}"/>
    <cellStyle name="Normal 16 22 3" xfId="26245" xr:uid="{00000000-0005-0000-0000-0000E7240000}"/>
    <cellStyle name="Normal 16 23" xfId="491" xr:uid="{00000000-0005-0000-0000-0000E8240000}"/>
    <cellStyle name="Normal 16 23 2" xfId="2093" xr:uid="{00000000-0005-0000-0000-0000E9240000}"/>
    <cellStyle name="Normal 16 23 2 2" xfId="26596" xr:uid="{00000000-0005-0000-0000-0000EA240000}"/>
    <cellStyle name="Normal 16 23 3" xfId="26246" xr:uid="{00000000-0005-0000-0000-0000EB240000}"/>
    <cellStyle name="Normal 16 24" xfId="492" xr:uid="{00000000-0005-0000-0000-0000EC240000}"/>
    <cellStyle name="Normal 16 24 2" xfId="2094" xr:uid="{00000000-0005-0000-0000-0000ED240000}"/>
    <cellStyle name="Normal 16 24 2 2" xfId="26597" xr:uid="{00000000-0005-0000-0000-0000EE240000}"/>
    <cellStyle name="Normal 16 24 3" xfId="26247" xr:uid="{00000000-0005-0000-0000-0000EF240000}"/>
    <cellStyle name="Normal 16 25" xfId="493" xr:uid="{00000000-0005-0000-0000-0000F0240000}"/>
    <cellStyle name="Normal 16 25 2" xfId="2095" xr:uid="{00000000-0005-0000-0000-0000F1240000}"/>
    <cellStyle name="Normal 16 25 2 2" xfId="26598" xr:uid="{00000000-0005-0000-0000-0000F2240000}"/>
    <cellStyle name="Normal 16 25 3" xfId="26248" xr:uid="{00000000-0005-0000-0000-0000F3240000}"/>
    <cellStyle name="Normal 16 26" xfId="494" xr:uid="{00000000-0005-0000-0000-0000F4240000}"/>
    <cellStyle name="Normal 16 26 2" xfId="2096" xr:uid="{00000000-0005-0000-0000-0000F5240000}"/>
    <cellStyle name="Normal 16 26 2 2" xfId="26599" xr:uid="{00000000-0005-0000-0000-0000F6240000}"/>
    <cellStyle name="Normal 16 26 3" xfId="26249" xr:uid="{00000000-0005-0000-0000-0000F7240000}"/>
    <cellStyle name="Normal 16 27" xfId="495" xr:uid="{00000000-0005-0000-0000-0000F8240000}"/>
    <cellStyle name="Normal 16 27 2" xfId="2097" xr:uid="{00000000-0005-0000-0000-0000F9240000}"/>
    <cellStyle name="Normal 16 27 2 2" xfId="26600" xr:uid="{00000000-0005-0000-0000-0000FA240000}"/>
    <cellStyle name="Normal 16 27 3" xfId="26250" xr:uid="{00000000-0005-0000-0000-0000FB240000}"/>
    <cellStyle name="Normal 16 28" xfId="496" xr:uid="{00000000-0005-0000-0000-0000FC240000}"/>
    <cellStyle name="Normal 16 28 2" xfId="2098" xr:uid="{00000000-0005-0000-0000-0000FD240000}"/>
    <cellStyle name="Normal 16 28 2 2" xfId="26601" xr:uid="{00000000-0005-0000-0000-0000FE240000}"/>
    <cellStyle name="Normal 16 28 3" xfId="26251" xr:uid="{00000000-0005-0000-0000-0000FF240000}"/>
    <cellStyle name="Normal 16 29" xfId="497" xr:uid="{00000000-0005-0000-0000-000000250000}"/>
    <cellStyle name="Normal 16 29 2" xfId="2099" xr:uid="{00000000-0005-0000-0000-000001250000}"/>
    <cellStyle name="Normal 16 29 2 2" xfId="26602" xr:uid="{00000000-0005-0000-0000-000002250000}"/>
    <cellStyle name="Normal 16 29 3" xfId="26252" xr:uid="{00000000-0005-0000-0000-000003250000}"/>
    <cellStyle name="Normal 16 3" xfId="498" xr:uid="{00000000-0005-0000-0000-000004250000}"/>
    <cellStyle name="Normal 16 3 10" xfId="28077" xr:uid="{00000000-0005-0000-0000-000005250000}"/>
    <cellStyle name="Normal 16 3 10 2" xfId="28078" xr:uid="{00000000-0005-0000-0000-000006250000}"/>
    <cellStyle name="Normal 16 3 10 3" xfId="28079" xr:uid="{00000000-0005-0000-0000-000007250000}"/>
    <cellStyle name="Normal 16 3 10 4" xfId="28080" xr:uid="{00000000-0005-0000-0000-000008250000}"/>
    <cellStyle name="Normal 16 3 11" xfId="28081" xr:uid="{00000000-0005-0000-0000-000009250000}"/>
    <cellStyle name="Normal 16 3 11 2" xfId="28082" xr:uid="{00000000-0005-0000-0000-00000A250000}"/>
    <cellStyle name="Normal 16 3 11 3" xfId="28083" xr:uid="{00000000-0005-0000-0000-00000B250000}"/>
    <cellStyle name="Normal 16 3 12" xfId="28084" xr:uid="{00000000-0005-0000-0000-00000C250000}"/>
    <cellStyle name="Normal 16 3 12 2" xfId="28085" xr:uid="{00000000-0005-0000-0000-00000D250000}"/>
    <cellStyle name="Normal 16 3 13" xfId="28086" xr:uid="{00000000-0005-0000-0000-00000E250000}"/>
    <cellStyle name="Normal 16 3 14" xfId="28087" xr:uid="{00000000-0005-0000-0000-00000F250000}"/>
    <cellStyle name="Normal 16 3 2" xfId="2100" xr:uid="{00000000-0005-0000-0000-000010250000}"/>
    <cellStyle name="Normal 16 3 2 2" xfId="26603" xr:uid="{00000000-0005-0000-0000-000011250000}"/>
    <cellStyle name="Normal 16 3 2 2 2" xfId="28088" xr:uid="{00000000-0005-0000-0000-000012250000}"/>
    <cellStyle name="Normal 16 3 2 2 2 2" xfId="28089" xr:uid="{00000000-0005-0000-0000-000013250000}"/>
    <cellStyle name="Normal 16 3 2 2 2 2 2" xfId="28090" xr:uid="{00000000-0005-0000-0000-000014250000}"/>
    <cellStyle name="Normal 16 3 2 2 2 2 3" xfId="28091" xr:uid="{00000000-0005-0000-0000-000015250000}"/>
    <cellStyle name="Normal 16 3 2 2 2 2 4" xfId="28092" xr:uid="{00000000-0005-0000-0000-000016250000}"/>
    <cellStyle name="Normal 16 3 2 2 2 3" xfId="28093" xr:uid="{00000000-0005-0000-0000-000017250000}"/>
    <cellStyle name="Normal 16 3 2 2 2 4" xfId="28094" xr:uid="{00000000-0005-0000-0000-000018250000}"/>
    <cellStyle name="Normal 16 3 2 2 2 5" xfId="28095" xr:uid="{00000000-0005-0000-0000-000019250000}"/>
    <cellStyle name="Normal 16 3 2 2 3" xfId="28096" xr:uid="{00000000-0005-0000-0000-00001A250000}"/>
    <cellStyle name="Normal 16 3 2 2 3 2" xfId="28097" xr:uid="{00000000-0005-0000-0000-00001B250000}"/>
    <cellStyle name="Normal 16 3 2 2 3 3" xfId="28098" xr:uid="{00000000-0005-0000-0000-00001C250000}"/>
    <cellStyle name="Normal 16 3 2 2 3 4" xfId="28099" xr:uid="{00000000-0005-0000-0000-00001D250000}"/>
    <cellStyle name="Normal 16 3 2 2 4" xfId="28100" xr:uid="{00000000-0005-0000-0000-00001E250000}"/>
    <cellStyle name="Normal 16 3 2 2 5" xfId="28101" xr:uid="{00000000-0005-0000-0000-00001F250000}"/>
    <cellStyle name="Normal 16 3 2 2 6" xfId="28102" xr:uid="{00000000-0005-0000-0000-000020250000}"/>
    <cellStyle name="Normal 16 3 2 3" xfId="28103" xr:uid="{00000000-0005-0000-0000-000021250000}"/>
    <cellStyle name="Normal 16 3 2 3 2" xfId="28104" xr:uid="{00000000-0005-0000-0000-000022250000}"/>
    <cellStyle name="Normal 16 3 2 3 2 2" xfId="28105" xr:uid="{00000000-0005-0000-0000-000023250000}"/>
    <cellStyle name="Normal 16 3 2 3 2 3" xfId="28106" xr:uid="{00000000-0005-0000-0000-000024250000}"/>
    <cellStyle name="Normal 16 3 2 3 2 4" xfId="28107" xr:uid="{00000000-0005-0000-0000-000025250000}"/>
    <cellStyle name="Normal 16 3 2 3 3" xfId="28108" xr:uid="{00000000-0005-0000-0000-000026250000}"/>
    <cellStyle name="Normal 16 3 2 3 4" xfId="28109" xr:uid="{00000000-0005-0000-0000-000027250000}"/>
    <cellStyle name="Normal 16 3 2 3 5" xfId="28110" xr:uid="{00000000-0005-0000-0000-000028250000}"/>
    <cellStyle name="Normal 16 3 2 4" xfId="28111" xr:uid="{00000000-0005-0000-0000-000029250000}"/>
    <cellStyle name="Normal 16 3 2 4 2" xfId="28112" xr:uid="{00000000-0005-0000-0000-00002A250000}"/>
    <cellStyle name="Normal 16 3 2 4 3" xfId="28113" xr:uid="{00000000-0005-0000-0000-00002B250000}"/>
    <cellStyle name="Normal 16 3 2 4 4" xfId="28114" xr:uid="{00000000-0005-0000-0000-00002C250000}"/>
    <cellStyle name="Normal 16 3 2 5" xfId="28115" xr:uid="{00000000-0005-0000-0000-00002D250000}"/>
    <cellStyle name="Normal 16 3 2 5 2" xfId="28116" xr:uid="{00000000-0005-0000-0000-00002E250000}"/>
    <cellStyle name="Normal 16 3 2 5 3" xfId="28117" xr:uid="{00000000-0005-0000-0000-00002F250000}"/>
    <cellStyle name="Normal 16 3 2 5 4" xfId="28118" xr:uid="{00000000-0005-0000-0000-000030250000}"/>
    <cellStyle name="Normal 16 3 2 6" xfId="28119" xr:uid="{00000000-0005-0000-0000-000031250000}"/>
    <cellStyle name="Normal 16 3 2 6 2" xfId="28120" xr:uid="{00000000-0005-0000-0000-000032250000}"/>
    <cellStyle name="Normal 16 3 2 6 3" xfId="28121" xr:uid="{00000000-0005-0000-0000-000033250000}"/>
    <cellStyle name="Normal 16 3 2 7" xfId="28122" xr:uid="{00000000-0005-0000-0000-000034250000}"/>
    <cellStyle name="Normal 16 3 2 8" xfId="28123" xr:uid="{00000000-0005-0000-0000-000035250000}"/>
    <cellStyle name="Normal 16 3 2 9" xfId="28124" xr:uid="{00000000-0005-0000-0000-000036250000}"/>
    <cellStyle name="Normal 16 3 3" xfId="26253" xr:uid="{00000000-0005-0000-0000-000037250000}"/>
    <cellStyle name="Normal 16 3 3 2" xfId="28125" xr:uid="{00000000-0005-0000-0000-000038250000}"/>
    <cellStyle name="Normal 16 3 3 2 2" xfId="28126" xr:uid="{00000000-0005-0000-0000-000039250000}"/>
    <cellStyle name="Normal 16 3 3 2 2 2" xfId="28127" xr:uid="{00000000-0005-0000-0000-00003A250000}"/>
    <cellStyle name="Normal 16 3 3 2 2 2 2" xfId="28128" xr:uid="{00000000-0005-0000-0000-00003B250000}"/>
    <cellStyle name="Normal 16 3 3 2 2 2 3" xfId="28129" xr:uid="{00000000-0005-0000-0000-00003C250000}"/>
    <cellStyle name="Normal 16 3 3 2 2 2 4" xfId="28130" xr:uid="{00000000-0005-0000-0000-00003D250000}"/>
    <cellStyle name="Normal 16 3 3 2 2 3" xfId="28131" xr:uid="{00000000-0005-0000-0000-00003E250000}"/>
    <cellStyle name="Normal 16 3 3 2 2 4" xfId="28132" xr:uid="{00000000-0005-0000-0000-00003F250000}"/>
    <cellStyle name="Normal 16 3 3 2 2 5" xfId="28133" xr:uid="{00000000-0005-0000-0000-000040250000}"/>
    <cellStyle name="Normal 16 3 3 2 3" xfId="28134" xr:uid="{00000000-0005-0000-0000-000041250000}"/>
    <cellStyle name="Normal 16 3 3 2 3 2" xfId="28135" xr:uid="{00000000-0005-0000-0000-000042250000}"/>
    <cellStyle name="Normal 16 3 3 2 3 3" xfId="28136" xr:uid="{00000000-0005-0000-0000-000043250000}"/>
    <cellStyle name="Normal 16 3 3 2 3 4" xfId="28137" xr:uid="{00000000-0005-0000-0000-000044250000}"/>
    <cellStyle name="Normal 16 3 3 2 4" xfId="28138" xr:uid="{00000000-0005-0000-0000-000045250000}"/>
    <cellStyle name="Normal 16 3 3 2 5" xfId="28139" xr:uid="{00000000-0005-0000-0000-000046250000}"/>
    <cellStyle name="Normal 16 3 3 2 6" xfId="28140" xr:uid="{00000000-0005-0000-0000-000047250000}"/>
    <cellStyle name="Normal 16 3 3 3" xfId="28141" xr:uid="{00000000-0005-0000-0000-000048250000}"/>
    <cellStyle name="Normal 16 3 3 3 2" xfId="28142" xr:uid="{00000000-0005-0000-0000-000049250000}"/>
    <cellStyle name="Normal 16 3 3 3 2 2" xfId="28143" xr:uid="{00000000-0005-0000-0000-00004A250000}"/>
    <cellStyle name="Normal 16 3 3 3 2 3" xfId="28144" xr:uid="{00000000-0005-0000-0000-00004B250000}"/>
    <cellStyle name="Normal 16 3 3 3 2 4" xfId="28145" xr:uid="{00000000-0005-0000-0000-00004C250000}"/>
    <cellStyle name="Normal 16 3 3 3 3" xfId="28146" xr:uid="{00000000-0005-0000-0000-00004D250000}"/>
    <cellStyle name="Normal 16 3 3 3 4" xfId="28147" xr:uid="{00000000-0005-0000-0000-00004E250000}"/>
    <cellStyle name="Normal 16 3 3 3 5" xfId="28148" xr:uid="{00000000-0005-0000-0000-00004F250000}"/>
    <cellStyle name="Normal 16 3 3 4" xfId="28149" xr:uid="{00000000-0005-0000-0000-000050250000}"/>
    <cellStyle name="Normal 16 3 3 4 2" xfId="28150" xr:uid="{00000000-0005-0000-0000-000051250000}"/>
    <cellStyle name="Normal 16 3 3 4 3" xfId="28151" xr:uid="{00000000-0005-0000-0000-000052250000}"/>
    <cellStyle name="Normal 16 3 3 4 4" xfId="28152" xr:uid="{00000000-0005-0000-0000-000053250000}"/>
    <cellStyle name="Normal 16 3 3 5" xfId="28153" xr:uid="{00000000-0005-0000-0000-000054250000}"/>
    <cellStyle name="Normal 16 3 3 5 2" xfId="28154" xr:uid="{00000000-0005-0000-0000-000055250000}"/>
    <cellStyle name="Normal 16 3 3 5 3" xfId="28155" xr:uid="{00000000-0005-0000-0000-000056250000}"/>
    <cellStyle name="Normal 16 3 3 5 4" xfId="28156" xr:uid="{00000000-0005-0000-0000-000057250000}"/>
    <cellStyle name="Normal 16 3 3 6" xfId="28157" xr:uid="{00000000-0005-0000-0000-000058250000}"/>
    <cellStyle name="Normal 16 3 3 6 2" xfId="28158" xr:uid="{00000000-0005-0000-0000-000059250000}"/>
    <cellStyle name="Normal 16 3 3 6 3" xfId="28159" xr:uid="{00000000-0005-0000-0000-00005A250000}"/>
    <cellStyle name="Normal 16 3 3 7" xfId="28160" xr:uid="{00000000-0005-0000-0000-00005B250000}"/>
    <cellStyle name="Normal 16 3 3 8" xfId="28161" xr:uid="{00000000-0005-0000-0000-00005C250000}"/>
    <cellStyle name="Normal 16 3 3 9" xfId="28162" xr:uid="{00000000-0005-0000-0000-00005D250000}"/>
    <cellStyle name="Normal 16 3 4" xfId="28163" xr:uid="{00000000-0005-0000-0000-00005E250000}"/>
    <cellStyle name="Normal 16 3 4 2" xfId="28164" xr:uid="{00000000-0005-0000-0000-00005F250000}"/>
    <cellStyle name="Normal 16 3 4 2 2" xfId="28165" xr:uid="{00000000-0005-0000-0000-000060250000}"/>
    <cellStyle name="Normal 16 3 4 2 2 2" xfId="28166" xr:uid="{00000000-0005-0000-0000-000061250000}"/>
    <cellStyle name="Normal 16 3 4 2 2 3" xfId="28167" xr:uid="{00000000-0005-0000-0000-000062250000}"/>
    <cellStyle name="Normal 16 3 4 2 2 4" xfId="28168" xr:uid="{00000000-0005-0000-0000-000063250000}"/>
    <cellStyle name="Normal 16 3 4 2 3" xfId="28169" xr:uid="{00000000-0005-0000-0000-000064250000}"/>
    <cellStyle name="Normal 16 3 4 2 4" xfId="28170" xr:uid="{00000000-0005-0000-0000-000065250000}"/>
    <cellStyle name="Normal 16 3 4 2 5" xfId="28171" xr:uid="{00000000-0005-0000-0000-000066250000}"/>
    <cellStyle name="Normal 16 3 4 3" xfId="28172" xr:uid="{00000000-0005-0000-0000-000067250000}"/>
    <cellStyle name="Normal 16 3 4 3 2" xfId="28173" xr:uid="{00000000-0005-0000-0000-000068250000}"/>
    <cellStyle name="Normal 16 3 4 3 3" xfId="28174" xr:uid="{00000000-0005-0000-0000-000069250000}"/>
    <cellStyle name="Normal 16 3 4 3 4" xfId="28175" xr:uid="{00000000-0005-0000-0000-00006A250000}"/>
    <cellStyle name="Normal 16 3 4 4" xfId="28176" xr:uid="{00000000-0005-0000-0000-00006B250000}"/>
    <cellStyle name="Normal 16 3 4 5" xfId="28177" xr:uid="{00000000-0005-0000-0000-00006C250000}"/>
    <cellStyle name="Normal 16 3 4 6" xfId="28178" xr:uid="{00000000-0005-0000-0000-00006D250000}"/>
    <cellStyle name="Normal 16 3 5" xfId="28179" xr:uid="{00000000-0005-0000-0000-00006E250000}"/>
    <cellStyle name="Normal 16 3 5 2" xfId="28180" xr:uid="{00000000-0005-0000-0000-00006F250000}"/>
    <cellStyle name="Normal 16 3 5 2 2" xfId="28181" xr:uid="{00000000-0005-0000-0000-000070250000}"/>
    <cellStyle name="Normal 16 3 5 2 2 2" xfId="28182" xr:uid="{00000000-0005-0000-0000-000071250000}"/>
    <cellStyle name="Normal 16 3 5 2 2 3" xfId="28183" xr:uid="{00000000-0005-0000-0000-000072250000}"/>
    <cellStyle name="Normal 16 3 5 2 2 4" xfId="28184" xr:uid="{00000000-0005-0000-0000-000073250000}"/>
    <cellStyle name="Normal 16 3 5 2 3" xfId="28185" xr:uid="{00000000-0005-0000-0000-000074250000}"/>
    <cellStyle name="Normal 16 3 5 2 4" xfId="28186" xr:uid="{00000000-0005-0000-0000-000075250000}"/>
    <cellStyle name="Normal 16 3 5 2 5" xfId="28187" xr:uid="{00000000-0005-0000-0000-000076250000}"/>
    <cellStyle name="Normal 16 3 5 3" xfId="28188" xr:uid="{00000000-0005-0000-0000-000077250000}"/>
    <cellStyle name="Normal 16 3 5 3 2" xfId="28189" xr:uid="{00000000-0005-0000-0000-000078250000}"/>
    <cellStyle name="Normal 16 3 5 3 3" xfId="28190" xr:uid="{00000000-0005-0000-0000-000079250000}"/>
    <cellStyle name="Normal 16 3 5 3 4" xfId="28191" xr:uid="{00000000-0005-0000-0000-00007A250000}"/>
    <cellStyle name="Normal 16 3 5 4" xfId="28192" xr:uid="{00000000-0005-0000-0000-00007B250000}"/>
    <cellStyle name="Normal 16 3 5 5" xfId="28193" xr:uid="{00000000-0005-0000-0000-00007C250000}"/>
    <cellStyle name="Normal 16 3 5 6" xfId="28194" xr:uid="{00000000-0005-0000-0000-00007D250000}"/>
    <cellStyle name="Normal 16 3 6" xfId="28195" xr:uid="{00000000-0005-0000-0000-00007E250000}"/>
    <cellStyle name="Normal 16 3 6 2" xfId="28196" xr:uid="{00000000-0005-0000-0000-00007F250000}"/>
    <cellStyle name="Normal 16 3 6 2 2" xfId="28197" xr:uid="{00000000-0005-0000-0000-000080250000}"/>
    <cellStyle name="Normal 16 3 6 2 2 2" xfId="28198" xr:uid="{00000000-0005-0000-0000-000081250000}"/>
    <cellStyle name="Normal 16 3 6 2 2 3" xfId="28199" xr:uid="{00000000-0005-0000-0000-000082250000}"/>
    <cellStyle name="Normal 16 3 6 2 2 4" xfId="28200" xr:uid="{00000000-0005-0000-0000-000083250000}"/>
    <cellStyle name="Normal 16 3 6 2 3" xfId="28201" xr:uid="{00000000-0005-0000-0000-000084250000}"/>
    <cellStyle name="Normal 16 3 6 2 4" xfId="28202" xr:uid="{00000000-0005-0000-0000-000085250000}"/>
    <cellStyle name="Normal 16 3 6 2 5" xfId="28203" xr:uid="{00000000-0005-0000-0000-000086250000}"/>
    <cellStyle name="Normal 16 3 6 3" xfId="28204" xr:uid="{00000000-0005-0000-0000-000087250000}"/>
    <cellStyle name="Normal 16 3 6 3 2" xfId="28205" xr:uid="{00000000-0005-0000-0000-000088250000}"/>
    <cellStyle name="Normal 16 3 6 3 3" xfId="28206" xr:uid="{00000000-0005-0000-0000-000089250000}"/>
    <cellStyle name="Normal 16 3 6 3 4" xfId="28207" xr:uid="{00000000-0005-0000-0000-00008A250000}"/>
    <cellStyle name="Normal 16 3 6 4" xfId="28208" xr:uid="{00000000-0005-0000-0000-00008B250000}"/>
    <cellStyle name="Normal 16 3 6 5" xfId="28209" xr:uid="{00000000-0005-0000-0000-00008C250000}"/>
    <cellStyle name="Normal 16 3 6 6" xfId="28210" xr:uid="{00000000-0005-0000-0000-00008D250000}"/>
    <cellStyle name="Normal 16 3 7" xfId="28211" xr:uid="{00000000-0005-0000-0000-00008E250000}"/>
    <cellStyle name="Normal 16 3 7 2" xfId="28212" xr:uid="{00000000-0005-0000-0000-00008F250000}"/>
    <cellStyle name="Normal 16 3 7 2 2" xfId="28213" xr:uid="{00000000-0005-0000-0000-000090250000}"/>
    <cellStyle name="Normal 16 3 7 2 3" xfId="28214" xr:uid="{00000000-0005-0000-0000-000091250000}"/>
    <cellStyle name="Normal 16 3 7 2 4" xfId="28215" xr:uid="{00000000-0005-0000-0000-000092250000}"/>
    <cellStyle name="Normal 16 3 7 3" xfId="28216" xr:uid="{00000000-0005-0000-0000-000093250000}"/>
    <cellStyle name="Normal 16 3 7 4" xfId="28217" xr:uid="{00000000-0005-0000-0000-000094250000}"/>
    <cellStyle name="Normal 16 3 7 5" xfId="28218" xr:uid="{00000000-0005-0000-0000-000095250000}"/>
    <cellStyle name="Normal 16 3 8" xfId="28219" xr:uid="{00000000-0005-0000-0000-000096250000}"/>
    <cellStyle name="Normal 16 3 8 2" xfId="28220" xr:uid="{00000000-0005-0000-0000-000097250000}"/>
    <cellStyle name="Normal 16 3 8 3" xfId="28221" xr:uid="{00000000-0005-0000-0000-000098250000}"/>
    <cellStyle name="Normal 16 3 8 4" xfId="28222" xr:uid="{00000000-0005-0000-0000-000099250000}"/>
    <cellStyle name="Normal 16 3 9" xfId="28223" xr:uid="{00000000-0005-0000-0000-00009A250000}"/>
    <cellStyle name="Normal 16 3 9 2" xfId="28224" xr:uid="{00000000-0005-0000-0000-00009B250000}"/>
    <cellStyle name="Normal 16 3 9 3" xfId="28225" xr:uid="{00000000-0005-0000-0000-00009C250000}"/>
    <cellStyle name="Normal 16 3 9 4" xfId="28226" xr:uid="{00000000-0005-0000-0000-00009D250000}"/>
    <cellStyle name="Normal 16 30" xfId="499" xr:uid="{00000000-0005-0000-0000-00009E250000}"/>
    <cellStyle name="Normal 16 30 2" xfId="2101" xr:uid="{00000000-0005-0000-0000-00009F250000}"/>
    <cellStyle name="Normal 16 30 2 2" xfId="26604" xr:uid="{00000000-0005-0000-0000-0000A0250000}"/>
    <cellStyle name="Normal 16 30 3" xfId="26254" xr:uid="{00000000-0005-0000-0000-0000A1250000}"/>
    <cellStyle name="Normal 16 31" xfId="500" xr:uid="{00000000-0005-0000-0000-0000A2250000}"/>
    <cellStyle name="Normal 16 31 2" xfId="2102" xr:uid="{00000000-0005-0000-0000-0000A3250000}"/>
    <cellStyle name="Normal 16 31 2 2" xfId="26605" xr:uid="{00000000-0005-0000-0000-0000A4250000}"/>
    <cellStyle name="Normal 16 31 3" xfId="26255" xr:uid="{00000000-0005-0000-0000-0000A5250000}"/>
    <cellStyle name="Normal 16 32" xfId="501" xr:uid="{00000000-0005-0000-0000-0000A6250000}"/>
    <cellStyle name="Normal 16 32 2" xfId="2103" xr:uid="{00000000-0005-0000-0000-0000A7250000}"/>
    <cellStyle name="Normal 16 32 2 2" xfId="26606" xr:uid="{00000000-0005-0000-0000-0000A8250000}"/>
    <cellStyle name="Normal 16 32 3" xfId="26256" xr:uid="{00000000-0005-0000-0000-0000A9250000}"/>
    <cellStyle name="Normal 16 33" xfId="502" xr:uid="{00000000-0005-0000-0000-0000AA250000}"/>
    <cellStyle name="Normal 16 33 2" xfId="2104" xr:uid="{00000000-0005-0000-0000-0000AB250000}"/>
    <cellStyle name="Normal 16 33 2 2" xfId="26607" xr:uid="{00000000-0005-0000-0000-0000AC250000}"/>
    <cellStyle name="Normal 16 33 3" xfId="26257" xr:uid="{00000000-0005-0000-0000-0000AD250000}"/>
    <cellStyle name="Normal 16 34" xfId="503" xr:uid="{00000000-0005-0000-0000-0000AE250000}"/>
    <cellStyle name="Normal 16 34 2" xfId="2105" xr:uid="{00000000-0005-0000-0000-0000AF250000}"/>
    <cellStyle name="Normal 16 34 2 2" xfId="26608" xr:uid="{00000000-0005-0000-0000-0000B0250000}"/>
    <cellStyle name="Normal 16 34 3" xfId="26258" xr:uid="{00000000-0005-0000-0000-0000B1250000}"/>
    <cellStyle name="Normal 16 35" xfId="504" xr:uid="{00000000-0005-0000-0000-0000B2250000}"/>
    <cellStyle name="Normal 16 35 2" xfId="2106" xr:uid="{00000000-0005-0000-0000-0000B3250000}"/>
    <cellStyle name="Normal 16 35 2 2" xfId="26609" xr:uid="{00000000-0005-0000-0000-0000B4250000}"/>
    <cellStyle name="Normal 16 35 3" xfId="26259" xr:uid="{00000000-0005-0000-0000-0000B5250000}"/>
    <cellStyle name="Normal 16 36" xfId="505" xr:uid="{00000000-0005-0000-0000-0000B6250000}"/>
    <cellStyle name="Normal 16 36 2" xfId="2107" xr:uid="{00000000-0005-0000-0000-0000B7250000}"/>
    <cellStyle name="Normal 16 36 2 2" xfId="26610" xr:uid="{00000000-0005-0000-0000-0000B8250000}"/>
    <cellStyle name="Normal 16 36 3" xfId="26260" xr:uid="{00000000-0005-0000-0000-0000B9250000}"/>
    <cellStyle name="Normal 16 37" xfId="506" xr:uid="{00000000-0005-0000-0000-0000BA250000}"/>
    <cellStyle name="Normal 16 37 2" xfId="2108" xr:uid="{00000000-0005-0000-0000-0000BB250000}"/>
    <cellStyle name="Normal 16 37 2 2" xfId="26611" xr:uid="{00000000-0005-0000-0000-0000BC250000}"/>
    <cellStyle name="Normal 16 37 3" xfId="26261" xr:uid="{00000000-0005-0000-0000-0000BD250000}"/>
    <cellStyle name="Normal 16 38" xfId="507" xr:uid="{00000000-0005-0000-0000-0000BE250000}"/>
    <cellStyle name="Normal 16 38 2" xfId="2109" xr:uid="{00000000-0005-0000-0000-0000BF250000}"/>
    <cellStyle name="Normal 16 38 2 2" xfId="26612" xr:uid="{00000000-0005-0000-0000-0000C0250000}"/>
    <cellStyle name="Normal 16 38 3" xfId="26262" xr:uid="{00000000-0005-0000-0000-0000C1250000}"/>
    <cellStyle name="Normal 16 39" xfId="508" xr:uid="{00000000-0005-0000-0000-0000C2250000}"/>
    <cellStyle name="Normal 16 39 2" xfId="2110" xr:uid="{00000000-0005-0000-0000-0000C3250000}"/>
    <cellStyle name="Normal 16 39 2 2" xfId="26613" xr:uid="{00000000-0005-0000-0000-0000C4250000}"/>
    <cellStyle name="Normal 16 39 3" xfId="26263" xr:uid="{00000000-0005-0000-0000-0000C5250000}"/>
    <cellStyle name="Normal 16 4" xfId="509" xr:uid="{00000000-0005-0000-0000-0000C6250000}"/>
    <cellStyle name="Normal 16 4 2" xfId="2111" xr:uid="{00000000-0005-0000-0000-0000C7250000}"/>
    <cellStyle name="Normal 16 4 2 2" xfId="26614" xr:uid="{00000000-0005-0000-0000-0000C8250000}"/>
    <cellStyle name="Normal 16 4 2 2 2" xfId="28227" xr:uid="{00000000-0005-0000-0000-0000C9250000}"/>
    <cellStyle name="Normal 16 4 2 2 2 2" xfId="28228" xr:uid="{00000000-0005-0000-0000-0000CA250000}"/>
    <cellStyle name="Normal 16 4 2 2 2 3" xfId="28229" xr:uid="{00000000-0005-0000-0000-0000CB250000}"/>
    <cellStyle name="Normal 16 4 2 2 2 4" xfId="28230" xr:uid="{00000000-0005-0000-0000-0000CC250000}"/>
    <cellStyle name="Normal 16 4 2 2 3" xfId="28231" xr:uid="{00000000-0005-0000-0000-0000CD250000}"/>
    <cellStyle name="Normal 16 4 2 2 4" xfId="28232" xr:uid="{00000000-0005-0000-0000-0000CE250000}"/>
    <cellStyle name="Normal 16 4 2 2 5" xfId="28233" xr:uid="{00000000-0005-0000-0000-0000CF250000}"/>
    <cellStyle name="Normal 16 4 2 3" xfId="28234" xr:uid="{00000000-0005-0000-0000-0000D0250000}"/>
    <cellStyle name="Normal 16 4 2 3 2" xfId="28235" xr:uid="{00000000-0005-0000-0000-0000D1250000}"/>
    <cellStyle name="Normal 16 4 2 3 3" xfId="28236" xr:uid="{00000000-0005-0000-0000-0000D2250000}"/>
    <cellStyle name="Normal 16 4 2 3 4" xfId="28237" xr:uid="{00000000-0005-0000-0000-0000D3250000}"/>
    <cellStyle name="Normal 16 4 2 4" xfId="28238" xr:uid="{00000000-0005-0000-0000-0000D4250000}"/>
    <cellStyle name="Normal 16 4 2 5" xfId="28239" xr:uid="{00000000-0005-0000-0000-0000D5250000}"/>
    <cellStyle name="Normal 16 4 2 6" xfId="28240" xr:uid="{00000000-0005-0000-0000-0000D6250000}"/>
    <cellStyle name="Normal 16 4 3" xfId="26264" xr:uid="{00000000-0005-0000-0000-0000D7250000}"/>
    <cellStyle name="Normal 16 4 3 2" xfId="28241" xr:uid="{00000000-0005-0000-0000-0000D8250000}"/>
    <cellStyle name="Normal 16 4 3 2 2" xfId="28242" xr:uid="{00000000-0005-0000-0000-0000D9250000}"/>
    <cellStyle name="Normal 16 4 3 2 3" xfId="28243" xr:uid="{00000000-0005-0000-0000-0000DA250000}"/>
    <cellStyle name="Normal 16 4 3 2 4" xfId="28244" xr:uid="{00000000-0005-0000-0000-0000DB250000}"/>
    <cellStyle name="Normal 16 4 3 3" xfId="28245" xr:uid="{00000000-0005-0000-0000-0000DC250000}"/>
    <cellStyle name="Normal 16 4 3 4" xfId="28246" xr:uid="{00000000-0005-0000-0000-0000DD250000}"/>
    <cellStyle name="Normal 16 4 3 5" xfId="28247" xr:uid="{00000000-0005-0000-0000-0000DE250000}"/>
    <cellStyle name="Normal 16 4 4" xfId="28248" xr:uid="{00000000-0005-0000-0000-0000DF250000}"/>
    <cellStyle name="Normal 16 4 4 2" xfId="28249" xr:uid="{00000000-0005-0000-0000-0000E0250000}"/>
    <cellStyle name="Normal 16 4 4 3" xfId="28250" xr:uid="{00000000-0005-0000-0000-0000E1250000}"/>
    <cellStyle name="Normal 16 4 4 4" xfId="28251" xr:uid="{00000000-0005-0000-0000-0000E2250000}"/>
    <cellStyle name="Normal 16 4 5" xfId="28252" xr:uid="{00000000-0005-0000-0000-0000E3250000}"/>
    <cellStyle name="Normal 16 4 5 2" xfId="28253" xr:uid="{00000000-0005-0000-0000-0000E4250000}"/>
    <cellStyle name="Normal 16 4 5 3" xfId="28254" xr:uid="{00000000-0005-0000-0000-0000E5250000}"/>
    <cellStyle name="Normal 16 4 5 4" xfId="28255" xr:uid="{00000000-0005-0000-0000-0000E6250000}"/>
    <cellStyle name="Normal 16 4 6" xfId="28256" xr:uid="{00000000-0005-0000-0000-0000E7250000}"/>
    <cellStyle name="Normal 16 4 6 2" xfId="28257" xr:uid="{00000000-0005-0000-0000-0000E8250000}"/>
    <cellStyle name="Normal 16 4 6 3" xfId="28258" xr:uid="{00000000-0005-0000-0000-0000E9250000}"/>
    <cellStyle name="Normal 16 4 7" xfId="28259" xr:uid="{00000000-0005-0000-0000-0000EA250000}"/>
    <cellStyle name="Normal 16 4 8" xfId="28260" xr:uid="{00000000-0005-0000-0000-0000EB250000}"/>
    <cellStyle name="Normal 16 4 9" xfId="28261" xr:uid="{00000000-0005-0000-0000-0000EC250000}"/>
    <cellStyle name="Normal 16 40" xfId="2078" xr:uid="{00000000-0005-0000-0000-0000ED250000}"/>
    <cellStyle name="Normal 16 40 2" xfId="26581" xr:uid="{00000000-0005-0000-0000-0000EE250000}"/>
    <cellStyle name="Normal 16 41" xfId="26231" xr:uid="{00000000-0005-0000-0000-0000EF250000}"/>
    <cellStyle name="Normal 16 5" xfId="510" xr:uid="{00000000-0005-0000-0000-0000F0250000}"/>
    <cellStyle name="Normal 16 5 2" xfId="2112" xr:uid="{00000000-0005-0000-0000-0000F1250000}"/>
    <cellStyle name="Normal 16 5 2 2" xfId="26615" xr:uid="{00000000-0005-0000-0000-0000F2250000}"/>
    <cellStyle name="Normal 16 5 2 2 2" xfId="28262" xr:uid="{00000000-0005-0000-0000-0000F3250000}"/>
    <cellStyle name="Normal 16 5 2 2 2 2" xfId="28263" xr:uid="{00000000-0005-0000-0000-0000F4250000}"/>
    <cellStyle name="Normal 16 5 2 2 2 3" xfId="28264" xr:uid="{00000000-0005-0000-0000-0000F5250000}"/>
    <cellStyle name="Normal 16 5 2 2 2 4" xfId="28265" xr:uid="{00000000-0005-0000-0000-0000F6250000}"/>
    <cellStyle name="Normal 16 5 2 2 3" xfId="28266" xr:uid="{00000000-0005-0000-0000-0000F7250000}"/>
    <cellStyle name="Normal 16 5 2 2 4" xfId="28267" xr:uid="{00000000-0005-0000-0000-0000F8250000}"/>
    <cellStyle name="Normal 16 5 2 2 5" xfId="28268" xr:uid="{00000000-0005-0000-0000-0000F9250000}"/>
    <cellStyle name="Normal 16 5 2 3" xfId="28269" xr:uid="{00000000-0005-0000-0000-0000FA250000}"/>
    <cellStyle name="Normal 16 5 2 3 2" xfId="28270" xr:uid="{00000000-0005-0000-0000-0000FB250000}"/>
    <cellStyle name="Normal 16 5 2 3 3" xfId="28271" xr:uid="{00000000-0005-0000-0000-0000FC250000}"/>
    <cellStyle name="Normal 16 5 2 3 4" xfId="28272" xr:uid="{00000000-0005-0000-0000-0000FD250000}"/>
    <cellStyle name="Normal 16 5 2 4" xfId="28273" xr:uid="{00000000-0005-0000-0000-0000FE250000}"/>
    <cellStyle name="Normal 16 5 2 5" xfId="28274" xr:uid="{00000000-0005-0000-0000-0000FF250000}"/>
    <cellStyle name="Normal 16 5 2 6" xfId="28275" xr:uid="{00000000-0005-0000-0000-000000260000}"/>
    <cellStyle name="Normal 16 5 3" xfId="26265" xr:uid="{00000000-0005-0000-0000-000001260000}"/>
    <cellStyle name="Normal 16 5 3 2" xfId="28276" xr:uid="{00000000-0005-0000-0000-000002260000}"/>
    <cellStyle name="Normal 16 5 3 2 2" xfId="28277" xr:uid="{00000000-0005-0000-0000-000003260000}"/>
    <cellStyle name="Normal 16 5 3 2 3" xfId="28278" xr:uid="{00000000-0005-0000-0000-000004260000}"/>
    <cellStyle name="Normal 16 5 3 2 4" xfId="28279" xr:uid="{00000000-0005-0000-0000-000005260000}"/>
    <cellStyle name="Normal 16 5 3 3" xfId="28280" xr:uid="{00000000-0005-0000-0000-000006260000}"/>
    <cellStyle name="Normal 16 5 3 4" xfId="28281" xr:uid="{00000000-0005-0000-0000-000007260000}"/>
    <cellStyle name="Normal 16 5 3 5" xfId="28282" xr:uid="{00000000-0005-0000-0000-000008260000}"/>
    <cellStyle name="Normal 16 5 4" xfId="28283" xr:uid="{00000000-0005-0000-0000-000009260000}"/>
    <cellStyle name="Normal 16 5 4 2" xfId="28284" xr:uid="{00000000-0005-0000-0000-00000A260000}"/>
    <cellStyle name="Normal 16 5 4 3" xfId="28285" xr:uid="{00000000-0005-0000-0000-00000B260000}"/>
    <cellStyle name="Normal 16 5 4 4" xfId="28286" xr:uid="{00000000-0005-0000-0000-00000C260000}"/>
    <cellStyle name="Normal 16 5 5" xfId="28287" xr:uid="{00000000-0005-0000-0000-00000D260000}"/>
    <cellStyle name="Normal 16 5 5 2" xfId="28288" xr:uid="{00000000-0005-0000-0000-00000E260000}"/>
    <cellStyle name="Normal 16 5 5 3" xfId="28289" xr:uid="{00000000-0005-0000-0000-00000F260000}"/>
    <cellStyle name="Normal 16 5 5 4" xfId="28290" xr:uid="{00000000-0005-0000-0000-000010260000}"/>
    <cellStyle name="Normal 16 5 6" xfId="28291" xr:uid="{00000000-0005-0000-0000-000011260000}"/>
    <cellStyle name="Normal 16 5 6 2" xfId="28292" xr:uid="{00000000-0005-0000-0000-000012260000}"/>
    <cellStyle name="Normal 16 5 6 3" xfId="28293" xr:uid="{00000000-0005-0000-0000-000013260000}"/>
    <cellStyle name="Normal 16 5 7" xfId="28294" xr:uid="{00000000-0005-0000-0000-000014260000}"/>
    <cellStyle name="Normal 16 5 8" xfId="28295" xr:uid="{00000000-0005-0000-0000-000015260000}"/>
    <cellStyle name="Normal 16 5 9" xfId="28296" xr:uid="{00000000-0005-0000-0000-000016260000}"/>
    <cellStyle name="Normal 16 6" xfId="511" xr:uid="{00000000-0005-0000-0000-000017260000}"/>
    <cellStyle name="Normal 16 6 2" xfId="2113" xr:uid="{00000000-0005-0000-0000-000018260000}"/>
    <cellStyle name="Normal 16 6 2 2" xfId="26616" xr:uid="{00000000-0005-0000-0000-000019260000}"/>
    <cellStyle name="Normal 16 6 2 2 2" xfId="28297" xr:uid="{00000000-0005-0000-0000-00001A260000}"/>
    <cellStyle name="Normal 16 6 2 2 3" xfId="28298" xr:uid="{00000000-0005-0000-0000-00001B260000}"/>
    <cellStyle name="Normal 16 6 2 2 4" xfId="28299" xr:uid="{00000000-0005-0000-0000-00001C260000}"/>
    <cellStyle name="Normal 16 6 2 3" xfId="28300" xr:uid="{00000000-0005-0000-0000-00001D260000}"/>
    <cellStyle name="Normal 16 6 2 4" xfId="28301" xr:uid="{00000000-0005-0000-0000-00001E260000}"/>
    <cellStyle name="Normal 16 6 2 5" xfId="28302" xr:uid="{00000000-0005-0000-0000-00001F260000}"/>
    <cellStyle name="Normal 16 6 3" xfId="26266" xr:uid="{00000000-0005-0000-0000-000020260000}"/>
    <cellStyle name="Normal 16 6 3 2" xfId="28303" xr:uid="{00000000-0005-0000-0000-000021260000}"/>
    <cellStyle name="Normal 16 6 3 3" xfId="28304" xr:uid="{00000000-0005-0000-0000-000022260000}"/>
    <cellStyle name="Normal 16 6 3 4" xfId="28305" xr:uid="{00000000-0005-0000-0000-000023260000}"/>
    <cellStyle name="Normal 16 6 4" xfId="28306" xr:uid="{00000000-0005-0000-0000-000024260000}"/>
    <cellStyle name="Normal 16 6 5" xfId="28307" xr:uid="{00000000-0005-0000-0000-000025260000}"/>
    <cellStyle name="Normal 16 6 6" xfId="28308" xr:uid="{00000000-0005-0000-0000-000026260000}"/>
    <cellStyle name="Normal 16 7" xfId="512" xr:uid="{00000000-0005-0000-0000-000027260000}"/>
    <cellStyle name="Normal 16 7 2" xfId="2114" xr:uid="{00000000-0005-0000-0000-000028260000}"/>
    <cellStyle name="Normal 16 7 2 2" xfId="26617" xr:uid="{00000000-0005-0000-0000-000029260000}"/>
    <cellStyle name="Normal 16 7 2 2 2" xfId="28309" xr:uid="{00000000-0005-0000-0000-00002A260000}"/>
    <cellStyle name="Normal 16 7 2 2 3" xfId="28310" xr:uid="{00000000-0005-0000-0000-00002B260000}"/>
    <cellStyle name="Normal 16 7 2 2 4" xfId="28311" xr:uid="{00000000-0005-0000-0000-00002C260000}"/>
    <cellStyle name="Normal 16 7 2 3" xfId="28312" xr:uid="{00000000-0005-0000-0000-00002D260000}"/>
    <cellStyle name="Normal 16 7 2 4" xfId="28313" xr:uid="{00000000-0005-0000-0000-00002E260000}"/>
    <cellStyle name="Normal 16 7 2 5" xfId="28314" xr:uid="{00000000-0005-0000-0000-00002F260000}"/>
    <cellStyle name="Normal 16 7 3" xfId="26267" xr:uid="{00000000-0005-0000-0000-000030260000}"/>
    <cellStyle name="Normal 16 7 3 2" xfId="28315" xr:uid="{00000000-0005-0000-0000-000031260000}"/>
    <cellStyle name="Normal 16 7 3 3" xfId="28316" xr:uid="{00000000-0005-0000-0000-000032260000}"/>
    <cellStyle name="Normal 16 7 3 4" xfId="28317" xr:uid="{00000000-0005-0000-0000-000033260000}"/>
    <cellStyle name="Normal 16 7 4" xfId="28318" xr:uid="{00000000-0005-0000-0000-000034260000}"/>
    <cellStyle name="Normal 16 7 5" xfId="28319" xr:uid="{00000000-0005-0000-0000-000035260000}"/>
    <cellStyle name="Normal 16 7 6" xfId="28320" xr:uid="{00000000-0005-0000-0000-000036260000}"/>
    <cellStyle name="Normal 16 8" xfId="513" xr:uid="{00000000-0005-0000-0000-000037260000}"/>
    <cellStyle name="Normal 16 8 2" xfId="2115" xr:uid="{00000000-0005-0000-0000-000038260000}"/>
    <cellStyle name="Normal 16 8 2 2" xfId="26618" xr:uid="{00000000-0005-0000-0000-000039260000}"/>
    <cellStyle name="Normal 16 8 2 2 2" xfId="28321" xr:uid="{00000000-0005-0000-0000-00003A260000}"/>
    <cellStyle name="Normal 16 8 2 2 3" xfId="28322" xr:uid="{00000000-0005-0000-0000-00003B260000}"/>
    <cellStyle name="Normal 16 8 2 2 4" xfId="28323" xr:uid="{00000000-0005-0000-0000-00003C260000}"/>
    <cellStyle name="Normal 16 8 2 3" xfId="28324" xr:uid="{00000000-0005-0000-0000-00003D260000}"/>
    <cellStyle name="Normal 16 8 2 4" xfId="28325" xr:uid="{00000000-0005-0000-0000-00003E260000}"/>
    <cellStyle name="Normal 16 8 2 5" xfId="28326" xr:uid="{00000000-0005-0000-0000-00003F260000}"/>
    <cellStyle name="Normal 16 8 3" xfId="26268" xr:uid="{00000000-0005-0000-0000-000040260000}"/>
    <cellStyle name="Normal 16 8 3 2" xfId="28327" xr:uid="{00000000-0005-0000-0000-000041260000}"/>
    <cellStyle name="Normal 16 8 3 3" xfId="28328" xr:uid="{00000000-0005-0000-0000-000042260000}"/>
    <cellStyle name="Normal 16 8 3 4" xfId="28329" xr:uid="{00000000-0005-0000-0000-000043260000}"/>
    <cellStyle name="Normal 16 8 4" xfId="28330" xr:uid="{00000000-0005-0000-0000-000044260000}"/>
    <cellStyle name="Normal 16 8 5" xfId="28331" xr:uid="{00000000-0005-0000-0000-000045260000}"/>
    <cellStyle name="Normal 16 8 6" xfId="28332" xr:uid="{00000000-0005-0000-0000-000046260000}"/>
    <cellStyle name="Normal 16 9" xfId="514" xr:uid="{00000000-0005-0000-0000-000047260000}"/>
    <cellStyle name="Normal 16 9 2" xfId="2116" xr:uid="{00000000-0005-0000-0000-000048260000}"/>
    <cellStyle name="Normal 16 9 2 2" xfId="26619" xr:uid="{00000000-0005-0000-0000-000049260000}"/>
    <cellStyle name="Normal 16 9 2 3" xfId="28333" xr:uid="{00000000-0005-0000-0000-00004A260000}"/>
    <cellStyle name="Normal 16 9 2 4" xfId="28334" xr:uid="{00000000-0005-0000-0000-00004B260000}"/>
    <cellStyle name="Normal 16 9 3" xfId="26269" xr:uid="{00000000-0005-0000-0000-00004C260000}"/>
    <cellStyle name="Normal 16 9 4" xfId="28335" xr:uid="{00000000-0005-0000-0000-00004D260000}"/>
    <cellStyle name="Normal 16 9 5" xfId="28336" xr:uid="{00000000-0005-0000-0000-00004E260000}"/>
    <cellStyle name="Normal 160" xfId="28337" xr:uid="{00000000-0005-0000-0000-00004F260000}"/>
    <cellStyle name="Normal 161" xfId="28338" xr:uid="{00000000-0005-0000-0000-000050260000}"/>
    <cellStyle name="Normal 162" xfId="28339" xr:uid="{00000000-0005-0000-0000-000051260000}"/>
    <cellStyle name="Normal 163" xfId="28340" xr:uid="{00000000-0005-0000-0000-000052260000}"/>
    <cellStyle name="Normal 164" xfId="28341" xr:uid="{00000000-0005-0000-0000-000053260000}"/>
    <cellStyle name="Normal 165" xfId="28342" xr:uid="{00000000-0005-0000-0000-000054260000}"/>
    <cellStyle name="Normal 166" xfId="28343" xr:uid="{00000000-0005-0000-0000-000055260000}"/>
    <cellStyle name="Normal 167" xfId="28344" xr:uid="{00000000-0005-0000-0000-000056260000}"/>
    <cellStyle name="Normal 168" xfId="28345" xr:uid="{00000000-0005-0000-0000-000057260000}"/>
    <cellStyle name="Normal 169" xfId="28346" xr:uid="{00000000-0005-0000-0000-000058260000}"/>
    <cellStyle name="Normal 17" xfId="515" xr:uid="{00000000-0005-0000-0000-000059260000}"/>
    <cellStyle name="Normal 17 2" xfId="516" xr:uid="{00000000-0005-0000-0000-00005A260000}"/>
    <cellStyle name="Normal 17 2 2" xfId="28347" xr:uid="{00000000-0005-0000-0000-00005B260000}"/>
    <cellStyle name="Normal 17 3" xfId="28348" xr:uid="{00000000-0005-0000-0000-00005C260000}"/>
    <cellStyle name="Normal 17 4" xfId="28349" xr:uid="{00000000-0005-0000-0000-00005D260000}"/>
    <cellStyle name="Normal 170" xfId="28350" xr:uid="{00000000-0005-0000-0000-00005E260000}"/>
    <cellStyle name="Normal 171" xfId="28351" xr:uid="{00000000-0005-0000-0000-00005F260000}"/>
    <cellStyle name="Normal 172" xfId="28352" xr:uid="{00000000-0005-0000-0000-000060260000}"/>
    <cellStyle name="Normal 173" xfId="28353" xr:uid="{00000000-0005-0000-0000-000061260000}"/>
    <cellStyle name="Normal 174" xfId="33838" xr:uid="{00000000-0005-0000-0000-000062260000}"/>
    <cellStyle name="Normal 175" xfId="33839" xr:uid="{00000000-0005-0000-0000-000063260000}"/>
    <cellStyle name="Normal 18" xfId="517" xr:uid="{00000000-0005-0000-0000-000064260000}"/>
    <cellStyle name="Normal 18 2" xfId="518" xr:uid="{00000000-0005-0000-0000-000065260000}"/>
    <cellStyle name="Normal 18 2 2" xfId="28354" xr:uid="{00000000-0005-0000-0000-000066260000}"/>
    <cellStyle name="Normal 18 3" xfId="28355" xr:uid="{00000000-0005-0000-0000-000067260000}"/>
    <cellStyle name="Normal 18 4" xfId="28356" xr:uid="{00000000-0005-0000-0000-000068260000}"/>
    <cellStyle name="Normal 19" xfId="519" xr:uid="{00000000-0005-0000-0000-000069260000}"/>
    <cellStyle name="Normal 19 10" xfId="520" xr:uid="{00000000-0005-0000-0000-00006A260000}"/>
    <cellStyle name="Normal 19 10 2" xfId="2118" xr:uid="{00000000-0005-0000-0000-00006B260000}"/>
    <cellStyle name="Normal 19 10 2 2" xfId="26621" xr:uid="{00000000-0005-0000-0000-00006C260000}"/>
    <cellStyle name="Normal 19 10 3" xfId="26271" xr:uid="{00000000-0005-0000-0000-00006D260000}"/>
    <cellStyle name="Normal 19 11" xfId="521" xr:uid="{00000000-0005-0000-0000-00006E260000}"/>
    <cellStyle name="Normal 19 11 2" xfId="2119" xr:uid="{00000000-0005-0000-0000-00006F260000}"/>
    <cellStyle name="Normal 19 11 2 2" xfId="26622" xr:uid="{00000000-0005-0000-0000-000070260000}"/>
    <cellStyle name="Normal 19 11 3" xfId="26272" xr:uid="{00000000-0005-0000-0000-000071260000}"/>
    <cellStyle name="Normal 19 12" xfId="522" xr:uid="{00000000-0005-0000-0000-000072260000}"/>
    <cellStyle name="Normal 19 12 2" xfId="2120" xr:uid="{00000000-0005-0000-0000-000073260000}"/>
    <cellStyle name="Normal 19 12 2 2" xfId="26623" xr:uid="{00000000-0005-0000-0000-000074260000}"/>
    <cellStyle name="Normal 19 12 3" xfId="26273" xr:uid="{00000000-0005-0000-0000-000075260000}"/>
    <cellStyle name="Normal 19 13" xfId="523" xr:uid="{00000000-0005-0000-0000-000076260000}"/>
    <cellStyle name="Normal 19 13 2" xfId="2121" xr:uid="{00000000-0005-0000-0000-000077260000}"/>
    <cellStyle name="Normal 19 13 2 2" xfId="26624" xr:uid="{00000000-0005-0000-0000-000078260000}"/>
    <cellStyle name="Normal 19 13 3" xfId="26274" xr:uid="{00000000-0005-0000-0000-000079260000}"/>
    <cellStyle name="Normal 19 14" xfId="524" xr:uid="{00000000-0005-0000-0000-00007A260000}"/>
    <cellStyle name="Normal 19 14 2" xfId="2122" xr:uid="{00000000-0005-0000-0000-00007B260000}"/>
    <cellStyle name="Normal 19 14 2 2" xfId="26625" xr:uid="{00000000-0005-0000-0000-00007C260000}"/>
    <cellStyle name="Normal 19 14 3" xfId="26275" xr:uid="{00000000-0005-0000-0000-00007D260000}"/>
    <cellStyle name="Normal 19 15" xfId="525" xr:uid="{00000000-0005-0000-0000-00007E260000}"/>
    <cellStyle name="Normal 19 15 2" xfId="2123" xr:uid="{00000000-0005-0000-0000-00007F260000}"/>
    <cellStyle name="Normal 19 15 2 2" xfId="26626" xr:uid="{00000000-0005-0000-0000-000080260000}"/>
    <cellStyle name="Normal 19 15 3" xfId="26276" xr:uid="{00000000-0005-0000-0000-000081260000}"/>
    <cellStyle name="Normal 19 16" xfId="526" xr:uid="{00000000-0005-0000-0000-000082260000}"/>
    <cellStyle name="Normal 19 16 2" xfId="2124" xr:uid="{00000000-0005-0000-0000-000083260000}"/>
    <cellStyle name="Normal 19 16 2 2" xfId="26627" xr:uid="{00000000-0005-0000-0000-000084260000}"/>
    <cellStyle name="Normal 19 16 3" xfId="26277" xr:uid="{00000000-0005-0000-0000-000085260000}"/>
    <cellStyle name="Normal 19 17" xfId="527" xr:uid="{00000000-0005-0000-0000-000086260000}"/>
    <cellStyle name="Normal 19 17 2" xfId="2125" xr:uid="{00000000-0005-0000-0000-000087260000}"/>
    <cellStyle name="Normal 19 17 2 2" xfId="26628" xr:uid="{00000000-0005-0000-0000-000088260000}"/>
    <cellStyle name="Normal 19 17 3" xfId="26278" xr:uid="{00000000-0005-0000-0000-000089260000}"/>
    <cellStyle name="Normal 19 18" xfId="528" xr:uid="{00000000-0005-0000-0000-00008A260000}"/>
    <cellStyle name="Normal 19 18 2" xfId="2126" xr:uid="{00000000-0005-0000-0000-00008B260000}"/>
    <cellStyle name="Normal 19 18 2 2" xfId="26629" xr:uid="{00000000-0005-0000-0000-00008C260000}"/>
    <cellStyle name="Normal 19 18 3" xfId="26279" xr:uid="{00000000-0005-0000-0000-00008D260000}"/>
    <cellStyle name="Normal 19 19" xfId="529" xr:uid="{00000000-0005-0000-0000-00008E260000}"/>
    <cellStyle name="Normal 19 19 2" xfId="2127" xr:uid="{00000000-0005-0000-0000-00008F260000}"/>
    <cellStyle name="Normal 19 19 2 2" xfId="26630" xr:uid="{00000000-0005-0000-0000-000090260000}"/>
    <cellStyle name="Normal 19 19 3" xfId="26280" xr:uid="{00000000-0005-0000-0000-000091260000}"/>
    <cellStyle name="Normal 19 2" xfId="530" xr:uid="{00000000-0005-0000-0000-000092260000}"/>
    <cellStyle name="Normal 19 2 2" xfId="2128" xr:uid="{00000000-0005-0000-0000-000093260000}"/>
    <cellStyle name="Normal 19 2 2 2" xfId="26631" xr:uid="{00000000-0005-0000-0000-000094260000}"/>
    <cellStyle name="Normal 19 2 3" xfId="26281" xr:uid="{00000000-0005-0000-0000-000095260000}"/>
    <cellStyle name="Normal 19 20" xfId="531" xr:uid="{00000000-0005-0000-0000-000096260000}"/>
    <cellStyle name="Normal 19 20 2" xfId="2129" xr:uid="{00000000-0005-0000-0000-000097260000}"/>
    <cellStyle name="Normal 19 20 2 2" xfId="26632" xr:uid="{00000000-0005-0000-0000-000098260000}"/>
    <cellStyle name="Normal 19 20 3" xfId="26282" xr:uid="{00000000-0005-0000-0000-000099260000}"/>
    <cellStyle name="Normal 19 21" xfId="532" xr:uid="{00000000-0005-0000-0000-00009A260000}"/>
    <cellStyle name="Normal 19 21 2" xfId="2130" xr:uid="{00000000-0005-0000-0000-00009B260000}"/>
    <cellStyle name="Normal 19 21 2 2" xfId="26633" xr:uid="{00000000-0005-0000-0000-00009C260000}"/>
    <cellStyle name="Normal 19 21 3" xfId="26283" xr:uid="{00000000-0005-0000-0000-00009D260000}"/>
    <cellStyle name="Normal 19 22" xfId="533" xr:uid="{00000000-0005-0000-0000-00009E260000}"/>
    <cellStyle name="Normal 19 22 2" xfId="2131" xr:uid="{00000000-0005-0000-0000-00009F260000}"/>
    <cellStyle name="Normal 19 22 2 2" xfId="26634" xr:uid="{00000000-0005-0000-0000-0000A0260000}"/>
    <cellStyle name="Normal 19 22 3" xfId="26284" xr:uid="{00000000-0005-0000-0000-0000A1260000}"/>
    <cellStyle name="Normal 19 23" xfId="534" xr:uid="{00000000-0005-0000-0000-0000A2260000}"/>
    <cellStyle name="Normal 19 23 2" xfId="2132" xr:uid="{00000000-0005-0000-0000-0000A3260000}"/>
    <cellStyle name="Normal 19 23 2 2" xfId="26635" xr:uid="{00000000-0005-0000-0000-0000A4260000}"/>
    <cellStyle name="Normal 19 23 3" xfId="26285" xr:uid="{00000000-0005-0000-0000-0000A5260000}"/>
    <cellStyle name="Normal 19 24" xfId="535" xr:uid="{00000000-0005-0000-0000-0000A6260000}"/>
    <cellStyle name="Normal 19 24 2" xfId="2133" xr:uid="{00000000-0005-0000-0000-0000A7260000}"/>
    <cellStyle name="Normal 19 24 2 2" xfId="26636" xr:uid="{00000000-0005-0000-0000-0000A8260000}"/>
    <cellStyle name="Normal 19 24 3" xfId="26286" xr:uid="{00000000-0005-0000-0000-0000A9260000}"/>
    <cellStyle name="Normal 19 25" xfId="536" xr:uid="{00000000-0005-0000-0000-0000AA260000}"/>
    <cellStyle name="Normal 19 25 2" xfId="2134" xr:uid="{00000000-0005-0000-0000-0000AB260000}"/>
    <cellStyle name="Normal 19 25 2 2" xfId="26637" xr:uid="{00000000-0005-0000-0000-0000AC260000}"/>
    <cellStyle name="Normal 19 25 3" xfId="26287" xr:uid="{00000000-0005-0000-0000-0000AD260000}"/>
    <cellStyle name="Normal 19 26" xfId="537" xr:uid="{00000000-0005-0000-0000-0000AE260000}"/>
    <cellStyle name="Normal 19 26 2" xfId="2135" xr:uid="{00000000-0005-0000-0000-0000AF260000}"/>
    <cellStyle name="Normal 19 26 2 2" xfId="26638" xr:uid="{00000000-0005-0000-0000-0000B0260000}"/>
    <cellStyle name="Normal 19 26 3" xfId="26288" xr:uid="{00000000-0005-0000-0000-0000B1260000}"/>
    <cellStyle name="Normal 19 27" xfId="538" xr:uid="{00000000-0005-0000-0000-0000B2260000}"/>
    <cellStyle name="Normal 19 27 2" xfId="2136" xr:uid="{00000000-0005-0000-0000-0000B3260000}"/>
    <cellStyle name="Normal 19 27 2 2" xfId="26639" xr:uid="{00000000-0005-0000-0000-0000B4260000}"/>
    <cellStyle name="Normal 19 27 3" xfId="26289" xr:uid="{00000000-0005-0000-0000-0000B5260000}"/>
    <cellStyle name="Normal 19 28" xfId="539" xr:uid="{00000000-0005-0000-0000-0000B6260000}"/>
    <cellStyle name="Normal 19 28 2" xfId="2137" xr:uid="{00000000-0005-0000-0000-0000B7260000}"/>
    <cellStyle name="Normal 19 28 2 2" xfId="26640" xr:uid="{00000000-0005-0000-0000-0000B8260000}"/>
    <cellStyle name="Normal 19 28 3" xfId="26290" xr:uid="{00000000-0005-0000-0000-0000B9260000}"/>
    <cellStyle name="Normal 19 29" xfId="540" xr:uid="{00000000-0005-0000-0000-0000BA260000}"/>
    <cellStyle name="Normal 19 29 2" xfId="2138" xr:uid="{00000000-0005-0000-0000-0000BB260000}"/>
    <cellStyle name="Normal 19 29 2 2" xfId="26641" xr:uid="{00000000-0005-0000-0000-0000BC260000}"/>
    <cellStyle name="Normal 19 29 3" xfId="26291" xr:uid="{00000000-0005-0000-0000-0000BD260000}"/>
    <cellStyle name="Normal 19 3" xfId="541" xr:uid="{00000000-0005-0000-0000-0000BE260000}"/>
    <cellStyle name="Normal 19 3 2" xfId="2139" xr:uid="{00000000-0005-0000-0000-0000BF260000}"/>
    <cellStyle name="Normal 19 3 2 2" xfId="26642" xr:uid="{00000000-0005-0000-0000-0000C0260000}"/>
    <cellStyle name="Normal 19 3 3" xfId="26292" xr:uid="{00000000-0005-0000-0000-0000C1260000}"/>
    <cellStyle name="Normal 19 30" xfId="542" xr:uid="{00000000-0005-0000-0000-0000C2260000}"/>
    <cellStyle name="Normal 19 30 2" xfId="2140" xr:uid="{00000000-0005-0000-0000-0000C3260000}"/>
    <cellStyle name="Normal 19 30 2 2" xfId="26643" xr:uid="{00000000-0005-0000-0000-0000C4260000}"/>
    <cellStyle name="Normal 19 30 3" xfId="26293" xr:uid="{00000000-0005-0000-0000-0000C5260000}"/>
    <cellStyle name="Normal 19 31" xfId="543" xr:uid="{00000000-0005-0000-0000-0000C6260000}"/>
    <cellStyle name="Normal 19 31 2" xfId="2141" xr:uid="{00000000-0005-0000-0000-0000C7260000}"/>
    <cellStyle name="Normal 19 31 2 2" xfId="26644" xr:uid="{00000000-0005-0000-0000-0000C8260000}"/>
    <cellStyle name="Normal 19 31 3" xfId="26294" xr:uid="{00000000-0005-0000-0000-0000C9260000}"/>
    <cellStyle name="Normal 19 32" xfId="544" xr:uid="{00000000-0005-0000-0000-0000CA260000}"/>
    <cellStyle name="Normal 19 32 2" xfId="2142" xr:uid="{00000000-0005-0000-0000-0000CB260000}"/>
    <cellStyle name="Normal 19 32 2 2" xfId="26645" xr:uid="{00000000-0005-0000-0000-0000CC260000}"/>
    <cellStyle name="Normal 19 32 3" xfId="26295" xr:uid="{00000000-0005-0000-0000-0000CD260000}"/>
    <cellStyle name="Normal 19 33" xfId="545" xr:uid="{00000000-0005-0000-0000-0000CE260000}"/>
    <cellStyle name="Normal 19 33 2" xfId="2143" xr:uid="{00000000-0005-0000-0000-0000CF260000}"/>
    <cellStyle name="Normal 19 33 2 2" xfId="26646" xr:uid="{00000000-0005-0000-0000-0000D0260000}"/>
    <cellStyle name="Normal 19 33 3" xfId="26296" xr:uid="{00000000-0005-0000-0000-0000D1260000}"/>
    <cellStyle name="Normal 19 34" xfId="546" xr:uid="{00000000-0005-0000-0000-0000D2260000}"/>
    <cellStyle name="Normal 19 34 2" xfId="2144" xr:uid="{00000000-0005-0000-0000-0000D3260000}"/>
    <cellStyle name="Normal 19 34 2 2" xfId="26647" xr:uid="{00000000-0005-0000-0000-0000D4260000}"/>
    <cellStyle name="Normal 19 34 3" xfId="26297" xr:uid="{00000000-0005-0000-0000-0000D5260000}"/>
    <cellStyle name="Normal 19 35" xfId="547" xr:uid="{00000000-0005-0000-0000-0000D6260000}"/>
    <cellStyle name="Normal 19 35 2" xfId="2145" xr:uid="{00000000-0005-0000-0000-0000D7260000}"/>
    <cellStyle name="Normal 19 35 2 2" xfId="26648" xr:uid="{00000000-0005-0000-0000-0000D8260000}"/>
    <cellStyle name="Normal 19 35 3" xfId="26298" xr:uid="{00000000-0005-0000-0000-0000D9260000}"/>
    <cellStyle name="Normal 19 36" xfId="548" xr:uid="{00000000-0005-0000-0000-0000DA260000}"/>
    <cellStyle name="Normal 19 36 2" xfId="2146" xr:uid="{00000000-0005-0000-0000-0000DB260000}"/>
    <cellStyle name="Normal 19 36 2 2" xfId="26649" xr:uid="{00000000-0005-0000-0000-0000DC260000}"/>
    <cellStyle name="Normal 19 36 3" xfId="26299" xr:uid="{00000000-0005-0000-0000-0000DD260000}"/>
    <cellStyle name="Normal 19 37" xfId="549" xr:uid="{00000000-0005-0000-0000-0000DE260000}"/>
    <cellStyle name="Normal 19 37 2" xfId="2147" xr:uid="{00000000-0005-0000-0000-0000DF260000}"/>
    <cellStyle name="Normal 19 37 2 2" xfId="26650" xr:uid="{00000000-0005-0000-0000-0000E0260000}"/>
    <cellStyle name="Normal 19 37 3" xfId="26300" xr:uid="{00000000-0005-0000-0000-0000E1260000}"/>
    <cellStyle name="Normal 19 38" xfId="550" xr:uid="{00000000-0005-0000-0000-0000E2260000}"/>
    <cellStyle name="Normal 19 38 2" xfId="2148" xr:uid="{00000000-0005-0000-0000-0000E3260000}"/>
    <cellStyle name="Normal 19 38 2 2" xfId="26651" xr:uid="{00000000-0005-0000-0000-0000E4260000}"/>
    <cellStyle name="Normal 19 38 3" xfId="26301" xr:uid="{00000000-0005-0000-0000-0000E5260000}"/>
    <cellStyle name="Normal 19 39" xfId="2117" xr:uid="{00000000-0005-0000-0000-0000E6260000}"/>
    <cellStyle name="Normal 19 39 2" xfId="26620" xr:uid="{00000000-0005-0000-0000-0000E7260000}"/>
    <cellStyle name="Normal 19 4" xfId="551" xr:uid="{00000000-0005-0000-0000-0000E8260000}"/>
    <cellStyle name="Normal 19 4 2" xfId="2149" xr:uid="{00000000-0005-0000-0000-0000E9260000}"/>
    <cellStyle name="Normal 19 4 2 2" xfId="26652" xr:uid="{00000000-0005-0000-0000-0000EA260000}"/>
    <cellStyle name="Normal 19 4 3" xfId="26302" xr:uid="{00000000-0005-0000-0000-0000EB260000}"/>
    <cellStyle name="Normal 19 40" xfId="26270" xr:uid="{00000000-0005-0000-0000-0000EC260000}"/>
    <cellStyle name="Normal 19 5" xfId="552" xr:uid="{00000000-0005-0000-0000-0000ED260000}"/>
    <cellStyle name="Normal 19 5 2" xfId="2150" xr:uid="{00000000-0005-0000-0000-0000EE260000}"/>
    <cellStyle name="Normal 19 5 2 2" xfId="26653" xr:uid="{00000000-0005-0000-0000-0000EF260000}"/>
    <cellStyle name="Normal 19 5 3" xfId="26303" xr:uid="{00000000-0005-0000-0000-0000F0260000}"/>
    <cellStyle name="Normal 19 6" xfId="553" xr:uid="{00000000-0005-0000-0000-0000F1260000}"/>
    <cellStyle name="Normal 19 6 2" xfId="2151" xr:uid="{00000000-0005-0000-0000-0000F2260000}"/>
    <cellStyle name="Normal 19 6 2 2" xfId="26654" xr:uid="{00000000-0005-0000-0000-0000F3260000}"/>
    <cellStyle name="Normal 19 6 3" xfId="26304" xr:uid="{00000000-0005-0000-0000-0000F4260000}"/>
    <cellStyle name="Normal 19 7" xfId="554" xr:uid="{00000000-0005-0000-0000-0000F5260000}"/>
    <cellStyle name="Normal 19 7 2" xfId="2152" xr:uid="{00000000-0005-0000-0000-0000F6260000}"/>
    <cellStyle name="Normal 19 7 2 2" xfId="26655" xr:uid="{00000000-0005-0000-0000-0000F7260000}"/>
    <cellStyle name="Normal 19 7 3" xfId="26305" xr:uid="{00000000-0005-0000-0000-0000F8260000}"/>
    <cellStyle name="Normal 19 8" xfId="555" xr:uid="{00000000-0005-0000-0000-0000F9260000}"/>
    <cellStyle name="Normal 19 8 2" xfId="2153" xr:uid="{00000000-0005-0000-0000-0000FA260000}"/>
    <cellStyle name="Normal 19 8 2 2" xfId="26656" xr:uid="{00000000-0005-0000-0000-0000FB260000}"/>
    <cellStyle name="Normal 19 8 3" xfId="26306" xr:uid="{00000000-0005-0000-0000-0000FC260000}"/>
    <cellStyle name="Normal 19 9" xfId="556" xr:uid="{00000000-0005-0000-0000-0000FD260000}"/>
    <cellStyle name="Normal 19 9 2" xfId="2154" xr:uid="{00000000-0005-0000-0000-0000FE260000}"/>
    <cellStyle name="Normal 19 9 2 2" xfId="26657" xr:uid="{00000000-0005-0000-0000-0000FF260000}"/>
    <cellStyle name="Normal 19 9 3" xfId="26307" xr:uid="{00000000-0005-0000-0000-000000270000}"/>
    <cellStyle name="Normal 2" xfId="44" xr:uid="{00000000-0005-0000-0000-000001270000}"/>
    <cellStyle name="Normal 2 10" xfId="557" xr:uid="{00000000-0005-0000-0000-000002270000}"/>
    <cellStyle name="Normal 2 10 2" xfId="558" xr:uid="{00000000-0005-0000-0000-000003270000}"/>
    <cellStyle name="Normal 2 11" xfId="559" xr:uid="{00000000-0005-0000-0000-000004270000}"/>
    <cellStyle name="Normal 2 11 2" xfId="560" xr:uid="{00000000-0005-0000-0000-000005270000}"/>
    <cellStyle name="Normal 2 12" xfId="561" xr:uid="{00000000-0005-0000-0000-000006270000}"/>
    <cellStyle name="Normal 2 12 2" xfId="562" xr:uid="{00000000-0005-0000-0000-000007270000}"/>
    <cellStyle name="Normal 2 13" xfId="563" xr:uid="{00000000-0005-0000-0000-000008270000}"/>
    <cellStyle name="Normal 2 13 2" xfId="564" xr:uid="{00000000-0005-0000-0000-000009270000}"/>
    <cellStyle name="Normal 2 14" xfId="565" xr:uid="{00000000-0005-0000-0000-00000A270000}"/>
    <cellStyle name="Normal 2 14 2" xfId="566" xr:uid="{00000000-0005-0000-0000-00000B270000}"/>
    <cellStyle name="Normal 2 15" xfId="567" xr:uid="{00000000-0005-0000-0000-00000C270000}"/>
    <cellStyle name="Normal 2 15 2" xfId="568" xr:uid="{00000000-0005-0000-0000-00000D270000}"/>
    <cellStyle name="Normal 2 16" xfId="569" xr:uid="{00000000-0005-0000-0000-00000E270000}"/>
    <cellStyle name="Normal 2 16 2" xfId="570" xr:uid="{00000000-0005-0000-0000-00000F270000}"/>
    <cellStyle name="Normal 2 17" xfId="571" xr:uid="{00000000-0005-0000-0000-000010270000}"/>
    <cellStyle name="Normal 2 17 2" xfId="572" xr:uid="{00000000-0005-0000-0000-000011270000}"/>
    <cellStyle name="Normal 2 18" xfId="573" xr:uid="{00000000-0005-0000-0000-000012270000}"/>
    <cellStyle name="Normal 2 18 2" xfId="574" xr:uid="{00000000-0005-0000-0000-000013270000}"/>
    <cellStyle name="Normal 2 19" xfId="575" xr:uid="{00000000-0005-0000-0000-000014270000}"/>
    <cellStyle name="Normal 2 19 2" xfId="576" xr:uid="{00000000-0005-0000-0000-000015270000}"/>
    <cellStyle name="Normal 2 2" xfId="577" xr:uid="{00000000-0005-0000-0000-000016270000}"/>
    <cellStyle name="Normal 2 2 2" xfId="578" xr:uid="{00000000-0005-0000-0000-000017270000}"/>
    <cellStyle name="Normal 2 2 2 2" xfId="579" xr:uid="{00000000-0005-0000-0000-000018270000}"/>
    <cellStyle name="Normal 2 2 3" xfId="580" xr:uid="{00000000-0005-0000-0000-000019270000}"/>
    <cellStyle name="Normal 2 2 3 2" xfId="581" xr:uid="{00000000-0005-0000-0000-00001A270000}"/>
    <cellStyle name="Normal 2 2 3 3" xfId="28357" xr:uid="{00000000-0005-0000-0000-00001B270000}"/>
    <cellStyle name="Normal 2 2 3 4" xfId="28358" xr:uid="{00000000-0005-0000-0000-00001C270000}"/>
    <cellStyle name="Normal 2 2 4" xfId="582" xr:uid="{00000000-0005-0000-0000-00001D270000}"/>
    <cellStyle name="Normal 2 2 4 2" xfId="583" xr:uid="{00000000-0005-0000-0000-00001E270000}"/>
    <cellStyle name="Normal 2 2 5" xfId="584" xr:uid="{00000000-0005-0000-0000-00001F270000}"/>
    <cellStyle name="Normal 2 2 6" xfId="585" xr:uid="{00000000-0005-0000-0000-000020270000}"/>
    <cellStyle name="Normal 2 2 6 2" xfId="2473" xr:uid="{00000000-0005-0000-0000-000021270000}"/>
    <cellStyle name="Normal 2 2 6 2 2" xfId="26668" xr:uid="{00000000-0005-0000-0000-000022270000}"/>
    <cellStyle name="Normal 2 2 6 3" xfId="26436" xr:uid="{00000000-0005-0000-0000-000023270000}"/>
    <cellStyle name="Normal 2 20" xfId="586" xr:uid="{00000000-0005-0000-0000-000024270000}"/>
    <cellStyle name="Normal 2 20 2" xfId="587" xr:uid="{00000000-0005-0000-0000-000025270000}"/>
    <cellStyle name="Normal 2 21" xfId="588" xr:uid="{00000000-0005-0000-0000-000026270000}"/>
    <cellStyle name="Normal 2 21 2" xfId="589" xr:uid="{00000000-0005-0000-0000-000027270000}"/>
    <cellStyle name="Normal 2 22" xfId="590" xr:uid="{00000000-0005-0000-0000-000028270000}"/>
    <cellStyle name="Normal 2 3" xfId="591" xr:uid="{00000000-0005-0000-0000-000029270000}"/>
    <cellStyle name="Normal 2 3 2" xfId="592" xr:uid="{00000000-0005-0000-0000-00002A270000}"/>
    <cellStyle name="Normal 2 3 2 2" xfId="2601" xr:uid="{00000000-0005-0000-0000-00002B270000}"/>
    <cellStyle name="Normal 2 4" xfId="593" xr:uid="{00000000-0005-0000-0000-00002C270000}"/>
    <cellStyle name="Normal 2 4 2" xfId="594" xr:uid="{00000000-0005-0000-0000-00002D270000}"/>
    <cellStyle name="Normal 2 4 3" xfId="2594" xr:uid="{00000000-0005-0000-0000-00002E270000}"/>
    <cellStyle name="Normal 2 4 4" xfId="28359" xr:uid="{00000000-0005-0000-0000-00002F270000}"/>
    <cellStyle name="Normal 2 5" xfId="595" xr:uid="{00000000-0005-0000-0000-000030270000}"/>
    <cellStyle name="Normal 2 5 10" xfId="596" xr:uid="{00000000-0005-0000-0000-000031270000}"/>
    <cellStyle name="Normal 2 5 10 2" xfId="597" xr:uid="{00000000-0005-0000-0000-000032270000}"/>
    <cellStyle name="Normal 2 5 11" xfId="598" xr:uid="{00000000-0005-0000-0000-000033270000}"/>
    <cellStyle name="Normal 2 5 2" xfId="599" xr:uid="{00000000-0005-0000-0000-000034270000}"/>
    <cellStyle name="Normal 2 5 2 2" xfId="600" xr:uid="{00000000-0005-0000-0000-000035270000}"/>
    <cellStyle name="Normal 2 5 3" xfId="601" xr:uid="{00000000-0005-0000-0000-000036270000}"/>
    <cellStyle name="Normal 2 5 3 2" xfId="602" xr:uid="{00000000-0005-0000-0000-000037270000}"/>
    <cellStyle name="Normal 2 5 4" xfId="603" xr:uid="{00000000-0005-0000-0000-000038270000}"/>
    <cellStyle name="Normal 2 5 4 2" xfId="604" xr:uid="{00000000-0005-0000-0000-000039270000}"/>
    <cellStyle name="Normal 2 5 5" xfId="605" xr:uid="{00000000-0005-0000-0000-00003A270000}"/>
    <cellStyle name="Normal 2 5 5 2" xfId="606" xr:uid="{00000000-0005-0000-0000-00003B270000}"/>
    <cellStyle name="Normal 2 5 6" xfId="607" xr:uid="{00000000-0005-0000-0000-00003C270000}"/>
    <cellStyle name="Normal 2 5 6 2" xfId="608" xr:uid="{00000000-0005-0000-0000-00003D270000}"/>
    <cellStyle name="Normal 2 5 7" xfId="609" xr:uid="{00000000-0005-0000-0000-00003E270000}"/>
    <cellStyle name="Normal 2 5 7 2" xfId="610" xr:uid="{00000000-0005-0000-0000-00003F270000}"/>
    <cellStyle name="Normal 2 5 8" xfId="611" xr:uid="{00000000-0005-0000-0000-000040270000}"/>
    <cellStyle name="Normal 2 5 8 2" xfId="612" xr:uid="{00000000-0005-0000-0000-000041270000}"/>
    <cellStyle name="Normal 2 5 9" xfId="613" xr:uid="{00000000-0005-0000-0000-000042270000}"/>
    <cellStyle name="Normal 2 5 9 2" xfId="614" xr:uid="{00000000-0005-0000-0000-000043270000}"/>
    <cellStyle name="Normal 2 6" xfId="615" xr:uid="{00000000-0005-0000-0000-000044270000}"/>
    <cellStyle name="Normal 2 6 2" xfId="616" xr:uid="{00000000-0005-0000-0000-000045270000}"/>
    <cellStyle name="Normal 2 7" xfId="617" xr:uid="{00000000-0005-0000-0000-000046270000}"/>
    <cellStyle name="Normal 2 7 2" xfId="618" xr:uid="{00000000-0005-0000-0000-000047270000}"/>
    <cellStyle name="Normal 2 8" xfId="619" xr:uid="{00000000-0005-0000-0000-000048270000}"/>
    <cellStyle name="Normal 2 8 2" xfId="620" xr:uid="{00000000-0005-0000-0000-000049270000}"/>
    <cellStyle name="Normal 2 9" xfId="621" xr:uid="{00000000-0005-0000-0000-00004A270000}"/>
    <cellStyle name="Normal 2 9 2" xfId="622" xr:uid="{00000000-0005-0000-0000-00004B270000}"/>
    <cellStyle name="Normal 2_cálculo" xfId="623" xr:uid="{00000000-0005-0000-0000-00004C270000}"/>
    <cellStyle name="Normal 20" xfId="624" xr:uid="{00000000-0005-0000-0000-00004D270000}"/>
    <cellStyle name="Normal 20 2" xfId="625" xr:uid="{00000000-0005-0000-0000-00004E270000}"/>
    <cellStyle name="Normal 20 2 2" xfId="28360" xr:uid="{00000000-0005-0000-0000-00004F270000}"/>
    <cellStyle name="Normal 20 3" xfId="28361" xr:uid="{00000000-0005-0000-0000-000050270000}"/>
    <cellStyle name="Normal 20 4" xfId="28362" xr:uid="{00000000-0005-0000-0000-000051270000}"/>
    <cellStyle name="Normal 21" xfId="626" xr:uid="{00000000-0005-0000-0000-000052270000}"/>
    <cellStyle name="Normal 21 2" xfId="627" xr:uid="{00000000-0005-0000-0000-000053270000}"/>
    <cellStyle name="Normal 21 2 2" xfId="28363" xr:uid="{00000000-0005-0000-0000-000054270000}"/>
    <cellStyle name="Normal 21 3" xfId="28364" xr:uid="{00000000-0005-0000-0000-000055270000}"/>
    <cellStyle name="Normal 21 4" xfId="28365" xr:uid="{00000000-0005-0000-0000-000056270000}"/>
    <cellStyle name="Normal 22" xfId="628" xr:uid="{00000000-0005-0000-0000-000057270000}"/>
    <cellStyle name="Normal 22 2" xfId="629" xr:uid="{00000000-0005-0000-0000-000058270000}"/>
    <cellStyle name="Normal 22 2 2" xfId="28366" xr:uid="{00000000-0005-0000-0000-000059270000}"/>
    <cellStyle name="Normal 22 3" xfId="28367" xr:uid="{00000000-0005-0000-0000-00005A270000}"/>
    <cellStyle name="Normal 22 4" xfId="28368" xr:uid="{00000000-0005-0000-0000-00005B270000}"/>
    <cellStyle name="Normal 23" xfId="630" xr:uid="{00000000-0005-0000-0000-00005C270000}"/>
    <cellStyle name="Normal 23 2" xfId="631" xr:uid="{00000000-0005-0000-0000-00005D270000}"/>
    <cellStyle name="Normal 23 2 2" xfId="28369" xr:uid="{00000000-0005-0000-0000-00005E270000}"/>
    <cellStyle name="Normal 23 3" xfId="28370" xr:uid="{00000000-0005-0000-0000-00005F270000}"/>
    <cellStyle name="Normal 23 4" xfId="28371" xr:uid="{00000000-0005-0000-0000-000060270000}"/>
    <cellStyle name="Normal 24" xfId="632" xr:uid="{00000000-0005-0000-0000-000061270000}"/>
    <cellStyle name="Normal 24 2" xfId="633" xr:uid="{00000000-0005-0000-0000-000062270000}"/>
    <cellStyle name="Normal 24 2 2" xfId="28372" xr:uid="{00000000-0005-0000-0000-000063270000}"/>
    <cellStyle name="Normal 24 3" xfId="28373" xr:uid="{00000000-0005-0000-0000-000064270000}"/>
    <cellStyle name="Normal 24 4" xfId="28374" xr:uid="{00000000-0005-0000-0000-000065270000}"/>
    <cellStyle name="Normal 25" xfId="634" xr:uid="{00000000-0005-0000-0000-000066270000}"/>
    <cellStyle name="Normal 25 2" xfId="28375" xr:uid="{00000000-0005-0000-0000-000067270000}"/>
    <cellStyle name="Normal 25 2 2" xfId="28376" xr:uid="{00000000-0005-0000-0000-000068270000}"/>
    <cellStyle name="Normal 25 3" xfId="28377" xr:uid="{00000000-0005-0000-0000-000069270000}"/>
    <cellStyle name="Normal 25 4" xfId="28378" xr:uid="{00000000-0005-0000-0000-00006A270000}"/>
    <cellStyle name="Normal 26" xfId="635" xr:uid="{00000000-0005-0000-0000-00006B270000}"/>
    <cellStyle name="Normal 26 2" xfId="636" xr:uid="{00000000-0005-0000-0000-00006C270000}"/>
    <cellStyle name="Normal 26 2 2" xfId="28379" xr:uid="{00000000-0005-0000-0000-00006D270000}"/>
    <cellStyle name="Normal 26 3" xfId="28380" xr:uid="{00000000-0005-0000-0000-00006E270000}"/>
    <cellStyle name="Normal 26 4" xfId="28381" xr:uid="{00000000-0005-0000-0000-00006F270000}"/>
    <cellStyle name="Normal 27" xfId="637" xr:uid="{00000000-0005-0000-0000-000070270000}"/>
    <cellStyle name="Normal 27 2" xfId="638" xr:uid="{00000000-0005-0000-0000-000071270000}"/>
    <cellStyle name="Normal 27 2 2" xfId="28382" xr:uid="{00000000-0005-0000-0000-000072270000}"/>
    <cellStyle name="Normal 27 3" xfId="28383" xr:uid="{00000000-0005-0000-0000-000073270000}"/>
    <cellStyle name="Normal 27 4" xfId="28384" xr:uid="{00000000-0005-0000-0000-000074270000}"/>
    <cellStyle name="Normal 28" xfId="639" xr:uid="{00000000-0005-0000-0000-000075270000}"/>
    <cellStyle name="Normal 28 2" xfId="640" xr:uid="{00000000-0005-0000-0000-000076270000}"/>
    <cellStyle name="Normal 28 2 2" xfId="28385" xr:uid="{00000000-0005-0000-0000-000077270000}"/>
    <cellStyle name="Normal 28 3" xfId="28386" xr:uid="{00000000-0005-0000-0000-000078270000}"/>
    <cellStyle name="Normal 28 4" xfId="28387" xr:uid="{00000000-0005-0000-0000-000079270000}"/>
    <cellStyle name="Normal 29" xfId="641" xr:uid="{00000000-0005-0000-0000-00007A270000}"/>
    <cellStyle name="Normal 29 2" xfId="28388" xr:uid="{00000000-0005-0000-0000-00007B270000}"/>
    <cellStyle name="Normal 29 2 2" xfId="28389" xr:uid="{00000000-0005-0000-0000-00007C270000}"/>
    <cellStyle name="Normal 29 3" xfId="28390" xr:uid="{00000000-0005-0000-0000-00007D270000}"/>
    <cellStyle name="Normal 29 4" xfId="28391" xr:uid="{00000000-0005-0000-0000-00007E270000}"/>
    <cellStyle name="Normal 3" xfId="62" xr:uid="{00000000-0005-0000-0000-00007F270000}"/>
    <cellStyle name="Normal 3 10" xfId="642" xr:uid="{00000000-0005-0000-0000-000080270000}"/>
    <cellStyle name="Normal 3 10 2" xfId="643" xr:uid="{00000000-0005-0000-0000-000081270000}"/>
    <cellStyle name="Normal 3 11" xfId="644" xr:uid="{00000000-0005-0000-0000-000082270000}"/>
    <cellStyle name="Normal 3 11 2" xfId="645" xr:uid="{00000000-0005-0000-0000-000083270000}"/>
    <cellStyle name="Normal 3 12" xfId="646" xr:uid="{00000000-0005-0000-0000-000084270000}"/>
    <cellStyle name="Normal 3 12 2" xfId="647" xr:uid="{00000000-0005-0000-0000-000085270000}"/>
    <cellStyle name="Normal 3 12 2 2" xfId="648" xr:uid="{00000000-0005-0000-0000-000086270000}"/>
    <cellStyle name="Normal 3 12 2 2 2" xfId="649" xr:uid="{00000000-0005-0000-0000-000087270000}"/>
    <cellStyle name="Normal 3 12 2 3" xfId="650" xr:uid="{00000000-0005-0000-0000-000088270000}"/>
    <cellStyle name="Normal 3 12 3" xfId="651" xr:uid="{00000000-0005-0000-0000-000089270000}"/>
    <cellStyle name="Normal 3 12 3 2" xfId="652" xr:uid="{00000000-0005-0000-0000-00008A270000}"/>
    <cellStyle name="Normal 3 12 4" xfId="653" xr:uid="{00000000-0005-0000-0000-00008B270000}"/>
    <cellStyle name="Normal 3 13" xfId="654" xr:uid="{00000000-0005-0000-0000-00008C270000}"/>
    <cellStyle name="Normal 3 13 10" xfId="655" xr:uid="{00000000-0005-0000-0000-00008D270000}"/>
    <cellStyle name="Normal 3 13 10 2" xfId="656" xr:uid="{00000000-0005-0000-0000-00008E270000}"/>
    <cellStyle name="Normal 3 13 11" xfId="657" xr:uid="{00000000-0005-0000-0000-00008F270000}"/>
    <cellStyle name="Normal 3 13 11 2" xfId="658" xr:uid="{00000000-0005-0000-0000-000090270000}"/>
    <cellStyle name="Normal 3 13 12" xfId="659" xr:uid="{00000000-0005-0000-0000-000091270000}"/>
    <cellStyle name="Normal 3 13 12 2" xfId="660" xr:uid="{00000000-0005-0000-0000-000092270000}"/>
    <cellStyle name="Normal 3 13 13" xfId="661" xr:uid="{00000000-0005-0000-0000-000093270000}"/>
    <cellStyle name="Normal 3 13 13 2" xfId="662" xr:uid="{00000000-0005-0000-0000-000094270000}"/>
    <cellStyle name="Normal 3 13 14" xfId="663" xr:uid="{00000000-0005-0000-0000-000095270000}"/>
    <cellStyle name="Normal 3 13 14 2" xfId="664" xr:uid="{00000000-0005-0000-0000-000096270000}"/>
    <cellStyle name="Normal 3 13 15" xfId="665" xr:uid="{00000000-0005-0000-0000-000097270000}"/>
    <cellStyle name="Normal 3 13 15 2" xfId="666" xr:uid="{00000000-0005-0000-0000-000098270000}"/>
    <cellStyle name="Normal 3 13 16" xfId="667" xr:uid="{00000000-0005-0000-0000-000099270000}"/>
    <cellStyle name="Normal 3 13 16 2" xfId="668" xr:uid="{00000000-0005-0000-0000-00009A270000}"/>
    <cellStyle name="Normal 3 13 17" xfId="669" xr:uid="{00000000-0005-0000-0000-00009B270000}"/>
    <cellStyle name="Normal 3 13 17 2" xfId="670" xr:uid="{00000000-0005-0000-0000-00009C270000}"/>
    <cellStyle name="Normal 3 13 18" xfId="671" xr:uid="{00000000-0005-0000-0000-00009D270000}"/>
    <cellStyle name="Normal 3 13 18 2" xfId="672" xr:uid="{00000000-0005-0000-0000-00009E270000}"/>
    <cellStyle name="Normal 3 13 19" xfId="673" xr:uid="{00000000-0005-0000-0000-00009F270000}"/>
    <cellStyle name="Normal 3 13 19 2" xfId="674" xr:uid="{00000000-0005-0000-0000-0000A0270000}"/>
    <cellStyle name="Normal 3 13 2" xfId="675" xr:uid="{00000000-0005-0000-0000-0000A1270000}"/>
    <cellStyle name="Normal 3 13 2 2" xfId="676" xr:uid="{00000000-0005-0000-0000-0000A2270000}"/>
    <cellStyle name="Normal 3 13 20" xfId="677" xr:uid="{00000000-0005-0000-0000-0000A3270000}"/>
    <cellStyle name="Normal 3 13 20 2" xfId="678" xr:uid="{00000000-0005-0000-0000-0000A4270000}"/>
    <cellStyle name="Normal 3 13 21" xfId="679" xr:uid="{00000000-0005-0000-0000-0000A5270000}"/>
    <cellStyle name="Normal 3 13 21 2" xfId="680" xr:uid="{00000000-0005-0000-0000-0000A6270000}"/>
    <cellStyle name="Normal 3 13 22" xfId="681" xr:uid="{00000000-0005-0000-0000-0000A7270000}"/>
    <cellStyle name="Normal 3 13 22 2" xfId="682" xr:uid="{00000000-0005-0000-0000-0000A8270000}"/>
    <cellStyle name="Normal 3 13 23" xfId="683" xr:uid="{00000000-0005-0000-0000-0000A9270000}"/>
    <cellStyle name="Normal 3 13 23 2" xfId="684" xr:uid="{00000000-0005-0000-0000-0000AA270000}"/>
    <cellStyle name="Normal 3 13 24" xfId="685" xr:uid="{00000000-0005-0000-0000-0000AB270000}"/>
    <cellStyle name="Normal 3 13 24 2" xfId="686" xr:uid="{00000000-0005-0000-0000-0000AC270000}"/>
    <cellStyle name="Normal 3 13 25" xfId="687" xr:uid="{00000000-0005-0000-0000-0000AD270000}"/>
    <cellStyle name="Normal 3 13 25 2" xfId="688" xr:uid="{00000000-0005-0000-0000-0000AE270000}"/>
    <cellStyle name="Normal 3 13 26" xfId="689" xr:uid="{00000000-0005-0000-0000-0000AF270000}"/>
    <cellStyle name="Normal 3 13 26 2" xfId="690" xr:uid="{00000000-0005-0000-0000-0000B0270000}"/>
    <cellStyle name="Normal 3 13 27" xfId="691" xr:uid="{00000000-0005-0000-0000-0000B1270000}"/>
    <cellStyle name="Normal 3 13 27 2" xfId="692" xr:uid="{00000000-0005-0000-0000-0000B2270000}"/>
    <cellStyle name="Normal 3 13 28" xfId="693" xr:uid="{00000000-0005-0000-0000-0000B3270000}"/>
    <cellStyle name="Normal 3 13 28 2" xfId="694" xr:uid="{00000000-0005-0000-0000-0000B4270000}"/>
    <cellStyle name="Normal 3 13 29" xfId="695" xr:uid="{00000000-0005-0000-0000-0000B5270000}"/>
    <cellStyle name="Normal 3 13 29 2" xfId="696" xr:uid="{00000000-0005-0000-0000-0000B6270000}"/>
    <cellStyle name="Normal 3 13 3" xfId="697" xr:uid="{00000000-0005-0000-0000-0000B7270000}"/>
    <cellStyle name="Normal 3 13 3 2" xfId="698" xr:uid="{00000000-0005-0000-0000-0000B8270000}"/>
    <cellStyle name="Normal 3 13 30" xfId="699" xr:uid="{00000000-0005-0000-0000-0000B9270000}"/>
    <cellStyle name="Normal 3 13 30 2" xfId="700" xr:uid="{00000000-0005-0000-0000-0000BA270000}"/>
    <cellStyle name="Normal 3 13 31" xfId="701" xr:uid="{00000000-0005-0000-0000-0000BB270000}"/>
    <cellStyle name="Normal 3 13 31 2" xfId="702" xr:uid="{00000000-0005-0000-0000-0000BC270000}"/>
    <cellStyle name="Normal 3 13 32" xfId="703" xr:uid="{00000000-0005-0000-0000-0000BD270000}"/>
    <cellStyle name="Normal 3 13 32 2" xfId="704" xr:uid="{00000000-0005-0000-0000-0000BE270000}"/>
    <cellStyle name="Normal 3 13 33" xfId="705" xr:uid="{00000000-0005-0000-0000-0000BF270000}"/>
    <cellStyle name="Normal 3 13 33 2" xfId="706" xr:uid="{00000000-0005-0000-0000-0000C0270000}"/>
    <cellStyle name="Normal 3 13 34" xfId="707" xr:uid="{00000000-0005-0000-0000-0000C1270000}"/>
    <cellStyle name="Normal 3 13 34 2" xfId="708" xr:uid="{00000000-0005-0000-0000-0000C2270000}"/>
    <cellStyle name="Normal 3 13 35" xfId="709" xr:uid="{00000000-0005-0000-0000-0000C3270000}"/>
    <cellStyle name="Normal 3 13 35 2" xfId="710" xr:uid="{00000000-0005-0000-0000-0000C4270000}"/>
    <cellStyle name="Normal 3 13 36" xfId="711" xr:uid="{00000000-0005-0000-0000-0000C5270000}"/>
    <cellStyle name="Normal 3 13 36 2" xfId="712" xr:uid="{00000000-0005-0000-0000-0000C6270000}"/>
    <cellStyle name="Normal 3 13 37" xfId="713" xr:uid="{00000000-0005-0000-0000-0000C7270000}"/>
    <cellStyle name="Normal 3 13 37 2" xfId="714" xr:uid="{00000000-0005-0000-0000-0000C8270000}"/>
    <cellStyle name="Normal 3 13 38" xfId="715" xr:uid="{00000000-0005-0000-0000-0000C9270000}"/>
    <cellStyle name="Normal 3 13 38 2" xfId="716" xr:uid="{00000000-0005-0000-0000-0000CA270000}"/>
    <cellStyle name="Normal 3 13 39" xfId="717" xr:uid="{00000000-0005-0000-0000-0000CB270000}"/>
    <cellStyle name="Normal 3 13 39 2" xfId="718" xr:uid="{00000000-0005-0000-0000-0000CC270000}"/>
    <cellStyle name="Normal 3 13 4" xfId="719" xr:uid="{00000000-0005-0000-0000-0000CD270000}"/>
    <cellStyle name="Normal 3 13 4 2" xfId="720" xr:uid="{00000000-0005-0000-0000-0000CE270000}"/>
    <cellStyle name="Normal 3 13 40" xfId="721" xr:uid="{00000000-0005-0000-0000-0000CF270000}"/>
    <cellStyle name="Normal 3 13 40 2" xfId="722" xr:uid="{00000000-0005-0000-0000-0000D0270000}"/>
    <cellStyle name="Normal 3 13 41" xfId="723" xr:uid="{00000000-0005-0000-0000-0000D1270000}"/>
    <cellStyle name="Normal 3 13 41 2" xfId="724" xr:uid="{00000000-0005-0000-0000-0000D2270000}"/>
    <cellStyle name="Normal 3 13 42" xfId="725" xr:uid="{00000000-0005-0000-0000-0000D3270000}"/>
    <cellStyle name="Normal 3 13 42 2" xfId="726" xr:uid="{00000000-0005-0000-0000-0000D4270000}"/>
    <cellStyle name="Normal 3 13 43" xfId="727" xr:uid="{00000000-0005-0000-0000-0000D5270000}"/>
    <cellStyle name="Normal 3 13 43 2" xfId="728" xr:uid="{00000000-0005-0000-0000-0000D6270000}"/>
    <cellStyle name="Normal 3 13 44" xfId="729" xr:uid="{00000000-0005-0000-0000-0000D7270000}"/>
    <cellStyle name="Normal 3 13 44 2" xfId="730" xr:uid="{00000000-0005-0000-0000-0000D8270000}"/>
    <cellStyle name="Normal 3 13 45" xfId="731" xr:uid="{00000000-0005-0000-0000-0000D9270000}"/>
    <cellStyle name="Normal 3 13 45 2" xfId="732" xr:uid="{00000000-0005-0000-0000-0000DA270000}"/>
    <cellStyle name="Normal 3 13 46" xfId="733" xr:uid="{00000000-0005-0000-0000-0000DB270000}"/>
    <cellStyle name="Normal 3 13 5" xfId="734" xr:uid="{00000000-0005-0000-0000-0000DC270000}"/>
    <cellStyle name="Normal 3 13 5 2" xfId="735" xr:uid="{00000000-0005-0000-0000-0000DD270000}"/>
    <cellStyle name="Normal 3 13 6" xfId="736" xr:uid="{00000000-0005-0000-0000-0000DE270000}"/>
    <cellStyle name="Normal 3 13 6 2" xfId="737" xr:uid="{00000000-0005-0000-0000-0000DF270000}"/>
    <cellStyle name="Normal 3 13 7" xfId="738" xr:uid="{00000000-0005-0000-0000-0000E0270000}"/>
    <cellStyle name="Normal 3 13 7 2" xfId="739" xr:uid="{00000000-0005-0000-0000-0000E1270000}"/>
    <cellStyle name="Normal 3 13 8" xfId="740" xr:uid="{00000000-0005-0000-0000-0000E2270000}"/>
    <cellStyle name="Normal 3 13 8 2" xfId="741" xr:uid="{00000000-0005-0000-0000-0000E3270000}"/>
    <cellStyle name="Normal 3 13 9" xfId="742" xr:uid="{00000000-0005-0000-0000-0000E4270000}"/>
    <cellStyle name="Normal 3 13 9 2" xfId="743" xr:uid="{00000000-0005-0000-0000-0000E5270000}"/>
    <cellStyle name="Normal 3 14" xfId="744" xr:uid="{00000000-0005-0000-0000-0000E6270000}"/>
    <cellStyle name="Normal 3 14 2" xfId="745" xr:uid="{00000000-0005-0000-0000-0000E7270000}"/>
    <cellStyle name="Normal 3 15" xfId="746" xr:uid="{00000000-0005-0000-0000-0000E8270000}"/>
    <cellStyle name="Normal 3 15 2" xfId="747" xr:uid="{00000000-0005-0000-0000-0000E9270000}"/>
    <cellStyle name="Normal 3 16" xfId="748" xr:uid="{00000000-0005-0000-0000-0000EA270000}"/>
    <cellStyle name="Normal 3 16 2" xfId="749" xr:uid="{00000000-0005-0000-0000-0000EB270000}"/>
    <cellStyle name="Normal 3 16 2 2" xfId="750" xr:uid="{00000000-0005-0000-0000-0000EC270000}"/>
    <cellStyle name="Normal 3 16 2 2 2" xfId="751" xr:uid="{00000000-0005-0000-0000-0000ED270000}"/>
    <cellStyle name="Normal 3 16 2 3" xfId="752" xr:uid="{00000000-0005-0000-0000-0000EE270000}"/>
    <cellStyle name="Normal 3 16 3" xfId="753" xr:uid="{00000000-0005-0000-0000-0000EF270000}"/>
    <cellStyle name="Normal 3 16 3 2" xfId="754" xr:uid="{00000000-0005-0000-0000-0000F0270000}"/>
    <cellStyle name="Normal 3 16 4" xfId="755" xr:uid="{00000000-0005-0000-0000-0000F1270000}"/>
    <cellStyle name="Normal 3 17" xfId="756" xr:uid="{00000000-0005-0000-0000-0000F2270000}"/>
    <cellStyle name="Normal 3 17 2" xfId="757" xr:uid="{00000000-0005-0000-0000-0000F3270000}"/>
    <cellStyle name="Normal 3 17 2 2" xfId="758" xr:uid="{00000000-0005-0000-0000-0000F4270000}"/>
    <cellStyle name="Normal 3 17 2 2 2" xfId="759" xr:uid="{00000000-0005-0000-0000-0000F5270000}"/>
    <cellStyle name="Normal 3 17 2 3" xfId="760" xr:uid="{00000000-0005-0000-0000-0000F6270000}"/>
    <cellStyle name="Normal 3 17 3" xfId="761" xr:uid="{00000000-0005-0000-0000-0000F7270000}"/>
    <cellStyle name="Normal 3 17 3 2" xfId="762" xr:uid="{00000000-0005-0000-0000-0000F8270000}"/>
    <cellStyle name="Normal 3 17 4" xfId="763" xr:uid="{00000000-0005-0000-0000-0000F9270000}"/>
    <cellStyle name="Normal 3 18" xfId="764" xr:uid="{00000000-0005-0000-0000-0000FA270000}"/>
    <cellStyle name="Normal 3 18 2" xfId="765" xr:uid="{00000000-0005-0000-0000-0000FB270000}"/>
    <cellStyle name="Normal 3 18 2 2" xfId="766" xr:uid="{00000000-0005-0000-0000-0000FC270000}"/>
    <cellStyle name="Normal 3 18 2 2 2" xfId="767" xr:uid="{00000000-0005-0000-0000-0000FD270000}"/>
    <cellStyle name="Normal 3 18 2 3" xfId="768" xr:uid="{00000000-0005-0000-0000-0000FE270000}"/>
    <cellStyle name="Normal 3 18 3" xfId="769" xr:uid="{00000000-0005-0000-0000-0000FF270000}"/>
    <cellStyle name="Normal 3 18 3 2" xfId="770" xr:uid="{00000000-0005-0000-0000-000000280000}"/>
    <cellStyle name="Normal 3 18 4" xfId="771" xr:uid="{00000000-0005-0000-0000-000001280000}"/>
    <cellStyle name="Normal 3 19" xfId="772" xr:uid="{00000000-0005-0000-0000-000002280000}"/>
    <cellStyle name="Normal 3 19 2" xfId="773" xr:uid="{00000000-0005-0000-0000-000003280000}"/>
    <cellStyle name="Normal 3 19 2 2" xfId="774" xr:uid="{00000000-0005-0000-0000-000004280000}"/>
    <cellStyle name="Normal 3 19 2 2 2" xfId="775" xr:uid="{00000000-0005-0000-0000-000005280000}"/>
    <cellStyle name="Normal 3 19 2 3" xfId="776" xr:uid="{00000000-0005-0000-0000-000006280000}"/>
    <cellStyle name="Normal 3 19 3" xfId="777" xr:uid="{00000000-0005-0000-0000-000007280000}"/>
    <cellStyle name="Normal 3 19 3 2" xfId="778" xr:uid="{00000000-0005-0000-0000-000008280000}"/>
    <cellStyle name="Normal 3 19 4" xfId="779" xr:uid="{00000000-0005-0000-0000-000009280000}"/>
    <cellStyle name="Normal 3 2" xfId="780" xr:uid="{00000000-0005-0000-0000-00000A280000}"/>
    <cellStyle name="Normal 3 2 10" xfId="781" xr:uid="{00000000-0005-0000-0000-00000B280000}"/>
    <cellStyle name="Normal 3 2 10 2" xfId="782" xr:uid="{00000000-0005-0000-0000-00000C280000}"/>
    <cellStyle name="Normal 3 2 11" xfId="783" xr:uid="{00000000-0005-0000-0000-00000D280000}"/>
    <cellStyle name="Normal 3 2 11 2" xfId="784" xr:uid="{00000000-0005-0000-0000-00000E280000}"/>
    <cellStyle name="Normal 3 2 12" xfId="785" xr:uid="{00000000-0005-0000-0000-00000F280000}"/>
    <cellStyle name="Normal 3 2 12 2" xfId="786" xr:uid="{00000000-0005-0000-0000-000010280000}"/>
    <cellStyle name="Normal 3 2 13" xfId="787" xr:uid="{00000000-0005-0000-0000-000011280000}"/>
    <cellStyle name="Normal 3 2 13 2" xfId="788" xr:uid="{00000000-0005-0000-0000-000012280000}"/>
    <cellStyle name="Normal 3 2 14" xfId="789" xr:uid="{00000000-0005-0000-0000-000013280000}"/>
    <cellStyle name="Normal 3 2 14 2" xfId="790" xr:uid="{00000000-0005-0000-0000-000014280000}"/>
    <cellStyle name="Normal 3 2 15" xfId="791" xr:uid="{00000000-0005-0000-0000-000015280000}"/>
    <cellStyle name="Normal 3 2 15 2" xfId="792" xr:uid="{00000000-0005-0000-0000-000016280000}"/>
    <cellStyle name="Normal 3 2 16" xfId="793" xr:uid="{00000000-0005-0000-0000-000017280000}"/>
    <cellStyle name="Normal 3 2 16 2" xfId="794" xr:uid="{00000000-0005-0000-0000-000018280000}"/>
    <cellStyle name="Normal 3 2 17" xfId="795" xr:uid="{00000000-0005-0000-0000-000019280000}"/>
    <cellStyle name="Normal 3 2 17 2" xfId="796" xr:uid="{00000000-0005-0000-0000-00001A280000}"/>
    <cellStyle name="Normal 3 2 18" xfId="797" xr:uid="{00000000-0005-0000-0000-00001B280000}"/>
    <cellStyle name="Normal 3 2 18 2" xfId="798" xr:uid="{00000000-0005-0000-0000-00001C280000}"/>
    <cellStyle name="Normal 3 2 19" xfId="799" xr:uid="{00000000-0005-0000-0000-00001D280000}"/>
    <cellStyle name="Normal 3 2 19 2" xfId="800" xr:uid="{00000000-0005-0000-0000-00001E280000}"/>
    <cellStyle name="Normal 3 2 2" xfId="801" xr:uid="{00000000-0005-0000-0000-00001F280000}"/>
    <cellStyle name="Normal 3 2 2 2" xfId="802" xr:uid="{00000000-0005-0000-0000-000020280000}"/>
    <cellStyle name="Normal 3 2 20" xfId="803" xr:uid="{00000000-0005-0000-0000-000021280000}"/>
    <cellStyle name="Normal 3 2 20 2" xfId="804" xr:uid="{00000000-0005-0000-0000-000022280000}"/>
    <cellStyle name="Normal 3 2 21" xfId="805" xr:uid="{00000000-0005-0000-0000-000023280000}"/>
    <cellStyle name="Normal 3 2 21 2" xfId="806" xr:uid="{00000000-0005-0000-0000-000024280000}"/>
    <cellStyle name="Normal 3 2 22" xfId="807" xr:uid="{00000000-0005-0000-0000-000025280000}"/>
    <cellStyle name="Normal 3 2 22 2" xfId="808" xr:uid="{00000000-0005-0000-0000-000026280000}"/>
    <cellStyle name="Normal 3 2 23" xfId="809" xr:uid="{00000000-0005-0000-0000-000027280000}"/>
    <cellStyle name="Normal 3 2 23 2" xfId="810" xr:uid="{00000000-0005-0000-0000-000028280000}"/>
    <cellStyle name="Normal 3 2 24" xfId="811" xr:uid="{00000000-0005-0000-0000-000029280000}"/>
    <cellStyle name="Normal 3 2 24 2" xfId="812" xr:uid="{00000000-0005-0000-0000-00002A280000}"/>
    <cellStyle name="Normal 3 2 25" xfId="813" xr:uid="{00000000-0005-0000-0000-00002B280000}"/>
    <cellStyle name="Normal 3 2 25 2" xfId="814" xr:uid="{00000000-0005-0000-0000-00002C280000}"/>
    <cellStyle name="Normal 3 2 26" xfId="815" xr:uid="{00000000-0005-0000-0000-00002D280000}"/>
    <cellStyle name="Normal 3 2 26 2" xfId="816" xr:uid="{00000000-0005-0000-0000-00002E280000}"/>
    <cellStyle name="Normal 3 2 27" xfId="817" xr:uid="{00000000-0005-0000-0000-00002F280000}"/>
    <cellStyle name="Normal 3 2 27 2" xfId="818" xr:uid="{00000000-0005-0000-0000-000030280000}"/>
    <cellStyle name="Normal 3 2 28" xfId="819" xr:uid="{00000000-0005-0000-0000-000031280000}"/>
    <cellStyle name="Normal 3 2 28 2" xfId="820" xr:uid="{00000000-0005-0000-0000-000032280000}"/>
    <cellStyle name="Normal 3 2 29" xfId="821" xr:uid="{00000000-0005-0000-0000-000033280000}"/>
    <cellStyle name="Normal 3 2 29 2" xfId="822" xr:uid="{00000000-0005-0000-0000-000034280000}"/>
    <cellStyle name="Normal 3 2 3" xfId="823" xr:uid="{00000000-0005-0000-0000-000035280000}"/>
    <cellStyle name="Normal 3 2 3 2" xfId="824" xr:uid="{00000000-0005-0000-0000-000036280000}"/>
    <cellStyle name="Normal 3 2 30" xfId="825" xr:uid="{00000000-0005-0000-0000-000037280000}"/>
    <cellStyle name="Normal 3 2 30 2" xfId="826" xr:uid="{00000000-0005-0000-0000-000038280000}"/>
    <cellStyle name="Normal 3 2 31" xfId="827" xr:uid="{00000000-0005-0000-0000-000039280000}"/>
    <cellStyle name="Normal 3 2 31 2" xfId="828" xr:uid="{00000000-0005-0000-0000-00003A280000}"/>
    <cellStyle name="Normal 3 2 32" xfId="829" xr:uid="{00000000-0005-0000-0000-00003B280000}"/>
    <cellStyle name="Normal 3 2 32 2" xfId="830" xr:uid="{00000000-0005-0000-0000-00003C280000}"/>
    <cellStyle name="Normal 3 2 33" xfId="831" xr:uid="{00000000-0005-0000-0000-00003D280000}"/>
    <cellStyle name="Normal 3 2 33 2" xfId="832" xr:uid="{00000000-0005-0000-0000-00003E280000}"/>
    <cellStyle name="Normal 3 2 34" xfId="833" xr:uid="{00000000-0005-0000-0000-00003F280000}"/>
    <cellStyle name="Normal 3 2 34 2" xfId="834" xr:uid="{00000000-0005-0000-0000-000040280000}"/>
    <cellStyle name="Normal 3 2 35" xfId="835" xr:uid="{00000000-0005-0000-0000-000041280000}"/>
    <cellStyle name="Normal 3 2 35 2" xfId="836" xr:uid="{00000000-0005-0000-0000-000042280000}"/>
    <cellStyle name="Normal 3 2 36" xfId="837" xr:uid="{00000000-0005-0000-0000-000043280000}"/>
    <cellStyle name="Normal 3 2 36 2" xfId="838" xr:uid="{00000000-0005-0000-0000-000044280000}"/>
    <cellStyle name="Normal 3 2 37" xfId="839" xr:uid="{00000000-0005-0000-0000-000045280000}"/>
    <cellStyle name="Normal 3 2 37 2" xfId="840" xr:uid="{00000000-0005-0000-0000-000046280000}"/>
    <cellStyle name="Normal 3 2 38" xfId="841" xr:uid="{00000000-0005-0000-0000-000047280000}"/>
    <cellStyle name="Normal 3 2 38 2" xfId="842" xr:uid="{00000000-0005-0000-0000-000048280000}"/>
    <cellStyle name="Normal 3 2 39" xfId="843" xr:uid="{00000000-0005-0000-0000-000049280000}"/>
    <cellStyle name="Normal 3 2 39 2" xfId="844" xr:uid="{00000000-0005-0000-0000-00004A280000}"/>
    <cellStyle name="Normal 3 2 4" xfId="845" xr:uid="{00000000-0005-0000-0000-00004B280000}"/>
    <cellStyle name="Normal 3 2 4 2" xfId="846" xr:uid="{00000000-0005-0000-0000-00004C280000}"/>
    <cellStyle name="Normal 3 2 40" xfId="847" xr:uid="{00000000-0005-0000-0000-00004D280000}"/>
    <cellStyle name="Normal 3 2 40 2" xfId="848" xr:uid="{00000000-0005-0000-0000-00004E280000}"/>
    <cellStyle name="Normal 3 2 41" xfId="849" xr:uid="{00000000-0005-0000-0000-00004F280000}"/>
    <cellStyle name="Normal 3 2 41 2" xfId="850" xr:uid="{00000000-0005-0000-0000-000050280000}"/>
    <cellStyle name="Normal 3 2 42" xfId="851" xr:uid="{00000000-0005-0000-0000-000051280000}"/>
    <cellStyle name="Normal 3 2 42 2" xfId="852" xr:uid="{00000000-0005-0000-0000-000052280000}"/>
    <cellStyle name="Normal 3 2 43" xfId="853" xr:uid="{00000000-0005-0000-0000-000053280000}"/>
    <cellStyle name="Normal 3 2 43 2" xfId="854" xr:uid="{00000000-0005-0000-0000-000054280000}"/>
    <cellStyle name="Normal 3 2 44" xfId="855" xr:uid="{00000000-0005-0000-0000-000055280000}"/>
    <cellStyle name="Normal 3 2 44 2" xfId="856" xr:uid="{00000000-0005-0000-0000-000056280000}"/>
    <cellStyle name="Normal 3 2 45" xfId="857" xr:uid="{00000000-0005-0000-0000-000057280000}"/>
    <cellStyle name="Normal 3 2 45 2" xfId="858" xr:uid="{00000000-0005-0000-0000-000058280000}"/>
    <cellStyle name="Normal 3 2 46" xfId="859" xr:uid="{00000000-0005-0000-0000-000059280000}"/>
    <cellStyle name="Normal 3 2 46 2" xfId="860" xr:uid="{00000000-0005-0000-0000-00005A280000}"/>
    <cellStyle name="Normal 3 2 47" xfId="861" xr:uid="{00000000-0005-0000-0000-00005B280000}"/>
    <cellStyle name="Normal 3 2 47 2" xfId="862" xr:uid="{00000000-0005-0000-0000-00005C280000}"/>
    <cellStyle name="Normal 3 2 47 2 2" xfId="863" xr:uid="{00000000-0005-0000-0000-00005D280000}"/>
    <cellStyle name="Normal 3 2 47 3" xfId="864" xr:uid="{00000000-0005-0000-0000-00005E280000}"/>
    <cellStyle name="Normal 3 2 48" xfId="865" xr:uid="{00000000-0005-0000-0000-00005F280000}"/>
    <cellStyle name="Normal 3 2 5" xfId="866" xr:uid="{00000000-0005-0000-0000-000060280000}"/>
    <cellStyle name="Normal 3 2 5 2" xfId="867" xr:uid="{00000000-0005-0000-0000-000061280000}"/>
    <cellStyle name="Normal 3 2 6" xfId="868" xr:uid="{00000000-0005-0000-0000-000062280000}"/>
    <cellStyle name="Normal 3 2 6 2" xfId="869" xr:uid="{00000000-0005-0000-0000-000063280000}"/>
    <cellStyle name="Normal 3 2 7" xfId="870" xr:uid="{00000000-0005-0000-0000-000064280000}"/>
    <cellStyle name="Normal 3 2 7 2" xfId="871" xr:uid="{00000000-0005-0000-0000-000065280000}"/>
    <cellStyle name="Normal 3 2 8" xfId="872" xr:uid="{00000000-0005-0000-0000-000066280000}"/>
    <cellStyle name="Normal 3 2 8 2" xfId="873" xr:uid="{00000000-0005-0000-0000-000067280000}"/>
    <cellStyle name="Normal 3 2 9" xfId="874" xr:uid="{00000000-0005-0000-0000-000068280000}"/>
    <cellStyle name="Normal 3 2 9 2" xfId="875" xr:uid="{00000000-0005-0000-0000-000069280000}"/>
    <cellStyle name="Normal 3 20" xfId="876" xr:uid="{00000000-0005-0000-0000-00006A280000}"/>
    <cellStyle name="Normal 3 20 2" xfId="877" xr:uid="{00000000-0005-0000-0000-00006B280000}"/>
    <cellStyle name="Normal 3 20 2 2" xfId="878" xr:uid="{00000000-0005-0000-0000-00006C280000}"/>
    <cellStyle name="Normal 3 20 2 2 2" xfId="879" xr:uid="{00000000-0005-0000-0000-00006D280000}"/>
    <cellStyle name="Normal 3 20 2 3" xfId="880" xr:uid="{00000000-0005-0000-0000-00006E280000}"/>
    <cellStyle name="Normal 3 20 3" xfId="881" xr:uid="{00000000-0005-0000-0000-00006F280000}"/>
    <cellStyle name="Normal 3 20 3 2" xfId="882" xr:uid="{00000000-0005-0000-0000-000070280000}"/>
    <cellStyle name="Normal 3 20 4" xfId="883" xr:uid="{00000000-0005-0000-0000-000071280000}"/>
    <cellStyle name="Normal 3 21" xfId="884" xr:uid="{00000000-0005-0000-0000-000072280000}"/>
    <cellStyle name="Normal 3 21 2" xfId="885" xr:uid="{00000000-0005-0000-0000-000073280000}"/>
    <cellStyle name="Normal 3 21 2 2" xfId="886" xr:uid="{00000000-0005-0000-0000-000074280000}"/>
    <cellStyle name="Normal 3 21 2 2 2" xfId="887" xr:uid="{00000000-0005-0000-0000-000075280000}"/>
    <cellStyle name="Normal 3 21 2 3" xfId="888" xr:uid="{00000000-0005-0000-0000-000076280000}"/>
    <cellStyle name="Normal 3 21 3" xfId="889" xr:uid="{00000000-0005-0000-0000-000077280000}"/>
    <cellStyle name="Normal 3 21 3 2" xfId="890" xr:uid="{00000000-0005-0000-0000-000078280000}"/>
    <cellStyle name="Normal 3 21 4" xfId="891" xr:uid="{00000000-0005-0000-0000-000079280000}"/>
    <cellStyle name="Normal 3 22" xfId="892" xr:uid="{00000000-0005-0000-0000-00007A280000}"/>
    <cellStyle name="Normal 3 22 2" xfId="893" xr:uid="{00000000-0005-0000-0000-00007B280000}"/>
    <cellStyle name="Normal 3 22 2 2" xfId="894" xr:uid="{00000000-0005-0000-0000-00007C280000}"/>
    <cellStyle name="Normal 3 22 2 2 2" xfId="895" xr:uid="{00000000-0005-0000-0000-00007D280000}"/>
    <cellStyle name="Normal 3 22 2 3" xfId="896" xr:uid="{00000000-0005-0000-0000-00007E280000}"/>
    <cellStyle name="Normal 3 22 3" xfId="897" xr:uid="{00000000-0005-0000-0000-00007F280000}"/>
    <cellStyle name="Normal 3 22 3 2" xfId="898" xr:uid="{00000000-0005-0000-0000-000080280000}"/>
    <cellStyle name="Normal 3 22 4" xfId="899" xr:uid="{00000000-0005-0000-0000-000081280000}"/>
    <cellStyle name="Normal 3 23" xfId="900" xr:uid="{00000000-0005-0000-0000-000082280000}"/>
    <cellStyle name="Normal 3 23 2" xfId="901" xr:uid="{00000000-0005-0000-0000-000083280000}"/>
    <cellStyle name="Normal 3 23 2 2" xfId="902" xr:uid="{00000000-0005-0000-0000-000084280000}"/>
    <cellStyle name="Normal 3 23 2 2 2" xfId="903" xr:uid="{00000000-0005-0000-0000-000085280000}"/>
    <cellStyle name="Normal 3 23 2 3" xfId="904" xr:uid="{00000000-0005-0000-0000-000086280000}"/>
    <cellStyle name="Normal 3 23 3" xfId="905" xr:uid="{00000000-0005-0000-0000-000087280000}"/>
    <cellStyle name="Normal 3 23 3 2" xfId="906" xr:uid="{00000000-0005-0000-0000-000088280000}"/>
    <cellStyle name="Normal 3 23 4" xfId="907" xr:uid="{00000000-0005-0000-0000-000089280000}"/>
    <cellStyle name="Normal 3 24" xfId="908" xr:uid="{00000000-0005-0000-0000-00008A280000}"/>
    <cellStyle name="Normal 3 24 2" xfId="909" xr:uid="{00000000-0005-0000-0000-00008B280000}"/>
    <cellStyle name="Normal 3 24 2 2" xfId="910" xr:uid="{00000000-0005-0000-0000-00008C280000}"/>
    <cellStyle name="Normal 3 24 2 2 2" xfId="911" xr:uid="{00000000-0005-0000-0000-00008D280000}"/>
    <cellStyle name="Normal 3 24 2 3" xfId="912" xr:uid="{00000000-0005-0000-0000-00008E280000}"/>
    <cellStyle name="Normal 3 24 3" xfId="913" xr:uid="{00000000-0005-0000-0000-00008F280000}"/>
    <cellStyle name="Normal 3 24 3 2" xfId="914" xr:uid="{00000000-0005-0000-0000-000090280000}"/>
    <cellStyle name="Normal 3 24 4" xfId="915" xr:uid="{00000000-0005-0000-0000-000091280000}"/>
    <cellStyle name="Normal 3 25" xfId="916" xr:uid="{00000000-0005-0000-0000-000092280000}"/>
    <cellStyle name="Normal 3 25 2" xfId="917" xr:uid="{00000000-0005-0000-0000-000093280000}"/>
    <cellStyle name="Normal 3 25 2 2" xfId="918" xr:uid="{00000000-0005-0000-0000-000094280000}"/>
    <cellStyle name="Normal 3 25 2 2 2" xfId="919" xr:uid="{00000000-0005-0000-0000-000095280000}"/>
    <cellStyle name="Normal 3 25 2 3" xfId="920" xr:uid="{00000000-0005-0000-0000-000096280000}"/>
    <cellStyle name="Normal 3 25 3" xfId="921" xr:uid="{00000000-0005-0000-0000-000097280000}"/>
    <cellStyle name="Normal 3 25 3 2" xfId="922" xr:uid="{00000000-0005-0000-0000-000098280000}"/>
    <cellStyle name="Normal 3 25 4" xfId="923" xr:uid="{00000000-0005-0000-0000-000099280000}"/>
    <cellStyle name="Normal 3 26" xfId="924" xr:uid="{00000000-0005-0000-0000-00009A280000}"/>
    <cellStyle name="Normal 3 26 2" xfId="925" xr:uid="{00000000-0005-0000-0000-00009B280000}"/>
    <cellStyle name="Normal 3 26 2 2" xfId="926" xr:uid="{00000000-0005-0000-0000-00009C280000}"/>
    <cellStyle name="Normal 3 26 2 2 2" xfId="927" xr:uid="{00000000-0005-0000-0000-00009D280000}"/>
    <cellStyle name="Normal 3 26 2 3" xfId="928" xr:uid="{00000000-0005-0000-0000-00009E280000}"/>
    <cellStyle name="Normal 3 26 3" xfId="929" xr:uid="{00000000-0005-0000-0000-00009F280000}"/>
    <cellStyle name="Normal 3 26 3 2" xfId="930" xr:uid="{00000000-0005-0000-0000-0000A0280000}"/>
    <cellStyle name="Normal 3 26 4" xfId="931" xr:uid="{00000000-0005-0000-0000-0000A1280000}"/>
    <cellStyle name="Normal 3 27" xfId="932" xr:uid="{00000000-0005-0000-0000-0000A2280000}"/>
    <cellStyle name="Normal 3 27 2" xfId="933" xr:uid="{00000000-0005-0000-0000-0000A3280000}"/>
    <cellStyle name="Normal 3 27 2 2" xfId="934" xr:uid="{00000000-0005-0000-0000-0000A4280000}"/>
    <cellStyle name="Normal 3 27 2 2 2" xfId="935" xr:uid="{00000000-0005-0000-0000-0000A5280000}"/>
    <cellStyle name="Normal 3 27 2 3" xfId="936" xr:uid="{00000000-0005-0000-0000-0000A6280000}"/>
    <cellStyle name="Normal 3 27 3" xfId="937" xr:uid="{00000000-0005-0000-0000-0000A7280000}"/>
    <cellStyle name="Normal 3 27 3 2" xfId="938" xr:uid="{00000000-0005-0000-0000-0000A8280000}"/>
    <cellStyle name="Normal 3 27 4" xfId="939" xr:uid="{00000000-0005-0000-0000-0000A9280000}"/>
    <cellStyle name="Normal 3 28" xfId="940" xr:uid="{00000000-0005-0000-0000-0000AA280000}"/>
    <cellStyle name="Normal 3 28 2" xfId="941" xr:uid="{00000000-0005-0000-0000-0000AB280000}"/>
    <cellStyle name="Normal 3 28 2 2" xfId="942" xr:uid="{00000000-0005-0000-0000-0000AC280000}"/>
    <cellStyle name="Normal 3 28 2 2 2" xfId="943" xr:uid="{00000000-0005-0000-0000-0000AD280000}"/>
    <cellStyle name="Normal 3 28 2 3" xfId="944" xr:uid="{00000000-0005-0000-0000-0000AE280000}"/>
    <cellStyle name="Normal 3 28 3" xfId="945" xr:uid="{00000000-0005-0000-0000-0000AF280000}"/>
    <cellStyle name="Normal 3 28 3 2" xfId="946" xr:uid="{00000000-0005-0000-0000-0000B0280000}"/>
    <cellStyle name="Normal 3 28 4" xfId="947" xr:uid="{00000000-0005-0000-0000-0000B1280000}"/>
    <cellStyle name="Normal 3 29" xfId="948" xr:uid="{00000000-0005-0000-0000-0000B2280000}"/>
    <cellStyle name="Normal 3 29 2" xfId="949" xr:uid="{00000000-0005-0000-0000-0000B3280000}"/>
    <cellStyle name="Normal 3 29 2 2" xfId="950" xr:uid="{00000000-0005-0000-0000-0000B4280000}"/>
    <cellStyle name="Normal 3 29 2 2 2" xfId="951" xr:uid="{00000000-0005-0000-0000-0000B5280000}"/>
    <cellStyle name="Normal 3 29 2 3" xfId="952" xr:uid="{00000000-0005-0000-0000-0000B6280000}"/>
    <cellStyle name="Normal 3 29 3" xfId="953" xr:uid="{00000000-0005-0000-0000-0000B7280000}"/>
    <cellStyle name="Normal 3 29 3 2" xfId="954" xr:uid="{00000000-0005-0000-0000-0000B8280000}"/>
    <cellStyle name="Normal 3 29 4" xfId="955" xr:uid="{00000000-0005-0000-0000-0000B9280000}"/>
    <cellStyle name="Normal 3 3" xfId="956" xr:uid="{00000000-0005-0000-0000-0000BA280000}"/>
    <cellStyle name="Normal 3 3 2" xfId="957" xr:uid="{00000000-0005-0000-0000-0000BB280000}"/>
    <cellStyle name="Normal 3 30" xfId="958" xr:uid="{00000000-0005-0000-0000-0000BC280000}"/>
    <cellStyle name="Normal 3 30 2" xfId="959" xr:uid="{00000000-0005-0000-0000-0000BD280000}"/>
    <cellStyle name="Normal 3 30 2 2" xfId="960" xr:uid="{00000000-0005-0000-0000-0000BE280000}"/>
    <cellStyle name="Normal 3 30 2 2 2" xfId="961" xr:uid="{00000000-0005-0000-0000-0000BF280000}"/>
    <cellStyle name="Normal 3 30 2 3" xfId="962" xr:uid="{00000000-0005-0000-0000-0000C0280000}"/>
    <cellStyle name="Normal 3 30 3" xfId="963" xr:uid="{00000000-0005-0000-0000-0000C1280000}"/>
    <cellStyle name="Normal 3 30 3 2" xfId="964" xr:uid="{00000000-0005-0000-0000-0000C2280000}"/>
    <cellStyle name="Normal 3 30 4" xfId="965" xr:uid="{00000000-0005-0000-0000-0000C3280000}"/>
    <cellStyle name="Normal 3 31" xfId="966" xr:uid="{00000000-0005-0000-0000-0000C4280000}"/>
    <cellStyle name="Normal 3 31 2" xfId="967" xr:uid="{00000000-0005-0000-0000-0000C5280000}"/>
    <cellStyle name="Normal 3 31 2 2" xfId="968" xr:uid="{00000000-0005-0000-0000-0000C6280000}"/>
    <cellStyle name="Normal 3 31 2 2 2" xfId="969" xr:uid="{00000000-0005-0000-0000-0000C7280000}"/>
    <cellStyle name="Normal 3 31 2 3" xfId="970" xr:uid="{00000000-0005-0000-0000-0000C8280000}"/>
    <cellStyle name="Normal 3 31 3" xfId="971" xr:uid="{00000000-0005-0000-0000-0000C9280000}"/>
    <cellStyle name="Normal 3 31 3 2" xfId="972" xr:uid="{00000000-0005-0000-0000-0000CA280000}"/>
    <cellStyle name="Normal 3 31 4" xfId="973" xr:uid="{00000000-0005-0000-0000-0000CB280000}"/>
    <cellStyle name="Normal 3 32" xfId="974" xr:uid="{00000000-0005-0000-0000-0000CC280000}"/>
    <cellStyle name="Normal 3 32 2" xfId="975" xr:uid="{00000000-0005-0000-0000-0000CD280000}"/>
    <cellStyle name="Normal 3 32 2 2" xfId="976" xr:uid="{00000000-0005-0000-0000-0000CE280000}"/>
    <cellStyle name="Normal 3 32 2 2 2" xfId="977" xr:uid="{00000000-0005-0000-0000-0000CF280000}"/>
    <cellStyle name="Normal 3 32 2 3" xfId="978" xr:uid="{00000000-0005-0000-0000-0000D0280000}"/>
    <cellStyle name="Normal 3 32 3" xfId="979" xr:uid="{00000000-0005-0000-0000-0000D1280000}"/>
    <cellStyle name="Normal 3 32 3 2" xfId="980" xr:uid="{00000000-0005-0000-0000-0000D2280000}"/>
    <cellStyle name="Normal 3 32 4" xfId="981" xr:uid="{00000000-0005-0000-0000-0000D3280000}"/>
    <cellStyle name="Normal 3 33" xfId="982" xr:uid="{00000000-0005-0000-0000-0000D4280000}"/>
    <cellStyle name="Normal 3 33 2" xfId="983" xr:uid="{00000000-0005-0000-0000-0000D5280000}"/>
    <cellStyle name="Normal 3 33 2 2" xfId="984" xr:uid="{00000000-0005-0000-0000-0000D6280000}"/>
    <cellStyle name="Normal 3 33 2 2 2" xfId="985" xr:uid="{00000000-0005-0000-0000-0000D7280000}"/>
    <cellStyle name="Normal 3 33 2 3" xfId="986" xr:uid="{00000000-0005-0000-0000-0000D8280000}"/>
    <cellStyle name="Normal 3 33 3" xfId="987" xr:uid="{00000000-0005-0000-0000-0000D9280000}"/>
    <cellStyle name="Normal 3 33 3 2" xfId="988" xr:uid="{00000000-0005-0000-0000-0000DA280000}"/>
    <cellStyle name="Normal 3 33 4" xfId="989" xr:uid="{00000000-0005-0000-0000-0000DB280000}"/>
    <cellStyle name="Normal 3 34" xfId="990" xr:uid="{00000000-0005-0000-0000-0000DC280000}"/>
    <cellStyle name="Normal 3 34 2" xfId="991" xr:uid="{00000000-0005-0000-0000-0000DD280000}"/>
    <cellStyle name="Normal 3 34 2 2" xfId="992" xr:uid="{00000000-0005-0000-0000-0000DE280000}"/>
    <cellStyle name="Normal 3 34 2 2 2" xfId="993" xr:uid="{00000000-0005-0000-0000-0000DF280000}"/>
    <cellStyle name="Normal 3 34 2 3" xfId="994" xr:uid="{00000000-0005-0000-0000-0000E0280000}"/>
    <cellStyle name="Normal 3 34 3" xfId="995" xr:uid="{00000000-0005-0000-0000-0000E1280000}"/>
    <cellStyle name="Normal 3 34 3 2" xfId="996" xr:uid="{00000000-0005-0000-0000-0000E2280000}"/>
    <cellStyle name="Normal 3 34 4" xfId="997" xr:uid="{00000000-0005-0000-0000-0000E3280000}"/>
    <cellStyle name="Normal 3 35" xfId="998" xr:uid="{00000000-0005-0000-0000-0000E4280000}"/>
    <cellStyle name="Normal 3 35 2" xfId="999" xr:uid="{00000000-0005-0000-0000-0000E5280000}"/>
    <cellStyle name="Normal 3 35 2 2" xfId="1000" xr:uid="{00000000-0005-0000-0000-0000E6280000}"/>
    <cellStyle name="Normal 3 35 2 2 2" xfId="1001" xr:uid="{00000000-0005-0000-0000-0000E7280000}"/>
    <cellStyle name="Normal 3 35 2 3" xfId="1002" xr:uid="{00000000-0005-0000-0000-0000E8280000}"/>
    <cellStyle name="Normal 3 35 3" xfId="1003" xr:uid="{00000000-0005-0000-0000-0000E9280000}"/>
    <cellStyle name="Normal 3 35 3 2" xfId="1004" xr:uid="{00000000-0005-0000-0000-0000EA280000}"/>
    <cellStyle name="Normal 3 35 4" xfId="1005" xr:uid="{00000000-0005-0000-0000-0000EB280000}"/>
    <cellStyle name="Normal 3 36" xfId="1006" xr:uid="{00000000-0005-0000-0000-0000EC280000}"/>
    <cellStyle name="Normal 3 36 2" xfId="1007" xr:uid="{00000000-0005-0000-0000-0000ED280000}"/>
    <cellStyle name="Normal 3 36 2 2" xfId="1008" xr:uid="{00000000-0005-0000-0000-0000EE280000}"/>
    <cellStyle name="Normal 3 36 2 2 2" xfId="1009" xr:uid="{00000000-0005-0000-0000-0000EF280000}"/>
    <cellStyle name="Normal 3 36 2 3" xfId="1010" xr:uid="{00000000-0005-0000-0000-0000F0280000}"/>
    <cellStyle name="Normal 3 36 3" xfId="1011" xr:uid="{00000000-0005-0000-0000-0000F1280000}"/>
    <cellStyle name="Normal 3 36 3 2" xfId="1012" xr:uid="{00000000-0005-0000-0000-0000F2280000}"/>
    <cellStyle name="Normal 3 36 4" xfId="1013" xr:uid="{00000000-0005-0000-0000-0000F3280000}"/>
    <cellStyle name="Normal 3 37" xfId="1014" xr:uid="{00000000-0005-0000-0000-0000F4280000}"/>
    <cellStyle name="Normal 3 37 2" xfId="1015" xr:uid="{00000000-0005-0000-0000-0000F5280000}"/>
    <cellStyle name="Normal 3 37 2 2" xfId="1016" xr:uid="{00000000-0005-0000-0000-0000F6280000}"/>
    <cellStyle name="Normal 3 37 2 2 2" xfId="1017" xr:uid="{00000000-0005-0000-0000-0000F7280000}"/>
    <cellStyle name="Normal 3 37 2 3" xfId="1018" xr:uid="{00000000-0005-0000-0000-0000F8280000}"/>
    <cellStyle name="Normal 3 37 3" xfId="1019" xr:uid="{00000000-0005-0000-0000-0000F9280000}"/>
    <cellStyle name="Normal 3 37 3 2" xfId="1020" xr:uid="{00000000-0005-0000-0000-0000FA280000}"/>
    <cellStyle name="Normal 3 37 4" xfId="1021" xr:uid="{00000000-0005-0000-0000-0000FB280000}"/>
    <cellStyle name="Normal 3 38" xfId="1022" xr:uid="{00000000-0005-0000-0000-0000FC280000}"/>
    <cellStyle name="Normal 3 38 2" xfId="1023" xr:uid="{00000000-0005-0000-0000-0000FD280000}"/>
    <cellStyle name="Normal 3 38 2 2" xfId="1024" xr:uid="{00000000-0005-0000-0000-0000FE280000}"/>
    <cellStyle name="Normal 3 38 2 2 2" xfId="1025" xr:uid="{00000000-0005-0000-0000-0000FF280000}"/>
    <cellStyle name="Normal 3 38 2 3" xfId="1026" xr:uid="{00000000-0005-0000-0000-000000290000}"/>
    <cellStyle name="Normal 3 38 3" xfId="1027" xr:uid="{00000000-0005-0000-0000-000001290000}"/>
    <cellStyle name="Normal 3 38 3 2" xfId="1028" xr:uid="{00000000-0005-0000-0000-000002290000}"/>
    <cellStyle name="Normal 3 38 4" xfId="1029" xr:uid="{00000000-0005-0000-0000-000003290000}"/>
    <cellStyle name="Normal 3 39" xfId="1030" xr:uid="{00000000-0005-0000-0000-000004290000}"/>
    <cellStyle name="Normal 3 39 2" xfId="1031" xr:uid="{00000000-0005-0000-0000-000005290000}"/>
    <cellStyle name="Normal 3 39 2 2" xfId="1032" xr:uid="{00000000-0005-0000-0000-000006290000}"/>
    <cellStyle name="Normal 3 39 2 2 2" xfId="1033" xr:uid="{00000000-0005-0000-0000-000007290000}"/>
    <cellStyle name="Normal 3 39 2 3" xfId="1034" xr:uid="{00000000-0005-0000-0000-000008290000}"/>
    <cellStyle name="Normal 3 39 3" xfId="1035" xr:uid="{00000000-0005-0000-0000-000009290000}"/>
    <cellStyle name="Normal 3 39 3 2" xfId="1036" xr:uid="{00000000-0005-0000-0000-00000A290000}"/>
    <cellStyle name="Normal 3 39 4" xfId="1037" xr:uid="{00000000-0005-0000-0000-00000B290000}"/>
    <cellStyle name="Normal 3 4" xfId="1038" xr:uid="{00000000-0005-0000-0000-00000C290000}"/>
    <cellStyle name="Normal 3 4 2" xfId="1039" xr:uid="{00000000-0005-0000-0000-00000D290000}"/>
    <cellStyle name="Normal 3 40" xfId="1040" xr:uid="{00000000-0005-0000-0000-00000E290000}"/>
    <cellStyle name="Normal 3 40 2" xfId="1041" xr:uid="{00000000-0005-0000-0000-00000F290000}"/>
    <cellStyle name="Normal 3 40 2 2" xfId="1042" xr:uid="{00000000-0005-0000-0000-000010290000}"/>
    <cellStyle name="Normal 3 40 2 2 2" xfId="1043" xr:uid="{00000000-0005-0000-0000-000011290000}"/>
    <cellStyle name="Normal 3 40 2 3" xfId="1044" xr:uid="{00000000-0005-0000-0000-000012290000}"/>
    <cellStyle name="Normal 3 40 3" xfId="1045" xr:uid="{00000000-0005-0000-0000-000013290000}"/>
    <cellStyle name="Normal 3 40 3 2" xfId="1046" xr:uid="{00000000-0005-0000-0000-000014290000}"/>
    <cellStyle name="Normal 3 40 4" xfId="1047" xr:uid="{00000000-0005-0000-0000-000015290000}"/>
    <cellStyle name="Normal 3 41" xfId="1048" xr:uid="{00000000-0005-0000-0000-000016290000}"/>
    <cellStyle name="Normal 3 41 2" xfId="1049" xr:uid="{00000000-0005-0000-0000-000017290000}"/>
    <cellStyle name="Normal 3 41 2 2" xfId="1050" xr:uid="{00000000-0005-0000-0000-000018290000}"/>
    <cellStyle name="Normal 3 41 2 2 2" xfId="1051" xr:uid="{00000000-0005-0000-0000-000019290000}"/>
    <cellStyle name="Normal 3 41 2 3" xfId="1052" xr:uid="{00000000-0005-0000-0000-00001A290000}"/>
    <cellStyle name="Normal 3 41 3" xfId="1053" xr:uid="{00000000-0005-0000-0000-00001B290000}"/>
    <cellStyle name="Normal 3 41 3 2" xfId="1054" xr:uid="{00000000-0005-0000-0000-00001C290000}"/>
    <cellStyle name="Normal 3 41 4" xfId="1055" xr:uid="{00000000-0005-0000-0000-00001D290000}"/>
    <cellStyle name="Normal 3 42" xfId="1056" xr:uid="{00000000-0005-0000-0000-00001E290000}"/>
    <cellStyle name="Normal 3 42 2" xfId="1057" xr:uid="{00000000-0005-0000-0000-00001F290000}"/>
    <cellStyle name="Normal 3 42 2 2" xfId="1058" xr:uid="{00000000-0005-0000-0000-000020290000}"/>
    <cellStyle name="Normal 3 42 2 2 2" xfId="1059" xr:uid="{00000000-0005-0000-0000-000021290000}"/>
    <cellStyle name="Normal 3 42 2 3" xfId="1060" xr:uid="{00000000-0005-0000-0000-000022290000}"/>
    <cellStyle name="Normal 3 42 3" xfId="1061" xr:uid="{00000000-0005-0000-0000-000023290000}"/>
    <cellStyle name="Normal 3 42 3 2" xfId="1062" xr:uid="{00000000-0005-0000-0000-000024290000}"/>
    <cellStyle name="Normal 3 42 4" xfId="1063" xr:uid="{00000000-0005-0000-0000-000025290000}"/>
    <cellStyle name="Normal 3 43" xfId="1064" xr:uid="{00000000-0005-0000-0000-000026290000}"/>
    <cellStyle name="Normal 3 43 2" xfId="1065" xr:uid="{00000000-0005-0000-0000-000027290000}"/>
    <cellStyle name="Normal 3 43 2 2" xfId="1066" xr:uid="{00000000-0005-0000-0000-000028290000}"/>
    <cellStyle name="Normal 3 43 2 2 2" xfId="1067" xr:uid="{00000000-0005-0000-0000-000029290000}"/>
    <cellStyle name="Normal 3 43 2 3" xfId="1068" xr:uid="{00000000-0005-0000-0000-00002A290000}"/>
    <cellStyle name="Normal 3 43 3" xfId="1069" xr:uid="{00000000-0005-0000-0000-00002B290000}"/>
    <cellStyle name="Normal 3 43 3 2" xfId="1070" xr:uid="{00000000-0005-0000-0000-00002C290000}"/>
    <cellStyle name="Normal 3 43 4" xfId="1071" xr:uid="{00000000-0005-0000-0000-00002D290000}"/>
    <cellStyle name="Normal 3 44" xfId="1072" xr:uid="{00000000-0005-0000-0000-00002E290000}"/>
    <cellStyle name="Normal 3 44 2" xfId="1073" xr:uid="{00000000-0005-0000-0000-00002F290000}"/>
    <cellStyle name="Normal 3 44 2 2" xfId="1074" xr:uid="{00000000-0005-0000-0000-000030290000}"/>
    <cellStyle name="Normal 3 44 2 2 2" xfId="1075" xr:uid="{00000000-0005-0000-0000-000031290000}"/>
    <cellStyle name="Normal 3 44 2 3" xfId="1076" xr:uid="{00000000-0005-0000-0000-000032290000}"/>
    <cellStyle name="Normal 3 44 3" xfId="1077" xr:uid="{00000000-0005-0000-0000-000033290000}"/>
    <cellStyle name="Normal 3 44 3 2" xfId="1078" xr:uid="{00000000-0005-0000-0000-000034290000}"/>
    <cellStyle name="Normal 3 44 4" xfId="1079" xr:uid="{00000000-0005-0000-0000-000035290000}"/>
    <cellStyle name="Normal 3 45" xfId="1080" xr:uid="{00000000-0005-0000-0000-000036290000}"/>
    <cellStyle name="Normal 3 45 2" xfId="1081" xr:uid="{00000000-0005-0000-0000-000037290000}"/>
    <cellStyle name="Normal 3 45 2 2" xfId="1082" xr:uid="{00000000-0005-0000-0000-000038290000}"/>
    <cellStyle name="Normal 3 45 2 2 2" xfId="1083" xr:uid="{00000000-0005-0000-0000-000039290000}"/>
    <cellStyle name="Normal 3 45 2 3" xfId="1084" xr:uid="{00000000-0005-0000-0000-00003A290000}"/>
    <cellStyle name="Normal 3 45 3" xfId="1085" xr:uid="{00000000-0005-0000-0000-00003B290000}"/>
    <cellStyle name="Normal 3 45 3 2" xfId="1086" xr:uid="{00000000-0005-0000-0000-00003C290000}"/>
    <cellStyle name="Normal 3 45 4" xfId="1087" xr:uid="{00000000-0005-0000-0000-00003D290000}"/>
    <cellStyle name="Normal 3 46" xfId="1088" xr:uid="{00000000-0005-0000-0000-00003E290000}"/>
    <cellStyle name="Normal 3 46 2" xfId="1089" xr:uid="{00000000-0005-0000-0000-00003F290000}"/>
    <cellStyle name="Normal 3 46 2 2" xfId="1090" xr:uid="{00000000-0005-0000-0000-000040290000}"/>
    <cellStyle name="Normal 3 46 2 2 2" xfId="1091" xr:uid="{00000000-0005-0000-0000-000041290000}"/>
    <cellStyle name="Normal 3 46 2 3" xfId="1092" xr:uid="{00000000-0005-0000-0000-000042290000}"/>
    <cellStyle name="Normal 3 46 3" xfId="1093" xr:uid="{00000000-0005-0000-0000-000043290000}"/>
    <cellStyle name="Normal 3 46 3 2" xfId="1094" xr:uid="{00000000-0005-0000-0000-000044290000}"/>
    <cellStyle name="Normal 3 46 4" xfId="1095" xr:uid="{00000000-0005-0000-0000-000045290000}"/>
    <cellStyle name="Normal 3 47" xfId="1096" xr:uid="{00000000-0005-0000-0000-000046290000}"/>
    <cellStyle name="Normal 3 47 2" xfId="1097" xr:uid="{00000000-0005-0000-0000-000047290000}"/>
    <cellStyle name="Normal 3 47 2 2" xfId="1098" xr:uid="{00000000-0005-0000-0000-000048290000}"/>
    <cellStyle name="Normal 3 47 2 2 2" xfId="1099" xr:uid="{00000000-0005-0000-0000-000049290000}"/>
    <cellStyle name="Normal 3 47 2 3" xfId="1100" xr:uid="{00000000-0005-0000-0000-00004A290000}"/>
    <cellStyle name="Normal 3 47 3" xfId="1101" xr:uid="{00000000-0005-0000-0000-00004B290000}"/>
    <cellStyle name="Normal 3 47 3 2" xfId="1102" xr:uid="{00000000-0005-0000-0000-00004C290000}"/>
    <cellStyle name="Normal 3 47 4" xfId="1103" xr:uid="{00000000-0005-0000-0000-00004D290000}"/>
    <cellStyle name="Normal 3 48" xfId="1104" xr:uid="{00000000-0005-0000-0000-00004E290000}"/>
    <cellStyle name="Normal 3 48 2" xfId="1105" xr:uid="{00000000-0005-0000-0000-00004F290000}"/>
    <cellStyle name="Normal 3 48 2 2" xfId="1106" xr:uid="{00000000-0005-0000-0000-000050290000}"/>
    <cellStyle name="Normal 3 48 2 2 2" xfId="1107" xr:uid="{00000000-0005-0000-0000-000051290000}"/>
    <cellStyle name="Normal 3 48 2 3" xfId="1108" xr:uid="{00000000-0005-0000-0000-000052290000}"/>
    <cellStyle name="Normal 3 48 3" xfId="1109" xr:uid="{00000000-0005-0000-0000-000053290000}"/>
    <cellStyle name="Normal 3 48 3 2" xfId="1110" xr:uid="{00000000-0005-0000-0000-000054290000}"/>
    <cellStyle name="Normal 3 48 4" xfId="1111" xr:uid="{00000000-0005-0000-0000-000055290000}"/>
    <cellStyle name="Normal 3 49" xfId="1112" xr:uid="{00000000-0005-0000-0000-000056290000}"/>
    <cellStyle name="Normal 3 49 2" xfId="1113" xr:uid="{00000000-0005-0000-0000-000057290000}"/>
    <cellStyle name="Normal 3 49 2 2" xfId="1114" xr:uid="{00000000-0005-0000-0000-000058290000}"/>
    <cellStyle name="Normal 3 49 2 2 2" xfId="1115" xr:uid="{00000000-0005-0000-0000-000059290000}"/>
    <cellStyle name="Normal 3 49 2 3" xfId="1116" xr:uid="{00000000-0005-0000-0000-00005A290000}"/>
    <cellStyle name="Normal 3 49 3" xfId="1117" xr:uid="{00000000-0005-0000-0000-00005B290000}"/>
    <cellStyle name="Normal 3 49 3 2" xfId="1118" xr:uid="{00000000-0005-0000-0000-00005C290000}"/>
    <cellStyle name="Normal 3 49 4" xfId="1119" xr:uid="{00000000-0005-0000-0000-00005D290000}"/>
    <cellStyle name="Normal 3 5" xfId="1120" xr:uid="{00000000-0005-0000-0000-00005E290000}"/>
    <cellStyle name="Normal 3 5 2" xfId="1121" xr:uid="{00000000-0005-0000-0000-00005F290000}"/>
    <cellStyle name="Normal 3 50" xfId="1122" xr:uid="{00000000-0005-0000-0000-000060290000}"/>
    <cellStyle name="Normal 3 50 2" xfId="1123" xr:uid="{00000000-0005-0000-0000-000061290000}"/>
    <cellStyle name="Normal 3 50 2 2" xfId="1124" xr:uid="{00000000-0005-0000-0000-000062290000}"/>
    <cellStyle name="Normal 3 50 2 2 2" xfId="1125" xr:uid="{00000000-0005-0000-0000-000063290000}"/>
    <cellStyle name="Normal 3 50 2 3" xfId="1126" xr:uid="{00000000-0005-0000-0000-000064290000}"/>
    <cellStyle name="Normal 3 50 3" xfId="1127" xr:uid="{00000000-0005-0000-0000-000065290000}"/>
    <cellStyle name="Normal 3 50 3 2" xfId="1128" xr:uid="{00000000-0005-0000-0000-000066290000}"/>
    <cellStyle name="Normal 3 50 4" xfId="1129" xr:uid="{00000000-0005-0000-0000-000067290000}"/>
    <cellStyle name="Normal 3 51" xfId="1130" xr:uid="{00000000-0005-0000-0000-000068290000}"/>
    <cellStyle name="Normal 3 51 2" xfId="1131" xr:uid="{00000000-0005-0000-0000-000069290000}"/>
    <cellStyle name="Normal 3 51 2 2" xfId="1132" xr:uid="{00000000-0005-0000-0000-00006A290000}"/>
    <cellStyle name="Normal 3 51 2 2 2" xfId="1133" xr:uid="{00000000-0005-0000-0000-00006B290000}"/>
    <cellStyle name="Normal 3 51 2 3" xfId="1134" xr:uid="{00000000-0005-0000-0000-00006C290000}"/>
    <cellStyle name="Normal 3 51 3" xfId="1135" xr:uid="{00000000-0005-0000-0000-00006D290000}"/>
    <cellStyle name="Normal 3 51 3 2" xfId="1136" xr:uid="{00000000-0005-0000-0000-00006E290000}"/>
    <cellStyle name="Normal 3 51 4" xfId="1137" xr:uid="{00000000-0005-0000-0000-00006F290000}"/>
    <cellStyle name="Normal 3 52" xfId="1138" xr:uid="{00000000-0005-0000-0000-000070290000}"/>
    <cellStyle name="Normal 3 52 2" xfId="1139" xr:uid="{00000000-0005-0000-0000-000071290000}"/>
    <cellStyle name="Normal 3 52 2 2" xfId="1140" xr:uid="{00000000-0005-0000-0000-000072290000}"/>
    <cellStyle name="Normal 3 52 2 2 2" xfId="1141" xr:uid="{00000000-0005-0000-0000-000073290000}"/>
    <cellStyle name="Normal 3 52 2 3" xfId="1142" xr:uid="{00000000-0005-0000-0000-000074290000}"/>
    <cellStyle name="Normal 3 52 3" xfId="1143" xr:uid="{00000000-0005-0000-0000-000075290000}"/>
    <cellStyle name="Normal 3 52 3 2" xfId="1144" xr:uid="{00000000-0005-0000-0000-000076290000}"/>
    <cellStyle name="Normal 3 52 4" xfId="1145" xr:uid="{00000000-0005-0000-0000-000077290000}"/>
    <cellStyle name="Normal 3 53" xfId="1146" xr:uid="{00000000-0005-0000-0000-000078290000}"/>
    <cellStyle name="Normal 3 53 2" xfId="1147" xr:uid="{00000000-0005-0000-0000-000079290000}"/>
    <cellStyle name="Normal 3 53 2 2" xfId="1148" xr:uid="{00000000-0005-0000-0000-00007A290000}"/>
    <cellStyle name="Normal 3 53 2 2 2" xfId="1149" xr:uid="{00000000-0005-0000-0000-00007B290000}"/>
    <cellStyle name="Normal 3 53 2 3" xfId="1150" xr:uid="{00000000-0005-0000-0000-00007C290000}"/>
    <cellStyle name="Normal 3 53 3" xfId="1151" xr:uid="{00000000-0005-0000-0000-00007D290000}"/>
    <cellStyle name="Normal 3 53 3 2" xfId="1152" xr:uid="{00000000-0005-0000-0000-00007E290000}"/>
    <cellStyle name="Normal 3 53 4" xfId="1153" xr:uid="{00000000-0005-0000-0000-00007F290000}"/>
    <cellStyle name="Normal 3 54" xfId="1154" xr:uid="{00000000-0005-0000-0000-000080290000}"/>
    <cellStyle name="Normal 3 54 2" xfId="1155" xr:uid="{00000000-0005-0000-0000-000081290000}"/>
    <cellStyle name="Normal 3 54 2 2" xfId="1156" xr:uid="{00000000-0005-0000-0000-000082290000}"/>
    <cellStyle name="Normal 3 54 2 2 2" xfId="1157" xr:uid="{00000000-0005-0000-0000-000083290000}"/>
    <cellStyle name="Normal 3 54 2 3" xfId="1158" xr:uid="{00000000-0005-0000-0000-000084290000}"/>
    <cellStyle name="Normal 3 54 3" xfId="1159" xr:uid="{00000000-0005-0000-0000-000085290000}"/>
    <cellStyle name="Normal 3 54 3 2" xfId="1160" xr:uid="{00000000-0005-0000-0000-000086290000}"/>
    <cellStyle name="Normal 3 54 4" xfId="1161" xr:uid="{00000000-0005-0000-0000-000087290000}"/>
    <cellStyle name="Normal 3 55" xfId="1162" xr:uid="{00000000-0005-0000-0000-000088290000}"/>
    <cellStyle name="Normal 3 55 2" xfId="1163" xr:uid="{00000000-0005-0000-0000-000089290000}"/>
    <cellStyle name="Normal 3 55 2 2" xfId="1164" xr:uid="{00000000-0005-0000-0000-00008A290000}"/>
    <cellStyle name="Normal 3 55 2 2 2" xfId="1165" xr:uid="{00000000-0005-0000-0000-00008B290000}"/>
    <cellStyle name="Normal 3 55 2 3" xfId="1166" xr:uid="{00000000-0005-0000-0000-00008C290000}"/>
    <cellStyle name="Normal 3 55 3" xfId="1167" xr:uid="{00000000-0005-0000-0000-00008D290000}"/>
    <cellStyle name="Normal 3 55 3 2" xfId="1168" xr:uid="{00000000-0005-0000-0000-00008E290000}"/>
    <cellStyle name="Normal 3 55 4" xfId="1169" xr:uid="{00000000-0005-0000-0000-00008F290000}"/>
    <cellStyle name="Normal 3 56" xfId="1170" xr:uid="{00000000-0005-0000-0000-000090290000}"/>
    <cellStyle name="Normal 3 56 2" xfId="1171" xr:uid="{00000000-0005-0000-0000-000091290000}"/>
    <cellStyle name="Normal 3 56 2 2" xfId="1172" xr:uid="{00000000-0005-0000-0000-000092290000}"/>
    <cellStyle name="Normal 3 56 2 2 2" xfId="1173" xr:uid="{00000000-0005-0000-0000-000093290000}"/>
    <cellStyle name="Normal 3 56 2 3" xfId="1174" xr:uid="{00000000-0005-0000-0000-000094290000}"/>
    <cellStyle name="Normal 3 56 3" xfId="1175" xr:uid="{00000000-0005-0000-0000-000095290000}"/>
    <cellStyle name="Normal 3 56 3 2" xfId="1176" xr:uid="{00000000-0005-0000-0000-000096290000}"/>
    <cellStyle name="Normal 3 56 4" xfId="1177" xr:uid="{00000000-0005-0000-0000-000097290000}"/>
    <cellStyle name="Normal 3 57" xfId="1178" xr:uid="{00000000-0005-0000-0000-000098290000}"/>
    <cellStyle name="Normal 3 57 2" xfId="1179" xr:uid="{00000000-0005-0000-0000-000099290000}"/>
    <cellStyle name="Normal 3 57 2 2" xfId="1180" xr:uid="{00000000-0005-0000-0000-00009A290000}"/>
    <cellStyle name="Normal 3 57 2 2 2" xfId="1181" xr:uid="{00000000-0005-0000-0000-00009B290000}"/>
    <cellStyle name="Normal 3 57 2 3" xfId="1182" xr:uid="{00000000-0005-0000-0000-00009C290000}"/>
    <cellStyle name="Normal 3 57 3" xfId="1183" xr:uid="{00000000-0005-0000-0000-00009D290000}"/>
    <cellStyle name="Normal 3 57 3 2" xfId="1184" xr:uid="{00000000-0005-0000-0000-00009E290000}"/>
    <cellStyle name="Normal 3 57 4" xfId="1185" xr:uid="{00000000-0005-0000-0000-00009F290000}"/>
    <cellStyle name="Normal 3 58" xfId="1186" xr:uid="{00000000-0005-0000-0000-0000A0290000}"/>
    <cellStyle name="Normal 3 58 2" xfId="1187" xr:uid="{00000000-0005-0000-0000-0000A1290000}"/>
    <cellStyle name="Normal 3 58 2 2" xfId="1188" xr:uid="{00000000-0005-0000-0000-0000A2290000}"/>
    <cellStyle name="Normal 3 58 3" xfId="1189" xr:uid="{00000000-0005-0000-0000-0000A3290000}"/>
    <cellStyle name="Normal 3 59" xfId="1190" xr:uid="{00000000-0005-0000-0000-0000A4290000}"/>
    <cellStyle name="Normal 3 59 2" xfId="2606" xr:uid="{00000000-0005-0000-0000-0000A5290000}"/>
    <cellStyle name="Normal 3 59 2 2" xfId="2819" xr:uid="{00000000-0005-0000-0000-0000A6290000}"/>
    <cellStyle name="Normal 3 59 3" xfId="2677" xr:uid="{00000000-0005-0000-0000-0000A7290000}"/>
    <cellStyle name="Normal 3 59 3 2" xfId="2877" xr:uid="{00000000-0005-0000-0000-0000A8290000}"/>
    <cellStyle name="Normal 3 59 4" xfId="2818" xr:uid="{00000000-0005-0000-0000-0000A9290000}"/>
    <cellStyle name="Normal 3 6" xfId="1191" xr:uid="{00000000-0005-0000-0000-0000AA290000}"/>
    <cellStyle name="Normal 3 6 2" xfId="1192" xr:uid="{00000000-0005-0000-0000-0000AB290000}"/>
    <cellStyle name="Normal 3 60" xfId="1193" xr:uid="{00000000-0005-0000-0000-0000AC290000}"/>
    <cellStyle name="Normal 3 61" xfId="1194" xr:uid="{00000000-0005-0000-0000-0000AD290000}"/>
    <cellStyle name="Normal 3 62" xfId="1195" xr:uid="{00000000-0005-0000-0000-0000AE290000}"/>
    <cellStyle name="Normal 3 62 2" xfId="2163" xr:uid="{00000000-0005-0000-0000-0000AF290000}"/>
    <cellStyle name="Normal 3 62 2 2" xfId="26660" xr:uid="{00000000-0005-0000-0000-0000B0290000}"/>
    <cellStyle name="Normal 3 62 3" xfId="26314" xr:uid="{00000000-0005-0000-0000-0000B1290000}"/>
    <cellStyle name="Normal 3 63" xfId="1196" xr:uid="{00000000-0005-0000-0000-0000B2290000}"/>
    <cellStyle name="Normal 3 63 2" xfId="2181" xr:uid="{00000000-0005-0000-0000-0000B3290000}"/>
    <cellStyle name="Normal 3 63 3" xfId="26224" xr:uid="{00000000-0005-0000-0000-0000B4290000}"/>
    <cellStyle name="Normal 3 64" xfId="2067" xr:uid="{00000000-0005-0000-0000-0000B5290000}"/>
    <cellStyle name="Normal 3 64 2" xfId="26579" xr:uid="{00000000-0005-0000-0000-0000B6290000}"/>
    <cellStyle name="Normal 3 65" xfId="33840" xr:uid="{00000000-0005-0000-0000-0000B7290000}"/>
    <cellStyle name="Normal 3 7" xfId="1197" xr:uid="{00000000-0005-0000-0000-0000B8290000}"/>
    <cellStyle name="Normal 3 7 2" xfId="1198" xr:uid="{00000000-0005-0000-0000-0000B9290000}"/>
    <cellStyle name="Normal 3 8" xfId="1199" xr:uid="{00000000-0005-0000-0000-0000BA290000}"/>
    <cellStyle name="Normal 3 8 2" xfId="1200" xr:uid="{00000000-0005-0000-0000-0000BB290000}"/>
    <cellStyle name="Normal 3 9" xfId="1201" xr:uid="{00000000-0005-0000-0000-0000BC290000}"/>
    <cellStyle name="Normal 3 9 2" xfId="1202" xr:uid="{00000000-0005-0000-0000-0000BD290000}"/>
    <cellStyle name="Normal 30" xfId="1203" xr:uid="{00000000-0005-0000-0000-0000BE290000}"/>
    <cellStyle name="Normal 30 2" xfId="28392" xr:uid="{00000000-0005-0000-0000-0000BF290000}"/>
    <cellStyle name="Normal 30 2 2" xfId="28393" xr:uid="{00000000-0005-0000-0000-0000C0290000}"/>
    <cellStyle name="Normal 30 3" xfId="28394" xr:uid="{00000000-0005-0000-0000-0000C1290000}"/>
    <cellStyle name="Normal 30 4" xfId="28395" xr:uid="{00000000-0005-0000-0000-0000C2290000}"/>
    <cellStyle name="Normal 31" xfId="1204" xr:uid="{00000000-0005-0000-0000-0000C3290000}"/>
    <cellStyle name="Normal 31 2" xfId="28396" xr:uid="{00000000-0005-0000-0000-0000C4290000}"/>
    <cellStyle name="Normal 31 2 2" xfId="28397" xr:uid="{00000000-0005-0000-0000-0000C5290000}"/>
    <cellStyle name="Normal 31 3" xfId="28398" xr:uid="{00000000-0005-0000-0000-0000C6290000}"/>
    <cellStyle name="Normal 31 4" xfId="28399" xr:uid="{00000000-0005-0000-0000-0000C7290000}"/>
    <cellStyle name="Normal 32" xfId="1205" xr:uid="{00000000-0005-0000-0000-0000C8290000}"/>
    <cellStyle name="Normal 32 2" xfId="1206" xr:uid="{00000000-0005-0000-0000-0000C9290000}"/>
    <cellStyle name="Normal 32 2 2" xfId="28400" xr:uid="{00000000-0005-0000-0000-0000CA290000}"/>
    <cellStyle name="Normal 32 3" xfId="28401" xr:uid="{00000000-0005-0000-0000-0000CB290000}"/>
    <cellStyle name="Normal 32 4" xfId="28402" xr:uid="{00000000-0005-0000-0000-0000CC290000}"/>
    <cellStyle name="Normal 33" xfId="1207" xr:uid="{00000000-0005-0000-0000-0000CD290000}"/>
    <cellStyle name="Normal 33 2" xfId="1208" xr:uid="{00000000-0005-0000-0000-0000CE290000}"/>
    <cellStyle name="Normal 33 2 2" xfId="28403" xr:uid="{00000000-0005-0000-0000-0000CF290000}"/>
    <cellStyle name="Normal 33 3" xfId="28404" xr:uid="{00000000-0005-0000-0000-0000D0290000}"/>
    <cellStyle name="Normal 33 4" xfId="28405" xr:uid="{00000000-0005-0000-0000-0000D1290000}"/>
    <cellStyle name="Normal 34" xfId="1209" xr:uid="{00000000-0005-0000-0000-0000D2290000}"/>
    <cellStyle name="Normal 34 2" xfId="28406" xr:uid="{00000000-0005-0000-0000-0000D3290000}"/>
    <cellStyle name="Normal 34 2 2" xfId="28407" xr:uid="{00000000-0005-0000-0000-0000D4290000}"/>
    <cellStyle name="Normal 34 3" xfId="28408" xr:uid="{00000000-0005-0000-0000-0000D5290000}"/>
    <cellStyle name="Normal 34 4" xfId="28409" xr:uid="{00000000-0005-0000-0000-0000D6290000}"/>
    <cellStyle name="Normal 35" xfId="1210" xr:uid="{00000000-0005-0000-0000-0000D7290000}"/>
    <cellStyle name="Normal 35 2" xfId="28410" xr:uid="{00000000-0005-0000-0000-0000D8290000}"/>
    <cellStyle name="Normal 35 2 2" xfId="28411" xr:uid="{00000000-0005-0000-0000-0000D9290000}"/>
    <cellStyle name="Normal 35 3" xfId="28412" xr:uid="{00000000-0005-0000-0000-0000DA290000}"/>
    <cellStyle name="Normal 35 4" xfId="28413" xr:uid="{00000000-0005-0000-0000-0000DB290000}"/>
    <cellStyle name="Normal 36" xfId="1211" xr:uid="{00000000-0005-0000-0000-0000DC290000}"/>
    <cellStyle name="Normal 36 2" xfId="28414" xr:uid="{00000000-0005-0000-0000-0000DD290000}"/>
    <cellStyle name="Normal 36 2 2" xfId="28415" xr:uid="{00000000-0005-0000-0000-0000DE290000}"/>
    <cellStyle name="Normal 36 3" xfId="28416" xr:uid="{00000000-0005-0000-0000-0000DF290000}"/>
    <cellStyle name="Normal 36 4" xfId="28417" xr:uid="{00000000-0005-0000-0000-0000E0290000}"/>
    <cellStyle name="Normal 37" xfId="1212" xr:uid="{00000000-0005-0000-0000-0000E1290000}"/>
    <cellStyle name="Normal 37 10" xfId="28418" xr:uid="{00000000-0005-0000-0000-0000E2290000}"/>
    <cellStyle name="Normal 37 10 2" xfId="28419" xr:uid="{00000000-0005-0000-0000-0000E3290000}"/>
    <cellStyle name="Normal 37 10 3" xfId="28420" xr:uid="{00000000-0005-0000-0000-0000E4290000}"/>
    <cellStyle name="Normal 37 10 4" xfId="28421" xr:uid="{00000000-0005-0000-0000-0000E5290000}"/>
    <cellStyle name="Normal 37 11" xfId="28422" xr:uid="{00000000-0005-0000-0000-0000E6290000}"/>
    <cellStyle name="Normal 37 11 2" xfId="28423" xr:uid="{00000000-0005-0000-0000-0000E7290000}"/>
    <cellStyle name="Normal 37 11 3" xfId="28424" xr:uid="{00000000-0005-0000-0000-0000E8290000}"/>
    <cellStyle name="Normal 37 11 4" xfId="28425" xr:uid="{00000000-0005-0000-0000-0000E9290000}"/>
    <cellStyle name="Normal 37 12" xfId="28426" xr:uid="{00000000-0005-0000-0000-0000EA290000}"/>
    <cellStyle name="Normal 37 12 2" xfId="28427" xr:uid="{00000000-0005-0000-0000-0000EB290000}"/>
    <cellStyle name="Normal 37 12 3" xfId="28428" xr:uid="{00000000-0005-0000-0000-0000EC290000}"/>
    <cellStyle name="Normal 37 13" xfId="28429" xr:uid="{00000000-0005-0000-0000-0000ED290000}"/>
    <cellStyle name="Normal 37 13 2" xfId="28430" xr:uid="{00000000-0005-0000-0000-0000EE290000}"/>
    <cellStyle name="Normal 37 14" xfId="28431" xr:uid="{00000000-0005-0000-0000-0000EF290000}"/>
    <cellStyle name="Normal 37 15" xfId="28432" xr:uid="{00000000-0005-0000-0000-0000F0290000}"/>
    <cellStyle name="Normal 37 2" xfId="1213" xr:uid="{00000000-0005-0000-0000-0000F1290000}"/>
    <cellStyle name="Normal 37 2 10" xfId="28433" xr:uid="{00000000-0005-0000-0000-0000F2290000}"/>
    <cellStyle name="Normal 37 2 10 2" xfId="28434" xr:uid="{00000000-0005-0000-0000-0000F3290000}"/>
    <cellStyle name="Normal 37 2 10 3" xfId="28435" xr:uid="{00000000-0005-0000-0000-0000F4290000}"/>
    <cellStyle name="Normal 37 2 10 4" xfId="28436" xr:uid="{00000000-0005-0000-0000-0000F5290000}"/>
    <cellStyle name="Normal 37 2 11" xfId="28437" xr:uid="{00000000-0005-0000-0000-0000F6290000}"/>
    <cellStyle name="Normal 37 2 11 2" xfId="28438" xr:uid="{00000000-0005-0000-0000-0000F7290000}"/>
    <cellStyle name="Normal 37 2 11 3" xfId="28439" xr:uid="{00000000-0005-0000-0000-0000F8290000}"/>
    <cellStyle name="Normal 37 2 12" xfId="28440" xr:uid="{00000000-0005-0000-0000-0000F9290000}"/>
    <cellStyle name="Normal 37 2 12 2" xfId="28441" xr:uid="{00000000-0005-0000-0000-0000FA290000}"/>
    <cellStyle name="Normal 37 2 13" xfId="28442" xr:uid="{00000000-0005-0000-0000-0000FB290000}"/>
    <cellStyle name="Normal 37 2 14" xfId="28443" xr:uid="{00000000-0005-0000-0000-0000FC290000}"/>
    <cellStyle name="Normal 37 2 2" xfId="28444" xr:uid="{00000000-0005-0000-0000-0000FD290000}"/>
    <cellStyle name="Normal 37 2 2 2" xfId="28445" xr:uid="{00000000-0005-0000-0000-0000FE290000}"/>
    <cellStyle name="Normal 37 2 2 2 2" xfId="28446" xr:uid="{00000000-0005-0000-0000-0000FF290000}"/>
    <cellStyle name="Normal 37 2 2 2 2 2" xfId="28447" xr:uid="{00000000-0005-0000-0000-0000002A0000}"/>
    <cellStyle name="Normal 37 2 2 2 2 2 2" xfId="28448" xr:uid="{00000000-0005-0000-0000-0000012A0000}"/>
    <cellStyle name="Normal 37 2 2 2 2 2 3" xfId="28449" xr:uid="{00000000-0005-0000-0000-0000022A0000}"/>
    <cellStyle name="Normal 37 2 2 2 2 2 4" xfId="28450" xr:uid="{00000000-0005-0000-0000-0000032A0000}"/>
    <cellStyle name="Normal 37 2 2 2 2 3" xfId="28451" xr:uid="{00000000-0005-0000-0000-0000042A0000}"/>
    <cellStyle name="Normal 37 2 2 2 2 4" xfId="28452" xr:uid="{00000000-0005-0000-0000-0000052A0000}"/>
    <cellStyle name="Normal 37 2 2 2 2 5" xfId="28453" xr:uid="{00000000-0005-0000-0000-0000062A0000}"/>
    <cellStyle name="Normal 37 2 2 2 3" xfId="28454" xr:uid="{00000000-0005-0000-0000-0000072A0000}"/>
    <cellStyle name="Normal 37 2 2 2 3 2" xfId="28455" xr:uid="{00000000-0005-0000-0000-0000082A0000}"/>
    <cellStyle name="Normal 37 2 2 2 3 3" xfId="28456" xr:uid="{00000000-0005-0000-0000-0000092A0000}"/>
    <cellStyle name="Normal 37 2 2 2 3 4" xfId="28457" xr:uid="{00000000-0005-0000-0000-00000A2A0000}"/>
    <cellStyle name="Normal 37 2 2 2 4" xfId="28458" xr:uid="{00000000-0005-0000-0000-00000B2A0000}"/>
    <cellStyle name="Normal 37 2 2 2 5" xfId="28459" xr:uid="{00000000-0005-0000-0000-00000C2A0000}"/>
    <cellStyle name="Normal 37 2 2 2 6" xfId="28460" xr:uid="{00000000-0005-0000-0000-00000D2A0000}"/>
    <cellStyle name="Normal 37 2 2 3" xfId="28461" xr:uid="{00000000-0005-0000-0000-00000E2A0000}"/>
    <cellStyle name="Normal 37 2 2 3 2" xfId="28462" xr:uid="{00000000-0005-0000-0000-00000F2A0000}"/>
    <cellStyle name="Normal 37 2 2 3 2 2" xfId="28463" xr:uid="{00000000-0005-0000-0000-0000102A0000}"/>
    <cellStyle name="Normal 37 2 2 3 2 3" xfId="28464" xr:uid="{00000000-0005-0000-0000-0000112A0000}"/>
    <cellStyle name="Normal 37 2 2 3 2 4" xfId="28465" xr:uid="{00000000-0005-0000-0000-0000122A0000}"/>
    <cellStyle name="Normal 37 2 2 3 3" xfId="28466" xr:uid="{00000000-0005-0000-0000-0000132A0000}"/>
    <cellStyle name="Normal 37 2 2 3 4" xfId="28467" xr:uid="{00000000-0005-0000-0000-0000142A0000}"/>
    <cellStyle name="Normal 37 2 2 3 5" xfId="28468" xr:uid="{00000000-0005-0000-0000-0000152A0000}"/>
    <cellStyle name="Normal 37 2 2 4" xfId="28469" xr:uid="{00000000-0005-0000-0000-0000162A0000}"/>
    <cellStyle name="Normal 37 2 2 4 2" xfId="28470" xr:uid="{00000000-0005-0000-0000-0000172A0000}"/>
    <cellStyle name="Normal 37 2 2 4 3" xfId="28471" xr:uid="{00000000-0005-0000-0000-0000182A0000}"/>
    <cellStyle name="Normal 37 2 2 4 4" xfId="28472" xr:uid="{00000000-0005-0000-0000-0000192A0000}"/>
    <cellStyle name="Normal 37 2 2 5" xfId="28473" xr:uid="{00000000-0005-0000-0000-00001A2A0000}"/>
    <cellStyle name="Normal 37 2 2 5 2" xfId="28474" xr:uid="{00000000-0005-0000-0000-00001B2A0000}"/>
    <cellStyle name="Normal 37 2 2 5 3" xfId="28475" xr:uid="{00000000-0005-0000-0000-00001C2A0000}"/>
    <cellStyle name="Normal 37 2 2 5 4" xfId="28476" xr:uid="{00000000-0005-0000-0000-00001D2A0000}"/>
    <cellStyle name="Normal 37 2 2 6" xfId="28477" xr:uid="{00000000-0005-0000-0000-00001E2A0000}"/>
    <cellStyle name="Normal 37 2 2 6 2" xfId="28478" xr:uid="{00000000-0005-0000-0000-00001F2A0000}"/>
    <cellStyle name="Normal 37 2 2 6 3" xfId="28479" xr:uid="{00000000-0005-0000-0000-0000202A0000}"/>
    <cellStyle name="Normal 37 2 2 7" xfId="28480" xr:uid="{00000000-0005-0000-0000-0000212A0000}"/>
    <cellStyle name="Normal 37 2 2 8" xfId="28481" xr:uid="{00000000-0005-0000-0000-0000222A0000}"/>
    <cellStyle name="Normal 37 2 2 9" xfId="28482" xr:uid="{00000000-0005-0000-0000-0000232A0000}"/>
    <cellStyle name="Normal 37 2 3" xfId="28483" xr:uid="{00000000-0005-0000-0000-0000242A0000}"/>
    <cellStyle name="Normal 37 2 3 2" xfId="28484" xr:uid="{00000000-0005-0000-0000-0000252A0000}"/>
    <cellStyle name="Normal 37 2 3 2 2" xfId="28485" xr:uid="{00000000-0005-0000-0000-0000262A0000}"/>
    <cellStyle name="Normal 37 2 3 2 2 2" xfId="28486" xr:uid="{00000000-0005-0000-0000-0000272A0000}"/>
    <cellStyle name="Normal 37 2 3 2 2 2 2" xfId="28487" xr:uid="{00000000-0005-0000-0000-0000282A0000}"/>
    <cellStyle name="Normal 37 2 3 2 2 2 3" xfId="28488" xr:uid="{00000000-0005-0000-0000-0000292A0000}"/>
    <cellStyle name="Normal 37 2 3 2 2 2 4" xfId="28489" xr:uid="{00000000-0005-0000-0000-00002A2A0000}"/>
    <cellStyle name="Normal 37 2 3 2 2 3" xfId="28490" xr:uid="{00000000-0005-0000-0000-00002B2A0000}"/>
    <cellStyle name="Normal 37 2 3 2 2 4" xfId="28491" xr:uid="{00000000-0005-0000-0000-00002C2A0000}"/>
    <cellStyle name="Normal 37 2 3 2 2 5" xfId="28492" xr:uid="{00000000-0005-0000-0000-00002D2A0000}"/>
    <cellStyle name="Normal 37 2 3 2 3" xfId="28493" xr:uid="{00000000-0005-0000-0000-00002E2A0000}"/>
    <cellStyle name="Normal 37 2 3 2 3 2" xfId="28494" xr:uid="{00000000-0005-0000-0000-00002F2A0000}"/>
    <cellStyle name="Normal 37 2 3 2 3 3" xfId="28495" xr:uid="{00000000-0005-0000-0000-0000302A0000}"/>
    <cellStyle name="Normal 37 2 3 2 3 4" xfId="28496" xr:uid="{00000000-0005-0000-0000-0000312A0000}"/>
    <cellStyle name="Normal 37 2 3 2 4" xfId="28497" xr:uid="{00000000-0005-0000-0000-0000322A0000}"/>
    <cellStyle name="Normal 37 2 3 2 5" xfId="28498" xr:uid="{00000000-0005-0000-0000-0000332A0000}"/>
    <cellStyle name="Normal 37 2 3 2 6" xfId="28499" xr:uid="{00000000-0005-0000-0000-0000342A0000}"/>
    <cellStyle name="Normal 37 2 3 3" xfId="28500" xr:uid="{00000000-0005-0000-0000-0000352A0000}"/>
    <cellStyle name="Normal 37 2 3 3 2" xfId="28501" xr:uid="{00000000-0005-0000-0000-0000362A0000}"/>
    <cellStyle name="Normal 37 2 3 3 2 2" xfId="28502" xr:uid="{00000000-0005-0000-0000-0000372A0000}"/>
    <cellStyle name="Normal 37 2 3 3 2 3" xfId="28503" xr:uid="{00000000-0005-0000-0000-0000382A0000}"/>
    <cellStyle name="Normal 37 2 3 3 2 4" xfId="28504" xr:uid="{00000000-0005-0000-0000-0000392A0000}"/>
    <cellStyle name="Normal 37 2 3 3 3" xfId="28505" xr:uid="{00000000-0005-0000-0000-00003A2A0000}"/>
    <cellStyle name="Normal 37 2 3 3 4" xfId="28506" xr:uid="{00000000-0005-0000-0000-00003B2A0000}"/>
    <cellStyle name="Normal 37 2 3 3 5" xfId="28507" xr:uid="{00000000-0005-0000-0000-00003C2A0000}"/>
    <cellStyle name="Normal 37 2 3 4" xfId="28508" xr:uid="{00000000-0005-0000-0000-00003D2A0000}"/>
    <cellStyle name="Normal 37 2 3 4 2" xfId="28509" xr:uid="{00000000-0005-0000-0000-00003E2A0000}"/>
    <cellStyle name="Normal 37 2 3 4 3" xfId="28510" xr:uid="{00000000-0005-0000-0000-00003F2A0000}"/>
    <cellStyle name="Normal 37 2 3 4 4" xfId="28511" xr:uid="{00000000-0005-0000-0000-0000402A0000}"/>
    <cellStyle name="Normal 37 2 3 5" xfId="28512" xr:uid="{00000000-0005-0000-0000-0000412A0000}"/>
    <cellStyle name="Normal 37 2 3 5 2" xfId="28513" xr:uid="{00000000-0005-0000-0000-0000422A0000}"/>
    <cellStyle name="Normal 37 2 3 5 3" xfId="28514" xr:uid="{00000000-0005-0000-0000-0000432A0000}"/>
    <cellStyle name="Normal 37 2 3 5 4" xfId="28515" xr:uid="{00000000-0005-0000-0000-0000442A0000}"/>
    <cellStyle name="Normal 37 2 3 6" xfId="28516" xr:uid="{00000000-0005-0000-0000-0000452A0000}"/>
    <cellStyle name="Normal 37 2 3 6 2" xfId="28517" xr:uid="{00000000-0005-0000-0000-0000462A0000}"/>
    <cellStyle name="Normal 37 2 3 6 3" xfId="28518" xr:uid="{00000000-0005-0000-0000-0000472A0000}"/>
    <cellStyle name="Normal 37 2 3 7" xfId="28519" xr:uid="{00000000-0005-0000-0000-0000482A0000}"/>
    <cellStyle name="Normal 37 2 3 8" xfId="28520" xr:uid="{00000000-0005-0000-0000-0000492A0000}"/>
    <cellStyle name="Normal 37 2 3 9" xfId="28521" xr:uid="{00000000-0005-0000-0000-00004A2A0000}"/>
    <cellStyle name="Normal 37 2 4" xfId="28522" xr:uid="{00000000-0005-0000-0000-00004B2A0000}"/>
    <cellStyle name="Normal 37 2 4 2" xfId="28523" xr:uid="{00000000-0005-0000-0000-00004C2A0000}"/>
    <cellStyle name="Normal 37 2 4 2 2" xfId="28524" xr:uid="{00000000-0005-0000-0000-00004D2A0000}"/>
    <cellStyle name="Normal 37 2 4 2 2 2" xfId="28525" xr:uid="{00000000-0005-0000-0000-00004E2A0000}"/>
    <cellStyle name="Normal 37 2 4 2 2 3" xfId="28526" xr:uid="{00000000-0005-0000-0000-00004F2A0000}"/>
    <cellStyle name="Normal 37 2 4 2 2 4" xfId="28527" xr:uid="{00000000-0005-0000-0000-0000502A0000}"/>
    <cellStyle name="Normal 37 2 4 2 3" xfId="28528" xr:uid="{00000000-0005-0000-0000-0000512A0000}"/>
    <cellStyle name="Normal 37 2 4 2 4" xfId="28529" xr:uid="{00000000-0005-0000-0000-0000522A0000}"/>
    <cellStyle name="Normal 37 2 4 2 5" xfId="28530" xr:uid="{00000000-0005-0000-0000-0000532A0000}"/>
    <cellStyle name="Normal 37 2 4 3" xfId="28531" xr:uid="{00000000-0005-0000-0000-0000542A0000}"/>
    <cellStyle name="Normal 37 2 4 3 2" xfId="28532" xr:uid="{00000000-0005-0000-0000-0000552A0000}"/>
    <cellStyle name="Normal 37 2 4 3 3" xfId="28533" xr:uid="{00000000-0005-0000-0000-0000562A0000}"/>
    <cellStyle name="Normal 37 2 4 3 4" xfId="28534" xr:uid="{00000000-0005-0000-0000-0000572A0000}"/>
    <cellStyle name="Normal 37 2 4 4" xfId="28535" xr:uid="{00000000-0005-0000-0000-0000582A0000}"/>
    <cellStyle name="Normal 37 2 4 5" xfId="28536" xr:uid="{00000000-0005-0000-0000-0000592A0000}"/>
    <cellStyle name="Normal 37 2 4 6" xfId="28537" xr:uid="{00000000-0005-0000-0000-00005A2A0000}"/>
    <cellStyle name="Normal 37 2 5" xfId="28538" xr:uid="{00000000-0005-0000-0000-00005B2A0000}"/>
    <cellStyle name="Normal 37 2 5 2" xfId="28539" xr:uid="{00000000-0005-0000-0000-00005C2A0000}"/>
    <cellStyle name="Normal 37 2 5 2 2" xfId="28540" xr:uid="{00000000-0005-0000-0000-00005D2A0000}"/>
    <cellStyle name="Normal 37 2 5 2 2 2" xfId="28541" xr:uid="{00000000-0005-0000-0000-00005E2A0000}"/>
    <cellStyle name="Normal 37 2 5 2 2 3" xfId="28542" xr:uid="{00000000-0005-0000-0000-00005F2A0000}"/>
    <cellStyle name="Normal 37 2 5 2 2 4" xfId="28543" xr:uid="{00000000-0005-0000-0000-0000602A0000}"/>
    <cellStyle name="Normal 37 2 5 2 3" xfId="28544" xr:uid="{00000000-0005-0000-0000-0000612A0000}"/>
    <cellStyle name="Normal 37 2 5 2 4" xfId="28545" xr:uid="{00000000-0005-0000-0000-0000622A0000}"/>
    <cellStyle name="Normal 37 2 5 2 5" xfId="28546" xr:uid="{00000000-0005-0000-0000-0000632A0000}"/>
    <cellStyle name="Normal 37 2 5 3" xfId="28547" xr:uid="{00000000-0005-0000-0000-0000642A0000}"/>
    <cellStyle name="Normal 37 2 5 3 2" xfId="28548" xr:uid="{00000000-0005-0000-0000-0000652A0000}"/>
    <cellStyle name="Normal 37 2 5 3 3" xfId="28549" xr:uid="{00000000-0005-0000-0000-0000662A0000}"/>
    <cellStyle name="Normal 37 2 5 3 4" xfId="28550" xr:uid="{00000000-0005-0000-0000-0000672A0000}"/>
    <cellStyle name="Normal 37 2 5 4" xfId="28551" xr:uid="{00000000-0005-0000-0000-0000682A0000}"/>
    <cellStyle name="Normal 37 2 5 5" xfId="28552" xr:uid="{00000000-0005-0000-0000-0000692A0000}"/>
    <cellStyle name="Normal 37 2 5 6" xfId="28553" xr:uid="{00000000-0005-0000-0000-00006A2A0000}"/>
    <cellStyle name="Normal 37 2 6" xfId="28554" xr:uid="{00000000-0005-0000-0000-00006B2A0000}"/>
    <cellStyle name="Normal 37 2 6 2" xfId="28555" xr:uid="{00000000-0005-0000-0000-00006C2A0000}"/>
    <cellStyle name="Normal 37 2 6 2 2" xfId="28556" xr:uid="{00000000-0005-0000-0000-00006D2A0000}"/>
    <cellStyle name="Normal 37 2 6 2 2 2" xfId="28557" xr:uid="{00000000-0005-0000-0000-00006E2A0000}"/>
    <cellStyle name="Normal 37 2 6 2 2 3" xfId="28558" xr:uid="{00000000-0005-0000-0000-00006F2A0000}"/>
    <cellStyle name="Normal 37 2 6 2 2 4" xfId="28559" xr:uid="{00000000-0005-0000-0000-0000702A0000}"/>
    <cellStyle name="Normal 37 2 6 2 3" xfId="28560" xr:uid="{00000000-0005-0000-0000-0000712A0000}"/>
    <cellStyle name="Normal 37 2 6 2 4" xfId="28561" xr:uid="{00000000-0005-0000-0000-0000722A0000}"/>
    <cellStyle name="Normal 37 2 6 2 5" xfId="28562" xr:uid="{00000000-0005-0000-0000-0000732A0000}"/>
    <cellStyle name="Normal 37 2 6 3" xfId="28563" xr:uid="{00000000-0005-0000-0000-0000742A0000}"/>
    <cellStyle name="Normal 37 2 6 3 2" xfId="28564" xr:uid="{00000000-0005-0000-0000-0000752A0000}"/>
    <cellStyle name="Normal 37 2 6 3 3" xfId="28565" xr:uid="{00000000-0005-0000-0000-0000762A0000}"/>
    <cellStyle name="Normal 37 2 6 3 4" xfId="28566" xr:uid="{00000000-0005-0000-0000-0000772A0000}"/>
    <cellStyle name="Normal 37 2 6 4" xfId="28567" xr:uid="{00000000-0005-0000-0000-0000782A0000}"/>
    <cellStyle name="Normal 37 2 6 5" xfId="28568" xr:uid="{00000000-0005-0000-0000-0000792A0000}"/>
    <cellStyle name="Normal 37 2 6 6" xfId="28569" xr:uid="{00000000-0005-0000-0000-00007A2A0000}"/>
    <cellStyle name="Normal 37 2 7" xfId="28570" xr:uid="{00000000-0005-0000-0000-00007B2A0000}"/>
    <cellStyle name="Normal 37 2 7 2" xfId="28571" xr:uid="{00000000-0005-0000-0000-00007C2A0000}"/>
    <cellStyle name="Normal 37 2 7 2 2" xfId="28572" xr:uid="{00000000-0005-0000-0000-00007D2A0000}"/>
    <cellStyle name="Normal 37 2 7 2 3" xfId="28573" xr:uid="{00000000-0005-0000-0000-00007E2A0000}"/>
    <cellStyle name="Normal 37 2 7 2 4" xfId="28574" xr:uid="{00000000-0005-0000-0000-00007F2A0000}"/>
    <cellStyle name="Normal 37 2 7 3" xfId="28575" xr:uid="{00000000-0005-0000-0000-0000802A0000}"/>
    <cellStyle name="Normal 37 2 7 4" xfId="28576" xr:uid="{00000000-0005-0000-0000-0000812A0000}"/>
    <cellStyle name="Normal 37 2 7 5" xfId="28577" xr:uid="{00000000-0005-0000-0000-0000822A0000}"/>
    <cellStyle name="Normal 37 2 8" xfId="28578" xr:uid="{00000000-0005-0000-0000-0000832A0000}"/>
    <cellStyle name="Normal 37 2 8 2" xfId="28579" xr:uid="{00000000-0005-0000-0000-0000842A0000}"/>
    <cellStyle name="Normal 37 2 8 3" xfId="28580" xr:uid="{00000000-0005-0000-0000-0000852A0000}"/>
    <cellStyle name="Normal 37 2 8 4" xfId="28581" xr:uid="{00000000-0005-0000-0000-0000862A0000}"/>
    <cellStyle name="Normal 37 2 9" xfId="28582" xr:uid="{00000000-0005-0000-0000-0000872A0000}"/>
    <cellStyle name="Normal 37 2 9 2" xfId="28583" xr:uid="{00000000-0005-0000-0000-0000882A0000}"/>
    <cellStyle name="Normal 37 2 9 3" xfId="28584" xr:uid="{00000000-0005-0000-0000-0000892A0000}"/>
    <cellStyle name="Normal 37 2 9 4" xfId="28585" xr:uid="{00000000-0005-0000-0000-00008A2A0000}"/>
    <cellStyle name="Normal 37 3" xfId="28586" xr:uid="{00000000-0005-0000-0000-00008B2A0000}"/>
    <cellStyle name="Normal 37 3 2" xfId="28587" xr:uid="{00000000-0005-0000-0000-00008C2A0000}"/>
    <cellStyle name="Normal 37 3 2 2" xfId="28588" xr:uid="{00000000-0005-0000-0000-00008D2A0000}"/>
    <cellStyle name="Normal 37 3 2 2 2" xfId="28589" xr:uid="{00000000-0005-0000-0000-00008E2A0000}"/>
    <cellStyle name="Normal 37 3 2 2 2 2" xfId="28590" xr:uid="{00000000-0005-0000-0000-00008F2A0000}"/>
    <cellStyle name="Normal 37 3 2 2 2 3" xfId="28591" xr:uid="{00000000-0005-0000-0000-0000902A0000}"/>
    <cellStyle name="Normal 37 3 2 2 2 4" xfId="28592" xr:uid="{00000000-0005-0000-0000-0000912A0000}"/>
    <cellStyle name="Normal 37 3 2 2 3" xfId="28593" xr:uid="{00000000-0005-0000-0000-0000922A0000}"/>
    <cellStyle name="Normal 37 3 2 2 4" xfId="28594" xr:uid="{00000000-0005-0000-0000-0000932A0000}"/>
    <cellStyle name="Normal 37 3 2 2 5" xfId="28595" xr:uid="{00000000-0005-0000-0000-0000942A0000}"/>
    <cellStyle name="Normal 37 3 2 3" xfId="28596" xr:uid="{00000000-0005-0000-0000-0000952A0000}"/>
    <cellStyle name="Normal 37 3 2 3 2" xfId="28597" xr:uid="{00000000-0005-0000-0000-0000962A0000}"/>
    <cellStyle name="Normal 37 3 2 3 3" xfId="28598" xr:uid="{00000000-0005-0000-0000-0000972A0000}"/>
    <cellStyle name="Normal 37 3 2 3 4" xfId="28599" xr:uid="{00000000-0005-0000-0000-0000982A0000}"/>
    <cellStyle name="Normal 37 3 2 4" xfId="28600" xr:uid="{00000000-0005-0000-0000-0000992A0000}"/>
    <cellStyle name="Normal 37 3 2 5" xfId="28601" xr:uid="{00000000-0005-0000-0000-00009A2A0000}"/>
    <cellStyle name="Normal 37 3 2 6" xfId="28602" xr:uid="{00000000-0005-0000-0000-00009B2A0000}"/>
    <cellStyle name="Normal 37 3 3" xfId="28603" xr:uid="{00000000-0005-0000-0000-00009C2A0000}"/>
    <cellStyle name="Normal 37 3 3 2" xfId="28604" xr:uid="{00000000-0005-0000-0000-00009D2A0000}"/>
    <cellStyle name="Normal 37 3 3 2 2" xfId="28605" xr:uid="{00000000-0005-0000-0000-00009E2A0000}"/>
    <cellStyle name="Normal 37 3 3 2 3" xfId="28606" xr:uid="{00000000-0005-0000-0000-00009F2A0000}"/>
    <cellStyle name="Normal 37 3 3 2 4" xfId="28607" xr:uid="{00000000-0005-0000-0000-0000A02A0000}"/>
    <cellStyle name="Normal 37 3 3 3" xfId="28608" xr:uid="{00000000-0005-0000-0000-0000A12A0000}"/>
    <cellStyle name="Normal 37 3 3 4" xfId="28609" xr:uid="{00000000-0005-0000-0000-0000A22A0000}"/>
    <cellStyle name="Normal 37 3 3 5" xfId="28610" xr:uid="{00000000-0005-0000-0000-0000A32A0000}"/>
    <cellStyle name="Normal 37 3 4" xfId="28611" xr:uid="{00000000-0005-0000-0000-0000A42A0000}"/>
    <cellStyle name="Normal 37 3 4 2" xfId="28612" xr:uid="{00000000-0005-0000-0000-0000A52A0000}"/>
    <cellStyle name="Normal 37 3 4 3" xfId="28613" xr:uid="{00000000-0005-0000-0000-0000A62A0000}"/>
    <cellStyle name="Normal 37 3 4 4" xfId="28614" xr:uid="{00000000-0005-0000-0000-0000A72A0000}"/>
    <cellStyle name="Normal 37 3 5" xfId="28615" xr:uid="{00000000-0005-0000-0000-0000A82A0000}"/>
    <cellStyle name="Normal 37 3 5 2" xfId="28616" xr:uid="{00000000-0005-0000-0000-0000A92A0000}"/>
    <cellStyle name="Normal 37 3 5 3" xfId="28617" xr:uid="{00000000-0005-0000-0000-0000AA2A0000}"/>
    <cellStyle name="Normal 37 3 5 4" xfId="28618" xr:uid="{00000000-0005-0000-0000-0000AB2A0000}"/>
    <cellStyle name="Normal 37 3 6" xfId="28619" xr:uid="{00000000-0005-0000-0000-0000AC2A0000}"/>
    <cellStyle name="Normal 37 3 6 2" xfId="28620" xr:uid="{00000000-0005-0000-0000-0000AD2A0000}"/>
    <cellStyle name="Normal 37 3 6 3" xfId="28621" xr:uid="{00000000-0005-0000-0000-0000AE2A0000}"/>
    <cellStyle name="Normal 37 3 7" xfId="28622" xr:uid="{00000000-0005-0000-0000-0000AF2A0000}"/>
    <cellStyle name="Normal 37 3 8" xfId="28623" xr:uid="{00000000-0005-0000-0000-0000B02A0000}"/>
    <cellStyle name="Normal 37 3 9" xfId="28624" xr:uid="{00000000-0005-0000-0000-0000B12A0000}"/>
    <cellStyle name="Normal 37 4" xfId="28625" xr:uid="{00000000-0005-0000-0000-0000B22A0000}"/>
    <cellStyle name="Normal 37 4 2" xfId="28626" xr:uid="{00000000-0005-0000-0000-0000B32A0000}"/>
    <cellStyle name="Normal 37 4 2 2" xfId="28627" xr:uid="{00000000-0005-0000-0000-0000B42A0000}"/>
    <cellStyle name="Normal 37 4 2 2 2" xfId="28628" xr:uid="{00000000-0005-0000-0000-0000B52A0000}"/>
    <cellStyle name="Normal 37 4 2 2 2 2" xfId="28629" xr:uid="{00000000-0005-0000-0000-0000B62A0000}"/>
    <cellStyle name="Normal 37 4 2 2 2 3" xfId="28630" xr:uid="{00000000-0005-0000-0000-0000B72A0000}"/>
    <cellStyle name="Normal 37 4 2 2 2 4" xfId="28631" xr:uid="{00000000-0005-0000-0000-0000B82A0000}"/>
    <cellStyle name="Normal 37 4 2 2 3" xfId="28632" xr:uid="{00000000-0005-0000-0000-0000B92A0000}"/>
    <cellStyle name="Normal 37 4 2 2 4" xfId="28633" xr:uid="{00000000-0005-0000-0000-0000BA2A0000}"/>
    <cellStyle name="Normal 37 4 2 2 5" xfId="28634" xr:uid="{00000000-0005-0000-0000-0000BB2A0000}"/>
    <cellStyle name="Normal 37 4 2 3" xfId="28635" xr:uid="{00000000-0005-0000-0000-0000BC2A0000}"/>
    <cellStyle name="Normal 37 4 2 3 2" xfId="28636" xr:uid="{00000000-0005-0000-0000-0000BD2A0000}"/>
    <cellStyle name="Normal 37 4 2 3 3" xfId="28637" xr:uid="{00000000-0005-0000-0000-0000BE2A0000}"/>
    <cellStyle name="Normal 37 4 2 3 4" xfId="28638" xr:uid="{00000000-0005-0000-0000-0000BF2A0000}"/>
    <cellStyle name="Normal 37 4 2 4" xfId="28639" xr:uid="{00000000-0005-0000-0000-0000C02A0000}"/>
    <cellStyle name="Normal 37 4 2 5" xfId="28640" xr:uid="{00000000-0005-0000-0000-0000C12A0000}"/>
    <cellStyle name="Normal 37 4 2 6" xfId="28641" xr:uid="{00000000-0005-0000-0000-0000C22A0000}"/>
    <cellStyle name="Normal 37 4 3" xfId="28642" xr:uid="{00000000-0005-0000-0000-0000C32A0000}"/>
    <cellStyle name="Normal 37 4 3 2" xfId="28643" xr:uid="{00000000-0005-0000-0000-0000C42A0000}"/>
    <cellStyle name="Normal 37 4 3 2 2" xfId="28644" xr:uid="{00000000-0005-0000-0000-0000C52A0000}"/>
    <cellStyle name="Normal 37 4 3 2 3" xfId="28645" xr:uid="{00000000-0005-0000-0000-0000C62A0000}"/>
    <cellStyle name="Normal 37 4 3 2 4" xfId="28646" xr:uid="{00000000-0005-0000-0000-0000C72A0000}"/>
    <cellStyle name="Normal 37 4 3 3" xfId="28647" xr:uid="{00000000-0005-0000-0000-0000C82A0000}"/>
    <cellStyle name="Normal 37 4 3 4" xfId="28648" xr:uid="{00000000-0005-0000-0000-0000C92A0000}"/>
    <cellStyle name="Normal 37 4 3 5" xfId="28649" xr:uid="{00000000-0005-0000-0000-0000CA2A0000}"/>
    <cellStyle name="Normal 37 4 4" xfId="28650" xr:uid="{00000000-0005-0000-0000-0000CB2A0000}"/>
    <cellStyle name="Normal 37 4 4 2" xfId="28651" xr:uid="{00000000-0005-0000-0000-0000CC2A0000}"/>
    <cellStyle name="Normal 37 4 4 3" xfId="28652" xr:uid="{00000000-0005-0000-0000-0000CD2A0000}"/>
    <cellStyle name="Normal 37 4 4 4" xfId="28653" xr:uid="{00000000-0005-0000-0000-0000CE2A0000}"/>
    <cellStyle name="Normal 37 4 5" xfId="28654" xr:uid="{00000000-0005-0000-0000-0000CF2A0000}"/>
    <cellStyle name="Normal 37 4 5 2" xfId="28655" xr:uid="{00000000-0005-0000-0000-0000D02A0000}"/>
    <cellStyle name="Normal 37 4 5 3" xfId="28656" xr:uid="{00000000-0005-0000-0000-0000D12A0000}"/>
    <cellStyle name="Normal 37 4 5 4" xfId="28657" xr:uid="{00000000-0005-0000-0000-0000D22A0000}"/>
    <cellStyle name="Normal 37 4 6" xfId="28658" xr:uid="{00000000-0005-0000-0000-0000D32A0000}"/>
    <cellStyle name="Normal 37 4 6 2" xfId="28659" xr:uid="{00000000-0005-0000-0000-0000D42A0000}"/>
    <cellStyle name="Normal 37 4 6 3" xfId="28660" xr:uid="{00000000-0005-0000-0000-0000D52A0000}"/>
    <cellStyle name="Normal 37 4 7" xfId="28661" xr:uid="{00000000-0005-0000-0000-0000D62A0000}"/>
    <cellStyle name="Normal 37 4 8" xfId="28662" xr:uid="{00000000-0005-0000-0000-0000D72A0000}"/>
    <cellStyle name="Normal 37 4 9" xfId="28663" xr:uid="{00000000-0005-0000-0000-0000D82A0000}"/>
    <cellStyle name="Normal 37 5" xfId="28664" xr:uid="{00000000-0005-0000-0000-0000D92A0000}"/>
    <cellStyle name="Normal 37 5 2" xfId="28665" xr:uid="{00000000-0005-0000-0000-0000DA2A0000}"/>
    <cellStyle name="Normal 37 5 2 2" xfId="28666" xr:uid="{00000000-0005-0000-0000-0000DB2A0000}"/>
    <cellStyle name="Normal 37 5 2 2 2" xfId="28667" xr:uid="{00000000-0005-0000-0000-0000DC2A0000}"/>
    <cellStyle name="Normal 37 5 2 2 3" xfId="28668" xr:uid="{00000000-0005-0000-0000-0000DD2A0000}"/>
    <cellStyle name="Normal 37 5 2 2 4" xfId="28669" xr:uid="{00000000-0005-0000-0000-0000DE2A0000}"/>
    <cellStyle name="Normal 37 5 2 3" xfId="28670" xr:uid="{00000000-0005-0000-0000-0000DF2A0000}"/>
    <cellStyle name="Normal 37 5 2 4" xfId="28671" xr:uid="{00000000-0005-0000-0000-0000E02A0000}"/>
    <cellStyle name="Normal 37 5 2 5" xfId="28672" xr:uid="{00000000-0005-0000-0000-0000E12A0000}"/>
    <cellStyle name="Normal 37 5 3" xfId="28673" xr:uid="{00000000-0005-0000-0000-0000E22A0000}"/>
    <cellStyle name="Normal 37 5 3 2" xfId="28674" xr:uid="{00000000-0005-0000-0000-0000E32A0000}"/>
    <cellStyle name="Normal 37 5 3 3" xfId="28675" xr:uid="{00000000-0005-0000-0000-0000E42A0000}"/>
    <cellStyle name="Normal 37 5 3 4" xfId="28676" xr:uid="{00000000-0005-0000-0000-0000E52A0000}"/>
    <cellStyle name="Normal 37 5 4" xfId="28677" xr:uid="{00000000-0005-0000-0000-0000E62A0000}"/>
    <cellStyle name="Normal 37 5 5" xfId="28678" xr:uid="{00000000-0005-0000-0000-0000E72A0000}"/>
    <cellStyle name="Normal 37 5 6" xfId="28679" xr:uid="{00000000-0005-0000-0000-0000E82A0000}"/>
    <cellStyle name="Normal 37 6" xfId="28680" xr:uid="{00000000-0005-0000-0000-0000E92A0000}"/>
    <cellStyle name="Normal 37 6 2" xfId="28681" xr:uid="{00000000-0005-0000-0000-0000EA2A0000}"/>
    <cellStyle name="Normal 37 6 2 2" xfId="28682" xr:uid="{00000000-0005-0000-0000-0000EB2A0000}"/>
    <cellStyle name="Normal 37 6 2 2 2" xfId="28683" xr:uid="{00000000-0005-0000-0000-0000EC2A0000}"/>
    <cellStyle name="Normal 37 6 2 2 3" xfId="28684" xr:uid="{00000000-0005-0000-0000-0000ED2A0000}"/>
    <cellStyle name="Normal 37 6 2 2 4" xfId="28685" xr:uid="{00000000-0005-0000-0000-0000EE2A0000}"/>
    <cellStyle name="Normal 37 6 2 3" xfId="28686" xr:uid="{00000000-0005-0000-0000-0000EF2A0000}"/>
    <cellStyle name="Normal 37 6 2 4" xfId="28687" xr:uid="{00000000-0005-0000-0000-0000F02A0000}"/>
    <cellStyle name="Normal 37 6 2 5" xfId="28688" xr:uid="{00000000-0005-0000-0000-0000F12A0000}"/>
    <cellStyle name="Normal 37 6 3" xfId="28689" xr:uid="{00000000-0005-0000-0000-0000F22A0000}"/>
    <cellStyle name="Normal 37 6 3 2" xfId="28690" xr:uid="{00000000-0005-0000-0000-0000F32A0000}"/>
    <cellStyle name="Normal 37 6 3 3" xfId="28691" xr:uid="{00000000-0005-0000-0000-0000F42A0000}"/>
    <cellStyle name="Normal 37 6 3 4" xfId="28692" xr:uid="{00000000-0005-0000-0000-0000F52A0000}"/>
    <cellStyle name="Normal 37 6 4" xfId="28693" xr:uid="{00000000-0005-0000-0000-0000F62A0000}"/>
    <cellStyle name="Normal 37 6 5" xfId="28694" xr:uid="{00000000-0005-0000-0000-0000F72A0000}"/>
    <cellStyle name="Normal 37 6 6" xfId="28695" xr:uid="{00000000-0005-0000-0000-0000F82A0000}"/>
    <cellStyle name="Normal 37 7" xfId="28696" xr:uid="{00000000-0005-0000-0000-0000F92A0000}"/>
    <cellStyle name="Normal 37 7 2" xfId="28697" xr:uid="{00000000-0005-0000-0000-0000FA2A0000}"/>
    <cellStyle name="Normal 37 7 2 2" xfId="28698" xr:uid="{00000000-0005-0000-0000-0000FB2A0000}"/>
    <cellStyle name="Normal 37 7 2 2 2" xfId="28699" xr:uid="{00000000-0005-0000-0000-0000FC2A0000}"/>
    <cellStyle name="Normal 37 7 2 2 3" xfId="28700" xr:uid="{00000000-0005-0000-0000-0000FD2A0000}"/>
    <cellStyle name="Normal 37 7 2 2 4" xfId="28701" xr:uid="{00000000-0005-0000-0000-0000FE2A0000}"/>
    <cellStyle name="Normal 37 7 2 3" xfId="28702" xr:uid="{00000000-0005-0000-0000-0000FF2A0000}"/>
    <cellStyle name="Normal 37 7 2 4" xfId="28703" xr:uid="{00000000-0005-0000-0000-0000002B0000}"/>
    <cellStyle name="Normal 37 7 2 5" xfId="28704" xr:uid="{00000000-0005-0000-0000-0000012B0000}"/>
    <cellStyle name="Normal 37 7 3" xfId="28705" xr:uid="{00000000-0005-0000-0000-0000022B0000}"/>
    <cellStyle name="Normal 37 7 3 2" xfId="28706" xr:uid="{00000000-0005-0000-0000-0000032B0000}"/>
    <cellStyle name="Normal 37 7 3 3" xfId="28707" xr:uid="{00000000-0005-0000-0000-0000042B0000}"/>
    <cellStyle name="Normal 37 7 3 4" xfId="28708" xr:uid="{00000000-0005-0000-0000-0000052B0000}"/>
    <cellStyle name="Normal 37 7 4" xfId="28709" xr:uid="{00000000-0005-0000-0000-0000062B0000}"/>
    <cellStyle name="Normal 37 7 5" xfId="28710" xr:uid="{00000000-0005-0000-0000-0000072B0000}"/>
    <cellStyle name="Normal 37 7 6" xfId="28711" xr:uid="{00000000-0005-0000-0000-0000082B0000}"/>
    <cellStyle name="Normal 37 8" xfId="28712" xr:uid="{00000000-0005-0000-0000-0000092B0000}"/>
    <cellStyle name="Normal 37 8 2" xfId="28713" xr:uid="{00000000-0005-0000-0000-00000A2B0000}"/>
    <cellStyle name="Normal 37 8 2 2" xfId="28714" xr:uid="{00000000-0005-0000-0000-00000B2B0000}"/>
    <cellStyle name="Normal 37 8 2 3" xfId="28715" xr:uid="{00000000-0005-0000-0000-00000C2B0000}"/>
    <cellStyle name="Normal 37 8 2 4" xfId="28716" xr:uid="{00000000-0005-0000-0000-00000D2B0000}"/>
    <cellStyle name="Normal 37 8 3" xfId="28717" xr:uid="{00000000-0005-0000-0000-00000E2B0000}"/>
    <cellStyle name="Normal 37 8 4" xfId="28718" xr:uid="{00000000-0005-0000-0000-00000F2B0000}"/>
    <cellStyle name="Normal 37 8 5" xfId="28719" xr:uid="{00000000-0005-0000-0000-0000102B0000}"/>
    <cellStyle name="Normal 37 9" xfId="28720" xr:uid="{00000000-0005-0000-0000-0000112B0000}"/>
    <cellStyle name="Normal 37 9 2" xfId="28721" xr:uid="{00000000-0005-0000-0000-0000122B0000}"/>
    <cellStyle name="Normal 37 9 3" xfId="28722" xr:uid="{00000000-0005-0000-0000-0000132B0000}"/>
    <cellStyle name="Normal 37 9 4" xfId="28723" xr:uid="{00000000-0005-0000-0000-0000142B0000}"/>
    <cellStyle name="Normal 38" xfId="1214" xr:uid="{00000000-0005-0000-0000-0000152B0000}"/>
    <cellStyle name="Normal 38 10" xfId="28724" xr:uid="{00000000-0005-0000-0000-0000162B0000}"/>
    <cellStyle name="Normal 38 10 2" xfId="28725" xr:uid="{00000000-0005-0000-0000-0000172B0000}"/>
    <cellStyle name="Normal 38 10 3" xfId="28726" xr:uid="{00000000-0005-0000-0000-0000182B0000}"/>
    <cellStyle name="Normal 38 10 4" xfId="28727" xr:uid="{00000000-0005-0000-0000-0000192B0000}"/>
    <cellStyle name="Normal 38 11" xfId="28728" xr:uid="{00000000-0005-0000-0000-00001A2B0000}"/>
    <cellStyle name="Normal 38 11 2" xfId="28729" xr:uid="{00000000-0005-0000-0000-00001B2B0000}"/>
    <cellStyle name="Normal 38 11 3" xfId="28730" xr:uid="{00000000-0005-0000-0000-00001C2B0000}"/>
    <cellStyle name="Normal 38 12" xfId="28731" xr:uid="{00000000-0005-0000-0000-00001D2B0000}"/>
    <cellStyle name="Normal 38 12 2" xfId="28732" xr:uid="{00000000-0005-0000-0000-00001E2B0000}"/>
    <cellStyle name="Normal 38 13" xfId="28733" xr:uid="{00000000-0005-0000-0000-00001F2B0000}"/>
    <cellStyle name="Normal 38 14" xfId="28734" xr:uid="{00000000-0005-0000-0000-0000202B0000}"/>
    <cellStyle name="Normal 38 2" xfId="1215" xr:uid="{00000000-0005-0000-0000-0000212B0000}"/>
    <cellStyle name="Normal 38 2 2" xfId="28735" xr:uid="{00000000-0005-0000-0000-0000222B0000}"/>
    <cellStyle name="Normal 38 2 2 2" xfId="28736" xr:uid="{00000000-0005-0000-0000-0000232B0000}"/>
    <cellStyle name="Normal 38 2 2 2 2" xfId="28737" xr:uid="{00000000-0005-0000-0000-0000242B0000}"/>
    <cellStyle name="Normal 38 2 2 2 2 2" xfId="28738" xr:uid="{00000000-0005-0000-0000-0000252B0000}"/>
    <cellStyle name="Normal 38 2 2 2 2 3" xfId="28739" xr:uid="{00000000-0005-0000-0000-0000262B0000}"/>
    <cellStyle name="Normal 38 2 2 2 2 4" xfId="28740" xr:uid="{00000000-0005-0000-0000-0000272B0000}"/>
    <cellStyle name="Normal 38 2 2 2 3" xfId="28741" xr:uid="{00000000-0005-0000-0000-0000282B0000}"/>
    <cellStyle name="Normal 38 2 2 2 4" xfId="28742" xr:uid="{00000000-0005-0000-0000-0000292B0000}"/>
    <cellStyle name="Normal 38 2 2 2 5" xfId="28743" xr:uid="{00000000-0005-0000-0000-00002A2B0000}"/>
    <cellStyle name="Normal 38 2 2 3" xfId="28744" xr:uid="{00000000-0005-0000-0000-00002B2B0000}"/>
    <cellStyle name="Normal 38 2 2 3 2" xfId="28745" xr:uid="{00000000-0005-0000-0000-00002C2B0000}"/>
    <cellStyle name="Normal 38 2 2 3 3" xfId="28746" xr:uid="{00000000-0005-0000-0000-00002D2B0000}"/>
    <cellStyle name="Normal 38 2 2 3 4" xfId="28747" xr:uid="{00000000-0005-0000-0000-00002E2B0000}"/>
    <cellStyle name="Normal 38 2 2 4" xfId="28748" xr:uid="{00000000-0005-0000-0000-00002F2B0000}"/>
    <cellStyle name="Normal 38 2 2 5" xfId="28749" xr:uid="{00000000-0005-0000-0000-0000302B0000}"/>
    <cellStyle name="Normal 38 2 2 6" xfId="28750" xr:uid="{00000000-0005-0000-0000-0000312B0000}"/>
    <cellStyle name="Normal 38 2 3" xfId="28751" xr:uid="{00000000-0005-0000-0000-0000322B0000}"/>
    <cellStyle name="Normal 38 2 3 2" xfId="28752" xr:uid="{00000000-0005-0000-0000-0000332B0000}"/>
    <cellStyle name="Normal 38 2 3 2 2" xfId="28753" xr:uid="{00000000-0005-0000-0000-0000342B0000}"/>
    <cellStyle name="Normal 38 2 3 2 3" xfId="28754" xr:uid="{00000000-0005-0000-0000-0000352B0000}"/>
    <cellStyle name="Normal 38 2 3 2 4" xfId="28755" xr:uid="{00000000-0005-0000-0000-0000362B0000}"/>
    <cellStyle name="Normal 38 2 3 3" xfId="28756" xr:uid="{00000000-0005-0000-0000-0000372B0000}"/>
    <cellStyle name="Normal 38 2 3 4" xfId="28757" xr:uid="{00000000-0005-0000-0000-0000382B0000}"/>
    <cellStyle name="Normal 38 2 3 5" xfId="28758" xr:uid="{00000000-0005-0000-0000-0000392B0000}"/>
    <cellStyle name="Normal 38 2 4" xfId="28759" xr:uid="{00000000-0005-0000-0000-00003A2B0000}"/>
    <cellStyle name="Normal 38 2 4 2" xfId="28760" xr:uid="{00000000-0005-0000-0000-00003B2B0000}"/>
    <cellStyle name="Normal 38 2 4 3" xfId="28761" xr:uid="{00000000-0005-0000-0000-00003C2B0000}"/>
    <cellStyle name="Normal 38 2 4 4" xfId="28762" xr:uid="{00000000-0005-0000-0000-00003D2B0000}"/>
    <cellStyle name="Normal 38 2 5" xfId="28763" xr:uid="{00000000-0005-0000-0000-00003E2B0000}"/>
    <cellStyle name="Normal 38 2 5 2" xfId="28764" xr:uid="{00000000-0005-0000-0000-00003F2B0000}"/>
    <cellStyle name="Normal 38 2 5 3" xfId="28765" xr:uid="{00000000-0005-0000-0000-0000402B0000}"/>
    <cellStyle name="Normal 38 2 5 4" xfId="28766" xr:uid="{00000000-0005-0000-0000-0000412B0000}"/>
    <cellStyle name="Normal 38 2 6" xfId="28767" xr:uid="{00000000-0005-0000-0000-0000422B0000}"/>
    <cellStyle name="Normal 38 2 6 2" xfId="28768" xr:uid="{00000000-0005-0000-0000-0000432B0000}"/>
    <cellStyle name="Normal 38 2 6 3" xfId="28769" xr:uid="{00000000-0005-0000-0000-0000442B0000}"/>
    <cellStyle name="Normal 38 2 7" xfId="28770" xr:uid="{00000000-0005-0000-0000-0000452B0000}"/>
    <cellStyle name="Normal 38 2 8" xfId="28771" xr:uid="{00000000-0005-0000-0000-0000462B0000}"/>
    <cellStyle name="Normal 38 2 9" xfId="28772" xr:uid="{00000000-0005-0000-0000-0000472B0000}"/>
    <cellStyle name="Normal 38 3" xfId="28773" xr:uid="{00000000-0005-0000-0000-0000482B0000}"/>
    <cellStyle name="Normal 38 3 2" xfId="28774" xr:uid="{00000000-0005-0000-0000-0000492B0000}"/>
    <cellStyle name="Normal 38 3 2 2" xfId="28775" xr:uid="{00000000-0005-0000-0000-00004A2B0000}"/>
    <cellStyle name="Normal 38 3 2 2 2" xfId="28776" xr:uid="{00000000-0005-0000-0000-00004B2B0000}"/>
    <cellStyle name="Normal 38 3 2 2 2 2" xfId="28777" xr:uid="{00000000-0005-0000-0000-00004C2B0000}"/>
    <cellStyle name="Normal 38 3 2 2 2 3" xfId="28778" xr:uid="{00000000-0005-0000-0000-00004D2B0000}"/>
    <cellStyle name="Normal 38 3 2 2 2 4" xfId="28779" xr:uid="{00000000-0005-0000-0000-00004E2B0000}"/>
    <cellStyle name="Normal 38 3 2 2 3" xfId="28780" xr:uid="{00000000-0005-0000-0000-00004F2B0000}"/>
    <cellStyle name="Normal 38 3 2 2 4" xfId="28781" xr:uid="{00000000-0005-0000-0000-0000502B0000}"/>
    <cellStyle name="Normal 38 3 2 2 5" xfId="28782" xr:uid="{00000000-0005-0000-0000-0000512B0000}"/>
    <cellStyle name="Normal 38 3 2 3" xfId="28783" xr:uid="{00000000-0005-0000-0000-0000522B0000}"/>
    <cellStyle name="Normal 38 3 2 3 2" xfId="28784" xr:uid="{00000000-0005-0000-0000-0000532B0000}"/>
    <cellStyle name="Normal 38 3 2 3 3" xfId="28785" xr:uid="{00000000-0005-0000-0000-0000542B0000}"/>
    <cellStyle name="Normal 38 3 2 3 4" xfId="28786" xr:uid="{00000000-0005-0000-0000-0000552B0000}"/>
    <cellStyle name="Normal 38 3 2 4" xfId="28787" xr:uid="{00000000-0005-0000-0000-0000562B0000}"/>
    <cellStyle name="Normal 38 3 2 5" xfId="28788" xr:uid="{00000000-0005-0000-0000-0000572B0000}"/>
    <cellStyle name="Normal 38 3 2 6" xfId="28789" xr:uid="{00000000-0005-0000-0000-0000582B0000}"/>
    <cellStyle name="Normal 38 3 3" xfId="28790" xr:uid="{00000000-0005-0000-0000-0000592B0000}"/>
    <cellStyle name="Normal 38 3 3 2" xfId="28791" xr:uid="{00000000-0005-0000-0000-00005A2B0000}"/>
    <cellStyle name="Normal 38 3 3 2 2" xfId="28792" xr:uid="{00000000-0005-0000-0000-00005B2B0000}"/>
    <cellStyle name="Normal 38 3 3 2 3" xfId="28793" xr:uid="{00000000-0005-0000-0000-00005C2B0000}"/>
    <cellStyle name="Normal 38 3 3 2 4" xfId="28794" xr:uid="{00000000-0005-0000-0000-00005D2B0000}"/>
    <cellStyle name="Normal 38 3 3 3" xfId="28795" xr:uid="{00000000-0005-0000-0000-00005E2B0000}"/>
    <cellStyle name="Normal 38 3 3 4" xfId="28796" xr:uid="{00000000-0005-0000-0000-00005F2B0000}"/>
    <cellStyle name="Normal 38 3 3 5" xfId="28797" xr:uid="{00000000-0005-0000-0000-0000602B0000}"/>
    <cellStyle name="Normal 38 3 4" xfId="28798" xr:uid="{00000000-0005-0000-0000-0000612B0000}"/>
    <cellStyle name="Normal 38 3 4 2" xfId="28799" xr:uid="{00000000-0005-0000-0000-0000622B0000}"/>
    <cellStyle name="Normal 38 3 4 3" xfId="28800" xr:uid="{00000000-0005-0000-0000-0000632B0000}"/>
    <cellStyle name="Normal 38 3 4 4" xfId="28801" xr:uid="{00000000-0005-0000-0000-0000642B0000}"/>
    <cellStyle name="Normal 38 3 5" xfId="28802" xr:uid="{00000000-0005-0000-0000-0000652B0000}"/>
    <cellStyle name="Normal 38 3 5 2" xfId="28803" xr:uid="{00000000-0005-0000-0000-0000662B0000}"/>
    <cellStyle name="Normal 38 3 5 3" xfId="28804" xr:uid="{00000000-0005-0000-0000-0000672B0000}"/>
    <cellStyle name="Normal 38 3 5 4" xfId="28805" xr:uid="{00000000-0005-0000-0000-0000682B0000}"/>
    <cellStyle name="Normal 38 3 6" xfId="28806" xr:uid="{00000000-0005-0000-0000-0000692B0000}"/>
    <cellStyle name="Normal 38 3 6 2" xfId="28807" xr:uid="{00000000-0005-0000-0000-00006A2B0000}"/>
    <cellStyle name="Normal 38 3 6 3" xfId="28808" xr:uid="{00000000-0005-0000-0000-00006B2B0000}"/>
    <cellStyle name="Normal 38 3 7" xfId="28809" xr:uid="{00000000-0005-0000-0000-00006C2B0000}"/>
    <cellStyle name="Normal 38 3 8" xfId="28810" xr:uid="{00000000-0005-0000-0000-00006D2B0000}"/>
    <cellStyle name="Normal 38 3 9" xfId="28811" xr:uid="{00000000-0005-0000-0000-00006E2B0000}"/>
    <cellStyle name="Normal 38 4" xfId="28812" xr:uid="{00000000-0005-0000-0000-00006F2B0000}"/>
    <cellStyle name="Normal 38 4 2" xfId="28813" xr:uid="{00000000-0005-0000-0000-0000702B0000}"/>
    <cellStyle name="Normal 38 4 2 2" xfId="28814" xr:uid="{00000000-0005-0000-0000-0000712B0000}"/>
    <cellStyle name="Normal 38 4 2 2 2" xfId="28815" xr:uid="{00000000-0005-0000-0000-0000722B0000}"/>
    <cellStyle name="Normal 38 4 2 2 3" xfId="28816" xr:uid="{00000000-0005-0000-0000-0000732B0000}"/>
    <cellStyle name="Normal 38 4 2 2 4" xfId="28817" xr:uid="{00000000-0005-0000-0000-0000742B0000}"/>
    <cellStyle name="Normal 38 4 2 3" xfId="28818" xr:uid="{00000000-0005-0000-0000-0000752B0000}"/>
    <cellStyle name="Normal 38 4 2 4" xfId="28819" xr:uid="{00000000-0005-0000-0000-0000762B0000}"/>
    <cellStyle name="Normal 38 4 2 5" xfId="28820" xr:uid="{00000000-0005-0000-0000-0000772B0000}"/>
    <cellStyle name="Normal 38 4 3" xfId="28821" xr:uid="{00000000-0005-0000-0000-0000782B0000}"/>
    <cellStyle name="Normal 38 4 3 2" xfId="28822" xr:uid="{00000000-0005-0000-0000-0000792B0000}"/>
    <cellStyle name="Normal 38 4 3 3" xfId="28823" xr:uid="{00000000-0005-0000-0000-00007A2B0000}"/>
    <cellStyle name="Normal 38 4 3 4" xfId="28824" xr:uid="{00000000-0005-0000-0000-00007B2B0000}"/>
    <cellStyle name="Normal 38 4 4" xfId="28825" xr:uid="{00000000-0005-0000-0000-00007C2B0000}"/>
    <cellStyle name="Normal 38 4 5" xfId="28826" xr:uid="{00000000-0005-0000-0000-00007D2B0000}"/>
    <cellStyle name="Normal 38 4 6" xfId="28827" xr:uid="{00000000-0005-0000-0000-00007E2B0000}"/>
    <cellStyle name="Normal 38 5" xfId="28828" xr:uid="{00000000-0005-0000-0000-00007F2B0000}"/>
    <cellStyle name="Normal 38 5 2" xfId="28829" xr:uid="{00000000-0005-0000-0000-0000802B0000}"/>
    <cellStyle name="Normal 38 5 2 2" xfId="28830" xr:uid="{00000000-0005-0000-0000-0000812B0000}"/>
    <cellStyle name="Normal 38 5 2 2 2" xfId="28831" xr:uid="{00000000-0005-0000-0000-0000822B0000}"/>
    <cellStyle name="Normal 38 5 2 2 3" xfId="28832" xr:uid="{00000000-0005-0000-0000-0000832B0000}"/>
    <cellStyle name="Normal 38 5 2 2 4" xfId="28833" xr:uid="{00000000-0005-0000-0000-0000842B0000}"/>
    <cellStyle name="Normal 38 5 2 3" xfId="28834" xr:uid="{00000000-0005-0000-0000-0000852B0000}"/>
    <cellStyle name="Normal 38 5 2 4" xfId="28835" xr:uid="{00000000-0005-0000-0000-0000862B0000}"/>
    <cellStyle name="Normal 38 5 2 5" xfId="28836" xr:uid="{00000000-0005-0000-0000-0000872B0000}"/>
    <cellStyle name="Normal 38 5 3" xfId="28837" xr:uid="{00000000-0005-0000-0000-0000882B0000}"/>
    <cellStyle name="Normal 38 5 3 2" xfId="28838" xr:uid="{00000000-0005-0000-0000-0000892B0000}"/>
    <cellStyle name="Normal 38 5 3 3" xfId="28839" xr:uid="{00000000-0005-0000-0000-00008A2B0000}"/>
    <cellStyle name="Normal 38 5 3 4" xfId="28840" xr:uid="{00000000-0005-0000-0000-00008B2B0000}"/>
    <cellStyle name="Normal 38 5 4" xfId="28841" xr:uid="{00000000-0005-0000-0000-00008C2B0000}"/>
    <cellStyle name="Normal 38 5 5" xfId="28842" xr:uid="{00000000-0005-0000-0000-00008D2B0000}"/>
    <cellStyle name="Normal 38 5 6" xfId="28843" xr:uid="{00000000-0005-0000-0000-00008E2B0000}"/>
    <cellStyle name="Normal 38 6" xfId="28844" xr:uid="{00000000-0005-0000-0000-00008F2B0000}"/>
    <cellStyle name="Normal 38 6 2" xfId="28845" xr:uid="{00000000-0005-0000-0000-0000902B0000}"/>
    <cellStyle name="Normal 38 6 2 2" xfId="28846" xr:uid="{00000000-0005-0000-0000-0000912B0000}"/>
    <cellStyle name="Normal 38 6 2 2 2" xfId="28847" xr:uid="{00000000-0005-0000-0000-0000922B0000}"/>
    <cellStyle name="Normal 38 6 2 2 3" xfId="28848" xr:uid="{00000000-0005-0000-0000-0000932B0000}"/>
    <cellStyle name="Normal 38 6 2 2 4" xfId="28849" xr:uid="{00000000-0005-0000-0000-0000942B0000}"/>
    <cellStyle name="Normal 38 6 2 3" xfId="28850" xr:uid="{00000000-0005-0000-0000-0000952B0000}"/>
    <cellStyle name="Normal 38 6 2 4" xfId="28851" xr:uid="{00000000-0005-0000-0000-0000962B0000}"/>
    <cellStyle name="Normal 38 6 2 5" xfId="28852" xr:uid="{00000000-0005-0000-0000-0000972B0000}"/>
    <cellStyle name="Normal 38 6 3" xfId="28853" xr:uid="{00000000-0005-0000-0000-0000982B0000}"/>
    <cellStyle name="Normal 38 6 3 2" xfId="28854" xr:uid="{00000000-0005-0000-0000-0000992B0000}"/>
    <cellStyle name="Normal 38 6 3 3" xfId="28855" xr:uid="{00000000-0005-0000-0000-00009A2B0000}"/>
    <cellStyle name="Normal 38 6 3 4" xfId="28856" xr:uid="{00000000-0005-0000-0000-00009B2B0000}"/>
    <cellStyle name="Normal 38 6 4" xfId="28857" xr:uid="{00000000-0005-0000-0000-00009C2B0000}"/>
    <cellStyle name="Normal 38 6 5" xfId="28858" xr:uid="{00000000-0005-0000-0000-00009D2B0000}"/>
    <cellStyle name="Normal 38 6 6" xfId="28859" xr:uid="{00000000-0005-0000-0000-00009E2B0000}"/>
    <cellStyle name="Normal 38 7" xfId="28860" xr:uid="{00000000-0005-0000-0000-00009F2B0000}"/>
    <cellStyle name="Normal 38 7 2" xfId="28861" xr:uid="{00000000-0005-0000-0000-0000A02B0000}"/>
    <cellStyle name="Normal 38 7 2 2" xfId="28862" xr:uid="{00000000-0005-0000-0000-0000A12B0000}"/>
    <cellStyle name="Normal 38 7 2 3" xfId="28863" xr:uid="{00000000-0005-0000-0000-0000A22B0000}"/>
    <cellStyle name="Normal 38 7 2 4" xfId="28864" xr:uid="{00000000-0005-0000-0000-0000A32B0000}"/>
    <cellStyle name="Normal 38 7 3" xfId="28865" xr:uid="{00000000-0005-0000-0000-0000A42B0000}"/>
    <cellStyle name="Normal 38 7 4" xfId="28866" xr:uid="{00000000-0005-0000-0000-0000A52B0000}"/>
    <cellStyle name="Normal 38 7 5" xfId="28867" xr:uid="{00000000-0005-0000-0000-0000A62B0000}"/>
    <cellStyle name="Normal 38 8" xfId="28868" xr:uid="{00000000-0005-0000-0000-0000A72B0000}"/>
    <cellStyle name="Normal 38 8 2" xfId="28869" xr:uid="{00000000-0005-0000-0000-0000A82B0000}"/>
    <cellStyle name="Normal 38 8 3" xfId="28870" xr:uid="{00000000-0005-0000-0000-0000A92B0000}"/>
    <cellStyle name="Normal 38 8 4" xfId="28871" xr:uid="{00000000-0005-0000-0000-0000AA2B0000}"/>
    <cellStyle name="Normal 38 9" xfId="28872" xr:uid="{00000000-0005-0000-0000-0000AB2B0000}"/>
    <cellStyle name="Normal 38 9 2" xfId="28873" xr:uid="{00000000-0005-0000-0000-0000AC2B0000}"/>
    <cellStyle name="Normal 38 9 3" xfId="28874" xr:uid="{00000000-0005-0000-0000-0000AD2B0000}"/>
    <cellStyle name="Normal 38 9 4" xfId="28875" xr:uid="{00000000-0005-0000-0000-0000AE2B0000}"/>
    <cellStyle name="Normal 39" xfId="1216" xr:uid="{00000000-0005-0000-0000-0000AF2B0000}"/>
    <cellStyle name="Normal 39 2" xfId="28876" xr:uid="{00000000-0005-0000-0000-0000B02B0000}"/>
    <cellStyle name="Normal 39 2 2" xfId="28877" xr:uid="{00000000-0005-0000-0000-0000B12B0000}"/>
    <cellStyle name="Normal 39 3" xfId="28878" xr:uid="{00000000-0005-0000-0000-0000B22B0000}"/>
    <cellStyle name="Normal 39 4" xfId="28879" xr:uid="{00000000-0005-0000-0000-0000B32B0000}"/>
    <cellStyle name="Normal 39 5" xfId="28880" xr:uid="{00000000-0005-0000-0000-0000B42B0000}"/>
    <cellStyle name="Normal 4" xfId="1217" xr:uid="{00000000-0005-0000-0000-0000B52B0000}"/>
    <cellStyle name="Normal 4 10" xfId="1218" xr:uid="{00000000-0005-0000-0000-0000B62B0000}"/>
    <cellStyle name="Normal 4 10 2" xfId="1219" xr:uid="{00000000-0005-0000-0000-0000B72B0000}"/>
    <cellStyle name="Normal 4 11" xfId="1220" xr:uid="{00000000-0005-0000-0000-0000B82B0000}"/>
    <cellStyle name="Normal 4 11 2" xfId="1221" xr:uid="{00000000-0005-0000-0000-0000B92B0000}"/>
    <cellStyle name="Normal 4 12" xfId="1222" xr:uid="{00000000-0005-0000-0000-0000BA2B0000}"/>
    <cellStyle name="Normal 4 12 2" xfId="1223" xr:uid="{00000000-0005-0000-0000-0000BB2B0000}"/>
    <cellStyle name="Normal 4 13" xfId="1224" xr:uid="{00000000-0005-0000-0000-0000BC2B0000}"/>
    <cellStyle name="Normal 4 14" xfId="1225" xr:uid="{00000000-0005-0000-0000-0000BD2B0000}"/>
    <cellStyle name="Normal 4 15" xfId="1226" xr:uid="{00000000-0005-0000-0000-0000BE2B0000}"/>
    <cellStyle name="Normal 4 16" xfId="1227" xr:uid="{00000000-0005-0000-0000-0000BF2B0000}"/>
    <cellStyle name="Normal 4 17" xfId="1228" xr:uid="{00000000-0005-0000-0000-0000C02B0000}"/>
    <cellStyle name="Normal 4 18" xfId="2600" xr:uid="{00000000-0005-0000-0000-0000C12B0000}"/>
    <cellStyle name="Normal 4 2" xfId="1229" xr:uid="{00000000-0005-0000-0000-0000C22B0000}"/>
    <cellStyle name="Normal 4 2 2" xfId="1230" xr:uid="{00000000-0005-0000-0000-0000C32B0000}"/>
    <cellStyle name="Normal 4 2 2 2" xfId="1231" xr:uid="{00000000-0005-0000-0000-0000C42B0000}"/>
    <cellStyle name="Normal 4 2 3" xfId="1232" xr:uid="{00000000-0005-0000-0000-0000C52B0000}"/>
    <cellStyle name="Normal 4 2 3 2" xfId="1233" xr:uid="{00000000-0005-0000-0000-0000C62B0000}"/>
    <cellStyle name="Normal 4 2 4" xfId="1234" xr:uid="{00000000-0005-0000-0000-0000C72B0000}"/>
    <cellStyle name="Normal 4 3" xfId="1235" xr:uid="{00000000-0005-0000-0000-0000C82B0000}"/>
    <cellStyle name="Normal 4 3 2" xfId="1236" xr:uid="{00000000-0005-0000-0000-0000C92B0000}"/>
    <cellStyle name="Normal 4 4" xfId="1237" xr:uid="{00000000-0005-0000-0000-0000CA2B0000}"/>
    <cellStyle name="Normal 4 4 2" xfId="1238" xr:uid="{00000000-0005-0000-0000-0000CB2B0000}"/>
    <cellStyle name="Normal 4 5" xfId="1239" xr:uid="{00000000-0005-0000-0000-0000CC2B0000}"/>
    <cellStyle name="Normal 4 5 2" xfId="1240" xr:uid="{00000000-0005-0000-0000-0000CD2B0000}"/>
    <cellStyle name="Normal 4 6" xfId="1241" xr:uid="{00000000-0005-0000-0000-0000CE2B0000}"/>
    <cellStyle name="Normal 4 6 2" xfId="1242" xr:uid="{00000000-0005-0000-0000-0000CF2B0000}"/>
    <cellStyle name="Normal 4 7" xfId="1243" xr:uid="{00000000-0005-0000-0000-0000D02B0000}"/>
    <cellStyle name="Normal 4 7 2" xfId="1244" xr:uid="{00000000-0005-0000-0000-0000D12B0000}"/>
    <cellStyle name="Normal 4 8" xfId="1245" xr:uid="{00000000-0005-0000-0000-0000D22B0000}"/>
    <cellStyle name="Normal 4 8 2" xfId="1246" xr:uid="{00000000-0005-0000-0000-0000D32B0000}"/>
    <cellStyle name="Normal 4 9" xfId="1247" xr:uid="{00000000-0005-0000-0000-0000D42B0000}"/>
    <cellStyle name="Normal 4 9 2" xfId="1248" xr:uid="{00000000-0005-0000-0000-0000D52B0000}"/>
    <cellStyle name="Normal 40" xfId="1249" xr:uid="{00000000-0005-0000-0000-0000D62B0000}"/>
    <cellStyle name="Normal 40 2" xfId="28881" xr:uid="{00000000-0005-0000-0000-0000D72B0000}"/>
    <cellStyle name="Normal 40 2 2" xfId="28882" xr:uid="{00000000-0005-0000-0000-0000D82B0000}"/>
    <cellStyle name="Normal 40 3" xfId="28883" xr:uid="{00000000-0005-0000-0000-0000D92B0000}"/>
    <cellStyle name="Normal 40 4" xfId="28884" xr:uid="{00000000-0005-0000-0000-0000DA2B0000}"/>
    <cellStyle name="Normal 40 5" xfId="28885" xr:uid="{00000000-0005-0000-0000-0000DB2B0000}"/>
    <cellStyle name="Normal 41" xfId="1250" xr:uid="{00000000-0005-0000-0000-0000DC2B0000}"/>
    <cellStyle name="Normal 41 2" xfId="28886" xr:uid="{00000000-0005-0000-0000-0000DD2B0000}"/>
    <cellStyle name="Normal 41 2 2" xfId="28887" xr:uid="{00000000-0005-0000-0000-0000DE2B0000}"/>
    <cellStyle name="Normal 41 3" xfId="28888" xr:uid="{00000000-0005-0000-0000-0000DF2B0000}"/>
    <cellStyle name="Normal 41 4" xfId="28889" xr:uid="{00000000-0005-0000-0000-0000E02B0000}"/>
    <cellStyle name="Normal 41 5" xfId="28890" xr:uid="{00000000-0005-0000-0000-0000E12B0000}"/>
    <cellStyle name="Normal 42" xfId="1251" xr:uid="{00000000-0005-0000-0000-0000E22B0000}"/>
    <cellStyle name="Normal 42 2" xfId="1252" xr:uid="{00000000-0005-0000-0000-0000E32B0000}"/>
    <cellStyle name="Normal 42 2 2" xfId="28891" xr:uid="{00000000-0005-0000-0000-0000E42B0000}"/>
    <cellStyle name="Normal 42 3" xfId="28892" xr:uid="{00000000-0005-0000-0000-0000E52B0000}"/>
    <cellStyle name="Normal 42 4" xfId="28893" xr:uid="{00000000-0005-0000-0000-0000E62B0000}"/>
    <cellStyle name="Normal 42 5" xfId="28894" xr:uid="{00000000-0005-0000-0000-0000E72B0000}"/>
    <cellStyle name="Normal 43" xfId="1253" xr:uid="{00000000-0005-0000-0000-0000E82B0000}"/>
    <cellStyle name="Normal 43 2" xfId="1254" xr:uid="{00000000-0005-0000-0000-0000E92B0000}"/>
    <cellStyle name="Normal 43 2 2" xfId="28895" xr:uid="{00000000-0005-0000-0000-0000EA2B0000}"/>
    <cellStyle name="Normal 43 3" xfId="28896" xr:uid="{00000000-0005-0000-0000-0000EB2B0000}"/>
    <cellStyle name="Normal 43 4" xfId="28897" xr:uid="{00000000-0005-0000-0000-0000EC2B0000}"/>
    <cellStyle name="Normal 43 5" xfId="28898" xr:uid="{00000000-0005-0000-0000-0000ED2B0000}"/>
    <cellStyle name="Normal 44" xfId="1255" xr:uid="{00000000-0005-0000-0000-0000EE2B0000}"/>
    <cellStyle name="Normal 44 2" xfId="28899" xr:uid="{00000000-0005-0000-0000-0000EF2B0000}"/>
    <cellStyle name="Normal 44 2 2" xfId="28900" xr:uid="{00000000-0005-0000-0000-0000F02B0000}"/>
    <cellStyle name="Normal 44 3" xfId="28901" xr:uid="{00000000-0005-0000-0000-0000F12B0000}"/>
    <cellStyle name="Normal 44 4" xfId="28902" xr:uid="{00000000-0005-0000-0000-0000F22B0000}"/>
    <cellStyle name="Normal 44 5" xfId="28903" xr:uid="{00000000-0005-0000-0000-0000F32B0000}"/>
    <cellStyle name="Normal 45" xfId="1256" xr:uid="{00000000-0005-0000-0000-0000F42B0000}"/>
    <cellStyle name="Normal 45 2" xfId="28904" xr:uid="{00000000-0005-0000-0000-0000F52B0000}"/>
    <cellStyle name="Normal 45 2 2" xfId="28905" xr:uid="{00000000-0005-0000-0000-0000F62B0000}"/>
    <cellStyle name="Normal 45 3" xfId="28906" xr:uid="{00000000-0005-0000-0000-0000F72B0000}"/>
    <cellStyle name="Normal 45 4" xfId="28907" xr:uid="{00000000-0005-0000-0000-0000F82B0000}"/>
    <cellStyle name="Normal 45 5" xfId="28908" xr:uid="{00000000-0005-0000-0000-0000F92B0000}"/>
    <cellStyle name="Normal 46" xfId="1257" xr:uid="{00000000-0005-0000-0000-0000FA2B0000}"/>
    <cellStyle name="Normal 46 2" xfId="28909" xr:uid="{00000000-0005-0000-0000-0000FB2B0000}"/>
    <cellStyle name="Normal 46 2 2" xfId="28910" xr:uid="{00000000-0005-0000-0000-0000FC2B0000}"/>
    <cellStyle name="Normal 46 3" xfId="28911" xr:uid="{00000000-0005-0000-0000-0000FD2B0000}"/>
    <cellStyle name="Normal 46 4" xfId="28912" xr:uid="{00000000-0005-0000-0000-0000FE2B0000}"/>
    <cellStyle name="Normal 46 5" xfId="28913" xr:uid="{00000000-0005-0000-0000-0000FF2B0000}"/>
    <cellStyle name="Normal 47" xfId="1258" xr:uid="{00000000-0005-0000-0000-0000002C0000}"/>
    <cellStyle name="Normal 47 2" xfId="1259" xr:uid="{00000000-0005-0000-0000-0000012C0000}"/>
    <cellStyle name="Normal 47 2 2" xfId="28914" xr:uid="{00000000-0005-0000-0000-0000022C0000}"/>
    <cellStyle name="Normal 47 3" xfId="28915" xr:uid="{00000000-0005-0000-0000-0000032C0000}"/>
    <cellStyle name="Normal 47 4" xfId="28916" xr:uid="{00000000-0005-0000-0000-0000042C0000}"/>
    <cellStyle name="Normal 47 5" xfId="28917" xr:uid="{00000000-0005-0000-0000-0000052C0000}"/>
    <cellStyle name="Normal 48" xfId="1260" xr:uid="{00000000-0005-0000-0000-0000062C0000}"/>
    <cellStyle name="Normal 48 2" xfId="1261" xr:uid="{00000000-0005-0000-0000-0000072C0000}"/>
    <cellStyle name="Normal 48 2 2" xfId="28918" xr:uid="{00000000-0005-0000-0000-0000082C0000}"/>
    <cellStyle name="Normal 48 3" xfId="28919" xr:uid="{00000000-0005-0000-0000-0000092C0000}"/>
    <cellStyle name="Normal 48 4" xfId="28920" xr:uid="{00000000-0005-0000-0000-00000A2C0000}"/>
    <cellStyle name="Normal 48 5" xfId="28921" xr:uid="{00000000-0005-0000-0000-00000B2C0000}"/>
    <cellStyle name="Normal 49" xfId="1262" xr:uid="{00000000-0005-0000-0000-00000C2C0000}"/>
    <cellStyle name="Normal 49 2" xfId="28922" xr:uid="{00000000-0005-0000-0000-00000D2C0000}"/>
    <cellStyle name="Normal 49 2 2" xfId="28923" xr:uid="{00000000-0005-0000-0000-00000E2C0000}"/>
    <cellStyle name="Normal 49 3" xfId="28924" xr:uid="{00000000-0005-0000-0000-00000F2C0000}"/>
    <cellStyle name="Normal 49 4" xfId="28925" xr:uid="{00000000-0005-0000-0000-0000102C0000}"/>
    <cellStyle name="Normal 49 5" xfId="28926" xr:uid="{00000000-0005-0000-0000-0000112C0000}"/>
    <cellStyle name="Normal 5" xfId="45" xr:uid="{00000000-0005-0000-0000-0000122C0000}"/>
    <cellStyle name="Normal 5 10" xfId="28927" xr:uid="{00000000-0005-0000-0000-0000132C0000}"/>
    <cellStyle name="Normal 5 10 2" xfId="28928" xr:uid="{00000000-0005-0000-0000-0000142C0000}"/>
    <cellStyle name="Normal 5 10 2 2" xfId="28929" xr:uid="{00000000-0005-0000-0000-0000152C0000}"/>
    <cellStyle name="Normal 5 10 2 3" xfId="28930" xr:uid="{00000000-0005-0000-0000-0000162C0000}"/>
    <cellStyle name="Normal 5 10 2 4" xfId="28931" xr:uid="{00000000-0005-0000-0000-0000172C0000}"/>
    <cellStyle name="Normal 5 10 3" xfId="28932" xr:uid="{00000000-0005-0000-0000-0000182C0000}"/>
    <cellStyle name="Normal 5 10 4" xfId="28933" xr:uid="{00000000-0005-0000-0000-0000192C0000}"/>
    <cellStyle name="Normal 5 10 5" xfId="28934" xr:uid="{00000000-0005-0000-0000-00001A2C0000}"/>
    <cellStyle name="Normal 5 11" xfId="28935" xr:uid="{00000000-0005-0000-0000-00001B2C0000}"/>
    <cellStyle name="Normal 5 11 2" xfId="28936" xr:uid="{00000000-0005-0000-0000-00001C2C0000}"/>
    <cellStyle name="Normal 5 11 3" xfId="28937" xr:uid="{00000000-0005-0000-0000-00001D2C0000}"/>
    <cellStyle name="Normal 5 11 4" xfId="28938" xr:uid="{00000000-0005-0000-0000-00001E2C0000}"/>
    <cellStyle name="Normal 5 12" xfId="28939" xr:uid="{00000000-0005-0000-0000-00001F2C0000}"/>
    <cellStyle name="Normal 5 12 2" xfId="28940" xr:uid="{00000000-0005-0000-0000-0000202C0000}"/>
    <cellStyle name="Normal 5 12 3" xfId="28941" xr:uid="{00000000-0005-0000-0000-0000212C0000}"/>
    <cellStyle name="Normal 5 12 4" xfId="28942" xr:uid="{00000000-0005-0000-0000-0000222C0000}"/>
    <cellStyle name="Normal 5 13" xfId="28943" xr:uid="{00000000-0005-0000-0000-0000232C0000}"/>
    <cellStyle name="Normal 5 14" xfId="28944" xr:uid="{00000000-0005-0000-0000-0000242C0000}"/>
    <cellStyle name="Normal 5 14 2" xfId="28945" xr:uid="{00000000-0005-0000-0000-0000252C0000}"/>
    <cellStyle name="Normal 5 14 3" xfId="28946" xr:uid="{00000000-0005-0000-0000-0000262C0000}"/>
    <cellStyle name="Normal 5 14 4" xfId="28947" xr:uid="{00000000-0005-0000-0000-0000272C0000}"/>
    <cellStyle name="Normal 5 15" xfId="28948" xr:uid="{00000000-0005-0000-0000-0000282C0000}"/>
    <cellStyle name="Normal 5 15 2" xfId="28949" xr:uid="{00000000-0005-0000-0000-0000292C0000}"/>
    <cellStyle name="Normal 5 15 3" xfId="28950" xr:uid="{00000000-0005-0000-0000-00002A2C0000}"/>
    <cellStyle name="Normal 5 16" xfId="28951" xr:uid="{00000000-0005-0000-0000-00002B2C0000}"/>
    <cellStyle name="Normal 5 16 2" xfId="28952" xr:uid="{00000000-0005-0000-0000-00002C2C0000}"/>
    <cellStyle name="Normal 5 17" xfId="28953" xr:uid="{00000000-0005-0000-0000-00002D2C0000}"/>
    <cellStyle name="Normal 5 18" xfId="28954" xr:uid="{00000000-0005-0000-0000-00002E2C0000}"/>
    <cellStyle name="Normal 5 2" xfId="1263" xr:uid="{00000000-0005-0000-0000-00002F2C0000}"/>
    <cellStyle name="Normal 5 2 10" xfId="28955" xr:uid="{00000000-0005-0000-0000-0000302C0000}"/>
    <cellStyle name="Normal 5 2 10 2" xfId="28956" xr:uid="{00000000-0005-0000-0000-0000312C0000}"/>
    <cellStyle name="Normal 5 2 10 3" xfId="28957" xr:uid="{00000000-0005-0000-0000-0000322C0000}"/>
    <cellStyle name="Normal 5 2 10 4" xfId="28958" xr:uid="{00000000-0005-0000-0000-0000332C0000}"/>
    <cellStyle name="Normal 5 2 11" xfId="28959" xr:uid="{00000000-0005-0000-0000-0000342C0000}"/>
    <cellStyle name="Normal 5 2 11 2" xfId="28960" xr:uid="{00000000-0005-0000-0000-0000352C0000}"/>
    <cellStyle name="Normal 5 2 11 3" xfId="28961" xr:uid="{00000000-0005-0000-0000-0000362C0000}"/>
    <cellStyle name="Normal 5 2 11 4" xfId="28962" xr:uid="{00000000-0005-0000-0000-0000372C0000}"/>
    <cellStyle name="Normal 5 2 12" xfId="28963" xr:uid="{00000000-0005-0000-0000-0000382C0000}"/>
    <cellStyle name="Normal 5 2 12 2" xfId="28964" xr:uid="{00000000-0005-0000-0000-0000392C0000}"/>
    <cellStyle name="Normal 5 2 12 3" xfId="28965" xr:uid="{00000000-0005-0000-0000-00003A2C0000}"/>
    <cellStyle name="Normal 5 2 12 4" xfId="28966" xr:uid="{00000000-0005-0000-0000-00003B2C0000}"/>
    <cellStyle name="Normal 5 2 13" xfId="28967" xr:uid="{00000000-0005-0000-0000-00003C2C0000}"/>
    <cellStyle name="Normal 5 2 13 2" xfId="28968" xr:uid="{00000000-0005-0000-0000-00003D2C0000}"/>
    <cellStyle name="Normal 5 2 13 3" xfId="28969" xr:uid="{00000000-0005-0000-0000-00003E2C0000}"/>
    <cellStyle name="Normal 5 2 14" xfId="28970" xr:uid="{00000000-0005-0000-0000-00003F2C0000}"/>
    <cellStyle name="Normal 5 2 14 2" xfId="28971" xr:uid="{00000000-0005-0000-0000-0000402C0000}"/>
    <cellStyle name="Normal 5 2 15" xfId="28972" xr:uid="{00000000-0005-0000-0000-0000412C0000}"/>
    <cellStyle name="Normal 5 2 16" xfId="28973" xr:uid="{00000000-0005-0000-0000-0000422C0000}"/>
    <cellStyle name="Normal 5 2 2" xfId="1264" xr:uid="{00000000-0005-0000-0000-0000432C0000}"/>
    <cellStyle name="Normal 5 2 2 10" xfId="28974" xr:uid="{00000000-0005-0000-0000-0000442C0000}"/>
    <cellStyle name="Normal 5 2 2 10 2" xfId="28975" xr:uid="{00000000-0005-0000-0000-0000452C0000}"/>
    <cellStyle name="Normal 5 2 2 10 3" xfId="28976" xr:uid="{00000000-0005-0000-0000-0000462C0000}"/>
    <cellStyle name="Normal 5 2 2 10 4" xfId="28977" xr:uid="{00000000-0005-0000-0000-0000472C0000}"/>
    <cellStyle name="Normal 5 2 2 11" xfId="28978" xr:uid="{00000000-0005-0000-0000-0000482C0000}"/>
    <cellStyle name="Normal 5 2 2 11 2" xfId="28979" xr:uid="{00000000-0005-0000-0000-0000492C0000}"/>
    <cellStyle name="Normal 5 2 2 11 3" xfId="28980" xr:uid="{00000000-0005-0000-0000-00004A2C0000}"/>
    <cellStyle name="Normal 5 2 2 12" xfId="28981" xr:uid="{00000000-0005-0000-0000-00004B2C0000}"/>
    <cellStyle name="Normal 5 2 2 12 2" xfId="28982" xr:uid="{00000000-0005-0000-0000-00004C2C0000}"/>
    <cellStyle name="Normal 5 2 2 13" xfId="28983" xr:uid="{00000000-0005-0000-0000-00004D2C0000}"/>
    <cellStyle name="Normal 5 2 2 14" xfId="28984" xr:uid="{00000000-0005-0000-0000-00004E2C0000}"/>
    <cellStyle name="Normal 5 2 2 2" xfId="28985" xr:uid="{00000000-0005-0000-0000-00004F2C0000}"/>
    <cellStyle name="Normal 5 2 2 2 2" xfId="28986" xr:uid="{00000000-0005-0000-0000-0000502C0000}"/>
    <cellStyle name="Normal 5 2 2 2 2 2" xfId="28987" xr:uid="{00000000-0005-0000-0000-0000512C0000}"/>
    <cellStyle name="Normal 5 2 2 2 2 2 2" xfId="28988" xr:uid="{00000000-0005-0000-0000-0000522C0000}"/>
    <cellStyle name="Normal 5 2 2 2 2 2 2 2" xfId="28989" xr:uid="{00000000-0005-0000-0000-0000532C0000}"/>
    <cellStyle name="Normal 5 2 2 2 2 2 2 3" xfId="28990" xr:uid="{00000000-0005-0000-0000-0000542C0000}"/>
    <cellStyle name="Normal 5 2 2 2 2 2 2 4" xfId="28991" xr:uid="{00000000-0005-0000-0000-0000552C0000}"/>
    <cellStyle name="Normal 5 2 2 2 2 2 3" xfId="28992" xr:uid="{00000000-0005-0000-0000-0000562C0000}"/>
    <cellStyle name="Normal 5 2 2 2 2 2 4" xfId="28993" xr:uid="{00000000-0005-0000-0000-0000572C0000}"/>
    <cellStyle name="Normal 5 2 2 2 2 2 5" xfId="28994" xr:uid="{00000000-0005-0000-0000-0000582C0000}"/>
    <cellStyle name="Normal 5 2 2 2 2 3" xfId="28995" xr:uid="{00000000-0005-0000-0000-0000592C0000}"/>
    <cellStyle name="Normal 5 2 2 2 2 3 2" xfId="28996" xr:uid="{00000000-0005-0000-0000-00005A2C0000}"/>
    <cellStyle name="Normal 5 2 2 2 2 3 3" xfId="28997" xr:uid="{00000000-0005-0000-0000-00005B2C0000}"/>
    <cellStyle name="Normal 5 2 2 2 2 3 4" xfId="28998" xr:uid="{00000000-0005-0000-0000-00005C2C0000}"/>
    <cellStyle name="Normal 5 2 2 2 2 4" xfId="28999" xr:uid="{00000000-0005-0000-0000-00005D2C0000}"/>
    <cellStyle name="Normal 5 2 2 2 2 5" xfId="29000" xr:uid="{00000000-0005-0000-0000-00005E2C0000}"/>
    <cellStyle name="Normal 5 2 2 2 2 6" xfId="29001" xr:uid="{00000000-0005-0000-0000-00005F2C0000}"/>
    <cellStyle name="Normal 5 2 2 2 3" xfId="29002" xr:uid="{00000000-0005-0000-0000-0000602C0000}"/>
    <cellStyle name="Normal 5 2 2 2 3 2" xfId="29003" xr:uid="{00000000-0005-0000-0000-0000612C0000}"/>
    <cellStyle name="Normal 5 2 2 2 3 2 2" xfId="29004" xr:uid="{00000000-0005-0000-0000-0000622C0000}"/>
    <cellStyle name="Normal 5 2 2 2 3 2 3" xfId="29005" xr:uid="{00000000-0005-0000-0000-0000632C0000}"/>
    <cellStyle name="Normal 5 2 2 2 3 2 4" xfId="29006" xr:uid="{00000000-0005-0000-0000-0000642C0000}"/>
    <cellStyle name="Normal 5 2 2 2 3 3" xfId="29007" xr:uid="{00000000-0005-0000-0000-0000652C0000}"/>
    <cellStyle name="Normal 5 2 2 2 3 4" xfId="29008" xr:uid="{00000000-0005-0000-0000-0000662C0000}"/>
    <cellStyle name="Normal 5 2 2 2 3 5" xfId="29009" xr:uid="{00000000-0005-0000-0000-0000672C0000}"/>
    <cellStyle name="Normal 5 2 2 2 4" xfId="29010" xr:uid="{00000000-0005-0000-0000-0000682C0000}"/>
    <cellStyle name="Normal 5 2 2 2 4 2" xfId="29011" xr:uid="{00000000-0005-0000-0000-0000692C0000}"/>
    <cellStyle name="Normal 5 2 2 2 4 3" xfId="29012" xr:uid="{00000000-0005-0000-0000-00006A2C0000}"/>
    <cellStyle name="Normal 5 2 2 2 4 4" xfId="29013" xr:uid="{00000000-0005-0000-0000-00006B2C0000}"/>
    <cellStyle name="Normal 5 2 2 2 5" xfId="29014" xr:uid="{00000000-0005-0000-0000-00006C2C0000}"/>
    <cellStyle name="Normal 5 2 2 2 5 2" xfId="29015" xr:uid="{00000000-0005-0000-0000-00006D2C0000}"/>
    <cellStyle name="Normal 5 2 2 2 5 3" xfId="29016" xr:uid="{00000000-0005-0000-0000-00006E2C0000}"/>
    <cellStyle name="Normal 5 2 2 2 5 4" xfId="29017" xr:uid="{00000000-0005-0000-0000-00006F2C0000}"/>
    <cellStyle name="Normal 5 2 2 2 6" xfId="29018" xr:uid="{00000000-0005-0000-0000-0000702C0000}"/>
    <cellStyle name="Normal 5 2 2 2 6 2" xfId="29019" xr:uid="{00000000-0005-0000-0000-0000712C0000}"/>
    <cellStyle name="Normal 5 2 2 2 6 3" xfId="29020" xr:uid="{00000000-0005-0000-0000-0000722C0000}"/>
    <cellStyle name="Normal 5 2 2 2 7" xfId="29021" xr:uid="{00000000-0005-0000-0000-0000732C0000}"/>
    <cellStyle name="Normal 5 2 2 2 8" xfId="29022" xr:uid="{00000000-0005-0000-0000-0000742C0000}"/>
    <cellStyle name="Normal 5 2 2 2 9" xfId="29023" xr:uid="{00000000-0005-0000-0000-0000752C0000}"/>
    <cellStyle name="Normal 5 2 2 3" xfId="29024" xr:uid="{00000000-0005-0000-0000-0000762C0000}"/>
    <cellStyle name="Normal 5 2 2 3 2" xfId="29025" xr:uid="{00000000-0005-0000-0000-0000772C0000}"/>
    <cellStyle name="Normal 5 2 2 3 2 2" xfId="29026" xr:uid="{00000000-0005-0000-0000-0000782C0000}"/>
    <cellStyle name="Normal 5 2 2 3 2 2 2" xfId="29027" xr:uid="{00000000-0005-0000-0000-0000792C0000}"/>
    <cellStyle name="Normal 5 2 2 3 2 2 2 2" xfId="29028" xr:uid="{00000000-0005-0000-0000-00007A2C0000}"/>
    <cellStyle name="Normal 5 2 2 3 2 2 2 3" xfId="29029" xr:uid="{00000000-0005-0000-0000-00007B2C0000}"/>
    <cellStyle name="Normal 5 2 2 3 2 2 2 4" xfId="29030" xr:uid="{00000000-0005-0000-0000-00007C2C0000}"/>
    <cellStyle name="Normal 5 2 2 3 2 2 3" xfId="29031" xr:uid="{00000000-0005-0000-0000-00007D2C0000}"/>
    <cellStyle name="Normal 5 2 2 3 2 2 4" xfId="29032" xr:uid="{00000000-0005-0000-0000-00007E2C0000}"/>
    <cellStyle name="Normal 5 2 2 3 2 2 5" xfId="29033" xr:uid="{00000000-0005-0000-0000-00007F2C0000}"/>
    <cellStyle name="Normal 5 2 2 3 2 3" xfId="29034" xr:uid="{00000000-0005-0000-0000-0000802C0000}"/>
    <cellStyle name="Normal 5 2 2 3 2 3 2" xfId="29035" xr:uid="{00000000-0005-0000-0000-0000812C0000}"/>
    <cellStyle name="Normal 5 2 2 3 2 3 3" xfId="29036" xr:uid="{00000000-0005-0000-0000-0000822C0000}"/>
    <cellStyle name="Normal 5 2 2 3 2 3 4" xfId="29037" xr:uid="{00000000-0005-0000-0000-0000832C0000}"/>
    <cellStyle name="Normal 5 2 2 3 2 4" xfId="29038" xr:uid="{00000000-0005-0000-0000-0000842C0000}"/>
    <cellStyle name="Normal 5 2 2 3 2 5" xfId="29039" xr:uid="{00000000-0005-0000-0000-0000852C0000}"/>
    <cellStyle name="Normal 5 2 2 3 2 6" xfId="29040" xr:uid="{00000000-0005-0000-0000-0000862C0000}"/>
    <cellStyle name="Normal 5 2 2 3 3" xfId="29041" xr:uid="{00000000-0005-0000-0000-0000872C0000}"/>
    <cellStyle name="Normal 5 2 2 3 3 2" xfId="29042" xr:uid="{00000000-0005-0000-0000-0000882C0000}"/>
    <cellStyle name="Normal 5 2 2 3 3 2 2" xfId="29043" xr:uid="{00000000-0005-0000-0000-0000892C0000}"/>
    <cellStyle name="Normal 5 2 2 3 3 2 3" xfId="29044" xr:uid="{00000000-0005-0000-0000-00008A2C0000}"/>
    <cellStyle name="Normal 5 2 2 3 3 2 4" xfId="29045" xr:uid="{00000000-0005-0000-0000-00008B2C0000}"/>
    <cellStyle name="Normal 5 2 2 3 3 3" xfId="29046" xr:uid="{00000000-0005-0000-0000-00008C2C0000}"/>
    <cellStyle name="Normal 5 2 2 3 3 4" xfId="29047" xr:uid="{00000000-0005-0000-0000-00008D2C0000}"/>
    <cellStyle name="Normal 5 2 2 3 3 5" xfId="29048" xr:uid="{00000000-0005-0000-0000-00008E2C0000}"/>
    <cellStyle name="Normal 5 2 2 3 4" xfId="29049" xr:uid="{00000000-0005-0000-0000-00008F2C0000}"/>
    <cellStyle name="Normal 5 2 2 3 4 2" xfId="29050" xr:uid="{00000000-0005-0000-0000-0000902C0000}"/>
    <cellStyle name="Normal 5 2 2 3 4 3" xfId="29051" xr:uid="{00000000-0005-0000-0000-0000912C0000}"/>
    <cellStyle name="Normal 5 2 2 3 4 4" xfId="29052" xr:uid="{00000000-0005-0000-0000-0000922C0000}"/>
    <cellStyle name="Normal 5 2 2 3 5" xfId="29053" xr:uid="{00000000-0005-0000-0000-0000932C0000}"/>
    <cellStyle name="Normal 5 2 2 3 5 2" xfId="29054" xr:uid="{00000000-0005-0000-0000-0000942C0000}"/>
    <cellStyle name="Normal 5 2 2 3 5 3" xfId="29055" xr:uid="{00000000-0005-0000-0000-0000952C0000}"/>
    <cellStyle name="Normal 5 2 2 3 5 4" xfId="29056" xr:uid="{00000000-0005-0000-0000-0000962C0000}"/>
    <cellStyle name="Normal 5 2 2 3 6" xfId="29057" xr:uid="{00000000-0005-0000-0000-0000972C0000}"/>
    <cellStyle name="Normal 5 2 2 3 6 2" xfId="29058" xr:uid="{00000000-0005-0000-0000-0000982C0000}"/>
    <cellStyle name="Normal 5 2 2 3 6 3" xfId="29059" xr:uid="{00000000-0005-0000-0000-0000992C0000}"/>
    <cellStyle name="Normal 5 2 2 3 7" xfId="29060" xr:uid="{00000000-0005-0000-0000-00009A2C0000}"/>
    <cellStyle name="Normal 5 2 2 3 8" xfId="29061" xr:uid="{00000000-0005-0000-0000-00009B2C0000}"/>
    <cellStyle name="Normal 5 2 2 3 9" xfId="29062" xr:uid="{00000000-0005-0000-0000-00009C2C0000}"/>
    <cellStyle name="Normal 5 2 2 4" xfId="29063" xr:uid="{00000000-0005-0000-0000-00009D2C0000}"/>
    <cellStyle name="Normal 5 2 2 4 2" xfId="29064" xr:uid="{00000000-0005-0000-0000-00009E2C0000}"/>
    <cellStyle name="Normal 5 2 2 4 2 2" xfId="29065" xr:uid="{00000000-0005-0000-0000-00009F2C0000}"/>
    <cellStyle name="Normal 5 2 2 4 2 2 2" xfId="29066" xr:uid="{00000000-0005-0000-0000-0000A02C0000}"/>
    <cellStyle name="Normal 5 2 2 4 2 2 3" xfId="29067" xr:uid="{00000000-0005-0000-0000-0000A12C0000}"/>
    <cellStyle name="Normal 5 2 2 4 2 2 4" xfId="29068" xr:uid="{00000000-0005-0000-0000-0000A22C0000}"/>
    <cellStyle name="Normal 5 2 2 4 2 3" xfId="29069" xr:uid="{00000000-0005-0000-0000-0000A32C0000}"/>
    <cellStyle name="Normal 5 2 2 4 2 4" xfId="29070" xr:uid="{00000000-0005-0000-0000-0000A42C0000}"/>
    <cellStyle name="Normal 5 2 2 4 2 5" xfId="29071" xr:uid="{00000000-0005-0000-0000-0000A52C0000}"/>
    <cellStyle name="Normal 5 2 2 4 3" xfId="29072" xr:uid="{00000000-0005-0000-0000-0000A62C0000}"/>
    <cellStyle name="Normal 5 2 2 4 3 2" xfId="29073" xr:uid="{00000000-0005-0000-0000-0000A72C0000}"/>
    <cellStyle name="Normal 5 2 2 4 3 3" xfId="29074" xr:uid="{00000000-0005-0000-0000-0000A82C0000}"/>
    <cellStyle name="Normal 5 2 2 4 3 4" xfId="29075" xr:uid="{00000000-0005-0000-0000-0000A92C0000}"/>
    <cellStyle name="Normal 5 2 2 4 4" xfId="29076" xr:uid="{00000000-0005-0000-0000-0000AA2C0000}"/>
    <cellStyle name="Normal 5 2 2 4 5" xfId="29077" xr:uid="{00000000-0005-0000-0000-0000AB2C0000}"/>
    <cellStyle name="Normal 5 2 2 4 6" xfId="29078" xr:uid="{00000000-0005-0000-0000-0000AC2C0000}"/>
    <cellStyle name="Normal 5 2 2 5" xfId="29079" xr:uid="{00000000-0005-0000-0000-0000AD2C0000}"/>
    <cellStyle name="Normal 5 2 2 5 2" xfId="29080" xr:uid="{00000000-0005-0000-0000-0000AE2C0000}"/>
    <cellStyle name="Normal 5 2 2 5 2 2" xfId="29081" xr:uid="{00000000-0005-0000-0000-0000AF2C0000}"/>
    <cellStyle name="Normal 5 2 2 5 2 2 2" xfId="29082" xr:uid="{00000000-0005-0000-0000-0000B02C0000}"/>
    <cellStyle name="Normal 5 2 2 5 2 2 3" xfId="29083" xr:uid="{00000000-0005-0000-0000-0000B12C0000}"/>
    <cellStyle name="Normal 5 2 2 5 2 2 4" xfId="29084" xr:uid="{00000000-0005-0000-0000-0000B22C0000}"/>
    <cellStyle name="Normal 5 2 2 5 2 3" xfId="29085" xr:uid="{00000000-0005-0000-0000-0000B32C0000}"/>
    <cellStyle name="Normal 5 2 2 5 2 4" xfId="29086" xr:uid="{00000000-0005-0000-0000-0000B42C0000}"/>
    <cellStyle name="Normal 5 2 2 5 2 5" xfId="29087" xr:uid="{00000000-0005-0000-0000-0000B52C0000}"/>
    <cellStyle name="Normal 5 2 2 5 3" xfId="29088" xr:uid="{00000000-0005-0000-0000-0000B62C0000}"/>
    <cellStyle name="Normal 5 2 2 5 3 2" xfId="29089" xr:uid="{00000000-0005-0000-0000-0000B72C0000}"/>
    <cellStyle name="Normal 5 2 2 5 3 3" xfId="29090" xr:uid="{00000000-0005-0000-0000-0000B82C0000}"/>
    <cellStyle name="Normal 5 2 2 5 3 4" xfId="29091" xr:uid="{00000000-0005-0000-0000-0000B92C0000}"/>
    <cellStyle name="Normal 5 2 2 5 4" xfId="29092" xr:uid="{00000000-0005-0000-0000-0000BA2C0000}"/>
    <cellStyle name="Normal 5 2 2 5 5" xfId="29093" xr:uid="{00000000-0005-0000-0000-0000BB2C0000}"/>
    <cellStyle name="Normal 5 2 2 5 6" xfId="29094" xr:uid="{00000000-0005-0000-0000-0000BC2C0000}"/>
    <cellStyle name="Normal 5 2 2 6" xfId="29095" xr:uid="{00000000-0005-0000-0000-0000BD2C0000}"/>
    <cellStyle name="Normal 5 2 2 6 2" xfId="29096" xr:uid="{00000000-0005-0000-0000-0000BE2C0000}"/>
    <cellStyle name="Normal 5 2 2 6 2 2" xfId="29097" xr:uid="{00000000-0005-0000-0000-0000BF2C0000}"/>
    <cellStyle name="Normal 5 2 2 6 2 2 2" xfId="29098" xr:uid="{00000000-0005-0000-0000-0000C02C0000}"/>
    <cellStyle name="Normal 5 2 2 6 2 2 3" xfId="29099" xr:uid="{00000000-0005-0000-0000-0000C12C0000}"/>
    <cellStyle name="Normal 5 2 2 6 2 2 4" xfId="29100" xr:uid="{00000000-0005-0000-0000-0000C22C0000}"/>
    <cellStyle name="Normal 5 2 2 6 2 3" xfId="29101" xr:uid="{00000000-0005-0000-0000-0000C32C0000}"/>
    <cellStyle name="Normal 5 2 2 6 2 4" xfId="29102" xr:uid="{00000000-0005-0000-0000-0000C42C0000}"/>
    <cellStyle name="Normal 5 2 2 6 2 5" xfId="29103" xr:uid="{00000000-0005-0000-0000-0000C52C0000}"/>
    <cellStyle name="Normal 5 2 2 6 3" xfId="29104" xr:uid="{00000000-0005-0000-0000-0000C62C0000}"/>
    <cellStyle name="Normal 5 2 2 6 3 2" xfId="29105" xr:uid="{00000000-0005-0000-0000-0000C72C0000}"/>
    <cellStyle name="Normal 5 2 2 6 3 3" xfId="29106" xr:uid="{00000000-0005-0000-0000-0000C82C0000}"/>
    <cellStyle name="Normal 5 2 2 6 3 4" xfId="29107" xr:uid="{00000000-0005-0000-0000-0000C92C0000}"/>
    <cellStyle name="Normal 5 2 2 6 4" xfId="29108" xr:uid="{00000000-0005-0000-0000-0000CA2C0000}"/>
    <cellStyle name="Normal 5 2 2 6 5" xfId="29109" xr:uid="{00000000-0005-0000-0000-0000CB2C0000}"/>
    <cellStyle name="Normal 5 2 2 6 6" xfId="29110" xr:uid="{00000000-0005-0000-0000-0000CC2C0000}"/>
    <cellStyle name="Normal 5 2 2 7" xfId="29111" xr:uid="{00000000-0005-0000-0000-0000CD2C0000}"/>
    <cellStyle name="Normal 5 2 2 7 2" xfId="29112" xr:uid="{00000000-0005-0000-0000-0000CE2C0000}"/>
    <cellStyle name="Normal 5 2 2 7 2 2" xfId="29113" xr:uid="{00000000-0005-0000-0000-0000CF2C0000}"/>
    <cellStyle name="Normal 5 2 2 7 2 3" xfId="29114" xr:uid="{00000000-0005-0000-0000-0000D02C0000}"/>
    <cellStyle name="Normal 5 2 2 7 2 4" xfId="29115" xr:uid="{00000000-0005-0000-0000-0000D12C0000}"/>
    <cellStyle name="Normal 5 2 2 7 3" xfId="29116" xr:uid="{00000000-0005-0000-0000-0000D22C0000}"/>
    <cellStyle name="Normal 5 2 2 7 4" xfId="29117" xr:uid="{00000000-0005-0000-0000-0000D32C0000}"/>
    <cellStyle name="Normal 5 2 2 7 5" xfId="29118" xr:uid="{00000000-0005-0000-0000-0000D42C0000}"/>
    <cellStyle name="Normal 5 2 2 8" xfId="29119" xr:uid="{00000000-0005-0000-0000-0000D52C0000}"/>
    <cellStyle name="Normal 5 2 2 8 2" xfId="29120" xr:uid="{00000000-0005-0000-0000-0000D62C0000}"/>
    <cellStyle name="Normal 5 2 2 8 3" xfId="29121" xr:uid="{00000000-0005-0000-0000-0000D72C0000}"/>
    <cellStyle name="Normal 5 2 2 8 4" xfId="29122" xr:uid="{00000000-0005-0000-0000-0000D82C0000}"/>
    <cellStyle name="Normal 5 2 2 9" xfId="29123" xr:uid="{00000000-0005-0000-0000-0000D92C0000}"/>
    <cellStyle name="Normal 5 2 2 9 2" xfId="29124" xr:uid="{00000000-0005-0000-0000-0000DA2C0000}"/>
    <cellStyle name="Normal 5 2 2 9 3" xfId="29125" xr:uid="{00000000-0005-0000-0000-0000DB2C0000}"/>
    <cellStyle name="Normal 5 2 2 9 4" xfId="29126" xr:uid="{00000000-0005-0000-0000-0000DC2C0000}"/>
    <cellStyle name="Normal 5 2 3" xfId="1265" xr:uid="{00000000-0005-0000-0000-0000DD2C0000}"/>
    <cellStyle name="Normal 5 2 3 10" xfId="29127" xr:uid="{00000000-0005-0000-0000-0000DE2C0000}"/>
    <cellStyle name="Normal 5 2 3 10 2" xfId="29128" xr:uid="{00000000-0005-0000-0000-0000DF2C0000}"/>
    <cellStyle name="Normal 5 2 3 10 3" xfId="29129" xr:uid="{00000000-0005-0000-0000-0000E02C0000}"/>
    <cellStyle name="Normal 5 2 3 10 4" xfId="29130" xr:uid="{00000000-0005-0000-0000-0000E12C0000}"/>
    <cellStyle name="Normal 5 2 3 11" xfId="29131" xr:uid="{00000000-0005-0000-0000-0000E22C0000}"/>
    <cellStyle name="Normal 5 2 3 11 2" xfId="29132" xr:uid="{00000000-0005-0000-0000-0000E32C0000}"/>
    <cellStyle name="Normal 5 2 3 11 3" xfId="29133" xr:uid="{00000000-0005-0000-0000-0000E42C0000}"/>
    <cellStyle name="Normal 5 2 3 12" xfId="29134" xr:uid="{00000000-0005-0000-0000-0000E52C0000}"/>
    <cellStyle name="Normal 5 2 3 12 2" xfId="29135" xr:uid="{00000000-0005-0000-0000-0000E62C0000}"/>
    <cellStyle name="Normal 5 2 3 13" xfId="29136" xr:uid="{00000000-0005-0000-0000-0000E72C0000}"/>
    <cellStyle name="Normal 5 2 3 14" xfId="29137" xr:uid="{00000000-0005-0000-0000-0000E82C0000}"/>
    <cellStyle name="Normal 5 2 3 2" xfId="2474" xr:uid="{00000000-0005-0000-0000-0000E92C0000}"/>
    <cellStyle name="Normal 5 2 3 2 2" xfId="26669" xr:uid="{00000000-0005-0000-0000-0000EA2C0000}"/>
    <cellStyle name="Normal 5 2 3 2 2 2" xfId="29138" xr:uid="{00000000-0005-0000-0000-0000EB2C0000}"/>
    <cellStyle name="Normal 5 2 3 2 2 2 2" xfId="29139" xr:uid="{00000000-0005-0000-0000-0000EC2C0000}"/>
    <cellStyle name="Normal 5 2 3 2 2 2 2 2" xfId="29140" xr:uid="{00000000-0005-0000-0000-0000ED2C0000}"/>
    <cellStyle name="Normal 5 2 3 2 2 2 2 3" xfId="29141" xr:uid="{00000000-0005-0000-0000-0000EE2C0000}"/>
    <cellStyle name="Normal 5 2 3 2 2 2 2 4" xfId="29142" xr:uid="{00000000-0005-0000-0000-0000EF2C0000}"/>
    <cellStyle name="Normal 5 2 3 2 2 2 3" xfId="29143" xr:uid="{00000000-0005-0000-0000-0000F02C0000}"/>
    <cellStyle name="Normal 5 2 3 2 2 2 4" xfId="29144" xr:uid="{00000000-0005-0000-0000-0000F12C0000}"/>
    <cellStyle name="Normal 5 2 3 2 2 2 5" xfId="29145" xr:uid="{00000000-0005-0000-0000-0000F22C0000}"/>
    <cellStyle name="Normal 5 2 3 2 2 3" xfId="29146" xr:uid="{00000000-0005-0000-0000-0000F32C0000}"/>
    <cellStyle name="Normal 5 2 3 2 2 3 2" xfId="29147" xr:uid="{00000000-0005-0000-0000-0000F42C0000}"/>
    <cellStyle name="Normal 5 2 3 2 2 3 3" xfId="29148" xr:uid="{00000000-0005-0000-0000-0000F52C0000}"/>
    <cellStyle name="Normal 5 2 3 2 2 3 4" xfId="29149" xr:uid="{00000000-0005-0000-0000-0000F62C0000}"/>
    <cellStyle name="Normal 5 2 3 2 2 4" xfId="29150" xr:uid="{00000000-0005-0000-0000-0000F72C0000}"/>
    <cellStyle name="Normal 5 2 3 2 2 5" xfId="29151" xr:uid="{00000000-0005-0000-0000-0000F82C0000}"/>
    <cellStyle name="Normal 5 2 3 2 2 6" xfId="29152" xr:uid="{00000000-0005-0000-0000-0000F92C0000}"/>
    <cellStyle name="Normal 5 2 3 2 3" xfId="29153" xr:uid="{00000000-0005-0000-0000-0000FA2C0000}"/>
    <cellStyle name="Normal 5 2 3 2 3 2" xfId="29154" xr:uid="{00000000-0005-0000-0000-0000FB2C0000}"/>
    <cellStyle name="Normal 5 2 3 2 3 2 2" xfId="29155" xr:uid="{00000000-0005-0000-0000-0000FC2C0000}"/>
    <cellStyle name="Normal 5 2 3 2 3 2 3" xfId="29156" xr:uid="{00000000-0005-0000-0000-0000FD2C0000}"/>
    <cellStyle name="Normal 5 2 3 2 3 2 4" xfId="29157" xr:uid="{00000000-0005-0000-0000-0000FE2C0000}"/>
    <cellStyle name="Normal 5 2 3 2 3 3" xfId="29158" xr:uid="{00000000-0005-0000-0000-0000FF2C0000}"/>
    <cellStyle name="Normal 5 2 3 2 3 4" xfId="29159" xr:uid="{00000000-0005-0000-0000-0000002D0000}"/>
    <cellStyle name="Normal 5 2 3 2 3 5" xfId="29160" xr:uid="{00000000-0005-0000-0000-0000012D0000}"/>
    <cellStyle name="Normal 5 2 3 2 4" xfId="29161" xr:uid="{00000000-0005-0000-0000-0000022D0000}"/>
    <cellStyle name="Normal 5 2 3 2 4 2" xfId="29162" xr:uid="{00000000-0005-0000-0000-0000032D0000}"/>
    <cellStyle name="Normal 5 2 3 2 4 3" xfId="29163" xr:uid="{00000000-0005-0000-0000-0000042D0000}"/>
    <cellStyle name="Normal 5 2 3 2 4 4" xfId="29164" xr:uid="{00000000-0005-0000-0000-0000052D0000}"/>
    <cellStyle name="Normal 5 2 3 2 5" xfId="29165" xr:uid="{00000000-0005-0000-0000-0000062D0000}"/>
    <cellStyle name="Normal 5 2 3 2 5 2" xfId="29166" xr:uid="{00000000-0005-0000-0000-0000072D0000}"/>
    <cellStyle name="Normal 5 2 3 2 5 3" xfId="29167" xr:uid="{00000000-0005-0000-0000-0000082D0000}"/>
    <cellStyle name="Normal 5 2 3 2 5 4" xfId="29168" xr:uid="{00000000-0005-0000-0000-0000092D0000}"/>
    <cellStyle name="Normal 5 2 3 2 6" xfId="29169" xr:uid="{00000000-0005-0000-0000-00000A2D0000}"/>
    <cellStyle name="Normal 5 2 3 2 6 2" xfId="29170" xr:uid="{00000000-0005-0000-0000-00000B2D0000}"/>
    <cellStyle name="Normal 5 2 3 2 6 3" xfId="29171" xr:uid="{00000000-0005-0000-0000-00000C2D0000}"/>
    <cellStyle name="Normal 5 2 3 2 7" xfId="29172" xr:uid="{00000000-0005-0000-0000-00000D2D0000}"/>
    <cellStyle name="Normal 5 2 3 2 8" xfId="29173" xr:uid="{00000000-0005-0000-0000-00000E2D0000}"/>
    <cellStyle name="Normal 5 2 3 2 9" xfId="29174" xr:uid="{00000000-0005-0000-0000-00000F2D0000}"/>
    <cellStyle name="Normal 5 2 3 3" xfId="26437" xr:uid="{00000000-0005-0000-0000-0000102D0000}"/>
    <cellStyle name="Normal 5 2 3 3 2" xfId="29175" xr:uid="{00000000-0005-0000-0000-0000112D0000}"/>
    <cellStyle name="Normal 5 2 3 3 2 2" xfId="29176" xr:uid="{00000000-0005-0000-0000-0000122D0000}"/>
    <cellStyle name="Normal 5 2 3 3 2 2 2" xfId="29177" xr:uid="{00000000-0005-0000-0000-0000132D0000}"/>
    <cellStyle name="Normal 5 2 3 3 2 2 2 2" xfId="29178" xr:uid="{00000000-0005-0000-0000-0000142D0000}"/>
    <cellStyle name="Normal 5 2 3 3 2 2 2 3" xfId="29179" xr:uid="{00000000-0005-0000-0000-0000152D0000}"/>
    <cellStyle name="Normal 5 2 3 3 2 2 2 4" xfId="29180" xr:uid="{00000000-0005-0000-0000-0000162D0000}"/>
    <cellStyle name="Normal 5 2 3 3 2 2 3" xfId="29181" xr:uid="{00000000-0005-0000-0000-0000172D0000}"/>
    <cellStyle name="Normal 5 2 3 3 2 2 4" xfId="29182" xr:uid="{00000000-0005-0000-0000-0000182D0000}"/>
    <cellStyle name="Normal 5 2 3 3 2 2 5" xfId="29183" xr:uid="{00000000-0005-0000-0000-0000192D0000}"/>
    <cellStyle name="Normal 5 2 3 3 2 3" xfId="29184" xr:uid="{00000000-0005-0000-0000-00001A2D0000}"/>
    <cellStyle name="Normal 5 2 3 3 2 3 2" xfId="29185" xr:uid="{00000000-0005-0000-0000-00001B2D0000}"/>
    <cellStyle name="Normal 5 2 3 3 2 3 3" xfId="29186" xr:uid="{00000000-0005-0000-0000-00001C2D0000}"/>
    <cellStyle name="Normal 5 2 3 3 2 3 4" xfId="29187" xr:uid="{00000000-0005-0000-0000-00001D2D0000}"/>
    <cellStyle name="Normal 5 2 3 3 2 4" xfId="29188" xr:uid="{00000000-0005-0000-0000-00001E2D0000}"/>
    <cellStyle name="Normal 5 2 3 3 2 5" xfId="29189" xr:uid="{00000000-0005-0000-0000-00001F2D0000}"/>
    <cellStyle name="Normal 5 2 3 3 2 6" xfId="29190" xr:uid="{00000000-0005-0000-0000-0000202D0000}"/>
    <cellStyle name="Normal 5 2 3 3 3" xfId="29191" xr:uid="{00000000-0005-0000-0000-0000212D0000}"/>
    <cellStyle name="Normal 5 2 3 3 3 2" xfId="29192" xr:uid="{00000000-0005-0000-0000-0000222D0000}"/>
    <cellStyle name="Normal 5 2 3 3 3 2 2" xfId="29193" xr:uid="{00000000-0005-0000-0000-0000232D0000}"/>
    <cellStyle name="Normal 5 2 3 3 3 2 3" xfId="29194" xr:uid="{00000000-0005-0000-0000-0000242D0000}"/>
    <cellStyle name="Normal 5 2 3 3 3 2 4" xfId="29195" xr:uid="{00000000-0005-0000-0000-0000252D0000}"/>
    <cellStyle name="Normal 5 2 3 3 3 3" xfId="29196" xr:uid="{00000000-0005-0000-0000-0000262D0000}"/>
    <cellStyle name="Normal 5 2 3 3 3 4" xfId="29197" xr:uid="{00000000-0005-0000-0000-0000272D0000}"/>
    <cellStyle name="Normal 5 2 3 3 3 5" xfId="29198" xr:uid="{00000000-0005-0000-0000-0000282D0000}"/>
    <cellStyle name="Normal 5 2 3 3 4" xfId="29199" xr:uid="{00000000-0005-0000-0000-0000292D0000}"/>
    <cellStyle name="Normal 5 2 3 3 4 2" xfId="29200" xr:uid="{00000000-0005-0000-0000-00002A2D0000}"/>
    <cellStyle name="Normal 5 2 3 3 4 3" xfId="29201" xr:uid="{00000000-0005-0000-0000-00002B2D0000}"/>
    <cellStyle name="Normal 5 2 3 3 4 4" xfId="29202" xr:uid="{00000000-0005-0000-0000-00002C2D0000}"/>
    <cellStyle name="Normal 5 2 3 3 5" xfId="29203" xr:uid="{00000000-0005-0000-0000-00002D2D0000}"/>
    <cellStyle name="Normal 5 2 3 3 5 2" xfId="29204" xr:uid="{00000000-0005-0000-0000-00002E2D0000}"/>
    <cellStyle name="Normal 5 2 3 3 5 3" xfId="29205" xr:uid="{00000000-0005-0000-0000-00002F2D0000}"/>
    <cellStyle name="Normal 5 2 3 3 5 4" xfId="29206" xr:uid="{00000000-0005-0000-0000-0000302D0000}"/>
    <cellStyle name="Normal 5 2 3 3 6" xfId="29207" xr:uid="{00000000-0005-0000-0000-0000312D0000}"/>
    <cellStyle name="Normal 5 2 3 3 6 2" xfId="29208" xr:uid="{00000000-0005-0000-0000-0000322D0000}"/>
    <cellStyle name="Normal 5 2 3 3 6 3" xfId="29209" xr:uid="{00000000-0005-0000-0000-0000332D0000}"/>
    <cellStyle name="Normal 5 2 3 3 7" xfId="29210" xr:uid="{00000000-0005-0000-0000-0000342D0000}"/>
    <cellStyle name="Normal 5 2 3 3 8" xfId="29211" xr:uid="{00000000-0005-0000-0000-0000352D0000}"/>
    <cellStyle name="Normal 5 2 3 3 9" xfId="29212" xr:uid="{00000000-0005-0000-0000-0000362D0000}"/>
    <cellStyle name="Normal 5 2 3 4" xfId="29213" xr:uid="{00000000-0005-0000-0000-0000372D0000}"/>
    <cellStyle name="Normal 5 2 3 4 2" xfId="29214" xr:uid="{00000000-0005-0000-0000-0000382D0000}"/>
    <cellStyle name="Normal 5 2 3 4 2 2" xfId="29215" xr:uid="{00000000-0005-0000-0000-0000392D0000}"/>
    <cellStyle name="Normal 5 2 3 4 2 2 2" xfId="29216" xr:uid="{00000000-0005-0000-0000-00003A2D0000}"/>
    <cellStyle name="Normal 5 2 3 4 2 2 3" xfId="29217" xr:uid="{00000000-0005-0000-0000-00003B2D0000}"/>
    <cellStyle name="Normal 5 2 3 4 2 2 4" xfId="29218" xr:uid="{00000000-0005-0000-0000-00003C2D0000}"/>
    <cellStyle name="Normal 5 2 3 4 2 3" xfId="29219" xr:uid="{00000000-0005-0000-0000-00003D2D0000}"/>
    <cellStyle name="Normal 5 2 3 4 2 4" xfId="29220" xr:uid="{00000000-0005-0000-0000-00003E2D0000}"/>
    <cellStyle name="Normal 5 2 3 4 2 5" xfId="29221" xr:uid="{00000000-0005-0000-0000-00003F2D0000}"/>
    <cellStyle name="Normal 5 2 3 4 3" xfId="29222" xr:uid="{00000000-0005-0000-0000-0000402D0000}"/>
    <cellStyle name="Normal 5 2 3 4 3 2" xfId="29223" xr:uid="{00000000-0005-0000-0000-0000412D0000}"/>
    <cellStyle name="Normal 5 2 3 4 3 3" xfId="29224" xr:uid="{00000000-0005-0000-0000-0000422D0000}"/>
    <cellStyle name="Normal 5 2 3 4 3 4" xfId="29225" xr:uid="{00000000-0005-0000-0000-0000432D0000}"/>
    <cellStyle name="Normal 5 2 3 4 4" xfId="29226" xr:uid="{00000000-0005-0000-0000-0000442D0000}"/>
    <cellStyle name="Normal 5 2 3 4 5" xfId="29227" xr:uid="{00000000-0005-0000-0000-0000452D0000}"/>
    <cellStyle name="Normal 5 2 3 4 6" xfId="29228" xr:uid="{00000000-0005-0000-0000-0000462D0000}"/>
    <cellStyle name="Normal 5 2 3 5" xfId="29229" xr:uid="{00000000-0005-0000-0000-0000472D0000}"/>
    <cellStyle name="Normal 5 2 3 5 2" xfId="29230" xr:uid="{00000000-0005-0000-0000-0000482D0000}"/>
    <cellStyle name="Normal 5 2 3 5 2 2" xfId="29231" xr:uid="{00000000-0005-0000-0000-0000492D0000}"/>
    <cellStyle name="Normal 5 2 3 5 2 2 2" xfId="29232" xr:uid="{00000000-0005-0000-0000-00004A2D0000}"/>
    <cellStyle name="Normal 5 2 3 5 2 2 3" xfId="29233" xr:uid="{00000000-0005-0000-0000-00004B2D0000}"/>
    <cellStyle name="Normal 5 2 3 5 2 2 4" xfId="29234" xr:uid="{00000000-0005-0000-0000-00004C2D0000}"/>
    <cellStyle name="Normal 5 2 3 5 2 3" xfId="29235" xr:uid="{00000000-0005-0000-0000-00004D2D0000}"/>
    <cellStyle name="Normal 5 2 3 5 2 4" xfId="29236" xr:uid="{00000000-0005-0000-0000-00004E2D0000}"/>
    <cellStyle name="Normal 5 2 3 5 2 5" xfId="29237" xr:uid="{00000000-0005-0000-0000-00004F2D0000}"/>
    <cellStyle name="Normal 5 2 3 5 3" xfId="29238" xr:uid="{00000000-0005-0000-0000-0000502D0000}"/>
    <cellStyle name="Normal 5 2 3 5 3 2" xfId="29239" xr:uid="{00000000-0005-0000-0000-0000512D0000}"/>
    <cellStyle name="Normal 5 2 3 5 3 3" xfId="29240" xr:uid="{00000000-0005-0000-0000-0000522D0000}"/>
    <cellStyle name="Normal 5 2 3 5 3 4" xfId="29241" xr:uid="{00000000-0005-0000-0000-0000532D0000}"/>
    <cellStyle name="Normal 5 2 3 5 4" xfId="29242" xr:uid="{00000000-0005-0000-0000-0000542D0000}"/>
    <cellStyle name="Normal 5 2 3 5 5" xfId="29243" xr:uid="{00000000-0005-0000-0000-0000552D0000}"/>
    <cellStyle name="Normal 5 2 3 5 6" xfId="29244" xr:uid="{00000000-0005-0000-0000-0000562D0000}"/>
    <cellStyle name="Normal 5 2 3 6" xfId="29245" xr:uid="{00000000-0005-0000-0000-0000572D0000}"/>
    <cellStyle name="Normal 5 2 3 6 2" xfId="29246" xr:uid="{00000000-0005-0000-0000-0000582D0000}"/>
    <cellStyle name="Normal 5 2 3 6 2 2" xfId="29247" xr:uid="{00000000-0005-0000-0000-0000592D0000}"/>
    <cellStyle name="Normal 5 2 3 6 2 2 2" xfId="29248" xr:uid="{00000000-0005-0000-0000-00005A2D0000}"/>
    <cellStyle name="Normal 5 2 3 6 2 2 3" xfId="29249" xr:uid="{00000000-0005-0000-0000-00005B2D0000}"/>
    <cellStyle name="Normal 5 2 3 6 2 2 4" xfId="29250" xr:uid="{00000000-0005-0000-0000-00005C2D0000}"/>
    <cellStyle name="Normal 5 2 3 6 2 3" xfId="29251" xr:uid="{00000000-0005-0000-0000-00005D2D0000}"/>
    <cellStyle name="Normal 5 2 3 6 2 4" xfId="29252" xr:uid="{00000000-0005-0000-0000-00005E2D0000}"/>
    <cellStyle name="Normal 5 2 3 6 2 5" xfId="29253" xr:uid="{00000000-0005-0000-0000-00005F2D0000}"/>
    <cellStyle name="Normal 5 2 3 6 3" xfId="29254" xr:uid="{00000000-0005-0000-0000-0000602D0000}"/>
    <cellStyle name="Normal 5 2 3 6 3 2" xfId="29255" xr:uid="{00000000-0005-0000-0000-0000612D0000}"/>
    <cellStyle name="Normal 5 2 3 6 3 3" xfId="29256" xr:uid="{00000000-0005-0000-0000-0000622D0000}"/>
    <cellStyle name="Normal 5 2 3 6 3 4" xfId="29257" xr:uid="{00000000-0005-0000-0000-0000632D0000}"/>
    <cellStyle name="Normal 5 2 3 6 4" xfId="29258" xr:uid="{00000000-0005-0000-0000-0000642D0000}"/>
    <cellStyle name="Normal 5 2 3 6 5" xfId="29259" xr:uid="{00000000-0005-0000-0000-0000652D0000}"/>
    <cellStyle name="Normal 5 2 3 6 6" xfId="29260" xr:uid="{00000000-0005-0000-0000-0000662D0000}"/>
    <cellStyle name="Normal 5 2 3 7" xfId="29261" xr:uid="{00000000-0005-0000-0000-0000672D0000}"/>
    <cellStyle name="Normal 5 2 3 7 2" xfId="29262" xr:uid="{00000000-0005-0000-0000-0000682D0000}"/>
    <cellStyle name="Normal 5 2 3 7 2 2" xfId="29263" xr:uid="{00000000-0005-0000-0000-0000692D0000}"/>
    <cellStyle name="Normal 5 2 3 7 2 3" xfId="29264" xr:uid="{00000000-0005-0000-0000-00006A2D0000}"/>
    <cellStyle name="Normal 5 2 3 7 2 4" xfId="29265" xr:uid="{00000000-0005-0000-0000-00006B2D0000}"/>
    <cellStyle name="Normal 5 2 3 7 3" xfId="29266" xr:uid="{00000000-0005-0000-0000-00006C2D0000}"/>
    <cellStyle name="Normal 5 2 3 7 4" xfId="29267" xr:uid="{00000000-0005-0000-0000-00006D2D0000}"/>
    <cellStyle name="Normal 5 2 3 7 5" xfId="29268" xr:uid="{00000000-0005-0000-0000-00006E2D0000}"/>
    <cellStyle name="Normal 5 2 3 8" xfId="29269" xr:uid="{00000000-0005-0000-0000-00006F2D0000}"/>
    <cellStyle name="Normal 5 2 3 8 2" xfId="29270" xr:uid="{00000000-0005-0000-0000-0000702D0000}"/>
    <cellStyle name="Normal 5 2 3 8 3" xfId="29271" xr:uid="{00000000-0005-0000-0000-0000712D0000}"/>
    <cellStyle name="Normal 5 2 3 8 4" xfId="29272" xr:uid="{00000000-0005-0000-0000-0000722D0000}"/>
    <cellStyle name="Normal 5 2 3 9" xfId="29273" xr:uid="{00000000-0005-0000-0000-0000732D0000}"/>
    <cellStyle name="Normal 5 2 3 9 2" xfId="29274" xr:uid="{00000000-0005-0000-0000-0000742D0000}"/>
    <cellStyle name="Normal 5 2 3 9 3" xfId="29275" xr:uid="{00000000-0005-0000-0000-0000752D0000}"/>
    <cellStyle name="Normal 5 2 3 9 4" xfId="29276" xr:uid="{00000000-0005-0000-0000-0000762D0000}"/>
    <cellStyle name="Normal 5 2 4" xfId="29277" xr:uid="{00000000-0005-0000-0000-0000772D0000}"/>
    <cellStyle name="Normal 5 2 4 2" xfId="29278" xr:uid="{00000000-0005-0000-0000-0000782D0000}"/>
    <cellStyle name="Normal 5 2 4 2 2" xfId="29279" xr:uid="{00000000-0005-0000-0000-0000792D0000}"/>
    <cellStyle name="Normal 5 2 4 2 2 2" xfId="29280" xr:uid="{00000000-0005-0000-0000-00007A2D0000}"/>
    <cellStyle name="Normal 5 2 4 2 2 2 2" xfId="29281" xr:uid="{00000000-0005-0000-0000-00007B2D0000}"/>
    <cellStyle name="Normal 5 2 4 2 2 2 3" xfId="29282" xr:uid="{00000000-0005-0000-0000-00007C2D0000}"/>
    <cellStyle name="Normal 5 2 4 2 2 2 4" xfId="29283" xr:uid="{00000000-0005-0000-0000-00007D2D0000}"/>
    <cellStyle name="Normal 5 2 4 2 2 3" xfId="29284" xr:uid="{00000000-0005-0000-0000-00007E2D0000}"/>
    <cellStyle name="Normal 5 2 4 2 2 4" xfId="29285" xr:uid="{00000000-0005-0000-0000-00007F2D0000}"/>
    <cellStyle name="Normal 5 2 4 2 2 5" xfId="29286" xr:uid="{00000000-0005-0000-0000-0000802D0000}"/>
    <cellStyle name="Normal 5 2 4 2 3" xfId="29287" xr:uid="{00000000-0005-0000-0000-0000812D0000}"/>
    <cellStyle name="Normal 5 2 4 2 3 2" xfId="29288" xr:uid="{00000000-0005-0000-0000-0000822D0000}"/>
    <cellStyle name="Normal 5 2 4 2 3 3" xfId="29289" xr:uid="{00000000-0005-0000-0000-0000832D0000}"/>
    <cellStyle name="Normal 5 2 4 2 3 4" xfId="29290" xr:uid="{00000000-0005-0000-0000-0000842D0000}"/>
    <cellStyle name="Normal 5 2 4 2 4" xfId="29291" xr:uid="{00000000-0005-0000-0000-0000852D0000}"/>
    <cellStyle name="Normal 5 2 4 2 5" xfId="29292" xr:uid="{00000000-0005-0000-0000-0000862D0000}"/>
    <cellStyle name="Normal 5 2 4 2 6" xfId="29293" xr:uid="{00000000-0005-0000-0000-0000872D0000}"/>
    <cellStyle name="Normal 5 2 4 3" xfId="29294" xr:uid="{00000000-0005-0000-0000-0000882D0000}"/>
    <cellStyle name="Normal 5 2 4 3 2" xfId="29295" xr:uid="{00000000-0005-0000-0000-0000892D0000}"/>
    <cellStyle name="Normal 5 2 4 3 2 2" xfId="29296" xr:uid="{00000000-0005-0000-0000-00008A2D0000}"/>
    <cellStyle name="Normal 5 2 4 3 2 3" xfId="29297" xr:uid="{00000000-0005-0000-0000-00008B2D0000}"/>
    <cellStyle name="Normal 5 2 4 3 2 4" xfId="29298" xr:uid="{00000000-0005-0000-0000-00008C2D0000}"/>
    <cellStyle name="Normal 5 2 4 3 3" xfId="29299" xr:uid="{00000000-0005-0000-0000-00008D2D0000}"/>
    <cellStyle name="Normal 5 2 4 3 4" xfId="29300" xr:uid="{00000000-0005-0000-0000-00008E2D0000}"/>
    <cellStyle name="Normal 5 2 4 3 5" xfId="29301" xr:uid="{00000000-0005-0000-0000-00008F2D0000}"/>
    <cellStyle name="Normal 5 2 4 4" xfId="29302" xr:uid="{00000000-0005-0000-0000-0000902D0000}"/>
    <cellStyle name="Normal 5 2 4 4 2" xfId="29303" xr:uid="{00000000-0005-0000-0000-0000912D0000}"/>
    <cellStyle name="Normal 5 2 4 4 3" xfId="29304" xr:uid="{00000000-0005-0000-0000-0000922D0000}"/>
    <cellStyle name="Normal 5 2 4 4 4" xfId="29305" xr:uid="{00000000-0005-0000-0000-0000932D0000}"/>
    <cellStyle name="Normal 5 2 4 5" xfId="29306" xr:uid="{00000000-0005-0000-0000-0000942D0000}"/>
    <cellStyle name="Normal 5 2 4 5 2" xfId="29307" xr:uid="{00000000-0005-0000-0000-0000952D0000}"/>
    <cellStyle name="Normal 5 2 4 5 3" xfId="29308" xr:uid="{00000000-0005-0000-0000-0000962D0000}"/>
    <cellStyle name="Normal 5 2 4 5 4" xfId="29309" xr:uid="{00000000-0005-0000-0000-0000972D0000}"/>
    <cellStyle name="Normal 5 2 4 6" xfId="29310" xr:uid="{00000000-0005-0000-0000-0000982D0000}"/>
    <cellStyle name="Normal 5 2 4 6 2" xfId="29311" xr:uid="{00000000-0005-0000-0000-0000992D0000}"/>
    <cellStyle name="Normal 5 2 4 6 3" xfId="29312" xr:uid="{00000000-0005-0000-0000-00009A2D0000}"/>
    <cellStyle name="Normal 5 2 4 7" xfId="29313" xr:uid="{00000000-0005-0000-0000-00009B2D0000}"/>
    <cellStyle name="Normal 5 2 4 8" xfId="29314" xr:uid="{00000000-0005-0000-0000-00009C2D0000}"/>
    <cellStyle name="Normal 5 2 4 9" xfId="29315" xr:uid="{00000000-0005-0000-0000-00009D2D0000}"/>
    <cellStyle name="Normal 5 2 5" xfId="29316" xr:uid="{00000000-0005-0000-0000-00009E2D0000}"/>
    <cellStyle name="Normal 5 2 5 2" xfId="29317" xr:uid="{00000000-0005-0000-0000-00009F2D0000}"/>
    <cellStyle name="Normal 5 2 5 2 2" xfId="29318" xr:uid="{00000000-0005-0000-0000-0000A02D0000}"/>
    <cellStyle name="Normal 5 2 5 2 2 2" xfId="29319" xr:uid="{00000000-0005-0000-0000-0000A12D0000}"/>
    <cellStyle name="Normal 5 2 5 2 2 2 2" xfId="29320" xr:uid="{00000000-0005-0000-0000-0000A22D0000}"/>
    <cellStyle name="Normal 5 2 5 2 2 2 3" xfId="29321" xr:uid="{00000000-0005-0000-0000-0000A32D0000}"/>
    <cellStyle name="Normal 5 2 5 2 2 2 4" xfId="29322" xr:uid="{00000000-0005-0000-0000-0000A42D0000}"/>
    <cellStyle name="Normal 5 2 5 2 2 3" xfId="29323" xr:uid="{00000000-0005-0000-0000-0000A52D0000}"/>
    <cellStyle name="Normal 5 2 5 2 2 4" xfId="29324" xr:uid="{00000000-0005-0000-0000-0000A62D0000}"/>
    <cellStyle name="Normal 5 2 5 2 2 5" xfId="29325" xr:uid="{00000000-0005-0000-0000-0000A72D0000}"/>
    <cellStyle name="Normal 5 2 5 2 3" xfId="29326" xr:uid="{00000000-0005-0000-0000-0000A82D0000}"/>
    <cellStyle name="Normal 5 2 5 2 3 2" xfId="29327" xr:uid="{00000000-0005-0000-0000-0000A92D0000}"/>
    <cellStyle name="Normal 5 2 5 2 3 3" xfId="29328" xr:uid="{00000000-0005-0000-0000-0000AA2D0000}"/>
    <cellStyle name="Normal 5 2 5 2 3 4" xfId="29329" xr:uid="{00000000-0005-0000-0000-0000AB2D0000}"/>
    <cellStyle name="Normal 5 2 5 2 4" xfId="29330" xr:uid="{00000000-0005-0000-0000-0000AC2D0000}"/>
    <cellStyle name="Normal 5 2 5 2 5" xfId="29331" xr:uid="{00000000-0005-0000-0000-0000AD2D0000}"/>
    <cellStyle name="Normal 5 2 5 2 6" xfId="29332" xr:uid="{00000000-0005-0000-0000-0000AE2D0000}"/>
    <cellStyle name="Normal 5 2 5 3" xfId="29333" xr:uid="{00000000-0005-0000-0000-0000AF2D0000}"/>
    <cellStyle name="Normal 5 2 5 3 2" xfId="29334" xr:uid="{00000000-0005-0000-0000-0000B02D0000}"/>
    <cellStyle name="Normal 5 2 5 3 2 2" xfId="29335" xr:uid="{00000000-0005-0000-0000-0000B12D0000}"/>
    <cellStyle name="Normal 5 2 5 3 2 3" xfId="29336" xr:uid="{00000000-0005-0000-0000-0000B22D0000}"/>
    <cellStyle name="Normal 5 2 5 3 2 4" xfId="29337" xr:uid="{00000000-0005-0000-0000-0000B32D0000}"/>
    <cellStyle name="Normal 5 2 5 3 3" xfId="29338" xr:uid="{00000000-0005-0000-0000-0000B42D0000}"/>
    <cellStyle name="Normal 5 2 5 3 4" xfId="29339" xr:uid="{00000000-0005-0000-0000-0000B52D0000}"/>
    <cellStyle name="Normal 5 2 5 3 5" xfId="29340" xr:uid="{00000000-0005-0000-0000-0000B62D0000}"/>
    <cellStyle name="Normal 5 2 5 4" xfId="29341" xr:uid="{00000000-0005-0000-0000-0000B72D0000}"/>
    <cellStyle name="Normal 5 2 5 4 2" xfId="29342" xr:uid="{00000000-0005-0000-0000-0000B82D0000}"/>
    <cellStyle name="Normal 5 2 5 4 3" xfId="29343" xr:uid="{00000000-0005-0000-0000-0000B92D0000}"/>
    <cellStyle name="Normal 5 2 5 4 4" xfId="29344" xr:uid="{00000000-0005-0000-0000-0000BA2D0000}"/>
    <cellStyle name="Normal 5 2 5 5" xfId="29345" xr:uid="{00000000-0005-0000-0000-0000BB2D0000}"/>
    <cellStyle name="Normal 5 2 5 5 2" xfId="29346" xr:uid="{00000000-0005-0000-0000-0000BC2D0000}"/>
    <cellStyle name="Normal 5 2 5 5 3" xfId="29347" xr:uid="{00000000-0005-0000-0000-0000BD2D0000}"/>
    <cellStyle name="Normal 5 2 5 5 4" xfId="29348" xr:uid="{00000000-0005-0000-0000-0000BE2D0000}"/>
    <cellStyle name="Normal 5 2 5 6" xfId="29349" xr:uid="{00000000-0005-0000-0000-0000BF2D0000}"/>
    <cellStyle name="Normal 5 2 5 6 2" xfId="29350" xr:uid="{00000000-0005-0000-0000-0000C02D0000}"/>
    <cellStyle name="Normal 5 2 5 6 3" xfId="29351" xr:uid="{00000000-0005-0000-0000-0000C12D0000}"/>
    <cellStyle name="Normal 5 2 5 7" xfId="29352" xr:uid="{00000000-0005-0000-0000-0000C22D0000}"/>
    <cellStyle name="Normal 5 2 5 8" xfId="29353" xr:uid="{00000000-0005-0000-0000-0000C32D0000}"/>
    <cellStyle name="Normal 5 2 5 9" xfId="29354" xr:uid="{00000000-0005-0000-0000-0000C42D0000}"/>
    <cellStyle name="Normal 5 2 6" xfId="29355" xr:uid="{00000000-0005-0000-0000-0000C52D0000}"/>
    <cellStyle name="Normal 5 2 6 2" xfId="29356" xr:uid="{00000000-0005-0000-0000-0000C62D0000}"/>
    <cellStyle name="Normal 5 2 6 2 2" xfId="29357" xr:uid="{00000000-0005-0000-0000-0000C72D0000}"/>
    <cellStyle name="Normal 5 2 6 2 2 2" xfId="29358" xr:uid="{00000000-0005-0000-0000-0000C82D0000}"/>
    <cellStyle name="Normal 5 2 6 2 2 3" xfId="29359" xr:uid="{00000000-0005-0000-0000-0000C92D0000}"/>
    <cellStyle name="Normal 5 2 6 2 2 4" xfId="29360" xr:uid="{00000000-0005-0000-0000-0000CA2D0000}"/>
    <cellStyle name="Normal 5 2 6 2 3" xfId="29361" xr:uid="{00000000-0005-0000-0000-0000CB2D0000}"/>
    <cellStyle name="Normal 5 2 6 2 4" xfId="29362" xr:uid="{00000000-0005-0000-0000-0000CC2D0000}"/>
    <cellStyle name="Normal 5 2 6 2 5" xfId="29363" xr:uid="{00000000-0005-0000-0000-0000CD2D0000}"/>
    <cellStyle name="Normal 5 2 6 3" xfId="29364" xr:uid="{00000000-0005-0000-0000-0000CE2D0000}"/>
    <cellStyle name="Normal 5 2 6 3 2" xfId="29365" xr:uid="{00000000-0005-0000-0000-0000CF2D0000}"/>
    <cellStyle name="Normal 5 2 6 3 3" xfId="29366" xr:uid="{00000000-0005-0000-0000-0000D02D0000}"/>
    <cellStyle name="Normal 5 2 6 3 4" xfId="29367" xr:uid="{00000000-0005-0000-0000-0000D12D0000}"/>
    <cellStyle name="Normal 5 2 6 4" xfId="29368" xr:uid="{00000000-0005-0000-0000-0000D22D0000}"/>
    <cellStyle name="Normal 5 2 6 5" xfId="29369" xr:uid="{00000000-0005-0000-0000-0000D32D0000}"/>
    <cellStyle name="Normal 5 2 6 6" xfId="29370" xr:uid="{00000000-0005-0000-0000-0000D42D0000}"/>
    <cellStyle name="Normal 5 2 7" xfId="29371" xr:uid="{00000000-0005-0000-0000-0000D52D0000}"/>
    <cellStyle name="Normal 5 2 7 2" xfId="29372" xr:uid="{00000000-0005-0000-0000-0000D62D0000}"/>
    <cellStyle name="Normal 5 2 7 2 2" xfId="29373" xr:uid="{00000000-0005-0000-0000-0000D72D0000}"/>
    <cellStyle name="Normal 5 2 7 2 2 2" xfId="29374" xr:uid="{00000000-0005-0000-0000-0000D82D0000}"/>
    <cellStyle name="Normal 5 2 7 2 2 3" xfId="29375" xr:uid="{00000000-0005-0000-0000-0000D92D0000}"/>
    <cellStyle name="Normal 5 2 7 2 2 4" xfId="29376" xr:uid="{00000000-0005-0000-0000-0000DA2D0000}"/>
    <cellStyle name="Normal 5 2 7 2 3" xfId="29377" xr:uid="{00000000-0005-0000-0000-0000DB2D0000}"/>
    <cellStyle name="Normal 5 2 7 2 4" xfId="29378" xr:uid="{00000000-0005-0000-0000-0000DC2D0000}"/>
    <cellStyle name="Normal 5 2 7 2 5" xfId="29379" xr:uid="{00000000-0005-0000-0000-0000DD2D0000}"/>
    <cellStyle name="Normal 5 2 7 3" xfId="29380" xr:uid="{00000000-0005-0000-0000-0000DE2D0000}"/>
    <cellStyle name="Normal 5 2 7 3 2" xfId="29381" xr:uid="{00000000-0005-0000-0000-0000DF2D0000}"/>
    <cellStyle name="Normal 5 2 7 3 3" xfId="29382" xr:uid="{00000000-0005-0000-0000-0000E02D0000}"/>
    <cellStyle name="Normal 5 2 7 3 4" xfId="29383" xr:uid="{00000000-0005-0000-0000-0000E12D0000}"/>
    <cellStyle name="Normal 5 2 7 4" xfId="29384" xr:uid="{00000000-0005-0000-0000-0000E22D0000}"/>
    <cellStyle name="Normal 5 2 7 5" xfId="29385" xr:uid="{00000000-0005-0000-0000-0000E32D0000}"/>
    <cellStyle name="Normal 5 2 7 6" xfId="29386" xr:uid="{00000000-0005-0000-0000-0000E42D0000}"/>
    <cellStyle name="Normal 5 2 8" xfId="29387" xr:uid="{00000000-0005-0000-0000-0000E52D0000}"/>
    <cellStyle name="Normal 5 2 8 2" xfId="29388" xr:uid="{00000000-0005-0000-0000-0000E62D0000}"/>
    <cellStyle name="Normal 5 2 8 2 2" xfId="29389" xr:uid="{00000000-0005-0000-0000-0000E72D0000}"/>
    <cellStyle name="Normal 5 2 8 2 2 2" xfId="29390" xr:uid="{00000000-0005-0000-0000-0000E82D0000}"/>
    <cellStyle name="Normal 5 2 8 2 2 3" xfId="29391" xr:uid="{00000000-0005-0000-0000-0000E92D0000}"/>
    <cellStyle name="Normal 5 2 8 2 2 4" xfId="29392" xr:uid="{00000000-0005-0000-0000-0000EA2D0000}"/>
    <cellStyle name="Normal 5 2 8 2 3" xfId="29393" xr:uid="{00000000-0005-0000-0000-0000EB2D0000}"/>
    <cellStyle name="Normal 5 2 8 2 4" xfId="29394" xr:uid="{00000000-0005-0000-0000-0000EC2D0000}"/>
    <cellStyle name="Normal 5 2 8 2 5" xfId="29395" xr:uid="{00000000-0005-0000-0000-0000ED2D0000}"/>
    <cellStyle name="Normal 5 2 8 3" xfId="29396" xr:uid="{00000000-0005-0000-0000-0000EE2D0000}"/>
    <cellStyle name="Normal 5 2 8 3 2" xfId="29397" xr:uid="{00000000-0005-0000-0000-0000EF2D0000}"/>
    <cellStyle name="Normal 5 2 8 3 3" xfId="29398" xr:uid="{00000000-0005-0000-0000-0000F02D0000}"/>
    <cellStyle name="Normal 5 2 8 3 4" xfId="29399" xr:uid="{00000000-0005-0000-0000-0000F12D0000}"/>
    <cellStyle name="Normal 5 2 8 4" xfId="29400" xr:uid="{00000000-0005-0000-0000-0000F22D0000}"/>
    <cellStyle name="Normal 5 2 8 5" xfId="29401" xr:uid="{00000000-0005-0000-0000-0000F32D0000}"/>
    <cellStyle name="Normal 5 2 8 6" xfId="29402" xr:uid="{00000000-0005-0000-0000-0000F42D0000}"/>
    <cellStyle name="Normal 5 2 9" xfId="29403" xr:uid="{00000000-0005-0000-0000-0000F52D0000}"/>
    <cellStyle name="Normal 5 2 9 2" xfId="29404" xr:uid="{00000000-0005-0000-0000-0000F62D0000}"/>
    <cellStyle name="Normal 5 2 9 2 2" xfId="29405" xr:uid="{00000000-0005-0000-0000-0000F72D0000}"/>
    <cellStyle name="Normal 5 2 9 2 3" xfId="29406" xr:uid="{00000000-0005-0000-0000-0000F82D0000}"/>
    <cellStyle name="Normal 5 2 9 2 4" xfId="29407" xr:uid="{00000000-0005-0000-0000-0000F92D0000}"/>
    <cellStyle name="Normal 5 2 9 3" xfId="29408" xr:uid="{00000000-0005-0000-0000-0000FA2D0000}"/>
    <cellStyle name="Normal 5 2 9 4" xfId="29409" xr:uid="{00000000-0005-0000-0000-0000FB2D0000}"/>
    <cellStyle name="Normal 5 2 9 5" xfId="29410" xr:uid="{00000000-0005-0000-0000-0000FC2D0000}"/>
    <cellStyle name="Normal 5 3" xfId="1266" xr:uid="{00000000-0005-0000-0000-0000FD2D0000}"/>
    <cellStyle name="Normal 5 3 10" xfId="29411" xr:uid="{00000000-0005-0000-0000-0000FE2D0000}"/>
    <cellStyle name="Normal 5 3 10 2" xfId="29412" xr:uid="{00000000-0005-0000-0000-0000FF2D0000}"/>
    <cellStyle name="Normal 5 3 10 3" xfId="29413" xr:uid="{00000000-0005-0000-0000-0000002E0000}"/>
    <cellStyle name="Normal 5 3 10 4" xfId="29414" xr:uid="{00000000-0005-0000-0000-0000012E0000}"/>
    <cellStyle name="Normal 5 3 11" xfId="29415" xr:uid="{00000000-0005-0000-0000-0000022E0000}"/>
    <cellStyle name="Normal 5 3 11 2" xfId="29416" xr:uid="{00000000-0005-0000-0000-0000032E0000}"/>
    <cellStyle name="Normal 5 3 11 3" xfId="29417" xr:uid="{00000000-0005-0000-0000-0000042E0000}"/>
    <cellStyle name="Normal 5 3 12" xfId="29418" xr:uid="{00000000-0005-0000-0000-0000052E0000}"/>
    <cellStyle name="Normal 5 3 12 2" xfId="29419" xr:uid="{00000000-0005-0000-0000-0000062E0000}"/>
    <cellStyle name="Normal 5 3 13" xfId="29420" xr:uid="{00000000-0005-0000-0000-0000072E0000}"/>
    <cellStyle name="Normal 5 3 14" xfId="29421" xr:uid="{00000000-0005-0000-0000-0000082E0000}"/>
    <cellStyle name="Normal 5 3 2" xfId="1267" xr:uid="{00000000-0005-0000-0000-0000092E0000}"/>
    <cellStyle name="Normal 5 3 2 2" xfId="29422" xr:uid="{00000000-0005-0000-0000-00000A2E0000}"/>
    <cellStyle name="Normal 5 3 2 2 2" xfId="29423" xr:uid="{00000000-0005-0000-0000-00000B2E0000}"/>
    <cellStyle name="Normal 5 3 2 2 2 2" xfId="29424" xr:uid="{00000000-0005-0000-0000-00000C2E0000}"/>
    <cellStyle name="Normal 5 3 2 2 2 2 2" xfId="29425" xr:uid="{00000000-0005-0000-0000-00000D2E0000}"/>
    <cellStyle name="Normal 5 3 2 2 2 2 3" xfId="29426" xr:uid="{00000000-0005-0000-0000-00000E2E0000}"/>
    <cellStyle name="Normal 5 3 2 2 2 2 4" xfId="29427" xr:uid="{00000000-0005-0000-0000-00000F2E0000}"/>
    <cellStyle name="Normal 5 3 2 2 2 3" xfId="29428" xr:uid="{00000000-0005-0000-0000-0000102E0000}"/>
    <cellStyle name="Normal 5 3 2 2 2 4" xfId="29429" xr:uid="{00000000-0005-0000-0000-0000112E0000}"/>
    <cellStyle name="Normal 5 3 2 2 2 5" xfId="29430" xr:uid="{00000000-0005-0000-0000-0000122E0000}"/>
    <cellStyle name="Normal 5 3 2 2 3" xfId="29431" xr:uid="{00000000-0005-0000-0000-0000132E0000}"/>
    <cellStyle name="Normal 5 3 2 2 3 2" xfId="29432" xr:uid="{00000000-0005-0000-0000-0000142E0000}"/>
    <cellStyle name="Normal 5 3 2 2 3 3" xfId="29433" xr:uid="{00000000-0005-0000-0000-0000152E0000}"/>
    <cellStyle name="Normal 5 3 2 2 3 4" xfId="29434" xr:uid="{00000000-0005-0000-0000-0000162E0000}"/>
    <cellStyle name="Normal 5 3 2 2 4" xfId="29435" xr:uid="{00000000-0005-0000-0000-0000172E0000}"/>
    <cellStyle name="Normal 5 3 2 2 5" xfId="29436" xr:uid="{00000000-0005-0000-0000-0000182E0000}"/>
    <cellStyle name="Normal 5 3 2 2 6" xfId="29437" xr:uid="{00000000-0005-0000-0000-0000192E0000}"/>
    <cellStyle name="Normal 5 3 2 3" xfId="29438" xr:uid="{00000000-0005-0000-0000-00001A2E0000}"/>
    <cellStyle name="Normal 5 3 2 3 2" xfId="29439" xr:uid="{00000000-0005-0000-0000-00001B2E0000}"/>
    <cellStyle name="Normal 5 3 2 3 2 2" xfId="29440" xr:uid="{00000000-0005-0000-0000-00001C2E0000}"/>
    <cellStyle name="Normal 5 3 2 3 2 3" xfId="29441" xr:uid="{00000000-0005-0000-0000-00001D2E0000}"/>
    <cellStyle name="Normal 5 3 2 3 2 4" xfId="29442" xr:uid="{00000000-0005-0000-0000-00001E2E0000}"/>
    <cellStyle name="Normal 5 3 2 3 3" xfId="29443" xr:uid="{00000000-0005-0000-0000-00001F2E0000}"/>
    <cellStyle name="Normal 5 3 2 3 4" xfId="29444" xr:uid="{00000000-0005-0000-0000-0000202E0000}"/>
    <cellStyle name="Normal 5 3 2 3 5" xfId="29445" xr:uid="{00000000-0005-0000-0000-0000212E0000}"/>
    <cellStyle name="Normal 5 3 2 4" xfId="29446" xr:uid="{00000000-0005-0000-0000-0000222E0000}"/>
    <cellStyle name="Normal 5 3 2 4 2" xfId="29447" xr:uid="{00000000-0005-0000-0000-0000232E0000}"/>
    <cellStyle name="Normal 5 3 2 4 3" xfId="29448" xr:uid="{00000000-0005-0000-0000-0000242E0000}"/>
    <cellStyle name="Normal 5 3 2 4 4" xfId="29449" xr:uid="{00000000-0005-0000-0000-0000252E0000}"/>
    <cellStyle name="Normal 5 3 2 5" xfId="29450" xr:uid="{00000000-0005-0000-0000-0000262E0000}"/>
    <cellStyle name="Normal 5 3 2 5 2" xfId="29451" xr:uid="{00000000-0005-0000-0000-0000272E0000}"/>
    <cellStyle name="Normal 5 3 2 5 3" xfId="29452" xr:uid="{00000000-0005-0000-0000-0000282E0000}"/>
    <cellStyle name="Normal 5 3 2 5 4" xfId="29453" xr:uid="{00000000-0005-0000-0000-0000292E0000}"/>
    <cellStyle name="Normal 5 3 2 6" xfId="29454" xr:uid="{00000000-0005-0000-0000-00002A2E0000}"/>
    <cellStyle name="Normal 5 3 2 6 2" xfId="29455" xr:uid="{00000000-0005-0000-0000-00002B2E0000}"/>
    <cellStyle name="Normal 5 3 2 6 3" xfId="29456" xr:uid="{00000000-0005-0000-0000-00002C2E0000}"/>
    <cellStyle name="Normal 5 3 2 7" xfId="29457" xr:uid="{00000000-0005-0000-0000-00002D2E0000}"/>
    <cellStyle name="Normal 5 3 2 8" xfId="29458" xr:uid="{00000000-0005-0000-0000-00002E2E0000}"/>
    <cellStyle name="Normal 5 3 2 9" xfId="29459" xr:uid="{00000000-0005-0000-0000-00002F2E0000}"/>
    <cellStyle name="Normal 5 3 3" xfId="29460" xr:uid="{00000000-0005-0000-0000-0000302E0000}"/>
    <cellStyle name="Normal 5 3 3 2" xfId="29461" xr:uid="{00000000-0005-0000-0000-0000312E0000}"/>
    <cellStyle name="Normal 5 3 3 2 2" xfId="29462" xr:uid="{00000000-0005-0000-0000-0000322E0000}"/>
    <cellStyle name="Normal 5 3 3 2 2 2" xfId="29463" xr:uid="{00000000-0005-0000-0000-0000332E0000}"/>
    <cellStyle name="Normal 5 3 3 2 2 2 2" xfId="29464" xr:uid="{00000000-0005-0000-0000-0000342E0000}"/>
    <cellStyle name="Normal 5 3 3 2 2 2 3" xfId="29465" xr:uid="{00000000-0005-0000-0000-0000352E0000}"/>
    <cellStyle name="Normal 5 3 3 2 2 2 4" xfId="29466" xr:uid="{00000000-0005-0000-0000-0000362E0000}"/>
    <cellStyle name="Normal 5 3 3 2 2 3" xfId="29467" xr:uid="{00000000-0005-0000-0000-0000372E0000}"/>
    <cellStyle name="Normal 5 3 3 2 2 4" xfId="29468" xr:uid="{00000000-0005-0000-0000-0000382E0000}"/>
    <cellStyle name="Normal 5 3 3 2 2 5" xfId="29469" xr:uid="{00000000-0005-0000-0000-0000392E0000}"/>
    <cellStyle name="Normal 5 3 3 2 3" xfId="29470" xr:uid="{00000000-0005-0000-0000-00003A2E0000}"/>
    <cellStyle name="Normal 5 3 3 2 3 2" xfId="29471" xr:uid="{00000000-0005-0000-0000-00003B2E0000}"/>
    <cellStyle name="Normal 5 3 3 2 3 3" xfId="29472" xr:uid="{00000000-0005-0000-0000-00003C2E0000}"/>
    <cellStyle name="Normal 5 3 3 2 3 4" xfId="29473" xr:uid="{00000000-0005-0000-0000-00003D2E0000}"/>
    <cellStyle name="Normal 5 3 3 2 4" xfId="29474" xr:uid="{00000000-0005-0000-0000-00003E2E0000}"/>
    <cellStyle name="Normal 5 3 3 2 5" xfId="29475" xr:uid="{00000000-0005-0000-0000-00003F2E0000}"/>
    <cellStyle name="Normal 5 3 3 2 6" xfId="29476" xr:uid="{00000000-0005-0000-0000-0000402E0000}"/>
    <cellStyle name="Normal 5 3 3 3" xfId="29477" xr:uid="{00000000-0005-0000-0000-0000412E0000}"/>
    <cellStyle name="Normal 5 3 3 3 2" xfId="29478" xr:uid="{00000000-0005-0000-0000-0000422E0000}"/>
    <cellStyle name="Normal 5 3 3 3 2 2" xfId="29479" xr:uid="{00000000-0005-0000-0000-0000432E0000}"/>
    <cellStyle name="Normal 5 3 3 3 2 3" xfId="29480" xr:uid="{00000000-0005-0000-0000-0000442E0000}"/>
    <cellStyle name="Normal 5 3 3 3 2 4" xfId="29481" xr:uid="{00000000-0005-0000-0000-0000452E0000}"/>
    <cellStyle name="Normal 5 3 3 3 3" xfId="29482" xr:uid="{00000000-0005-0000-0000-0000462E0000}"/>
    <cellStyle name="Normal 5 3 3 3 4" xfId="29483" xr:uid="{00000000-0005-0000-0000-0000472E0000}"/>
    <cellStyle name="Normal 5 3 3 3 5" xfId="29484" xr:uid="{00000000-0005-0000-0000-0000482E0000}"/>
    <cellStyle name="Normal 5 3 3 4" xfId="29485" xr:uid="{00000000-0005-0000-0000-0000492E0000}"/>
    <cellStyle name="Normal 5 3 3 4 2" xfId="29486" xr:uid="{00000000-0005-0000-0000-00004A2E0000}"/>
    <cellStyle name="Normal 5 3 3 4 3" xfId="29487" xr:uid="{00000000-0005-0000-0000-00004B2E0000}"/>
    <cellStyle name="Normal 5 3 3 4 4" xfId="29488" xr:uid="{00000000-0005-0000-0000-00004C2E0000}"/>
    <cellStyle name="Normal 5 3 3 5" xfId="29489" xr:uid="{00000000-0005-0000-0000-00004D2E0000}"/>
    <cellStyle name="Normal 5 3 3 5 2" xfId="29490" xr:uid="{00000000-0005-0000-0000-00004E2E0000}"/>
    <cellStyle name="Normal 5 3 3 5 3" xfId="29491" xr:uid="{00000000-0005-0000-0000-00004F2E0000}"/>
    <cellStyle name="Normal 5 3 3 5 4" xfId="29492" xr:uid="{00000000-0005-0000-0000-0000502E0000}"/>
    <cellStyle name="Normal 5 3 3 6" xfId="29493" xr:uid="{00000000-0005-0000-0000-0000512E0000}"/>
    <cellStyle name="Normal 5 3 3 6 2" xfId="29494" xr:uid="{00000000-0005-0000-0000-0000522E0000}"/>
    <cellStyle name="Normal 5 3 3 6 3" xfId="29495" xr:uid="{00000000-0005-0000-0000-0000532E0000}"/>
    <cellStyle name="Normal 5 3 3 7" xfId="29496" xr:uid="{00000000-0005-0000-0000-0000542E0000}"/>
    <cellStyle name="Normal 5 3 3 8" xfId="29497" xr:uid="{00000000-0005-0000-0000-0000552E0000}"/>
    <cellStyle name="Normal 5 3 3 9" xfId="29498" xr:uid="{00000000-0005-0000-0000-0000562E0000}"/>
    <cellStyle name="Normal 5 3 4" xfId="29499" xr:uid="{00000000-0005-0000-0000-0000572E0000}"/>
    <cellStyle name="Normal 5 3 4 2" xfId="29500" xr:uid="{00000000-0005-0000-0000-0000582E0000}"/>
    <cellStyle name="Normal 5 3 4 2 2" xfId="29501" xr:uid="{00000000-0005-0000-0000-0000592E0000}"/>
    <cellStyle name="Normal 5 3 4 2 2 2" xfId="29502" xr:uid="{00000000-0005-0000-0000-00005A2E0000}"/>
    <cellStyle name="Normal 5 3 4 2 2 3" xfId="29503" xr:uid="{00000000-0005-0000-0000-00005B2E0000}"/>
    <cellStyle name="Normal 5 3 4 2 2 4" xfId="29504" xr:uid="{00000000-0005-0000-0000-00005C2E0000}"/>
    <cellStyle name="Normal 5 3 4 2 3" xfId="29505" xr:uid="{00000000-0005-0000-0000-00005D2E0000}"/>
    <cellStyle name="Normal 5 3 4 2 4" xfId="29506" xr:uid="{00000000-0005-0000-0000-00005E2E0000}"/>
    <cellStyle name="Normal 5 3 4 2 5" xfId="29507" xr:uid="{00000000-0005-0000-0000-00005F2E0000}"/>
    <cellStyle name="Normal 5 3 4 3" xfId="29508" xr:uid="{00000000-0005-0000-0000-0000602E0000}"/>
    <cellStyle name="Normal 5 3 4 3 2" xfId="29509" xr:uid="{00000000-0005-0000-0000-0000612E0000}"/>
    <cellStyle name="Normal 5 3 4 3 3" xfId="29510" xr:uid="{00000000-0005-0000-0000-0000622E0000}"/>
    <cellStyle name="Normal 5 3 4 3 4" xfId="29511" xr:uid="{00000000-0005-0000-0000-0000632E0000}"/>
    <cellStyle name="Normal 5 3 4 4" xfId="29512" xr:uid="{00000000-0005-0000-0000-0000642E0000}"/>
    <cellStyle name="Normal 5 3 4 5" xfId="29513" xr:uid="{00000000-0005-0000-0000-0000652E0000}"/>
    <cellStyle name="Normal 5 3 4 6" xfId="29514" xr:uid="{00000000-0005-0000-0000-0000662E0000}"/>
    <cellStyle name="Normal 5 3 5" xfId="29515" xr:uid="{00000000-0005-0000-0000-0000672E0000}"/>
    <cellStyle name="Normal 5 3 5 2" xfId="29516" xr:uid="{00000000-0005-0000-0000-0000682E0000}"/>
    <cellStyle name="Normal 5 3 5 2 2" xfId="29517" xr:uid="{00000000-0005-0000-0000-0000692E0000}"/>
    <cellStyle name="Normal 5 3 5 2 2 2" xfId="29518" xr:uid="{00000000-0005-0000-0000-00006A2E0000}"/>
    <cellStyle name="Normal 5 3 5 2 2 3" xfId="29519" xr:uid="{00000000-0005-0000-0000-00006B2E0000}"/>
    <cellStyle name="Normal 5 3 5 2 2 4" xfId="29520" xr:uid="{00000000-0005-0000-0000-00006C2E0000}"/>
    <cellStyle name="Normal 5 3 5 2 3" xfId="29521" xr:uid="{00000000-0005-0000-0000-00006D2E0000}"/>
    <cellStyle name="Normal 5 3 5 2 4" xfId="29522" xr:uid="{00000000-0005-0000-0000-00006E2E0000}"/>
    <cellStyle name="Normal 5 3 5 2 5" xfId="29523" xr:uid="{00000000-0005-0000-0000-00006F2E0000}"/>
    <cellStyle name="Normal 5 3 5 3" xfId="29524" xr:uid="{00000000-0005-0000-0000-0000702E0000}"/>
    <cellStyle name="Normal 5 3 5 3 2" xfId="29525" xr:uid="{00000000-0005-0000-0000-0000712E0000}"/>
    <cellStyle name="Normal 5 3 5 3 3" xfId="29526" xr:uid="{00000000-0005-0000-0000-0000722E0000}"/>
    <cellStyle name="Normal 5 3 5 3 4" xfId="29527" xr:uid="{00000000-0005-0000-0000-0000732E0000}"/>
    <cellStyle name="Normal 5 3 5 4" xfId="29528" xr:uid="{00000000-0005-0000-0000-0000742E0000}"/>
    <cellStyle name="Normal 5 3 5 5" xfId="29529" xr:uid="{00000000-0005-0000-0000-0000752E0000}"/>
    <cellStyle name="Normal 5 3 5 6" xfId="29530" xr:uid="{00000000-0005-0000-0000-0000762E0000}"/>
    <cellStyle name="Normal 5 3 6" xfId="29531" xr:uid="{00000000-0005-0000-0000-0000772E0000}"/>
    <cellStyle name="Normal 5 3 6 2" xfId="29532" xr:uid="{00000000-0005-0000-0000-0000782E0000}"/>
    <cellStyle name="Normal 5 3 6 2 2" xfId="29533" xr:uid="{00000000-0005-0000-0000-0000792E0000}"/>
    <cellStyle name="Normal 5 3 6 2 2 2" xfId="29534" xr:uid="{00000000-0005-0000-0000-00007A2E0000}"/>
    <cellStyle name="Normal 5 3 6 2 2 3" xfId="29535" xr:uid="{00000000-0005-0000-0000-00007B2E0000}"/>
    <cellStyle name="Normal 5 3 6 2 2 4" xfId="29536" xr:uid="{00000000-0005-0000-0000-00007C2E0000}"/>
    <cellStyle name="Normal 5 3 6 2 3" xfId="29537" xr:uid="{00000000-0005-0000-0000-00007D2E0000}"/>
    <cellStyle name="Normal 5 3 6 2 4" xfId="29538" xr:uid="{00000000-0005-0000-0000-00007E2E0000}"/>
    <cellStyle name="Normal 5 3 6 2 5" xfId="29539" xr:uid="{00000000-0005-0000-0000-00007F2E0000}"/>
    <cellStyle name="Normal 5 3 6 3" xfId="29540" xr:uid="{00000000-0005-0000-0000-0000802E0000}"/>
    <cellStyle name="Normal 5 3 6 3 2" xfId="29541" xr:uid="{00000000-0005-0000-0000-0000812E0000}"/>
    <cellStyle name="Normal 5 3 6 3 3" xfId="29542" xr:uid="{00000000-0005-0000-0000-0000822E0000}"/>
    <cellStyle name="Normal 5 3 6 3 4" xfId="29543" xr:uid="{00000000-0005-0000-0000-0000832E0000}"/>
    <cellStyle name="Normal 5 3 6 4" xfId="29544" xr:uid="{00000000-0005-0000-0000-0000842E0000}"/>
    <cellStyle name="Normal 5 3 6 5" xfId="29545" xr:uid="{00000000-0005-0000-0000-0000852E0000}"/>
    <cellStyle name="Normal 5 3 6 6" xfId="29546" xr:uid="{00000000-0005-0000-0000-0000862E0000}"/>
    <cellStyle name="Normal 5 3 7" xfId="29547" xr:uid="{00000000-0005-0000-0000-0000872E0000}"/>
    <cellStyle name="Normal 5 3 7 2" xfId="29548" xr:uid="{00000000-0005-0000-0000-0000882E0000}"/>
    <cellStyle name="Normal 5 3 7 2 2" xfId="29549" xr:uid="{00000000-0005-0000-0000-0000892E0000}"/>
    <cellStyle name="Normal 5 3 7 2 3" xfId="29550" xr:uid="{00000000-0005-0000-0000-00008A2E0000}"/>
    <cellStyle name="Normal 5 3 7 2 4" xfId="29551" xr:uid="{00000000-0005-0000-0000-00008B2E0000}"/>
    <cellStyle name="Normal 5 3 7 3" xfId="29552" xr:uid="{00000000-0005-0000-0000-00008C2E0000}"/>
    <cellStyle name="Normal 5 3 7 4" xfId="29553" xr:uid="{00000000-0005-0000-0000-00008D2E0000}"/>
    <cellStyle name="Normal 5 3 7 5" xfId="29554" xr:uid="{00000000-0005-0000-0000-00008E2E0000}"/>
    <cellStyle name="Normal 5 3 8" xfId="29555" xr:uid="{00000000-0005-0000-0000-00008F2E0000}"/>
    <cellStyle name="Normal 5 3 8 2" xfId="29556" xr:uid="{00000000-0005-0000-0000-0000902E0000}"/>
    <cellStyle name="Normal 5 3 8 3" xfId="29557" xr:uid="{00000000-0005-0000-0000-0000912E0000}"/>
    <cellStyle name="Normal 5 3 8 4" xfId="29558" xr:uid="{00000000-0005-0000-0000-0000922E0000}"/>
    <cellStyle name="Normal 5 3 9" xfId="29559" xr:uid="{00000000-0005-0000-0000-0000932E0000}"/>
    <cellStyle name="Normal 5 3 9 2" xfId="29560" xr:uid="{00000000-0005-0000-0000-0000942E0000}"/>
    <cellStyle name="Normal 5 3 9 3" xfId="29561" xr:uid="{00000000-0005-0000-0000-0000952E0000}"/>
    <cellStyle name="Normal 5 3 9 4" xfId="29562" xr:uid="{00000000-0005-0000-0000-0000962E0000}"/>
    <cellStyle name="Normal 5 4" xfId="1268" xr:uid="{00000000-0005-0000-0000-0000972E0000}"/>
    <cellStyle name="Normal 5 4 10" xfId="29563" xr:uid="{00000000-0005-0000-0000-0000982E0000}"/>
    <cellStyle name="Normal 5 4 10 2" xfId="29564" xr:uid="{00000000-0005-0000-0000-0000992E0000}"/>
    <cellStyle name="Normal 5 4 10 3" xfId="29565" xr:uid="{00000000-0005-0000-0000-00009A2E0000}"/>
    <cellStyle name="Normal 5 4 10 4" xfId="29566" xr:uid="{00000000-0005-0000-0000-00009B2E0000}"/>
    <cellStyle name="Normal 5 4 11" xfId="29567" xr:uid="{00000000-0005-0000-0000-00009C2E0000}"/>
    <cellStyle name="Normal 5 4 11 2" xfId="29568" xr:uid="{00000000-0005-0000-0000-00009D2E0000}"/>
    <cellStyle name="Normal 5 4 11 3" xfId="29569" xr:uid="{00000000-0005-0000-0000-00009E2E0000}"/>
    <cellStyle name="Normal 5 4 12" xfId="29570" xr:uid="{00000000-0005-0000-0000-00009F2E0000}"/>
    <cellStyle name="Normal 5 4 12 2" xfId="29571" xr:uid="{00000000-0005-0000-0000-0000A02E0000}"/>
    <cellStyle name="Normal 5 4 13" xfId="29572" xr:uid="{00000000-0005-0000-0000-0000A12E0000}"/>
    <cellStyle name="Normal 5 4 14" xfId="29573" xr:uid="{00000000-0005-0000-0000-0000A22E0000}"/>
    <cellStyle name="Normal 5 4 2" xfId="29574" xr:uid="{00000000-0005-0000-0000-0000A32E0000}"/>
    <cellStyle name="Normal 5 4 2 2" xfId="29575" xr:uid="{00000000-0005-0000-0000-0000A42E0000}"/>
    <cellStyle name="Normal 5 4 2 2 2" xfId="29576" xr:uid="{00000000-0005-0000-0000-0000A52E0000}"/>
    <cellStyle name="Normal 5 4 2 2 2 2" xfId="29577" xr:uid="{00000000-0005-0000-0000-0000A62E0000}"/>
    <cellStyle name="Normal 5 4 2 2 2 2 2" xfId="29578" xr:uid="{00000000-0005-0000-0000-0000A72E0000}"/>
    <cellStyle name="Normal 5 4 2 2 2 2 3" xfId="29579" xr:uid="{00000000-0005-0000-0000-0000A82E0000}"/>
    <cellStyle name="Normal 5 4 2 2 2 2 4" xfId="29580" xr:uid="{00000000-0005-0000-0000-0000A92E0000}"/>
    <cellStyle name="Normal 5 4 2 2 2 3" xfId="29581" xr:uid="{00000000-0005-0000-0000-0000AA2E0000}"/>
    <cellStyle name="Normal 5 4 2 2 2 4" xfId="29582" xr:uid="{00000000-0005-0000-0000-0000AB2E0000}"/>
    <cellStyle name="Normal 5 4 2 2 2 5" xfId="29583" xr:uid="{00000000-0005-0000-0000-0000AC2E0000}"/>
    <cellStyle name="Normal 5 4 2 2 3" xfId="29584" xr:uid="{00000000-0005-0000-0000-0000AD2E0000}"/>
    <cellStyle name="Normal 5 4 2 2 3 2" xfId="29585" xr:uid="{00000000-0005-0000-0000-0000AE2E0000}"/>
    <cellStyle name="Normal 5 4 2 2 3 3" xfId="29586" xr:uid="{00000000-0005-0000-0000-0000AF2E0000}"/>
    <cellStyle name="Normal 5 4 2 2 3 4" xfId="29587" xr:uid="{00000000-0005-0000-0000-0000B02E0000}"/>
    <cellStyle name="Normal 5 4 2 2 4" xfId="29588" xr:uid="{00000000-0005-0000-0000-0000B12E0000}"/>
    <cellStyle name="Normal 5 4 2 2 5" xfId="29589" xr:uid="{00000000-0005-0000-0000-0000B22E0000}"/>
    <cellStyle name="Normal 5 4 2 2 6" xfId="29590" xr:uid="{00000000-0005-0000-0000-0000B32E0000}"/>
    <cellStyle name="Normal 5 4 2 3" xfId="29591" xr:uid="{00000000-0005-0000-0000-0000B42E0000}"/>
    <cellStyle name="Normal 5 4 2 3 2" xfId="29592" xr:uid="{00000000-0005-0000-0000-0000B52E0000}"/>
    <cellStyle name="Normal 5 4 2 3 2 2" xfId="29593" xr:uid="{00000000-0005-0000-0000-0000B62E0000}"/>
    <cellStyle name="Normal 5 4 2 3 2 3" xfId="29594" xr:uid="{00000000-0005-0000-0000-0000B72E0000}"/>
    <cellStyle name="Normal 5 4 2 3 2 4" xfId="29595" xr:uid="{00000000-0005-0000-0000-0000B82E0000}"/>
    <cellStyle name="Normal 5 4 2 3 3" xfId="29596" xr:uid="{00000000-0005-0000-0000-0000B92E0000}"/>
    <cellStyle name="Normal 5 4 2 3 4" xfId="29597" xr:uid="{00000000-0005-0000-0000-0000BA2E0000}"/>
    <cellStyle name="Normal 5 4 2 3 5" xfId="29598" xr:uid="{00000000-0005-0000-0000-0000BB2E0000}"/>
    <cellStyle name="Normal 5 4 2 4" xfId="29599" xr:uid="{00000000-0005-0000-0000-0000BC2E0000}"/>
    <cellStyle name="Normal 5 4 2 4 2" xfId="29600" xr:uid="{00000000-0005-0000-0000-0000BD2E0000}"/>
    <cellStyle name="Normal 5 4 2 4 3" xfId="29601" xr:uid="{00000000-0005-0000-0000-0000BE2E0000}"/>
    <cellStyle name="Normal 5 4 2 4 4" xfId="29602" xr:uid="{00000000-0005-0000-0000-0000BF2E0000}"/>
    <cellStyle name="Normal 5 4 2 5" xfId="29603" xr:uid="{00000000-0005-0000-0000-0000C02E0000}"/>
    <cellStyle name="Normal 5 4 2 5 2" xfId="29604" xr:uid="{00000000-0005-0000-0000-0000C12E0000}"/>
    <cellStyle name="Normal 5 4 2 5 3" xfId="29605" xr:uid="{00000000-0005-0000-0000-0000C22E0000}"/>
    <cellStyle name="Normal 5 4 2 5 4" xfId="29606" xr:uid="{00000000-0005-0000-0000-0000C32E0000}"/>
    <cellStyle name="Normal 5 4 2 6" xfId="29607" xr:uid="{00000000-0005-0000-0000-0000C42E0000}"/>
    <cellStyle name="Normal 5 4 2 6 2" xfId="29608" xr:uid="{00000000-0005-0000-0000-0000C52E0000}"/>
    <cellStyle name="Normal 5 4 2 6 3" xfId="29609" xr:uid="{00000000-0005-0000-0000-0000C62E0000}"/>
    <cellStyle name="Normal 5 4 2 7" xfId="29610" xr:uid="{00000000-0005-0000-0000-0000C72E0000}"/>
    <cellStyle name="Normal 5 4 2 8" xfId="29611" xr:uid="{00000000-0005-0000-0000-0000C82E0000}"/>
    <cellStyle name="Normal 5 4 2 9" xfId="29612" xr:uid="{00000000-0005-0000-0000-0000C92E0000}"/>
    <cellStyle name="Normal 5 4 3" xfId="29613" xr:uid="{00000000-0005-0000-0000-0000CA2E0000}"/>
    <cellStyle name="Normal 5 4 3 2" xfId="29614" xr:uid="{00000000-0005-0000-0000-0000CB2E0000}"/>
    <cellStyle name="Normal 5 4 3 2 2" xfId="29615" xr:uid="{00000000-0005-0000-0000-0000CC2E0000}"/>
    <cellStyle name="Normal 5 4 3 2 2 2" xfId="29616" xr:uid="{00000000-0005-0000-0000-0000CD2E0000}"/>
    <cellStyle name="Normal 5 4 3 2 2 2 2" xfId="29617" xr:uid="{00000000-0005-0000-0000-0000CE2E0000}"/>
    <cellStyle name="Normal 5 4 3 2 2 2 3" xfId="29618" xr:uid="{00000000-0005-0000-0000-0000CF2E0000}"/>
    <cellStyle name="Normal 5 4 3 2 2 2 4" xfId="29619" xr:uid="{00000000-0005-0000-0000-0000D02E0000}"/>
    <cellStyle name="Normal 5 4 3 2 2 3" xfId="29620" xr:uid="{00000000-0005-0000-0000-0000D12E0000}"/>
    <cellStyle name="Normal 5 4 3 2 2 4" xfId="29621" xr:uid="{00000000-0005-0000-0000-0000D22E0000}"/>
    <cellStyle name="Normal 5 4 3 2 2 5" xfId="29622" xr:uid="{00000000-0005-0000-0000-0000D32E0000}"/>
    <cellStyle name="Normal 5 4 3 2 3" xfId="29623" xr:uid="{00000000-0005-0000-0000-0000D42E0000}"/>
    <cellStyle name="Normal 5 4 3 2 3 2" xfId="29624" xr:uid="{00000000-0005-0000-0000-0000D52E0000}"/>
    <cellStyle name="Normal 5 4 3 2 3 3" xfId="29625" xr:uid="{00000000-0005-0000-0000-0000D62E0000}"/>
    <cellStyle name="Normal 5 4 3 2 3 4" xfId="29626" xr:uid="{00000000-0005-0000-0000-0000D72E0000}"/>
    <cellStyle name="Normal 5 4 3 2 4" xfId="29627" xr:uid="{00000000-0005-0000-0000-0000D82E0000}"/>
    <cellStyle name="Normal 5 4 3 2 5" xfId="29628" xr:uid="{00000000-0005-0000-0000-0000D92E0000}"/>
    <cellStyle name="Normal 5 4 3 2 6" xfId="29629" xr:uid="{00000000-0005-0000-0000-0000DA2E0000}"/>
    <cellStyle name="Normal 5 4 3 3" xfId="29630" xr:uid="{00000000-0005-0000-0000-0000DB2E0000}"/>
    <cellStyle name="Normal 5 4 3 3 2" xfId="29631" xr:uid="{00000000-0005-0000-0000-0000DC2E0000}"/>
    <cellStyle name="Normal 5 4 3 3 2 2" xfId="29632" xr:uid="{00000000-0005-0000-0000-0000DD2E0000}"/>
    <cellStyle name="Normal 5 4 3 3 2 3" xfId="29633" xr:uid="{00000000-0005-0000-0000-0000DE2E0000}"/>
    <cellStyle name="Normal 5 4 3 3 2 4" xfId="29634" xr:uid="{00000000-0005-0000-0000-0000DF2E0000}"/>
    <cellStyle name="Normal 5 4 3 3 3" xfId="29635" xr:uid="{00000000-0005-0000-0000-0000E02E0000}"/>
    <cellStyle name="Normal 5 4 3 3 4" xfId="29636" xr:uid="{00000000-0005-0000-0000-0000E12E0000}"/>
    <cellStyle name="Normal 5 4 3 3 5" xfId="29637" xr:uid="{00000000-0005-0000-0000-0000E22E0000}"/>
    <cellStyle name="Normal 5 4 3 4" xfId="29638" xr:uid="{00000000-0005-0000-0000-0000E32E0000}"/>
    <cellStyle name="Normal 5 4 3 4 2" xfId="29639" xr:uid="{00000000-0005-0000-0000-0000E42E0000}"/>
    <cellStyle name="Normal 5 4 3 4 3" xfId="29640" xr:uid="{00000000-0005-0000-0000-0000E52E0000}"/>
    <cellStyle name="Normal 5 4 3 4 4" xfId="29641" xr:uid="{00000000-0005-0000-0000-0000E62E0000}"/>
    <cellStyle name="Normal 5 4 3 5" xfId="29642" xr:uid="{00000000-0005-0000-0000-0000E72E0000}"/>
    <cellStyle name="Normal 5 4 3 5 2" xfId="29643" xr:uid="{00000000-0005-0000-0000-0000E82E0000}"/>
    <cellStyle name="Normal 5 4 3 5 3" xfId="29644" xr:uid="{00000000-0005-0000-0000-0000E92E0000}"/>
    <cellStyle name="Normal 5 4 3 5 4" xfId="29645" xr:uid="{00000000-0005-0000-0000-0000EA2E0000}"/>
    <cellStyle name="Normal 5 4 3 6" xfId="29646" xr:uid="{00000000-0005-0000-0000-0000EB2E0000}"/>
    <cellStyle name="Normal 5 4 3 6 2" xfId="29647" xr:uid="{00000000-0005-0000-0000-0000EC2E0000}"/>
    <cellStyle name="Normal 5 4 3 6 3" xfId="29648" xr:uid="{00000000-0005-0000-0000-0000ED2E0000}"/>
    <cellStyle name="Normal 5 4 3 7" xfId="29649" xr:uid="{00000000-0005-0000-0000-0000EE2E0000}"/>
    <cellStyle name="Normal 5 4 3 8" xfId="29650" xr:uid="{00000000-0005-0000-0000-0000EF2E0000}"/>
    <cellStyle name="Normal 5 4 3 9" xfId="29651" xr:uid="{00000000-0005-0000-0000-0000F02E0000}"/>
    <cellStyle name="Normal 5 4 4" xfId="29652" xr:uid="{00000000-0005-0000-0000-0000F12E0000}"/>
    <cellStyle name="Normal 5 4 4 2" xfId="29653" xr:uid="{00000000-0005-0000-0000-0000F22E0000}"/>
    <cellStyle name="Normal 5 4 4 2 2" xfId="29654" xr:uid="{00000000-0005-0000-0000-0000F32E0000}"/>
    <cellStyle name="Normal 5 4 4 2 2 2" xfId="29655" xr:uid="{00000000-0005-0000-0000-0000F42E0000}"/>
    <cellStyle name="Normal 5 4 4 2 2 3" xfId="29656" xr:uid="{00000000-0005-0000-0000-0000F52E0000}"/>
    <cellStyle name="Normal 5 4 4 2 2 4" xfId="29657" xr:uid="{00000000-0005-0000-0000-0000F62E0000}"/>
    <cellStyle name="Normal 5 4 4 2 3" xfId="29658" xr:uid="{00000000-0005-0000-0000-0000F72E0000}"/>
    <cellStyle name="Normal 5 4 4 2 4" xfId="29659" xr:uid="{00000000-0005-0000-0000-0000F82E0000}"/>
    <cellStyle name="Normal 5 4 4 2 5" xfId="29660" xr:uid="{00000000-0005-0000-0000-0000F92E0000}"/>
    <cellStyle name="Normal 5 4 4 3" xfId="29661" xr:uid="{00000000-0005-0000-0000-0000FA2E0000}"/>
    <cellStyle name="Normal 5 4 4 3 2" xfId="29662" xr:uid="{00000000-0005-0000-0000-0000FB2E0000}"/>
    <cellStyle name="Normal 5 4 4 3 3" xfId="29663" xr:uid="{00000000-0005-0000-0000-0000FC2E0000}"/>
    <cellStyle name="Normal 5 4 4 3 4" xfId="29664" xr:uid="{00000000-0005-0000-0000-0000FD2E0000}"/>
    <cellStyle name="Normal 5 4 4 4" xfId="29665" xr:uid="{00000000-0005-0000-0000-0000FE2E0000}"/>
    <cellStyle name="Normal 5 4 4 5" xfId="29666" xr:uid="{00000000-0005-0000-0000-0000FF2E0000}"/>
    <cellStyle name="Normal 5 4 4 6" xfId="29667" xr:uid="{00000000-0005-0000-0000-0000002F0000}"/>
    <cellStyle name="Normal 5 4 5" xfId="29668" xr:uid="{00000000-0005-0000-0000-0000012F0000}"/>
    <cellStyle name="Normal 5 4 5 2" xfId="29669" xr:uid="{00000000-0005-0000-0000-0000022F0000}"/>
    <cellStyle name="Normal 5 4 5 2 2" xfId="29670" xr:uid="{00000000-0005-0000-0000-0000032F0000}"/>
    <cellStyle name="Normal 5 4 5 2 2 2" xfId="29671" xr:uid="{00000000-0005-0000-0000-0000042F0000}"/>
    <cellStyle name="Normal 5 4 5 2 2 3" xfId="29672" xr:uid="{00000000-0005-0000-0000-0000052F0000}"/>
    <cellStyle name="Normal 5 4 5 2 2 4" xfId="29673" xr:uid="{00000000-0005-0000-0000-0000062F0000}"/>
    <cellStyle name="Normal 5 4 5 2 3" xfId="29674" xr:uid="{00000000-0005-0000-0000-0000072F0000}"/>
    <cellStyle name="Normal 5 4 5 2 4" xfId="29675" xr:uid="{00000000-0005-0000-0000-0000082F0000}"/>
    <cellStyle name="Normal 5 4 5 2 5" xfId="29676" xr:uid="{00000000-0005-0000-0000-0000092F0000}"/>
    <cellStyle name="Normal 5 4 5 3" xfId="29677" xr:uid="{00000000-0005-0000-0000-00000A2F0000}"/>
    <cellStyle name="Normal 5 4 5 3 2" xfId="29678" xr:uid="{00000000-0005-0000-0000-00000B2F0000}"/>
    <cellStyle name="Normal 5 4 5 3 3" xfId="29679" xr:uid="{00000000-0005-0000-0000-00000C2F0000}"/>
    <cellStyle name="Normal 5 4 5 3 4" xfId="29680" xr:uid="{00000000-0005-0000-0000-00000D2F0000}"/>
    <cellStyle name="Normal 5 4 5 4" xfId="29681" xr:uid="{00000000-0005-0000-0000-00000E2F0000}"/>
    <cellStyle name="Normal 5 4 5 5" xfId="29682" xr:uid="{00000000-0005-0000-0000-00000F2F0000}"/>
    <cellStyle name="Normal 5 4 5 6" xfId="29683" xr:uid="{00000000-0005-0000-0000-0000102F0000}"/>
    <cellStyle name="Normal 5 4 6" xfId="29684" xr:uid="{00000000-0005-0000-0000-0000112F0000}"/>
    <cellStyle name="Normal 5 4 6 2" xfId="29685" xr:uid="{00000000-0005-0000-0000-0000122F0000}"/>
    <cellStyle name="Normal 5 4 6 2 2" xfId="29686" xr:uid="{00000000-0005-0000-0000-0000132F0000}"/>
    <cellStyle name="Normal 5 4 6 2 2 2" xfId="29687" xr:uid="{00000000-0005-0000-0000-0000142F0000}"/>
    <cellStyle name="Normal 5 4 6 2 2 3" xfId="29688" xr:uid="{00000000-0005-0000-0000-0000152F0000}"/>
    <cellStyle name="Normal 5 4 6 2 2 4" xfId="29689" xr:uid="{00000000-0005-0000-0000-0000162F0000}"/>
    <cellStyle name="Normal 5 4 6 2 3" xfId="29690" xr:uid="{00000000-0005-0000-0000-0000172F0000}"/>
    <cellStyle name="Normal 5 4 6 2 4" xfId="29691" xr:uid="{00000000-0005-0000-0000-0000182F0000}"/>
    <cellStyle name="Normal 5 4 6 2 5" xfId="29692" xr:uid="{00000000-0005-0000-0000-0000192F0000}"/>
    <cellStyle name="Normal 5 4 6 3" xfId="29693" xr:uid="{00000000-0005-0000-0000-00001A2F0000}"/>
    <cellStyle name="Normal 5 4 6 3 2" xfId="29694" xr:uid="{00000000-0005-0000-0000-00001B2F0000}"/>
    <cellStyle name="Normal 5 4 6 3 3" xfId="29695" xr:uid="{00000000-0005-0000-0000-00001C2F0000}"/>
    <cellStyle name="Normal 5 4 6 3 4" xfId="29696" xr:uid="{00000000-0005-0000-0000-00001D2F0000}"/>
    <cellStyle name="Normal 5 4 6 4" xfId="29697" xr:uid="{00000000-0005-0000-0000-00001E2F0000}"/>
    <cellStyle name="Normal 5 4 6 5" xfId="29698" xr:uid="{00000000-0005-0000-0000-00001F2F0000}"/>
    <cellStyle name="Normal 5 4 6 6" xfId="29699" xr:uid="{00000000-0005-0000-0000-0000202F0000}"/>
    <cellStyle name="Normal 5 4 7" xfId="29700" xr:uid="{00000000-0005-0000-0000-0000212F0000}"/>
    <cellStyle name="Normal 5 4 7 2" xfId="29701" xr:uid="{00000000-0005-0000-0000-0000222F0000}"/>
    <cellStyle name="Normal 5 4 7 2 2" xfId="29702" xr:uid="{00000000-0005-0000-0000-0000232F0000}"/>
    <cellStyle name="Normal 5 4 7 2 3" xfId="29703" xr:uid="{00000000-0005-0000-0000-0000242F0000}"/>
    <cellStyle name="Normal 5 4 7 2 4" xfId="29704" xr:uid="{00000000-0005-0000-0000-0000252F0000}"/>
    <cellStyle name="Normal 5 4 7 3" xfId="29705" xr:uid="{00000000-0005-0000-0000-0000262F0000}"/>
    <cellStyle name="Normal 5 4 7 4" xfId="29706" xr:uid="{00000000-0005-0000-0000-0000272F0000}"/>
    <cellStyle name="Normal 5 4 7 5" xfId="29707" xr:uid="{00000000-0005-0000-0000-0000282F0000}"/>
    <cellStyle name="Normal 5 4 8" xfId="29708" xr:uid="{00000000-0005-0000-0000-0000292F0000}"/>
    <cellStyle name="Normal 5 4 8 2" xfId="29709" xr:uid="{00000000-0005-0000-0000-00002A2F0000}"/>
    <cellStyle name="Normal 5 4 8 3" xfId="29710" xr:uid="{00000000-0005-0000-0000-00002B2F0000}"/>
    <cellStyle name="Normal 5 4 8 4" xfId="29711" xr:uid="{00000000-0005-0000-0000-00002C2F0000}"/>
    <cellStyle name="Normal 5 4 9" xfId="29712" xr:uid="{00000000-0005-0000-0000-00002D2F0000}"/>
    <cellStyle name="Normal 5 4 9 2" xfId="29713" xr:uid="{00000000-0005-0000-0000-00002E2F0000}"/>
    <cellStyle name="Normal 5 4 9 3" xfId="29714" xr:uid="{00000000-0005-0000-0000-00002F2F0000}"/>
    <cellStyle name="Normal 5 4 9 4" xfId="29715" xr:uid="{00000000-0005-0000-0000-0000302F0000}"/>
    <cellStyle name="Normal 5 5" xfId="1269" xr:uid="{00000000-0005-0000-0000-0000312F0000}"/>
    <cellStyle name="Normal 5 5 2" xfId="29716" xr:uid="{00000000-0005-0000-0000-0000322F0000}"/>
    <cellStyle name="Normal 5 5 2 2" xfId="29717" xr:uid="{00000000-0005-0000-0000-0000332F0000}"/>
    <cellStyle name="Normal 5 5 2 2 2" xfId="29718" xr:uid="{00000000-0005-0000-0000-0000342F0000}"/>
    <cellStyle name="Normal 5 5 2 2 2 2" xfId="29719" xr:uid="{00000000-0005-0000-0000-0000352F0000}"/>
    <cellStyle name="Normal 5 5 2 2 2 3" xfId="29720" xr:uid="{00000000-0005-0000-0000-0000362F0000}"/>
    <cellStyle name="Normal 5 5 2 2 2 4" xfId="29721" xr:uid="{00000000-0005-0000-0000-0000372F0000}"/>
    <cellStyle name="Normal 5 5 2 2 3" xfId="29722" xr:uid="{00000000-0005-0000-0000-0000382F0000}"/>
    <cellStyle name="Normal 5 5 2 2 4" xfId="29723" xr:uid="{00000000-0005-0000-0000-0000392F0000}"/>
    <cellStyle name="Normal 5 5 2 2 5" xfId="29724" xr:uid="{00000000-0005-0000-0000-00003A2F0000}"/>
    <cellStyle name="Normal 5 5 2 3" xfId="29725" xr:uid="{00000000-0005-0000-0000-00003B2F0000}"/>
    <cellStyle name="Normal 5 5 2 3 2" xfId="29726" xr:uid="{00000000-0005-0000-0000-00003C2F0000}"/>
    <cellStyle name="Normal 5 5 2 3 3" xfId="29727" xr:uid="{00000000-0005-0000-0000-00003D2F0000}"/>
    <cellStyle name="Normal 5 5 2 3 4" xfId="29728" xr:uid="{00000000-0005-0000-0000-00003E2F0000}"/>
    <cellStyle name="Normal 5 5 2 4" xfId="29729" xr:uid="{00000000-0005-0000-0000-00003F2F0000}"/>
    <cellStyle name="Normal 5 5 2 5" xfId="29730" xr:uid="{00000000-0005-0000-0000-0000402F0000}"/>
    <cellStyle name="Normal 5 5 2 6" xfId="29731" xr:uid="{00000000-0005-0000-0000-0000412F0000}"/>
    <cellStyle name="Normal 5 5 3" xfId="29732" xr:uid="{00000000-0005-0000-0000-0000422F0000}"/>
    <cellStyle name="Normal 5 5 3 2" xfId="29733" xr:uid="{00000000-0005-0000-0000-0000432F0000}"/>
    <cellStyle name="Normal 5 5 3 2 2" xfId="29734" xr:uid="{00000000-0005-0000-0000-0000442F0000}"/>
    <cellStyle name="Normal 5 5 3 2 3" xfId="29735" xr:uid="{00000000-0005-0000-0000-0000452F0000}"/>
    <cellStyle name="Normal 5 5 3 2 4" xfId="29736" xr:uid="{00000000-0005-0000-0000-0000462F0000}"/>
    <cellStyle name="Normal 5 5 3 3" xfId="29737" xr:uid="{00000000-0005-0000-0000-0000472F0000}"/>
    <cellStyle name="Normal 5 5 3 4" xfId="29738" xr:uid="{00000000-0005-0000-0000-0000482F0000}"/>
    <cellStyle name="Normal 5 5 3 5" xfId="29739" xr:uid="{00000000-0005-0000-0000-0000492F0000}"/>
    <cellStyle name="Normal 5 5 4" xfId="29740" xr:uid="{00000000-0005-0000-0000-00004A2F0000}"/>
    <cellStyle name="Normal 5 5 4 2" xfId="29741" xr:uid="{00000000-0005-0000-0000-00004B2F0000}"/>
    <cellStyle name="Normal 5 5 4 3" xfId="29742" xr:uid="{00000000-0005-0000-0000-00004C2F0000}"/>
    <cellStyle name="Normal 5 5 4 4" xfId="29743" xr:uid="{00000000-0005-0000-0000-00004D2F0000}"/>
    <cellStyle name="Normal 5 5 5" xfId="29744" xr:uid="{00000000-0005-0000-0000-00004E2F0000}"/>
    <cellStyle name="Normal 5 5 5 2" xfId="29745" xr:uid="{00000000-0005-0000-0000-00004F2F0000}"/>
    <cellStyle name="Normal 5 5 5 3" xfId="29746" xr:uid="{00000000-0005-0000-0000-0000502F0000}"/>
    <cellStyle name="Normal 5 5 5 4" xfId="29747" xr:uid="{00000000-0005-0000-0000-0000512F0000}"/>
    <cellStyle name="Normal 5 5 6" xfId="29748" xr:uid="{00000000-0005-0000-0000-0000522F0000}"/>
    <cellStyle name="Normal 5 5 6 2" xfId="29749" xr:uid="{00000000-0005-0000-0000-0000532F0000}"/>
    <cellStyle name="Normal 5 5 6 3" xfId="29750" xr:uid="{00000000-0005-0000-0000-0000542F0000}"/>
    <cellStyle name="Normal 5 5 7" xfId="29751" xr:uid="{00000000-0005-0000-0000-0000552F0000}"/>
    <cellStyle name="Normal 5 5 8" xfId="29752" xr:uid="{00000000-0005-0000-0000-0000562F0000}"/>
    <cellStyle name="Normal 5 5 9" xfId="29753" xr:uid="{00000000-0005-0000-0000-0000572F0000}"/>
    <cellStyle name="Normal 5 6" xfId="1270" xr:uid="{00000000-0005-0000-0000-0000582F0000}"/>
    <cellStyle name="Normal 5 6 2" xfId="29754" xr:uid="{00000000-0005-0000-0000-0000592F0000}"/>
    <cellStyle name="Normal 5 6 2 2" xfId="29755" xr:uid="{00000000-0005-0000-0000-00005A2F0000}"/>
    <cellStyle name="Normal 5 6 2 2 2" xfId="29756" xr:uid="{00000000-0005-0000-0000-00005B2F0000}"/>
    <cellStyle name="Normal 5 6 2 2 2 2" xfId="29757" xr:uid="{00000000-0005-0000-0000-00005C2F0000}"/>
    <cellStyle name="Normal 5 6 2 2 2 3" xfId="29758" xr:uid="{00000000-0005-0000-0000-00005D2F0000}"/>
    <cellStyle name="Normal 5 6 2 2 2 4" xfId="29759" xr:uid="{00000000-0005-0000-0000-00005E2F0000}"/>
    <cellStyle name="Normal 5 6 2 2 3" xfId="29760" xr:uid="{00000000-0005-0000-0000-00005F2F0000}"/>
    <cellStyle name="Normal 5 6 2 2 4" xfId="29761" xr:uid="{00000000-0005-0000-0000-0000602F0000}"/>
    <cellStyle name="Normal 5 6 2 2 5" xfId="29762" xr:uid="{00000000-0005-0000-0000-0000612F0000}"/>
    <cellStyle name="Normal 5 6 2 3" xfId="29763" xr:uid="{00000000-0005-0000-0000-0000622F0000}"/>
    <cellStyle name="Normal 5 6 2 3 2" xfId="29764" xr:uid="{00000000-0005-0000-0000-0000632F0000}"/>
    <cellStyle name="Normal 5 6 2 3 3" xfId="29765" xr:uid="{00000000-0005-0000-0000-0000642F0000}"/>
    <cellStyle name="Normal 5 6 2 3 4" xfId="29766" xr:uid="{00000000-0005-0000-0000-0000652F0000}"/>
    <cellStyle name="Normal 5 6 2 4" xfId="29767" xr:uid="{00000000-0005-0000-0000-0000662F0000}"/>
    <cellStyle name="Normal 5 6 2 5" xfId="29768" xr:uid="{00000000-0005-0000-0000-0000672F0000}"/>
    <cellStyle name="Normal 5 6 2 6" xfId="29769" xr:uid="{00000000-0005-0000-0000-0000682F0000}"/>
    <cellStyle name="Normal 5 6 3" xfId="29770" xr:uid="{00000000-0005-0000-0000-0000692F0000}"/>
    <cellStyle name="Normal 5 6 3 2" xfId="29771" xr:uid="{00000000-0005-0000-0000-00006A2F0000}"/>
    <cellStyle name="Normal 5 6 3 2 2" xfId="29772" xr:uid="{00000000-0005-0000-0000-00006B2F0000}"/>
    <cellStyle name="Normal 5 6 3 2 3" xfId="29773" xr:uid="{00000000-0005-0000-0000-00006C2F0000}"/>
    <cellStyle name="Normal 5 6 3 2 4" xfId="29774" xr:uid="{00000000-0005-0000-0000-00006D2F0000}"/>
    <cellStyle name="Normal 5 6 3 3" xfId="29775" xr:uid="{00000000-0005-0000-0000-00006E2F0000}"/>
    <cellStyle name="Normal 5 6 3 4" xfId="29776" xr:uid="{00000000-0005-0000-0000-00006F2F0000}"/>
    <cellStyle name="Normal 5 6 3 5" xfId="29777" xr:uid="{00000000-0005-0000-0000-0000702F0000}"/>
    <cellStyle name="Normal 5 6 4" xfId="29778" xr:uid="{00000000-0005-0000-0000-0000712F0000}"/>
    <cellStyle name="Normal 5 6 4 2" xfId="29779" xr:uid="{00000000-0005-0000-0000-0000722F0000}"/>
    <cellStyle name="Normal 5 6 4 3" xfId="29780" xr:uid="{00000000-0005-0000-0000-0000732F0000}"/>
    <cellStyle name="Normal 5 6 4 4" xfId="29781" xr:uid="{00000000-0005-0000-0000-0000742F0000}"/>
    <cellStyle name="Normal 5 6 5" xfId="29782" xr:uid="{00000000-0005-0000-0000-0000752F0000}"/>
    <cellStyle name="Normal 5 6 5 2" xfId="29783" xr:uid="{00000000-0005-0000-0000-0000762F0000}"/>
    <cellStyle name="Normal 5 6 5 3" xfId="29784" xr:uid="{00000000-0005-0000-0000-0000772F0000}"/>
    <cellStyle name="Normal 5 6 5 4" xfId="29785" xr:uid="{00000000-0005-0000-0000-0000782F0000}"/>
    <cellStyle name="Normal 5 6 6" xfId="29786" xr:uid="{00000000-0005-0000-0000-0000792F0000}"/>
    <cellStyle name="Normal 5 6 6 2" xfId="29787" xr:uid="{00000000-0005-0000-0000-00007A2F0000}"/>
    <cellStyle name="Normal 5 6 6 3" xfId="29788" xr:uid="{00000000-0005-0000-0000-00007B2F0000}"/>
    <cellStyle name="Normal 5 6 7" xfId="29789" xr:uid="{00000000-0005-0000-0000-00007C2F0000}"/>
    <cellStyle name="Normal 5 6 8" xfId="29790" xr:uid="{00000000-0005-0000-0000-00007D2F0000}"/>
    <cellStyle name="Normal 5 6 9" xfId="29791" xr:uid="{00000000-0005-0000-0000-00007E2F0000}"/>
    <cellStyle name="Normal 5 7" xfId="29792" xr:uid="{00000000-0005-0000-0000-00007F2F0000}"/>
    <cellStyle name="Normal 5 7 2" xfId="29793" xr:uid="{00000000-0005-0000-0000-0000802F0000}"/>
    <cellStyle name="Normal 5 7 2 2" xfId="29794" xr:uid="{00000000-0005-0000-0000-0000812F0000}"/>
    <cellStyle name="Normal 5 7 2 2 2" xfId="29795" xr:uid="{00000000-0005-0000-0000-0000822F0000}"/>
    <cellStyle name="Normal 5 7 2 2 3" xfId="29796" xr:uid="{00000000-0005-0000-0000-0000832F0000}"/>
    <cellStyle name="Normal 5 7 2 2 4" xfId="29797" xr:uid="{00000000-0005-0000-0000-0000842F0000}"/>
    <cellStyle name="Normal 5 7 2 3" xfId="29798" xr:uid="{00000000-0005-0000-0000-0000852F0000}"/>
    <cellStyle name="Normal 5 7 2 4" xfId="29799" xr:uid="{00000000-0005-0000-0000-0000862F0000}"/>
    <cellStyle name="Normal 5 7 2 5" xfId="29800" xr:uid="{00000000-0005-0000-0000-0000872F0000}"/>
    <cellStyle name="Normal 5 7 3" xfId="29801" xr:uid="{00000000-0005-0000-0000-0000882F0000}"/>
    <cellStyle name="Normal 5 7 3 2" xfId="29802" xr:uid="{00000000-0005-0000-0000-0000892F0000}"/>
    <cellStyle name="Normal 5 7 3 3" xfId="29803" xr:uid="{00000000-0005-0000-0000-00008A2F0000}"/>
    <cellStyle name="Normal 5 7 3 4" xfId="29804" xr:uid="{00000000-0005-0000-0000-00008B2F0000}"/>
    <cellStyle name="Normal 5 7 4" xfId="29805" xr:uid="{00000000-0005-0000-0000-00008C2F0000}"/>
    <cellStyle name="Normal 5 7 5" xfId="29806" xr:uid="{00000000-0005-0000-0000-00008D2F0000}"/>
    <cellStyle name="Normal 5 7 6" xfId="29807" xr:uid="{00000000-0005-0000-0000-00008E2F0000}"/>
    <cellStyle name="Normal 5 8" xfId="29808" xr:uid="{00000000-0005-0000-0000-00008F2F0000}"/>
    <cellStyle name="Normal 5 8 2" xfId="29809" xr:uid="{00000000-0005-0000-0000-0000902F0000}"/>
    <cellStyle name="Normal 5 8 2 2" xfId="29810" xr:uid="{00000000-0005-0000-0000-0000912F0000}"/>
    <cellStyle name="Normal 5 8 2 2 2" xfId="29811" xr:uid="{00000000-0005-0000-0000-0000922F0000}"/>
    <cellStyle name="Normal 5 8 2 2 3" xfId="29812" xr:uid="{00000000-0005-0000-0000-0000932F0000}"/>
    <cellStyle name="Normal 5 8 2 2 4" xfId="29813" xr:uid="{00000000-0005-0000-0000-0000942F0000}"/>
    <cellStyle name="Normal 5 8 2 3" xfId="29814" xr:uid="{00000000-0005-0000-0000-0000952F0000}"/>
    <cellStyle name="Normal 5 8 2 4" xfId="29815" xr:uid="{00000000-0005-0000-0000-0000962F0000}"/>
    <cellStyle name="Normal 5 8 2 5" xfId="29816" xr:uid="{00000000-0005-0000-0000-0000972F0000}"/>
    <cellStyle name="Normal 5 8 3" xfId="29817" xr:uid="{00000000-0005-0000-0000-0000982F0000}"/>
    <cellStyle name="Normal 5 8 3 2" xfId="29818" xr:uid="{00000000-0005-0000-0000-0000992F0000}"/>
    <cellStyle name="Normal 5 8 3 3" xfId="29819" xr:uid="{00000000-0005-0000-0000-00009A2F0000}"/>
    <cellStyle name="Normal 5 8 3 4" xfId="29820" xr:uid="{00000000-0005-0000-0000-00009B2F0000}"/>
    <cellStyle name="Normal 5 8 4" xfId="29821" xr:uid="{00000000-0005-0000-0000-00009C2F0000}"/>
    <cellStyle name="Normal 5 8 5" xfId="29822" xr:uid="{00000000-0005-0000-0000-00009D2F0000}"/>
    <cellStyle name="Normal 5 8 6" xfId="29823" xr:uid="{00000000-0005-0000-0000-00009E2F0000}"/>
    <cellStyle name="Normal 5 9" xfId="29824" xr:uid="{00000000-0005-0000-0000-00009F2F0000}"/>
    <cellStyle name="Normal 5 9 2" xfId="29825" xr:uid="{00000000-0005-0000-0000-0000A02F0000}"/>
    <cellStyle name="Normal 5 9 2 2" xfId="29826" xr:uid="{00000000-0005-0000-0000-0000A12F0000}"/>
    <cellStyle name="Normal 5 9 2 2 2" xfId="29827" xr:uid="{00000000-0005-0000-0000-0000A22F0000}"/>
    <cellStyle name="Normal 5 9 2 2 3" xfId="29828" xr:uid="{00000000-0005-0000-0000-0000A32F0000}"/>
    <cellStyle name="Normal 5 9 2 2 4" xfId="29829" xr:uid="{00000000-0005-0000-0000-0000A42F0000}"/>
    <cellStyle name="Normal 5 9 2 3" xfId="29830" xr:uid="{00000000-0005-0000-0000-0000A52F0000}"/>
    <cellStyle name="Normal 5 9 2 4" xfId="29831" xr:uid="{00000000-0005-0000-0000-0000A62F0000}"/>
    <cellStyle name="Normal 5 9 2 5" xfId="29832" xr:uid="{00000000-0005-0000-0000-0000A72F0000}"/>
    <cellStyle name="Normal 5 9 3" xfId="29833" xr:uid="{00000000-0005-0000-0000-0000A82F0000}"/>
    <cellStyle name="Normal 5 9 3 2" xfId="29834" xr:uid="{00000000-0005-0000-0000-0000A92F0000}"/>
    <cellStyle name="Normal 5 9 3 3" xfId="29835" xr:uid="{00000000-0005-0000-0000-0000AA2F0000}"/>
    <cellStyle name="Normal 5 9 3 4" xfId="29836" xr:uid="{00000000-0005-0000-0000-0000AB2F0000}"/>
    <cellStyle name="Normal 5 9 4" xfId="29837" xr:uid="{00000000-0005-0000-0000-0000AC2F0000}"/>
    <cellStyle name="Normal 5 9 5" xfId="29838" xr:uid="{00000000-0005-0000-0000-0000AD2F0000}"/>
    <cellStyle name="Normal 5 9 6" xfId="29839" xr:uid="{00000000-0005-0000-0000-0000AE2F0000}"/>
    <cellStyle name="Normal 50" xfId="1271" xr:uid="{00000000-0005-0000-0000-0000AF2F0000}"/>
    <cellStyle name="Normal 50 2" xfId="1272" xr:uid="{00000000-0005-0000-0000-0000B02F0000}"/>
    <cellStyle name="Normal 50 2 2" xfId="29840" xr:uid="{00000000-0005-0000-0000-0000B12F0000}"/>
    <cellStyle name="Normal 50 3" xfId="1273" xr:uid="{00000000-0005-0000-0000-0000B22F0000}"/>
    <cellStyle name="Normal 50 3 2" xfId="2155" xr:uid="{00000000-0005-0000-0000-0000B32F0000}"/>
    <cellStyle name="Normal 50 3 2 2" xfId="26658" xr:uid="{00000000-0005-0000-0000-0000B42F0000}"/>
    <cellStyle name="Normal 50 3 3" xfId="26308" xr:uid="{00000000-0005-0000-0000-0000B52F0000}"/>
    <cellStyle name="Normal 50 4" xfId="29841" xr:uid="{00000000-0005-0000-0000-0000B62F0000}"/>
    <cellStyle name="Normal 50 5" xfId="29842" xr:uid="{00000000-0005-0000-0000-0000B72F0000}"/>
    <cellStyle name="Normal 51" xfId="1274" xr:uid="{00000000-0005-0000-0000-0000B82F0000}"/>
    <cellStyle name="Normal 51 2" xfId="29843" xr:uid="{00000000-0005-0000-0000-0000B92F0000}"/>
    <cellStyle name="Normal 51 2 2" xfId="29844" xr:uid="{00000000-0005-0000-0000-0000BA2F0000}"/>
    <cellStyle name="Normal 51 3" xfId="29845" xr:uid="{00000000-0005-0000-0000-0000BB2F0000}"/>
    <cellStyle name="Normal 51 4" xfId="29846" xr:uid="{00000000-0005-0000-0000-0000BC2F0000}"/>
    <cellStyle name="Normal 51 5" xfId="29847" xr:uid="{00000000-0005-0000-0000-0000BD2F0000}"/>
    <cellStyle name="Normal 52" xfId="1275" xr:uid="{00000000-0005-0000-0000-0000BE2F0000}"/>
    <cellStyle name="Normal 52 2" xfId="29848" xr:uid="{00000000-0005-0000-0000-0000BF2F0000}"/>
    <cellStyle name="Normal 52 2 2" xfId="29849" xr:uid="{00000000-0005-0000-0000-0000C02F0000}"/>
    <cellStyle name="Normal 52 3" xfId="29850" xr:uid="{00000000-0005-0000-0000-0000C12F0000}"/>
    <cellStyle name="Normal 52 4" xfId="29851" xr:uid="{00000000-0005-0000-0000-0000C22F0000}"/>
    <cellStyle name="Normal 52 5" xfId="29852" xr:uid="{00000000-0005-0000-0000-0000C32F0000}"/>
    <cellStyle name="Normal 53" xfId="1276" xr:uid="{00000000-0005-0000-0000-0000C42F0000}"/>
    <cellStyle name="Normal 53 2" xfId="29853" xr:uid="{00000000-0005-0000-0000-0000C52F0000}"/>
    <cellStyle name="Normal 53 2 2" xfId="29854" xr:uid="{00000000-0005-0000-0000-0000C62F0000}"/>
    <cellStyle name="Normal 53 3" xfId="29855" xr:uid="{00000000-0005-0000-0000-0000C72F0000}"/>
    <cellStyle name="Normal 53 4" xfId="29856" xr:uid="{00000000-0005-0000-0000-0000C82F0000}"/>
    <cellStyle name="Normal 53 5" xfId="29857" xr:uid="{00000000-0005-0000-0000-0000C92F0000}"/>
    <cellStyle name="Normal 54" xfId="1277" xr:uid="{00000000-0005-0000-0000-0000CA2F0000}"/>
    <cellStyle name="Normal 54 2" xfId="29858" xr:uid="{00000000-0005-0000-0000-0000CB2F0000}"/>
    <cellStyle name="Normal 54 2 2" xfId="29859" xr:uid="{00000000-0005-0000-0000-0000CC2F0000}"/>
    <cellStyle name="Normal 54 3" xfId="29860" xr:uid="{00000000-0005-0000-0000-0000CD2F0000}"/>
    <cellStyle name="Normal 54 4" xfId="29861" xr:uid="{00000000-0005-0000-0000-0000CE2F0000}"/>
    <cellStyle name="Normal 54 5" xfId="29862" xr:uid="{00000000-0005-0000-0000-0000CF2F0000}"/>
    <cellStyle name="Normal 55" xfId="1278" xr:uid="{00000000-0005-0000-0000-0000D02F0000}"/>
    <cellStyle name="Normal 55 2" xfId="1279" xr:uid="{00000000-0005-0000-0000-0000D12F0000}"/>
    <cellStyle name="Normal 55 2 2" xfId="29863" xr:uid="{00000000-0005-0000-0000-0000D22F0000}"/>
    <cellStyle name="Normal 55 3" xfId="1280" xr:uid="{00000000-0005-0000-0000-0000D32F0000}"/>
    <cellStyle name="Normal 55 3 2" xfId="1281" xr:uid="{00000000-0005-0000-0000-0000D42F0000}"/>
    <cellStyle name="Normal 55 3 2 2" xfId="2572" xr:uid="{00000000-0005-0000-0000-0000D52F0000}"/>
    <cellStyle name="Normal 55 3 2 2 2" xfId="22426" xr:uid="{00000000-0005-0000-0000-0000D62F0000}"/>
    <cellStyle name="Normal 55 3 2 2 2 2" xfId="22700" xr:uid="{00000000-0005-0000-0000-0000D72F0000}"/>
    <cellStyle name="Normal 55 3 3" xfId="22296" xr:uid="{00000000-0005-0000-0000-0000D82F0000}"/>
    <cellStyle name="Normal 55 3 3 2" xfId="22312" xr:uid="{00000000-0005-0000-0000-0000D92F0000}"/>
    <cellStyle name="Normal 55 3 3 3" xfId="22334" xr:uid="{00000000-0005-0000-0000-0000DA2F0000}"/>
    <cellStyle name="Normal 55 3 3 3 2" xfId="22377" xr:uid="{00000000-0005-0000-0000-0000DB2F0000}"/>
    <cellStyle name="Normal 55 3 3 3 3" xfId="22411" xr:uid="{00000000-0005-0000-0000-0000DC2F0000}"/>
    <cellStyle name="Normal 55 3 3 3 3 2" xfId="22685" xr:uid="{00000000-0005-0000-0000-0000DD2F0000}"/>
    <cellStyle name="Normal 55 3 3 4" xfId="22350" xr:uid="{00000000-0005-0000-0000-0000DE2F0000}"/>
    <cellStyle name="Normal 55 3 4" xfId="26035" xr:uid="{00000000-0005-0000-0000-0000DF2F0000}"/>
    <cellStyle name="Normal 55 4" xfId="29864" xr:uid="{00000000-0005-0000-0000-0000E02F0000}"/>
    <cellStyle name="Normal 55 5" xfId="29865" xr:uid="{00000000-0005-0000-0000-0000E12F0000}"/>
    <cellStyle name="Normal 56" xfId="1282" xr:uid="{00000000-0005-0000-0000-0000E22F0000}"/>
    <cellStyle name="Normal 56 2" xfId="1283" xr:uid="{00000000-0005-0000-0000-0000E32F0000}"/>
    <cellStyle name="Normal 56 2 2" xfId="29866" xr:uid="{00000000-0005-0000-0000-0000E42F0000}"/>
    <cellStyle name="Normal 56 3" xfId="1284" xr:uid="{00000000-0005-0000-0000-0000E52F0000}"/>
    <cellStyle name="Normal 56 3 2" xfId="1285" xr:uid="{00000000-0005-0000-0000-0000E62F0000}"/>
    <cellStyle name="Normal 56 3 2 2" xfId="2573" xr:uid="{00000000-0005-0000-0000-0000E72F0000}"/>
    <cellStyle name="Normal 56 3 2 2 2" xfId="22427" xr:uid="{00000000-0005-0000-0000-0000E82F0000}"/>
    <cellStyle name="Normal 56 3 2 2 2 2" xfId="22701" xr:uid="{00000000-0005-0000-0000-0000E92F0000}"/>
    <cellStyle name="Normal 56 3 3" xfId="22297" xr:uid="{00000000-0005-0000-0000-0000EA2F0000}"/>
    <cellStyle name="Normal 56 3 3 2" xfId="22313" xr:uid="{00000000-0005-0000-0000-0000EB2F0000}"/>
    <cellStyle name="Normal 56 3 3 3" xfId="22335" xr:uid="{00000000-0005-0000-0000-0000EC2F0000}"/>
    <cellStyle name="Normal 56 3 3 3 2" xfId="22381" xr:uid="{00000000-0005-0000-0000-0000ED2F0000}"/>
    <cellStyle name="Normal 56 3 3 3 3" xfId="22412" xr:uid="{00000000-0005-0000-0000-0000EE2F0000}"/>
    <cellStyle name="Normal 56 3 3 3 3 2" xfId="22686" xr:uid="{00000000-0005-0000-0000-0000EF2F0000}"/>
    <cellStyle name="Normal 56 3 3 4" xfId="22351" xr:uid="{00000000-0005-0000-0000-0000F02F0000}"/>
    <cellStyle name="Normal 56 3 4" xfId="26036" xr:uid="{00000000-0005-0000-0000-0000F12F0000}"/>
    <cellStyle name="Normal 56 4" xfId="29867" xr:uid="{00000000-0005-0000-0000-0000F22F0000}"/>
    <cellStyle name="Normal 56 5" xfId="29868" xr:uid="{00000000-0005-0000-0000-0000F32F0000}"/>
    <cellStyle name="Normal 57" xfId="1286" xr:uid="{00000000-0005-0000-0000-0000F42F0000}"/>
    <cellStyle name="Normal 57 2" xfId="1287" xr:uid="{00000000-0005-0000-0000-0000F52F0000}"/>
    <cellStyle name="Normal 57 2 2" xfId="29869" xr:uid="{00000000-0005-0000-0000-0000F62F0000}"/>
    <cellStyle name="Normal 57 3" xfId="1288" xr:uid="{00000000-0005-0000-0000-0000F72F0000}"/>
    <cellStyle name="Normal 57 3 2" xfId="1289" xr:uid="{00000000-0005-0000-0000-0000F82F0000}"/>
    <cellStyle name="Normal 57 3 2 2" xfId="2574" xr:uid="{00000000-0005-0000-0000-0000F92F0000}"/>
    <cellStyle name="Normal 57 3 2 2 2" xfId="22428" xr:uid="{00000000-0005-0000-0000-0000FA2F0000}"/>
    <cellStyle name="Normal 57 3 2 2 2 2" xfId="22702" xr:uid="{00000000-0005-0000-0000-0000FB2F0000}"/>
    <cellStyle name="Normal 57 3 3" xfId="22298" xr:uid="{00000000-0005-0000-0000-0000FC2F0000}"/>
    <cellStyle name="Normal 57 3 3 2" xfId="22314" xr:uid="{00000000-0005-0000-0000-0000FD2F0000}"/>
    <cellStyle name="Normal 57 3 3 3" xfId="22336" xr:uid="{00000000-0005-0000-0000-0000FE2F0000}"/>
    <cellStyle name="Normal 57 3 3 3 2" xfId="22368" xr:uid="{00000000-0005-0000-0000-0000FF2F0000}"/>
    <cellStyle name="Normal 57 3 3 3 3" xfId="22413" xr:uid="{00000000-0005-0000-0000-000000300000}"/>
    <cellStyle name="Normal 57 3 3 3 3 2" xfId="22687" xr:uid="{00000000-0005-0000-0000-000001300000}"/>
    <cellStyle name="Normal 57 3 3 4" xfId="22352" xr:uid="{00000000-0005-0000-0000-000002300000}"/>
    <cellStyle name="Normal 57 3 4" xfId="26037" xr:uid="{00000000-0005-0000-0000-000003300000}"/>
    <cellStyle name="Normal 57 4" xfId="29870" xr:uid="{00000000-0005-0000-0000-000004300000}"/>
    <cellStyle name="Normal 57 5" xfId="29871" xr:uid="{00000000-0005-0000-0000-000005300000}"/>
    <cellStyle name="Normal 58" xfId="1290" xr:uid="{00000000-0005-0000-0000-000006300000}"/>
    <cellStyle name="Normal 58 2" xfId="1291" xr:uid="{00000000-0005-0000-0000-000007300000}"/>
    <cellStyle name="Normal 58 2 2" xfId="29872" xr:uid="{00000000-0005-0000-0000-000008300000}"/>
    <cellStyle name="Normal 58 3" xfId="1292" xr:uid="{00000000-0005-0000-0000-000009300000}"/>
    <cellStyle name="Normal 58 3 2" xfId="1293" xr:uid="{00000000-0005-0000-0000-00000A300000}"/>
    <cellStyle name="Normal 58 3 2 2" xfId="2575" xr:uid="{00000000-0005-0000-0000-00000B300000}"/>
    <cellStyle name="Normal 58 3 2 2 2" xfId="22429" xr:uid="{00000000-0005-0000-0000-00000C300000}"/>
    <cellStyle name="Normal 58 3 2 2 2 2" xfId="22703" xr:uid="{00000000-0005-0000-0000-00000D300000}"/>
    <cellStyle name="Normal 58 3 3" xfId="22299" xr:uid="{00000000-0005-0000-0000-00000E300000}"/>
    <cellStyle name="Normal 58 3 3 2" xfId="22315" xr:uid="{00000000-0005-0000-0000-00000F300000}"/>
    <cellStyle name="Normal 58 3 3 3" xfId="22337" xr:uid="{00000000-0005-0000-0000-000010300000}"/>
    <cellStyle name="Normal 58 3 3 3 2" xfId="22374" xr:uid="{00000000-0005-0000-0000-000011300000}"/>
    <cellStyle name="Normal 58 3 3 3 3" xfId="22414" xr:uid="{00000000-0005-0000-0000-000012300000}"/>
    <cellStyle name="Normal 58 3 3 3 3 2" xfId="22688" xr:uid="{00000000-0005-0000-0000-000013300000}"/>
    <cellStyle name="Normal 58 3 3 4" xfId="22353" xr:uid="{00000000-0005-0000-0000-000014300000}"/>
    <cellStyle name="Normal 58 3 4" xfId="26038" xr:uid="{00000000-0005-0000-0000-000015300000}"/>
    <cellStyle name="Normal 58 4" xfId="29873" xr:uid="{00000000-0005-0000-0000-000016300000}"/>
    <cellStyle name="Normal 58 5" xfId="29874" xr:uid="{00000000-0005-0000-0000-000017300000}"/>
    <cellStyle name="Normal 59" xfId="1294" xr:uid="{00000000-0005-0000-0000-000018300000}"/>
    <cellStyle name="Normal 59 2" xfId="1295" xr:uid="{00000000-0005-0000-0000-000019300000}"/>
    <cellStyle name="Normal 59 2 2" xfId="29875" xr:uid="{00000000-0005-0000-0000-00001A300000}"/>
    <cellStyle name="Normal 59 3" xfId="1296" xr:uid="{00000000-0005-0000-0000-00001B300000}"/>
    <cellStyle name="Normal 59 3 2" xfId="1297" xr:uid="{00000000-0005-0000-0000-00001C300000}"/>
    <cellStyle name="Normal 59 3 2 2" xfId="2576" xr:uid="{00000000-0005-0000-0000-00001D300000}"/>
    <cellStyle name="Normal 59 3 2 2 2" xfId="22430" xr:uid="{00000000-0005-0000-0000-00001E300000}"/>
    <cellStyle name="Normal 59 3 2 2 2 2" xfId="22704" xr:uid="{00000000-0005-0000-0000-00001F300000}"/>
    <cellStyle name="Normal 59 3 3" xfId="22300" xr:uid="{00000000-0005-0000-0000-000020300000}"/>
    <cellStyle name="Normal 59 3 3 2" xfId="22316" xr:uid="{00000000-0005-0000-0000-000021300000}"/>
    <cellStyle name="Normal 59 3 3 3" xfId="22338" xr:uid="{00000000-0005-0000-0000-000022300000}"/>
    <cellStyle name="Normal 59 3 3 3 2" xfId="22362" xr:uid="{00000000-0005-0000-0000-000023300000}"/>
    <cellStyle name="Normal 59 3 3 3 3" xfId="22415" xr:uid="{00000000-0005-0000-0000-000024300000}"/>
    <cellStyle name="Normal 59 3 3 3 3 2" xfId="22689" xr:uid="{00000000-0005-0000-0000-000025300000}"/>
    <cellStyle name="Normal 59 3 3 4" xfId="22354" xr:uid="{00000000-0005-0000-0000-000026300000}"/>
    <cellStyle name="Normal 59 3 4" xfId="26039" xr:uid="{00000000-0005-0000-0000-000027300000}"/>
    <cellStyle name="Normal 59 4" xfId="29876" xr:uid="{00000000-0005-0000-0000-000028300000}"/>
    <cellStyle name="Normal 59 5" xfId="29877" xr:uid="{00000000-0005-0000-0000-000029300000}"/>
    <cellStyle name="Normal 6" xfId="46" xr:uid="{00000000-0005-0000-0000-00002A300000}"/>
    <cellStyle name="Normal 6 10" xfId="1298" xr:uid="{00000000-0005-0000-0000-00002B300000}"/>
    <cellStyle name="Normal 6 10 2" xfId="1299" xr:uid="{00000000-0005-0000-0000-00002C300000}"/>
    <cellStyle name="Normal 6 10 2 2" xfId="29878" xr:uid="{00000000-0005-0000-0000-00002D300000}"/>
    <cellStyle name="Normal 6 10 2 2 2" xfId="29879" xr:uid="{00000000-0005-0000-0000-00002E300000}"/>
    <cellStyle name="Normal 6 10 2 2 3" xfId="29880" xr:uid="{00000000-0005-0000-0000-00002F300000}"/>
    <cellStyle name="Normal 6 10 2 2 4" xfId="29881" xr:uid="{00000000-0005-0000-0000-000030300000}"/>
    <cellStyle name="Normal 6 10 2 3" xfId="29882" xr:uid="{00000000-0005-0000-0000-000031300000}"/>
    <cellStyle name="Normal 6 10 2 4" xfId="29883" xr:uid="{00000000-0005-0000-0000-000032300000}"/>
    <cellStyle name="Normal 6 10 2 5" xfId="29884" xr:uid="{00000000-0005-0000-0000-000033300000}"/>
    <cellStyle name="Normal 6 10 3" xfId="29885" xr:uid="{00000000-0005-0000-0000-000034300000}"/>
    <cellStyle name="Normal 6 10 3 2" xfId="29886" xr:uid="{00000000-0005-0000-0000-000035300000}"/>
    <cellStyle name="Normal 6 10 3 3" xfId="29887" xr:uid="{00000000-0005-0000-0000-000036300000}"/>
    <cellStyle name="Normal 6 10 3 4" xfId="29888" xr:uid="{00000000-0005-0000-0000-000037300000}"/>
    <cellStyle name="Normal 6 10 4" xfId="29889" xr:uid="{00000000-0005-0000-0000-000038300000}"/>
    <cellStyle name="Normal 6 10 5" xfId="29890" xr:uid="{00000000-0005-0000-0000-000039300000}"/>
    <cellStyle name="Normal 6 10 6" xfId="29891" xr:uid="{00000000-0005-0000-0000-00003A300000}"/>
    <cellStyle name="Normal 6 11" xfId="1300" xr:uid="{00000000-0005-0000-0000-00003B300000}"/>
    <cellStyle name="Normal 6 11 2" xfId="29892" xr:uid="{00000000-0005-0000-0000-00003C300000}"/>
    <cellStyle name="Normal 6 11 2 2" xfId="29893" xr:uid="{00000000-0005-0000-0000-00003D300000}"/>
    <cellStyle name="Normal 6 11 2 3" xfId="29894" xr:uid="{00000000-0005-0000-0000-00003E300000}"/>
    <cellStyle name="Normal 6 11 2 4" xfId="29895" xr:uid="{00000000-0005-0000-0000-00003F300000}"/>
    <cellStyle name="Normal 6 11 3" xfId="29896" xr:uid="{00000000-0005-0000-0000-000040300000}"/>
    <cellStyle name="Normal 6 11 4" xfId="29897" xr:uid="{00000000-0005-0000-0000-000041300000}"/>
    <cellStyle name="Normal 6 11 5" xfId="29898" xr:uid="{00000000-0005-0000-0000-000042300000}"/>
    <cellStyle name="Normal 6 12" xfId="1301" xr:uid="{00000000-0005-0000-0000-000043300000}"/>
    <cellStyle name="Normal 6 12 2" xfId="29899" xr:uid="{00000000-0005-0000-0000-000044300000}"/>
    <cellStyle name="Normal 6 12 3" xfId="29900" xr:uid="{00000000-0005-0000-0000-000045300000}"/>
    <cellStyle name="Normal 6 12 4" xfId="29901" xr:uid="{00000000-0005-0000-0000-000046300000}"/>
    <cellStyle name="Normal 6 13" xfId="1302" xr:uid="{00000000-0005-0000-0000-000047300000}"/>
    <cellStyle name="Normal 6 13 2" xfId="29902" xr:uid="{00000000-0005-0000-0000-000048300000}"/>
    <cellStyle name="Normal 6 13 3" xfId="29903" xr:uid="{00000000-0005-0000-0000-000049300000}"/>
    <cellStyle name="Normal 6 13 4" xfId="29904" xr:uid="{00000000-0005-0000-0000-00004A300000}"/>
    <cellStyle name="Normal 6 14" xfId="1303" xr:uid="{00000000-0005-0000-0000-00004B300000}"/>
    <cellStyle name="Normal 6 14 2" xfId="29905" xr:uid="{00000000-0005-0000-0000-00004C300000}"/>
    <cellStyle name="Normal 6 14 3" xfId="29906" xr:uid="{00000000-0005-0000-0000-00004D300000}"/>
    <cellStyle name="Normal 6 14 4" xfId="29907" xr:uid="{00000000-0005-0000-0000-00004E300000}"/>
    <cellStyle name="Normal 6 15" xfId="1304" xr:uid="{00000000-0005-0000-0000-00004F300000}"/>
    <cellStyle name="Normal 6 15 2" xfId="29908" xr:uid="{00000000-0005-0000-0000-000050300000}"/>
    <cellStyle name="Normal 6 15 3" xfId="29909" xr:uid="{00000000-0005-0000-0000-000051300000}"/>
    <cellStyle name="Normal 6 16" xfId="1305" xr:uid="{00000000-0005-0000-0000-000052300000}"/>
    <cellStyle name="Normal 6 16 2" xfId="29910" xr:uid="{00000000-0005-0000-0000-000053300000}"/>
    <cellStyle name="Normal 6 17" xfId="1306" xr:uid="{00000000-0005-0000-0000-000054300000}"/>
    <cellStyle name="Normal 6 18" xfId="1307" xr:uid="{00000000-0005-0000-0000-000055300000}"/>
    <cellStyle name="Normal 6 19" xfId="1308" xr:uid="{00000000-0005-0000-0000-000056300000}"/>
    <cellStyle name="Normal 6 2" xfId="1309" xr:uid="{00000000-0005-0000-0000-000057300000}"/>
    <cellStyle name="Normal 6 2 10" xfId="1310" xr:uid="{00000000-0005-0000-0000-000058300000}"/>
    <cellStyle name="Normal 6 2 10 2" xfId="1311" xr:uid="{00000000-0005-0000-0000-000059300000}"/>
    <cellStyle name="Normal 6 2 10 2 2" xfId="29911" xr:uid="{00000000-0005-0000-0000-00005A300000}"/>
    <cellStyle name="Normal 6 2 10 2 3" xfId="29912" xr:uid="{00000000-0005-0000-0000-00005B300000}"/>
    <cellStyle name="Normal 6 2 10 2 4" xfId="29913" xr:uid="{00000000-0005-0000-0000-00005C300000}"/>
    <cellStyle name="Normal 6 2 10 3" xfId="29914" xr:uid="{00000000-0005-0000-0000-00005D300000}"/>
    <cellStyle name="Normal 6 2 10 4" xfId="29915" xr:uid="{00000000-0005-0000-0000-00005E300000}"/>
    <cellStyle name="Normal 6 2 10 5" xfId="29916" xr:uid="{00000000-0005-0000-0000-00005F300000}"/>
    <cellStyle name="Normal 6 2 11" xfId="1312" xr:uid="{00000000-0005-0000-0000-000060300000}"/>
    <cellStyle name="Normal 6 2 11 2" xfId="1313" xr:uid="{00000000-0005-0000-0000-000061300000}"/>
    <cellStyle name="Normal 6 2 11 3" xfId="29917" xr:uid="{00000000-0005-0000-0000-000062300000}"/>
    <cellStyle name="Normal 6 2 11 4" xfId="29918" xr:uid="{00000000-0005-0000-0000-000063300000}"/>
    <cellStyle name="Normal 6 2 12" xfId="1314" xr:uid="{00000000-0005-0000-0000-000064300000}"/>
    <cellStyle name="Normal 6 2 12 2" xfId="1315" xr:uid="{00000000-0005-0000-0000-000065300000}"/>
    <cellStyle name="Normal 6 2 12 3" xfId="29919" xr:uid="{00000000-0005-0000-0000-000066300000}"/>
    <cellStyle name="Normal 6 2 12 4" xfId="29920" xr:uid="{00000000-0005-0000-0000-000067300000}"/>
    <cellStyle name="Normal 6 2 13" xfId="1316" xr:uid="{00000000-0005-0000-0000-000068300000}"/>
    <cellStyle name="Normal 6 2 13 2" xfId="1317" xr:uid="{00000000-0005-0000-0000-000069300000}"/>
    <cellStyle name="Normal 6 2 13 3" xfId="29921" xr:uid="{00000000-0005-0000-0000-00006A300000}"/>
    <cellStyle name="Normal 6 2 13 4" xfId="29922" xr:uid="{00000000-0005-0000-0000-00006B300000}"/>
    <cellStyle name="Normal 6 2 14" xfId="1318" xr:uid="{00000000-0005-0000-0000-00006C300000}"/>
    <cellStyle name="Normal 6 2 14 2" xfId="1319" xr:uid="{00000000-0005-0000-0000-00006D300000}"/>
    <cellStyle name="Normal 6 2 14 3" xfId="29923" xr:uid="{00000000-0005-0000-0000-00006E300000}"/>
    <cellStyle name="Normal 6 2 15" xfId="1320" xr:uid="{00000000-0005-0000-0000-00006F300000}"/>
    <cellStyle name="Normal 6 2 15 2" xfId="1321" xr:uid="{00000000-0005-0000-0000-000070300000}"/>
    <cellStyle name="Normal 6 2 16" xfId="1322" xr:uid="{00000000-0005-0000-0000-000071300000}"/>
    <cellStyle name="Normal 6 2 16 2" xfId="1323" xr:uid="{00000000-0005-0000-0000-000072300000}"/>
    <cellStyle name="Normal 6 2 17" xfId="1324" xr:uid="{00000000-0005-0000-0000-000073300000}"/>
    <cellStyle name="Normal 6 2 17 2" xfId="1325" xr:uid="{00000000-0005-0000-0000-000074300000}"/>
    <cellStyle name="Normal 6 2 18" xfId="1326" xr:uid="{00000000-0005-0000-0000-000075300000}"/>
    <cellStyle name="Normal 6 2 18 2" xfId="1327" xr:uid="{00000000-0005-0000-0000-000076300000}"/>
    <cellStyle name="Normal 6 2 19" xfId="1328" xr:uid="{00000000-0005-0000-0000-000077300000}"/>
    <cellStyle name="Normal 6 2 19 2" xfId="1329" xr:uid="{00000000-0005-0000-0000-000078300000}"/>
    <cellStyle name="Normal 6 2 2" xfId="1330" xr:uid="{00000000-0005-0000-0000-000079300000}"/>
    <cellStyle name="Normal 6 2 2 10" xfId="29924" xr:uid="{00000000-0005-0000-0000-00007A300000}"/>
    <cellStyle name="Normal 6 2 2 10 2" xfId="29925" xr:uid="{00000000-0005-0000-0000-00007B300000}"/>
    <cellStyle name="Normal 6 2 2 10 3" xfId="29926" xr:uid="{00000000-0005-0000-0000-00007C300000}"/>
    <cellStyle name="Normal 6 2 2 10 4" xfId="29927" xr:uid="{00000000-0005-0000-0000-00007D300000}"/>
    <cellStyle name="Normal 6 2 2 11" xfId="29928" xr:uid="{00000000-0005-0000-0000-00007E300000}"/>
    <cellStyle name="Normal 6 2 2 11 2" xfId="29929" xr:uid="{00000000-0005-0000-0000-00007F300000}"/>
    <cellStyle name="Normal 6 2 2 11 3" xfId="29930" xr:uid="{00000000-0005-0000-0000-000080300000}"/>
    <cellStyle name="Normal 6 2 2 11 4" xfId="29931" xr:uid="{00000000-0005-0000-0000-000081300000}"/>
    <cellStyle name="Normal 6 2 2 12" xfId="29932" xr:uid="{00000000-0005-0000-0000-000082300000}"/>
    <cellStyle name="Normal 6 2 2 12 2" xfId="29933" xr:uid="{00000000-0005-0000-0000-000083300000}"/>
    <cellStyle name="Normal 6 2 2 12 3" xfId="29934" xr:uid="{00000000-0005-0000-0000-000084300000}"/>
    <cellStyle name="Normal 6 2 2 12 4" xfId="29935" xr:uid="{00000000-0005-0000-0000-000085300000}"/>
    <cellStyle name="Normal 6 2 2 13" xfId="29936" xr:uid="{00000000-0005-0000-0000-000086300000}"/>
    <cellStyle name="Normal 6 2 2 13 2" xfId="29937" xr:uid="{00000000-0005-0000-0000-000087300000}"/>
    <cellStyle name="Normal 6 2 2 13 3" xfId="29938" xr:uid="{00000000-0005-0000-0000-000088300000}"/>
    <cellStyle name="Normal 6 2 2 14" xfId="29939" xr:uid="{00000000-0005-0000-0000-000089300000}"/>
    <cellStyle name="Normal 6 2 2 14 2" xfId="29940" xr:uid="{00000000-0005-0000-0000-00008A300000}"/>
    <cellStyle name="Normal 6 2 2 15" xfId="29941" xr:uid="{00000000-0005-0000-0000-00008B300000}"/>
    <cellStyle name="Normal 6 2 2 16" xfId="29942" xr:uid="{00000000-0005-0000-0000-00008C300000}"/>
    <cellStyle name="Normal 6 2 2 2" xfId="1331" xr:uid="{00000000-0005-0000-0000-00008D300000}"/>
    <cellStyle name="Normal 6 2 2 2 10" xfId="29943" xr:uid="{00000000-0005-0000-0000-00008E300000}"/>
    <cellStyle name="Normal 6 2 2 2 10 2" xfId="29944" xr:uid="{00000000-0005-0000-0000-00008F300000}"/>
    <cellStyle name="Normal 6 2 2 2 10 3" xfId="29945" xr:uid="{00000000-0005-0000-0000-000090300000}"/>
    <cellStyle name="Normal 6 2 2 2 10 4" xfId="29946" xr:uid="{00000000-0005-0000-0000-000091300000}"/>
    <cellStyle name="Normal 6 2 2 2 11" xfId="29947" xr:uid="{00000000-0005-0000-0000-000092300000}"/>
    <cellStyle name="Normal 6 2 2 2 11 2" xfId="29948" xr:uid="{00000000-0005-0000-0000-000093300000}"/>
    <cellStyle name="Normal 6 2 2 2 11 3" xfId="29949" xr:uid="{00000000-0005-0000-0000-000094300000}"/>
    <cellStyle name="Normal 6 2 2 2 12" xfId="29950" xr:uid="{00000000-0005-0000-0000-000095300000}"/>
    <cellStyle name="Normal 6 2 2 2 12 2" xfId="29951" xr:uid="{00000000-0005-0000-0000-000096300000}"/>
    <cellStyle name="Normal 6 2 2 2 13" xfId="29952" xr:uid="{00000000-0005-0000-0000-000097300000}"/>
    <cellStyle name="Normal 6 2 2 2 14" xfId="29953" xr:uid="{00000000-0005-0000-0000-000098300000}"/>
    <cellStyle name="Normal 6 2 2 2 2" xfId="29954" xr:uid="{00000000-0005-0000-0000-000099300000}"/>
    <cellStyle name="Normal 6 2 2 2 2 2" xfId="29955" xr:uid="{00000000-0005-0000-0000-00009A300000}"/>
    <cellStyle name="Normal 6 2 2 2 2 2 2" xfId="29956" xr:uid="{00000000-0005-0000-0000-00009B300000}"/>
    <cellStyle name="Normal 6 2 2 2 2 2 2 2" xfId="29957" xr:uid="{00000000-0005-0000-0000-00009C300000}"/>
    <cellStyle name="Normal 6 2 2 2 2 2 2 2 2" xfId="29958" xr:uid="{00000000-0005-0000-0000-00009D300000}"/>
    <cellStyle name="Normal 6 2 2 2 2 2 2 2 3" xfId="29959" xr:uid="{00000000-0005-0000-0000-00009E300000}"/>
    <cellStyle name="Normal 6 2 2 2 2 2 2 2 4" xfId="29960" xr:uid="{00000000-0005-0000-0000-00009F300000}"/>
    <cellStyle name="Normal 6 2 2 2 2 2 2 3" xfId="29961" xr:uid="{00000000-0005-0000-0000-0000A0300000}"/>
    <cellStyle name="Normal 6 2 2 2 2 2 2 4" xfId="29962" xr:uid="{00000000-0005-0000-0000-0000A1300000}"/>
    <cellStyle name="Normal 6 2 2 2 2 2 2 5" xfId="29963" xr:uid="{00000000-0005-0000-0000-0000A2300000}"/>
    <cellStyle name="Normal 6 2 2 2 2 2 3" xfId="29964" xr:uid="{00000000-0005-0000-0000-0000A3300000}"/>
    <cellStyle name="Normal 6 2 2 2 2 2 3 2" xfId="29965" xr:uid="{00000000-0005-0000-0000-0000A4300000}"/>
    <cellStyle name="Normal 6 2 2 2 2 2 3 3" xfId="29966" xr:uid="{00000000-0005-0000-0000-0000A5300000}"/>
    <cellStyle name="Normal 6 2 2 2 2 2 3 4" xfId="29967" xr:uid="{00000000-0005-0000-0000-0000A6300000}"/>
    <cellStyle name="Normal 6 2 2 2 2 2 4" xfId="29968" xr:uid="{00000000-0005-0000-0000-0000A7300000}"/>
    <cellStyle name="Normal 6 2 2 2 2 2 5" xfId="29969" xr:uid="{00000000-0005-0000-0000-0000A8300000}"/>
    <cellStyle name="Normal 6 2 2 2 2 2 6" xfId="29970" xr:uid="{00000000-0005-0000-0000-0000A9300000}"/>
    <cellStyle name="Normal 6 2 2 2 2 3" xfId="29971" xr:uid="{00000000-0005-0000-0000-0000AA300000}"/>
    <cellStyle name="Normal 6 2 2 2 2 3 2" xfId="29972" xr:uid="{00000000-0005-0000-0000-0000AB300000}"/>
    <cellStyle name="Normal 6 2 2 2 2 3 2 2" xfId="29973" xr:uid="{00000000-0005-0000-0000-0000AC300000}"/>
    <cellStyle name="Normal 6 2 2 2 2 3 2 3" xfId="29974" xr:uid="{00000000-0005-0000-0000-0000AD300000}"/>
    <cellStyle name="Normal 6 2 2 2 2 3 2 4" xfId="29975" xr:uid="{00000000-0005-0000-0000-0000AE300000}"/>
    <cellStyle name="Normal 6 2 2 2 2 3 3" xfId="29976" xr:uid="{00000000-0005-0000-0000-0000AF300000}"/>
    <cellStyle name="Normal 6 2 2 2 2 3 4" xfId="29977" xr:uid="{00000000-0005-0000-0000-0000B0300000}"/>
    <cellStyle name="Normal 6 2 2 2 2 3 5" xfId="29978" xr:uid="{00000000-0005-0000-0000-0000B1300000}"/>
    <cellStyle name="Normal 6 2 2 2 2 4" xfId="29979" xr:uid="{00000000-0005-0000-0000-0000B2300000}"/>
    <cellStyle name="Normal 6 2 2 2 2 4 2" xfId="29980" xr:uid="{00000000-0005-0000-0000-0000B3300000}"/>
    <cellStyle name="Normal 6 2 2 2 2 4 3" xfId="29981" xr:uid="{00000000-0005-0000-0000-0000B4300000}"/>
    <cellStyle name="Normal 6 2 2 2 2 4 4" xfId="29982" xr:uid="{00000000-0005-0000-0000-0000B5300000}"/>
    <cellStyle name="Normal 6 2 2 2 2 5" xfId="29983" xr:uid="{00000000-0005-0000-0000-0000B6300000}"/>
    <cellStyle name="Normal 6 2 2 2 2 5 2" xfId="29984" xr:uid="{00000000-0005-0000-0000-0000B7300000}"/>
    <cellStyle name="Normal 6 2 2 2 2 5 3" xfId="29985" xr:uid="{00000000-0005-0000-0000-0000B8300000}"/>
    <cellStyle name="Normal 6 2 2 2 2 5 4" xfId="29986" xr:uid="{00000000-0005-0000-0000-0000B9300000}"/>
    <cellStyle name="Normal 6 2 2 2 2 6" xfId="29987" xr:uid="{00000000-0005-0000-0000-0000BA300000}"/>
    <cellStyle name="Normal 6 2 2 2 2 6 2" xfId="29988" xr:uid="{00000000-0005-0000-0000-0000BB300000}"/>
    <cellStyle name="Normal 6 2 2 2 2 6 3" xfId="29989" xr:uid="{00000000-0005-0000-0000-0000BC300000}"/>
    <cellStyle name="Normal 6 2 2 2 2 7" xfId="29990" xr:uid="{00000000-0005-0000-0000-0000BD300000}"/>
    <cellStyle name="Normal 6 2 2 2 2 8" xfId="29991" xr:uid="{00000000-0005-0000-0000-0000BE300000}"/>
    <cellStyle name="Normal 6 2 2 2 2 9" xfId="29992" xr:uid="{00000000-0005-0000-0000-0000BF300000}"/>
    <cellStyle name="Normal 6 2 2 2 3" xfId="29993" xr:uid="{00000000-0005-0000-0000-0000C0300000}"/>
    <cellStyle name="Normal 6 2 2 2 3 2" xfId="29994" xr:uid="{00000000-0005-0000-0000-0000C1300000}"/>
    <cellStyle name="Normal 6 2 2 2 3 2 2" xfId="29995" xr:uid="{00000000-0005-0000-0000-0000C2300000}"/>
    <cellStyle name="Normal 6 2 2 2 3 2 2 2" xfId="29996" xr:uid="{00000000-0005-0000-0000-0000C3300000}"/>
    <cellStyle name="Normal 6 2 2 2 3 2 2 2 2" xfId="29997" xr:uid="{00000000-0005-0000-0000-0000C4300000}"/>
    <cellStyle name="Normal 6 2 2 2 3 2 2 2 3" xfId="29998" xr:uid="{00000000-0005-0000-0000-0000C5300000}"/>
    <cellStyle name="Normal 6 2 2 2 3 2 2 2 4" xfId="29999" xr:uid="{00000000-0005-0000-0000-0000C6300000}"/>
    <cellStyle name="Normal 6 2 2 2 3 2 2 3" xfId="30000" xr:uid="{00000000-0005-0000-0000-0000C7300000}"/>
    <cellStyle name="Normal 6 2 2 2 3 2 2 4" xfId="30001" xr:uid="{00000000-0005-0000-0000-0000C8300000}"/>
    <cellStyle name="Normal 6 2 2 2 3 2 2 5" xfId="30002" xr:uid="{00000000-0005-0000-0000-0000C9300000}"/>
    <cellStyle name="Normal 6 2 2 2 3 2 3" xfId="30003" xr:uid="{00000000-0005-0000-0000-0000CA300000}"/>
    <cellStyle name="Normal 6 2 2 2 3 2 3 2" xfId="30004" xr:uid="{00000000-0005-0000-0000-0000CB300000}"/>
    <cellStyle name="Normal 6 2 2 2 3 2 3 3" xfId="30005" xr:uid="{00000000-0005-0000-0000-0000CC300000}"/>
    <cellStyle name="Normal 6 2 2 2 3 2 3 4" xfId="30006" xr:uid="{00000000-0005-0000-0000-0000CD300000}"/>
    <cellStyle name="Normal 6 2 2 2 3 2 4" xfId="30007" xr:uid="{00000000-0005-0000-0000-0000CE300000}"/>
    <cellStyle name="Normal 6 2 2 2 3 2 5" xfId="30008" xr:uid="{00000000-0005-0000-0000-0000CF300000}"/>
    <cellStyle name="Normal 6 2 2 2 3 2 6" xfId="30009" xr:uid="{00000000-0005-0000-0000-0000D0300000}"/>
    <cellStyle name="Normal 6 2 2 2 3 3" xfId="30010" xr:uid="{00000000-0005-0000-0000-0000D1300000}"/>
    <cellStyle name="Normal 6 2 2 2 3 3 2" xfId="30011" xr:uid="{00000000-0005-0000-0000-0000D2300000}"/>
    <cellStyle name="Normal 6 2 2 2 3 3 2 2" xfId="30012" xr:uid="{00000000-0005-0000-0000-0000D3300000}"/>
    <cellStyle name="Normal 6 2 2 2 3 3 2 3" xfId="30013" xr:uid="{00000000-0005-0000-0000-0000D4300000}"/>
    <cellStyle name="Normal 6 2 2 2 3 3 2 4" xfId="30014" xr:uid="{00000000-0005-0000-0000-0000D5300000}"/>
    <cellStyle name="Normal 6 2 2 2 3 3 3" xfId="30015" xr:uid="{00000000-0005-0000-0000-0000D6300000}"/>
    <cellStyle name="Normal 6 2 2 2 3 3 4" xfId="30016" xr:uid="{00000000-0005-0000-0000-0000D7300000}"/>
    <cellStyle name="Normal 6 2 2 2 3 3 5" xfId="30017" xr:uid="{00000000-0005-0000-0000-0000D8300000}"/>
    <cellStyle name="Normal 6 2 2 2 3 4" xfId="30018" xr:uid="{00000000-0005-0000-0000-0000D9300000}"/>
    <cellStyle name="Normal 6 2 2 2 3 4 2" xfId="30019" xr:uid="{00000000-0005-0000-0000-0000DA300000}"/>
    <cellStyle name="Normal 6 2 2 2 3 4 3" xfId="30020" xr:uid="{00000000-0005-0000-0000-0000DB300000}"/>
    <cellStyle name="Normal 6 2 2 2 3 4 4" xfId="30021" xr:uid="{00000000-0005-0000-0000-0000DC300000}"/>
    <cellStyle name="Normal 6 2 2 2 3 5" xfId="30022" xr:uid="{00000000-0005-0000-0000-0000DD300000}"/>
    <cellStyle name="Normal 6 2 2 2 3 5 2" xfId="30023" xr:uid="{00000000-0005-0000-0000-0000DE300000}"/>
    <cellStyle name="Normal 6 2 2 2 3 5 3" xfId="30024" xr:uid="{00000000-0005-0000-0000-0000DF300000}"/>
    <cellStyle name="Normal 6 2 2 2 3 5 4" xfId="30025" xr:uid="{00000000-0005-0000-0000-0000E0300000}"/>
    <cellStyle name="Normal 6 2 2 2 3 6" xfId="30026" xr:uid="{00000000-0005-0000-0000-0000E1300000}"/>
    <cellStyle name="Normal 6 2 2 2 3 6 2" xfId="30027" xr:uid="{00000000-0005-0000-0000-0000E2300000}"/>
    <cellStyle name="Normal 6 2 2 2 3 6 3" xfId="30028" xr:uid="{00000000-0005-0000-0000-0000E3300000}"/>
    <cellStyle name="Normal 6 2 2 2 3 7" xfId="30029" xr:uid="{00000000-0005-0000-0000-0000E4300000}"/>
    <cellStyle name="Normal 6 2 2 2 3 8" xfId="30030" xr:uid="{00000000-0005-0000-0000-0000E5300000}"/>
    <cellStyle name="Normal 6 2 2 2 3 9" xfId="30031" xr:uid="{00000000-0005-0000-0000-0000E6300000}"/>
    <cellStyle name="Normal 6 2 2 2 4" xfId="30032" xr:uid="{00000000-0005-0000-0000-0000E7300000}"/>
    <cellStyle name="Normal 6 2 2 2 4 2" xfId="30033" xr:uid="{00000000-0005-0000-0000-0000E8300000}"/>
    <cellStyle name="Normal 6 2 2 2 4 2 2" xfId="30034" xr:uid="{00000000-0005-0000-0000-0000E9300000}"/>
    <cellStyle name="Normal 6 2 2 2 4 2 2 2" xfId="30035" xr:uid="{00000000-0005-0000-0000-0000EA300000}"/>
    <cellStyle name="Normal 6 2 2 2 4 2 2 3" xfId="30036" xr:uid="{00000000-0005-0000-0000-0000EB300000}"/>
    <cellStyle name="Normal 6 2 2 2 4 2 2 4" xfId="30037" xr:uid="{00000000-0005-0000-0000-0000EC300000}"/>
    <cellStyle name="Normal 6 2 2 2 4 2 3" xfId="30038" xr:uid="{00000000-0005-0000-0000-0000ED300000}"/>
    <cellStyle name="Normal 6 2 2 2 4 2 4" xfId="30039" xr:uid="{00000000-0005-0000-0000-0000EE300000}"/>
    <cellStyle name="Normal 6 2 2 2 4 2 5" xfId="30040" xr:uid="{00000000-0005-0000-0000-0000EF300000}"/>
    <cellStyle name="Normal 6 2 2 2 4 3" xfId="30041" xr:uid="{00000000-0005-0000-0000-0000F0300000}"/>
    <cellStyle name="Normal 6 2 2 2 4 3 2" xfId="30042" xr:uid="{00000000-0005-0000-0000-0000F1300000}"/>
    <cellStyle name="Normal 6 2 2 2 4 3 3" xfId="30043" xr:uid="{00000000-0005-0000-0000-0000F2300000}"/>
    <cellStyle name="Normal 6 2 2 2 4 3 4" xfId="30044" xr:uid="{00000000-0005-0000-0000-0000F3300000}"/>
    <cellStyle name="Normal 6 2 2 2 4 4" xfId="30045" xr:uid="{00000000-0005-0000-0000-0000F4300000}"/>
    <cellStyle name="Normal 6 2 2 2 4 5" xfId="30046" xr:uid="{00000000-0005-0000-0000-0000F5300000}"/>
    <cellStyle name="Normal 6 2 2 2 4 6" xfId="30047" xr:uid="{00000000-0005-0000-0000-0000F6300000}"/>
    <cellStyle name="Normal 6 2 2 2 5" xfId="30048" xr:uid="{00000000-0005-0000-0000-0000F7300000}"/>
    <cellStyle name="Normal 6 2 2 2 5 2" xfId="30049" xr:uid="{00000000-0005-0000-0000-0000F8300000}"/>
    <cellStyle name="Normal 6 2 2 2 5 2 2" xfId="30050" xr:uid="{00000000-0005-0000-0000-0000F9300000}"/>
    <cellStyle name="Normal 6 2 2 2 5 2 2 2" xfId="30051" xr:uid="{00000000-0005-0000-0000-0000FA300000}"/>
    <cellStyle name="Normal 6 2 2 2 5 2 2 3" xfId="30052" xr:uid="{00000000-0005-0000-0000-0000FB300000}"/>
    <cellStyle name="Normal 6 2 2 2 5 2 2 4" xfId="30053" xr:uid="{00000000-0005-0000-0000-0000FC300000}"/>
    <cellStyle name="Normal 6 2 2 2 5 2 3" xfId="30054" xr:uid="{00000000-0005-0000-0000-0000FD300000}"/>
    <cellStyle name="Normal 6 2 2 2 5 2 4" xfId="30055" xr:uid="{00000000-0005-0000-0000-0000FE300000}"/>
    <cellStyle name="Normal 6 2 2 2 5 2 5" xfId="30056" xr:uid="{00000000-0005-0000-0000-0000FF300000}"/>
    <cellStyle name="Normal 6 2 2 2 5 3" xfId="30057" xr:uid="{00000000-0005-0000-0000-000000310000}"/>
    <cellStyle name="Normal 6 2 2 2 5 3 2" xfId="30058" xr:uid="{00000000-0005-0000-0000-000001310000}"/>
    <cellStyle name="Normal 6 2 2 2 5 3 3" xfId="30059" xr:uid="{00000000-0005-0000-0000-000002310000}"/>
    <cellStyle name="Normal 6 2 2 2 5 3 4" xfId="30060" xr:uid="{00000000-0005-0000-0000-000003310000}"/>
    <cellStyle name="Normal 6 2 2 2 5 4" xfId="30061" xr:uid="{00000000-0005-0000-0000-000004310000}"/>
    <cellStyle name="Normal 6 2 2 2 5 5" xfId="30062" xr:uid="{00000000-0005-0000-0000-000005310000}"/>
    <cellStyle name="Normal 6 2 2 2 5 6" xfId="30063" xr:uid="{00000000-0005-0000-0000-000006310000}"/>
    <cellStyle name="Normal 6 2 2 2 6" xfId="30064" xr:uid="{00000000-0005-0000-0000-000007310000}"/>
    <cellStyle name="Normal 6 2 2 2 6 2" xfId="30065" xr:uid="{00000000-0005-0000-0000-000008310000}"/>
    <cellStyle name="Normal 6 2 2 2 6 2 2" xfId="30066" xr:uid="{00000000-0005-0000-0000-000009310000}"/>
    <cellStyle name="Normal 6 2 2 2 6 2 2 2" xfId="30067" xr:uid="{00000000-0005-0000-0000-00000A310000}"/>
    <cellStyle name="Normal 6 2 2 2 6 2 2 3" xfId="30068" xr:uid="{00000000-0005-0000-0000-00000B310000}"/>
    <cellStyle name="Normal 6 2 2 2 6 2 2 4" xfId="30069" xr:uid="{00000000-0005-0000-0000-00000C310000}"/>
    <cellStyle name="Normal 6 2 2 2 6 2 3" xfId="30070" xr:uid="{00000000-0005-0000-0000-00000D310000}"/>
    <cellStyle name="Normal 6 2 2 2 6 2 4" xfId="30071" xr:uid="{00000000-0005-0000-0000-00000E310000}"/>
    <cellStyle name="Normal 6 2 2 2 6 2 5" xfId="30072" xr:uid="{00000000-0005-0000-0000-00000F310000}"/>
    <cellStyle name="Normal 6 2 2 2 6 3" xfId="30073" xr:uid="{00000000-0005-0000-0000-000010310000}"/>
    <cellStyle name="Normal 6 2 2 2 6 3 2" xfId="30074" xr:uid="{00000000-0005-0000-0000-000011310000}"/>
    <cellStyle name="Normal 6 2 2 2 6 3 3" xfId="30075" xr:uid="{00000000-0005-0000-0000-000012310000}"/>
    <cellStyle name="Normal 6 2 2 2 6 3 4" xfId="30076" xr:uid="{00000000-0005-0000-0000-000013310000}"/>
    <cellStyle name="Normal 6 2 2 2 6 4" xfId="30077" xr:uid="{00000000-0005-0000-0000-000014310000}"/>
    <cellStyle name="Normal 6 2 2 2 6 5" xfId="30078" xr:uid="{00000000-0005-0000-0000-000015310000}"/>
    <cellStyle name="Normal 6 2 2 2 6 6" xfId="30079" xr:uid="{00000000-0005-0000-0000-000016310000}"/>
    <cellStyle name="Normal 6 2 2 2 7" xfId="30080" xr:uid="{00000000-0005-0000-0000-000017310000}"/>
    <cellStyle name="Normal 6 2 2 2 7 2" xfId="30081" xr:uid="{00000000-0005-0000-0000-000018310000}"/>
    <cellStyle name="Normal 6 2 2 2 7 2 2" xfId="30082" xr:uid="{00000000-0005-0000-0000-000019310000}"/>
    <cellStyle name="Normal 6 2 2 2 7 2 3" xfId="30083" xr:uid="{00000000-0005-0000-0000-00001A310000}"/>
    <cellStyle name="Normal 6 2 2 2 7 2 4" xfId="30084" xr:uid="{00000000-0005-0000-0000-00001B310000}"/>
    <cellStyle name="Normal 6 2 2 2 7 3" xfId="30085" xr:uid="{00000000-0005-0000-0000-00001C310000}"/>
    <cellStyle name="Normal 6 2 2 2 7 4" xfId="30086" xr:uid="{00000000-0005-0000-0000-00001D310000}"/>
    <cellStyle name="Normal 6 2 2 2 7 5" xfId="30087" xr:uid="{00000000-0005-0000-0000-00001E310000}"/>
    <cellStyle name="Normal 6 2 2 2 8" xfId="30088" xr:uid="{00000000-0005-0000-0000-00001F310000}"/>
    <cellStyle name="Normal 6 2 2 2 8 2" xfId="30089" xr:uid="{00000000-0005-0000-0000-000020310000}"/>
    <cellStyle name="Normal 6 2 2 2 8 3" xfId="30090" xr:uid="{00000000-0005-0000-0000-000021310000}"/>
    <cellStyle name="Normal 6 2 2 2 8 4" xfId="30091" xr:uid="{00000000-0005-0000-0000-000022310000}"/>
    <cellStyle name="Normal 6 2 2 2 9" xfId="30092" xr:uid="{00000000-0005-0000-0000-000023310000}"/>
    <cellStyle name="Normal 6 2 2 2 9 2" xfId="30093" xr:uid="{00000000-0005-0000-0000-000024310000}"/>
    <cellStyle name="Normal 6 2 2 2 9 3" xfId="30094" xr:uid="{00000000-0005-0000-0000-000025310000}"/>
    <cellStyle name="Normal 6 2 2 2 9 4" xfId="30095" xr:uid="{00000000-0005-0000-0000-000026310000}"/>
    <cellStyle name="Normal 6 2 2 3" xfId="30096" xr:uid="{00000000-0005-0000-0000-000027310000}"/>
    <cellStyle name="Normal 6 2 2 3 10" xfId="30097" xr:uid="{00000000-0005-0000-0000-000028310000}"/>
    <cellStyle name="Normal 6 2 2 3 10 2" xfId="30098" xr:uid="{00000000-0005-0000-0000-000029310000}"/>
    <cellStyle name="Normal 6 2 2 3 10 3" xfId="30099" xr:uid="{00000000-0005-0000-0000-00002A310000}"/>
    <cellStyle name="Normal 6 2 2 3 10 4" xfId="30100" xr:uid="{00000000-0005-0000-0000-00002B310000}"/>
    <cellStyle name="Normal 6 2 2 3 11" xfId="30101" xr:uid="{00000000-0005-0000-0000-00002C310000}"/>
    <cellStyle name="Normal 6 2 2 3 11 2" xfId="30102" xr:uid="{00000000-0005-0000-0000-00002D310000}"/>
    <cellStyle name="Normal 6 2 2 3 11 3" xfId="30103" xr:uid="{00000000-0005-0000-0000-00002E310000}"/>
    <cellStyle name="Normal 6 2 2 3 12" xfId="30104" xr:uid="{00000000-0005-0000-0000-00002F310000}"/>
    <cellStyle name="Normal 6 2 2 3 12 2" xfId="30105" xr:uid="{00000000-0005-0000-0000-000030310000}"/>
    <cellStyle name="Normal 6 2 2 3 13" xfId="30106" xr:uid="{00000000-0005-0000-0000-000031310000}"/>
    <cellStyle name="Normal 6 2 2 3 14" xfId="30107" xr:uid="{00000000-0005-0000-0000-000032310000}"/>
    <cellStyle name="Normal 6 2 2 3 2" xfId="30108" xr:uid="{00000000-0005-0000-0000-000033310000}"/>
    <cellStyle name="Normal 6 2 2 3 2 2" xfId="30109" xr:uid="{00000000-0005-0000-0000-000034310000}"/>
    <cellStyle name="Normal 6 2 2 3 2 2 2" xfId="30110" xr:uid="{00000000-0005-0000-0000-000035310000}"/>
    <cellStyle name="Normal 6 2 2 3 2 2 2 2" xfId="30111" xr:uid="{00000000-0005-0000-0000-000036310000}"/>
    <cellStyle name="Normal 6 2 2 3 2 2 2 2 2" xfId="30112" xr:uid="{00000000-0005-0000-0000-000037310000}"/>
    <cellStyle name="Normal 6 2 2 3 2 2 2 2 3" xfId="30113" xr:uid="{00000000-0005-0000-0000-000038310000}"/>
    <cellStyle name="Normal 6 2 2 3 2 2 2 2 4" xfId="30114" xr:uid="{00000000-0005-0000-0000-000039310000}"/>
    <cellStyle name="Normal 6 2 2 3 2 2 2 3" xfId="30115" xr:uid="{00000000-0005-0000-0000-00003A310000}"/>
    <cellStyle name="Normal 6 2 2 3 2 2 2 4" xfId="30116" xr:uid="{00000000-0005-0000-0000-00003B310000}"/>
    <cellStyle name="Normal 6 2 2 3 2 2 2 5" xfId="30117" xr:uid="{00000000-0005-0000-0000-00003C310000}"/>
    <cellStyle name="Normal 6 2 2 3 2 2 3" xfId="30118" xr:uid="{00000000-0005-0000-0000-00003D310000}"/>
    <cellStyle name="Normal 6 2 2 3 2 2 3 2" xfId="30119" xr:uid="{00000000-0005-0000-0000-00003E310000}"/>
    <cellStyle name="Normal 6 2 2 3 2 2 3 3" xfId="30120" xr:uid="{00000000-0005-0000-0000-00003F310000}"/>
    <cellStyle name="Normal 6 2 2 3 2 2 3 4" xfId="30121" xr:uid="{00000000-0005-0000-0000-000040310000}"/>
    <cellStyle name="Normal 6 2 2 3 2 2 4" xfId="30122" xr:uid="{00000000-0005-0000-0000-000041310000}"/>
    <cellStyle name="Normal 6 2 2 3 2 2 5" xfId="30123" xr:uid="{00000000-0005-0000-0000-000042310000}"/>
    <cellStyle name="Normal 6 2 2 3 2 2 6" xfId="30124" xr:uid="{00000000-0005-0000-0000-000043310000}"/>
    <cellStyle name="Normal 6 2 2 3 2 3" xfId="30125" xr:uid="{00000000-0005-0000-0000-000044310000}"/>
    <cellStyle name="Normal 6 2 2 3 2 3 2" xfId="30126" xr:uid="{00000000-0005-0000-0000-000045310000}"/>
    <cellStyle name="Normal 6 2 2 3 2 3 2 2" xfId="30127" xr:uid="{00000000-0005-0000-0000-000046310000}"/>
    <cellStyle name="Normal 6 2 2 3 2 3 2 3" xfId="30128" xr:uid="{00000000-0005-0000-0000-000047310000}"/>
    <cellStyle name="Normal 6 2 2 3 2 3 2 4" xfId="30129" xr:uid="{00000000-0005-0000-0000-000048310000}"/>
    <cellStyle name="Normal 6 2 2 3 2 3 3" xfId="30130" xr:uid="{00000000-0005-0000-0000-000049310000}"/>
    <cellStyle name="Normal 6 2 2 3 2 3 4" xfId="30131" xr:uid="{00000000-0005-0000-0000-00004A310000}"/>
    <cellStyle name="Normal 6 2 2 3 2 3 5" xfId="30132" xr:uid="{00000000-0005-0000-0000-00004B310000}"/>
    <cellStyle name="Normal 6 2 2 3 2 4" xfId="30133" xr:uid="{00000000-0005-0000-0000-00004C310000}"/>
    <cellStyle name="Normal 6 2 2 3 2 4 2" xfId="30134" xr:uid="{00000000-0005-0000-0000-00004D310000}"/>
    <cellStyle name="Normal 6 2 2 3 2 4 3" xfId="30135" xr:uid="{00000000-0005-0000-0000-00004E310000}"/>
    <cellStyle name="Normal 6 2 2 3 2 4 4" xfId="30136" xr:uid="{00000000-0005-0000-0000-00004F310000}"/>
    <cellStyle name="Normal 6 2 2 3 2 5" xfId="30137" xr:uid="{00000000-0005-0000-0000-000050310000}"/>
    <cellStyle name="Normal 6 2 2 3 2 5 2" xfId="30138" xr:uid="{00000000-0005-0000-0000-000051310000}"/>
    <cellStyle name="Normal 6 2 2 3 2 5 3" xfId="30139" xr:uid="{00000000-0005-0000-0000-000052310000}"/>
    <cellStyle name="Normal 6 2 2 3 2 5 4" xfId="30140" xr:uid="{00000000-0005-0000-0000-000053310000}"/>
    <cellStyle name="Normal 6 2 2 3 2 6" xfId="30141" xr:uid="{00000000-0005-0000-0000-000054310000}"/>
    <cellStyle name="Normal 6 2 2 3 2 6 2" xfId="30142" xr:uid="{00000000-0005-0000-0000-000055310000}"/>
    <cellStyle name="Normal 6 2 2 3 2 6 3" xfId="30143" xr:uid="{00000000-0005-0000-0000-000056310000}"/>
    <cellStyle name="Normal 6 2 2 3 2 7" xfId="30144" xr:uid="{00000000-0005-0000-0000-000057310000}"/>
    <cellStyle name="Normal 6 2 2 3 2 8" xfId="30145" xr:uid="{00000000-0005-0000-0000-000058310000}"/>
    <cellStyle name="Normal 6 2 2 3 2 9" xfId="30146" xr:uid="{00000000-0005-0000-0000-000059310000}"/>
    <cellStyle name="Normal 6 2 2 3 3" xfId="30147" xr:uid="{00000000-0005-0000-0000-00005A310000}"/>
    <cellStyle name="Normal 6 2 2 3 3 2" xfId="30148" xr:uid="{00000000-0005-0000-0000-00005B310000}"/>
    <cellStyle name="Normal 6 2 2 3 3 2 2" xfId="30149" xr:uid="{00000000-0005-0000-0000-00005C310000}"/>
    <cellStyle name="Normal 6 2 2 3 3 2 2 2" xfId="30150" xr:uid="{00000000-0005-0000-0000-00005D310000}"/>
    <cellStyle name="Normal 6 2 2 3 3 2 2 2 2" xfId="30151" xr:uid="{00000000-0005-0000-0000-00005E310000}"/>
    <cellStyle name="Normal 6 2 2 3 3 2 2 2 3" xfId="30152" xr:uid="{00000000-0005-0000-0000-00005F310000}"/>
    <cellStyle name="Normal 6 2 2 3 3 2 2 2 4" xfId="30153" xr:uid="{00000000-0005-0000-0000-000060310000}"/>
    <cellStyle name="Normal 6 2 2 3 3 2 2 3" xfId="30154" xr:uid="{00000000-0005-0000-0000-000061310000}"/>
    <cellStyle name="Normal 6 2 2 3 3 2 2 4" xfId="30155" xr:uid="{00000000-0005-0000-0000-000062310000}"/>
    <cellStyle name="Normal 6 2 2 3 3 2 2 5" xfId="30156" xr:uid="{00000000-0005-0000-0000-000063310000}"/>
    <cellStyle name="Normal 6 2 2 3 3 2 3" xfId="30157" xr:uid="{00000000-0005-0000-0000-000064310000}"/>
    <cellStyle name="Normal 6 2 2 3 3 2 3 2" xfId="30158" xr:uid="{00000000-0005-0000-0000-000065310000}"/>
    <cellStyle name="Normal 6 2 2 3 3 2 3 3" xfId="30159" xr:uid="{00000000-0005-0000-0000-000066310000}"/>
    <cellStyle name="Normal 6 2 2 3 3 2 3 4" xfId="30160" xr:uid="{00000000-0005-0000-0000-000067310000}"/>
    <cellStyle name="Normal 6 2 2 3 3 2 4" xfId="30161" xr:uid="{00000000-0005-0000-0000-000068310000}"/>
    <cellStyle name="Normal 6 2 2 3 3 2 5" xfId="30162" xr:uid="{00000000-0005-0000-0000-000069310000}"/>
    <cellStyle name="Normal 6 2 2 3 3 2 6" xfId="30163" xr:uid="{00000000-0005-0000-0000-00006A310000}"/>
    <cellStyle name="Normal 6 2 2 3 3 3" xfId="30164" xr:uid="{00000000-0005-0000-0000-00006B310000}"/>
    <cellStyle name="Normal 6 2 2 3 3 3 2" xfId="30165" xr:uid="{00000000-0005-0000-0000-00006C310000}"/>
    <cellStyle name="Normal 6 2 2 3 3 3 2 2" xfId="30166" xr:uid="{00000000-0005-0000-0000-00006D310000}"/>
    <cellStyle name="Normal 6 2 2 3 3 3 2 3" xfId="30167" xr:uid="{00000000-0005-0000-0000-00006E310000}"/>
    <cellStyle name="Normal 6 2 2 3 3 3 2 4" xfId="30168" xr:uid="{00000000-0005-0000-0000-00006F310000}"/>
    <cellStyle name="Normal 6 2 2 3 3 3 3" xfId="30169" xr:uid="{00000000-0005-0000-0000-000070310000}"/>
    <cellStyle name="Normal 6 2 2 3 3 3 4" xfId="30170" xr:uid="{00000000-0005-0000-0000-000071310000}"/>
    <cellStyle name="Normal 6 2 2 3 3 3 5" xfId="30171" xr:uid="{00000000-0005-0000-0000-000072310000}"/>
    <cellStyle name="Normal 6 2 2 3 3 4" xfId="30172" xr:uid="{00000000-0005-0000-0000-000073310000}"/>
    <cellStyle name="Normal 6 2 2 3 3 4 2" xfId="30173" xr:uid="{00000000-0005-0000-0000-000074310000}"/>
    <cellStyle name="Normal 6 2 2 3 3 4 3" xfId="30174" xr:uid="{00000000-0005-0000-0000-000075310000}"/>
    <cellStyle name="Normal 6 2 2 3 3 4 4" xfId="30175" xr:uid="{00000000-0005-0000-0000-000076310000}"/>
    <cellStyle name="Normal 6 2 2 3 3 5" xfId="30176" xr:uid="{00000000-0005-0000-0000-000077310000}"/>
    <cellStyle name="Normal 6 2 2 3 3 5 2" xfId="30177" xr:uid="{00000000-0005-0000-0000-000078310000}"/>
    <cellStyle name="Normal 6 2 2 3 3 5 3" xfId="30178" xr:uid="{00000000-0005-0000-0000-000079310000}"/>
    <cellStyle name="Normal 6 2 2 3 3 5 4" xfId="30179" xr:uid="{00000000-0005-0000-0000-00007A310000}"/>
    <cellStyle name="Normal 6 2 2 3 3 6" xfId="30180" xr:uid="{00000000-0005-0000-0000-00007B310000}"/>
    <cellStyle name="Normal 6 2 2 3 3 6 2" xfId="30181" xr:uid="{00000000-0005-0000-0000-00007C310000}"/>
    <cellStyle name="Normal 6 2 2 3 3 6 3" xfId="30182" xr:uid="{00000000-0005-0000-0000-00007D310000}"/>
    <cellStyle name="Normal 6 2 2 3 3 7" xfId="30183" xr:uid="{00000000-0005-0000-0000-00007E310000}"/>
    <cellStyle name="Normal 6 2 2 3 3 8" xfId="30184" xr:uid="{00000000-0005-0000-0000-00007F310000}"/>
    <cellStyle name="Normal 6 2 2 3 3 9" xfId="30185" xr:uid="{00000000-0005-0000-0000-000080310000}"/>
    <cellStyle name="Normal 6 2 2 3 4" xfId="30186" xr:uid="{00000000-0005-0000-0000-000081310000}"/>
    <cellStyle name="Normal 6 2 2 3 4 2" xfId="30187" xr:uid="{00000000-0005-0000-0000-000082310000}"/>
    <cellStyle name="Normal 6 2 2 3 4 2 2" xfId="30188" xr:uid="{00000000-0005-0000-0000-000083310000}"/>
    <cellStyle name="Normal 6 2 2 3 4 2 2 2" xfId="30189" xr:uid="{00000000-0005-0000-0000-000084310000}"/>
    <cellStyle name="Normal 6 2 2 3 4 2 2 3" xfId="30190" xr:uid="{00000000-0005-0000-0000-000085310000}"/>
    <cellStyle name="Normal 6 2 2 3 4 2 2 4" xfId="30191" xr:uid="{00000000-0005-0000-0000-000086310000}"/>
    <cellStyle name="Normal 6 2 2 3 4 2 3" xfId="30192" xr:uid="{00000000-0005-0000-0000-000087310000}"/>
    <cellStyle name="Normal 6 2 2 3 4 2 4" xfId="30193" xr:uid="{00000000-0005-0000-0000-000088310000}"/>
    <cellStyle name="Normal 6 2 2 3 4 2 5" xfId="30194" xr:uid="{00000000-0005-0000-0000-000089310000}"/>
    <cellStyle name="Normal 6 2 2 3 4 3" xfId="30195" xr:uid="{00000000-0005-0000-0000-00008A310000}"/>
    <cellStyle name="Normal 6 2 2 3 4 3 2" xfId="30196" xr:uid="{00000000-0005-0000-0000-00008B310000}"/>
    <cellStyle name="Normal 6 2 2 3 4 3 3" xfId="30197" xr:uid="{00000000-0005-0000-0000-00008C310000}"/>
    <cellStyle name="Normal 6 2 2 3 4 3 4" xfId="30198" xr:uid="{00000000-0005-0000-0000-00008D310000}"/>
    <cellStyle name="Normal 6 2 2 3 4 4" xfId="30199" xr:uid="{00000000-0005-0000-0000-00008E310000}"/>
    <cellStyle name="Normal 6 2 2 3 4 5" xfId="30200" xr:uid="{00000000-0005-0000-0000-00008F310000}"/>
    <cellStyle name="Normal 6 2 2 3 4 6" xfId="30201" xr:uid="{00000000-0005-0000-0000-000090310000}"/>
    <cellStyle name="Normal 6 2 2 3 5" xfId="30202" xr:uid="{00000000-0005-0000-0000-000091310000}"/>
    <cellStyle name="Normal 6 2 2 3 5 2" xfId="30203" xr:uid="{00000000-0005-0000-0000-000092310000}"/>
    <cellStyle name="Normal 6 2 2 3 5 2 2" xfId="30204" xr:uid="{00000000-0005-0000-0000-000093310000}"/>
    <cellStyle name="Normal 6 2 2 3 5 2 2 2" xfId="30205" xr:uid="{00000000-0005-0000-0000-000094310000}"/>
    <cellStyle name="Normal 6 2 2 3 5 2 2 3" xfId="30206" xr:uid="{00000000-0005-0000-0000-000095310000}"/>
    <cellStyle name="Normal 6 2 2 3 5 2 2 4" xfId="30207" xr:uid="{00000000-0005-0000-0000-000096310000}"/>
    <cellStyle name="Normal 6 2 2 3 5 2 3" xfId="30208" xr:uid="{00000000-0005-0000-0000-000097310000}"/>
    <cellStyle name="Normal 6 2 2 3 5 2 4" xfId="30209" xr:uid="{00000000-0005-0000-0000-000098310000}"/>
    <cellStyle name="Normal 6 2 2 3 5 2 5" xfId="30210" xr:uid="{00000000-0005-0000-0000-000099310000}"/>
    <cellStyle name="Normal 6 2 2 3 5 3" xfId="30211" xr:uid="{00000000-0005-0000-0000-00009A310000}"/>
    <cellStyle name="Normal 6 2 2 3 5 3 2" xfId="30212" xr:uid="{00000000-0005-0000-0000-00009B310000}"/>
    <cellStyle name="Normal 6 2 2 3 5 3 3" xfId="30213" xr:uid="{00000000-0005-0000-0000-00009C310000}"/>
    <cellStyle name="Normal 6 2 2 3 5 3 4" xfId="30214" xr:uid="{00000000-0005-0000-0000-00009D310000}"/>
    <cellStyle name="Normal 6 2 2 3 5 4" xfId="30215" xr:uid="{00000000-0005-0000-0000-00009E310000}"/>
    <cellStyle name="Normal 6 2 2 3 5 5" xfId="30216" xr:uid="{00000000-0005-0000-0000-00009F310000}"/>
    <cellStyle name="Normal 6 2 2 3 5 6" xfId="30217" xr:uid="{00000000-0005-0000-0000-0000A0310000}"/>
    <cellStyle name="Normal 6 2 2 3 6" xfId="30218" xr:uid="{00000000-0005-0000-0000-0000A1310000}"/>
    <cellStyle name="Normal 6 2 2 3 6 2" xfId="30219" xr:uid="{00000000-0005-0000-0000-0000A2310000}"/>
    <cellStyle name="Normal 6 2 2 3 6 2 2" xfId="30220" xr:uid="{00000000-0005-0000-0000-0000A3310000}"/>
    <cellStyle name="Normal 6 2 2 3 6 2 2 2" xfId="30221" xr:uid="{00000000-0005-0000-0000-0000A4310000}"/>
    <cellStyle name="Normal 6 2 2 3 6 2 2 3" xfId="30222" xr:uid="{00000000-0005-0000-0000-0000A5310000}"/>
    <cellStyle name="Normal 6 2 2 3 6 2 2 4" xfId="30223" xr:uid="{00000000-0005-0000-0000-0000A6310000}"/>
    <cellStyle name="Normal 6 2 2 3 6 2 3" xfId="30224" xr:uid="{00000000-0005-0000-0000-0000A7310000}"/>
    <cellStyle name="Normal 6 2 2 3 6 2 4" xfId="30225" xr:uid="{00000000-0005-0000-0000-0000A8310000}"/>
    <cellStyle name="Normal 6 2 2 3 6 2 5" xfId="30226" xr:uid="{00000000-0005-0000-0000-0000A9310000}"/>
    <cellStyle name="Normal 6 2 2 3 6 3" xfId="30227" xr:uid="{00000000-0005-0000-0000-0000AA310000}"/>
    <cellStyle name="Normal 6 2 2 3 6 3 2" xfId="30228" xr:uid="{00000000-0005-0000-0000-0000AB310000}"/>
    <cellStyle name="Normal 6 2 2 3 6 3 3" xfId="30229" xr:uid="{00000000-0005-0000-0000-0000AC310000}"/>
    <cellStyle name="Normal 6 2 2 3 6 3 4" xfId="30230" xr:uid="{00000000-0005-0000-0000-0000AD310000}"/>
    <cellStyle name="Normal 6 2 2 3 6 4" xfId="30231" xr:uid="{00000000-0005-0000-0000-0000AE310000}"/>
    <cellStyle name="Normal 6 2 2 3 6 5" xfId="30232" xr:uid="{00000000-0005-0000-0000-0000AF310000}"/>
    <cellStyle name="Normal 6 2 2 3 6 6" xfId="30233" xr:uid="{00000000-0005-0000-0000-0000B0310000}"/>
    <cellStyle name="Normal 6 2 2 3 7" xfId="30234" xr:uid="{00000000-0005-0000-0000-0000B1310000}"/>
    <cellStyle name="Normal 6 2 2 3 7 2" xfId="30235" xr:uid="{00000000-0005-0000-0000-0000B2310000}"/>
    <cellStyle name="Normal 6 2 2 3 7 2 2" xfId="30236" xr:uid="{00000000-0005-0000-0000-0000B3310000}"/>
    <cellStyle name="Normal 6 2 2 3 7 2 3" xfId="30237" xr:uid="{00000000-0005-0000-0000-0000B4310000}"/>
    <cellStyle name="Normal 6 2 2 3 7 2 4" xfId="30238" xr:uid="{00000000-0005-0000-0000-0000B5310000}"/>
    <cellStyle name="Normal 6 2 2 3 7 3" xfId="30239" xr:uid="{00000000-0005-0000-0000-0000B6310000}"/>
    <cellStyle name="Normal 6 2 2 3 7 4" xfId="30240" xr:uid="{00000000-0005-0000-0000-0000B7310000}"/>
    <cellStyle name="Normal 6 2 2 3 7 5" xfId="30241" xr:uid="{00000000-0005-0000-0000-0000B8310000}"/>
    <cellStyle name="Normal 6 2 2 3 8" xfId="30242" xr:uid="{00000000-0005-0000-0000-0000B9310000}"/>
    <cellStyle name="Normal 6 2 2 3 8 2" xfId="30243" xr:uid="{00000000-0005-0000-0000-0000BA310000}"/>
    <cellStyle name="Normal 6 2 2 3 8 3" xfId="30244" xr:uid="{00000000-0005-0000-0000-0000BB310000}"/>
    <cellStyle name="Normal 6 2 2 3 8 4" xfId="30245" xr:uid="{00000000-0005-0000-0000-0000BC310000}"/>
    <cellStyle name="Normal 6 2 2 3 9" xfId="30246" xr:uid="{00000000-0005-0000-0000-0000BD310000}"/>
    <cellStyle name="Normal 6 2 2 3 9 2" xfId="30247" xr:uid="{00000000-0005-0000-0000-0000BE310000}"/>
    <cellStyle name="Normal 6 2 2 3 9 3" xfId="30248" xr:uid="{00000000-0005-0000-0000-0000BF310000}"/>
    <cellStyle name="Normal 6 2 2 3 9 4" xfId="30249" xr:uid="{00000000-0005-0000-0000-0000C0310000}"/>
    <cellStyle name="Normal 6 2 2 4" xfId="30250" xr:uid="{00000000-0005-0000-0000-0000C1310000}"/>
    <cellStyle name="Normal 6 2 2 4 2" xfId="30251" xr:uid="{00000000-0005-0000-0000-0000C2310000}"/>
    <cellStyle name="Normal 6 2 2 4 2 2" xfId="30252" xr:uid="{00000000-0005-0000-0000-0000C3310000}"/>
    <cellStyle name="Normal 6 2 2 4 2 2 2" xfId="30253" xr:uid="{00000000-0005-0000-0000-0000C4310000}"/>
    <cellStyle name="Normal 6 2 2 4 2 2 2 2" xfId="30254" xr:uid="{00000000-0005-0000-0000-0000C5310000}"/>
    <cellStyle name="Normal 6 2 2 4 2 2 2 3" xfId="30255" xr:uid="{00000000-0005-0000-0000-0000C6310000}"/>
    <cellStyle name="Normal 6 2 2 4 2 2 2 4" xfId="30256" xr:uid="{00000000-0005-0000-0000-0000C7310000}"/>
    <cellStyle name="Normal 6 2 2 4 2 2 3" xfId="30257" xr:uid="{00000000-0005-0000-0000-0000C8310000}"/>
    <cellStyle name="Normal 6 2 2 4 2 2 4" xfId="30258" xr:uid="{00000000-0005-0000-0000-0000C9310000}"/>
    <cellStyle name="Normal 6 2 2 4 2 2 5" xfId="30259" xr:uid="{00000000-0005-0000-0000-0000CA310000}"/>
    <cellStyle name="Normal 6 2 2 4 2 3" xfId="30260" xr:uid="{00000000-0005-0000-0000-0000CB310000}"/>
    <cellStyle name="Normal 6 2 2 4 2 3 2" xfId="30261" xr:uid="{00000000-0005-0000-0000-0000CC310000}"/>
    <cellStyle name="Normal 6 2 2 4 2 3 3" xfId="30262" xr:uid="{00000000-0005-0000-0000-0000CD310000}"/>
    <cellStyle name="Normal 6 2 2 4 2 3 4" xfId="30263" xr:uid="{00000000-0005-0000-0000-0000CE310000}"/>
    <cellStyle name="Normal 6 2 2 4 2 4" xfId="30264" xr:uid="{00000000-0005-0000-0000-0000CF310000}"/>
    <cellStyle name="Normal 6 2 2 4 2 5" xfId="30265" xr:uid="{00000000-0005-0000-0000-0000D0310000}"/>
    <cellStyle name="Normal 6 2 2 4 2 6" xfId="30266" xr:uid="{00000000-0005-0000-0000-0000D1310000}"/>
    <cellStyle name="Normal 6 2 2 4 3" xfId="30267" xr:uid="{00000000-0005-0000-0000-0000D2310000}"/>
    <cellStyle name="Normal 6 2 2 4 3 2" xfId="30268" xr:uid="{00000000-0005-0000-0000-0000D3310000}"/>
    <cellStyle name="Normal 6 2 2 4 3 2 2" xfId="30269" xr:uid="{00000000-0005-0000-0000-0000D4310000}"/>
    <cellStyle name="Normal 6 2 2 4 3 2 3" xfId="30270" xr:uid="{00000000-0005-0000-0000-0000D5310000}"/>
    <cellStyle name="Normal 6 2 2 4 3 2 4" xfId="30271" xr:uid="{00000000-0005-0000-0000-0000D6310000}"/>
    <cellStyle name="Normal 6 2 2 4 3 3" xfId="30272" xr:uid="{00000000-0005-0000-0000-0000D7310000}"/>
    <cellStyle name="Normal 6 2 2 4 3 4" xfId="30273" xr:uid="{00000000-0005-0000-0000-0000D8310000}"/>
    <cellStyle name="Normal 6 2 2 4 3 5" xfId="30274" xr:uid="{00000000-0005-0000-0000-0000D9310000}"/>
    <cellStyle name="Normal 6 2 2 4 4" xfId="30275" xr:uid="{00000000-0005-0000-0000-0000DA310000}"/>
    <cellStyle name="Normal 6 2 2 4 4 2" xfId="30276" xr:uid="{00000000-0005-0000-0000-0000DB310000}"/>
    <cellStyle name="Normal 6 2 2 4 4 3" xfId="30277" xr:uid="{00000000-0005-0000-0000-0000DC310000}"/>
    <cellStyle name="Normal 6 2 2 4 4 4" xfId="30278" xr:uid="{00000000-0005-0000-0000-0000DD310000}"/>
    <cellStyle name="Normal 6 2 2 4 5" xfId="30279" xr:uid="{00000000-0005-0000-0000-0000DE310000}"/>
    <cellStyle name="Normal 6 2 2 4 5 2" xfId="30280" xr:uid="{00000000-0005-0000-0000-0000DF310000}"/>
    <cellStyle name="Normal 6 2 2 4 5 3" xfId="30281" xr:uid="{00000000-0005-0000-0000-0000E0310000}"/>
    <cellStyle name="Normal 6 2 2 4 5 4" xfId="30282" xr:uid="{00000000-0005-0000-0000-0000E1310000}"/>
    <cellStyle name="Normal 6 2 2 4 6" xfId="30283" xr:uid="{00000000-0005-0000-0000-0000E2310000}"/>
    <cellStyle name="Normal 6 2 2 4 6 2" xfId="30284" xr:uid="{00000000-0005-0000-0000-0000E3310000}"/>
    <cellStyle name="Normal 6 2 2 4 6 3" xfId="30285" xr:uid="{00000000-0005-0000-0000-0000E4310000}"/>
    <cellStyle name="Normal 6 2 2 4 7" xfId="30286" xr:uid="{00000000-0005-0000-0000-0000E5310000}"/>
    <cellStyle name="Normal 6 2 2 4 8" xfId="30287" xr:uid="{00000000-0005-0000-0000-0000E6310000}"/>
    <cellStyle name="Normal 6 2 2 4 9" xfId="30288" xr:uid="{00000000-0005-0000-0000-0000E7310000}"/>
    <cellStyle name="Normal 6 2 2 5" xfId="30289" xr:uid="{00000000-0005-0000-0000-0000E8310000}"/>
    <cellStyle name="Normal 6 2 2 5 2" xfId="30290" xr:uid="{00000000-0005-0000-0000-0000E9310000}"/>
    <cellStyle name="Normal 6 2 2 5 2 2" xfId="30291" xr:uid="{00000000-0005-0000-0000-0000EA310000}"/>
    <cellStyle name="Normal 6 2 2 5 2 2 2" xfId="30292" xr:uid="{00000000-0005-0000-0000-0000EB310000}"/>
    <cellStyle name="Normal 6 2 2 5 2 2 2 2" xfId="30293" xr:uid="{00000000-0005-0000-0000-0000EC310000}"/>
    <cellStyle name="Normal 6 2 2 5 2 2 2 3" xfId="30294" xr:uid="{00000000-0005-0000-0000-0000ED310000}"/>
    <cellStyle name="Normal 6 2 2 5 2 2 2 4" xfId="30295" xr:uid="{00000000-0005-0000-0000-0000EE310000}"/>
    <cellStyle name="Normal 6 2 2 5 2 2 3" xfId="30296" xr:uid="{00000000-0005-0000-0000-0000EF310000}"/>
    <cellStyle name="Normal 6 2 2 5 2 2 4" xfId="30297" xr:uid="{00000000-0005-0000-0000-0000F0310000}"/>
    <cellStyle name="Normal 6 2 2 5 2 2 5" xfId="30298" xr:uid="{00000000-0005-0000-0000-0000F1310000}"/>
    <cellStyle name="Normal 6 2 2 5 2 3" xfId="30299" xr:uid="{00000000-0005-0000-0000-0000F2310000}"/>
    <cellStyle name="Normal 6 2 2 5 2 3 2" xfId="30300" xr:uid="{00000000-0005-0000-0000-0000F3310000}"/>
    <cellStyle name="Normal 6 2 2 5 2 3 3" xfId="30301" xr:uid="{00000000-0005-0000-0000-0000F4310000}"/>
    <cellStyle name="Normal 6 2 2 5 2 3 4" xfId="30302" xr:uid="{00000000-0005-0000-0000-0000F5310000}"/>
    <cellStyle name="Normal 6 2 2 5 2 4" xfId="30303" xr:uid="{00000000-0005-0000-0000-0000F6310000}"/>
    <cellStyle name="Normal 6 2 2 5 2 5" xfId="30304" xr:uid="{00000000-0005-0000-0000-0000F7310000}"/>
    <cellStyle name="Normal 6 2 2 5 2 6" xfId="30305" xr:uid="{00000000-0005-0000-0000-0000F8310000}"/>
    <cellStyle name="Normal 6 2 2 5 3" xfId="30306" xr:uid="{00000000-0005-0000-0000-0000F9310000}"/>
    <cellStyle name="Normal 6 2 2 5 3 2" xfId="30307" xr:uid="{00000000-0005-0000-0000-0000FA310000}"/>
    <cellStyle name="Normal 6 2 2 5 3 2 2" xfId="30308" xr:uid="{00000000-0005-0000-0000-0000FB310000}"/>
    <cellStyle name="Normal 6 2 2 5 3 2 3" xfId="30309" xr:uid="{00000000-0005-0000-0000-0000FC310000}"/>
    <cellStyle name="Normal 6 2 2 5 3 2 4" xfId="30310" xr:uid="{00000000-0005-0000-0000-0000FD310000}"/>
    <cellStyle name="Normal 6 2 2 5 3 3" xfId="30311" xr:uid="{00000000-0005-0000-0000-0000FE310000}"/>
    <cellStyle name="Normal 6 2 2 5 3 4" xfId="30312" xr:uid="{00000000-0005-0000-0000-0000FF310000}"/>
    <cellStyle name="Normal 6 2 2 5 3 5" xfId="30313" xr:uid="{00000000-0005-0000-0000-000000320000}"/>
    <cellStyle name="Normal 6 2 2 5 4" xfId="30314" xr:uid="{00000000-0005-0000-0000-000001320000}"/>
    <cellStyle name="Normal 6 2 2 5 4 2" xfId="30315" xr:uid="{00000000-0005-0000-0000-000002320000}"/>
    <cellStyle name="Normal 6 2 2 5 4 3" xfId="30316" xr:uid="{00000000-0005-0000-0000-000003320000}"/>
    <cellStyle name="Normal 6 2 2 5 4 4" xfId="30317" xr:uid="{00000000-0005-0000-0000-000004320000}"/>
    <cellStyle name="Normal 6 2 2 5 5" xfId="30318" xr:uid="{00000000-0005-0000-0000-000005320000}"/>
    <cellStyle name="Normal 6 2 2 5 5 2" xfId="30319" xr:uid="{00000000-0005-0000-0000-000006320000}"/>
    <cellStyle name="Normal 6 2 2 5 5 3" xfId="30320" xr:uid="{00000000-0005-0000-0000-000007320000}"/>
    <cellStyle name="Normal 6 2 2 5 5 4" xfId="30321" xr:uid="{00000000-0005-0000-0000-000008320000}"/>
    <cellStyle name="Normal 6 2 2 5 6" xfId="30322" xr:uid="{00000000-0005-0000-0000-000009320000}"/>
    <cellStyle name="Normal 6 2 2 5 6 2" xfId="30323" xr:uid="{00000000-0005-0000-0000-00000A320000}"/>
    <cellStyle name="Normal 6 2 2 5 6 3" xfId="30324" xr:uid="{00000000-0005-0000-0000-00000B320000}"/>
    <cellStyle name="Normal 6 2 2 5 7" xfId="30325" xr:uid="{00000000-0005-0000-0000-00000C320000}"/>
    <cellStyle name="Normal 6 2 2 5 8" xfId="30326" xr:uid="{00000000-0005-0000-0000-00000D320000}"/>
    <cellStyle name="Normal 6 2 2 5 9" xfId="30327" xr:uid="{00000000-0005-0000-0000-00000E320000}"/>
    <cellStyle name="Normal 6 2 2 6" xfId="30328" xr:uid="{00000000-0005-0000-0000-00000F320000}"/>
    <cellStyle name="Normal 6 2 2 6 2" xfId="30329" xr:uid="{00000000-0005-0000-0000-000010320000}"/>
    <cellStyle name="Normal 6 2 2 6 2 2" xfId="30330" xr:uid="{00000000-0005-0000-0000-000011320000}"/>
    <cellStyle name="Normal 6 2 2 6 2 2 2" xfId="30331" xr:uid="{00000000-0005-0000-0000-000012320000}"/>
    <cellStyle name="Normal 6 2 2 6 2 2 3" xfId="30332" xr:uid="{00000000-0005-0000-0000-000013320000}"/>
    <cellStyle name="Normal 6 2 2 6 2 2 4" xfId="30333" xr:uid="{00000000-0005-0000-0000-000014320000}"/>
    <cellStyle name="Normal 6 2 2 6 2 3" xfId="30334" xr:uid="{00000000-0005-0000-0000-000015320000}"/>
    <cellStyle name="Normal 6 2 2 6 2 4" xfId="30335" xr:uid="{00000000-0005-0000-0000-000016320000}"/>
    <cellStyle name="Normal 6 2 2 6 2 5" xfId="30336" xr:uid="{00000000-0005-0000-0000-000017320000}"/>
    <cellStyle name="Normal 6 2 2 6 3" xfId="30337" xr:uid="{00000000-0005-0000-0000-000018320000}"/>
    <cellStyle name="Normal 6 2 2 6 3 2" xfId="30338" xr:uid="{00000000-0005-0000-0000-000019320000}"/>
    <cellStyle name="Normal 6 2 2 6 3 3" xfId="30339" xr:uid="{00000000-0005-0000-0000-00001A320000}"/>
    <cellStyle name="Normal 6 2 2 6 3 4" xfId="30340" xr:uid="{00000000-0005-0000-0000-00001B320000}"/>
    <cellStyle name="Normal 6 2 2 6 4" xfId="30341" xr:uid="{00000000-0005-0000-0000-00001C320000}"/>
    <cellStyle name="Normal 6 2 2 6 5" xfId="30342" xr:uid="{00000000-0005-0000-0000-00001D320000}"/>
    <cellStyle name="Normal 6 2 2 6 6" xfId="30343" xr:uid="{00000000-0005-0000-0000-00001E320000}"/>
    <cellStyle name="Normal 6 2 2 7" xfId="30344" xr:uid="{00000000-0005-0000-0000-00001F320000}"/>
    <cellStyle name="Normal 6 2 2 7 2" xfId="30345" xr:uid="{00000000-0005-0000-0000-000020320000}"/>
    <cellStyle name="Normal 6 2 2 7 2 2" xfId="30346" xr:uid="{00000000-0005-0000-0000-000021320000}"/>
    <cellStyle name="Normal 6 2 2 7 2 2 2" xfId="30347" xr:uid="{00000000-0005-0000-0000-000022320000}"/>
    <cellStyle name="Normal 6 2 2 7 2 2 3" xfId="30348" xr:uid="{00000000-0005-0000-0000-000023320000}"/>
    <cellStyle name="Normal 6 2 2 7 2 2 4" xfId="30349" xr:uid="{00000000-0005-0000-0000-000024320000}"/>
    <cellStyle name="Normal 6 2 2 7 2 3" xfId="30350" xr:uid="{00000000-0005-0000-0000-000025320000}"/>
    <cellStyle name="Normal 6 2 2 7 2 4" xfId="30351" xr:uid="{00000000-0005-0000-0000-000026320000}"/>
    <cellStyle name="Normal 6 2 2 7 2 5" xfId="30352" xr:uid="{00000000-0005-0000-0000-000027320000}"/>
    <cellStyle name="Normal 6 2 2 7 3" xfId="30353" xr:uid="{00000000-0005-0000-0000-000028320000}"/>
    <cellStyle name="Normal 6 2 2 7 3 2" xfId="30354" xr:uid="{00000000-0005-0000-0000-000029320000}"/>
    <cellStyle name="Normal 6 2 2 7 3 3" xfId="30355" xr:uid="{00000000-0005-0000-0000-00002A320000}"/>
    <cellStyle name="Normal 6 2 2 7 3 4" xfId="30356" xr:uid="{00000000-0005-0000-0000-00002B320000}"/>
    <cellStyle name="Normal 6 2 2 7 4" xfId="30357" xr:uid="{00000000-0005-0000-0000-00002C320000}"/>
    <cellStyle name="Normal 6 2 2 7 5" xfId="30358" xr:uid="{00000000-0005-0000-0000-00002D320000}"/>
    <cellStyle name="Normal 6 2 2 7 6" xfId="30359" xr:uid="{00000000-0005-0000-0000-00002E320000}"/>
    <cellStyle name="Normal 6 2 2 8" xfId="30360" xr:uid="{00000000-0005-0000-0000-00002F320000}"/>
    <cellStyle name="Normal 6 2 2 8 2" xfId="30361" xr:uid="{00000000-0005-0000-0000-000030320000}"/>
    <cellStyle name="Normal 6 2 2 8 2 2" xfId="30362" xr:uid="{00000000-0005-0000-0000-000031320000}"/>
    <cellStyle name="Normal 6 2 2 8 2 2 2" xfId="30363" xr:uid="{00000000-0005-0000-0000-000032320000}"/>
    <cellStyle name="Normal 6 2 2 8 2 2 3" xfId="30364" xr:uid="{00000000-0005-0000-0000-000033320000}"/>
    <cellStyle name="Normal 6 2 2 8 2 2 4" xfId="30365" xr:uid="{00000000-0005-0000-0000-000034320000}"/>
    <cellStyle name="Normal 6 2 2 8 2 3" xfId="30366" xr:uid="{00000000-0005-0000-0000-000035320000}"/>
    <cellStyle name="Normal 6 2 2 8 2 4" xfId="30367" xr:uid="{00000000-0005-0000-0000-000036320000}"/>
    <cellStyle name="Normal 6 2 2 8 2 5" xfId="30368" xr:uid="{00000000-0005-0000-0000-000037320000}"/>
    <cellStyle name="Normal 6 2 2 8 3" xfId="30369" xr:uid="{00000000-0005-0000-0000-000038320000}"/>
    <cellStyle name="Normal 6 2 2 8 3 2" xfId="30370" xr:uid="{00000000-0005-0000-0000-000039320000}"/>
    <cellStyle name="Normal 6 2 2 8 3 3" xfId="30371" xr:uid="{00000000-0005-0000-0000-00003A320000}"/>
    <cellStyle name="Normal 6 2 2 8 3 4" xfId="30372" xr:uid="{00000000-0005-0000-0000-00003B320000}"/>
    <cellStyle name="Normal 6 2 2 8 4" xfId="30373" xr:uid="{00000000-0005-0000-0000-00003C320000}"/>
    <cellStyle name="Normal 6 2 2 8 5" xfId="30374" xr:uid="{00000000-0005-0000-0000-00003D320000}"/>
    <cellStyle name="Normal 6 2 2 8 6" xfId="30375" xr:uid="{00000000-0005-0000-0000-00003E320000}"/>
    <cellStyle name="Normal 6 2 2 9" xfId="30376" xr:uid="{00000000-0005-0000-0000-00003F320000}"/>
    <cellStyle name="Normal 6 2 2 9 2" xfId="30377" xr:uid="{00000000-0005-0000-0000-000040320000}"/>
    <cellStyle name="Normal 6 2 2 9 2 2" xfId="30378" xr:uid="{00000000-0005-0000-0000-000041320000}"/>
    <cellStyle name="Normal 6 2 2 9 2 3" xfId="30379" xr:uid="{00000000-0005-0000-0000-000042320000}"/>
    <cellStyle name="Normal 6 2 2 9 2 4" xfId="30380" xr:uid="{00000000-0005-0000-0000-000043320000}"/>
    <cellStyle name="Normal 6 2 2 9 3" xfId="30381" xr:uid="{00000000-0005-0000-0000-000044320000}"/>
    <cellStyle name="Normal 6 2 2 9 4" xfId="30382" xr:uid="{00000000-0005-0000-0000-000045320000}"/>
    <cellStyle name="Normal 6 2 2 9 5" xfId="30383" xr:uid="{00000000-0005-0000-0000-000046320000}"/>
    <cellStyle name="Normal 6 2 20" xfId="1332" xr:uid="{00000000-0005-0000-0000-000047320000}"/>
    <cellStyle name="Normal 6 2 20 2" xfId="1333" xr:uid="{00000000-0005-0000-0000-000048320000}"/>
    <cellStyle name="Normal 6 2 21" xfId="1334" xr:uid="{00000000-0005-0000-0000-000049320000}"/>
    <cellStyle name="Normal 6 2 21 2" xfId="1335" xr:uid="{00000000-0005-0000-0000-00004A320000}"/>
    <cellStyle name="Normal 6 2 22" xfId="1336" xr:uid="{00000000-0005-0000-0000-00004B320000}"/>
    <cellStyle name="Normal 6 2 22 2" xfId="1337" xr:uid="{00000000-0005-0000-0000-00004C320000}"/>
    <cellStyle name="Normal 6 2 23" xfId="1338" xr:uid="{00000000-0005-0000-0000-00004D320000}"/>
    <cellStyle name="Normal 6 2 23 2" xfId="1339" xr:uid="{00000000-0005-0000-0000-00004E320000}"/>
    <cellStyle name="Normal 6 2 24" xfId="1340" xr:uid="{00000000-0005-0000-0000-00004F320000}"/>
    <cellStyle name="Normal 6 2 24 2" xfId="1341" xr:uid="{00000000-0005-0000-0000-000050320000}"/>
    <cellStyle name="Normal 6 2 25" xfId="1342" xr:uid="{00000000-0005-0000-0000-000051320000}"/>
    <cellStyle name="Normal 6 2 25 2" xfId="1343" xr:uid="{00000000-0005-0000-0000-000052320000}"/>
    <cellStyle name="Normal 6 2 26" xfId="1344" xr:uid="{00000000-0005-0000-0000-000053320000}"/>
    <cellStyle name="Normal 6 2 26 2" xfId="1345" xr:uid="{00000000-0005-0000-0000-000054320000}"/>
    <cellStyle name="Normal 6 2 27" xfId="1346" xr:uid="{00000000-0005-0000-0000-000055320000}"/>
    <cellStyle name="Normal 6 2 27 2" xfId="1347" xr:uid="{00000000-0005-0000-0000-000056320000}"/>
    <cellStyle name="Normal 6 2 28" xfId="1348" xr:uid="{00000000-0005-0000-0000-000057320000}"/>
    <cellStyle name="Normal 6 2 28 2" xfId="1349" xr:uid="{00000000-0005-0000-0000-000058320000}"/>
    <cellStyle name="Normal 6 2 29" xfId="1350" xr:uid="{00000000-0005-0000-0000-000059320000}"/>
    <cellStyle name="Normal 6 2 29 2" xfId="1351" xr:uid="{00000000-0005-0000-0000-00005A320000}"/>
    <cellStyle name="Normal 6 2 3" xfId="1352" xr:uid="{00000000-0005-0000-0000-00005B320000}"/>
    <cellStyle name="Normal 6 2 3 10" xfId="30384" xr:uid="{00000000-0005-0000-0000-00005C320000}"/>
    <cellStyle name="Normal 6 2 3 10 2" xfId="30385" xr:uid="{00000000-0005-0000-0000-00005D320000}"/>
    <cellStyle name="Normal 6 2 3 10 3" xfId="30386" xr:uid="{00000000-0005-0000-0000-00005E320000}"/>
    <cellStyle name="Normal 6 2 3 10 4" xfId="30387" xr:uid="{00000000-0005-0000-0000-00005F320000}"/>
    <cellStyle name="Normal 6 2 3 11" xfId="30388" xr:uid="{00000000-0005-0000-0000-000060320000}"/>
    <cellStyle name="Normal 6 2 3 11 2" xfId="30389" xr:uid="{00000000-0005-0000-0000-000061320000}"/>
    <cellStyle name="Normal 6 2 3 11 3" xfId="30390" xr:uid="{00000000-0005-0000-0000-000062320000}"/>
    <cellStyle name="Normal 6 2 3 12" xfId="30391" xr:uid="{00000000-0005-0000-0000-000063320000}"/>
    <cellStyle name="Normal 6 2 3 12 2" xfId="30392" xr:uid="{00000000-0005-0000-0000-000064320000}"/>
    <cellStyle name="Normal 6 2 3 13" xfId="30393" xr:uid="{00000000-0005-0000-0000-000065320000}"/>
    <cellStyle name="Normal 6 2 3 14" xfId="30394" xr:uid="{00000000-0005-0000-0000-000066320000}"/>
    <cellStyle name="Normal 6 2 3 2" xfId="1353" xr:uid="{00000000-0005-0000-0000-000067320000}"/>
    <cellStyle name="Normal 6 2 3 2 2" xfId="30395" xr:uid="{00000000-0005-0000-0000-000068320000}"/>
    <cellStyle name="Normal 6 2 3 2 2 2" xfId="30396" xr:uid="{00000000-0005-0000-0000-000069320000}"/>
    <cellStyle name="Normal 6 2 3 2 2 2 2" xfId="30397" xr:uid="{00000000-0005-0000-0000-00006A320000}"/>
    <cellStyle name="Normal 6 2 3 2 2 2 2 2" xfId="30398" xr:uid="{00000000-0005-0000-0000-00006B320000}"/>
    <cellStyle name="Normal 6 2 3 2 2 2 2 3" xfId="30399" xr:uid="{00000000-0005-0000-0000-00006C320000}"/>
    <cellStyle name="Normal 6 2 3 2 2 2 2 4" xfId="30400" xr:uid="{00000000-0005-0000-0000-00006D320000}"/>
    <cellStyle name="Normal 6 2 3 2 2 2 3" xfId="30401" xr:uid="{00000000-0005-0000-0000-00006E320000}"/>
    <cellStyle name="Normal 6 2 3 2 2 2 4" xfId="30402" xr:uid="{00000000-0005-0000-0000-00006F320000}"/>
    <cellStyle name="Normal 6 2 3 2 2 2 5" xfId="30403" xr:uid="{00000000-0005-0000-0000-000070320000}"/>
    <cellStyle name="Normal 6 2 3 2 2 3" xfId="30404" xr:uid="{00000000-0005-0000-0000-000071320000}"/>
    <cellStyle name="Normal 6 2 3 2 2 3 2" xfId="30405" xr:uid="{00000000-0005-0000-0000-000072320000}"/>
    <cellStyle name="Normal 6 2 3 2 2 3 3" xfId="30406" xr:uid="{00000000-0005-0000-0000-000073320000}"/>
    <cellStyle name="Normal 6 2 3 2 2 3 4" xfId="30407" xr:uid="{00000000-0005-0000-0000-000074320000}"/>
    <cellStyle name="Normal 6 2 3 2 2 4" xfId="30408" xr:uid="{00000000-0005-0000-0000-000075320000}"/>
    <cellStyle name="Normal 6 2 3 2 2 5" xfId="30409" xr:uid="{00000000-0005-0000-0000-000076320000}"/>
    <cellStyle name="Normal 6 2 3 2 2 6" xfId="30410" xr:uid="{00000000-0005-0000-0000-000077320000}"/>
    <cellStyle name="Normal 6 2 3 2 3" xfId="30411" xr:uid="{00000000-0005-0000-0000-000078320000}"/>
    <cellStyle name="Normal 6 2 3 2 3 2" xfId="30412" xr:uid="{00000000-0005-0000-0000-000079320000}"/>
    <cellStyle name="Normal 6 2 3 2 3 2 2" xfId="30413" xr:uid="{00000000-0005-0000-0000-00007A320000}"/>
    <cellStyle name="Normal 6 2 3 2 3 2 3" xfId="30414" xr:uid="{00000000-0005-0000-0000-00007B320000}"/>
    <cellStyle name="Normal 6 2 3 2 3 2 4" xfId="30415" xr:uid="{00000000-0005-0000-0000-00007C320000}"/>
    <cellStyle name="Normal 6 2 3 2 3 3" xfId="30416" xr:uid="{00000000-0005-0000-0000-00007D320000}"/>
    <cellStyle name="Normal 6 2 3 2 3 4" xfId="30417" xr:uid="{00000000-0005-0000-0000-00007E320000}"/>
    <cellStyle name="Normal 6 2 3 2 3 5" xfId="30418" xr:uid="{00000000-0005-0000-0000-00007F320000}"/>
    <cellStyle name="Normal 6 2 3 2 4" xfId="30419" xr:uid="{00000000-0005-0000-0000-000080320000}"/>
    <cellStyle name="Normal 6 2 3 2 4 2" xfId="30420" xr:uid="{00000000-0005-0000-0000-000081320000}"/>
    <cellStyle name="Normal 6 2 3 2 4 3" xfId="30421" xr:uid="{00000000-0005-0000-0000-000082320000}"/>
    <cellStyle name="Normal 6 2 3 2 4 4" xfId="30422" xr:uid="{00000000-0005-0000-0000-000083320000}"/>
    <cellStyle name="Normal 6 2 3 2 5" xfId="30423" xr:uid="{00000000-0005-0000-0000-000084320000}"/>
    <cellStyle name="Normal 6 2 3 2 5 2" xfId="30424" xr:uid="{00000000-0005-0000-0000-000085320000}"/>
    <cellStyle name="Normal 6 2 3 2 5 3" xfId="30425" xr:uid="{00000000-0005-0000-0000-000086320000}"/>
    <cellStyle name="Normal 6 2 3 2 5 4" xfId="30426" xr:uid="{00000000-0005-0000-0000-000087320000}"/>
    <cellStyle name="Normal 6 2 3 2 6" xfId="30427" xr:uid="{00000000-0005-0000-0000-000088320000}"/>
    <cellStyle name="Normal 6 2 3 2 6 2" xfId="30428" xr:uid="{00000000-0005-0000-0000-000089320000}"/>
    <cellStyle name="Normal 6 2 3 2 6 3" xfId="30429" xr:uid="{00000000-0005-0000-0000-00008A320000}"/>
    <cellStyle name="Normal 6 2 3 2 7" xfId="30430" xr:uid="{00000000-0005-0000-0000-00008B320000}"/>
    <cellStyle name="Normal 6 2 3 2 8" xfId="30431" xr:uid="{00000000-0005-0000-0000-00008C320000}"/>
    <cellStyle name="Normal 6 2 3 2 9" xfId="30432" xr:uid="{00000000-0005-0000-0000-00008D320000}"/>
    <cellStyle name="Normal 6 2 3 3" xfId="30433" xr:uid="{00000000-0005-0000-0000-00008E320000}"/>
    <cellStyle name="Normal 6 2 3 3 2" xfId="30434" xr:uid="{00000000-0005-0000-0000-00008F320000}"/>
    <cellStyle name="Normal 6 2 3 3 2 2" xfId="30435" xr:uid="{00000000-0005-0000-0000-000090320000}"/>
    <cellStyle name="Normal 6 2 3 3 2 2 2" xfId="30436" xr:uid="{00000000-0005-0000-0000-000091320000}"/>
    <cellStyle name="Normal 6 2 3 3 2 2 2 2" xfId="30437" xr:uid="{00000000-0005-0000-0000-000092320000}"/>
    <cellStyle name="Normal 6 2 3 3 2 2 2 3" xfId="30438" xr:uid="{00000000-0005-0000-0000-000093320000}"/>
    <cellStyle name="Normal 6 2 3 3 2 2 2 4" xfId="30439" xr:uid="{00000000-0005-0000-0000-000094320000}"/>
    <cellStyle name="Normal 6 2 3 3 2 2 3" xfId="30440" xr:uid="{00000000-0005-0000-0000-000095320000}"/>
    <cellStyle name="Normal 6 2 3 3 2 2 4" xfId="30441" xr:uid="{00000000-0005-0000-0000-000096320000}"/>
    <cellStyle name="Normal 6 2 3 3 2 2 5" xfId="30442" xr:uid="{00000000-0005-0000-0000-000097320000}"/>
    <cellStyle name="Normal 6 2 3 3 2 3" xfId="30443" xr:uid="{00000000-0005-0000-0000-000098320000}"/>
    <cellStyle name="Normal 6 2 3 3 2 3 2" xfId="30444" xr:uid="{00000000-0005-0000-0000-000099320000}"/>
    <cellStyle name="Normal 6 2 3 3 2 3 3" xfId="30445" xr:uid="{00000000-0005-0000-0000-00009A320000}"/>
    <cellStyle name="Normal 6 2 3 3 2 3 4" xfId="30446" xr:uid="{00000000-0005-0000-0000-00009B320000}"/>
    <cellStyle name="Normal 6 2 3 3 2 4" xfId="30447" xr:uid="{00000000-0005-0000-0000-00009C320000}"/>
    <cellStyle name="Normal 6 2 3 3 2 5" xfId="30448" xr:uid="{00000000-0005-0000-0000-00009D320000}"/>
    <cellStyle name="Normal 6 2 3 3 2 6" xfId="30449" xr:uid="{00000000-0005-0000-0000-00009E320000}"/>
    <cellStyle name="Normal 6 2 3 3 3" xfId="30450" xr:uid="{00000000-0005-0000-0000-00009F320000}"/>
    <cellStyle name="Normal 6 2 3 3 3 2" xfId="30451" xr:uid="{00000000-0005-0000-0000-0000A0320000}"/>
    <cellStyle name="Normal 6 2 3 3 3 2 2" xfId="30452" xr:uid="{00000000-0005-0000-0000-0000A1320000}"/>
    <cellStyle name="Normal 6 2 3 3 3 2 3" xfId="30453" xr:uid="{00000000-0005-0000-0000-0000A2320000}"/>
    <cellStyle name="Normal 6 2 3 3 3 2 4" xfId="30454" xr:uid="{00000000-0005-0000-0000-0000A3320000}"/>
    <cellStyle name="Normal 6 2 3 3 3 3" xfId="30455" xr:uid="{00000000-0005-0000-0000-0000A4320000}"/>
    <cellStyle name="Normal 6 2 3 3 3 4" xfId="30456" xr:uid="{00000000-0005-0000-0000-0000A5320000}"/>
    <cellStyle name="Normal 6 2 3 3 3 5" xfId="30457" xr:uid="{00000000-0005-0000-0000-0000A6320000}"/>
    <cellStyle name="Normal 6 2 3 3 4" xfId="30458" xr:uid="{00000000-0005-0000-0000-0000A7320000}"/>
    <cellStyle name="Normal 6 2 3 3 4 2" xfId="30459" xr:uid="{00000000-0005-0000-0000-0000A8320000}"/>
    <cellStyle name="Normal 6 2 3 3 4 3" xfId="30460" xr:uid="{00000000-0005-0000-0000-0000A9320000}"/>
    <cellStyle name="Normal 6 2 3 3 4 4" xfId="30461" xr:uid="{00000000-0005-0000-0000-0000AA320000}"/>
    <cellStyle name="Normal 6 2 3 3 5" xfId="30462" xr:uid="{00000000-0005-0000-0000-0000AB320000}"/>
    <cellStyle name="Normal 6 2 3 3 5 2" xfId="30463" xr:uid="{00000000-0005-0000-0000-0000AC320000}"/>
    <cellStyle name="Normal 6 2 3 3 5 3" xfId="30464" xr:uid="{00000000-0005-0000-0000-0000AD320000}"/>
    <cellStyle name="Normal 6 2 3 3 5 4" xfId="30465" xr:uid="{00000000-0005-0000-0000-0000AE320000}"/>
    <cellStyle name="Normal 6 2 3 3 6" xfId="30466" xr:uid="{00000000-0005-0000-0000-0000AF320000}"/>
    <cellStyle name="Normal 6 2 3 3 6 2" xfId="30467" xr:uid="{00000000-0005-0000-0000-0000B0320000}"/>
    <cellStyle name="Normal 6 2 3 3 6 3" xfId="30468" xr:uid="{00000000-0005-0000-0000-0000B1320000}"/>
    <cellStyle name="Normal 6 2 3 3 7" xfId="30469" xr:uid="{00000000-0005-0000-0000-0000B2320000}"/>
    <cellStyle name="Normal 6 2 3 3 8" xfId="30470" xr:uid="{00000000-0005-0000-0000-0000B3320000}"/>
    <cellStyle name="Normal 6 2 3 3 9" xfId="30471" xr:uid="{00000000-0005-0000-0000-0000B4320000}"/>
    <cellStyle name="Normal 6 2 3 4" xfId="30472" xr:uid="{00000000-0005-0000-0000-0000B5320000}"/>
    <cellStyle name="Normal 6 2 3 4 2" xfId="30473" xr:uid="{00000000-0005-0000-0000-0000B6320000}"/>
    <cellStyle name="Normal 6 2 3 4 2 2" xfId="30474" xr:uid="{00000000-0005-0000-0000-0000B7320000}"/>
    <cellStyle name="Normal 6 2 3 4 2 2 2" xfId="30475" xr:uid="{00000000-0005-0000-0000-0000B8320000}"/>
    <cellStyle name="Normal 6 2 3 4 2 2 3" xfId="30476" xr:uid="{00000000-0005-0000-0000-0000B9320000}"/>
    <cellStyle name="Normal 6 2 3 4 2 2 4" xfId="30477" xr:uid="{00000000-0005-0000-0000-0000BA320000}"/>
    <cellStyle name="Normal 6 2 3 4 2 3" xfId="30478" xr:uid="{00000000-0005-0000-0000-0000BB320000}"/>
    <cellStyle name="Normal 6 2 3 4 2 4" xfId="30479" xr:uid="{00000000-0005-0000-0000-0000BC320000}"/>
    <cellStyle name="Normal 6 2 3 4 2 5" xfId="30480" xr:uid="{00000000-0005-0000-0000-0000BD320000}"/>
    <cellStyle name="Normal 6 2 3 4 3" xfId="30481" xr:uid="{00000000-0005-0000-0000-0000BE320000}"/>
    <cellStyle name="Normal 6 2 3 4 3 2" xfId="30482" xr:uid="{00000000-0005-0000-0000-0000BF320000}"/>
    <cellStyle name="Normal 6 2 3 4 3 3" xfId="30483" xr:uid="{00000000-0005-0000-0000-0000C0320000}"/>
    <cellStyle name="Normal 6 2 3 4 3 4" xfId="30484" xr:uid="{00000000-0005-0000-0000-0000C1320000}"/>
    <cellStyle name="Normal 6 2 3 4 4" xfId="30485" xr:uid="{00000000-0005-0000-0000-0000C2320000}"/>
    <cellStyle name="Normal 6 2 3 4 5" xfId="30486" xr:uid="{00000000-0005-0000-0000-0000C3320000}"/>
    <cellStyle name="Normal 6 2 3 4 6" xfId="30487" xr:uid="{00000000-0005-0000-0000-0000C4320000}"/>
    <cellStyle name="Normal 6 2 3 5" xfId="30488" xr:uid="{00000000-0005-0000-0000-0000C5320000}"/>
    <cellStyle name="Normal 6 2 3 5 2" xfId="30489" xr:uid="{00000000-0005-0000-0000-0000C6320000}"/>
    <cellStyle name="Normal 6 2 3 5 2 2" xfId="30490" xr:uid="{00000000-0005-0000-0000-0000C7320000}"/>
    <cellStyle name="Normal 6 2 3 5 2 2 2" xfId="30491" xr:uid="{00000000-0005-0000-0000-0000C8320000}"/>
    <cellStyle name="Normal 6 2 3 5 2 2 3" xfId="30492" xr:uid="{00000000-0005-0000-0000-0000C9320000}"/>
    <cellStyle name="Normal 6 2 3 5 2 2 4" xfId="30493" xr:uid="{00000000-0005-0000-0000-0000CA320000}"/>
    <cellStyle name="Normal 6 2 3 5 2 3" xfId="30494" xr:uid="{00000000-0005-0000-0000-0000CB320000}"/>
    <cellStyle name="Normal 6 2 3 5 2 4" xfId="30495" xr:uid="{00000000-0005-0000-0000-0000CC320000}"/>
    <cellStyle name="Normal 6 2 3 5 2 5" xfId="30496" xr:uid="{00000000-0005-0000-0000-0000CD320000}"/>
    <cellStyle name="Normal 6 2 3 5 3" xfId="30497" xr:uid="{00000000-0005-0000-0000-0000CE320000}"/>
    <cellStyle name="Normal 6 2 3 5 3 2" xfId="30498" xr:uid="{00000000-0005-0000-0000-0000CF320000}"/>
    <cellStyle name="Normal 6 2 3 5 3 3" xfId="30499" xr:uid="{00000000-0005-0000-0000-0000D0320000}"/>
    <cellStyle name="Normal 6 2 3 5 3 4" xfId="30500" xr:uid="{00000000-0005-0000-0000-0000D1320000}"/>
    <cellStyle name="Normal 6 2 3 5 4" xfId="30501" xr:uid="{00000000-0005-0000-0000-0000D2320000}"/>
    <cellStyle name="Normal 6 2 3 5 5" xfId="30502" xr:uid="{00000000-0005-0000-0000-0000D3320000}"/>
    <cellStyle name="Normal 6 2 3 5 6" xfId="30503" xr:uid="{00000000-0005-0000-0000-0000D4320000}"/>
    <cellStyle name="Normal 6 2 3 6" xfId="30504" xr:uid="{00000000-0005-0000-0000-0000D5320000}"/>
    <cellStyle name="Normal 6 2 3 6 2" xfId="30505" xr:uid="{00000000-0005-0000-0000-0000D6320000}"/>
    <cellStyle name="Normal 6 2 3 6 2 2" xfId="30506" xr:uid="{00000000-0005-0000-0000-0000D7320000}"/>
    <cellStyle name="Normal 6 2 3 6 2 2 2" xfId="30507" xr:uid="{00000000-0005-0000-0000-0000D8320000}"/>
    <cellStyle name="Normal 6 2 3 6 2 2 3" xfId="30508" xr:uid="{00000000-0005-0000-0000-0000D9320000}"/>
    <cellStyle name="Normal 6 2 3 6 2 2 4" xfId="30509" xr:uid="{00000000-0005-0000-0000-0000DA320000}"/>
    <cellStyle name="Normal 6 2 3 6 2 3" xfId="30510" xr:uid="{00000000-0005-0000-0000-0000DB320000}"/>
    <cellStyle name="Normal 6 2 3 6 2 4" xfId="30511" xr:uid="{00000000-0005-0000-0000-0000DC320000}"/>
    <cellStyle name="Normal 6 2 3 6 2 5" xfId="30512" xr:uid="{00000000-0005-0000-0000-0000DD320000}"/>
    <cellStyle name="Normal 6 2 3 6 3" xfId="30513" xr:uid="{00000000-0005-0000-0000-0000DE320000}"/>
    <cellStyle name="Normal 6 2 3 6 3 2" xfId="30514" xr:uid="{00000000-0005-0000-0000-0000DF320000}"/>
    <cellStyle name="Normal 6 2 3 6 3 3" xfId="30515" xr:uid="{00000000-0005-0000-0000-0000E0320000}"/>
    <cellStyle name="Normal 6 2 3 6 3 4" xfId="30516" xr:uid="{00000000-0005-0000-0000-0000E1320000}"/>
    <cellStyle name="Normal 6 2 3 6 4" xfId="30517" xr:uid="{00000000-0005-0000-0000-0000E2320000}"/>
    <cellStyle name="Normal 6 2 3 6 5" xfId="30518" xr:uid="{00000000-0005-0000-0000-0000E3320000}"/>
    <cellStyle name="Normal 6 2 3 6 6" xfId="30519" xr:uid="{00000000-0005-0000-0000-0000E4320000}"/>
    <cellStyle name="Normal 6 2 3 7" xfId="30520" xr:uid="{00000000-0005-0000-0000-0000E5320000}"/>
    <cellStyle name="Normal 6 2 3 7 2" xfId="30521" xr:uid="{00000000-0005-0000-0000-0000E6320000}"/>
    <cellStyle name="Normal 6 2 3 7 2 2" xfId="30522" xr:uid="{00000000-0005-0000-0000-0000E7320000}"/>
    <cellStyle name="Normal 6 2 3 7 2 3" xfId="30523" xr:uid="{00000000-0005-0000-0000-0000E8320000}"/>
    <cellStyle name="Normal 6 2 3 7 2 4" xfId="30524" xr:uid="{00000000-0005-0000-0000-0000E9320000}"/>
    <cellStyle name="Normal 6 2 3 7 3" xfId="30525" xr:uid="{00000000-0005-0000-0000-0000EA320000}"/>
    <cellStyle name="Normal 6 2 3 7 4" xfId="30526" xr:uid="{00000000-0005-0000-0000-0000EB320000}"/>
    <cellStyle name="Normal 6 2 3 7 5" xfId="30527" xr:uid="{00000000-0005-0000-0000-0000EC320000}"/>
    <cellStyle name="Normal 6 2 3 8" xfId="30528" xr:uid="{00000000-0005-0000-0000-0000ED320000}"/>
    <cellStyle name="Normal 6 2 3 8 2" xfId="30529" xr:uid="{00000000-0005-0000-0000-0000EE320000}"/>
    <cellStyle name="Normal 6 2 3 8 3" xfId="30530" xr:uid="{00000000-0005-0000-0000-0000EF320000}"/>
    <cellStyle name="Normal 6 2 3 8 4" xfId="30531" xr:uid="{00000000-0005-0000-0000-0000F0320000}"/>
    <cellStyle name="Normal 6 2 3 9" xfId="30532" xr:uid="{00000000-0005-0000-0000-0000F1320000}"/>
    <cellStyle name="Normal 6 2 3 9 2" xfId="30533" xr:uid="{00000000-0005-0000-0000-0000F2320000}"/>
    <cellStyle name="Normal 6 2 3 9 3" xfId="30534" xr:uid="{00000000-0005-0000-0000-0000F3320000}"/>
    <cellStyle name="Normal 6 2 3 9 4" xfId="30535" xr:uid="{00000000-0005-0000-0000-0000F4320000}"/>
    <cellStyle name="Normal 6 2 30" xfId="1354" xr:uid="{00000000-0005-0000-0000-0000F5320000}"/>
    <cellStyle name="Normal 6 2 30 2" xfId="1355" xr:uid="{00000000-0005-0000-0000-0000F6320000}"/>
    <cellStyle name="Normal 6 2 31" xfId="1356" xr:uid="{00000000-0005-0000-0000-0000F7320000}"/>
    <cellStyle name="Normal 6 2 31 2" xfId="1357" xr:uid="{00000000-0005-0000-0000-0000F8320000}"/>
    <cellStyle name="Normal 6 2 32" xfId="1358" xr:uid="{00000000-0005-0000-0000-0000F9320000}"/>
    <cellStyle name="Normal 6 2 32 2" xfId="1359" xr:uid="{00000000-0005-0000-0000-0000FA320000}"/>
    <cellStyle name="Normal 6 2 33" xfId="1360" xr:uid="{00000000-0005-0000-0000-0000FB320000}"/>
    <cellStyle name="Normal 6 2 33 2" xfId="1361" xr:uid="{00000000-0005-0000-0000-0000FC320000}"/>
    <cellStyle name="Normal 6 2 34" xfId="1362" xr:uid="{00000000-0005-0000-0000-0000FD320000}"/>
    <cellStyle name="Normal 6 2 34 2" xfId="1363" xr:uid="{00000000-0005-0000-0000-0000FE320000}"/>
    <cellStyle name="Normal 6 2 35" xfId="1364" xr:uid="{00000000-0005-0000-0000-0000FF320000}"/>
    <cellStyle name="Normal 6 2 35 2" xfId="1365" xr:uid="{00000000-0005-0000-0000-000000330000}"/>
    <cellStyle name="Normal 6 2 36" xfId="1366" xr:uid="{00000000-0005-0000-0000-000001330000}"/>
    <cellStyle name="Normal 6 2 36 2" xfId="1367" xr:uid="{00000000-0005-0000-0000-000002330000}"/>
    <cellStyle name="Normal 6 2 37" xfId="1368" xr:uid="{00000000-0005-0000-0000-000003330000}"/>
    <cellStyle name="Normal 6 2 37 2" xfId="1369" xr:uid="{00000000-0005-0000-0000-000004330000}"/>
    <cellStyle name="Normal 6 2 38" xfId="1370" xr:uid="{00000000-0005-0000-0000-000005330000}"/>
    <cellStyle name="Normal 6 2 38 2" xfId="1371" xr:uid="{00000000-0005-0000-0000-000006330000}"/>
    <cellStyle name="Normal 6 2 39" xfId="1372" xr:uid="{00000000-0005-0000-0000-000007330000}"/>
    <cellStyle name="Normal 6 2 39 2" xfId="1373" xr:uid="{00000000-0005-0000-0000-000008330000}"/>
    <cellStyle name="Normal 6 2 4" xfId="1374" xr:uid="{00000000-0005-0000-0000-000009330000}"/>
    <cellStyle name="Normal 6 2 4 10" xfId="30536" xr:uid="{00000000-0005-0000-0000-00000A330000}"/>
    <cellStyle name="Normal 6 2 4 10 2" xfId="30537" xr:uid="{00000000-0005-0000-0000-00000B330000}"/>
    <cellStyle name="Normal 6 2 4 10 3" xfId="30538" xr:uid="{00000000-0005-0000-0000-00000C330000}"/>
    <cellStyle name="Normal 6 2 4 10 4" xfId="30539" xr:uid="{00000000-0005-0000-0000-00000D330000}"/>
    <cellStyle name="Normal 6 2 4 11" xfId="30540" xr:uid="{00000000-0005-0000-0000-00000E330000}"/>
    <cellStyle name="Normal 6 2 4 11 2" xfId="30541" xr:uid="{00000000-0005-0000-0000-00000F330000}"/>
    <cellStyle name="Normal 6 2 4 11 3" xfId="30542" xr:uid="{00000000-0005-0000-0000-000010330000}"/>
    <cellStyle name="Normal 6 2 4 12" xfId="30543" xr:uid="{00000000-0005-0000-0000-000011330000}"/>
    <cellStyle name="Normal 6 2 4 12 2" xfId="30544" xr:uid="{00000000-0005-0000-0000-000012330000}"/>
    <cellStyle name="Normal 6 2 4 13" xfId="30545" xr:uid="{00000000-0005-0000-0000-000013330000}"/>
    <cellStyle name="Normal 6 2 4 14" xfId="30546" xr:uid="{00000000-0005-0000-0000-000014330000}"/>
    <cellStyle name="Normal 6 2 4 2" xfId="1375" xr:uid="{00000000-0005-0000-0000-000015330000}"/>
    <cellStyle name="Normal 6 2 4 2 2" xfId="30547" xr:uid="{00000000-0005-0000-0000-000016330000}"/>
    <cellStyle name="Normal 6 2 4 2 2 2" xfId="30548" xr:uid="{00000000-0005-0000-0000-000017330000}"/>
    <cellStyle name="Normal 6 2 4 2 2 2 2" xfId="30549" xr:uid="{00000000-0005-0000-0000-000018330000}"/>
    <cellStyle name="Normal 6 2 4 2 2 2 2 2" xfId="30550" xr:uid="{00000000-0005-0000-0000-000019330000}"/>
    <cellStyle name="Normal 6 2 4 2 2 2 2 3" xfId="30551" xr:uid="{00000000-0005-0000-0000-00001A330000}"/>
    <cellStyle name="Normal 6 2 4 2 2 2 2 4" xfId="30552" xr:uid="{00000000-0005-0000-0000-00001B330000}"/>
    <cellStyle name="Normal 6 2 4 2 2 2 3" xfId="30553" xr:uid="{00000000-0005-0000-0000-00001C330000}"/>
    <cellStyle name="Normal 6 2 4 2 2 2 4" xfId="30554" xr:uid="{00000000-0005-0000-0000-00001D330000}"/>
    <cellStyle name="Normal 6 2 4 2 2 2 5" xfId="30555" xr:uid="{00000000-0005-0000-0000-00001E330000}"/>
    <cellStyle name="Normal 6 2 4 2 2 3" xfId="30556" xr:uid="{00000000-0005-0000-0000-00001F330000}"/>
    <cellStyle name="Normal 6 2 4 2 2 3 2" xfId="30557" xr:uid="{00000000-0005-0000-0000-000020330000}"/>
    <cellStyle name="Normal 6 2 4 2 2 3 3" xfId="30558" xr:uid="{00000000-0005-0000-0000-000021330000}"/>
    <cellStyle name="Normal 6 2 4 2 2 3 4" xfId="30559" xr:uid="{00000000-0005-0000-0000-000022330000}"/>
    <cellStyle name="Normal 6 2 4 2 2 4" xfId="30560" xr:uid="{00000000-0005-0000-0000-000023330000}"/>
    <cellStyle name="Normal 6 2 4 2 2 5" xfId="30561" xr:uid="{00000000-0005-0000-0000-000024330000}"/>
    <cellStyle name="Normal 6 2 4 2 2 6" xfId="30562" xr:uid="{00000000-0005-0000-0000-000025330000}"/>
    <cellStyle name="Normal 6 2 4 2 3" xfId="30563" xr:uid="{00000000-0005-0000-0000-000026330000}"/>
    <cellStyle name="Normal 6 2 4 2 3 2" xfId="30564" xr:uid="{00000000-0005-0000-0000-000027330000}"/>
    <cellStyle name="Normal 6 2 4 2 3 2 2" xfId="30565" xr:uid="{00000000-0005-0000-0000-000028330000}"/>
    <cellStyle name="Normal 6 2 4 2 3 2 3" xfId="30566" xr:uid="{00000000-0005-0000-0000-000029330000}"/>
    <cellStyle name="Normal 6 2 4 2 3 2 4" xfId="30567" xr:uid="{00000000-0005-0000-0000-00002A330000}"/>
    <cellStyle name="Normal 6 2 4 2 3 3" xfId="30568" xr:uid="{00000000-0005-0000-0000-00002B330000}"/>
    <cellStyle name="Normal 6 2 4 2 3 4" xfId="30569" xr:uid="{00000000-0005-0000-0000-00002C330000}"/>
    <cellStyle name="Normal 6 2 4 2 3 5" xfId="30570" xr:uid="{00000000-0005-0000-0000-00002D330000}"/>
    <cellStyle name="Normal 6 2 4 2 4" xfId="30571" xr:uid="{00000000-0005-0000-0000-00002E330000}"/>
    <cellStyle name="Normal 6 2 4 2 4 2" xfId="30572" xr:uid="{00000000-0005-0000-0000-00002F330000}"/>
    <cellStyle name="Normal 6 2 4 2 4 3" xfId="30573" xr:uid="{00000000-0005-0000-0000-000030330000}"/>
    <cellStyle name="Normal 6 2 4 2 4 4" xfId="30574" xr:uid="{00000000-0005-0000-0000-000031330000}"/>
    <cellStyle name="Normal 6 2 4 2 5" xfId="30575" xr:uid="{00000000-0005-0000-0000-000032330000}"/>
    <cellStyle name="Normal 6 2 4 2 5 2" xfId="30576" xr:uid="{00000000-0005-0000-0000-000033330000}"/>
    <cellStyle name="Normal 6 2 4 2 5 3" xfId="30577" xr:uid="{00000000-0005-0000-0000-000034330000}"/>
    <cellStyle name="Normal 6 2 4 2 5 4" xfId="30578" xr:uid="{00000000-0005-0000-0000-000035330000}"/>
    <cellStyle name="Normal 6 2 4 2 6" xfId="30579" xr:uid="{00000000-0005-0000-0000-000036330000}"/>
    <cellStyle name="Normal 6 2 4 2 6 2" xfId="30580" xr:uid="{00000000-0005-0000-0000-000037330000}"/>
    <cellStyle name="Normal 6 2 4 2 6 3" xfId="30581" xr:uid="{00000000-0005-0000-0000-000038330000}"/>
    <cellStyle name="Normal 6 2 4 2 7" xfId="30582" xr:uid="{00000000-0005-0000-0000-000039330000}"/>
    <cellStyle name="Normal 6 2 4 2 8" xfId="30583" xr:uid="{00000000-0005-0000-0000-00003A330000}"/>
    <cellStyle name="Normal 6 2 4 2 9" xfId="30584" xr:uid="{00000000-0005-0000-0000-00003B330000}"/>
    <cellStyle name="Normal 6 2 4 3" xfId="30585" xr:uid="{00000000-0005-0000-0000-00003C330000}"/>
    <cellStyle name="Normal 6 2 4 3 2" xfId="30586" xr:uid="{00000000-0005-0000-0000-00003D330000}"/>
    <cellStyle name="Normal 6 2 4 3 2 2" xfId="30587" xr:uid="{00000000-0005-0000-0000-00003E330000}"/>
    <cellStyle name="Normal 6 2 4 3 2 2 2" xfId="30588" xr:uid="{00000000-0005-0000-0000-00003F330000}"/>
    <cellStyle name="Normal 6 2 4 3 2 2 2 2" xfId="30589" xr:uid="{00000000-0005-0000-0000-000040330000}"/>
    <cellStyle name="Normal 6 2 4 3 2 2 2 3" xfId="30590" xr:uid="{00000000-0005-0000-0000-000041330000}"/>
    <cellStyle name="Normal 6 2 4 3 2 2 2 4" xfId="30591" xr:uid="{00000000-0005-0000-0000-000042330000}"/>
    <cellStyle name="Normal 6 2 4 3 2 2 3" xfId="30592" xr:uid="{00000000-0005-0000-0000-000043330000}"/>
    <cellStyle name="Normal 6 2 4 3 2 2 4" xfId="30593" xr:uid="{00000000-0005-0000-0000-000044330000}"/>
    <cellStyle name="Normal 6 2 4 3 2 2 5" xfId="30594" xr:uid="{00000000-0005-0000-0000-000045330000}"/>
    <cellStyle name="Normal 6 2 4 3 2 3" xfId="30595" xr:uid="{00000000-0005-0000-0000-000046330000}"/>
    <cellStyle name="Normal 6 2 4 3 2 3 2" xfId="30596" xr:uid="{00000000-0005-0000-0000-000047330000}"/>
    <cellStyle name="Normal 6 2 4 3 2 3 3" xfId="30597" xr:uid="{00000000-0005-0000-0000-000048330000}"/>
    <cellStyle name="Normal 6 2 4 3 2 3 4" xfId="30598" xr:uid="{00000000-0005-0000-0000-000049330000}"/>
    <cellStyle name="Normal 6 2 4 3 2 4" xfId="30599" xr:uid="{00000000-0005-0000-0000-00004A330000}"/>
    <cellStyle name="Normal 6 2 4 3 2 5" xfId="30600" xr:uid="{00000000-0005-0000-0000-00004B330000}"/>
    <cellStyle name="Normal 6 2 4 3 2 6" xfId="30601" xr:uid="{00000000-0005-0000-0000-00004C330000}"/>
    <cellStyle name="Normal 6 2 4 3 3" xfId="30602" xr:uid="{00000000-0005-0000-0000-00004D330000}"/>
    <cellStyle name="Normal 6 2 4 3 3 2" xfId="30603" xr:uid="{00000000-0005-0000-0000-00004E330000}"/>
    <cellStyle name="Normal 6 2 4 3 3 2 2" xfId="30604" xr:uid="{00000000-0005-0000-0000-00004F330000}"/>
    <cellStyle name="Normal 6 2 4 3 3 2 3" xfId="30605" xr:uid="{00000000-0005-0000-0000-000050330000}"/>
    <cellStyle name="Normal 6 2 4 3 3 2 4" xfId="30606" xr:uid="{00000000-0005-0000-0000-000051330000}"/>
    <cellStyle name="Normal 6 2 4 3 3 3" xfId="30607" xr:uid="{00000000-0005-0000-0000-000052330000}"/>
    <cellStyle name="Normal 6 2 4 3 3 4" xfId="30608" xr:uid="{00000000-0005-0000-0000-000053330000}"/>
    <cellStyle name="Normal 6 2 4 3 3 5" xfId="30609" xr:uid="{00000000-0005-0000-0000-000054330000}"/>
    <cellStyle name="Normal 6 2 4 3 4" xfId="30610" xr:uid="{00000000-0005-0000-0000-000055330000}"/>
    <cellStyle name="Normal 6 2 4 3 4 2" xfId="30611" xr:uid="{00000000-0005-0000-0000-000056330000}"/>
    <cellStyle name="Normal 6 2 4 3 4 3" xfId="30612" xr:uid="{00000000-0005-0000-0000-000057330000}"/>
    <cellStyle name="Normal 6 2 4 3 4 4" xfId="30613" xr:uid="{00000000-0005-0000-0000-000058330000}"/>
    <cellStyle name="Normal 6 2 4 3 5" xfId="30614" xr:uid="{00000000-0005-0000-0000-000059330000}"/>
    <cellStyle name="Normal 6 2 4 3 5 2" xfId="30615" xr:uid="{00000000-0005-0000-0000-00005A330000}"/>
    <cellStyle name="Normal 6 2 4 3 5 3" xfId="30616" xr:uid="{00000000-0005-0000-0000-00005B330000}"/>
    <cellStyle name="Normal 6 2 4 3 5 4" xfId="30617" xr:uid="{00000000-0005-0000-0000-00005C330000}"/>
    <cellStyle name="Normal 6 2 4 3 6" xfId="30618" xr:uid="{00000000-0005-0000-0000-00005D330000}"/>
    <cellStyle name="Normal 6 2 4 3 6 2" xfId="30619" xr:uid="{00000000-0005-0000-0000-00005E330000}"/>
    <cellStyle name="Normal 6 2 4 3 6 3" xfId="30620" xr:uid="{00000000-0005-0000-0000-00005F330000}"/>
    <cellStyle name="Normal 6 2 4 3 7" xfId="30621" xr:uid="{00000000-0005-0000-0000-000060330000}"/>
    <cellStyle name="Normal 6 2 4 3 8" xfId="30622" xr:uid="{00000000-0005-0000-0000-000061330000}"/>
    <cellStyle name="Normal 6 2 4 3 9" xfId="30623" xr:uid="{00000000-0005-0000-0000-000062330000}"/>
    <cellStyle name="Normal 6 2 4 4" xfId="30624" xr:uid="{00000000-0005-0000-0000-000063330000}"/>
    <cellStyle name="Normal 6 2 4 4 2" xfId="30625" xr:uid="{00000000-0005-0000-0000-000064330000}"/>
    <cellStyle name="Normal 6 2 4 4 2 2" xfId="30626" xr:uid="{00000000-0005-0000-0000-000065330000}"/>
    <cellStyle name="Normal 6 2 4 4 2 2 2" xfId="30627" xr:uid="{00000000-0005-0000-0000-000066330000}"/>
    <cellStyle name="Normal 6 2 4 4 2 2 3" xfId="30628" xr:uid="{00000000-0005-0000-0000-000067330000}"/>
    <cellStyle name="Normal 6 2 4 4 2 2 4" xfId="30629" xr:uid="{00000000-0005-0000-0000-000068330000}"/>
    <cellStyle name="Normal 6 2 4 4 2 3" xfId="30630" xr:uid="{00000000-0005-0000-0000-000069330000}"/>
    <cellStyle name="Normal 6 2 4 4 2 4" xfId="30631" xr:uid="{00000000-0005-0000-0000-00006A330000}"/>
    <cellStyle name="Normal 6 2 4 4 2 5" xfId="30632" xr:uid="{00000000-0005-0000-0000-00006B330000}"/>
    <cellStyle name="Normal 6 2 4 4 3" xfId="30633" xr:uid="{00000000-0005-0000-0000-00006C330000}"/>
    <cellStyle name="Normal 6 2 4 4 3 2" xfId="30634" xr:uid="{00000000-0005-0000-0000-00006D330000}"/>
    <cellStyle name="Normal 6 2 4 4 3 3" xfId="30635" xr:uid="{00000000-0005-0000-0000-00006E330000}"/>
    <cellStyle name="Normal 6 2 4 4 3 4" xfId="30636" xr:uid="{00000000-0005-0000-0000-00006F330000}"/>
    <cellStyle name="Normal 6 2 4 4 4" xfId="30637" xr:uid="{00000000-0005-0000-0000-000070330000}"/>
    <cellStyle name="Normal 6 2 4 4 5" xfId="30638" xr:uid="{00000000-0005-0000-0000-000071330000}"/>
    <cellStyle name="Normal 6 2 4 4 6" xfId="30639" xr:uid="{00000000-0005-0000-0000-000072330000}"/>
    <cellStyle name="Normal 6 2 4 5" xfId="30640" xr:uid="{00000000-0005-0000-0000-000073330000}"/>
    <cellStyle name="Normal 6 2 4 5 2" xfId="30641" xr:uid="{00000000-0005-0000-0000-000074330000}"/>
    <cellStyle name="Normal 6 2 4 5 2 2" xfId="30642" xr:uid="{00000000-0005-0000-0000-000075330000}"/>
    <cellStyle name="Normal 6 2 4 5 2 2 2" xfId="30643" xr:uid="{00000000-0005-0000-0000-000076330000}"/>
    <cellStyle name="Normal 6 2 4 5 2 2 3" xfId="30644" xr:uid="{00000000-0005-0000-0000-000077330000}"/>
    <cellStyle name="Normal 6 2 4 5 2 2 4" xfId="30645" xr:uid="{00000000-0005-0000-0000-000078330000}"/>
    <cellStyle name="Normal 6 2 4 5 2 3" xfId="30646" xr:uid="{00000000-0005-0000-0000-000079330000}"/>
    <cellStyle name="Normal 6 2 4 5 2 4" xfId="30647" xr:uid="{00000000-0005-0000-0000-00007A330000}"/>
    <cellStyle name="Normal 6 2 4 5 2 5" xfId="30648" xr:uid="{00000000-0005-0000-0000-00007B330000}"/>
    <cellStyle name="Normal 6 2 4 5 3" xfId="30649" xr:uid="{00000000-0005-0000-0000-00007C330000}"/>
    <cellStyle name="Normal 6 2 4 5 3 2" xfId="30650" xr:uid="{00000000-0005-0000-0000-00007D330000}"/>
    <cellStyle name="Normal 6 2 4 5 3 3" xfId="30651" xr:uid="{00000000-0005-0000-0000-00007E330000}"/>
    <cellStyle name="Normal 6 2 4 5 3 4" xfId="30652" xr:uid="{00000000-0005-0000-0000-00007F330000}"/>
    <cellStyle name="Normal 6 2 4 5 4" xfId="30653" xr:uid="{00000000-0005-0000-0000-000080330000}"/>
    <cellStyle name="Normal 6 2 4 5 5" xfId="30654" xr:uid="{00000000-0005-0000-0000-000081330000}"/>
    <cellStyle name="Normal 6 2 4 5 6" xfId="30655" xr:uid="{00000000-0005-0000-0000-000082330000}"/>
    <cellStyle name="Normal 6 2 4 6" xfId="30656" xr:uid="{00000000-0005-0000-0000-000083330000}"/>
    <cellStyle name="Normal 6 2 4 6 2" xfId="30657" xr:uid="{00000000-0005-0000-0000-000084330000}"/>
    <cellStyle name="Normal 6 2 4 6 2 2" xfId="30658" xr:uid="{00000000-0005-0000-0000-000085330000}"/>
    <cellStyle name="Normal 6 2 4 6 2 2 2" xfId="30659" xr:uid="{00000000-0005-0000-0000-000086330000}"/>
    <cellStyle name="Normal 6 2 4 6 2 2 3" xfId="30660" xr:uid="{00000000-0005-0000-0000-000087330000}"/>
    <cellStyle name="Normal 6 2 4 6 2 2 4" xfId="30661" xr:uid="{00000000-0005-0000-0000-000088330000}"/>
    <cellStyle name="Normal 6 2 4 6 2 3" xfId="30662" xr:uid="{00000000-0005-0000-0000-000089330000}"/>
    <cellStyle name="Normal 6 2 4 6 2 4" xfId="30663" xr:uid="{00000000-0005-0000-0000-00008A330000}"/>
    <cellStyle name="Normal 6 2 4 6 2 5" xfId="30664" xr:uid="{00000000-0005-0000-0000-00008B330000}"/>
    <cellStyle name="Normal 6 2 4 6 3" xfId="30665" xr:uid="{00000000-0005-0000-0000-00008C330000}"/>
    <cellStyle name="Normal 6 2 4 6 3 2" xfId="30666" xr:uid="{00000000-0005-0000-0000-00008D330000}"/>
    <cellStyle name="Normal 6 2 4 6 3 3" xfId="30667" xr:uid="{00000000-0005-0000-0000-00008E330000}"/>
    <cellStyle name="Normal 6 2 4 6 3 4" xfId="30668" xr:uid="{00000000-0005-0000-0000-00008F330000}"/>
    <cellStyle name="Normal 6 2 4 6 4" xfId="30669" xr:uid="{00000000-0005-0000-0000-000090330000}"/>
    <cellStyle name="Normal 6 2 4 6 5" xfId="30670" xr:uid="{00000000-0005-0000-0000-000091330000}"/>
    <cellStyle name="Normal 6 2 4 6 6" xfId="30671" xr:uid="{00000000-0005-0000-0000-000092330000}"/>
    <cellStyle name="Normal 6 2 4 7" xfId="30672" xr:uid="{00000000-0005-0000-0000-000093330000}"/>
    <cellStyle name="Normal 6 2 4 7 2" xfId="30673" xr:uid="{00000000-0005-0000-0000-000094330000}"/>
    <cellStyle name="Normal 6 2 4 7 2 2" xfId="30674" xr:uid="{00000000-0005-0000-0000-000095330000}"/>
    <cellStyle name="Normal 6 2 4 7 2 3" xfId="30675" xr:uid="{00000000-0005-0000-0000-000096330000}"/>
    <cellStyle name="Normal 6 2 4 7 2 4" xfId="30676" xr:uid="{00000000-0005-0000-0000-000097330000}"/>
    <cellStyle name="Normal 6 2 4 7 3" xfId="30677" xr:uid="{00000000-0005-0000-0000-000098330000}"/>
    <cellStyle name="Normal 6 2 4 7 4" xfId="30678" xr:uid="{00000000-0005-0000-0000-000099330000}"/>
    <cellStyle name="Normal 6 2 4 7 5" xfId="30679" xr:uid="{00000000-0005-0000-0000-00009A330000}"/>
    <cellStyle name="Normal 6 2 4 8" xfId="30680" xr:uid="{00000000-0005-0000-0000-00009B330000}"/>
    <cellStyle name="Normal 6 2 4 8 2" xfId="30681" xr:uid="{00000000-0005-0000-0000-00009C330000}"/>
    <cellStyle name="Normal 6 2 4 8 3" xfId="30682" xr:uid="{00000000-0005-0000-0000-00009D330000}"/>
    <cellStyle name="Normal 6 2 4 8 4" xfId="30683" xr:uid="{00000000-0005-0000-0000-00009E330000}"/>
    <cellStyle name="Normal 6 2 4 9" xfId="30684" xr:uid="{00000000-0005-0000-0000-00009F330000}"/>
    <cellStyle name="Normal 6 2 4 9 2" xfId="30685" xr:uid="{00000000-0005-0000-0000-0000A0330000}"/>
    <cellStyle name="Normal 6 2 4 9 3" xfId="30686" xr:uid="{00000000-0005-0000-0000-0000A1330000}"/>
    <cellStyle name="Normal 6 2 4 9 4" xfId="30687" xr:uid="{00000000-0005-0000-0000-0000A2330000}"/>
    <cellStyle name="Normal 6 2 40" xfId="1376" xr:uid="{00000000-0005-0000-0000-0000A3330000}"/>
    <cellStyle name="Normal 6 2 40 2" xfId="1377" xr:uid="{00000000-0005-0000-0000-0000A4330000}"/>
    <cellStyle name="Normal 6 2 41" xfId="1378" xr:uid="{00000000-0005-0000-0000-0000A5330000}"/>
    <cellStyle name="Normal 6 2 41 2" xfId="1379" xr:uid="{00000000-0005-0000-0000-0000A6330000}"/>
    <cellStyle name="Normal 6 2 42" xfId="1380" xr:uid="{00000000-0005-0000-0000-0000A7330000}"/>
    <cellStyle name="Normal 6 2 42 2" xfId="1381" xr:uid="{00000000-0005-0000-0000-0000A8330000}"/>
    <cellStyle name="Normal 6 2 43" xfId="1382" xr:uid="{00000000-0005-0000-0000-0000A9330000}"/>
    <cellStyle name="Normal 6 2 43 2" xfId="1383" xr:uid="{00000000-0005-0000-0000-0000AA330000}"/>
    <cellStyle name="Normal 6 2 44" xfId="1384" xr:uid="{00000000-0005-0000-0000-0000AB330000}"/>
    <cellStyle name="Normal 6 2 44 2" xfId="1385" xr:uid="{00000000-0005-0000-0000-0000AC330000}"/>
    <cellStyle name="Normal 6 2 45" xfId="1386" xr:uid="{00000000-0005-0000-0000-0000AD330000}"/>
    <cellStyle name="Normal 6 2 45 2" xfId="1387" xr:uid="{00000000-0005-0000-0000-0000AE330000}"/>
    <cellStyle name="Normal 6 2 46" xfId="1388" xr:uid="{00000000-0005-0000-0000-0000AF330000}"/>
    <cellStyle name="Normal 6 2 46 2" xfId="1389" xr:uid="{00000000-0005-0000-0000-0000B0330000}"/>
    <cellStyle name="Normal 6 2 5" xfId="1390" xr:uid="{00000000-0005-0000-0000-0000B1330000}"/>
    <cellStyle name="Normal 6 2 5 2" xfId="1391" xr:uid="{00000000-0005-0000-0000-0000B2330000}"/>
    <cellStyle name="Normal 6 2 5 2 2" xfId="30688" xr:uid="{00000000-0005-0000-0000-0000B3330000}"/>
    <cellStyle name="Normal 6 2 5 2 2 2" xfId="30689" xr:uid="{00000000-0005-0000-0000-0000B4330000}"/>
    <cellStyle name="Normal 6 2 5 2 2 2 2" xfId="30690" xr:uid="{00000000-0005-0000-0000-0000B5330000}"/>
    <cellStyle name="Normal 6 2 5 2 2 2 3" xfId="30691" xr:uid="{00000000-0005-0000-0000-0000B6330000}"/>
    <cellStyle name="Normal 6 2 5 2 2 2 4" xfId="30692" xr:uid="{00000000-0005-0000-0000-0000B7330000}"/>
    <cellStyle name="Normal 6 2 5 2 2 3" xfId="30693" xr:uid="{00000000-0005-0000-0000-0000B8330000}"/>
    <cellStyle name="Normal 6 2 5 2 2 4" xfId="30694" xr:uid="{00000000-0005-0000-0000-0000B9330000}"/>
    <cellStyle name="Normal 6 2 5 2 2 5" xfId="30695" xr:uid="{00000000-0005-0000-0000-0000BA330000}"/>
    <cellStyle name="Normal 6 2 5 2 3" xfId="30696" xr:uid="{00000000-0005-0000-0000-0000BB330000}"/>
    <cellStyle name="Normal 6 2 5 2 3 2" xfId="30697" xr:uid="{00000000-0005-0000-0000-0000BC330000}"/>
    <cellStyle name="Normal 6 2 5 2 3 3" xfId="30698" xr:uid="{00000000-0005-0000-0000-0000BD330000}"/>
    <cellStyle name="Normal 6 2 5 2 3 4" xfId="30699" xr:uid="{00000000-0005-0000-0000-0000BE330000}"/>
    <cellStyle name="Normal 6 2 5 2 4" xfId="30700" xr:uid="{00000000-0005-0000-0000-0000BF330000}"/>
    <cellStyle name="Normal 6 2 5 2 5" xfId="30701" xr:uid="{00000000-0005-0000-0000-0000C0330000}"/>
    <cellStyle name="Normal 6 2 5 2 6" xfId="30702" xr:uid="{00000000-0005-0000-0000-0000C1330000}"/>
    <cellStyle name="Normal 6 2 5 3" xfId="30703" xr:uid="{00000000-0005-0000-0000-0000C2330000}"/>
    <cellStyle name="Normal 6 2 5 3 2" xfId="30704" xr:uid="{00000000-0005-0000-0000-0000C3330000}"/>
    <cellStyle name="Normal 6 2 5 3 2 2" xfId="30705" xr:uid="{00000000-0005-0000-0000-0000C4330000}"/>
    <cellStyle name="Normal 6 2 5 3 2 3" xfId="30706" xr:uid="{00000000-0005-0000-0000-0000C5330000}"/>
    <cellStyle name="Normal 6 2 5 3 2 4" xfId="30707" xr:uid="{00000000-0005-0000-0000-0000C6330000}"/>
    <cellStyle name="Normal 6 2 5 3 3" xfId="30708" xr:uid="{00000000-0005-0000-0000-0000C7330000}"/>
    <cellStyle name="Normal 6 2 5 3 4" xfId="30709" xr:uid="{00000000-0005-0000-0000-0000C8330000}"/>
    <cellStyle name="Normal 6 2 5 3 5" xfId="30710" xr:uid="{00000000-0005-0000-0000-0000C9330000}"/>
    <cellStyle name="Normal 6 2 5 4" xfId="30711" xr:uid="{00000000-0005-0000-0000-0000CA330000}"/>
    <cellStyle name="Normal 6 2 5 4 2" xfId="30712" xr:uid="{00000000-0005-0000-0000-0000CB330000}"/>
    <cellStyle name="Normal 6 2 5 4 3" xfId="30713" xr:uid="{00000000-0005-0000-0000-0000CC330000}"/>
    <cellStyle name="Normal 6 2 5 4 4" xfId="30714" xr:uid="{00000000-0005-0000-0000-0000CD330000}"/>
    <cellStyle name="Normal 6 2 5 5" xfId="30715" xr:uid="{00000000-0005-0000-0000-0000CE330000}"/>
    <cellStyle name="Normal 6 2 5 5 2" xfId="30716" xr:uid="{00000000-0005-0000-0000-0000CF330000}"/>
    <cellStyle name="Normal 6 2 5 5 3" xfId="30717" xr:uid="{00000000-0005-0000-0000-0000D0330000}"/>
    <cellStyle name="Normal 6 2 5 5 4" xfId="30718" xr:uid="{00000000-0005-0000-0000-0000D1330000}"/>
    <cellStyle name="Normal 6 2 5 6" xfId="30719" xr:uid="{00000000-0005-0000-0000-0000D2330000}"/>
    <cellStyle name="Normal 6 2 5 6 2" xfId="30720" xr:uid="{00000000-0005-0000-0000-0000D3330000}"/>
    <cellStyle name="Normal 6 2 5 6 3" xfId="30721" xr:uid="{00000000-0005-0000-0000-0000D4330000}"/>
    <cellStyle name="Normal 6 2 5 7" xfId="30722" xr:uid="{00000000-0005-0000-0000-0000D5330000}"/>
    <cellStyle name="Normal 6 2 5 8" xfId="30723" xr:uid="{00000000-0005-0000-0000-0000D6330000}"/>
    <cellStyle name="Normal 6 2 5 9" xfId="30724" xr:uid="{00000000-0005-0000-0000-0000D7330000}"/>
    <cellStyle name="Normal 6 2 6" xfId="1392" xr:uid="{00000000-0005-0000-0000-0000D8330000}"/>
    <cellStyle name="Normal 6 2 6 2" xfId="1393" xr:uid="{00000000-0005-0000-0000-0000D9330000}"/>
    <cellStyle name="Normal 6 2 6 2 2" xfId="30725" xr:uid="{00000000-0005-0000-0000-0000DA330000}"/>
    <cellStyle name="Normal 6 2 6 2 2 2" xfId="30726" xr:uid="{00000000-0005-0000-0000-0000DB330000}"/>
    <cellStyle name="Normal 6 2 6 2 2 2 2" xfId="30727" xr:uid="{00000000-0005-0000-0000-0000DC330000}"/>
    <cellStyle name="Normal 6 2 6 2 2 2 3" xfId="30728" xr:uid="{00000000-0005-0000-0000-0000DD330000}"/>
    <cellStyle name="Normal 6 2 6 2 2 2 4" xfId="30729" xr:uid="{00000000-0005-0000-0000-0000DE330000}"/>
    <cellStyle name="Normal 6 2 6 2 2 3" xfId="30730" xr:uid="{00000000-0005-0000-0000-0000DF330000}"/>
    <cellStyle name="Normal 6 2 6 2 2 4" xfId="30731" xr:uid="{00000000-0005-0000-0000-0000E0330000}"/>
    <cellStyle name="Normal 6 2 6 2 2 5" xfId="30732" xr:uid="{00000000-0005-0000-0000-0000E1330000}"/>
    <cellStyle name="Normal 6 2 6 2 3" xfId="30733" xr:uid="{00000000-0005-0000-0000-0000E2330000}"/>
    <cellStyle name="Normal 6 2 6 2 3 2" xfId="30734" xr:uid="{00000000-0005-0000-0000-0000E3330000}"/>
    <cellStyle name="Normal 6 2 6 2 3 3" xfId="30735" xr:uid="{00000000-0005-0000-0000-0000E4330000}"/>
    <cellStyle name="Normal 6 2 6 2 3 4" xfId="30736" xr:uid="{00000000-0005-0000-0000-0000E5330000}"/>
    <cellStyle name="Normal 6 2 6 2 4" xfId="30737" xr:uid="{00000000-0005-0000-0000-0000E6330000}"/>
    <cellStyle name="Normal 6 2 6 2 5" xfId="30738" xr:uid="{00000000-0005-0000-0000-0000E7330000}"/>
    <cellStyle name="Normal 6 2 6 2 6" xfId="30739" xr:uid="{00000000-0005-0000-0000-0000E8330000}"/>
    <cellStyle name="Normal 6 2 6 3" xfId="30740" xr:uid="{00000000-0005-0000-0000-0000E9330000}"/>
    <cellStyle name="Normal 6 2 6 3 2" xfId="30741" xr:uid="{00000000-0005-0000-0000-0000EA330000}"/>
    <cellStyle name="Normal 6 2 6 3 2 2" xfId="30742" xr:uid="{00000000-0005-0000-0000-0000EB330000}"/>
    <cellStyle name="Normal 6 2 6 3 2 3" xfId="30743" xr:uid="{00000000-0005-0000-0000-0000EC330000}"/>
    <cellStyle name="Normal 6 2 6 3 2 4" xfId="30744" xr:uid="{00000000-0005-0000-0000-0000ED330000}"/>
    <cellStyle name="Normal 6 2 6 3 3" xfId="30745" xr:uid="{00000000-0005-0000-0000-0000EE330000}"/>
    <cellStyle name="Normal 6 2 6 3 4" xfId="30746" xr:uid="{00000000-0005-0000-0000-0000EF330000}"/>
    <cellStyle name="Normal 6 2 6 3 5" xfId="30747" xr:uid="{00000000-0005-0000-0000-0000F0330000}"/>
    <cellStyle name="Normal 6 2 6 4" xfId="30748" xr:uid="{00000000-0005-0000-0000-0000F1330000}"/>
    <cellStyle name="Normal 6 2 6 4 2" xfId="30749" xr:uid="{00000000-0005-0000-0000-0000F2330000}"/>
    <cellStyle name="Normal 6 2 6 4 3" xfId="30750" xr:uid="{00000000-0005-0000-0000-0000F3330000}"/>
    <cellStyle name="Normal 6 2 6 4 4" xfId="30751" xr:uid="{00000000-0005-0000-0000-0000F4330000}"/>
    <cellStyle name="Normal 6 2 6 5" xfId="30752" xr:uid="{00000000-0005-0000-0000-0000F5330000}"/>
    <cellStyle name="Normal 6 2 6 5 2" xfId="30753" xr:uid="{00000000-0005-0000-0000-0000F6330000}"/>
    <cellStyle name="Normal 6 2 6 5 3" xfId="30754" xr:uid="{00000000-0005-0000-0000-0000F7330000}"/>
    <cellStyle name="Normal 6 2 6 5 4" xfId="30755" xr:uid="{00000000-0005-0000-0000-0000F8330000}"/>
    <cellStyle name="Normal 6 2 6 6" xfId="30756" xr:uid="{00000000-0005-0000-0000-0000F9330000}"/>
    <cellStyle name="Normal 6 2 6 6 2" xfId="30757" xr:uid="{00000000-0005-0000-0000-0000FA330000}"/>
    <cellStyle name="Normal 6 2 6 6 3" xfId="30758" xr:uid="{00000000-0005-0000-0000-0000FB330000}"/>
    <cellStyle name="Normal 6 2 6 7" xfId="30759" xr:uid="{00000000-0005-0000-0000-0000FC330000}"/>
    <cellStyle name="Normal 6 2 6 8" xfId="30760" xr:uid="{00000000-0005-0000-0000-0000FD330000}"/>
    <cellStyle name="Normal 6 2 6 9" xfId="30761" xr:uid="{00000000-0005-0000-0000-0000FE330000}"/>
    <cellStyle name="Normal 6 2 7" xfId="1394" xr:uid="{00000000-0005-0000-0000-0000FF330000}"/>
    <cellStyle name="Normal 6 2 7 2" xfId="1395" xr:uid="{00000000-0005-0000-0000-000000340000}"/>
    <cellStyle name="Normal 6 2 7 2 2" xfId="30762" xr:uid="{00000000-0005-0000-0000-000001340000}"/>
    <cellStyle name="Normal 6 2 7 2 2 2" xfId="30763" xr:uid="{00000000-0005-0000-0000-000002340000}"/>
    <cellStyle name="Normal 6 2 7 2 2 3" xfId="30764" xr:uid="{00000000-0005-0000-0000-000003340000}"/>
    <cellStyle name="Normal 6 2 7 2 2 4" xfId="30765" xr:uid="{00000000-0005-0000-0000-000004340000}"/>
    <cellStyle name="Normal 6 2 7 2 3" xfId="30766" xr:uid="{00000000-0005-0000-0000-000005340000}"/>
    <cellStyle name="Normal 6 2 7 2 4" xfId="30767" xr:uid="{00000000-0005-0000-0000-000006340000}"/>
    <cellStyle name="Normal 6 2 7 2 5" xfId="30768" xr:uid="{00000000-0005-0000-0000-000007340000}"/>
    <cellStyle name="Normal 6 2 7 3" xfId="30769" xr:uid="{00000000-0005-0000-0000-000008340000}"/>
    <cellStyle name="Normal 6 2 7 3 2" xfId="30770" xr:uid="{00000000-0005-0000-0000-000009340000}"/>
    <cellStyle name="Normal 6 2 7 3 3" xfId="30771" xr:uid="{00000000-0005-0000-0000-00000A340000}"/>
    <cellStyle name="Normal 6 2 7 3 4" xfId="30772" xr:uid="{00000000-0005-0000-0000-00000B340000}"/>
    <cellStyle name="Normal 6 2 7 4" xfId="30773" xr:uid="{00000000-0005-0000-0000-00000C340000}"/>
    <cellStyle name="Normal 6 2 7 5" xfId="30774" xr:uid="{00000000-0005-0000-0000-00000D340000}"/>
    <cellStyle name="Normal 6 2 7 6" xfId="30775" xr:uid="{00000000-0005-0000-0000-00000E340000}"/>
    <cellStyle name="Normal 6 2 8" xfId="1396" xr:uid="{00000000-0005-0000-0000-00000F340000}"/>
    <cellStyle name="Normal 6 2 8 2" xfId="1397" xr:uid="{00000000-0005-0000-0000-000010340000}"/>
    <cellStyle name="Normal 6 2 8 2 2" xfId="30776" xr:uid="{00000000-0005-0000-0000-000011340000}"/>
    <cellStyle name="Normal 6 2 8 2 2 2" xfId="30777" xr:uid="{00000000-0005-0000-0000-000012340000}"/>
    <cellStyle name="Normal 6 2 8 2 2 3" xfId="30778" xr:uid="{00000000-0005-0000-0000-000013340000}"/>
    <cellStyle name="Normal 6 2 8 2 2 4" xfId="30779" xr:uid="{00000000-0005-0000-0000-000014340000}"/>
    <cellStyle name="Normal 6 2 8 2 3" xfId="30780" xr:uid="{00000000-0005-0000-0000-000015340000}"/>
    <cellStyle name="Normal 6 2 8 2 4" xfId="30781" xr:uid="{00000000-0005-0000-0000-000016340000}"/>
    <cellStyle name="Normal 6 2 8 2 5" xfId="30782" xr:uid="{00000000-0005-0000-0000-000017340000}"/>
    <cellStyle name="Normal 6 2 8 3" xfId="30783" xr:uid="{00000000-0005-0000-0000-000018340000}"/>
    <cellStyle name="Normal 6 2 8 3 2" xfId="30784" xr:uid="{00000000-0005-0000-0000-000019340000}"/>
    <cellStyle name="Normal 6 2 8 3 3" xfId="30785" xr:uid="{00000000-0005-0000-0000-00001A340000}"/>
    <cellStyle name="Normal 6 2 8 3 4" xfId="30786" xr:uid="{00000000-0005-0000-0000-00001B340000}"/>
    <cellStyle name="Normal 6 2 8 4" xfId="30787" xr:uid="{00000000-0005-0000-0000-00001C340000}"/>
    <cellStyle name="Normal 6 2 8 5" xfId="30788" xr:uid="{00000000-0005-0000-0000-00001D340000}"/>
    <cellStyle name="Normal 6 2 8 6" xfId="30789" xr:uid="{00000000-0005-0000-0000-00001E340000}"/>
    <cellStyle name="Normal 6 2 9" xfId="1398" xr:uid="{00000000-0005-0000-0000-00001F340000}"/>
    <cellStyle name="Normal 6 2 9 2" xfId="1399" xr:uid="{00000000-0005-0000-0000-000020340000}"/>
    <cellStyle name="Normal 6 2 9 2 2" xfId="30790" xr:uid="{00000000-0005-0000-0000-000021340000}"/>
    <cellStyle name="Normal 6 2 9 2 2 2" xfId="30791" xr:uid="{00000000-0005-0000-0000-000022340000}"/>
    <cellStyle name="Normal 6 2 9 2 2 3" xfId="30792" xr:uid="{00000000-0005-0000-0000-000023340000}"/>
    <cellStyle name="Normal 6 2 9 2 2 4" xfId="30793" xr:uid="{00000000-0005-0000-0000-000024340000}"/>
    <cellStyle name="Normal 6 2 9 2 3" xfId="30794" xr:uid="{00000000-0005-0000-0000-000025340000}"/>
    <cellStyle name="Normal 6 2 9 2 4" xfId="30795" xr:uid="{00000000-0005-0000-0000-000026340000}"/>
    <cellStyle name="Normal 6 2 9 2 5" xfId="30796" xr:uid="{00000000-0005-0000-0000-000027340000}"/>
    <cellStyle name="Normal 6 2 9 3" xfId="30797" xr:uid="{00000000-0005-0000-0000-000028340000}"/>
    <cellStyle name="Normal 6 2 9 3 2" xfId="30798" xr:uid="{00000000-0005-0000-0000-000029340000}"/>
    <cellStyle name="Normal 6 2 9 3 3" xfId="30799" xr:uid="{00000000-0005-0000-0000-00002A340000}"/>
    <cellStyle name="Normal 6 2 9 3 4" xfId="30800" xr:uid="{00000000-0005-0000-0000-00002B340000}"/>
    <cellStyle name="Normal 6 2 9 4" xfId="30801" xr:uid="{00000000-0005-0000-0000-00002C340000}"/>
    <cellStyle name="Normal 6 2 9 5" xfId="30802" xr:uid="{00000000-0005-0000-0000-00002D340000}"/>
    <cellStyle name="Normal 6 2 9 6" xfId="30803" xr:uid="{00000000-0005-0000-0000-00002E340000}"/>
    <cellStyle name="Normal 6 20" xfId="1400" xr:uid="{00000000-0005-0000-0000-00002F340000}"/>
    <cellStyle name="Normal 6 21" xfId="1401" xr:uid="{00000000-0005-0000-0000-000030340000}"/>
    <cellStyle name="Normal 6 22" xfId="1402" xr:uid="{00000000-0005-0000-0000-000031340000}"/>
    <cellStyle name="Normal 6 23" xfId="1403" xr:uid="{00000000-0005-0000-0000-000032340000}"/>
    <cellStyle name="Normal 6 24" xfId="1404" xr:uid="{00000000-0005-0000-0000-000033340000}"/>
    <cellStyle name="Normal 6 25" xfId="1405" xr:uid="{00000000-0005-0000-0000-000034340000}"/>
    <cellStyle name="Normal 6 26" xfId="1406" xr:uid="{00000000-0005-0000-0000-000035340000}"/>
    <cellStyle name="Normal 6 27" xfId="1407" xr:uid="{00000000-0005-0000-0000-000036340000}"/>
    <cellStyle name="Normal 6 28" xfId="1408" xr:uid="{00000000-0005-0000-0000-000037340000}"/>
    <cellStyle name="Normal 6 29" xfId="1409" xr:uid="{00000000-0005-0000-0000-000038340000}"/>
    <cellStyle name="Normal 6 3" xfId="1410" xr:uid="{00000000-0005-0000-0000-000039340000}"/>
    <cellStyle name="Normal 6 3 10" xfId="30804" xr:uid="{00000000-0005-0000-0000-00003A340000}"/>
    <cellStyle name="Normal 6 3 10 2" xfId="30805" xr:uid="{00000000-0005-0000-0000-00003B340000}"/>
    <cellStyle name="Normal 6 3 10 3" xfId="30806" xr:uid="{00000000-0005-0000-0000-00003C340000}"/>
    <cellStyle name="Normal 6 3 10 4" xfId="30807" xr:uid="{00000000-0005-0000-0000-00003D340000}"/>
    <cellStyle name="Normal 6 3 11" xfId="30808" xr:uid="{00000000-0005-0000-0000-00003E340000}"/>
    <cellStyle name="Normal 6 3 11 2" xfId="30809" xr:uid="{00000000-0005-0000-0000-00003F340000}"/>
    <cellStyle name="Normal 6 3 11 3" xfId="30810" xr:uid="{00000000-0005-0000-0000-000040340000}"/>
    <cellStyle name="Normal 6 3 11 4" xfId="30811" xr:uid="{00000000-0005-0000-0000-000041340000}"/>
    <cellStyle name="Normal 6 3 12" xfId="30812" xr:uid="{00000000-0005-0000-0000-000042340000}"/>
    <cellStyle name="Normal 6 3 12 2" xfId="30813" xr:uid="{00000000-0005-0000-0000-000043340000}"/>
    <cellStyle name="Normal 6 3 12 3" xfId="30814" xr:uid="{00000000-0005-0000-0000-000044340000}"/>
    <cellStyle name="Normal 6 3 12 4" xfId="30815" xr:uid="{00000000-0005-0000-0000-000045340000}"/>
    <cellStyle name="Normal 6 3 13" xfId="30816" xr:uid="{00000000-0005-0000-0000-000046340000}"/>
    <cellStyle name="Normal 6 3 13 2" xfId="30817" xr:uid="{00000000-0005-0000-0000-000047340000}"/>
    <cellStyle name="Normal 6 3 13 3" xfId="30818" xr:uid="{00000000-0005-0000-0000-000048340000}"/>
    <cellStyle name="Normal 6 3 14" xfId="30819" xr:uid="{00000000-0005-0000-0000-000049340000}"/>
    <cellStyle name="Normal 6 3 14 2" xfId="30820" xr:uid="{00000000-0005-0000-0000-00004A340000}"/>
    <cellStyle name="Normal 6 3 15" xfId="30821" xr:uid="{00000000-0005-0000-0000-00004B340000}"/>
    <cellStyle name="Normal 6 3 16" xfId="30822" xr:uid="{00000000-0005-0000-0000-00004C340000}"/>
    <cellStyle name="Normal 6 3 2" xfId="1411" xr:uid="{00000000-0005-0000-0000-00004D340000}"/>
    <cellStyle name="Normal 6 3 2 10" xfId="30823" xr:uid="{00000000-0005-0000-0000-00004E340000}"/>
    <cellStyle name="Normal 6 3 2 10 2" xfId="30824" xr:uid="{00000000-0005-0000-0000-00004F340000}"/>
    <cellStyle name="Normal 6 3 2 10 3" xfId="30825" xr:uid="{00000000-0005-0000-0000-000050340000}"/>
    <cellStyle name="Normal 6 3 2 10 4" xfId="30826" xr:uid="{00000000-0005-0000-0000-000051340000}"/>
    <cellStyle name="Normal 6 3 2 11" xfId="30827" xr:uid="{00000000-0005-0000-0000-000052340000}"/>
    <cellStyle name="Normal 6 3 2 11 2" xfId="30828" xr:uid="{00000000-0005-0000-0000-000053340000}"/>
    <cellStyle name="Normal 6 3 2 11 3" xfId="30829" xr:uid="{00000000-0005-0000-0000-000054340000}"/>
    <cellStyle name="Normal 6 3 2 12" xfId="30830" xr:uid="{00000000-0005-0000-0000-000055340000}"/>
    <cellStyle name="Normal 6 3 2 12 2" xfId="30831" xr:uid="{00000000-0005-0000-0000-000056340000}"/>
    <cellStyle name="Normal 6 3 2 13" xfId="30832" xr:uid="{00000000-0005-0000-0000-000057340000}"/>
    <cellStyle name="Normal 6 3 2 14" xfId="30833" xr:uid="{00000000-0005-0000-0000-000058340000}"/>
    <cellStyle name="Normal 6 3 2 2" xfId="30834" xr:uid="{00000000-0005-0000-0000-000059340000}"/>
    <cellStyle name="Normal 6 3 2 2 2" xfId="30835" xr:uid="{00000000-0005-0000-0000-00005A340000}"/>
    <cellStyle name="Normal 6 3 2 2 2 2" xfId="30836" xr:uid="{00000000-0005-0000-0000-00005B340000}"/>
    <cellStyle name="Normal 6 3 2 2 2 2 2" xfId="30837" xr:uid="{00000000-0005-0000-0000-00005C340000}"/>
    <cellStyle name="Normal 6 3 2 2 2 2 2 2" xfId="30838" xr:uid="{00000000-0005-0000-0000-00005D340000}"/>
    <cellStyle name="Normal 6 3 2 2 2 2 2 3" xfId="30839" xr:uid="{00000000-0005-0000-0000-00005E340000}"/>
    <cellStyle name="Normal 6 3 2 2 2 2 2 4" xfId="30840" xr:uid="{00000000-0005-0000-0000-00005F340000}"/>
    <cellStyle name="Normal 6 3 2 2 2 2 3" xfId="30841" xr:uid="{00000000-0005-0000-0000-000060340000}"/>
    <cellStyle name="Normal 6 3 2 2 2 2 4" xfId="30842" xr:uid="{00000000-0005-0000-0000-000061340000}"/>
    <cellStyle name="Normal 6 3 2 2 2 2 5" xfId="30843" xr:uid="{00000000-0005-0000-0000-000062340000}"/>
    <cellStyle name="Normal 6 3 2 2 2 3" xfId="30844" xr:uid="{00000000-0005-0000-0000-000063340000}"/>
    <cellStyle name="Normal 6 3 2 2 2 3 2" xfId="30845" xr:uid="{00000000-0005-0000-0000-000064340000}"/>
    <cellStyle name="Normal 6 3 2 2 2 3 3" xfId="30846" xr:uid="{00000000-0005-0000-0000-000065340000}"/>
    <cellStyle name="Normal 6 3 2 2 2 3 4" xfId="30847" xr:uid="{00000000-0005-0000-0000-000066340000}"/>
    <cellStyle name="Normal 6 3 2 2 2 4" xfId="30848" xr:uid="{00000000-0005-0000-0000-000067340000}"/>
    <cellStyle name="Normal 6 3 2 2 2 5" xfId="30849" xr:uid="{00000000-0005-0000-0000-000068340000}"/>
    <cellStyle name="Normal 6 3 2 2 2 6" xfId="30850" xr:uid="{00000000-0005-0000-0000-000069340000}"/>
    <cellStyle name="Normal 6 3 2 2 3" xfId="30851" xr:uid="{00000000-0005-0000-0000-00006A340000}"/>
    <cellStyle name="Normal 6 3 2 2 3 2" xfId="30852" xr:uid="{00000000-0005-0000-0000-00006B340000}"/>
    <cellStyle name="Normal 6 3 2 2 3 2 2" xfId="30853" xr:uid="{00000000-0005-0000-0000-00006C340000}"/>
    <cellStyle name="Normal 6 3 2 2 3 2 3" xfId="30854" xr:uid="{00000000-0005-0000-0000-00006D340000}"/>
    <cellStyle name="Normal 6 3 2 2 3 2 4" xfId="30855" xr:uid="{00000000-0005-0000-0000-00006E340000}"/>
    <cellStyle name="Normal 6 3 2 2 3 3" xfId="30856" xr:uid="{00000000-0005-0000-0000-00006F340000}"/>
    <cellStyle name="Normal 6 3 2 2 3 4" xfId="30857" xr:uid="{00000000-0005-0000-0000-000070340000}"/>
    <cellStyle name="Normal 6 3 2 2 3 5" xfId="30858" xr:uid="{00000000-0005-0000-0000-000071340000}"/>
    <cellStyle name="Normal 6 3 2 2 4" xfId="30859" xr:uid="{00000000-0005-0000-0000-000072340000}"/>
    <cellStyle name="Normal 6 3 2 2 4 2" xfId="30860" xr:uid="{00000000-0005-0000-0000-000073340000}"/>
    <cellStyle name="Normal 6 3 2 2 4 3" xfId="30861" xr:uid="{00000000-0005-0000-0000-000074340000}"/>
    <cellStyle name="Normal 6 3 2 2 4 4" xfId="30862" xr:uid="{00000000-0005-0000-0000-000075340000}"/>
    <cellStyle name="Normal 6 3 2 2 5" xfId="30863" xr:uid="{00000000-0005-0000-0000-000076340000}"/>
    <cellStyle name="Normal 6 3 2 2 5 2" xfId="30864" xr:uid="{00000000-0005-0000-0000-000077340000}"/>
    <cellStyle name="Normal 6 3 2 2 5 3" xfId="30865" xr:uid="{00000000-0005-0000-0000-000078340000}"/>
    <cellStyle name="Normal 6 3 2 2 5 4" xfId="30866" xr:uid="{00000000-0005-0000-0000-000079340000}"/>
    <cellStyle name="Normal 6 3 2 2 6" xfId="30867" xr:uid="{00000000-0005-0000-0000-00007A340000}"/>
    <cellStyle name="Normal 6 3 2 2 6 2" xfId="30868" xr:uid="{00000000-0005-0000-0000-00007B340000}"/>
    <cellStyle name="Normal 6 3 2 2 6 3" xfId="30869" xr:uid="{00000000-0005-0000-0000-00007C340000}"/>
    <cellStyle name="Normal 6 3 2 2 7" xfId="30870" xr:uid="{00000000-0005-0000-0000-00007D340000}"/>
    <cellStyle name="Normal 6 3 2 2 8" xfId="30871" xr:uid="{00000000-0005-0000-0000-00007E340000}"/>
    <cellStyle name="Normal 6 3 2 2 9" xfId="30872" xr:uid="{00000000-0005-0000-0000-00007F340000}"/>
    <cellStyle name="Normal 6 3 2 3" xfId="30873" xr:uid="{00000000-0005-0000-0000-000080340000}"/>
    <cellStyle name="Normal 6 3 2 3 2" xfId="30874" xr:uid="{00000000-0005-0000-0000-000081340000}"/>
    <cellStyle name="Normal 6 3 2 3 2 2" xfId="30875" xr:uid="{00000000-0005-0000-0000-000082340000}"/>
    <cellStyle name="Normal 6 3 2 3 2 2 2" xfId="30876" xr:uid="{00000000-0005-0000-0000-000083340000}"/>
    <cellStyle name="Normal 6 3 2 3 2 2 2 2" xfId="30877" xr:uid="{00000000-0005-0000-0000-000084340000}"/>
    <cellStyle name="Normal 6 3 2 3 2 2 2 3" xfId="30878" xr:uid="{00000000-0005-0000-0000-000085340000}"/>
    <cellStyle name="Normal 6 3 2 3 2 2 2 4" xfId="30879" xr:uid="{00000000-0005-0000-0000-000086340000}"/>
    <cellStyle name="Normal 6 3 2 3 2 2 3" xfId="30880" xr:uid="{00000000-0005-0000-0000-000087340000}"/>
    <cellStyle name="Normal 6 3 2 3 2 2 4" xfId="30881" xr:uid="{00000000-0005-0000-0000-000088340000}"/>
    <cellStyle name="Normal 6 3 2 3 2 2 5" xfId="30882" xr:uid="{00000000-0005-0000-0000-000089340000}"/>
    <cellStyle name="Normal 6 3 2 3 2 3" xfId="30883" xr:uid="{00000000-0005-0000-0000-00008A340000}"/>
    <cellStyle name="Normal 6 3 2 3 2 3 2" xfId="30884" xr:uid="{00000000-0005-0000-0000-00008B340000}"/>
    <cellStyle name="Normal 6 3 2 3 2 3 3" xfId="30885" xr:uid="{00000000-0005-0000-0000-00008C340000}"/>
    <cellStyle name="Normal 6 3 2 3 2 3 4" xfId="30886" xr:uid="{00000000-0005-0000-0000-00008D340000}"/>
    <cellStyle name="Normal 6 3 2 3 2 4" xfId="30887" xr:uid="{00000000-0005-0000-0000-00008E340000}"/>
    <cellStyle name="Normal 6 3 2 3 2 5" xfId="30888" xr:uid="{00000000-0005-0000-0000-00008F340000}"/>
    <cellStyle name="Normal 6 3 2 3 2 6" xfId="30889" xr:uid="{00000000-0005-0000-0000-000090340000}"/>
    <cellStyle name="Normal 6 3 2 3 3" xfId="30890" xr:uid="{00000000-0005-0000-0000-000091340000}"/>
    <cellStyle name="Normal 6 3 2 3 3 2" xfId="30891" xr:uid="{00000000-0005-0000-0000-000092340000}"/>
    <cellStyle name="Normal 6 3 2 3 3 2 2" xfId="30892" xr:uid="{00000000-0005-0000-0000-000093340000}"/>
    <cellStyle name="Normal 6 3 2 3 3 2 3" xfId="30893" xr:uid="{00000000-0005-0000-0000-000094340000}"/>
    <cellStyle name="Normal 6 3 2 3 3 2 4" xfId="30894" xr:uid="{00000000-0005-0000-0000-000095340000}"/>
    <cellStyle name="Normal 6 3 2 3 3 3" xfId="30895" xr:uid="{00000000-0005-0000-0000-000096340000}"/>
    <cellStyle name="Normal 6 3 2 3 3 4" xfId="30896" xr:uid="{00000000-0005-0000-0000-000097340000}"/>
    <cellStyle name="Normal 6 3 2 3 3 5" xfId="30897" xr:uid="{00000000-0005-0000-0000-000098340000}"/>
    <cellStyle name="Normal 6 3 2 3 4" xfId="30898" xr:uid="{00000000-0005-0000-0000-000099340000}"/>
    <cellStyle name="Normal 6 3 2 3 4 2" xfId="30899" xr:uid="{00000000-0005-0000-0000-00009A340000}"/>
    <cellStyle name="Normal 6 3 2 3 4 3" xfId="30900" xr:uid="{00000000-0005-0000-0000-00009B340000}"/>
    <cellStyle name="Normal 6 3 2 3 4 4" xfId="30901" xr:uid="{00000000-0005-0000-0000-00009C340000}"/>
    <cellStyle name="Normal 6 3 2 3 5" xfId="30902" xr:uid="{00000000-0005-0000-0000-00009D340000}"/>
    <cellStyle name="Normal 6 3 2 3 5 2" xfId="30903" xr:uid="{00000000-0005-0000-0000-00009E340000}"/>
    <cellStyle name="Normal 6 3 2 3 5 3" xfId="30904" xr:uid="{00000000-0005-0000-0000-00009F340000}"/>
    <cellStyle name="Normal 6 3 2 3 5 4" xfId="30905" xr:uid="{00000000-0005-0000-0000-0000A0340000}"/>
    <cellStyle name="Normal 6 3 2 3 6" xfId="30906" xr:uid="{00000000-0005-0000-0000-0000A1340000}"/>
    <cellStyle name="Normal 6 3 2 3 6 2" xfId="30907" xr:uid="{00000000-0005-0000-0000-0000A2340000}"/>
    <cellStyle name="Normal 6 3 2 3 6 3" xfId="30908" xr:uid="{00000000-0005-0000-0000-0000A3340000}"/>
    <cellStyle name="Normal 6 3 2 3 7" xfId="30909" xr:uid="{00000000-0005-0000-0000-0000A4340000}"/>
    <cellStyle name="Normal 6 3 2 3 8" xfId="30910" xr:uid="{00000000-0005-0000-0000-0000A5340000}"/>
    <cellStyle name="Normal 6 3 2 3 9" xfId="30911" xr:uid="{00000000-0005-0000-0000-0000A6340000}"/>
    <cellStyle name="Normal 6 3 2 4" xfId="30912" xr:uid="{00000000-0005-0000-0000-0000A7340000}"/>
    <cellStyle name="Normal 6 3 2 4 2" xfId="30913" xr:uid="{00000000-0005-0000-0000-0000A8340000}"/>
    <cellStyle name="Normal 6 3 2 4 2 2" xfId="30914" xr:uid="{00000000-0005-0000-0000-0000A9340000}"/>
    <cellStyle name="Normal 6 3 2 4 2 2 2" xfId="30915" xr:uid="{00000000-0005-0000-0000-0000AA340000}"/>
    <cellStyle name="Normal 6 3 2 4 2 2 3" xfId="30916" xr:uid="{00000000-0005-0000-0000-0000AB340000}"/>
    <cellStyle name="Normal 6 3 2 4 2 2 4" xfId="30917" xr:uid="{00000000-0005-0000-0000-0000AC340000}"/>
    <cellStyle name="Normal 6 3 2 4 2 3" xfId="30918" xr:uid="{00000000-0005-0000-0000-0000AD340000}"/>
    <cellStyle name="Normal 6 3 2 4 2 4" xfId="30919" xr:uid="{00000000-0005-0000-0000-0000AE340000}"/>
    <cellStyle name="Normal 6 3 2 4 2 5" xfId="30920" xr:uid="{00000000-0005-0000-0000-0000AF340000}"/>
    <cellStyle name="Normal 6 3 2 4 3" xfId="30921" xr:uid="{00000000-0005-0000-0000-0000B0340000}"/>
    <cellStyle name="Normal 6 3 2 4 3 2" xfId="30922" xr:uid="{00000000-0005-0000-0000-0000B1340000}"/>
    <cellStyle name="Normal 6 3 2 4 3 3" xfId="30923" xr:uid="{00000000-0005-0000-0000-0000B2340000}"/>
    <cellStyle name="Normal 6 3 2 4 3 4" xfId="30924" xr:uid="{00000000-0005-0000-0000-0000B3340000}"/>
    <cellStyle name="Normal 6 3 2 4 4" xfId="30925" xr:uid="{00000000-0005-0000-0000-0000B4340000}"/>
    <cellStyle name="Normal 6 3 2 4 5" xfId="30926" xr:uid="{00000000-0005-0000-0000-0000B5340000}"/>
    <cellStyle name="Normal 6 3 2 4 6" xfId="30927" xr:uid="{00000000-0005-0000-0000-0000B6340000}"/>
    <cellStyle name="Normal 6 3 2 5" xfId="30928" xr:uid="{00000000-0005-0000-0000-0000B7340000}"/>
    <cellStyle name="Normal 6 3 2 5 2" xfId="30929" xr:uid="{00000000-0005-0000-0000-0000B8340000}"/>
    <cellStyle name="Normal 6 3 2 5 2 2" xfId="30930" xr:uid="{00000000-0005-0000-0000-0000B9340000}"/>
    <cellStyle name="Normal 6 3 2 5 2 2 2" xfId="30931" xr:uid="{00000000-0005-0000-0000-0000BA340000}"/>
    <cellStyle name="Normal 6 3 2 5 2 2 3" xfId="30932" xr:uid="{00000000-0005-0000-0000-0000BB340000}"/>
    <cellStyle name="Normal 6 3 2 5 2 2 4" xfId="30933" xr:uid="{00000000-0005-0000-0000-0000BC340000}"/>
    <cellStyle name="Normal 6 3 2 5 2 3" xfId="30934" xr:uid="{00000000-0005-0000-0000-0000BD340000}"/>
    <cellStyle name="Normal 6 3 2 5 2 4" xfId="30935" xr:uid="{00000000-0005-0000-0000-0000BE340000}"/>
    <cellStyle name="Normal 6 3 2 5 2 5" xfId="30936" xr:uid="{00000000-0005-0000-0000-0000BF340000}"/>
    <cellStyle name="Normal 6 3 2 5 3" xfId="30937" xr:uid="{00000000-0005-0000-0000-0000C0340000}"/>
    <cellStyle name="Normal 6 3 2 5 3 2" xfId="30938" xr:uid="{00000000-0005-0000-0000-0000C1340000}"/>
    <cellStyle name="Normal 6 3 2 5 3 3" xfId="30939" xr:uid="{00000000-0005-0000-0000-0000C2340000}"/>
    <cellStyle name="Normal 6 3 2 5 3 4" xfId="30940" xr:uid="{00000000-0005-0000-0000-0000C3340000}"/>
    <cellStyle name="Normal 6 3 2 5 4" xfId="30941" xr:uid="{00000000-0005-0000-0000-0000C4340000}"/>
    <cellStyle name="Normal 6 3 2 5 5" xfId="30942" xr:uid="{00000000-0005-0000-0000-0000C5340000}"/>
    <cellStyle name="Normal 6 3 2 5 6" xfId="30943" xr:uid="{00000000-0005-0000-0000-0000C6340000}"/>
    <cellStyle name="Normal 6 3 2 6" xfId="30944" xr:uid="{00000000-0005-0000-0000-0000C7340000}"/>
    <cellStyle name="Normal 6 3 2 6 2" xfId="30945" xr:uid="{00000000-0005-0000-0000-0000C8340000}"/>
    <cellStyle name="Normal 6 3 2 6 2 2" xfId="30946" xr:uid="{00000000-0005-0000-0000-0000C9340000}"/>
    <cellStyle name="Normal 6 3 2 6 2 2 2" xfId="30947" xr:uid="{00000000-0005-0000-0000-0000CA340000}"/>
    <cellStyle name="Normal 6 3 2 6 2 2 3" xfId="30948" xr:uid="{00000000-0005-0000-0000-0000CB340000}"/>
    <cellStyle name="Normal 6 3 2 6 2 2 4" xfId="30949" xr:uid="{00000000-0005-0000-0000-0000CC340000}"/>
    <cellStyle name="Normal 6 3 2 6 2 3" xfId="30950" xr:uid="{00000000-0005-0000-0000-0000CD340000}"/>
    <cellStyle name="Normal 6 3 2 6 2 4" xfId="30951" xr:uid="{00000000-0005-0000-0000-0000CE340000}"/>
    <cellStyle name="Normal 6 3 2 6 2 5" xfId="30952" xr:uid="{00000000-0005-0000-0000-0000CF340000}"/>
    <cellStyle name="Normal 6 3 2 6 3" xfId="30953" xr:uid="{00000000-0005-0000-0000-0000D0340000}"/>
    <cellStyle name="Normal 6 3 2 6 3 2" xfId="30954" xr:uid="{00000000-0005-0000-0000-0000D1340000}"/>
    <cellStyle name="Normal 6 3 2 6 3 3" xfId="30955" xr:uid="{00000000-0005-0000-0000-0000D2340000}"/>
    <cellStyle name="Normal 6 3 2 6 3 4" xfId="30956" xr:uid="{00000000-0005-0000-0000-0000D3340000}"/>
    <cellStyle name="Normal 6 3 2 6 4" xfId="30957" xr:uid="{00000000-0005-0000-0000-0000D4340000}"/>
    <cellStyle name="Normal 6 3 2 6 5" xfId="30958" xr:uid="{00000000-0005-0000-0000-0000D5340000}"/>
    <cellStyle name="Normal 6 3 2 6 6" xfId="30959" xr:uid="{00000000-0005-0000-0000-0000D6340000}"/>
    <cellStyle name="Normal 6 3 2 7" xfId="30960" xr:uid="{00000000-0005-0000-0000-0000D7340000}"/>
    <cellStyle name="Normal 6 3 2 7 2" xfId="30961" xr:uid="{00000000-0005-0000-0000-0000D8340000}"/>
    <cellStyle name="Normal 6 3 2 7 2 2" xfId="30962" xr:uid="{00000000-0005-0000-0000-0000D9340000}"/>
    <cellStyle name="Normal 6 3 2 7 2 3" xfId="30963" xr:uid="{00000000-0005-0000-0000-0000DA340000}"/>
    <cellStyle name="Normal 6 3 2 7 2 4" xfId="30964" xr:uid="{00000000-0005-0000-0000-0000DB340000}"/>
    <cellStyle name="Normal 6 3 2 7 3" xfId="30965" xr:uid="{00000000-0005-0000-0000-0000DC340000}"/>
    <cellStyle name="Normal 6 3 2 7 4" xfId="30966" xr:uid="{00000000-0005-0000-0000-0000DD340000}"/>
    <cellStyle name="Normal 6 3 2 7 5" xfId="30967" xr:uid="{00000000-0005-0000-0000-0000DE340000}"/>
    <cellStyle name="Normal 6 3 2 8" xfId="30968" xr:uid="{00000000-0005-0000-0000-0000DF340000}"/>
    <cellStyle name="Normal 6 3 2 8 2" xfId="30969" xr:uid="{00000000-0005-0000-0000-0000E0340000}"/>
    <cellStyle name="Normal 6 3 2 8 3" xfId="30970" xr:uid="{00000000-0005-0000-0000-0000E1340000}"/>
    <cellStyle name="Normal 6 3 2 8 4" xfId="30971" xr:uid="{00000000-0005-0000-0000-0000E2340000}"/>
    <cellStyle name="Normal 6 3 2 9" xfId="30972" xr:uid="{00000000-0005-0000-0000-0000E3340000}"/>
    <cellStyle name="Normal 6 3 2 9 2" xfId="30973" xr:uid="{00000000-0005-0000-0000-0000E4340000}"/>
    <cellStyle name="Normal 6 3 2 9 3" xfId="30974" xr:uid="{00000000-0005-0000-0000-0000E5340000}"/>
    <cellStyle name="Normal 6 3 2 9 4" xfId="30975" xr:uid="{00000000-0005-0000-0000-0000E6340000}"/>
    <cellStyle name="Normal 6 3 3" xfId="30976" xr:uid="{00000000-0005-0000-0000-0000E7340000}"/>
    <cellStyle name="Normal 6 3 3 10" xfId="30977" xr:uid="{00000000-0005-0000-0000-0000E8340000}"/>
    <cellStyle name="Normal 6 3 3 10 2" xfId="30978" xr:uid="{00000000-0005-0000-0000-0000E9340000}"/>
    <cellStyle name="Normal 6 3 3 10 3" xfId="30979" xr:uid="{00000000-0005-0000-0000-0000EA340000}"/>
    <cellStyle name="Normal 6 3 3 10 4" xfId="30980" xr:uid="{00000000-0005-0000-0000-0000EB340000}"/>
    <cellStyle name="Normal 6 3 3 11" xfId="30981" xr:uid="{00000000-0005-0000-0000-0000EC340000}"/>
    <cellStyle name="Normal 6 3 3 11 2" xfId="30982" xr:uid="{00000000-0005-0000-0000-0000ED340000}"/>
    <cellStyle name="Normal 6 3 3 11 3" xfId="30983" xr:uid="{00000000-0005-0000-0000-0000EE340000}"/>
    <cellStyle name="Normal 6 3 3 12" xfId="30984" xr:uid="{00000000-0005-0000-0000-0000EF340000}"/>
    <cellStyle name="Normal 6 3 3 12 2" xfId="30985" xr:uid="{00000000-0005-0000-0000-0000F0340000}"/>
    <cellStyle name="Normal 6 3 3 13" xfId="30986" xr:uid="{00000000-0005-0000-0000-0000F1340000}"/>
    <cellStyle name="Normal 6 3 3 14" xfId="30987" xr:uid="{00000000-0005-0000-0000-0000F2340000}"/>
    <cellStyle name="Normal 6 3 3 2" xfId="30988" xr:uid="{00000000-0005-0000-0000-0000F3340000}"/>
    <cellStyle name="Normal 6 3 3 2 2" xfId="30989" xr:uid="{00000000-0005-0000-0000-0000F4340000}"/>
    <cellStyle name="Normal 6 3 3 2 2 2" xfId="30990" xr:uid="{00000000-0005-0000-0000-0000F5340000}"/>
    <cellStyle name="Normal 6 3 3 2 2 2 2" xfId="30991" xr:uid="{00000000-0005-0000-0000-0000F6340000}"/>
    <cellStyle name="Normal 6 3 3 2 2 2 2 2" xfId="30992" xr:uid="{00000000-0005-0000-0000-0000F7340000}"/>
    <cellStyle name="Normal 6 3 3 2 2 2 2 3" xfId="30993" xr:uid="{00000000-0005-0000-0000-0000F8340000}"/>
    <cellStyle name="Normal 6 3 3 2 2 2 2 4" xfId="30994" xr:uid="{00000000-0005-0000-0000-0000F9340000}"/>
    <cellStyle name="Normal 6 3 3 2 2 2 3" xfId="30995" xr:uid="{00000000-0005-0000-0000-0000FA340000}"/>
    <cellStyle name="Normal 6 3 3 2 2 2 4" xfId="30996" xr:uid="{00000000-0005-0000-0000-0000FB340000}"/>
    <cellStyle name="Normal 6 3 3 2 2 2 5" xfId="30997" xr:uid="{00000000-0005-0000-0000-0000FC340000}"/>
    <cellStyle name="Normal 6 3 3 2 2 3" xfId="30998" xr:uid="{00000000-0005-0000-0000-0000FD340000}"/>
    <cellStyle name="Normal 6 3 3 2 2 3 2" xfId="30999" xr:uid="{00000000-0005-0000-0000-0000FE340000}"/>
    <cellStyle name="Normal 6 3 3 2 2 3 3" xfId="31000" xr:uid="{00000000-0005-0000-0000-0000FF340000}"/>
    <cellStyle name="Normal 6 3 3 2 2 3 4" xfId="31001" xr:uid="{00000000-0005-0000-0000-000000350000}"/>
    <cellStyle name="Normal 6 3 3 2 2 4" xfId="31002" xr:uid="{00000000-0005-0000-0000-000001350000}"/>
    <cellStyle name="Normal 6 3 3 2 2 5" xfId="31003" xr:uid="{00000000-0005-0000-0000-000002350000}"/>
    <cellStyle name="Normal 6 3 3 2 2 6" xfId="31004" xr:uid="{00000000-0005-0000-0000-000003350000}"/>
    <cellStyle name="Normal 6 3 3 2 3" xfId="31005" xr:uid="{00000000-0005-0000-0000-000004350000}"/>
    <cellStyle name="Normal 6 3 3 2 3 2" xfId="31006" xr:uid="{00000000-0005-0000-0000-000005350000}"/>
    <cellStyle name="Normal 6 3 3 2 3 2 2" xfId="31007" xr:uid="{00000000-0005-0000-0000-000006350000}"/>
    <cellStyle name="Normal 6 3 3 2 3 2 3" xfId="31008" xr:uid="{00000000-0005-0000-0000-000007350000}"/>
    <cellStyle name="Normal 6 3 3 2 3 2 4" xfId="31009" xr:uid="{00000000-0005-0000-0000-000008350000}"/>
    <cellStyle name="Normal 6 3 3 2 3 3" xfId="31010" xr:uid="{00000000-0005-0000-0000-000009350000}"/>
    <cellStyle name="Normal 6 3 3 2 3 4" xfId="31011" xr:uid="{00000000-0005-0000-0000-00000A350000}"/>
    <cellStyle name="Normal 6 3 3 2 3 5" xfId="31012" xr:uid="{00000000-0005-0000-0000-00000B350000}"/>
    <cellStyle name="Normal 6 3 3 2 4" xfId="31013" xr:uid="{00000000-0005-0000-0000-00000C350000}"/>
    <cellStyle name="Normal 6 3 3 2 4 2" xfId="31014" xr:uid="{00000000-0005-0000-0000-00000D350000}"/>
    <cellStyle name="Normal 6 3 3 2 4 3" xfId="31015" xr:uid="{00000000-0005-0000-0000-00000E350000}"/>
    <cellStyle name="Normal 6 3 3 2 4 4" xfId="31016" xr:uid="{00000000-0005-0000-0000-00000F350000}"/>
    <cellStyle name="Normal 6 3 3 2 5" xfId="31017" xr:uid="{00000000-0005-0000-0000-000010350000}"/>
    <cellStyle name="Normal 6 3 3 2 5 2" xfId="31018" xr:uid="{00000000-0005-0000-0000-000011350000}"/>
    <cellStyle name="Normal 6 3 3 2 5 3" xfId="31019" xr:uid="{00000000-0005-0000-0000-000012350000}"/>
    <cellStyle name="Normal 6 3 3 2 5 4" xfId="31020" xr:uid="{00000000-0005-0000-0000-000013350000}"/>
    <cellStyle name="Normal 6 3 3 2 6" xfId="31021" xr:uid="{00000000-0005-0000-0000-000014350000}"/>
    <cellStyle name="Normal 6 3 3 2 6 2" xfId="31022" xr:uid="{00000000-0005-0000-0000-000015350000}"/>
    <cellStyle name="Normal 6 3 3 2 6 3" xfId="31023" xr:uid="{00000000-0005-0000-0000-000016350000}"/>
    <cellStyle name="Normal 6 3 3 2 7" xfId="31024" xr:uid="{00000000-0005-0000-0000-000017350000}"/>
    <cellStyle name="Normal 6 3 3 2 8" xfId="31025" xr:uid="{00000000-0005-0000-0000-000018350000}"/>
    <cellStyle name="Normal 6 3 3 2 9" xfId="31026" xr:uid="{00000000-0005-0000-0000-000019350000}"/>
    <cellStyle name="Normal 6 3 3 3" xfId="31027" xr:uid="{00000000-0005-0000-0000-00001A350000}"/>
    <cellStyle name="Normal 6 3 3 3 2" xfId="31028" xr:uid="{00000000-0005-0000-0000-00001B350000}"/>
    <cellStyle name="Normal 6 3 3 3 2 2" xfId="31029" xr:uid="{00000000-0005-0000-0000-00001C350000}"/>
    <cellStyle name="Normal 6 3 3 3 2 2 2" xfId="31030" xr:uid="{00000000-0005-0000-0000-00001D350000}"/>
    <cellStyle name="Normal 6 3 3 3 2 2 2 2" xfId="31031" xr:uid="{00000000-0005-0000-0000-00001E350000}"/>
    <cellStyle name="Normal 6 3 3 3 2 2 2 3" xfId="31032" xr:uid="{00000000-0005-0000-0000-00001F350000}"/>
    <cellStyle name="Normal 6 3 3 3 2 2 2 4" xfId="31033" xr:uid="{00000000-0005-0000-0000-000020350000}"/>
    <cellStyle name="Normal 6 3 3 3 2 2 3" xfId="31034" xr:uid="{00000000-0005-0000-0000-000021350000}"/>
    <cellStyle name="Normal 6 3 3 3 2 2 4" xfId="31035" xr:uid="{00000000-0005-0000-0000-000022350000}"/>
    <cellStyle name="Normal 6 3 3 3 2 2 5" xfId="31036" xr:uid="{00000000-0005-0000-0000-000023350000}"/>
    <cellStyle name="Normal 6 3 3 3 2 3" xfId="31037" xr:uid="{00000000-0005-0000-0000-000024350000}"/>
    <cellStyle name="Normal 6 3 3 3 2 3 2" xfId="31038" xr:uid="{00000000-0005-0000-0000-000025350000}"/>
    <cellStyle name="Normal 6 3 3 3 2 3 3" xfId="31039" xr:uid="{00000000-0005-0000-0000-000026350000}"/>
    <cellStyle name="Normal 6 3 3 3 2 3 4" xfId="31040" xr:uid="{00000000-0005-0000-0000-000027350000}"/>
    <cellStyle name="Normal 6 3 3 3 2 4" xfId="31041" xr:uid="{00000000-0005-0000-0000-000028350000}"/>
    <cellStyle name="Normal 6 3 3 3 2 5" xfId="31042" xr:uid="{00000000-0005-0000-0000-000029350000}"/>
    <cellStyle name="Normal 6 3 3 3 2 6" xfId="31043" xr:uid="{00000000-0005-0000-0000-00002A350000}"/>
    <cellStyle name="Normal 6 3 3 3 3" xfId="31044" xr:uid="{00000000-0005-0000-0000-00002B350000}"/>
    <cellStyle name="Normal 6 3 3 3 3 2" xfId="31045" xr:uid="{00000000-0005-0000-0000-00002C350000}"/>
    <cellStyle name="Normal 6 3 3 3 3 2 2" xfId="31046" xr:uid="{00000000-0005-0000-0000-00002D350000}"/>
    <cellStyle name="Normal 6 3 3 3 3 2 3" xfId="31047" xr:uid="{00000000-0005-0000-0000-00002E350000}"/>
    <cellStyle name="Normal 6 3 3 3 3 2 4" xfId="31048" xr:uid="{00000000-0005-0000-0000-00002F350000}"/>
    <cellStyle name="Normal 6 3 3 3 3 3" xfId="31049" xr:uid="{00000000-0005-0000-0000-000030350000}"/>
    <cellStyle name="Normal 6 3 3 3 3 4" xfId="31050" xr:uid="{00000000-0005-0000-0000-000031350000}"/>
    <cellStyle name="Normal 6 3 3 3 3 5" xfId="31051" xr:uid="{00000000-0005-0000-0000-000032350000}"/>
    <cellStyle name="Normal 6 3 3 3 4" xfId="31052" xr:uid="{00000000-0005-0000-0000-000033350000}"/>
    <cellStyle name="Normal 6 3 3 3 4 2" xfId="31053" xr:uid="{00000000-0005-0000-0000-000034350000}"/>
    <cellStyle name="Normal 6 3 3 3 4 3" xfId="31054" xr:uid="{00000000-0005-0000-0000-000035350000}"/>
    <cellStyle name="Normal 6 3 3 3 4 4" xfId="31055" xr:uid="{00000000-0005-0000-0000-000036350000}"/>
    <cellStyle name="Normal 6 3 3 3 5" xfId="31056" xr:uid="{00000000-0005-0000-0000-000037350000}"/>
    <cellStyle name="Normal 6 3 3 3 5 2" xfId="31057" xr:uid="{00000000-0005-0000-0000-000038350000}"/>
    <cellStyle name="Normal 6 3 3 3 5 3" xfId="31058" xr:uid="{00000000-0005-0000-0000-000039350000}"/>
    <cellStyle name="Normal 6 3 3 3 5 4" xfId="31059" xr:uid="{00000000-0005-0000-0000-00003A350000}"/>
    <cellStyle name="Normal 6 3 3 3 6" xfId="31060" xr:uid="{00000000-0005-0000-0000-00003B350000}"/>
    <cellStyle name="Normal 6 3 3 3 6 2" xfId="31061" xr:uid="{00000000-0005-0000-0000-00003C350000}"/>
    <cellStyle name="Normal 6 3 3 3 6 3" xfId="31062" xr:uid="{00000000-0005-0000-0000-00003D350000}"/>
    <cellStyle name="Normal 6 3 3 3 7" xfId="31063" xr:uid="{00000000-0005-0000-0000-00003E350000}"/>
    <cellStyle name="Normal 6 3 3 3 8" xfId="31064" xr:uid="{00000000-0005-0000-0000-00003F350000}"/>
    <cellStyle name="Normal 6 3 3 3 9" xfId="31065" xr:uid="{00000000-0005-0000-0000-000040350000}"/>
    <cellStyle name="Normal 6 3 3 4" xfId="31066" xr:uid="{00000000-0005-0000-0000-000041350000}"/>
    <cellStyle name="Normal 6 3 3 4 2" xfId="31067" xr:uid="{00000000-0005-0000-0000-000042350000}"/>
    <cellStyle name="Normal 6 3 3 4 2 2" xfId="31068" xr:uid="{00000000-0005-0000-0000-000043350000}"/>
    <cellStyle name="Normal 6 3 3 4 2 2 2" xfId="31069" xr:uid="{00000000-0005-0000-0000-000044350000}"/>
    <cellStyle name="Normal 6 3 3 4 2 2 3" xfId="31070" xr:uid="{00000000-0005-0000-0000-000045350000}"/>
    <cellStyle name="Normal 6 3 3 4 2 2 4" xfId="31071" xr:uid="{00000000-0005-0000-0000-000046350000}"/>
    <cellStyle name="Normal 6 3 3 4 2 3" xfId="31072" xr:uid="{00000000-0005-0000-0000-000047350000}"/>
    <cellStyle name="Normal 6 3 3 4 2 4" xfId="31073" xr:uid="{00000000-0005-0000-0000-000048350000}"/>
    <cellStyle name="Normal 6 3 3 4 2 5" xfId="31074" xr:uid="{00000000-0005-0000-0000-000049350000}"/>
    <cellStyle name="Normal 6 3 3 4 3" xfId="31075" xr:uid="{00000000-0005-0000-0000-00004A350000}"/>
    <cellStyle name="Normal 6 3 3 4 3 2" xfId="31076" xr:uid="{00000000-0005-0000-0000-00004B350000}"/>
    <cellStyle name="Normal 6 3 3 4 3 3" xfId="31077" xr:uid="{00000000-0005-0000-0000-00004C350000}"/>
    <cellStyle name="Normal 6 3 3 4 3 4" xfId="31078" xr:uid="{00000000-0005-0000-0000-00004D350000}"/>
    <cellStyle name="Normal 6 3 3 4 4" xfId="31079" xr:uid="{00000000-0005-0000-0000-00004E350000}"/>
    <cellStyle name="Normal 6 3 3 4 5" xfId="31080" xr:uid="{00000000-0005-0000-0000-00004F350000}"/>
    <cellStyle name="Normal 6 3 3 4 6" xfId="31081" xr:uid="{00000000-0005-0000-0000-000050350000}"/>
    <cellStyle name="Normal 6 3 3 5" xfId="31082" xr:uid="{00000000-0005-0000-0000-000051350000}"/>
    <cellStyle name="Normal 6 3 3 5 2" xfId="31083" xr:uid="{00000000-0005-0000-0000-000052350000}"/>
    <cellStyle name="Normal 6 3 3 5 2 2" xfId="31084" xr:uid="{00000000-0005-0000-0000-000053350000}"/>
    <cellStyle name="Normal 6 3 3 5 2 2 2" xfId="31085" xr:uid="{00000000-0005-0000-0000-000054350000}"/>
    <cellStyle name="Normal 6 3 3 5 2 2 3" xfId="31086" xr:uid="{00000000-0005-0000-0000-000055350000}"/>
    <cellStyle name="Normal 6 3 3 5 2 2 4" xfId="31087" xr:uid="{00000000-0005-0000-0000-000056350000}"/>
    <cellStyle name="Normal 6 3 3 5 2 3" xfId="31088" xr:uid="{00000000-0005-0000-0000-000057350000}"/>
    <cellStyle name="Normal 6 3 3 5 2 4" xfId="31089" xr:uid="{00000000-0005-0000-0000-000058350000}"/>
    <cellStyle name="Normal 6 3 3 5 2 5" xfId="31090" xr:uid="{00000000-0005-0000-0000-000059350000}"/>
    <cellStyle name="Normal 6 3 3 5 3" xfId="31091" xr:uid="{00000000-0005-0000-0000-00005A350000}"/>
    <cellStyle name="Normal 6 3 3 5 3 2" xfId="31092" xr:uid="{00000000-0005-0000-0000-00005B350000}"/>
    <cellStyle name="Normal 6 3 3 5 3 3" xfId="31093" xr:uid="{00000000-0005-0000-0000-00005C350000}"/>
    <cellStyle name="Normal 6 3 3 5 3 4" xfId="31094" xr:uid="{00000000-0005-0000-0000-00005D350000}"/>
    <cellStyle name="Normal 6 3 3 5 4" xfId="31095" xr:uid="{00000000-0005-0000-0000-00005E350000}"/>
    <cellStyle name="Normal 6 3 3 5 5" xfId="31096" xr:uid="{00000000-0005-0000-0000-00005F350000}"/>
    <cellStyle name="Normal 6 3 3 5 6" xfId="31097" xr:uid="{00000000-0005-0000-0000-000060350000}"/>
    <cellStyle name="Normal 6 3 3 6" xfId="31098" xr:uid="{00000000-0005-0000-0000-000061350000}"/>
    <cellStyle name="Normal 6 3 3 6 2" xfId="31099" xr:uid="{00000000-0005-0000-0000-000062350000}"/>
    <cellStyle name="Normal 6 3 3 6 2 2" xfId="31100" xr:uid="{00000000-0005-0000-0000-000063350000}"/>
    <cellStyle name="Normal 6 3 3 6 2 2 2" xfId="31101" xr:uid="{00000000-0005-0000-0000-000064350000}"/>
    <cellStyle name="Normal 6 3 3 6 2 2 3" xfId="31102" xr:uid="{00000000-0005-0000-0000-000065350000}"/>
    <cellStyle name="Normal 6 3 3 6 2 2 4" xfId="31103" xr:uid="{00000000-0005-0000-0000-000066350000}"/>
    <cellStyle name="Normal 6 3 3 6 2 3" xfId="31104" xr:uid="{00000000-0005-0000-0000-000067350000}"/>
    <cellStyle name="Normal 6 3 3 6 2 4" xfId="31105" xr:uid="{00000000-0005-0000-0000-000068350000}"/>
    <cellStyle name="Normal 6 3 3 6 2 5" xfId="31106" xr:uid="{00000000-0005-0000-0000-000069350000}"/>
    <cellStyle name="Normal 6 3 3 6 3" xfId="31107" xr:uid="{00000000-0005-0000-0000-00006A350000}"/>
    <cellStyle name="Normal 6 3 3 6 3 2" xfId="31108" xr:uid="{00000000-0005-0000-0000-00006B350000}"/>
    <cellStyle name="Normal 6 3 3 6 3 3" xfId="31109" xr:uid="{00000000-0005-0000-0000-00006C350000}"/>
    <cellStyle name="Normal 6 3 3 6 3 4" xfId="31110" xr:uid="{00000000-0005-0000-0000-00006D350000}"/>
    <cellStyle name="Normal 6 3 3 6 4" xfId="31111" xr:uid="{00000000-0005-0000-0000-00006E350000}"/>
    <cellStyle name="Normal 6 3 3 6 5" xfId="31112" xr:uid="{00000000-0005-0000-0000-00006F350000}"/>
    <cellStyle name="Normal 6 3 3 6 6" xfId="31113" xr:uid="{00000000-0005-0000-0000-000070350000}"/>
    <cellStyle name="Normal 6 3 3 7" xfId="31114" xr:uid="{00000000-0005-0000-0000-000071350000}"/>
    <cellStyle name="Normal 6 3 3 7 2" xfId="31115" xr:uid="{00000000-0005-0000-0000-000072350000}"/>
    <cellStyle name="Normal 6 3 3 7 2 2" xfId="31116" xr:uid="{00000000-0005-0000-0000-000073350000}"/>
    <cellStyle name="Normal 6 3 3 7 2 3" xfId="31117" xr:uid="{00000000-0005-0000-0000-000074350000}"/>
    <cellStyle name="Normal 6 3 3 7 2 4" xfId="31118" xr:uid="{00000000-0005-0000-0000-000075350000}"/>
    <cellStyle name="Normal 6 3 3 7 3" xfId="31119" xr:uid="{00000000-0005-0000-0000-000076350000}"/>
    <cellStyle name="Normal 6 3 3 7 4" xfId="31120" xr:uid="{00000000-0005-0000-0000-000077350000}"/>
    <cellStyle name="Normal 6 3 3 7 5" xfId="31121" xr:uid="{00000000-0005-0000-0000-000078350000}"/>
    <cellStyle name="Normal 6 3 3 8" xfId="31122" xr:uid="{00000000-0005-0000-0000-000079350000}"/>
    <cellStyle name="Normal 6 3 3 8 2" xfId="31123" xr:uid="{00000000-0005-0000-0000-00007A350000}"/>
    <cellStyle name="Normal 6 3 3 8 3" xfId="31124" xr:uid="{00000000-0005-0000-0000-00007B350000}"/>
    <cellStyle name="Normal 6 3 3 8 4" xfId="31125" xr:uid="{00000000-0005-0000-0000-00007C350000}"/>
    <cellStyle name="Normal 6 3 3 9" xfId="31126" xr:uid="{00000000-0005-0000-0000-00007D350000}"/>
    <cellStyle name="Normal 6 3 3 9 2" xfId="31127" xr:uid="{00000000-0005-0000-0000-00007E350000}"/>
    <cellStyle name="Normal 6 3 3 9 3" xfId="31128" xr:uid="{00000000-0005-0000-0000-00007F350000}"/>
    <cellStyle name="Normal 6 3 3 9 4" xfId="31129" xr:uid="{00000000-0005-0000-0000-000080350000}"/>
    <cellStyle name="Normal 6 3 4" xfId="31130" xr:uid="{00000000-0005-0000-0000-000081350000}"/>
    <cellStyle name="Normal 6 3 4 2" xfId="31131" xr:uid="{00000000-0005-0000-0000-000082350000}"/>
    <cellStyle name="Normal 6 3 4 2 2" xfId="31132" xr:uid="{00000000-0005-0000-0000-000083350000}"/>
    <cellStyle name="Normal 6 3 4 2 2 2" xfId="31133" xr:uid="{00000000-0005-0000-0000-000084350000}"/>
    <cellStyle name="Normal 6 3 4 2 2 2 2" xfId="31134" xr:uid="{00000000-0005-0000-0000-000085350000}"/>
    <cellStyle name="Normal 6 3 4 2 2 2 3" xfId="31135" xr:uid="{00000000-0005-0000-0000-000086350000}"/>
    <cellStyle name="Normal 6 3 4 2 2 2 4" xfId="31136" xr:uid="{00000000-0005-0000-0000-000087350000}"/>
    <cellStyle name="Normal 6 3 4 2 2 3" xfId="31137" xr:uid="{00000000-0005-0000-0000-000088350000}"/>
    <cellStyle name="Normal 6 3 4 2 2 4" xfId="31138" xr:uid="{00000000-0005-0000-0000-000089350000}"/>
    <cellStyle name="Normal 6 3 4 2 2 5" xfId="31139" xr:uid="{00000000-0005-0000-0000-00008A350000}"/>
    <cellStyle name="Normal 6 3 4 2 3" xfId="31140" xr:uid="{00000000-0005-0000-0000-00008B350000}"/>
    <cellStyle name="Normal 6 3 4 2 3 2" xfId="31141" xr:uid="{00000000-0005-0000-0000-00008C350000}"/>
    <cellStyle name="Normal 6 3 4 2 3 3" xfId="31142" xr:uid="{00000000-0005-0000-0000-00008D350000}"/>
    <cellStyle name="Normal 6 3 4 2 3 4" xfId="31143" xr:uid="{00000000-0005-0000-0000-00008E350000}"/>
    <cellStyle name="Normal 6 3 4 2 4" xfId="31144" xr:uid="{00000000-0005-0000-0000-00008F350000}"/>
    <cellStyle name="Normal 6 3 4 2 5" xfId="31145" xr:uid="{00000000-0005-0000-0000-000090350000}"/>
    <cellStyle name="Normal 6 3 4 2 6" xfId="31146" xr:uid="{00000000-0005-0000-0000-000091350000}"/>
    <cellStyle name="Normal 6 3 4 3" xfId="31147" xr:uid="{00000000-0005-0000-0000-000092350000}"/>
    <cellStyle name="Normal 6 3 4 3 2" xfId="31148" xr:uid="{00000000-0005-0000-0000-000093350000}"/>
    <cellStyle name="Normal 6 3 4 3 2 2" xfId="31149" xr:uid="{00000000-0005-0000-0000-000094350000}"/>
    <cellStyle name="Normal 6 3 4 3 2 3" xfId="31150" xr:uid="{00000000-0005-0000-0000-000095350000}"/>
    <cellStyle name="Normal 6 3 4 3 2 4" xfId="31151" xr:uid="{00000000-0005-0000-0000-000096350000}"/>
    <cellStyle name="Normal 6 3 4 3 3" xfId="31152" xr:uid="{00000000-0005-0000-0000-000097350000}"/>
    <cellStyle name="Normal 6 3 4 3 4" xfId="31153" xr:uid="{00000000-0005-0000-0000-000098350000}"/>
    <cellStyle name="Normal 6 3 4 3 5" xfId="31154" xr:uid="{00000000-0005-0000-0000-000099350000}"/>
    <cellStyle name="Normal 6 3 4 4" xfId="31155" xr:uid="{00000000-0005-0000-0000-00009A350000}"/>
    <cellStyle name="Normal 6 3 4 4 2" xfId="31156" xr:uid="{00000000-0005-0000-0000-00009B350000}"/>
    <cellStyle name="Normal 6 3 4 4 3" xfId="31157" xr:uid="{00000000-0005-0000-0000-00009C350000}"/>
    <cellStyle name="Normal 6 3 4 4 4" xfId="31158" xr:uid="{00000000-0005-0000-0000-00009D350000}"/>
    <cellStyle name="Normal 6 3 4 5" xfId="31159" xr:uid="{00000000-0005-0000-0000-00009E350000}"/>
    <cellStyle name="Normal 6 3 4 5 2" xfId="31160" xr:uid="{00000000-0005-0000-0000-00009F350000}"/>
    <cellStyle name="Normal 6 3 4 5 3" xfId="31161" xr:uid="{00000000-0005-0000-0000-0000A0350000}"/>
    <cellStyle name="Normal 6 3 4 5 4" xfId="31162" xr:uid="{00000000-0005-0000-0000-0000A1350000}"/>
    <cellStyle name="Normal 6 3 4 6" xfId="31163" xr:uid="{00000000-0005-0000-0000-0000A2350000}"/>
    <cellStyle name="Normal 6 3 4 6 2" xfId="31164" xr:uid="{00000000-0005-0000-0000-0000A3350000}"/>
    <cellStyle name="Normal 6 3 4 6 3" xfId="31165" xr:uid="{00000000-0005-0000-0000-0000A4350000}"/>
    <cellStyle name="Normal 6 3 4 7" xfId="31166" xr:uid="{00000000-0005-0000-0000-0000A5350000}"/>
    <cellStyle name="Normal 6 3 4 8" xfId="31167" xr:uid="{00000000-0005-0000-0000-0000A6350000}"/>
    <cellStyle name="Normal 6 3 4 9" xfId="31168" xr:uid="{00000000-0005-0000-0000-0000A7350000}"/>
    <cellStyle name="Normal 6 3 5" xfId="31169" xr:uid="{00000000-0005-0000-0000-0000A8350000}"/>
    <cellStyle name="Normal 6 3 5 2" xfId="31170" xr:uid="{00000000-0005-0000-0000-0000A9350000}"/>
    <cellStyle name="Normal 6 3 5 2 2" xfId="31171" xr:uid="{00000000-0005-0000-0000-0000AA350000}"/>
    <cellStyle name="Normal 6 3 5 2 2 2" xfId="31172" xr:uid="{00000000-0005-0000-0000-0000AB350000}"/>
    <cellStyle name="Normal 6 3 5 2 2 2 2" xfId="31173" xr:uid="{00000000-0005-0000-0000-0000AC350000}"/>
    <cellStyle name="Normal 6 3 5 2 2 2 3" xfId="31174" xr:uid="{00000000-0005-0000-0000-0000AD350000}"/>
    <cellStyle name="Normal 6 3 5 2 2 2 4" xfId="31175" xr:uid="{00000000-0005-0000-0000-0000AE350000}"/>
    <cellStyle name="Normal 6 3 5 2 2 3" xfId="31176" xr:uid="{00000000-0005-0000-0000-0000AF350000}"/>
    <cellStyle name="Normal 6 3 5 2 2 4" xfId="31177" xr:uid="{00000000-0005-0000-0000-0000B0350000}"/>
    <cellStyle name="Normal 6 3 5 2 2 5" xfId="31178" xr:uid="{00000000-0005-0000-0000-0000B1350000}"/>
    <cellStyle name="Normal 6 3 5 2 3" xfId="31179" xr:uid="{00000000-0005-0000-0000-0000B2350000}"/>
    <cellStyle name="Normal 6 3 5 2 3 2" xfId="31180" xr:uid="{00000000-0005-0000-0000-0000B3350000}"/>
    <cellStyle name="Normal 6 3 5 2 3 3" xfId="31181" xr:uid="{00000000-0005-0000-0000-0000B4350000}"/>
    <cellStyle name="Normal 6 3 5 2 3 4" xfId="31182" xr:uid="{00000000-0005-0000-0000-0000B5350000}"/>
    <cellStyle name="Normal 6 3 5 2 4" xfId="31183" xr:uid="{00000000-0005-0000-0000-0000B6350000}"/>
    <cellStyle name="Normal 6 3 5 2 5" xfId="31184" xr:uid="{00000000-0005-0000-0000-0000B7350000}"/>
    <cellStyle name="Normal 6 3 5 2 6" xfId="31185" xr:uid="{00000000-0005-0000-0000-0000B8350000}"/>
    <cellStyle name="Normal 6 3 5 3" xfId="31186" xr:uid="{00000000-0005-0000-0000-0000B9350000}"/>
    <cellStyle name="Normal 6 3 5 3 2" xfId="31187" xr:uid="{00000000-0005-0000-0000-0000BA350000}"/>
    <cellStyle name="Normal 6 3 5 3 2 2" xfId="31188" xr:uid="{00000000-0005-0000-0000-0000BB350000}"/>
    <cellStyle name="Normal 6 3 5 3 2 3" xfId="31189" xr:uid="{00000000-0005-0000-0000-0000BC350000}"/>
    <cellStyle name="Normal 6 3 5 3 2 4" xfId="31190" xr:uid="{00000000-0005-0000-0000-0000BD350000}"/>
    <cellStyle name="Normal 6 3 5 3 3" xfId="31191" xr:uid="{00000000-0005-0000-0000-0000BE350000}"/>
    <cellStyle name="Normal 6 3 5 3 4" xfId="31192" xr:uid="{00000000-0005-0000-0000-0000BF350000}"/>
    <cellStyle name="Normal 6 3 5 3 5" xfId="31193" xr:uid="{00000000-0005-0000-0000-0000C0350000}"/>
    <cellStyle name="Normal 6 3 5 4" xfId="31194" xr:uid="{00000000-0005-0000-0000-0000C1350000}"/>
    <cellStyle name="Normal 6 3 5 4 2" xfId="31195" xr:uid="{00000000-0005-0000-0000-0000C2350000}"/>
    <cellStyle name="Normal 6 3 5 4 3" xfId="31196" xr:uid="{00000000-0005-0000-0000-0000C3350000}"/>
    <cellStyle name="Normal 6 3 5 4 4" xfId="31197" xr:uid="{00000000-0005-0000-0000-0000C4350000}"/>
    <cellStyle name="Normal 6 3 5 5" xfId="31198" xr:uid="{00000000-0005-0000-0000-0000C5350000}"/>
    <cellStyle name="Normal 6 3 5 5 2" xfId="31199" xr:uid="{00000000-0005-0000-0000-0000C6350000}"/>
    <cellStyle name="Normal 6 3 5 5 3" xfId="31200" xr:uid="{00000000-0005-0000-0000-0000C7350000}"/>
    <cellStyle name="Normal 6 3 5 5 4" xfId="31201" xr:uid="{00000000-0005-0000-0000-0000C8350000}"/>
    <cellStyle name="Normal 6 3 5 6" xfId="31202" xr:uid="{00000000-0005-0000-0000-0000C9350000}"/>
    <cellStyle name="Normal 6 3 5 6 2" xfId="31203" xr:uid="{00000000-0005-0000-0000-0000CA350000}"/>
    <cellStyle name="Normal 6 3 5 6 3" xfId="31204" xr:uid="{00000000-0005-0000-0000-0000CB350000}"/>
    <cellStyle name="Normal 6 3 5 7" xfId="31205" xr:uid="{00000000-0005-0000-0000-0000CC350000}"/>
    <cellStyle name="Normal 6 3 5 8" xfId="31206" xr:uid="{00000000-0005-0000-0000-0000CD350000}"/>
    <cellStyle name="Normal 6 3 5 9" xfId="31207" xr:uid="{00000000-0005-0000-0000-0000CE350000}"/>
    <cellStyle name="Normal 6 3 6" xfId="31208" xr:uid="{00000000-0005-0000-0000-0000CF350000}"/>
    <cellStyle name="Normal 6 3 6 2" xfId="31209" xr:uid="{00000000-0005-0000-0000-0000D0350000}"/>
    <cellStyle name="Normal 6 3 6 2 2" xfId="31210" xr:uid="{00000000-0005-0000-0000-0000D1350000}"/>
    <cellStyle name="Normal 6 3 6 2 2 2" xfId="31211" xr:uid="{00000000-0005-0000-0000-0000D2350000}"/>
    <cellStyle name="Normal 6 3 6 2 2 3" xfId="31212" xr:uid="{00000000-0005-0000-0000-0000D3350000}"/>
    <cellStyle name="Normal 6 3 6 2 2 4" xfId="31213" xr:uid="{00000000-0005-0000-0000-0000D4350000}"/>
    <cellStyle name="Normal 6 3 6 2 3" xfId="31214" xr:uid="{00000000-0005-0000-0000-0000D5350000}"/>
    <cellStyle name="Normal 6 3 6 2 4" xfId="31215" xr:uid="{00000000-0005-0000-0000-0000D6350000}"/>
    <cellStyle name="Normal 6 3 6 2 5" xfId="31216" xr:uid="{00000000-0005-0000-0000-0000D7350000}"/>
    <cellStyle name="Normal 6 3 6 3" xfId="31217" xr:uid="{00000000-0005-0000-0000-0000D8350000}"/>
    <cellStyle name="Normal 6 3 6 3 2" xfId="31218" xr:uid="{00000000-0005-0000-0000-0000D9350000}"/>
    <cellStyle name="Normal 6 3 6 3 3" xfId="31219" xr:uid="{00000000-0005-0000-0000-0000DA350000}"/>
    <cellStyle name="Normal 6 3 6 3 4" xfId="31220" xr:uid="{00000000-0005-0000-0000-0000DB350000}"/>
    <cellStyle name="Normal 6 3 6 4" xfId="31221" xr:uid="{00000000-0005-0000-0000-0000DC350000}"/>
    <cellStyle name="Normal 6 3 6 5" xfId="31222" xr:uid="{00000000-0005-0000-0000-0000DD350000}"/>
    <cellStyle name="Normal 6 3 6 6" xfId="31223" xr:uid="{00000000-0005-0000-0000-0000DE350000}"/>
    <cellStyle name="Normal 6 3 7" xfId="31224" xr:uid="{00000000-0005-0000-0000-0000DF350000}"/>
    <cellStyle name="Normal 6 3 7 2" xfId="31225" xr:uid="{00000000-0005-0000-0000-0000E0350000}"/>
    <cellStyle name="Normal 6 3 7 2 2" xfId="31226" xr:uid="{00000000-0005-0000-0000-0000E1350000}"/>
    <cellStyle name="Normal 6 3 7 2 2 2" xfId="31227" xr:uid="{00000000-0005-0000-0000-0000E2350000}"/>
    <cellStyle name="Normal 6 3 7 2 2 3" xfId="31228" xr:uid="{00000000-0005-0000-0000-0000E3350000}"/>
    <cellStyle name="Normal 6 3 7 2 2 4" xfId="31229" xr:uid="{00000000-0005-0000-0000-0000E4350000}"/>
    <cellStyle name="Normal 6 3 7 2 3" xfId="31230" xr:uid="{00000000-0005-0000-0000-0000E5350000}"/>
    <cellStyle name="Normal 6 3 7 2 4" xfId="31231" xr:uid="{00000000-0005-0000-0000-0000E6350000}"/>
    <cellStyle name="Normal 6 3 7 2 5" xfId="31232" xr:uid="{00000000-0005-0000-0000-0000E7350000}"/>
    <cellStyle name="Normal 6 3 7 3" xfId="31233" xr:uid="{00000000-0005-0000-0000-0000E8350000}"/>
    <cellStyle name="Normal 6 3 7 3 2" xfId="31234" xr:uid="{00000000-0005-0000-0000-0000E9350000}"/>
    <cellStyle name="Normal 6 3 7 3 3" xfId="31235" xr:uid="{00000000-0005-0000-0000-0000EA350000}"/>
    <cellStyle name="Normal 6 3 7 3 4" xfId="31236" xr:uid="{00000000-0005-0000-0000-0000EB350000}"/>
    <cellStyle name="Normal 6 3 7 4" xfId="31237" xr:uid="{00000000-0005-0000-0000-0000EC350000}"/>
    <cellStyle name="Normal 6 3 7 5" xfId="31238" xr:uid="{00000000-0005-0000-0000-0000ED350000}"/>
    <cellStyle name="Normal 6 3 7 6" xfId="31239" xr:uid="{00000000-0005-0000-0000-0000EE350000}"/>
    <cellStyle name="Normal 6 3 8" xfId="31240" xr:uid="{00000000-0005-0000-0000-0000EF350000}"/>
    <cellStyle name="Normal 6 3 8 2" xfId="31241" xr:uid="{00000000-0005-0000-0000-0000F0350000}"/>
    <cellStyle name="Normal 6 3 8 2 2" xfId="31242" xr:uid="{00000000-0005-0000-0000-0000F1350000}"/>
    <cellStyle name="Normal 6 3 8 2 2 2" xfId="31243" xr:uid="{00000000-0005-0000-0000-0000F2350000}"/>
    <cellStyle name="Normal 6 3 8 2 2 3" xfId="31244" xr:uid="{00000000-0005-0000-0000-0000F3350000}"/>
    <cellStyle name="Normal 6 3 8 2 2 4" xfId="31245" xr:uid="{00000000-0005-0000-0000-0000F4350000}"/>
    <cellStyle name="Normal 6 3 8 2 3" xfId="31246" xr:uid="{00000000-0005-0000-0000-0000F5350000}"/>
    <cellStyle name="Normal 6 3 8 2 4" xfId="31247" xr:uid="{00000000-0005-0000-0000-0000F6350000}"/>
    <cellStyle name="Normal 6 3 8 2 5" xfId="31248" xr:uid="{00000000-0005-0000-0000-0000F7350000}"/>
    <cellStyle name="Normal 6 3 8 3" xfId="31249" xr:uid="{00000000-0005-0000-0000-0000F8350000}"/>
    <cellStyle name="Normal 6 3 8 3 2" xfId="31250" xr:uid="{00000000-0005-0000-0000-0000F9350000}"/>
    <cellStyle name="Normal 6 3 8 3 3" xfId="31251" xr:uid="{00000000-0005-0000-0000-0000FA350000}"/>
    <cellStyle name="Normal 6 3 8 3 4" xfId="31252" xr:uid="{00000000-0005-0000-0000-0000FB350000}"/>
    <cellStyle name="Normal 6 3 8 4" xfId="31253" xr:uid="{00000000-0005-0000-0000-0000FC350000}"/>
    <cellStyle name="Normal 6 3 8 5" xfId="31254" xr:uid="{00000000-0005-0000-0000-0000FD350000}"/>
    <cellStyle name="Normal 6 3 8 6" xfId="31255" xr:uid="{00000000-0005-0000-0000-0000FE350000}"/>
    <cellStyle name="Normal 6 3 9" xfId="31256" xr:uid="{00000000-0005-0000-0000-0000FF350000}"/>
    <cellStyle name="Normal 6 3 9 2" xfId="31257" xr:uid="{00000000-0005-0000-0000-000000360000}"/>
    <cellStyle name="Normal 6 3 9 2 2" xfId="31258" xr:uid="{00000000-0005-0000-0000-000001360000}"/>
    <cellStyle name="Normal 6 3 9 2 3" xfId="31259" xr:uid="{00000000-0005-0000-0000-000002360000}"/>
    <cellStyle name="Normal 6 3 9 2 4" xfId="31260" xr:uid="{00000000-0005-0000-0000-000003360000}"/>
    <cellStyle name="Normal 6 3 9 3" xfId="31261" xr:uid="{00000000-0005-0000-0000-000004360000}"/>
    <cellStyle name="Normal 6 3 9 4" xfId="31262" xr:uid="{00000000-0005-0000-0000-000005360000}"/>
    <cellStyle name="Normal 6 3 9 5" xfId="31263" xr:uid="{00000000-0005-0000-0000-000006360000}"/>
    <cellStyle name="Normal 6 30" xfId="1412" xr:uid="{00000000-0005-0000-0000-000007360000}"/>
    <cellStyle name="Normal 6 31" xfId="1413" xr:uid="{00000000-0005-0000-0000-000008360000}"/>
    <cellStyle name="Normal 6 32" xfId="1414" xr:uid="{00000000-0005-0000-0000-000009360000}"/>
    <cellStyle name="Normal 6 33" xfId="1415" xr:uid="{00000000-0005-0000-0000-00000A360000}"/>
    <cellStyle name="Normal 6 34" xfId="1416" xr:uid="{00000000-0005-0000-0000-00000B360000}"/>
    <cellStyle name="Normal 6 35" xfId="1417" xr:uid="{00000000-0005-0000-0000-00000C360000}"/>
    <cellStyle name="Normal 6 36" xfId="1418" xr:uid="{00000000-0005-0000-0000-00000D360000}"/>
    <cellStyle name="Normal 6 37" xfId="1419" xr:uid="{00000000-0005-0000-0000-00000E360000}"/>
    <cellStyle name="Normal 6 38" xfId="1420" xr:uid="{00000000-0005-0000-0000-00000F360000}"/>
    <cellStyle name="Normal 6 39" xfId="1421" xr:uid="{00000000-0005-0000-0000-000010360000}"/>
    <cellStyle name="Normal 6 4" xfId="1422" xr:uid="{00000000-0005-0000-0000-000011360000}"/>
    <cellStyle name="Normal 6 4 10" xfId="31264" xr:uid="{00000000-0005-0000-0000-000012360000}"/>
    <cellStyle name="Normal 6 4 10 2" xfId="31265" xr:uid="{00000000-0005-0000-0000-000013360000}"/>
    <cellStyle name="Normal 6 4 10 3" xfId="31266" xr:uid="{00000000-0005-0000-0000-000014360000}"/>
    <cellStyle name="Normal 6 4 10 4" xfId="31267" xr:uid="{00000000-0005-0000-0000-000015360000}"/>
    <cellStyle name="Normal 6 4 11" xfId="31268" xr:uid="{00000000-0005-0000-0000-000016360000}"/>
    <cellStyle name="Normal 6 4 11 2" xfId="31269" xr:uid="{00000000-0005-0000-0000-000017360000}"/>
    <cellStyle name="Normal 6 4 11 3" xfId="31270" xr:uid="{00000000-0005-0000-0000-000018360000}"/>
    <cellStyle name="Normal 6 4 12" xfId="31271" xr:uid="{00000000-0005-0000-0000-000019360000}"/>
    <cellStyle name="Normal 6 4 12 2" xfId="31272" xr:uid="{00000000-0005-0000-0000-00001A360000}"/>
    <cellStyle name="Normal 6 4 13" xfId="31273" xr:uid="{00000000-0005-0000-0000-00001B360000}"/>
    <cellStyle name="Normal 6 4 14" xfId="31274" xr:uid="{00000000-0005-0000-0000-00001C360000}"/>
    <cellStyle name="Normal 6 4 2" xfId="1423" xr:uid="{00000000-0005-0000-0000-00001D360000}"/>
    <cellStyle name="Normal 6 4 2 2" xfId="31275" xr:uid="{00000000-0005-0000-0000-00001E360000}"/>
    <cellStyle name="Normal 6 4 2 2 2" xfId="31276" xr:uid="{00000000-0005-0000-0000-00001F360000}"/>
    <cellStyle name="Normal 6 4 2 2 2 2" xfId="31277" xr:uid="{00000000-0005-0000-0000-000020360000}"/>
    <cellStyle name="Normal 6 4 2 2 2 2 2" xfId="31278" xr:uid="{00000000-0005-0000-0000-000021360000}"/>
    <cellStyle name="Normal 6 4 2 2 2 2 3" xfId="31279" xr:uid="{00000000-0005-0000-0000-000022360000}"/>
    <cellStyle name="Normal 6 4 2 2 2 2 4" xfId="31280" xr:uid="{00000000-0005-0000-0000-000023360000}"/>
    <cellStyle name="Normal 6 4 2 2 2 3" xfId="31281" xr:uid="{00000000-0005-0000-0000-000024360000}"/>
    <cellStyle name="Normal 6 4 2 2 2 4" xfId="31282" xr:uid="{00000000-0005-0000-0000-000025360000}"/>
    <cellStyle name="Normal 6 4 2 2 2 5" xfId="31283" xr:uid="{00000000-0005-0000-0000-000026360000}"/>
    <cellStyle name="Normal 6 4 2 2 3" xfId="31284" xr:uid="{00000000-0005-0000-0000-000027360000}"/>
    <cellStyle name="Normal 6 4 2 2 3 2" xfId="31285" xr:uid="{00000000-0005-0000-0000-000028360000}"/>
    <cellStyle name="Normal 6 4 2 2 3 3" xfId="31286" xr:uid="{00000000-0005-0000-0000-000029360000}"/>
    <cellStyle name="Normal 6 4 2 2 3 4" xfId="31287" xr:uid="{00000000-0005-0000-0000-00002A360000}"/>
    <cellStyle name="Normal 6 4 2 2 4" xfId="31288" xr:uid="{00000000-0005-0000-0000-00002B360000}"/>
    <cellStyle name="Normal 6 4 2 2 5" xfId="31289" xr:uid="{00000000-0005-0000-0000-00002C360000}"/>
    <cellStyle name="Normal 6 4 2 2 6" xfId="31290" xr:uid="{00000000-0005-0000-0000-00002D360000}"/>
    <cellStyle name="Normal 6 4 2 3" xfId="31291" xr:uid="{00000000-0005-0000-0000-00002E360000}"/>
    <cellStyle name="Normal 6 4 2 3 2" xfId="31292" xr:uid="{00000000-0005-0000-0000-00002F360000}"/>
    <cellStyle name="Normal 6 4 2 3 2 2" xfId="31293" xr:uid="{00000000-0005-0000-0000-000030360000}"/>
    <cellStyle name="Normal 6 4 2 3 2 3" xfId="31294" xr:uid="{00000000-0005-0000-0000-000031360000}"/>
    <cellStyle name="Normal 6 4 2 3 2 4" xfId="31295" xr:uid="{00000000-0005-0000-0000-000032360000}"/>
    <cellStyle name="Normal 6 4 2 3 3" xfId="31296" xr:uid="{00000000-0005-0000-0000-000033360000}"/>
    <cellStyle name="Normal 6 4 2 3 4" xfId="31297" xr:uid="{00000000-0005-0000-0000-000034360000}"/>
    <cellStyle name="Normal 6 4 2 3 5" xfId="31298" xr:uid="{00000000-0005-0000-0000-000035360000}"/>
    <cellStyle name="Normal 6 4 2 4" xfId="31299" xr:uid="{00000000-0005-0000-0000-000036360000}"/>
    <cellStyle name="Normal 6 4 2 4 2" xfId="31300" xr:uid="{00000000-0005-0000-0000-000037360000}"/>
    <cellStyle name="Normal 6 4 2 4 3" xfId="31301" xr:uid="{00000000-0005-0000-0000-000038360000}"/>
    <cellStyle name="Normal 6 4 2 4 4" xfId="31302" xr:uid="{00000000-0005-0000-0000-000039360000}"/>
    <cellStyle name="Normal 6 4 2 5" xfId="31303" xr:uid="{00000000-0005-0000-0000-00003A360000}"/>
    <cellStyle name="Normal 6 4 2 5 2" xfId="31304" xr:uid="{00000000-0005-0000-0000-00003B360000}"/>
    <cellStyle name="Normal 6 4 2 5 3" xfId="31305" xr:uid="{00000000-0005-0000-0000-00003C360000}"/>
    <cellStyle name="Normal 6 4 2 5 4" xfId="31306" xr:uid="{00000000-0005-0000-0000-00003D360000}"/>
    <cellStyle name="Normal 6 4 2 6" xfId="31307" xr:uid="{00000000-0005-0000-0000-00003E360000}"/>
    <cellStyle name="Normal 6 4 2 6 2" xfId="31308" xr:uid="{00000000-0005-0000-0000-00003F360000}"/>
    <cellStyle name="Normal 6 4 2 6 3" xfId="31309" xr:uid="{00000000-0005-0000-0000-000040360000}"/>
    <cellStyle name="Normal 6 4 2 7" xfId="31310" xr:uid="{00000000-0005-0000-0000-000041360000}"/>
    <cellStyle name="Normal 6 4 2 8" xfId="31311" xr:uid="{00000000-0005-0000-0000-000042360000}"/>
    <cellStyle name="Normal 6 4 2 9" xfId="31312" xr:uid="{00000000-0005-0000-0000-000043360000}"/>
    <cellStyle name="Normal 6 4 3" xfId="31313" xr:uid="{00000000-0005-0000-0000-000044360000}"/>
    <cellStyle name="Normal 6 4 3 2" xfId="31314" xr:uid="{00000000-0005-0000-0000-000045360000}"/>
    <cellStyle name="Normal 6 4 3 2 2" xfId="31315" xr:uid="{00000000-0005-0000-0000-000046360000}"/>
    <cellStyle name="Normal 6 4 3 2 2 2" xfId="31316" xr:uid="{00000000-0005-0000-0000-000047360000}"/>
    <cellStyle name="Normal 6 4 3 2 2 2 2" xfId="31317" xr:uid="{00000000-0005-0000-0000-000048360000}"/>
    <cellStyle name="Normal 6 4 3 2 2 2 3" xfId="31318" xr:uid="{00000000-0005-0000-0000-000049360000}"/>
    <cellStyle name="Normal 6 4 3 2 2 2 4" xfId="31319" xr:uid="{00000000-0005-0000-0000-00004A360000}"/>
    <cellStyle name="Normal 6 4 3 2 2 3" xfId="31320" xr:uid="{00000000-0005-0000-0000-00004B360000}"/>
    <cellStyle name="Normal 6 4 3 2 2 4" xfId="31321" xr:uid="{00000000-0005-0000-0000-00004C360000}"/>
    <cellStyle name="Normal 6 4 3 2 2 5" xfId="31322" xr:uid="{00000000-0005-0000-0000-00004D360000}"/>
    <cellStyle name="Normal 6 4 3 2 3" xfId="31323" xr:uid="{00000000-0005-0000-0000-00004E360000}"/>
    <cellStyle name="Normal 6 4 3 2 3 2" xfId="31324" xr:uid="{00000000-0005-0000-0000-00004F360000}"/>
    <cellStyle name="Normal 6 4 3 2 3 3" xfId="31325" xr:uid="{00000000-0005-0000-0000-000050360000}"/>
    <cellStyle name="Normal 6 4 3 2 3 4" xfId="31326" xr:uid="{00000000-0005-0000-0000-000051360000}"/>
    <cellStyle name="Normal 6 4 3 2 4" xfId="31327" xr:uid="{00000000-0005-0000-0000-000052360000}"/>
    <cellStyle name="Normal 6 4 3 2 5" xfId="31328" xr:uid="{00000000-0005-0000-0000-000053360000}"/>
    <cellStyle name="Normal 6 4 3 2 6" xfId="31329" xr:uid="{00000000-0005-0000-0000-000054360000}"/>
    <cellStyle name="Normal 6 4 3 3" xfId="31330" xr:uid="{00000000-0005-0000-0000-000055360000}"/>
    <cellStyle name="Normal 6 4 3 3 2" xfId="31331" xr:uid="{00000000-0005-0000-0000-000056360000}"/>
    <cellStyle name="Normal 6 4 3 3 2 2" xfId="31332" xr:uid="{00000000-0005-0000-0000-000057360000}"/>
    <cellStyle name="Normal 6 4 3 3 2 3" xfId="31333" xr:uid="{00000000-0005-0000-0000-000058360000}"/>
    <cellStyle name="Normal 6 4 3 3 2 4" xfId="31334" xr:uid="{00000000-0005-0000-0000-000059360000}"/>
    <cellStyle name="Normal 6 4 3 3 3" xfId="31335" xr:uid="{00000000-0005-0000-0000-00005A360000}"/>
    <cellStyle name="Normal 6 4 3 3 4" xfId="31336" xr:uid="{00000000-0005-0000-0000-00005B360000}"/>
    <cellStyle name="Normal 6 4 3 3 5" xfId="31337" xr:uid="{00000000-0005-0000-0000-00005C360000}"/>
    <cellStyle name="Normal 6 4 3 4" xfId="31338" xr:uid="{00000000-0005-0000-0000-00005D360000}"/>
    <cellStyle name="Normal 6 4 3 4 2" xfId="31339" xr:uid="{00000000-0005-0000-0000-00005E360000}"/>
    <cellStyle name="Normal 6 4 3 4 3" xfId="31340" xr:uid="{00000000-0005-0000-0000-00005F360000}"/>
    <cellStyle name="Normal 6 4 3 4 4" xfId="31341" xr:uid="{00000000-0005-0000-0000-000060360000}"/>
    <cellStyle name="Normal 6 4 3 5" xfId="31342" xr:uid="{00000000-0005-0000-0000-000061360000}"/>
    <cellStyle name="Normal 6 4 3 5 2" xfId="31343" xr:uid="{00000000-0005-0000-0000-000062360000}"/>
    <cellStyle name="Normal 6 4 3 5 3" xfId="31344" xr:uid="{00000000-0005-0000-0000-000063360000}"/>
    <cellStyle name="Normal 6 4 3 5 4" xfId="31345" xr:uid="{00000000-0005-0000-0000-000064360000}"/>
    <cellStyle name="Normal 6 4 3 6" xfId="31346" xr:uid="{00000000-0005-0000-0000-000065360000}"/>
    <cellStyle name="Normal 6 4 3 6 2" xfId="31347" xr:uid="{00000000-0005-0000-0000-000066360000}"/>
    <cellStyle name="Normal 6 4 3 6 3" xfId="31348" xr:uid="{00000000-0005-0000-0000-000067360000}"/>
    <cellStyle name="Normal 6 4 3 7" xfId="31349" xr:uid="{00000000-0005-0000-0000-000068360000}"/>
    <cellStyle name="Normal 6 4 3 8" xfId="31350" xr:uid="{00000000-0005-0000-0000-000069360000}"/>
    <cellStyle name="Normal 6 4 3 9" xfId="31351" xr:uid="{00000000-0005-0000-0000-00006A360000}"/>
    <cellStyle name="Normal 6 4 4" xfId="31352" xr:uid="{00000000-0005-0000-0000-00006B360000}"/>
    <cellStyle name="Normal 6 4 4 2" xfId="31353" xr:uid="{00000000-0005-0000-0000-00006C360000}"/>
    <cellStyle name="Normal 6 4 4 2 2" xfId="31354" xr:uid="{00000000-0005-0000-0000-00006D360000}"/>
    <cellStyle name="Normal 6 4 4 2 2 2" xfId="31355" xr:uid="{00000000-0005-0000-0000-00006E360000}"/>
    <cellStyle name="Normal 6 4 4 2 2 3" xfId="31356" xr:uid="{00000000-0005-0000-0000-00006F360000}"/>
    <cellStyle name="Normal 6 4 4 2 2 4" xfId="31357" xr:uid="{00000000-0005-0000-0000-000070360000}"/>
    <cellStyle name="Normal 6 4 4 2 3" xfId="31358" xr:uid="{00000000-0005-0000-0000-000071360000}"/>
    <cellStyle name="Normal 6 4 4 2 4" xfId="31359" xr:uid="{00000000-0005-0000-0000-000072360000}"/>
    <cellStyle name="Normal 6 4 4 2 5" xfId="31360" xr:uid="{00000000-0005-0000-0000-000073360000}"/>
    <cellStyle name="Normal 6 4 4 3" xfId="31361" xr:uid="{00000000-0005-0000-0000-000074360000}"/>
    <cellStyle name="Normal 6 4 4 3 2" xfId="31362" xr:uid="{00000000-0005-0000-0000-000075360000}"/>
    <cellStyle name="Normal 6 4 4 3 3" xfId="31363" xr:uid="{00000000-0005-0000-0000-000076360000}"/>
    <cellStyle name="Normal 6 4 4 3 4" xfId="31364" xr:uid="{00000000-0005-0000-0000-000077360000}"/>
    <cellStyle name="Normal 6 4 4 4" xfId="31365" xr:uid="{00000000-0005-0000-0000-000078360000}"/>
    <cellStyle name="Normal 6 4 4 5" xfId="31366" xr:uid="{00000000-0005-0000-0000-000079360000}"/>
    <cellStyle name="Normal 6 4 4 6" xfId="31367" xr:uid="{00000000-0005-0000-0000-00007A360000}"/>
    <cellStyle name="Normal 6 4 5" xfId="31368" xr:uid="{00000000-0005-0000-0000-00007B360000}"/>
    <cellStyle name="Normal 6 4 5 2" xfId="31369" xr:uid="{00000000-0005-0000-0000-00007C360000}"/>
    <cellStyle name="Normal 6 4 5 2 2" xfId="31370" xr:uid="{00000000-0005-0000-0000-00007D360000}"/>
    <cellStyle name="Normal 6 4 5 2 2 2" xfId="31371" xr:uid="{00000000-0005-0000-0000-00007E360000}"/>
    <cellStyle name="Normal 6 4 5 2 2 3" xfId="31372" xr:uid="{00000000-0005-0000-0000-00007F360000}"/>
    <cellStyle name="Normal 6 4 5 2 2 4" xfId="31373" xr:uid="{00000000-0005-0000-0000-000080360000}"/>
    <cellStyle name="Normal 6 4 5 2 3" xfId="31374" xr:uid="{00000000-0005-0000-0000-000081360000}"/>
    <cellStyle name="Normal 6 4 5 2 4" xfId="31375" xr:uid="{00000000-0005-0000-0000-000082360000}"/>
    <cellStyle name="Normal 6 4 5 2 5" xfId="31376" xr:uid="{00000000-0005-0000-0000-000083360000}"/>
    <cellStyle name="Normal 6 4 5 3" xfId="31377" xr:uid="{00000000-0005-0000-0000-000084360000}"/>
    <cellStyle name="Normal 6 4 5 3 2" xfId="31378" xr:uid="{00000000-0005-0000-0000-000085360000}"/>
    <cellStyle name="Normal 6 4 5 3 3" xfId="31379" xr:uid="{00000000-0005-0000-0000-000086360000}"/>
    <cellStyle name="Normal 6 4 5 3 4" xfId="31380" xr:uid="{00000000-0005-0000-0000-000087360000}"/>
    <cellStyle name="Normal 6 4 5 4" xfId="31381" xr:uid="{00000000-0005-0000-0000-000088360000}"/>
    <cellStyle name="Normal 6 4 5 5" xfId="31382" xr:uid="{00000000-0005-0000-0000-000089360000}"/>
    <cellStyle name="Normal 6 4 5 6" xfId="31383" xr:uid="{00000000-0005-0000-0000-00008A360000}"/>
    <cellStyle name="Normal 6 4 6" xfId="31384" xr:uid="{00000000-0005-0000-0000-00008B360000}"/>
    <cellStyle name="Normal 6 4 6 2" xfId="31385" xr:uid="{00000000-0005-0000-0000-00008C360000}"/>
    <cellStyle name="Normal 6 4 6 2 2" xfId="31386" xr:uid="{00000000-0005-0000-0000-00008D360000}"/>
    <cellStyle name="Normal 6 4 6 2 2 2" xfId="31387" xr:uid="{00000000-0005-0000-0000-00008E360000}"/>
    <cellStyle name="Normal 6 4 6 2 2 3" xfId="31388" xr:uid="{00000000-0005-0000-0000-00008F360000}"/>
    <cellStyle name="Normal 6 4 6 2 2 4" xfId="31389" xr:uid="{00000000-0005-0000-0000-000090360000}"/>
    <cellStyle name="Normal 6 4 6 2 3" xfId="31390" xr:uid="{00000000-0005-0000-0000-000091360000}"/>
    <cellStyle name="Normal 6 4 6 2 4" xfId="31391" xr:uid="{00000000-0005-0000-0000-000092360000}"/>
    <cellStyle name="Normal 6 4 6 2 5" xfId="31392" xr:uid="{00000000-0005-0000-0000-000093360000}"/>
    <cellStyle name="Normal 6 4 6 3" xfId="31393" xr:uid="{00000000-0005-0000-0000-000094360000}"/>
    <cellStyle name="Normal 6 4 6 3 2" xfId="31394" xr:uid="{00000000-0005-0000-0000-000095360000}"/>
    <cellStyle name="Normal 6 4 6 3 3" xfId="31395" xr:uid="{00000000-0005-0000-0000-000096360000}"/>
    <cellStyle name="Normal 6 4 6 3 4" xfId="31396" xr:uid="{00000000-0005-0000-0000-000097360000}"/>
    <cellStyle name="Normal 6 4 6 4" xfId="31397" xr:uid="{00000000-0005-0000-0000-000098360000}"/>
    <cellStyle name="Normal 6 4 6 5" xfId="31398" xr:uid="{00000000-0005-0000-0000-000099360000}"/>
    <cellStyle name="Normal 6 4 6 6" xfId="31399" xr:uid="{00000000-0005-0000-0000-00009A360000}"/>
    <cellStyle name="Normal 6 4 7" xfId="31400" xr:uid="{00000000-0005-0000-0000-00009B360000}"/>
    <cellStyle name="Normal 6 4 7 2" xfId="31401" xr:uid="{00000000-0005-0000-0000-00009C360000}"/>
    <cellStyle name="Normal 6 4 7 2 2" xfId="31402" xr:uid="{00000000-0005-0000-0000-00009D360000}"/>
    <cellStyle name="Normal 6 4 7 2 3" xfId="31403" xr:uid="{00000000-0005-0000-0000-00009E360000}"/>
    <cellStyle name="Normal 6 4 7 2 4" xfId="31404" xr:uid="{00000000-0005-0000-0000-00009F360000}"/>
    <cellStyle name="Normal 6 4 7 3" xfId="31405" xr:uid="{00000000-0005-0000-0000-0000A0360000}"/>
    <cellStyle name="Normal 6 4 7 4" xfId="31406" xr:uid="{00000000-0005-0000-0000-0000A1360000}"/>
    <cellStyle name="Normal 6 4 7 5" xfId="31407" xr:uid="{00000000-0005-0000-0000-0000A2360000}"/>
    <cellStyle name="Normal 6 4 8" xfId="31408" xr:uid="{00000000-0005-0000-0000-0000A3360000}"/>
    <cellStyle name="Normal 6 4 8 2" xfId="31409" xr:uid="{00000000-0005-0000-0000-0000A4360000}"/>
    <cellStyle name="Normal 6 4 8 3" xfId="31410" xr:uid="{00000000-0005-0000-0000-0000A5360000}"/>
    <cellStyle name="Normal 6 4 8 4" xfId="31411" xr:uid="{00000000-0005-0000-0000-0000A6360000}"/>
    <cellStyle name="Normal 6 4 9" xfId="31412" xr:uid="{00000000-0005-0000-0000-0000A7360000}"/>
    <cellStyle name="Normal 6 4 9 2" xfId="31413" xr:uid="{00000000-0005-0000-0000-0000A8360000}"/>
    <cellStyle name="Normal 6 4 9 3" xfId="31414" xr:uid="{00000000-0005-0000-0000-0000A9360000}"/>
    <cellStyle name="Normal 6 4 9 4" xfId="31415" xr:uid="{00000000-0005-0000-0000-0000AA360000}"/>
    <cellStyle name="Normal 6 40" xfId="1424" xr:uid="{00000000-0005-0000-0000-0000AB360000}"/>
    <cellStyle name="Normal 6 41" xfId="1425" xr:uid="{00000000-0005-0000-0000-0000AC360000}"/>
    <cellStyle name="Normal 6 42" xfId="1426" xr:uid="{00000000-0005-0000-0000-0000AD360000}"/>
    <cellStyle name="Normal 6 43" xfId="1427" xr:uid="{00000000-0005-0000-0000-0000AE360000}"/>
    <cellStyle name="Normal 6 44" xfId="1428" xr:uid="{00000000-0005-0000-0000-0000AF360000}"/>
    <cellStyle name="Normal 6 45" xfId="1429" xr:uid="{00000000-0005-0000-0000-0000B0360000}"/>
    <cellStyle name="Normal 6 46" xfId="1430" xr:uid="{00000000-0005-0000-0000-0000B1360000}"/>
    <cellStyle name="Normal 6 47" xfId="1431" xr:uid="{00000000-0005-0000-0000-0000B2360000}"/>
    <cellStyle name="Normal 6 48" xfId="1432" xr:uid="{00000000-0005-0000-0000-0000B3360000}"/>
    <cellStyle name="Normal 6 49" xfId="1433" xr:uid="{00000000-0005-0000-0000-0000B4360000}"/>
    <cellStyle name="Normal 6 5" xfId="1434" xr:uid="{00000000-0005-0000-0000-0000B5360000}"/>
    <cellStyle name="Normal 6 5 10" xfId="31416" xr:uid="{00000000-0005-0000-0000-0000B6360000}"/>
    <cellStyle name="Normal 6 5 10 2" xfId="31417" xr:uid="{00000000-0005-0000-0000-0000B7360000}"/>
    <cellStyle name="Normal 6 5 10 3" xfId="31418" xr:uid="{00000000-0005-0000-0000-0000B8360000}"/>
    <cellStyle name="Normal 6 5 10 4" xfId="31419" xr:uid="{00000000-0005-0000-0000-0000B9360000}"/>
    <cellStyle name="Normal 6 5 11" xfId="31420" xr:uid="{00000000-0005-0000-0000-0000BA360000}"/>
    <cellStyle name="Normal 6 5 11 2" xfId="31421" xr:uid="{00000000-0005-0000-0000-0000BB360000}"/>
    <cellStyle name="Normal 6 5 11 3" xfId="31422" xr:uid="{00000000-0005-0000-0000-0000BC360000}"/>
    <cellStyle name="Normal 6 5 12" xfId="31423" xr:uid="{00000000-0005-0000-0000-0000BD360000}"/>
    <cellStyle name="Normal 6 5 12 2" xfId="31424" xr:uid="{00000000-0005-0000-0000-0000BE360000}"/>
    <cellStyle name="Normal 6 5 13" xfId="31425" xr:uid="{00000000-0005-0000-0000-0000BF360000}"/>
    <cellStyle name="Normal 6 5 14" xfId="31426" xr:uid="{00000000-0005-0000-0000-0000C0360000}"/>
    <cellStyle name="Normal 6 5 2" xfId="1435" xr:uid="{00000000-0005-0000-0000-0000C1360000}"/>
    <cellStyle name="Normal 6 5 2 2" xfId="31427" xr:uid="{00000000-0005-0000-0000-0000C2360000}"/>
    <cellStyle name="Normal 6 5 2 2 2" xfId="31428" xr:uid="{00000000-0005-0000-0000-0000C3360000}"/>
    <cellStyle name="Normal 6 5 2 2 2 2" xfId="31429" xr:uid="{00000000-0005-0000-0000-0000C4360000}"/>
    <cellStyle name="Normal 6 5 2 2 2 2 2" xfId="31430" xr:uid="{00000000-0005-0000-0000-0000C5360000}"/>
    <cellStyle name="Normal 6 5 2 2 2 2 3" xfId="31431" xr:uid="{00000000-0005-0000-0000-0000C6360000}"/>
    <cellStyle name="Normal 6 5 2 2 2 2 4" xfId="31432" xr:uid="{00000000-0005-0000-0000-0000C7360000}"/>
    <cellStyle name="Normal 6 5 2 2 2 3" xfId="31433" xr:uid="{00000000-0005-0000-0000-0000C8360000}"/>
    <cellStyle name="Normal 6 5 2 2 2 4" xfId="31434" xr:uid="{00000000-0005-0000-0000-0000C9360000}"/>
    <cellStyle name="Normal 6 5 2 2 2 5" xfId="31435" xr:uid="{00000000-0005-0000-0000-0000CA360000}"/>
    <cellStyle name="Normal 6 5 2 2 3" xfId="31436" xr:uid="{00000000-0005-0000-0000-0000CB360000}"/>
    <cellStyle name="Normal 6 5 2 2 3 2" xfId="31437" xr:uid="{00000000-0005-0000-0000-0000CC360000}"/>
    <cellStyle name="Normal 6 5 2 2 3 3" xfId="31438" xr:uid="{00000000-0005-0000-0000-0000CD360000}"/>
    <cellStyle name="Normal 6 5 2 2 3 4" xfId="31439" xr:uid="{00000000-0005-0000-0000-0000CE360000}"/>
    <cellStyle name="Normal 6 5 2 2 4" xfId="31440" xr:uid="{00000000-0005-0000-0000-0000CF360000}"/>
    <cellStyle name="Normal 6 5 2 2 5" xfId="31441" xr:uid="{00000000-0005-0000-0000-0000D0360000}"/>
    <cellStyle name="Normal 6 5 2 2 6" xfId="31442" xr:uid="{00000000-0005-0000-0000-0000D1360000}"/>
    <cellStyle name="Normal 6 5 2 3" xfId="31443" xr:uid="{00000000-0005-0000-0000-0000D2360000}"/>
    <cellStyle name="Normal 6 5 2 3 2" xfId="31444" xr:uid="{00000000-0005-0000-0000-0000D3360000}"/>
    <cellStyle name="Normal 6 5 2 3 2 2" xfId="31445" xr:uid="{00000000-0005-0000-0000-0000D4360000}"/>
    <cellStyle name="Normal 6 5 2 3 2 3" xfId="31446" xr:uid="{00000000-0005-0000-0000-0000D5360000}"/>
    <cellStyle name="Normal 6 5 2 3 2 4" xfId="31447" xr:uid="{00000000-0005-0000-0000-0000D6360000}"/>
    <cellStyle name="Normal 6 5 2 3 3" xfId="31448" xr:uid="{00000000-0005-0000-0000-0000D7360000}"/>
    <cellStyle name="Normal 6 5 2 3 4" xfId="31449" xr:uid="{00000000-0005-0000-0000-0000D8360000}"/>
    <cellStyle name="Normal 6 5 2 3 5" xfId="31450" xr:uid="{00000000-0005-0000-0000-0000D9360000}"/>
    <cellStyle name="Normal 6 5 2 4" xfId="31451" xr:uid="{00000000-0005-0000-0000-0000DA360000}"/>
    <cellStyle name="Normal 6 5 2 4 2" xfId="31452" xr:uid="{00000000-0005-0000-0000-0000DB360000}"/>
    <cellStyle name="Normal 6 5 2 4 3" xfId="31453" xr:uid="{00000000-0005-0000-0000-0000DC360000}"/>
    <cellStyle name="Normal 6 5 2 4 4" xfId="31454" xr:uid="{00000000-0005-0000-0000-0000DD360000}"/>
    <cellStyle name="Normal 6 5 2 5" xfId="31455" xr:uid="{00000000-0005-0000-0000-0000DE360000}"/>
    <cellStyle name="Normal 6 5 2 5 2" xfId="31456" xr:uid="{00000000-0005-0000-0000-0000DF360000}"/>
    <cellStyle name="Normal 6 5 2 5 3" xfId="31457" xr:uid="{00000000-0005-0000-0000-0000E0360000}"/>
    <cellStyle name="Normal 6 5 2 5 4" xfId="31458" xr:uid="{00000000-0005-0000-0000-0000E1360000}"/>
    <cellStyle name="Normal 6 5 2 6" xfId="31459" xr:uid="{00000000-0005-0000-0000-0000E2360000}"/>
    <cellStyle name="Normal 6 5 2 6 2" xfId="31460" xr:uid="{00000000-0005-0000-0000-0000E3360000}"/>
    <cellStyle name="Normal 6 5 2 6 3" xfId="31461" xr:uid="{00000000-0005-0000-0000-0000E4360000}"/>
    <cellStyle name="Normal 6 5 2 7" xfId="31462" xr:uid="{00000000-0005-0000-0000-0000E5360000}"/>
    <cellStyle name="Normal 6 5 2 8" xfId="31463" xr:uid="{00000000-0005-0000-0000-0000E6360000}"/>
    <cellStyle name="Normal 6 5 2 9" xfId="31464" xr:uid="{00000000-0005-0000-0000-0000E7360000}"/>
    <cellStyle name="Normal 6 5 3" xfId="31465" xr:uid="{00000000-0005-0000-0000-0000E8360000}"/>
    <cellStyle name="Normal 6 5 3 2" xfId="31466" xr:uid="{00000000-0005-0000-0000-0000E9360000}"/>
    <cellStyle name="Normal 6 5 3 2 2" xfId="31467" xr:uid="{00000000-0005-0000-0000-0000EA360000}"/>
    <cellStyle name="Normal 6 5 3 2 2 2" xfId="31468" xr:uid="{00000000-0005-0000-0000-0000EB360000}"/>
    <cellStyle name="Normal 6 5 3 2 2 2 2" xfId="31469" xr:uid="{00000000-0005-0000-0000-0000EC360000}"/>
    <cellStyle name="Normal 6 5 3 2 2 2 3" xfId="31470" xr:uid="{00000000-0005-0000-0000-0000ED360000}"/>
    <cellStyle name="Normal 6 5 3 2 2 2 4" xfId="31471" xr:uid="{00000000-0005-0000-0000-0000EE360000}"/>
    <cellStyle name="Normal 6 5 3 2 2 3" xfId="31472" xr:uid="{00000000-0005-0000-0000-0000EF360000}"/>
    <cellStyle name="Normal 6 5 3 2 2 4" xfId="31473" xr:uid="{00000000-0005-0000-0000-0000F0360000}"/>
    <cellStyle name="Normal 6 5 3 2 2 5" xfId="31474" xr:uid="{00000000-0005-0000-0000-0000F1360000}"/>
    <cellStyle name="Normal 6 5 3 2 3" xfId="31475" xr:uid="{00000000-0005-0000-0000-0000F2360000}"/>
    <cellStyle name="Normal 6 5 3 2 3 2" xfId="31476" xr:uid="{00000000-0005-0000-0000-0000F3360000}"/>
    <cellStyle name="Normal 6 5 3 2 3 3" xfId="31477" xr:uid="{00000000-0005-0000-0000-0000F4360000}"/>
    <cellStyle name="Normal 6 5 3 2 3 4" xfId="31478" xr:uid="{00000000-0005-0000-0000-0000F5360000}"/>
    <cellStyle name="Normal 6 5 3 2 4" xfId="31479" xr:uid="{00000000-0005-0000-0000-0000F6360000}"/>
    <cellStyle name="Normal 6 5 3 2 5" xfId="31480" xr:uid="{00000000-0005-0000-0000-0000F7360000}"/>
    <cellStyle name="Normal 6 5 3 2 6" xfId="31481" xr:uid="{00000000-0005-0000-0000-0000F8360000}"/>
    <cellStyle name="Normal 6 5 3 3" xfId="31482" xr:uid="{00000000-0005-0000-0000-0000F9360000}"/>
    <cellStyle name="Normal 6 5 3 3 2" xfId="31483" xr:uid="{00000000-0005-0000-0000-0000FA360000}"/>
    <cellStyle name="Normal 6 5 3 3 2 2" xfId="31484" xr:uid="{00000000-0005-0000-0000-0000FB360000}"/>
    <cellStyle name="Normal 6 5 3 3 2 3" xfId="31485" xr:uid="{00000000-0005-0000-0000-0000FC360000}"/>
    <cellStyle name="Normal 6 5 3 3 2 4" xfId="31486" xr:uid="{00000000-0005-0000-0000-0000FD360000}"/>
    <cellStyle name="Normal 6 5 3 3 3" xfId="31487" xr:uid="{00000000-0005-0000-0000-0000FE360000}"/>
    <cellStyle name="Normal 6 5 3 3 4" xfId="31488" xr:uid="{00000000-0005-0000-0000-0000FF360000}"/>
    <cellStyle name="Normal 6 5 3 3 5" xfId="31489" xr:uid="{00000000-0005-0000-0000-000000370000}"/>
    <cellStyle name="Normal 6 5 3 4" xfId="31490" xr:uid="{00000000-0005-0000-0000-000001370000}"/>
    <cellStyle name="Normal 6 5 3 4 2" xfId="31491" xr:uid="{00000000-0005-0000-0000-000002370000}"/>
    <cellStyle name="Normal 6 5 3 4 3" xfId="31492" xr:uid="{00000000-0005-0000-0000-000003370000}"/>
    <cellStyle name="Normal 6 5 3 4 4" xfId="31493" xr:uid="{00000000-0005-0000-0000-000004370000}"/>
    <cellStyle name="Normal 6 5 3 5" xfId="31494" xr:uid="{00000000-0005-0000-0000-000005370000}"/>
    <cellStyle name="Normal 6 5 3 5 2" xfId="31495" xr:uid="{00000000-0005-0000-0000-000006370000}"/>
    <cellStyle name="Normal 6 5 3 5 3" xfId="31496" xr:uid="{00000000-0005-0000-0000-000007370000}"/>
    <cellStyle name="Normal 6 5 3 5 4" xfId="31497" xr:uid="{00000000-0005-0000-0000-000008370000}"/>
    <cellStyle name="Normal 6 5 3 6" xfId="31498" xr:uid="{00000000-0005-0000-0000-000009370000}"/>
    <cellStyle name="Normal 6 5 3 6 2" xfId="31499" xr:uid="{00000000-0005-0000-0000-00000A370000}"/>
    <cellStyle name="Normal 6 5 3 6 3" xfId="31500" xr:uid="{00000000-0005-0000-0000-00000B370000}"/>
    <cellStyle name="Normal 6 5 3 7" xfId="31501" xr:uid="{00000000-0005-0000-0000-00000C370000}"/>
    <cellStyle name="Normal 6 5 3 8" xfId="31502" xr:uid="{00000000-0005-0000-0000-00000D370000}"/>
    <cellStyle name="Normal 6 5 3 9" xfId="31503" xr:uid="{00000000-0005-0000-0000-00000E370000}"/>
    <cellStyle name="Normal 6 5 4" xfId="31504" xr:uid="{00000000-0005-0000-0000-00000F370000}"/>
    <cellStyle name="Normal 6 5 4 2" xfId="31505" xr:uid="{00000000-0005-0000-0000-000010370000}"/>
    <cellStyle name="Normal 6 5 4 2 2" xfId="31506" xr:uid="{00000000-0005-0000-0000-000011370000}"/>
    <cellStyle name="Normal 6 5 4 2 2 2" xfId="31507" xr:uid="{00000000-0005-0000-0000-000012370000}"/>
    <cellStyle name="Normal 6 5 4 2 2 3" xfId="31508" xr:uid="{00000000-0005-0000-0000-000013370000}"/>
    <cellStyle name="Normal 6 5 4 2 2 4" xfId="31509" xr:uid="{00000000-0005-0000-0000-000014370000}"/>
    <cellStyle name="Normal 6 5 4 2 3" xfId="31510" xr:uid="{00000000-0005-0000-0000-000015370000}"/>
    <cellStyle name="Normal 6 5 4 2 4" xfId="31511" xr:uid="{00000000-0005-0000-0000-000016370000}"/>
    <cellStyle name="Normal 6 5 4 2 5" xfId="31512" xr:uid="{00000000-0005-0000-0000-000017370000}"/>
    <cellStyle name="Normal 6 5 4 3" xfId="31513" xr:uid="{00000000-0005-0000-0000-000018370000}"/>
    <cellStyle name="Normal 6 5 4 3 2" xfId="31514" xr:uid="{00000000-0005-0000-0000-000019370000}"/>
    <cellStyle name="Normal 6 5 4 3 3" xfId="31515" xr:uid="{00000000-0005-0000-0000-00001A370000}"/>
    <cellStyle name="Normal 6 5 4 3 4" xfId="31516" xr:uid="{00000000-0005-0000-0000-00001B370000}"/>
    <cellStyle name="Normal 6 5 4 4" xfId="31517" xr:uid="{00000000-0005-0000-0000-00001C370000}"/>
    <cellStyle name="Normal 6 5 4 5" xfId="31518" xr:uid="{00000000-0005-0000-0000-00001D370000}"/>
    <cellStyle name="Normal 6 5 4 6" xfId="31519" xr:uid="{00000000-0005-0000-0000-00001E370000}"/>
    <cellStyle name="Normal 6 5 5" xfId="31520" xr:uid="{00000000-0005-0000-0000-00001F370000}"/>
    <cellStyle name="Normal 6 5 5 2" xfId="31521" xr:uid="{00000000-0005-0000-0000-000020370000}"/>
    <cellStyle name="Normal 6 5 5 2 2" xfId="31522" xr:uid="{00000000-0005-0000-0000-000021370000}"/>
    <cellStyle name="Normal 6 5 5 2 2 2" xfId="31523" xr:uid="{00000000-0005-0000-0000-000022370000}"/>
    <cellStyle name="Normal 6 5 5 2 2 3" xfId="31524" xr:uid="{00000000-0005-0000-0000-000023370000}"/>
    <cellStyle name="Normal 6 5 5 2 2 4" xfId="31525" xr:uid="{00000000-0005-0000-0000-000024370000}"/>
    <cellStyle name="Normal 6 5 5 2 3" xfId="31526" xr:uid="{00000000-0005-0000-0000-000025370000}"/>
    <cellStyle name="Normal 6 5 5 2 4" xfId="31527" xr:uid="{00000000-0005-0000-0000-000026370000}"/>
    <cellStyle name="Normal 6 5 5 2 5" xfId="31528" xr:uid="{00000000-0005-0000-0000-000027370000}"/>
    <cellStyle name="Normal 6 5 5 3" xfId="31529" xr:uid="{00000000-0005-0000-0000-000028370000}"/>
    <cellStyle name="Normal 6 5 5 3 2" xfId="31530" xr:uid="{00000000-0005-0000-0000-000029370000}"/>
    <cellStyle name="Normal 6 5 5 3 3" xfId="31531" xr:uid="{00000000-0005-0000-0000-00002A370000}"/>
    <cellStyle name="Normal 6 5 5 3 4" xfId="31532" xr:uid="{00000000-0005-0000-0000-00002B370000}"/>
    <cellStyle name="Normal 6 5 5 4" xfId="31533" xr:uid="{00000000-0005-0000-0000-00002C370000}"/>
    <cellStyle name="Normal 6 5 5 5" xfId="31534" xr:uid="{00000000-0005-0000-0000-00002D370000}"/>
    <cellStyle name="Normal 6 5 5 6" xfId="31535" xr:uid="{00000000-0005-0000-0000-00002E370000}"/>
    <cellStyle name="Normal 6 5 6" xfId="31536" xr:uid="{00000000-0005-0000-0000-00002F370000}"/>
    <cellStyle name="Normal 6 5 6 2" xfId="31537" xr:uid="{00000000-0005-0000-0000-000030370000}"/>
    <cellStyle name="Normal 6 5 6 2 2" xfId="31538" xr:uid="{00000000-0005-0000-0000-000031370000}"/>
    <cellStyle name="Normal 6 5 6 2 2 2" xfId="31539" xr:uid="{00000000-0005-0000-0000-000032370000}"/>
    <cellStyle name="Normal 6 5 6 2 2 3" xfId="31540" xr:uid="{00000000-0005-0000-0000-000033370000}"/>
    <cellStyle name="Normal 6 5 6 2 2 4" xfId="31541" xr:uid="{00000000-0005-0000-0000-000034370000}"/>
    <cellStyle name="Normal 6 5 6 2 3" xfId="31542" xr:uid="{00000000-0005-0000-0000-000035370000}"/>
    <cellStyle name="Normal 6 5 6 2 4" xfId="31543" xr:uid="{00000000-0005-0000-0000-000036370000}"/>
    <cellStyle name="Normal 6 5 6 2 5" xfId="31544" xr:uid="{00000000-0005-0000-0000-000037370000}"/>
    <cellStyle name="Normal 6 5 6 3" xfId="31545" xr:uid="{00000000-0005-0000-0000-000038370000}"/>
    <cellStyle name="Normal 6 5 6 3 2" xfId="31546" xr:uid="{00000000-0005-0000-0000-000039370000}"/>
    <cellStyle name="Normal 6 5 6 3 3" xfId="31547" xr:uid="{00000000-0005-0000-0000-00003A370000}"/>
    <cellStyle name="Normal 6 5 6 3 4" xfId="31548" xr:uid="{00000000-0005-0000-0000-00003B370000}"/>
    <cellStyle name="Normal 6 5 6 4" xfId="31549" xr:uid="{00000000-0005-0000-0000-00003C370000}"/>
    <cellStyle name="Normal 6 5 6 5" xfId="31550" xr:uid="{00000000-0005-0000-0000-00003D370000}"/>
    <cellStyle name="Normal 6 5 6 6" xfId="31551" xr:uid="{00000000-0005-0000-0000-00003E370000}"/>
    <cellStyle name="Normal 6 5 7" xfId="31552" xr:uid="{00000000-0005-0000-0000-00003F370000}"/>
    <cellStyle name="Normal 6 5 7 2" xfId="31553" xr:uid="{00000000-0005-0000-0000-000040370000}"/>
    <cellStyle name="Normal 6 5 7 2 2" xfId="31554" xr:uid="{00000000-0005-0000-0000-000041370000}"/>
    <cellStyle name="Normal 6 5 7 2 3" xfId="31555" xr:uid="{00000000-0005-0000-0000-000042370000}"/>
    <cellStyle name="Normal 6 5 7 2 4" xfId="31556" xr:uid="{00000000-0005-0000-0000-000043370000}"/>
    <cellStyle name="Normal 6 5 7 3" xfId="31557" xr:uid="{00000000-0005-0000-0000-000044370000}"/>
    <cellStyle name="Normal 6 5 7 4" xfId="31558" xr:uid="{00000000-0005-0000-0000-000045370000}"/>
    <cellStyle name="Normal 6 5 7 5" xfId="31559" xr:uid="{00000000-0005-0000-0000-000046370000}"/>
    <cellStyle name="Normal 6 5 8" xfId="31560" xr:uid="{00000000-0005-0000-0000-000047370000}"/>
    <cellStyle name="Normal 6 5 8 2" xfId="31561" xr:uid="{00000000-0005-0000-0000-000048370000}"/>
    <cellStyle name="Normal 6 5 8 3" xfId="31562" xr:uid="{00000000-0005-0000-0000-000049370000}"/>
    <cellStyle name="Normal 6 5 8 4" xfId="31563" xr:uid="{00000000-0005-0000-0000-00004A370000}"/>
    <cellStyle name="Normal 6 5 9" xfId="31564" xr:uid="{00000000-0005-0000-0000-00004B370000}"/>
    <cellStyle name="Normal 6 5 9 2" xfId="31565" xr:uid="{00000000-0005-0000-0000-00004C370000}"/>
    <cellStyle name="Normal 6 5 9 3" xfId="31566" xr:uid="{00000000-0005-0000-0000-00004D370000}"/>
    <cellStyle name="Normal 6 5 9 4" xfId="31567" xr:uid="{00000000-0005-0000-0000-00004E370000}"/>
    <cellStyle name="Normal 6 50" xfId="1436" xr:uid="{00000000-0005-0000-0000-00004F370000}"/>
    <cellStyle name="Normal 6 51" xfId="1437" xr:uid="{00000000-0005-0000-0000-000050370000}"/>
    <cellStyle name="Normal 6 52" xfId="1438" xr:uid="{00000000-0005-0000-0000-000051370000}"/>
    <cellStyle name="Normal 6 53" xfId="1439" xr:uid="{00000000-0005-0000-0000-000052370000}"/>
    <cellStyle name="Normal 6 54" xfId="1440" xr:uid="{00000000-0005-0000-0000-000053370000}"/>
    <cellStyle name="Normal 6 55" xfId="1441" xr:uid="{00000000-0005-0000-0000-000054370000}"/>
    <cellStyle name="Normal 6 56" xfId="1442" xr:uid="{00000000-0005-0000-0000-000055370000}"/>
    <cellStyle name="Normal 6 57" xfId="1443" xr:uid="{00000000-0005-0000-0000-000056370000}"/>
    <cellStyle name="Normal 6 58" xfId="1444" xr:uid="{00000000-0005-0000-0000-000057370000}"/>
    <cellStyle name="Normal 6 59" xfId="2592" xr:uid="{00000000-0005-0000-0000-000058370000}"/>
    <cellStyle name="Normal 6 6" xfId="1445" xr:uid="{00000000-0005-0000-0000-000059370000}"/>
    <cellStyle name="Normal 6 6 2" xfId="1446" xr:uid="{00000000-0005-0000-0000-00005A370000}"/>
    <cellStyle name="Normal 6 6 2 2" xfId="31568" xr:uid="{00000000-0005-0000-0000-00005B370000}"/>
    <cellStyle name="Normal 6 6 2 2 2" xfId="31569" xr:uid="{00000000-0005-0000-0000-00005C370000}"/>
    <cellStyle name="Normal 6 6 2 2 2 2" xfId="31570" xr:uid="{00000000-0005-0000-0000-00005D370000}"/>
    <cellStyle name="Normal 6 6 2 2 2 3" xfId="31571" xr:uid="{00000000-0005-0000-0000-00005E370000}"/>
    <cellStyle name="Normal 6 6 2 2 2 4" xfId="31572" xr:uid="{00000000-0005-0000-0000-00005F370000}"/>
    <cellStyle name="Normal 6 6 2 2 3" xfId="31573" xr:uid="{00000000-0005-0000-0000-000060370000}"/>
    <cellStyle name="Normal 6 6 2 2 4" xfId="31574" xr:uid="{00000000-0005-0000-0000-000061370000}"/>
    <cellStyle name="Normal 6 6 2 2 5" xfId="31575" xr:uid="{00000000-0005-0000-0000-000062370000}"/>
    <cellStyle name="Normal 6 6 2 3" xfId="31576" xr:uid="{00000000-0005-0000-0000-000063370000}"/>
    <cellStyle name="Normal 6 6 2 3 2" xfId="31577" xr:uid="{00000000-0005-0000-0000-000064370000}"/>
    <cellStyle name="Normal 6 6 2 3 3" xfId="31578" xr:uid="{00000000-0005-0000-0000-000065370000}"/>
    <cellStyle name="Normal 6 6 2 3 4" xfId="31579" xr:uid="{00000000-0005-0000-0000-000066370000}"/>
    <cellStyle name="Normal 6 6 2 4" xfId="31580" xr:uid="{00000000-0005-0000-0000-000067370000}"/>
    <cellStyle name="Normal 6 6 2 5" xfId="31581" xr:uid="{00000000-0005-0000-0000-000068370000}"/>
    <cellStyle name="Normal 6 6 2 6" xfId="31582" xr:uid="{00000000-0005-0000-0000-000069370000}"/>
    <cellStyle name="Normal 6 6 3" xfId="31583" xr:uid="{00000000-0005-0000-0000-00006A370000}"/>
    <cellStyle name="Normal 6 6 3 2" xfId="31584" xr:uid="{00000000-0005-0000-0000-00006B370000}"/>
    <cellStyle name="Normal 6 6 3 2 2" xfId="31585" xr:uid="{00000000-0005-0000-0000-00006C370000}"/>
    <cellStyle name="Normal 6 6 3 2 3" xfId="31586" xr:uid="{00000000-0005-0000-0000-00006D370000}"/>
    <cellStyle name="Normal 6 6 3 2 4" xfId="31587" xr:uid="{00000000-0005-0000-0000-00006E370000}"/>
    <cellStyle name="Normal 6 6 3 3" xfId="31588" xr:uid="{00000000-0005-0000-0000-00006F370000}"/>
    <cellStyle name="Normal 6 6 3 4" xfId="31589" xr:uid="{00000000-0005-0000-0000-000070370000}"/>
    <cellStyle name="Normal 6 6 3 5" xfId="31590" xr:uid="{00000000-0005-0000-0000-000071370000}"/>
    <cellStyle name="Normal 6 6 4" xfId="31591" xr:uid="{00000000-0005-0000-0000-000072370000}"/>
    <cellStyle name="Normal 6 6 4 2" xfId="31592" xr:uid="{00000000-0005-0000-0000-000073370000}"/>
    <cellStyle name="Normal 6 6 4 3" xfId="31593" xr:uid="{00000000-0005-0000-0000-000074370000}"/>
    <cellStyle name="Normal 6 6 4 4" xfId="31594" xr:uid="{00000000-0005-0000-0000-000075370000}"/>
    <cellStyle name="Normal 6 6 5" xfId="31595" xr:uid="{00000000-0005-0000-0000-000076370000}"/>
    <cellStyle name="Normal 6 6 5 2" xfId="31596" xr:uid="{00000000-0005-0000-0000-000077370000}"/>
    <cellStyle name="Normal 6 6 5 3" xfId="31597" xr:uid="{00000000-0005-0000-0000-000078370000}"/>
    <cellStyle name="Normal 6 6 5 4" xfId="31598" xr:uid="{00000000-0005-0000-0000-000079370000}"/>
    <cellStyle name="Normal 6 6 6" xfId="31599" xr:uid="{00000000-0005-0000-0000-00007A370000}"/>
    <cellStyle name="Normal 6 6 6 2" xfId="31600" xr:uid="{00000000-0005-0000-0000-00007B370000}"/>
    <cellStyle name="Normal 6 6 6 3" xfId="31601" xr:uid="{00000000-0005-0000-0000-00007C370000}"/>
    <cellStyle name="Normal 6 6 7" xfId="31602" xr:uid="{00000000-0005-0000-0000-00007D370000}"/>
    <cellStyle name="Normal 6 6 8" xfId="31603" xr:uid="{00000000-0005-0000-0000-00007E370000}"/>
    <cellStyle name="Normal 6 6 9" xfId="31604" xr:uid="{00000000-0005-0000-0000-00007F370000}"/>
    <cellStyle name="Normal 6 7" xfId="1447" xr:uid="{00000000-0005-0000-0000-000080370000}"/>
    <cellStyle name="Normal 6 7 2" xfId="1448" xr:uid="{00000000-0005-0000-0000-000081370000}"/>
    <cellStyle name="Normal 6 7 2 2" xfId="31605" xr:uid="{00000000-0005-0000-0000-000082370000}"/>
    <cellStyle name="Normal 6 7 2 2 2" xfId="31606" xr:uid="{00000000-0005-0000-0000-000083370000}"/>
    <cellStyle name="Normal 6 7 2 2 2 2" xfId="31607" xr:uid="{00000000-0005-0000-0000-000084370000}"/>
    <cellStyle name="Normal 6 7 2 2 2 3" xfId="31608" xr:uid="{00000000-0005-0000-0000-000085370000}"/>
    <cellStyle name="Normal 6 7 2 2 2 4" xfId="31609" xr:uid="{00000000-0005-0000-0000-000086370000}"/>
    <cellStyle name="Normal 6 7 2 2 3" xfId="31610" xr:uid="{00000000-0005-0000-0000-000087370000}"/>
    <cellStyle name="Normal 6 7 2 2 4" xfId="31611" xr:uid="{00000000-0005-0000-0000-000088370000}"/>
    <cellStyle name="Normal 6 7 2 2 5" xfId="31612" xr:uid="{00000000-0005-0000-0000-000089370000}"/>
    <cellStyle name="Normal 6 7 2 3" xfId="31613" xr:uid="{00000000-0005-0000-0000-00008A370000}"/>
    <cellStyle name="Normal 6 7 2 3 2" xfId="31614" xr:uid="{00000000-0005-0000-0000-00008B370000}"/>
    <cellStyle name="Normal 6 7 2 3 3" xfId="31615" xr:uid="{00000000-0005-0000-0000-00008C370000}"/>
    <cellStyle name="Normal 6 7 2 3 4" xfId="31616" xr:uid="{00000000-0005-0000-0000-00008D370000}"/>
    <cellStyle name="Normal 6 7 2 4" xfId="31617" xr:uid="{00000000-0005-0000-0000-00008E370000}"/>
    <cellStyle name="Normal 6 7 2 5" xfId="31618" xr:uid="{00000000-0005-0000-0000-00008F370000}"/>
    <cellStyle name="Normal 6 7 2 6" xfId="31619" xr:uid="{00000000-0005-0000-0000-000090370000}"/>
    <cellStyle name="Normal 6 7 3" xfId="31620" xr:uid="{00000000-0005-0000-0000-000091370000}"/>
    <cellStyle name="Normal 6 7 3 2" xfId="31621" xr:uid="{00000000-0005-0000-0000-000092370000}"/>
    <cellStyle name="Normal 6 7 3 2 2" xfId="31622" xr:uid="{00000000-0005-0000-0000-000093370000}"/>
    <cellStyle name="Normal 6 7 3 2 3" xfId="31623" xr:uid="{00000000-0005-0000-0000-000094370000}"/>
    <cellStyle name="Normal 6 7 3 2 4" xfId="31624" xr:uid="{00000000-0005-0000-0000-000095370000}"/>
    <cellStyle name="Normal 6 7 3 3" xfId="31625" xr:uid="{00000000-0005-0000-0000-000096370000}"/>
    <cellStyle name="Normal 6 7 3 4" xfId="31626" xr:uid="{00000000-0005-0000-0000-000097370000}"/>
    <cellStyle name="Normal 6 7 3 5" xfId="31627" xr:uid="{00000000-0005-0000-0000-000098370000}"/>
    <cellStyle name="Normal 6 7 4" xfId="31628" xr:uid="{00000000-0005-0000-0000-000099370000}"/>
    <cellStyle name="Normal 6 7 4 2" xfId="31629" xr:uid="{00000000-0005-0000-0000-00009A370000}"/>
    <cellStyle name="Normal 6 7 4 3" xfId="31630" xr:uid="{00000000-0005-0000-0000-00009B370000}"/>
    <cellStyle name="Normal 6 7 4 4" xfId="31631" xr:uid="{00000000-0005-0000-0000-00009C370000}"/>
    <cellStyle name="Normal 6 7 5" xfId="31632" xr:uid="{00000000-0005-0000-0000-00009D370000}"/>
    <cellStyle name="Normal 6 7 5 2" xfId="31633" xr:uid="{00000000-0005-0000-0000-00009E370000}"/>
    <cellStyle name="Normal 6 7 5 3" xfId="31634" xr:uid="{00000000-0005-0000-0000-00009F370000}"/>
    <cellStyle name="Normal 6 7 5 4" xfId="31635" xr:uid="{00000000-0005-0000-0000-0000A0370000}"/>
    <cellStyle name="Normal 6 7 6" xfId="31636" xr:uid="{00000000-0005-0000-0000-0000A1370000}"/>
    <cellStyle name="Normal 6 7 6 2" xfId="31637" xr:uid="{00000000-0005-0000-0000-0000A2370000}"/>
    <cellStyle name="Normal 6 7 6 3" xfId="31638" xr:uid="{00000000-0005-0000-0000-0000A3370000}"/>
    <cellStyle name="Normal 6 7 7" xfId="31639" xr:uid="{00000000-0005-0000-0000-0000A4370000}"/>
    <cellStyle name="Normal 6 7 8" xfId="31640" xr:uid="{00000000-0005-0000-0000-0000A5370000}"/>
    <cellStyle name="Normal 6 7 9" xfId="31641" xr:uid="{00000000-0005-0000-0000-0000A6370000}"/>
    <cellStyle name="Normal 6 8" xfId="1449" xr:uid="{00000000-0005-0000-0000-0000A7370000}"/>
    <cellStyle name="Normal 6 8 2" xfId="1450" xr:uid="{00000000-0005-0000-0000-0000A8370000}"/>
    <cellStyle name="Normal 6 8 2 2" xfId="31642" xr:uid="{00000000-0005-0000-0000-0000A9370000}"/>
    <cellStyle name="Normal 6 8 2 2 2" xfId="31643" xr:uid="{00000000-0005-0000-0000-0000AA370000}"/>
    <cellStyle name="Normal 6 8 2 2 3" xfId="31644" xr:uid="{00000000-0005-0000-0000-0000AB370000}"/>
    <cellStyle name="Normal 6 8 2 2 4" xfId="31645" xr:uid="{00000000-0005-0000-0000-0000AC370000}"/>
    <cellStyle name="Normal 6 8 2 3" xfId="31646" xr:uid="{00000000-0005-0000-0000-0000AD370000}"/>
    <cellStyle name="Normal 6 8 2 4" xfId="31647" xr:uid="{00000000-0005-0000-0000-0000AE370000}"/>
    <cellStyle name="Normal 6 8 2 5" xfId="31648" xr:uid="{00000000-0005-0000-0000-0000AF370000}"/>
    <cellStyle name="Normal 6 8 3" xfId="31649" xr:uid="{00000000-0005-0000-0000-0000B0370000}"/>
    <cellStyle name="Normal 6 8 3 2" xfId="31650" xr:uid="{00000000-0005-0000-0000-0000B1370000}"/>
    <cellStyle name="Normal 6 8 3 3" xfId="31651" xr:uid="{00000000-0005-0000-0000-0000B2370000}"/>
    <cellStyle name="Normal 6 8 3 4" xfId="31652" xr:uid="{00000000-0005-0000-0000-0000B3370000}"/>
    <cellStyle name="Normal 6 8 4" xfId="31653" xr:uid="{00000000-0005-0000-0000-0000B4370000}"/>
    <cellStyle name="Normal 6 8 5" xfId="31654" xr:uid="{00000000-0005-0000-0000-0000B5370000}"/>
    <cellStyle name="Normal 6 8 6" xfId="31655" xr:uid="{00000000-0005-0000-0000-0000B6370000}"/>
    <cellStyle name="Normal 6 9" xfId="1451" xr:uid="{00000000-0005-0000-0000-0000B7370000}"/>
    <cellStyle name="Normal 6 9 2" xfId="1452" xr:uid="{00000000-0005-0000-0000-0000B8370000}"/>
    <cellStyle name="Normal 6 9 2 2" xfId="31656" xr:uid="{00000000-0005-0000-0000-0000B9370000}"/>
    <cellStyle name="Normal 6 9 2 2 2" xfId="31657" xr:uid="{00000000-0005-0000-0000-0000BA370000}"/>
    <cellStyle name="Normal 6 9 2 2 3" xfId="31658" xr:uid="{00000000-0005-0000-0000-0000BB370000}"/>
    <cellStyle name="Normal 6 9 2 2 4" xfId="31659" xr:uid="{00000000-0005-0000-0000-0000BC370000}"/>
    <cellStyle name="Normal 6 9 2 3" xfId="31660" xr:uid="{00000000-0005-0000-0000-0000BD370000}"/>
    <cellStyle name="Normal 6 9 2 4" xfId="31661" xr:uid="{00000000-0005-0000-0000-0000BE370000}"/>
    <cellStyle name="Normal 6 9 2 5" xfId="31662" xr:uid="{00000000-0005-0000-0000-0000BF370000}"/>
    <cellStyle name="Normal 6 9 3" xfId="31663" xr:uid="{00000000-0005-0000-0000-0000C0370000}"/>
    <cellStyle name="Normal 6 9 3 2" xfId="31664" xr:uid="{00000000-0005-0000-0000-0000C1370000}"/>
    <cellStyle name="Normal 6 9 3 3" xfId="31665" xr:uid="{00000000-0005-0000-0000-0000C2370000}"/>
    <cellStyle name="Normal 6 9 3 4" xfId="31666" xr:uid="{00000000-0005-0000-0000-0000C3370000}"/>
    <cellStyle name="Normal 6 9 4" xfId="31667" xr:uid="{00000000-0005-0000-0000-0000C4370000}"/>
    <cellStyle name="Normal 6 9 5" xfId="31668" xr:uid="{00000000-0005-0000-0000-0000C5370000}"/>
    <cellStyle name="Normal 6 9 6" xfId="31669" xr:uid="{00000000-0005-0000-0000-0000C6370000}"/>
    <cellStyle name="Normal 60" xfId="1453" xr:uid="{00000000-0005-0000-0000-0000C7370000}"/>
    <cellStyle name="Normal 60 2" xfId="1454" xr:uid="{00000000-0005-0000-0000-0000C8370000}"/>
    <cellStyle name="Normal 60 2 2" xfId="31670" xr:uid="{00000000-0005-0000-0000-0000C9370000}"/>
    <cellStyle name="Normal 60 3" xfId="1455" xr:uid="{00000000-0005-0000-0000-0000CA370000}"/>
    <cellStyle name="Normal 60 3 2" xfId="1456" xr:uid="{00000000-0005-0000-0000-0000CB370000}"/>
    <cellStyle name="Normal 60 3 2 2" xfId="2577" xr:uid="{00000000-0005-0000-0000-0000CC370000}"/>
    <cellStyle name="Normal 60 3 2 2 2" xfId="22431" xr:uid="{00000000-0005-0000-0000-0000CD370000}"/>
    <cellStyle name="Normal 60 3 2 2 2 2" xfId="22705" xr:uid="{00000000-0005-0000-0000-0000CE370000}"/>
    <cellStyle name="Normal 60 3 3" xfId="22301" xr:uid="{00000000-0005-0000-0000-0000CF370000}"/>
    <cellStyle name="Normal 60 3 3 2" xfId="22317" xr:uid="{00000000-0005-0000-0000-0000D0370000}"/>
    <cellStyle name="Normal 60 3 3 3" xfId="22339" xr:uid="{00000000-0005-0000-0000-0000D1370000}"/>
    <cellStyle name="Normal 60 3 3 3 2" xfId="22378" xr:uid="{00000000-0005-0000-0000-0000D2370000}"/>
    <cellStyle name="Normal 60 3 3 3 3" xfId="22416" xr:uid="{00000000-0005-0000-0000-0000D3370000}"/>
    <cellStyle name="Normal 60 3 3 3 3 2" xfId="22690" xr:uid="{00000000-0005-0000-0000-0000D4370000}"/>
    <cellStyle name="Normal 60 3 3 4" xfId="22355" xr:uid="{00000000-0005-0000-0000-0000D5370000}"/>
    <cellStyle name="Normal 60 3 4" xfId="26040" xr:uid="{00000000-0005-0000-0000-0000D6370000}"/>
    <cellStyle name="Normal 60 4" xfId="31671" xr:uid="{00000000-0005-0000-0000-0000D7370000}"/>
    <cellStyle name="Normal 60 5" xfId="31672" xr:uid="{00000000-0005-0000-0000-0000D8370000}"/>
    <cellStyle name="Normal 61" xfId="47" xr:uid="{00000000-0005-0000-0000-0000D9370000}"/>
    <cellStyle name="Normal 61 2" xfId="48" xr:uid="{00000000-0005-0000-0000-0000DA370000}"/>
    <cellStyle name="Normal 61 2 2" xfId="31673" xr:uid="{00000000-0005-0000-0000-0000DB370000}"/>
    <cellStyle name="Normal 61 3" xfId="31674" xr:uid="{00000000-0005-0000-0000-0000DC370000}"/>
    <cellStyle name="Normal 61 4" xfId="31675" xr:uid="{00000000-0005-0000-0000-0000DD370000}"/>
    <cellStyle name="Normal 61 5" xfId="31676" xr:uid="{00000000-0005-0000-0000-0000DE370000}"/>
    <cellStyle name="Normal 61_ARQ-COMP" xfId="1457" xr:uid="{00000000-0005-0000-0000-0000DF370000}"/>
    <cellStyle name="Normal 62" xfId="1458" xr:uid="{00000000-0005-0000-0000-0000E0370000}"/>
    <cellStyle name="Normal 62 2" xfId="1459" xr:uid="{00000000-0005-0000-0000-0000E1370000}"/>
    <cellStyle name="Normal 62 2 2" xfId="31677" xr:uid="{00000000-0005-0000-0000-0000E2370000}"/>
    <cellStyle name="Normal 62 3" xfId="1460" xr:uid="{00000000-0005-0000-0000-0000E3370000}"/>
    <cellStyle name="Normal 62 3 2" xfId="26061" xr:uid="{00000000-0005-0000-0000-0000E4370000}"/>
    <cellStyle name="Normal 62 4" xfId="1461" xr:uid="{00000000-0005-0000-0000-0000E5370000}"/>
    <cellStyle name="Normal 62 5" xfId="2560" xr:uid="{00000000-0005-0000-0000-0000E6370000}"/>
    <cellStyle name="Normal 62 5 2" xfId="22423" xr:uid="{00000000-0005-0000-0000-0000E7370000}"/>
    <cellStyle name="Normal 62 5 2 2" xfId="22697" xr:uid="{00000000-0005-0000-0000-0000E8370000}"/>
    <cellStyle name="Normal 62_ARQ-COMP" xfId="1462" xr:uid="{00000000-0005-0000-0000-0000E9370000}"/>
    <cellStyle name="Normal 63" xfId="1463" xr:uid="{00000000-0005-0000-0000-0000EA370000}"/>
    <cellStyle name="Normal 63 2" xfId="1464" xr:uid="{00000000-0005-0000-0000-0000EB370000}"/>
    <cellStyle name="Normal 63 2 2" xfId="31678" xr:uid="{00000000-0005-0000-0000-0000EC370000}"/>
    <cellStyle name="Normal 63 3" xfId="1465" xr:uid="{00000000-0005-0000-0000-0000ED370000}"/>
    <cellStyle name="Normal 63 3 2" xfId="26062" xr:uid="{00000000-0005-0000-0000-0000EE370000}"/>
    <cellStyle name="Normal 63 4" xfId="1466" xr:uid="{00000000-0005-0000-0000-0000EF370000}"/>
    <cellStyle name="Normal 63 5" xfId="2561" xr:uid="{00000000-0005-0000-0000-0000F0370000}"/>
    <cellStyle name="Normal 63_ARQ-COMP" xfId="1467" xr:uid="{00000000-0005-0000-0000-0000F1370000}"/>
    <cellStyle name="Normal 64" xfId="1468" xr:uid="{00000000-0005-0000-0000-0000F2370000}"/>
    <cellStyle name="Normal 64 10" xfId="31679" xr:uid="{00000000-0005-0000-0000-0000F3370000}"/>
    <cellStyle name="Normal 64 10 2" xfId="31680" xr:uid="{00000000-0005-0000-0000-0000F4370000}"/>
    <cellStyle name="Normal 64 10 3" xfId="31681" xr:uid="{00000000-0005-0000-0000-0000F5370000}"/>
    <cellStyle name="Normal 64 2" xfId="1469" xr:uid="{00000000-0005-0000-0000-0000F6370000}"/>
    <cellStyle name="Normal 64 2 2" xfId="31682" xr:uid="{00000000-0005-0000-0000-0000F7370000}"/>
    <cellStyle name="Normal 64 3" xfId="1470" xr:uid="{00000000-0005-0000-0000-0000F8370000}"/>
    <cellStyle name="Normal 64 3 2" xfId="26063" xr:uid="{00000000-0005-0000-0000-0000F9370000}"/>
    <cellStyle name="Normal 64 3 2 2" xfId="31683" xr:uid="{00000000-0005-0000-0000-0000FA370000}"/>
    <cellStyle name="Normal 64 3 2 2 2" xfId="31684" xr:uid="{00000000-0005-0000-0000-0000FB370000}"/>
    <cellStyle name="Normal 64 3 2 2 3" xfId="31685" xr:uid="{00000000-0005-0000-0000-0000FC370000}"/>
    <cellStyle name="Normal 64 3 2 2 4" xfId="31686" xr:uid="{00000000-0005-0000-0000-0000FD370000}"/>
    <cellStyle name="Normal 64 3 2 3" xfId="31687" xr:uid="{00000000-0005-0000-0000-0000FE370000}"/>
    <cellStyle name="Normal 64 3 2 4" xfId="31688" xr:uid="{00000000-0005-0000-0000-0000FF370000}"/>
    <cellStyle name="Normal 64 3 2 5" xfId="31689" xr:uid="{00000000-0005-0000-0000-000000380000}"/>
    <cellStyle name="Normal 64 3 3" xfId="31690" xr:uid="{00000000-0005-0000-0000-000001380000}"/>
    <cellStyle name="Normal 64 3 3 2" xfId="31691" xr:uid="{00000000-0005-0000-0000-000002380000}"/>
    <cellStyle name="Normal 64 3 3 3" xfId="31692" xr:uid="{00000000-0005-0000-0000-000003380000}"/>
    <cellStyle name="Normal 64 3 3 4" xfId="31693" xr:uid="{00000000-0005-0000-0000-000004380000}"/>
    <cellStyle name="Normal 64 3 4" xfId="31694" xr:uid="{00000000-0005-0000-0000-000005380000}"/>
    <cellStyle name="Normal 64 3 5" xfId="31695" xr:uid="{00000000-0005-0000-0000-000006380000}"/>
    <cellStyle name="Normal 64 3 6" xfId="31696" xr:uid="{00000000-0005-0000-0000-000007380000}"/>
    <cellStyle name="Normal 64 4" xfId="31697" xr:uid="{00000000-0005-0000-0000-000008380000}"/>
    <cellStyle name="Normal 64 4 2" xfId="31698" xr:uid="{00000000-0005-0000-0000-000009380000}"/>
    <cellStyle name="Normal 64 4 2 2" xfId="31699" xr:uid="{00000000-0005-0000-0000-00000A380000}"/>
    <cellStyle name="Normal 64 4 2 2 2" xfId="31700" xr:uid="{00000000-0005-0000-0000-00000B380000}"/>
    <cellStyle name="Normal 64 4 2 2 3" xfId="31701" xr:uid="{00000000-0005-0000-0000-00000C380000}"/>
    <cellStyle name="Normal 64 4 2 2 4" xfId="31702" xr:uid="{00000000-0005-0000-0000-00000D380000}"/>
    <cellStyle name="Normal 64 4 2 3" xfId="31703" xr:uid="{00000000-0005-0000-0000-00000E380000}"/>
    <cellStyle name="Normal 64 4 2 4" xfId="31704" xr:uid="{00000000-0005-0000-0000-00000F380000}"/>
    <cellStyle name="Normal 64 4 2 5" xfId="31705" xr:uid="{00000000-0005-0000-0000-000010380000}"/>
    <cellStyle name="Normal 64 4 3" xfId="31706" xr:uid="{00000000-0005-0000-0000-000011380000}"/>
    <cellStyle name="Normal 64 4 3 2" xfId="31707" xr:uid="{00000000-0005-0000-0000-000012380000}"/>
    <cellStyle name="Normal 64 4 3 3" xfId="31708" xr:uid="{00000000-0005-0000-0000-000013380000}"/>
    <cellStyle name="Normal 64 4 3 4" xfId="31709" xr:uid="{00000000-0005-0000-0000-000014380000}"/>
    <cellStyle name="Normal 64 4 4" xfId="31710" xr:uid="{00000000-0005-0000-0000-000015380000}"/>
    <cellStyle name="Normal 64 4 5" xfId="31711" xr:uid="{00000000-0005-0000-0000-000016380000}"/>
    <cellStyle name="Normal 64 4 6" xfId="31712" xr:uid="{00000000-0005-0000-0000-000017380000}"/>
    <cellStyle name="Normal 64 5" xfId="31713" xr:uid="{00000000-0005-0000-0000-000018380000}"/>
    <cellStyle name="Normal 64 5 2" xfId="31714" xr:uid="{00000000-0005-0000-0000-000019380000}"/>
    <cellStyle name="Normal 64 5 2 2" xfId="31715" xr:uid="{00000000-0005-0000-0000-00001A380000}"/>
    <cellStyle name="Normal 64 5 2 2 2" xfId="31716" xr:uid="{00000000-0005-0000-0000-00001B380000}"/>
    <cellStyle name="Normal 64 5 2 2 3" xfId="31717" xr:uid="{00000000-0005-0000-0000-00001C380000}"/>
    <cellStyle name="Normal 64 5 2 2 4" xfId="31718" xr:uid="{00000000-0005-0000-0000-00001D380000}"/>
    <cellStyle name="Normal 64 5 2 3" xfId="31719" xr:uid="{00000000-0005-0000-0000-00001E380000}"/>
    <cellStyle name="Normal 64 5 2 4" xfId="31720" xr:uid="{00000000-0005-0000-0000-00001F380000}"/>
    <cellStyle name="Normal 64 5 2 5" xfId="31721" xr:uid="{00000000-0005-0000-0000-000020380000}"/>
    <cellStyle name="Normal 64 5 3" xfId="31722" xr:uid="{00000000-0005-0000-0000-000021380000}"/>
    <cellStyle name="Normal 64 5 3 2" xfId="31723" xr:uid="{00000000-0005-0000-0000-000022380000}"/>
    <cellStyle name="Normal 64 5 3 3" xfId="31724" xr:uid="{00000000-0005-0000-0000-000023380000}"/>
    <cellStyle name="Normal 64 5 3 4" xfId="31725" xr:uid="{00000000-0005-0000-0000-000024380000}"/>
    <cellStyle name="Normal 64 5 4" xfId="31726" xr:uid="{00000000-0005-0000-0000-000025380000}"/>
    <cellStyle name="Normal 64 5 5" xfId="31727" xr:uid="{00000000-0005-0000-0000-000026380000}"/>
    <cellStyle name="Normal 64 5 6" xfId="31728" xr:uid="{00000000-0005-0000-0000-000027380000}"/>
    <cellStyle name="Normal 64 6" xfId="31729" xr:uid="{00000000-0005-0000-0000-000028380000}"/>
    <cellStyle name="Normal 64 6 2" xfId="31730" xr:uid="{00000000-0005-0000-0000-000029380000}"/>
    <cellStyle name="Normal 64 6 2 2" xfId="31731" xr:uid="{00000000-0005-0000-0000-00002A380000}"/>
    <cellStyle name="Normal 64 6 2 3" xfId="31732" xr:uid="{00000000-0005-0000-0000-00002B380000}"/>
    <cellStyle name="Normal 64 6 2 4" xfId="31733" xr:uid="{00000000-0005-0000-0000-00002C380000}"/>
    <cellStyle name="Normal 64 6 3" xfId="31734" xr:uid="{00000000-0005-0000-0000-00002D380000}"/>
    <cellStyle name="Normal 64 6 4" xfId="31735" xr:uid="{00000000-0005-0000-0000-00002E380000}"/>
    <cellStyle name="Normal 64 6 5" xfId="31736" xr:uid="{00000000-0005-0000-0000-00002F380000}"/>
    <cellStyle name="Normal 64 7" xfId="31737" xr:uid="{00000000-0005-0000-0000-000030380000}"/>
    <cellStyle name="Normal 64 7 2" xfId="31738" xr:uid="{00000000-0005-0000-0000-000031380000}"/>
    <cellStyle name="Normal 64 7 3" xfId="31739" xr:uid="{00000000-0005-0000-0000-000032380000}"/>
    <cellStyle name="Normal 64 7 4" xfId="31740" xr:uid="{00000000-0005-0000-0000-000033380000}"/>
    <cellStyle name="Normal 64 8" xfId="31741" xr:uid="{00000000-0005-0000-0000-000034380000}"/>
    <cellStyle name="Normal 64 8 2" xfId="31742" xr:uid="{00000000-0005-0000-0000-000035380000}"/>
    <cellStyle name="Normal 64 8 3" xfId="31743" xr:uid="{00000000-0005-0000-0000-000036380000}"/>
    <cellStyle name="Normal 64 8 4" xfId="31744" xr:uid="{00000000-0005-0000-0000-000037380000}"/>
    <cellStyle name="Normal 64 9" xfId="31745" xr:uid="{00000000-0005-0000-0000-000038380000}"/>
    <cellStyle name="Normal 64 9 2" xfId="31746" xr:uid="{00000000-0005-0000-0000-000039380000}"/>
    <cellStyle name="Normal 64 9 3" xfId="31747" xr:uid="{00000000-0005-0000-0000-00003A380000}"/>
    <cellStyle name="Normal 64 9 4" xfId="31748" xr:uid="{00000000-0005-0000-0000-00003B380000}"/>
    <cellStyle name="Normal 64_ARQ-COMP" xfId="1471" xr:uid="{00000000-0005-0000-0000-00003C380000}"/>
    <cellStyle name="Normal 65" xfId="1472" xr:uid="{00000000-0005-0000-0000-00003D380000}"/>
    <cellStyle name="Normal 65 2" xfId="1473" xr:uid="{00000000-0005-0000-0000-00003E380000}"/>
    <cellStyle name="Normal 65 2 2" xfId="31749" xr:uid="{00000000-0005-0000-0000-00003F380000}"/>
    <cellStyle name="Normal 65 2 2 2" xfId="31750" xr:uid="{00000000-0005-0000-0000-000040380000}"/>
    <cellStyle name="Normal 65 2 2 2 2" xfId="31751" xr:uid="{00000000-0005-0000-0000-000041380000}"/>
    <cellStyle name="Normal 65 2 2 2 2 2" xfId="31752" xr:uid="{00000000-0005-0000-0000-000042380000}"/>
    <cellStyle name="Normal 65 2 2 2 2 3" xfId="31753" xr:uid="{00000000-0005-0000-0000-000043380000}"/>
    <cellStyle name="Normal 65 2 2 2 2 4" xfId="31754" xr:uid="{00000000-0005-0000-0000-000044380000}"/>
    <cellStyle name="Normal 65 2 2 2 3" xfId="31755" xr:uid="{00000000-0005-0000-0000-000045380000}"/>
    <cellStyle name="Normal 65 2 2 2 4" xfId="31756" xr:uid="{00000000-0005-0000-0000-000046380000}"/>
    <cellStyle name="Normal 65 2 2 2 5" xfId="31757" xr:uid="{00000000-0005-0000-0000-000047380000}"/>
    <cellStyle name="Normal 65 2 2 3" xfId="31758" xr:uid="{00000000-0005-0000-0000-000048380000}"/>
    <cellStyle name="Normal 65 2 2 3 2" xfId="31759" xr:uid="{00000000-0005-0000-0000-000049380000}"/>
    <cellStyle name="Normal 65 2 2 3 3" xfId="31760" xr:uid="{00000000-0005-0000-0000-00004A380000}"/>
    <cellStyle name="Normal 65 2 2 3 4" xfId="31761" xr:uid="{00000000-0005-0000-0000-00004B380000}"/>
    <cellStyle name="Normal 65 2 2 4" xfId="31762" xr:uid="{00000000-0005-0000-0000-00004C380000}"/>
    <cellStyle name="Normal 65 2 2 5" xfId="31763" xr:uid="{00000000-0005-0000-0000-00004D380000}"/>
    <cellStyle name="Normal 65 2 2 6" xfId="31764" xr:uid="{00000000-0005-0000-0000-00004E380000}"/>
    <cellStyle name="Normal 65 2 3" xfId="31765" xr:uid="{00000000-0005-0000-0000-00004F380000}"/>
    <cellStyle name="Normal 65 2 3 2" xfId="31766" xr:uid="{00000000-0005-0000-0000-000050380000}"/>
    <cellStyle name="Normal 65 2 3 2 2" xfId="31767" xr:uid="{00000000-0005-0000-0000-000051380000}"/>
    <cellStyle name="Normal 65 2 3 2 3" xfId="31768" xr:uid="{00000000-0005-0000-0000-000052380000}"/>
    <cellStyle name="Normal 65 2 3 2 4" xfId="31769" xr:uid="{00000000-0005-0000-0000-000053380000}"/>
    <cellStyle name="Normal 65 2 3 3" xfId="31770" xr:uid="{00000000-0005-0000-0000-000054380000}"/>
    <cellStyle name="Normal 65 2 3 4" xfId="31771" xr:uid="{00000000-0005-0000-0000-000055380000}"/>
    <cellStyle name="Normal 65 2 3 5" xfId="31772" xr:uid="{00000000-0005-0000-0000-000056380000}"/>
    <cellStyle name="Normal 65 2 4" xfId="31773" xr:uid="{00000000-0005-0000-0000-000057380000}"/>
    <cellStyle name="Normal 65 2 4 2" xfId="31774" xr:uid="{00000000-0005-0000-0000-000058380000}"/>
    <cellStyle name="Normal 65 2 4 3" xfId="31775" xr:uid="{00000000-0005-0000-0000-000059380000}"/>
    <cellStyle name="Normal 65 2 4 4" xfId="31776" xr:uid="{00000000-0005-0000-0000-00005A380000}"/>
    <cellStyle name="Normal 65 2 5" xfId="31777" xr:uid="{00000000-0005-0000-0000-00005B380000}"/>
    <cellStyle name="Normal 65 2 5 2" xfId="31778" xr:uid="{00000000-0005-0000-0000-00005C380000}"/>
    <cellStyle name="Normal 65 2 5 3" xfId="31779" xr:uid="{00000000-0005-0000-0000-00005D380000}"/>
    <cellStyle name="Normal 65 2 5 4" xfId="31780" xr:uid="{00000000-0005-0000-0000-00005E380000}"/>
    <cellStyle name="Normal 65 2 6" xfId="31781" xr:uid="{00000000-0005-0000-0000-00005F380000}"/>
    <cellStyle name="Normal 65 2 6 2" xfId="31782" xr:uid="{00000000-0005-0000-0000-000060380000}"/>
    <cellStyle name="Normal 65 2 6 3" xfId="31783" xr:uid="{00000000-0005-0000-0000-000061380000}"/>
    <cellStyle name="Normal 65 2 7" xfId="31784" xr:uid="{00000000-0005-0000-0000-000062380000}"/>
    <cellStyle name="Normal 65 2 8" xfId="31785" xr:uid="{00000000-0005-0000-0000-000063380000}"/>
    <cellStyle name="Normal 65 2 9" xfId="31786" xr:uid="{00000000-0005-0000-0000-000064380000}"/>
    <cellStyle name="Normal 65 3" xfId="1474" xr:uid="{00000000-0005-0000-0000-000065380000}"/>
    <cellStyle name="Normal 65 3 2" xfId="26064" xr:uid="{00000000-0005-0000-0000-000066380000}"/>
    <cellStyle name="Normal 65 4" xfId="33835" xr:uid="{00000000-0005-0000-0000-000067380000}"/>
    <cellStyle name="Normal 65 5" xfId="33836" xr:uid="{00000000-0005-0000-0000-000068380000}"/>
    <cellStyle name="Normal 65_ARQ-COMP" xfId="1475" xr:uid="{00000000-0005-0000-0000-000069380000}"/>
    <cellStyle name="Normal 66" xfId="1476" xr:uid="{00000000-0005-0000-0000-00006A380000}"/>
    <cellStyle name="Normal 66 2" xfId="1477" xr:uid="{00000000-0005-0000-0000-00006B380000}"/>
    <cellStyle name="Normal 66 2 2" xfId="31787" xr:uid="{00000000-0005-0000-0000-00006C380000}"/>
    <cellStyle name="Normal 66 3" xfId="1478" xr:uid="{00000000-0005-0000-0000-00006D380000}"/>
    <cellStyle name="Normal 66 3 2" xfId="26065" xr:uid="{00000000-0005-0000-0000-00006E380000}"/>
    <cellStyle name="Normal 66 3 2 2" xfId="31788" xr:uid="{00000000-0005-0000-0000-00006F380000}"/>
    <cellStyle name="Normal 66 3 2 2 2" xfId="31789" xr:uid="{00000000-0005-0000-0000-000070380000}"/>
    <cellStyle name="Normal 66 3 2 2 3" xfId="31790" xr:uid="{00000000-0005-0000-0000-000071380000}"/>
    <cellStyle name="Normal 66 3 2 2 4" xfId="31791" xr:uid="{00000000-0005-0000-0000-000072380000}"/>
    <cellStyle name="Normal 66 3 2 3" xfId="31792" xr:uid="{00000000-0005-0000-0000-000073380000}"/>
    <cellStyle name="Normal 66 3 2 4" xfId="31793" xr:uid="{00000000-0005-0000-0000-000074380000}"/>
    <cellStyle name="Normal 66 3 2 5" xfId="31794" xr:uid="{00000000-0005-0000-0000-000075380000}"/>
    <cellStyle name="Normal 66 3 3" xfId="31795" xr:uid="{00000000-0005-0000-0000-000076380000}"/>
    <cellStyle name="Normal 66 3 3 2" xfId="31796" xr:uid="{00000000-0005-0000-0000-000077380000}"/>
    <cellStyle name="Normal 66 3 3 3" xfId="31797" xr:uid="{00000000-0005-0000-0000-000078380000}"/>
    <cellStyle name="Normal 66 3 3 4" xfId="31798" xr:uid="{00000000-0005-0000-0000-000079380000}"/>
    <cellStyle name="Normal 66 3 4" xfId="31799" xr:uid="{00000000-0005-0000-0000-00007A380000}"/>
    <cellStyle name="Normal 66 3 5" xfId="31800" xr:uid="{00000000-0005-0000-0000-00007B380000}"/>
    <cellStyle name="Normal 66 3 6" xfId="31801" xr:uid="{00000000-0005-0000-0000-00007C380000}"/>
    <cellStyle name="Normal 66 4" xfId="31802" xr:uid="{00000000-0005-0000-0000-00007D380000}"/>
    <cellStyle name="Normal 66 4 2" xfId="31803" xr:uid="{00000000-0005-0000-0000-00007E380000}"/>
    <cellStyle name="Normal 66 4 2 2" xfId="31804" xr:uid="{00000000-0005-0000-0000-00007F380000}"/>
    <cellStyle name="Normal 66 4 2 2 2" xfId="31805" xr:uid="{00000000-0005-0000-0000-000080380000}"/>
    <cellStyle name="Normal 66 4 2 2 3" xfId="31806" xr:uid="{00000000-0005-0000-0000-000081380000}"/>
    <cellStyle name="Normal 66 4 2 2 4" xfId="31807" xr:uid="{00000000-0005-0000-0000-000082380000}"/>
    <cellStyle name="Normal 66 4 2 3" xfId="31808" xr:uid="{00000000-0005-0000-0000-000083380000}"/>
    <cellStyle name="Normal 66 4 2 4" xfId="31809" xr:uid="{00000000-0005-0000-0000-000084380000}"/>
    <cellStyle name="Normal 66 4 2 5" xfId="31810" xr:uid="{00000000-0005-0000-0000-000085380000}"/>
    <cellStyle name="Normal 66 4 3" xfId="31811" xr:uid="{00000000-0005-0000-0000-000086380000}"/>
    <cellStyle name="Normal 66 4 3 2" xfId="31812" xr:uid="{00000000-0005-0000-0000-000087380000}"/>
    <cellStyle name="Normal 66 4 3 3" xfId="31813" xr:uid="{00000000-0005-0000-0000-000088380000}"/>
    <cellStyle name="Normal 66 4 3 4" xfId="31814" xr:uid="{00000000-0005-0000-0000-000089380000}"/>
    <cellStyle name="Normal 66 4 4" xfId="31815" xr:uid="{00000000-0005-0000-0000-00008A380000}"/>
    <cellStyle name="Normal 66 4 5" xfId="31816" xr:uid="{00000000-0005-0000-0000-00008B380000}"/>
    <cellStyle name="Normal 66 4 6" xfId="31817" xr:uid="{00000000-0005-0000-0000-00008C380000}"/>
    <cellStyle name="Normal 66 5" xfId="31818" xr:uid="{00000000-0005-0000-0000-00008D380000}"/>
    <cellStyle name="Normal 66 5 2" xfId="31819" xr:uid="{00000000-0005-0000-0000-00008E380000}"/>
    <cellStyle name="Normal 66 5 2 2" xfId="31820" xr:uid="{00000000-0005-0000-0000-00008F380000}"/>
    <cellStyle name="Normal 66 5 2 3" xfId="31821" xr:uid="{00000000-0005-0000-0000-000090380000}"/>
    <cellStyle name="Normal 66 5 2 4" xfId="31822" xr:uid="{00000000-0005-0000-0000-000091380000}"/>
    <cellStyle name="Normal 66 5 3" xfId="31823" xr:uid="{00000000-0005-0000-0000-000092380000}"/>
    <cellStyle name="Normal 66 5 4" xfId="31824" xr:uid="{00000000-0005-0000-0000-000093380000}"/>
    <cellStyle name="Normal 66 5 5" xfId="31825" xr:uid="{00000000-0005-0000-0000-000094380000}"/>
    <cellStyle name="Normal 66 6" xfId="31826" xr:uid="{00000000-0005-0000-0000-000095380000}"/>
    <cellStyle name="Normal 66 6 2" xfId="31827" xr:uid="{00000000-0005-0000-0000-000096380000}"/>
    <cellStyle name="Normal 66 6 3" xfId="31828" xr:uid="{00000000-0005-0000-0000-000097380000}"/>
    <cellStyle name="Normal 66 6 4" xfId="31829" xr:uid="{00000000-0005-0000-0000-000098380000}"/>
    <cellStyle name="Normal 66 7" xfId="31830" xr:uid="{00000000-0005-0000-0000-000099380000}"/>
    <cellStyle name="Normal 66 7 2" xfId="31831" xr:uid="{00000000-0005-0000-0000-00009A380000}"/>
    <cellStyle name="Normal 66 7 3" xfId="31832" xr:uid="{00000000-0005-0000-0000-00009B380000}"/>
    <cellStyle name="Normal 66_ARQ-COMP" xfId="1479" xr:uid="{00000000-0005-0000-0000-00009C380000}"/>
    <cellStyle name="Normal 67" xfId="1480" xr:uid="{00000000-0005-0000-0000-00009D380000}"/>
    <cellStyle name="Normal 67 10" xfId="31833" xr:uid="{00000000-0005-0000-0000-00009E380000}"/>
    <cellStyle name="Normal 67 2" xfId="1481" xr:uid="{00000000-0005-0000-0000-00009F380000}"/>
    <cellStyle name="Normal 67 2 2" xfId="1482" xr:uid="{00000000-0005-0000-0000-0000A0380000}"/>
    <cellStyle name="Normal 67 2 2 2" xfId="31834" xr:uid="{00000000-0005-0000-0000-0000A1380000}"/>
    <cellStyle name="Normal 67 2 2 2 2" xfId="31835" xr:uid="{00000000-0005-0000-0000-0000A2380000}"/>
    <cellStyle name="Normal 67 2 2 2 3" xfId="31836" xr:uid="{00000000-0005-0000-0000-0000A3380000}"/>
    <cellStyle name="Normal 67 2 2 2 4" xfId="31837" xr:uid="{00000000-0005-0000-0000-0000A4380000}"/>
    <cellStyle name="Normal 67 2 2 3" xfId="31838" xr:uid="{00000000-0005-0000-0000-0000A5380000}"/>
    <cellStyle name="Normal 67 2 2 4" xfId="31839" xr:uid="{00000000-0005-0000-0000-0000A6380000}"/>
    <cellStyle name="Normal 67 2 2 5" xfId="31840" xr:uid="{00000000-0005-0000-0000-0000A7380000}"/>
    <cellStyle name="Normal 67 2 3" xfId="2568" xr:uid="{00000000-0005-0000-0000-0000A8380000}"/>
    <cellStyle name="Normal 67 2 3 2" xfId="22308" xr:uid="{00000000-0005-0000-0000-0000A9380000}"/>
    <cellStyle name="Normal 67 2 3 3" xfId="22330" xr:uid="{00000000-0005-0000-0000-0000AA380000}"/>
    <cellStyle name="Normal 67 2 3 3 2" xfId="22376" xr:uid="{00000000-0005-0000-0000-0000AB380000}"/>
    <cellStyle name="Normal 67 2 3 3 3" xfId="22407" xr:uid="{00000000-0005-0000-0000-0000AC380000}"/>
    <cellStyle name="Normal 67 2 3 3 3 2" xfId="22681" xr:uid="{00000000-0005-0000-0000-0000AD380000}"/>
    <cellStyle name="Normal 67 2 3 4" xfId="22346" xr:uid="{00000000-0005-0000-0000-0000AE380000}"/>
    <cellStyle name="Normal 67 2 3 5" xfId="22292" xr:uid="{00000000-0005-0000-0000-0000AF380000}"/>
    <cellStyle name="Normal 67 2 4" xfId="26031" xr:uid="{00000000-0005-0000-0000-0000B0380000}"/>
    <cellStyle name="Normal 67 2 5" xfId="31841" xr:uid="{00000000-0005-0000-0000-0000B1380000}"/>
    <cellStyle name="Normal 67 2 6" xfId="31842" xr:uid="{00000000-0005-0000-0000-0000B2380000}"/>
    <cellStyle name="Normal 67 3" xfId="31843" xr:uid="{00000000-0005-0000-0000-0000B3380000}"/>
    <cellStyle name="Normal 67 3 2" xfId="31844" xr:uid="{00000000-0005-0000-0000-0000B4380000}"/>
    <cellStyle name="Normal 67 3 2 2" xfId="31845" xr:uid="{00000000-0005-0000-0000-0000B5380000}"/>
    <cellStyle name="Normal 67 3 2 3" xfId="31846" xr:uid="{00000000-0005-0000-0000-0000B6380000}"/>
    <cellStyle name="Normal 67 3 2 4" xfId="31847" xr:uid="{00000000-0005-0000-0000-0000B7380000}"/>
    <cellStyle name="Normal 67 3 3" xfId="31848" xr:uid="{00000000-0005-0000-0000-0000B8380000}"/>
    <cellStyle name="Normal 67 3 4" xfId="31849" xr:uid="{00000000-0005-0000-0000-0000B9380000}"/>
    <cellStyle name="Normal 67 3 5" xfId="31850" xr:uid="{00000000-0005-0000-0000-0000BA380000}"/>
    <cellStyle name="Normal 67 4" xfId="31851" xr:uid="{00000000-0005-0000-0000-0000BB380000}"/>
    <cellStyle name="Normal 67 4 2" xfId="31852" xr:uid="{00000000-0005-0000-0000-0000BC380000}"/>
    <cellStyle name="Normal 67 4 3" xfId="31853" xr:uid="{00000000-0005-0000-0000-0000BD380000}"/>
    <cellStyle name="Normal 67 4 4" xfId="31854" xr:uid="{00000000-0005-0000-0000-0000BE380000}"/>
    <cellStyle name="Normal 67 5" xfId="31855" xr:uid="{00000000-0005-0000-0000-0000BF380000}"/>
    <cellStyle name="Normal 67 5 2" xfId="31856" xr:uid="{00000000-0005-0000-0000-0000C0380000}"/>
    <cellStyle name="Normal 67 5 3" xfId="31857" xr:uid="{00000000-0005-0000-0000-0000C1380000}"/>
    <cellStyle name="Normal 67 5 4" xfId="31858" xr:uid="{00000000-0005-0000-0000-0000C2380000}"/>
    <cellStyle name="Normal 67 6" xfId="31859" xr:uid="{00000000-0005-0000-0000-0000C3380000}"/>
    <cellStyle name="Normal 67 7" xfId="31860" xr:uid="{00000000-0005-0000-0000-0000C4380000}"/>
    <cellStyle name="Normal 67 7 2" xfId="31861" xr:uid="{00000000-0005-0000-0000-0000C5380000}"/>
    <cellStyle name="Normal 67 7 3" xfId="31862" xr:uid="{00000000-0005-0000-0000-0000C6380000}"/>
    <cellStyle name="Normal 67 8" xfId="31863" xr:uid="{00000000-0005-0000-0000-0000C7380000}"/>
    <cellStyle name="Normal 67 9" xfId="31864" xr:uid="{00000000-0005-0000-0000-0000C8380000}"/>
    <cellStyle name="Normal 68" xfId="1483" xr:uid="{00000000-0005-0000-0000-0000C9380000}"/>
    <cellStyle name="Normal 68 2" xfId="1484" xr:uid="{00000000-0005-0000-0000-0000CA380000}"/>
    <cellStyle name="Normal 69" xfId="1485" xr:uid="{00000000-0005-0000-0000-0000CB380000}"/>
    <cellStyle name="Normal 69 10" xfId="2325" xr:uid="{00000000-0005-0000-0000-0000CC380000}"/>
    <cellStyle name="Normal 69 2" xfId="1486" xr:uid="{00000000-0005-0000-0000-0000CD380000}"/>
    <cellStyle name="Normal 69 2 2" xfId="31865" xr:uid="{00000000-0005-0000-0000-0000CE380000}"/>
    <cellStyle name="Normal 69 2 3" xfId="31866" xr:uid="{00000000-0005-0000-0000-0000CF380000}"/>
    <cellStyle name="Normal 69 2 4" xfId="31867" xr:uid="{00000000-0005-0000-0000-0000D0380000}"/>
    <cellStyle name="Normal 69 3" xfId="2485" xr:uid="{00000000-0005-0000-0000-0000D1380000}"/>
    <cellStyle name="Normal 69 4" xfId="2486" xr:uid="{00000000-0005-0000-0000-0000D2380000}"/>
    <cellStyle name="Normal 69 5" xfId="2487" xr:uid="{00000000-0005-0000-0000-0000D3380000}"/>
    <cellStyle name="Normal 69 6" xfId="2488" xr:uid="{00000000-0005-0000-0000-0000D4380000}"/>
    <cellStyle name="Normal 69 7" xfId="2489" xr:uid="{00000000-0005-0000-0000-0000D5380000}"/>
    <cellStyle name="Normal 69 8" xfId="2490" xr:uid="{00000000-0005-0000-0000-0000D6380000}"/>
    <cellStyle name="Normal 69 9" xfId="22326" xr:uid="{00000000-0005-0000-0000-0000D7380000}"/>
    <cellStyle name="Normal 69 9 2" xfId="22367" xr:uid="{00000000-0005-0000-0000-0000D8380000}"/>
    <cellStyle name="Normal 69 9 3" xfId="22403" xr:uid="{00000000-0005-0000-0000-0000D9380000}"/>
    <cellStyle name="Normal 69 9 3 2" xfId="22677" xr:uid="{00000000-0005-0000-0000-0000DA380000}"/>
    <cellStyle name="Normal 7" xfId="1487" xr:uid="{00000000-0005-0000-0000-0000DB380000}"/>
    <cellStyle name="Normal 7 2" xfId="1488" xr:uid="{00000000-0005-0000-0000-0000DC380000}"/>
    <cellStyle name="Normal 7 2 2" xfId="31868" xr:uid="{00000000-0005-0000-0000-0000DD380000}"/>
    <cellStyle name="Normal 7 2 2 2" xfId="31869" xr:uid="{00000000-0005-0000-0000-0000DE380000}"/>
    <cellStyle name="Normal 7 2 3" xfId="31870" xr:uid="{00000000-0005-0000-0000-0000DF380000}"/>
    <cellStyle name="Normal 7 2 4" xfId="31871" xr:uid="{00000000-0005-0000-0000-0000E0380000}"/>
    <cellStyle name="Normal 7 3" xfId="31872" xr:uid="{00000000-0005-0000-0000-0000E1380000}"/>
    <cellStyle name="Normal 7 3 2" xfId="31873" xr:uid="{00000000-0005-0000-0000-0000E2380000}"/>
    <cellStyle name="Normal 7 4" xfId="31874" xr:uid="{00000000-0005-0000-0000-0000E3380000}"/>
    <cellStyle name="Normal 7 5" xfId="31875" xr:uid="{00000000-0005-0000-0000-0000E4380000}"/>
    <cellStyle name="Normal 70" xfId="1489" xr:uid="{00000000-0005-0000-0000-0000E5380000}"/>
    <cellStyle name="Normal 70 10" xfId="22329" xr:uid="{00000000-0005-0000-0000-0000E6380000}"/>
    <cellStyle name="Normal 70 10 2" xfId="22371" xr:uid="{00000000-0005-0000-0000-0000E7380000}"/>
    <cellStyle name="Normal 70 10 3" xfId="22406" xr:uid="{00000000-0005-0000-0000-0000E8380000}"/>
    <cellStyle name="Normal 70 10 3 2" xfId="22680" xr:uid="{00000000-0005-0000-0000-0000E9380000}"/>
    <cellStyle name="Normal 70 11" xfId="2442" xr:uid="{00000000-0005-0000-0000-0000EA380000}"/>
    <cellStyle name="Normal 70 2" xfId="1490" xr:uid="{00000000-0005-0000-0000-0000EB380000}"/>
    <cellStyle name="Normal 70 3" xfId="2491" xr:uid="{00000000-0005-0000-0000-0000EC380000}"/>
    <cellStyle name="Normal 70 4" xfId="2492" xr:uid="{00000000-0005-0000-0000-0000ED380000}"/>
    <cellStyle name="Normal 70 5" xfId="2493" xr:uid="{00000000-0005-0000-0000-0000EE380000}"/>
    <cellStyle name="Normal 70 6" xfId="2494" xr:uid="{00000000-0005-0000-0000-0000EF380000}"/>
    <cellStyle name="Normal 70 7" xfId="2495" xr:uid="{00000000-0005-0000-0000-0000F0380000}"/>
    <cellStyle name="Normal 70 8" xfId="2496" xr:uid="{00000000-0005-0000-0000-0000F1380000}"/>
    <cellStyle name="Normal 70 9" xfId="2603" xr:uid="{00000000-0005-0000-0000-0000F2380000}"/>
    <cellStyle name="Normal 71" xfId="1491" xr:uid="{00000000-0005-0000-0000-0000F3380000}"/>
    <cellStyle name="Normal 71 10" xfId="22328" xr:uid="{00000000-0005-0000-0000-0000F4380000}"/>
    <cellStyle name="Normal 71 10 2" xfId="22379" xr:uid="{00000000-0005-0000-0000-0000F5380000}"/>
    <cellStyle name="Normal 71 10 3" xfId="22405" xr:uid="{00000000-0005-0000-0000-0000F6380000}"/>
    <cellStyle name="Normal 71 10 3 2" xfId="22679" xr:uid="{00000000-0005-0000-0000-0000F7380000}"/>
    <cellStyle name="Normal 71 11" xfId="2441" xr:uid="{00000000-0005-0000-0000-0000F8380000}"/>
    <cellStyle name="Normal 71 2" xfId="1492" xr:uid="{00000000-0005-0000-0000-0000F9380000}"/>
    <cellStyle name="Normal 71 3" xfId="2497" xr:uid="{00000000-0005-0000-0000-0000FA380000}"/>
    <cellStyle name="Normal 71 4" xfId="2498" xr:uid="{00000000-0005-0000-0000-0000FB380000}"/>
    <cellStyle name="Normal 71 5" xfId="2499" xr:uid="{00000000-0005-0000-0000-0000FC380000}"/>
    <cellStyle name="Normal 71 6" xfId="2500" xr:uid="{00000000-0005-0000-0000-0000FD380000}"/>
    <cellStyle name="Normal 71 7" xfId="2501" xr:uid="{00000000-0005-0000-0000-0000FE380000}"/>
    <cellStyle name="Normal 71 8" xfId="2502" xr:uid="{00000000-0005-0000-0000-0000FF380000}"/>
    <cellStyle name="Normal 71 9" xfId="2605" xr:uid="{00000000-0005-0000-0000-000000390000}"/>
    <cellStyle name="Normal 72" xfId="1493" xr:uid="{00000000-0005-0000-0000-000001390000}"/>
    <cellStyle name="Normal 72 2" xfId="2444" xr:uid="{00000000-0005-0000-0000-000002390000}"/>
    <cellStyle name="Normal 73" xfId="1494" xr:uid="{00000000-0005-0000-0000-000003390000}"/>
    <cellStyle name="Normal 73 2" xfId="1495" xr:uid="{00000000-0005-0000-0000-000004390000}"/>
    <cellStyle name="Normal 73 3" xfId="1496" xr:uid="{00000000-0005-0000-0000-000005390000}"/>
    <cellStyle name="Normal 73 3 2" xfId="26066" xr:uid="{00000000-0005-0000-0000-000006390000}"/>
    <cellStyle name="Normal 73 4" xfId="2445" xr:uid="{00000000-0005-0000-0000-000007390000}"/>
    <cellStyle name="Normal 74" xfId="1497" xr:uid="{00000000-0005-0000-0000-000008390000}"/>
    <cellStyle name="Normal 74 2" xfId="1498" xr:uid="{00000000-0005-0000-0000-000009390000}"/>
    <cellStyle name="Normal 74 3" xfId="1499" xr:uid="{00000000-0005-0000-0000-00000A390000}"/>
    <cellStyle name="Normal 74 3 2" xfId="26067" xr:uid="{00000000-0005-0000-0000-00000B390000}"/>
    <cellStyle name="Normal 74 4" xfId="2446" xr:uid="{00000000-0005-0000-0000-00000C390000}"/>
    <cellStyle name="Normal 75" xfId="1500" xr:uid="{00000000-0005-0000-0000-00000D390000}"/>
    <cellStyle name="Normal 75 2" xfId="1501" xr:uid="{00000000-0005-0000-0000-00000E390000}"/>
    <cellStyle name="Normal 75 3" xfId="1502" xr:uid="{00000000-0005-0000-0000-00000F390000}"/>
    <cellStyle name="Normal 75 3 2" xfId="26068" xr:uid="{00000000-0005-0000-0000-000010390000}"/>
    <cellStyle name="Normal 75 4" xfId="2447" xr:uid="{00000000-0005-0000-0000-000011390000}"/>
    <cellStyle name="Normal 76" xfId="1503" xr:uid="{00000000-0005-0000-0000-000012390000}"/>
    <cellStyle name="Normal 76 2" xfId="1504" xr:uid="{00000000-0005-0000-0000-000013390000}"/>
    <cellStyle name="Normal 76 3" xfId="1505" xr:uid="{00000000-0005-0000-0000-000014390000}"/>
    <cellStyle name="Normal 76 3 2" xfId="26069" xr:uid="{00000000-0005-0000-0000-000015390000}"/>
    <cellStyle name="Normal 76 4" xfId="2448" xr:uid="{00000000-0005-0000-0000-000016390000}"/>
    <cellStyle name="Normal 77" xfId="1506" xr:uid="{00000000-0005-0000-0000-000017390000}"/>
    <cellStyle name="Normal 77 2" xfId="1507" xr:uid="{00000000-0005-0000-0000-000018390000}"/>
    <cellStyle name="Normal 77 3" xfId="1508" xr:uid="{00000000-0005-0000-0000-000019390000}"/>
    <cellStyle name="Normal 77 3 2" xfId="26070" xr:uid="{00000000-0005-0000-0000-00001A390000}"/>
    <cellStyle name="Normal 77 4" xfId="2449" xr:uid="{00000000-0005-0000-0000-00001B390000}"/>
    <cellStyle name="Normal 78" xfId="1509" xr:uid="{00000000-0005-0000-0000-00001C390000}"/>
    <cellStyle name="Normal 78 2" xfId="1510" xr:uid="{00000000-0005-0000-0000-00001D390000}"/>
    <cellStyle name="Normal 78 3" xfId="1511" xr:uid="{00000000-0005-0000-0000-00001E390000}"/>
    <cellStyle name="Normal 78 3 2" xfId="26071" xr:uid="{00000000-0005-0000-0000-00001F390000}"/>
    <cellStyle name="Normal 78 4" xfId="2450" xr:uid="{00000000-0005-0000-0000-000020390000}"/>
    <cellStyle name="Normal 79" xfId="1512" xr:uid="{00000000-0005-0000-0000-000021390000}"/>
    <cellStyle name="Normal 79 2" xfId="1513" xr:uid="{00000000-0005-0000-0000-000022390000}"/>
    <cellStyle name="Normal 79 3" xfId="1514" xr:uid="{00000000-0005-0000-0000-000023390000}"/>
    <cellStyle name="Normal 79 3 2" xfId="26072" xr:uid="{00000000-0005-0000-0000-000024390000}"/>
    <cellStyle name="Normal 79 4" xfId="2451" xr:uid="{00000000-0005-0000-0000-000025390000}"/>
    <cellStyle name="Normal 8" xfId="1515" xr:uid="{00000000-0005-0000-0000-000026390000}"/>
    <cellStyle name="Normal 8 2" xfId="1516" xr:uid="{00000000-0005-0000-0000-000027390000}"/>
    <cellStyle name="Normal 8 2 2" xfId="31876" xr:uid="{00000000-0005-0000-0000-000028390000}"/>
    <cellStyle name="Normal 8 2 2 2" xfId="31877" xr:uid="{00000000-0005-0000-0000-000029390000}"/>
    <cellStyle name="Normal 8 2 3" xfId="31878" xr:uid="{00000000-0005-0000-0000-00002A390000}"/>
    <cellStyle name="Normal 8 2 4" xfId="31879" xr:uid="{00000000-0005-0000-0000-00002B390000}"/>
    <cellStyle name="Normal 8 3" xfId="31880" xr:uid="{00000000-0005-0000-0000-00002C390000}"/>
    <cellStyle name="Normal 8 3 2" xfId="31881" xr:uid="{00000000-0005-0000-0000-00002D390000}"/>
    <cellStyle name="Normal 8 4" xfId="31882" xr:uid="{00000000-0005-0000-0000-00002E390000}"/>
    <cellStyle name="Normal 8 5" xfId="31883" xr:uid="{00000000-0005-0000-0000-00002F390000}"/>
    <cellStyle name="Normal 80" xfId="1517" xr:uid="{00000000-0005-0000-0000-000030390000}"/>
    <cellStyle name="Normal 80 2" xfId="1518" xr:uid="{00000000-0005-0000-0000-000031390000}"/>
    <cellStyle name="Normal 80 3" xfId="1519" xr:uid="{00000000-0005-0000-0000-000032390000}"/>
    <cellStyle name="Normal 80 3 2" xfId="26073" xr:uid="{00000000-0005-0000-0000-000033390000}"/>
    <cellStyle name="Normal 80 4" xfId="2452" xr:uid="{00000000-0005-0000-0000-000034390000}"/>
    <cellStyle name="Normal 81" xfId="1520" xr:uid="{00000000-0005-0000-0000-000035390000}"/>
    <cellStyle name="Normal 81 2" xfId="1521" xr:uid="{00000000-0005-0000-0000-000036390000}"/>
    <cellStyle name="Normal 81 3" xfId="1522" xr:uid="{00000000-0005-0000-0000-000037390000}"/>
    <cellStyle name="Normal 81 3 2" xfId="26074" xr:uid="{00000000-0005-0000-0000-000038390000}"/>
    <cellStyle name="Normal 81 4" xfId="2453" xr:uid="{00000000-0005-0000-0000-000039390000}"/>
    <cellStyle name="Normal 82" xfId="1523" xr:uid="{00000000-0005-0000-0000-00003A390000}"/>
    <cellStyle name="Normal 82 2" xfId="1524" xr:uid="{00000000-0005-0000-0000-00003B390000}"/>
    <cellStyle name="Normal 82 3" xfId="1525" xr:uid="{00000000-0005-0000-0000-00003C390000}"/>
    <cellStyle name="Normal 82 3 2" xfId="26075" xr:uid="{00000000-0005-0000-0000-00003D390000}"/>
    <cellStyle name="Normal 82 4" xfId="2454" xr:uid="{00000000-0005-0000-0000-00003E390000}"/>
    <cellStyle name="Normal 83" xfId="1526" xr:uid="{00000000-0005-0000-0000-00003F390000}"/>
    <cellStyle name="Normal 83 2" xfId="1527" xr:uid="{00000000-0005-0000-0000-000040390000}"/>
    <cellStyle name="Normal 83 3" xfId="1528" xr:uid="{00000000-0005-0000-0000-000041390000}"/>
    <cellStyle name="Normal 83 3 2" xfId="26076" xr:uid="{00000000-0005-0000-0000-000042390000}"/>
    <cellStyle name="Normal 83 4" xfId="2455" xr:uid="{00000000-0005-0000-0000-000043390000}"/>
    <cellStyle name="Normal 84" xfId="1529" xr:uid="{00000000-0005-0000-0000-000044390000}"/>
    <cellStyle name="Normal 84 2" xfId="1530" xr:uid="{00000000-0005-0000-0000-000045390000}"/>
    <cellStyle name="Normal 84 3" xfId="1531" xr:uid="{00000000-0005-0000-0000-000046390000}"/>
    <cellStyle name="Normal 84 3 2" xfId="26077" xr:uid="{00000000-0005-0000-0000-000047390000}"/>
    <cellStyle name="Normal 84 4" xfId="2456" xr:uid="{00000000-0005-0000-0000-000048390000}"/>
    <cellStyle name="Normal 85" xfId="1532" xr:uid="{00000000-0005-0000-0000-000049390000}"/>
    <cellStyle name="Normal 85 2" xfId="2523" xr:uid="{00000000-0005-0000-0000-00004A390000}"/>
    <cellStyle name="Normal 86" xfId="1533" xr:uid="{00000000-0005-0000-0000-00004B390000}"/>
    <cellStyle name="Normal 87" xfId="1534" xr:uid="{00000000-0005-0000-0000-00004C390000}"/>
    <cellStyle name="Normal 88" xfId="1535" xr:uid="{00000000-0005-0000-0000-00004D390000}"/>
    <cellStyle name="Normal 89" xfId="1536" xr:uid="{00000000-0005-0000-0000-00004E390000}"/>
    <cellStyle name="Normal 9" xfId="1537" xr:uid="{00000000-0005-0000-0000-00004F390000}"/>
    <cellStyle name="Normal 9 2" xfId="1538" xr:uid="{00000000-0005-0000-0000-000050390000}"/>
    <cellStyle name="Normal 9 2 2" xfId="31884" xr:uid="{00000000-0005-0000-0000-000051390000}"/>
    <cellStyle name="Normal 9 3" xfId="31885" xr:uid="{00000000-0005-0000-0000-000052390000}"/>
    <cellStyle name="Normal 9 4" xfId="31886" xr:uid="{00000000-0005-0000-0000-000053390000}"/>
    <cellStyle name="Normal 90" xfId="1539" xr:uid="{00000000-0005-0000-0000-000054390000}"/>
    <cellStyle name="Normal 91" xfId="1540" xr:uid="{00000000-0005-0000-0000-000055390000}"/>
    <cellStyle name="Normal 92" xfId="1541" xr:uid="{00000000-0005-0000-0000-000056390000}"/>
    <cellStyle name="Normal 93" xfId="1542" xr:uid="{00000000-0005-0000-0000-000057390000}"/>
    <cellStyle name="Normal 94" xfId="2049" xr:uid="{00000000-0005-0000-0000-000058390000}"/>
    <cellStyle name="Normal 94 2" xfId="26209" xr:uid="{00000000-0005-0000-0000-000059390000}"/>
    <cellStyle name="Normal 95" xfId="26565" xr:uid="{00000000-0005-0000-0000-00005A390000}"/>
    <cellStyle name="Normal 96" xfId="26194" xr:uid="{00000000-0005-0000-0000-00005B390000}"/>
    <cellStyle name="Normal 97" xfId="26227" xr:uid="{00000000-0005-0000-0000-00005C390000}"/>
    <cellStyle name="Normal 98" xfId="31887" xr:uid="{00000000-0005-0000-0000-00005D390000}"/>
    <cellStyle name="Normal 99" xfId="31888" xr:uid="{00000000-0005-0000-0000-00005E390000}"/>
    <cellStyle name="Normal_Composição BDI" xfId="49" xr:uid="{00000000-0005-0000-0000-00005F390000}"/>
    <cellStyle name="Normal_Composição do BDI - final" xfId="50" xr:uid="{00000000-0005-0000-0000-000060390000}"/>
    <cellStyle name="Normal_planilha orçamentária PORTO BELO 2 - COMPLETA" xfId="51" xr:uid="{00000000-0005-0000-0000-000061390000}"/>
    <cellStyle name="Normal1" xfId="31889" xr:uid="{00000000-0005-0000-0000-000062390000}"/>
    <cellStyle name="Normal2" xfId="31890" xr:uid="{00000000-0005-0000-0000-000063390000}"/>
    <cellStyle name="Normal3" xfId="31891" xr:uid="{00000000-0005-0000-0000-000064390000}"/>
    <cellStyle name="Nota" xfId="16" builtinId="10" customBuiltin="1"/>
    <cellStyle name="Nota 2" xfId="1543" xr:uid="{00000000-0005-0000-0000-000066390000}"/>
    <cellStyle name="Nota 2 2" xfId="1544" xr:uid="{00000000-0005-0000-0000-000067390000}"/>
    <cellStyle name="Nota 2 2 2" xfId="2616" xr:uid="{00000000-0005-0000-0000-000068390000}"/>
    <cellStyle name="Nota 2 2 2 10" xfId="5250" xr:uid="{00000000-0005-0000-0000-000069390000}"/>
    <cellStyle name="Nota 2 2 2 10 2" xfId="10390" xr:uid="{00000000-0005-0000-0000-00006A390000}"/>
    <cellStyle name="Nota 2 2 2 10 3" xfId="12844" xr:uid="{00000000-0005-0000-0000-00006B390000}"/>
    <cellStyle name="Nota 2 2 2 11" xfId="5140" xr:uid="{00000000-0005-0000-0000-00006C390000}"/>
    <cellStyle name="Nota 2 2 2 11 2" xfId="10379" xr:uid="{00000000-0005-0000-0000-00006D390000}"/>
    <cellStyle name="Nota 2 2 2 11 3" xfId="12781" xr:uid="{00000000-0005-0000-0000-00006E390000}"/>
    <cellStyle name="Nota 2 2 2 12" xfId="4857" xr:uid="{00000000-0005-0000-0000-00006F390000}"/>
    <cellStyle name="Nota 2 2 2 12 2" xfId="13149" xr:uid="{00000000-0005-0000-0000-000070390000}"/>
    <cellStyle name="Nota 2 2 2 13" xfId="8779" xr:uid="{00000000-0005-0000-0000-000071390000}"/>
    <cellStyle name="Nota 2 2 2 2" xfId="2705" xr:uid="{00000000-0005-0000-0000-000072390000}"/>
    <cellStyle name="Nota 2 2 2 2 10" xfId="7481" xr:uid="{00000000-0005-0000-0000-000073390000}"/>
    <cellStyle name="Nota 2 2 2 2 10 2" xfId="11535" xr:uid="{00000000-0005-0000-0000-000074390000}"/>
    <cellStyle name="Nota 2 2 2 2 10 3" xfId="20999" xr:uid="{00000000-0005-0000-0000-000075390000}"/>
    <cellStyle name="Nota 2 2 2 2 11" xfId="4898" xr:uid="{00000000-0005-0000-0000-000076390000}"/>
    <cellStyle name="Nota 2 2 2 2 11 2" xfId="13117" xr:uid="{00000000-0005-0000-0000-000077390000}"/>
    <cellStyle name="Nota 2 2 2 2 12" xfId="8860" xr:uid="{00000000-0005-0000-0000-000078390000}"/>
    <cellStyle name="Nota 2 2 2 2 13" xfId="14255" xr:uid="{00000000-0005-0000-0000-000079390000}"/>
    <cellStyle name="Nota 2 2 2 2 2" xfId="2760" xr:uid="{00000000-0005-0000-0000-00007A390000}"/>
    <cellStyle name="Nota 2 2 2 2 2 2" xfId="2983" xr:uid="{00000000-0005-0000-0000-00007B390000}"/>
    <cellStyle name="Nota 2 2 2 2 2 2 10" xfId="9135" xr:uid="{00000000-0005-0000-0000-00007C390000}"/>
    <cellStyle name="Nota 2 2 2 2 2 2 11" xfId="17983" xr:uid="{00000000-0005-0000-0000-00007D390000}"/>
    <cellStyle name="Nota 2 2 2 2 2 2 2" xfId="3370" xr:uid="{00000000-0005-0000-0000-00007E390000}"/>
    <cellStyle name="Nota 2 2 2 2 2 2 2 2" xfId="7948" xr:uid="{00000000-0005-0000-0000-00007F390000}"/>
    <cellStyle name="Nota 2 2 2 2 2 2 2 2 2" xfId="11924" xr:uid="{00000000-0005-0000-0000-000080390000}"/>
    <cellStyle name="Nota 2 2 2 2 2 2 2 2 3" xfId="21466" xr:uid="{00000000-0005-0000-0000-000081390000}"/>
    <cellStyle name="Nota 2 2 2 2 2 2 2 3" xfId="6240" xr:uid="{00000000-0005-0000-0000-000082390000}"/>
    <cellStyle name="Nota 2 2 2 2 2 2 2 3 2" xfId="19758" xr:uid="{00000000-0005-0000-0000-000083390000}"/>
    <cellStyle name="Nota 2 2 2 2 2 2 2 4" xfId="9500" xr:uid="{00000000-0005-0000-0000-000084390000}"/>
    <cellStyle name="Nota 2 2 2 2 2 2 2 5" xfId="14547" xr:uid="{00000000-0005-0000-0000-000085390000}"/>
    <cellStyle name="Nota 2 2 2 2 2 2 3" xfId="3753" xr:uid="{00000000-0005-0000-0000-000086390000}"/>
    <cellStyle name="Nota 2 2 2 2 2 2 3 2" xfId="7774" xr:uid="{00000000-0005-0000-0000-000087390000}"/>
    <cellStyle name="Nota 2 2 2 2 2 2 3 2 2" xfId="11795" xr:uid="{00000000-0005-0000-0000-000088390000}"/>
    <cellStyle name="Nota 2 2 2 2 2 2 3 2 3" xfId="21292" xr:uid="{00000000-0005-0000-0000-000089390000}"/>
    <cellStyle name="Nota 2 2 2 2 2 2 3 3" xfId="6066" xr:uid="{00000000-0005-0000-0000-00008A390000}"/>
    <cellStyle name="Nota 2 2 2 2 2 2 3 3 2" xfId="19584" xr:uid="{00000000-0005-0000-0000-00008B390000}"/>
    <cellStyle name="Nota 2 2 2 2 2 2 3 4" xfId="9815" xr:uid="{00000000-0005-0000-0000-00008C390000}"/>
    <cellStyle name="Nota 2 2 2 2 2 2 3 5" xfId="16073" xr:uid="{00000000-0005-0000-0000-00008D390000}"/>
    <cellStyle name="Nota 2 2 2 2 2 2 4" xfId="4136" xr:uid="{00000000-0005-0000-0000-00008E390000}"/>
    <cellStyle name="Nota 2 2 2 2 2 2 4 2" xfId="8255" xr:uid="{00000000-0005-0000-0000-00008F390000}"/>
    <cellStyle name="Nota 2 2 2 2 2 2 4 2 2" xfId="12223" xr:uid="{00000000-0005-0000-0000-000090390000}"/>
    <cellStyle name="Nota 2 2 2 2 2 2 4 2 3" xfId="21773" xr:uid="{00000000-0005-0000-0000-000091390000}"/>
    <cellStyle name="Nota 2 2 2 2 2 2 4 3" xfId="6547" xr:uid="{00000000-0005-0000-0000-000092390000}"/>
    <cellStyle name="Nota 2 2 2 2 2 2 4 3 2" xfId="20065" xr:uid="{00000000-0005-0000-0000-000093390000}"/>
    <cellStyle name="Nota 2 2 2 2 2 2 4 4" xfId="9993" xr:uid="{00000000-0005-0000-0000-000094390000}"/>
    <cellStyle name="Nota 2 2 2 2 2 2 4 5" xfId="13861" xr:uid="{00000000-0005-0000-0000-000095390000}"/>
    <cellStyle name="Nota 2 2 2 2 2 2 5" xfId="4518" xr:uid="{00000000-0005-0000-0000-000096390000}"/>
    <cellStyle name="Nota 2 2 2 2 2 2 5 2" xfId="8487" xr:uid="{00000000-0005-0000-0000-000097390000}"/>
    <cellStyle name="Nota 2 2 2 2 2 2 5 2 2" xfId="12455" xr:uid="{00000000-0005-0000-0000-000098390000}"/>
    <cellStyle name="Nota 2 2 2 2 2 2 5 2 3" xfId="22005" xr:uid="{00000000-0005-0000-0000-000099390000}"/>
    <cellStyle name="Nota 2 2 2 2 2 2 5 3" xfId="6779" xr:uid="{00000000-0005-0000-0000-00009A390000}"/>
    <cellStyle name="Nota 2 2 2 2 2 2 5 3 2" xfId="20297" xr:uid="{00000000-0005-0000-0000-00009B390000}"/>
    <cellStyle name="Nota 2 2 2 2 2 2 5 4" xfId="10170" xr:uid="{00000000-0005-0000-0000-00009C390000}"/>
    <cellStyle name="Nota 2 2 2 2 2 2 5 5" xfId="13487" xr:uid="{00000000-0005-0000-0000-00009D390000}"/>
    <cellStyle name="Nota 2 2 2 2 2 2 6" xfId="7011" xr:uid="{00000000-0005-0000-0000-00009E390000}"/>
    <cellStyle name="Nota 2 2 2 2 2 2 6 2" xfId="8719" xr:uid="{00000000-0005-0000-0000-00009F390000}"/>
    <cellStyle name="Nota 2 2 2 2 2 2 6 2 2" xfId="12687" xr:uid="{00000000-0005-0000-0000-0000A0390000}"/>
    <cellStyle name="Nota 2 2 2 2 2 2 6 2 3" xfId="22237" xr:uid="{00000000-0005-0000-0000-0000A1390000}"/>
    <cellStyle name="Nota 2 2 2 2 2 2 6 3" xfId="11145" xr:uid="{00000000-0005-0000-0000-0000A2390000}"/>
    <cellStyle name="Nota 2 2 2 2 2 2 6 4" xfId="20529" xr:uid="{00000000-0005-0000-0000-0000A3390000}"/>
    <cellStyle name="Nota 2 2 2 2 2 2 7" xfId="5999" xr:uid="{00000000-0005-0000-0000-0000A4390000}"/>
    <cellStyle name="Nota 2 2 2 2 2 2 7 2" xfId="10740" xr:uid="{00000000-0005-0000-0000-0000A5390000}"/>
    <cellStyle name="Nota 2 2 2 2 2 2 7 3" xfId="19517" xr:uid="{00000000-0005-0000-0000-0000A6390000}"/>
    <cellStyle name="Nota 2 2 2 2 2 2 8" xfId="7707" xr:uid="{00000000-0005-0000-0000-0000A7390000}"/>
    <cellStyle name="Nota 2 2 2 2 2 2 8 2" xfId="11728" xr:uid="{00000000-0005-0000-0000-0000A8390000}"/>
    <cellStyle name="Nota 2 2 2 2 2 2 8 3" xfId="21225" xr:uid="{00000000-0005-0000-0000-0000A9390000}"/>
    <cellStyle name="Nota 2 2 2 2 2 2 9" xfId="5193" xr:uid="{00000000-0005-0000-0000-0000AA390000}"/>
    <cellStyle name="Nota 2 2 2 2 2 2 9 2" xfId="12889" xr:uid="{00000000-0005-0000-0000-0000AB390000}"/>
    <cellStyle name="Nota 2 2 2 2 2 3" xfId="3250" xr:uid="{00000000-0005-0000-0000-0000AC390000}"/>
    <cellStyle name="Nota 2 2 2 2 2 3 10" xfId="9380" xr:uid="{00000000-0005-0000-0000-0000AD390000}"/>
    <cellStyle name="Nota 2 2 2 2 2 3 11" xfId="17210" xr:uid="{00000000-0005-0000-0000-0000AE390000}"/>
    <cellStyle name="Nota 2 2 2 2 2 3 2" xfId="3637" xr:uid="{00000000-0005-0000-0000-0000AF390000}"/>
    <cellStyle name="Nota 2 2 2 2 2 3 2 2" xfId="7998" xr:uid="{00000000-0005-0000-0000-0000B0390000}"/>
    <cellStyle name="Nota 2 2 2 2 2 3 2 2 2" xfId="11974" xr:uid="{00000000-0005-0000-0000-0000B1390000}"/>
    <cellStyle name="Nota 2 2 2 2 2 3 2 2 3" xfId="21516" xr:uid="{00000000-0005-0000-0000-0000B2390000}"/>
    <cellStyle name="Nota 2 2 2 2 2 3 2 3" xfId="6290" xr:uid="{00000000-0005-0000-0000-0000B3390000}"/>
    <cellStyle name="Nota 2 2 2 2 2 3 2 3 2" xfId="19808" xr:uid="{00000000-0005-0000-0000-0000B4390000}"/>
    <cellStyle name="Nota 2 2 2 2 2 3 2 4" xfId="9729" xr:uid="{00000000-0005-0000-0000-0000B5390000}"/>
    <cellStyle name="Nota 2 2 2 2 2 3 2 5" xfId="17767" xr:uid="{00000000-0005-0000-0000-0000B6390000}"/>
    <cellStyle name="Nota 2 2 2 2 2 3 3" xfId="4020" xr:uid="{00000000-0005-0000-0000-0000B7390000}"/>
    <cellStyle name="Nota 2 2 2 2 2 3 3 2" xfId="7067" xr:uid="{00000000-0005-0000-0000-0000B8390000}"/>
    <cellStyle name="Nota 2 2 2 2 2 3 3 2 2" xfId="11201" xr:uid="{00000000-0005-0000-0000-0000B9390000}"/>
    <cellStyle name="Nota 2 2 2 2 2 3 3 2 3" xfId="20585" xr:uid="{00000000-0005-0000-0000-0000BA390000}"/>
    <cellStyle name="Nota 2 2 2 2 2 3 3 3" xfId="5358" xr:uid="{00000000-0005-0000-0000-0000BB390000}"/>
    <cellStyle name="Nota 2 2 2 2 2 3 3 3 2" xfId="18876" xr:uid="{00000000-0005-0000-0000-0000BC390000}"/>
    <cellStyle name="Nota 2 2 2 2 2 3 3 4" xfId="9939" xr:uid="{00000000-0005-0000-0000-0000BD390000}"/>
    <cellStyle name="Nota 2 2 2 2 2 3 3 5" xfId="13971" xr:uid="{00000000-0005-0000-0000-0000BE390000}"/>
    <cellStyle name="Nota 2 2 2 2 2 3 4" xfId="4403" xr:uid="{00000000-0005-0000-0000-0000BF390000}"/>
    <cellStyle name="Nota 2 2 2 2 2 3 4 2" xfId="8305" xr:uid="{00000000-0005-0000-0000-0000C0390000}"/>
    <cellStyle name="Nota 2 2 2 2 2 3 4 2 2" xfId="12273" xr:uid="{00000000-0005-0000-0000-0000C1390000}"/>
    <cellStyle name="Nota 2 2 2 2 2 3 4 2 3" xfId="21823" xr:uid="{00000000-0005-0000-0000-0000C2390000}"/>
    <cellStyle name="Nota 2 2 2 2 2 3 4 3" xfId="6597" xr:uid="{00000000-0005-0000-0000-0000C3390000}"/>
    <cellStyle name="Nota 2 2 2 2 2 3 4 3 2" xfId="20115" xr:uid="{00000000-0005-0000-0000-0000C4390000}"/>
    <cellStyle name="Nota 2 2 2 2 2 3 4 4" xfId="10117" xr:uid="{00000000-0005-0000-0000-0000C5390000}"/>
    <cellStyle name="Nota 2 2 2 2 2 3 4 5" xfId="13602" xr:uid="{00000000-0005-0000-0000-0000C6390000}"/>
    <cellStyle name="Nota 2 2 2 2 2 3 5" xfId="4785" xr:uid="{00000000-0005-0000-0000-0000C7390000}"/>
    <cellStyle name="Nota 2 2 2 2 2 3 5 2" xfId="8537" xr:uid="{00000000-0005-0000-0000-0000C8390000}"/>
    <cellStyle name="Nota 2 2 2 2 2 3 5 2 2" xfId="12505" xr:uid="{00000000-0005-0000-0000-0000C9390000}"/>
    <cellStyle name="Nota 2 2 2 2 2 3 5 2 3" xfId="22055" xr:uid="{00000000-0005-0000-0000-0000CA390000}"/>
    <cellStyle name="Nota 2 2 2 2 2 3 5 3" xfId="6829" xr:uid="{00000000-0005-0000-0000-0000CB390000}"/>
    <cellStyle name="Nota 2 2 2 2 2 3 5 3 2" xfId="20347" xr:uid="{00000000-0005-0000-0000-0000CC390000}"/>
    <cellStyle name="Nota 2 2 2 2 2 3 5 4" xfId="10294" xr:uid="{00000000-0005-0000-0000-0000CD390000}"/>
    <cellStyle name="Nota 2 2 2 2 2 3 5 5" xfId="13220" xr:uid="{00000000-0005-0000-0000-0000CE390000}"/>
    <cellStyle name="Nota 2 2 2 2 2 3 6" xfId="7061" xr:uid="{00000000-0005-0000-0000-0000CF390000}"/>
    <cellStyle name="Nota 2 2 2 2 2 3 6 2" xfId="8769" xr:uid="{00000000-0005-0000-0000-0000D0390000}"/>
    <cellStyle name="Nota 2 2 2 2 2 3 6 2 2" xfId="12737" xr:uid="{00000000-0005-0000-0000-0000D1390000}"/>
    <cellStyle name="Nota 2 2 2 2 2 3 6 2 3" xfId="22287" xr:uid="{00000000-0005-0000-0000-0000D2390000}"/>
    <cellStyle name="Nota 2 2 2 2 2 3 6 3" xfId="11195" xr:uid="{00000000-0005-0000-0000-0000D3390000}"/>
    <cellStyle name="Nota 2 2 2 2 2 3 6 4" xfId="20579" xr:uid="{00000000-0005-0000-0000-0000D4390000}"/>
    <cellStyle name="Nota 2 2 2 2 2 3 7" xfId="6049" xr:uid="{00000000-0005-0000-0000-0000D5390000}"/>
    <cellStyle name="Nota 2 2 2 2 2 3 7 2" xfId="10790" xr:uid="{00000000-0005-0000-0000-0000D6390000}"/>
    <cellStyle name="Nota 2 2 2 2 2 3 7 3" xfId="19567" xr:uid="{00000000-0005-0000-0000-0000D7390000}"/>
    <cellStyle name="Nota 2 2 2 2 2 3 8" xfId="7757" xr:uid="{00000000-0005-0000-0000-0000D8390000}"/>
    <cellStyle name="Nota 2 2 2 2 2 3 8 2" xfId="11778" xr:uid="{00000000-0005-0000-0000-0000D9390000}"/>
    <cellStyle name="Nota 2 2 2 2 2 3 8 3" xfId="21275" xr:uid="{00000000-0005-0000-0000-0000DA390000}"/>
    <cellStyle name="Nota 2 2 2 2 2 3 9" xfId="5243" xr:uid="{00000000-0005-0000-0000-0000DB390000}"/>
    <cellStyle name="Nota 2 2 2 2 2 3 9 2" xfId="12851" xr:uid="{00000000-0005-0000-0000-0000DC390000}"/>
    <cellStyle name="Nota 2 2 2 2 2 4" xfId="3307" xr:uid="{00000000-0005-0000-0000-0000DD390000}"/>
    <cellStyle name="Nota 2 2 2 2 2 4 2" xfId="3694" xr:uid="{00000000-0005-0000-0000-0000DE390000}"/>
    <cellStyle name="Nota 2 2 2 2 2 4 2 2" xfId="16806" xr:uid="{00000000-0005-0000-0000-0000DF390000}"/>
    <cellStyle name="Nota 2 2 2 2 2 4 3" xfId="4077" xr:uid="{00000000-0005-0000-0000-0000E0390000}"/>
    <cellStyle name="Nota 2 2 2 2 2 4 3 2" xfId="13917" xr:uid="{00000000-0005-0000-0000-0000E1390000}"/>
    <cellStyle name="Nota 2 2 2 2 2 4 4" xfId="4460" xr:uid="{00000000-0005-0000-0000-0000E2390000}"/>
    <cellStyle name="Nota 2 2 2 2 2 4 4 2" xfId="13545" xr:uid="{00000000-0005-0000-0000-0000E3390000}"/>
    <cellStyle name="Nota 2 2 2 2 2 4 5" xfId="4842" xr:uid="{00000000-0005-0000-0000-0000E4390000}"/>
    <cellStyle name="Nota 2 2 2 2 2 4 5 2" xfId="13164" xr:uid="{00000000-0005-0000-0000-0000E5390000}"/>
    <cellStyle name="Nota 2 2 2 2 2 4 6" xfId="5839" xr:uid="{00000000-0005-0000-0000-0000E6390000}"/>
    <cellStyle name="Nota 2 2 2 2 2 4 6 2" xfId="19357" xr:uid="{00000000-0005-0000-0000-0000E7390000}"/>
    <cellStyle name="Nota 2 2 2 2 2 4 7" xfId="9437" xr:uid="{00000000-0005-0000-0000-0000E8390000}"/>
    <cellStyle name="Nota 2 2 2 2 2 4 8" xfId="14218" xr:uid="{00000000-0005-0000-0000-0000E9390000}"/>
    <cellStyle name="Nota 2 2 2 2 2 5" xfId="2925" xr:uid="{00000000-0005-0000-0000-0000EA390000}"/>
    <cellStyle name="Nota 2 2 2 2 2 5 2" xfId="7547" xr:uid="{00000000-0005-0000-0000-0000EB390000}"/>
    <cellStyle name="Nota 2 2 2 2 2 5 2 2" xfId="21065" xr:uid="{00000000-0005-0000-0000-0000EC390000}"/>
    <cellStyle name="Nota 2 2 2 2 2 5 3" xfId="9077" xr:uid="{00000000-0005-0000-0000-0000ED390000}"/>
    <cellStyle name="Nota 2 2 2 2 2 5 4" xfId="17234" xr:uid="{00000000-0005-0000-0000-0000EE390000}"/>
    <cellStyle name="Nota 2 2 2 2 2 6" xfId="8915" xr:uid="{00000000-0005-0000-0000-0000EF390000}"/>
    <cellStyle name="Nota 2 2 2 2 3" xfId="2640" xr:uid="{00000000-0005-0000-0000-0000F0390000}"/>
    <cellStyle name="Nota 2 2 2 2 3 2" xfId="2939" xr:uid="{00000000-0005-0000-0000-0000F1390000}"/>
    <cellStyle name="Nota 2 2 2 2 3 2 10" xfId="9091" xr:uid="{00000000-0005-0000-0000-0000F2390000}"/>
    <cellStyle name="Nota 2 2 2 2 3 2 11" xfId="17987" xr:uid="{00000000-0005-0000-0000-0000F3390000}"/>
    <cellStyle name="Nota 2 2 2 2 3 2 2" xfId="3326" xr:uid="{00000000-0005-0000-0000-0000F4390000}"/>
    <cellStyle name="Nota 2 2 2 2 3 2 2 2" xfId="7381" xr:uid="{00000000-0005-0000-0000-0000F5390000}"/>
    <cellStyle name="Nota 2 2 2 2 3 2 2 2 2" xfId="11467" xr:uid="{00000000-0005-0000-0000-0000F6390000}"/>
    <cellStyle name="Nota 2 2 2 2 3 2 2 2 3" xfId="20899" xr:uid="{00000000-0005-0000-0000-0000F7390000}"/>
    <cellStyle name="Nota 2 2 2 2 3 2 2 3" xfId="5672" xr:uid="{00000000-0005-0000-0000-0000F8390000}"/>
    <cellStyle name="Nota 2 2 2 2 3 2 2 3 2" xfId="19190" xr:uid="{00000000-0005-0000-0000-0000F9390000}"/>
    <cellStyle name="Nota 2 2 2 2 3 2 2 4" xfId="9456" xr:uid="{00000000-0005-0000-0000-0000FA390000}"/>
    <cellStyle name="Nota 2 2 2 2 3 2 2 5" xfId="15512" xr:uid="{00000000-0005-0000-0000-0000FB390000}"/>
    <cellStyle name="Nota 2 2 2 2 3 2 3" xfId="3709" xr:uid="{00000000-0005-0000-0000-0000FC390000}"/>
    <cellStyle name="Nota 2 2 2 2 3 2 3 2" xfId="7102" xr:uid="{00000000-0005-0000-0000-0000FD390000}"/>
    <cellStyle name="Nota 2 2 2 2 3 2 3 2 2" xfId="11236" xr:uid="{00000000-0005-0000-0000-0000FE390000}"/>
    <cellStyle name="Nota 2 2 2 2 3 2 3 2 3" xfId="20620" xr:uid="{00000000-0005-0000-0000-0000FF390000}"/>
    <cellStyle name="Nota 2 2 2 2 3 2 3 3" xfId="5393" xr:uid="{00000000-0005-0000-0000-0000003A0000}"/>
    <cellStyle name="Nota 2 2 2 2 3 2 3 3 2" xfId="18911" xr:uid="{00000000-0005-0000-0000-0000013A0000}"/>
    <cellStyle name="Nota 2 2 2 2 3 2 3 4" xfId="9771" xr:uid="{00000000-0005-0000-0000-0000023A0000}"/>
    <cellStyle name="Nota 2 2 2 2 3 2 3 5" xfId="15929" xr:uid="{00000000-0005-0000-0000-0000033A0000}"/>
    <cellStyle name="Nota 2 2 2 2 3 2 4" xfId="4092" xr:uid="{00000000-0005-0000-0000-0000043A0000}"/>
    <cellStyle name="Nota 2 2 2 2 3 2 4 2" xfId="8213" xr:uid="{00000000-0005-0000-0000-0000053A0000}"/>
    <cellStyle name="Nota 2 2 2 2 3 2 4 2 2" xfId="12181" xr:uid="{00000000-0005-0000-0000-0000063A0000}"/>
    <cellStyle name="Nota 2 2 2 2 3 2 4 2 3" xfId="21731" xr:uid="{00000000-0005-0000-0000-0000073A0000}"/>
    <cellStyle name="Nota 2 2 2 2 3 2 4 3" xfId="6505" xr:uid="{00000000-0005-0000-0000-0000083A0000}"/>
    <cellStyle name="Nota 2 2 2 2 3 2 4 3 2" xfId="20023" xr:uid="{00000000-0005-0000-0000-0000093A0000}"/>
    <cellStyle name="Nota 2 2 2 2 3 2 4 4" xfId="9949" xr:uid="{00000000-0005-0000-0000-00000A3A0000}"/>
    <cellStyle name="Nota 2 2 2 2 3 2 4 5" xfId="13902" xr:uid="{00000000-0005-0000-0000-00000B3A0000}"/>
    <cellStyle name="Nota 2 2 2 2 3 2 5" xfId="4474" xr:uid="{00000000-0005-0000-0000-00000C3A0000}"/>
    <cellStyle name="Nota 2 2 2 2 3 2 5 2" xfId="8445" xr:uid="{00000000-0005-0000-0000-00000D3A0000}"/>
    <cellStyle name="Nota 2 2 2 2 3 2 5 2 2" xfId="12413" xr:uid="{00000000-0005-0000-0000-00000E3A0000}"/>
    <cellStyle name="Nota 2 2 2 2 3 2 5 2 3" xfId="21963" xr:uid="{00000000-0005-0000-0000-00000F3A0000}"/>
    <cellStyle name="Nota 2 2 2 2 3 2 5 3" xfId="6737" xr:uid="{00000000-0005-0000-0000-0000103A0000}"/>
    <cellStyle name="Nota 2 2 2 2 3 2 5 3 2" xfId="20255" xr:uid="{00000000-0005-0000-0000-0000113A0000}"/>
    <cellStyle name="Nota 2 2 2 2 3 2 5 4" xfId="10126" xr:uid="{00000000-0005-0000-0000-0000123A0000}"/>
    <cellStyle name="Nota 2 2 2 2 3 2 5 5" xfId="13531" xr:uid="{00000000-0005-0000-0000-0000133A0000}"/>
    <cellStyle name="Nota 2 2 2 2 3 2 6" xfId="6969" xr:uid="{00000000-0005-0000-0000-0000143A0000}"/>
    <cellStyle name="Nota 2 2 2 2 3 2 6 2" xfId="8677" xr:uid="{00000000-0005-0000-0000-0000153A0000}"/>
    <cellStyle name="Nota 2 2 2 2 3 2 6 2 2" xfId="12645" xr:uid="{00000000-0005-0000-0000-0000163A0000}"/>
    <cellStyle name="Nota 2 2 2 2 3 2 6 2 3" xfId="22195" xr:uid="{00000000-0005-0000-0000-0000173A0000}"/>
    <cellStyle name="Nota 2 2 2 2 3 2 6 3" xfId="11103" xr:uid="{00000000-0005-0000-0000-0000183A0000}"/>
    <cellStyle name="Nota 2 2 2 2 3 2 6 4" xfId="20487" xr:uid="{00000000-0005-0000-0000-0000193A0000}"/>
    <cellStyle name="Nota 2 2 2 2 3 2 7" xfId="5957" xr:uid="{00000000-0005-0000-0000-00001A3A0000}"/>
    <cellStyle name="Nota 2 2 2 2 3 2 7 2" xfId="10698" xr:uid="{00000000-0005-0000-0000-00001B3A0000}"/>
    <cellStyle name="Nota 2 2 2 2 3 2 7 3" xfId="19475" xr:uid="{00000000-0005-0000-0000-00001C3A0000}"/>
    <cellStyle name="Nota 2 2 2 2 3 2 8" xfId="7665" xr:uid="{00000000-0005-0000-0000-00001D3A0000}"/>
    <cellStyle name="Nota 2 2 2 2 3 2 8 2" xfId="11686" xr:uid="{00000000-0005-0000-0000-00001E3A0000}"/>
    <cellStyle name="Nota 2 2 2 2 3 2 8 3" xfId="21183" xr:uid="{00000000-0005-0000-0000-00001F3A0000}"/>
    <cellStyle name="Nota 2 2 2 2 3 2 9" xfId="5148" xr:uid="{00000000-0005-0000-0000-0000203A0000}"/>
    <cellStyle name="Nota 2 2 2 2 3 2 9 2" xfId="12779" xr:uid="{00000000-0005-0000-0000-0000213A0000}"/>
    <cellStyle name="Nota 2 2 2 2 3 3" xfId="3132" xr:uid="{00000000-0005-0000-0000-0000223A0000}"/>
    <cellStyle name="Nota 2 2 2 2 3 3 10" xfId="9262" xr:uid="{00000000-0005-0000-0000-0000233A0000}"/>
    <cellStyle name="Nota 2 2 2 2 3 3 11" xfId="16012" xr:uid="{00000000-0005-0000-0000-0000243A0000}"/>
    <cellStyle name="Nota 2 2 2 2 3 3 2" xfId="3519" xr:uid="{00000000-0005-0000-0000-0000253A0000}"/>
    <cellStyle name="Nota 2 2 2 2 3 3 2 2" xfId="7374" xr:uid="{00000000-0005-0000-0000-0000263A0000}"/>
    <cellStyle name="Nota 2 2 2 2 3 3 2 2 2" xfId="11460" xr:uid="{00000000-0005-0000-0000-0000273A0000}"/>
    <cellStyle name="Nota 2 2 2 2 3 3 2 2 3" xfId="20892" xr:uid="{00000000-0005-0000-0000-0000283A0000}"/>
    <cellStyle name="Nota 2 2 2 2 3 3 2 3" xfId="5665" xr:uid="{00000000-0005-0000-0000-0000293A0000}"/>
    <cellStyle name="Nota 2 2 2 2 3 3 2 3 2" xfId="19183" xr:uid="{00000000-0005-0000-0000-00002A3A0000}"/>
    <cellStyle name="Nota 2 2 2 2 3 3 2 4" xfId="9611" xr:uid="{00000000-0005-0000-0000-00002B3A0000}"/>
    <cellStyle name="Nota 2 2 2 2 3 3 2 5" xfId="15099" xr:uid="{00000000-0005-0000-0000-00002C3A0000}"/>
    <cellStyle name="Nota 2 2 2 2 3 3 3" xfId="3902" xr:uid="{00000000-0005-0000-0000-00002D3A0000}"/>
    <cellStyle name="Nota 2 2 2 2 3 3 3 2" xfId="7910" xr:uid="{00000000-0005-0000-0000-00002E3A0000}"/>
    <cellStyle name="Nota 2 2 2 2 3 3 3 2 2" xfId="11889" xr:uid="{00000000-0005-0000-0000-00002F3A0000}"/>
    <cellStyle name="Nota 2 2 2 2 3 3 3 2 3" xfId="21428" xr:uid="{00000000-0005-0000-0000-0000303A0000}"/>
    <cellStyle name="Nota 2 2 2 2 3 3 3 3" xfId="6202" xr:uid="{00000000-0005-0000-0000-0000313A0000}"/>
    <cellStyle name="Nota 2 2 2 2 3 3 3 3 2" xfId="19720" xr:uid="{00000000-0005-0000-0000-0000323A0000}"/>
    <cellStyle name="Nota 2 2 2 2 3 3 3 4" xfId="9825" xr:uid="{00000000-0005-0000-0000-0000333A0000}"/>
    <cellStyle name="Nota 2 2 2 2 3 3 3 5" xfId="14086" xr:uid="{00000000-0005-0000-0000-0000343A0000}"/>
    <cellStyle name="Nota 2 2 2 2 3 3 4" xfId="4285" xr:uid="{00000000-0005-0000-0000-0000353A0000}"/>
    <cellStyle name="Nota 2 2 2 2 3 3 4 2" xfId="8196" xr:uid="{00000000-0005-0000-0000-0000363A0000}"/>
    <cellStyle name="Nota 2 2 2 2 3 3 4 2 2" xfId="12164" xr:uid="{00000000-0005-0000-0000-0000373A0000}"/>
    <cellStyle name="Nota 2 2 2 2 3 3 4 2 3" xfId="21714" xr:uid="{00000000-0005-0000-0000-0000383A0000}"/>
    <cellStyle name="Nota 2 2 2 2 3 3 4 3" xfId="6488" xr:uid="{00000000-0005-0000-0000-0000393A0000}"/>
    <cellStyle name="Nota 2 2 2 2 3 3 4 3 2" xfId="20006" xr:uid="{00000000-0005-0000-0000-00003A3A0000}"/>
    <cellStyle name="Nota 2 2 2 2 3 3 4 4" xfId="10003" xr:uid="{00000000-0005-0000-0000-00003B3A0000}"/>
    <cellStyle name="Nota 2 2 2 2 3 3 4 5" xfId="13720" xr:uid="{00000000-0005-0000-0000-00003C3A0000}"/>
    <cellStyle name="Nota 2 2 2 2 3 3 5" xfId="4667" xr:uid="{00000000-0005-0000-0000-00003D3A0000}"/>
    <cellStyle name="Nota 2 2 2 2 3 3 5 2" xfId="8428" xr:uid="{00000000-0005-0000-0000-00003E3A0000}"/>
    <cellStyle name="Nota 2 2 2 2 3 3 5 2 2" xfId="12396" xr:uid="{00000000-0005-0000-0000-00003F3A0000}"/>
    <cellStyle name="Nota 2 2 2 2 3 3 5 2 3" xfId="21946" xr:uid="{00000000-0005-0000-0000-0000403A0000}"/>
    <cellStyle name="Nota 2 2 2 2 3 3 5 3" xfId="6720" xr:uid="{00000000-0005-0000-0000-0000413A0000}"/>
    <cellStyle name="Nota 2 2 2 2 3 3 5 3 2" xfId="20238" xr:uid="{00000000-0005-0000-0000-0000423A0000}"/>
    <cellStyle name="Nota 2 2 2 2 3 3 5 4" xfId="10180" xr:uid="{00000000-0005-0000-0000-0000433A0000}"/>
    <cellStyle name="Nota 2 2 2 2 3 3 5 5" xfId="13338" xr:uid="{00000000-0005-0000-0000-0000443A0000}"/>
    <cellStyle name="Nota 2 2 2 2 3 3 6" xfId="6952" xr:uid="{00000000-0005-0000-0000-0000453A0000}"/>
    <cellStyle name="Nota 2 2 2 2 3 3 6 2" xfId="8660" xr:uid="{00000000-0005-0000-0000-0000463A0000}"/>
    <cellStyle name="Nota 2 2 2 2 3 3 6 2 2" xfId="12628" xr:uid="{00000000-0005-0000-0000-0000473A0000}"/>
    <cellStyle name="Nota 2 2 2 2 3 3 6 2 3" xfId="22178" xr:uid="{00000000-0005-0000-0000-0000483A0000}"/>
    <cellStyle name="Nota 2 2 2 2 3 3 6 3" xfId="11086" xr:uid="{00000000-0005-0000-0000-0000493A0000}"/>
    <cellStyle name="Nota 2 2 2 2 3 3 6 4" xfId="20470" xr:uid="{00000000-0005-0000-0000-00004A3A0000}"/>
    <cellStyle name="Nota 2 2 2 2 3 3 7" xfId="5940" xr:uid="{00000000-0005-0000-0000-00004B3A0000}"/>
    <cellStyle name="Nota 2 2 2 2 3 3 7 2" xfId="10681" xr:uid="{00000000-0005-0000-0000-00004C3A0000}"/>
    <cellStyle name="Nota 2 2 2 2 3 3 7 3" xfId="19458" xr:uid="{00000000-0005-0000-0000-00004D3A0000}"/>
    <cellStyle name="Nota 2 2 2 2 3 3 8" xfId="7648" xr:uid="{00000000-0005-0000-0000-00004E3A0000}"/>
    <cellStyle name="Nota 2 2 2 2 3 3 8 2" xfId="11669" xr:uid="{00000000-0005-0000-0000-00004F3A0000}"/>
    <cellStyle name="Nota 2 2 2 2 3 3 8 3" xfId="21166" xr:uid="{00000000-0005-0000-0000-0000503A0000}"/>
    <cellStyle name="Nota 2 2 2 2 3 3 9" xfId="5036" xr:uid="{00000000-0005-0000-0000-0000513A0000}"/>
    <cellStyle name="Nota 2 2 2 2 3 3 9 2" xfId="12983" xr:uid="{00000000-0005-0000-0000-0000523A0000}"/>
    <cellStyle name="Nota 2 2 2 2 3 4" xfId="3001" xr:uid="{00000000-0005-0000-0000-0000533A0000}"/>
    <cellStyle name="Nota 2 2 2 2 3 4 2" xfId="3388" xr:uid="{00000000-0005-0000-0000-0000543A0000}"/>
    <cellStyle name="Nota 2 2 2 2 3 4 2 2" xfId="17403" xr:uid="{00000000-0005-0000-0000-0000553A0000}"/>
    <cellStyle name="Nota 2 2 2 2 3 4 3" xfId="3771" xr:uid="{00000000-0005-0000-0000-0000563A0000}"/>
    <cellStyle name="Nota 2 2 2 2 3 4 3 2" xfId="14219" xr:uid="{00000000-0005-0000-0000-0000573A0000}"/>
    <cellStyle name="Nota 2 2 2 2 3 4 4" xfId="4154" xr:uid="{00000000-0005-0000-0000-0000583A0000}"/>
    <cellStyle name="Nota 2 2 2 2 3 4 4 2" xfId="14361" xr:uid="{00000000-0005-0000-0000-0000593A0000}"/>
    <cellStyle name="Nota 2 2 2 2 3 4 5" xfId="4536" xr:uid="{00000000-0005-0000-0000-00005A3A0000}"/>
    <cellStyle name="Nota 2 2 2 2 3 4 5 2" xfId="13469" xr:uid="{00000000-0005-0000-0000-00005B3A0000}"/>
    <cellStyle name="Nota 2 2 2 2 3 4 6" xfId="5766" xr:uid="{00000000-0005-0000-0000-00005C3A0000}"/>
    <cellStyle name="Nota 2 2 2 2 3 4 6 2" xfId="19284" xr:uid="{00000000-0005-0000-0000-00005D3A0000}"/>
    <cellStyle name="Nota 2 2 2 2 3 4 7" xfId="9148" xr:uid="{00000000-0005-0000-0000-00005E3A0000}"/>
    <cellStyle name="Nota 2 2 2 2 3 4 8" xfId="17884" xr:uid="{00000000-0005-0000-0000-00005F3A0000}"/>
    <cellStyle name="Nota 2 2 2 2 3 5" xfId="2840" xr:uid="{00000000-0005-0000-0000-0000603A0000}"/>
    <cellStyle name="Nota 2 2 2 2 3 5 2" xfId="7475" xr:uid="{00000000-0005-0000-0000-0000613A0000}"/>
    <cellStyle name="Nota 2 2 2 2 3 5 2 2" xfId="20993" xr:uid="{00000000-0005-0000-0000-0000623A0000}"/>
    <cellStyle name="Nota 2 2 2 2 3 5 3" xfId="8993" xr:uid="{00000000-0005-0000-0000-0000633A0000}"/>
    <cellStyle name="Nota 2 2 2 2 3 5 4" xfId="14721" xr:uid="{00000000-0005-0000-0000-0000643A0000}"/>
    <cellStyle name="Nota 2 2 2 2 3 6" xfId="8797" xr:uid="{00000000-0005-0000-0000-0000653A0000}"/>
    <cellStyle name="Nota 2 2 2 2 4" xfId="2959" xr:uid="{00000000-0005-0000-0000-0000663A0000}"/>
    <cellStyle name="Nota 2 2 2 2 4 10" xfId="9111" xr:uid="{00000000-0005-0000-0000-0000673A0000}"/>
    <cellStyle name="Nota 2 2 2 2 4 11" xfId="15614" xr:uid="{00000000-0005-0000-0000-0000683A0000}"/>
    <cellStyle name="Nota 2 2 2 2 4 2" xfId="3346" xr:uid="{00000000-0005-0000-0000-0000693A0000}"/>
    <cellStyle name="Nota 2 2 2 2 4 2 2" xfId="7347" xr:uid="{00000000-0005-0000-0000-00006A3A0000}"/>
    <cellStyle name="Nota 2 2 2 2 4 2 2 2" xfId="11433" xr:uid="{00000000-0005-0000-0000-00006B3A0000}"/>
    <cellStyle name="Nota 2 2 2 2 4 2 2 3" xfId="20865" xr:uid="{00000000-0005-0000-0000-00006C3A0000}"/>
    <cellStyle name="Nota 2 2 2 2 4 2 3" xfId="5638" xr:uid="{00000000-0005-0000-0000-00006D3A0000}"/>
    <cellStyle name="Nota 2 2 2 2 4 2 3 2" xfId="19156" xr:uid="{00000000-0005-0000-0000-00006E3A0000}"/>
    <cellStyle name="Nota 2 2 2 2 4 2 4" xfId="9476" xr:uid="{00000000-0005-0000-0000-00006F3A0000}"/>
    <cellStyle name="Nota 2 2 2 2 4 2 5" xfId="17520" xr:uid="{00000000-0005-0000-0000-0000703A0000}"/>
    <cellStyle name="Nota 2 2 2 2 4 3" xfId="3729" xr:uid="{00000000-0005-0000-0000-0000713A0000}"/>
    <cellStyle name="Nota 2 2 2 2 4 3 2" xfId="7174" xr:uid="{00000000-0005-0000-0000-0000723A0000}"/>
    <cellStyle name="Nota 2 2 2 2 4 3 2 2" xfId="11304" xr:uid="{00000000-0005-0000-0000-0000733A0000}"/>
    <cellStyle name="Nota 2 2 2 2 4 3 2 3" xfId="20692" xr:uid="{00000000-0005-0000-0000-0000743A0000}"/>
    <cellStyle name="Nota 2 2 2 2 4 3 3" xfId="5465" xr:uid="{00000000-0005-0000-0000-0000753A0000}"/>
    <cellStyle name="Nota 2 2 2 2 4 3 3 2" xfId="18983" xr:uid="{00000000-0005-0000-0000-0000763A0000}"/>
    <cellStyle name="Nota 2 2 2 2 4 3 4" xfId="9791" xr:uid="{00000000-0005-0000-0000-0000773A0000}"/>
    <cellStyle name="Nota 2 2 2 2 4 3 5" xfId="16544" xr:uid="{00000000-0005-0000-0000-0000783A0000}"/>
    <cellStyle name="Nota 2 2 2 2 4 4" xfId="4112" xr:uid="{00000000-0005-0000-0000-0000793A0000}"/>
    <cellStyle name="Nota 2 2 2 2 4 4 2" xfId="8127" xr:uid="{00000000-0005-0000-0000-00007A3A0000}"/>
    <cellStyle name="Nota 2 2 2 2 4 4 2 2" xfId="12095" xr:uid="{00000000-0005-0000-0000-00007B3A0000}"/>
    <cellStyle name="Nota 2 2 2 2 4 4 2 3" xfId="21645" xr:uid="{00000000-0005-0000-0000-00007C3A0000}"/>
    <cellStyle name="Nota 2 2 2 2 4 4 3" xfId="6419" xr:uid="{00000000-0005-0000-0000-00007D3A0000}"/>
    <cellStyle name="Nota 2 2 2 2 4 4 3 2" xfId="19937" xr:uid="{00000000-0005-0000-0000-00007E3A0000}"/>
    <cellStyle name="Nota 2 2 2 2 4 4 4" xfId="9969" xr:uid="{00000000-0005-0000-0000-00007F3A0000}"/>
    <cellStyle name="Nota 2 2 2 2 4 4 5" xfId="13882" xr:uid="{00000000-0005-0000-0000-0000803A0000}"/>
    <cellStyle name="Nota 2 2 2 2 4 5" xfId="4494" xr:uid="{00000000-0005-0000-0000-0000813A0000}"/>
    <cellStyle name="Nota 2 2 2 2 4 5 2" xfId="8359" xr:uid="{00000000-0005-0000-0000-0000823A0000}"/>
    <cellStyle name="Nota 2 2 2 2 4 5 2 2" xfId="12327" xr:uid="{00000000-0005-0000-0000-0000833A0000}"/>
    <cellStyle name="Nota 2 2 2 2 4 5 2 3" xfId="21877" xr:uid="{00000000-0005-0000-0000-0000843A0000}"/>
    <cellStyle name="Nota 2 2 2 2 4 5 3" xfId="6651" xr:uid="{00000000-0005-0000-0000-0000853A0000}"/>
    <cellStyle name="Nota 2 2 2 2 4 5 3 2" xfId="20169" xr:uid="{00000000-0005-0000-0000-0000863A0000}"/>
    <cellStyle name="Nota 2 2 2 2 4 5 4" xfId="10146" xr:uid="{00000000-0005-0000-0000-0000873A0000}"/>
    <cellStyle name="Nota 2 2 2 2 4 5 5" xfId="13511" xr:uid="{00000000-0005-0000-0000-0000883A0000}"/>
    <cellStyle name="Nota 2 2 2 2 4 6" xfId="6883" xr:uid="{00000000-0005-0000-0000-0000893A0000}"/>
    <cellStyle name="Nota 2 2 2 2 4 6 2" xfId="8591" xr:uid="{00000000-0005-0000-0000-00008A3A0000}"/>
    <cellStyle name="Nota 2 2 2 2 4 6 2 2" xfId="12559" xr:uid="{00000000-0005-0000-0000-00008B3A0000}"/>
    <cellStyle name="Nota 2 2 2 2 4 6 2 3" xfId="22109" xr:uid="{00000000-0005-0000-0000-00008C3A0000}"/>
    <cellStyle name="Nota 2 2 2 2 4 6 3" xfId="11017" xr:uid="{00000000-0005-0000-0000-00008D3A0000}"/>
    <cellStyle name="Nota 2 2 2 2 4 6 4" xfId="20401" xr:uid="{00000000-0005-0000-0000-00008E3A0000}"/>
    <cellStyle name="Nota 2 2 2 2 4 7" xfId="5871" xr:uid="{00000000-0005-0000-0000-00008F3A0000}"/>
    <cellStyle name="Nota 2 2 2 2 4 7 2" xfId="10612" xr:uid="{00000000-0005-0000-0000-0000903A0000}"/>
    <cellStyle name="Nota 2 2 2 2 4 7 3" xfId="19389" xr:uid="{00000000-0005-0000-0000-0000913A0000}"/>
    <cellStyle name="Nota 2 2 2 2 4 8" xfId="7579" xr:uid="{00000000-0005-0000-0000-0000923A0000}"/>
    <cellStyle name="Nota 2 2 2 2 4 8 2" xfId="11600" xr:uid="{00000000-0005-0000-0000-0000933A0000}"/>
    <cellStyle name="Nota 2 2 2 2 4 8 3" xfId="21097" xr:uid="{00000000-0005-0000-0000-0000943A0000}"/>
    <cellStyle name="Nota 2 2 2 2 4 9" xfId="4961" xr:uid="{00000000-0005-0000-0000-0000953A0000}"/>
    <cellStyle name="Nota 2 2 2 2 4 9 2" xfId="13058" xr:uid="{00000000-0005-0000-0000-0000963A0000}"/>
    <cellStyle name="Nota 2 2 2 2 5" xfId="3195" xr:uid="{00000000-0005-0000-0000-0000973A0000}"/>
    <cellStyle name="Nota 2 2 2 2 5 2" xfId="3582" xr:uid="{00000000-0005-0000-0000-0000983A0000}"/>
    <cellStyle name="Nota 2 2 2 2 5 2 2" xfId="5087" xr:uid="{00000000-0005-0000-0000-0000993A0000}"/>
    <cellStyle name="Nota 2 2 2 2 5 2 2 2" xfId="12948" xr:uid="{00000000-0005-0000-0000-00009A3A0000}"/>
    <cellStyle name="Nota 2 2 2 2 5 2 3" xfId="9674" xr:uid="{00000000-0005-0000-0000-00009B3A0000}"/>
    <cellStyle name="Nota 2 2 2 2 5 2 4" xfId="17984" xr:uid="{00000000-0005-0000-0000-00009C3A0000}"/>
    <cellStyle name="Nota 2 2 2 2 5 3" xfId="3965" xr:uid="{00000000-0005-0000-0000-00009D3A0000}"/>
    <cellStyle name="Nota 2 2 2 2 5 3 2" xfId="14026" xr:uid="{00000000-0005-0000-0000-00009E3A0000}"/>
    <cellStyle name="Nota 2 2 2 2 5 4" xfId="4348" xr:uid="{00000000-0005-0000-0000-00009F3A0000}"/>
    <cellStyle name="Nota 2 2 2 2 5 4 2" xfId="13657" xr:uid="{00000000-0005-0000-0000-0000A03A0000}"/>
    <cellStyle name="Nota 2 2 2 2 5 5" xfId="4730" xr:uid="{00000000-0005-0000-0000-0000A13A0000}"/>
    <cellStyle name="Nota 2 2 2 2 5 5 2" xfId="13275" xr:uid="{00000000-0005-0000-0000-0000A23A0000}"/>
    <cellStyle name="Nota 2 2 2 2 5 6" xfId="5330" xr:uid="{00000000-0005-0000-0000-0000A33A0000}"/>
    <cellStyle name="Nota 2 2 2 2 5 6 2" xfId="18848" xr:uid="{00000000-0005-0000-0000-0000A43A0000}"/>
    <cellStyle name="Nota 2 2 2 2 5 7" xfId="9325" xr:uid="{00000000-0005-0000-0000-0000A53A0000}"/>
    <cellStyle name="Nota 2 2 2 2 5 8" xfId="18595" xr:uid="{00000000-0005-0000-0000-0000A63A0000}"/>
    <cellStyle name="Nota 2 2 2 2 6" xfId="3015" xr:uid="{00000000-0005-0000-0000-0000A73A0000}"/>
    <cellStyle name="Nota 2 2 2 2 6 2" xfId="3402" xr:uid="{00000000-0005-0000-0000-0000A83A0000}"/>
    <cellStyle name="Nota 2 2 2 2 6 2 2" xfId="7302" xr:uid="{00000000-0005-0000-0000-0000A93A0000}"/>
    <cellStyle name="Nota 2 2 2 2 6 2 2 2" xfId="20820" xr:uid="{00000000-0005-0000-0000-0000AA3A0000}"/>
    <cellStyle name="Nota 2 2 2 2 6 2 3" xfId="9521" xr:uid="{00000000-0005-0000-0000-0000AB3A0000}"/>
    <cellStyle name="Nota 2 2 2 2 6 2 4" xfId="16084" xr:uid="{00000000-0005-0000-0000-0000AC3A0000}"/>
    <cellStyle name="Nota 2 2 2 2 6 3" xfId="3785" xr:uid="{00000000-0005-0000-0000-0000AD3A0000}"/>
    <cellStyle name="Nota 2 2 2 2 6 3 2" xfId="17332" xr:uid="{00000000-0005-0000-0000-0000AE3A0000}"/>
    <cellStyle name="Nota 2 2 2 2 6 4" xfId="4168" xr:uid="{00000000-0005-0000-0000-0000AF3A0000}"/>
    <cellStyle name="Nota 2 2 2 2 6 4 2" xfId="13837" xr:uid="{00000000-0005-0000-0000-0000B03A0000}"/>
    <cellStyle name="Nota 2 2 2 2 6 5" xfId="4550" xr:uid="{00000000-0005-0000-0000-0000B13A0000}"/>
    <cellStyle name="Nota 2 2 2 2 6 5 2" xfId="13455" xr:uid="{00000000-0005-0000-0000-0000B23A0000}"/>
    <cellStyle name="Nota 2 2 2 2 6 6" xfId="5593" xr:uid="{00000000-0005-0000-0000-0000B33A0000}"/>
    <cellStyle name="Nota 2 2 2 2 6 6 2" xfId="19111" xr:uid="{00000000-0005-0000-0000-0000B43A0000}"/>
    <cellStyle name="Nota 2 2 2 2 6 7" xfId="9158" xr:uid="{00000000-0005-0000-0000-0000B53A0000}"/>
    <cellStyle name="Nota 2 2 2 2 6 8" xfId="18619" xr:uid="{00000000-0005-0000-0000-0000B63A0000}"/>
    <cellStyle name="Nota 2 2 2 2 7" xfId="6130" xr:uid="{00000000-0005-0000-0000-0000B73A0000}"/>
    <cellStyle name="Nota 2 2 2 2 7 2" xfId="7838" xr:uid="{00000000-0005-0000-0000-0000B83A0000}"/>
    <cellStyle name="Nota 2 2 2 2 7 2 2" xfId="11844" xr:uid="{00000000-0005-0000-0000-0000B93A0000}"/>
    <cellStyle name="Nota 2 2 2 2 7 2 3" xfId="21356" xr:uid="{00000000-0005-0000-0000-0000BA3A0000}"/>
    <cellStyle name="Nota 2 2 2 2 7 3" xfId="10819" xr:uid="{00000000-0005-0000-0000-0000BB3A0000}"/>
    <cellStyle name="Nota 2 2 2 2 7 4" xfId="19648" xr:uid="{00000000-0005-0000-0000-0000BC3A0000}"/>
    <cellStyle name="Nota 2 2 2 2 8" xfId="5284" xr:uid="{00000000-0005-0000-0000-0000BD3A0000}"/>
    <cellStyle name="Nota 2 2 2 2 8 2" xfId="5118" xr:uid="{00000000-0005-0000-0000-0000BE3A0000}"/>
    <cellStyle name="Nota 2 2 2 2 8 2 2" xfId="10361" xr:uid="{00000000-0005-0000-0000-0000BF3A0000}"/>
    <cellStyle name="Nota 2 2 2 2 8 2 3" xfId="14118" xr:uid="{00000000-0005-0000-0000-0000C03A0000}"/>
    <cellStyle name="Nota 2 2 2 2 8 3" xfId="10409" xr:uid="{00000000-0005-0000-0000-0000C13A0000}"/>
    <cellStyle name="Nota 2 2 2 2 8 4" xfId="18802" xr:uid="{00000000-0005-0000-0000-0000C23A0000}"/>
    <cellStyle name="Nota 2 2 2 2 9" xfId="5772" xr:uid="{00000000-0005-0000-0000-0000C33A0000}"/>
    <cellStyle name="Nota 2 2 2 2 9 2" xfId="10548" xr:uid="{00000000-0005-0000-0000-0000C43A0000}"/>
    <cellStyle name="Nota 2 2 2 2 9 3" xfId="19290" xr:uid="{00000000-0005-0000-0000-0000C53A0000}"/>
    <cellStyle name="Nota 2 2 2 3" xfId="2721" xr:uid="{00000000-0005-0000-0000-0000C63A0000}"/>
    <cellStyle name="Nota 2 2 2 3 2" xfId="2966" xr:uid="{00000000-0005-0000-0000-0000C73A0000}"/>
    <cellStyle name="Nota 2 2 2 3 2 10" xfId="9118" xr:uid="{00000000-0005-0000-0000-0000C83A0000}"/>
    <cellStyle name="Nota 2 2 2 3 2 11" xfId="16623" xr:uid="{00000000-0005-0000-0000-0000C93A0000}"/>
    <cellStyle name="Nota 2 2 2 3 2 2" xfId="3353" xr:uid="{00000000-0005-0000-0000-0000CA3A0000}"/>
    <cellStyle name="Nota 2 2 2 3 2 2 2" xfId="7930" xr:uid="{00000000-0005-0000-0000-0000CB3A0000}"/>
    <cellStyle name="Nota 2 2 2 3 2 2 2 2" xfId="11906" xr:uid="{00000000-0005-0000-0000-0000CC3A0000}"/>
    <cellStyle name="Nota 2 2 2 3 2 2 2 3" xfId="21448" xr:uid="{00000000-0005-0000-0000-0000CD3A0000}"/>
    <cellStyle name="Nota 2 2 2 3 2 2 3" xfId="6222" xr:uid="{00000000-0005-0000-0000-0000CE3A0000}"/>
    <cellStyle name="Nota 2 2 2 3 2 2 3 2" xfId="19740" xr:uid="{00000000-0005-0000-0000-0000CF3A0000}"/>
    <cellStyle name="Nota 2 2 2 3 2 2 4" xfId="9483" xr:uid="{00000000-0005-0000-0000-0000D03A0000}"/>
    <cellStyle name="Nota 2 2 2 3 2 2 5" xfId="15872" xr:uid="{00000000-0005-0000-0000-0000D13A0000}"/>
    <cellStyle name="Nota 2 2 2 3 2 3" xfId="3736" xr:uid="{00000000-0005-0000-0000-0000D23A0000}"/>
    <cellStyle name="Nota 2 2 2 3 2 3 2" xfId="7868" xr:uid="{00000000-0005-0000-0000-0000D33A0000}"/>
    <cellStyle name="Nota 2 2 2 3 2 3 2 2" xfId="11863" xr:uid="{00000000-0005-0000-0000-0000D43A0000}"/>
    <cellStyle name="Nota 2 2 2 3 2 3 2 3" xfId="21386" xr:uid="{00000000-0005-0000-0000-0000D53A0000}"/>
    <cellStyle name="Nota 2 2 2 3 2 3 3" xfId="6160" xr:uid="{00000000-0005-0000-0000-0000D63A0000}"/>
    <cellStyle name="Nota 2 2 2 3 2 3 3 2" xfId="19678" xr:uid="{00000000-0005-0000-0000-0000D73A0000}"/>
    <cellStyle name="Nota 2 2 2 3 2 3 4" xfId="9798" xr:uid="{00000000-0005-0000-0000-0000D83A0000}"/>
    <cellStyle name="Nota 2 2 2 3 2 3 5" xfId="17968" xr:uid="{00000000-0005-0000-0000-0000D93A0000}"/>
    <cellStyle name="Nota 2 2 2 3 2 4" xfId="4119" xr:uid="{00000000-0005-0000-0000-0000DA3A0000}"/>
    <cellStyle name="Nota 2 2 2 3 2 4 2" xfId="8237" xr:uid="{00000000-0005-0000-0000-0000DB3A0000}"/>
    <cellStyle name="Nota 2 2 2 3 2 4 2 2" xfId="12205" xr:uid="{00000000-0005-0000-0000-0000DC3A0000}"/>
    <cellStyle name="Nota 2 2 2 3 2 4 2 3" xfId="21755" xr:uid="{00000000-0005-0000-0000-0000DD3A0000}"/>
    <cellStyle name="Nota 2 2 2 3 2 4 3" xfId="6529" xr:uid="{00000000-0005-0000-0000-0000DE3A0000}"/>
    <cellStyle name="Nota 2 2 2 3 2 4 3 2" xfId="20047" xr:uid="{00000000-0005-0000-0000-0000DF3A0000}"/>
    <cellStyle name="Nota 2 2 2 3 2 4 4" xfId="9976" xr:uid="{00000000-0005-0000-0000-0000E03A0000}"/>
    <cellStyle name="Nota 2 2 2 3 2 4 5" xfId="13878" xr:uid="{00000000-0005-0000-0000-0000E13A0000}"/>
    <cellStyle name="Nota 2 2 2 3 2 5" xfId="4501" xr:uid="{00000000-0005-0000-0000-0000E23A0000}"/>
    <cellStyle name="Nota 2 2 2 3 2 5 2" xfId="8469" xr:uid="{00000000-0005-0000-0000-0000E33A0000}"/>
    <cellStyle name="Nota 2 2 2 3 2 5 2 2" xfId="12437" xr:uid="{00000000-0005-0000-0000-0000E43A0000}"/>
    <cellStyle name="Nota 2 2 2 3 2 5 2 3" xfId="21987" xr:uid="{00000000-0005-0000-0000-0000E53A0000}"/>
    <cellStyle name="Nota 2 2 2 3 2 5 3" xfId="6761" xr:uid="{00000000-0005-0000-0000-0000E63A0000}"/>
    <cellStyle name="Nota 2 2 2 3 2 5 3 2" xfId="20279" xr:uid="{00000000-0005-0000-0000-0000E73A0000}"/>
    <cellStyle name="Nota 2 2 2 3 2 5 4" xfId="10153" xr:uid="{00000000-0005-0000-0000-0000E83A0000}"/>
    <cellStyle name="Nota 2 2 2 3 2 5 5" xfId="13504" xr:uid="{00000000-0005-0000-0000-0000E93A0000}"/>
    <cellStyle name="Nota 2 2 2 3 2 6" xfId="6993" xr:uid="{00000000-0005-0000-0000-0000EA3A0000}"/>
    <cellStyle name="Nota 2 2 2 3 2 6 2" xfId="8701" xr:uid="{00000000-0005-0000-0000-0000EB3A0000}"/>
    <cellStyle name="Nota 2 2 2 3 2 6 2 2" xfId="12669" xr:uid="{00000000-0005-0000-0000-0000EC3A0000}"/>
    <cellStyle name="Nota 2 2 2 3 2 6 2 3" xfId="22219" xr:uid="{00000000-0005-0000-0000-0000ED3A0000}"/>
    <cellStyle name="Nota 2 2 2 3 2 6 3" xfId="11127" xr:uid="{00000000-0005-0000-0000-0000EE3A0000}"/>
    <cellStyle name="Nota 2 2 2 3 2 6 4" xfId="20511" xr:uid="{00000000-0005-0000-0000-0000EF3A0000}"/>
    <cellStyle name="Nota 2 2 2 3 2 7" xfId="5981" xr:uid="{00000000-0005-0000-0000-0000F03A0000}"/>
    <cellStyle name="Nota 2 2 2 3 2 7 2" xfId="10722" xr:uid="{00000000-0005-0000-0000-0000F13A0000}"/>
    <cellStyle name="Nota 2 2 2 3 2 7 3" xfId="19499" xr:uid="{00000000-0005-0000-0000-0000F23A0000}"/>
    <cellStyle name="Nota 2 2 2 3 2 8" xfId="7689" xr:uid="{00000000-0005-0000-0000-0000F33A0000}"/>
    <cellStyle name="Nota 2 2 2 3 2 8 2" xfId="11710" xr:uid="{00000000-0005-0000-0000-0000F43A0000}"/>
    <cellStyle name="Nota 2 2 2 3 2 8 3" xfId="21207" xr:uid="{00000000-0005-0000-0000-0000F53A0000}"/>
    <cellStyle name="Nota 2 2 2 3 2 9" xfId="5175" xr:uid="{00000000-0005-0000-0000-0000F63A0000}"/>
    <cellStyle name="Nota 2 2 2 3 2 9 2" xfId="12907" xr:uid="{00000000-0005-0000-0000-0000F73A0000}"/>
    <cellStyle name="Nota 2 2 2 3 3" xfId="3211" xr:uid="{00000000-0005-0000-0000-0000F83A0000}"/>
    <cellStyle name="Nota 2 2 2 3 3 10" xfId="9341" xr:uid="{00000000-0005-0000-0000-0000F93A0000}"/>
    <cellStyle name="Nota 2 2 2 3 3 11" xfId="17459" xr:uid="{00000000-0005-0000-0000-0000FA3A0000}"/>
    <cellStyle name="Nota 2 2 2 3 3 2" xfId="3598" xr:uid="{00000000-0005-0000-0000-0000FB3A0000}"/>
    <cellStyle name="Nota 2 2 2 3 3 2 2" xfId="7959" xr:uid="{00000000-0005-0000-0000-0000FC3A0000}"/>
    <cellStyle name="Nota 2 2 2 3 3 2 2 2" xfId="11935" xr:uid="{00000000-0005-0000-0000-0000FD3A0000}"/>
    <cellStyle name="Nota 2 2 2 3 3 2 2 3" xfId="21477" xr:uid="{00000000-0005-0000-0000-0000FE3A0000}"/>
    <cellStyle name="Nota 2 2 2 3 3 2 3" xfId="6251" xr:uid="{00000000-0005-0000-0000-0000FF3A0000}"/>
    <cellStyle name="Nota 2 2 2 3 3 2 3 2" xfId="19769" xr:uid="{00000000-0005-0000-0000-0000003B0000}"/>
    <cellStyle name="Nota 2 2 2 3 3 2 4" xfId="9690" xr:uid="{00000000-0005-0000-0000-0000013B0000}"/>
    <cellStyle name="Nota 2 2 2 3 3 2 5" xfId="14456" xr:uid="{00000000-0005-0000-0000-0000023B0000}"/>
    <cellStyle name="Nota 2 2 2 3 3 3" xfId="3981" xr:uid="{00000000-0005-0000-0000-0000033B0000}"/>
    <cellStyle name="Nota 2 2 2 3 3 3 2" xfId="7861" xr:uid="{00000000-0005-0000-0000-0000043B0000}"/>
    <cellStyle name="Nota 2 2 2 3 3 3 2 2" xfId="11859" xr:uid="{00000000-0005-0000-0000-0000053B0000}"/>
    <cellStyle name="Nota 2 2 2 3 3 3 2 3" xfId="21379" xr:uid="{00000000-0005-0000-0000-0000063B0000}"/>
    <cellStyle name="Nota 2 2 2 3 3 3 3" xfId="6153" xr:uid="{00000000-0005-0000-0000-0000073B0000}"/>
    <cellStyle name="Nota 2 2 2 3 3 3 3 2" xfId="19671" xr:uid="{00000000-0005-0000-0000-0000083B0000}"/>
    <cellStyle name="Nota 2 2 2 3 3 3 4" xfId="9900" xr:uid="{00000000-0005-0000-0000-0000093B0000}"/>
    <cellStyle name="Nota 2 2 2 3 3 3 5" xfId="14010" xr:uid="{00000000-0005-0000-0000-00000A3B0000}"/>
    <cellStyle name="Nota 2 2 2 3 3 4" xfId="4364" xr:uid="{00000000-0005-0000-0000-00000B3B0000}"/>
    <cellStyle name="Nota 2 2 2 3 3 4 2" xfId="8266" xr:uid="{00000000-0005-0000-0000-00000C3B0000}"/>
    <cellStyle name="Nota 2 2 2 3 3 4 2 2" xfId="12234" xr:uid="{00000000-0005-0000-0000-00000D3B0000}"/>
    <cellStyle name="Nota 2 2 2 3 3 4 2 3" xfId="21784" xr:uid="{00000000-0005-0000-0000-00000E3B0000}"/>
    <cellStyle name="Nota 2 2 2 3 3 4 3" xfId="6558" xr:uid="{00000000-0005-0000-0000-00000F3B0000}"/>
    <cellStyle name="Nota 2 2 2 3 3 4 3 2" xfId="20076" xr:uid="{00000000-0005-0000-0000-0000103B0000}"/>
    <cellStyle name="Nota 2 2 2 3 3 4 4" xfId="10078" xr:uid="{00000000-0005-0000-0000-0000113B0000}"/>
    <cellStyle name="Nota 2 2 2 3 3 4 5" xfId="13641" xr:uid="{00000000-0005-0000-0000-0000123B0000}"/>
    <cellStyle name="Nota 2 2 2 3 3 5" xfId="4746" xr:uid="{00000000-0005-0000-0000-0000133B0000}"/>
    <cellStyle name="Nota 2 2 2 3 3 5 2" xfId="8498" xr:uid="{00000000-0005-0000-0000-0000143B0000}"/>
    <cellStyle name="Nota 2 2 2 3 3 5 2 2" xfId="12466" xr:uid="{00000000-0005-0000-0000-0000153B0000}"/>
    <cellStyle name="Nota 2 2 2 3 3 5 2 3" xfId="22016" xr:uid="{00000000-0005-0000-0000-0000163B0000}"/>
    <cellStyle name="Nota 2 2 2 3 3 5 3" xfId="6790" xr:uid="{00000000-0005-0000-0000-0000173B0000}"/>
    <cellStyle name="Nota 2 2 2 3 3 5 3 2" xfId="20308" xr:uid="{00000000-0005-0000-0000-0000183B0000}"/>
    <cellStyle name="Nota 2 2 2 3 3 5 4" xfId="10255" xr:uid="{00000000-0005-0000-0000-0000193B0000}"/>
    <cellStyle name="Nota 2 2 2 3 3 5 5" xfId="13259" xr:uid="{00000000-0005-0000-0000-00001A3B0000}"/>
    <cellStyle name="Nota 2 2 2 3 3 6" xfId="7022" xr:uid="{00000000-0005-0000-0000-00001B3B0000}"/>
    <cellStyle name="Nota 2 2 2 3 3 6 2" xfId="8730" xr:uid="{00000000-0005-0000-0000-00001C3B0000}"/>
    <cellStyle name="Nota 2 2 2 3 3 6 2 2" xfId="12698" xr:uid="{00000000-0005-0000-0000-00001D3B0000}"/>
    <cellStyle name="Nota 2 2 2 3 3 6 2 3" xfId="22248" xr:uid="{00000000-0005-0000-0000-00001E3B0000}"/>
    <cellStyle name="Nota 2 2 2 3 3 6 3" xfId="11156" xr:uid="{00000000-0005-0000-0000-00001F3B0000}"/>
    <cellStyle name="Nota 2 2 2 3 3 6 4" xfId="20540" xr:uid="{00000000-0005-0000-0000-0000203B0000}"/>
    <cellStyle name="Nota 2 2 2 3 3 7" xfId="6010" xr:uid="{00000000-0005-0000-0000-0000213B0000}"/>
    <cellStyle name="Nota 2 2 2 3 3 7 2" xfId="10751" xr:uid="{00000000-0005-0000-0000-0000223B0000}"/>
    <cellStyle name="Nota 2 2 2 3 3 7 3" xfId="19528" xr:uid="{00000000-0005-0000-0000-0000233B0000}"/>
    <cellStyle name="Nota 2 2 2 3 3 8" xfId="7718" xr:uid="{00000000-0005-0000-0000-0000243B0000}"/>
    <cellStyle name="Nota 2 2 2 3 3 8 2" xfId="11739" xr:uid="{00000000-0005-0000-0000-0000253B0000}"/>
    <cellStyle name="Nota 2 2 2 3 3 8 3" xfId="21236" xr:uid="{00000000-0005-0000-0000-0000263B0000}"/>
    <cellStyle name="Nota 2 2 2 3 3 9" xfId="5204" xr:uid="{00000000-0005-0000-0000-0000273B0000}"/>
    <cellStyle name="Nota 2 2 2 3 3 9 2" xfId="12878" xr:uid="{00000000-0005-0000-0000-0000283B0000}"/>
    <cellStyle name="Nota 2 2 2 3 4" xfId="3268" xr:uid="{00000000-0005-0000-0000-0000293B0000}"/>
    <cellStyle name="Nota 2 2 2 3 4 2" xfId="3655" xr:uid="{00000000-0005-0000-0000-00002A3B0000}"/>
    <cellStyle name="Nota 2 2 2 3 4 2 2" xfId="16712" xr:uid="{00000000-0005-0000-0000-00002B3B0000}"/>
    <cellStyle name="Nota 2 2 2 3 4 3" xfId="4038" xr:uid="{00000000-0005-0000-0000-00002C3B0000}"/>
    <cellStyle name="Nota 2 2 2 3 4 3 2" xfId="13953" xr:uid="{00000000-0005-0000-0000-00002D3B0000}"/>
    <cellStyle name="Nota 2 2 2 3 4 4" xfId="4421" xr:uid="{00000000-0005-0000-0000-00002E3B0000}"/>
    <cellStyle name="Nota 2 2 2 3 4 4 2" xfId="13584" xr:uid="{00000000-0005-0000-0000-00002F3B0000}"/>
    <cellStyle name="Nota 2 2 2 3 4 5" xfId="4803" xr:uid="{00000000-0005-0000-0000-0000303B0000}"/>
    <cellStyle name="Nota 2 2 2 3 4 5 2" xfId="13203" xr:uid="{00000000-0005-0000-0000-0000313B0000}"/>
    <cellStyle name="Nota 2 2 2 3 4 6" xfId="5789" xr:uid="{00000000-0005-0000-0000-0000323B0000}"/>
    <cellStyle name="Nota 2 2 2 3 4 6 2" xfId="19307" xr:uid="{00000000-0005-0000-0000-0000333B0000}"/>
    <cellStyle name="Nota 2 2 2 3 4 7" xfId="9398" xr:uid="{00000000-0005-0000-0000-0000343B0000}"/>
    <cellStyle name="Nota 2 2 2 3 4 8" xfId="15097" xr:uid="{00000000-0005-0000-0000-0000353B0000}"/>
    <cellStyle name="Nota 2 2 2 3 5" xfId="2886" xr:uid="{00000000-0005-0000-0000-0000363B0000}"/>
    <cellStyle name="Nota 2 2 2 3 5 2" xfId="7497" xr:uid="{00000000-0005-0000-0000-0000373B0000}"/>
    <cellStyle name="Nota 2 2 2 3 5 2 2" xfId="21015" xr:uid="{00000000-0005-0000-0000-0000383B0000}"/>
    <cellStyle name="Nota 2 2 2 3 5 3" xfId="9038" xr:uid="{00000000-0005-0000-0000-0000393B0000}"/>
    <cellStyle name="Nota 2 2 2 3 5 4" xfId="14098" xr:uid="{00000000-0005-0000-0000-00003A3B0000}"/>
    <cellStyle name="Nota 2 2 2 3 6" xfId="8876" xr:uid="{00000000-0005-0000-0000-00003B3B0000}"/>
    <cellStyle name="Nota 2 2 2 4" xfId="2678" xr:uid="{00000000-0005-0000-0000-00003C3B0000}"/>
    <cellStyle name="Nota 2 2 2 4 2" xfId="2736" xr:uid="{00000000-0005-0000-0000-00003D3B0000}"/>
    <cellStyle name="Nota 2 2 2 4 2 2" xfId="2973" xr:uid="{00000000-0005-0000-0000-00003E3B0000}"/>
    <cellStyle name="Nota 2 2 2 4 2 2 10" xfId="9125" xr:uid="{00000000-0005-0000-0000-00003F3B0000}"/>
    <cellStyle name="Nota 2 2 2 4 2 2 11" xfId="18335" xr:uid="{00000000-0005-0000-0000-0000403B0000}"/>
    <cellStyle name="Nota 2 2 2 4 2 2 2" xfId="3360" xr:uid="{00000000-0005-0000-0000-0000413B0000}"/>
    <cellStyle name="Nota 2 2 2 4 2 2 2 2" xfId="7937" xr:uid="{00000000-0005-0000-0000-0000423B0000}"/>
    <cellStyle name="Nota 2 2 2 4 2 2 2 2 2" xfId="11913" xr:uid="{00000000-0005-0000-0000-0000433B0000}"/>
    <cellStyle name="Nota 2 2 2 4 2 2 2 2 3" xfId="21455" xr:uid="{00000000-0005-0000-0000-0000443B0000}"/>
    <cellStyle name="Nota 2 2 2 4 2 2 2 3" xfId="6229" xr:uid="{00000000-0005-0000-0000-0000453B0000}"/>
    <cellStyle name="Nota 2 2 2 4 2 2 2 3 2" xfId="19747" xr:uid="{00000000-0005-0000-0000-0000463B0000}"/>
    <cellStyle name="Nota 2 2 2 4 2 2 2 4" xfId="9490" xr:uid="{00000000-0005-0000-0000-0000473B0000}"/>
    <cellStyle name="Nota 2 2 2 4 2 2 2 5" xfId="14096" xr:uid="{00000000-0005-0000-0000-0000483B0000}"/>
    <cellStyle name="Nota 2 2 2 4 2 2 3" xfId="3743" xr:uid="{00000000-0005-0000-0000-0000493B0000}"/>
    <cellStyle name="Nota 2 2 2 4 2 2 3 2" xfId="7388" xr:uid="{00000000-0005-0000-0000-00004A3B0000}"/>
    <cellStyle name="Nota 2 2 2 4 2 2 3 2 2" xfId="11474" xr:uid="{00000000-0005-0000-0000-00004B3B0000}"/>
    <cellStyle name="Nota 2 2 2 4 2 2 3 2 3" xfId="20906" xr:uid="{00000000-0005-0000-0000-00004C3B0000}"/>
    <cellStyle name="Nota 2 2 2 4 2 2 3 3" xfId="5679" xr:uid="{00000000-0005-0000-0000-00004D3B0000}"/>
    <cellStyle name="Nota 2 2 2 4 2 2 3 3 2" xfId="19197" xr:uid="{00000000-0005-0000-0000-00004E3B0000}"/>
    <cellStyle name="Nota 2 2 2 4 2 2 3 4" xfId="9805" xr:uid="{00000000-0005-0000-0000-00004F3B0000}"/>
    <cellStyle name="Nota 2 2 2 4 2 2 3 5" xfId="17097" xr:uid="{00000000-0005-0000-0000-0000503B0000}"/>
    <cellStyle name="Nota 2 2 2 4 2 2 4" xfId="4126" xr:uid="{00000000-0005-0000-0000-0000513B0000}"/>
    <cellStyle name="Nota 2 2 2 4 2 2 4 2" xfId="8244" xr:uid="{00000000-0005-0000-0000-0000523B0000}"/>
    <cellStyle name="Nota 2 2 2 4 2 2 4 2 2" xfId="12212" xr:uid="{00000000-0005-0000-0000-0000533B0000}"/>
    <cellStyle name="Nota 2 2 2 4 2 2 4 2 3" xfId="21762" xr:uid="{00000000-0005-0000-0000-0000543B0000}"/>
    <cellStyle name="Nota 2 2 2 4 2 2 4 3" xfId="6536" xr:uid="{00000000-0005-0000-0000-0000553B0000}"/>
    <cellStyle name="Nota 2 2 2 4 2 2 4 3 2" xfId="20054" xr:uid="{00000000-0005-0000-0000-0000563B0000}"/>
    <cellStyle name="Nota 2 2 2 4 2 2 4 4" xfId="9983" xr:uid="{00000000-0005-0000-0000-0000573B0000}"/>
    <cellStyle name="Nota 2 2 2 4 2 2 4 5" xfId="13871" xr:uid="{00000000-0005-0000-0000-0000583B0000}"/>
    <cellStyle name="Nota 2 2 2 4 2 2 5" xfId="4508" xr:uid="{00000000-0005-0000-0000-0000593B0000}"/>
    <cellStyle name="Nota 2 2 2 4 2 2 5 2" xfId="8476" xr:uid="{00000000-0005-0000-0000-00005A3B0000}"/>
    <cellStyle name="Nota 2 2 2 4 2 2 5 2 2" xfId="12444" xr:uid="{00000000-0005-0000-0000-00005B3B0000}"/>
    <cellStyle name="Nota 2 2 2 4 2 2 5 2 3" xfId="21994" xr:uid="{00000000-0005-0000-0000-00005C3B0000}"/>
    <cellStyle name="Nota 2 2 2 4 2 2 5 3" xfId="6768" xr:uid="{00000000-0005-0000-0000-00005D3B0000}"/>
    <cellStyle name="Nota 2 2 2 4 2 2 5 3 2" xfId="20286" xr:uid="{00000000-0005-0000-0000-00005E3B0000}"/>
    <cellStyle name="Nota 2 2 2 4 2 2 5 4" xfId="10160" xr:uid="{00000000-0005-0000-0000-00005F3B0000}"/>
    <cellStyle name="Nota 2 2 2 4 2 2 5 5" xfId="13497" xr:uid="{00000000-0005-0000-0000-0000603B0000}"/>
    <cellStyle name="Nota 2 2 2 4 2 2 6" xfId="7000" xr:uid="{00000000-0005-0000-0000-0000613B0000}"/>
    <cellStyle name="Nota 2 2 2 4 2 2 6 2" xfId="8708" xr:uid="{00000000-0005-0000-0000-0000623B0000}"/>
    <cellStyle name="Nota 2 2 2 4 2 2 6 2 2" xfId="12676" xr:uid="{00000000-0005-0000-0000-0000633B0000}"/>
    <cellStyle name="Nota 2 2 2 4 2 2 6 2 3" xfId="22226" xr:uid="{00000000-0005-0000-0000-0000643B0000}"/>
    <cellStyle name="Nota 2 2 2 4 2 2 6 3" xfId="11134" xr:uid="{00000000-0005-0000-0000-0000653B0000}"/>
    <cellStyle name="Nota 2 2 2 4 2 2 6 4" xfId="20518" xr:uid="{00000000-0005-0000-0000-0000663B0000}"/>
    <cellStyle name="Nota 2 2 2 4 2 2 7" xfId="5988" xr:uid="{00000000-0005-0000-0000-0000673B0000}"/>
    <cellStyle name="Nota 2 2 2 4 2 2 7 2" xfId="10729" xr:uid="{00000000-0005-0000-0000-0000683B0000}"/>
    <cellStyle name="Nota 2 2 2 4 2 2 7 3" xfId="19506" xr:uid="{00000000-0005-0000-0000-0000693B0000}"/>
    <cellStyle name="Nota 2 2 2 4 2 2 8" xfId="7696" xr:uid="{00000000-0005-0000-0000-00006A3B0000}"/>
    <cellStyle name="Nota 2 2 2 4 2 2 8 2" xfId="11717" xr:uid="{00000000-0005-0000-0000-00006B3B0000}"/>
    <cellStyle name="Nota 2 2 2 4 2 2 8 3" xfId="21214" xr:uid="{00000000-0005-0000-0000-00006C3B0000}"/>
    <cellStyle name="Nota 2 2 2 4 2 2 9" xfId="5182" xr:uid="{00000000-0005-0000-0000-00006D3B0000}"/>
    <cellStyle name="Nota 2 2 2 4 2 2 9 2" xfId="12900" xr:uid="{00000000-0005-0000-0000-00006E3B0000}"/>
    <cellStyle name="Nota 2 2 2 4 2 3" xfId="3226" xr:uid="{00000000-0005-0000-0000-00006F3B0000}"/>
    <cellStyle name="Nota 2 2 2 4 2 3 10" xfId="9356" xr:uid="{00000000-0005-0000-0000-0000703B0000}"/>
    <cellStyle name="Nota 2 2 2 4 2 3 11" xfId="16548" xr:uid="{00000000-0005-0000-0000-0000713B0000}"/>
    <cellStyle name="Nota 2 2 2 4 2 3 2" xfId="3613" xr:uid="{00000000-0005-0000-0000-0000723B0000}"/>
    <cellStyle name="Nota 2 2 2 4 2 3 2 2" xfId="7974" xr:uid="{00000000-0005-0000-0000-0000733B0000}"/>
    <cellStyle name="Nota 2 2 2 4 2 3 2 2 2" xfId="11950" xr:uid="{00000000-0005-0000-0000-0000743B0000}"/>
    <cellStyle name="Nota 2 2 2 4 2 3 2 2 3" xfId="21492" xr:uid="{00000000-0005-0000-0000-0000753B0000}"/>
    <cellStyle name="Nota 2 2 2 4 2 3 2 3" xfId="6266" xr:uid="{00000000-0005-0000-0000-0000763B0000}"/>
    <cellStyle name="Nota 2 2 2 4 2 3 2 3 2" xfId="19784" xr:uid="{00000000-0005-0000-0000-0000773B0000}"/>
    <cellStyle name="Nota 2 2 2 4 2 3 2 4" xfId="9705" xr:uid="{00000000-0005-0000-0000-0000783B0000}"/>
    <cellStyle name="Nota 2 2 2 4 2 3 2 5" xfId="18604" xr:uid="{00000000-0005-0000-0000-0000793B0000}"/>
    <cellStyle name="Nota 2 2 2 4 2 3 3" xfId="3996" xr:uid="{00000000-0005-0000-0000-00007A3B0000}"/>
    <cellStyle name="Nota 2 2 2 4 2 3 3 2" xfId="5129" xr:uid="{00000000-0005-0000-0000-00007B3B0000}"/>
    <cellStyle name="Nota 2 2 2 4 2 3 3 2 2" xfId="10369" xr:uid="{00000000-0005-0000-0000-00007C3B0000}"/>
    <cellStyle name="Nota 2 2 2 4 2 3 3 2 3" xfId="12789" xr:uid="{00000000-0005-0000-0000-00007D3B0000}"/>
    <cellStyle name="Nota 2 2 2 4 2 3 3 3" xfId="5273" xr:uid="{00000000-0005-0000-0000-00007E3B0000}"/>
    <cellStyle name="Nota 2 2 2 4 2 3 3 3 2" xfId="12750" xr:uid="{00000000-0005-0000-0000-00007F3B0000}"/>
    <cellStyle name="Nota 2 2 2 4 2 3 3 4" xfId="9915" xr:uid="{00000000-0005-0000-0000-0000803B0000}"/>
    <cellStyle name="Nota 2 2 2 4 2 3 3 5" xfId="13995" xr:uid="{00000000-0005-0000-0000-0000813B0000}"/>
    <cellStyle name="Nota 2 2 2 4 2 3 4" xfId="4379" xr:uid="{00000000-0005-0000-0000-0000823B0000}"/>
    <cellStyle name="Nota 2 2 2 4 2 3 4 2" xfId="8281" xr:uid="{00000000-0005-0000-0000-0000833B0000}"/>
    <cellStyle name="Nota 2 2 2 4 2 3 4 2 2" xfId="12249" xr:uid="{00000000-0005-0000-0000-0000843B0000}"/>
    <cellStyle name="Nota 2 2 2 4 2 3 4 2 3" xfId="21799" xr:uid="{00000000-0005-0000-0000-0000853B0000}"/>
    <cellStyle name="Nota 2 2 2 4 2 3 4 3" xfId="6573" xr:uid="{00000000-0005-0000-0000-0000863B0000}"/>
    <cellStyle name="Nota 2 2 2 4 2 3 4 3 2" xfId="20091" xr:uid="{00000000-0005-0000-0000-0000873B0000}"/>
    <cellStyle name="Nota 2 2 2 4 2 3 4 4" xfId="10093" xr:uid="{00000000-0005-0000-0000-0000883B0000}"/>
    <cellStyle name="Nota 2 2 2 4 2 3 4 5" xfId="13626" xr:uid="{00000000-0005-0000-0000-0000893B0000}"/>
    <cellStyle name="Nota 2 2 2 4 2 3 5" xfId="4761" xr:uid="{00000000-0005-0000-0000-00008A3B0000}"/>
    <cellStyle name="Nota 2 2 2 4 2 3 5 2" xfId="8513" xr:uid="{00000000-0005-0000-0000-00008B3B0000}"/>
    <cellStyle name="Nota 2 2 2 4 2 3 5 2 2" xfId="12481" xr:uid="{00000000-0005-0000-0000-00008C3B0000}"/>
    <cellStyle name="Nota 2 2 2 4 2 3 5 2 3" xfId="22031" xr:uid="{00000000-0005-0000-0000-00008D3B0000}"/>
    <cellStyle name="Nota 2 2 2 4 2 3 5 3" xfId="6805" xr:uid="{00000000-0005-0000-0000-00008E3B0000}"/>
    <cellStyle name="Nota 2 2 2 4 2 3 5 3 2" xfId="20323" xr:uid="{00000000-0005-0000-0000-00008F3B0000}"/>
    <cellStyle name="Nota 2 2 2 4 2 3 5 4" xfId="10270" xr:uid="{00000000-0005-0000-0000-0000903B0000}"/>
    <cellStyle name="Nota 2 2 2 4 2 3 5 5" xfId="13244" xr:uid="{00000000-0005-0000-0000-0000913B0000}"/>
    <cellStyle name="Nota 2 2 2 4 2 3 6" xfId="7037" xr:uid="{00000000-0005-0000-0000-0000923B0000}"/>
    <cellStyle name="Nota 2 2 2 4 2 3 6 2" xfId="8745" xr:uid="{00000000-0005-0000-0000-0000933B0000}"/>
    <cellStyle name="Nota 2 2 2 4 2 3 6 2 2" xfId="12713" xr:uid="{00000000-0005-0000-0000-0000943B0000}"/>
    <cellStyle name="Nota 2 2 2 4 2 3 6 2 3" xfId="22263" xr:uid="{00000000-0005-0000-0000-0000953B0000}"/>
    <cellStyle name="Nota 2 2 2 4 2 3 6 3" xfId="11171" xr:uid="{00000000-0005-0000-0000-0000963B0000}"/>
    <cellStyle name="Nota 2 2 2 4 2 3 6 4" xfId="20555" xr:uid="{00000000-0005-0000-0000-0000973B0000}"/>
    <cellStyle name="Nota 2 2 2 4 2 3 7" xfId="6025" xr:uid="{00000000-0005-0000-0000-0000983B0000}"/>
    <cellStyle name="Nota 2 2 2 4 2 3 7 2" xfId="10766" xr:uid="{00000000-0005-0000-0000-0000993B0000}"/>
    <cellStyle name="Nota 2 2 2 4 2 3 7 3" xfId="19543" xr:uid="{00000000-0005-0000-0000-00009A3B0000}"/>
    <cellStyle name="Nota 2 2 2 4 2 3 8" xfId="7733" xr:uid="{00000000-0005-0000-0000-00009B3B0000}"/>
    <cellStyle name="Nota 2 2 2 4 2 3 8 2" xfId="11754" xr:uid="{00000000-0005-0000-0000-00009C3B0000}"/>
    <cellStyle name="Nota 2 2 2 4 2 3 8 3" xfId="21251" xr:uid="{00000000-0005-0000-0000-00009D3B0000}"/>
    <cellStyle name="Nota 2 2 2 4 2 3 9" xfId="5219" xr:uid="{00000000-0005-0000-0000-00009E3B0000}"/>
    <cellStyle name="Nota 2 2 2 4 2 3 9 2" xfId="12756" xr:uid="{00000000-0005-0000-0000-00009F3B0000}"/>
    <cellStyle name="Nota 2 2 2 4 2 4" xfId="3283" xr:uid="{00000000-0005-0000-0000-0000A03B0000}"/>
    <cellStyle name="Nota 2 2 2 4 2 4 2" xfId="3670" xr:uid="{00000000-0005-0000-0000-0000A13B0000}"/>
    <cellStyle name="Nota 2 2 2 4 2 4 2 2" xfId="14650" xr:uid="{00000000-0005-0000-0000-0000A23B0000}"/>
    <cellStyle name="Nota 2 2 2 4 2 4 3" xfId="4053" xr:uid="{00000000-0005-0000-0000-0000A33B0000}"/>
    <cellStyle name="Nota 2 2 2 4 2 4 3 2" xfId="13938" xr:uid="{00000000-0005-0000-0000-0000A43B0000}"/>
    <cellStyle name="Nota 2 2 2 4 2 4 4" xfId="4436" xr:uid="{00000000-0005-0000-0000-0000A53B0000}"/>
    <cellStyle name="Nota 2 2 2 4 2 4 4 2" xfId="13569" xr:uid="{00000000-0005-0000-0000-0000A63B0000}"/>
    <cellStyle name="Nota 2 2 2 4 2 4 5" xfId="4818" xr:uid="{00000000-0005-0000-0000-0000A73B0000}"/>
    <cellStyle name="Nota 2 2 2 4 2 4 5 2" xfId="13188" xr:uid="{00000000-0005-0000-0000-0000A83B0000}"/>
    <cellStyle name="Nota 2 2 2 4 2 4 6" xfId="5854" xr:uid="{00000000-0005-0000-0000-0000A93B0000}"/>
    <cellStyle name="Nota 2 2 2 4 2 4 6 2" xfId="19372" xr:uid="{00000000-0005-0000-0000-0000AA3B0000}"/>
    <cellStyle name="Nota 2 2 2 4 2 4 7" xfId="9413" xr:uid="{00000000-0005-0000-0000-0000AB3B0000}"/>
    <cellStyle name="Nota 2 2 2 4 2 4 8" xfId="17530" xr:uid="{00000000-0005-0000-0000-0000AC3B0000}"/>
    <cellStyle name="Nota 2 2 2 4 2 5" xfId="2901" xr:uid="{00000000-0005-0000-0000-0000AD3B0000}"/>
    <cellStyle name="Nota 2 2 2 4 2 5 2" xfId="7562" xr:uid="{00000000-0005-0000-0000-0000AE3B0000}"/>
    <cellStyle name="Nota 2 2 2 4 2 5 2 2" xfId="21080" xr:uid="{00000000-0005-0000-0000-0000AF3B0000}"/>
    <cellStyle name="Nota 2 2 2 4 2 5 3" xfId="9053" xr:uid="{00000000-0005-0000-0000-0000B03B0000}"/>
    <cellStyle name="Nota 2 2 2 4 2 5 4" xfId="14474" xr:uid="{00000000-0005-0000-0000-0000B13B0000}"/>
    <cellStyle name="Nota 2 2 2 4 2 6" xfId="8891" xr:uid="{00000000-0005-0000-0000-0000B23B0000}"/>
    <cellStyle name="Nota 2 2 2 4 3" xfId="2949" xr:uid="{00000000-0005-0000-0000-0000B33B0000}"/>
    <cellStyle name="Nota 2 2 2 4 3 10" xfId="9101" xr:uid="{00000000-0005-0000-0000-0000B43B0000}"/>
    <cellStyle name="Nota 2 2 2 4 3 11" xfId="16813" xr:uid="{00000000-0005-0000-0000-0000B53B0000}"/>
    <cellStyle name="Nota 2 2 2 4 3 2" xfId="3336" xr:uid="{00000000-0005-0000-0000-0000B63B0000}"/>
    <cellStyle name="Nota 2 2 2 4 3 2 2" xfId="7322" xr:uid="{00000000-0005-0000-0000-0000B73B0000}"/>
    <cellStyle name="Nota 2 2 2 4 3 2 2 2" xfId="11412" xr:uid="{00000000-0005-0000-0000-0000B83B0000}"/>
    <cellStyle name="Nota 2 2 2 4 3 2 2 3" xfId="20840" xr:uid="{00000000-0005-0000-0000-0000B93B0000}"/>
    <cellStyle name="Nota 2 2 2 4 3 2 3" xfId="5613" xr:uid="{00000000-0005-0000-0000-0000BA3B0000}"/>
    <cellStyle name="Nota 2 2 2 4 3 2 3 2" xfId="19131" xr:uid="{00000000-0005-0000-0000-0000BB3B0000}"/>
    <cellStyle name="Nota 2 2 2 4 3 2 4" xfId="9466" xr:uid="{00000000-0005-0000-0000-0000BC3B0000}"/>
    <cellStyle name="Nota 2 2 2 4 3 2 5" xfId="16707" xr:uid="{00000000-0005-0000-0000-0000BD3B0000}"/>
    <cellStyle name="Nota 2 2 2 4 3 3" xfId="3719" xr:uid="{00000000-0005-0000-0000-0000BE3B0000}"/>
    <cellStyle name="Nota 2 2 2 4 3 3 2" xfId="7096" xr:uid="{00000000-0005-0000-0000-0000BF3B0000}"/>
    <cellStyle name="Nota 2 2 2 4 3 3 2 2" xfId="11230" xr:uid="{00000000-0005-0000-0000-0000C03B0000}"/>
    <cellStyle name="Nota 2 2 2 4 3 3 2 3" xfId="20614" xr:uid="{00000000-0005-0000-0000-0000C13B0000}"/>
    <cellStyle name="Nota 2 2 2 4 3 3 3" xfId="5387" xr:uid="{00000000-0005-0000-0000-0000C23B0000}"/>
    <cellStyle name="Nota 2 2 2 4 3 3 3 2" xfId="18905" xr:uid="{00000000-0005-0000-0000-0000C33B0000}"/>
    <cellStyle name="Nota 2 2 2 4 3 3 4" xfId="9781" xr:uid="{00000000-0005-0000-0000-0000C43B0000}"/>
    <cellStyle name="Nota 2 2 2 4 3 3 5" xfId="15292" xr:uid="{00000000-0005-0000-0000-0000C53B0000}"/>
    <cellStyle name="Nota 2 2 2 4 3 4" xfId="4102" xr:uid="{00000000-0005-0000-0000-0000C63B0000}"/>
    <cellStyle name="Nota 2 2 2 4 3 4 2" xfId="8223" xr:uid="{00000000-0005-0000-0000-0000C73B0000}"/>
    <cellStyle name="Nota 2 2 2 4 3 4 2 2" xfId="12191" xr:uid="{00000000-0005-0000-0000-0000C83B0000}"/>
    <cellStyle name="Nota 2 2 2 4 3 4 2 3" xfId="21741" xr:uid="{00000000-0005-0000-0000-0000C93B0000}"/>
    <cellStyle name="Nota 2 2 2 4 3 4 3" xfId="6515" xr:uid="{00000000-0005-0000-0000-0000CA3B0000}"/>
    <cellStyle name="Nota 2 2 2 4 3 4 3 2" xfId="20033" xr:uid="{00000000-0005-0000-0000-0000CB3B0000}"/>
    <cellStyle name="Nota 2 2 2 4 3 4 4" xfId="9959" xr:uid="{00000000-0005-0000-0000-0000CC3B0000}"/>
    <cellStyle name="Nota 2 2 2 4 3 4 5" xfId="13892" xr:uid="{00000000-0005-0000-0000-0000CD3B0000}"/>
    <cellStyle name="Nota 2 2 2 4 3 5" xfId="4484" xr:uid="{00000000-0005-0000-0000-0000CE3B0000}"/>
    <cellStyle name="Nota 2 2 2 4 3 5 2" xfId="8455" xr:uid="{00000000-0005-0000-0000-0000CF3B0000}"/>
    <cellStyle name="Nota 2 2 2 4 3 5 2 2" xfId="12423" xr:uid="{00000000-0005-0000-0000-0000D03B0000}"/>
    <cellStyle name="Nota 2 2 2 4 3 5 2 3" xfId="21973" xr:uid="{00000000-0005-0000-0000-0000D13B0000}"/>
    <cellStyle name="Nota 2 2 2 4 3 5 3" xfId="6747" xr:uid="{00000000-0005-0000-0000-0000D23B0000}"/>
    <cellStyle name="Nota 2 2 2 4 3 5 3 2" xfId="20265" xr:uid="{00000000-0005-0000-0000-0000D33B0000}"/>
    <cellStyle name="Nota 2 2 2 4 3 5 4" xfId="10136" xr:uid="{00000000-0005-0000-0000-0000D43B0000}"/>
    <cellStyle name="Nota 2 2 2 4 3 5 5" xfId="13521" xr:uid="{00000000-0005-0000-0000-0000D53B0000}"/>
    <cellStyle name="Nota 2 2 2 4 3 6" xfId="6979" xr:uid="{00000000-0005-0000-0000-0000D63B0000}"/>
    <cellStyle name="Nota 2 2 2 4 3 6 2" xfId="8687" xr:uid="{00000000-0005-0000-0000-0000D73B0000}"/>
    <cellStyle name="Nota 2 2 2 4 3 6 2 2" xfId="12655" xr:uid="{00000000-0005-0000-0000-0000D83B0000}"/>
    <cellStyle name="Nota 2 2 2 4 3 6 2 3" xfId="22205" xr:uid="{00000000-0005-0000-0000-0000D93B0000}"/>
    <cellStyle name="Nota 2 2 2 4 3 6 3" xfId="11113" xr:uid="{00000000-0005-0000-0000-0000DA3B0000}"/>
    <cellStyle name="Nota 2 2 2 4 3 6 4" xfId="20497" xr:uid="{00000000-0005-0000-0000-0000DB3B0000}"/>
    <cellStyle name="Nota 2 2 2 4 3 7" xfId="5967" xr:uid="{00000000-0005-0000-0000-0000DC3B0000}"/>
    <cellStyle name="Nota 2 2 2 4 3 7 2" xfId="10708" xr:uid="{00000000-0005-0000-0000-0000DD3B0000}"/>
    <cellStyle name="Nota 2 2 2 4 3 7 3" xfId="19485" xr:uid="{00000000-0005-0000-0000-0000DE3B0000}"/>
    <cellStyle name="Nota 2 2 2 4 3 8" xfId="7675" xr:uid="{00000000-0005-0000-0000-0000DF3B0000}"/>
    <cellStyle name="Nota 2 2 2 4 3 8 2" xfId="11696" xr:uid="{00000000-0005-0000-0000-0000E03B0000}"/>
    <cellStyle name="Nota 2 2 2 4 3 8 3" xfId="21193" xr:uid="{00000000-0005-0000-0000-0000E13B0000}"/>
    <cellStyle name="Nota 2 2 2 4 3 9" xfId="5160" xr:uid="{00000000-0005-0000-0000-0000E23B0000}"/>
    <cellStyle name="Nota 2 2 2 4 3 9 2" xfId="12922" xr:uid="{00000000-0005-0000-0000-0000E33B0000}"/>
    <cellStyle name="Nota 2 2 2 4 4" xfId="3169" xr:uid="{00000000-0005-0000-0000-0000E43B0000}"/>
    <cellStyle name="Nota 2 2 2 4 4 10" xfId="9299" xr:uid="{00000000-0005-0000-0000-0000E53B0000}"/>
    <cellStyle name="Nota 2 2 2 4 4 11" xfId="17121" xr:uid="{00000000-0005-0000-0000-0000E63B0000}"/>
    <cellStyle name="Nota 2 2 2 4 4 2" xfId="3556" xr:uid="{00000000-0005-0000-0000-0000E73B0000}"/>
    <cellStyle name="Nota 2 2 2 4 4 2 2" xfId="7362" xr:uid="{00000000-0005-0000-0000-0000E83B0000}"/>
    <cellStyle name="Nota 2 2 2 4 4 2 2 2" xfId="11448" xr:uid="{00000000-0005-0000-0000-0000E93B0000}"/>
    <cellStyle name="Nota 2 2 2 4 4 2 2 3" xfId="20880" xr:uid="{00000000-0005-0000-0000-0000EA3B0000}"/>
    <cellStyle name="Nota 2 2 2 4 4 2 3" xfId="5653" xr:uid="{00000000-0005-0000-0000-0000EB3B0000}"/>
    <cellStyle name="Nota 2 2 2 4 4 2 3 2" xfId="19171" xr:uid="{00000000-0005-0000-0000-0000EC3B0000}"/>
    <cellStyle name="Nota 2 2 2 4 4 2 4" xfId="9648" xr:uid="{00000000-0005-0000-0000-0000ED3B0000}"/>
    <cellStyle name="Nota 2 2 2 4 4 2 5" xfId="14412" xr:uid="{00000000-0005-0000-0000-0000EE3B0000}"/>
    <cellStyle name="Nota 2 2 2 4 4 3" xfId="3939" xr:uid="{00000000-0005-0000-0000-0000EF3B0000}"/>
    <cellStyle name="Nota 2 2 2 4 4 3 2" xfId="5056" xr:uid="{00000000-0005-0000-0000-0000F03B0000}"/>
    <cellStyle name="Nota 2 2 2 4 4 3 2 2" xfId="10309" xr:uid="{00000000-0005-0000-0000-0000F13B0000}"/>
    <cellStyle name="Nota 2 2 2 4 4 3 2 3" xfId="14178" xr:uid="{00000000-0005-0000-0000-0000F23B0000}"/>
    <cellStyle name="Nota 2 2 2 4 4 3 3" xfId="5338" xr:uid="{00000000-0005-0000-0000-0000F33B0000}"/>
    <cellStyle name="Nota 2 2 2 4 4 3 3 2" xfId="18856" xr:uid="{00000000-0005-0000-0000-0000F43B0000}"/>
    <cellStyle name="Nota 2 2 2 4 4 3 4" xfId="9862" xr:uid="{00000000-0005-0000-0000-0000F53B0000}"/>
    <cellStyle name="Nota 2 2 2 4 4 3 5" xfId="14052" xr:uid="{00000000-0005-0000-0000-0000F63B0000}"/>
    <cellStyle name="Nota 2 2 2 4 4 4" xfId="4322" xr:uid="{00000000-0005-0000-0000-0000F73B0000}"/>
    <cellStyle name="Nota 2 2 2 4 4 4 2" xfId="8171" xr:uid="{00000000-0005-0000-0000-0000F83B0000}"/>
    <cellStyle name="Nota 2 2 2 4 4 4 2 2" xfId="12139" xr:uid="{00000000-0005-0000-0000-0000F93B0000}"/>
    <cellStyle name="Nota 2 2 2 4 4 4 2 3" xfId="21689" xr:uid="{00000000-0005-0000-0000-0000FA3B0000}"/>
    <cellStyle name="Nota 2 2 2 4 4 4 3" xfId="6463" xr:uid="{00000000-0005-0000-0000-0000FB3B0000}"/>
    <cellStyle name="Nota 2 2 2 4 4 4 3 2" xfId="19981" xr:uid="{00000000-0005-0000-0000-0000FC3B0000}"/>
    <cellStyle name="Nota 2 2 2 4 4 4 4" xfId="10040" xr:uid="{00000000-0005-0000-0000-0000FD3B0000}"/>
    <cellStyle name="Nota 2 2 2 4 4 4 5" xfId="13683" xr:uid="{00000000-0005-0000-0000-0000FE3B0000}"/>
    <cellStyle name="Nota 2 2 2 4 4 5" xfId="4704" xr:uid="{00000000-0005-0000-0000-0000FF3B0000}"/>
    <cellStyle name="Nota 2 2 2 4 4 5 2" xfId="8403" xr:uid="{00000000-0005-0000-0000-0000003C0000}"/>
    <cellStyle name="Nota 2 2 2 4 4 5 2 2" xfId="12371" xr:uid="{00000000-0005-0000-0000-0000013C0000}"/>
    <cellStyle name="Nota 2 2 2 4 4 5 2 3" xfId="21921" xr:uid="{00000000-0005-0000-0000-0000023C0000}"/>
    <cellStyle name="Nota 2 2 2 4 4 5 3" xfId="6695" xr:uid="{00000000-0005-0000-0000-0000033C0000}"/>
    <cellStyle name="Nota 2 2 2 4 4 5 3 2" xfId="20213" xr:uid="{00000000-0005-0000-0000-0000043C0000}"/>
    <cellStyle name="Nota 2 2 2 4 4 5 4" xfId="10217" xr:uid="{00000000-0005-0000-0000-0000053C0000}"/>
    <cellStyle name="Nota 2 2 2 4 4 5 5" xfId="13301" xr:uid="{00000000-0005-0000-0000-0000063C0000}"/>
    <cellStyle name="Nota 2 2 2 4 4 6" xfId="6927" xr:uid="{00000000-0005-0000-0000-0000073C0000}"/>
    <cellStyle name="Nota 2 2 2 4 4 6 2" xfId="8635" xr:uid="{00000000-0005-0000-0000-0000083C0000}"/>
    <cellStyle name="Nota 2 2 2 4 4 6 2 2" xfId="12603" xr:uid="{00000000-0005-0000-0000-0000093C0000}"/>
    <cellStyle name="Nota 2 2 2 4 4 6 2 3" xfId="22153" xr:uid="{00000000-0005-0000-0000-00000A3C0000}"/>
    <cellStyle name="Nota 2 2 2 4 4 6 3" xfId="11061" xr:uid="{00000000-0005-0000-0000-00000B3C0000}"/>
    <cellStyle name="Nota 2 2 2 4 4 6 4" xfId="20445" xr:uid="{00000000-0005-0000-0000-00000C3C0000}"/>
    <cellStyle name="Nota 2 2 2 4 4 7" xfId="5915" xr:uid="{00000000-0005-0000-0000-00000D3C0000}"/>
    <cellStyle name="Nota 2 2 2 4 4 7 2" xfId="10656" xr:uid="{00000000-0005-0000-0000-00000E3C0000}"/>
    <cellStyle name="Nota 2 2 2 4 4 7 3" xfId="19433" xr:uid="{00000000-0005-0000-0000-00000F3C0000}"/>
    <cellStyle name="Nota 2 2 2 4 4 8" xfId="7623" xr:uid="{00000000-0005-0000-0000-0000103C0000}"/>
    <cellStyle name="Nota 2 2 2 4 4 8 2" xfId="11644" xr:uid="{00000000-0005-0000-0000-0000113C0000}"/>
    <cellStyle name="Nota 2 2 2 4 4 8 3" xfId="21141" xr:uid="{00000000-0005-0000-0000-0000123C0000}"/>
    <cellStyle name="Nota 2 2 2 4 4 9" xfId="5011" xr:uid="{00000000-0005-0000-0000-0000133C0000}"/>
    <cellStyle name="Nota 2 2 2 4 4 9 2" xfId="13008" xr:uid="{00000000-0005-0000-0000-0000143C0000}"/>
    <cellStyle name="Nota 2 2 2 4 5" xfId="3053" xr:uid="{00000000-0005-0000-0000-0000153C0000}"/>
    <cellStyle name="Nota 2 2 2 4 5 2" xfId="3440" xr:uid="{00000000-0005-0000-0000-0000163C0000}"/>
    <cellStyle name="Nota 2 2 2 4 5 2 2" xfId="18243" xr:uid="{00000000-0005-0000-0000-0000173C0000}"/>
    <cellStyle name="Nota 2 2 2 4 5 3" xfId="3823" xr:uid="{00000000-0005-0000-0000-0000183C0000}"/>
    <cellStyle name="Nota 2 2 2 4 5 3 2" xfId="14144" xr:uid="{00000000-0005-0000-0000-0000193C0000}"/>
    <cellStyle name="Nota 2 2 2 4 5 4" xfId="4206" xr:uid="{00000000-0005-0000-0000-00001A3C0000}"/>
    <cellStyle name="Nota 2 2 2 4 5 4 2" xfId="13799" xr:uid="{00000000-0005-0000-0000-00001B3C0000}"/>
    <cellStyle name="Nota 2 2 2 4 5 5" xfId="4588" xr:uid="{00000000-0005-0000-0000-00001C3C0000}"/>
    <cellStyle name="Nota 2 2 2 4 5 5 2" xfId="13417" xr:uid="{00000000-0005-0000-0000-00001D3C0000}"/>
    <cellStyle name="Nota 2 2 2 4 5 6" xfId="5815" xr:uid="{00000000-0005-0000-0000-00001E3C0000}"/>
    <cellStyle name="Nota 2 2 2 4 5 6 2" xfId="19333" xr:uid="{00000000-0005-0000-0000-00001F3C0000}"/>
    <cellStyle name="Nota 2 2 2 4 5 7" xfId="9193" xr:uid="{00000000-0005-0000-0000-0000203C0000}"/>
    <cellStyle name="Nota 2 2 2 4 5 8" xfId="15662" xr:uid="{00000000-0005-0000-0000-0000213C0000}"/>
    <cellStyle name="Nota 2 2 2 4 6" xfId="2878" xr:uid="{00000000-0005-0000-0000-0000223C0000}"/>
    <cellStyle name="Nota 2 2 2 4 6 2" xfId="7523" xr:uid="{00000000-0005-0000-0000-0000233C0000}"/>
    <cellStyle name="Nota 2 2 2 4 6 2 2" xfId="21041" xr:uid="{00000000-0005-0000-0000-0000243C0000}"/>
    <cellStyle name="Nota 2 2 2 4 6 3" xfId="9030" xr:uid="{00000000-0005-0000-0000-0000253C0000}"/>
    <cellStyle name="Nota 2 2 2 4 6 4" xfId="15869" xr:uid="{00000000-0005-0000-0000-0000263C0000}"/>
    <cellStyle name="Nota 2 2 2 4 7" xfId="8834" xr:uid="{00000000-0005-0000-0000-0000273C0000}"/>
    <cellStyle name="Nota 2 2 2 4 8" xfId="17146" xr:uid="{00000000-0005-0000-0000-0000283C0000}"/>
    <cellStyle name="Nota 2 2 2 5" xfId="2823" xr:uid="{00000000-0005-0000-0000-0000293C0000}"/>
    <cellStyle name="Nota 2 2 2 5 10" xfId="8976" xr:uid="{00000000-0005-0000-0000-00002A3C0000}"/>
    <cellStyle name="Nota 2 2 2 5 11" xfId="18401" xr:uid="{00000000-0005-0000-0000-00002B3C0000}"/>
    <cellStyle name="Nota 2 2 2 5 2" xfId="2779" xr:uid="{00000000-0005-0000-0000-00002C3C0000}"/>
    <cellStyle name="Nota 2 2 2 5 2 2" xfId="7293" xr:uid="{00000000-0005-0000-0000-00002D3C0000}"/>
    <cellStyle name="Nota 2 2 2 5 2 2 2" xfId="11398" xr:uid="{00000000-0005-0000-0000-00002E3C0000}"/>
    <cellStyle name="Nota 2 2 2 5 2 2 3" xfId="20811" xr:uid="{00000000-0005-0000-0000-00002F3C0000}"/>
    <cellStyle name="Nota 2 2 2 5 2 3" xfId="5584" xr:uid="{00000000-0005-0000-0000-0000303C0000}"/>
    <cellStyle name="Nota 2 2 2 5 2 3 2" xfId="19102" xr:uid="{00000000-0005-0000-0000-0000313C0000}"/>
    <cellStyle name="Nota 2 2 2 5 2 4" xfId="8934" xr:uid="{00000000-0005-0000-0000-0000323C0000}"/>
    <cellStyle name="Nota 2 2 2 5 2 5" xfId="18333" xr:uid="{00000000-0005-0000-0000-0000333C0000}"/>
    <cellStyle name="Nota 2 2 2 5 3" xfId="2807" xr:uid="{00000000-0005-0000-0000-0000343C0000}"/>
    <cellStyle name="Nota 2 2 2 5 3 2" xfId="7849" xr:uid="{00000000-0005-0000-0000-0000353C0000}"/>
    <cellStyle name="Nota 2 2 2 5 3 2 2" xfId="11852" xr:uid="{00000000-0005-0000-0000-0000363C0000}"/>
    <cellStyle name="Nota 2 2 2 5 3 2 3" xfId="21367" xr:uid="{00000000-0005-0000-0000-0000373C0000}"/>
    <cellStyle name="Nota 2 2 2 5 3 3" xfId="6141" xr:uid="{00000000-0005-0000-0000-0000383C0000}"/>
    <cellStyle name="Nota 2 2 2 5 3 3 2" xfId="19659" xr:uid="{00000000-0005-0000-0000-0000393C0000}"/>
    <cellStyle name="Nota 2 2 2 5 3 4" xfId="8962" xr:uid="{00000000-0005-0000-0000-00003A3C0000}"/>
    <cellStyle name="Nota 2 2 2 5 3 5" xfId="16241" xr:uid="{00000000-0005-0000-0000-00003B3C0000}"/>
    <cellStyle name="Nota 2 2 2 5 4" xfId="2816" xr:uid="{00000000-0005-0000-0000-00003C3C0000}"/>
    <cellStyle name="Nota 2 2 2 5 4 2" xfId="8207" xr:uid="{00000000-0005-0000-0000-00003D3C0000}"/>
    <cellStyle name="Nota 2 2 2 5 4 2 2" xfId="12175" xr:uid="{00000000-0005-0000-0000-00003E3C0000}"/>
    <cellStyle name="Nota 2 2 2 5 4 2 3" xfId="21725" xr:uid="{00000000-0005-0000-0000-00003F3C0000}"/>
    <cellStyle name="Nota 2 2 2 5 4 3" xfId="6499" xr:uid="{00000000-0005-0000-0000-0000403C0000}"/>
    <cellStyle name="Nota 2 2 2 5 4 3 2" xfId="20017" xr:uid="{00000000-0005-0000-0000-0000413C0000}"/>
    <cellStyle name="Nota 2 2 2 5 4 4" xfId="8971" xr:uid="{00000000-0005-0000-0000-0000423C0000}"/>
    <cellStyle name="Nota 2 2 2 5 4 5" xfId="16689" xr:uid="{00000000-0005-0000-0000-0000433C0000}"/>
    <cellStyle name="Nota 2 2 2 5 5" xfId="2791" xr:uid="{00000000-0005-0000-0000-0000443C0000}"/>
    <cellStyle name="Nota 2 2 2 5 5 2" xfId="8439" xr:uid="{00000000-0005-0000-0000-0000453C0000}"/>
    <cellStyle name="Nota 2 2 2 5 5 2 2" xfId="12407" xr:uid="{00000000-0005-0000-0000-0000463C0000}"/>
    <cellStyle name="Nota 2 2 2 5 5 2 3" xfId="21957" xr:uid="{00000000-0005-0000-0000-0000473C0000}"/>
    <cellStyle name="Nota 2 2 2 5 5 3" xfId="6731" xr:uid="{00000000-0005-0000-0000-0000483C0000}"/>
    <cellStyle name="Nota 2 2 2 5 5 3 2" xfId="20249" xr:uid="{00000000-0005-0000-0000-0000493C0000}"/>
    <cellStyle name="Nota 2 2 2 5 5 4" xfId="8946" xr:uid="{00000000-0005-0000-0000-00004A3C0000}"/>
    <cellStyle name="Nota 2 2 2 5 5 5" xfId="15645" xr:uid="{00000000-0005-0000-0000-00004B3C0000}"/>
    <cellStyle name="Nota 2 2 2 5 6" xfId="6963" xr:uid="{00000000-0005-0000-0000-00004C3C0000}"/>
    <cellStyle name="Nota 2 2 2 5 6 2" xfId="8671" xr:uid="{00000000-0005-0000-0000-00004D3C0000}"/>
    <cellStyle name="Nota 2 2 2 5 6 2 2" xfId="12639" xr:uid="{00000000-0005-0000-0000-00004E3C0000}"/>
    <cellStyle name="Nota 2 2 2 5 6 2 3" xfId="22189" xr:uid="{00000000-0005-0000-0000-00004F3C0000}"/>
    <cellStyle name="Nota 2 2 2 5 6 3" xfId="11097" xr:uid="{00000000-0005-0000-0000-0000503C0000}"/>
    <cellStyle name="Nota 2 2 2 5 6 4" xfId="20481" xr:uid="{00000000-0005-0000-0000-0000513C0000}"/>
    <cellStyle name="Nota 2 2 2 5 7" xfId="5951" xr:uid="{00000000-0005-0000-0000-0000523C0000}"/>
    <cellStyle name="Nota 2 2 2 5 7 2" xfId="10692" xr:uid="{00000000-0005-0000-0000-0000533C0000}"/>
    <cellStyle name="Nota 2 2 2 5 7 3" xfId="19469" xr:uid="{00000000-0005-0000-0000-0000543C0000}"/>
    <cellStyle name="Nota 2 2 2 5 8" xfId="7659" xr:uid="{00000000-0005-0000-0000-0000553C0000}"/>
    <cellStyle name="Nota 2 2 2 5 8 2" xfId="11680" xr:uid="{00000000-0005-0000-0000-0000563C0000}"/>
    <cellStyle name="Nota 2 2 2 5 8 3" xfId="21177" xr:uid="{00000000-0005-0000-0000-0000573C0000}"/>
    <cellStyle name="Nota 2 2 2 5 9" xfId="5052" xr:uid="{00000000-0005-0000-0000-0000583C0000}"/>
    <cellStyle name="Nota 2 2 2 5 9 2" xfId="12969" xr:uid="{00000000-0005-0000-0000-0000593C0000}"/>
    <cellStyle name="Nota 2 2 2 6" xfId="2932" xr:uid="{00000000-0005-0000-0000-00005A3C0000}"/>
    <cellStyle name="Nota 2 2 2 6 2" xfId="3319" xr:uid="{00000000-0005-0000-0000-00005B3C0000}"/>
    <cellStyle name="Nota 2 2 2 6 2 2" xfId="7417" xr:uid="{00000000-0005-0000-0000-00005C3C0000}"/>
    <cellStyle name="Nota 2 2 2 6 2 2 2" xfId="20935" xr:uid="{00000000-0005-0000-0000-00005D3C0000}"/>
    <cellStyle name="Nota 2 2 2 6 2 3" xfId="9449" xr:uid="{00000000-0005-0000-0000-00005E3C0000}"/>
    <cellStyle name="Nota 2 2 2 6 2 4" xfId="18797" xr:uid="{00000000-0005-0000-0000-00005F3C0000}"/>
    <cellStyle name="Nota 2 2 2 6 3" xfId="3702" xr:uid="{00000000-0005-0000-0000-0000603C0000}"/>
    <cellStyle name="Nota 2 2 2 6 3 2" xfId="16199" xr:uid="{00000000-0005-0000-0000-0000613C0000}"/>
    <cellStyle name="Nota 2 2 2 6 4" xfId="4085" xr:uid="{00000000-0005-0000-0000-0000623C0000}"/>
    <cellStyle name="Nota 2 2 2 6 4 2" xfId="13909" xr:uid="{00000000-0005-0000-0000-0000633C0000}"/>
    <cellStyle name="Nota 2 2 2 6 5" xfId="4467" xr:uid="{00000000-0005-0000-0000-0000643C0000}"/>
    <cellStyle name="Nota 2 2 2 6 5 2" xfId="13538" xr:uid="{00000000-0005-0000-0000-0000653C0000}"/>
    <cellStyle name="Nota 2 2 2 6 6" xfId="5708" xr:uid="{00000000-0005-0000-0000-0000663C0000}"/>
    <cellStyle name="Nota 2 2 2 6 6 2" xfId="19226" xr:uid="{00000000-0005-0000-0000-0000673C0000}"/>
    <cellStyle name="Nota 2 2 2 6 7" xfId="9084" xr:uid="{00000000-0005-0000-0000-0000683C0000}"/>
    <cellStyle name="Nota 2 2 2 6 8" xfId="18227" xr:uid="{00000000-0005-0000-0000-0000693C0000}"/>
    <cellStyle name="Nota 2 2 2 7" xfId="3108" xr:uid="{00000000-0005-0000-0000-00006A3C0000}"/>
    <cellStyle name="Nota 2 2 2 7 2" xfId="3495" xr:uid="{00000000-0005-0000-0000-00006B3C0000}"/>
    <cellStyle name="Nota 2 2 2 7 2 2" xfId="7886" xr:uid="{00000000-0005-0000-0000-00006C3C0000}"/>
    <cellStyle name="Nota 2 2 2 7 2 2 2" xfId="21404" xr:uid="{00000000-0005-0000-0000-00006D3C0000}"/>
    <cellStyle name="Nota 2 2 2 7 2 3" xfId="9588" xr:uid="{00000000-0005-0000-0000-00006E3C0000}"/>
    <cellStyle name="Nota 2 2 2 7 2 4" xfId="17465" xr:uid="{00000000-0005-0000-0000-00006F3C0000}"/>
    <cellStyle name="Nota 2 2 2 7 3" xfId="3878" xr:uid="{00000000-0005-0000-0000-0000703C0000}"/>
    <cellStyle name="Nota 2 2 2 7 3 2" xfId="14134" xr:uid="{00000000-0005-0000-0000-0000713C0000}"/>
    <cellStyle name="Nota 2 2 2 7 4" xfId="4261" xr:uid="{00000000-0005-0000-0000-0000723C0000}"/>
    <cellStyle name="Nota 2 2 2 7 4 2" xfId="13744" xr:uid="{00000000-0005-0000-0000-0000733C0000}"/>
    <cellStyle name="Nota 2 2 2 7 5" xfId="4643" xr:uid="{00000000-0005-0000-0000-0000743C0000}"/>
    <cellStyle name="Nota 2 2 2 7 5 2" xfId="13362" xr:uid="{00000000-0005-0000-0000-0000753C0000}"/>
    <cellStyle name="Nota 2 2 2 7 6" xfId="6178" xr:uid="{00000000-0005-0000-0000-0000763C0000}"/>
    <cellStyle name="Nota 2 2 2 7 6 2" xfId="19696" xr:uid="{00000000-0005-0000-0000-0000773C0000}"/>
    <cellStyle name="Nota 2 2 2 7 7" xfId="9239" xr:uid="{00000000-0005-0000-0000-0000783C0000}"/>
    <cellStyle name="Nota 2 2 2 7 8" xfId="18365" xr:uid="{00000000-0005-0000-0000-0000793C0000}"/>
    <cellStyle name="Nota 2 2 2 8" xfId="3079" xr:uid="{00000000-0005-0000-0000-00007A3C0000}"/>
    <cellStyle name="Nota 2 2 2 8 2" xfId="3466" xr:uid="{00000000-0005-0000-0000-00007B3C0000}"/>
    <cellStyle name="Nota 2 2 2 8 2 2" xfId="7179" xr:uid="{00000000-0005-0000-0000-00007C3C0000}"/>
    <cellStyle name="Nota 2 2 2 8 2 2 2" xfId="20697" xr:uid="{00000000-0005-0000-0000-00007D3C0000}"/>
    <cellStyle name="Nota 2 2 2 8 2 3" xfId="9568" xr:uid="{00000000-0005-0000-0000-00007E3C0000}"/>
    <cellStyle name="Nota 2 2 2 8 2 4" xfId="14443" xr:uid="{00000000-0005-0000-0000-00007F3C0000}"/>
    <cellStyle name="Nota 2 2 2 8 3" xfId="3849" xr:uid="{00000000-0005-0000-0000-0000803C0000}"/>
    <cellStyle name="Nota 2 2 2 8 3 2" xfId="14208" xr:uid="{00000000-0005-0000-0000-0000813C0000}"/>
    <cellStyle name="Nota 2 2 2 8 4" xfId="4232" xr:uid="{00000000-0005-0000-0000-0000823C0000}"/>
    <cellStyle name="Nota 2 2 2 8 4 2" xfId="13773" xr:uid="{00000000-0005-0000-0000-0000833C0000}"/>
    <cellStyle name="Nota 2 2 2 8 5" xfId="4614" xr:uid="{00000000-0005-0000-0000-0000843C0000}"/>
    <cellStyle name="Nota 2 2 2 8 5 2" xfId="13391" xr:uid="{00000000-0005-0000-0000-0000853C0000}"/>
    <cellStyle name="Nota 2 2 2 8 6" xfId="5470" xr:uid="{00000000-0005-0000-0000-0000863C0000}"/>
    <cellStyle name="Nota 2 2 2 8 6 2" xfId="18988" xr:uid="{00000000-0005-0000-0000-0000873C0000}"/>
    <cellStyle name="Nota 2 2 2 8 7" xfId="9219" xr:uid="{00000000-0005-0000-0000-0000883C0000}"/>
    <cellStyle name="Nota 2 2 2 8 8" xfId="18567" xr:uid="{00000000-0005-0000-0000-0000893C0000}"/>
    <cellStyle name="Nota 2 2 2 9" xfId="5309" xr:uid="{00000000-0005-0000-0000-00008A3C0000}"/>
    <cellStyle name="Nota 2 2 2 9 2" xfId="5105" xr:uid="{00000000-0005-0000-0000-00008B3C0000}"/>
    <cellStyle name="Nota 2 2 2 9 2 2" xfId="10349" xr:uid="{00000000-0005-0000-0000-00008C3C0000}"/>
    <cellStyle name="Nota 2 2 2 9 2 3" xfId="12934" xr:uid="{00000000-0005-0000-0000-00008D3C0000}"/>
    <cellStyle name="Nota 2 2 2 9 3" xfId="10417" xr:uid="{00000000-0005-0000-0000-00008E3C0000}"/>
    <cellStyle name="Nota 2 2 2 9 4" xfId="18827" xr:uid="{00000000-0005-0000-0000-00008F3C0000}"/>
    <cellStyle name="Nota 2 2 3" xfId="2697" xr:uid="{00000000-0005-0000-0000-0000903C0000}"/>
    <cellStyle name="Nota 2 2 3 10" xfId="5754" xr:uid="{00000000-0005-0000-0000-0000913C0000}"/>
    <cellStyle name="Nota 2 2 3 10 2" xfId="10534" xr:uid="{00000000-0005-0000-0000-0000923C0000}"/>
    <cellStyle name="Nota 2 2 3 10 3" xfId="19272" xr:uid="{00000000-0005-0000-0000-0000933C0000}"/>
    <cellStyle name="Nota 2 2 3 11" xfId="7463" xr:uid="{00000000-0005-0000-0000-0000943C0000}"/>
    <cellStyle name="Nota 2 2 3 11 2" xfId="11521" xr:uid="{00000000-0005-0000-0000-0000953C0000}"/>
    <cellStyle name="Nota 2 2 3 11 3" xfId="20981" xr:uid="{00000000-0005-0000-0000-0000963C0000}"/>
    <cellStyle name="Nota 2 2 3 12" xfId="4884" xr:uid="{00000000-0005-0000-0000-0000973C0000}"/>
    <cellStyle name="Nota 2 2 3 12 2" xfId="13122" xr:uid="{00000000-0005-0000-0000-0000983C0000}"/>
    <cellStyle name="Nota 2 2 3 13" xfId="8852" xr:uid="{00000000-0005-0000-0000-0000993C0000}"/>
    <cellStyle name="Nota 2 2 3 14" xfId="16220" xr:uid="{00000000-0005-0000-0000-00009A3C0000}"/>
    <cellStyle name="Nota 2 2 3 2" xfId="2754" xr:uid="{00000000-0005-0000-0000-00009B3C0000}"/>
    <cellStyle name="Nota 2 2 3 2 2" xfId="2979" xr:uid="{00000000-0005-0000-0000-00009C3C0000}"/>
    <cellStyle name="Nota 2 2 3 2 2 10" xfId="9131" xr:uid="{00000000-0005-0000-0000-00009D3C0000}"/>
    <cellStyle name="Nota 2 2 3 2 2 11" xfId="17733" xr:uid="{00000000-0005-0000-0000-00009E3C0000}"/>
    <cellStyle name="Nota 2 2 3 2 2 2" xfId="3366" xr:uid="{00000000-0005-0000-0000-00009F3C0000}"/>
    <cellStyle name="Nota 2 2 3 2 2 2 2" xfId="7944" xr:uid="{00000000-0005-0000-0000-0000A03C0000}"/>
    <cellStyle name="Nota 2 2 3 2 2 2 2 2" xfId="11920" xr:uid="{00000000-0005-0000-0000-0000A13C0000}"/>
    <cellStyle name="Nota 2 2 3 2 2 2 2 3" xfId="21462" xr:uid="{00000000-0005-0000-0000-0000A23C0000}"/>
    <cellStyle name="Nota 2 2 3 2 2 2 3" xfId="6236" xr:uid="{00000000-0005-0000-0000-0000A33C0000}"/>
    <cellStyle name="Nota 2 2 3 2 2 2 3 2" xfId="19754" xr:uid="{00000000-0005-0000-0000-0000A43C0000}"/>
    <cellStyle name="Nota 2 2 3 2 2 2 4" xfId="9496" xr:uid="{00000000-0005-0000-0000-0000A53C0000}"/>
    <cellStyle name="Nota 2 2 3 2 2 2 5" xfId="15652" xr:uid="{00000000-0005-0000-0000-0000A63C0000}"/>
    <cellStyle name="Nota 2 2 3 2 2 3" xfId="3749" xr:uid="{00000000-0005-0000-0000-0000A73C0000}"/>
    <cellStyle name="Nota 2 2 3 2 2 3 2" xfId="5077" xr:uid="{00000000-0005-0000-0000-0000A83C0000}"/>
    <cellStyle name="Nota 2 2 3 2 2 3 2 2" xfId="10328" xr:uid="{00000000-0005-0000-0000-0000A93C0000}"/>
    <cellStyle name="Nota 2 2 3 2 2 3 2 3" xfId="12944" xr:uid="{00000000-0005-0000-0000-0000AA3C0000}"/>
    <cellStyle name="Nota 2 2 3 2 2 3 3" xfId="5290" xr:uid="{00000000-0005-0000-0000-0000AB3C0000}"/>
    <cellStyle name="Nota 2 2 3 2 2 3 3 2" xfId="18808" xr:uid="{00000000-0005-0000-0000-0000AC3C0000}"/>
    <cellStyle name="Nota 2 2 3 2 2 3 4" xfId="9811" xr:uid="{00000000-0005-0000-0000-0000AD3C0000}"/>
    <cellStyle name="Nota 2 2 3 2 2 3 5" xfId="16465" xr:uid="{00000000-0005-0000-0000-0000AE3C0000}"/>
    <cellStyle name="Nota 2 2 3 2 2 4" xfId="4132" xr:uid="{00000000-0005-0000-0000-0000AF3C0000}"/>
    <cellStyle name="Nota 2 2 3 2 2 4 2" xfId="8251" xr:uid="{00000000-0005-0000-0000-0000B03C0000}"/>
    <cellStyle name="Nota 2 2 3 2 2 4 2 2" xfId="12219" xr:uid="{00000000-0005-0000-0000-0000B13C0000}"/>
    <cellStyle name="Nota 2 2 3 2 2 4 2 3" xfId="21769" xr:uid="{00000000-0005-0000-0000-0000B23C0000}"/>
    <cellStyle name="Nota 2 2 3 2 2 4 3" xfId="6543" xr:uid="{00000000-0005-0000-0000-0000B33C0000}"/>
    <cellStyle name="Nota 2 2 3 2 2 4 3 2" xfId="20061" xr:uid="{00000000-0005-0000-0000-0000B43C0000}"/>
    <cellStyle name="Nota 2 2 3 2 2 4 4" xfId="9989" xr:uid="{00000000-0005-0000-0000-0000B53C0000}"/>
    <cellStyle name="Nota 2 2 3 2 2 4 5" xfId="13865" xr:uid="{00000000-0005-0000-0000-0000B63C0000}"/>
    <cellStyle name="Nota 2 2 3 2 2 5" xfId="4514" xr:uid="{00000000-0005-0000-0000-0000B73C0000}"/>
    <cellStyle name="Nota 2 2 3 2 2 5 2" xfId="8483" xr:uid="{00000000-0005-0000-0000-0000B83C0000}"/>
    <cellStyle name="Nota 2 2 3 2 2 5 2 2" xfId="12451" xr:uid="{00000000-0005-0000-0000-0000B93C0000}"/>
    <cellStyle name="Nota 2 2 3 2 2 5 2 3" xfId="22001" xr:uid="{00000000-0005-0000-0000-0000BA3C0000}"/>
    <cellStyle name="Nota 2 2 3 2 2 5 3" xfId="6775" xr:uid="{00000000-0005-0000-0000-0000BB3C0000}"/>
    <cellStyle name="Nota 2 2 3 2 2 5 3 2" xfId="20293" xr:uid="{00000000-0005-0000-0000-0000BC3C0000}"/>
    <cellStyle name="Nota 2 2 3 2 2 5 4" xfId="10166" xr:uid="{00000000-0005-0000-0000-0000BD3C0000}"/>
    <cellStyle name="Nota 2 2 3 2 2 5 5" xfId="13491" xr:uid="{00000000-0005-0000-0000-0000BE3C0000}"/>
    <cellStyle name="Nota 2 2 3 2 2 6" xfId="7007" xr:uid="{00000000-0005-0000-0000-0000BF3C0000}"/>
    <cellStyle name="Nota 2 2 3 2 2 6 2" xfId="8715" xr:uid="{00000000-0005-0000-0000-0000C03C0000}"/>
    <cellStyle name="Nota 2 2 3 2 2 6 2 2" xfId="12683" xr:uid="{00000000-0005-0000-0000-0000C13C0000}"/>
    <cellStyle name="Nota 2 2 3 2 2 6 2 3" xfId="22233" xr:uid="{00000000-0005-0000-0000-0000C23C0000}"/>
    <cellStyle name="Nota 2 2 3 2 2 6 3" xfId="11141" xr:uid="{00000000-0005-0000-0000-0000C33C0000}"/>
    <cellStyle name="Nota 2 2 3 2 2 6 4" xfId="20525" xr:uid="{00000000-0005-0000-0000-0000C43C0000}"/>
    <cellStyle name="Nota 2 2 3 2 2 7" xfId="5995" xr:uid="{00000000-0005-0000-0000-0000C53C0000}"/>
    <cellStyle name="Nota 2 2 3 2 2 7 2" xfId="10736" xr:uid="{00000000-0005-0000-0000-0000C63C0000}"/>
    <cellStyle name="Nota 2 2 3 2 2 7 3" xfId="19513" xr:uid="{00000000-0005-0000-0000-0000C73C0000}"/>
    <cellStyle name="Nota 2 2 3 2 2 8" xfId="7703" xr:uid="{00000000-0005-0000-0000-0000C83C0000}"/>
    <cellStyle name="Nota 2 2 3 2 2 8 2" xfId="11724" xr:uid="{00000000-0005-0000-0000-0000C93C0000}"/>
    <cellStyle name="Nota 2 2 3 2 2 8 3" xfId="21221" xr:uid="{00000000-0005-0000-0000-0000CA3C0000}"/>
    <cellStyle name="Nota 2 2 3 2 2 9" xfId="5189" xr:uid="{00000000-0005-0000-0000-0000CB3C0000}"/>
    <cellStyle name="Nota 2 2 3 2 2 9 2" xfId="12893" xr:uid="{00000000-0005-0000-0000-0000CC3C0000}"/>
    <cellStyle name="Nota 2 2 3 2 3" xfId="3244" xr:uid="{00000000-0005-0000-0000-0000CD3C0000}"/>
    <cellStyle name="Nota 2 2 3 2 3 10" xfId="9374" xr:uid="{00000000-0005-0000-0000-0000CE3C0000}"/>
    <cellStyle name="Nota 2 2 3 2 3 11" xfId="14640" xr:uid="{00000000-0005-0000-0000-0000CF3C0000}"/>
    <cellStyle name="Nota 2 2 3 2 3 2" xfId="3631" xr:uid="{00000000-0005-0000-0000-0000D03C0000}"/>
    <cellStyle name="Nota 2 2 3 2 3 2 2" xfId="7992" xr:uid="{00000000-0005-0000-0000-0000D13C0000}"/>
    <cellStyle name="Nota 2 2 3 2 3 2 2 2" xfId="11968" xr:uid="{00000000-0005-0000-0000-0000D23C0000}"/>
    <cellStyle name="Nota 2 2 3 2 3 2 2 3" xfId="21510" xr:uid="{00000000-0005-0000-0000-0000D33C0000}"/>
    <cellStyle name="Nota 2 2 3 2 3 2 3" xfId="6284" xr:uid="{00000000-0005-0000-0000-0000D43C0000}"/>
    <cellStyle name="Nota 2 2 3 2 3 2 3 2" xfId="19802" xr:uid="{00000000-0005-0000-0000-0000D53C0000}"/>
    <cellStyle name="Nota 2 2 3 2 3 2 4" xfId="9723" xr:uid="{00000000-0005-0000-0000-0000D63C0000}"/>
    <cellStyle name="Nota 2 2 3 2 3 2 5" xfId="18582" xr:uid="{00000000-0005-0000-0000-0000D73C0000}"/>
    <cellStyle name="Nota 2 2 3 2 3 3" xfId="4014" xr:uid="{00000000-0005-0000-0000-0000D83C0000}"/>
    <cellStyle name="Nota 2 2 3 2 3 3 2" xfId="5107" xr:uid="{00000000-0005-0000-0000-0000D93C0000}"/>
    <cellStyle name="Nota 2 2 3 2 3 3 2 2" xfId="10351" xr:uid="{00000000-0005-0000-0000-0000DA3C0000}"/>
    <cellStyle name="Nota 2 2 3 2 3 3 2 3" xfId="12803" xr:uid="{00000000-0005-0000-0000-0000DB3C0000}"/>
    <cellStyle name="Nota 2 2 3 2 3 3 3" xfId="5307" xr:uid="{00000000-0005-0000-0000-0000DC3C0000}"/>
    <cellStyle name="Nota 2 2 3 2 3 3 3 2" xfId="18825" xr:uid="{00000000-0005-0000-0000-0000DD3C0000}"/>
    <cellStyle name="Nota 2 2 3 2 3 3 4" xfId="9933" xr:uid="{00000000-0005-0000-0000-0000DE3C0000}"/>
    <cellStyle name="Nota 2 2 3 2 3 3 5" xfId="13977" xr:uid="{00000000-0005-0000-0000-0000DF3C0000}"/>
    <cellStyle name="Nota 2 2 3 2 3 4" xfId="4397" xr:uid="{00000000-0005-0000-0000-0000E03C0000}"/>
    <cellStyle name="Nota 2 2 3 2 3 4 2" xfId="8299" xr:uid="{00000000-0005-0000-0000-0000E13C0000}"/>
    <cellStyle name="Nota 2 2 3 2 3 4 2 2" xfId="12267" xr:uid="{00000000-0005-0000-0000-0000E23C0000}"/>
    <cellStyle name="Nota 2 2 3 2 3 4 2 3" xfId="21817" xr:uid="{00000000-0005-0000-0000-0000E33C0000}"/>
    <cellStyle name="Nota 2 2 3 2 3 4 3" xfId="6591" xr:uid="{00000000-0005-0000-0000-0000E43C0000}"/>
    <cellStyle name="Nota 2 2 3 2 3 4 3 2" xfId="20109" xr:uid="{00000000-0005-0000-0000-0000E53C0000}"/>
    <cellStyle name="Nota 2 2 3 2 3 4 4" xfId="10111" xr:uid="{00000000-0005-0000-0000-0000E63C0000}"/>
    <cellStyle name="Nota 2 2 3 2 3 4 5" xfId="13608" xr:uid="{00000000-0005-0000-0000-0000E73C0000}"/>
    <cellStyle name="Nota 2 2 3 2 3 5" xfId="4779" xr:uid="{00000000-0005-0000-0000-0000E83C0000}"/>
    <cellStyle name="Nota 2 2 3 2 3 5 2" xfId="8531" xr:uid="{00000000-0005-0000-0000-0000E93C0000}"/>
    <cellStyle name="Nota 2 2 3 2 3 5 2 2" xfId="12499" xr:uid="{00000000-0005-0000-0000-0000EA3C0000}"/>
    <cellStyle name="Nota 2 2 3 2 3 5 2 3" xfId="22049" xr:uid="{00000000-0005-0000-0000-0000EB3C0000}"/>
    <cellStyle name="Nota 2 2 3 2 3 5 3" xfId="6823" xr:uid="{00000000-0005-0000-0000-0000EC3C0000}"/>
    <cellStyle name="Nota 2 2 3 2 3 5 3 2" xfId="20341" xr:uid="{00000000-0005-0000-0000-0000ED3C0000}"/>
    <cellStyle name="Nota 2 2 3 2 3 5 4" xfId="10288" xr:uid="{00000000-0005-0000-0000-0000EE3C0000}"/>
    <cellStyle name="Nota 2 2 3 2 3 5 5" xfId="13226" xr:uid="{00000000-0005-0000-0000-0000EF3C0000}"/>
    <cellStyle name="Nota 2 2 3 2 3 6" xfId="7055" xr:uid="{00000000-0005-0000-0000-0000F03C0000}"/>
    <cellStyle name="Nota 2 2 3 2 3 6 2" xfId="8763" xr:uid="{00000000-0005-0000-0000-0000F13C0000}"/>
    <cellStyle name="Nota 2 2 3 2 3 6 2 2" xfId="12731" xr:uid="{00000000-0005-0000-0000-0000F23C0000}"/>
    <cellStyle name="Nota 2 2 3 2 3 6 2 3" xfId="22281" xr:uid="{00000000-0005-0000-0000-0000F33C0000}"/>
    <cellStyle name="Nota 2 2 3 2 3 6 3" xfId="11189" xr:uid="{00000000-0005-0000-0000-0000F43C0000}"/>
    <cellStyle name="Nota 2 2 3 2 3 6 4" xfId="20573" xr:uid="{00000000-0005-0000-0000-0000F53C0000}"/>
    <cellStyle name="Nota 2 2 3 2 3 7" xfId="6043" xr:uid="{00000000-0005-0000-0000-0000F63C0000}"/>
    <cellStyle name="Nota 2 2 3 2 3 7 2" xfId="10784" xr:uid="{00000000-0005-0000-0000-0000F73C0000}"/>
    <cellStyle name="Nota 2 2 3 2 3 7 3" xfId="19561" xr:uid="{00000000-0005-0000-0000-0000F83C0000}"/>
    <cellStyle name="Nota 2 2 3 2 3 8" xfId="7751" xr:uid="{00000000-0005-0000-0000-0000F93C0000}"/>
    <cellStyle name="Nota 2 2 3 2 3 8 2" xfId="11772" xr:uid="{00000000-0005-0000-0000-0000FA3C0000}"/>
    <cellStyle name="Nota 2 2 3 2 3 8 3" xfId="21269" xr:uid="{00000000-0005-0000-0000-0000FB3C0000}"/>
    <cellStyle name="Nota 2 2 3 2 3 9" xfId="5237" xr:uid="{00000000-0005-0000-0000-0000FC3C0000}"/>
    <cellStyle name="Nota 2 2 3 2 3 9 2" xfId="12857" xr:uid="{00000000-0005-0000-0000-0000FD3C0000}"/>
    <cellStyle name="Nota 2 2 3 2 4" xfId="3301" xr:uid="{00000000-0005-0000-0000-0000FE3C0000}"/>
    <cellStyle name="Nota 2 2 3 2 4 2" xfId="3688" xr:uid="{00000000-0005-0000-0000-0000FF3C0000}"/>
    <cellStyle name="Nota 2 2 3 2 4 2 2" xfId="14463" xr:uid="{00000000-0005-0000-0000-0000003D0000}"/>
    <cellStyle name="Nota 2 2 3 2 4 3" xfId="4071" xr:uid="{00000000-0005-0000-0000-0000013D0000}"/>
    <cellStyle name="Nota 2 2 3 2 4 3 2" xfId="13920" xr:uid="{00000000-0005-0000-0000-0000023D0000}"/>
    <cellStyle name="Nota 2 2 3 2 4 4" xfId="4454" xr:uid="{00000000-0005-0000-0000-0000033D0000}"/>
    <cellStyle name="Nota 2 2 3 2 4 4 2" xfId="13551" xr:uid="{00000000-0005-0000-0000-0000043D0000}"/>
    <cellStyle name="Nota 2 2 3 2 4 5" xfId="4836" xr:uid="{00000000-0005-0000-0000-0000053D0000}"/>
    <cellStyle name="Nota 2 2 3 2 4 5 2" xfId="13170" xr:uid="{00000000-0005-0000-0000-0000063D0000}"/>
    <cellStyle name="Nota 2 2 3 2 4 6" xfId="5833" xr:uid="{00000000-0005-0000-0000-0000073D0000}"/>
    <cellStyle name="Nota 2 2 3 2 4 6 2" xfId="19351" xr:uid="{00000000-0005-0000-0000-0000083D0000}"/>
    <cellStyle name="Nota 2 2 3 2 4 7" xfId="9431" xr:uid="{00000000-0005-0000-0000-0000093D0000}"/>
    <cellStyle name="Nota 2 2 3 2 4 8" xfId="18116" xr:uid="{00000000-0005-0000-0000-00000A3D0000}"/>
    <cellStyle name="Nota 2 2 3 2 5" xfId="2919" xr:uid="{00000000-0005-0000-0000-00000B3D0000}"/>
    <cellStyle name="Nota 2 2 3 2 5 2" xfId="7541" xr:uid="{00000000-0005-0000-0000-00000C3D0000}"/>
    <cellStyle name="Nota 2 2 3 2 5 2 2" xfId="21059" xr:uid="{00000000-0005-0000-0000-00000D3D0000}"/>
    <cellStyle name="Nota 2 2 3 2 5 3" xfId="9071" xr:uid="{00000000-0005-0000-0000-00000E3D0000}"/>
    <cellStyle name="Nota 2 2 3 2 5 4" xfId="14516" xr:uid="{00000000-0005-0000-0000-00000F3D0000}"/>
    <cellStyle name="Nota 2 2 3 2 6" xfId="8909" xr:uid="{00000000-0005-0000-0000-0000103D0000}"/>
    <cellStyle name="Nota 2 2 3 3" xfId="2654" xr:uid="{00000000-0005-0000-0000-0000113D0000}"/>
    <cellStyle name="Nota 2 2 3 3 2" xfId="2943" xr:uid="{00000000-0005-0000-0000-0000123D0000}"/>
    <cellStyle name="Nota 2 2 3 3 2 10" xfId="9095" xr:uid="{00000000-0005-0000-0000-0000133D0000}"/>
    <cellStyle name="Nota 2 2 3 3 2 11" xfId="17286" xr:uid="{00000000-0005-0000-0000-0000143D0000}"/>
    <cellStyle name="Nota 2 2 3 3 2 2" xfId="3330" xr:uid="{00000000-0005-0000-0000-0000153D0000}"/>
    <cellStyle name="Nota 2 2 3 3 2 2 2" xfId="7435" xr:uid="{00000000-0005-0000-0000-0000163D0000}"/>
    <cellStyle name="Nota 2 2 3 3 2 2 2 2" xfId="11496" xr:uid="{00000000-0005-0000-0000-0000173D0000}"/>
    <cellStyle name="Nota 2 2 3 3 2 2 2 3" xfId="20953" xr:uid="{00000000-0005-0000-0000-0000183D0000}"/>
    <cellStyle name="Nota 2 2 3 3 2 2 3" xfId="5726" xr:uid="{00000000-0005-0000-0000-0000193D0000}"/>
    <cellStyle name="Nota 2 2 3 3 2 2 3 2" xfId="19244" xr:uid="{00000000-0005-0000-0000-00001A3D0000}"/>
    <cellStyle name="Nota 2 2 3 3 2 2 4" xfId="9460" xr:uid="{00000000-0005-0000-0000-00001B3D0000}"/>
    <cellStyle name="Nota 2 2 3 3 2 2 5" xfId="16929" xr:uid="{00000000-0005-0000-0000-00001C3D0000}"/>
    <cellStyle name="Nota 2 2 3 3 2 3" xfId="3713" xr:uid="{00000000-0005-0000-0000-00001D3D0000}"/>
    <cellStyle name="Nota 2 2 3 3 2 3 2" xfId="7100" xr:uid="{00000000-0005-0000-0000-00001E3D0000}"/>
    <cellStyle name="Nota 2 2 3 3 2 3 2 2" xfId="11234" xr:uid="{00000000-0005-0000-0000-00001F3D0000}"/>
    <cellStyle name="Nota 2 2 3 3 2 3 2 3" xfId="20618" xr:uid="{00000000-0005-0000-0000-0000203D0000}"/>
    <cellStyle name="Nota 2 2 3 3 2 3 3" xfId="5391" xr:uid="{00000000-0005-0000-0000-0000213D0000}"/>
    <cellStyle name="Nota 2 2 3 3 2 3 3 2" xfId="18909" xr:uid="{00000000-0005-0000-0000-0000223D0000}"/>
    <cellStyle name="Nota 2 2 3 3 2 3 4" xfId="9775" xr:uid="{00000000-0005-0000-0000-0000233D0000}"/>
    <cellStyle name="Nota 2 2 3 3 2 3 5" xfId="17381" xr:uid="{00000000-0005-0000-0000-0000243D0000}"/>
    <cellStyle name="Nota 2 2 3 3 2 4" xfId="4096" xr:uid="{00000000-0005-0000-0000-0000253D0000}"/>
    <cellStyle name="Nota 2 2 3 3 2 4 2" xfId="8217" xr:uid="{00000000-0005-0000-0000-0000263D0000}"/>
    <cellStyle name="Nota 2 2 3 3 2 4 2 2" xfId="12185" xr:uid="{00000000-0005-0000-0000-0000273D0000}"/>
    <cellStyle name="Nota 2 2 3 3 2 4 2 3" xfId="21735" xr:uid="{00000000-0005-0000-0000-0000283D0000}"/>
    <cellStyle name="Nota 2 2 3 3 2 4 3" xfId="6509" xr:uid="{00000000-0005-0000-0000-0000293D0000}"/>
    <cellStyle name="Nota 2 2 3 3 2 4 3 2" xfId="20027" xr:uid="{00000000-0005-0000-0000-00002A3D0000}"/>
    <cellStyle name="Nota 2 2 3 3 2 4 4" xfId="9953" xr:uid="{00000000-0005-0000-0000-00002B3D0000}"/>
    <cellStyle name="Nota 2 2 3 3 2 4 5" xfId="13898" xr:uid="{00000000-0005-0000-0000-00002C3D0000}"/>
    <cellStyle name="Nota 2 2 3 3 2 5" xfId="4478" xr:uid="{00000000-0005-0000-0000-00002D3D0000}"/>
    <cellStyle name="Nota 2 2 3 3 2 5 2" xfId="8449" xr:uid="{00000000-0005-0000-0000-00002E3D0000}"/>
    <cellStyle name="Nota 2 2 3 3 2 5 2 2" xfId="12417" xr:uid="{00000000-0005-0000-0000-00002F3D0000}"/>
    <cellStyle name="Nota 2 2 3 3 2 5 2 3" xfId="21967" xr:uid="{00000000-0005-0000-0000-0000303D0000}"/>
    <cellStyle name="Nota 2 2 3 3 2 5 3" xfId="6741" xr:uid="{00000000-0005-0000-0000-0000313D0000}"/>
    <cellStyle name="Nota 2 2 3 3 2 5 3 2" xfId="20259" xr:uid="{00000000-0005-0000-0000-0000323D0000}"/>
    <cellStyle name="Nota 2 2 3 3 2 5 4" xfId="10130" xr:uid="{00000000-0005-0000-0000-0000333D0000}"/>
    <cellStyle name="Nota 2 2 3 3 2 5 5" xfId="13527" xr:uid="{00000000-0005-0000-0000-0000343D0000}"/>
    <cellStyle name="Nota 2 2 3 3 2 6" xfId="6973" xr:uid="{00000000-0005-0000-0000-0000353D0000}"/>
    <cellStyle name="Nota 2 2 3 3 2 6 2" xfId="8681" xr:uid="{00000000-0005-0000-0000-0000363D0000}"/>
    <cellStyle name="Nota 2 2 3 3 2 6 2 2" xfId="12649" xr:uid="{00000000-0005-0000-0000-0000373D0000}"/>
    <cellStyle name="Nota 2 2 3 3 2 6 2 3" xfId="22199" xr:uid="{00000000-0005-0000-0000-0000383D0000}"/>
    <cellStyle name="Nota 2 2 3 3 2 6 3" xfId="11107" xr:uid="{00000000-0005-0000-0000-0000393D0000}"/>
    <cellStyle name="Nota 2 2 3 3 2 6 4" xfId="20491" xr:uid="{00000000-0005-0000-0000-00003A3D0000}"/>
    <cellStyle name="Nota 2 2 3 3 2 7" xfId="5961" xr:uid="{00000000-0005-0000-0000-00003B3D0000}"/>
    <cellStyle name="Nota 2 2 3 3 2 7 2" xfId="10702" xr:uid="{00000000-0005-0000-0000-00003C3D0000}"/>
    <cellStyle name="Nota 2 2 3 3 2 7 3" xfId="19479" xr:uid="{00000000-0005-0000-0000-00003D3D0000}"/>
    <cellStyle name="Nota 2 2 3 3 2 8" xfId="7669" xr:uid="{00000000-0005-0000-0000-00003E3D0000}"/>
    <cellStyle name="Nota 2 2 3 3 2 8 2" xfId="11690" xr:uid="{00000000-0005-0000-0000-00003F3D0000}"/>
    <cellStyle name="Nota 2 2 3 3 2 8 3" xfId="21187" xr:uid="{00000000-0005-0000-0000-0000403D0000}"/>
    <cellStyle name="Nota 2 2 3 3 2 9" xfId="5153" xr:uid="{00000000-0005-0000-0000-0000413D0000}"/>
    <cellStyle name="Nota 2 2 3 3 2 9 2" xfId="12774" xr:uid="{00000000-0005-0000-0000-0000423D0000}"/>
    <cellStyle name="Nota 2 2 3 3 3" xfId="3146" xr:uid="{00000000-0005-0000-0000-0000433D0000}"/>
    <cellStyle name="Nota 2 2 3 3 3 10" xfId="9276" xr:uid="{00000000-0005-0000-0000-0000443D0000}"/>
    <cellStyle name="Nota 2 2 3 3 3 11" xfId="18779" xr:uid="{00000000-0005-0000-0000-0000453D0000}"/>
    <cellStyle name="Nota 2 2 3 3 3 2" xfId="3533" xr:uid="{00000000-0005-0000-0000-0000463D0000}"/>
    <cellStyle name="Nota 2 2 3 3 3 2 2" xfId="7260" xr:uid="{00000000-0005-0000-0000-0000473D0000}"/>
    <cellStyle name="Nota 2 2 3 3 3 2 2 2" xfId="11365" xr:uid="{00000000-0005-0000-0000-0000483D0000}"/>
    <cellStyle name="Nota 2 2 3 3 3 2 2 3" xfId="20778" xr:uid="{00000000-0005-0000-0000-0000493D0000}"/>
    <cellStyle name="Nota 2 2 3 3 3 2 3" xfId="5551" xr:uid="{00000000-0005-0000-0000-00004A3D0000}"/>
    <cellStyle name="Nota 2 2 3 3 3 2 3 2" xfId="19069" xr:uid="{00000000-0005-0000-0000-00004B3D0000}"/>
    <cellStyle name="Nota 2 2 3 3 3 2 4" xfId="9625" xr:uid="{00000000-0005-0000-0000-00004C3D0000}"/>
    <cellStyle name="Nota 2 2 3 3 3 2 5" xfId="15005" xr:uid="{00000000-0005-0000-0000-00004D3D0000}"/>
    <cellStyle name="Nota 2 2 3 3 3 3" xfId="3916" xr:uid="{00000000-0005-0000-0000-00004E3D0000}"/>
    <cellStyle name="Nota 2 2 3 3 3 3 2" xfId="8027" xr:uid="{00000000-0005-0000-0000-00004F3D0000}"/>
    <cellStyle name="Nota 2 2 3 3 3 3 2 2" xfId="12002" xr:uid="{00000000-0005-0000-0000-0000503D0000}"/>
    <cellStyle name="Nota 2 2 3 3 3 3 2 3" xfId="21545" xr:uid="{00000000-0005-0000-0000-0000513D0000}"/>
    <cellStyle name="Nota 2 2 3 3 3 3 3" xfId="6319" xr:uid="{00000000-0005-0000-0000-0000523D0000}"/>
    <cellStyle name="Nota 2 2 3 3 3 3 3 2" xfId="19837" xr:uid="{00000000-0005-0000-0000-0000533D0000}"/>
    <cellStyle name="Nota 2 2 3 3 3 3 4" xfId="9839" xr:uid="{00000000-0005-0000-0000-0000543D0000}"/>
    <cellStyle name="Nota 2 2 3 3 3 3 5" xfId="14075" xr:uid="{00000000-0005-0000-0000-0000553D0000}"/>
    <cellStyle name="Nota 2 2 3 3 3 4" xfId="4299" xr:uid="{00000000-0005-0000-0000-0000563D0000}"/>
    <cellStyle name="Nota 2 2 3 3 3 4 2" xfId="8132" xr:uid="{00000000-0005-0000-0000-0000573D0000}"/>
    <cellStyle name="Nota 2 2 3 3 3 4 2 2" xfId="12100" xr:uid="{00000000-0005-0000-0000-0000583D0000}"/>
    <cellStyle name="Nota 2 2 3 3 3 4 2 3" xfId="21650" xr:uid="{00000000-0005-0000-0000-0000593D0000}"/>
    <cellStyle name="Nota 2 2 3 3 3 4 3" xfId="6424" xr:uid="{00000000-0005-0000-0000-00005A3D0000}"/>
    <cellStyle name="Nota 2 2 3 3 3 4 3 2" xfId="19942" xr:uid="{00000000-0005-0000-0000-00005B3D0000}"/>
    <cellStyle name="Nota 2 2 3 3 3 4 4" xfId="10017" xr:uid="{00000000-0005-0000-0000-00005C3D0000}"/>
    <cellStyle name="Nota 2 2 3 3 3 4 5" xfId="13706" xr:uid="{00000000-0005-0000-0000-00005D3D0000}"/>
    <cellStyle name="Nota 2 2 3 3 3 5" xfId="4681" xr:uid="{00000000-0005-0000-0000-00005E3D0000}"/>
    <cellStyle name="Nota 2 2 3 3 3 5 2" xfId="8364" xr:uid="{00000000-0005-0000-0000-00005F3D0000}"/>
    <cellStyle name="Nota 2 2 3 3 3 5 2 2" xfId="12332" xr:uid="{00000000-0005-0000-0000-0000603D0000}"/>
    <cellStyle name="Nota 2 2 3 3 3 5 2 3" xfId="21882" xr:uid="{00000000-0005-0000-0000-0000613D0000}"/>
    <cellStyle name="Nota 2 2 3 3 3 5 3" xfId="6656" xr:uid="{00000000-0005-0000-0000-0000623D0000}"/>
    <cellStyle name="Nota 2 2 3 3 3 5 3 2" xfId="20174" xr:uid="{00000000-0005-0000-0000-0000633D0000}"/>
    <cellStyle name="Nota 2 2 3 3 3 5 4" xfId="10194" xr:uid="{00000000-0005-0000-0000-0000643D0000}"/>
    <cellStyle name="Nota 2 2 3 3 3 5 5" xfId="13324" xr:uid="{00000000-0005-0000-0000-0000653D0000}"/>
    <cellStyle name="Nota 2 2 3 3 3 6" xfId="6888" xr:uid="{00000000-0005-0000-0000-0000663D0000}"/>
    <cellStyle name="Nota 2 2 3 3 3 6 2" xfId="8596" xr:uid="{00000000-0005-0000-0000-0000673D0000}"/>
    <cellStyle name="Nota 2 2 3 3 3 6 2 2" xfId="12564" xr:uid="{00000000-0005-0000-0000-0000683D0000}"/>
    <cellStyle name="Nota 2 2 3 3 3 6 2 3" xfId="22114" xr:uid="{00000000-0005-0000-0000-0000693D0000}"/>
    <cellStyle name="Nota 2 2 3 3 3 6 3" xfId="11022" xr:uid="{00000000-0005-0000-0000-00006A3D0000}"/>
    <cellStyle name="Nota 2 2 3 3 3 6 4" xfId="20406" xr:uid="{00000000-0005-0000-0000-00006B3D0000}"/>
    <cellStyle name="Nota 2 2 3 3 3 7" xfId="5876" xr:uid="{00000000-0005-0000-0000-00006C3D0000}"/>
    <cellStyle name="Nota 2 2 3 3 3 7 2" xfId="10617" xr:uid="{00000000-0005-0000-0000-00006D3D0000}"/>
    <cellStyle name="Nota 2 2 3 3 3 7 3" xfId="19394" xr:uid="{00000000-0005-0000-0000-00006E3D0000}"/>
    <cellStyle name="Nota 2 2 3 3 3 8" xfId="7584" xr:uid="{00000000-0005-0000-0000-00006F3D0000}"/>
    <cellStyle name="Nota 2 2 3 3 3 8 2" xfId="11605" xr:uid="{00000000-0005-0000-0000-0000703D0000}"/>
    <cellStyle name="Nota 2 2 3 3 3 8 3" xfId="21102" xr:uid="{00000000-0005-0000-0000-0000713D0000}"/>
    <cellStyle name="Nota 2 2 3 3 3 9" xfId="4966" xr:uid="{00000000-0005-0000-0000-0000723D0000}"/>
    <cellStyle name="Nota 2 2 3 3 3 9 2" xfId="13053" xr:uid="{00000000-0005-0000-0000-0000733D0000}"/>
    <cellStyle name="Nota 2 2 3 3 4" xfId="3035" xr:uid="{00000000-0005-0000-0000-0000743D0000}"/>
    <cellStyle name="Nota 2 2 3 3 4 2" xfId="3422" xr:uid="{00000000-0005-0000-0000-0000753D0000}"/>
    <cellStyle name="Nota 2 2 3 3 4 2 2" xfId="16538" xr:uid="{00000000-0005-0000-0000-0000763D0000}"/>
    <cellStyle name="Nota 2 2 3 3 4 3" xfId="3805" xr:uid="{00000000-0005-0000-0000-0000773D0000}"/>
    <cellStyle name="Nota 2 2 3 3 4 3 2" xfId="15576" xr:uid="{00000000-0005-0000-0000-0000783D0000}"/>
    <cellStyle name="Nota 2 2 3 3 4 4" xfId="4188" xr:uid="{00000000-0005-0000-0000-0000793D0000}"/>
    <cellStyle name="Nota 2 2 3 3 4 4 2" xfId="13817" xr:uid="{00000000-0005-0000-0000-00007A3D0000}"/>
    <cellStyle name="Nota 2 2 3 3 4 5" xfId="4570" xr:uid="{00000000-0005-0000-0000-00007B3D0000}"/>
    <cellStyle name="Nota 2 2 3 3 4 5 2" xfId="13435" xr:uid="{00000000-0005-0000-0000-00007C3D0000}"/>
    <cellStyle name="Nota 2 2 3 3 4 6" xfId="5760" xr:uid="{00000000-0005-0000-0000-00007D3D0000}"/>
    <cellStyle name="Nota 2 2 3 3 4 6 2" xfId="19278" xr:uid="{00000000-0005-0000-0000-00007E3D0000}"/>
    <cellStyle name="Nota 2 2 3 3 4 7" xfId="9175" xr:uid="{00000000-0005-0000-0000-00007F3D0000}"/>
    <cellStyle name="Nota 2 2 3 3 4 8" xfId="17124" xr:uid="{00000000-0005-0000-0000-0000803D0000}"/>
    <cellStyle name="Nota 2 2 3 3 5" xfId="2854" xr:uid="{00000000-0005-0000-0000-0000813D0000}"/>
    <cellStyle name="Nota 2 2 3 3 5 2" xfId="7469" xr:uid="{00000000-0005-0000-0000-0000823D0000}"/>
    <cellStyle name="Nota 2 2 3 3 5 2 2" xfId="20987" xr:uid="{00000000-0005-0000-0000-0000833D0000}"/>
    <cellStyle name="Nota 2 2 3 3 5 3" xfId="9007" xr:uid="{00000000-0005-0000-0000-0000843D0000}"/>
    <cellStyle name="Nota 2 2 3 3 5 4" xfId="15234" xr:uid="{00000000-0005-0000-0000-0000853D0000}"/>
    <cellStyle name="Nota 2 2 3 3 6" xfId="8811" xr:uid="{00000000-0005-0000-0000-0000863D0000}"/>
    <cellStyle name="Nota 2 2 3 4" xfId="2955" xr:uid="{00000000-0005-0000-0000-0000873D0000}"/>
    <cellStyle name="Nota 2 2 3 4 10" xfId="9107" xr:uid="{00000000-0005-0000-0000-0000883D0000}"/>
    <cellStyle name="Nota 2 2 3 4 11" xfId="14458" xr:uid="{00000000-0005-0000-0000-0000893D0000}"/>
    <cellStyle name="Nota 2 2 3 4 2" xfId="3342" xr:uid="{00000000-0005-0000-0000-00008A3D0000}"/>
    <cellStyle name="Nota 2 2 3 4 2 2" xfId="7923" xr:uid="{00000000-0005-0000-0000-00008B3D0000}"/>
    <cellStyle name="Nota 2 2 3 4 2 2 2" xfId="11899" xr:uid="{00000000-0005-0000-0000-00008C3D0000}"/>
    <cellStyle name="Nota 2 2 3 4 2 2 3" xfId="21441" xr:uid="{00000000-0005-0000-0000-00008D3D0000}"/>
    <cellStyle name="Nota 2 2 3 4 2 3" xfId="6215" xr:uid="{00000000-0005-0000-0000-00008E3D0000}"/>
    <cellStyle name="Nota 2 2 3 4 2 3 2" xfId="19733" xr:uid="{00000000-0005-0000-0000-00008F3D0000}"/>
    <cellStyle name="Nota 2 2 3 4 2 4" xfId="9472" xr:uid="{00000000-0005-0000-0000-0000903D0000}"/>
    <cellStyle name="Nota 2 2 3 4 2 5" xfId="17128" xr:uid="{00000000-0005-0000-0000-0000913D0000}"/>
    <cellStyle name="Nota 2 2 3 4 3" xfId="3725" xr:uid="{00000000-0005-0000-0000-0000923D0000}"/>
    <cellStyle name="Nota 2 2 3 4 3 2" xfId="7879" xr:uid="{00000000-0005-0000-0000-0000933D0000}"/>
    <cellStyle name="Nota 2 2 3 4 3 2 2" xfId="11870" xr:uid="{00000000-0005-0000-0000-0000943D0000}"/>
    <cellStyle name="Nota 2 2 3 4 3 2 3" xfId="21397" xr:uid="{00000000-0005-0000-0000-0000953D0000}"/>
    <cellStyle name="Nota 2 2 3 4 3 3" xfId="6171" xr:uid="{00000000-0005-0000-0000-0000963D0000}"/>
    <cellStyle name="Nota 2 2 3 4 3 3 2" xfId="19689" xr:uid="{00000000-0005-0000-0000-0000973D0000}"/>
    <cellStyle name="Nota 2 2 3 4 3 4" xfId="9787" xr:uid="{00000000-0005-0000-0000-0000983D0000}"/>
    <cellStyle name="Nota 2 2 3 4 3 5" xfId="14741" xr:uid="{00000000-0005-0000-0000-0000993D0000}"/>
    <cellStyle name="Nota 2 2 3 4 4" xfId="4108" xr:uid="{00000000-0005-0000-0000-00009A3D0000}"/>
    <cellStyle name="Nota 2 2 3 4 4 2" xfId="8230" xr:uid="{00000000-0005-0000-0000-00009B3D0000}"/>
    <cellStyle name="Nota 2 2 3 4 4 2 2" xfId="12198" xr:uid="{00000000-0005-0000-0000-00009C3D0000}"/>
    <cellStyle name="Nota 2 2 3 4 4 2 3" xfId="21748" xr:uid="{00000000-0005-0000-0000-00009D3D0000}"/>
    <cellStyle name="Nota 2 2 3 4 4 3" xfId="6522" xr:uid="{00000000-0005-0000-0000-00009E3D0000}"/>
    <cellStyle name="Nota 2 2 3 4 4 3 2" xfId="20040" xr:uid="{00000000-0005-0000-0000-00009F3D0000}"/>
    <cellStyle name="Nota 2 2 3 4 4 4" xfId="9965" xr:uid="{00000000-0005-0000-0000-0000A03D0000}"/>
    <cellStyle name="Nota 2 2 3 4 4 5" xfId="13886" xr:uid="{00000000-0005-0000-0000-0000A13D0000}"/>
    <cellStyle name="Nota 2 2 3 4 5" xfId="4490" xr:uid="{00000000-0005-0000-0000-0000A23D0000}"/>
    <cellStyle name="Nota 2 2 3 4 5 2" xfId="8462" xr:uid="{00000000-0005-0000-0000-0000A33D0000}"/>
    <cellStyle name="Nota 2 2 3 4 5 2 2" xfId="12430" xr:uid="{00000000-0005-0000-0000-0000A43D0000}"/>
    <cellStyle name="Nota 2 2 3 4 5 2 3" xfId="21980" xr:uid="{00000000-0005-0000-0000-0000A53D0000}"/>
    <cellStyle name="Nota 2 2 3 4 5 3" xfId="6754" xr:uid="{00000000-0005-0000-0000-0000A63D0000}"/>
    <cellStyle name="Nota 2 2 3 4 5 3 2" xfId="20272" xr:uid="{00000000-0005-0000-0000-0000A73D0000}"/>
    <cellStyle name="Nota 2 2 3 4 5 4" xfId="10142" xr:uid="{00000000-0005-0000-0000-0000A83D0000}"/>
    <cellStyle name="Nota 2 2 3 4 5 5" xfId="13515" xr:uid="{00000000-0005-0000-0000-0000A93D0000}"/>
    <cellStyle name="Nota 2 2 3 4 6" xfId="6986" xr:uid="{00000000-0005-0000-0000-0000AA3D0000}"/>
    <cellStyle name="Nota 2 2 3 4 6 2" xfId="8694" xr:uid="{00000000-0005-0000-0000-0000AB3D0000}"/>
    <cellStyle name="Nota 2 2 3 4 6 2 2" xfId="12662" xr:uid="{00000000-0005-0000-0000-0000AC3D0000}"/>
    <cellStyle name="Nota 2 2 3 4 6 2 3" xfId="22212" xr:uid="{00000000-0005-0000-0000-0000AD3D0000}"/>
    <cellStyle name="Nota 2 2 3 4 6 3" xfId="11120" xr:uid="{00000000-0005-0000-0000-0000AE3D0000}"/>
    <cellStyle name="Nota 2 2 3 4 6 4" xfId="20504" xr:uid="{00000000-0005-0000-0000-0000AF3D0000}"/>
    <cellStyle name="Nota 2 2 3 4 7" xfId="5974" xr:uid="{00000000-0005-0000-0000-0000B03D0000}"/>
    <cellStyle name="Nota 2 2 3 4 7 2" xfId="10715" xr:uid="{00000000-0005-0000-0000-0000B13D0000}"/>
    <cellStyle name="Nota 2 2 3 4 7 3" xfId="19492" xr:uid="{00000000-0005-0000-0000-0000B23D0000}"/>
    <cellStyle name="Nota 2 2 3 4 8" xfId="7682" xr:uid="{00000000-0005-0000-0000-0000B33D0000}"/>
    <cellStyle name="Nota 2 2 3 4 8 2" xfId="11703" xr:uid="{00000000-0005-0000-0000-0000B43D0000}"/>
    <cellStyle name="Nota 2 2 3 4 8 3" xfId="21200" xr:uid="{00000000-0005-0000-0000-0000B53D0000}"/>
    <cellStyle name="Nota 2 2 3 4 9" xfId="5168" xr:uid="{00000000-0005-0000-0000-0000B63D0000}"/>
    <cellStyle name="Nota 2 2 3 4 9 2" xfId="12914" xr:uid="{00000000-0005-0000-0000-0000B73D0000}"/>
    <cellStyle name="Nota 2 2 3 5" xfId="3187" xr:uid="{00000000-0005-0000-0000-0000B83D0000}"/>
    <cellStyle name="Nota 2 2 3 5 10" xfId="9317" xr:uid="{00000000-0005-0000-0000-0000B93D0000}"/>
    <cellStyle name="Nota 2 2 3 5 11" xfId="14973" xr:uid="{00000000-0005-0000-0000-0000BA3D0000}"/>
    <cellStyle name="Nota 2 2 3 5 2" xfId="3574" xr:uid="{00000000-0005-0000-0000-0000BB3D0000}"/>
    <cellStyle name="Nota 2 2 3 5 2 2" xfId="7271" xr:uid="{00000000-0005-0000-0000-0000BC3D0000}"/>
    <cellStyle name="Nota 2 2 3 5 2 2 2" xfId="11376" xr:uid="{00000000-0005-0000-0000-0000BD3D0000}"/>
    <cellStyle name="Nota 2 2 3 5 2 2 3" xfId="20789" xr:uid="{00000000-0005-0000-0000-0000BE3D0000}"/>
    <cellStyle name="Nota 2 2 3 5 2 3" xfId="5562" xr:uid="{00000000-0005-0000-0000-0000BF3D0000}"/>
    <cellStyle name="Nota 2 2 3 5 2 3 2" xfId="19080" xr:uid="{00000000-0005-0000-0000-0000C03D0000}"/>
    <cellStyle name="Nota 2 2 3 5 2 4" xfId="9666" xr:uid="{00000000-0005-0000-0000-0000C13D0000}"/>
    <cellStyle name="Nota 2 2 3 5 2 5" xfId="16206" xr:uid="{00000000-0005-0000-0000-0000C23D0000}"/>
    <cellStyle name="Nota 2 2 3 5 3" xfId="3957" xr:uid="{00000000-0005-0000-0000-0000C33D0000}"/>
    <cellStyle name="Nota 2 2 3 5 3 2" xfId="7324" xr:uid="{00000000-0005-0000-0000-0000C43D0000}"/>
    <cellStyle name="Nota 2 2 3 5 3 2 2" xfId="11414" xr:uid="{00000000-0005-0000-0000-0000C53D0000}"/>
    <cellStyle name="Nota 2 2 3 5 3 2 3" xfId="20842" xr:uid="{00000000-0005-0000-0000-0000C63D0000}"/>
    <cellStyle name="Nota 2 2 3 5 3 3" xfId="5615" xr:uid="{00000000-0005-0000-0000-0000C73D0000}"/>
    <cellStyle name="Nota 2 2 3 5 3 3 2" xfId="19133" xr:uid="{00000000-0005-0000-0000-0000C83D0000}"/>
    <cellStyle name="Nota 2 2 3 5 3 4" xfId="9880" xr:uid="{00000000-0005-0000-0000-0000C93D0000}"/>
    <cellStyle name="Nota 2 2 3 5 3 5" xfId="14034" xr:uid="{00000000-0005-0000-0000-0000CA3D0000}"/>
    <cellStyle name="Nota 2 2 3 5 4" xfId="4340" xr:uid="{00000000-0005-0000-0000-0000CB3D0000}"/>
    <cellStyle name="Nota 2 2 3 5 4 2" xfId="8153" xr:uid="{00000000-0005-0000-0000-0000CC3D0000}"/>
    <cellStyle name="Nota 2 2 3 5 4 2 2" xfId="12121" xr:uid="{00000000-0005-0000-0000-0000CD3D0000}"/>
    <cellStyle name="Nota 2 2 3 5 4 2 3" xfId="21671" xr:uid="{00000000-0005-0000-0000-0000CE3D0000}"/>
    <cellStyle name="Nota 2 2 3 5 4 3" xfId="6445" xr:uid="{00000000-0005-0000-0000-0000CF3D0000}"/>
    <cellStyle name="Nota 2 2 3 5 4 3 2" xfId="19963" xr:uid="{00000000-0005-0000-0000-0000D03D0000}"/>
    <cellStyle name="Nota 2 2 3 5 4 4" xfId="10058" xr:uid="{00000000-0005-0000-0000-0000D13D0000}"/>
    <cellStyle name="Nota 2 2 3 5 4 5" xfId="13665" xr:uid="{00000000-0005-0000-0000-0000D23D0000}"/>
    <cellStyle name="Nota 2 2 3 5 5" xfId="4722" xr:uid="{00000000-0005-0000-0000-0000D33D0000}"/>
    <cellStyle name="Nota 2 2 3 5 5 2" xfId="8385" xr:uid="{00000000-0005-0000-0000-0000D43D0000}"/>
    <cellStyle name="Nota 2 2 3 5 5 2 2" xfId="12353" xr:uid="{00000000-0005-0000-0000-0000D53D0000}"/>
    <cellStyle name="Nota 2 2 3 5 5 2 3" xfId="21903" xr:uid="{00000000-0005-0000-0000-0000D63D0000}"/>
    <cellStyle name="Nota 2 2 3 5 5 3" xfId="6677" xr:uid="{00000000-0005-0000-0000-0000D73D0000}"/>
    <cellStyle name="Nota 2 2 3 5 5 3 2" xfId="20195" xr:uid="{00000000-0005-0000-0000-0000D83D0000}"/>
    <cellStyle name="Nota 2 2 3 5 5 4" xfId="10235" xr:uid="{00000000-0005-0000-0000-0000D93D0000}"/>
    <cellStyle name="Nota 2 2 3 5 5 5" xfId="13283" xr:uid="{00000000-0005-0000-0000-0000DA3D0000}"/>
    <cellStyle name="Nota 2 2 3 5 6" xfId="6909" xr:uid="{00000000-0005-0000-0000-0000DB3D0000}"/>
    <cellStyle name="Nota 2 2 3 5 6 2" xfId="8617" xr:uid="{00000000-0005-0000-0000-0000DC3D0000}"/>
    <cellStyle name="Nota 2 2 3 5 6 2 2" xfId="12585" xr:uid="{00000000-0005-0000-0000-0000DD3D0000}"/>
    <cellStyle name="Nota 2 2 3 5 6 2 3" xfId="22135" xr:uid="{00000000-0005-0000-0000-0000DE3D0000}"/>
    <cellStyle name="Nota 2 2 3 5 6 3" xfId="11043" xr:uid="{00000000-0005-0000-0000-0000DF3D0000}"/>
    <cellStyle name="Nota 2 2 3 5 6 4" xfId="20427" xr:uid="{00000000-0005-0000-0000-0000E03D0000}"/>
    <cellStyle name="Nota 2 2 3 5 7" xfId="5897" xr:uid="{00000000-0005-0000-0000-0000E13D0000}"/>
    <cellStyle name="Nota 2 2 3 5 7 2" xfId="10638" xr:uid="{00000000-0005-0000-0000-0000E23D0000}"/>
    <cellStyle name="Nota 2 2 3 5 7 3" xfId="19415" xr:uid="{00000000-0005-0000-0000-0000E33D0000}"/>
    <cellStyle name="Nota 2 2 3 5 8" xfId="7605" xr:uid="{00000000-0005-0000-0000-0000E43D0000}"/>
    <cellStyle name="Nota 2 2 3 5 8 2" xfId="11626" xr:uid="{00000000-0005-0000-0000-0000E53D0000}"/>
    <cellStyle name="Nota 2 2 3 5 8 3" xfId="21123" xr:uid="{00000000-0005-0000-0000-0000E63D0000}"/>
    <cellStyle name="Nota 2 2 3 5 9" xfId="4992" xr:uid="{00000000-0005-0000-0000-0000E73D0000}"/>
    <cellStyle name="Nota 2 2 3 5 9 2" xfId="13027" xr:uid="{00000000-0005-0000-0000-0000E83D0000}"/>
    <cellStyle name="Nota 2 2 3 6" xfId="2996" xr:uid="{00000000-0005-0000-0000-0000E93D0000}"/>
    <cellStyle name="Nota 2 2 3 6 2" xfId="3383" xr:uid="{00000000-0005-0000-0000-0000EA3D0000}"/>
    <cellStyle name="Nota 2 2 3 6 2 2" xfId="5102" xr:uid="{00000000-0005-0000-0000-0000EB3D0000}"/>
    <cellStyle name="Nota 2 2 3 6 2 2 2" xfId="12937" xr:uid="{00000000-0005-0000-0000-0000EC3D0000}"/>
    <cellStyle name="Nota 2 2 3 6 2 3" xfId="9509" xr:uid="{00000000-0005-0000-0000-0000ED3D0000}"/>
    <cellStyle name="Nota 2 2 3 6 2 4" xfId="14480" xr:uid="{00000000-0005-0000-0000-0000EE3D0000}"/>
    <cellStyle name="Nota 2 2 3 6 3" xfId="3766" xr:uid="{00000000-0005-0000-0000-0000EF3D0000}"/>
    <cellStyle name="Nota 2 2 3 6 3 2" xfId="15008" xr:uid="{00000000-0005-0000-0000-0000F03D0000}"/>
    <cellStyle name="Nota 2 2 3 6 4" xfId="4149" xr:uid="{00000000-0005-0000-0000-0000F13D0000}"/>
    <cellStyle name="Nota 2 2 3 6 4 2" xfId="14123" xr:uid="{00000000-0005-0000-0000-0000F23D0000}"/>
    <cellStyle name="Nota 2 2 3 6 5" xfId="4531" xr:uid="{00000000-0005-0000-0000-0000F33D0000}"/>
    <cellStyle name="Nota 2 2 3 6 5 2" xfId="13474" xr:uid="{00000000-0005-0000-0000-0000F43D0000}"/>
    <cellStyle name="Nota 2 2 3 6 6" xfId="5312" xr:uid="{00000000-0005-0000-0000-0000F53D0000}"/>
    <cellStyle name="Nota 2 2 3 6 6 2" xfId="18830" xr:uid="{00000000-0005-0000-0000-0000F63D0000}"/>
    <cellStyle name="Nota 2 2 3 6 7" xfId="9144" xr:uid="{00000000-0005-0000-0000-0000F73D0000}"/>
    <cellStyle name="Nota 2 2 3 6 8" xfId="16422" xr:uid="{00000000-0005-0000-0000-0000F83D0000}"/>
    <cellStyle name="Nota 2 2 3 7" xfId="6146" xr:uid="{00000000-0005-0000-0000-0000F93D0000}"/>
    <cellStyle name="Nota 2 2 3 7 2" xfId="7854" xr:uid="{00000000-0005-0000-0000-0000FA3D0000}"/>
    <cellStyle name="Nota 2 2 3 7 2 2" xfId="11853" xr:uid="{00000000-0005-0000-0000-0000FB3D0000}"/>
    <cellStyle name="Nota 2 2 3 7 2 3" xfId="21372" xr:uid="{00000000-0005-0000-0000-0000FC3D0000}"/>
    <cellStyle name="Nota 2 2 3 7 3" xfId="10822" xr:uid="{00000000-0005-0000-0000-0000FD3D0000}"/>
    <cellStyle name="Nota 2 2 3 7 4" xfId="19664" xr:uid="{00000000-0005-0000-0000-0000FE3D0000}"/>
    <cellStyle name="Nota 2 2 3 8" xfId="6353" xr:uid="{00000000-0005-0000-0000-0000FF3D0000}"/>
    <cellStyle name="Nota 2 2 3 8 2" xfId="8061" xr:uid="{00000000-0005-0000-0000-0000003E0000}"/>
    <cellStyle name="Nota 2 2 3 8 2 2" xfId="12031" xr:uid="{00000000-0005-0000-0000-0000013E0000}"/>
    <cellStyle name="Nota 2 2 3 8 2 3" xfId="21579" xr:uid="{00000000-0005-0000-0000-0000023E0000}"/>
    <cellStyle name="Nota 2 2 3 8 3" xfId="10884" xr:uid="{00000000-0005-0000-0000-0000033E0000}"/>
    <cellStyle name="Nota 2 2 3 8 4" xfId="19871" xr:uid="{00000000-0005-0000-0000-0000043E0000}"/>
    <cellStyle name="Nota 2 2 3 9" xfId="5538" xr:uid="{00000000-0005-0000-0000-0000053E0000}"/>
    <cellStyle name="Nota 2 2 3 9 2" xfId="7247" xr:uid="{00000000-0005-0000-0000-0000063E0000}"/>
    <cellStyle name="Nota 2 2 3 9 2 2" xfId="11356" xr:uid="{00000000-0005-0000-0000-0000073E0000}"/>
    <cellStyle name="Nota 2 2 3 9 2 3" xfId="20765" xr:uid="{00000000-0005-0000-0000-0000083E0000}"/>
    <cellStyle name="Nota 2 2 3 9 3" xfId="10496" xr:uid="{00000000-0005-0000-0000-0000093E0000}"/>
    <cellStyle name="Nota 2 2 3 9 4" xfId="19056" xr:uid="{00000000-0005-0000-0000-00000A3E0000}"/>
    <cellStyle name="Nota 2 2 4" xfId="3083" xr:uid="{00000000-0005-0000-0000-00000B3E0000}"/>
    <cellStyle name="Nota 2 2 4 2" xfId="3470" xr:uid="{00000000-0005-0000-0000-00000C3E0000}"/>
    <cellStyle name="Nota 2 2 4 2 2" xfId="15273" xr:uid="{00000000-0005-0000-0000-00000D3E0000}"/>
    <cellStyle name="Nota 2 2 4 3" xfId="3853" xr:uid="{00000000-0005-0000-0000-00000E3E0000}"/>
    <cellStyle name="Nota 2 2 4 3 2" xfId="14212" xr:uid="{00000000-0005-0000-0000-00000F3E0000}"/>
    <cellStyle name="Nota 2 2 4 4" xfId="4236" xr:uid="{00000000-0005-0000-0000-0000103E0000}"/>
    <cellStyle name="Nota 2 2 4 4 2" xfId="13769" xr:uid="{00000000-0005-0000-0000-0000113E0000}"/>
    <cellStyle name="Nota 2 2 4 5" xfId="4618" xr:uid="{00000000-0005-0000-0000-0000123E0000}"/>
    <cellStyle name="Nota 2 2 4 5 2" xfId="13387" xr:uid="{00000000-0005-0000-0000-0000133E0000}"/>
    <cellStyle name="Nota 2 2 4 6" xfId="14358" xr:uid="{00000000-0005-0000-0000-0000143E0000}"/>
    <cellStyle name="Nota 2 2 5" xfId="2988" xr:uid="{00000000-0005-0000-0000-0000153E0000}"/>
    <cellStyle name="Nota 2 2 5 2" xfId="3375" xr:uid="{00000000-0005-0000-0000-0000163E0000}"/>
    <cellStyle name="Nota 2 2 5 2 2" xfId="18113" xr:uid="{00000000-0005-0000-0000-0000173E0000}"/>
    <cellStyle name="Nota 2 2 5 3" xfId="3758" xr:uid="{00000000-0005-0000-0000-0000183E0000}"/>
    <cellStyle name="Nota 2 2 5 3 2" xfId="17280" xr:uid="{00000000-0005-0000-0000-0000193E0000}"/>
    <cellStyle name="Nota 2 2 5 4" xfId="4141" xr:uid="{00000000-0005-0000-0000-00001A3E0000}"/>
    <cellStyle name="Nota 2 2 5 4 2" xfId="13856" xr:uid="{00000000-0005-0000-0000-00001B3E0000}"/>
    <cellStyle name="Nota 2 2 5 5" xfId="4523" xr:uid="{00000000-0005-0000-0000-00001C3E0000}"/>
    <cellStyle name="Nota 2 2 5 5 2" xfId="13482" xr:uid="{00000000-0005-0000-0000-00001D3E0000}"/>
    <cellStyle name="Nota 2 2 5 6" xfId="18574" xr:uid="{00000000-0005-0000-0000-00001E3E0000}"/>
    <cellStyle name="Nota 2 2 6" xfId="22395" xr:uid="{00000000-0005-0000-0000-00001F3E0000}"/>
    <cellStyle name="Nota 2 2 7" xfId="2157" xr:uid="{00000000-0005-0000-0000-0000203E0000}"/>
    <cellStyle name="Nota 2 3" xfId="1545" xr:uid="{00000000-0005-0000-0000-0000213E0000}"/>
    <cellStyle name="Nota 2 3 2" xfId="2617" xr:uid="{00000000-0005-0000-0000-0000223E0000}"/>
    <cellStyle name="Nota 2 3 2 10" xfId="5251" xr:uid="{00000000-0005-0000-0000-0000233E0000}"/>
    <cellStyle name="Nota 2 3 2 10 2" xfId="10391" xr:uid="{00000000-0005-0000-0000-0000243E0000}"/>
    <cellStyle name="Nota 2 3 2 10 3" xfId="12843" xr:uid="{00000000-0005-0000-0000-0000253E0000}"/>
    <cellStyle name="Nota 2 3 2 11" xfId="5045" xr:uid="{00000000-0005-0000-0000-0000263E0000}"/>
    <cellStyle name="Nota 2 3 2 11 2" xfId="10307" xr:uid="{00000000-0005-0000-0000-0000273E0000}"/>
    <cellStyle name="Nota 2 3 2 11 3" xfId="12976" xr:uid="{00000000-0005-0000-0000-0000283E0000}"/>
    <cellStyle name="Nota 2 3 2 12" xfId="4860" xr:uid="{00000000-0005-0000-0000-0000293E0000}"/>
    <cellStyle name="Nota 2 3 2 12 2" xfId="13146" xr:uid="{00000000-0005-0000-0000-00002A3E0000}"/>
    <cellStyle name="Nota 2 3 2 13" xfId="8780" xr:uid="{00000000-0005-0000-0000-00002B3E0000}"/>
    <cellStyle name="Nota 2 3 2 2" xfId="2706" xr:uid="{00000000-0005-0000-0000-00002C3E0000}"/>
    <cellStyle name="Nota 2 3 2 2 10" xfId="7482" xr:uid="{00000000-0005-0000-0000-00002D3E0000}"/>
    <cellStyle name="Nota 2 3 2 2 10 2" xfId="11536" xr:uid="{00000000-0005-0000-0000-00002E3E0000}"/>
    <cellStyle name="Nota 2 3 2 2 10 3" xfId="21000" xr:uid="{00000000-0005-0000-0000-00002F3E0000}"/>
    <cellStyle name="Nota 2 3 2 2 11" xfId="4899" xr:uid="{00000000-0005-0000-0000-0000303E0000}"/>
    <cellStyle name="Nota 2 3 2 2 11 2" xfId="13116" xr:uid="{00000000-0005-0000-0000-0000313E0000}"/>
    <cellStyle name="Nota 2 3 2 2 12" xfId="8861" xr:uid="{00000000-0005-0000-0000-0000323E0000}"/>
    <cellStyle name="Nota 2 3 2 2 13" xfId="17850" xr:uid="{00000000-0005-0000-0000-0000333E0000}"/>
    <cellStyle name="Nota 2 3 2 2 2" xfId="2761" xr:uid="{00000000-0005-0000-0000-0000343E0000}"/>
    <cellStyle name="Nota 2 3 2 2 2 2" xfId="2984" xr:uid="{00000000-0005-0000-0000-0000353E0000}"/>
    <cellStyle name="Nota 2 3 2 2 2 2 10" xfId="9136" xr:uid="{00000000-0005-0000-0000-0000363E0000}"/>
    <cellStyle name="Nota 2 3 2 2 2 2 11" xfId="16691" xr:uid="{00000000-0005-0000-0000-0000373E0000}"/>
    <cellStyle name="Nota 2 3 2 2 2 2 2" xfId="3371" xr:uid="{00000000-0005-0000-0000-0000383E0000}"/>
    <cellStyle name="Nota 2 3 2 2 2 2 2 2" xfId="7949" xr:uid="{00000000-0005-0000-0000-0000393E0000}"/>
    <cellStyle name="Nota 2 3 2 2 2 2 2 2 2" xfId="11925" xr:uid="{00000000-0005-0000-0000-00003A3E0000}"/>
    <cellStyle name="Nota 2 3 2 2 2 2 2 2 3" xfId="21467" xr:uid="{00000000-0005-0000-0000-00003B3E0000}"/>
    <cellStyle name="Nota 2 3 2 2 2 2 2 3" xfId="6241" xr:uid="{00000000-0005-0000-0000-00003C3E0000}"/>
    <cellStyle name="Nota 2 3 2 2 2 2 2 3 2" xfId="19759" xr:uid="{00000000-0005-0000-0000-00003D3E0000}"/>
    <cellStyle name="Nota 2 3 2 2 2 2 2 4" xfId="9501" xr:uid="{00000000-0005-0000-0000-00003E3E0000}"/>
    <cellStyle name="Nota 2 3 2 2 2 2 2 5" xfId="17648" xr:uid="{00000000-0005-0000-0000-00003F3E0000}"/>
    <cellStyle name="Nota 2 3 2 2 2 2 3" xfId="3754" xr:uid="{00000000-0005-0000-0000-0000403E0000}"/>
    <cellStyle name="Nota 2 3 2 2 2 2 3 2" xfId="7091" xr:uid="{00000000-0005-0000-0000-0000413E0000}"/>
    <cellStyle name="Nota 2 3 2 2 2 2 3 2 2" xfId="11225" xr:uid="{00000000-0005-0000-0000-0000423E0000}"/>
    <cellStyle name="Nota 2 3 2 2 2 2 3 2 3" xfId="20609" xr:uid="{00000000-0005-0000-0000-0000433E0000}"/>
    <cellStyle name="Nota 2 3 2 2 2 2 3 3" xfId="5382" xr:uid="{00000000-0005-0000-0000-0000443E0000}"/>
    <cellStyle name="Nota 2 3 2 2 2 2 3 3 2" xfId="18900" xr:uid="{00000000-0005-0000-0000-0000453E0000}"/>
    <cellStyle name="Nota 2 3 2 2 2 2 3 4" xfId="9816" xr:uid="{00000000-0005-0000-0000-0000463E0000}"/>
    <cellStyle name="Nota 2 3 2 2 2 2 3 5" xfId="17980" xr:uid="{00000000-0005-0000-0000-0000473E0000}"/>
    <cellStyle name="Nota 2 3 2 2 2 2 4" xfId="4137" xr:uid="{00000000-0005-0000-0000-0000483E0000}"/>
    <cellStyle name="Nota 2 3 2 2 2 2 4 2" xfId="8256" xr:uid="{00000000-0005-0000-0000-0000493E0000}"/>
    <cellStyle name="Nota 2 3 2 2 2 2 4 2 2" xfId="12224" xr:uid="{00000000-0005-0000-0000-00004A3E0000}"/>
    <cellStyle name="Nota 2 3 2 2 2 2 4 2 3" xfId="21774" xr:uid="{00000000-0005-0000-0000-00004B3E0000}"/>
    <cellStyle name="Nota 2 3 2 2 2 2 4 3" xfId="6548" xr:uid="{00000000-0005-0000-0000-00004C3E0000}"/>
    <cellStyle name="Nota 2 3 2 2 2 2 4 3 2" xfId="20066" xr:uid="{00000000-0005-0000-0000-00004D3E0000}"/>
    <cellStyle name="Nota 2 3 2 2 2 2 4 4" xfId="9994" xr:uid="{00000000-0005-0000-0000-00004E3E0000}"/>
    <cellStyle name="Nota 2 3 2 2 2 2 4 5" xfId="13860" xr:uid="{00000000-0005-0000-0000-00004F3E0000}"/>
    <cellStyle name="Nota 2 3 2 2 2 2 5" xfId="4519" xr:uid="{00000000-0005-0000-0000-0000503E0000}"/>
    <cellStyle name="Nota 2 3 2 2 2 2 5 2" xfId="8488" xr:uid="{00000000-0005-0000-0000-0000513E0000}"/>
    <cellStyle name="Nota 2 3 2 2 2 2 5 2 2" xfId="12456" xr:uid="{00000000-0005-0000-0000-0000523E0000}"/>
    <cellStyle name="Nota 2 3 2 2 2 2 5 2 3" xfId="22006" xr:uid="{00000000-0005-0000-0000-0000533E0000}"/>
    <cellStyle name="Nota 2 3 2 2 2 2 5 3" xfId="6780" xr:uid="{00000000-0005-0000-0000-0000543E0000}"/>
    <cellStyle name="Nota 2 3 2 2 2 2 5 3 2" xfId="20298" xr:uid="{00000000-0005-0000-0000-0000553E0000}"/>
    <cellStyle name="Nota 2 3 2 2 2 2 5 4" xfId="10171" xr:uid="{00000000-0005-0000-0000-0000563E0000}"/>
    <cellStyle name="Nota 2 3 2 2 2 2 5 5" xfId="13486" xr:uid="{00000000-0005-0000-0000-0000573E0000}"/>
    <cellStyle name="Nota 2 3 2 2 2 2 6" xfId="7012" xr:uid="{00000000-0005-0000-0000-0000583E0000}"/>
    <cellStyle name="Nota 2 3 2 2 2 2 6 2" xfId="8720" xr:uid="{00000000-0005-0000-0000-0000593E0000}"/>
    <cellStyle name="Nota 2 3 2 2 2 2 6 2 2" xfId="12688" xr:uid="{00000000-0005-0000-0000-00005A3E0000}"/>
    <cellStyle name="Nota 2 3 2 2 2 2 6 2 3" xfId="22238" xr:uid="{00000000-0005-0000-0000-00005B3E0000}"/>
    <cellStyle name="Nota 2 3 2 2 2 2 6 3" xfId="11146" xr:uid="{00000000-0005-0000-0000-00005C3E0000}"/>
    <cellStyle name="Nota 2 3 2 2 2 2 6 4" xfId="20530" xr:uid="{00000000-0005-0000-0000-00005D3E0000}"/>
    <cellStyle name="Nota 2 3 2 2 2 2 7" xfId="6000" xr:uid="{00000000-0005-0000-0000-00005E3E0000}"/>
    <cellStyle name="Nota 2 3 2 2 2 2 7 2" xfId="10741" xr:uid="{00000000-0005-0000-0000-00005F3E0000}"/>
    <cellStyle name="Nota 2 3 2 2 2 2 7 3" xfId="19518" xr:uid="{00000000-0005-0000-0000-0000603E0000}"/>
    <cellStyle name="Nota 2 3 2 2 2 2 8" xfId="7708" xr:uid="{00000000-0005-0000-0000-0000613E0000}"/>
    <cellStyle name="Nota 2 3 2 2 2 2 8 2" xfId="11729" xr:uid="{00000000-0005-0000-0000-0000623E0000}"/>
    <cellStyle name="Nota 2 3 2 2 2 2 8 3" xfId="21226" xr:uid="{00000000-0005-0000-0000-0000633E0000}"/>
    <cellStyle name="Nota 2 3 2 2 2 2 9" xfId="5194" xr:uid="{00000000-0005-0000-0000-0000643E0000}"/>
    <cellStyle name="Nota 2 3 2 2 2 2 9 2" xfId="12888" xr:uid="{00000000-0005-0000-0000-0000653E0000}"/>
    <cellStyle name="Nota 2 3 2 2 2 3" xfId="3251" xr:uid="{00000000-0005-0000-0000-0000663E0000}"/>
    <cellStyle name="Nota 2 3 2 2 2 3 10" xfId="9381" xr:uid="{00000000-0005-0000-0000-0000673E0000}"/>
    <cellStyle name="Nota 2 3 2 2 2 3 11" xfId="18501" xr:uid="{00000000-0005-0000-0000-0000683E0000}"/>
    <cellStyle name="Nota 2 3 2 2 2 3 2" xfId="3638" xr:uid="{00000000-0005-0000-0000-0000693E0000}"/>
    <cellStyle name="Nota 2 3 2 2 2 3 2 2" xfId="7999" xr:uid="{00000000-0005-0000-0000-00006A3E0000}"/>
    <cellStyle name="Nota 2 3 2 2 2 3 2 2 2" xfId="11975" xr:uid="{00000000-0005-0000-0000-00006B3E0000}"/>
    <cellStyle name="Nota 2 3 2 2 2 3 2 2 3" xfId="21517" xr:uid="{00000000-0005-0000-0000-00006C3E0000}"/>
    <cellStyle name="Nota 2 3 2 2 2 3 2 3" xfId="6291" xr:uid="{00000000-0005-0000-0000-00006D3E0000}"/>
    <cellStyle name="Nota 2 3 2 2 2 3 2 3 2" xfId="19809" xr:uid="{00000000-0005-0000-0000-00006E3E0000}"/>
    <cellStyle name="Nota 2 3 2 2 2 3 2 4" xfId="9730" xr:uid="{00000000-0005-0000-0000-00006F3E0000}"/>
    <cellStyle name="Nota 2 3 2 2 2 3 2 5" xfId="15021" xr:uid="{00000000-0005-0000-0000-0000703E0000}"/>
    <cellStyle name="Nota 2 3 2 2 2 3 3" xfId="4021" xr:uid="{00000000-0005-0000-0000-0000713E0000}"/>
    <cellStyle name="Nota 2 3 2 2 2 3 3 2" xfId="7066" xr:uid="{00000000-0005-0000-0000-0000723E0000}"/>
    <cellStyle name="Nota 2 3 2 2 2 3 3 2 2" xfId="11200" xr:uid="{00000000-0005-0000-0000-0000733E0000}"/>
    <cellStyle name="Nota 2 3 2 2 2 3 3 2 3" xfId="20584" xr:uid="{00000000-0005-0000-0000-0000743E0000}"/>
    <cellStyle name="Nota 2 3 2 2 2 3 3 3" xfId="5357" xr:uid="{00000000-0005-0000-0000-0000753E0000}"/>
    <cellStyle name="Nota 2 3 2 2 2 3 3 3 2" xfId="18875" xr:uid="{00000000-0005-0000-0000-0000763E0000}"/>
    <cellStyle name="Nota 2 3 2 2 2 3 3 4" xfId="9940" xr:uid="{00000000-0005-0000-0000-0000773E0000}"/>
    <cellStyle name="Nota 2 3 2 2 2 3 3 5" xfId="13970" xr:uid="{00000000-0005-0000-0000-0000783E0000}"/>
    <cellStyle name="Nota 2 3 2 2 2 3 4" xfId="4404" xr:uid="{00000000-0005-0000-0000-0000793E0000}"/>
    <cellStyle name="Nota 2 3 2 2 2 3 4 2" xfId="8306" xr:uid="{00000000-0005-0000-0000-00007A3E0000}"/>
    <cellStyle name="Nota 2 3 2 2 2 3 4 2 2" xfId="12274" xr:uid="{00000000-0005-0000-0000-00007B3E0000}"/>
    <cellStyle name="Nota 2 3 2 2 2 3 4 2 3" xfId="21824" xr:uid="{00000000-0005-0000-0000-00007C3E0000}"/>
    <cellStyle name="Nota 2 3 2 2 2 3 4 3" xfId="6598" xr:uid="{00000000-0005-0000-0000-00007D3E0000}"/>
    <cellStyle name="Nota 2 3 2 2 2 3 4 3 2" xfId="20116" xr:uid="{00000000-0005-0000-0000-00007E3E0000}"/>
    <cellStyle name="Nota 2 3 2 2 2 3 4 4" xfId="10118" xr:uid="{00000000-0005-0000-0000-00007F3E0000}"/>
    <cellStyle name="Nota 2 3 2 2 2 3 4 5" xfId="13601" xr:uid="{00000000-0005-0000-0000-0000803E0000}"/>
    <cellStyle name="Nota 2 3 2 2 2 3 5" xfId="4786" xr:uid="{00000000-0005-0000-0000-0000813E0000}"/>
    <cellStyle name="Nota 2 3 2 2 2 3 5 2" xfId="8538" xr:uid="{00000000-0005-0000-0000-0000823E0000}"/>
    <cellStyle name="Nota 2 3 2 2 2 3 5 2 2" xfId="12506" xr:uid="{00000000-0005-0000-0000-0000833E0000}"/>
    <cellStyle name="Nota 2 3 2 2 2 3 5 2 3" xfId="22056" xr:uid="{00000000-0005-0000-0000-0000843E0000}"/>
    <cellStyle name="Nota 2 3 2 2 2 3 5 3" xfId="6830" xr:uid="{00000000-0005-0000-0000-0000853E0000}"/>
    <cellStyle name="Nota 2 3 2 2 2 3 5 3 2" xfId="20348" xr:uid="{00000000-0005-0000-0000-0000863E0000}"/>
    <cellStyle name="Nota 2 3 2 2 2 3 5 4" xfId="10295" xr:uid="{00000000-0005-0000-0000-0000873E0000}"/>
    <cellStyle name="Nota 2 3 2 2 2 3 5 5" xfId="13219" xr:uid="{00000000-0005-0000-0000-0000883E0000}"/>
    <cellStyle name="Nota 2 3 2 2 2 3 6" xfId="7062" xr:uid="{00000000-0005-0000-0000-0000893E0000}"/>
    <cellStyle name="Nota 2 3 2 2 2 3 6 2" xfId="8770" xr:uid="{00000000-0005-0000-0000-00008A3E0000}"/>
    <cellStyle name="Nota 2 3 2 2 2 3 6 2 2" xfId="12738" xr:uid="{00000000-0005-0000-0000-00008B3E0000}"/>
    <cellStyle name="Nota 2 3 2 2 2 3 6 2 3" xfId="22288" xr:uid="{00000000-0005-0000-0000-00008C3E0000}"/>
    <cellStyle name="Nota 2 3 2 2 2 3 6 3" xfId="11196" xr:uid="{00000000-0005-0000-0000-00008D3E0000}"/>
    <cellStyle name="Nota 2 3 2 2 2 3 6 4" xfId="20580" xr:uid="{00000000-0005-0000-0000-00008E3E0000}"/>
    <cellStyle name="Nota 2 3 2 2 2 3 7" xfId="6050" xr:uid="{00000000-0005-0000-0000-00008F3E0000}"/>
    <cellStyle name="Nota 2 3 2 2 2 3 7 2" xfId="10791" xr:uid="{00000000-0005-0000-0000-0000903E0000}"/>
    <cellStyle name="Nota 2 3 2 2 2 3 7 3" xfId="19568" xr:uid="{00000000-0005-0000-0000-0000913E0000}"/>
    <cellStyle name="Nota 2 3 2 2 2 3 8" xfId="7758" xr:uid="{00000000-0005-0000-0000-0000923E0000}"/>
    <cellStyle name="Nota 2 3 2 2 2 3 8 2" xfId="11779" xr:uid="{00000000-0005-0000-0000-0000933E0000}"/>
    <cellStyle name="Nota 2 3 2 2 2 3 8 3" xfId="21276" xr:uid="{00000000-0005-0000-0000-0000943E0000}"/>
    <cellStyle name="Nota 2 3 2 2 2 3 9" xfId="5244" xr:uid="{00000000-0005-0000-0000-0000953E0000}"/>
    <cellStyle name="Nota 2 3 2 2 2 3 9 2" xfId="12850" xr:uid="{00000000-0005-0000-0000-0000963E0000}"/>
    <cellStyle name="Nota 2 3 2 2 2 4" xfId="3308" xr:uid="{00000000-0005-0000-0000-0000973E0000}"/>
    <cellStyle name="Nota 2 3 2 2 2 4 2" xfId="3695" xr:uid="{00000000-0005-0000-0000-0000983E0000}"/>
    <cellStyle name="Nota 2 3 2 2 2 4 2 2" xfId="16404" xr:uid="{00000000-0005-0000-0000-0000993E0000}"/>
    <cellStyle name="Nota 2 3 2 2 2 4 3" xfId="4078" xr:uid="{00000000-0005-0000-0000-00009A3E0000}"/>
    <cellStyle name="Nota 2 3 2 2 2 4 3 2" xfId="13916" xr:uid="{00000000-0005-0000-0000-00009B3E0000}"/>
    <cellStyle name="Nota 2 3 2 2 2 4 4" xfId="4461" xr:uid="{00000000-0005-0000-0000-00009C3E0000}"/>
    <cellStyle name="Nota 2 3 2 2 2 4 4 2" xfId="13544" xr:uid="{00000000-0005-0000-0000-00009D3E0000}"/>
    <cellStyle name="Nota 2 3 2 2 2 4 5" xfId="4843" xr:uid="{00000000-0005-0000-0000-00009E3E0000}"/>
    <cellStyle name="Nota 2 3 2 2 2 4 5 2" xfId="13163" xr:uid="{00000000-0005-0000-0000-00009F3E0000}"/>
    <cellStyle name="Nota 2 3 2 2 2 4 6" xfId="5840" xr:uid="{00000000-0005-0000-0000-0000A03E0000}"/>
    <cellStyle name="Nota 2 3 2 2 2 4 6 2" xfId="19358" xr:uid="{00000000-0005-0000-0000-0000A13E0000}"/>
    <cellStyle name="Nota 2 3 2 2 2 4 7" xfId="9438" xr:uid="{00000000-0005-0000-0000-0000A23E0000}"/>
    <cellStyle name="Nota 2 3 2 2 2 4 8" xfId="17890" xr:uid="{00000000-0005-0000-0000-0000A33E0000}"/>
    <cellStyle name="Nota 2 3 2 2 2 5" xfId="2926" xr:uid="{00000000-0005-0000-0000-0000A43E0000}"/>
    <cellStyle name="Nota 2 3 2 2 2 5 2" xfId="7548" xr:uid="{00000000-0005-0000-0000-0000A53E0000}"/>
    <cellStyle name="Nota 2 3 2 2 2 5 2 2" xfId="21066" xr:uid="{00000000-0005-0000-0000-0000A63E0000}"/>
    <cellStyle name="Nota 2 3 2 2 2 5 3" xfId="9078" xr:uid="{00000000-0005-0000-0000-0000A73E0000}"/>
    <cellStyle name="Nota 2 3 2 2 2 5 4" xfId="18525" xr:uid="{00000000-0005-0000-0000-0000A83E0000}"/>
    <cellStyle name="Nota 2 3 2 2 2 6" xfId="8916" xr:uid="{00000000-0005-0000-0000-0000A93E0000}"/>
    <cellStyle name="Nota 2 3 2 2 3" xfId="2639" xr:uid="{00000000-0005-0000-0000-0000AA3E0000}"/>
    <cellStyle name="Nota 2 3 2 2 3 2" xfId="2938" xr:uid="{00000000-0005-0000-0000-0000AB3E0000}"/>
    <cellStyle name="Nota 2 3 2 2 3 2 10" xfId="9090" xr:uid="{00000000-0005-0000-0000-0000AC3E0000}"/>
    <cellStyle name="Nota 2 3 2 2 3 2 11" xfId="16083" xr:uid="{00000000-0005-0000-0000-0000AD3E0000}"/>
    <cellStyle name="Nota 2 3 2 2 3 2 2" xfId="3325" xr:uid="{00000000-0005-0000-0000-0000AE3E0000}"/>
    <cellStyle name="Nota 2 3 2 2 3 2 2 2" xfId="7382" xr:uid="{00000000-0005-0000-0000-0000AF3E0000}"/>
    <cellStyle name="Nota 2 3 2 2 3 2 2 2 2" xfId="11468" xr:uid="{00000000-0005-0000-0000-0000B03E0000}"/>
    <cellStyle name="Nota 2 3 2 2 3 2 2 2 3" xfId="20900" xr:uid="{00000000-0005-0000-0000-0000B13E0000}"/>
    <cellStyle name="Nota 2 3 2 2 3 2 2 3" xfId="5673" xr:uid="{00000000-0005-0000-0000-0000B23E0000}"/>
    <cellStyle name="Nota 2 3 2 2 3 2 2 3 2" xfId="19191" xr:uid="{00000000-0005-0000-0000-0000B33E0000}"/>
    <cellStyle name="Nota 2 3 2 2 3 2 2 4" xfId="9455" xr:uid="{00000000-0005-0000-0000-0000B43E0000}"/>
    <cellStyle name="Nota 2 3 2 2 3 2 2 5" xfId="18454" xr:uid="{00000000-0005-0000-0000-0000B53E0000}"/>
    <cellStyle name="Nota 2 3 2 2 3 2 3" xfId="3708" xr:uid="{00000000-0005-0000-0000-0000B63E0000}"/>
    <cellStyle name="Nota 2 3 2 2 3 2 3 2" xfId="7857" xr:uid="{00000000-0005-0000-0000-0000B73E0000}"/>
    <cellStyle name="Nota 2 3 2 2 3 2 3 2 2" xfId="11855" xr:uid="{00000000-0005-0000-0000-0000B83E0000}"/>
    <cellStyle name="Nota 2 3 2 2 3 2 3 2 3" xfId="21375" xr:uid="{00000000-0005-0000-0000-0000B93E0000}"/>
    <cellStyle name="Nota 2 3 2 2 3 2 3 3" xfId="6149" xr:uid="{00000000-0005-0000-0000-0000BA3E0000}"/>
    <cellStyle name="Nota 2 3 2 2 3 2 3 3 2" xfId="19667" xr:uid="{00000000-0005-0000-0000-0000BB3E0000}"/>
    <cellStyle name="Nota 2 3 2 2 3 2 3 4" xfId="9770" xr:uid="{00000000-0005-0000-0000-0000BC3E0000}"/>
    <cellStyle name="Nota 2 3 2 2 3 2 3 5" xfId="14639" xr:uid="{00000000-0005-0000-0000-0000BD3E0000}"/>
    <cellStyle name="Nota 2 3 2 2 3 2 4" xfId="4091" xr:uid="{00000000-0005-0000-0000-0000BE3E0000}"/>
    <cellStyle name="Nota 2 3 2 2 3 2 4 2" xfId="8212" xr:uid="{00000000-0005-0000-0000-0000BF3E0000}"/>
    <cellStyle name="Nota 2 3 2 2 3 2 4 2 2" xfId="12180" xr:uid="{00000000-0005-0000-0000-0000C03E0000}"/>
    <cellStyle name="Nota 2 3 2 2 3 2 4 2 3" xfId="21730" xr:uid="{00000000-0005-0000-0000-0000C13E0000}"/>
    <cellStyle name="Nota 2 3 2 2 3 2 4 3" xfId="6504" xr:uid="{00000000-0005-0000-0000-0000C23E0000}"/>
    <cellStyle name="Nota 2 3 2 2 3 2 4 3 2" xfId="20022" xr:uid="{00000000-0005-0000-0000-0000C33E0000}"/>
    <cellStyle name="Nota 2 3 2 2 3 2 4 4" xfId="9948" xr:uid="{00000000-0005-0000-0000-0000C43E0000}"/>
    <cellStyle name="Nota 2 3 2 2 3 2 4 5" xfId="13903" xr:uid="{00000000-0005-0000-0000-0000C53E0000}"/>
    <cellStyle name="Nota 2 3 2 2 3 2 5" xfId="4473" xr:uid="{00000000-0005-0000-0000-0000C63E0000}"/>
    <cellStyle name="Nota 2 3 2 2 3 2 5 2" xfId="8444" xr:uid="{00000000-0005-0000-0000-0000C73E0000}"/>
    <cellStyle name="Nota 2 3 2 2 3 2 5 2 2" xfId="12412" xr:uid="{00000000-0005-0000-0000-0000C83E0000}"/>
    <cellStyle name="Nota 2 3 2 2 3 2 5 2 3" xfId="21962" xr:uid="{00000000-0005-0000-0000-0000C93E0000}"/>
    <cellStyle name="Nota 2 3 2 2 3 2 5 3" xfId="6736" xr:uid="{00000000-0005-0000-0000-0000CA3E0000}"/>
    <cellStyle name="Nota 2 3 2 2 3 2 5 3 2" xfId="20254" xr:uid="{00000000-0005-0000-0000-0000CB3E0000}"/>
    <cellStyle name="Nota 2 3 2 2 3 2 5 4" xfId="10125" xr:uid="{00000000-0005-0000-0000-0000CC3E0000}"/>
    <cellStyle name="Nota 2 3 2 2 3 2 5 5" xfId="13532" xr:uid="{00000000-0005-0000-0000-0000CD3E0000}"/>
    <cellStyle name="Nota 2 3 2 2 3 2 6" xfId="6968" xr:uid="{00000000-0005-0000-0000-0000CE3E0000}"/>
    <cellStyle name="Nota 2 3 2 2 3 2 6 2" xfId="8676" xr:uid="{00000000-0005-0000-0000-0000CF3E0000}"/>
    <cellStyle name="Nota 2 3 2 2 3 2 6 2 2" xfId="12644" xr:uid="{00000000-0005-0000-0000-0000D03E0000}"/>
    <cellStyle name="Nota 2 3 2 2 3 2 6 2 3" xfId="22194" xr:uid="{00000000-0005-0000-0000-0000D13E0000}"/>
    <cellStyle name="Nota 2 3 2 2 3 2 6 3" xfId="11102" xr:uid="{00000000-0005-0000-0000-0000D23E0000}"/>
    <cellStyle name="Nota 2 3 2 2 3 2 6 4" xfId="20486" xr:uid="{00000000-0005-0000-0000-0000D33E0000}"/>
    <cellStyle name="Nota 2 3 2 2 3 2 7" xfId="5956" xr:uid="{00000000-0005-0000-0000-0000D43E0000}"/>
    <cellStyle name="Nota 2 3 2 2 3 2 7 2" xfId="10697" xr:uid="{00000000-0005-0000-0000-0000D53E0000}"/>
    <cellStyle name="Nota 2 3 2 2 3 2 7 3" xfId="19474" xr:uid="{00000000-0005-0000-0000-0000D63E0000}"/>
    <cellStyle name="Nota 2 3 2 2 3 2 8" xfId="7664" xr:uid="{00000000-0005-0000-0000-0000D73E0000}"/>
    <cellStyle name="Nota 2 3 2 2 3 2 8 2" xfId="11685" xr:uid="{00000000-0005-0000-0000-0000D83E0000}"/>
    <cellStyle name="Nota 2 3 2 2 3 2 8 3" xfId="21182" xr:uid="{00000000-0005-0000-0000-0000D93E0000}"/>
    <cellStyle name="Nota 2 3 2 2 3 2 9" xfId="5147" xr:uid="{00000000-0005-0000-0000-0000DA3E0000}"/>
    <cellStyle name="Nota 2 3 2 2 3 2 9 2" xfId="12923" xr:uid="{00000000-0005-0000-0000-0000DB3E0000}"/>
    <cellStyle name="Nota 2 3 2 2 3 3" xfId="3131" xr:uid="{00000000-0005-0000-0000-0000DC3E0000}"/>
    <cellStyle name="Nota 2 3 2 2 3 3 10" xfId="9261" xr:uid="{00000000-0005-0000-0000-0000DD3E0000}"/>
    <cellStyle name="Nota 2 3 2 2 3 3 11" xfId="16171" xr:uid="{00000000-0005-0000-0000-0000DE3E0000}"/>
    <cellStyle name="Nota 2 3 2 2 3 3 2" xfId="3518" xr:uid="{00000000-0005-0000-0000-0000DF3E0000}"/>
    <cellStyle name="Nota 2 3 2 2 3 3 2 2" xfId="7373" xr:uid="{00000000-0005-0000-0000-0000E03E0000}"/>
    <cellStyle name="Nota 2 3 2 2 3 3 2 2 2" xfId="11459" xr:uid="{00000000-0005-0000-0000-0000E13E0000}"/>
    <cellStyle name="Nota 2 3 2 2 3 3 2 2 3" xfId="20891" xr:uid="{00000000-0005-0000-0000-0000E23E0000}"/>
    <cellStyle name="Nota 2 3 2 2 3 3 2 3" xfId="5664" xr:uid="{00000000-0005-0000-0000-0000E33E0000}"/>
    <cellStyle name="Nota 2 3 2 2 3 3 2 3 2" xfId="19182" xr:uid="{00000000-0005-0000-0000-0000E43E0000}"/>
    <cellStyle name="Nota 2 3 2 2 3 3 2 4" xfId="9610" xr:uid="{00000000-0005-0000-0000-0000E53E0000}"/>
    <cellStyle name="Nota 2 3 2 2 3 3 2 5" xfId="15374" xr:uid="{00000000-0005-0000-0000-0000E63E0000}"/>
    <cellStyle name="Nota 2 3 2 2 3 3 3" xfId="3901" xr:uid="{00000000-0005-0000-0000-0000E73E0000}"/>
    <cellStyle name="Nota 2 3 2 2 3 3 3 2" xfId="7110" xr:uid="{00000000-0005-0000-0000-0000E83E0000}"/>
    <cellStyle name="Nota 2 3 2 2 3 3 3 2 2" xfId="11244" xr:uid="{00000000-0005-0000-0000-0000E93E0000}"/>
    <cellStyle name="Nota 2 3 2 2 3 3 3 2 3" xfId="20628" xr:uid="{00000000-0005-0000-0000-0000EA3E0000}"/>
    <cellStyle name="Nota 2 3 2 2 3 3 3 3" xfId="5401" xr:uid="{00000000-0005-0000-0000-0000EB3E0000}"/>
    <cellStyle name="Nota 2 3 2 2 3 3 3 3 2" xfId="18919" xr:uid="{00000000-0005-0000-0000-0000EC3E0000}"/>
    <cellStyle name="Nota 2 3 2 2 3 3 3 4" xfId="9824" xr:uid="{00000000-0005-0000-0000-0000ED3E0000}"/>
    <cellStyle name="Nota 2 3 2 2 3 3 3 5" xfId="14087" xr:uid="{00000000-0005-0000-0000-0000EE3E0000}"/>
    <cellStyle name="Nota 2 3 2 2 3 3 4" xfId="4284" xr:uid="{00000000-0005-0000-0000-0000EF3E0000}"/>
    <cellStyle name="Nota 2 3 2 2 3 3 4 2" xfId="8197" xr:uid="{00000000-0005-0000-0000-0000F03E0000}"/>
    <cellStyle name="Nota 2 3 2 2 3 3 4 2 2" xfId="12165" xr:uid="{00000000-0005-0000-0000-0000F13E0000}"/>
    <cellStyle name="Nota 2 3 2 2 3 3 4 2 3" xfId="21715" xr:uid="{00000000-0005-0000-0000-0000F23E0000}"/>
    <cellStyle name="Nota 2 3 2 2 3 3 4 3" xfId="6489" xr:uid="{00000000-0005-0000-0000-0000F33E0000}"/>
    <cellStyle name="Nota 2 3 2 2 3 3 4 3 2" xfId="20007" xr:uid="{00000000-0005-0000-0000-0000F43E0000}"/>
    <cellStyle name="Nota 2 3 2 2 3 3 4 4" xfId="10002" xr:uid="{00000000-0005-0000-0000-0000F53E0000}"/>
    <cellStyle name="Nota 2 3 2 2 3 3 4 5" xfId="13721" xr:uid="{00000000-0005-0000-0000-0000F63E0000}"/>
    <cellStyle name="Nota 2 3 2 2 3 3 5" xfId="4666" xr:uid="{00000000-0005-0000-0000-0000F73E0000}"/>
    <cellStyle name="Nota 2 3 2 2 3 3 5 2" xfId="8429" xr:uid="{00000000-0005-0000-0000-0000F83E0000}"/>
    <cellStyle name="Nota 2 3 2 2 3 3 5 2 2" xfId="12397" xr:uid="{00000000-0005-0000-0000-0000F93E0000}"/>
    <cellStyle name="Nota 2 3 2 2 3 3 5 2 3" xfId="21947" xr:uid="{00000000-0005-0000-0000-0000FA3E0000}"/>
    <cellStyle name="Nota 2 3 2 2 3 3 5 3" xfId="6721" xr:uid="{00000000-0005-0000-0000-0000FB3E0000}"/>
    <cellStyle name="Nota 2 3 2 2 3 3 5 3 2" xfId="20239" xr:uid="{00000000-0005-0000-0000-0000FC3E0000}"/>
    <cellStyle name="Nota 2 3 2 2 3 3 5 4" xfId="10179" xr:uid="{00000000-0005-0000-0000-0000FD3E0000}"/>
    <cellStyle name="Nota 2 3 2 2 3 3 5 5" xfId="13339" xr:uid="{00000000-0005-0000-0000-0000FE3E0000}"/>
    <cellStyle name="Nota 2 3 2 2 3 3 6" xfId="6953" xr:uid="{00000000-0005-0000-0000-0000FF3E0000}"/>
    <cellStyle name="Nota 2 3 2 2 3 3 6 2" xfId="8661" xr:uid="{00000000-0005-0000-0000-0000003F0000}"/>
    <cellStyle name="Nota 2 3 2 2 3 3 6 2 2" xfId="12629" xr:uid="{00000000-0005-0000-0000-0000013F0000}"/>
    <cellStyle name="Nota 2 3 2 2 3 3 6 2 3" xfId="22179" xr:uid="{00000000-0005-0000-0000-0000023F0000}"/>
    <cellStyle name="Nota 2 3 2 2 3 3 6 3" xfId="11087" xr:uid="{00000000-0005-0000-0000-0000033F0000}"/>
    <cellStyle name="Nota 2 3 2 2 3 3 6 4" xfId="20471" xr:uid="{00000000-0005-0000-0000-0000043F0000}"/>
    <cellStyle name="Nota 2 3 2 2 3 3 7" xfId="5941" xr:uid="{00000000-0005-0000-0000-0000053F0000}"/>
    <cellStyle name="Nota 2 3 2 2 3 3 7 2" xfId="10682" xr:uid="{00000000-0005-0000-0000-0000063F0000}"/>
    <cellStyle name="Nota 2 3 2 2 3 3 7 3" xfId="19459" xr:uid="{00000000-0005-0000-0000-0000073F0000}"/>
    <cellStyle name="Nota 2 3 2 2 3 3 8" xfId="7649" xr:uid="{00000000-0005-0000-0000-0000083F0000}"/>
    <cellStyle name="Nota 2 3 2 2 3 3 8 2" xfId="11670" xr:uid="{00000000-0005-0000-0000-0000093F0000}"/>
    <cellStyle name="Nota 2 3 2 2 3 3 8 3" xfId="21167" xr:uid="{00000000-0005-0000-0000-00000A3F0000}"/>
    <cellStyle name="Nota 2 3 2 2 3 3 9" xfId="5037" xr:uid="{00000000-0005-0000-0000-00000B3F0000}"/>
    <cellStyle name="Nota 2 3 2 2 3 3 9 2" xfId="12982" xr:uid="{00000000-0005-0000-0000-00000C3F0000}"/>
    <cellStyle name="Nota 2 3 2 2 3 4" xfId="3073" xr:uid="{00000000-0005-0000-0000-00000D3F0000}"/>
    <cellStyle name="Nota 2 3 2 2 3 4 2" xfId="3460" xr:uid="{00000000-0005-0000-0000-00000E3F0000}"/>
    <cellStyle name="Nota 2 3 2 2 3 4 2 2" xfId="16509" xr:uid="{00000000-0005-0000-0000-00000F3F0000}"/>
    <cellStyle name="Nota 2 3 2 2 3 4 3" xfId="3843" xr:uid="{00000000-0005-0000-0000-0000103F0000}"/>
    <cellStyle name="Nota 2 3 2 2 3 4 3 2" xfId="14182" xr:uid="{00000000-0005-0000-0000-0000113F0000}"/>
    <cellStyle name="Nota 2 3 2 2 3 4 4" xfId="4226" xr:uid="{00000000-0005-0000-0000-0000123F0000}"/>
    <cellStyle name="Nota 2 3 2 2 3 4 4 2" xfId="13779" xr:uid="{00000000-0005-0000-0000-0000133F0000}"/>
    <cellStyle name="Nota 2 3 2 2 3 4 5" xfId="4608" xr:uid="{00000000-0005-0000-0000-0000143F0000}"/>
    <cellStyle name="Nota 2 3 2 2 3 4 5 2" xfId="13397" xr:uid="{00000000-0005-0000-0000-0000153F0000}"/>
    <cellStyle name="Nota 2 3 2 2 3 4 6" xfId="5751" xr:uid="{00000000-0005-0000-0000-0000163F0000}"/>
    <cellStyle name="Nota 2 3 2 2 3 4 6 2" xfId="19269" xr:uid="{00000000-0005-0000-0000-0000173F0000}"/>
    <cellStyle name="Nota 2 3 2 2 3 4 7" xfId="9213" xr:uid="{00000000-0005-0000-0000-0000183F0000}"/>
    <cellStyle name="Nota 2 3 2 2 3 4 8" xfId="16003" xr:uid="{00000000-0005-0000-0000-0000193F0000}"/>
    <cellStyle name="Nota 2 3 2 2 3 5" xfId="2839" xr:uid="{00000000-0005-0000-0000-00001A3F0000}"/>
    <cellStyle name="Nota 2 3 2 2 3 5 2" xfId="7460" xr:uid="{00000000-0005-0000-0000-00001B3F0000}"/>
    <cellStyle name="Nota 2 3 2 2 3 5 2 2" xfId="20978" xr:uid="{00000000-0005-0000-0000-00001C3F0000}"/>
    <cellStyle name="Nota 2 3 2 2 3 5 3" xfId="8992" xr:uid="{00000000-0005-0000-0000-00001D3F0000}"/>
    <cellStyle name="Nota 2 3 2 2 3 5 4" xfId="15001" xr:uid="{00000000-0005-0000-0000-00001E3F0000}"/>
    <cellStyle name="Nota 2 3 2 2 3 6" xfId="8796" xr:uid="{00000000-0005-0000-0000-00001F3F0000}"/>
    <cellStyle name="Nota 2 3 2 2 4" xfId="2960" xr:uid="{00000000-0005-0000-0000-0000203F0000}"/>
    <cellStyle name="Nota 2 3 2 2 4 10" xfId="9112" xr:uid="{00000000-0005-0000-0000-0000213F0000}"/>
    <cellStyle name="Nota 2 3 2 2 4 11" xfId="15340" xr:uid="{00000000-0005-0000-0000-0000223F0000}"/>
    <cellStyle name="Nota 2 3 2 2 4 2" xfId="3347" xr:uid="{00000000-0005-0000-0000-0000233F0000}"/>
    <cellStyle name="Nota 2 3 2 2 4 2 2" xfId="7348" xr:uid="{00000000-0005-0000-0000-0000243F0000}"/>
    <cellStyle name="Nota 2 3 2 2 4 2 2 2" xfId="11434" xr:uid="{00000000-0005-0000-0000-0000253F0000}"/>
    <cellStyle name="Nota 2 3 2 2 4 2 2 3" xfId="20866" xr:uid="{00000000-0005-0000-0000-0000263F0000}"/>
    <cellStyle name="Nota 2 3 2 2 4 2 3" xfId="5639" xr:uid="{00000000-0005-0000-0000-0000273F0000}"/>
    <cellStyle name="Nota 2 3 2 2 4 2 3 2" xfId="19157" xr:uid="{00000000-0005-0000-0000-0000283F0000}"/>
    <cellStyle name="Nota 2 3 2 2 4 2 4" xfId="9477" xr:uid="{00000000-0005-0000-0000-0000293F0000}"/>
    <cellStyle name="Nota 2 3 2 2 4 2 5" xfId="15028" xr:uid="{00000000-0005-0000-0000-00002A3F0000}"/>
    <cellStyle name="Nota 2 3 2 2 4 3" xfId="3730" xr:uid="{00000000-0005-0000-0000-00002B3F0000}"/>
    <cellStyle name="Nota 2 3 2 2 4 3 2" xfId="8011" xr:uid="{00000000-0005-0000-0000-00002C3F0000}"/>
    <cellStyle name="Nota 2 3 2 2 4 3 2 2" xfId="11987" xr:uid="{00000000-0005-0000-0000-00002D3F0000}"/>
    <cellStyle name="Nota 2 3 2 2 4 3 2 3" xfId="21529" xr:uid="{00000000-0005-0000-0000-00002E3F0000}"/>
    <cellStyle name="Nota 2 3 2 2 4 3 3" xfId="6303" xr:uid="{00000000-0005-0000-0000-00002F3F0000}"/>
    <cellStyle name="Nota 2 3 2 2 4 3 3 2" xfId="19821" xr:uid="{00000000-0005-0000-0000-0000303F0000}"/>
    <cellStyle name="Nota 2 3 2 2 4 3 4" xfId="9792" xr:uid="{00000000-0005-0000-0000-0000313F0000}"/>
    <cellStyle name="Nota 2 3 2 2 4 3 5" xfId="15590" xr:uid="{00000000-0005-0000-0000-0000323F0000}"/>
    <cellStyle name="Nota 2 3 2 2 4 4" xfId="4113" xr:uid="{00000000-0005-0000-0000-0000333F0000}"/>
    <cellStyle name="Nota 2 3 2 2 4 4 2" xfId="8126" xr:uid="{00000000-0005-0000-0000-0000343F0000}"/>
    <cellStyle name="Nota 2 3 2 2 4 4 2 2" xfId="12094" xr:uid="{00000000-0005-0000-0000-0000353F0000}"/>
    <cellStyle name="Nota 2 3 2 2 4 4 2 3" xfId="21644" xr:uid="{00000000-0005-0000-0000-0000363F0000}"/>
    <cellStyle name="Nota 2 3 2 2 4 4 3" xfId="6418" xr:uid="{00000000-0005-0000-0000-0000373F0000}"/>
    <cellStyle name="Nota 2 3 2 2 4 4 3 2" xfId="19936" xr:uid="{00000000-0005-0000-0000-0000383F0000}"/>
    <cellStyle name="Nota 2 3 2 2 4 4 4" xfId="9970" xr:uid="{00000000-0005-0000-0000-0000393F0000}"/>
    <cellStyle name="Nota 2 3 2 2 4 4 5" xfId="13881" xr:uid="{00000000-0005-0000-0000-00003A3F0000}"/>
    <cellStyle name="Nota 2 3 2 2 4 5" xfId="4495" xr:uid="{00000000-0005-0000-0000-00003B3F0000}"/>
    <cellStyle name="Nota 2 3 2 2 4 5 2" xfId="8358" xr:uid="{00000000-0005-0000-0000-00003C3F0000}"/>
    <cellStyle name="Nota 2 3 2 2 4 5 2 2" xfId="12326" xr:uid="{00000000-0005-0000-0000-00003D3F0000}"/>
    <cellStyle name="Nota 2 3 2 2 4 5 2 3" xfId="21876" xr:uid="{00000000-0005-0000-0000-00003E3F0000}"/>
    <cellStyle name="Nota 2 3 2 2 4 5 3" xfId="6650" xr:uid="{00000000-0005-0000-0000-00003F3F0000}"/>
    <cellStyle name="Nota 2 3 2 2 4 5 3 2" xfId="20168" xr:uid="{00000000-0005-0000-0000-0000403F0000}"/>
    <cellStyle name="Nota 2 3 2 2 4 5 4" xfId="10147" xr:uid="{00000000-0005-0000-0000-0000413F0000}"/>
    <cellStyle name="Nota 2 3 2 2 4 5 5" xfId="13510" xr:uid="{00000000-0005-0000-0000-0000423F0000}"/>
    <cellStyle name="Nota 2 3 2 2 4 6" xfId="6882" xr:uid="{00000000-0005-0000-0000-0000433F0000}"/>
    <cellStyle name="Nota 2 3 2 2 4 6 2" xfId="8590" xr:uid="{00000000-0005-0000-0000-0000443F0000}"/>
    <cellStyle name="Nota 2 3 2 2 4 6 2 2" xfId="12558" xr:uid="{00000000-0005-0000-0000-0000453F0000}"/>
    <cellStyle name="Nota 2 3 2 2 4 6 2 3" xfId="22108" xr:uid="{00000000-0005-0000-0000-0000463F0000}"/>
    <cellStyle name="Nota 2 3 2 2 4 6 3" xfId="11016" xr:uid="{00000000-0005-0000-0000-0000473F0000}"/>
    <cellStyle name="Nota 2 3 2 2 4 6 4" xfId="20400" xr:uid="{00000000-0005-0000-0000-0000483F0000}"/>
    <cellStyle name="Nota 2 3 2 2 4 7" xfId="5870" xr:uid="{00000000-0005-0000-0000-0000493F0000}"/>
    <cellStyle name="Nota 2 3 2 2 4 7 2" xfId="10611" xr:uid="{00000000-0005-0000-0000-00004A3F0000}"/>
    <cellStyle name="Nota 2 3 2 2 4 7 3" xfId="19388" xr:uid="{00000000-0005-0000-0000-00004B3F0000}"/>
    <cellStyle name="Nota 2 3 2 2 4 8" xfId="7578" xr:uid="{00000000-0005-0000-0000-00004C3F0000}"/>
    <cellStyle name="Nota 2 3 2 2 4 8 2" xfId="11599" xr:uid="{00000000-0005-0000-0000-00004D3F0000}"/>
    <cellStyle name="Nota 2 3 2 2 4 8 3" xfId="21096" xr:uid="{00000000-0005-0000-0000-00004E3F0000}"/>
    <cellStyle name="Nota 2 3 2 2 4 9" xfId="4960" xr:uid="{00000000-0005-0000-0000-00004F3F0000}"/>
    <cellStyle name="Nota 2 3 2 2 4 9 2" xfId="13059" xr:uid="{00000000-0005-0000-0000-0000503F0000}"/>
    <cellStyle name="Nota 2 3 2 2 5" xfId="3196" xr:uid="{00000000-0005-0000-0000-0000513F0000}"/>
    <cellStyle name="Nota 2 3 2 2 5 2" xfId="3583" xr:uid="{00000000-0005-0000-0000-0000523F0000}"/>
    <cellStyle name="Nota 2 3 2 2 5 2 2" xfId="5100" xr:uid="{00000000-0005-0000-0000-0000533F0000}"/>
    <cellStyle name="Nota 2 3 2 2 5 2 2 2" xfId="12939" xr:uid="{00000000-0005-0000-0000-0000543F0000}"/>
    <cellStyle name="Nota 2 3 2 2 5 2 3" xfId="9675" xr:uid="{00000000-0005-0000-0000-0000553F0000}"/>
    <cellStyle name="Nota 2 3 2 2 5 2 4" xfId="16692" xr:uid="{00000000-0005-0000-0000-0000563F0000}"/>
    <cellStyle name="Nota 2 3 2 2 5 3" xfId="3966" xr:uid="{00000000-0005-0000-0000-0000573F0000}"/>
    <cellStyle name="Nota 2 3 2 2 5 3 2" xfId="14025" xr:uid="{00000000-0005-0000-0000-0000583F0000}"/>
    <cellStyle name="Nota 2 3 2 2 5 4" xfId="4349" xr:uid="{00000000-0005-0000-0000-0000593F0000}"/>
    <cellStyle name="Nota 2 3 2 2 5 4 2" xfId="13656" xr:uid="{00000000-0005-0000-0000-00005A3F0000}"/>
    <cellStyle name="Nota 2 3 2 2 5 5" xfId="4731" xr:uid="{00000000-0005-0000-0000-00005B3F0000}"/>
    <cellStyle name="Nota 2 3 2 2 5 5 2" xfId="13274" xr:uid="{00000000-0005-0000-0000-00005C3F0000}"/>
    <cellStyle name="Nota 2 3 2 2 5 6" xfId="5314" xr:uid="{00000000-0005-0000-0000-00005D3F0000}"/>
    <cellStyle name="Nota 2 3 2 2 5 6 2" xfId="18832" xr:uid="{00000000-0005-0000-0000-00005E3F0000}"/>
    <cellStyle name="Nota 2 3 2 2 5 7" xfId="9326" xr:uid="{00000000-0005-0000-0000-00005F3F0000}"/>
    <cellStyle name="Nota 2 3 2 2 5 8" xfId="15755" xr:uid="{00000000-0005-0000-0000-0000603F0000}"/>
    <cellStyle name="Nota 2 3 2 2 6" xfId="3033" xr:uid="{00000000-0005-0000-0000-0000613F0000}"/>
    <cellStyle name="Nota 2 3 2 2 6 2" xfId="3420" xr:uid="{00000000-0005-0000-0000-0000623F0000}"/>
    <cellStyle name="Nota 2 3 2 2 6 2 2" xfId="7909" xr:uid="{00000000-0005-0000-0000-0000633F0000}"/>
    <cellStyle name="Nota 2 3 2 2 6 2 2 2" xfId="21427" xr:uid="{00000000-0005-0000-0000-0000643F0000}"/>
    <cellStyle name="Nota 2 3 2 2 6 2 3" xfId="9535" xr:uid="{00000000-0005-0000-0000-0000653F0000}"/>
    <cellStyle name="Nota 2 3 2 2 6 2 4" xfId="17829" xr:uid="{00000000-0005-0000-0000-0000663F0000}"/>
    <cellStyle name="Nota 2 3 2 2 6 3" xfId="3803" xr:uid="{00000000-0005-0000-0000-0000673F0000}"/>
    <cellStyle name="Nota 2 3 2 2 6 3 2" xfId="17297" xr:uid="{00000000-0005-0000-0000-0000683F0000}"/>
    <cellStyle name="Nota 2 3 2 2 6 4" xfId="4186" xr:uid="{00000000-0005-0000-0000-0000693F0000}"/>
    <cellStyle name="Nota 2 3 2 2 6 4 2" xfId="13819" xr:uid="{00000000-0005-0000-0000-00006A3F0000}"/>
    <cellStyle name="Nota 2 3 2 2 6 5" xfId="4568" xr:uid="{00000000-0005-0000-0000-00006B3F0000}"/>
    <cellStyle name="Nota 2 3 2 2 6 5 2" xfId="13437" xr:uid="{00000000-0005-0000-0000-00006C3F0000}"/>
    <cellStyle name="Nota 2 3 2 2 6 6" xfId="6201" xr:uid="{00000000-0005-0000-0000-00006D3F0000}"/>
    <cellStyle name="Nota 2 3 2 2 6 6 2" xfId="19719" xr:uid="{00000000-0005-0000-0000-00006E3F0000}"/>
    <cellStyle name="Nota 2 3 2 2 6 7" xfId="9173" xr:uid="{00000000-0005-0000-0000-00006F3F0000}"/>
    <cellStyle name="Nota 2 3 2 2 6 8" xfId="18586" xr:uid="{00000000-0005-0000-0000-0000703F0000}"/>
    <cellStyle name="Nota 2 3 2 2 7" xfId="6054" xr:uid="{00000000-0005-0000-0000-0000713F0000}"/>
    <cellStyle name="Nota 2 3 2 2 7 2" xfId="7762" xr:uid="{00000000-0005-0000-0000-0000723F0000}"/>
    <cellStyle name="Nota 2 3 2 2 7 2 2" xfId="11783" xr:uid="{00000000-0005-0000-0000-0000733F0000}"/>
    <cellStyle name="Nota 2 3 2 2 7 2 3" xfId="21280" xr:uid="{00000000-0005-0000-0000-0000743F0000}"/>
    <cellStyle name="Nota 2 3 2 2 7 3" xfId="10795" xr:uid="{00000000-0005-0000-0000-0000753F0000}"/>
    <cellStyle name="Nota 2 3 2 2 7 4" xfId="19572" xr:uid="{00000000-0005-0000-0000-0000763F0000}"/>
    <cellStyle name="Nota 2 3 2 2 8" xfId="5415" xr:uid="{00000000-0005-0000-0000-0000773F0000}"/>
    <cellStyle name="Nota 2 3 2 2 8 2" xfId="7124" xr:uid="{00000000-0005-0000-0000-0000783F0000}"/>
    <cellStyle name="Nota 2 3 2 2 8 2 2" xfId="11258" xr:uid="{00000000-0005-0000-0000-0000793F0000}"/>
    <cellStyle name="Nota 2 3 2 2 8 2 3" xfId="20642" xr:uid="{00000000-0005-0000-0000-00007A3F0000}"/>
    <cellStyle name="Nota 2 3 2 2 8 3" xfId="10432" xr:uid="{00000000-0005-0000-0000-00007B3F0000}"/>
    <cellStyle name="Nota 2 3 2 2 8 4" xfId="18933" xr:uid="{00000000-0005-0000-0000-00007C3F0000}"/>
    <cellStyle name="Nota 2 3 2 2 9" xfId="5773" xr:uid="{00000000-0005-0000-0000-00007D3F0000}"/>
    <cellStyle name="Nota 2 3 2 2 9 2" xfId="10549" xr:uid="{00000000-0005-0000-0000-00007E3F0000}"/>
    <cellStyle name="Nota 2 3 2 2 9 3" xfId="19291" xr:uid="{00000000-0005-0000-0000-00007F3F0000}"/>
    <cellStyle name="Nota 2 3 2 3" xfId="2722" xr:uid="{00000000-0005-0000-0000-0000803F0000}"/>
    <cellStyle name="Nota 2 3 2 3 2" xfId="2967" xr:uid="{00000000-0005-0000-0000-0000813F0000}"/>
    <cellStyle name="Nota 2 3 2 3 2 10" xfId="9119" xr:uid="{00000000-0005-0000-0000-0000823F0000}"/>
    <cellStyle name="Nota 2 3 2 3 2 11" xfId="18677" xr:uid="{00000000-0005-0000-0000-0000833F0000}"/>
    <cellStyle name="Nota 2 3 2 3 2 2" xfId="3354" xr:uid="{00000000-0005-0000-0000-0000843F0000}"/>
    <cellStyle name="Nota 2 3 2 3 2 2 2" xfId="7931" xr:uid="{00000000-0005-0000-0000-0000853F0000}"/>
    <cellStyle name="Nota 2 3 2 3 2 2 2 2" xfId="11907" xr:uid="{00000000-0005-0000-0000-0000863F0000}"/>
    <cellStyle name="Nota 2 3 2 3 2 2 2 3" xfId="21449" xr:uid="{00000000-0005-0000-0000-0000873F0000}"/>
    <cellStyle name="Nota 2 3 2 3 2 2 3" xfId="6223" xr:uid="{00000000-0005-0000-0000-0000883F0000}"/>
    <cellStyle name="Nota 2 3 2 3 2 2 3 2" xfId="19741" xr:uid="{00000000-0005-0000-0000-0000893F0000}"/>
    <cellStyle name="Nota 2 3 2 3 2 2 4" xfId="9484" xr:uid="{00000000-0005-0000-0000-00008A3F0000}"/>
    <cellStyle name="Nota 2 3 2 3 2 2 5" xfId="17840" xr:uid="{00000000-0005-0000-0000-00008B3F0000}"/>
    <cellStyle name="Nota 2 3 2 3 2 3" xfId="3737" xr:uid="{00000000-0005-0000-0000-00008C3F0000}"/>
    <cellStyle name="Nota 2 3 2 3 2 3 2" xfId="7194" xr:uid="{00000000-0005-0000-0000-00008D3F0000}"/>
    <cellStyle name="Nota 2 3 2 3 2 3 2 2" xfId="11321" xr:uid="{00000000-0005-0000-0000-00008E3F0000}"/>
    <cellStyle name="Nota 2 3 2 3 2 3 2 3" xfId="20712" xr:uid="{00000000-0005-0000-0000-00008F3F0000}"/>
    <cellStyle name="Nota 2 3 2 3 2 3 3" xfId="5485" xr:uid="{00000000-0005-0000-0000-0000903F0000}"/>
    <cellStyle name="Nota 2 3 2 3 2 3 3 2" xfId="19003" xr:uid="{00000000-0005-0000-0000-0000913F0000}"/>
    <cellStyle name="Nota 2 3 2 3 2 3 4" xfId="9799" xr:uid="{00000000-0005-0000-0000-0000923F0000}"/>
    <cellStyle name="Nota 2 3 2 3 2 3 5" xfId="16676" xr:uid="{00000000-0005-0000-0000-0000933F0000}"/>
    <cellStyle name="Nota 2 3 2 3 2 4" xfId="4120" xr:uid="{00000000-0005-0000-0000-0000943F0000}"/>
    <cellStyle name="Nota 2 3 2 3 2 4 2" xfId="8238" xr:uid="{00000000-0005-0000-0000-0000953F0000}"/>
    <cellStyle name="Nota 2 3 2 3 2 4 2 2" xfId="12206" xr:uid="{00000000-0005-0000-0000-0000963F0000}"/>
    <cellStyle name="Nota 2 3 2 3 2 4 2 3" xfId="21756" xr:uid="{00000000-0005-0000-0000-0000973F0000}"/>
    <cellStyle name="Nota 2 3 2 3 2 4 3" xfId="6530" xr:uid="{00000000-0005-0000-0000-0000983F0000}"/>
    <cellStyle name="Nota 2 3 2 3 2 4 3 2" xfId="20048" xr:uid="{00000000-0005-0000-0000-0000993F0000}"/>
    <cellStyle name="Nota 2 3 2 3 2 4 4" xfId="9977" xr:uid="{00000000-0005-0000-0000-00009A3F0000}"/>
    <cellStyle name="Nota 2 3 2 3 2 4 5" xfId="13877" xr:uid="{00000000-0005-0000-0000-00009B3F0000}"/>
    <cellStyle name="Nota 2 3 2 3 2 5" xfId="4502" xr:uid="{00000000-0005-0000-0000-00009C3F0000}"/>
    <cellStyle name="Nota 2 3 2 3 2 5 2" xfId="8470" xr:uid="{00000000-0005-0000-0000-00009D3F0000}"/>
    <cellStyle name="Nota 2 3 2 3 2 5 2 2" xfId="12438" xr:uid="{00000000-0005-0000-0000-00009E3F0000}"/>
    <cellStyle name="Nota 2 3 2 3 2 5 2 3" xfId="21988" xr:uid="{00000000-0005-0000-0000-00009F3F0000}"/>
    <cellStyle name="Nota 2 3 2 3 2 5 3" xfId="6762" xr:uid="{00000000-0005-0000-0000-0000A03F0000}"/>
    <cellStyle name="Nota 2 3 2 3 2 5 3 2" xfId="20280" xr:uid="{00000000-0005-0000-0000-0000A13F0000}"/>
    <cellStyle name="Nota 2 3 2 3 2 5 4" xfId="10154" xr:uid="{00000000-0005-0000-0000-0000A23F0000}"/>
    <cellStyle name="Nota 2 3 2 3 2 5 5" xfId="13503" xr:uid="{00000000-0005-0000-0000-0000A33F0000}"/>
    <cellStyle name="Nota 2 3 2 3 2 6" xfId="6994" xr:uid="{00000000-0005-0000-0000-0000A43F0000}"/>
    <cellStyle name="Nota 2 3 2 3 2 6 2" xfId="8702" xr:uid="{00000000-0005-0000-0000-0000A53F0000}"/>
    <cellStyle name="Nota 2 3 2 3 2 6 2 2" xfId="12670" xr:uid="{00000000-0005-0000-0000-0000A63F0000}"/>
    <cellStyle name="Nota 2 3 2 3 2 6 2 3" xfId="22220" xr:uid="{00000000-0005-0000-0000-0000A73F0000}"/>
    <cellStyle name="Nota 2 3 2 3 2 6 3" xfId="11128" xr:uid="{00000000-0005-0000-0000-0000A83F0000}"/>
    <cellStyle name="Nota 2 3 2 3 2 6 4" xfId="20512" xr:uid="{00000000-0005-0000-0000-0000A93F0000}"/>
    <cellStyle name="Nota 2 3 2 3 2 7" xfId="5982" xr:uid="{00000000-0005-0000-0000-0000AA3F0000}"/>
    <cellStyle name="Nota 2 3 2 3 2 7 2" xfId="10723" xr:uid="{00000000-0005-0000-0000-0000AB3F0000}"/>
    <cellStyle name="Nota 2 3 2 3 2 7 3" xfId="19500" xr:uid="{00000000-0005-0000-0000-0000AC3F0000}"/>
    <cellStyle name="Nota 2 3 2 3 2 8" xfId="7690" xr:uid="{00000000-0005-0000-0000-0000AD3F0000}"/>
    <cellStyle name="Nota 2 3 2 3 2 8 2" xfId="11711" xr:uid="{00000000-0005-0000-0000-0000AE3F0000}"/>
    <cellStyle name="Nota 2 3 2 3 2 8 3" xfId="21208" xr:uid="{00000000-0005-0000-0000-0000AF3F0000}"/>
    <cellStyle name="Nota 2 3 2 3 2 9" xfId="5176" xr:uid="{00000000-0005-0000-0000-0000B03F0000}"/>
    <cellStyle name="Nota 2 3 2 3 2 9 2" xfId="12906" xr:uid="{00000000-0005-0000-0000-0000B13F0000}"/>
    <cellStyle name="Nota 2 3 2 3 3" xfId="3212" xr:uid="{00000000-0005-0000-0000-0000B23F0000}"/>
    <cellStyle name="Nota 2 3 2 3 3 10" xfId="9342" xr:uid="{00000000-0005-0000-0000-0000B33F0000}"/>
    <cellStyle name="Nota 2 3 2 3 3 11" xfId="17289" xr:uid="{00000000-0005-0000-0000-0000B43F0000}"/>
    <cellStyle name="Nota 2 3 2 3 3 2" xfId="3599" xr:uid="{00000000-0005-0000-0000-0000B53F0000}"/>
    <cellStyle name="Nota 2 3 2 3 3 2 2" xfId="7960" xr:uid="{00000000-0005-0000-0000-0000B63F0000}"/>
    <cellStyle name="Nota 2 3 2 3 3 2 2 2" xfId="11936" xr:uid="{00000000-0005-0000-0000-0000B73F0000}"/>
    <cellStyle name="Nota 2 3 2 3 3 2 2 3" xfId="21478" xr:uid="{00000000-0005-0000-0000-0000B83F0000}"/>
    <cellStyle name="Nota 2 3 2 3 3 2 3" xfId="6252" xr:uid="{00000000-0005-0000-0000-0000B93F0000}"/>
    <cellStyle name="Nota 2 3 2 3 3 2 3 2" xfId="19770" xr:uid="{00000000-0005-0000-0000-0000BA3F0000}"/>
    <cellStyle name="Nota 2 3 2 3 3 2 4" xfId="9691" xr:uid="{00000000-0005-0000-0000-0000BB3F0000}"/>
    <cellStyle name="Nota 2 3 2 3 3 2 5" xfId="17899" xr:uid="{00000000-0005-0000-0000-0000BC3F0000}"/>
    <cellStyle name="Nota 2 3 2 3 3 3" xfId="3982" xr:uid="{00000000-0005-0000-0000-0000BD3F0000}"/>
    <cellStyle name="Nota 2 3 2 3 3 3 2" xfId="7812" xr:uid="{00000000-0005-0000-0000-0000BE3F0000}"/>
    <cellStyle name="Nota 2 3 2 3 3 3 2 2" xfId="11824" xr:uid="{00000000-0005-0000-0000-0000BF3F0000}"/>
    <cellStyle name="Nota 2 3 2 3 3 3 2 3" xfId="21330" xr:uid="{00000000-0005-0000-0000-0000C03F0000}"/>
    <cellStyle name="Nota 2 3 2 3 3 3 3" xfId="6104" xr:uid="{00000000-0005-0000-0000-0000C13F0000}"/>
    <cellStyle name="Nota 2 3 2 3 3 3 3 2" xfId="19622" xr:uid="{00000000-0005-0000-0000-0000C23F0000}"/>
    <cellStyle name="Nota 2 3 2 3 3 3 4" xfId="9901" xr:uid="{00000000-0005-0000-0000-0000C33F0000}"/>
    <cellStyle name="Nota 2 3 2 3 3 3 5" xfId="14009" xr:uid="{00000000-0005-0000-0000-0000C43F0000}"/>
    <cellStyle name="Nota 2 3 2 3 3 4" xfId="4365" xr:uid="{00000000-0005-0000-0000-0000C53F0000}"/>
    <cellStyle name="Nota 2 3 2 3 3 4 2" xfId="8267" xr:uid="{00000000-0005-0000-0000-0000C63F0000}"/>
    <cellStyle name="Nota 2 3 2 3 3 4 2 2" xfId="12235" xr:uid="{00000000-0005-0000-0000-0000C73F0000}"/>
    <cellStyle name="Nota 2 3 2 3 3 4 2 3" xfId="21785" xr:uid="{00000000-0005-0000-0000-0000C83F0000}"/>
    <cellStyle name="Nota 2 3 2 3 3 4 3" xfId="6559" xr:uid="{00000000-0005-0000-0000-0000C93F0000}"/>
    <cellStyle name="Nota 2 3 2 3 3 4 3 2" xfId="20077" xr:uid="{00000000-0005-0000-0000-0000CA3F0000}"/>
    <cellStyle name="Nota 2 3 2 3 3 4 4" xfId="10079" xr:uid="{00000000-0005-0000-0000-0000CB3F0000}"/>
    <cellStyle name="Nota 2 3 2 3 3 4 5" xfId="13640" xr:uid="{00000000-0005-0000-0000-0000CC3F0000}"/>
    <cellStyle name="Nota 2 3 2 3 3 5" xfId="4747" xr:uid="{00000000-0005-0000-0000-0000CD3F0000}"/>
    <cellStyle name="Nota 2 3 2 3 3 5 2" xfId="8499" xr:uid="{00000000-0005-0000-0000-0000CE3F0000}"/>
    <cellStyle name="Nota 2 3 2 3 3 5 2 2" xfId="12467" xr:uid="{00000000-0005-0000-0000-0000CF3F0000}"/>
    <cellStyle name="Nota 2 3 2 3 3 5 2 3" xfId="22017" xr:uid="{00000000-0005-0000-0000-0000D03F0000}"/>
    <cellStyle name="Nota 2 3 2 3 3 5 3" xfId="6791" xr:uid="{00000000-0005-0000-0000-0000D13F0000}"/>
    <cellStyle name="Nota 2 3 2 3 3 5 3 2" xfId="20309" xr:uid="{00000000-0005-0000-0000-0000D23F0000}"/>
    <cellStyle name="Nota 2 3 2 3 3 5 4" xfId="10256" xr:uid="{00000000-0005-0000-0000-0000D33F0000}"/>
    <cellStyle name="Nota 2 3 2 3 3 5 5" xfId="13258" xr:uid="{00000000-0005-0000-0000-0000D43F0000}"/>
    <cellStyle name="Nota 2 3 2 3 3 6" xfId="7023" xr:uid="{00000000-0005-0000-0000-0000D53F0000}"/>
    <cellStyle name="Nota 2 3 2 3 3 6 2" xfId="8731" xr:uid="{00000000-0005-0000-0000-0000D63F0000}"/>
    <cellStyle name="Nota 2 3 2 3 3 6 2 2" xfId="12699" xr:uid="{00000000-0005-0000-0000-0000D73F0000}"/>
    <cellStyle name="Nota 2 3 2 3 3 6 2 3" xfId="22249" xr:uid="{00000000-0005-0000-0000-0000D83F0000}"/>
    <cellStyle name="Nota 2 3 2 3 3 6 3" xfId="11157" xr:uid="{00000000-0005-0000-0000-0000D93F0000}"/>
    <cellStyle name="Nota 2 3 2 3 3 6 4" xfId="20541" xr:uid="{00000000-0005-0000-0000-0000DA3F0000}"/>
    <cellStyle name="Nota 2 3 2 3 3 7" xfId="6011" xr:uid="{00000000-0005-0000-0000-0000DB3F0000}"/>
    <cellStyle name="Nota 2 3 2 3 3 7 2" xfId="10752" xr:uid="{00000000-0005-0000-0000-0000DC3F0000}"/>
    <cellStyle name="Nota 2 3 2 3 3 7 3" xfId="19529" xr:uid="{00000000-0005-0000-0000-0000DD3F0000}"/>
    <cellStyle name="Nota 2 3 2 3 3 8" xfId="7719" xr:uid="{00000000-0005-0000-0000-0000DE3F0000}"/>
    <cellStyle name="Nota 2 3 2 3 3 8 2" xfId="11740" xr:uid="{00000000-0005-0000-0000-0000DF3F0000}"/>
    <cellStyle name="Nota 2 3 2 3 3 8 3" xfId="21237" xr:uid="{00000000-0005-0000-0000-0000E03F0000}"/>
    <cellStyle name="Nota 2 3 2 3 3 9" xfId="5205" xr:uid="{00000000-0005-0000-0000-0000E13F0000}"/>
    <cellStyle name="Nota 2 3 2 3 3 9 2" xfId="12877" xr:uid="{00000000-0005-0000-0000-0000E23F0000}"/>
    <cellStyle name="Nota 2 3 2 3 4" xfId="3269" xr:uid="{00000000-0005-0000-0000-0000E33F0000}"/>
    <cellStyle name="Nota 2 3 2 3 4 2" xfId="3656" xr:uid="{00000000-0005-0000-0000-0000E43F0000}"/>
    <cellStyle name="Nota 2 3 2 3 4 2 2" xfId="18766" xr:uid="{00000000-0005-0000-0000-0000E53F0000}"/>
    <cellStyle name="Nota 2 3 2 3 4 3" xfId="4039" xr:uid="{00000000-0005-0000-0000-0000E63F0000}"/>
    <cellStyle name="Nota 2 3 2 3 4 3 2" xfId="13952" xr:uid="{00000000-0005-0000-0000-0000E73F0000}"/>
    <cellStyle name="Nota 2 3 2 3 4 4" xfId="4422" xr:uid="{00000000-0005-0000-0000-0000E83F0000}"/>
    <cellStyle name="Nota 2 3 2 3 4 4 2" xfId="13583" xr:uid="{00000000-0005-0000-0000-0000E93F0000}"/>
    <cellStyle name="Nota 2 3 2 3 4 5" xfId="4804" xr:uid="{00000000-0005-0000-0000-0000EA3F0000}"/>
    <cellStyle name="Nota 2 3 2 3 4 5 2" xfId="13202" xr:uid="{00000000-0005-0000-0000-0000EB3F0000}"/>
    <cellStyle name="Nota 2 3 2 3 4 6" xfId="5790" xr:uid="{00000000-0005-0000-0000-0000EC3F0000}"/>
    <cellStyle name="Nota 2 3 2 3 4 6 2" xfId="19308" xr:uid="{00000000-0005-0000-0000-0000ED3F0000}"/>
    <cellStyle name="Nota 2 3 2 3 4 7" xfId="9399" xr:uid="{00000000-0005-0000-0000-0000EE3F0000}"/>
    <cellStyle name="Nota 2 3 2 3 4 8" xfId="14821" xr:uid="{00000000-0005-0000-0000-0000EF3F0000}"/>
    <cellStyle name="Nota 2 3 2 3 5" xfId="2887" xr:uid="{00000000-0005-0000-0000-0000F03F0000}"/>
    <cellStyle name="Nota 2 3 2 3 5 2" xfId="7498" xr:uid="{00000000-0005-0000-0000-0000F13F0000}"/>
    <cellStyle name="Nota 2 3 2 3 5 2 2" xfId="21016" xr:uid="{00000000-0005-0000-0000-0000F23F0000}"/>
    <cellStyle name="Nota 2 3 2 3 5 3" xfId="9039" xr:uid="{00000000-0005-0000-0000-0000F33F0000}"/>
    <cellStyle name="Nota 2 3 2 3 5 4" xfId="14100" xr:uid="{00000000-0005-0000-0000-0000F43F0000}"/>
    <cellStyle name="Nota 2 3 2 3 6" xfId="8877" xr:uid="{00000000-0005-0000-0000-0000F53F0000}"/>
    <cellStyle name="Nota 2 3 2 4" xfId="2681" xr:uid="{00000000-0005-0000-0000-0000F63F0000}"/>
    <cellStyle name="Nota 2 3 2 4 2" xfId="2739" xr:uid="{00000000-0005-0000-0000-0000F73F0000}"/>
    <cellStyle name="Nota 2 3 2 4 2 2" xfId="2974" xr:uid="{00000000-0005-0000-0000-0000F83F0000}"/>
    <cellStyle name="Nota 2 3 2 4 2 2 10" xfId="9126" xr:uid="{00000000-0005-0000-0000-0000F93F0000}"/>
    <cellStyle name="Nota 2 3 2 4 2 2 11" xfId="15431" xr:uid="{00000000-0005-0000-0000-0000FA3F0000}"/>
    <cellStyle name="Nota 2 3 2 4 2 2 2" xfId="3361" xr:uid="{00000000-0005-0000-0000-0000FB3F0000}"/>
    <cellStyle name="Nota 2 3 2 4 2 2 2 2" xfId="7938" xr:uid="{00000000-0005-0000-0000-0000FC3F0000}"/>
    <cellStyle name="Nota 2 3 2 4 2 2 2 2 2" xfId="11914" xr:uid="{00000000-0005-0000-0000-0000FD3F0000}"/>
    <cellStyle name="Nota 2 3 2 4 2 2 2 2 3" xfId="21456" xr:uid="{00000000-0005-0000-0000-0000FE3F0000}"/>
    <cellStyle name="Nota 2 3 2 4 2 2 2 3" xfId="6230" xr:uid="{00000000-0005-0000-0000-0000FF3F0000}"/>
    <cellStyle name="Nota 2 3 2 4 2 2 2 3 2" xfId="19748" xr:uid="{00000000-0005-0000-0000-000000400000}"/>
    <cellStyle name="Nota 2 3 2 4 2 2 2 4" xfId="9491" xr:uid="{00000000-0005-0000-0000-000001400000}"/>
    <cellStyle name="Nota 2 3 2 4 2 2 2 5" xfId="15578" xr:uid="{00000000-0005-0000-0000-000002400000}"/>
    <cellStyle name="Nota 2 3 2 4 2 2 3" xfId="3744" xr:uid="{00000000-0005-0000-0000-000003400000}"/>
    <cellStyle name="Nota 2 3 2 4 2 2 3 2" xfId="7076" xr:uid="{00000000-0005-0000-0000-000004400000}"/>
    <cellStyle name="Nota 2 3 2 4 2 2 3 2 2" xfId="11210" xr:uid="{00000000-0005-0000-0000-000005400000}"/>
    <cellStyle name="Nota 2 3 2 4 2 2 3 2 3" xfId="20594" xr:uid="{00000000-0005-0000-0000-000006400000}"/>
    <cellStyle name="Nota 2 3 2 4 2 2 3 3" xfId="5367" xr:uid="{00000000-0005-0000-0000-000007400000}"/>
    <cellStyle name="Nota 2 3 2 4 2 2 3 3 2" xfId="18885" xr:uid="{00000000-0005-0000-0000-000008400000}"/>
    <cellStyle name="Nota 2 3 2 4 2 2 3 4" xfId="9806" xr:uid="{00000000-0005-0000-0000-000009400000}"/>
    <cellStyle name="Nota 2 3 2 4 2 2 3 5" xfId="18388" xr:uid="{00000000-0005-0000-0000-00000A400000}"/>
    <cellStyle name="Nota 2 3 2 4 2 2 4" xfId="4127" xr:uid="{00000000-0005-0000-0000-00000B400000}"/>
    <cellStyle name="Nota 2 3 2 4 2 2 4 2" xfId="8245" xr:uid="{00000000-0005-0000-0000-00000C400000}"/>
    <cellStyle name="Nota 2 3 2 4 2 2 4 2 2" xfId="12213" xr:uid="{00000000-0005-0000-0000-00000D400000}"/>
    <cellStyle name="Nota 2 3 2 4 2 2 4 2 3" xfId="21763" xr:uid="{00000000-0005-0000-0000-00000E400000}"/>
    <cellStyle name="Nota 2 3 2 4 2 2 4 3" xfId="6537" xr:uid="{00000000-0005-0000-0000-00000F400000}"/>
    <cellStyle name="Nota 2 3 2 4 2 2 4 3 2" xfId="20055" xr:uid="{00000000-0005-0000-0000-000010400000}"/>
    <cellStyle name="Nota 2 3 2 4 2 2 4 4" xfId="9984" xr:uid="{00000000-0005-0000-0000-000011400000}"/>
    <cellStyle name="Nota 2 3 2 4 2 2 4 5" xfId="12822" xr:uid="{00000000-0005-0000-0000-000012400000}"/>
    <cellStyle name="Nota 2 3 2 4 2 2 5" xfId="4509" xr:uid="{00000000-0005-0000-0000-000013400000}"/>
    <cellStyle name="Nota 2 3 2 4 2 2 5 2" xfId="8477" xr:uid="{00000000-0005-0000-0000-000014400000}"/>
    <cellStyle name="Nota 2 3 2 4 2 2 5 2 2" xfId="12445" xr:uid="{00000000-0005-0000-0000-000015400000}"/>
    <cellStyle name="Nota 2 3 2 4 2 2 5 2 3" xfId="21995" xr:uid="{00000000-0005-0000-0000-000016400000}"/>
    <cellStyle name="Nota 2 3 2 4 2 2 5 3" xfId="6769" xr:uid="{00000000-0005-0000-0000-000017400000}"/>
    <cellStyle name="Nota 2 3 2 4 2 2 5 3 2" xfId="20287" xr:uid="{00000000-0005-0000-0000-000018400000}"/>
    <cellStyle name="Nota 2 3 2 4 2 2 5 4" xfId="10161" xr:uid="{00000000-0005-0000-0000-000019400000}"/>
    <cellStyle name="Nota 2 3 2 4 2 2 5 5" xfId="13496" xr:uid="{00000000-0005-0000-0000-00001A400000}"/>
    <cellStyle name="Nota 2 3 2 4 2 2 6" xfId="7001" xr:uid="{00000000-0005-0000-0000-00001B400000}"/>
    <cellStyle name="Nota 2 3 2 4 2 2 6 2" xfId="8709" xr:uid="{00000000-0005-0000-0000-00001C400000}"/>
    <cellStyle name="Nota 2 3 2 4 2 2 6 2 2" xfId="12677" xr:uid="{00000000-0005-0000-0000-00001D400000}"/>
    <cellStyle name="Nota 2 3 2 4 2 2 6 2 3" xfId="22227" xr:uid="{00000000-0005-0000-0000-00001E400000}"/>
    <cellStyle name="Nota 2 3 2 4 2 2 6 3" xfId="11135" xr:uid="{00000000-0005-0000-0000-00001F400000}"/>
    <cellStyle name="Nota 2 3 2 4 2 2 6 4" xfId="20519" xr:uid="{00000000-0005-0000-0000-000020400000}"/>
    <cellStyle name="Nota 2 3 2 4 2 2 7" xfId="5989" xr:uid="{00000000-0005-0000-0000-000021400000}"/>
    <cellStyle name="Nota 2 3 2 4 2 2 7 2" xfId="10730" xr:uid="{00000000-0005-0000-0000-000022400000}"/>
    <cellStyle name="Nota 2 3 2 4 2 2 7 3" xfId="19507" xr:uid="{00000000-0005-0000-0000-000023400000}"/>
    <cellStyle name="Nota 2 3 2 4 2 2 8" xfId="7697" xr:uid="{00000000-0005-0000-0000-000024400000}"/>
    <cellStyle name="Nota 2 3 2 4 2 2 8 2" xfId="11718" xr:uid="{00000000-0005-0000-0000-000025400000}"/>
    <cellStyle name="Nota 2 3 2 4 2 2 8 3" xfId="21215" xr:uid="{00000000-0005-0000-0000-000026400000}"/>
    <cellStyle name="Nota 2 3 2 4 2 2 9" xfId="5183" xr:uid="{00000000-0005-0000-0000-000027400000}"/>
    <cellStyle name="Nota 2 3 2 4 2 2 9 2" xfId="12899" xr:uid="{00000000-0005-0000-0000-000028400000}"/>
    <cellStyle name="Nota 2 3 2 4 2 3" xfId="3229" xr:uid="{00000000-0005-0000-0000-000029400000}"/>
    <cellStyle name="Nota 2 3 2 4 2 3 10" xfId="9359" xr:uid="{00000000-0005-0000-0000-00002A400000}"/>
    <cellStyle name="Nota 2 3 2 4 2 3 11" xfId="18036" xr:uid="{00000000-0005-0000-0000-00002B400000}"/>
    <cellStyle name="Nota 2 3 2 4 2 3 2" xfId="3616" xr:uid="{00000000-0005-0000-0000-00002C400000}"/>
    <cellStyle name="Nota 2 3 2 4 2 3 2 2" xfId="7977" xr:uid="{00000000-0005-0000-0000-00002D400000}"/>
    <cellStyle name="Nota 2 3 2 4 2 3 2 2 2" xfId="11953" xr:uid="{00000000-0005-0000-0000-00002E400000}"/>
    <cellStyle name="Nota 2 3 2 4 2 3 2 2 3" xfId="21495" xr:uid="{00000000-0005-0000-0000-00002F400000}"/>
    <cellStyle name="Nota 2 3 2 4 2 3 2 3" xfId="6269" xr:uid="{00000000-0005-0000-0000-000030400000}"/>
    <cellStyle name="Nota 2 3 2 4 2 3 2 3 2" xfId="19787" xr:uid="{00000000-0005-0000-0000-000031400000}"/>
    <cellStyle name="Nota 2 3 2 4 2 3 2 4" xfId="9708" xr:uid="{00000000-0005-0000-0000-000032400000}"/>
    <cellStyle name="Nota 2 3 2 4 2 3 2 5" xfId="18433" xr:uid="{00000000-0005-0000-0000-000033400000}"/>
    <cellStyle name="Nota 2 3 2 4 2 3 3" xfId="3999" xr:uid="{00000000-0005-0000-0000-000034400000}"/>
    <cellStyle name="Nota 2 3 2 4 2 3 3 2" xfId="7089" xr:uid="{00000000-0005-0000-0000-000035400000}"/>
    <cellStyle name="Nota 2 3 2 4 2 3 3 2 2" xfId="11223" xr:uid="{00000000-0005-0000-0000-000036400000}"/>
    <cellStyle name="Nota 2 3 2 4 2 3 3 2 3" xfId="20607" xr:uid="{00000000-0005-0000-0000-000037400000}"/>
    <cellStyle name="Nota 2 3 2 4 2 3 3 3" xfId="5380" xr:uid="{00000000-0005-0000-0000-000038400000}"/>
    <cellStyle name="Nota 2 3 2 4 2 3 3 3 2" xfId="18898" xr:uid="{00000000-0005-0000-0000-000039400000}"/>
    <cellStyle name="Nota 2 3 2 4 2 3 3 4" xfId="9918" xr:uid="{00000000-0005-0000-0000-00003A400000}"/>
    <cellStyle name="Nota 2 3 2 4 2 3 3 5" xfId="13992" xr:uid="{00000000-0005-0000-0000-00003B400000}"/>
    <cellStyle name="Nota 2 3 2 4 2 3 4" xfId="4382" xr:uid="{00000000-0005-0000-0000-00003C400000}"/>
    <cellStyle name="Nota 2 3 2 4 2 3 4 2" xfId="8284" xr:uid="{00000000-0005-0000-0000-00003D400000}"/>
    <cellStyle name="Nota 2 3 2 4 2 3 4 2 2" xfId="12252" xr:uid="{00000000-0005-0000-0000-00003E400000}"/>
    <cellStyle name="Nota 2 3 2 4 2 3 4 2 3" xfId="21802" xr:uid="{00000000-0005-0000-0000-00003F400000}"/>
    <cellStyle name="Nota 2 3 2 4 2 3 4 3" xfId="6576" xr:uid="{00000000-0005-0000-0000-000040400000}"/>
    <cellStyle name="Nota 2 3 2 4 2 3 4 3 2" xfId="20094" xr:uid="{00000000-0005-0000-0000-000041400000}"/>
    <cellStyle name="Nota 2 3 2 4 2 3 4 4" xfId="10096" xr:uid="{00000000-0005-0000-0000-000042400000}"/>
    <cellStyle name="Nota 2 3 2 4 2 3 4 5" xfId="13623" xr:uid="{00000000-0005-0000-0000-000043400000}"/>
    <cellStyle name="Nota 2 3 2 4 2 3 5" xfId="4764" xr:uid="{00000000-0005-0000-0000-000044400000}"/>
    <cellStyle name="Nota 2 3 2 4 2 3 5 2" xfId="8516" xr:uid="{00000000-0005-0000-0000-000045400000}"/>
    <cellStyle name="Nota 2 3 2 4 2 3 5 2 2" xfId="12484" xr:uid="{00000000-0005-0000-0000-000046400000}"/>
    <cellStyle name="Nota 2 3 2 4 2 3 5 2 3" xfId="22034" xr:uid="{00000000-0005-0000-0000-000047400000}"/>
    <cellStyle name="Nota 2 3 2 4 2 3 5 3" xfId="6808" xr:uid="{00000000-0005-0000-0000-000048400000}"/>
    <cellStyle name="Nota 2 3 2 4 2 3 5 3 2" xfId="20326" xr:uid="{00000000-0005-0000-0000-000049400000}"/>
    <cellStyle name="Nota 2 3 2 4 2 3 5 4" xfId="10273" xr:uid="{00000000-0005-0000-0000-00004A400000}"/>
    <cellStyle name="Nota 2 3 2 4 2 3 5 5" xfId="13241" xr:uid="{00000000-0005-0000-0000-00004B400000}"/>
    <cellStyle name="Nota 2 3 2 4 2 3 6" xfId="7040" xr:uid="{00000000-0005-0000-0000-00004C400000}"/>
    <cellStyle name="Nota 2 3 2 4 2 3 6 2" xfId="8748" xr:uid="{00000000-0005-0000-0000-00004D400000}"/>
    <cellStyle name="Nota 2 3 2 4 2 3 6 2 2" xfId="12716" xr:uid="{00000000-0005-0000-0000-00004E400000}"/>
    <cellStyle name="Nota 2 3 2 4 2 3 6 2 3" xfId="22266" xr:uid="{00000000-0005-0000-0000-00004F400000}"/>
    <cellStyle name="Nota 2 3 2 4 2 3 6 3" xfId="11174" xr:uid="{00000000-0005-0000-0000-000050400000}"/>
    <cellStyle name="Nota 2 3 2 4 2 3 6 4" xfId="20558" xr:uid="{00000000-0005-0000-0000-000051400000}"/>
    <cellStyle name="Nota 2 3 2 4 2 3 7" xfId="6028" xr:uid="{00000000-0005-0000-0000-000052400000}"/>
    <cellStyle name="Nota 2 3 2 4 2 3 7 2" xfId="10769" xr:uid="{00000000-0005-0000-0000-000053400000}"/>
    <cellStyle name="Nota 2 3 2 4 2 3 7 3" xfId="19546" xr:uid="{00000000-0005-0000-0000-000054400000}"/>
    <cellStyle name="Nota 2 3 2 4 2 3 8" xfId="7736" xr:uid="{00000000-0005-0000-0000-000055400000}"/>
    <cellStyle name="Nota 2 3 2 4 2 3 8 2" xfId="11757" xr:uid="{00000000-0005-0000-0000-000056400000}"/>
    <cellStyle name="Nota 2 3 2 4 2 3 8 3" xfId="21254" xr:uid="{00000000-0005-0000-0000-000057400000}"/>
    <cellStyle name="Nota 2 3 2 4 2 3 9" xfId="5222" xr:uid="{00000000-0005-0000-0000-000058400000}"/>
    <cellStyle name="Nota 2 3 2 4 2 3 9 2" xfId="12872" xr:uid="{00000000-0005-0000-0000-000059400000}"/>
    <cellStyle name="Nota 2 3 2 4 2 4" xfId="3286" xr:uid="{00000000-0005-0000-0000-00005A400000}"/>
    <cellStyle name="Nota 2 3 2 4 2 4 2" xfId="3673" xr:uid="{00000000-0005-0000-0000-00005B400000}"/>
    <cellStyle name="Nota 2 3 2 4 2 4 2 2" xfId="16697" xr:uid="{00000000-0005-0000-0000-00005C400000}"/>
    <cellStyle name="Nota 2 3 2 4 2 4 3" xfId="4056" xr:uid="{00000000-0005-0000-0000-00005D400000}"/>
    <cellStyle name="Nota 2 3 2 4 2 4 3 2" xfId="12743" xr:uid="{00000000-0005-0000-0000-00005E400000}"/>
    <cellStyle name="Nota 2 3 2 4 2 4 4" xfId="4439" xr:uid="{00000000-0005-0000-0000-00005F400000}"/>
    <cellStyle name="Nota 2 3 2 4 2 4 4 2" xfId="13566" xr:uid="{00000000-0005-0000-0000-000060400000}"/>
    <cellStyle name="Nota 2 3 2 4 2 4 5" xfId="4821" xr:uid="{00000000-0005-0000-0000-000061400000}"/>
    <cellStyle name="Nota 2 3 2 4 2 4 5 2" xfId="13185" xr:uid="{00000000-0005-0000-0000-000062400000}"/>
    <cellStyle name="Nota 2 3 2 4 2 4 6" xfId="5857" xr:uid="{00000000-0005-0000-0000-000063400000}"/>
    <cellStyle name="Nota 2 3 2 4 2 4 6 2" xfId="19375" xr:uid="{00000000-0005-0000-0000-000064400000}"/>
    <cellStyle name="Nota 2 3 2 4 2 4 7" xfId="9416" xr:uid="{00000000-0005-0000-0000-000065400000}"/>
    <cellStyle name="Nota 2 3 2 4 2 4 8" xfId="17755" xr:uid="{00000000-0005-0000-0000-000066400000}"/>
    <cellStyle name="Nota 2 3 2 4 2 5" xfId="2904" xr:uid="{00000000-0005-0000-0000-000067400000}"/>
    <cellStyle name="Nota 2 3 2 4 2 5 2" xfId="7565" xr:uid="{00000000-0005-0000-0000-000068400000}"/>
    <cellStyle name="Nota 2 3 2 4 2 5 2 2" xfId="21083" xr:uid="{00000000-0005-0000-0000-000069400000}"/>
    <cellStyle name="Nota 2 3 2 4 2 5 3" xfId="9056" xr:uid="{00000000-0005-0000-0000-00006A400000}"/>
    <cellStyle name="Nota 2 3 2 4 2 5 4" xfId="15102" xr:uid="{00000000-0005-0000-0000-00006B400000}"/>
    <cellStyle name="Nota 2 3 2 4 2 6" xfId="8894" xr:uid="{00000000-0005-0000-0000-00006C400000}"/>
    <cellStyle name="Nota 2 3 2 4 3" xfId="2950" xr:uid="{00000000-0005-0000-0000-00006D400000}"/>
    <cellStyle name="Nota 2 3 2 4 3 10" xfId="9102" xr:uid="{00000000-0005-0000-0000-00006E400000}"/>
    <cellStyle name="Nota 2 3 2 4 3 11" xfId="18105" xr:uid="{00000000-0005-0000-0000-00006F400000}"/>
    <cellStyle name="Nota 2 3 2 4 3 2" xfId="3337" xr:uid="{00000000-0005-0000-0000-000070400000}"/>
    <cellStyle name="Nota 2 3 2 4 3 2 2" xfId="5071" xr:uid="{00000000-0005-0000-0000-000071400000}"/>
    <cellStyle name="Nota 2 3 2 4 3 2 2 2" xfId="10323" xr:uid="{00000000-0005-0000-0000-000072400000}"/>
    <cellStyle name="Nota 2 3 2 4 3 2 2 3" xfId="12961" xr:uid="{00000000-0005-0000-0000-000073400000}"/>
    <cellStyle name="Nota 2 3 2 4 3 2 3" xfId="5296" xr:uid="{00000000-0005-0000-0000-000074400000}"/>
    <cellStyle name="Nota 2 3 2 4 3 2 3 2" xfId="18814" xr:uid="{00000000-0005-0000-0000-000075400000}"/>
    <cellStyle name="Nota 2 3 2 4 3 2 4" xfId="9467" xr:uid="{00000000-0005-0000-0000-000076400000}"/>
    <cellStyle name="Nota 2 3 2 4 3 2 5" xfId="18761" xr:uid="{00000000-0005-0000-0000-000077400000}"/>
    <cellStyle name="Nota 2 3 2 4 3 3" xfId="3720" xr:uid="{00000000-0005-0000-0000-000078400000}"/>
    <cellStyle name="Nota 2 3 2 4 3 3 2" xfId="7792" xr:uid="{00000000-0005-0000-0000-000079400000}"/>
    <cellStyle name="Nota 2 3 2 4 3 3 2 2" xfId="11808" xr:uid="{00000000-0005-0000-0000-00007A400000}"/>
    <cellStyle name="Nota 2 3 2 4 3 3 2 3" xfId="21310" xr:uid="{00000000-0005-0000-0000-00007B400000}"/>
    <cellStyle name="Nota 2 3 2 4 3 3 3" xfId="6084" xr:uid="{00000000-0005-0000-0000-00007C400000}"/>
    <cellStyle name="Nota 2 3 2 4 3 3 3 2" xfId="19602" xr:uid="{00000000-0005-0000-0000-00007D400000}"/>
    <cellStyle name="Nota 2 3 2 4 3 3 4" xfId="9782" xr:uid="{00000000-0005-0000-0000-00007E400000}"/>
    <cellStyle name="Nota 2 3 2 4 3 3 5" xfId="16295" xr:uid="{00000000-0005-0000-0000-00007F400000}"/>
    <cellStyle name="Nota 2 3 2 4 3 4" xfId="4103" xr:uid="{00000000-0005-0000-0000-000080400000}"/>
    <cellStyle name="Nota 2 3 2 4 3 4 2" xfId="8224" xr:uid="{00000000-0005-0000-0000-000081400000}"/>
    <cellStyle name="Nota 2 3 2 4 3 4 2 2" xfId="12192" xr:uid="{00000000-0005-0000-0000-000082400000}"/>
    <cellStyle name="Nota 2 3 2 4 3 4 2 3" xfId="21742" xr:uid="{00000000-0005-0000-0000-000083400000}"/>
    <cellStyle name="Nota 2 3 2 4 3 4 3" xfId="6516" xr:uid="{00000000-0005-0000-0000-000084400000}"/>
    <cellStyle name="Nota 2 3 2 4 3 4 3 2" xfId="20034" xr:uid="{00000000-0005-0000-0000-000085400000}"/>
    <cellStyle name="Nota 2 3 2 4 3 4 4" xfId="9960" xr:uid="{00000000-0005-0000-0000-000086400000}"/>
    <cellStyle name="Nota 2 3 2 4 3 4 5" xfId="13891" xr:uid="{00000000-0005-0000-0000-000087400000}"/>
    <cellStyle name="Nota 2 3 2 4 3 5" xfId="4485" xr:uid="{00000000-0005-0000-0000-000088400000}"/>
    <cellStyle name="Nota 2 3 2 4 3 5 2" xfId="8456" xr:uid="{00000000-0005-0000-0000-000089400000}"/>
    <cellStyle name="Nota 2 3 2 4 3 5 2 2" xfId="12424" xr:uid="{00000000-0005-0000-0000-00008A400000}"/>
    <cellStyle name="Nota 2 3 2 4 3 5 2 3" xfId="21974" xr:uid="{00000000-0005-0000-0000-00008B400000}"/>
    <cellStyle name="Nota 2 3 2 4 3 5 3" xfId="6748" xr:uid="{00000000-0005-0000-0000-00008C400000}"/>
    <cellStyle name="Nota 2 3 2 4 3 5 3 2" xfId="20266" xr:uid="{00000000-0005-0000-0000-00008D400000}"/>
    <cellStyle name="Nota 2 3 2 4 3 5 4" xfId="10137" xr:uid="{00000000-0005-0000-0000-00008E400000}"/>
    <cellStyle name="Nota 2 3 2 4 3 5 5" xfId="13520" xr:uid="{00000000-0005-0000-0000-00008F400000}"/>
    <cellStyle name="Nota 2 3 2 4 3 6" xfId="6980" xr:uid="{00000000-0005-0000-0000-000090400000}"/>
    <cellStyle name="Nota 2 3 2 4 3 6 2" xfId="8688" xr:uid="{00000000-0005-0000-0000-000091400000}"/>
    <cellStyle name="Nota 2 3 2 4 3 6 2 2" xfId="12656" xr:uid="{00000000-0005-0000-0000-000092400000}"/>
    <cellStyle name="Nota 2 3 2 4 3 6 2 3" xfId="22206" xr:uid="{00000000-0005-0000-0000-000093400000}"/>
    <cellStyle name="Nota 2 3 2 4 3 6 3" xfId="11114" xr:uid="{00000000-0005-0000-0000-000094400000}"/>
    <cellStyle name="Nota 2 3 2 4 3 6 4" xfId="20498" xr:uid="{00000000-0005-0000-0000-000095400000}"/>
    <cellStyle name="Nota 2 3 2 4 3 7" xfId="5968" xr:uid="{00000000-0005-0000-0000-000096400000}"/>
    <cellStyle name="Nota 2 3 2 4 3 7 2" xfId="10709" xr:uid="{00000000-0005-0000-0000-000097400000}"/>
    <cellStyle name="Nota 2 3 2 4 3 7 3" xfId="19486" xr:uid="{00000000-0005-0000-0000-000098400000}"/>
    <cellStyle name="Nota 2 3 2 4 3 8" xfId="7676" xr:uid="{00000000-0005-0000-0000-000099400000}"/>
    <cellStyle name="Nota 2 3 2 4 3 8 2" xfId="11697" xr:uid="{00000000-0005-0000-0000-00009A400000}"/>
    <cellStyle name="Nota 2 3 2 4 3 8 3" xfId="21194" xr:uid="{00000000-0005-0000-0000-00009B400000}"/>
    <cellStyle name="Nota 2 3 2 4 3 9" xfId="5161" xr:uid="{00000000-0005-0000-0000-00009C400000}"/>
    <cellStyle name="Nota 2 3 2 4 3 9 2" xfId="12921" xr:uid="{00000000-0005-0000-0000-00009D400000}"/>
    <cellStyle name="Nota 2 3 2 4 4" xfId="3172" xr:uid="{00000000-0005-0000-0000-00009E400000}"/>
    <cellStyle name="Nota 2 3 2 4 4 10" xfId="9302" xr:uid="{00000000-0005-0000-0000-00009F400000}"/>
    <cellStyle name="Nota 2 3 2 4 4 11" xfId="16221" xr:uid="{00000000-0005-0000-0000-0000A0400000}"/>
    <cellStyle name="Nota 2 3 2 4 4 2" xfId="3559" xr:uid="{00000000-0005-0000-0000-0000A1400000}"/>
    <cellStyle name="Nota 2 3 2 4 4 2 2" xfId="7429" xr:uid="{00000000-0005-0000-0000-0000A2400000}"/>
    <cellStyle name="Nota 2 3 2 4 4 2 2 2" xfId="11490" xr:uid="{00000000-0005-0000-0000-0000A3400000}"/>
    <cellStyle name="Nota 2 3 2 4 4 2 2 3" xfId="20947" xr:uid="{00000000-0005-0000-0000-0000A4400000}"/>
    <cellStyle name="Nota 2 3 2 4 4 2 3" xfId="5720" xr:uid="{00000000-0005-0000-0000-0000A5400000}"/>
    <cellStyle name="Nota 2 3 2 4 4 2 3 2" xfId="19238" xr:uid="{00000000-0005-0000-0000-0000A6400000}"/>
    <cellStyle name="Nota 2 3 2 4 4 2 4" xfId="9651" xr:uid="{00000000-0005-0000-0000-0000A7400000}"/>
    <cellStyle name="Nota 2 3 2 4 4 2 5" xfId="15356" xr:uid="{00000000-0005-0000-0000-0000A8400000}"/>
    <cellStyle name="Nota 2 3 2 4 4 3" xfId="3942" xr:uid="{00000000-0005-0000-0000-0000A9400000}"/>
    <cellStyle name="Nota 2 3 2 4 4 3 2" xfId="7810" xr:uid="{00000000-0005-0000-0000-0000AA400000}"/>
    <cellStyle name="Nota 2 3 2 4 4 3 2 2" xfId="11822" xr:uid="{00000000-0005-0000-0000-0000AB400000}"/>
    <cellStyle name="Nota 2 3 2 4 4 3 2 3" xfId="21328" xr:uid="{00000000-0005-0000-0000-0000AC400000}"/>
    <cellStyle name="Nota 2 3 2 4 4 3 3" xfId="6102" xr:uid="{00000000-0005-0000-0000-0000AD400000}"/>
    <cellStyle name="Nota 2 3 2 4 4 3 3 2" xfId="19620" xr:uid="{00000000-0005-0000-0000-0000AE400000}"/>
    <cellStyle name="Nota 2 3 2 4 4 3 4" xfId="9865" xr:uid="{00000000-0005-0000-0000-0000AF400000}"/>
    <cellStyle name="Nota 2 3 2 4 4 3 5" xfId="14049" xr:uid="{00000000-0005-0000-0000-0000B0400000}"/>
    <cellStyle name="Nota 2 3 2 4 4 4" xfId="4325" xr:uid="{00000000-0005-0000-0000-0000B1400000}"/>
    <cellStyle name="Nota 2 3 2 4 4 4 2" xfId="8168" xr:uid="{00000000-0005-0000-0000-0000B2400000}"/>
    <cellStyle name="Nota 2 3 2 4 4 4 2 2" xfId="12136" xr:uid="{00000000-0005-0000-0000-0000B3400000}"/>
    <cellStyle name="Nota 2 3 2 4 4 4 2 3" xfId="21686" xr:uid="{00000000-0005-0000-0000-0000B4400000}"/>
    <cellStyle name="Nota 2 3 2 4 4 4 3" xfId="6460" xr:uid="{00000000-0005-0000-0000-0000B5400000}"/>
    <cellStyle name="Nota 2 3 2 4 4 4 3 2" xfId="19978" xr:uid="{00000000-0005-0000-0000-0000B6400000}"/>
    <cellStyle name="Nota 2 3 2 4 4 4 4" xfId="10043" xr:uid="{00000000-0005-0000-0000-0000B7400000}"/>
    <cellStyle name="Nota 2 3 2 4 4 4 5" xfId="13680" xr:uid="{00000000-0005-0000-0000-0000B8400000}"/>
    <cellStyle name="Nota 2 3 2 4 4 5" xfId="4707" xr:uid="{00000000-0005-0000-0000-0000B9400000}"/>
    <cellStyle name="Nota 2 3 2 4 4 5 2" xfId="8400" xr:uid="{00000000-0005-0000-0000-0000BA400000}"/>
    <cellStyle name="Nota 2 3 2 4 4 5 2 2" xfId="12368" xr:uid="{00000000-0005-0000-0000-0000BB400000}"/>
    <cellStyle name="Nota 2 3 2 4 4 5 2 3" xfId="21918" xr:uid="{00000000-0005-0000-0000-0000BC400000}"/>
    <cellStyle name="Nota 2 3 2 4 4 5 3" xfId="6692" xr:uid="{00000000-0005-0000-0000-0000BD400000}"/>
    <cellStyle name="Nota 2 3 2 4 4 5 3 2" xfId="20210" xr:uid="{00000000-0005-0000-0000-0000BE400000}"/>
    <cellStyle name="Nota 2 3 2 4 4 5 4" xfId="10220" xr:uid="{00000000-0005-0000-0000-0000BF400000}"/>
    <cellStyle name="Nota 2 3 2 4 4 5 5" xfId="13298" xr:uid="{00000000-0005-0000-0000-0000C0400000}"/>
    <cellStyle name="Nota 2 3 2 4 4 6" xfId="6924" xr:uid="{00000000-0005-0000-0000-0000C1400000}"/>
    <cellStyle name="Nota 2 3 2 4 4 6 2" xfId="8632" xr:uid="{00000000-0005-0000-0000-0000C2400000}"/>
    <cellStyle name="Nota 2 3 2 4 4 6 2 2" xfId="12600" xr:uid="{00000000-0005-0000-0000-0000C3400000}"/>
    <cellStyle name="Nota 2 3 2 4 4 6 2 3" xfId="22150" xr:uid="{00000000-0005-0000-0000-0000C4400000}"/>
    <cellStyle name="Nota 2 3 2 4 4 6 3" xfId="11058" xr:uid="{00000000-0005-0000-0000-0000C5400000}"/>
    <cellStyle name="Nota 2 3 2 4 4 6 4" xfId="20442" xr:uid="{00000000-0005-0000-0000-0000C6400000}"/>
    <cellStyle name="Nota 2 3 2 4 4 7" xfId="5912" xr:uid="{00000000-0005-0000-0000-0000C7400000}"/>
    <cellStyle name="Nota 2 3 2 4 4 7 2" xfId="10653" xr:uid="{00000000-0005-0000-0000-0000C8400000}"/>
    <cellStyle name="Nota 2 3 2 4 4 7 3" xfId="19430" xr:uid="{00000000-0005-0000-0000-0000C9400000}"/>
    <cellStyle name="Nota 2 3 2 4 4 8" xfId="7620" xr:uid="{00000000-0005-0000-0000-0000CA400000}"/>
    <cellStyle name="Nota 2 3 2 4 4 8 2" xfId="11641" xr:uid="{00000000-0005-0000-0000-0000CB400000}"/>
    <cellStyle name="Nota 2 3 2 4 4 8 3" xfId="21138" xr:uid="{00000000-0005-0000-0000-0000CC400000}"/>
    <cellStyle name="Nota 2 3 2 4 4 9" xfId="5008" xr:uid="{00000000-0005-0000-0000-0000CD400000}"/>
    <cellStyle name="Nota 2 3 2 4 4 9 2" xfId="13011" xr:uid="{00000000-0005-0000-0000-0000CE400000}"/>
    <cellStyle name="Nota 2 3 2 4 5" xfId="3050" xr:uid="{00000000-0005-0000-0000-0000CF400000}"/>
    <cellStyle name="Nota 2 3 2 4 5 2" xfId="3437" xr:uid="{00000000-0005-0000-0000-0000D0400000}"/>
    <cellStyle name="Nota 2 3 2 4 5 2 2" xfId="18336" xr:uid="{00000000-0005-0000-0000-0000D1400000}"/>
    <cellStyle name="Nota 2 3 2 4 5 3" xfId="3820" xr:uid="{00000000-0005-0000-0000-0000D2400000}"/>
    <cellStyle name="Nota 2 3 2 4 5 3 2" xfId="15834" xr:uid="{00000000-0005-0000-0000-0000D3400000}"/>
    <cellStyle name="Nota 2 3 2 4 5 4" xfId="4203" xr:uid="{00000000-0005-0000-0000-0000D4400000}"/>
    <cellStyle name="Nota 2 3 2 4 5 4 2" xfId="13802" xr:uid="{00000000-0005-0000-0000-0000D5400000}"/>
    <cellStyle name="Nota 2 3 2 4 5 5" xfId="4585" xr:uid="{00000000-0005-0000-0000-0000D6400000}"/>
    <cellStyle name="Nota 2 3 2 4 5 5 2" xfId="13420" xr:uid="{00000000-0005-0000-0000-0000D7400000}"/>
    <cellStyle name="Nota 2 3 2 4 5 6" xfId="5818" xr:uid="{00000000-0005-0000-0000-0000D8400000}"/>
    <cellStyle name="Nota 2 3 2 4 5 6 2" xfId="19336" xr:uid="{00000000-0005-0000-0000-0000D9400000}"/>
    <cellStyle name="Nota 2 3 2 4 5 7" xfId="9190" xr:uid="{00000000-0005-0000-0000-0000DA400000}"/>
    <cellStyle name="Nota 2 3 2 4 5 8" xfId="18149" xr:uid="{00000000-0005-0000-0000-0000DB400000}"/>
    <cellStyle name="Nota 2 3 2 4 6" xfId="2881" xr:uid="{00000000-0005-0000-0000-0000DC400000}"/>
    <cellStyle name="Nota 2 3 2 4 6 2" xfId="7526" xr:uid="{00000000-0005-0000-0000-0000DD400000}"/>
    <cellStyle name="Nota 2 3 2 4 6 2 2" xfId="21044" xr:uid="{00000000-0005-0000-0000-0000DE400000}"/>
    <cellStyle name="Nota 2 3 2 4 6 3" xfId="9033" xr:uid="{00000000-0005-0000-0000-0000DF400000}"/>
    <cellStyle name="Nota 2 3 2 4 6 4" xfId="15838" xr:uid="{00000000-0005-0000-0000-0000E0400000}"/>
    <cellStyle name="Nota 2 3 2 4 7" xfId="8837" xr:uid="{00000000-0005-0000-0000-0000E1400000}"/>
    <cellStyle name="Nota 2 3 2 4 8" xfId="16160" xr:uid="{00000000-0005-0000-0000-0000E2400000}"/>
    <cellStyle name="Nota 2 3 2 5" xfId="2824" xr:uid="{00000000-0005-0000-0000-0000E3400000}"/>
    <cellStyle name="Nota 2 3 2 5 10" xfId="8977" xr:uid="{00000000-0005-0000-0000-0000E4400000}"/>
    <cellStyle name="Nota 2 3 2 5 11" xfId="15284" xr:uid="{00000000-0005-0000-0000-0000E5400000}"/>
    <cellStyle name="Nota 2 3 2 5 2" xfId="2778" xr:uid="{00000000-0005-0000-0000-0000E6400000}"/>
    <cellStyle name="Nota 2 3 2 5 2 2" xfId="7292" xr:uid="{00000000-0005-0000-0000-0000E7400000}"/>
    <cellStyle name="Nota 2 3 2 5 2 2 2" xfId="11397" xr:uid="{00000000-0005-0000-0000-0000E8400000}"/>
    <cellStyle name="Nota 2 3 2 5 2 2 3" xfId="20810" xr:uid="{00000000-0005-0000-0000-0000E9400000}"/>
    <cellStyle name="Nota 2 3 2 5 2 3" xfId="5583" xr:uid="{00000000-0005-0000-0000-0000EA400000}"/>
    <cellStyle name="Nota 2 3 2 5 2 3 2" xfId="19101" xr:uid="{00000000-0005-0000-0000-0000EB400000}"/>
    <cellStyle name="Nota 2 3 2 5 2 4" xfId="8933" xr:uid="{00000000-0005-0000-0000-0000EC400000}"/>
    <cellStyle name="Nota 2 3 2 5 2 5" xfId="17042" xr:uid="{00000000-0005-0000-0000-0000ED400000}"/>
    <cellStyle name="Nota 2 3 2 5 3" xfId="2796" xr:uid="{00000000-0005-0000-0000-0000EE400000}"/>
    <cellStyle name="Nota 2 3 2 5 3 2" xfId="7105" xr:uid="{00000000-0005-0000-0000-0000EF400000}"/>
    <cellStyle name="Nota 2 3 2 5 3 2 2" xfId="11239" xr:uid="{00000000-0005-0000-0000-0000F0400000}"/>
    <cellStyle name="Nota 2 3 2 5 3 2 3" xfId="20623" xr:uid="{00000000-0005-0000-0000-0000F1400000}"/>
    <cellStyle name="Nota 2 3 2 5 3 3" xfId="5396" xr:uid="{00000000-0005-0000-0000-0000F2400000}"/>
    <cellStyle name="Nota 2 3 2 5 3 3 2" xfId="18914" xr:uid="{00000000-0005-0000-0000-0000F3400000}"/>
    <cellStyle name="Nota 2 3 2 5 3 4" xfId="8951" xr:uid="{00000000-0005-0000-0000-0000F4400000}"/>
    <cellStyle name="Nota 2 3 2 5 3 5" xfId="15989" xr:uid="{00000000-0005-0000-0000-0000F5400000}"/>
    <cellStyle name="Nota 2 3 2 5 4" xfId="2815" xr:uid="{00000000-0005-0000-0000-0000F6400000}"/>
    <cellStyle name="Nota 2 3 2 5 4 2" xfId="8206" xr:uid="{00000000-0005-0000-0000-0000F7400000}"/>
    <cellStyle name="Nota 2 3 2 5 4 2 2" xfId="12174" xr:uid="{00000000-0005-0000-0000-0000F8400000}"/>
    <cellStyle name="Nota 2 3 2 5 4 2 3" xfId="21724" xr:uid="{00000000-0005-0000-0000-0000F9400000}"/>
    <cellStyle name="Nota 2 3 2 5 4 3" xfId="6498" xr:uid="{00000000-0005-0000-0000-0000FA400000}"/>
    <cellStyle name="Nota 2 3 2 5 4 3 2" xfId="20016" xr:uid="{00000000-0005-0000-0000-0000FB400000}"/>
    <cellStyle name="Nota 2 3 2 5 4 4" xfId="8970" xr:uid="{00000000-0005-0000-0000-0000FC400000}"/>
    <cellStyle name="Nota 2 3 2 5 4 5" xfId="17981" xr:uid="{00000000-0005-0000-0000-0000FD400000}"/>
    <cellStyle name="Nota 2 3 2 5 5" xfId="2790" xr:uid="{00000000-0005-0000-0000-0000FE400000}"/>
    <cellStyle name="Nota 2 3 2 5 5 2" xfId="8438" xr:uid="{00000000-0005-0000-0000-0000FF400000}"/>
    <cellStyle name="Nota 2 3 2 5 5 2 2" xfId="12406" xr:uid="{00000000-0005-0000-0000-000000410000}"/>
    <cellStyle name="Nota 2 3 2 5 5 2 3" xfId="21956" xr:uid="{00000000-0005-0000-0000-000001410000}"/>
    <cellStyle name="Nota 2 3 2 5 5 3" xfId="6730" xr:uid="{00000000-0005-0000-0000-000002410000}"/>
    <cellStyle name="Nota 2 3 2 5 5 3 2" xfId="20248" xr:uid="{00000000-0005-0000-0000-000003410000}"/>
    <cellStyle name="Nota 2 3 2 5 5 4" xfId="8945" xr:uid="{00000000-0005-0000-0000-000004410000}"/>
    <cellStyle name="Nota 2 3 2 5 5 5" xfId="16567" xr:uid="{00000000-0005-0000-0000-000005410000}"/>
    <cellStyle name="Nota 2 3 2 5 6" xfId="6962" xr:uid="{00000000-0005-0000-0000-000006410000}"/>
    <cellStyle name="Nota 2 3 2 5 6 2" xfId="8670" xr:uid="{00000000-0005-0000-0000-000007410000}"/>
    <cellStyle name="Nota 2 3 2 5 6 2 2" xfId="12638" xr:uid="{00000000-0005-0000-0000-000008410000}"/>
    <cellStyle name="Nota 2 3 2 5 6 2 3" xfId="22188" xr:uid="{00000000-0005-0000-0000-000009410000}"/>
    <cellStyle name="Nota 2 3 2 5 6 3" xfId="11096" xr:uid="{00000000-0005-0000-0000-00000A410000}"/>
    <cellStyle name="Nota 2 3 2 5 6 4" xfId="20480" xr:uid="{00000000-0005-0000-0000-00000B410000}"/>
    <cellStyle name="Nota 2 3 2 5 7" xfId="5950" xr:uid="{00000000-0005-0000-0000-00000C410000}"/>
    <cellStyle name="Nota 2 3 2 5 7 2" xfId="10691" xr:uid="{00000000-0005-0000-0000-00000D410000}"/>
    <cellStyle name="Nota 2 3 2 5 7 3" xfId="19468" xr:uid="{00000000-0005-0000-0000-00000E410000}"/>
    <cellStyle name="Nota 2 3 2 5 8" xfId="7658" xr:uid="{00000000-0005-0000-0000-00000F410000}"/>
    <cellStyle name="Nota 2 3 2 5 8 2" xfId="11679" xr:uid="{00000000-0005-0000-0000-000010410000}"/>
    <cellStyle name="Nota 2 3 2 5 8 3" xfId="21176" xr:uid="{00000000-0005-0000-0000-000011410000}"/>
    <cellStyle name="Nota 2 3 2 5 9" xfId="5051" xr:uid="{00000000-0005-0000-0000-000012410000}"/>
    <cellStyle name="Nota 2 3 2 5 9 2" xfId="12970" xr:uid="{00000000-0005-0000-0000-000013410000}"/>
    <cellStyle name="Nota 2 3 2 6" xfId="2933" xr:uid="{00000000-0005-0000-0000-000014410000}"/>
    <cellStyle name="Nota 2 3 2 6 2" xfId="3320" xr:uid="{00000000-0005-0000-0000-000015410000}"/>
    <cellStyle name="Nota 2 3 2 6 2 2" xfId="7420" xr:uid="{00000000-0005-0000-0000-000016410000}"/>
    <cellStyle name="Nota 2 3 2 6 2 2 2" xfId="20938" xr:uid="{00000000-0005-0000-0000-000017410000}"/>
    <cellStyle name="Nota 2 3 2 6 2 3" xfId="9450" xr:uid="{00000000-0005-0000-0000-000018410000}"/>
    <cellStyle name="Nota 2 3 2 6 2 4" xfId="17504" xr:uid="{00000000-0005-0000-0000-000019410000}"/>
    <cellStyle name="Nota 2 3 2 6 3" xfId="3703" xr:uid="{00000000-0005-0000-0000-00001A410000}"/>
    <cellStyle name="Nota 2 3 2 6 3 2" xfId="15743" xr:uid="{00000000-0005-0000-0000-00001B410000}"/>
    <cellStyle name="Nota 2 3 2 6 4" xfId="4086" xr:uid="{00000000-0005-0000-0000-00001C410000}"/>
    <cellStyle name="Nota 2 3 2 6 4 2" xfId="13908" xr:uid="{00000000-0005-0000-0000-00001D410000}"/>
    <cellStyle name="Nota 2 3 2 6 5" xfId="4468" xr:uid="{00000000-0005-0000-0000-00001E410000}"/>
    <cellStyle name="Nota 2 3 2 6 5 2" xfId="13537" xr:uid="{00000000-0005-0000-0000-00001F410000}"/>
    <cellStyle name="Nota 2 3 2 6 6" xfId="5711" xr:uid="{00000000-0005-0000-0000-000020410000}"/>
    <cellStyle name="Nota 2 3 2 6 6 2" xfId="19229" xr:uid="{00000000-0005-0000-0000-000021410000}"/>
    <cellStyle name="Nota 2 3 2 6 7" xfId="9085" xr:uid="{00000000-0005-0000-0000-000022410000}"/>
    <cellStyle name="Nota 2 3 2 6 8" xfId="15188" xr:uid="{00000000-0005-0000-0000-000023410000}"/>
    <cellStyle name="Nota 2 3 2 7" xfId="3109" xr:uid="{00000000-0005-0000-0000-000024410000}"/>
    <cellStyle name="Nota 2 3 2 7 2" xfId="3496" xr:uid="{00000000-0005-0000-0000-000025410000}"/>
    <cellStyle name="Nota 2 3 2 7 2 2" xfId="7902" xr:uid="{00000000-0005-0000-0000-000026410000}"/>
    <cellStyle name="Nota 2 3 2 7 2 2 2" xfId="21420" xr:uid="{00000000-0005-0000-0000-000027410000}"/>
    <cellStyle name="Nota 2 3 2 7 2 3" xfId="9589" xr:uid="{00000000-0005-0000-0000-000028410000}"/>
    <cellStyle name="Nota 2 3 2 7 2 4" xfId="17295" xr:uid="{00000000-0005-0000-0000-000029410000}"/>
    <cellStyle name="Nota 2 3 2 7 3" xfId="3879" xr:uid="{00000000-0005-0000-0000-00002A410000}"/>
    <cellStyle name="Nota 2 3 2 7 3 2" xfId="14171" xr:uid="{00000000-0005-0000-0000-00002B410000}"/>
    <cellStyle name="Nota 2 3 2 7 4" xfId="4262" xr:uid="{00000000-0005-0000-0000-00002C410000}"/>
    <cellStyle name="Nota 2 3 2 7 4 2" xfId="13743" xr:uid="{00000000-0005-0000-0000-00002D410000}"/>
    <cellStyle name="Nota 2 3 2 7 5" xfId="4644" xr:uid="{00000000-0005-0000-0000-00002E410000}"/>
    <cellStyle name="Nota 2 3 2 7 5 2" xfId="13361" xr:uid="{00000000-0005-0000-0000-00002F410000}"/>
    <cellStyle name="Nota 2 3 2 7 6" xfId="6194" xr:uid="{00000000-0005-0000-0000-000030410000}"/>
    <cellStyle name="Nota 2 3 2 7 6 2" xfId="19712" xr:uid="{00000000-0005-0000-0000-000031410000}"/>
    <cellStyle name="Nota 2 3 2 7 7" xfId="9240" xr:uid="{00000000-0005-0000-0000-000032410000}"/>
    <cellStyle name="Nota 2 3 2 7 8" xfId="15452" xr:uid="{00000000-0005-0000-0000-000033410000}"/>
    <cellStyle name="Nota 2 3 2 8" xfId="3094" xr:uid="{00000000-0005-0000-0000-000034410000}"/>
    <cellStyle name="Nota 2 3 2 8 2" xfId="3481" xr:uid="{00000000-0005-0000-0000-000035410000}"/>
    <cellStyle name="Nota 2 3 2 8 2 2" xfId="5095" xr:uid="{00000000-0005-0000-0000-000036410000}"/>
    <cellStyle name="Nota 2 3 2 8 2 2 2" xfId="12943" xr:uid="{00000000-0005-0000-0000-000037410000}"/>
    <cellStyle name="Nota 2 3 2 8 2 3" xfId="9576" xr:uid="{00000000-0005-0000-0000-000038410000}"/>
    <cellStyle name="Nota 2 3 2 8 2 4" xfId="17158" xr:uid="{00000000-0005-0000-0000-000039410000}"/>
    <cellStyle name="Nota 2 3 2 8 3" xfId="3864" xr:uid="{00000000-0005-0000-0000-00003A410000}"/>
    <cellStyle name="Nota 2 3 2 8 3 2" xfId="14176" xr:uid="{00000000-0005-0000-0000-00003B410000}"/>
    <cellStyle name="Nota 2 3 2 8 4" xfId="4247" xr:uid="{00000000-0005-0000-0000-00003C410000}"/>
    <cellStyle name="Nota 2 3 2 8 4 2" xfId="13758" xr:uid="{00000000-0005-0000-0000-00003D410000}"/>
    <cellStyle name="Nota 2 3 2 8 5" xfId="4629" xr:uid="{00000000-0005-0000-0000-00003E410000}"/>
    <cellStyle name="Nota 2 3 2 8 5 2" xfId="13376" xr:uid="{00000000-0005-0000-0000-00003F410000}"/>
    <cellStyle name="Nota 2 3 2 8 6" xfId="5319" xr:uid="{00000000-0005-0000-0000-000040410000}"/>
    <cellStyle name="Nota 2 3 2 8 6 2" xfId="18837" xr:uid="{00000000-0005-0000-0000-000041410000}"/>
    <cellStyle name="Nota 2 3 2 8 7" xfId="9227" xr:uid="{00000000-0005-0000-0000-000042410000}"/>
    <cellStyle name="Nota 2 3 2 8 8" xfId="15627" xr:uid="{00000000-0005-0000-0000-000043410000}"/>
    <cellStyle name="Nota 2 3 2 9" xfId="6186" xr:uid="{00000000-0005-0000-0000-000044410000}"/>
    <cellStyle name="Nota 2 3 2 9 2" xfId="7894" xr:uid="{00000000-0005-0000-0000-000045410000}"/>
    <cellStyle name="Nota 2 3 2 9 2 2" xfId="11881" xr:uid="{00000000-0005-0000-0000-000046410000}"/>
    <cellStyle name="Nota 2 3 2 9 2 3" xfId="21412" xr:uid="{00000000-0005-0000-0000-000047410000}"/>
    <cellStyle name="Nota 2 3 2 9 3" xfId="10838" xr:uid="{00000000-0005-0000-0000-000048410000}"/>
    <cellStyle name="Nota 2 3 2 9 4" xfId="19704" xr:uid="{00000000-0005-0000-0000-000049410000}"/>
    <cellStyle name="Nota 2 3 3" xfId="2696" xr:uid="{00000000-0005-0000-0000-00004A410000}"/>
    <cellStyle name="Nota 2 3 3 10" xfId="5753" xr:uid="{00000000-0005-0000-0000-00004B410000}"/>
    <cellStyle name="Nota 2 3 3 10 2" xfId="10533" xr:uid="{00000000-0005-0000-0000-00004C410000}"/>
    <cellStyle name="Nota 2 3 3 10 3" xfId="19271" xr:uid="{00000000-0005-0000-0000-00004D410000}"/>
    <cellStyle name="Nota 2 3 3 11" xfId="7462" xr:uid="{00000000-0005-0000-0000-00004E410000}"/>
    <cellStyle name="Nota 2 3 3 11 2" xfId="11520" xr:uid="{00000000-0005-0000-0000-00004F410000}"/>
    <cellStyle name="Nota 2 3 3 11 3" xfId="20980" xr:uid="{00000000-0005-0000-0000-000050410000}"/>
    <cellStyle name="Nota 2 3 3 12" xfId="4883" xr:uid="{00000000-0005-0000-0000-000051410000}"/>
    <cellStyle name="Nota 2 3 3 12 2" xfId="13123" xr:uid="{00000000-0005-0000-0000-000052410000}"/>
    <cellStyle name="Nota 2 3 3 13" xfId="8851" xr:uid="{00000000-0005-0000-0000-000053410000}"/>
    <cellStyle name="Nota 2 3 3 14" xfId="15298" xr:uid="{00000000-0005-0000-0000-000054410000}"/>
    <cellStyle name="Nota 2 3 3 2" xfId="2753" xr:uid="{00000000-0005-0000-0000-000055410000}"/>
    <cellStyle name="Nota 2 3 3 2 2" xfId="2978" xr:uid="{00000000-0005-0000-0000-000056410000}"/>
    <cellStyle name="Nota 2 3 3 2 2 10" xfId="9130" xr:uid="{00000000-0005-0000-0000-000057410000}"/>
    <cellStyle name="Nota 2 3 3 2 2 11" xfId="16442" xr:uid="{00000000-0005-0000-0000-000058410000}"/>
    <cellStyle name="Nota 2 3 3 2 2 2" xfId="3365" xr:uid="{00000000-0005-0000-0000-000059410000}"/>
    <cellStyle name="Nota 2 3 3 2 2 2 2" xfId="7943" xr:uid="{00000000-0005-0000-0000-00005A410000}"/>
    <cellStyle name="Nota 2 3 3 2 2 2 2 2" xfId="11919" xr:uid="{00000000-0005-0000-0000-00005B410000}"/>
    <cellStyle name="Nota 2 3 3 2 2 2 2 3" xfId="21461" xr:uid="{00000000-0005-0000-0000-00005C410000}"/>
    <cellStyle name="Nota 2 3 3 2 2 2 3" xfId="6235" xr:uid="{00000000-0005-0000-0000-00005D410000}"/>
    <cellStyle name="Nota 2 3 3 2 2 2 3 2" xfId="19753" xr:uid="{00000000-0005-0000-0000-00005E410000}"/>
    <cellStyle name="Nota 2 3 3 2 2 2 4" xfId="9495" xr:uid="{00000000-0005-0000-0000-00005F410000}"/>
    <cellStyle name="Nota 2 3 3 2 2 2 5" xfId="14473" xr:uid="{00000000-0005-0000-0000-000060410000}"/>
    <cellStyle name="Nota 2 3 3 2 2 3" xfId="3748" xr:uid="{00000000-0005-0000-0000-000061410000}"/>
    <cellStyle name="Nota 2 3 3 2 2 3 2" xfId="7908" xr:uid="{00000000-0005-0000-0000-000062410000}"/>
    <cellStyle name="Nota 2 3 3 2 2 3 2 2" xfId="11888" xr:uid="{00000000-0005-0000-0000-000063410000}"/>
    <cellStyle name="Nota 2 3 3 2 2 3 2 3" xfId="21426" xr:uid="{00000000-0005-0000-0000-000064410000}"/>
    <cellStyle name="Nota 2 3 3 2 2 3 3" xfId="6200" xr:uid="{00000000-0005-0000-0000-000065410000}"/>
    <cellStyle name="Nota 2 3 3 2 2 3 3 2" xfId="19718" xr:uid="{00000000-0005-0000-0000-000066410000}"/>
    <cellStyle name="Nota 2 3 3 2 2 3 4" xfId="9810" xr:uid="{00000000-0005-0000-0000-000067410000}"/>
    <cellStyle name="Nota 2 3 3 2 2 3 5" xfId="15143" xr:uid="{00000000-0005-0000-0000-000068410000}"/>
    <cellStyle name="Nota 2 3 3 2 2 4" xfId="4131" xr:uid="{00000000-0005-0000-0000-000069410000}"/>
    <cellStyle name="Nota 2 3 3 2 2 4 2" xfId="8250" xr:uid="{00000000-0005-0000-0000-00006A410000}"/>
    <cellStyle name="Nota 2 3 3 2 2 4 2 2" xfId="12218" xr:uid="{00000000-0005-0000-0000-00006B410000}"/>
    <cellStyle name="Nota 2 3 3 2 2 4 2 3" xfId="21768" xr:uid="{00000000-0005-0000-0000-00006C410000}"/>
    <cellStyle name="Nota 2 3 3 2 2 4 3" xfId="6542" xr:uid="{00000000-0005-0000-0000-00006D410000}"/>
    <cellStyle name="Nota 2 3 3 2 2 4 3 2" xfId="20060" xr:uid="{00000000-0005-0000-0000-00006E410000}"/>
    <cellStyle name="Nota 2 3 3 2 2 4 4" xfId="9988" xr:uid="{00000000-0005-0000-0000-00006F410000}"/>
    <cellStyle name="Nota 2 3 3 2 2 4 5" xfId="13866" xr:uid="{00000000-0005-0000-0000-000070410000}"/>
    <cellStyle name="Nota 2 3 3 2 2 5" xfId="4513" xr:uid="{00000000-0005-0000-0000-000071410000}"/>
    <cellStyle name="Nota 2 3 3 2 2 5 2" xfId="8482" xr:uid="{00000000-0005-0000-0000-000072410000}"/>
    <cellStyle name="Nota 2 3 3 2 2 5 2 2" xfId="12450" xr:uid="{00000000-0005-0000-0000-000073410000}"/>
    <cellStyle name="Nota 2 3 3 2 2 5 2 3" xfId="22000" xr:uid="{00000000-0005-0000-0000-000074410000}"/>
    <cellStyle name="Nota 2 3 3 2 2 5 3" xfId="6774" xr:uid="{00000000-0005-0000-0000-000075410000}"/>
    <cellStyle name="Nota 2 3 3 2 2 5 3 2" xfId="20292" xr:uid="{00000000-0005-0000-0000-000076410000}"/>
    <cellStyle name="Nota 2 3 3 2 2 5 4" xfId="10165" xr:uid="{00000000-0005-0000-0000-000077410000}"/>
    <cellStyle name="Nota 2 3 3 2 2 5 5" xfId="13492" xr:uid="{00000000-0005-0000-0000-000078410000}"/>
    <cellStyle name="Nota 2 3 3 2 2 6" xfId="7006" xr:uid="{00000000-0005-0000-0000-000079410000}"/>
    <cellStyle name="Nota 2 3 3 2 2 6 2" xfId="8714" xr:uid="{00000000-0005-0000-0000-00007A410000}"/>
    <cellStyle name="Nota 2 3 3 2 2 6 2 2" xfId="12682" xr:uid="{00000000-0005-0000-0000-00007B410000}"/>
    <cellStyle name="Nota 2 3 3 2 2 6 2 3" xfId="22232" xr:uid="{00000000-0005-0000-0000-00007C410000}"/>
    <cellStyle name="Nota 2 3 3 2 2 6 3" xfId="11140" xr:uid="{00000000-0005-0000-0000-00007D410000}"/>
    <cellStyle name="Nota 2 3 3 2 2 6 4" xfId="20524" xr:uid="{00000000-0005-0000-0000-00007E410000}"/>
    <cellStyle name="Nota 2 3 3 2 2 7" xfId="5994" xr:uid="{00000000-0005-0000-0000-00007F410000}"/>
    <cellStyle name="Nota 2 3 3 2 2 7 2" xfId="10735" xr:uid="{00000000-0005-0000-0000-000080410000}"/>
    <cellStyle name="Nota 2 3 3 2 2 7 3" xfId="19512" xr:uid="{00000000-0005-0000-0000-000081410000}"/>
    <cellStyle name="Nota 2 3 3 2 2 8" xfId="7702" xr:uid="{00000000-0005-0000-0000-000082410000}"/>
    <cellStyle name="Nota 2 3 3 2 2 8 2" xfId="11723" xr:uid="{00000000-0005-0000-0000-000083410000}"/>
    <cellStyle name="Nota 2 3 3 2 2 8 3" xfId="21220" xr:uid="{00000000-0005-0000-0000-000084410000}"/>
    <cellStyle name="Nota 2 3 3 2 2 9" xfId="5188" xr:uid="{00000000-0005-0000-0000-000085410000}"/>
    <cellStyle name="Nota 2 3 3 2 2 9 2" xfId="12894" xr:uid="{00000000-0005-0000-0000-000086410000}"/>
    <cellStyle name="Nota 2 3 3 2 3" xfId="3243" xr:uid="{00000000-0005-0000-0000-000087410000}"/>
    <cellStyle name="Nota 2 3 3 2 3 10" xfId="9373" xr:uid="{00000000-0005-0000-0000-000088410000}"/>
    <cellStyle name="Nota 2 3 3 2 3 11" xfId="14920" xr:uid="{00000000-0005-0000-0000-000089410000}"/>
    <cellStyle name="Nota 2 3 3 2 3 2" xfId="3630" xr:uid="{00000000-0005-0000-0000-00008A410000}"/>
    <cellStyle name="Nota 2 3 3 2 3 2 2" xfId="7991" xr:uid="{00000000-0005-0000-0000-00008B410000}"/>
    <cellStyle name="Nota 2 3 3 2 3 2 2 2" xfId="11967" xr:uid="{00000000-0005-0000-0000-00008C410000}"/>
    <cellStyle name="Nota 2 3 3 2 3 2 2 3" xfId="21509" xr:uid="{00000000-0005-0000-0000-00008D410000}"/>
    <cellStyle name="Nota 2 3 3 2 3 2 3" xfId="6283" xr:uid="{00000000-0005-0000-0000-00008E410000}"/>
    <cellStyle name="Nota 2 3 3 2 3 2 3 2" xfId="19801" xr:uid="{00000000-0005-0000-0000-00008F410000}"/>
    <cellStyle name="Nota 2 3 3 2 3 2 4" xfId="9722" xr:uid="{00000000-0005-0000-0000-000090410000}"/>
    <cellStyle name="Nota 2 3 3 2 3 2 5" xfId="17290" xr:uid="{00000000-0005-0000-0000-000091410000}"/>
    <cellStyle name="Nota 2 3 3 2 3 3" xfId="4013" xr:uid="{00000000-0005-0000-0000-000092410000}"/>
    <cellStyle name="Nota 2 3 3 2 3 3 2" xfId="4986" xr:uid="{00000000-0005-0000-0000-000093410000}"/>
    <cellStyle name="Nota 2 3 3 2 3 3 2 2" xfId="10303" xr:uid="{00000000-0005-0000-0000-000094410000}"/>
    <cellStyle name="Nota 2 3 3 2 3 3 2 3" xfId="13033" xr:uid="{00000000-0005-0000-0000-000095410000}"/>
    <cellStyle name="Nota 2 3 3 2 3 3 3" xfId="5336" xr:uid="{00000000-0005-0000-0000-000096410000}"/>
    <cellStyle name="Nota 2 3 3 2 3 3 3 2" xfId="18854" xr:uid="{00000000-0005-0000-0000-000097410000}"/>
    <cellStyle name="Nota 2 3 3 2 3 3 4" xfId="9932" xr:uid="{00000000-0005-0000-0000-000098410000}"/>
    <cellStyle name="Nota 2 3 3 2 3 3 5" xfId="13978" xr:uid="{00000000-0005-0000-0000-000099410000}"/>
    <cellStyle name="Nota 2 3 3 2 3 4" xfId="4396" xr:uid="{00000000-0005-0000-0000-00009A410000}"/>
    <cellStyle name="Nota 2 3 3 2 3 4 2" xfId="8298" xr:uid="{00000000-0005-0000-0000-00009B410000}"/>
    <cellStyle name="Nota 2 3 3 2 3 4 2 2" xfId="12266" xr:uid="{00000000-0005-0000-0000-00009C410000}"/>
    <cellStyle name="Nota 2 3 3 2 3 4 2 3" xfId="21816" xr:uid="{00000000-0005-0000-0000-00009D410000}"/>
    <cellStyle name="Nota 2 3 3 2 3 4 3" xfId="6590" xr:uid="{00000000-0005-0000-0000-00009E410000}"/>
    <cellStyle name="Nota 2 3 3 2 3 4 3 2" xfId="20108" xr:uid="{00000000-0005-0000-0000-00009F410000}"/>
    <cellStyle name="Nota 2 3 3 2 3 4 4" xfId="10110" xr:uid="{00000000-0005-0000-0000-0000A0410000}"/>
    <cellStyle name="Nota 2 3 3 2 3 4 5" xfId="13609" xr:uid="{00000000-0005-0000-0000-0000A1410000}"/>
    <cellStyle name="Nota 2 3 3 2 3 5" xfId="4778" xr:uid="{00000000-0005-0000-0000-0000A2410000}"/>
    <cellStyle name="Nota 2 3 3 2 3 5 2" xfId="8530" xr:uid="{00000000-0005-0000-0000-0000A3410000}"/>
    <cellStyle name="Nota 2 3 3 2 3 5 2 2" xfId="12498" xr:uid="{00000000-0005-0000-0000-0000A4410000}"/>
    <cellStyle name="Nota 2 3 3 2 3 5 2 3" xfId="22048" xr:uid="{00000000-0005-0000-0000-0000A5410000}"/>
    <cellStyle name="Nota 2 3 3 2 3 5 3" xfId="6822" xr:uid="{00000000-0005-0000-0000-0000A6410000}"/>
    <cellStyle name="Nota 2 3 3 2 3 5 3 2" xfId="20340" xr:uid="{00000000-0005-0000-0000-0000A7410000}"/>
    <cellStyle name="Nota 2 3 3 2 3 5 4" xfId="10287" xr:uid="{00000000-0005-0000-0000-0000A8410000}"/>
    <cellStyle name="Nota 2 3 3 2 3 5 5" xfId="13227" xr:uid="{00000000-0005-0000-0000-0000A9410000}"/>
    <cellStyle name="Nota 2 3 3 2 3 6" xfId="7054" xr:uid="{00000000-0005-0000-0000-0000AA410000}"/>
    <cellStyle name="Nota 2 3 3 2 3 6 2" xfId="8762" xr:uid="{00000000-0005-0000-0000-0000AB410000}"/>
    <cellStyle name="Nota 2 3 3 2 3 6 2 2" xfId="12730" xr:uid="{00000000-0005-0000-0000-0000AC410000}"/>
    <cellStyle name="Nota 2 3 3 2 3 6 2 3" xfId="22280" xr:uid="{00000000-0005-0000-0000-0000AD410000}"/>
    <cellStyle name="Nota 2 3 3 2 3 6 3" xfId="11188" xr:uid="{00000000-0005-0000-0000-0000AE410000}"/>
    <cellStyle name="Nota 2 3 3 2 3 6 4" xfId="20572" xr:uid="{00000000-0005-0000-0000-0000AF410000}"/>
    <cellStyle name="Nota 2 3 3 2 3 7" xfId="6042" xr:uid="{00000000-0005-0000-0000-0000B0410000}"/>
    <cellStyle name="Nota 2 3 3 2 3 7 2" xfId="10783" xr:uid="{00000000-0005-0000-0000-0000B1410000}"/>
    <cellStyle name="Nota 2 3 3 2 3 7 3" xfId="19560" xr:uid="{00000000-0005-0000-0000-0000B2410000}"/>
    <cellStyle name="Nota 2 3 3 2 3 8" xfId="7750" xr:uid="{00000000-0005-0000-0000-0000B3410000}"/>
    <cellStyle name="Nota 2 3 3 2 3 8 2" xfId="11771" xr:uid="{00000000-0005-0000-0000-0000B4410000}"/>
    <cellStyle name="Nota 2 3 3 2 3 8 3" xfId="21268" xr:uid="{00000000-0005-0000-0000-0000B5410000}"/>
    <cellStyle name="Nota 2 3 3 2 3 9" xfId="5236" xr:uid="{00000000-0005-0000-0000-0000B6410000}"/>
    <cellStyle name="Nota 2 3 3 2 3 9 2" xfId="12858" xr:uid="{00000000-0005-0000-0000-0000B7410000}"/>
    <cellStyle name="Nota 2 3 3 2 4" xfId="3300" xr:uid="{00000000-0005-0000-0000-0000B8410000}"/>
    <cellStyle name="Nota 2 3 3 2 4 2" xfId="3687" xr:uid="{00000000-0005-0000-0000-0000B9410000}"/>
    <cellStyle name="Nota 2 3 3 2 4 2 2" xfId="14743" xr:uid="{00000000-0005-0000-0000-0000BA410000}"/>
    <cellStyle name="Nota 2 3 3 2 4 3" xfId="4070" xr:uid="{00000000-0005-0000-0000-0000BB410000}"/>
    <cellStyle name="Nota 2 3 3 2 4 3 2" xfId="13921" xr:uid="{00000000-0005-0000-0000-0000BC410000}"/>
    <cellStyle name="Nota 2 3 3 2 4 4" xfId="4453" xr:uid="{00000000-0005-0000-0000-0000BD410000}"/>
    <cellStyle name="Nota 2 3 3 2 4 4 2" xfId="13552" xr:uid="{00000000-0005-0000-0000-0000BE410000}"/>
    <cellStyle name="Nota 2 3 3 2 4 5" xfId="4835" xr:uid="{00000000-0005-0000-0000-0000BF410000}"/>
    <cellStyle name="Nota 2 3 3 2 4 5 2" xfId="13171" xr:uid="{00000000-0005-0000-0000-0000C0410000}"/>
    <cellStyle name="Nota 2 3 3 2 4 6" xfId="5832" xr:uid="{00000000-0005-0000-0000-0000C1410000}"/>
    <cellStyle name="Nota 2 3 3 2 4 6 2" xfId="19350" xr:uid="{00000000-0005-0000-0000-0000C2410000}"/>
    <cellStyle name="Nota 2 3 3 2 4 7" xfId="9430" xr:uid="{00000000-0005-0000-0000-0000C3410000}"/>
    <cellStyle name="Nota 2 3 3 2 4 8" xfId="16824" xr:uid="{00000000-0005-0000-0000-0000C4410000}"/>
    <cellStyle name="Nota 2 3 3 2 5" xfId="2918" xr:uid="{00000000-0005-0000-0000-0000C5410000}"/>
    <cellStyle name="Nota 2 3 3 2 5 2" xfId="7540" xr:uid="{00000000-0005-0000-0000-0000C6410000}"/>
    <cellStyle name="Nota 2 3 3 2 5 2 2" xfId="21058" xr:uid="{00000000-0005-0000-0000-0000C7410000}"/>
    <cellStyle name="Nota 2 3 3 2 5 3" xfId="9070" xr:uid="{00000000-0005-0000-0000-0000C8410000}"/>
    <cellStyle name="Nota 2 3 3 2 5 4" xfId="14796" xr:uid="{00000000-0005-0000-0000-0000C9410000}"/>
    <cellStyle name="Nota 2 3 3 2 6" xfId="8908" xr:uid="{00000000-0005-0000-0000-0000CA410000}"/>
    <cellStyle name="Nota 2 3 3 3" xfId="2655" xr:uid="{00000000-0005-0000-0000-0000CB410000}"/>
    <cellStyle name="Nota 2 3 3 3 2" xfId="2944" xr:uid="{00000000-0005-0000-0000-0000CC410000}"/>
    <cellStyle name="Nota 2 3 3 3 2 10" xfId="9096" xr:uid="{00000000-0005-0000-0000-0000CD410000}"/>
    <cellStyle name="Nota 2 3 3 3 2 11" xfId="18578" xr:uid="{00000000-0005-0000-0000-0000CE410000}"/>
    <cellStyle name="Nota 2 3 3 3 2 2" xfId="3331" xr:uid="{00000000-0005-0000-0000-0000CF410000}"/>
    <cellStyle name="Nota 2 3 3 3 2 2 2" xfId="7320" xr:uid="{00000000-0005-0000-0000-0000D0410000}"/>
    <cellStyle name="Nota 2 3 3 3 2 2 2 2" xfId="11410" xr:uid="{00000000-0005-0000-0000-0000D1410000}"/>
    <cellStyle name="Nota 2 3 3 3 2 2 2 3" xfId="20838" xr:uid="{00000000-0005-0000-0000-0000D2410000}"/>
    <cellStyle name="Nota 2 3 3 3 2 2 3" xfId="5611" xr:uid="{00000000-0005-0000-0000-0000D3410000}"/>
    <cellStyle name="Nota 2 3 3 3 2 2 3 2" xfId="19129" xr:uid="{00000000-0005-0000-0000-0000D4410000}"/>
    <cellStyle name="Nota 2 3 3 3 2 2 4" xfId="9461" xr:uid="{00000000-0005-0000-0000-0000D5410000}"/>
    <cellStyle name="Nota 2 3 3 3 2 2 5" xfId="18220" xr:uid="{00000000-0005-0000-0000-0000D6410000}"/>
    <cellStyle name="Nota 2 3 3 3 2 3" xfId="3714" xr:uid="{00000000-0005-0000-0000-0000D7410000}"/>
    <cellStyle name="Nota 2 3 3 3 2 3 2" xfId="7099" xr:uid="{00000000-0005-0000-0000-0000D8410000}"/>
    <cellStyle name="Nota 2 3 3 3 2 3 2 2" xfId="11233" xr:uid="{00000000-0005-0000-0000-0000D9410000}"/>
    <cellStyle name="Nota 2 3 3 3 2 3 2 3" xfId="20617" xr:uid="{00000000-0005-0000-0000-0000DA410000}"/>
    <cellStyle name="Nota 2 3 3 3 2 3 3" xfId="5390" xr:uid="{00000000-0005-0000-0000-0000DB410000}"/>
    <cellStyle name="Nota 2 3 3 3 2 3 3 2" xfId="18908" xr:uid="{00000000-0005-0000-0000-0000DC410000}"/>
    <cellStyle name="Nota 2 3 3 3 2 3 4" xfId="9776" xr:uid="{00000000-0005-0000-0000-0000DD410000}"/>
    <cellStyle name="Nota 2 3 3 3 2 3 5" xfId="17211" xr:uid="{00000000-0005-0000-0000-0000DE410000}"/>
    <cellStyle name="Nota 2 3 3 3 2 4" xfId="4097" xr:uid="{00000000-0005-0000-0000-0000DF410000}"/>
    <cellStyle name="Nota 2 3 3 3 2 4 2" xfId="8218" xr:uid="{00000000-0005-0000-0000-0000E0410000}"/>
    <cellStyle name="Nota 2 3 3 3 2 4 2 2" xfId="12186" xr:uid="{00000000-0005-0000-0000-0000E1410000}"/>
    <cellStyle name="Nota 2 3 3 3 2 4 2 3" xfId="21736" xr:uid="{00000000-0005-0000-0000-0000E2410000}"/>
    <cellStyle name="Nota 2 3 3 3 2 4 3" xfId="6510" xr:uid="{00000000-0005-0000-0000-0000E3410000}"/>
    <cellStyle name="Nota 2 3 3 3 2 4 3 2" xfId="20028" xr:uid="{00000000-0005-0000-0000-0000E4410000}"/>
    <cellStyle name="Nota 2 3 3 3 2 4 4" xfId="9954" xr:uid="{00000000-0005-0000-0000-0000E5410000}"/>
    <cellStyle name="Nota 2 3 3 3 2 4 5" xfId="13897" xr:uid="{00000000-0005-0000-0000-0000E6410000}"/>
    <cellStyle name="Nota 2 3 3 3 2 5" xfId="4479" xr:uid="{00000000-0005-0000-0000-0000E7410000}"/>
    <cellStyle name="Nota 2 3 3 3 2 5 2" xfId="8450" xr:uid="{00000000-0005-0000-0000-0000E8410000}"/>
    <cellStyle name="Nota 2 3 3 3 2 5 2 2" xfId="12418" xr:uid="{00000000-0005-0000-0000-0000E9410000}"/>
    <cellStyle name="Nota 2 3 3 3 2 5 2 3" xfId="21968" xr:uid="{00000000-0005-0000-0000-0000EA410000}"/>
    <cellStyle name="Nota 2 3 3 3 2 5 3" xfId="6742" xr:uid="{00000000-0005-0000-0000-0000EB410000}"/>
    <cellStyle name="Nota 2 3 3 3 2 5 3 2" xfId="20260" xr:uid="{00000000-0005-0000-0000-0000EC410000}"/>
    <cellStyle name="Nota 2 3 3 3 2 5 4" xfId="10131" xr:uid="{00000000-0005-0000-0000-0000ED410000}"/>
    <cellStyle name="Nota 2 3 3 3 2 5 5" xfId="13526" xr:uid="{00000000-0005-0000-0000-0000EE410000}"/>
    <cellStyle name="Nota 2 3 3 3 2 6" xfId="6974" xr:uid="{00000000-0005-0000-0000-0000EF410000}"/>
    <cellStyle name="Nota 2 3 3 3 2 6 2" xfId="8682" xr:uid="{00000000-0005-0000-0000-0000F0410000}"/>
    <cellStyle name="Nota 2 3 3 3 2 6 2 2" xfId="12650" xr:uid="{00000000-0005-0000-0000-0000F1410000}"/>
    <cellStyle name="Nota 2 3 3 3 2 6 2 3" xfId="22200" xr:uid="{00000000-0005-0000-0000-0000F2410000}"/>
    <cellStyle name="Nota 2 3 3 3 2 6 3" xfId="11108" xr:uid="{00000000-0005-0000-0000-0000F3410000}"/>
    <cellStyle name="Nota 2 3 3 3 2 6 4" xfId="20492" xr:uid="{00000000-0005-0000-0000-0000F4410000}"/>
    <cellStyle name="Nota 2 3 3 3 2 7" xfId="5962" xr:uid="{00000000-0005-0000-0000-0000F5410000}"/>
    <cellStyle name="Nota 2 3 3 3 2 7 2" xfId="10703" xr:uid="{00000000-0005-0000-0000-0000F6410000}"/>
    <cellStyle name="Nota 2 3 3 3 2 7 3" xfId="19480" xr:uid="{00000000-0005-0000-0000-0000F7410000}"/>
    <cellStyle name="Nota 2 3 3 3 2 8" xfId="7670" xr:uid="{00000000-0005-0000-0000-0000F8410000}"/>
    <cellStyle name="Nota 2 3 3 3 2 8 2" xfId="11691" xr:uid="{00000000-0005-0000-0000-0000F9410000}"/>
    <cellStyle name="Nota 2 3 3 3 2 8 3" xfId="21188" xr:uid="{00000000-0005-0000-0000-0000FA410000}"/>
    <cellStyle name="Nota 2 3 3 3 2 9" xfId="5154" xr:uid="{00000000-0005-0000-0000-0000FB410000}"/>
    <cellStyle name="Nota 2 3 3 3 2 9 2" xfId="12773" xr:uid="{00000000-0005-0000-0000-0000FC410000}"/>
    <cellStyle name="Nota 2 3 3 3 3" xfId="3147" xr:uid="{00000000-0005-0000-0000-0000FD410000}"/>
    <cellStyle name="Nota 2 3 3 3 3 10" xfId="9277" xr:uid="{00000000-0005-0000-0000-0000FE410000}"/>
    <cellStyle name="Nota 2 3 3 3 3 11" xfId="17486" xr:uid="{00000000-0005-0000-0000-0000FF410000}"/>
    <cellStyle name="Nota 2 3 3 3 3 2" xfId="3534" xr:uid="{00000000-0005-0000-0000-000000420000}"/>
    <cellStyle name="Nota 2 3 3 3 3 2 2" xfId="7344" xr:uid="{00000000-0005-0000-0000-000001420000}"/>
    <cellStyle name="Nota 2 3 3 3 3 2 2 2" xfId="11430" xr:uid="{00000000-0005-0000-0000-000002420000}"/>
    <cellStyle name="Nota 2 3 3 3 3 2 2 3" xfId="20862" xr:uid="{00000000-0005-0000-0000-000003420000}"/>
    <cellStyle name="Nota 2 3 3 3 3 2 3" xfId="5635" xr:uid="{00000000-0005-0000-0000-000004420000}"/>
    <cellStyle name="Nota 2 3 3 3 3 2 3 2" xfId="19153" xr:uid="{00000000-0005-0000-0000-000005420000}"/>
    <cellStyle name="Nota 2 3 3 3 3 2 4" xfId="9626" xr:uid="{00000000-0005-0000-0000-000006420000}"/>
    <cellStyle name="Nota 2 3 3 3 3 2 5" xfId="17788" xr:uid="{00000000-0005-0000-0000-000007420000}"/>
    <cellStyle name="Nota 2 3 3 3 3 3" xfId="3917" xr:uid="{00000000-0005-0000-0000-000008420000}"/>
    <cellStyle name="Nota 2 3 3 3 3 3 2" xfId="7387" xr:uid="{00000000-0005-0000-0000-000009420000}"/>
    <cellStyle name="Nota 2 3 3 3 3 3 2 2" xfId="11473" xr:uid="{00000000-0005-0000-0000-00000A420000}"/>
    <cellStyle name="Nota 2 3 3 3 3 3 2 3" xfId="20905" xr:uid="{00000000-0005-0000-0000-00000B420000}"/>
    <cellStyle name="Nota 2 3 3 3 3 3 3" xfId="5678" xr:uid="{00000000-0005-0000-0000-00000C420000}"/>
    <cellStyle name="Nota 2 3 3 3 3 3 3 2" xfId="19196" xr:uid="{00000000-0005-0000-0000-00000D420000}"/>
    <cellStyle name="Nota 2 3 3 3 3 3 4" xfId="9840" xr:uid="{00000000-0005-0000-0000-00000E420000}"/>
    <cellStyle name="Nota 2 3 3 3 3 3 5" xfId="14074" xr:uid="{00000000-0005-0000-0000-00000F420000}"/>
    <cellStyle name="Nota 2 3 3 3 3 4" xfId="4300" xr:uid="{00000000-0005-0000-0000-000010420000}"/>
    <cellStyle name="Nota 2 3 3 3 3 4 2" xfId="8131" xr:uid="{00000000-0005-0000-0000-000011420000}"/>
    <cellStyle name="Nota 2 3 3 3 3 4 2 2" xfId="12099" xr:uid="{00000000-0005-0000-0000-000012420000}"/>
    <cellStyle name="Nota 2 3 3 3 3 4 2 3" xfId="21649" xr:uid="{00000000-0005-0000-0000-000013420000}"/>
    <cellStyle name="Nota 2 3 3 3 3 4 3" xfId="6423" xr:uid="{00000000-0005-0000-0000-000014420000}"/>
    <cellStyle name="Nota 2 3 3 3 3 4 3 2" xfId="19941" xr:uid="{00000000-0005-0000-0000-000015420000}"/>
    <cellStyle name="Nota 2 3 3 3 3 4 4" xfId="10018" xr:uid="{00000000-0005-0000-0000-000016420000}"/>
    <cellStyle name="Nota 2 3 3 3 3 4 5" xfId="13705" xr:uid="{00000000-0005-0000-0000-000017420000}"/>
    <cellStyle name="Nota 2 3 3 3 3 5" xfId="4682" xr:uid="{00000000-0005-0000-0000-000018420000}"/>
    <cellStyle name="Nota 2 3 3 3 3 5 2" xfId="8363" xr:uid="{00000000-0005-0000-0000-000019420000}"/>
    <cellStyle name="Nota 2 3 3 3 3 5 2 2" xfId="12331" xr:uid="{00000000-0005-0000-0000-00001A420000}"/>
    <cellStyle name="Nota 2 3 3 3 3 5 2 3" xfId="21881" xr:uid="{00000000-0005-0000-0000-00001B420000}"/>
    <cellStyle name="Nota 2 3 3 3 3 5 3" xfId="6655" xr:uid="{00000000-0005-0000-0000-00001C420000}"/>
    <cellStyle name="Nota 2 3 3 3 3 5 3 2" xfId="20173" xr:uid="{00000000-0005-0000-0000-00001D420000}"/>
    <cellStyle name="Nota 2 3 3 3 3 5 4" xfId="10195" xr:uid="{00000000-0005-0000-0000-00001E420000}"/>
    <cellStyle name="Nota 2 3 3 3 3 5 5" xfId="13323" xr:uid="{00000000-0005-0000-0000-00001F420000}"/>
    <cellStyle name="Nota 2 3 3 3 3 6" xfId="6887" xr:uid="{00000000-0005-0000-0000-000020420000}"/>
    <cellStyle name="Nota 2 3 3 3 3 6 2" xfId="8595" xr:uid="{00000000-0005-0000-0000-000021420000}"/>
    <cellStyle name="Nota 2 3 3 3 3 6 2 2" xfId="12563" xr:uid="{00000000-0005-0000-0000-000022420000}"/>
    <cellStyle name="Nota 2 3 3 3 3 6 2 3" xfId="22113" xr:uid="{00000000-0005-0000-0000-000023420000}"/>
    <cellStyle name="Nota 2 3 3 3 3 6 3" xfId="11021" xr:uid="{00000000-0005-0000-0000-000024420000}"/>
    <cellStyle name="Nota 2 3 3 3 3 6 4" xfId="20405" xr:uid="{00000000-0005-0000-0000-000025420000}"/>
    <cellStyle name="Nota 2 3 3 3 3 7" xfId="5875" xr:uid="{00000000-0005-0000-0000-000026420000}"/>
    <cellStyle name="Nota 2 3 3 3 3 7 2" xfId="10616" xr:uid="{00000000-0005-0000-0000-000027420000}"/>
    <cellStyle name="Nota 2 3 3 3 3 7 3" xfId="19393" xr:uid="{00000000-0005-0000-0000-000028420000}"/>
    <cellStyle name="Nota 2 3 3 3 3 8" xfId="7583" xr:uid="{00000000-0005-0000-0000-000029420000}"/>
    <cellStyle name="Nota 2 3 3 3 3 8 2" xfId="11604" xr:uid="{00000000-0005-0000-0000-00002A420000}"/>
    <cellStyle name="Nota 2 3 3 3 3 8 3" xfId="21101" xr:uid="{00000000-0005-0000-0000-00002B420000}"/>
    <cellStyle name="Nota 2 3 3 3 3 9" xfId="4965" xr:uid="{00000000-0005-0000-0000-00002C420000}"/>
    <cellStyle name="Nota 2 3 3 3 3 9 2" xfId="13054" xr:uid="{00000000-0005-0000-0000-00002D420000}"/>
    <cellStyle name="Nota 2 3 3 3 4" xfId="3034" xr:uid="{00000000-0005-0000-0000-00002E420000}"/>
    <cellStyle name="Nota 2 3 3 3 4 2" xfId="3421" xr:uid="{00000000-0005-0000-0000-00002F420000}"/>
    <cellStyle name="Nota 2 3 3 3 4 2 2" xfId="14392" xr:uid="{00000000-0005-0000-0000-000030420000}"/>
    <cellStyle name="Nota 2 3 3 3 4 3" xfId="3804" xr:uid="{00000000-0005-0000-0000-000031420000}"/>
    <cellStyle name="Nota 2 3 3 3 4 3 2" xfId="18589" xr:uid="{00000000-0005-0000-0000-000032420000}"/>
    <cellStyle name="Nota 2 3 3 3 4 4" xfId="4187" xr:uid="{00000000-0005-0000-0000-000033420000}"/>
    <cellStyle name="Nota 2 3 3 3 4 4 2" xfId="13818" xr:uid="{00000000-0005-0000-0000-000034420000}"/>
    <cellStyle name="Nota 2 3 3 3 4 5" xfId="4569" xr:uid="{00000000-0005-0000-0000-000035420000}"/>
    <cellStyle name="Nota 2 3 3 3 4 5 2" xfId="13436" xr:uid="{00000000-0005-0000-0000-000036420000}"/>
    <cellStyle name="Nota 2 3 3 3 4 6" xfId="5794" xr:uid="{00000000-0005-0000-0000-000037420000}"/>
    <cellStyle name="Nota 2 3 3 3 4 6 2" xfId="19312" xr:uid="{00000000-0005-0000-0000-000038420000}"/>
    <cellStyle name="Nota 2 3 3 3 4 7" xfId="9174" xr:uid="{00000000-0005-0000-0000-000039420000}"/>
    <cellStyle name="Nota 2 3 3 3 4 8" xfId="15573" xr:uid="{00000000-0005-0000-0000-00003A420000}"/>
    <cellStyle name="Nota 2 3 3 3 5" xfId="2855" xr:uid="{00000000-0005-0000-0000-00003B420000}"/>
    <cellStyle name="Nota 2 3 3 3 5 2" xfId="7502" xr:uid="{00000000-0005-0000-0000-00003C420000}"/>
    <cellStyle name="Nota 2 3 3 3 5 2 2" xfId="21020" xr:uid="{00000000-0005-0000-0000-00003D420000}"/>
    <cellStyle name="Nota 2 3 3 3 5 3" xfId="9008" xr:uid="{00000000-0005-0000-0000-00003E420000}"/>
    <cellStyle name="Nota 2 3 3 3 5 4" xfId="16927" xr:uid="{00000000-0005-0000-0000-00003F420000}"/>
    <cellStyle name="Nota 2 3 3 3 6" xfId="8812" xr:uid="{00000000-0005-0000-0000-000040420000}"/>
    <cellStyle name="Nota 2 3 3 4" xfId="2954" xr:uid="{00000000-0005-0000-0000-000041420000}"/>
    <cellStyle name="Nota 2 3 3 4 10" xfId="9106" xr:uid="{00000000-0005-0000-0000-000042420000}"/>
    <cellStyle name="Nota 2 3 3 4 11" xfId="14738" xr:uid="{00000000-0005-0000-0000-000043420000}"/>
    <cellStyle name="Nota 2 3 3 4 2" xfId="3341" xr:uid="{00000000-0005-0000-0000-000044420000}"/>
    <cellStyle name="Nota 2 3 3 4 2 2" xfId="7922" xr:uid="{00000000-0005-0000-0000-000045420000}"/>
    <cellStyle name="Nota 2 3 3 4 2 2 2" xfId="11898" xr:uid="{00000000-0005-0000-0000-000046420000}"/>
    <cellStyle name="Nota 2 3 3 4 2 2 3" xfId="21440" xr:uid="{00000000-0005-0000-0000-000047420000}"/>
    <cellStyle name="Nota 2 3 3 4 2 3" xfId="6214" xr:uid="{00000000-0005-0000-0000-000048420000}"/>
    <cellStyle name="Nota 2 3 3 4 2 3 2" xfId="19732" xr:uid="{00000000-0005-0000-0000-000049420000}"/>
    <cellStyle name="Nota 2 3 3 4 2 4" xfId="9471" xr:uid="{00000000-0005-0000-0000-00004A420000}"/>
    <cellStyle name="Nota 2 3 3 4 2 5" xfId="15577" xr:uid="{00000000-0005-0000-0000-00004B420000}"/>
    <cellStyle name="Nota 2 3 3 4 3" xfId="3724" xr:uid="{00000000-0005-0000-0000-00004C420000}"/>
    <cellStyle name="Nota 2 3 3 4 3 2" xfId="7846" xr:uid="{00000000-0005-0000-0000-00004D420000}"/>
    <cellStyle name="Nota 2 3 3 4 3 2 2" xfId="11849" xr:uid="{00000000-0005-0000-0000-00004E420000}"/>
    <cellStyle name="Nota 2 3 3 4 3 2 3" xfId="21364" xr:uid="{00000000-0005-0000-0000-00004F420000}"/>
    <cellStyle name="Nota 2 3 3 4 3 3" xfId="6138" xr:uid="{00000000-0005-0000-0000-000050420000}"/>
    <cellStyle name="Nota 2 3 3 4 3 3 2" xfId="19656" xr:uid="{00000000-0005-0000-0000-000051420000}"/>
    <cellStyle name="Nota 2 3 3 4 3 4" xfId="9786" xr:uid="{00000000-0005-0000-0000-000052420000}"/>
    <cellStyle name="Nota 2 3 3 4 3 5" xfId="17735" xr:uid="{00000000-0005-0000-0000-000053420000}"/>
    <cellStyle name="Nota 2 3 3 4 4" xfId="4107" xr:uid="{00000000-0005-0000-0000-000054420000}"/>
    <cellStyle name="Nota 2 3 3 4 4 2" xfId="8229" xr:uid="{00000000-0005-0000-0000-000055420000}"/>
    <cellStyle name="Nota 2 3 3 4 4 2 2" xfId="12197" xr:uid="{00000000-0005-0000-0000-000056420000}"/>
    <cellStyle name="Nota 2 3 3 4 4 2 3" xfId="21747" xr:uid="{00000000-0005-0000-0000-000057420000}"/>
    <cellStyle name="Nota 2 3 3 4 4 3" xfId="6521" xr:uid="{00000000-0005-0000-0000-000058420000}"/>
    <cellStyle name="Nota 2 3 3 4 4 3 2" xfId="20039" xr:uid="{00000000-0005-0000-0000-000059420000}"/>
    <cellStyle name="Nota 2 3 3 4 4 4" xfId="9964" xr:uid="{00000000-0005-0000-0000-00005A420000}"/>
    <cellStyle name="Nota 2 3 3 4 4 5" xfId="13887" xr:uid="{00000000-0005-0000-0000-00005B420000}"/>
    <cellStyle name="Nota 2 3 3 4 5" xfId="4489" xr:uid="{00000000-0005-0000-0000-00005C420000}"/>
    <cellStyle name="Nota 2 3 3 4 5 2" xfId="8461" xr:uid="{00000000-0005-0000-0000-00005D420000}"/>
    <cellStyle name="Nota 2 3 3 4 5 2 2" xfId="12429" xr:uid="{00000000-0005-0000-0000-00005E420000}"/>
    <cellStyle name="Nota 2 3 3 4 5 2 3" xfId="21979" xr:uid="{00000000-0005-0000-0000-00005F420000}"/>
    <cellStyle name="Nota 2 3 3 4 5 3" xfId="6753" xr:uid="{00000000-0005-0000-0000-000060420000}"/>
    <cellStyle name="Nota 2 3 3 4 5 3 2" xfId="20271" xr:uid="{00000000-0005-0000-0000-000061420000}"/>
    <cellStyle name="Nota 2 3 3 4 5 4" xfId="10141" xr:uid="{00000000-0005-0000-0000-000062420000}"/>
    <cellStyle name="Nota 2 3 3 4 5 5" xfId="13516" xr:uid="{00000000-0005-0000-0000-000063420000}"/>
    <cellStyle name="Nota 2 3 3 4 6" xfId="6985" xr:uid="{00000000-0005-0000-0000-000064420000}"/>
    <cellStyle name="Nota 2 3 3 4 6 2" xfId="8693" xr:uid="{00000000-0005-0000-0000-000065420000}"/>
    <cellStyle name="Nota 2 3 3 4 6 2 2" xfId="12661" xr:uid="{00000000-0005-0000-0000-000066420000}"/>
    <cellStyle name="Nota 2 3 3 4 6 2 3" xfId="22211" xr:uid="{00000000-0005-0000-0000-000067420000}"/>
    <cellStyle name="Nota 2 3 3 4 6 3" xfId="11119" xr:uid="{00000000-0005-0000-0000-000068420000}"/>
    <cellStyle name="Nota 2 3 3 4 6 4" xfId="20503" xr:uid="{00000000-0005-0000-0000-000069420000}"/>
    <cellStyle name="Nota 2 3 3 4 7" xfId="5973" xr:uid="{00000000-0005-0000-0000-00006A420000}"/>
    <cellStyle name="Nota 2 3 3 4 7 2" xfId="10714" xr:uid="{00000000-0005-0000-0000-00006B420000}"/>
    <cellStyle name="Nota 2 3 3 4 7 3" xfId="19491" xr:uid="{00000000-0005-0000-0000-00006C420000}"/>
    <cellStyle name="Nota 2 3 3 4 8" xfId="7681" xr:uid="{00000000-0005-0000-0000-00006D420000}"/>
    <cellStyle name="Nota 2 3 3 4 8 2" xfId="11702" xr:uid="{00000000-0005-0000-0000-00006E420000}"/>
    <cellStyle name="Nota 2 3 3 4 8 3" xfId="21199" xr:uid="{00000000-0005-0000-0000-00006F420000}"/>
    <cellStyle name="Nota 2 3 3 4 9" xfId="5167" xr:uid="{00000000-0005-0000-0000-000070420000}"/>
    <cellStyle name="Nota 2 3 3 4 9 2" xfId="12915" xr:uid="{00000000-0005-0000-0000-000071420000}"/>
    <cellStyle name="Nota 2 3 3 5" xfId="3186" xr:uid="{00000000-0005-0000-0000-000072420000}"/>
    <cellStyle name="Nota 2 3 3 5 10" xfId="9316" xr:uid="{00000000-0005-0000-0000-000073420000}"/>
    <cellStyle name="Nota 2 3 3 5 11" xfId="15248" xr:uid="{00000000-0005-0000-0000-000074420000}"/>
    <cellStyle name="Nota 2 3 3 5 2" xfId="3573" xr:uid="{00000000-0005-0000-0000-000075420000}"/>
    <cellStyle name="Nota 2 3 3 5 2 2" xfId="7361" xr:uid="{00000000-0005-0000-0000-000076420000}"/>
    <cellStyle name="Nota 2 3 3 5 2 2 2" xfId="11447" xr:uid="{00000000-0005-0000-0000-000077420000}"/>
    <cellStyle name="Nota 2 3 3 5 2 2 3" xfId="20879" xr:uid="{00000000-0005-0000-0000-000078420000}"/>
    <cellStyle name="Nota 2 3 3 5 2 3" xfId="5652" xr:uid="{00000000-0005-0000-0000-000079420000}"/>
    <cellStyle name="Nota 2 3 3 5 2 3 2" xfId="19170" xr:uid="{00000000-0005-0000-0000-00007A420000}"/>
    <cellStyle name="Nota 2 3 3 5 2 4" xfId="9665" xr:uid="{00000000-0005-0000-0000-00007B420000}"/>
    <cellStyle name="Nota 2 3 3 5 2 5" xfId="15449" xr:uid="{00000000-0005-0000-0000-00007C420000}"/>
    <cellStyle name="Nota 2 3 3 5 3" xfId="3956" xr:uid="{00000000-0005-0000-0000-00007D420000}"/>
    <cellStyle name="Nota 2 3 3 5 3 2" xfId="8010" xr:uid="{00000000-0005-0000-0000-00007E420000}"/>
    <cellStyle name="Nota 2 3 3 5 3 2 2" xfId="11986" xr:uid="{00000000-0005-0000-0000-00007F420000}"/>
    <cellStyle name="Nota 2 3 3 5 3 2 3" xfId="21528" xr:uid="{00000000-0005-0000-0000-000080420000}"/>
    <cellStyle name="Nota 2 3 3 5 3 3" xfId="6302" xr:uid="{00000000-0005-0000-0000-000081420000}"/>
    <cellStyle name="Nota 2 3 3 5 3 3 2" xfId="19820" xr:uid="{00000000-0005-0000-0000-000082420000}"/>
    <cellStyle name="Nota 2 3 3 5 3 4" xfId="9879" xr:uid="{00000000-0005-0000-0000-000083420000}"/>
    <cellStyle name="Nota 2 3 3 5 3 5" xfId="14035" xr:uid="{00000000-0005-0000-0000-000084420000}"/>
    <cellStyle name="Nota 2 3 3 5 4" xfId="4339" xr:uid="{00000000-0005-0000-0000-000085420000}"/>
    <cellStyle name="Nota 2 3 3 5 4 2" xfId="8154" xr:uid="{00000000-0005-0000-0000-000086420000}"/>
    <cellStyle name="Nota 2 3 3 5 4 2 2" xfId="12122" xr:uid="{00000000-0005-0000-0000-000087420000}"/>
    <cellStyle name="Nota 2 3 3 5 4 2 3" xfId="21672" xr:uid="{00000000-0005-0000-0000-000088420000}"/>
    <cellStyle name="Nota 2 3 3 5 4 3" xfId="6446" xr:uid="{00000000-0005-0000-0000-000089420000}"/>
    <cellStyle name="Nota 2 3 3 5 4 3 2" xfId="19964" xr:uid="{00000000-0005-0000-0000-00008A420000}"/>
    <cellStyle name="Nota 2 3 3 5 4 4" xfId="10057" xr:uid="{00000000-0005-0000-0000-00008B420000}"/>
    <cellStyle name="Nota 2 3 3 5 4 5" xfId="13666" xr:uid="{00000000-0005-0000-0000-00008C420000}"/>
    <cellStyle name="Nota 2 3 3 5 5" xfId="4721" xr:uid="{00000000-0005-0000-0000-00008D420000}"/>
    <cellStyle name="Nota 2 3 3 5 5 2" xfId="8386" xr:uid="{00000000-0005-0000-0000-00008E420000}"/>
    <cellStyle name="Nota 2 3 3 5 5 2 2" xfId="12354" xr:uid="{00000000-0005-0000-0000-00008F420000}"/>
    <cellStyle name="Nota 2 3 3 5 5 2 3" xfId="21904" xr:uid="{00000000-0005-0000-0000-000090420000}"/>
    <cellStyle name="Nota 2 3 3 5 5 3" xfId="6678" xr:uid="{00000000-0005-0000-0000-000091420000}"/>
    <cellStyle name="Nota 2 3 3 5 5 3 2" xfId="20196" xr:uid="{00000000-0005-0000-0000-000092420000}"/>
    <cellStyle name="Nota 2 3 3 5 5 4" xfId="10234" xr:uid="{00000000-0005-0000-0000-000093420000}"/>
    <cellStyle name="Nota 2 3 3 5 5 5" xfId="13284" xr:uid="{00000000-0005-0000-0000-000094420000}"/>
    <cellStyle name="Nota 2 3 3 5 6" xfId="6910" xr:uid="{00000000-0005-0000-0000-000095420000}"/>
    <cellStyle name="Nota 2 3 3 5 6 2" xfId="8618" xr:uid="{00000000-0005-0000-0000-000096420000}"/>
    <cellStyle name="Nota 2 3 3 5 6 2 2" xfId="12586" xr:uid="{00000000-0005-0000-0000-000097420000}"/>
    <cellStyle name="Nota 2 3 3 5 6 2 3" xfId="22136" xr:uid="{00000000-0005-0000-0000-000098420000}"/>
    <cellStyle name="Nota 2 3 3 5 6 3" xfId="11044" xr:uid="{00000000-0005-0000-0000-000099420000}"/>
    <cellStyle name="Nota 2 3 3 5 6 4" xfId="20428" xr:uid="{00000000-0005-0000-0000-00009A420000}"/>
    <cellStyle name="Nota 2 3 3 5 7" xfId="5898" xr:uid="{00000000-0005-0000-0000-00009B420000}"/>
    <cellStyle name="Nota 2 3 3 5 7 2" xfId="10639" xr:uid="{00000000-0005-0000-0000-00009C420000}"/>
    <cellStyle name="Nota 2 3 3 5 7 3" xfId="19416" xr:uid="{00000000-0005-0000-0000-00009D420000}"/>
    <cellStyle name="Nota 2 3 3 5 8" xfId="7606" xr:uid="{00000000-0005-0000-0000-00009E420000}"/>
    <cellStyle name="Nota 2 3 3 5 8 2" xfId="11627" xr:uid="{00000000-0005-0000-0000-00009F420000}"/>
    <cellStyle name="Nota 2 3 3 5 8 3" xfId="21124" xr:uid="{00000000-0005-0000-0000-0000A0420000}"/>
    <cellStyle name="Nota 2 3 3 5 9" xfId="4993" xr:uid="{00000000-0005-0000-0000-0000A1420000}"/>
    <cellStyle name="Nota 2 3 3 5 9 2" xfId="13026" xr:uid="{00000000-0005-0000-0000-0000A2420000}"/>
    <cellStyle name="Nota 2 3 3 6" xfId="3042" xr:uid="{00000000-0005-0000-0000-0000A3420000}"/>
    <cellStyle name="Nota 2 3 3 6 2" xfId="3429" xr:uid="{00000000-0005-0000-0000-0000A4420000}"/>
    <cellStyle name="Nota 2 3 3 6 2 2" xfId="5086" xr:uid="{00000000-0005-0000-0000-0000A5420000}"/>
    <cellStyle name="Nota 2 3 3 6 2 2 2" xfId="12949" xr:uid="{00000000-0005-0000-0000-0000A6420000}"/>
    <cellStyle name="Nota 2 3 3 6 2 3" xfId="9541" xr:uid="{00000000-0005-0000-0000-0000A7420000}"/>
    <cellStyle name="Nota 2 3 3 6 2 4" xfId="17916" xr:uid="{00000000-0005-0000-0000-0000A8420000}"/>
    <cellStyle name="Nota 2 3 3 6 3" xfId="3812" xr:uid="{00000000-0005-0000-0000-0000A9420000}"/>
    <cellStyle name="Nota 2 3 3 6 3 2" xfId="16893" xr:uid="{00000000-0005-0000-0000-0000AA420000}"/>
    <cellStyle name="Nota 2 3 3 6 4" xfId="4195" xr:uid="{00000000-0005-0000-0000-0000AB420000}"/>
    <cellStyle name="Nota 2 3 3 6 4 2" xfId="13810" xr:uid="{00000000-0005-0000-0000-0000AC420000}"/>
    <cellStyle name="Nota 2 3 3 6 5" xfId="4577" xr:uid="{00000000-0005-0000-0000-0000AD420000}"/>
    <cellStyle name="Nota 2 3 3 6 5 2" xfId="13428" xr:uid="{00000000-0005-0000-0000-0000AE420000}"/>
    <cellStyle name="Nota 2 3 3 6 6" xfId="5331" xr:uid="{00000000-0005-0000-0000-0000AF420000}"/>
    <cellStyle name="Nota 2 3 3 6 6 2" xfId="18849" xr:uid="{00000000-0005-0000-0000-0000B0420000}"/>
    <cellStyle name="Nota 2 3 3 6 7" xfId="9182" xr:uid="{00000000-0005-0000-0000-0000B1420000}"/>
    <cellStyle name="Nota 2 3 3 6 8" xfId="18182" xr:uid="{00000000-0005-0000-0000-0000B2420000}"/>
    <cellStyle name="Nota 2 3 3 7" xfId="5728" xr:uid="{00000000-0005-0000-0000-0000B3420000}"/>
    <cellStyle name="Nota 2 3 3 7 2" xfId="7437" xr:uid="{00000000-0005-0000-0000-0000B4420000}"/>
    <cellStyle name="Nota 2 3 3 7 2 2" xfId="11498" xr:uid="{00000000-0005-0000-0000-0000B5420000}"/>
    <cellStyle name="Nota 2 3 3 7 2 3" xfId="20955" xr:uid="{00000000-0005-0000-0000-0000B6420000}"/>
    <cellStyle name="Nota 2 3 3 7 3" xfId="10512" xr:uid="{00000000-0005-0000-0000-0000B7420000}"/>
    <cellStyle name="Nota 2 3 3 7 4" xfId="19246" xr:uid="{00000000-0005-0000-0000-0000B8420000}"/>
    <cellStyle name="Nota 2 3 3 8" xfId="6140" xr:uid="{00000000-0005-0000-0000-0000B9420000}"/>
    <cellStyle name="Nota 2 3 3 8 2" xfId="7848" xr:uid="{00000000-0005-0000-0000-0000BA420000}"/>
    <cellStyle name="Nota 2 3 3 8 2 2" xfId="11851" xr:uid="{00000000-0005-0000-0000-0000BB420000}"/>
    <cellStyle name="Nota 2 3 3 8 2 3" xfId="21366" xr:uid="{00000000-0005-0000-0000-0000BC420000}"/>
    <cellStyle name="Nota 2 3 3 8 3" xfId="10821" xr:uid="{00000000-0005-0000-0000-0000BD420000}"/>
    <cellStyle name="Nota 2 3 3 8 4" xfId="19658" xr:uid="{00000000-0005-0000-0000-0000BE420000}"/>
    <cellStyle name="Nota 2 3 3 9" xfId="5271" xr:uid="{00000000-0005-0000-0000-0000BF420000}"/>
    <cellStyle name="Nota 2 3 3 9 2" xfId="5131" xr:uid="{00000000-0005-0000-0000-0000C0420000}"/>
    <cellStyle name="Nota 2 3 3 9 2 2" xfId="10371" xr:uid="{00000000-0005-0000-0000-0000C1420000}"/>
    <cellStyle name="Nota 2 3 3 9 2 3" xfId="14162" xr:uid="{00000000-0005-0000-0000-0000C2420000}"/>
    <cellStyle name="Nota 2 3 3 9 3" xfId="10408" xr:uid="{00000000-0005-0000-0000-0000C3420000}"/>
    <cellStyle name="Nota 2 3 3 9 4" xfId="12752" xr:uid="{00000000-0005-0000-0000-0000C4420000}"/>
    <cellStyle name="Nota 2 3 4" xfId="3082" xr:uid="{00000000-0005-0000-0000-0000C5420000}"/>
    <cellStyle name="Nota 2 3 4 2" xfId="3469" xr:uid="{00000000-0005-0000-0000-0000C6420000}"/>
    <cellStyle name="Nota 2 3 4 2 2" xfId="15548" xr:uid="{00000000-0005-0000-0000-0000C7420000}"/>
    <cellStyle name="Nota 2 3 4 3" xfId="3852" xr:uid="{00000000-0005-0000-0000-0000C8420000}"/>
    <cellStyle name="Nota 2 3 4 3 2" xfId="14213" xr:uid="{00000000-0005-0000-0000-0000C9420000}"/>
    <cellStyle name="Nota 2 3 4 4" xfId="4235" xr:uid="{00000000-0005-0000-0000-0000CA420000}"/>
    <cellStyle name="Nota 2 3 4 4 2" xfId="13770" xr:uid="{00000000-0005-0000-0000-0000CB420000}"/>
    <cellStyle name="Nota 2 3 4 5" xfId="4617" xr:uid="{00000000-0005-0000-0000-0000CC420000}"/>
    <cellStyle name="Nota 2 3 4 5 2" xfId="13388" xr:uid="{00000000-0005-0000-0000-0000CD420000}"/>
    <cellStyle name="Nota 2 3 4 6" xfId="18396" xr:uid="{00000000-0005-0000-0000-0000CE420000}"/>
    <cellStyle name="Nota 2 3 5" xfId="2989" xr:uid="{00000000-0005-0000-0000-0000CF420000}"/>
    <cellStyle name="Nota 2 3 5 2" xfId="3376" xr:uid="{00000000-0005-0000-0000-0000D0420000}"/>
    <cellStyle name="Nota 2 3 5 2 2" xfId="16821" xr:uid="{00000000-0005-0000-0000-0000D1420000}"/>
    <cellStyle name="Nota 2 3 5 3" xfId="3759" xr:uid="{00000000-0005-0000-0000-0000D2420000}"/>
    <cellStyle name="Nota 2 3 5 3 2" xfId="18571" xr:uid="{00000000-0005-0000-0000-0000D3420000}"/>
    <cellStyle name="Nota 2 3 5 4" xfId="4142" xr:uid="{00000000-0005-0000-0000-0000D4420000}"/>
    <cellStyle name="Nota 2 3 5 4 2" xfId="13855" xr:uid="{00000000-0005-0000-0000-0000D5420000}"/>
    <cellStyle name="Nota 2 3 5 5" xfId="4524" xr:uid="{00000000-0005-0000-0000-0000D6420000}"/>
    <cellStyle name="Nota 2 3 5 5 2" xfId="13481" xr:uid="{00000000-0005-0000-0000-0000D7420000}"/>
    <cellStyle name="Nota 2 3 5 6" xfId="15560" xr:uid="{00000000-0005-0000-0000-0000D8420000}"/>
    <cellStyle name="Nota 2 3 6" xfId="22394" xr:uid="{00000000-0005-0000-0000-0000D9420000}"/>
    <cellStyle name="Nota 2 3 7" xfId="2156" xr:uid="{00000000-0005-0000-0000-0000DA420000}"/>
    <cellStyle name="Nota 2 4" xfId="1546" xr:uid="{00000000-0005-0000-0000-0000DB420000}"/>
    <cellStyle name="Nota 2 4 2" xfId="26079" xr:uid="{00000000-0005-0000-0000-0000DC420000}"/>
    <cellStyle name="Nota 2 4 3" xfId="26078" xr:uid="{00000000-0005-0000-0000-0000DD420000}"/>
    <cellStyle name="Nota 2 4 4" xfId="2164" xr:uid="{00000000-0005-0000-0000-0000DE420000}"/>
    <cellStyle name="Nota 2 4 4 2" xfId="26661" xr:uid="{00000000-0005-0000-0000-0000DF420000}"/>
    <cellStyle name="Nota 2 4 5" xfId="26315" xr:uid="{00000000-0005-0000-0000-0000E0420000}"/>
    <cellStyle name="Nota 2 5" xfId="1547" xr:uid="{00000000-0005-0000-0000-0000E1420000}"/>
    <cellStyle name="Nota 2 5 2" xfId="2179" xr:uid="{00000000-0005-0000-0000-0000E2420000}"/>
    <cellStyle name="Nota 2 5 3" xfId="26580" xr:uid="{00000000-0005-0000-0000-0000E3420000}"/>
    <cellStyle name="Nota 2 6" xfId="2069" xr:uid="{00000000-0005-0000-0000-0000E4420000}"/>
    <cellStyle name="Nota 2 7" xfId="26225" xr:uid="{00000000-0005-0000-0000-0000E5420000}"/>
    <cellStyle name="Nota 3" xfId="1548" xr:uid="{00000000-0005-0000-0000-0000E6420000}"/>
    <cellStyle name="Nota 3 10" xfId="3096" xr:uid="{00000000-0005-0000-0000-0000E7420000}"/>
    <cellStyle name="Nota 3 10 2" xfId="3483" xr:uid="{00000000-0005-0000-0000-0000E8420000}"/>
    <cellStyle name="Nota 3 10 2 2" xfId="15507" xr:uid="{00000000-0005-0000-0000-0000E9420000}"/>
    <cellStyle name="Nota 3 10 3" xfId="3866" xr:uid="{00000000-0005-0000-0000-0000EA420000}"/>
    <cellStyle name="Nota 3 10 3 2" xfId="14090" xr:uid="{00000000-0005-0000-0000-0000EB420000}"/>
    <cellStyle name="Nota 3 10 4" xfId="4249" xr:uid="{00000000-0005-0000-0000-0000EC420000}"/>
    <cellStyle name="Nota 3 10 4 2" xfId="13756" xr:uid="{00000000-0005-0000-0000-0000ED420000}"/>
    <cellStyle name="Nota 3 10 5" xfId="4631" xr:uid="{00000000-0005-0000-0000-0000EE420000}"/>
    <cellStyle name="Nota 3 10 5 2" xfId="13374" xr:uid="{00000000-0005-0000-0000-0000EF420000}"/>
    <cellStyle name="Nota 3 10 6" xfId="15078" xr:uid="{00000000-0005-0000-0000-0000F0420000}"/>
    <cellStyle name="Nota 3 11" xfId="22387" xr:uid="{00000000-0005-0000-0000-0000F1420000}"/>
    <cellStyle name="Nota 3 12" xfId="2068" xr:uid="{00000000-0005-0000-0000-0000F2420000}"/>
    <cellStyle name="Nota 3 2" xfId="1549" xr:uid="{00000000-0005-0000-0000-0000F3420000}"/>
    <cellStyle name="Nota 3 3" xfId="1550" xr:uid="{00000000-0005-0000-0000-0000F4420000}"/>
    <cellStyle name="Nota 3 4" xfId="1551" xr:uid="{00000000-0005-0000-0000-0000F5420000}"/>
    <cellStyle name="Nota 3 5" xfId="1552" xr:uid="{00000000-0005-0000-0000-0000F6420000}"/>
    <cellStyle name="Nota 3 5 2" xfId="2614" xr:uid="{00000000-0005-0000-0000-0000F7420000}"/>
    <cellStyle name="Nota 3 5 2 10" xfId="5265" xr:uid="{00000000-0005-0000-0000-0000F8420000}"/>
    <cellStyle name="Nota 3 5 2 10 2" xfId="10405" xr:uid="{00000000-0005-0000-0000-0000F9420000}"/>
    <cellStyle name="Nota 3 5 2 10 3" xfId="12829" xr:uid="{00000000-0005-0000-0000-0000FA420000}"/>
    <cellStyle name="Nota 3 5 2 11" xfId="5137" xr:uid="{00000000-0005-0000-0000-0000FB420000}"/>
    <cellStyle name="Nota 3 5 2 11 2" xfId="10376" xr:uid="{00000000-0005-0000-0000-0000FC420000}"/>
    <cellStyle name="Nota 3 5 2 11 3" xfId="12784" xr:uid="{00000000-0005-0000-0000-0000FD420000}"/>
    <cellStyle name="Nota 3 5 2 12" xfId="4861" xr:uid="{00000000-0005-0000-0000-0000FE420000}"/>
    <cellStyle name="Nota 3 5 2 12 2" xfId="13145" xr:uid="{00000000-0005-0000-0000-0000FF420000}"/>
    <cellStyle name="Nota 3 5 2 13" xfId="8777" xr:uid="{00000000-0005-0000-0000-000000430000}"/>
    <cellStyle name="Nota 3 5 2 2" xfId="2703" xr:uid="{00000000-0005-0000-0000-000001430000}"/>
    <cellStyle name="Nota 3 5 2 2 10" xfId="7479" xr:uid="{00000000-0005-0000-0000-000002430000}"/>
    <cellStyle name="Nota 3 5 2 2 10 2" xfId="11533" xr:uid="{00000000-0005-0000-0000-000003430000}"/>
    <cellStyle name="Nota 3 5 2 2 10 3" xfId="20997" xr:uid="{00000000-0005-0000-0000-000004430000}"/>
    <cellStyle name="Nota 3 5 2 2 11" xfId="4896" xr:uid="{00000000-0005-0000-0000-000005430000}"/>
    <cellStyle name="Nota 3 5 2 2 11 2" xfId="14111" xr:uid="{00000000-0005-0000-0000-000006430000}"/>
    <cellStyle name="Nota 3 5 2 2 12" xfId="8858" xr:uid="{00000000-0005-0000-0000-000007430000}"/>
    <cellStyle name="Nota 3 5 2 2 13" xfId="14467" xr:uid="{00000000-0005-0000-0000-000008430000}"/>
    <cellStyle name="Nota 3 5 2 2 2" xfId="2759" xr:uid="{00000000-0005-0000-0000-000009430000}"/>
    <cellStyle name="Nota 3 5 2 2 2 2" xfId="2982" xr:uid="{00000000-0005-0000-0000-00000A430000}"/>
    <cellStyle name="Nota 3 5 2 2 2 2 10" xfId="9134" xr:uid="{00000000-0005-0000-0000-00000B430000}"/>
    <cellStyle name="Nota 3 5 2 2 2 2 11" xfId="16077" xr:uid="{00000000-0005-0000-0000-00000C430000}"/>
    <cellStyle name="Nota 3 5 2 2 2 2 2" xfId="3369" xr:uid="{00000000-0005-0000-0000-00000D430000}"/>
    <cellStyle name="Nota 3 5 2 2 2 2 2 2" xfId="7947" xr:uid="{00000000-0005-0000-0000-00000E430000}"/>
    <cellStyle name="Nota 3 5 2 2 2 2 2 2 2" xfId="11923" xr:uid="{00000000-0005-0000-0000-00000F430000}"/>
    <cellStyle name="Nota 3 5 2 2 2 2 2 2 3" xfId="21465" xr:uid="{00000000-0005-0000-0000-000010430000}"/>
    <cellStyle name="Nota 3 5 2 2 2 2 2 3" xfId="6239" xr:uid="{00000000-0005-0000-0000-000011430000}"/>
    <cellStyle name="Nota 3 5 2 2 2 2 2 3 2" xfId="19757" xr:uid="{00000000-0005-0000-0000-000012430000}"/>
    <cellStyle name="Nota 3 5 2 2 2 2 2 4" xfId="9499" xr:uid="{00000000-0005-0000-0000-000013430000}"/>
    <cellStyle name="Nota 3 5 2 2 2 2 2 5" xfId="14827" xr:uid="{00000000-0005-0000-0000-000014430000}"/>
    <cellStyle name="Nota 3 5 2 2 2 2 3" xfId="3752" xr:uid="{00000000-0005-0000-0000-000015430000}"/>
    <cellStyle name="Nota 3 5 2 2 2 2 3 2" xfId="7883" xr:uid="{00000000-0005-0000-0000-000016430000}"/>
    <cellStyle name="Nota 3 5 2 2 2 2 3 2 2" xfId="11874" xr:uid="{00000000-0005-0000-0000-000017430000}"/>
    <cellStyle name="Nota 3 5 2 2 2 2 3 2 3" xfId="21401" xr:uid="{00000000-0005-0000-0000-000018430000}"/>
    <cellStyle name="Nota 3 5 2 2 2 2 3 3" xfId="6175" xr:uid="{00000000-0005-0000-0000-000019430000}"/>
    <cellStyle name="Nota 3 5 2 2 2 2 3 3 2" xfId="19693" xr:uid="{00000000-0005-0000-0000-00001A430000}"/>
    <cellStyle name="Nota 3 5 2 2 2 2 3 4" xfId="9814" xr:uid="{00000000-0005-0000-0000-00001B430000}"/>
    <cellStyle name="Nota 3 5 2 2 2 2 3 5" xfId="14587" xr:uid="{00000000-0005-0000-0000-00001C430000}"/>
    <cellStyle name="Nota 3 5 2 2 2 2 4" xfId="4135" xr:uid="{00000000-0005-0000-0000-00001D430000}"/>
    <cellStyle name="Nota 3 5 2 2 2 2 4 2" xfId="8254" xr:uid="{00000000-0005-0000-0000-00001E430000}"/>
    <cellStyle name="Nota 3 5 2 2 2 2 4 2 2" xfId="12222" xr:uid="{00000000-0005-0000-0000-00001F430000}"/>
    <cellStyle name="Nota 3 5 2 2 2 2 4 2 3" xfId="21772" xr:uid="{00000000-0005-0000-0000-000020430000}"/>
    <cellStyle name="Nota 3 5 2 2 2 2 4 3" xfId="6546" xr:uid="{00000000-0005-0000-0000-000021430000}"/>
    <cellStyle name="Nota 3 5 2 2 2 2 4 3 2" xfId="20064" xr:uid="{00000000-0005-0000-0000-000022430000}"/>
    <cellStyle name="Nota 3 5 2 2 2 2 4 4" xfId="9992" xr:uid="{00000000-0005-0000-0000-000023430000}"/>
    <cellStyle name="Nota 3 5 2 2 2 2 4 5" xfId="13862" xr:uid="{00000000-0005-0000-0000-000024430000}"/>
    <cellStyle name="Nota 3 5 2 2 2 2 5" xfId="4517" xr:uid="{00000000-0005-0000-0000-000025430000}"/>
    <cellStyle name="Nota 3 5 2 2 2 2 5 2" xfId="8486" xr:uid="{00000000-0005-0000-0000-000026430000}"/>
    <cellStyle name="Nota 3 5 2 2 2 2 5 2 2" xfId="12454" xr:uid="{00000000-0005-0000-0000-000027430000}"/>
    <cellStyle name="Nota 3 5 2 2 2 2 5 2 3" xfId="22004" xr:uid="{00000000-0005-0000-0000-000028430000}"/>
    <cellStyle name="Nota 3 5 2 2 2 2 5 3" xfId="6778" xr:uid="{00000000-0005-0000-0000-000029430000}"/>
    <cellStyle name="Nota 3 5 2 2 2 2 5 3 2" xfId="20296" xr:uid="{00000000-0005-0000-0000-00002A430000}"/>
    <cellStyle name="Nota 3 5 2 2 2 2 5 4" xfId="10169" xr:uid="{00000000-0005-0000-0000-00002B430000}"/>
    <cellStyle name="Nota 3 5 2 2 2 2 5 5" xfId="13488" xr:uid="{00000000-0005-0000-0000-00002C430000}"/>
    <cellStyle name="Nota 3 5 2 2 2 2 6" xfId="7010" xr:uid="{00000000-0005-0000-0000-00002D430000}"/>
    <cellStyle name="Nota 3 5 2 2 2 2 6 2" xfId="8718" xr:uid="{00000000-0005-0000-0000-00002E430000}"/>
    <cellStyle name="Nota 3 5 2 2 2 2 6 2 2" xfId="12686" xr:uid="{00000000-0005-0000-0000-00002F430000}"/>
    <cellStyle name="Nota 3 5 2 2 2 2 6 2 3" xfId="22236" xr:uid="{00000000-0005-0000-0000-000030430000}"/>
    <cellStyle name="Nota 3 5 2 2 2 2 6 3" xfId="11144" xr:uid="{00000000-0005-0000-0000-000031430000}"/>
    <cellStyle name="Nota 3 5 2 2 2 2 6 4" xfId="20528" xr:uid="{00000000-0005-0000-0000-000032430000}"/>
    <cellStyle name="Nota 3 5 2 2 2 2 7" xfId="5998" xr:uid="{00000000-0005-0000-0000-000033430000}"/>
    <cellStyle name="Nota 3 5 2 2 2 2 7 2" xfId="10739" xr:uid="{00000000-0005-0000-0000-000034430000}"/>
    <cellStyle name="Nota 3 5 2 2 2 2 7 3" xfId="19516" xr:uid="{00000000-0005-0000-0000-000035430000}"/>
    <cellStyle name="Nota 3 5 2 2 2 2 8" xfId="7706" xr:uid="{00000000-0005-0000-0000-000036430000}"/>
    <cellStyle name="Nota 3 5 2 2 2 2 8 2" xfId="11727" xr:uid="{00000000-0005-0000-0000-000037430000}"/>
    <cellStyle name="Nota 3 5 2 2 2 2 8 3" xfId="21224" xr:uid="{00000000-0005-0000-0000-000038430000}"/>
    <cellStyle name="Nota 3 5 2 2 2 2 9" xfId="5192" xr:uid="{00000000-0005-0000-0000-000039430000}"/>
    <cellStyle name="Nota 3 5 2 2 2 2 9 2" xfId="12890" xr:uid="{00000000-0005-0000-0000-00003A430000}"/>
    <cellStyle name="Nota 3 5 2 2 2 3" xfId="3249" xr:uid="{00000000-0005-0000-0000-00003B430000}"/>
    <cellStyle name="Nota 3 5 2 2 2 3 10" xfId="9379" xr:uid="{00000000-0005-0000-0000-00003C430000}"/>
    <cellStyle name="Nota 3 5 2 2 2 3 11" xfId="17380" xr:uid="{00000000-0005-0000-0000-00003D430000}"/>
    <cellStyle name="Nota 3 5 2 2 2 3 2" xfId="3636" xr:uid="{00000000-0005-0000-0000-00003E430000}"/>
    <cellStyle name="Nota 3 5 2 2 2 3 2 2" xfId="7997" xr:uid="{00000000-0005-0000-0000-00003F430000}"/>
    <cellStyle name="Nota 3 5 2 2 2 3 2 2 2" xfId="11973" xr:uid="{00000000-0005-0000-0000-000040430000}"/>
    <cellStyle name="Nota 3 5 2 2 2 3 2 2 3" xfId="21515" xr:uid="{00000000-0005-0000-0000-000041430000}"/>
    <cellStyle name="Nota 3 5 2 2 2 3 2 3" xfId="6289" xr:uid="{00000000-0005-0000-0000-000042430000}"/>
    <cellStyle name="Nota 3 5 2 2 2 3 2 3 2" xfId="19807" xr:uid="{00000000-0005-0000-0000-000043430000}"/>
    <cellStyle name="Nota 3 5 2 2 2 3 2 4" xfId="9728" xr:uid="{00000000-0005-0000-0000-000044430000}"/>
    <cellStyle name="Nota 3 5 2 2 2 3 2 5" xfId="16476" xr:uid="{00000000-0005-0000-0000-000045430000}"/>
    <cellStyle name="Nota 3 5 2 2 2 3 3" xfId="4019" xr:uid="{00000000-0005-0000-0000-000046430000}"/>
    <cellStyle name="Nota 3 5 2 2 2 3 3 2" xfId="7068" xr:uid="{00000000-0005-0000-0000-000047430000}"/>
    <cellStyle name="Nota 3 5 2 2 2 3 3 2 2" xfId="11202" xr:uid="{00000000-0005-0000-0000-000048430000}"/>
    <cellStyle name="Nota 3 5 2 2 2 3 3 2 3" xfId="20586" xr:uid="{00000000-0005-0000-0000-000049430000}"/>
    <cellStyle name="Nota 3 5 2 2 2 3 3 3" xfId="5359" xr:uid="{00000000-0005-0000-0000-00004A430000}"/>
    <cellStyle name="Nota 3 5 2 2 2 3 3 3 2" xfId="18877" xr:uid="{00000000-0005-0000-0000-00004B430000}"/>
    <cellStyle name="Nota 3 5 2 2 2 3 3 4" xfId="9938" xr:uid="{00000000-0005-0000-0000-00004C430000}"/>
    <cellStyle name="Nota 3 5 2 2 2 3 3 5" xfId="13972" xr:uid="{00000000-0005-0000-0000-00004D430000}"/>
    <cellStyle name="Nota 3 5 2 2 2 3 4" xfId="4402" xr:uid="{00000000-0005-0000-0000-00004E430000}"/>
    <cellStyle name="Nota 3 5 2 2 2 3 4 2" xfId="8304" xr:uid="{00000000-0005-0000-0000-00004F430000}"/>
    <cellStyle name="Nota 3 5 2 2 2 3 4 2 2" xfId="12272" xr:uid="{00000000-0005-0000-0000-000050430000}"/>
    <cellStyle name="Nota 3 5 2 2 2 3 4 2 3" xfId="21822" xr:uid="{00000000-0005-0000-0000-000051430000}"/>
    <cellStyle name="Nota 3 5 2 2 2 3 4 3" xfId="6596" xr:uid="{00000000-0005-0000-0000-000052430000}"/>
    <cellStyle name="Nota 3 5 2 2 2 3 4 3 2" xfId="20114" xr:uid="{00000000-0005-0000-0000-000053430000}"/>
    <cellStyle name="Nota 3 5 2 2 2 3 4 4" xfId="10116" xr:uid="{00000000-0005-0000-0000-000054430000}"/>
    <cellStyle name="Nota 3 5 2 2 2 3 4 5" xfId="13603" xr:uid="{00000000-0005-0000-0000-000055430000}"/>
    <cellStyle name="Nota 3 5 2 2 2 3 5" xfId="4784" xr:uid="{00000000-0005-0000-0000-000056430000}"/>
    <cellStyle name="Nota 3 5 2 2 2 3 5 2" xfId="8536" xr:uid="{00000000-0005-0000-0000-000057430000}"/>
    <cellStyle name="Nota 3 5 2 2 2 3 5 2 2" xfId="12504" xr:uid="{00000000-0005-0000-0000-000058430000}"/>
    <cellStyle name="Nota 3 5 2 2 2 3 5 2 3" xfId="22054" xr:uid="{00000000-0005-0000-0000-000059430000}"/>
    <cellStyle name="Nota 3 5 2 2 2 3 5 3" xfId="6828" xr:uid="{00000000-0005-0000-0000-00005A430000}"/>
    <cellStyle name="Nota 3 5 2 2 2 3 5 3 2" xfId="20346" xr:uid="{00000000-0005-0000-0000-00005B430000}"/>
    <cellStyle name="Nota 3 5 2 2 2 3 5 4" xfId="10293" xr:uid="{00000000-0005-0000-0000-00005C430000}"/>
    <cellStyle name="Nota 3 5 2 2 2 3 5 5" xfId="13221" xr:uid="{00000000-0005-0000-0000-00005D430000}"/>
    <cellStyle name="Nota 3 5 2 2 2 3 6" xfId="7060" xr:uid="{00000000-0005-0000-0000-00005E430000}"/>
    <cellStyle name="Nota 3 5 2 2 2 3 6 2" xfId="8768" xr:uid="{00000000-0005-0000-0000-00005F430000}"/>
    <cellStyle name="Nota 3 5 2 2 2 3 6 2 2" xfId="12736" xr:uid="{00000000-0005-0000-0000-000060430000}"/>
    <cellStyle name="Nota 3 5 2 2 2 3 6 2 3" xfId="22286" xr:uid="{00000000-0005-0000-0000-000061430000}"/>
    <cellStyle name="Nota 3 5 2 2 2 3 6 3" xfId="11194" xr:uid="{00000000-0005-0000-0000-000062430000}"/>
    <cellStyle name="Nota 3 5 2 2 2 3 6 4" xfId="20578" xr:uid="{00000000-0005-0000-0000-000063430000}"/>
    <cellStyle name="Nota 3 5 2 2 2 3 7" xfId="6048" xr:uid="{00000000-0005-0000-0000-000064430000}"/>
    <cellStyle name="Nota 3 5 2 2 2 3 7 2" xfId="10789" xr:uid="{00000000-0005-0000-0000-000065430000}"/>
    <cellStyle name="Nota 3 5 2 2 2 3 7 3" xfId="19566" xr:uid="{00000000-0005-0000-0000-000066430000}"/>
    <cellStyle name="Nota 3 5 2 2 2 3 8" xfId="7756" xr:uid="{00000000-0005-0000-0000-000067430000}"/>
    <cellStyle name="Nota 3 5 2 2 2 3 8 2" xfId="11777" xr:uid="{00000000-0005-0000-0000-000068430000}"/>
    <cellStyle name="Nota 3 5 2 2 2 3 8 3" xfId="21274" xr:uid="{00000000-0005-0000-0000-000069430000}"/>
    <cellStyle name="Nota 3 5 2 2 2 3 9" xfId="5242" xr:uid="{00000000-0005-0000-0000-00006A430000}"/>
    <cellStyle name="Nota 3 5 2 2 2 3 9 2" xfId="12852" xr:uid="{00000000-0005-0000-0000-00006B430000}"/>
    <cellStyle name="Nota 3 5 2 2 2 4" xfId="3306" xr:uid="{00000000-0005-0000-0000-00006C430000}"/>
    <cellStyle name="Nota 3 5 2 2 2 4 2" xfId="3693" xr:uid="{00000000-0005-0000-0000-00006D430000}"/>
    <cellStyle name="Nota 3 5 2 2 2 4 2 2" xfId="18098" xr:uid="{00000000-0005-0000-0000-00006E430000}"/>
    <cellStyle name="Nota 3 5 2 2 2 4 3" xfId="4076" xr:uid="{00000000-0005-0000-0000-00006F430000}"/>
    <cellStyle name="Nota 3 5 2 2 2 4 3 2" xfId="13913" xr:uid="{00000000-0005-0000-0000-000070430000}"/>
    <cellStyle name="Nota 3 5 2 2 2 4 4" xfId="4459" xr:uid="{00000000-0005-0000-0000-000071430000}"/>
    <cellStyle name="Nota 3 5 2 2 2 4 4 2" xfId="13546" xr:uid="{00000000-0005-0000-0000-000072430000}"/>
    <cellStyle name="Nota 3 5 2 2 2 4 5" xfId="4841" xr:uid="{00000000-0005-0000-0000-000073430000}"/>
    <cellStyle name="Nota 3 5 2 2 2 4 5 2" xfId="13165" xr:uid="{00000000-0005-0000-0000-000074430000}"/>
    <cellStyle name="Nota 3 5 2 2 2 4 6" xfId="5838" xr:uid="{00000000-0005-0000-0000-000075430000}"/>
    <cellStyle name="Nota 3 5 2 2 2 4 6 2" xfId="19356" xr:uid="{00000000-0005-0000-0000-000076430000}"/>
    <cellStyle name="Nota 3 5 2 2 2 4 7" xfId="9436" xr:uid="{00000000-0005-0000-0000-000077430000}"/>
    <cellStyle name="Nota 3 5 2 2 2 4 8" xfId="14451" xr:uid="{00000000-0005-0000-0000-000078430000}"/>
    <cellStyle name="Nota 3 5 2 2 2 5" xfId="2924" xr:uid="{00000000-0005-0000-0000-000079430000}"/>
    <cellStyle name="Nota 3 5 2 2 2 5 2" xfId="7546" xr:uid="{00000000-0005-0000-0000-00007A430000}"/>
    <cellStyle name="Nota 3 5 2 2 2 5 2 2" xfId="21064" xr:uid="{00000000-0005-0000-0000-00007B430000}"/>
    <cellStyle name="Nota 3 5 2 2 2 5 3" xfId="9076" xr:uid="{00000000-0005-0000-0000-00007C430000}"/>
    <cellStyle name="Nota 3 5 2 2 2 5 4" xfId="17404" xr:uid="{00000000-0005-0000-0000-00007D430000}"/>
    <cellStyle name="Nota 3 5 2 2 2 6" xfId="8914" xr:uid="{00000000-0005-0000-0000-00007E430000}"/>
    <cellStyle name="Nota 3 5 2 2 3" xfId="2642" xr:uid="{00000000-0005-0000-0000-00007F430000}"/>
    <cellStyle name="Nota 3 5 2 2 3 2" xfId="2940" xr:uid="{00000000-0005-0000-0000-000080430000}"/>
    <cellStyle name="Nota 3 5 2 2 3 2 10" xfId="9092" xr:uid="{00000000-0005-0000-0000-000081430000}"/>
    <cellStyle name="Nota 3 5 2 2 3 2 11" xfId="16695" xr:uid="{00000000-0005-0000-0000-000082430000}"/>
    <cellStyle name="Nota 3 5 2 2 3 2 2" xfId="3327" xr:uid="{00000000-0005-0000-0000-000083430000}"/>
    <cellStyle name="Nota 3 5 2 2 3 2 2 2" xfId="7296" xr:uid="{00000000-0005-0000-0000-000084430000}"/>
    <cellStyle name="Nota 3 5 2 2 3 2 2 2 2" xfId="11401" xr:uid="{00000000-0005-0000-0000-000085430000}"/>
    <cellStyle name="Nota 3 5 2 2 3 2 2 2 3" xfId="20814" xr:uid="{00000000-0005-0000-0000-000086430000}"/>
    <cellStyle name="Nota 3 5 2 2 3 2 2 3" xfId="5587" xr:uid="{00000000-0005-0000-0000-000087430000}"/>
    <cellStyle name="Nota 3 5 2 2 3 2 2 3 2" xfId="19105" xr:uid="{00000000-0005-0000-0000-000088430000}"/>
    <cellStyle name="Nota 3 5 2 2 3 2 2 4" xfId="9457" xr:uid="{00000000-0005-0000-0000-000089430000}"/>
    <cellStyle name="Nota 3 5 2 2 3 2 2 5" xfId="16215" xr:uid="{00000000-0005-0000-0000-00008A430000}"/>
    <cellStyle name="Nota 3 5 2 2 3 2 3" xfId="3710" xr:uid="{00000000-0005-0000-0000-00008B430000}"/>
    <cellStyle name="Nota 3 5 2 2 3 2 3 2" xfId="7101" xr:uid="{00000000-0005-0000-0000-00008C430000}"/>
    <cellStyle name="Nota 3 5 2 2 3 2 3 2 2" xfId="11235" xr:uid="{00000000-0005-0000-0000-00008D430000}"/>
    <cellStyle name="Nota 3 5 2 2 3 2 3 2 3" xfId="20619" xr:uid="{00000000-0005-0000-0000-00008E430000}"/>
    <cellStyle name="Nota 3 5 2 2 3 2 3 3" xfId="5392" xr:uid="{00000000-0005-0000-0000-00008F430000}"/>
    <cellStyle name="Nota 3 5 2 2 3 2 3 3 2" xfId="18910" xr:uid="{00000000-0005-0000-0000-000090430000}"/>
    <cellStyle name="Nota 3 5 2 2 3 2 3 4" xfId="9772" xr:uid="{00000000-0005-0000-0000-000091430000}"/>
    <cellStyle name="Nota 3 5 2 2 3 2 3 5" xfId="17911" xr:uid="{00000000-0005-0000-0000-000092430000}"/>
    <cellStyle name="Nota 3 5 2 2 3 2 4" xfId="4093" xr:uid="{00000000-0005-0000-0000-000093430000}"/>
    <cellStyle name="Nota 3 5 2 2 3 2 4 2" xfId="8214" xr:uid="{00000000-0005-0000-0000-000094430000}"/>
    <cellStyle name="Nota 3 5 2 2 3 2 4 2 2" xfId="12182" xr:uid="{00000000-0005-0000-0000-000095430000}"/>
    <cellStyle name="Nota 3 5 2 2 3 2 4 2 3" xfId="21732" xr:uid="{00000000-0005-0000-0000-000096430000}"/>
    <cellStyle name="Nota 3 5 2 2 3 2 4 3" xfId="6506" xr:uid="{00000000-0005-0000-0000-000097430000}"/>
    <cellStyle name="Nota 3 5 2 2 3 2 4 3 2" xfId="20024" xr:uid="{00000000-0005-0000-0000-000098430000}"/>
    <cellStyle name="Nota 3 5 2 2 3 2 4 4" xfId="9950" xr:uid="{00000000-0005-0000-0000-000099430000}"/>
    <cellStyle name="Nota 3 5 2 2 3 2 4 5" xfId="13901" xr:uid="{00000000-0005-0000-0000-00009A430000}"/>
    <cellStyle name="Nota 3 5 2 2 3 2 5" xfId="4475" xr:uid="{00000000-0005-0000-0000-00009B430000}"/>
    <cellStyle name="Nota 3 5 2 2 3 2 5 2" xfId="8446" xr:uid="{00000000-0005-0000-0000-00009C430000}"/>
    <cellStyle name="Nota 3 5 2 2 3 2 5 2 2" xfId="12414" xr:uid="{00000000-0005-0000-0000-00009D430000}"/>
    <cellStyle name="Nota 3 5 2 2 3 2 5 2 3" xfId="21964" xr:uid="{00000000-0005-0000-0000-00009E430000}"/>
    <cellStyle name="Nota 3 5 2 2 3 2 5 3" xfId="6738" xr:uid="{00000000-0005-0000-0000-00009F430000}"/>
    <cellStyle name="Nota 3 5 2 2 3 2 5 3 2" xfId="20256" xr:uid="{00000000-0005-0000-0000-0000A0430000}"/>
    <cellStyle name="Nota 3 5 2 2 3 2 5 4" xfId="10127" xr:uid="{00000000-0005-0000-0000-0000A1430000}"/>
    <cellStyle name="Nota 3 5 2 2 3 2 5 5" xfId="13530" xr:uid="{00000000-0005-0000-0000-0000A2430000}"/>
    <cellStyle name="Nota 3 5 2 2 3 2 6" xfId="6970" xr:uid="{00000000-0005-0000-0000-0000A3430000}"/>
    <cellStyle name="Nota 3 5 2 2 3 2 6 2" xfId="8678" xr:uid="{00000000-0005-0000-0000-0000A4430000}"/>
    <cellStyle name="Nota 3 5 2 2 3 2 6 2 2" xfId="12646" xr:uid="{00000000-0005-0000-0000-0000A5430000}"/>
    <cellStyle name="Nota 3 5 2 2 3 2 6 2 3" xfId="22196" xr:uid="{00000000-0005-0000-0000-0000A6430000}"/>
    <cellStyle name="Nota 3 5 2 2 3 2 6 3" xfId="11104" xr:uid="{00000000-0005-0000-0000-0000A7430000}"/>
    <cellStyle name="Nota 3 5 2 2 3 2 6 4" xfId="20488" xr:uid="{00000000-0005-0000-0000-0000A8430000}"/>
    <cellStyle name="Nota 3 5 2 2 3 2 7" xfId="5958" xr:uid="{00000000-0005-0000-0000-0000A9430000}"/>
    <cellStyle name="Nota 3 5 2 2 3 2 7 2" xfId="10699" xr:uid="{00000000-0005-0000-0000-0000AA430000}"/>
    <cellStyle name="Nota 3 5 2 2 3 2 7 3" xfId="19476" xr:uid="{00000000-0005-0000-0000-0000AB430000}"/>
    <cellStyle name="Nota 3 5 2 2 3 2 8" xfId="7666" xr:uid="{00000000-0005-0000-0000-0000AC430000}"/>
    <cellStyle name="Nota 3 5 2 2 3 2 8 2" xfId="11687" xr:uid="{00000000-0005-0000-0000-0000AD430000}"/>
    <cellStyle name="Nota 3 5 2 2 3 2 8 3" xfId="21184" xr:uid="{00000000-0005-0000-0000-0000AE430000}"/>
    <cellStyle name="Nota 3 5 2 2 3 2 9" xfId="5149" xr:uid="{00000000-0005-0000-0000-0000AF430000}"/>
    <cellStyle name="Nota 3 5 2 2 3 2 9 2" xfId="12778" xr:uid="{00000000-0005-0000-0000-0000B0430000}"/>
    <cellStyle name="Nota 3 5 2 2 3 3" xfId="3134" xr:uid="{00000000-0005-0000-0000-0000B1430000}"/>
    <cellStyle name="Nota 3 5 2 2 3 3 10" xfId="9264" xr:uid="{00000000-0005-0000-0000-0000B2430000}"/>
    <cellStyle name="Nota 3 5 2 2 3 3 11" xfId="14457" xr:uid="{00000000-0005-0000-0000-0000B3430000}"/>
    <cellStyle name="Nota 3 5 2 2 3 3 2" xfId="3521" xr:uid="{00000000-0005-0000-0000-0000B4430000}"/>
    <cellStyle name="Nota 3 5 2 2 3 3 2 2" xfId="7286" xr:uid="{00000000-0005-0000-0000-0000B5430000}"/>
    <cellStyle name="Nota 3 5 2 2 3 3 2 2 2" xfId="11391" xr:uid="{00000000-0005-0000-0000-0000B6430000}"/>
    <cellStyle name="Nota 3 5 2 2 3 3 2 2 3" xfId="20804" xr:uid="{00000000-0005-0000-0000-0000B7430000}"/>
    <cellStyle name="Nota 3 5 2 2 3 3 2 3" xfId="5577" xr:uid="{00000000-0005-0000-0000-0000B8430000}"/>
    <cellStyle name="Nota 3 5 2 2 3 3 2 3 2" xfId="19095" xr:uid="{00000000-0005-0000-0000-0000B9430000}"/>
    <cellStyle name="Nota 3 5 2 2 3 3 2 4" xfId="9613" xr:uid="{00000000-0005-0000-0000-0000BA430000}"/>
    <cellStyle name="Nota 3 5 2 2 3 3 2 5" xfId="14823" xr:uid="{00000000-0005-0000-0000-0000BB430000}"/>
    <cellStyle name="Nota 3 5 2 2 3 3 3" xfId="3904" xr:uid="{00000000-0005-0000-0000-0000BC430000}"/>
    <cellStyle name="Nota 3 5 2 2 3 3 3 2" xfId="7111" xr:uid="{00000000-0005-0000-0000-0000BD430000}"/>
    <cellStyle name="Nota 3 5 2 2 3 3 3 2 2" xfId="11245" xr:uid="{00000000-0005-0000-0000-0000BE430000}"/>
    <cellStyle name="Nota 3 5 2 2 3 3 3 2 3" xfId="20629" xr:uid="{00000000-0005-0000-0000-0000BF430000}"/>
    <cellStyle name="Nota 3 5 2 2 3 3 3 3" xfId="5402" xr:uid="{00000000-0005-0000-0000-0000C0430000}"/>
    <cellStyle name="Nota 3 5 2 2 3 3 3 3 2" xfId="18920" xr:uid="{00000000-0005-0000-0000-0000C1430000}"/>
    <cellStyle name="Nota 3 5 2 2 3 3 3 4" xfId="9827" xr:uid="{00000000-0005-0000-0000-0000C2430000}"/>
    <cellStyle name="Nota 3 5 2 2 3 3 3 5" xfId="14084" xr:uid="{00000000-0005-0000-0000-0000C3430000}"/>
    <cellStyle name="Nota 3 5 2 2 3 3 4" xfId="4287" xr:uid="{00000000-0005-0000-0000-0000C4430000}"/>
    <cellStyle name="Nota 3 5 2 2 3 3 4 2" xfId="8194" xr:uid="{00000000-0005-0000-0000-0000C5430000}"/>
    <cellStyle name="Nota 3 5 2 2 3 3 4 2 2" xfId="12162" xr:uid="{00000000-0005-0000-0000-0000C6430000}"/>
    <cellStyle name="Nota 3 5 2 2 3 3 4 2 3" xfId="21712" xr:uid="{00000000-0005-0000-0000-0000C7430000}"/>
    <cellStyle name="Nota 3 5 2 2 3 3 4 3" xfId="6486" xr:uid="{00000000-0005-0000-0000-0000C8430000}"/>
    <cellStyle name="Nota 3 5 2 2 3 3 4 3 2" xfId="20004" xr:uid="{00000000-0005-0000-0000-0000C9430000}"/>
    <cellStyle name="Nota 3 5 2 2 3 3 4 4" xfId="10005" xr:uid="{00000000-0005-0000-0000-0000CA430000}"/>
    <cellStyle name="Nota 3 5 2 2 3 3 4 5" xfId="13718" xr:uid="{00000000-0005-0000-0000-0000CB430000}"/>
    <cellStyle name="Nota 3 5 2 2 3 3 5" xfId="4669" xr:uid="{00000000-0005-0000-0000-0000CC430000}"/>
    <cellStyle name="Nota 3 5 2 2 3 3 5 2" xfId="8426" xr:uid="{00000000-0005-0000-0000-0000CD430000}"/>
    <cellStyle name="Nota 3 5 2 2 3 3 5 2 2" xfId="12394" xr:uid="{00000000-0005-0000-0000-0000CE430000}"/>
    <cellStyle name="Nota 3 5 2 2 3 3 5 2 3" xfId="21944" xr:uid="{00000000-0005-0000-0000-0000CF430000}"/>
    <cellStyle name="Nota 3 5 2 2 3 3 5 3" xfId="6718" xr:uid="{00000000-0005-0000-0000-0000D0430000}"/>
    <cellStyle name="Nota 3 5 2 2 3 3 5 3 2" xfId="20236" xr:uid="{00000000-0005-0000-0000-0000D1430000}"/>
    <cellStyle name="Nota 3 5 2 2 3 3 5 4" xfId="10182" xr:uid="{00000000-0005-0000-0000-0000D2430000}"/>
    <cellStyle name="Nota 3 5 2 2 3 3 5 5" xfId="13336" xr:uid="{00000000-0005-0000-0000-0000D3430000}"/>
    <cellStyle name="Nota 3 5 2 2 3 3 6" xfId="6950" xr:uid="{00000000-0005-0000-0000-0000D4430000}"/>
    <cellStyle name="Nota 3 5 2 2 3 3 6 2" xfId="8658" xr:uid="{00000000-0005-0000-0000-0000D5430000}"/>
    <cellStyle name="Nota 3 5 2 2 3 3 6 2 2" xfId="12626" xr:uid="{00000000-0005-0000-0000-0000D6430000}"/>
    <cellStyle name="Nota 3 5 2 2 3 3 6 2 3" xfId="22176" xr:uid="{00000000-0005-0000-0000-0000D7430000}"/>
    <cellStyle name="Nota 3 5 2 2 3 3 6 3" xfId="11084" xr:uid="{00000000-0005-0000-0000-0000D8430000}"/>
    <cellStyle name="Nota 3 5 2 2 3 3 6 4" xfId="20468" xr:uid="{00000000-0005-0000-0000-0000D9430000}"/>
    <cellStyle name="Nota 3 5 2 2 3 3 7" xfId="5938" xr:uid="{00000000-0005-0000-0000-0000DA430000}"/>
    <cellStyle name="Nota 3 5 2 2 3 3 7 2" xfId="10679" xr:uid="{00000000-0005-0000-0000-0000DB430000}"/>
    <cellStyle name="Nota 3 5 2 2 3 3 7 3" xfId="19456" xr:uid="{00000000-0005-0000-0000-0000DC430000}"/>
    <cellStyle name="Nota 3 5 2 2 3 3 8" xfId="7646" xr:uid="{00000000-0005-0000-0000-0000DD430000}"/>
    <cellStyle name="Nota 3 5 2 2 3 3 8 2" xfId="11667" xr:uid="{00000000-0005-0000-0000-0000DE430000}"/>
    <cellStyle name="Nota 3 5 2 2 3 3 8 3" xfId="21164" xr:uid="{00000000-0005-0000-0000-0000DF430000}"/>
    <cellStyle name="Nota 3 5 2 2 3 3 9" xfId="5034" xr:uid="{00000000-0005-0000-0000-0000E0430000}"/>
    <cellStyle name="Nota 3 5 2 2 3 3 9 2" xfId="12985" xr:uid="{00000000-0005-0000-0000-0000E1430000}"/>
    <cellStyle name="Nota 3 5 2 2 3 4" xfId="3072" xr:uid="{00000000-0005-0000-0000-0000E2430000}"/>
    <cellStyle name="Nota 3 5 2 2 3 4 2" xfId="3459" xr:uid="{00000000-0005-0000-0000-0000E3430000}"/>
    <cellStyle name="Nota 3 5 2 2 3 4 2 2" xfId="15010" xr:uid="{00000000-0005-0000-0000-0000E4430000}"/>
    <cellStyle name="Nota 3 5 2 2 3 4 3" xfId="3842" xr:uid="{00000000-0005-0000-0000-0000E5430000}"/>
    <cellStyle name="Nota 3 5 2 2 3 4 3 2" xfId="14183" xr:uid="{00000000-0005-0000-0000-0000E6430000}"/>
    <cellStyle name="Nota 3 5 2 2 3 4 4" xfId="4225" xr:uid="{00000000-0005-0000-0000-0000E7430000}"/>
    <cellStyle name="Nota 3 5 2 2 3 4 4 2" xfId="13780" xr:uid="{00000000-0005-0000-0000-0000E8430000}"/>
    <cellStyle name="Nota 3 5 2 2 3 4 5" xfId="4607" xr:uid="{00000000-0005-0000-0000-0000E9430000}"/>
    <cellStyle name="Nota 3 5 2 2 3 4 5 2" xfId="13398" xr:uid="{00000000-0005-0000-0000-0000EA430000}"/>
    <cellStyle name="Nota 3 5 2 2 3 4 6" xfId="5801" xr:uid="{00000000-0005-0000-0000-0000EB430000}"/>
    <cellStyle name="Nota 3 5 2 2 3 4 6 2" xfId="19319" xr:uid="{00000000-0005-0000-0000-0000EC430000}"/>
    <cellStyle name="Nota 3 5 2 2 3 4 7" xfId="9212" xr:uid="{00000000-0005-0000-0000-0000ED430000}"/>
    <cellStyle name="Nota 3 5 2 2 3 4 8" xfId="14450" xr:uid="{00000000-0005-0000-0000-0000EE430000}"/>
    <cellStyle name="Nota 3 5 2 2 3 5" xfId="2842" xr:uid="{00000000-0005-0000-0000-0000EF430000}"/>
    <cellStyle name="Nota 3 5 2 2 3 5 2" xfId="7509" xr:uid="{00000000-0005-0000-0000-0000F0430000}"/>
    <cellStyle name="Nota 3 5 2 2 3 5 2 2" xfId="21027" xr:uid="{00000000-0005-0000-0000-0000F1430000}"/>
    <cellStyle name="Nota 3 5 2 2 3 5 3" xfId="8995" xr:uid="{00000000-0005-0000-0000-0000F2430000}"/>
    <cellStyle name="Nota 3 5 2 2 3 5 4" xfId="18033" xr:uid="{00000000-0005-0000-0000-0000F3430000}"/>
    <cellStyle name="Nota 3 5 2 2 3 6" xfId="8799" xr:uid="{00000000-0005-0000-0000-0000F4430000}"/>
    <cellStyle name="Nota 3 5 2 2 4" xfId="2958" xr:uid="{00000000-0005-0000-0000-0000F5430000}"/>
    <cellStyle name="Nota 3 5 2 2 4 10" xfId="9110" xr:uid="{00000000-0005-0000-0000-0000F6430000}"/>
    <cellStyle name="Nota 3 5 2 2 4 11" xfId="16561" xr:uid="{00000000-0005-0000-0000-0000F7430000}"/>
    <cellStyle name="Nota 3 5 2 2 4 2" xfId="3345" xr:uid="{00000000-0005-0000-0000-0000F8430000}"/>
    <cellStyle name="Nota 3 5 2 2 4 2 2" xfId="7259" xr:uid="{00000000-0005-0000-0000-0000F9430000}"/>
    <cellStyle name="Nota 3 5 2 2 4 2 2 2" xfId="11364" xr:uid="{00000000-0005-0000-0000-0000FA430000}"/>
    <cellStyle name="Nota 3 5 2 2 4 2 2 3" xfId="20777" xr:uid="{00000000-0005-0000-0000-0000FB430000}"/>
    <cellStyle name="Nota 3 5 2 2 4 2 3" xfId="5550" xr:uid="{00000000-0005-0000-0000-0000FC430000}"/>
    <cellStyle name="Nota 3 5 2 2 4 2 3 2" xfId="19068" xr:uid="{00000000-0005-0000-0000-0000FD430000}"/>
    <cellStyle name="Nota 3 5 2 2 4 2 4" xfId="9475" xr:uid="{00000000-0005-0000-0000-0000FE430000}"/>
    <cellStyle name="Nota 3 5 2 2 4 2 5" xfId="16230" xr:uid="{00000000-0005-0000-0000-0000FF430000}"/>
    <cellStyle name="Nota 3 5 2 2 4 3" xfId="3728" xr:uid="{00000000-0005-0000-0000-000000440000}"/>
    <cellStyle name="Nota 3 5 2 2 4 3 2" xfId="7210" xr:uid="{00000000-0005-0000-0000-000001440000}"/>
    <cellStyle name="Nota 3 5 2 2 4 3 2 2" xfId="11336" xr:uid="{00000000-0005-0000-0000-000002440000}"/>
    <cellStyle name="Nota 3 5 2 2 4 3 2 3" xfId="20728" xr:uid="{00000000-0005-0000-0000-000003440000}"/>
    <cellStyle name="Nota 3 5 2 2 4 3 3" xfId="5501" xr:uid="{00000000-0005-0000-0000-000004440000}"/>
    <cellStyle name="Nota 3 5 2 2 4 3 3 2" xfId="19019" xr:uid="{00000000-0005-0000-0000-000005440000}"/>
    <cellStyle name="Nota 3 5 2 2 4 3 4" xfId="9790" xr:uid="{00000000-0005-0000-0000-000006440000}"/>
    <cellStyle name="Nota 3 5 2 2 4 3 5" xfId="14380" xr:uid="{00000000-0005-0000-0000-000007440000}"/>
    <cellStyle name="Nota 3 5 2 2 4 4" xfId="4111" xr:uid="{00000000-0005-0000-0000-000008440000}"/>
    <cellStyle name="Nota 3 5 2 2 4 4 2" xfId="8129" xr:uid="{00000000-0005-0000-0000-000009440000}"/>
    <cellStyle name="Nota 3 5 2 2 4 4 2 2" xfId="12097" xr:uid="{00000000-0005-0000-0000-00000A440000}"/>
    <cellStyle name="Nota 3 5 2 2 4 4 2 3" xfId="21647" xr:uid="{00000000-0005-0000-0000-00000B440000}"/>
    <cellStyle name="Nota 3 5 2 2 4 4 3" xfId="6421" xr:uid="{00000000-0005-0000-0000-00000C440000}"/>
    <cellStyle name="Nota 3 5 2 2 4 4 3 2" xfId="19939" xr:uid="{00000000-0005-0000-0000-00000D440000}"/>
    <cellStyle name="Nota 3 5 2 2 4 4 4" xfId="9968" xr:uid="{00000000-0005-0000-0000-00000E440000}"/>
    <cellStyle name="Nota 3 5 2 2 4 4 5" xfId="13883" xr:uid="{00000000-0005-0000-0000-00000F440000}"/>
    <cellStyle name="Nota 3 5 2 2 4 5" xfId="4493" xr:uid="{00000000-0005-0000-0000-000010440000}"/>
    <cellStyle name="Nota 3 5 2 2 4 5 2" xfId="8361" xr:uid="{00000000-0005-0000-0000-000011440000}"/>
    <cellStyle name="Nota 3 5 2 2 4 5 2 2" xfId="12329" xr:uid="{00000000-0005-0000-0000-000012440000}"/>
    <cellStyle name="Nota 3 5 2 2 4 5 2 3" xfId="21879" xr:uid="{00000000-0005-0000-0000-000013440000}"/>
    <cellStyle name="Nota 3 5 2 2 4 5 3" xfId="6653" xr:uid="{00000000-0005-0000-0000-000014440000}"/>
    <cellStyle name="Nota 3 5 2 2 4 5 3 2" xfId="20171" xr:uid="{00000000-0005-0000-0000-000015440000}"/>
    <cellStyle name="Nota 3 5 2 2 4 5 4" xfId="10145" xr:uid="{00000000-0005-0000-0000-000016440000}"/>
    <cellStyle name="Nota 3 5 2 2 4 5 5" xfId="13512" xr:uid="{00000000-0005-0000-0000-000017440000}"/>
    <cellStyle name="Nota 3 5 2 2 4 6" xfId="6885" xr:uid="{00000000-0005-0000-0000-000018440000}"/>
    <cellStyle name="Nota 3 5 2 2 4 6 2" xfId="8593" xr:uid="{00000000-0005-0000-0000-000019440000}"/>
    <cellStyle name="Nota 3 5 2 2 4 6 2 2" xfId="12561" xr:uid="{00000000-0005-0000-0000-00001A440000}"/>
    <cellStyle name="Nota 3 5 2 2 4 6 2 3" xfId="22111" xr:uid="{00000000-0005-0000-0000-00001B440000}"/>
    <cellStyle name="Nota 3 5 2 2 4 6 3" xfId="11019" xr:uid="{00000000-0005-0000-0000-00001C440000}"/>
    <cellStyle name="Nota 3 5 2 2 4 6 4" xfId="20403" xr:uid="{00000000-0005-0000-0000-00001D440000}"/>
    <cellStyle name="Nota 3 5 2 2 4 7" xfId="5873" xr:uid="{00000000-0005-0000-0000-00001E440000}"/>
    <cellStyle name="Nota 3 5 2 2 4 7 2" xfId="10614" xr:uid="{00000000-0005-0000-0000-00001F440000}"/>
    <cellStyle name="Nota 3 5 2 2 4 7 3" xfId="19391" xr:uid="{00000000-0005-0000-0000-000020440000}"/>
    <cellStyle name="Nota 3 5 2 2 4 8" xfId="7581" xr:uid="{00000000-0005-0000-0000-000021440000}"/>
    <cellStyle name="Nota 3 5 2 2 4 8 2" xfId="11602" xr:uid="{00000000-0005-0000-0000-000022440000}"/>
    <cellStyle name="Nota 3 5 2 2 4 8 3" xfId="21099" xr:uid="{00000000-0005-0000-0000-000023440000}"/>
    <cellStyle name="Nota 3 5 2 2 4 9" xfId="4963" xr:uid="{00000000-0005-0000-0000-000024440000}"/>
    <cellStyle name="Nota 3 5 2 2 4 9 2" xfId="13056" xr:uid="{00000000-0005-0000-0000-000025440000}"/>
    <cellStyle name="Nota 3 5 2 2 5" xfId="3193" xr:uid="{00000000-0005-0000-0000-000026440000}"/>
    <cellStyle name="Nota 3 5 2 2 5 2" xfId="3580" xr:uid="{00000000-0005-0000-0000-000027440000}"/>
    <cellStyle name="Nota 3 5 2 2 5 2 2" xfId="7195" xr:uid="{00000000-0005-0000-0000-000028440000}"/>
    <cellStyle name="Nota 3 5 2 2 5 2 2 2" xfId="20713" xr:uid="{00000000-0005-0000-0000-000029440000}"/>
    <cellStyle name="Nota 3 5 2 2 5 2 3" xfId="9672" xr:uid="{00000000-0005-0000-0000-00002A440000}"/>
    <cellStyle name="Nota 3 5 2 2 5 2 4" xfId="14618" xr:uid="{00000000-0005-0000-0000-00002B440000}"/>
    <cellStyle name="Nota 3 5 2 2 5 3" xfId="3963" xr:uid="{00000000-0005-0000-0000-00002C440000}"/>
    <cellStyle name="Nota 3 5 2 2 5 3 2" xfId="14028" xr:uid="{00000000-0005-0000-0000-00002D440000}"/>
    <cellStyle name="Nota 3 5 2 2 5 4" xfId="4346" xr:uid="{00000000-0005-0000-0000-00002E440000}"/>
    <cellStyle name="Nota 3 5 2 2 5 4 2" xfId="13659" xr:uid="{00000000-0005-0000-0000-00002F440000}"/>
    <cellStyle name="Nota 3 5 2 2 5 5" xfId="4728" xr:uid="{00000000-0005-0000-0000-000030440000}"/>
    <cellStyle name="Nota 3 5 2 2 5 5 2" xfId="13277" xr:uid="{00000000-0005-0000-0000-000031440000}"/>
    <cellStyle name="Nota 3 5 2 2 5 6" xfId="5486" xr:uid="{00000000-0005-0000-0000-000032440000}"/>
    <cellStyle name="Nota 3 5 2 2 5 6 2" xfId="19004" xr:uid="{00000000-0005-0000-0000-000033440000}"/>
    <cellStyle name="Nota 3 5 2 2 5 7" xfId="9323" xr:uid="{00000000-0005-0000-0000-000034440000}"/>
    <cellStyle name="Nota 3 5 2 2 5 8" xfId="17474" xr:uid="{00000000-0005-0000-0000-000035440000}"/>
    <cellStyle name="Nota 3 5 2 2 6" xfId="2995" xr:uid="{00000000-0005-0000-0000-000036440000}"/>
    <cellStyle name="Nota 3 5 2 2 6 2" xfId="3382" xr:uid="{00000000-0005-0000-0000-000037440000}"/>
    <cellStyle name="Nota 3 5 2 2 6 2 2" xfId="5006" xr:uid="{00000000-0005-0000-0000-000038440000}"/>
    <cellStyle name="Nota 3 5 2 2 6 2 2 2" xfId="13013" xr:uid="{00000000-0005-0000-0000-000039440000}"/>
    <cellStyle name="Nota 3 5 2 2 6 2 3" xfId="9508" xr:uid="{00000000-0005-0000-0000-00003A440000}"/>
    <cellStyle name="Nota 3 5 2 2 6 2 4" xfId="14760" xr:uid="{00000000-0005-0000-0000-00003B440000}"/>
    <cellStyle name="Nota 3 5 2 2 6 3" xfId="3765" xr:uid="{00000000-0005-0000-0000-00003C440000}"/>
    <cellStyle name="Nota 3 5 2 2 6 3 2" xfId="17526" xr:uid="{00000000-0005-0000-0000-00003D440000}"/>
    <cellStyle name="Nota 3 5 2 2 6 4" xfId="4148" xr:uid="{00000000-0005-0000-0000-00003E440000}"/>
    <cellStyle name="Nota 3 5 2 2 6 4 2" xfId="14156" xr:uid="{00000000-0005-0000-0000-00003F440000}"/>
    <cellStyle name="Nota 3 5 2 2 6 5" xfId="4530" xr:uid="{00000000-0005-0000-0000-000040440000}"/>
    <cellStyle name="Nota 3 5 2 2 6 5 2" xfId="13475" xr:uid="{00000000-0005-0000-0000-000041440000}"/>
    <cellStyle name="Nota 3 5 2 2 6 6" xfId="5339" xr:uid="{00000000-0005-0000-0000-000042440000}"/>
    <cellStyle name="Nota 3 5 2 2 6 6 2" xfId="18857" xr:uid="{00000000-0005-0000-0000-000043440000}"/>
    <cellStyle name="Nota 3 5 2 2 6 7" xfId="9143" xr:uid="{00000000-0005-0000-0000-000044440000}"/>
    <cellStyle name="Nota 3 5 2 2 6 8" xfId="15011" xr:uid="{00000000-0005-0000-0000-000045440000}"/>
    <cellStyle name="Nota 3 5 2 2 7" xfId="5536" xr:uid="{00000000-0005-0000-0000-000046440000}"/>
    <cellStyle name="Nota 3 5 2 2 7 2" xfId="7245" xr:uid="{00000000-0005-0000-0000-000047440000}"/>
    <cellStyle name="Nota 3 5 2 2 7 2 2" xfId="11354" xr:uid="{00000000-0005-0000-0000-000048440000}"/>
    <cellStyle name="Nota 3 5 2 2 7 2 3" xfId="20763" xr:uid="{00000000-0005-0000-0000-000049440000}"/>
    <cellStyle name="Nota 3 5 2 2 7 3" xfId="10494" xr:uid="{00000000-0005-0000-0000-00004A440000}"/>
    <cellStyle name="Nota 3 5 2 2 7 4" xfId="19054" xr:uid="{00000000-0005-0000-0000-00004B440000}"/>
    <cellStyle name="Nota 3 5 2 2 8" xfId="5427" xr:uid="{00000000-0005-0000-0000-00004C440000}"/>
    <cellStyle name="Nota 3 5 2 2 8 2" xfId="7136" xr:uid="{00000000-0005-0000-0000-00004D440000}"/>
    <cellStyle name="Nota 3 5 2 2 8 2 2" xfId="11270" xr:uid="{00000000-0005-0000-0000-00004E440000}"/>
    <cellStyle name="Nota 3 5 2 2 8 2 3" xfId="20654" xr:uid="{00000000-0005-0000-0000-00004F440000}"/>
    <cellStyle name="Nota 3 5 2 2 8 3" xfId="10444" xr:uid="{00000000-0005-0000-0000-000050440000}"/>
    <cellStyle name="Nota 3 5 2 2 8 4" xfId="18945" xr:uid="{00000000-0005-0000-0000-000051440000}"/>
    <cellStyle name="Nota 3 5 2 2 9" xfId="5770" xr:uid="{00000000-0005-0000-0000-000052440000}"/>
    <cellStyle name="Nota 3 5 2 2 9 2" xfId="10546" xr:uid="{00000000-0005-0000-0000-000053440000}"/>
    <cellStyle name="Nota 3 5 2 2 9 3" xfId="19288" xr:uid="{00000000-0005-0000-0000-000054440000}"/>
    <cellStyle name="Nota 3 5 2 3" xfId="2720" xr:uid="{00000000-0005-0000-0000-000055440000}"/>
    <cellStyle name="Nota 3 5 2 3 2" xfId="2965" xr:uid="{00000000-0005-0000-0000-000056440000}"/>
    <cellStyle name="Nota 3 5 2 3 2 10" xfId="9117" xr:uid="{00000000-0005-0000-0000-000057440000}"/>
    <cellStyle name="Nota 3 5 2 3 2 11" xfId="17915" xr:uid="{00000000-0005-0000-0000-000058440000}"/>
    <cellStyle name="Nota 3 5 2 3 2 2" xfId="3352" xr:uid="{00000000-0005-0000-0000-000059440000}"/>
    <cellStyle name="Nota 3 5 2 3 2 2 2" xfId="7929" xr:uid="{00000000-0005-0000-0000-00005A440000}"/>
    <cellStyle name="Nota 3 5 2 3 2 2 2 2" xfId="11905" xr:uid="{00000000-0005-0000-0000-00005B440000}"/>
    <cellStyle name="Nota 3 5 2 3 2 2 2 3" xfId="21447" xr:uid="{00000000-0005-0000-0000-00005C440000}"/>
    <cellStyle name="Nota 3 5 2 3 2 2 3" xfId="6221" xr:uid="{00000000-0005-0000-0000-00005D440000}"/>
    <cellStyle name="Nota 3 5 2 3 2 2 3 2" xfId="19739" xr:uid="{00000000-0005-0000-0000-00005E440000}"/>
    <cellStyle name="Nota 3 5 2 3 2 2 4" xfId="9482" xr:uid="{00000000-0005-0000-0000-00005F440000}"/>
    <cellStyle name="Nota 3 5 2 3 2 2 5" xfId="14315" xr:uid="{00000000-0005-0000-0000-000060440000}"/>
    <cellStyle name="Nota 3 5 2 3 2 3" xfId="3735" xr:uid="{00000000-0005-0000-0000-000061440000}"/>
    <cellStyle name="Nota 3 5 2 3 2 3 2" xfId="5114" xr:uid="{00000000-0005-0000-0000-000062440000}"/>
    <cellStyle name="Nota 3 5 2 3 2 3 2 2" xfId="10357" xr:uid="{00000000-0005-0000-0000-000063440000}"/>
    <cellStyle name="Nota 3 5 2 3 2 3 2 3" xfId="12797" xr:uid="{00000000-0005-0000-0000-000064440000}"/>
    <cellStyle name="Nota 3 5 2 3 2 3 3" xfId="5300" xr:uid="{00000000-0005-0000-0000-000065440000}"/>
    <cellStyle name="Nota 3 5 2 3 2 3 3 2" xfId="18818" xr:uid="{00000000-0005-0000-0000-000066440000}"/>
    <cellStyle name="Nota 3 5 2 3 2 3 4" xfId="9797" xr:uid="{00000000-0005-0000-0000-000067440000}"/>
    <cellStyle name="Nota 3 5 2 3 2 3 5" xfId="15991" xr:uid="{00000000-0005-0000-0000-000068440000}"/>
    <cellStyle name="Nota 3 5 2 3 2 4" xfId="4118" xr:uid="{00000000-0005-0000-0000-000069440000}"/>
    <cellStyle name="Nota 3 5 2 3 2 4 2" xfId="8236" xr:uid="{00000000-0005-0000-0000-00006A440000}"/>
    <cellStyle name="Nota 3 5 2 3 2 4 2 2" xfId="12204" xr:uid="{00000000-0005-0000-0000-00006B440000}"/>
    <cellStyle name="Nota 3 5 2 3 2 4 2 3" xfId="21754" xr:uid="{00000000-0005-0000-0000-00006C440000}"/>
    <cellStyle name="Nota 3 5 2 3 2 4 3" xfId="6528" xr:uid="{00000000-0005-0000-0000-00006D440000}"/>
    <cellStyle name="Nota 3 5 2 3 2 4 3 2" xfId="20046" xr:uid="{00000000-0005-0000-0000-00006E440000}"/>
    <cellStyle name="Nota 3 5 2 3 2 4 4" xfId="9975" xr:uid="{00000000-0005-0000-0000-00006F440000}"/>
    <cellStyle name="Nota 3 5 2 3 2 4 5" xfId="13870" xr:uid="{00000000-0005-0000-0000-000070440000}"/>
    <cellStyle name="Nota 3 5 2 3 2 5" xfId="4500" xr:uid="{00000000-0005-0000-0000-000071440000}"/>
    <cellStyle name="Nota 3 5 2 3 2 5 2" xfId="8468" xr:uid="{00000000-0005-0000-0000-000072440000}"/>
    <cellStyle name="Nota 3 5 2 3 2 5 2 2" xfId="12436" xr:uid="{00000000-0005-0000-0000-000073440000}"/>
    <cellStyle name="Nota 3 5 2 3 2 5 2 3" xfId="21986" xr:uid="{00000000-0005-0000-0000-000074440000}"/>
    <cellStyle name="Nota 3 5 2 3 2 5 3" xfId="6760" xr:uid="{00000000-0005-0000-0000-000075440000}"/>
    <cellStyle name="Nota 3 5 2 3 2 5 3 2" xfId="20278" xr:uid="{00000000-0005-0000-0000-000076440000}"/>
    <cellStyle name="Nota 3 5 2 3 2 5 4" xfId="10152" xr:uid="{00000000-0005-0000-0000-000077440000}"/>
    <cellStyle name="Nota 3 5 2 3 2 5 5" xfId="13505" xr:uid="{00000000-0005-0000-0000-000078440000}"/>
    <cellStyle name="Nota 3 5 2 3 2 6" xfId="6992" xr:uid="{00000000-0005-0000-0000-000079440000}"/>
    <cellStyle name="Nota 3 5 2 3 2 6 2" xfId="8700" xr:uid="{00000000-0005-0000-0000-00007A440000}"/>
    <cellStyle name="Nota 3 5 2 3 2 6 2 2" xfId="12668" xr:uid="{00000000-0005-0000-0000-00007B440000}"/>
    <cellStyle name="Nota 3 5 2 3 2 6 2 3" xfId="22218" xr:uid="{00000000-0005-0000-0000-00007C440000}"/>
    <cellStyle name="Nota 3 5 2 3 2 6 3" xfId="11126" xr:uid="{00000000-0005-0000-0000-00007D440000}"/>
    <cellStyle name="Nota 3 5 2 3 2 6 4" xfId="20510" xr:uid="{00000000-0005-0000-0000-00007E440000}"/>
    <cellStyle name="Nota 3 5 2 3 2 7" xfId="5980" xr:uid="{00000000-0005-0000-0000-00007F440000}"/>
    <cellStyle name="Nota 3 5 2 3 2 7 2" xfId="10721" xr:uid="{00000000-0005-0000-0000-000080440000}"/>
    <cellStyle name="Nota 3 5 2 3 2 7 3" xfId="19498" xr:uid="{00000000-0005-0000-0000-000081440000}"/>
    <cellStyle name="Nota 3 5 2 3 2 8" xfId="7688" xr:uid="{00000000-0005-0000-0000-000082440000}"/>
    <cellStyle name="Nota 3 5 2 3 2 8 2" xfId="11709" xr:uid="{00000000-0005-0000-0000-000083440000}"/>
    <cellStyle name="Nota 3 5 2 3 2 8 3" xfId="21206" xr:uid="{00000000-0005-0000-0000-000084440000}"/>
    <cellStyle name="Nota 3 5 2 3 2 9" xfId="5174" xr:uid="{00000000-0005-0000-0000-000085440000}"/>
    <cellStyle name="Nota 3 5 2 3 2 9 2" xfId="12908" xr:uid="{00000000-0005-0000-0000-000086440000}"/>
    <cellStyle name="Nota 3 5 2 3 3" xfId="3210" xr:uid="{00000000-0005-0000-0000-000087440000}"/>
    <cellStyle name="Nota 3 5 2 3 3 10" xfId="9340" xr:uid="{00000000-0005-0000-0000-000088440000}"/>
    <cellStyle name="Nota 3 5 2 3 3 11" xfId="18752" xr:uid="{00000000-0005-0000-0000-000089440000}"/>
    <cellStyle name="Nota 3 5 2 3 3 2" xfId="3597" xr:uid="{00000000-0005-0000-0000-00008A440000}"/>
    <cellStyle name="Nota 3 5 2 3 3 2 2" xfId="7958" xr:uid="{00000000-0005-0000-0000-00008B440000}"/>
    <cellStyle name="Nota 3 5 2 3 3 2 2 2" xfId="11934" xr:uid="{00000000-0005-0000-0000-00008C440000}"/>
    <cellStyle name="Nota 3 5 2 3 3 2 2 3" xfId="21476" xr:uid="{00000000-0005-0000-0000-00008D440000}"/>
    <cellStyle name="Nota 3 5 2 3 3 2 3" xfId="6250" xr:uid="{00000000-0005-0000-0000-00008E440000}"/>
    <cellStyle name="Nota 3 5 2 3 3 2 3 2" xfId="19768" xr:uid="{00000000-0005-0000-0000-00008F440000}"/>
    <cellStyle name="Nota 3 5 2 3 3 2 4" xfId="9689" xr:uid="{00000000-0005-0000-0000-000090440000}"/>
    <cellStyle name="Nota 3 5 2 3 3 2 5" xfId="14736" xr:uid="{00000000-0005-0000-0000-000091440000}"/>
    <cellStyle name="Nota 3 5 2 3 3 3" xfId="3980" xr:uid="{00000000-0005-0000-0000-000092440000}"/>
    <cellStyle name="Nota 3 5 2 3 3 3 2" xfId="5068" xr:uid="{00000000-0005-0000-0000-000093440000}"/>
    <cellStyle name="Nota 3 5 2 3 3 3 2 2" xfId="10320" xr:uid="{00000000-0005-0000-0000-000094440000}"/>
    <cellStyle name="Nota 3 5 2 3 3 3 2 3" xfId="12809" xr:uid="{00000000-0005-0000-0000-000095440000}"/>
    <cellStyle name="Nota 3 5 2 3 3 3 3" xfId="5347" xr:uid="{00000000-0005-0000-0000-000096440000}"/>
    <cellStyle name="Nota 3 5 2 3 3 3 3 2" xfId="18865" xr:uid="{00000000-0005-0000-0000-000097440000}"/>
    <cellStyle name="Nota 3 5 2 3 3 3 4" xfId="9899" xr:uid="{00000000-0005-0000-0000-000098440000}"/>
    <cellStyle name="Nota 3 5 2 3 3 3 5" xfId="14011" xr:uid="{00000000-0005-0000-0000-000099440000}"/>
    <cellStyle name="Nota 3 5 2 3 3 4" xfId="4363" xr:uid="{00000000-0005-0000-0000-00009A440000}"/>
    <cellStyle name="Nota 3 5 2 3 3 4 2" xfId="8265" xr:uid="{00000000-0005-0000-0000-00009B440000}"/>
    <cellStyle name="Nota 3 5 2 3 3 4 2 2" xfId="12233" xr:uid="{00000000-0005-0000-0000-00009C440000}"/>
    <cellStyle name="Nota 3 5 2 3 3 4 2 3" xfId="21783" xr:uid="{00000000-0005-0000-0000-00009D440000}"/>
    <cellStyle name="Nota 3 5 2 3 3 4 3" xfId="6557" xr:uid="{00000000-0005-0000-0000-00009E440000}"/>
    <cellStyle name="Nota 3 5 2 3 3 4 3 2" xfId="20075" xr:uid="{00000000-0005-0000-0000-00009F440000}"/>
    <cellStyle name="Nota 3 5 2 3 3 4 4" xfId="10077" xr:uid="{00000000-0005-0000-0000-0000A0440000}"/>
    <cellStyle name="Nota 3 5 2 3 3 4 5" xfId="13642" xr:uid="{00000000-0005-0000-0000-0000A1440000}"/>
    <cellStyle name="Nota 3 5 2 3 3 5" xfId="4745" xr:uid="{00000000-0005-0000-0000-0000A2440000}"/>
    <cellStyle name="Nota 3 5 2 3 3 5 2" xfId="8497" xr:uid="{00000000-0005-0000-0000-0000A3440000}"/>
    <cellStyle name="Nota 3 5 2 3 3 5 2 2" xfId="12465" xr:uid="{00000000-0005-0000-0000-0000A4440000}"/>
    <cellStyle name="Nota 3 5 2 3 3 5 2 3" xfId="22015" xr:uid="{00000000-0005-0000-0000-0000A5440000}"/>
    <cellStyle name="Nota 3 5 2 3 3 5 3" xfId="6789" xr:uid="{00000000-0005-0000-0000-0000A6440000}"/>
    <cellStyle name="Nota 3 5 2 3 3 5 3 2" xfId="20307" xr:uid="{00000000-0005-0000-0000-0000A7440000}"/>
    <cellStyle name="Nota 3 5 2 3 3 5 4" xfId="10254" xr:uid="{00000000-0005-0000-0000-0000A8440000}"/>
    <cellStyle name="Nota 3 5 2 3 3 5 5" xfId="13260" xr:uid="{00000000-0005-0000-0000-0000A9440000}"/>
    <cellStyle name="Nota 3 5 2 3 3 6" xfId="7021" xr:uid="{00000000-0005-0000-0000-0000AA440000}"/>
    <cellStyle name="Nota 3 5 2 3 3 6 2" xfId="8729" xr:uid="{00000000-0005-0000-0000-0000AB440000}"/>
    <cellStyle name="Nota 3 5 2 3 3 6 2 2" xfId="12697" xr:uid="{00000000-0005-0000-0000-0000AC440000}"/>
    <cellStyle name="Nota 3 5 2 3 3 6 2 3" xfId="22247" xr:uid="{00000000-0005-0000-0000-0000AD440000}"/>
    <cellStyle name="Nota 3 5 2 3 3 6 3" xfId="11155" xr:uid="{00000000-0005-0000-0000-0000AE440000}"/>
    <cellStyle name="Nota 3 5 2 3 3 6 4" xfId="20539" xr:uid="{00000000-0005-0000-0000-0000AF440000}"/>
    <cellStyle name="Nota 3 5 2 3 3 7" xfId="6009" xr:uid="{00000000-0005-0000-0000-0000B0440000}"/>
    <cellStyle name="Nota 3 5 2 3 3 7 2" xfId="10750" xr:uid="{00000000-0005-0000-0000-0000B1440000}"/>
    <cellStyle name="Nota 3 5 2 3 3 7 3" xfId="19527" xr:uid="{00000000-0005-0000-0000-0000B2440000}"/>
    <cellStyle name="Nota 3 5 2 3 3 8" xfId="7717" xr:uid="{00000000-0005-0000-0000-0000B3440000}"/>
    <cellStyle name="Nota 3 5 2 3 3 8 2" xfId="11738" xr:uid="{00000000-0005-0000-0000-0000B4440000}"/>
    <cellStyle name="Nota 3 5 2 3 3 8 3" xfId="21235" xr:uid="{00000000-0005-0000-0000-0000B5440000}"/>
    <cellStyle name="Nota 3 5 2 3 3 9" xfId="5203" xr:uid="{00000000-0005-0000-0000-0000B6440000}"/>
    <cellStyle name="Nota 3 5 2 3 3 9 2" xfId="12879" xr:uid="{00000000-0005-0000-0000-0000B7440000}"/>
    <cellStyle name="Nota 3 5 2 3 4" xfId="3267" xr:uid="{00000000-0005-0000-0000-0000B8440000}"/>
    <cellStyle name="Nota 3 5 2 3 4 2" xfId="3654" xr:uid="{00000000-0005-0000-0000-0000B9440000}"/>
    <cellStyle name="Nota 3 5 2 3 4 2 2" xfId="18004" xr:uid="{00000000-0005-0000-0000-0000BA440000}"/>
    <cellStyle name="Nota 3 5 2 3 4 3" xfId="4037" xr:uid="{00000000-0005-0000-0000-0000BB440000}"/>
    <cellStyle name="Nota 3 5 2 3 4 3 2" xfId="13954" xr:uid="{00000000-0005-0000-0000-0000BC440000}"/>
    <cellStyle name="Nota 3 5 2 3 4 4" xfId="4420" xr:uid="{00000000-0005-0000-0000-0000BD440000}"/>
    <cellStyle name="Nota 3 5 2 3 4 4 2" xfId="13585" xr:uid="{00000000-0005-0000-0000-0000BE440000}"/>
    <cellStyle name="Nota 3 5 2 3 4 5" xfId="4802" xr:uid="{00000000-0005-0000-0000-0000BF440000}"/>
    <cellStyle name="Nota 3 5 2 3 4 5 2" xfId="13204" xr:uid="{00000000-0005-0000-0000-0000C0440000}"/>
    <cellStyle name="Nota 3 5 2 3 4 6" xfId="5788" xr:uid="{00000000-0005-0000-0000-0000C1440000}"/>
    <cellStyle name="Nota 3 5 2 3 4 6 2" xfId="19306" xr:uid="{00000000-0005-0000-0000-0000C2440000}"/>
    <cellStyle name="Nota 3 5 2 3 4 7" xfId="9397" xr:uid="{00000000-0005-0000-0000-0000C3440000}"/>
    <cellStyle name="Nota 3 5 2 3 4 8" xfId="15372" xr:uid="{00000000-0005-0000-0000-0000C4440000}"/>
    <cellStyle name="Nota 3 5 2 3 5" xfId="2885" xr:uid="{00000000-0005-0000-0000-0000C5440000}"/>
    <cellStyle name="Nota 3 5 2 3 5 2" xfId="7496" xr:uid="{00000000-0005-0000-0000-0000C6440000}"/>
    <cellStyle name="Nota 3 5 2 3 5 2 2" xfId="21014" xr:uid="{00000000-0005-0000-0000-0000C7440000}"/>
    <cellStyle name="Nota 3 5 2 3 5 3" xfId="9037" xr:uid="{00000000-0005-0000-0000-0000C8440000}"/>
    <cellStyle name="Nota 3 5 2 3 5 4" xfId="14128" xr:uid="{00000000-0005-0000-0000-0000C9440000}"/>
    <cellStyle name="Nota 3 5 2 3 6" xfId="8875" xr:uid="{00000000-0005-0000-0000-0000CA440000}"/>
    <cellStyle name="Nota 3 5 2 4" xfId="2683" xr:uid="{00000000-0005-0000-0000-0000CB440000}"/>
    <cellStyle name="Nota 3 5 2 4 2" xfId="2740" xr:uid="{00000000-0005-0000-0000-0000CC440000}"/>
    <cellStyle name="Nota 3 5 2 4 2 2" xfId="2975" xr:uid="{00000000-0005-0000-0000-0000CD440000}"/>
    <cellStyle name="Nota 3 5 2 4 2 2 10" xfId="9127" xr:uid="{00000000-0005-0000-0000-0000CE440000}"/>
    <cellStyle name="Nota 3 5 2 4 2 2 11" xfId="16475" xr:uid="{00000000-0005-0000-0000-0000CF440000}"/>
    <cellStyle name="Nota 3 5 2 4 2 2 2" xfId="3362" xr:uid="{00000000-0005-0000-0000-0000D0440000}"/>
    <cellStyle name="Nota 3 5 2 4 2 2 2 2" xfId="7939" xr:uid="{00000000-0005-0000-0000-0000D1440000}"/>
    <cellStyle name="Nota 3 5 2 4 2 2 2 2 2" xfId="11915" xr:uid="{00000000-0005-0000-0000-0000D2440000}"/>
    <cellStyle name="Nota 3 5 2 4 2 2 2 2 3" xfId="21457" xr:uid="{00000000-0005-0000-0000-0000D3440000}"/>
    <cellStyle name="Nota 3 5 2 4 2 2 2 3" xfId="6231" xr:uid="{00000000-0005-0000-0000-0000D4440000}"/>
    <cellStyle name="Nota 3 5 2 4 2 2 2 3 2" xfId="19749" xr:uid="{00000000-0005-0000-0000-0000D5440000}"/>
    <cellStyle name="Nota 3 5 2 4 2 2 2 4" xfId="9492" xr:uid="{00000000-0005-0000-0000-0000D6440000}"/>
    <cellStyle name="Nota 3 5 2 4 2 2 2 5" xfId="15304" xr:uid="{00000000-0005-0000-0000-0000D7440000}"/>
    <cellStyle name="Nota 3 5 2 4 2 2 3" xfId="3745" xr:uid="{00000000-0005-0000-0000-0000D8440000}"/>
    <cellStyle name="Nota 3 5 2 4 2 2 3 2" xfId="7075" xr:uid="{00000000-0005-0000-0000-0000D9440000}"/>
    <cellStyle name="Nota 3 5 2 4 2 2 3 2 2" xfId="11209" xr:uid="{00000000-0005-0000-0000-0000DA440000}"/>
    <cellStyle name="Nota 3 5 2 4 2 2 3 2 3" xfId="20593" xr:uid="{00000000-0005-0000-0000-0000DB440000}"/>
    <cellStyle name="Nota 3 5 2 4 2 2 3 3" xfId="5366" xr:uid="{00000000-0005-0000-0000-0000DC440000}"/>
    <cellStyle name="Nota 3 5 2 4 2 2 3 3 2" xfId="18884" xr:uid="{00000000-0005-0000-0000-0000DD440000}"/>
    <cellStyle name="Nota 3 5 2 4 2 2 3 4" xfId="9807" xr:uid="{00000000-0005-0000-0000-0000DE440000}"/>
    <cellStyle name="Nota 3 5 2 4 2 2 3 5" xfId="15418" xr:uid="{00000000-0005-0000-0000-0000DF440000}"/>
    <cellStyle name="Nota 3 5 2 4 2 2 4" xfId="4128" xr:uid="{00000000-0005-0000-0000-0000E0440000}"/>
    <cellStyle name="Nota 3 5 2 4 2 2 4 2" xfId="8246" xr:uid="{00000000-0005-0000-0000-0000E1440000}"/>
    <cellStyle name="Nota 3 5 2 4 2 2 4 2 2" xfId="12214" xr:uid="{00000000-0005-0000-0000-0000E2440000}"/>
    <cellStyle name="Nota 3 5 2 4 2 2 4 2 3" xfId="21764" xr:uid="{00000000-0005-0000-0000-0000E3440000}"/>
    <cellStyle name="Nota 3 5 2 4 2 2 4 3" xfId="6538" xr:uid="{00000000-0005-0000-0000-0000E4440000}"/>
    <cellStyle name="Nota 3 5 2 4 2 2 4 3 2" xfId="20056" xr:uid="{00000000-0005-0000-0000-0000E5440000}"/>
    <cellStyle name="Nota 3 5 2 4 2 2 4 4" xfId="9985" xr:uid="{00000000-0005-0000-0000-0000E6440000}"/>
    <cellStyle name="Nota 3 5 2 4 2 2 4 5" xfId="13869" xr:uid="{00000000-0005-0000-0000-0000E7440000}"/>
    <cellStyle name="Nota 3 5 2 4 2 2 5" xfId="4510" xr:uid="{00000000-0005-0000-0000-0000E8440000}"/>
    <cellStyle name="Nota 3 5 2 4 2 2 5 2" xfId="8478" xr:uid="{00000000-0005-0000-0000-0000E9440000}"/>
    <cellStyle name="Nota 3 5 2 4 2 2 5 2 2" xfId="12446" xr:uid="{00000000-0005-0000-0000-0000EA440000}"/>
    <cellStyle name="Nota 3 5 2 4 2 2 5 2 3" xfId="21996" xr:uid="{00000000-0005-0000-0000-0000EB440000}"/>
    <cellStyle name="Nota 3 5 2 4 2 2 5 3" xfId="6770" xr:uid="{00000000-0005-0000-0000-0000EC440000}"/>
    <cellStyle name="Nota 3 5 2 4 2 2 5 3 2" xfId="20288" xr:uid="{00000000-0005-0000-0000-0000ED440000}"/>
    <cellStyle name="Nota 3 5 2 4 2 2 5 4" xfId="10162" xr:uid="{00000000-0005-0000-0000-0000EE440000}"/>
    <cellStyle name="Nota 3 5 2 4 2 2 5 5" xfId="13495" xr:uid="{00000000-0005-0000-0000-0000EF440000}"/>
    <cellStyle name="Nota 3 5 2 4 2 2 6" xfId="7002" xr:uid="{00000000-0005-0000-0000-0000F0440000}"/>
    <cellStyle name="Nota 3 5 2 4 2 2 6 2" xfId="8710" xr:uid="{00000000-0005-0000-0000-0000F1440000}"/>
    <cellStyle name="Nota 3 5 2 4 2 2 6 2 2" xfId="12678" xr:uid="{00000000-0005-0000-0000-0000F2440000}"/>
    <cellStyle name="Nota 3 5 2 4 2 2 6 2 3" xfId="22228" xr:uid="{00000000-0005-0000-0000-0000F3440000}"/>
    <cellStyle name="Nota 3 5 2 4 2 2 6 3" xfId="11136" xr:uid="{00000000-0005-0000-0000-0000F4440000}"/>
    <cellStyle name="Nota 3 5 2 4 2 2 6 4" xfId="20520" xr:uid="{00000000-0005-0000-0000-0000F5440000}"/>
    <cellStyle name="Nota 3 5 2 4 2 2 7" xfId="5990" xr:uid="{00000000-0005-0000-0000-0000F6440000}"/>
    <cellStyle name="Nota 3 5 2 4 2 2 7 2" xfId="10731" xr:uid="{00000000-0005-0000-0000-0000F7440000}"/>
    <cellStyle name="Nota 3 5 2 4 2 2 7 3" xfId="19508" xr:uid="{00000000-0005-0000-0000-0000F8440000}"/>
    <cellStyle name="Nota 3 5 2 4 2 2 8" xfId="7698" xr:uid="{00000000-0005-0000-0000-0000F9440000}"/>
    <cellStyle name="Nota 3 5 2 4 2 2 8 2" xfId="11719" xr:uid="{00000000-0005-0000-0000-0000FA440000}"/>
    <cellStyle name="Nota 3 5 2 4 2 2 8 3" xfId="21216" xr:uid="{00000000-0005-0000-0000-0000FB440000}"/>
    <cellStyle name="Nota 3 5 2 4 2 2 9" xfId="5184" xr:uid="{00000000-0005-0000-0000-0000FC440000}"/>
    <cellStyle name="Nota 3 5 2 4 2 2 9 2" xfId="12898" xr:uid="{00000000-0005-0000-0000-0000FD440000}"/>
    <cellStyle name="Nota 3 5 2 4 2 3" xfId="3230" xr:uid="{00000000-0005-0000-0000-0000FE440000}"/>
    <cellStyle name="Nota 3 5 2 4 2 3 10" xfId="9360" xr:uid="{00000000-0005-0000-0000-0000FF440000}"/>
    <cellStyle name="Nota 3 5 2 4 2 3 11" xfId="16744" xr:uid="{00000000-0005-0000-0000-000000450000}"/>
    <cellStyle name="Nota 3 5 2 4 2 3 2" xfId="3617" xr:uid="{00000000-0005-0000-0000-000001450000}"/>
    <cellStyle name="Nota 3 5 2 4 2 3 2 2" xfId="7978" xr:uid="{00000000-0005-0000-0000-000002450000}"/>
    <cellStyle name="Nota 3 5 2 4 2 3 2 2 2" xfId="11954" xr:uid="{00000000-0005-0000-0000-000003450000}"/>
    <cellStyle name="Nota 3 5 2 4 2 3 2 2 3" xfId="21496" xr:uid="{00000000-0005-0000-0000-000004450000}"/>
    <cellStyle name="Nota 3 5 2 4 2 3 2 3" xfId="6270" xr:uid="{00000000-0005-0000-0000-000005450000}"/>
    <cellStyle name="Nota 3 5 2 4 2 3 2 3 2" xfId="19788" xr:uid="{00000000-0005-0000-0000-000006450000}"/>
    <cellStyle name="Nota 3 5 2 4 2 3 2 4" xfId="9709" xr:uid="{00000000-0005-0000-0000-000007450000}"/>
    <cellStyle name="Nota 3 5 2 4 2 3 2 5" xfId="15491" xr:uid="{00000000-0005-0000-0000-000008450000}"/>
    <cellStyle name="Nota 3 5 2 4 2 3 3" xfId="4000" xr:uid="{00000000-0005-0000-0000-000009450000}"/>
    <cellStyle name="Nota 3 5 2 4 2 3 3 2" xfId="5120" xr:uid="{00000000-0005-0000-0000-00000A450000}"/>
    <cellStyle name="Nota 3 5 2 4 2 3 3 2 2" xfId="10362" xr:uid="{00000000-0005-0000-0000-00000B450000}"/>
    <cellStyle name="Nota 3 5 2 4 2 3 3 2 3" xfId="12795" xr:uid="{00000000-0005-0000-0000-00000C450000}"/>
    <cellStyle name="Nota 3 5 2 4 2 3 3 3" xfId="5282" xr:uid="{00000000-0005-0000-0000-00000D450000}"/>
    <cellStyle name="Nota 3 5 2 4 2 3 3 3 2" xfId="18800" xr:uid="{00000000-0005-0000-0000-00000E450000}"/>
    <cellStyle name="Nota 3 5 2 4 2 3 3 4" xfId="9919" xr:uid="{00000000-0005-0000-0000-00000F450000}"/>
    <cellStyle name="Nota 3 5 2 4 2 3 3 5" xfId="13991" xr:uid="{00000000-0005-0000-0000-000010450000}"/>
    <cellStyle name="Nota 3 5 2 4 2 3 4" xfId="4383" xr:uid="{00000000-0005-0000-0000-000011450000}"/>
    <cellStyle name="Nota 3 5 2 4 2 3 4 2" xfId="8285" xr:uid="{00000000-0005-0000-0000-000012450000}"/>
    <cellStyle name="Nota 3 5 2 4 2 3 4 2 2" xfId="12253" xr:uid="{00000000-0005-0000-0000-000013450000}"/>
    <cellStyle name="Nota 3 5 2 4 2 3 4 2 3" xfId="21803" xr:uid="{00000000-0005-0000-0000-000014450000}"/>
    <cellStyle name="Nota 3 5 2 4 2 3 4 3" xfId="6577" xr:uid="{00000000-0005-0000-0000-000015450000}"/>
    <cellStyle name="Nota 3 5 2 4 2 3 4 3 2" xfId="20095" xr:uid="{00000000-0005-0000-0000-000016450000}"/>
    <cellStyle name="Nota 3 5 2 4 2 3 4 4" xfId="10097" xr:uid="{00000000-0005-0000-0000-000017450000}"/>
    <cellStyle name="Nota 3 5 2 4 2 3 4 5" xfId="13622" xr:uid="{00000000-0005-0000-0000-000018450000}"/>
    <cellStyle name="Nota 3 5 2 4 2 3 5" xfId="4765" xr:uid="{00000000-0005-0000-0000-000019450000}"/>
    <cellStyle name="Nota 3 5 2 4 2 3 5 2" xfId="8517" xr:uid="{00000000-0005-0000-0000-00001A450000}"/>
    <cellStyle name="Nota 3 5 2 4 2 3 5 2 2" xfId="12485" xr:uid="{00000000-0005-0000-0000-00001B450000}"/>
    <cellStyle name="Nota 3 5 2 4 2 3 5 2 3" xfId="22035" xr:uid="{00000000-0005-0000-0000-00001C450000}"/>
    <cellStyle name="Nota 3 5 2 4 2 3 5 3" xfId="6809" xr:uid="{00000000-0005-0000-0000-00001D450000}"/>
    <cellStyle name="Nota 3 5 2 4 2 3 5 3 2" xfId="20327" xr:uid="{00000000-0005-0000-0000-00001E450000}"/>
    <cellStyle name="Nota 3 5 2 4 2 3 5 4" xfId="10274" xr:uid="{00000000-0005-0000-0000-00001F450000}"/>
    <cellStyle name="Nota 3 5 2 4 2 3 5 5" xfId="13240" xr:uid="{00000000-0005-0000-0000-000020450000}"/>
    <cellStyle name="Nota 3 5 2 4 2 3 6" xfId="7041" xr:uid="{00000000-0005-0000-0000-000021450000}"/>
    <cellStyle name="Nota 3 5 2 4 2 3 6 2" xfId="8749" xr:uid="{00000000-0005-0000-0000-000022450000}"/>
    <cellStyle name="Nota 3 5 2 4 2 3 6 2 2" xfId="12717" xr:uid="{00000000-0005-0000-0000-000023450000}"/>
    <cellStyle name="Nota 3 5 2 4 2 3 6 2 3" xfId="22267" xr:uid="{00000000-0005-0000-0000-000024450000}"/>
    <cellStyle name="Nota 3 5 2 4 2 3 6 3" xfId="11175" xr:uid="{00000000-0005-0000-0000-000025450000}"/>
    <cellStyle name="Nota 3 5 2 4 2 3 6 4" xfId="20559" xr:uid="{00000000-0005-0000-0000-000026450000}"/>
    <cellStyle name="Nota 3 5 2 4 2 3 7" xfId="6029" xr:uid="{00000000-0005-0000-0000-000027450000}"/>
    <cellStyle name="Nota 3 5 2 4 2 3 7 2" xfId="10770" xr:uid="{00000000-0005-0000-0000-000028450000}"/>
    <cellStyle name="Nota 3 5 2 4 2 3 7 3" xfId="19547" xr:uid="{00000000-0005-0000-0000-000029450000}"/>
    <cellStyle name="Nota 3 5 2 4 2 3 8" xfId="7737" xr:uid="{00000000-0005-0000-0000-00002A450000}"/>
    <cellStyle name="Nota 3 5 2 4 2 3 8 2" xfId="11758" xr:uid="{00000000-0005-0000-0000-00002B450000}"/>
    <cellStyle name="Nota 3 5 2 4 2 3 8 3" xfId="21255" xr:uid="{00000000-0005-0000-0000-00002C450000}"/>
    <cellStyle name="Nota 3 5 2 4 2 3 9" xfId="5223" xr:uid="{00000000-0005-0000-0000-00002D450000}"/>
    <cellStyle name="Nota 3 5 2 4 2 3 9 2" xfId="12871" xr:uid="{00000000-0005-0000-0000-00002E450000}"/>
    <cellStyle name="Nota 3 5 2 4 2 4" xfId="3287" xr:uid="{00000000-0005-0000-0000-00002F450000}"/>
    <cellStyle name="Nota 3 5 2 4 2 4 2" xfId="3674" xr:uid="{00000000-0005-0000-0000-000030450000}"/>
    <cellStyle name="Nota 3 5 2 4 2 4 2 2" xfId="18751" xr:uid="{00000000-0005-0000-0000-000031450000}"/>
    <cellStyle name="Nota 3 5 2 4 2 4 3" xfId="4057" xr:uid="{00000000-0005-0000-0000-000032450000}"/>
    <cellStyle name="Nota 3 5 2 4 2 4 3 2" xfId="13934" xr:uid="{00000000-0005-0000-0000-000033450000}"/>
    <cellStyle name="Nota 3 5 2 4 2 4 4" xfId="4440" xr:uid="{00000000-0005-0000-0000-000034450000}"/>
    <cellStyle name="Nota 3 5 2 4 2 4 4 2" xfId="13565" xr:uid="{00000000-0005-0000-0000-000035450000}"/>
    <cellStyle name="Nota 3 5 2 4 2 4 5" xfId="4822" xr:uid="{00000000-0005-0000-0000-000036450000}"/>
    <cellStyle name="Nota 3 5 2 4 2 4 5 2" xfId="13184" xr:uid="{00000000-0005-0000-0000-000037450000}"/>
    <cellStyle name="Nota 3 5 2 4 2 4 6" xfId="5858" xr:uid="{00000000-0005-0000-0000-000038450000}"/>
    <cellStyle name="Nota 3 5 2 4 2 4 6 2" xfId="19376" xr:uid="{00000000-0005-0000-0000-000039450000}"/>
    <cellStyle name="Nota 3 5 2 4 2 4 7" xfId="9417" xr:uid="{00000000-0005-0000-0000-00003A450000}"/>
    <cellStyle name="Nota 3 5 2 4 2 4 8" xfId="14866" xr:uid="{00000000-0005-0000-0000-00003B450000}"/>
    <cellStyle name="Nota 3 5 2 4 2 5" xfId="2905" xr:uid="{00000000-0005-0000-0000-00003C450000}"/>
    <cellStyle name="Nota 3 5 2 4 2 5 2" xfId="7566" xr:uid="{00000000-0005-0000-0000-00003D450000}"/>
    <cellStyle name="Nota 3 5 2 4 2 5 2 2" xfId="21084" xr:uid="{00000000-0005-0000-0000-00003E450000}"/>
    <cellStyle name="Nota 3 5 2 4 2 5 3" xfId="9057" xr:uid="{00000000-0005-0000-0000-00003F450000}"/>
    <cellStyle name="Nota 3 5 2 4 2 5 4" xfId="14826" xr:uid="{00000000-0005-0000-0000-000040450000}"/>
    <cellStyle name="Nota 3 5 2 4 2 6" xfId="8895" xr:uid="{00000000-0005-0000-0000-000041450000}"/>
    <cellStyle name="Nota 3 5 2 4 3" xfId="2951" xr:uid="{00000000-0005-0000-0000-000042450000}"/>
    <cellStyle name="Nota 3 5 2 4 3 10" xfId="9103" xr:uid="{00000000-0005-0000-0000-000043450000}"/>
    <cellStyle name="Nota 3 5 2 4 3 11" xfId="15014" xr:uid="{00000000-0005-0000-0000-000044450000}"/>
    <cellStyle name="Nota 3 5 2 4 3 2" xfId="3338" xr:uid="{00000000-0005-0000-0000-000045450000}"/>
    <cellStyle name="Nota 3 5 2 4 3 2 2" xfId="7323" xr:uid="{00000000-0005-0000-0000-000046450000}"/>
    <cellStyle name="Nota 3 5 2 4 3 2 2 2" xfId="11413" xr:uid="{00000000-0005-0000-0000-000047450000}"/>
    <cellStyle name="Nota 3 5 2 4 3 2 2 3" xfId="20841" xr:uid="{00000000-0005-0000-0000-000048450000}"/>
    <cellStyle name="Nota 3 5 2 4 3 2 3" xfId="5614" xr:uid="{00000000-0005-0000-0000-000049450000}"/>
    <cellStyle name="Nota 3 5 2 4 3 2 3 2" xfId="19132" xr:uid="{00000000-0005-0000-0000-00004A450000}"/>
    <cellStyle name="Nota 3 5 2 4 3 2 4" xfId="9468" xr:uid="{00000000-0005-0000-0000-00004B450000}"/>
    <cellStyle name="Nota 3 5 2 4 3 2 5" xfId="17468" xr:uid="{00000000-0005-0000-0000-00004C450000}"/>
    <cellStyle name="Nota 3 5 2 4 3 3" xfId="3721" xr:uid="{00000000-0005-0000-0000-00004D450000}"/>
    <cellStyle name="Nota 3 5 2 4 3 3 2" xfId="7798" xr:uid="{00000000-0005-0000-0000-00004E450000}"/>
    <cellStyle name="Nota 3 5 2 4 3 3 2 2" xfId="11814" xr:uid="{00000000-0005-0000-0000-00004F450000}"/>
    <cellStyle name="Nota 3 5 2 4 3 3 2 3" xfId="21316" xr:uid="{00000000-0005-0000-0000-000050450000}"/>
    <cellStyle name="Nota 3 5 2 4 3 3 3" xfId="6090" xr:uid="{00000000-0005-0000-0000-000051450000}"/>
    <cellStyle name="Nota 3 5 2 4 3 3 3 2" xfId="19608" xr:uid="{00000000-0005-0000-0000-000052450000}"/>
    <cellStyle name="Nota 3 5 2 4 3 3 4" xfId="9783" xr:uid="{00000000-0005-0000-0000-000053450000}"/>
    <cellStyle name="Nota 3 5 2 4 3 3 5" xfId="17585" xr:uid="{00000000-0005-0000-0000-000054450000}"/>
    <cellStyle name="Nota 3 5 2 4 3 4" xfId="4104" xr:uid="{00000000-0005-0000-0000-000055450000}"/>
    <cellStyle name="Nota 3 5 2 4 3 4 2" xfId="8225" xr:uid="{00000000-0005-0000-0000-000056450000}"/>
    <cellStyle name="Nota 3 5 2 4 3 4 2 2" xfId="12193" xr:uid="{00000000-0005-0000-0000-000057450000}"/>
    <cellStyle name="Nota 3 5 2 4 3 4 2 3" xfId="21743" xr:uid="{00000000-0005-0000-0000-000058450000}"/>
    <cellStyle name="Nota 3 5 2 4 3 4 3" xfId="6517" xr:uid="{00000000-0005-0000-0000-000059450000}"/>
    <cellStyle name="Nota 3 5 2 4 3 4 3 2" xfId="20035" xr:uid="{00000000-0005-0000-0000-00005A450000}"/>
    <cellStyle name="Nota 3 5 2 4 3 4 4" xfId="9961" xr:uid="{00000000-0005-0000-0000-00005B450000}"/>
    <cellStyle name="Nota 3 5 2 4 3 4 5" xfId="13890" xr:uid="{00000000-0005-0000-0000-00005C450000}"/>
    <cellStyle name="Nota 3 5 2 4 3 5" xfId="4486" xr:uid="{00000000-0005-0000-0000-00005D450000}"/>
    <cellStyle name="Nota 3 5 2 4 3 5 2" xfId="8457" xr:uid="{00000000-0005-0000-0000-00005E450000}"/>
    <cellStyle name="Nota 3 5 2 4 3 5 2 2" xfId="12425" xr:uid="{00000000-0005-0000-0000-00005F450000}"/>
    <cellStyle name="Nota 3 5 2 4 3 5 2 3" xfId="21975" xr:uid="{00000000-0005-0000-0000-000060450000}"/>
    <cellStyle name="Nota 3 5 2 4 3 5 3" xfId="6749" xr:uid="{00000000-0005-0000-0000-000061450000}"/>
    <cellStyle name="Nota 3 5 2 4 3 5 3 2" xfId="20267" xr:uid="{00000000-0005-0000-0000-000062450000}"/>
    <cellStyle name="Nota 3 5 2 4 3 5 4" xfId="10138" xr:uid="{00000000-0005-0000-0000-000063450000}"/>
    <cellStyle name="Nota 3 5 2 4 3 5 5" xfId="13519" xr:uid="{00000000-0005-0000-0000-000064450000}"/>
    <cellStyle name="Nota 3 5 2 4 3 6" xfId="6981" xr:uid="{00000000-0005-0000-0000-000065450000}"/>
    <cellStyle name="Nota 3 5 2 4 3 6 2" xfId="8689" xr:uid="{00000000-0005-0000-0000-000066450000}"/>
    <cellStyle name="Nota 3 5 2 4 3 6 2 2" xfId="12657" xr:uid="{00000000-0005-0000-0000-000067450000}"/>
    <cellStyle name="Nota 3 5 2 4 3 6 2 3" xfId="22207" xr:uid="{00000000-0005-0000-0000-000068450000}"/>
    <cellStyle name="Nota 3 5 2 4 3 6 3" xfId="11115" xr:uid="{00000000-0005-0000-0000-000069450000}"/>
    <cellStyle name="Nota 3 5 2 4 3 6 4" xfId="20499" xr:uid="{00000000-0005-0000-0000-00006A450000}"/>
    <cellStyle name="Nota 3 5 2 4 3 7" xfId="5969" xr:uid="{00000000-0005-0000-0000-00006B450000}"/>
    <cellStyle name="Nota 3 5 2 4 3 7 2" xfId="10710" xr:uid="{00000000-0005-0000-0000-00006C450000}"/>
    <cellStyle name="Nota 3 5 2 4 3 7 3" xfId="19487" xr:uid="{00000000-0005-0000-0000-00006D450000}"/>
    <cellStyle name="Nota 3 5 2 4 3 8" xfId="7677" xr:uid="{00000000-0005-0000-0000-00006E450000}"/>
    <cellStyle name="Nota 3 5 2 4 3 8 2" xfId="11698" xr:uid="{00000000-0005-0000-0000-00006F450000}"/>
    <cellStyle name="Nota 3 5 2 4 3 8 3" xfId="21195" xr:uid="{00000000-0005-0000-0000-000070450000}"/>
    <cellStyle name="Nota 3 5 2 4 3 9" xfId="5162" xr:uid="{00000000-0005-0000-0000-000071450000}"/>
    <cellStyle name="Nota 3 5 2 4 3 9 2" xfId="12920" xr:uid="{00000000-0005-0000-0000-000072450000}"/>
    <cellStyle name="Nota 3 5 2 4 4" xfId="3173" xr:uid="{00000000-0005-0000-0000-000073450000}"/>
    <cellStyle name="Nota 3 5 2 4 4 10" xfId="9303" xr:uid="{00000000-0005-0000-0000-000074450000}"/>
    <cellStyle name="Nota 3 5 2 4 4 11" xfId="17511" xr:uid="{00000000-0005-0000-0000-000075450000}"/>
    <cellStyle name="Nota 3 5 2 4 4 2" xfId="3560" xr:uid="{00000000-0005-0000-0000-000076450000}"/>
    <cellStyle name="Nota 3 5 2 4 4 2 2" xfId="7430" xr:uid="{00000000-0005-0000-0000-000077450000}"/>
    <cellStyle name="Nota 3 5 2 4 4 2 2 2" xfId="11491" xr:uid="{00000000-0005-0000-0000-000078450000}"/>
    <cellStyle name="Nota 3 5 2 4 4 2 2 3" xfId="20948" xr:uid="{00000000-0005-0000-0000-000079450000}"/>
    <cellStyle name="Nota 3 5 2 4 4 2 3" xfId="5721" xr:uid="{00000000-0005-0000-0000-00007A450000}"/>
    <cellStyle name="Nota 3 5 2 4 4 2 3 2" xfId="19239" xr:uid="{00000000-0005-0000-0000-00007B450000}"/>
    <cellStyle name="Nota 3 5 2 4 4 2 4" xfId="9652" xr:uid="{00000000-0005-0000-0000-00007C450000}"/>
    <cellStyle name="Nota 3 5 2 4 4 2 5" xfId="15081" xr:uid="{00000000-0005-0000-0000-00007D450000}"/>
    <cellStyle name="Nota 3 5 2 4 4 3" xfId="3943" xr:uid="{00000000-0005-0000-0000-00007E450000}"/>
    <cellStyle name="Nota 3 5 2 4 4 3 2" xfId="7772" xr:uid="{00000000-0005-0000-0000-00007F450000}"/>
    <cellStyle name="Nota 3 5 2 4 4 3 2 2" xfId="11793" xr:uid="{00000000-0005-0000-0000-000080450000}"/>
    <cellStyle name="Nota 3 5 2 4 4 3 2 3" xfId="21290" xr:uid="{00000000-0005-0000-0000-000081450000}"/>
    <cellStyle name="Nota 3 5 2 4 4 3 3" xfId="6064" xr:uid="{00000000-0005-0000-0000-000082450000}"/>
    <cellStyle name="Nota 3 5 2 4 4 3 3 2" xfId="19582" xr:uid="{00000000-0005-0000-0000-000083450000}"/>
    <cellStyle name="Nota 3 5 2 4 4 3 4" xfId="9866" xr:uid="{00000000-0005-0000-0000-000084450000}"/>
    <cellStyle name="Nota 3 5 2 4 4 3 5" xfId="14048" xr:uid="{00000000-0005-0000-0000-000085450000}"/>
    <cellStyle name="Nota 3 5 2 4 4 4" xfId="4326" xr:uid="{00000000-0005-0000-0000-000086450000}"/>
    <cellStyle name="Nota 3 5 2 4 4 4 2" xfId="8167" xr:uid="{00000000-0005-0000-0000-000087450000}"/>
    <cellStyle name="Nota 3 5 2 4 4 4 2 2" xfId="12135" xr:uid="{00000000-0005-0000-0000-000088450000}"/>
    <cellStyle name="Nota 3 5 2 4 4 4 2 3" xfId="21685" xr:uid="{00000000-0005-0000-0000-000089450000}"/>
    <cellStyle name="Nota 3 5 2 4 4 4 3" xfId="6459" xr:uid="{00000000-0005-0000-0000-00008A450000}"/>
    <cellStyle name="Nota 3 5 2 4 4 4 3 2" xfId="19977" xr:uid="{00000000-0005-0000-0000-00008B450000}"/>
    <cellStyle name="Nota 3 5 2 4 4 4 4" xfId="10044" xr:uid="{00000000-0005-0000-0000-00008C450000}"/>
    <cellStyle name="Nota 3 5 2 4 4 4 5" xfId="13679" xr:uid="{00000000-0005-0000-0000-00008D450000}"/>
    <cellStyle name="Nota 3 5 2 4 4 5" xfId="4708" xr:uid="{00000000-0005-0000-0000-00008E450000}"/>
    <cellStyle name="Nota 3 5 2 4 4 5 2" xfId="8399" xr:uid="{00000000-0005-0000-0000-00008F450000}"/>
    <cellStyle name="Nota 3 5 2 4 4 5 2 2" xfId="12367" xr:uid="{00000000-0005-0000-0000-000090450000}"/>
    <cellStyle name="Nota 3 5 2 4 4 5 2 3" xfId="21917" xr:uid="{00000000-0005-0000-0000-000091450000}"/>
    <cellStyle name="Nota 3 5 2 4 4 5 3" xfId="6691" xr:uid="{00000000-0005-0000-0000-000092450000}"/>
    <cellStyle name="Nota 3 5 2 4 4 5 3 2" xfId="20209" xr:uid="{00000000-0005-0000-0000-000093450000}"/>
    <cellStyle name="Nota 3 5 2 4 4 5 4" xfId="10221" xr:uid="{00000000-0005-0000-0000-000094450000}"/>
    <cellStyle name="Nota 3 5 2 4 4 5 5" xfId="12821" xr:uid="{00000000-0005-0000-0000-000095450000}"/>
    <cellStyle name="Nota 3 5 2 4 4 6" xfId="6923" xr:uid="{00000000-0005-0000-0000-000096450000}"/>
    <cellStyle name="Nota 3 5 2 4 4 6 2" xfId="8631" xr:uid="{00000000-0005-0000-0000-000097450000}"/>
    <cellStyle name="Nota 3 5 2 4 4 6 2 2" xfId="12599" xr:uid="{00000000-0005-0000-0000-000098450000}"/>
    <cellStyle name="Nota 3 5 2 4 4 6 2 3" xfId="22149" xr:uid="{00000000-0005-0000-0000-000099450000}"/>
    <cellStyle name="Nota 3 5 2 4 4 6 3" xfId="11057" xr:uid="{00000000-0005-0000-0000-00009A450000}"/>
    <cellStyle name="Nota 3 5 2 4 4 6 4" xfId="20441" xr:uid="{00000000-0005-0000-0000-00009B450000}"/>
    <cellStyle name="Nota 3 5 2 4 4 7" xfId="5911" xr:uid="{00000000-0005-0000-0000-00009C450000}"/>
    <cellStyle name="Nota 3 5 2 4 4 7 2" xfId="10652" xr:uid="{00000000-0005-0000-0000-00009D450000}"/>
    <cellStyle name="Nota 3 5 2 4 4 7 3" xfId="19429" xr:uid="{00000000-0005-0000-0000-00009E450000}"/>
    <cellStyle name="Nota 3 5 2 4 4 8" xfId="7619" xr:uid="{00000000-0005-0000-0000-00009F450000}"/>
    <cellStyle name="Nota 3 5 2 4 4 8 2" xfId="11640" xr:uid="{00000000-0005-0000-0000-0000A0450000}"/>
    <cellStyle name="Nota 3 5 2 4 4 8 3" xfId="21137" xr:uid="{00000000-0005-0000-0000-0000A1450000}"/>
    <cellStyle name="Nota 3 5 2 4 4 9" xfId="5007" xr:uid="{00000000-0005-0000-0000-0000A2450000}"/>
    <cellStyle name="Nota 3 5 2 4 4 9 2" xfId="13012" xr:uid="{00000000-0005-0000-0000-0000A3450000}"/>
    <cellStyle name="Nota 3 5 2 4 5" xfId="3049" xr:uid="{00000000-0005-0000-0000-0000A4450000}"/>
    <cellStyle name="Nota 3 5 2 4 5 2" xfId="3436" xr:uid="{00000000-0005-0000-0000-0000A5450000}"/>
    <cellStyle name="Nota 3 5 2 4 5 2 2" xfId="17045" xr:uid="{00000000-0005-0000-0000-0000A6450000}"/>
    <cellStyle name="Nota 3 5 2 4 5 3" xfId="3819" xr:uid="{00000000-0005-0000-0000-0000A7450000}"/>
    <cellStyle name="Nota 3 5 2 4 5 3 2" xfId="14274" xr:uid="{00000000-0005-0000-0000-0000A8450000}"/>
    <cellStyle name="Nota 3 5 2 4 5 4" xfId="4202" xr:uid="{00000000-0005-0000-0000-0000A9450000}"/>
    <cellStyle name="Nota 3 5 2 4 5 4 2" xfId="13803" xr:uid="{00000000-0005-0000-0000-0000AA450000}"/>
    <cellStyle name="Nota 3 5 2 4 5 5" xfId="4584" xr:uid="{00000000-0005-0000-0000-0000AB450000}"/>
    <cellStyle name="Nota 3 5 2 4 5 5 2" xfId="13421" xr:uid="{00000000-0005-0000-0000-0000AC450000}"/>
    <cellStyle name="Nota 3 5 2 4 5 6" xfId="5819" xr:uid="{00000000-0005-0000-0000-0000AD450000}"/>
    <cellStyle name="Nota 3 5 2 4 5 6 2" xfId="19337" xr:uid="{00000000-0005-0000-0000-0000AE450000}"/>
    <cellStyle name="Nota 3 5 2 4 5 7" xfId="9189" xr:uid="{00000000-0005-0000-0000-0000AF450000}"/>
    <cellStyle name="Nota 3 5 2 4 5 8" xfId="14267" xr:uid="{00000000-0005-0000-0000-0000B0450000}"/>
    <cellStyle name="Nota 3 5 2 4 6" xfId="2882" xr:uid="{00000000-0005-0000-0000-0000B1450000}"/>
    <cellStyle name="Nota 3 5 2 4 6 2" xfId="7527" xr:uid="{00000000-0005-0000-0000-0000B2450000}"/>
    <cellStyle name="Nota 3 5 2 4 6 2 2" xfId="21045" xr:uid="{00000000-0005-0000-0000-0000B3450000}"/>
    <cellStyle name="Nota 3 5 2 4 6 3" xfId="9034" xr:uid="{00000000-0005-0000-0000-0000B4450000}"/>
    <cellStyle name="Nota 3 5 2 4 6 4" xfId="16065" xr:uid="{00000000-0005-0000-0000-0000B5450000}"/>
    <cellStyle name="Nota 3 5 2 4 7" xfId="8838" xr:uid="{00000000-0005-0000-0000-0000B6450000}"/>
    <cellStyle name="Nota 3 5 2 4 8" xfId="16912" xr:uid="{00000000-0005-0000-0000-0000B7450000}"/>
    <cellStyle name="Nota 3 5 2 5" xfId="2821" xr:uid="{00000000-0005-0000-0000-0000B8450000}"/>
    <cellStyle name="Nota 3 5 2 5 10" xfId="8974" xr:uid="{00000000-0005-0000-0000-0000B9450000}"/>
    <cellStyle name="Nota 3 5 2 5 11" xfId="15558" xr:uid="{00000000-0005-0000-0000-0000BA450000}"/>
    <cellStyle name="Nota 3 5 2 5 2" xfId="2781" xr:uid="{00000000-0005-0000-0000-0000BB450000}"/>
    <cellStyle name="Nota 3 5 2 5 2 2" xfId="7379" xr:uid="{00000000-0005-0000-0000-0000BC450000}"/>
    <cellStyle name="Nota 3 5 2 5 2 2 2" xfId="11465" xr:uid="{00000000-0005-0000-0000-0000BD450000}"/>
    <cellStyle name="Nota 3 5 2 5 2 2 3" xfId="20897" xr:uid="{00000000-0005-0000-0000-0000BE450000}"/>
    <cellStyle name="Nota 3 5 2 5 2 3" xfId="5670" xr:uid="{00000000-0005-0000-0000-0000BF450000}"/>
    <cellStyle name="Nota 3 5 2 5 2 3 2" xfId="19188" xr:uid="{00000000-0005-0000-0000-0000C0450000}"/>
    <cellStyle name="Nota 3 5 2 5 2 4" xfId="8936" xr:uid="{00000000-0005-0000-0000-0000C1450000}"/>
    <cellStyle name="Nota 3 5 2 5 2 5" xfId="16324" xr:uid="{00000000-0005-0000-0000-0000C2450000}"/>
    <cellStyle name="Nota 3 5 2 5 3" xfId="2795" xr:uid="{00000000-0005-0000-0000-0000C3450000}"/>
    <cellStyle name="Nota 3 5 2 5 3 2" xfId="7104" xr:uid="{00000000-0005-0000-0000-0000C4450000}"/>
    <cellStyle name="Nota 3 5 2 5 3 2 2" xfId="11238" xr:uid="{00000000-0005-0000-0000-0000C5450000}"/>
    <cellStyle name="Nota 3 5 2 5 3 2 3" xfId="20622" xr:uid="{00000000-0005-0000-0000-0000C6450000}"/>
    <cellStyle name="Nota 3 5 2 5 3 3" xfId="5395" xr:uid="{00000000-0005-0000-0000-0000C7450000}"/>
    <cellStyle name="Nota 3 5 2 5 3 3 2" xfId="18913" xr:uid="{00000000-0005-0000-0000-0000C8450000}"/>
    <cellStyle name="Nota 3 5 2 5 3 4" xfId="8950" xr:uid="{00000000-0005-0000-0000-0000C9450000}"/>
    <cellStyle name="Nota 3 5 2 5 3 5" xfId="14540" xr:uid="{00000000-0005-0000-0000-0000CA450000}"/>
    <cellStyle name="Nota 3 5 2 5 4" xfId="2813" xr:uid="{00000000-0005-0000-0000-0000CB450000}"/>
    <cellStyle name="Nota 3 5 2 5 4 2" xfId="8209" xr:uid="{00000000-0005-0000-0000-0000CC450000}"/>
    <cellStyle name="Nota 3 5 2 5 4 2 2" xfId="12177" xr:uid="{00000000-0005-0000-0000-0000CD450000}"/>
    <cellStyle name="Nota 3 5 2 5 4 2 3" xfId="21727" xr:uid="{00000000-0005-0000-0000-0000CE450000}"/>
    <cellStyle name="Nota 3 5 2 5 4 3" xfId="6501" xr:uid="{00000000-0005-0000-0000-0000CF450000}"/>
    <cellStyle name="Nota 3 5 2 5 4 3 2" xfId="20019" xr:uid="{00000000-0005-0000-0000-0000D0450000}"/>
    <cellStyle name="Nota 3 5 2 5 4 4" xfId="8968" xr:uid="{00000000-0005-0000-0000-0000D1450000}"/>
    <cellStyle name="Nota 3 5 2 5 4 5" xfId="14589" xr:uid="{00000000-0005-0000-0000-0000D2450000}"/>
    <cellStyle name="Nota 3 5 2 5 5" xfId="2785" xr:uid="{00000000-0005-0000-0000-0000D3450000}"/>
    <cellStyle name="Nota 3 5 2 5 5 2" xfId="8441" xr:uid="{00000000-0005-0000-0000-0000D4450000}"/>
    <cellStyle name="Nota 3 5 2 5 5 2 2" xfId="12409" xr:uid="{00000000-0005-0000-0000-0000D5450000}"/>
    <cellStyle name="Nota 3 5 2 5 5 2 3" xfId="21959" xr:uid="{00000000-0005-0000-0000-0000D6450000}"/>
    <cellStyle name="Nota 3 5 2 5 5 3" xfId="6733" xr:uid="{00000000-0005-0000-0000-0000D7450000}"/>
    <cellStyle name="Nota 3 5 2 5 5 3 2" xfId="20251" xr:uid="{00000000-0005-0000-0000-0000D8450000}"/>
    <cellStyle name="Nota 3 5 2 5 5 4" xfId="8940" xr:uid="{00000000-0005-0000-0000-0000D9450000}"/>
    <cellStyle name="Nota 3 5 2 5 5 5" xfId="17659" xr:uid="{00000000-0005-0000-0000-0000DA450000}"/>
    <cellStyle name="Nota 3 5 2 5 6" xfId="6965" xr:uid="{00000000-0005-0000-0000-0000DB450000}"/>
    <cellStyle name="Nota 3 5 2 5 6 2" xfId="8673" xr:uid="{00000000-0005-0000-0000-0000DC450000}"/>
    <cellStyle name="Nota 3 5 2 5 6 2 2" xfId="12641" xr:uid="{00000000-0005-0000-0000-0000DD450000}"/>
    <cellStyle name="Nota 3 5 2 5 6 2 3" xfId="22191" xr:uid="{00000000-0005-0000-0000-0000DE450000}"/>
    <cellStyle name="Nota 3 5 2 5 6 3" xfId="11099" xr:uid="{00000000-0005-0000-0000-0000DF450000}"/>
    <cellStyle name="Nota 3 5 2 5 6 4" xfId="20483" xr:uid="{00000000-0005-0000-0000-0000E0450000}"/>
    <cellStyle name="Nota 3 5 2 5 7" xfId="5953" xr:uid="{00000000-0005-0000-0000-0000E1450000}"/>
    <cellStyle name="Nota 3 5 2 5 7 2" xfId="10694" xr:uid="{00000000-0005-0000-0000-0000E2450000}"/>
    <cellStyle name="Nota 3 5 2 5 7 3" xfId="19471" xr:uid="{00000000-0005-0000-0000-0000E3450000}"/>
    <cellStyle name="Nota 3 5 2 5 8" xfId="7661" xr:uid="{00000000-0005-0000-0000-0000E4450000}"/>
    <cellStyle name="Nota 3 5 2 5 8 2" xfId="11682" xr:uid="{00000000-0005-0000-0000-0000E5450000}"/>
    <cellStyle name="Nota 3 5 2 5 8 3" xfId="21179" xr:uid="{00000000-0005-0000-0000-0000E6450000}"/>
    <cellStyle name="Nota 3 5 2 5 9" xfId="5054" xr:uid="{00000000-0005-0000-0000-0000E7450000}"/>
    <cellStyle name="Nota 3 5 2 5 9 2" xfId="12967" xr:uid="{00000000-0005-0000-0000-0000E8450000}"/>
    <cellStyle name="Nota 3 5 2 6" xfId="2931" xr:uid="{00000000-0005-0000-0000-0000E9450000}"/>
    <cellStyle name="Nota 3 5 2 6 2" xfId="3318" xr:uid="{00000000-0005-0000-0000-0000EA450000}"/>
    <cellStyle name="Nota 3 5 2 6 2 2" xfId="7421" xr:uid="{00000000-0005-0000-0000-0000EB450000}"/>
    <cellStyle name="Nota 3 5 2 6 2 2 2" xfId="20939" xr:uid="{00000000-0005-0000-0000-0000EC450000}"/>
    <cellStyle name="Nota 3 5 2 6 2 3" xfId="9448" xr:uid="{00000000-0005-0000-0000-0000ED450000}"/>
    <cellStyle name="Nota 3 5 2 6 2 4" xfId="16743" xr:uid="{00000000-0005-0000-0000-0000EE450000}"/>
    <cellStyle name="Nota 3 5 2 6 3" xfId="3701" xr:uid="{00000000-0005-0000-0000-0000EF450000}"/>
    <cellStyle name="Nota 3 5 2 6 3 2" xfId="14495" xr:uid="{00000000-0005-0000-0000-0000F0450000}"/>
    <cellStyle name="Nota 3 5 2 6 4" xfId="4084" xr:uid="{00000000-0005-0000-0000-0000F1450000}"/>
    <cellStyle name="Nota 3 5 2 6 4 2" xfId="13910" xr:uid="{00000000-0005-0000-0000-0000F2450000}"/>
    <cellStyle name="Nota 3 5 2 6 5" xfId="4466" xr:uid="{00000000-0005-0000-0000-0000F3450000}"/>
    <cellStyle name="Nota 3 5 2 6 5 2" xfId="13539" xr:uid="{00000000-0005-0000-0000-0000F4450000}"/>
    <cellStyle name="Nota 3 5 2 6 6" xfId="5712" xr:uid="{00000000-0005-0000-0000-0000F5450000}"/>
    <cellStyle name="Nota 3 5 2 6 6 2" xfId="19230" xr:uid="{00000000-0005-0000-0000-0000F6450000}"/>
    <cellStyle name="Nota 3 5 2 6 7" xfId="9083" xr:uid="{00000000-0005-0000-0000-0000F7450000}"/>
    <cellStyle name="Nota 3 5 2 6 8" xfId="16936" xr:uid="{00000000-0005-0000-0000-0000F8450000}"/>
    <cellStyle name="Nota 3 5 2 7" xfId="3106" xr:uid="{00000000-0005-0000-0000-0000F9450000}"/>
    <cellStyle name="Nota 3 5 2 7 2" xfId="3493" xr:uid="{00000000-0005-0000-0000-0000FA450000}"/>
    <cellStyle name="Nota 3 5 2 7 2 2" xfId="7192" xr:uid="{00000000-0005-0000-0000-0000FB450000}"/>
    <cellStyle name="Nota 3 5 2 7 2 2 2" xfId="20710" xr:uid="{00000000-0005-0000-0000-0000FC450000}"/>
    <cellStyle name="Nota 3 5 2 7 2 3" xfId="9586" xr:uid="{00000000-0005-0000-0000-0000FD450000}"/>
    <cellStyle name="Nota 3 5 2 7 2 4" xfId="16704" xr:uid="{00000000-0005-0000-0000-0000FE450000}"/>
    <cellStyle name="Nota 3 5 2 7 3" xfId="3876" xr:uid="{00000000-0005-0000-0000-0000FF450000}"/>
    <cellStyle name="Nota 3 5 2 7 3 2" xfId="14135" xr:uid="{00000000-0005-0000-0000-000000460000}"/>
    <cellStyle name="Nota 3 5 2 7 4" xfId="4259" xr:uid="{00000000-0005-0000-0000-000001460000}"/>
    <cellStyle name="Nota 3 5 2 7 4 2" xfId="13746" xr:uid="{00000000-0005-0000-0000-000002460000}"/>
    <cellStyle name="Nota 3 5 2 7 5" xfId="4641" xr:uid="{00000000-0005-0000-0000-000003460000}"/>
    <cellStyle name="Nota 3 5 2 7 5 2" xfId="13364" xr:uid="{00000000-0005-0000-0000-000004460000}"/>
    <cellStyle name="Nota 3 5 2 7 6" xfId="5483" xr:uid="{00000000-0005-0000-0000-000005460000}"/>
    <cellStyle name="Nota 3 5 2 7 6 2" xfId="19001" xr:uid="{00000000-0005-0000-0000-000006460000}"/>
    <cellStyle name="Nota 3 5 2 7 7" xfId="9237" xr:uid="{00000000-0005-0000-0000-000007460000}"/>
    <cellStyle name="Nota 3 5 2 7 8" xfId="15726" xr:uid="{00000000-0005-0000-0000-000008460000}"/>
    <cellStyle name="Nota 3 5 2 8" xfId="3004" xr:uid="{00000000-0005-0000-0000-000009460000}"/>
    <cellStyle name="Nota 3 5 2 8 2" xfId="3391" xr:uid="{00000000-0005-0000-0000-00000A460000}"/>
    <cellStyle name="Nota 3 5 2 8 2 2" xfId="7190" xr:uid="{00000000-0005-0000-0000-00000B460000}"/>
    <cellStyle name="Nota 3 5 2 8 2 2 2" xfId="20708" xr:uid="{00000000-0005-0000-0000-00000C460000}"/>
    <cellStyle name="Nota 3 5 2 8 2 3" xfId="9515" xr:uid="{00000000-0005-0000-0000-00000D460000}"/>
    <cellStyle name="Nota 3 5 2 8 2 4" xfId="15738" xr:uid="{00000000-0005-0000-0000-00000E460000}"/>
    <cellStyle name="Nota 3 5 2 8 3" xfId="3774" xr:uid="{00000000-0005-0000-0000-00000F460000}"/>
    <cellStyle name="Nota 3 5 2 8 3 2" xfId="16597" xr:uid="{00000000-0005-0000-0000-000010460000}"/>
    <cellStyle name="Nota 3 5 2 8 4" xfId="4157" xr:uid="{00000000-0005-0000-0000-000011460000}"/>
    <cellStyle name="Nota 3 5 2 8 4 2" xfId="14362" xr:uid="{00000000-0005-0000-0000-000012460000}"/>
    <cellStyle name="Nota 3 5 2 8 5" xfId="4539" xr:uid="{00000000-0005-0000-0000-000013460000}"/>
    <cellStyle name="Nota 3 5 2 8 5 2" xfId="13466" xr:uid="{00000000-0005-0000-0000-000014460000}"/>
    <cellStyle name="Nota 3 5 2 8 6" xfId="5481" xr:uid="{00000000-0005-0000-0000-000015460000}"/>
    <cellStyle name="Nota 3 5 2 8 6 2" xfId="18999" xr:uid="{00000000-0005-0000-0000-000016460000}"/>
    <cellStyle name="Nota 3 5 2 8 7" xfId="9151" xr:uid="{00000000-0005-0000-0000-000017460000}"/>
    <cellStyle name="Nota 3 5 2 8 8" xfId="15819" xr:uid="{00000000-0005-0000-0000-000018460000}"/>
    <cellStyle name="Nota 3 5 2 9" xfId="6113" xr:uid="{00000000-0005-0000-0000-000019460000}"/>
    <cellStyle name="Nota 3 5 2 9 2" xfId="7821" xr:uid="{00000000-0005-0000-0000-00001A460000}"/>
    <cellStyle name="Nota 3 5 2 9 2 2" xfId="11831" xr:uid="{00000000-0005-0000-0000-00001B460000}"/>
    <cellStyle name="Nota 3 5 2 9 2 3" xfId="21339" xr:uid="{00000000-0005-0000-0000-00001C460000}"/>
    <cellStyle name="Nota 3 5 2 9 3" xfId="10811" xr:uid="{00000000-0005-0000-0000-00001D460000}"/>
    <cellStyle name="Nota 3 5 2 9 4" xfId="19631" xr:uid="{00000000-0005-0000-0000-00001E460000}"/>
    <cellStyle name="Nota 3 5 3" xfId="2700" xr:uid="{00000000-0005-0000-0000-00001F460000}"/>
    <cellStyle name="Nota 3 5 3 10" xfId="5767" xr:uid="{00000000-0005-0000-0000-000020460000}"/>
    <cellStyle name="Nota 3 5 3 10 2" xfId="10543" xr:uid="{00000000-0005-0000-0000-000021460000}"/>
    <cellStyle name="Nota 3 5 3 10 3" xfId="19285" xr:uid="{00000000-0005-0000-0000-000022460000}"/>
    <cellStyle name="Nota 3 5 3 11" xfId="7476" xr:uid="{00000000-0005-0000-0000-000023460000}"/>
    <cellStyle name="Nota 3 5 3 11 2" xfId="11530" xr:uid="{00000000-0005-0000-0000-000024460000}"/>
    <cellStyle name="Nota 3 5 3 11 3" xfId="20994" xr:uid="{00000000-0005-0000-0000-000025460000}"/>
    <cellStyle name="Nota 3 5 3 12" xfId="4893" xr:uid="{00000000-0005-0000-0000-000026460000}"/>
    <cellStyle name="Nota 3 5 3 12 2" xfId="13118" xr:uid="{00000000-0005-0000-0000-000027460000}"/>
    <cellStyle name="Nota 3 5 3 13" xfId="8855" xr:uid="{00000000-0005-0000-0000-000028460000}"/>
    <cellStyle name="Nota 3 5 3 14" xfId="16888" xr:uid="{00000000-0005-0000-0000-000029460000}"/>
    <cellStyle name="Nota 3 5 3 2" xfId="2757" xr:uid="{00000000-0005-0000-0000-00002A460000}"/>
    <cellStyle name="Nota 3 5 3 2 2" xfId="2980" xr:uid="{00000000-0005-0000-0000-00002B460000}"/>
    <cellStyle name="Nota 3 5 3 2 2 10" xfId="9132" xr:uid="{00000000-0005-0000-0000-00002C460000}"/>
    <cellStyle name="Nota 3 5 3 2 2 11" xfId="14880" xr:uid="{00000000-0005-0000-0000-00002D460000}"/>
    <cellStyle name="Nota 3 5 3 2 2 2" xfId="3367" xr:uid="{00000000-0005-0000-0000-00002E460000}"/>
    <cellStyle name="Nota 3 5 3 2 2 2 2" xfId="7945" xr:uid="{00000000-0005-0000-0000-00002F460000}"/>
    <cellStyle name="Nota 3 5 3 2 2 2 2 2" xfId="11921" xr:uid="{00000000-0005-0000-0000-000030460000}"/>
    <cellStyle name="Nota 3 5 3 2 2 2 2 3" xfId="21463" xr:uid="{00000000-0005-0000-0000-000031460000}"/>
    <cellStyle name="Nota 3 5 3 2 2 2 3" xfId="6237" xr:uid="{00000000-0005-0000-0000-000032460000}"/>
    <cellStyle name="Nota 3 5 3 2 2 2 3 2" xfId="19755" xr:uid="{00000000-0005-0000-0000-000033460000}"/>
    <cellStyle name="Nota 3 5 3 2 2 2 4" xfId="9497" xr:uid="{00000000-0005-0000-0000-000034460000}"/>
    <cellStyle name="Nota 3 5 3 2 2 2 5" xfId="15378" xr:uid="{00000000-0005-0000-0000-000035460000}"/>
    <cellStyle name="Nota 3 5 3 2 2 3" xfId="3750" xr:uid="{00000000-0005-0000-0000-000036460000}"/>
    <cellStyle name="Nota 3 5 3 2 2 3 2" xfId="7425" xr:uid="{00000000-0005-0000-0000-000037460000}"/>
    <cellStyle name="Nota 3 5 3 2 2 3 2 2" xfId="11488" xr:uid="{00000000-0005-0000-0000-000038460000}"/>
    <cellStyle name="Nota 3 5 3 2 2 3 2 3" xfId="20943" xr:uid="{00000000-0005-0000-0000-000039460000}"/>
    <cellStyle name="Nota 3 5 3 2 2 3 3" xfId="5716" xr:uid="{00000000-0005-0000-0000-00003A460000}"/>
    <cellStyle name="Nota 3 5 3 2 2 3 3 2" xfId="19234" xr:uid="{00000000-0005-0000-0000-00003B460000}"/>
    <cellStyle name="Nota 3 5 3 2 2 3 4" xfId="9812" xr:uid="{00000000-0005-0000-0000-00003C460000}"/>
    <cellStyle name="Nota 3 5 3 2 2 3 5" xfId="17756" xr:uid="{00000000-0005-0000-0000-00003D460000}"/>
    <cellStyle name="Nota 3 5 3 2 2 4" xfId="4133" xr:uid="{00000000-0005-0000-0000-00003E460000}"/>
    <cellStyle name="Nota 3 5 3 2 2 4 2" xfId="8252" xr:uid="{00000000-0005-0000-0000-00003F460000}"/>
    <cellStyle name="Nota 3 5 3 2 2 4 2 2" xfId="12220" xr:uid="{00000000-0005-0000-0000-000040460000}"/>
    <cellStyle name="Nota 3 5 3 2 2 4 2 3" xfId="21770" xr:uid="{00000000-0005-0000-0000-000041460000}"/>
    <cellStyle name="Nota 3 5 3 2 2 4 3" xfId="6544" xr:uid="{00000000-0005-0000-0000-000042460000}"/>
    <cellStyle name="Nota 3 5 3 2 2 4 3 2" xfId="20062" xr:uid="{00000000-0005-0000-0000-000043460000}"/>
    <cellStyle name="Nota 3 5 3 2 2 4 4" xfId="9990" xr:uid="{00000000-0005-0000-0000-000044460000}"/>
    <cellStyle name="Nota 3 5 3 2 2 4 5" xfId="13864" xr:uid="{00000000-0005-0000-0000-000045460000}"/>
    <cellStyle name="Nota 3 5 3 2 2 5" xfId="4515" xr:uid="{00000000-0005-0000-0000-000046460000}"/>
    <cellStyle name="Nota 3 5 3 2 2 5 2" xfId="8484" xr:uid="{00000000-0005-0000-0000-000047460000}"/>
    <cellStyle name="Nota 3 5 3 2 2 5 2 2" xfId="12452" xr:uid="{00000000-0005-0000-0000-000048460000}"/>
    <cellStyle name="Nota 3 5 3 2 2 5 2 3" xfId="22002" xr:uid="{00000000-0005-0000-0000-000049460000}"/>
    <cellStyle name="Nota 3 5 3 2 2 5 3" xfId="6776" xr:uid="{00000000-0005-0000-0000-00004A460000}"/>
    <cellStyle name="Nota 3 5 3 2 2 5 3 2" xfId="20294" xr:uid="{00000000-0005-0000-0000-00004B460000}"/>
    <cellStyle name="Nota 3 5 3 2 2 5 4" xfId="10167" xr:uid="{00000000-0005-0000-0000-00004C460000}"/>
    <cellStyle name="Nota 3 5 3 2 2 5 5" xfId="13490" xr:uid="{00000000-0005-0000-0000-00004D460000}"/>
    <cellStyle name="Nota 3 5 3 2 2 6" xfId="7008" xr:uid="{00000000-0005-0000-0000-00004E460000}"/>
    <cellStyle name="Nota 3 5 3 2 2 6 2" xfId="8716" xr:uid="{00000000-0005-0000-0000-00004F460000}"/>
    <cellStyle name="Nota 3 5 3 2 2 6 2 2" xfId="12684" xr:uid="{00000000-0005-0000-0000-000050460000}"/>
    <cellStyle name="Nota 3 5 3 2 2 6 2 3" xfId="22234" xr:uid="{00000000-0005-0000-0000-000051460000}"/>
    <cellStyle name="Nota 3 5 3 2 2 6 3" xfId="11142" xr:uid="{00000000-0005-0000-0000-000052460000}"/>
    <cellStyle name="Nota 3 5 3 2 2 6 4" xfId="20526" xr:uid="{00000000-0005-0000-0000-000053460000}"/>
    <cellStyle name="Nota 3 5 3 2 2 7" xfId="5996" xr:uid="{00000000-0005-0000-0000-000054460000}"/>
    <cellStyle name="Nota 3 5 3 2 2 7 2" xfId="10737" xr:uid="{00000000-0005-0000-0000-000055460000}"/>
    <cellStyle name="Nota 3 5 3 2 2 7 3" xfId="19514" xr:uid="{00000000-0005-0000-0000-000056460000}"/>
    <cellStyle name="Nota 3 5 3 2 2 8" xfId="7704" xr:uid="{00000000-0005-0000-0000-000057460000}"/>
    <cellStyle name="Nota 3 5 3 2 2 8 2" xfId="11725" xr:uid="{00000000-0005-0000-0000-000058460000}"/>
    <cellStyle name="Nota 3 5 3 2 2 8 3" xfId="21222" xr:uid="{00000000-0005-0000-0000-000059460000}"/>
    <cellStyle name="Nota 3 5 3 2 2 9" xfId="5190" xr:uid="{00000000-0005-0000-0000-00005A460000}"/>
    <cellStyle name="Nota 3 5 3 2 2 9 2" xfId="12892" xr:uid="{00000000-0005-0000-0000-00005B460000}"/>
    <cellStyle name="Nota 3 5 3 2 3" xfId="3247" xr:uid="{00000000-0005-0000-0000-00005C460000}"/>
    <cellStyle name="Nota 3 5 3 2 3 10" xfId="9377" xr:uid="{00000000-0005-0000-0000-00005D460000}"/>
    <cellStyle name="Nota 3 5 3 2 3 11" xfId="16618" xr:uid="{00000000-0005-0000-0000-00005E460000}"/>
    <cellStyle name="Nota 3 5 3 2 3 2" xfId="3634" xr:uid="{00000000-0005-0000-0000-00005F460000}"/>
    <cellStyle name="Nota 3 5 3 2 3 2 2" xfId="7995" xr:uid="{00000000-0005-0000-0000-000060460000}"/>
    <cellStyle name="Nota 3 5 3 2 3 2 2 2" xfId="11971" xr:uid="{00000000-0005-0000-0000-000061460000}"/>
    <cellStyle name="Nota 3 5 3 2 3 2 2 3" xfId="21513" xr:uid="{00000000-0005-0000-0000-000062460000}"/>
    <cellStyle name="Nota 3 5 3 2 3 2 3" xfId="6287" xr:uid="{00000000-0005-0000-0000-000063460000}"/>
    <cellStyle name="Nota 3 5 3 2 3 2 3 2" xfId="19805" xr:uid="{00000000-0005-0000-0000-000064460000}"/>
    <cellStyle name="Nota 3 5 3 2 3 2 4" xfId="9726" xr:uid="{00000000-0005-0000-0000-000065460000}"/>
    <cellStyle name="Nota 3 5 3 2 3 2 5" xfId="18411" xr:uid="{00000000-0005-0000-0000-000066460000}"/>
    <cellStyle name="Nota 3 5 3 2 3 3" xfId="4017" xr:uid="{00000000-0005-0000-0000-000067460000}"/>
    <cellStyle name="Nota 3 5 3 2 3 3 2" xfId="7070" xr:uid="{00000000-0005-0000-0000-000068460000}"/>
    <cellStyle name="Nota 3 5 3 2 3 3 2 2" xfId="11204" xr:uid="{00000000-0005-0000-0000-000069460000}"/>
    <cellStyle name="Nota 3 5 3 2 3 3 2 3" xfId="20588" xr:uid="{00000000-0005-0000-0000-00006A460000}"/>
    <cellStyle name="Nota 3 5 3 2 3 3 3" xfId="5361" xr:uid="{00000000-0005-0000-0000-00006B460000}"/>
    <cellStyle name="Nota 3 5 3 2 3 3 3 2" xfId="18879" xr:uid="{00000000-0005-0000-0000-00006C460000}"/>
    <cellStyle name="Nota 3 5 3 2 3 3 4" xfId="9936" xr:uid="{00000000-0005-0000-0000-00006D460000}"/>
    <cellStyle name="Nota 3 5 3 2 3 3 5" xfId="13974" xr:uid="{00000000-0005-0000-0000-00006E460000}"/>
    <cellStyle name="Nota 3 5 3 2 3 4" xfId="4400" xr:uid="{00000000-0005-0000-0000-00006F460000}"/>
    <cellStyle name="Nota 3 5 3 2 3 4 2" xfId="8302" xr:uid="{00000000-0005-0000-0000-000070460000}"/>
    <cellStyle name="Nota 3 5 3 2 3 4 2 2" xfId="12270" xr:uid="{00000000-0005-0000-0000-000071460000}"/>
    <cellStyle name="Nota 3 5 3 2 3 4 2 3" xfId="21820" xr:uid="{00000000-0005-0000-0000-000072460000}"/>
    <cellStyle name="Nota 3 5 3 2 3 4 3" xfId="6594" xr:uid="{00000000-0005-0000-0000-000073460000}"/>
    <cellStyle name="Nota 3 5 3 2 3 4 3 2" xfId="20112" xr:uid="{00000000-0005-0000-0000-000074460000}"/>
    <cellStyle name="Nota 3 5 3 2 3 4 4" xfId="10114" xr:uid="{00000000-0005-0000-0000-000075460000}"/>
    <cellStyle name="Nota 3 5 3 2 3 4 5" xfId="13605" xr:uid="{00000000-0005-0000-0000-000076460000}"/>
    <cellStyle name="Nota 3 5 3 2 3 5" xfId="4782" xr:uid="{00000000-0005-0000-0000-000077460000}"/>
    <cellStyle name="Nota 3 5 3 2 3 5 2" xfId="8534" xr:uid="{00000000-0005-0000-0000-000078460000}"/>
    <cellStyle name="Nota 3 5 3 2 3 5 2 2" xfId="12502" xr:uid="{00000000-0005-0000-0000-000079460000}"/>
    <cellStyle name="Nota 3 5 3 2 3 5 2 3" xfId="22052" xr:uid="{00000000-0005-0000-0000-00007A460000}"/>
    <cellStyle name="Nota 3 5 3 2 3 5 3" xfId="6826" xr:uid="{00000000-0005-0000-0000-00007B460000}"/>
    <cellStyle name="Nota 3 5 3 2 3 5 3 2" xfId="20344" xr:uid="{00000000-0005-0000-0000-00007C460000}"/>
    <cellStyle name="Nota 3 5 3 2 3 5 4" xfId="10291" xr:uid="{00000000-0005-0000-0000-00007D460000}"/>
    <cellStyle name="Nota 3 5 3 2 3 5 5" xfId="13223" xr:uid="{00000000-0005-0000-0000-00007E460000}"/>
    <cellStyle name="Nota 3 5 3 2 3 6" xfId="7058" xr:uid="{00000000-0005-0000-0000-00007F460000}"/>
    <cellStyle name="Nota 3 5 3 2 3 6 2" xfId="8766" xr:uid="{00000000-0005-0000-0000-000080460000}"/>
    <cellStyle name="Nota 3 5 3 2 3 6 2 2" xfId="12734" xr:uid="{00000000-0005-0000-0000-000081460000}"/>
    <cellStyle name="Nota 3 5 3 2 3 6 2 3" xfId="22284" xr:uid="{00000000-0005-0000-0000-000082460000}"/>
    <cellStyle name="Nota 3 5 3 2 3 6 3" xfId="11192" xr:uid="{00000000-0005-0000-0000-000083460000}"/>
    <cellStyle name="Nota 3 5 3 2 3 6 4" xfId="20576" xr:uid="{00000000-0005-0000-0000-000084460000}"/>
    <cellStyle name="Nota 3 5 3 2 3 7" xfId="6046" xr:uid="{00000000-0005-0000-0000-000085460000}"/>
    <cellStyle name="Nota 3 5 3 2 3 7 2" xfId="10787" xr:uid="{00000000-0005-0000-0000-000086460000}"/>
    <cellStyle name="Nota 3 5 3 2 3 7 3" xfId="19564" xr:uid="{00000000-0005-0000-0000-000087460000}"/>
    <cellStyle name="Nota 3 5 3 2 3 8" xfId="7754" xr:uid="{00000000-0005-0000-0000-000088460000}"/>
    <cellStyle name="Nota 3 5 3 2 3 8 2" xfId="11775" xr:uid="{00000000-0005-0000-0000-000089460000}"/>
    <cellStyle name="Nota 3 5 3 2 3 8 3" xfId="21272" xr:uid="{00000000-0005-0000-0000-00008A460000}"/>
    <cellStyle name="Nota 3 5 3 2 3 9" xfId="5240" xr:uid="{00000000-0005-0000-0000-00008B460000}"/>
    <cellStyle name="Nota 3 5 3 2 3 9 2" xfId="12854" xr:uid="{00000000-0005-0000-0000-00008C460000}"/>
    <cellStyle name="Nota 3 5 3 2 4" xfId="3304" xr:uid="{00000000-0005-0000-0000-00008D460000}"/>
    <cellStyle name="Nota 3 5 3 2 4 2" xfId="3691" xr:uid="{00000000-0005-0000-0000-00008E460000}"/>
    <cellStyle name="Nota 3 5 3 2 4 2 2" xfId="16051" xr:uid="{00000000-0005-0000-0000-00008F460000}"/>
    <cellStyle name="Nota 3 5 3 2 4 3" xfId="4074" xr:uid="{00000000-0005-0000-0000-000090460000}"/>
    <cellStyle name="Nota 3 5 3 2 4 3 2" xfId="14154" xr:uid="{00000000-0005-0000-0000-000091460000}"/>
    <cellStyle name="Nota 3 5 3 2 4 4" xfId="4457" xr:uid="{00000000-0005-0000-0000-000092460000}"/>
    <cellStyle name="Nota 3 5 3 2 4 4 2" xfId="13548" xr:uid="{00000000-0005-0000-0000-000093460000}"/>
    <cellStyle name="Nota 3 5 3 2 4 5" xfId="4839" xr:uid="{00000000-0005-0000-0000-000094460000}"/>
    <cellStyle name="Nota 3 5 3 2 4 5 2" xfId="13167" xr:uid="{00000000-0005-0000-0000-000095460000}"/>
    <cellStyle name="Nota 3 5 3 2 4 6" xfId="5836" xr:uid="{00000000-0005-0000-0000-000096460000}"/>
    <cellStyle name="Nota 3 5 3 2 4 6 2" xfId="19354" xr:uid="{00000000-0005-0000-0000-000097460000}"/>
    <cellStyle name="Nota 3 5 3 2 4 7" xfId="9434" xr:uid="{00000000-0005-0000-0000-000098460000}"/>
    <cellStyle name="Nota 3 5 3 2 4 8" xfId="17762" xr:uid="{00000000-0005-0000-0000-000099460000}"/>
    <cellStyle name="Nota 3 5 3 2 5" xfId="2922" xr:uid="{00000000-0005-0000-0000-00009A460000}"/>
    <cellStyle name="Nota 3 5 3 2 5 2" xfId="7544" xr:uid="{00000000-0005-0000-0000-00009B460000}"/>
    <cellStyle name="Nota 3 5 3 2 5 2 2" xfId="21062" xr:uid="{00000000-0005-0000-0000-00009C460000}"/>
    <cellStyle name="Nota 3 5 3 2 5 3" xfId="9074" xr:uid="{00000000-0005-0000-0000-00009D460000}"/>
    <cellStyle name="Nota 3 5 3 2 5 4" xfId="16642" xr:uid="{00000000-0005-0000-0000-00009E460000}"/>
    <cellStyle name="Nota 3 5 3 2 6" xfId="8912" xr:uid="{00000000-0005-0000-0000-00009F460000}"/>
    <cellStyle name="Nota 3 5 3 3" xfId="2644" xr:uid="{00000000-0005-0000-0000-0000A0460000}"/>
    <cellStyle name="Nota 3 5 3 3 2" xfId="2941" xr:uid="{00000000-0005-0000-0000-0000A1460000}"/>
    <cellStyle name="Nota 3 5 3 3 2 10" xfId="9093" xr:uid="{00000000-0005-0000-0000-0000A2460000}"/>
    <cellStyle name="Nota 3 5 3 3 2 11" xfId="18749" xr:uid="{00000000-0005-0000-0000-0000A3460000}"/>
    <cellStyle name="Nota 3 5 3 3 2 2" xfId="3328" xr:uid="{00000000-0005-0000-0000-0000A4460000}"/>
    <cellStyle name="Nota 3 5 3 3 2 2 2" xfId="7297" xr:uid="{00000000-0005-0000-0000-0000A5460000}"/>
    <cellStyle name="Nota 3 5 3 3 2 2 2 2" xfId="11402" xr:uid="{00000000-0005-0000-0000-0000A6460000}"/>
    <cellStyle name="Nota 3 5 3 3 2 2 2 3" xfId="20815" xr:uid="{00000000-0005-0000-0000-0000A7460000}"/>
    <cellStyle name="Nota 3 5 3 3 2 2 3" xfId="5588" xr:uid="{00000000-0005-0000-0000-0000A8460000}"/>
    <cellStyle name="Nota 3 5 3 3 2 2 3 2" xfId="19106" xr:uid="{00000000-0005-0000-0000-0000A9460000}"/>
    <cellStyle name="Nota 3 5 3 3 2 2 4" xfId="9458" xr:uid="{00000000-0005-0000-0000-0000AA460000}"/>
    <cellStyle name="Nota 3 5 3 3 2 2 5" xfId="17505" xr:uid="{00000000-0005-0000-0000-0000AB460000}"/>
    <cellStyle name="Nota 3 5 3 3 2 3" xfId="3711" xr:uid="{00000000-0005-0000-0000-0000AC460000}"/>
    <cellStyle name="Nota 3 5 3 3 2 3 2" xfId="7300" xr:uid="{00000000-0005-0000-0000-0000AD460000}"/>
    <cellStyle name="Nota 3 5 3 3 2 3 2 2" xfId="11405" xr:uid="{00000000-0005-0000-0000-0000AE460000}"/>
    <cellStyle name="Nota 3 5 3 3 2 3 2 3" xfId="20818" xr:uid="{00000000-0005-0000-0000-0000AF460000}"/>
    <cellStyle name="Nota 3 5 3 3 2 3 3" xfId="5591" xr:uid="{00000000-0005-0000-0000-0000B0460000}"/>
    <cellStyle name="Nota 3 5 3 3 2 3 3 2" xfId="19109" xr:uid="{00000000-0005-0000-0000-0000B1460000}"/>
    <cellStyle name="Nota 3 5 3 3 2 3 4" xfId="9773" xr:uid="{00000000-0005-0000-0000-0000B2460000}"/>
    <cellStyle name="Nota 3 5 3 3 2 3 5" xfId="16619" xr:uid="{00000000-0005-0000-0000-0000B3460000}"/>
    <cellStyle name="Nota 3 5 3 3 2 4" xfId="4094" xr:uid="{00000000-0005-0000-0000-0000B4460000}"/>
    <cellStyle name="Nota 3 5 3 3 2 4 2" xfId="8215" xr:uid="{00000000-0005-0000-0000-0000B5460000}"/>
    <cellStyle name="Nota 3 5 3 3 2 4 2 2" xfId="12183" xr:uid="{00000000-0005-0000-0000-0000B6460000}"/>
    <cellStyle name="Nota 3 5 3 3 2 4 2 3" xfId="21733" xr:uid="{00000000-0005-0000-0000-0000B7460000}"/>
    <cellStyle name="Nota 3 5 3 3 2 4 3" xfId="6507" xr:uid="{00000000-0005-0000-0000-0000B8460000}"/>
    <cellStyle name="Nota 3 5 3 3 2 4 3 2" xfId="20025" xr:uid="{00000000-0005-0000-0000-0000B9460000}"/>
    <cellStyle name="Nota 3 5 3 3 2 4 4" xfId="9951" xr:uid="{00000000-0005-0000-0000-0000BA460000}"/>
    <cellStyle name="Nota 3 5 3 3 2 4 5" xfId="13900" xr:uid="{00000000-0005-0000-0000-0000BB460000}"/>
    <cellStyle name="Nota 3 5 3 3 2 5" xfId="4476" xr:uid="{00000000-0005-0000-0000-0000BC460000}"/>
    <cellStyle name="Nota 3 5 3 3 2 5 2" xfId="8447" xr:uid="{00000000-0005-0000-0000-0000BD460000}"/>
    <cellStyle name="Nota 3 5 3 3 2 5 2 2" xfId="12415" xr:uid="{00000000-0005-0000-0000-0000BE460000}"/>
    <cellStyle name="Nota 3 5 3 3 2 5 2 3" xfId="21965" xr:uid="{00000000-0005-0000-0000-0000BF460000}"/>
    <cellStyle name="Nota 3 5 3 3 2 5 3" xfId="6739" xr:uid="{00000000-0005-0000-0000-0000C0460000}"/>
    <cellStyle name="Nota 3 5 3 3 2 5 3 2" xfId="20257" xr:uid="{00000000-0005-0000-0000-0000C1460000}"/>
    <cellStyle name="Nota 3 5 3 3 2 5 4" xfId="10128" xr:uid="{00000000-0005-0000-0000-0000C2460000}"/>
    <cellStyle name="Nota 3 5 3 3 2 5 5" xfId="13529" xr:uid="{00000000-0005-0000-0000-0000C3460000}"/>
    <cellStyle name="Nota 3 5 3 3 2 6" xfId="6971" xr:uid="{00000000-0005-0000-0000-0000C4460000}"/>
    <cellStyle name="Nota 3 5 3 3 2 6 2" xfId="8679" xr:uid="{00000000-0005-0000-0000-0000C5460000}"/>
    <cellStyle name="Nota 3 5 3 3 2 6 2 2" xfId="12647" xr:uid="{00000000-0005-0000-0000-0000C6460000}"/>
    <cellStyle name="Nota 3 5 3 3 2 6 2 3" xfId="22197" xr:uid="{00000000-0005-0000-0000-0000C7460000}"/>
    <cellStyle name="Nota 3 5 3 3 2 6 3" xfId="11105" xr:uid="{00000000-0005-0000-0000-0000C8460000}"/>
    <cellStyle name="Nota 3 5 3 3 2 6 4" xfId="20489" xr:uid="{00000000-0005-0000-0000-0000C9460000}"/>
    <cellStyle name="Nota 3 5 3 3 2 7" xfId="5959" xr:uid="{00000000-0005-0000-0000-0000CA460000}"/>
    <cellStyle name="Nota 3 5 3 3 2 7 2" xfId="10700" xr:uid="{00000000-0005-0000-0000-0000CB460000}"/>
    <cellStyle name="Nota 3 5 3 3 2 7 3" xfId="19477" xr:uid="{00000000-0005-0000-0000-0000CC460000}"/>
    <cellStyle name="Nota 3 5 3 3 2 8" xfId="7667" xr:uid="{00000000-0005-0000-0000-0000CD460000}"/>
    <cellStyle name="Nota 3 5 3 3 2 8 2" xfId="11688" xr:uid="{00000000-0005-0000-0000-0000CE460000}"/>
    <cellStyle name="Nota 3 5 3 3 2 8 3" xfId="21185" xr:uid="{00000000-0005-0000-0000-0000CF460000}"/>
    <cellStyle name="Nota 3 5 3 3 2 9" xfId="5150" xr:uid="{00000000-0005-0000-0000-0000D0460000}"/>
    <cellStyle name="Nota 3 5 3 3 2 9 2" xfId="12777" xr:uid="{00000000-0005-0000-0000-0000D1460000}"/>
    <cellStyle name="Nota 3 5 3 3 3" xfId="3136" xr:uid="{00000000-0005-0000-0000-0000D2460000}"/>
    <cellStyle name="Nota 3 5 3 3 3 10" xfId="9266" xr:uid="{00000000-0005-0000-0000-0000D3460000}"/>
    <cellStyle name="Nota 3 5 3 3 3 11" xfId="14431" xr:uid="{00000000-0005-0000-0000-0000D4460000}"/>
    <cellStyle name="Nota 3 5 3 3 3 2" xfId="3523" xr:uid="{00000000-0005-0000-0000-0000D5460000}"/>
    <cellStyle name="Nota 3 5 3 3 3 2 2" xfId="7371" xr:uid="{00000000-0005-0000-0000-0000D6460000}"/>
    <cellStyle name="Nota 3 5 3 3 3 2 2 2" xfId="11457" xr:uid="{00000000-0005-0000-0000-0000D7460000}"/>
    <cellStyle name="Nota 3 5 3 3 3 2 2 3" xfId="20889" xr:uid="{00000000-0005-0000-0000-0000D8460000}"/>
    <cellStyle name="Nota 3 5 3 3 3 2 3" xfId="5662" xr:uid="{00000000-0005-0000-0000-0000D9460000}"/>
    <cellStyle name="Nota 3 5 3 3 3 2 3 2" xfId="19180" xr:uid="{00000000-0005-0000-0000-0000DA460000}"/>
    <cellStyle name="Nota 3 5 3 3 3 2 4" xfId="9615" xr:uid="{00000000-0005-0000-0000-0000DB460000}"/>
    <cellStyle name="Nota 3 5 3 3 3 2 5" xfId="16850" xr:uid="{00000000-0005-0000-0000-0000DC460000}"/>
    <cellStyle name="Nota 3 5 3 3 3 3" xfId="3906" xr:uid="{00000000-0005-0000-0000-0000DD460000}"/>
    <cellStyle name="Nota 3 5 3 3 3 3 2" xfId="7831" xr:uid="{00000000-0005-0000-0000-0000DE460000}"/>
    <cellStyle name="Nota 3 5 3 3 3 3 2 2" xfId="11838" xr:uid="{00000000-0005-0000-0000-0000DF460000}"/>
    <cellStyle name="Nota 3 5 3 3 3 3 2 3" xfId="21349" xr:uid="{00000000-0005-0000-0000-0000E0460000}"/>
    <cellStyle name="Nota 3 5 3 3 3 3 3" xfId="6123" xr:uid="{00000000-0005-0000-0000-0000E1460000}"/>
    <cellStyle name="Nota 3 5 3 3 3 3 3 2" xfId="19641" xr:uid="{00000000-0005-0000-0000-0000E2460000}"/>
    <cellStyle name="Nota 3 5 3 3 3 3 4" xfId="9829" xr:uid="{00000000-0005-0000-0000-0000E3460000}"/>
    <cellStyle name="Nota 3 5 3 3 3 3 5" xfId="14082" xr:uid="{00000000-0005-0000-0000-0000E4460000}"/>
    <cellStyle name="Nota 3 5 3 3 3 4" xfId="4289" xr:uid="{00000000-0005-0000-0000-0000E5460000}"/>
    <cellStyle name="Nota 3 5 3 3 3 4 2" xfId="8192" xr:uid="{00000000-0005-0000-0000-0000E6460000}"/>
    <cellStyle name="Nota 3 5 3 3 3 4 2 2" xfId="12160" xr:uid="{00000000-0005-0000-0000-0000E7460000}"/>
    <cellStyle name="Nota 3 5 3 3 3 4 2 3" xfId="21710" xr:uid="{00000000-0005-0000-0000-0000E8460000}"/>
    <cellStyle name="Nota 3 5 3 3 3 4 3" xfId="6484" xr:uid="{00000000-0005-0000-0000-0000E9460000}"/>
    <cellStyle name="Nota 3 5 3 3 3 4 3 2" xfId="20002" xr:uid="{00000000-0005-0000-0000-0000EA460000}"/>
    <cellStyle name="Nota 3 5 3 3 3 4 4" xfId="10007" xr:uid="{00000000-0005-0000-0000-0000EB460000}"/>
    <cellStyle name="Nota 3 5 3 3 3 4 5" xfId="13716" xr:uid="{00000000-0005-0000-0000-0000EC460000}"/>
    <cellStyle name="Nota 3 5 3 3 3 5" xfId="4671" xr:uid="{00000000-0005-0000-0000-0000ED460000}"/>
    <cellStyle name="Nota 3 5 3 3 3 5 2" xfId="8424" xr:uid="{00000000-0005-0000-0000-0000EE460000}"/>
    <cellStyle name="Nota 3 5 3 3 3 5 2 2" xfId="12392" xr:uid="{00000000-0005-0000-0000-0000EF460000}"/>
    <cellStyle name="Nota 3 5 3 3 3 5 2 3" xfId="21942" xr:uid="{00000000-0005-0000-0000-0000F0460000}"/>
    <cellStyle name="Nota 3 5 3 3 3 5 3" xfId="6716" xr:uid="{00000000-0005-0000-0000-0000F1460000}"/>
    <cellStyle name="Nota 3 5 3 3 3 5 3 2" xfId="20234" xr:uid="{00000000-0005-0000-0000-0000F2460000}"/>
    <cellStyle name="Nota 3 5 3 3 3 5 4" xfId="10184" xr:uid="{00000000-0005-0000-0000-0000F3460000}"/>
    <cellStyle name="Nota 3 5 3 3 3 5 5" xfId="13334" xr:uid="{00000000-0005-0000-0000-0000F4460000}"/>
    <cellStyle name="Nota 3 5 3 3 3 6" xfId="6948" xr:uid="{00000000-0005-0000-0000-0000F5460000}"/>
    <cellStyle name="Nota 3 5 3 3 3 6 2" xfId="8656" xr:uid="{00000000-0005-0000-0000-0000F6460000}"/>
    <cellStyle name="Nota 3 5 3 3 3 6 2 2" xfId="12624" xr:uid="{00000000-0005-0000-0000-0000F7460000}"/>
    <cellStyle name="Nota 3 5 3 3 3 6 2 3" xfId="22174" xr:uid="{00000000-0005-0000-0000-0000F8460000}"/>
    <cellStyle name="Nota 3 5 3 3 3 6 3" xfId="11082" xr:uid="{00000000-0005-0000-0000-0000F9460000}"/>
    <cellStyle name="Nota 3 5 3 3 3 6 4" xfId="20466" xr:uid="{00000000-0005-0000-0000-0000FA460000}"/>
    <cellStyle name="Nota 3 5 3 3 3 7" xfId="5936" xr:uid="{00000000-0005-0000-0000-0000FB460000}"/>
    <cellStyle name="Nota 3 5 3 3 3 7 2" xfId="10677" xr:uid="{00000000-0005-0000-0000-0000FC460000}"/>
    <cellStyle name="Nota 3 5 3 3 3 7 3" xfId="19454" xr:uid="{00000000-0005-0000-0000-0000FD460000}"/>
    <cellStyle name="Nota 3 5 3 3 3 8" xfId="7644" xr:uid="{00000000-0005-0000-0000-0000FE460000}"/>
    <cellStyle name="Nota 3 5 3 3 3 8 2" xfId="11665" xr:uid="{00000000-0005-0000-0000-0000FF460000}"/>
    <cellStyle name="Nota 3 5 3 3 3 8 3" xfId="21162" xr:uid="{00000000-0005-0000-0000-000000470000}"/>
    <cellStyle name="Nota 3 5 3 3 3 9" xfId="5032" xr:uid="{00000000-0005-0000-0000-000001470000}"/>
    <cellStyle name="Nota 3 5 3 3 3 9 2" xfId="12987" xr:uid="{00000000-0005-0000-0000-000002470000}"/>
    <cellStyle name="Nota 3 5 3 3 4" xfId="3028" xr:uid="{00000000-0005-0000-0000-000003470000}"/>
    <cellStyle name="Nota 3 5 3 3 4 2" xfId="3415" xr:uid="{00000000-0005-0000-0000-000004470000}"/>
    <cellStyle name="Nota 3 5 3 3 4 2 2" xfId="15015" xr:uid="{00000000-0005-0000-0000-000005470000}"/>
    <cellStyle name="Nota 3 5 3 3 4 3" xfId="3798" xr:uid="{00000000-0005-0000-0000-000006470000}"/>
    <cellStyle name="Nota 3 5 3 3 4 3 2" xfId="16094" xr:uid="{00000000-0005-0000-0000-000007470000}"/>
    <cellStyle name="Nota 3 5 3 3 4 4" xfId="4181" xr:uid="{00000000-0005-0000-0000-000008470000}"/>
    <cellStyle name="Nota 3 5 3 3 4 4 2" xfId="13824" xr:uid="{00000000-0005-0000-0000-000009470000}"/>
    <cellStyle name="Nota 3 5 3 3 4 5" xfId="4563" xr:uid="{00000000-0005-0000-0000-00000A470000}"/>
    <cellStyle name="Nota 3 5 3 3 4 5 2" xfId="13442" xr:uid="{00000000-0005-0000-0000-00000B470000}"/>
    <cellStyle name="Nota 3 5 3 3 4 6" xfId="5755" xr:uid="{00000000-0005-0000-0000-00000C470000}"/>
    <cellStyle name="Nota 3 5 3 3 4 6 2" xfId="19273" xr:uid="{00000000-0005-0000-0000-00000D470000}"/>
    <cellStyle name="Nota 3 5 3 3 4 7" xfId="9170" xr:uid="{00000000-0005-0000-0000-00000E470000}"/>
    <cellStyle name="Nota 3 5 3 3 4 8" xfId="17995" xr:uid="{00000000-0005-0000-0000-00000F470000}"/>
    <cellStyle name="Nota 3 5 3 3 5" xfId="2844" xr:uid="{00000000-0005-0000-0000-000010470000}"/>
    <cellStyle name="Nota 3 5 3 3 5 2" xfId="7464" xr:uid="{00000000-0005-0000-0000-000011470000}"/>
    <cellStyle name="Nota 3 5 3 3 5 2 2" xfId="20982" xr:uid="{00000000-0005-0000-0000-000012470000}"/>
    <cellStyle name="Nota 3 5 3 3 5 3" xfId="8997" xr:uid="{00000000-0005-0000-0000-000013470000}"/>
    <cellStyle name="Nota 3 5 3 3 5 4" xfId="18795" xr:uid="{00000000-0005-0000-0000-000014470000}"/>
    <cellStyle name="Nota 3 5 3 3 6" xfId="8801" xr:uid="{00000000-0005-0000-0000-000015470000}"/>
    <cellStyle name="Nota 3 5 3 4" xfId="2956" xr:uid="{00000000-0005-0000-0000-000016470000}"/>
    <cellStyle name="Nota 3 5 3 4 10" xfId="9108" xr:uid="{00000000-0005-0000-0000-000017470000}"/>
    <cellStyle name="Nota 3 5 3 4 11" xfId="17853" xr:uid="{00000000-0005-0000-0000-000018470000}"/>
    <cellStyle name="Nota 3 5 3 4 2" xfId="3343" xr:uid="{00000000-0005-0000-0000-000019470000}"/>
    <cellStyle name="Nota 3 5 3 4 2 2" xfId="7924" xr:uid="{00000000-0005-0000-0000-00001A470000}"/>
    <cellStyle name="Nota 3 5 3 4 2 2 2" xfId="11900" xr:uid="{00000000-0005-0000-0000-00001B470000}"/>
    <cellStyle name="Nota 3 5 3 4 2 2 3" xfId="21442" xr:uid="{00000000-0005-0000-0000-00001C470000}"/>
    <cellStyle name="Nota 3 5 3 4 2 3" xfId="6216" xr:uid="{00000000-0005-0000-0000-00001D470000}"/>
    <cellStyle name="Nota 3 5 3 4 2 3 2" xfId="19734" xr:uid="{00000000-0005-0000-0000-00001E470000}"/>
    <cellStyle name="Nota 3 5 3 4 2 4" xfId="9473" xr:uid="{00000000-0005-0000-0000-00001F470000}"/>
    <cellStyle name="Nota 3 5 3 4 2 5" xfId="18419" xr:uid="{00000000-0005-0000-0000-000020470000}"/>
    <cellStyle name="Nota 3 5 3 4 3" xfId="3726" xr:uid="{00000000-0005-0000-0000-000021470000}"/>
    <cellStyle name="Nota 3 5 3 4 3 2" xfId="7092" xr:uid="{00000000-0005-0000-0000-000022470000}"/>
    <cellStyle name="Nota 3 5 3 4 3 2 2" xfId="11226" xr:uid="{00000000-0005-0000-0000-000023470000}"/>
    <cellStyle name="Nota 3 5 3 4 3 2 3" xfId="20610" xr:uid="{00000000-0005-0000-0000-000024470000}"/>
    <cellStyle name="Nota 3 5 3 4 3 3" xfId="5383" xr:uid="{00000000-0005-0000-0000-000025470000}"/>
    <cellStyle name="Nota 3 5 3 4 3 3 2" xfId="18901" xr:uid="{00000000-0005-0000-0000-000026470000}"/>
    <cellStyle name="Nota 3 5 3 4 3 4" xfId="9788" xr:uid="{00000000-0005-0000-0000-000027470000}"/>
    <cellStyle name="Nota 3 5 3 4 3 5" xfId="14461" xr:uid="{00000000-0005-0000-0000-000028470000}"/>
    <cellStyle name="Nota 3 5 3 4 4" xfId="4109" xr:uid="{00000000-0005-0000-0000-000029470000}"/>
    <cellStyle name="Nota 3 5 3 4 4 2" xfId="8231" xr:uid="{00000000-0005-0000-0000-00002A470000}"/>
    <cellStyle name="Nota 3 5 3 4 4 2 2" xfId="12199" xr:uid="{00000000-0005-0000-0000-00002B470000}"/>
    <cellStyle name="Nota 3 5 3 4 4 2 3" xfId="21749" xr:uid="{00000000-0005-0000-0000-00002C470000}"/>
    <cellStyle name="Nota 3 5 3 4 4 3" xfId="6523" xr:uid="{00000000-0005-0000-0000-00002D470000}"/>
    <cellStyle name="Nota 3 5 3 4 4 3 2" xfId="20041" xr:uid="{00000000-0005-0000-0000-00002E470000}"/>
    <cellStyle name="Nota 3 5 3 4 4 4" xfId="9966" xr:uid="{00000000-0005-0000-0000-00002F470000}"/>
    <cellStyle name="Nota 3 5 3 4 4 5" xfId="13885" xr:uid="{00000000-0005-0000-0000-000030470000}"/>
    <cellStyle name="Nota 3 5 3 4 5" xfId="4491" xr:uid="{00000000-0005-0000-0000-000031470000}"/>
    <cellStyle name="Nota 3 5 3 4 5 2" xfId="8463" xr:uid="{00000000-0005-0000-0000-000032470000}"/>
    <cellStyle name="Nota 3 5 3 4 5 2 2" xfId="12431" xr:uid="{00000000-0005-0000-0000-000033470000}"/>
    <cellStyle name="Nota 3 5 3 4 5 2 3" xfId="21981" xr:uid="{00000000-0005-0000-0000-000034470000}"/>
    <cellStyle name="Nota 3 5 3 4 5 3" xfId="6755" xr:uid="{00000000-0005-0000-0000-000035470000}"/>
    <cellStyle name="Nota 3 5 3 4 5 3 2" xfId="20273" xr:uid="{00000000-0005-0000-0000-000036470000}"/>
    <cellStyle name="Nota 3 5 3 4 5 4" xfId="10143" xr:uid="{00000000-0005-0000-0000-000037470000}"/>
    <cellStyle name="Nota 3 5 3 4 5 5" xfId="13514" xr:uid="{00000000-0005-0000-0000-000038470000}"/>
    <cellStyle name="Nota 3 5 3 4 6" xfId="6987" xr:uid="{00000000-0005-0000-0000-000039470000}"/>
    <cellStyle name="Nota 3 5 3 4 6 2" xfId="8695" xr:uid="{00000000-0005-0000-0000-00003A470000}"/>
    <cellStyle name="Nota 3 5 3 4 6 2 2" xfId="12663" xr:uid="{00000000-0005-0000-0000-00003B470000}"/>
    <cellStyle name="Nota 3 5 3 4 6 2 3" xfId="22213" xr:uid="{00000000-0005-0000-0000-00003C470000}"/>
    <cellStyle name="Nota 3 5 3 4 6 3" xfId="11121" xr:uid="{00000000-0005-0000-0000-00003D470000}"/>
    <cellStyle name="Nota 3 5 3 4 6 4" xfId="20505" xr:uid="{00000000-0005-0000-0000-00003E470000}"/>
    <cellStyle name="Nota 3 5 3 4 7" xfId="5975" xr:uid="{00000000-0005-0000-0000-00003F470000}"/>
    <cellStyle name="Nota 3 5 3 4 7 2" xfId="10716" xr:uid="{00000000-0005-0000-0000-000040470000}"/>
    <cellStyle name="Nota 3 5 3 4 7 3" xfId="19493" xr:uid="{00000000-0005-0000-0000-000041470000}"/>
    <cellStyle name="Nota 3 5 3 4 8" xfId="7683" xr:uid="{00000000-0005-0000-0000-000042470000}"/>
    <cellStyle name="Nota 3 5 3 4 8 2" xfId="11704" xr:uid="{00000000-0005-0000-0000-000043470000}"/>
    <cellStyle name="Nota 3 5 3 4 8 3" xfId="21201" xr:uid="{00000000-0005-0000-0000-000044470000}"/>
    <cellStyle name="Nota 3 5 3 4 9" xfId="5169" xr:uid="{00000000-0005-0000-0000-000045470000}"/>
    <cellStyle name="Nota 3 5 3 4 9 2" xfId="12913" xr:uid="{00000000-0005-0000-0000-000046470000}"/>
    <cellStyle name="Nota 3 5 3 5" xfId="3190" xr:uid="{00000000-0005-0000-0000-000047470000}"/>
    <cellStyle name="Nota 3 5 3 5 10" xfId="9320" xr:uid="{00000000-0005-0000-0000-000048470000}"/>
    <cellStyle name="Nota 3 5 3 5 11" xfId="18005" xr:uid="{00000000-0005-0000-0000-000049470000}"/>
    <cellStyle name="Nota 3 5 3 5 2" xfId="3577" xr:uid="{00000000-0005-0000-0000-00004A470000}"/>
    <cellStyle name="Nota 3 5 3 5 2 2" xfId="7359" xr:uid="{00000000-0005-0000-0000-00004B470000}"/>
    <cellStyle name="Nota 3 5 3 5 2 2 2" xfId="11445" xr:uid="{00000000-0005-0000-0000-00004C470000}"/>
    <cellStyle name="Nota 3 5 3 5 2 2 3" xfId="20877" xr:uid="{00000000-0005-0000-0000-00004D470000}"/>
    <cellStyle name="Nota 3 5 3 5 2 3" xfId="5650" xr:uid="{00000000-0005-0000-0000-00004E470000}"/>
    <cellStyle name="Nota 3 5 3 5 2 3 2" xfId="19168" xr:uid="{00000000-0005-0000-0000-00004F470000}"/>
    <cellStyle name="Nota 3 5 3 5 2 4" xfId="9669" xr:uid="{00000000-0005-0000-0000-000050470000}"/>
    <cellStyle name="Nota 3 5 3 5 2 5" xfId="16456" xr:uid="{00000000-0005-0000-0000-000051470000}"/>
    <cellStyle name="Nota 3 5 3 5 3" xfId="3960" xr:uid="{00000000-0005-0000-0000-000052470000}"/>
    <cellStyle name="Nota 3 5 3 5 3 2" xfId="8060" xr:uid="{00000000-0005-0000-0000-000053470000}"/>
    <cellStyle name="Nota 3 5 3 5 3 2 2" xfId="12030" xr:uid="{00000000-0005-0000-0000-000054470000}"/>
    <cellStyle name="Nota 3 5 3 5 3 2 3" xfId="21578" xr:uid="{00000000-0005-0000-0000-000055470000}"/>
    <cellStyle name="Nota 3 5 3 5 3 3" xfId="6352" xr:uid="{00000000-0005-0000-0000-000056470000}"/>
    <cellStyle name="Nota 3 5 3 5 3 3 2" xfId="19870" xr:uid="{00000000-0005-0000-0000-000057470000}"/>
    <cellStyle name="Nota 3 5 3 5 3 4" xfId="9883" xr:uid="{00000000-0005-0000-0000-000058470000}"/>
    <cellStyle name="Nota 3 5 3 5 3 5" xfId="14031" xr:uid="{00000000-0005-0000-0000-000059470000}"/>
    <cellStyle name="Nota 3 5 3 5 4" xfId="4343" xr:uid="{00000000-0005-0000-0000-00005A470000}"/>
    <cellStyle name="Nota 3 5 3 5 4 2" xfId="8150" xr:uid="{00000000-0005-0000-0000-00005B470000}"/>
    <cellStyle name="Nota 3 5 3 5 4 2 2" xfId="12118" xr:uid="{00000000-0005-0000-0000-00005C470000}"/>
    <cellStyle name="Nota 3 5 3 5 4 2 3" xfId="21668" xr:uid="{00000000-0005-0000-0000-00005D470000}"/>
    <cellStyle name="Nota 3 5 3 5 4 3" xfId="6442" xr:uid="{00000000-0005-0000-0000-00005E470000}"/>
    <cellStyle name="Nota 3 5 3 5 4 3 2" xfId="19960" xr:uid="{00000000-0005-0000-0000-00005F470000}"/>
    <cellStyle name="Nota 3 5 3 5 4 4" xfId="10061" xr:uid="{00000000-0005-0000-0000-000060470000}"/>
    <cellStyle name="Nota 3 5 3 5 4 5" xfId="13662" xr:uid="{00000000-0005-0000-0000-000061470000}"/>
    <cellStyle name="Nota 3 5 3 5 5" xfId="4725" xr:uid="{00000000-0005-0000-0000-000062470000}"/>
    <cellStyle name="Nota 3 5 3 5 5 2" xfId="8382" xr:uid="{00000000-0005-0000-0000-000063470000}"/>
    <cellStyle name="Nota 3 5 3 5 5 2 2" xfId="12350" xr:uid="{00000000-0005-0000-0000-000064470000}"/>
    <cellStyle name="Nota 3 5 3 5 5 2 3" xfId="21900" xr:uid="{00000000-0005-0000-0000-000065470000}"/>
    <cellStyle name="Nota 3 5 3 5 5 3" xfId="6674" xr:uid="{00000000-0005-0000-0000-000066470000}"/>
    <cellStyle name="Nota 3 5 3 5 5 3 2" xfId="20192" xr:uid="{00000000-0005-0000-0000-000067470000}"/>
    <cellStyle name="Nota 3 5 3 5 5 4" xfId="10238" xr:uid="{00000000-0005-0000-0000-000068470000}"/>
    <cellStyle name="Nota 3 5 3 5 5 5" xfId="13280" xr:uid="{00000000-0005-0000-0000-000069470000}"/>
    <cellStyle name="Nota 3 5 3 5 6" xfId="6906" xr:uid="{00000000-0005-0000-0000-00006A470000}"/>
    <cellStyle name="Nota 3 5 3 5 6 2" xfId="8614" xr:uid="{00000000-0005-0000-0000-00006B470000}"/>
    <cellStyle name="Nota 3 5 3 5 6 2 2" xfId="12582" xr:uid="{00000000-0005-0000-0000-00006C470000}"/>
    <cellStyle name="Nota 3 5 3 5 6 2 3" xfId="22132" xr:uid="{00000000-0005-0000-0000-00006D470000}"/>
    <cellStyle name="Nota 3 5 3 5 6 3" xfId="11040" xr:uid="{00000000-0005-0000-0000-00006E470000}"/>
    <cellStyle name="Nota 3 5 3 5 6 4" xfId="20424" xr:uid="{00000000-0005-0000-0000-00006F470000}"/>
    <cellStyle name="Nota 3 5 3 5 7" xfId="5894" xr:uid="{00000000-0005-0000-0000-000070470000}"/>
    <cellStyle name="Nota 3 5 3 5 7 2" xfId="10635" xr:uid="{00000000-0005-0000-0000-000071470000}"/>
    <cellStyle name="Nota 3 5 3 5 7 3" xfId="19412" xr:uid="{00000000-0005-0000-0000-000072470000}"/>
    <cellStyle name="Nota 3 5 3 5 8" xfId="7602" xr:uid="{00000000-0005-0000-0000-000073470000}"/>
    <cellStyle name="Nota 3 5 3 5 8 2" xfId="11623" xr:uid="{00000000-0005-0000-0000-000074470000}"/>
    <cellStyle name="Nota 3 5 3 5 8 3" xfId="21120" xr:uid="{00000000-0005-0000-0000-000075470000}"/>
    <cellStyle name="Nota 3 5 3 5 9" xfId="4989" xr:uid="{00000000-0005-0000-0000-000076470000}"/>
    <cellStyle name="Nota 3 5 3 5 9 2" xfId="13030" xr:uid="{00000000-0005-0000-0000-000077470000}"/>
    <cellStyle name="Nota 3 5 3 6" xfId="3017" xr:uid="{00000000-0005-0000-0000-000078470000}"/>
    <cellStyle name="Nota 3 5 3 6 2" xfId="3404" xr:uid="{00000000-0005-0000-0000-000079470000}"/>
    <cellStyle name="Nota 3 5 3 6 2 2" xfId="8029" xr:uid="{00000000-0005-0000-0000-00007A470000}"/>
    <cellStyle name="Nota 3 5 3 6 2 2 2" xfId="21547" xr:uid="{00000000-0005-0000-0000-00007B470000}"/>
    <cellStyle name="Nota 3 5 3 6 2 3" xfId="9523" xr:uid="{00000000-0005-0000-0000-00007C470000}"/>
    <cellStyle name="Nota 3 5 3 6 2 4" xfId="16696" xr:uid="{00000000-0005-0000-0000-00007D470000}"/>
    <cellStyle name="Nota 3 5 3 6 3" xfId="3787" xr:uid="{00000000-0005-0000-0000-00007E470000}"/>
    <cellStyle name="Nota 3 5 3 6 3 2" xfId="15783" xr:uid="{00000000-0005-0000-0000-00007F470000}"/>
    <cellStyle name="Nota 3 5 3 6 4" xfId="4170" xr:uid="{00000000-0005-0000-0000-000080470000}"/>
    <cellStyle name="Nota 3 5 3 6 4 2" xfId="13835" xr:uid="{00000000-0005-0000-0000-000081470000}"/>
    <cellStyle name="Nota 3 5 3 6 5" xfId="4552" xr:uid="{00000000-0005-0000-0000-000082470000}"/>
    <cellStyle name="Nota 3 5 3 6 5 2" xfId="13453" xr:uid="{00000000-0005-0000-0000-000083470000}"/>
    <cellStyle name="Nota 3 5 3 6 6" xfId="6321" xr:uid="{00000000-0005-0000-0000-000084470000}"/>
    <cellStyle name="Nota 3 5 3 6 6 2" xfId="19839" xr:uid="{00000000-0005-0000-0000-000085470000}"/>
    <cellStyle name="Nota 3 5 3 6 7" xfId="9160" xr:uid="{00000000-0005-0000-0000-000086470000}"/>
    <cellStyle name="Nota 3 5 3 6 8" xfId="17157" xr:uid="{00000000-0005-0000-0000-000087470000}"/>
    <cellStyle name="Nota 3 5 3 7" xfId="5454" xr:uid="{00000000-0005-0000-0000-000088470000}"/>
    <cellStyle name="Nota 3 5 3 7 2" xfId="7163" xr:uid="{00000000-0005-0000-0000-000089470000}"/>
    <cellStyle name="Nota 3 5 3 7 2 2" xfId="11293" xr:uid="{00000000-0005-0000-0000-00008A470000}"/>
    <cellStyle name="Nota 3 5 3 7 2 3" xfId="20681" xr:uid="{00000000-0005-0000-0000-00008B470000}"/>
    <cellStyle name="Nota 3 5 3 7 3" xfId="10467" xr:uid="{00000000-0005-0000-0000-00008C470000}"/>
    <cellStyle name="Nota 3 5 3 7 4" xfId="18972" xr:uid="{00000000-0005-0000-0000-00008D470000}"/>
    <cellStyle name="Nota 3 5 3 8" xfId="5327" xr:uid="{00000000-0005-0000-0000-00008E470000}"/>
    <cellStyle name="Nota 3 5 3 8 2" xfId="5090" xr:uid="{00000000-0005-0000-0000-00008F470000}"/>
    <cellStyle name="Nota 3 5 3 8 2 2" xfId="10339" xr:uid="{00000000-0005-0000-0000-000090470000}"/>
    <cellStyle name="Nota 3 5 3 8 2 3" xfId="12945" xr:uid="{00000000-0005-0000-0000-000091470000}"/>
    <cellStyle name="Nota 3 5 3 8 3" xfId="10424" xr:uid="{00000000-0005-0000-0000-000092470000}"/>
    <cellStyle name="Nota 3 5 3 8 4" xfId="18845" xr:uid="{00000000-0005-0000-0000-000093470000}"/>
    <cellStyle name="Nota 3 5 3 9" xfId="6351" xr:uid="{00000000-0005-0000-0000-000094470000}"/>
    <cellStyle name="Nota 3 5 3 9 2" xfId="8059" xr:uid="{00000000-0005-0000-0000-000095470000}"/>
    <cellStyle name="Nota 3 5 3 9 2 2" xfId="12029" xr:uid="{00000000-0005-0000-0000-000096470000}"/>
    <cellStyle name="Nota 3 5 3 9 2 3" xfId="21577" xr:uid="{00000000-0005-0000-0000-000097470000}"/>
    <cellStyle name="Nota 3 5 3 9 3" xfId="10883" xr:uid="{00000000-0005-0000-0000-000098470000}"/>
    <cellStyle name="Nota 3 5 3 9 4" xfId="19869" xr:uid="{00000000-0005-0000-0000-000099470000}"/>
    <cellStyle name="Nota 3 5 4" xfId="3101" xr:uid="{00000000-0005-0000-0000-00009A470000}"/>
    <cellStyle name="Nota 3 5 4 2" xfId="3488" xr:uid="{00000000-0005-0000-0000-00009B470000}"/>
    <cellStyle name="Nota 3 5 4 2 2" xfId="18215" xr:uid="{00000000-0005-0000-0000-00009C470000}"/>
    <cellStyle name="Nota 3 5 4 3" xfId="3871" xr:uid="{00000000-0005-0000-0000-00009D470000}"/>
    <cellStyle name="Nota 3 5 4 3 2" xfId="14194" xr:uid="{00000000-0005-0000-0000-00009E470000}"/>
    <cellStyle name="Nota 3 5 4 4" xfId="4254" xr:uid="{00000000-0005-0000-0000-00009F470000}"/>
    <cellStyle name="Nota 3 5 4 4 2" xfId="13751" xr:uid="{00000000-0005-0000-0000-0000A0470000}"/>
    <cellStyle name="Nota 3 5 4 5" xfId="4636" xr:uid="{00000000-0005-0000-0000-0000A1470000}"/>
    <cellStyle name="Nota 3 5 4 5 2" xfId="13369" xr:uid="{00000000-0005-0000-0000-0000A2470000}"/>
    <cellStyle name="Nota 3 5 4 6" xfId="16653" xr:uid="{00000000-0005-0000-0000-0000A3470000}"/>
    <cellStyle name="Nota 3 5 5" xfId="3031" xr:uid="{00000000-0005-0000-0000-0000A4470000}"/>
    <cellStyle name="Nota 3 5 5 2" xfId="3418" xr:uid="{00000000-0005-0000-0000-0000A5470000}"/>
    <cellStyle name="Nota 3 5 5 2 2" xfId="14739" xr:uid="{00000000-0005-0000-0000-0000A6470000}"/>
    <cellStyle name="Nota 3 5 5 3" xfId="3801" xr:uid="{00000000-0005-0000-0000-0000A7470000}"/>
    <cellStyle name="Nota 3 5 5 3 2" xfId="18760" xr:uid="{00000000-0005-0000-0000-0000A8470000}"/>
    <cellStyle name="Nota 3 5 5 4" xfId="4184" xr:uid="{00000000-0005-0000-0000-0000A9470000}"/>
    <cellStyle name="Nota 3 5 5 4 2" xfId="13821" xr:uid="{00000000-0005-0000-0000-0000AA470000}"/>
    <cellStyle name="Nota 3 5 5 5" xfId="4566" xr:uid="{00000000-0005-0000-0000-0000AB470000}"/>
    <cellStyle name="Nota 3 5 5 5 2" xfId="13439" xr:uid="{00000000-0005-0000-0000-0000AC470000}"/>
    <cellStyle name="Nota 3 5 5 6" xfId="17464" xr:uid="{00000000-0005-0000-0000-0000AD470000}"/>
    <cellStyle name="Nota 3 5 6" xfId="22398" xr:uid="{00000000-0005-0000-0000-0000AE470000}"/>
    <cellStyle name="Nota 3 5 7" xfId="2165" xr:uid="{00000000-0005-0000-0000-0000AF470000}"/>
    <cellStyle name="Nota 3 6" xfId="1553" xr:uid="{00000000-0005-0000-0000-0000B0470000}"/>
    <cellStyle name="Nota 3 6 10" xfId="5256" xr:uid="{00000000-0005-0000-0000-0000B1470000}"/>
    <cellStyle name="Nota 3 6 10 2" xfId="10396" xr:uid="{00000000-0005-0000-0000-0000B2470000}"/>
    <cellStyle name="Nota 3 6 10 3" xfId="12838" xr:uid="{00000000-0005-0000-0000-0000B3470000}"/>
    <cellStyle name="Nota 3 6 11" xfId="5784" xr:uid="{00000000-0005-0000-0000-0000B4470000}"/>
    <cellStyle name="Nota 3 6 11 2" xfId="10560" xr:uid="{00000000-0005-0000-0000-0000B5470000}"/>
    <cellStyle name="Nota 3 6 11 3" xfId="19302" xr:uid="{00000000-0005-0000-0000-0000B6470000}"/>
    <cellStyle name="Nota 3 6 12" xfId="4848" xr:uid="{00000000-0005-0000-0000-0000B7470000}"/>
    <cellStyle name="Nota 3 6 12 2" xfId="13158" xr:uid="{00000000-0005-0000-0000-0000B8470000}"/>
    <cellStyle name="Nota 3 6 13" xfId="22399" xr:uid="{00000000-0005-0000-0000-0000B9470000}"/>
    <cellStyle name="Nota 3 6 14" xfId="2180" xr:uid="{00000000-0005-0000-0000-0000BA470000}"/>
    <cellStyle name="Nota 3 6 2" xfId="2613" xr:uid="{00000000-0005-0000-0000-0000BB470000}"/>
    <cellStyle name="Nota 3 6 2 10" xfId="7478" xr:uid="{00000000-0005-0000-0000-0000BC470000}"/>
    <cellStyle name="Nota 3 6 2 10 2" xfId="11532" xr:uid="{00000000-0005-0000-0000-0000BD470000}"/>
    <cellStyle name="Nota 3 6 2 10 3" xfId="20996" xr:uid="{00000000-0005-0000-0000-0000BE470000}"/>
    <cellStyle name="Nota 3 6 2 11" xfId="4895" xr:uid="{00000000-0005-0000-0000-0000BF470000}"/>
    <cellStyle name="Nota 3 6 2 11 2" xfId="14121" xr:uid="{00000000-0005-0000-0000-0000C0470000}"/>
    <cellStyle name="Nota 3 6 2 12" xfId="8776" xr:uid="{00000000-0005-0000-0000-0000C1470000}"/>
    <cellStyle name="Nota 3 6 2 2" xfId="2719" xr:uid="{00000000-0005-0000-0000-0000C2470000}"/>
    <cellStyle name="Nota 3 6 2 2 2" xfId="2964" xr:uid="{00000000-0005-0000-0000-0000C3470000}"/>
    <cellStyle name="Nota 3 6 2 2 2 10" xfId="9116" xr:uid="{00000000-0005-0000-0000-0000C4470000}"/>
    <cellStyle name="Nota 3 6 2 2 2 11" xfId="15933" xr:uid="{00000000-0005-0000-0000-0000C5470000}"/>
    <cellStyle name="Nota 3 6 2 2 2 2" xfId="3351" xr:uid="{00000000-0005-0000-0000-0000C6470000}"/>
    <cellStyle name="Nota 3 6 2 2 2 2 2" xfId="7928" xr:uid="{00000000-0005-0000-0000-0000C7470000}"/>
    <cellStyle name="Nota 3 6 2 2 2 2 2 2" xfId="11904" xr:uid="{00000000-0005-0000-0000-0000C8470000}"/>
    <cellStyle name="Nota 3 6 2 2 2 2 2 3" xfId="21446" xr:uid="{00000000-0005-0000-0000-0000C9470000}"/>
    <cellStyle name="Nota 3 6 2 2 2 2 3" xfId="6220" xr:uid="{00000000-0005-0000-0000-0000CA470000}"/>
    <cellStyle name="Nota 3 6 2 2 2 2 3 2" xfId="19738" xr:uid="{00000000-0005-0000-0000-0000CB470000}"/>
    <cellStyle name="Nota 3 6 2 2 2 2 4" xfId="9481" xr:uid="{00000000-0005-0000-0000-0000CC470000}"/>
    <cellStyle name="Nota 3 6 2 2 2 2 5" xfId="14472" xr:uid="{00000000-0005-0000-0000-0000CD470000}"/>
    <cellStyle name="Nota 3 6 2 2 2 3" xfId="3734" xr:uid="{00000000-0005-0000-0000-0000CE470000}"/>
    <cellStyle name="Nota 3 6 2 2 2 3 2" xfId="5076" xr:uid="{00000000-0005-0000-0000-0000CF470000}"/>
    <cellStyle name="Nota 3 6 2 2 2 3 2 2" xfId="10327" xr:uid="{00000000-0005-0000-0000-0000D0470000}"/>
    <cellStyle name="Nota 3 6 2 2 2 3 2 3" xfId="14120" xr:uid="{00000000-0005-0000-0000-0000D1470000}"/>
    <cellStyle name="Nota 3 6 2 2 2 3 3" xfId="5291" xr:uid="{00000000-0005-0000-0000-0000D2470000}"/>
    <cellStyle name="Nota 3 6 2 2 2 3 3 2" xfId="18809" xr:uid="{00000000-0005-0000-0000-0000D3470000}"/>
    <cellStyle name="Nota 3 6 2 2 2 3 4" xfId="9796" xr:uid="{00000000-0005-0000-0000-0000D4470000}"/>
    <cellStyle name="Nota 3 6 2 2 2 3 5" xfId="14485" xr:uid="{00000000-0005-0000-0000-0000D5470000}"/>
    <cellStyle name="Nota 3 6 2 2 2 4" xfId="4117" xr:uid="{00000000-0005-0000-0000-0000D6470000}"/>
    <cellStyle name="Nota 3 6 2 2 2 4 2" xfId="8235" xr:uid="{00000000-0005-0000-0000-0000D7470000}"/>
    <cellStyle name="Nota 3 6 2 2 2 4 2 2" xfId="12203" xr:uid="{00000000-0005-0000-0000-0000D8470000}"/>
    <cellStyle name="Nota 3 6 2 2 2 4 2 3" xfId="21753" xr:uid="{00000000-0005-0000-0000-0000D9470000}"/>
    <cellStyle name="Nota 3 6 2 2 2 4 3" xfId="6527" xr:uid="{00000000-0005-0000-0000-0000DA470000}"/>
    <cellStyle name="Nota 3 6 2 2 2 4 3 2" xfId="20045" xr:uid="{00000000-0005-0000-0000-0000DB470000}"/>
    <cellStyle name="Nota 3 6 2 2 2 4 4" xfId="9974" xr:uid="{00000000-0005-0000-0000-0000DC470000}"/>
    <cellStyle name="Nota 3 6 2 2 2 4 5" xfId="14124" xr:uid="{00000000-0005-0000-0000-0000DD470000}"/>
    <cellStyle name="Nota 3 6 2 2 2 5" xfId="4499" xr:uid="{00000000-0005-0000-0000-0000DE470000}"/>
    <cellStyle name="Nota 3 6 2 2 2 5 2" xfId="8467" xr:uid="{00000000-0005-0000-0000-0000DF470000}"/>
    <cellStyle name="Nota 3 6 2 2 2 5 2 2" xfId="12435" xr:uid="{00000000-0005-0000-0000-0000E0470000}"/>
    <cellStyle name="Nota 3 6 2 2 2 5 2 3" xfId="21985" xr:uid="{00000000-0005-0000-0000-0000E1470000}"/>
    <cellStyle name="Nota 3 6 2 2 2 5 3" xfId="6759" xr:uid="{00000000-0005-0000-0000-0000E2470000}"/>
    <cellStyle name="Nota 3 6 2 2 2 5 3 2" xfId="20277" xr:uid="{00000000-0005-0000-0000-0000E3470000}"/>
    <cellStyle name="Nota 3 6 2 2 2 5 4" xfId="10151" xr:uid="{00000000-0005-0000-0000-0000E4470000}"/>
    <cellStyle name="Nota 3 6 2 2 2 5 5" xfId="13506" xr:uid="{00000000-0005-0000-0000-0000E5470000}"/>
    <cellStyle name="Nota 3 6 2 2 2 6" xfId="6991" xr:uid="{00000000-0005-0000-0000-0000E6470000}"/>
    <cellStyle name="Nota 3 6 2 2 2 6 2" xfId="8699" xr:uid="{00000000-0005-0000-0000-0000E7470000}"/>
    <cellStyle name="Nota 3 6 2 2 2 6 2 2" xfId="12667" xr:uid="{00000000-0005-0000-0000-0000E8470000}"/>
    <cellStyle name="Nota 3 6 2 2 2 6 2 3" xfId="22217" xr:uid="{00000000-0005-0000-0000-0000E9470000}"/>
    <cellStyle name="Nota 3 6 2 2 2 6 3" xfId="11125" xr:uid="{00000000-0005-0000-0000-0000EA470000}"/>
    <cellStyle name="Nota 3 6 2 2 2 6 4" xfId="20509" xr:uid="{00000000-0005-0000-0000-0000EB470000}"/>
    <cellStyle name="Nota 3 6 2 2 2 7" xfId="5979" xr:uid="{00000000-0005-0000-0000-0000EC470000}"/>
    <cellStyle name="Nota 3 6 2 2 2 7 2" xfId="10720" xr:uid="{00000000-0005-0000-0000-0000ED470000}"/>
    <cellStyle name="Nota 3 6 2 2 2 7 3" xfId="19497" xr:uid="{00000000-0005-0000-0000-0000EE470000}"/>
    <cellStyle name="Nota 3 6 2 2 2 8" xfId="7687" xr:uid="{00000000-0005-0000-0000-0000EF470000}"/>
    <cellStyle name="Nota 3 6 2 2 2 8 2" xfId="11708" xr:uid="{00000000-0005-0000-0000-0000F0470000}"/>
    <cellStyle name="Nota 3 6 2 2 2 8 3" xfId="21205" xr:uid="{00000000-0005-0000-0000-0000F1470000}"/>
    <cellStyle name="Nota 3 6 2 2 2 9" xfId="5173" xr:uid="{00000000-0005-0000-0000-0000F2470000}"/>
    <cellStyle name="Nota 3 6 2 2 2 9 2" xfId="12909" xr:uid="{00000000-0005-0000-0000-0000F3470000}"/>
    <cellStyle name="Nota 3 6 2 2 3" xfId="3209" xr:uid="{00000000-0005-0000-0000-0000F4470000}"/>
    <cellStyle name="Nota 3 6 2 2 3 10" xfId="9339" xr:uid="{00000000-0005-0000-0000-0000F5470000}"/>
    <cellStyle name="Nota 3 6 2 2 3 11" xfId="16698" xr:uid="{00000000-0005-0000-0000-0000F6470000}"/>
    <cellStyle name="Nota 3 6 2 2 3 2" xfId="3596" xr:uid="{00000000-0005-0000-0000-0000F7470000}"/>
    <cellStyle name="Nota 3 6 2 2 3 2 2" xfId="7957" xr:uid="{00000000-0005-0000-0000-0000F8470000}"/>
    <cellStyle name="Nota 3 6 2 2 3 2 2 2" xfId="11933" xr:uid="{00000000-0005-0000-0000-0000F9470000}"/>
    <cellStyle name="Nota 3 6 2 2 3 2 2 3" xfId="21475" xr:uid="{00000000-0005-0000-0000-0000FA470000}"/>
    <cellStyle name="Nota 3 6 2 2 3 2 3" xfId="6249" xr:uid="{00000000-0005-0000-0000-0000FB470000}"/>
    <cellStyle name="Nota 3 6 2 2 3 2 3 2" xfId="19767" xr:uid="{00000000-0005-0000-0000-0000FC470000}"/>
    <cellStyle name="Nota 3 6 2 2 3 2 4" xfId="9688" xr:uid="{00000000-0005-0000-0000-0000FD470000}"/>
    <cellStyle name="Nota 3 6 2 2 3 2 5" xfId="17714" xr:uid="{00000000-0005-0000-0000-0000FE470000}"/>
    <cellStyle name="Nota 3 6 2 2 3 3" xfId="3979" xr:uid="{00000000-0005-0000-0000-0000FF470000}"/>
    <cellStyle name="Nota 3 6 2 2 3 3 2" xfId="7777" xr:uid="{00000000-0005-0000-0000-000000480000}"/>
    <cellStyle name="Nota 3 6 2 2 3 3 2 2" xfId="11798" xr:uid="{00000000-0005-0000-0000-000001480000}"/>
    <cellStyle name="Nota 3 6 2 2 3 3 2 3" xfId="21295" xr:uid="{00000000-0005-0000-0000-000002480000}"/>
    <cellStyle name="Nota 3 6 2 2 3 3 3" xfId="6069" xr:uid="{00000000-0005-0000-0000-000003480000}"/>
    <cellStyle name="Nota 3 6 2 2 3 3 3 2" xfId="19587" xr:uid="{00000000-0005-0000-0000-000004480000}"/>
    <cellStyle name="Nota 3 6 2 2 3 3 4" xfId="9898" xr:uid="{00000000-0005-0000-0000-000005480000}"/>
    <cellStyle name="Nota 3 6 2 2 3 3 5" xfId="14012" xr:uid="{00000000-0005-0000-0000-000006480000}"/>
    <cellStyle name="Nota 3 6 2 2 3 4" xfId="4362" xr:uid="{00000000-0005-0000-0000-000007480000}"/>
    <cellStyle name="Nota 3 6 2 2 3 4 2" xfId="8264" xr:uid="{00000000-0005-0000-0000-000008480000}"/>
    <cellStyle name="Nota 3 6 2 2 3 4 2 2" xfId="12232" xr:uid="{00000000-0005-0000-0000-000009480000}"/>
    <cellStyle name="Nota 3 6 2 2 3 4 2 3" xfId="21782" xr:uid="{00000000-0005-0000-0000-00000A480000}"/>
    <cellStyle name="Nota 3 6 2 2 3 4 3" xfId="6556" xr:uid="{00000000-0005-0000-0000-00000B480000}"/>
    <cellStyle name="Nota 3 6 2 2 3 4 3 2" xfId="20074" xr:uid="{00000000-0005-0000-0000-00000C480000}"/>
    <cellStyle name="Nota 3 6 2 2 3 4 4" xfId="10076" xr:uid="{00000000-0005-0000-0000-00000D480000}"/>
    <cellStyle name="Nota 3 6 2 2 3 4 5" xfId="13643" xr:uid="{00000000-0005-0000-0000-00000E480000}"/>
    <cellStyle name="Nota 3 6 2 2 3 5" xfId="4744" xr:uid="{00000000-0005-0000-0000-00000F480000}"/>
    <cellStyle name="Nota 3 6 2 2 3 5 2" xfId="8496" xr:uid="{00000000-0005-0000-0000-000010480000}"/>
    <cellStyle name="Nota 3 6 2 2 3 5 2 2" xfId="12464" xr:uid="{00000000-0005-0000-0000-000011480000}"/>
    <cellStyle name="Nota 3 6 2 2 3 5 2 3" xfId="22014" xr:uid="{00000000-0005-0000-0000-000012480000}"/>
    <cellStyle name="Nota 3 6 2 2 3 5 3" xfId="6788" xr:uid="{00000000-0005-0000-0000-000013480000}"/>
    <cellStyle name="Nota 3 6 2 2 3 5 3 2" xfId="20306" xr:uid="{00000000-0005-0000-0000-000014480000}"/>
    <cellStyle name="Nota 3 6 2 2 3 5 4" xfId="10253" xr:uid="{00000000-0005-0000-0000-000015480000}"/>
    <cellStyle name="Nota 3 6 2 2 3 5 5" xfId="13261" xr:uid="{00000000-0005-0000-0000-000016480000}"/>
    <cellStyle name="Nota 3 6 2 2 3 6" xfId="7020" xr:uid="{00000000-0005-0000-0000-000017480000}"/>
    <cellStyle name="Nota 3 6 2 2 3 6 2" xfId="8728" xr:uid="{00000000-0005-0000-0000-000018480000}"/>
    <cellStyle name="Nota 3 6 2 2 3 6 2 2" xfId="12696" xr:uid="{00000000-0005-0000-0000-000019480000}"/>
    <cellStyle name="Nota 3 6 2 2 3 6 2 3" xfId="22246" xr:uid="{00000000-0005-0000-0000-00001A480000}"/>
    <cellStyle name="Nota 3 6 2 2 3 6 3" xfId="11154" xr:uid="{00000000-0005-0000-0000-00001B480000}"/>
    <cellStyle name="Nota 3 6 2 2 3 6 4" xfId="20538" xr:uid="{00000000-0005-0000-0000-00001C480000}"/>
    <cellStyle name="Nota 3 6 2 2 3 7" xfId="6008" xr:uid="{00000000-0005-0000-0000-00001D480000}"/>
    <cellStyle name="Nota 3 6 2 2 3 7 2" xfId="10749" xr:uid="{00000000-0005-0000-0000-00001E480000}"/>
    <cellStyle name="Nota 3 6 2 2 3 7 3" xfId="19526" xr:uid="{00000000-0005-0000-0000-00001F480000}"/>
    <cellStyle name="Nota 3 6 2 2 3 8" xfId="7716" xr:uid="{00000000-0005-0000-0000-000020480000}"/>
    <cellStyle name="Nota 3 6 2 2 3 8 2" xfId="11737" xr:uid="{00000000-0005-0000-0000-000021480000}"/>
    <cellStyle name="Nota 3 6 2 2 3 8 3" xfId="21234" xr:uid="{00000000-0005-0000-0000-000022480000}"/>
    <cellStyle name="Nota 3 6 2 2 3 9" xfId="5202" xr:uid="{00000000-0005-0000-0000-000023480000}"/>
    <cellStyle name="Nota 3 6 2 2 3 9 2" xfId="12880" xr:uid="{00000000-0005-0000-0000-000024480000}"/>
    <cellStyle name="Nota 3 6 2 2 4" xfId="3266" xr:uid="{00000000-0005-0000-0000-000025480000}"/>
    <cellStyle name="Nota 3 6 2 2 4 2" xfId="3653" xr:uid="{00000000-0005-0000-0000-000026480000}"/>
    <cellStyle name="Nota 3 6 2 2 4 2 2" xfId="16100" xr:uid="{00000000-0005-0000-0000-000027480000}"/>
    <cellStyle name="Nota 3 6 2 2 4 3" xfId="4036" xr:uid="{00000000-0005-0000-0000-000028480000}"/>
    <cellStyle name="Nota 3 6 2 2 4 3 2" xfId="13955" xr:uid="{00000000-0005-0000-0000-000029480000}"/>
    <cellStyle name="Nota 3 6 2 2 4 4" xfId="4419" xr:uid="{00000000-0005-0000-0000-00002A480000}"/>
    <cellStyle name="Nota 3 6 2 2 4 4 2" xfId="13586" xr:uid="{00000000-0005-0000-0000-00002B480000}"/>
    <cellStyle name="Nota 3 6 2 2 4 5" xfId="4801" xr:uid="{00000000-0005-0000-0000-00002C480000}"/>
    <cellStyle name="Nota 3 6 2 2 4 5 2" xfId="13205" xr:uid="{00000000-0005-0000-0000-00002D480000}"/>
    <cellStyle name="Nota 3 6 2 2 4 6" xfId="5787" xr:uid="{00000000-0005-0000-0000-00002E480000}"/>
    <cellStyle name="Nota 3 6 2 2 4 6 2" xfId="19305" xr:uid="{00000000-0005-0000-0000-00002F480000}"/>
    <cellStyle name="Nota 3 6 2 2 4 7" xfId="9396" xr:uid="{00000000-0005-0000-0000-000030480000}"/>
    <cellStyle name="Nota 3 6 2 2 4 8" xfId="15646" xr:uid="{00000000-0005-0000-0000-000031480000}"/>
    <cellStyle name="Nota 3 6 2 2 5" xfId="2884" xr:uid="{00000000-0005-0000-0000-000032480000}"/>
    <cellStyle name="Nota 3 6 2 2 5 2" xfId="7495" xr:uid="{00000000-0005-0000-0000-000033480000}"/>
    <cellStyle name="Nota 3 6 2 2 5 2 2" xfId="21013" xr:uid="{00000000-0005-0000-0000-000034480000}"/>
    <cellStyle name="Nota 3 6 2 2 5 3" xfId="9036" xr:uid="{00000000-0005-0000-0000-000035480000}"/>
    <cellStyle name="Nota 3 6 2 2 5 4" xfId="14142" xr:uid="{00000000-0005-0000-0000-000036480000}"/>
    <cellStyle name="Nota 3 6 2 2 6" xfId="8874" xr:uid="{00000000-0005-0000-0000-000037480000}"/>
    <cellStyle name="Nota 3 6 2 3" xfId="2702" xr:uid="{00000000-0005-0000-0000-000038480000}"/>
    <cellStyle name="Nota 3 6 2 3 2" xfId="2758" xr:uid="{00000000-0005-0000-0000-000039480000}"/>
    <cellStyle name="Nota 3 6 2 3 2 2" xfId="2981" xr:uid="{00000000-0005-0000-0000-00003A480000}"/>
    <cellStyle name="Nota 3 6 2 3 2 2 10" xfId="9133" xr:uid="{00000000-0005-0000-0000-00003B480000}"/>
    <cellStyle name="Nota 3 6 2 3 2 2 11" xfId="14600" xr:uid="{00000000-0005-0000-0000-00003C480000}"/>
    <cellStyle name="Nota 3 6 2 3 2 2 2" xfId="3368" xr:uid="{00000000-0005-0000-0000-00003D480000}"/>
    <cellStyle name="Nota 3 6 2 3 2 2 2 2" xfId="7946" xr:uid="{00000000-0005-0000-0000-00003E480000}"/>
    <cellStyle name="Nota 3 6 2 3 2 2 2 2 2" xfId="11922" xr:uid="{00000000-0005-0000-0000-00003F480000}"/>
    <cellStyle name="Nota 3 6 2 3 2 2 2 2 3" xfId="21464" xr:uid="{00000000-0005-0000-0000-000040480000}"/>
    <cellStyle name="Nota 3 6 2 3 2 2 2 3" xfId="6238" xr:uid="{00000000-0005-0000-0000-000041480000}"/>
    <cellStyle name="Nota 3 6 2 3 2 2 2 3 2" xfId="19756" xr:uid="{00000000-0005-0000-0000-000042480000}"/>
    <cellStyle name="Nota 3 6 2 3 2 2 2 4" xfId="9498" xr:uid="{00000000-0005-0000-0000-000043480000}"/>
    <cellStyle name="Nota 3 6 2 3 2 2 2 5" xfId="15103" xr:uid="{00000000-0005-0000-0000-000044480000}"/>
    <cellStyle name="Nota 3 6 2 3 2 2 3" xfId="3751" xr:uid="{00000000-0005-0000-0000-000045480000}"/>
    <cellStyle name="Nota 3 6 2 3 2 2 3 2" xfId="7781" xr:uid="{00000000-0005-0000-0000-000046480000}"/>
    <cellStyle name="Nota 3 6 2 3 2 2 3 2 2" xfId="11801" xr:uid="{00000000-0005-0000-0000-000047480000}"/>
    <cellStyle name="Nota 3 6 2 3 2 2 3 2 3" xfId="21299" xr:uid="{00000000-0005-0000-0000-000048480000}"/>
    <cellStyle name="Nota 3 6 2 3 2 2 3 3" xfId="6073" xr:uid="{00000000-0005-0000-0000-000049480000}"/>
    <cellStyle name="Nota 3 6 2 3 2 2 3 3 2" xfId="19591" xr:uid="{00000000-0005-0000-0000-00004A480000}"/>
    <cellStyle name="Nota 3 6 2 3 2 2 3 4" xfId="9813" xr:uid="{00000000-0005-0000-0000-00004B480000}"/>
    <cellStyle name="Nota 3 6 2 3 2 2 3 5" xfId="14867" xr:uid="{00000000-0005-0000-0000-00004C480000}"/>
    <cellStyle name="Nota 3 6 2 3 2 2 4" xfId="4134" xr:uid="{00000000-0005-0000-0000-00004D480000}"/>
    <cellStyle name="Nota 3 6 2 3 2 2 4 2" xfId="8253" xr:uid="{00000000-0005-0000-0000-00004E480000}"/>
    <cellStyle name="Nota 3 6 2 3 2 2 4 2 2" xfId="12221" xr:uid="{00000000-0005-0000-0000-00004F480000}"/>
    <cellStyle name="Nota 3 6 2 3 2 2 4 2 3" xfId="21771" xr:uid="{00000000-0005-0000-0000-000050480000}"/>
    <cellStyle name="Nota 3 6 2 3 2 2 4 3" xfId="6545" xr:uid="{00000000-0005-0000-0000-000051480000}"/>
    <cellStyle name="Nota 3 6 2 3 2 2 4 3 2" xfId="20063" xr:uid="{00000000-0005-0000-0000-000052480000}"/>
    <cellStyle name="Nota 3 6 2 3 2 2 4 4" xfId="9991" xr:uid="{00000000-0005-0000-0000-000053480000}"/>
    <cellStyle name="Nota 3 6 2 3 2 2 4 5" xfId="13863" xr:uid="{00000000-0005-0000-0000-000054480000}"/>
    <cellStyle name="Nota 3 6 2 3 2 2 5" xfId="4516" xr:uid="{00000000-0005-0000-0000-000055480000}"/>
    <cellStyle name="Nota 3 6 2 3 2 2 5 2" xfId="8485" xr:uid="{00000000-0005-0000-0000-000056480000}"/>
    <cellStyle name="Nota 3 6 2 3 2 2 5 2 2" xfId="12453" xr:uid="{00000000-0005-0000-0000-000057480000}"/>
    <cellStyle name="Nota 3 6 2 3 2 2 5 2 3" xfId="22003" xr:uid="{00000000-0005-0000-0000-000058480000}"/>
    <cellStyle name="Nota 3 6 2 3 2 2 5 3" xfId="6777" xr:uid="{00000000-0005-0000-0000-000059480000}"/>
    <cellStyle name="Nota 3 6 2 3 2 2 5 3 2" xfId="20295" xr:uid="{00000000-0005-0000-0000-00005A480000}"/>
    <cellStyle name="Nota 3 6 2 3 2 2 5 4" xfId="10168" xr:uid="{00000000-0005-0000-0000-00005B480000}"/>
    <cellStyle name="Nota 3 6 2 3 2 2 5 5" xfId="13489" xr:uid="{00000000-0005-0000-0000-00005C480000}"/>
    <cellStyle name="Nota 3 6 2 3 2 2 6" xfId="7009" xr:uid="{00000000-0005-0000-0000-00005D480000}"/>
    <cellStyle name="Nota 3 6 2 3 2 2 6 2" xfId="8717" xr:uid="{00000000-0005-0000-0000-00005E480000}"/>
    <cellStyle name="Nota 3 6 2 3 2 2 6 2 2" xfId="12685" xr:uid="{00000000-0005-0000-0000-00005F480000}"/>
    <cellStyle name="Nota 3 6 2 3 2 2 6 2 3" xfId="22235" xr:uid="{00000000-0005-0000-0000-000060480000}"/>
    <cellStyle name="Nota 3 6 2 3 2 2 6 3" xfId="11143" xr:uid="{00000000-0005-0000-0000-000061480000}"/>
    <cellStyle name="Nota 3 6 2 3 2 2 6 4" xfId="20527" xr:uid="{00000000-0005-0000-0000-000062480000}"/>
    <cellStyle name="Nota 3 6 2 3 2 2 7" xfId="5997" xr:uid="{00000000-0005-0000-0000-000063480000}"/>
    <cellStyle name="Nota 3 6 2 3 2 2 7 2" xfId="10738" xr:uid="{00000000-0005-0000-0000-000064480000}"/>
    <cellStyle name="Nota 3 6 2 3 2 2 7 3" xfId="19515" xr:uid="{00000000-0005-0000-0000-000065480000}"/>
    <cellStyle name="Nota 3 6 2 3 2 2 8" xfId="7705" xr:uid="{00000000-0005-0000-0000-000066480000}"/>
    <cellStyle name="Nota 3 6 2 3 2 2 8 2" xfId="11726" xr:uid="{00000000-0005-0000-0000-000067480000}"/>
    <cellStyle name="Nota 3 6 2 3 2 2 8 3" xfId="21223" xr:uid="{00000000-0005-0000-0000-000068480000}"/>
    <cellStyle name="Nota 3 6 2 3 2 2 9" xfId="5191" xr:uid="{00000000-0005-0000-0000-000069480000}"/>
    <cellStyle name="Nota 3 6 2 3 2 2 9 2" xfId="12891" xr:uid="{00000000-0005-0000-0000-00006A480000}"/>
    <cellStyle name="Nota 3 6 2 3 2 3" xfId="3248" xr:uid="{00000000-0005-0000-0000-00006B480000}"/>
    <cellStyle name="Nota 3 6 2 3 2 3 10" xfId="9378" xr:uid="{00000000-0005-0000-0000-00006C480000}"/>
    <cellStyle name="Nota 3 6 2 3 2 3 11" xfId="18672" xr:uid="{00000000-0005-0000-0000-00006D480000}"/>
    <cellStyle name="Nota 3 6 2 3 2 3 2" xfId="3635" xr:uid="{00000000-0005-0000-0000-00006E480000}"/>
    <cellStyle name="Nota 3 6 2 3 2 3 2 2" xfId="7996" xr:uid="{00000000-0005-0000-0000-00006F480000}"/>
    <cellStyle name="Nota 3 6 2 3 2 3 2 2 2" xfId="11972" xr:uid="{00000000-0005-0000-0000-000070480000}"/>
    <cellStyle name="Nota 3 6 2 3 2 3 2 2 3" xfId="21514" xr:uid="{00000000-0005-0000-0000-000071480000}"/>
    <cellStyle name="Nota 3 6 2 3 2 3 2 3" xfId="6288" xr:uid="{00000000-0005-0000-0000-000072480000}"/>
    <cellStyle name="Nota 3 6 2 3 2 3 2 3 2" xfId="19806" xr:uid="{00000000-0005-0000-0000-000073480000}"/>
    <cellStyle name="Nota 3 6 2 3 2 3 2 4" xfId="9727" xr:uid="{00000000-0005-0000-0000-000074480000}"/>
    <cellStyle name="Nota 3 6 2 3 2 3 2 5" xfId="15296" xr:uid="{00000000-0005-0000-0000-000075480000}"/>
    <cellStyle name="Nota 3 6 2 3 2 3 3" xfId="4018" xr:uid="{00000000-0005-0000-0000-000076480000}"/>
    <cellStyle name="Nota 3 6 2 3 2 3 3 2" xfId="7069" xr:uid="{00000000-0005-0000-0000-000077480000}"/>
    <cellStyle name="Nota 3 6 2 3 2 3 3 2 2" xfId="11203" xr:uid="{00000000-0005-0000-0000-000078480000}"/>
    <cellStyle name="Nota 3 6 2 3 2 3 3 2 3" xfId="20587" xr:uid="{00000000-0005-0000-0000-000079480000}"/>
    <cellStyle name="Nota 3 6 2 3 2 3 3 3" xfId="5360" xr:uid="{00000000-0005-0000-0000-00007A480000}"/>
    <cellStyle name="Nota 3 6 2 3 2 3 3 3 2" xfId="18878" xr:uid="{00000000-0005-0000-0000-00007B480000}"/>
    <cellStyle name="Nota 3 6 2 3 2 3 3 4" xfId="9937" xr:uid="{00000000-0005-0000-0000-00007C480000}"/>
    <cellStyle name="Nota 3 6 2 3 2 3 3 5" xfId="13973" xr:uid="{00000000-0005-0000-0000-00007D480000}"/>
    <cellStyle name="Nota 3 6 2 3 2 3 4" xfId="4401" xr:uid="{00000000-0005-0000-0000-00007E480000}"/>
    <cellStyle name="Nota 3 6 2 3 2 3 4 2" xfId="8303" xr:uid="{00000000-0005-0000-0000-00007F480000}"/>
    <cellStyle name="Nota 3 6 2 3 2 3 4 2 2" xfId="12271" xr:uid="{00000000-0005-0000-0000-000080480000}"/>
    <cellStyle name="Nota 3 6 2 3 2 3 4 2 3" xfId="21821" xr:uid="{00000000-0005-0000-0000-000081480000}"/>
    <cellStyle name="Nota 3 6 2 3 2 3 4 3" xfId="6595" xr:uid="{00000000-0005-0000-0000-000082480000}"/>
    <cellStyle name="Nota 3 6 2 3 2 3 4 3 2" xfId="20113" xr:uid="{00000000-0005-0000-0000-000083480000}"/>
    <cellStyle name="Nota 3 6 2 3 2 3 4 4" xfId="10115" xr:uid="{00000000-0005-0000-0000-000084480000}"/>
    <cellStyle name="Nota 3 6 2 3 2 3 4 5" xfId="13604" xr:uid="{00000000-0005-0000-0000-000085480000}"/>
    <cellStyle name="Nota 3 6 2 3 2 3 5" xfId="4783" xr:uid="{00000000-0005-0000-0000-000086480000}"/>
    <cellStyle name="Nota 3 6 2 3 2 3 5 2" xfId="8535" xr:uid="{00000000-0005-0000-0000-000087480000}"/>
    <cellStyle name="Nota 3 6 2 3 2 3 5 2 2" xfId="12503" xr:uid="{00000000-0005-0000-0000-000088480000}"/>
    <cellStyle name="Nota 3 6 2 3 2 3 5 2 3" xfId="22053" xr:uid="{00000000-0005-0000-0000-000089480000}"/>
    <cellStyle name="Nota 3 6 2 3 2 3 5 3" xfId="6827" xr:uid="{00000000-0005-0000-0000-00008A480000}"/>
    <cellStyle name="Nota 3 6 2 3 2 3 5 3 2" xfId="20345" xr:uid="{00000000-0005-0000-0000-00008B480000}"/>
    <cellStyle name="Nota 3 6 2 3 2 3 5 4" xfId="10292" xr:uid="{00000000-0005-0000-0000-00008C480000}"/>
    <cellStyle name="Nota 3 6 2 3 2 3 5 5" xfId="13222" xr:uid="{00000000-0005-0000-0000-00008D480000}"/>
    <cellStyle name="Nota 3 6 2 3 2 3 6" xfId="7059" xr:uid="{00000000-0005-0000-0000-00008E480000}"/>
    <cellStyle name="Nota 3 6 2 3 2 3 6 2" xfId="8767" xr:uid="{00000000-0005-0000-0000-00008F480000}"/>
    <cellStyle name="Nota 3 6 2 3 2 3 6 2 2" xfId="12735" xr:uid="{00000000-0005-0000-0000-000090480000}"/>
    <cellStyle name="Nota 3 6 2 3 2 3 6 2 3" xfId="22285" xr:uid="{00000000-0005-0000-0000-000091480000}"/>
    <cellStyle name="Nota 3 6 2 3 2 3 6 3" xfId="11193" xr:uid="{00000000-0005-0000-0000-000092480000}"/>
    <cellStyle name="Nota 3 6 2 3 2 3 6 4" xfId="20577" xr:uid="{00000000-0005-0000-0000-000093480000}"/>
    <cellStyle name="Nota 3 6 2 3 2 3 7" xfId="6047" xr:uid="{00000000-0005-0000-0000-000094480000}"/>
    <cellStyle name="Nota 3 6 2 3 2 3 7 2" xfId="10788" xr:uid="{00000000-0005-0000-0000-000095480000}"/>
    <cellStyle name="Nota 3 6 2 3 2 3 7 3" xfId="19565" xr:uid="{00000000-0005-0000-0000-000096480000}"/>
    <cellStyle name="Nota 3 6 2 3 2 3 8" xfId="7755" xr:uid="{00000000-0005-0000-0000-000097480000}"/>
    <cellStyle name="Nota 3 6 2 3 2 3 8 2" xfId="11776" xr:uid="{00000000-0005-0000-0000-000098480000}"/>
    <cellStyle name="Nota 3 6 2 3 2 3 8 3" xfId="21273" xr:uid="{00000000-0005-0000-0000-000099480000}"/>
    <cellStyle name="Nota 3 6 2 3 2 3 9" xfId="5241" xr:uid="{00000000-0005-0000-0000-00009A480000}"/>
    <cellStyle name="Nota 3 6 2 3 2 3 9 2" xfId="12853" xr:uid="{00000000-0005-0000-0000-00009B480000}"/>
    <cellStyle name="Nota 3 6 2 3 2 4" xfId="3305" xr:uid="{00000000-0005-0000-0000-00009C480000}"/>
    <cellStyle name="Nota 3 6 2 3 2 4 2" xfId="3692" xr:uid="{00000000-0005-0000-0000-00009D480000}"/>
    <cellStyle name="Nota 3 6 2 3 2 4 2 2" xfId="16162" xr:uid="{00000000-0005-0000-0000-00009E480000}"/>
    <cellStyle name="Nota 3 6 2 3 2 4 3" xfId="4075" xr:uid="{00000000-0005-0000-0000-00009F480000}"/>
    <cellStyle name="Nota 3 6 2 3 2 4 3 2" xfId="14125" xr:uid="{00000000-0005-0000-0000-0000A0480000}"/>
    <cellStyle name="Nota 3 6 2 3 2 4 4" xfId="4458" xr:uid="{00000000-0005-0000-0000-0000A1480000}"/>
    <cellStyle name="Nota 3 6 2 3 2 4 4 2" xfId="13547" xr:uid="{00000000-0005-0000-0000-0000A2480000}"/>
    <cellStyle name="Nota 3 6 2 3 2 4 5" xfId="4840" xr:uid="{00000000-0005-0000-0000-0000A3480000}"/>
    <cellStyle name="Nota 3 6 2 3 2 4 5 2" xfId="13166" xr:uid="{00000000-0005-0000-0000-0000A4480000}"/>
    <cellStyle name="Nota 3 6 2 3 2 4 6" xfId="5860" xr:uid="{00000000-0005-0000-0000-0000A5480000}"/>
    <cellStyle name="Nota 3 6 2 3 2 4 6 2" xfId="19378" xr:uid="{00000000-0005-0000-0000-0000A6480000}"/>
    <cellStyle name="Nota 3 6 2 3 2 4 7" xfId="9435" xr:uid="{00000000-0005-0000-0000-0000A7480000}"/>
    <cellStyle name="Nota 3 6 2 3 2 4 8" xfId="14731" xr:uid="{00000000-0005-0000-0000-0000A8480000}"/>
    <cellStyle name="Nota 3 6 2 3 2 5" xfId="2923" xr:uid="{00000000-0005-0000-0000-0000A9480000}"/>
    <cellStyle name="Nota 3 6 2 3 2 5 2" xfId="7568" xr:uid="{00000000-0005-0000-0000-0000AA480000}"/>
    <cellStyle name="Nota 3 6 2 3 2 5 2 2" xfId="21086" xr:uid="{00000000-0005-0000-0000-0000AB480000}"/>
    <cellStyle name="Nota 3 6 2 3 2 5 3" xfId="9075" xr:uid="{00000000-0005-0000-0000-0000AC480000}"/>
    <cellStyle name="Nota 3 6 2 3 2 5 4" xfId="18696" xr:uid="{00000000-0005-0000-0000-0000AD480000}"/>
    <cellStyle name="Nota 3 6 2 3 2 6" xfId="8913" xr:uid="{00000000-0005-0000-0000-0000AE480000}"/>
    <cellStyle name="Nota 3 6 2 3 3" xfId="2957" xr:uid="{00000000-0005-0000-0000-0000AF480000}"/>
    <cellStyle name="Nota 3 6 2 3 3 10" xfId="9109" xr:uid="{00000000-0005-0000-0000-0000B0480000}"/>
    <cellStyle name="Nota 3 6 2 3 3 11" xfId="14393" xr:uid="{00000000-0005-0000-0000-0000B1480000}"/>
    <cellStyle name="Nota 3 6 2 3 3 2" xfId="3344" xr:uid="{00000000-0005-0000-0000-0000B2480000}"/>
    <cellStyle name="Nota 3 6 2 3 3 2 2" xfId="7925" xr:uid="{00000000-0005-0000-0000-0000B3480000}"/>
    <cellStyle name="Nota 3 6 2 3 3 2 2 2" xfId="11901" xr:uid="{00000000-0005-0000-0000-0000B4480000}"/>
    <cellStyle name="Nota 3 6 2 3 3 2 2 3" xfId="21443" xr:uid="{00000000-0005-0000-0000-0000B5480000}"/>
    <cellStyle name="Nota 3 6 2 3 3 2 3" xfId="6217" xr:uid="{00000000-0005-0000-0000-0000B6480000}"/>
    <cellStyle name="Nota 3 6 2 3 3 2 3 2" xfId="19735" xr:uid="{00000000-0005-0000-0000-0000B7480000}"/>
    <cellStyle name="Nota 3 6 2 3 3 2 4" xfId="9474" xr:uid="{00000000-0005-0000-0000-0000B8480000}"/>
    <cellStyle name="Nota 3 6 2 3 3 2 5" xfId="15303" xr:uid="{00000000-0005-0000-0000-0000B9480000}"/>
    <cellStyle name="Nota 3 6 2 3 3 3" xfId="3727" xr:uid="{00000000-0005-0000-0000-0000BA480000}"/>
    <cellStyle name="Nota 3 6 2 3 3 3 2" xfId="5136" xr:uid="{00000000-0005-0000-0000-0000BB480000}"/>
    <cellStyle name="Nota 3 6 2 3 3 3 2 2" xfId="10375" xr:uid="{00000000-0005-0000-0000-0000BC480000}"/>
    <cellStyle name="Nota 3 6 2 3 3 3 2 3" xfId="12785" xr:uid="{00000000-0005-0000-0000-0000BD480000}"/>
    <cellStyle name="Nota 3 6 2 3 3 3 3" xfId="5266" xr:uid="{00000000-0005-0000-0000-0000BE480000}"/>
    <cellStyle name="Nota 3 6 2 3 3 3 3 2" xfId="12828" xr:uid="{00000000-0005-0000-0000-0000BF480000}"/>
    <cellStyle name="Nota 3 6 2 3 3 3 4" xfId="9789" xr:uid="{00000000-0005-0000-0000-0000C0480000}"/>
    <cellStyle name="Nota 3 6 2 3 3 3 5" xfId="17835" xr:uid="{00000000-0005-0000-0000-0000C1480000}"/>
    <cellStyle name="Nota 3 6 2 3 3 4" xfId="4110" xr:uid="{00000000-0005-0000-0000-0000C2480000}"/>
    <cellStyle name="Nota 3 6 2 3 3 4 2" xfId="8232" xr:uid="{00000000-0005-0000-0000-0000C3480000}"/>
    <cellStyle name="Nota 3 6 2 3 3 4 2 2" xfId="12200" xr:uid="{00000000-0005-0000-0000-0000C4480000}"/>
    <cellStyle name="Nota 3 6 2 3 3 4 2 3" xfId="21750" xr:uid="{00000000-0005-0000-0000-0000C5480000}"/>
    <cellStyle name="Nota 3 6 2 3 3 4 3" xfId="6524" xr:uid="{00000000-0005-0000-0000-0000C6480000}"/>
    <cellStyle name="Nota 3 6 2 3 3 4 3 2" xfId="20042" xr:uid="{00000000-0005-0000-0000-0000C7480000}"/>
    <cellStyle name="Nota 3 6 2 3 3 4 4" xfId="9967" xr:uid="{00000000-0005-0000-0000-0000C8480000}"/>
    <cellStyle name="Nota 3 6 2 3 3 4 5" xfId="13884" xr:uid="{00000000-0005-0000-0000-0000C9480000}"/>
    <cellStyle name="Nota 3 6 2 3 3 5" xfId="4492" xr:uid="{00000000-0005-0000-0000-0000CA480000}"/>
    <cellStyle name="Nota 3 6 2 3 3 5 2" xfId="8464" xr:uid="{00000000-0005-0000-0000-0000CB480000}"/>
    <cellStyle name="Nota 3 6 2 3 3 5 2 2" xfId="12432" xr:uid="{00000000-0005-0000-0000-0000CC480000}"/>
    <cellStyle name="Nota 3 6 2 3 3 5 2 3" xfId="21982" xr:uid="{00000000-0005-0000-0000-0000CD480000}"/>
    <cellStyle name="Nota 3 6 2 3 3 5 3" xfId="6756" xr:uid="{00000000-0005-0000-0000-0000CE480000}"/>
    <cellStyle name="Nota 3 6 2 3 3 5 3 2" xfId="20274" xr:uid="{00000000-0005-0000-0000-0000CF480000}"/>
    <cellStyle name="Nota 3 6 2 3 3 5 4" xfId="10144" xr:uid="{00000000-0005-0000-0000-0000D0480000}"/>
    <cellStyle name="Nota 3 6 2 3 3 5 5" xfId="13513" xr:uid="{00000000-0005-0000-0000-0000D1480000}"/>
    <cellStyle name="Nota 3 6 2 3 3 6" xfId="6988" xr:uid="{00000000-0005-0000-0000-0000D2480000}"/>
    <cellStyle name="Nota 3 6 2 3 3 6 2" xfId="8696" xr:uid="{00000000-0005-0000-0000-0000D3480000}"/>
    <cellStyle name="Nota 3 6 2 3 3 6 2 2" xfId="12664" xr:uid="{00000000-0005-0000-0000-0000D4480000}"/>
    <cellStyle name="Nota 3 6 2 3 3 6 2 3" xfId="22214" xr:uid="{00000000-0005-0000-0000-0000D5480000}"/>
    <cellStyle name="Nota 3 6 2 3 3 6 3" xfId="11122" xr:uid="{00000000-0005-0000-0000-0000D6480000}"/>
    <cellStyle name="Nota 3 6 2 3 3 6 4" xfId="20506" xr:uid="{00000000-0005-0000-0000-0000D7480000}"/>
    <cellStyle name="Nota 3 6 2 3 3 7" xfId="5976" xr:uid="{00000000-0005-0000-0000-0000D8480000}"/>
    <cellStyle name="Nota 3 6 2 3 3 7 2" xfId="10717" xr:uid="{00000000-0005-0000-0000-0000D9480000}"/>
    <cellStyle name="Nota 3 6 2 3 3 7 3" xfId="19494" xr:uid="{00000000-0005-0000-0000-0000DA480000}"/>
    <cellStyle name="Nota 3 6 2 3 3 8" xfId="7684" xr:uid="{00000000-0005-0000-0000-0000DB480000}"/>
    <cellStyle name="Nota 3 6 2 3 3 8 2" xfId="11705" xr:uid="{00000000-0005-0000-0000-0000DC480000}"/>
    <cellStyle name="Nota 3 6 2 3 3 8 3" xfId="21202" xr:uid="{00000000-0005-0000-0000-0000DD480000}"/>
    <cellStyle name="Nota 3 6 2 3 3 9" xfId="5170" xr:uid="{00000000-0005-0000-0000-0000DE480000}"/>
    <cellStyle name="Nota 3 6 2 3 3 9 2" xfId="12912" xr:uid="{00000000-0005-0000-0000-0000DF480000}"/>
    <cellStyle name="Nota 3 6 2 3 4" xfId="3192" xr:uid="{00000000-0005-0000-0000-0000E0480000}"/>
    <cellStyle name="Nota 3 6 2 3 4 10" xfId="9322" xr:uid="{00000000-0005-0000-0000-0000E1480000}"/>
    <cellStyle name="Nota 3 6 2 3 4 11" xfId="18767" xr:uid="{00000000-0005-0000-0000-0000E2480000}"/>
    <cellStyle name="Nota 3 6 2 3 4 2" xfId="3579" xr:uid="{00000000-0005-0000-0000-0000E3480000}"/>
    <cellStyle name="Nota 3 6 2 3 4 2 2" xfId="7268" xr:uid="{00000000-0005-0000-0000-0000E4480000}"/>
    <cellStyle name="Nota 3 6 2 3 4 2 2 2" xfId="11373" xr:uid="{00000000-0005-0000-0000-0000E5480000}"/>
    <cellStyle name="Nota 3 6 2 3 4 2 2 3" xfId="20786" xr:uid="{00000000-0005-0000-0000-0000E6480000}"/>
    <cellStyle name="Nota 3 6 2 3 4 2 3" xfId="5559" xr:uid="{00000000-0005-0000-0000-0000E7480000}"/>
    <cellStyle name="Nota 3 6 2 3 4 2 3 2" xfId="19077" xr:uid="{00000000-0005-0000-0000-0000E8480000}"/>
    <cellStyle name="Nota 3 6 2 3 4 2 4" xfId="9671" xr:uid="{00000000-0005-0000-0000-0000E9480000}"/>
    <cellStyle name="Nota 3 6 2 3 4 2 5" xfId="14898" xr:uid="{00000000-0005-0000-0000-0000EA480000}"/>
    <cellStyle name="Nota 3 6 2 3 4 3" xfId="3962" xr:uid="{00000000-0005-0000-0000-0000EB480000}"/>
    <cellStyle name="Nota 3 6 2 3 4 3 2" xfId="8069" xr:uid="{00000000-0005-0000-0000-0000EC480000}"/>
    <cellStyle name="Nota 3 6 2 3 4 3 2 2" xfId="12039" xr:uid="{00000000-0005-0000-0000-0000ED480000}"/>
    <cellStyle name="Nota 3 6 2 3 4 3 2 3" xfId="21587" xr:uid="{00000000-0005-0000-0000-0000EE480000}"/>
    <cellStyle name="Nota 3 6 2 3 4 3 3" xfId="6361" xr:uid="{00000000-0005-0000-0000-0000EF480000}"/>
    <cellStyle name="Nota 3 6 2 3 4 3 3 2" xfId="19879" xr:uid="{00000000-0005-0000-0000-0000F0480000}"/>
    <cellStyle name="Nota 3 6 2 3 4 3 4" xfId="9885" xr:uid="{00000000-0005-0000-0000-0000F1480000}"/>
    <cellStyle name="Nota 3 6 2 3 4 3 5" xfId="14029" xr:uid="{00000000-0005-0000-0000-0000F2480000}"/>
    <cellStyle name="Nota 3 6 2 3 4 4" xfId="4345" xr:uid="{00000000-0005-0000-0000-0000F3480000}"/>
    <cellStyle name="Nota 3 6 2 3 4 4 2" xfId="8148" xr:uid="{00000000-0005-0000-0000-0000F4480000}"/>
    <cellStyle name="Nota 3 6 2 3 4 4 2 2" xfId="12116" xr:uid="{00000000-0005-0000-0000-0000F5480000}"/>
    <cellStyle name="Nota 3 6 2 3 4 4 2 3" xfId="21666" xr:uid="{00000000-0005-0000-0000-0000F6480000}"/>
    <cellStyle name="Nota 3 6 2 3 4 4 3" xfId="6440" xr:uid="{00000000-0005-0000-0000-0000F7480000}"/>
    <cellStyle name="Nota 3 6 2 3 4 4 3 2" xfId="19958" xr:uid="{00000000-0005-0000-0000-0000F8480000}"/>
    <cellStyle name="Nota 3 6 2 3 4 4 4" xfId="10063" xr:uid="{00000000-0005-0000-0000-0000F9480000}"/>
    <cellStyle name="Nota 3 6 2 3 4 4 5" xfId="13660" xr:uid="{00000000-0005-0000-0000-0000FA480000}"/>
    <cellStyle name="Nota 3 6 2 3 4 5" xfId="4727" xr:uid="{00000000-0005-0000-0000-0000FB480000}"/>
    <cellStyle name="Nota 3 6 2 3 4 5 2" xfId="8380" xr:uid="{00000000-0005-0000-0000-0000FC480000}"/>
    <cellStyle name="Nota 3 6 2 3 4 5 2 2" xfId="12348" xr:uid="{00000000-0005-0000-0000-0000FD480000}"/>
    <cellStyle name="Nota 3 6 2 3 4 5 2 3" xfId="21898" xr:uid="{00000000-0005-0000-0000-0000FE480000}"/>
    <cellStyle name="Nota 3 6 2 3 4 5 3" xfId="6672" xr:uid="{00000000-0005-0000-0000-0000FF480000}"/>
    <cellStyle name="Nota 3 6 2 3 4 5 3 2" xfId="20190" xr:uid="{00000000-0005-0000-0000-000000490000}"/>
    <cellStyle name="Nota 3 6 2 3 4 5 4" xfId="10240" xr:uid="{00000000-0005-0000-0000-000001490000}"/>
    <cellStyle name="Nota 3 6 2 3 4 5 5" xfId="13278" xr:uid="{00000000-0005-0000-0000-000002490000}"/>
    <cellStyle name="Nota 3 6 2 3 4 6" xfId="6904" xr:uid="{00000000-0005-0000-0000-000003490000}"/>
    <cellStyle name="Nota 3 6 2 3 4 6 2" xfId="8612" xr:uid="{00000000-0005-0000-0000-000004490000}"/>
    <cellStyle name="Nota 3 6 2 3 4 6 2 2" xfId="12580" xr:uid="{00000000-0005-0000-0000-000005490000}"/>
    <cellStyle name="Nota 3 6 2 3 4 6 2 3" xfId="22130" xr:uid="{00000000-0005-0000-0000-000006490000}"/>
    <cellStyle name="Nota 3 6 2 3 4 6 3" xfId="11038" xr:uid="{00000000-0005-0000-0000-000007490000}"/>
    <cellStyle name="Nota 3 6 2 3 4 6 4" xfId="20422" xr:uid="{00000000-0005-0000-0000-000008490000}"/>
    <cellStyle name="Nota 3 6 2 3 4 7" xfId="5892" xr:uid="{00000000-0005-0000-0000-000009490000}"/>
    <cellStyle name="Nota 3 6 2 3 4 7 2" xfId="10633" xr:uid="{00000000-0005-0000-0000-00000A490000}"/>
    <cellStyle name="Nota 3 6 2 3 4 7 3" xfId="19410" xr:uid="{00000000-0005-0000-0000-00000B490000}"/>
    <cellStyle name="Nota 3 6 2 3 4 8" xfId="7600" xr:uid="{00000000-0005-0000-0000-00000C490000}"/>
    <cellStyle name="Nota 3 6 2 3 4 8 2" xfId="11621" xr:uid="{00000000-0005-0000-0000-00000D490000}"/>
    <cellStyle name="Nota 3 6 2 3 4 8 3" xfId="21118" xr:uid="{00000000-0005-0000-0000-00000E490000}"/>
    <cellStyle name="Nota 3 6 2 3 4 9" xfId="4987" xr:uid="{00000000-0005-0000-0000-00000F490000}"/>
    <cellStyle name="Nota 3 6 2 3 4 9 2" xfId="13032" xr:uid="{00000000-0005-0000-0000-000010490000}"/>
    <cellStyle name="Nota 3 6 2 3 5" xfId="3040" xr:uid="{00000000-0005-0000-0000-000011490000}"/>
    <cellStyle name="Nota 3 6 2 3 5 2" xfId="3427" xr:uid="{00000000-0005-0000-0000-000012490000}"/>
    <cellStyle name="Nota 3 6 2 3 5 2 2" xfId="14510" xr:uid="{00000000-0005-0000-0000-000013490000}"/>
    <cellStyle name="Nota 3 6 2 3 5 3" xfId="3810" xr:uid="{00000000-0005-0000-0000-000014490000}"/>
    <cellStyle name="Nota 3 6 2 3 5 3 2" xfId="18045" xr:uid="{00000000-0005-0000-0000-000015490000}"/>
    <cellStyle name="Nota 3 6 2 3 5 4" xfId="4193" xr:uid="{00000000-0005-0000-0000-000016490000}"/>
    <cellStyle name="Nota 3 6 2 3 5 4 2" xfId="13812" xr:uid="{00000000-0005-0000-0000-000017490000}"/>
    <cellStyle name="Nota 3 6 2 3 5 5" xfId="4575" xr:uid="{00000000-0005-0000-0000-000018490000}"/>
    <cellStyle name="Nota 3 6 2 3 5 5 2" xfId="13430" xr:uid="{00000000-0005-0000-0000-000019490000}"/>
    <cellStyle name="Nota 3 6 2 3 5 6" xfId="5837" xr:uid="{00000000-0005-0000-0000-00001A490000}"/>
    <cellStyle name="Nota 3 6 2 3 5 6 2" xfId="19355" xr:uid="{00000000-0005-0000-0000-00001B490000}"/>
    <cellStyle name="Nota 3 6 2 3 5 7" xfId="9180" xr:uid="{00000000-0005-0000-0000-00001C490000}"/>
    <cellStyle name="Nota 3 6 2 3 5 8" xfId="15024" xr:uid="{00000000-0005-0000-0000-00001D490000}"/>
    <cellStyle name="Nota 3 6 2 3 6" xfId="7545" xr:uid="{00000000-0005-0000-0000-00001E490000}"/>
    <cellStyle name="Nota 3 6 2 3 6 2" xfId="11578" xr:uid="{00000000-0005-0000-0000-00001F490000}"/>
    <cellStyle name="Nota 3 6 2 3 6 3" xfId="21063" xr:uid="{00000000-0005-0000-0000-000020490000}"/>
    <cellStyle name="Nota 3 6 2 3 7" xfId="8857" xr:uid="{00000000-0005-0000-0000-000021490000}"/>
    <cellStyle name="Nota 3 6 2 3 8" xfId="14747" xr:uid="{00000000-0005-0000-0000-000022490000}"/>
    <cellStyle name="Nota 3 6 2 4" xfId="2930" xr:uid="{00000000-0005-0000-0000-000023490000}"/>
    <cellStyle name="Nota 3 6 2 4 10" xfId="9082" xr:uid="{00000000-0005-0000-0000-000024490000}"/>
    <cellStyle name="Nota 3 6 2 4 11" xfId="15463" xr:uid="{00000000-0005-0000-0000-000025490000}"/>
    <cellStyle name="Nota 3 6 2 4 2" xfId="3317" xr:uid="{00000000-0005-0000-0000-000026490000}"/>
    <cellStyle name="Nota 3 6 2 4 2 2" xfId="7294" xr:uid="{00000000-0005-0000-0000-000027490000}"/>
    <cellStyle name="Nota 3 6 2 4 2 2 2" xfId="11399" xr:uid="{00000000-0005-0000-0000-000028490000}"/>
    <cellStyle name="Nota 3 6 2 4 2 2 3" xfId="20812" xr:uid="{00000000-0005-0000-0000-000029490000}"/>
    <cellStyle name="Nota 3 6 2 4 2 3" xfId="5585" xr:uid="{00000000-0005-0000-0000-00002A490000}"/>
    <cellStyle name="Nota 3 6 2 4 2 3 2" xfId="19103" xr:uid="{00000000-0005-0000-0000-00002B490000}"/>
    <cellStyle name="Nota 3 6 2 4 2 4" xfId="9447" xr:uid="{00000000-0005-0000-0000-00002C490000}"/>
    <cellStyle name="Nota 3 6 2 4 2 5" xfId="18035" xr:uid="{00000000-0005-0000-0000-00002D490000}"/>
    <cellStyle name="Nota 3 6 2 4 3" xfId="3700" xr:uid="{00000000-0005-0000-0000-00002E490000}"/>
    <cellStyle name="Nota 3 6 2 4 3 2" xfId="7103" xr:uid="{00000000-0005-0000-0000-00002F490000}"/>
    <cellStyle name="Nota 3 6 2 4 3 2 2" xfId="11237" xr:uid="{00000000-0005-0000-0000-000030490000}"/>
    <cellStyle name="Nota 3 6 2 4 3 2 3" xfId="20621" xr:uid="{00000000-0005-0000-0000-000031490000}"/>
    <cellStyle name="Nota 3 6 2 4 3 3" xfId="5394" xr:uid="{00000000-0005-0000-0000-000032490000}"/>
    <cellStyle name="Nota 3 6 2 4 3 3 2" xfId="18912" xr:uid="{00000000-0005-0000-0000-000033490000}"/>
    <cellStyle name="Nota 3 6 2 4 3 4" xfId="9767" xr:uid="{00000000-0005-0000-0000-000034490000}"/>
    <cellStyle name="Nota 3 6 2 4 3 5" xfId="14775" xr:uid="{00000000-0005-0000-0000-000035490000}"/>
    <cellStyle name="Nota 3 6 2 4 4" xfId="4083" xr:uid="{00000000-0005-0000-0000-000036490000}"/>
    <cellStyle name="Nota 3 6 2 4 4 2" xfId="8210" xr:uid="{00000000-0005-0000-0000-000037490000}"/>
    <cellStyle name="Nota 3 6 2 4 4 2 2" xfId="12178" xr:uid="{00000000-0005-0000-0000-000038490000}"/>
    <cellStyle name="Nota 3 6 2 4 4 2 3" xfId="21728" xr:uid="{00000000-0005-0000-0000-000039490000}"/>
    <cellStyle name="Nota 3 6 2 4 4 3" xfId="6502" xr:uid="{00000000-0005-0000-0000-00003A490000}"/>
    <cellStyle name="Nota 3 6 2 4 4 3 2" xfId="20020" xr:uid="{00000000-0005-0000-0000-00003B490000}"/>
    <cellStyle name="Nota 3 6 2 4 4 4" xfId="9945" xr:uid="{00000000-0005-0000-0000-00003C490000}"/>
    <cellStyle name="Nota 3 6 2 4 4 5" xfId="13911" xr:uid="{00000000-0005-0000-0000-00003D490000}"/>
    <cellStyle name="Nota 3 6 2 4 5" xfId="4465" xr:uid="{00000000-0005-0000-0000-00003E490000}"/>
    <cellStyle name="Nota 3 6 2 4 5 2" xfId="8442" xr:uid="{00000000-0005-0000-0000-00003F490000}"/>
    <cellStyle name="Nota 3 6 2 4 5 2 2" xfId="12410" xr:uid="{00000000-0005-0000-0000-000040490000}"/>
    <cellStyle name="Nota 3 6 2 4 5 2 3" xfId="21960" xr:uid="{00000000-0005-0000-0000-000041490000}"/>
    <cellStyle name="Nota 3 6 2 4 5 3" xfId="6734" xr:uid="{00000000-0005-0000-0000-000042490000}"/>
    <cellStyle name="Nota 3 6 2 4 5 3 2" xfId="20252" xr:uid="{00000000-0005-0000-0000-000043490000}"/>
    <cellStyle name="Nota 3 6 2 4 5 4" xfId="10122" xr:uid="{00000000-0005-0000-0000-000044490000}"/>
    <cellStyle name="Nota 3 6 2 4 5 5" xfId="13540" xr:uid="{00000000-0005-0000-0000-000045490000}"/>
    <cellStyle name="Nota 3 6 2 4 6" xfId="6966" xr:uid="{00000000-0005-0000-0000-000046490000}"/>
    <cellStyle name="Nota 3 6 2 4 6 2" xfId="8674" xr:uid="{00000000-0005-0000-0000-000047490000}"/>
    <cellStyle name="Nota 3 6 2 4 6 2 2" xfId="12642" xr:uid="{00000000-0005-0000-0000-000048490000}"/>
    <cellStyle name="Nota 3 6 2 4 6 2 3" xfId="22192" xr:uid="{00000000-0005-0000-0000-000049490000}"/>
    <cellStyle name="Nota 3 6 2 4 6 3" xfId="11100" xr:uid="{00000000-0005-0000-0000-00004A490000}"/>
    <cellStyle name="Nota 3 6 2 4 6 4" xfId="20484" xr:uid="{00000000-0005-0000-0000-00004B490000}"/>
    <cellStyle name="Nota 3 6 2 4 7" xfId="5954" xr:uid="{00000000-0005-0000-0000-00004C490000}"/>
    <cellStyle name="Nota 3 6 2 4 7 2" xfId="10695" xr:uid="{00000000-0005-0000-0000-00004D490000}"/>
    <cellStyle name="Nota 3 6 2 4 7 3" xfId="19472" xr:uid="{00000000-0005-0000-0000-00004E490000}"/>
    <cellStyle name="Nota 3 6 2 4 8" xfId="7662" xr:uid="{00000000-0005-0000-0000-00004F490000}"/>
    <cellStyle name="Nota 3 6 2 4 8 2" xfId="11683" xr:uid="{00000000-0005-0000-0000-000050490000}"/>
    <cellStyle name="Nota 3 6 2 4 8 3" xfId="21180" xr:uid="{00000000-0005-0000-0000-000051490000}"/>
    <cellStyle name="Nota 3 6 2 4 9" xfId="5055" xr:uid="{00000000-0005-0000-0000-000052490000}"/>
    <cellStyle name="Nota 3 6 2 4 9 2" xfId="12966" xr:uid="{00000000-0005-0000-0000-000053490000}"/>
    <cellStyle name="Nota 3 6 2 5" xfId="3105" xr:uid="{00000000-0005-0000-0000-000054490000}"/>
    <cellStyle name="Nota 3 6 2 5 2" xfId="3492" xr:uid="{00000000-0005-0000-0000-000055490000}"/>
    <cellStyle name="Nota 3 6 2 5 2 2" xfId="5108" xr:uid="{00000000-0005-0000-0000-000056490000}"/>
    <cellStyle name="Nota 3 6 2 5 2 2 2" xfId="12802" xr:uid="{00000000-0005-0000-0000-000057490000}"/>
    <cellStyle name="Nota 3 6 2 5 2 3" xfId="9585" xr:uid="{00000000-0005-0000-0000-000058490000}"/>
    <cellStyle name="Nota 3 6 2 5 2 4" xfId="17996" xr:uid="{00000000-0005-0000-0000-000059490000}"/>
    <cellStyle name="Nota 3 6 2 5 3" xfId="3875" xr:uid="{00000000-0005-0000-0000-00005A490000}"/>
    <cellStyle name="Nota 3 6 2 5 3 2" xfId="14168" xr:uid="{00000000-0005-0000-0000-00005B490000}"/>
    <cellStyle name="Nota 3 6 2 5 4" xfId="4258" xr:uid="{00000000-0005-0000-0000-00005C490000}"/>
    <cellStyle name="Nota 3 6 2 5 4 2" xfId="13747" xr:uid="{00000000-0005-0000-0000-00005D490000}"/>
    <cellStyle name="Nota 3 6 2 5 5" xfId="4640" xr:uid="{00000000-0005-0000-0000-00005E490000}"/>
    <cellStyle name="Nota 3 6 2 5 5 2" xfId="13365" xr:uid="{00000000-0005-0000-0000-00005F490000}"/>
    <cellStyle name="Nota 3 6 2 5 6" xfId="5306" xr:uid="{00000000-0005-0000-0000-000060490000}"/>
    <cellStyle name="Nota 3 6 2 5 6 2" xfId="18824" xr:uid="{00000000-0005-0000-0000-000061490000}"/>
    <cellStyle name="Nota 3 6 2 5 7" xfId="9236" xr:uid="{00000000-0005-0000-0000-000062490000}"/>
    <cellStyle name="Nota 3 6 2 5 8" xfId="18536" xr:uid="{00000000-0005-0000-0000-000063490000}"/>
    <cellStyle name="Nota 3 6 2 6" xfId="3091" xr:uid="{00000000-0005-0000-0000-000064490000}"/>
    <cellStyle name="Nota 3 6 2 6 2" xfId="3478" xr:uid="{00000000-0005-0000-0000-000065490000}"/>
    <cellStyle name="Nota 3 6 2 6 2 2" xfId="8032" xr:uid="{00000000-0005-0000-0000-000066490000}"/>
    <cellStyle name="Nota 3 6 2 6 2 2 2" xfId="21550" xr:uid="{00000000-0005-0000-0000-000067490000}"/>
    <cellStyle name="Nota 3 6 2 6 2 3" xfId="9573" xr:uid="{00000000-0005-0000-0000-000068490000}"/>
    <cellStyle name="Nota 3 6 2 6 2 4" xfId="17328" xr:uid="{00000000-0005-0000-0000-000069490000}"/>
    <cellStyle name="Nota 3 6 2 6 3" xfId="3861" xr:uid="{00000000-0005-0000-0000-00006A490000}"/>
    <cellStyle name="Nota 3 6 2 6 3 2" xfId="14201" xr:uid="{00000000-0005-0000-0000-00006B490000}"/>
    <cellStyle name="Nota 3 6 2 6 4" xfId="4244" xr:uid="{00000000-0005-0000-0000-00006C490000}"/>
    <cellStyle name="Nota 3 6 2 6 4 2" xfId="13761" xr:uid="{00000000-0005-0000-0000-00006D490000}"/>
    <cellStyle name="Nota 3 6 2 6 5" xfId="4626" xr:uid="{00000000-0005-0000-0000-00006E490000}"/>
    <cellStyle name="Nota 3 6 2 6 5 2" xfId="13379" xr:uid="{00000000-0005-0000-0000-00006F490000}"/>
    <cellStyle name="Nota 3 6 2 6 6" xfId="6324" xr:uid="{00000000-0005-0000-0000-000070490000}"/>
    <cellStyle name="Nota 3 6 2 6 6 2" xfId="19842" xr:uid="{00000000-0005-0000-0000-000071490000}"/>
    <cellStyle name="Nota 3 6 2 6 7" xfId="9224" xr:uid="{00000000-0005-0000-0000-000072490000}"/>
    <cellStyle name="Nota 3 6 2 6 8" xfId="17873" xr:uid="{00000000-0005-0000-0000-000073490000}"/>
    <cellStyle name="Nota 3 6 2 7" xfId="6347" xr:uid="{00000000-0005-0000-0000-000074490000}"/>
    <cellStyle name="Nota 3 6 2 7 2" xfId="8055" xr:uid="{00000000-0005-0000-0000-000075490000}"/>
    <cellStyle name="Nota 3 6 2 7 2 2" xfId="12026" xr:uid="{00000000-0005-0000-0000-000076490000}"/>
    <cellStyle name="Nota 3 6 2 7 2 3" xfId="21573" xr:uid="{00000000-0005-0000-0000-000077490000}"/>
    <cellStyle name="Nota 3 6 2 7 3" xfId="10881" xr:uid="{00000000-0005-0000-0000-000078490000}"/>
    <cellStyle name="Nota 3 6 2 7 4" xfId="19865" xr:uid="{00000000-0005-0000-0000-000079490000}"/>
    <cellStyle name="Nota 3 6 2 8" xfId="5421" xr:uid="{00000000-0005-0000-0000-00007A490000}"/>
    <cellStyle name="Nota 3 6 2 8 2" xfId="7130" xr:uid="{00000000-0005-0000-0000-00007B490000}"/>
    <cellStyle name="Nota 3 6 2 8 2 2" xfId="11264" xr:uid="{00000000-0005-0000-0000-00007C490000}"/>
    <cellStyle name="Nota 3 6 2 8 2 3" xfId="20648" xr:uid="{00000000-0005-0000-0000-00007D490000}"/>
    <cellStyle name="Nota 3 6 2 8 3" xfId="10438" xr:uid="{00000000-0005-0000-0000-00007E490000}"/>
    <cellStyle name="Nota 3 6 2 8 4" xfId="18939" xr:uid="{00000000-0005-0000-0000-00007F490000}"/>
    <cellStyle name="Nota 3 6 2 9" xfId="5769" xr:uid="{00000000-0005-0000-0000-000080490000}"/>
    <cellStyle name="Nota 3 6 2 9 2" xfId="10545" xr:uid="{00000000-0005-0000-0000-000081490000}"/>
    <cellStyle name="Nota 3 6 2 9 3" xfId="19287" xr:uid="{00000000-0005-0000-0000-000082490000}"/>
    <cellStyle name="Nota 3 6 3" xfId="2716" xr:uid="{00000000-0005-0000-0000-000083490000}"/>
    <cellStyle name="Nota 3 6 3 10" xfId="5783" xr:uid="{00000000-0005-0000-0000-000084490000}"/>
    <cellStyle name="Nota 3 6 3 10 2" xfId="10559" xr:uid="{00000000-0005-0000-0000-000085490000}"/>
    <cellStyle name="Nota 3 6 3 10 3" xfId="19301" xr:uid="{00000000-0005-0000-0000-000086490000}"/>
    <cellStyle name="Nota 3 6 3 11" xfId="7492" xr:uid="{00000000-0005-0000-0000-000087490000}"/>
    <cellStyle name="Nota 3 6 3 11 2" xfId="11546" xr:uid="{00000000-0005-0000-0000-000088490000}"/>
    <cellStyle name="Nota 3 6 3 11 3" xfId="21010" xr:uid="{00000000-0005-0000-0000-000089490000}"/>
    <cellStyle name="Nota 3 6 3 12" xfId="4909" xr:uid="{00000000-0005-0000-0000-00008A490000}"/>
    <cellStyle name="Nota 3 6 3 12 2" xfId="13110" xr:uid="{00000000-0005-0000-0000-00008B490000}"/>
    <cellStyle name="Nota 3 6 3 13" xfId="8871" xr:uid="{00000000-0005-0000-0000-00008C490000}"/>
    <cellStyle name="Nota 3 6 3 14" xfId="16711" xr:uid="{00000000-0005-0000-0000-00008D490000}"/>
    <cellStyle name="Nota 3 6 3 2" xfId="2764" xr:uid="{00000000-0005-0000-0000-00008E490000}"/>
    <cellStyle name="Nota 3 6 3 2 2" xfId="2987" xr:uid="{00000000-0005-0000-0000-00008F490000}"/>
    <cellStyle name="Nota 3 6 3 2 2 10" xfId="9139" xr:uid="{00000000-0005-0000-0000-000090490000}"/>
    <cellStyle name="Nota 3 6 3 2 2 11" xfId="17282" xr:uid="{00000000-0005-0000-0000-000091490000}"/>
    <cellStyle name="Nota 3 6 3 2 2 2" xfId="3374" xr:uid="{00000000-0005-0000-0000-000092490000}"/>
    <cellStyle name="Nota 3 6 3 2 2 2 2" xfId="7952" xr:uid="{00000000-0005-0000-0000-000093490000}"/>
    <cellStyle name="Nota 3 6 3 2 2 2 2 2" xfId="11928" xr:uid="{00000000-0005-0000-0000-000094490000}"/>
    <cellStyle name="Nota 3 6 3 2 2 2 2 3" xfId="21470" xr:uid="{00000000-0005-0000-0000-000095490000}"/>
    <cellStyle name="Nota 3 6 3 2 2 2 3" xfId="6244" xr:uid="{00000000-0005-0000-0000-000096490000}"/>
    <cellStyle name="Nota 3 6 3 2 2 2 3 2" xfId="19762" xr:uid="{00000000-0005-0000-0000-000097490000}"/>
    <cellStyle name="Nota 3 6 3 2 2 2 4" xfId="9504" xr:uid="{00000000-0005-0000-0000-000098490000}"/>
    <cellStyle name="Nota 3 6 3 2 2 2 5" xfId="16977" xr:uid="{00000000-0005-0000-0000-000099490000}"/>
    <cellStyle name="Nota 3 6 3 2 2 3" xfId="3757" xr:uid="{00000000-0005-0000-0000-00009A490000}"/>
    <cellStyle name="Nota 3 6 3 2 2 3 2" xfId="5078" xr:uid="{00000000-0005-0000-0000-00009B490000}"/>
    <cellStyle name="Nota 3 6 3 2 2 3 2 2" xfId="10329" xr:uid="{00000000-0005-0000-0000-00009C490000}"/>
    <cellStyle name="Nota 3 6 3 2 2 3 2 3" xfId="12957" xr:uid="{00000000-0005-0000-0000-00009D490000}"/>
    <cellStyle name="Nota 3 6 3 2 2 3 3" xfId="5289" xr:uid="{00000000-0005-0000-0000-00009E490000}"/>
    <cellStyle name="Nota 3 6 3 2 2 3 3 2" xfId="18807" xr:uid="{00000000-0005-0000-0000-00009F490000}"/>
    <cellStyle name="Nota 3 6 3 2 2 3 4" xfId="9819" xr:uid="{00000000-0005-0000-0000-0000A0490000}"/>
    <cellStyle name="Nota 3 6 3 2 2 3 5" xfId="17450" xr:uid="{00000000-0005-0000-0000-0000A1490000}"/>
    <cellStyle name="Nota 3 6 3 2 2 4" xfId="4140" xr:uid="{00000000-0005-0000-0000-0000A2490000}"/>
    <cellStyle name="Nota 3 6 3 2 2 4 2" xfId="8259" xr:uid="{00000000-0005-0000-0000-0000A3490000}"/>
    <cellStyle name="Nota 3 6 3 2 2 4 2 2" xfId="12227" xr:uid="{00000000-0005-0000-0000-0000A4490000}"/>
    <cellStyle name="Nota 3 6 3 2 2 4 2 3" xfId="21777" xr:uid="{00000000-0005-0000-0000-0000A5490000}"/>
    <cellStyle name="Nota 3 6 3 2 2 4 3" xfId="6551" xr:uid="{00000000-0005-0000-0000-0000A6490000}"/>
    <cellStyle name="Nota 3 6 3 2 2 4 3 2" xfId="20069" xr:uid="{00000000-0005-0000-0000-0000A7490000}"/>
    <cellStyle name="Nota 3 6 3 2 2 4 4" xfId="9997" xr:uid="{00000000-0005-0000-0000-0000A8490000}"/>
    <cellStyle name="Nota 3 6 3 2 2 4 5" xfId="13857" xr:uid="{00000000-0005-0000-0000-0000A9490000}"/>
    <cellStyle name="Nota 3 6 3 2 2 5" xfId="4522" xr:uid="{00000000-0005-0000-0000-0000AA490000}"/>
    <cellStyle name="Nota 3 6 3 2 2 5 2" xfId="8491" xr:uid="{00000000-0005-0000-0000-0000AB490000}"/>
    <cellStyle name="Nota 3 6 3 2 2 5 2 2" xfId="12459" xr:uid="{00000000-0005-0000-0000-0000AC490000}"/>
    <cellStyle name="Nota 3 6 3 2 2 5 2 3" xfId="22009" xr:uid="{00000000-0005-0000-0000-0000AD490000}"/>
    <cellStyle name="Nota 3 6 3 2 2 5 3" xfId="6783" xr:uid="{00000000-0005-0000-0000-0000AE490000}"/>
    <cellStyle name="Nota 3 6 3 2 2 5 3 2" xfId="20301" xr:uid="{00000000-0005-0000-0000-0000AF490000}"/>
    <cellStyle name="Nota 3 6 3 2 2 5 4" xfId="10174" xr:uid="{00000000-0005-0000-0000-0000B0490000}"/>
    <cellStyle name="Nota 3 6 3 2 2 5 5" xfId="13483" xr:uid="{00000000-0005-0000-0000-0000B1490000}"/>
    <cellStyle name="Nota 3 6 3 2 2 6" xfId="7015" xr:uid="{00000000-0005-0000-0000-0000B2490000}"/>
    <cellStyle name="Nota 3 6 3 2 2 6 2" xfId="8723" xr:uid="{00000000-0005-0000-0000-0000B3490000}"/>
    <cellStyle name="Nota 3 6 3 2 2 6 2 2" xfId="12691" xr:uid="{00000000-0005-0000-0000-0000B4490000}"/>
    <cellStyle name="Nota 3 6 3 2 2 6 2 3" xfId="22241" xr:uid="{00000000-0005-0000-0000-0000B5490000}"/>
    <cellStyle name="Nota 3 6 3 2 2 6 3" xfId="11149" xr:uid="{00000000-0005-0000-0000-0000B6490000}"/>
    <cellStyle name="Nota 3 6 3 2 2 6 4" xfId="20533" xr:uid="{00000000-0005-0000-0000-0000B7490000}"/>
    <cellStyle name="Nota 3 6 3 2 2 7" xfId="6003" xr:uid="{00000000-0005-0000-0000-0000B8490000}"/>
    <cellStyle name="Nota 3 6 3 2 2 7 2" xfId="10744" xr:uid="{00000000-0005-0000-0000-0000B9490000}"/>
    <cellStyle name="Nota 3 6 3 2 2 7 3" xfId="19521" xr:uid="{00000000-0005-0000-0000-0000BA490000}"/>
    <cellStyle name="Nota 3 6 3 2 2 8" xfId="7711" xr:uid="{00000000-0005-0000-0000-0000BB490000}"/>
    <cellStyle name="Nota 3 6 3 2 2 8 2" xfId="11732" xr:uid="{00000000-0005-0000-0000-0000BC490000}"/>
    <cellStyle name="Nota 3 6 3 2 2 8 3" xfId="21229" xr:uid="{00000000-0005-0000-0000-0000BD490000}"/>
    <cellStyle name="Nota 3 6 3 2 2 9" xfId="5197" xr:uid="{00000000-0005-0000-0000-0000BE490000}"/>
    <cellStyle name="Nota 3 6 3 2 2 9 2" xfId="12885" xr:uid="{00000000-0005-0000-0000-0000BF490000}"/>
    <cellStyle name="Nota 3 6 3 2 3" xfId="3254" xr:uid="{00000000-0005-0000-0000-0000C0490000}"/>
    <cellStyle name="Nota 3 6 3 2 3 10" xfId="9384" xr:uid="{00000000-0005-0000-0000-0000C1490000}"/>
    <cellStyle name="Nota 3 6 3 2 3 11" xfId="18330" xr:uid="{00000000-0005-0000-0000-0000C2490000}"/>
    <cellStyle name="Nota 3 6 3 2 3 2" xfId="3641" xr:uid="{00000000-0005-0000-0000-0000C3490000}"/>
    <cellStyle name="Nota 3 6 3 2 3 2 2" xfId="8002" xr:uid="{00000000-0005-0000-0000-0000C4490000}"/>
    <cellStyle name="Nota 3 6 3 2 3 2 2 2" xfId="11978" xr:uid="{00000000-0005-0000-0000-0000C5490000}"/>
    <cellStyle name="Nota 3 6 3 2 3 2 2 3" xfId="21520" xr:uid="{00000000-0005-0000-0000-0000C6490000}"/>
    <cellStyle name="Nota 3 6 3 2 3 2 3" xfId="6294" xr:uid="{00000000-0005-0000-0000-0000C7490000}"/>
    <cellStyle name="Nota 3 6 3 2 3 2 3 2" xfId="19812" xr:uid="{00000000-0005-0000-0000-0000C8490000}"/>
    <cellStyle name="Nota 3 6 3 2 3 2 4" xfId="9733" xr:uid="{00000000-0005-0000-0000-0000C9490000}"/>
    <cellStyle name="Nota 3 6 3 2 3 2 5" xfId="14745" xr:uid="{00000000-0005-0000-0000-0000CA490000}"/>
    <cellStyle name="Nota 3 6 3 2 3 3" xfId="4024" xr:uid="{00000000-0005-0000-0000-0000CB490000}"/>
    <cellStyle name="Nota 3 6 3 2 3 3 2" xfId="5061" xr:uid="{00000000-0005-0000-0000-0000CC490000}"/>
    <cellStyle name="Nota 3 6 3 2 3 3 2 2" xfId="10314" xr:uid="{00000000-0005-0000-0000-0000CD490000}"/>
    <cellStyle name="Nota 3 6 3 2 3 3 2 3" xfId="12963" xr:uid="{00000000-0005-0000-0000-0000CE490000}"/>
    <cellStyle name="Nota 3 6 3 2 3 3 3" xfId="5354" xr:uid="{00000000-0005-0000-0000-0000CF490000}"/>
    <cellStyle name="Nota 3 6 3 2 3 3 3 2" xfId="18872" xr:uid="{00000000-0005-0000-0000-0000D0490000}"/>
    <cellStyle name="Nota 3 6 3 2 3 3 4" xfId="9943" xr:uid="{00000000-0005-0000-0000-0000D1490000}"/>
    <cellStyle name="Nota 3 6 3 2 3 3 5" xfId="13967" xr:uid="{00000000-0005-0000-0000-0000D2490000}"/>
    <cellStyle name="Nota 3 6 3 2 3 4" xfId="4407" xr:uid="{00000000-0005-0000-0000-0000D3490000}"/>
    <cellStyle name="Nota 3 6 3 2 3 4 2" xfId="8309" xr:uid="{00000000-0005-0000-0000-0000D4490000}"/>
    <cellStyle name="Nota 3 6 3 2 3 4 2 2" xfId="12277" xr:uid="{00000000-0005-0000-0000-0000D5490000}"/>
    <cellStyle name="Nota 3 6 3 2 3 4 2 3" xfId="21827" xr:uid="{00000000-0005-0000-0000-0000D6490000}"/>
    <cellStyle name="Nota 3 6 3 2 3 4 3" xfId="6601" xr:uid="{00000000-0005-0000-0000-0000D7490000}"/>
    <cellStyle name="Nota 3 6 3 2 3 4 3 2" xfId="20119" xr:uid="{00000000-0005-0000-0000-0000D8490000}"/>
    <cellStyle name="Nota 3 6 3 2 3 4 4" xfId="10121" xr:uid="{00000000-0005-0000-0000-0000D9490000}"/>
    <cellStyle name="Nota 3 6 3 2 3 4 5" xfId="13598" xr:uid="{00000000-0005-0000-0000-0000DA490000}"/>
    <cellStyle name="Nota 3 6 3 2 3 5" xfId="4789" xr:uid="{00000000-0005-0000-0000-0000DB490000}"/>
    <cellStyle name="Nota 3 6 3 2 3 5 2" xfId="8541" xr:uid="{00000000-0005-0000-0000-0000DC490000}"/>
    <cellStyle name="Nota 3 6 3 2 3 5 2 2" xfId="12509" xr:uid="{00000000-0005-0000-0000-0000DD490000}"/>
    <cellStyle name="Nota 3 6 3 2 3 5 2 3" xfId="22059" xr:uid="{00000000-0005-0000-0000-0000DE490000}"/>
    <cellStyle name="Nota 3 6 3 2 3 5 3" xfId="6833" xr:uid="{00000000-0005-0000-0000-0000DF490000}"/>
    <cellStyle name="Nota 3 6 3 2 3 5 3 2" xfId="20351" xr:uid="{00000000-0005-0000-0000-0000E0490000}"/>
    <cellStyle name="Nota 3 6 3 2 3 5 4" xfId="10298" xr:uid="{00000000-0005-0000-0000-0000E1490000}"/>
    <cellStyle name="Nota 3 6 3 2 3 5 5" xfId="13216" xr:uid="{00000000-0005-0000-0000-0000E2490000}"/>
    <cellStyle name="Nota 3 6 3 2 3 6" xfId="7065" xr:uid="{00000000-0005-0000-0000-0000E3490000}"/>
    <cellStyle name="Nota 3 6 3 2 3 6 2" xfId="8773" xr:uid="{00000000-0005-0000-0000-0000E4490000}"/>
    <cellStyle name="Nota 3 6 3 2 3 6 2 2" xfId="12741" xr:uid="{00000000-0005-0000-0000-0000E5490000}"/>
    <cellStyle name="Nota 3 6 3 2 3 6 2 3" xfId="22291" xr:uid="{00000000-0005-0000-0000-0000E6490000}"/>
    <cellStyle name="Nota 3 6 3 2 3 6 3" xfId="11199" xr:uid="{00000000-0005-0000-0000-0000E7490000}"/>
    <cellStyle name="Nota 3 6 3 2 3 6 4" xfId="20583" xr:uid="{00000000-0005-0000-0000-0000E8490000}"/>
    <cellStyle name="Nota 3 6 3 2 3 7" xfId="6053" xr:uid="{00000000-0005-0000-0000-0000E9490000}"/>
    <cellStyle name="Nota 3 6 3 2 3 7 2" xfId="10794" xr:uid="{00000000-0005-0000-0000-0000EA490000}"/>
    <cellStyle name="Nota 3 6 3 2 3 7 3" xfId="19571" xr:uid="{00000000-0005-0000-0000-0000EB490000}"/>
    <cellStyle name="Nota 3 6 3 2 3 8" xfId="7761" xr:uid="{00000000-0005-0000-0000-0000EC490000}"/>
    <cellStyle name="Nota 3 6 3 2 3 8 2" xfId="11782" xr:uid="{00000000-0005-0000-0000-0000ED490000}"/>
    <cellStyle name="Nota 3 6 3 2 3 8 3" xfId="21279" xr:uid="{00000000-0005-0000-0000-0000EE490000}"/>
    <cellStyle name="Nota 3 6 3 2 3 9" xfId="5247" xr:uid="{00000000-0005-0000-0000-0000EF490000}"/>
    <cellStyle name="Nota 3 6 3 2 3 9 2" xfId="12847" xr:uid="{00000000-0005-0000-0000-0000F0490000}"/>
    <cellStyle name="Nota 3 6 3 2 4" xfId="3311" xr:uid="{00000000-0005-0000-0000-0000F1490000}"/>
    <cellStyle name="Nota 3 6 3 2 4 2" xfId="3698" xr:uid="{00000000-0005-0000-0000-0000F2490000}"/>
    <cellStyle name="Nota 3 6 3 2 4 2 2" xfId="15051" xr:uid="{00000000-0005-0000-0000-0000F3490000}"/>
    <cellStyle name="Nota 3 6 3 2 4 3" xfId="4081" xr:uid="{00000000-0005-0000-0000-0000F4490000}"/>
    <cellStyle name="Nota 3 6 3 2 4 3 2" xfId="12823" xr:uid="{00000000-0005-0000-0000-0000F5490000}"/>
    <cellStyle name="Nota 3 6 3 2 4 4" xfId="4464" xr:uid="{00000000-0005-0000-0000-0000F6490000}"/>
    <cellStyle name="Nota 3 6 3 2 4 4 2" xfId="13541" xr:uid="{00000000-0005-0000-0000-0000F7490000}"/>
    <cellStyle name="Nota 3 6 3 2 4 5" xfId="4846" xr:uid="{00000000-0005-0000-0000-0000F8490000}"/>
    <cellStyle name="Nota 3 6 3 2 4 5 2" xfId="13160" xr:uid="{00000000-0005-0000-0000-0000F9490000}"/>
    <cellStyle name="Nota 3 6 3 2 4 6" xfId="5843" xr:uid="{00000000-0005-0000-0000-0000FA490000}"/>
    <cellStyle name="Nota 3 6 3 2 4 6 2" xfId="19361" xr:uid="{00000000-0005-0000-0000-0000FB490000}"/>
    <cellStyle name="Nota 3 6 3 2 4 7" xfId="9441" xr:uid="{00000000-0005-0000-0000-0000FC490000}"/>
    <cellStyle name="Nota 3 6 3 2 4 8" xfId="15825" xr:uid="{00000000-0005-0000-0000-0000FD490000}"/>
    <cellStyle name="Nota 3 6 3 2 5" xfId="2929" xr:uid="{00000000-0005-0000-0000-0000FE490000}"/>
    <cellStyle name="Nota 3 6 3 2 5 2" xfId="7551" xr:uid="{00000000-0005-0000-0000-0000FF490000}"/>
    <cellStyle name="Nota 3 6 3 2 5 2 2" xfId="21069" xr:uid="{00000000-0005-0000-0000-0000004A0000}"/>
    <cellStyle name="Nota 3 6 3 2 5 3" xfId="9081" xr:uid="{00000000-0005-0000-0000-0000014A0000}"/>
    <cellStyle name="Nota 3 6 3 2 5 4" xfId="18354" xr:uid="{00000000-0005-0000-0000-0000024A0000}"/>
    <cellStyle name="Nota 3 6 3 2 6" xfId="8919" xr:uid="{00000000-0005-0000-0000-0000034A0000}"/>
    <cellStyle name="Nota 3 6 3 3" xfId="2647" xr:uid="{00000000-0005-0000-0000-0000044A0000}"/>
    <cellStyle name="Nota 3 6 3 3 2" xfId="2942" xr:uid="{00000000-0005-0000-0000-0000054A0000}"/>
    <cellStyle name="Nota 3 6 3 3 2 10" xfId="9094" xr:uid="{00000000-0005-0000-0000-0000064A0000}"/>
    <cellStyle name="Nota 3 6 3 3 2 11" xfId="17456" xr:uid="{00000000-0005-0000-0000-0000074A0000}"/>
    <cellStyle name="Nota 3 6 3 3 2 2" xfId="3329" xr:uid="{00000000-0005-0000-0000-0000084A0000}"/>
    <cellStyle name="Nota 3 6 3 3 2 2 2" xfId="7383" xr:uid="{00000000-0005-0000-0000-0000094A0000}"/>
    <cellStyle name="Nota 3 6 3 3 2 2 2 2" xfId="11469" xr:uid="{00000000-0005-0000-0000-00000A4A0000}"/>
    <cellStyle name="Nota 3 6 3 3 2 2 2 3" xfId="20901" xr:uid="{00000000-0005-0000-0000-00000B4A0000}"/>
    <cellStyle name="Nota 3 6 3 3 2 2 3" xfId="5674" xr:uid="{00000000-0005-0000-0000-00000C4A0000}"/>
    <cellStyle name="Nota 3 6 3 3 2 2 3 2" xfId="19192" xr:uid="{00000000-0005-0000-0000-00000D4A0000}"/>
    <cellStyle name="Nota 3 6 3 3 2 2 4" xfId="9459" xr:uid="{00000000-0005-0000-0000-00000E4A0000}"/>
    <cellStyle name="Nota 3 6 3 3 2 2 5" xfId="15236" xr:uid="{00000000-0005-0000-0000-00000F4A0000}"/>
    <cellStyle name="Nota 3 6 3 3 2 3" xfId="3712" xr:uid="{00000000-0005-0000-0000-0000104A0000}"/>
    <cellStyle name="Nota 3 6 3 3 2 3 2" xfId="7802" xr:uid="{00000000-0005-0000-0000-0000114A0000}"/>
    <cellStyle name="Nota 3 6 3 3 2 3 2 2" xfId="11817" xr:uid="{00000000-0005-0000-0000-0000124A0000}"/>
    <cellStyle name="Nota 3 6 3 3 2 3 2 3" xfId="21320" xr:uid="{00000000-0005-0000-0000-0000134A0000}"/>
    <cellStyle name="Nota 3 6 3 3 2 3 3" xfId="6094" xr:uid="{00000000-0005-0000-0000-0000144A0000}"/>
    <cellStyle name="Nota 3 6 3 3 2 3 3 2" xfId="19612" xr:uid="{00000000-0005-0000-0000-0000154A0000}"/>
    <cellStyle name="Nota 3 6 3 3 2 3 4" xfId="9774" xr:uid="{00000000-0005-0000-0000-0000164A0000}"/>
    <cellStyle name="Nota 3 6 3 3 2 3 5" xfId="18673" xr:uid="{00000000-0005-0000-0000-0000174A0000}"/>
    <cellStyle name="Nota 3 6 3 3 2 4" xfId="4095" xr:uid="{00000000-0005-0000-0000-0000184A0000}"/>
    <cellStyle name="Nota 3 6 3 3 2 4 2" xfId="8216" xr:uid="{00000000-0005-0000-0000-0000194A0000}"/>
    <cellStyle name="Nota 3 6 3 3 2 4 2 2" xfId="12184" xr:uid="{00000000-0005-0000-0000-00001A4A0000}"/>
    <cellStyle name="Nota 3 6 3 3 2 4 2 3" xfId="21734" xr:uid="{00000000-0005-0000-0000-00001B4A0000}"/>
    <cellStyle name="Nota 3 6 3 3 2 4 3" xfId="6508" xr:uid="{00000000-0005-0000-0000-00001C4A0000}"/>
    <cellStyle name="Nota 3 6 3 3 2 4 3 2" xfId="20026" xr:uid="{00000000-0005-0000-0000-00001D4A0000}"/>
    <cellStyle name="Nota 3 6 3 3 2 4 4" xfId="9952" xr:uid="{00000000-0005-0000-0000-00001E4A0000}"/>
    <cellStyle name="Nota 3 6 3 3 2 4 5" xfId="13899" xr:uid="{00000000-0005-0000-0000-00001F4A0000}"/>
    <cellStyle name="Nota 3 6 3 3 2 5" xfId="4477" xr:uid="{00000000-0005-0000-0000-0000204A0000}"/>
    <cellStyle name="Nota 3 6 3 3 2 5 2" xfId="8448" xr:uid="{00000000-0005-0000-0000-0000214A0000}"/>
    <cellStyle name="Nota 3 6 3 3 2 5 2 2" xfId="12416" xr:uid="{00000000-0005-0000-0000-0000224A0000}"/>
    <cellStyle name="Nota 3 6 3 3 2 5 2 3" xfId="21966" xr:uid="{00000000-0005-0000-0000-0000234A0000}"/>
    <cellStyle name="Nota 3 6 3 3 2 5 3" xfId="6740" xr:uid="{00000000-0005-0000-0000-0000244A0000}"/>
    <cellStyle name="Nota 3 6 3 3 2 5 3 2" xfId="20258" xr:uid="{00000000-0005-0000-0000-0000254A0000}"/>
    <cellStyle name="Nota 3 6 3 3 2 5 4" xfId="10129" xr:uid="{00000000-0005-0000-0000-0000264A0000}"/>
    <cellStyle name="Nota 3 6 3 3 2 5 5" xfId="13528" xr:uid="{00000000-0005-0000-0000-0000274A0000}"/>
    <cellStyle name="Nota 3 6 3 3 2 6" xfId="6972" xr:uid="{00000000-0005-0000-0000-0000284A0000}"/>
    <cellStyle name="Nota 3 6 3 3 2 6 2" xfId="8680" xr:uid="{00000000-0005-0000-0000-0000294A0000}"/>
    <cellStyle name="Nota 3 6 3 3 2 6 2 2" xfId="12648" xr:uid="{00000000-0005-0000-0000-00002A4A0000}"/>
    <cellStyle name="Nota 3 6 3 3 2 6 2 3" xfId="22198" xr:uid="{00000000-0005-0000-0000-00002B4A0000}"/>
    <cellStyle name="Nota 3 6 3 3 2 6 3" xfId="11106" xr:uid="{00000000-0005-0000-0000-00002C4A0000}"/>
    <cellStyle name="Nota 3 6 3 3 2 6 4" xfId="20490" xr:uid="{00000000-0005-0000-0000-00002D4A0000}"/>
    <cellStyle name="Nota 3 6 3 3 2 7" xfId="5960" xr:uid="{00000000-0005-0000-0000-00002E4A0000}"/>
    <cellStyle name="Nota 3 6 3 3 2 7 2" xfId="10701" xr:uid="{00000000-0005-0000-0000-00002F4A0000}"/>
    <cellStyle name="Nota 3 6 3 3 2 7 3" xfId="19478" xr:uid="{00000000-0005-0000-0000-0000304A0000}"/>
    <cellStyle name="Nota 3 6 3 3 2 8" xfId="7668" xr:uid="{00000000-0005-0000-0000-0000314A0000}"/>
    <cellStyle name="Nota 3 6 3 3 2 8 2" xfId="11689" xr:uid="{00000000-0005-0000-0000-0000324A0000}"/>
    <cellStyle name="Nota 3 6 3 3 2 8 3" xfId="21186" xr:uid="{00000000-0005-0000-0000-0000334A0000}"/>
    <cellStyle name="Nota 3 6 3 3 2 9" xfId="5152" xr:uid="{00000000-0005-0000-0000-0000344A0000}"/>
    <cellStyle name="Nota 3 6 3 3 2 9 2" xfId="12775" xr:uid="{00000000-0005-0000-0000-0000354A0000}"/>
    <cellStyle name="Nota 3 6 3 3 3" xfId="3139" xr:uid="{00000000-0005-0000-0000-0000364A0000}"/>
    <cellStyle name="Nota 3 6 3 3 3 10" xfId="9269" xr:uid="{00000000-0005-0000-0000-0000374A0000}"/>
    <cellStyle name="Nota 3 6 3 3 3 11" xfId="15536" xr:uid="{00000000-0005-0000-0000-0000384A0000}"/>
    <cellStyle name="Nota 3 6 3 3 3 2" xfId="3526" xr:uid="{00000000-0005-0000-0000-0000394A0000}"/>
    <cellStyle name="Nota 3 6 3 3 3 2 2" xfId="7352" xr:uid="{00000000-0005-0000-0000-00003A4A0000}"/>
    <cellStyle name="Nota 3 6 3 3 3 2 2 2" xfId="11438" xr:uid="{00000000-0005-0000-0000-00003B4A0000}"/>
    <cellStyle name="Nota 3 6 3 3 3 2 2 3" xfId="20870" xr:uid="{00000000-0005-0000-0000-00003C4A0000}"/>
    <cellStyle name="Nota 3 6 3 3 3 2 3" xfId="5643" xr:uid="{00000000-0005-0000-0000-00003D4A0000}"/>
    <cellStyle name="Nota 3 6 3 3 3 2 3 2" xfId="19161" xr:uid="{00000000-0005-0000-0000-00003E4A0000}"/>
    <cellStyle name="Nota 3 6 3 3 3 2 4" xfId="9618" xr:uid="{00000000-0005-0000-0000-00003F4A0000}"/>
    <cellStyle name="Nota 3 6 3 3 3 2 5" xfId="15124" xr:uid="{00000000-0005-0000-0000-0000404A0000}"/>
    <cellStyle name="Nota 3 6 3 3 3 3" xfId="3909" xr:uid="{00000000-0005-0000-0000-0000414A0000}"/>
    <cellStyle name="Nota 3 6 3 3 3 3 2" xfId="8004" xr:uid="{00000000-0005-0000-0000-0000424A0000}"/>
    <cellStyle name="Nota 3 6 3 3 3 3 2 2" xfId="11980" xr:uid="{00000000-0005-0000-0000-0000434A0000}"/>
    <cellStyle name="Nota 3 6 3 3 3 3 2 3" xfId="21522" xr:uid="{00000000-0005-0000-0000-0000444A0000}"/>
    <cellStyle name="Nota 3 6 3 3 3 3 3" xfId="6296" xr:uid="{00000000-0005-0000-0000-0000454A0000}"/>
    <cellStyle name="Nota 3 6 3 3 3 3 3 2" xfId="19814" xr:uid="{00000000-0005-0000-0000-0000464A0000}"/>
    <cellStyle name="Nota 3 6 3 3 3 3 4" xfId="9832" xr:uid="{00000000-0005-0000-0000-0000474A0000}"/>
    <cellStyle name="Nota 3 6 3 3 3 3 5" xfId="14163" xr:uid="{00000000-0005-0000-0000-0000484A0000}"/>
    <cellStyle name="Nota 3 6 3 3 3 4" xfId="4292" xr:uid="{00000000-0005-0000-0000-0000494A0000}"/>
    <cellStyle name="Nota 3 6 3 3 3 4 2" xfId="8139" xr:uid="{00000000-0005-0000-0000-00004A4A0000}"/>
    <cellStyle name="Nota 3 6 3 3 3 4 2 2" xfId="12107" xr:uid="{00000000-0005-0000-0000-00004B4A0000}"/>
    <cellStyle name="Nota 3 6 3 3 3 4 2 3" xfId="21657" xr:uid="{00000000-0005-0000-0000-00004C4A0000}"/>
    <cellStyle name="Nota 3 6 3 3 3 4 3" xfId="6431" xr:uid="{00000000-0005-0000-0000-00004D4A0000}"/>
    <cellStyle name="Nota 3 6 3 3 3 4 3 2" xfId="19949" xr:uid="{00000000-0005-0000-0000-00004E4A0000}"/>
    <cellStyle name="Nota 3 6 3 3 3 4 4" xfId="10010" xr:uid="{00000000-0005-0000-0000-00004F4A0000}"/>
    <cellStyle name="Nota 3 6 3 3 3 4 5" xfId="13713" xr:uid="{00000000-0005-0000-0000-0000504A0000}"/>
    <cellStyle name="Nota 3 6 3 3 3 5" xfId="4674" xr:uid="{00000000-0005-0000-0000-0000514A0000}"/>
    <cellStyle name="Nota 3 6 3 3 3 5 2" xfId="8371" xr:uid="{00000000-0005-0000-0000-0000524A0000}"/>
    <cellStyle name="Nota 3 6 3 3 3 5 2 2" xfId="12339" xr:uid="{00000000-0005-0000-0000-0000534A0000}"/>
    <cellStyle name="Nota 3 6 3 3 3 5 2 3" xfId="21889" xr:uid="{00000000-0005-0000-0000-0000544A0000}"/>
    <cellStyle name="Nota 3 6 3 3 3 5 3" xfId="6663" xr:uid="{00000000-0005-0000-0000-0000554A0000}"/>
    <cellStyle name="Nota 3 6 3 3 3 5 3 2" xfId="20181" xr:uid="{00000000-0005-0000-0000-0000564A0000}"/>
    <cellStyle name="Nota 3 6 3 3 3 5 4" xfId="10187" xr:uid="{00000000-0005-0000-0000-0000574A0000}"/>
    <cellStyle name="Nota 3 6 3 3 3 5 5" xfId="13331" xr:uid="{00000000-0005-0000-0000-0000584A0000}"/>
    <cellStyle name="Nota 3 6 3 3 3 6" xfId="6895" xr:uid="{00000000-0005-0000-0000-0000594A0000}"/>
    <cellStyle name="Nota 3 6 3 3 3 6 2" xfId="8603" xr:uid="{00000000-0005-0000-0000-00005A4A0000}"/>
    <cellStyle name="Nota 3 6 3 3 3 6 2 2" xfId="12571" xr:uid="{00000000-0005-0000-0000-00005B4A0000}"/>
    <cellStyle name="Nota 3 6 3 3 3 6 2 3" xfId="22121" xr:uid="{00000000-0005-0000-0000-00005C4A0000}"/>
    <cellStyle name="Nota 3 6 3 3 3 6 3" xfId="11029" xr:uid="{00000000-0005-0000-0000-00005D4A0000}"/>
    <cellStyle name="Nota 3 6 3 3 3 6 4" xfId="20413" xr:uid="{00000000-0005-0000-0000-00005E4A0000}"/>
    <cellStyle name="Nota 3 6 3 3 3 7" xfId="5883" xr:uid="{00000000-0005-0000-0000-00005F4A0000}"/>
    <cellStyle name="Nota 3 6 3 3 3 7 2" xfId="10624" xr:uid="{00000000-0005-0000-0000-0000604A0000}"/>
    <cellStyle name="Nota 3 6 3 3 3 7 3" xfId="19401" xr:uid="{00000000-0005-0000-0000-0000614A0000}"/>
    <cellStyle name="Nota 3 6 3 3 3 8" xfId="7591" xr:uid="{00000000-0005-0000-0000-0000624A0000}"/>
    <cellStyle name="Nota 3 6 3 3 3 8 2" xfId="11612" xr:uid="{00000000-0005-0000-0000-0000634A0000}"/>
    <cellStyle name="Nota 3 6 3 3 3 8 3" xfId="21109" xr:uid="{00000000-0005-0000-0000-0000644A0000}"/>
    <cellStyle name="Nota 3 6 3 3 3 9" xfId="4973" xr:uid="{00000000-0005-0000-0000-0000654A0000}"/>
    <cellStyle name="Nota 3 6 3 3 3 9 2" xfId="13046" xr:uid="{00000000-0005-0000-0000-0000664A0000}"/>
    <cellStyle name="Nota 3 6 3 3 4" xfId="3255" xr:uid="{00000000-0005-0000-0000-0000674A0000}"/>
    <cellStyle name="Nota 3 6 3 3 4 2" xfId="3642" xr:uid="{00000000-0005-0000-0000-0000684A0000}"/>
    <cellStyle name="Nota 3 6 3 3 4 2 2" xfId="14465" xr:uid="{00000000-0005-0000-0000-0000694A0000}"/>
    <cellStyle name="Nota 3 6 3 3 4 3" xfId="4025" xr:uid="{00000000-0005-0000-0000-00006A4A0000}"/>
    <cellStyle name="Nota 3 6 3 3 4 3 2" xfId="13966" xr:uid="{00000000-0005-0000-0000-00006B4A0000}"/>
    <cellStyle name="Nota 3 6 3 3 4 4" xfId="4408" xr:uid="{00000000-0005-0000-0000-00006C4A0000}"/>
    <cellStyle name="Nota 3 6 3 3 4 4 2" xfId="13597" xr:uid="{00000000-0005-0000-0000-00006D4A0000}"/>
    <cellStyle name="Nota 3 6 3 3 4 5" xfId="4790" xr:uid="{00000000-0005-0000-0000-00006E4A0000}"/>
    <cellStyle name="Nota 3 6 3 3 4 5 2" xfId="13215" xr:uid="{00000000-0005-0000-0000-00006F4A0000}"/>
    <cellStyle name="Nota 3 6 3 3 4 6" xfId="5802" xr:uid="{00000000-0005-0000-0000-0000704A0000}"/>
    <cellStyle name="Nota 3 6 3 3 4 6 2" xfId="19320" xr:uid="{00000000-0005-0000-0000-0000714A0000}"/>
    <cellStyle name="Nota 3 6 3 3 4 7" xfId="9385" xr:uid="{00000000-0005-0000-0000-0000724A0000}"/>
    <cellStyle name="Nota 3 6 3 3 4 8" xfId="15293" xr:uid="{00000000-0005-0000-0000-0000734A0000}"/>
    <cellStyle name="Nota 3 6 3 3 5" xfId="2847" xr:uid="{00000000-0005-0000-0000-0000744A0000}"/>
    <cellStyle name="Nota 3 6 3 3 5 2" xfId="7510" xr:uid="{00000000-0005-0000-0000-0000754A0000}"/>
    <cellStyle name="Nota 3 6 3 3 5 2 2" xfId="21028" xr:uid="{00000000-0005-0000-0000-0000764A0000}"/>
    <cellStyle name="Nota 3 6 3 3 5 3" xfId="9000" xr:uid="{00000000-0005-0000-0000-0000774A0000}"/>
    <cellStyle name="Nota 3 6 3 3 5 4" xfId="18623" xr:uid="{00000000-0005-0000-0000-0000784A0000}"/>
    <cellStyle name="Nota 3 6 3 3 6" xfId="8804" xr:uid="{00000000-0005-0000-0000-0000794A0000}"/>
    <cellStyle name="Nota 3 6 3 4" xfId="2963" xr:uid="{00000000-0005-0000-0000-00007A4A0000}"/>
    <cellStyle name="Nota 3 6 3 4 10" xfId="9115" xr:uid="{00000000-0005-0000-0000-00007B4A0000}"/>
    <cellStyle name="Nota 3 6 3 4 11" xfId="14509" xr:uid="{00000000-0005-0000-0000-00007C4A0000}"/>
    <cellStyle name="Nota 3 6 3 4 2" xfId="3350" xr:uid="{00000000-0005-0000-0000-00007D4A0000}"/>
    <cellStyle name="Nota 3 6 3 4 2 2" xfId="7927" xr:uid="{00000000-0005-0000-0000-00007E4A0000}"/>
    <cellStyle name="Nota 3 6 3 4 2 2 2" xfId="11903" xr:uid="{00000000-0005-0000-0000-00007F4A0000}"/>
    <cellStyle name="Nota 3 6 3 4 2 2 3" xfId="21445" xr:uid="{00000000-0005-0000-0000-0000804A0000}"/>
    <cellStyle name="Nota 3 6 3 4 2 3" xfId="6219" xr:uid="{00000000-0005-0000-0000-0000814A0000}"/>
    <cellStyle name="Nota 3 6 3 4 2 3 2" xfId="19737" xr:uid="{00000000-0005-0000-0000-0000824A0000}"/>
    <cellStyle name="Nota 3 6 3 4 2 4" xfId="9480" xr:uid="{00000000-0005-0000-0000-0000834A0000}"/>
    <cellStyle name="Nota 3 6 3 4 2 5" xfId="14752" xr:uid="{00000000-0005-0000-0000-0000844A0000}"/>
    <cellStyle name="Nota 3 6 3 4 3" xfId="3733" xr:uid="{00000000-0005-0000-0000-0000854A0000}"/>
    <cellStyle name="Nota 3 6 3 4 3 2" xfId="7829" xr:uid="{00000000-0005-0000-0000-0000864A0000}"/>
    <cellStyle name="Nota 3 6 3 4 3 2 2" xfId="11837" xr:uid="{00000000-0005-0000-0000-0000874A0000}"/>
    <cellStyle name="Nota 3 6 3 4 3 2 3" xfId="21347" xr:uid="{00000000-0005-0000-0000-0000884A0000}"/>
    <cellStyle name="Nota 3 6 3 4 3 3" xfId="6121" xr:uid="{00000000-0005-0000-0000-0000894A0000}"/>
    <cellStyle name="Nota 3 6 3 4 3 3 2" xfId="19639" xr:uid="{00000000-0005-0000-0000-00008A4A0000}"/>
    <cellStyle name="Nota 3 6 3 4 3 4" xfId="9795" xr:uid="{00000000-0005-0000-0000-00008B4A0000}"/>
    <cellStyle name="Nota 3 6 3 4 3 5" xfId="14765" xr:uid="{00000000-0005-0000-0000-00008C4A0000}"/>
    <cellStyle name="Nota 3 6 3 4 4" xfId="4116" xr:uid="{00000000-0005-0000-0000-00008D4A0000}"/>
    <cellStyle name="Nota 3 6 3 4 4 2" xfId="8234" xr:uid="{00000000-0005-0000-0000-00008E4A0000}"/>
    <cellStyle name="Nota 3 6 3 4 4 2 2" xfId="12202" xr:uid="{00000000-0005-0000-0000-00008F4A0000}"/>
    <cellStyle name="Nota 3 6 3 4 4 2 3" xfId="21752" xr:uid="{00000000-0005-0000-0000-0000904A0000}"/>
    <cellStyle name="Nota 3 6 3 4 4 3" xfId="6526" xr:uid="{00000000-0005-0000-0000-0000914A0000}"/>
    <cellStyle name="Nota 3 6 3 4 4 3 2" xfId="20044" xr:uid="{00000000-0005-0000-0000-0000924A0000}"/>
    <cellStyle name="Nota 3 6 3 4 4 4" xfId="9973" xr:uid="{00000000-0005-0000-0000-0000934A0000}"/>
    <cellStyle name="Nota 3 6 3 4 4 5" xfId="14155" xr:uid="{00000000-0005-0000-0000-0000944A0000}"/>
    <cellStyle name="Nota 3 6 3 4 5" xfId="4498" xr:uid="{00000000-0005-0000-0000-0000954A0000}"/>
    <cellStyle name="Nota 3 6 3 4 5 2" xfId="8466" xr:uid="{00000000-0005-0000-0000-0000964A0000}"/>
    <cellStyle name="Nota 3 6 3 4 5 2 2" xfId="12434" xr:uid="{00000000-0005-0000-0000-0000974A0000}"/>
    <cellStyle name="Nota 3 6 3 4 5 2 3" xfId="21984" xr:uid="{00000000-0005-0000-0000-0000984A0000}"/>
    <cellStyle name="Nota 3 6 3 4 5 3" xfId="6758" xr:uid="{00000000-0005-0000-0000-0000994A0000}"/>
    <cellStyle name="Nota 3 6 3 4 5 3 2" xfId="20276" xr:uid="{00000000-0005-0000-0000-00009A4A0000}"/>
    <cellStyle name="Nota 3 6 3 4 5 4" xfId="10150" xr:uid="{00000000-0005-0000-0000-00009B4A0000}"/>
    <cellStyle name="Nota 3 6 3 4 5 5" xfId="13507" xr:uid="{00000000-0005-0000-0000-00009C4A0000}"/>
    <cellStyle name="Nota 3 6 3 4 6" xfId="6990" xr:uid="{00000000-0005-0000-0000-00009D4A0000}"/>
    <cellStyle name="Nota 3 6 3 4 6 2" xfId="8698" xr:uid="{00000000-0005-0000-0000-00009E4A0000}"/>
    <cellStyle name="Nota 3 6 3 4 6 2 2" xfId="12666" xr:uid="{00000000-0005-0000-0000-00009F4A0000}"/>
    <cellStyle name="Nota 3 6 3 4 6 2 3" xfId="22216" xr:uid="{00000000-0005-0000-0000-0000A04A0000}"/>
    <cellStyle name="Nota 3 6 3 4 6 3" xfId="11124" xr:uid="{00000000-0005-0000-0000-0000A14A0000}"/>
    <cellStyle name="Nota 3 6 3 4 6 4" xfId="20508" xr:uid="{00000000-0005-0000-0000-0000A24A0000}"/>
    <cellStyle name="Nota 3 6 3 4 7" xfId="5978" xr:uid="{00000000-0005-0000-0000-0000A34A0000}"/>
    <cellStyle name="Nota 3 6 3 4 7 2" xfId="10719" xr:uid="{00000000-0005-0000-0000-0000A44A0000}"/>
    <cellStyle name="Nota 3 6 3 4 7 3" xfId="19496" xr:uid="{00000000-0005-0000-0000-0000A54A0000}"/>
    <cellStyle name="Nota 3 6 3 4 8" xfId="7686" xr:uid="{00000000-0005-0000-0000-0000A64A0000}"/>
    <cellStyle name="Nota 3 6 3 4 8 2" xfId="11707" xr:uid="{00000000-0005-0000-0000-0000A74A0000}"/>
    <cellStyle name="Nota 3 6 3 4 8 3" xfId="21204" xr:uid="{00000000-0005-0000-0000-0000A84A0000}"/>
    <cellStyle name="Nota 3 6 3 4 9" xfId="5172" xr:uid="{00000000-0005-0000-0000-0000A94A0000}"/>
    <cellStyle name="Nota 3 6 3 4 9 2" xfId="12910" xr:uid="{00000000-0005-0000-0000-0000AA4A0000}"/>
    <cellStyle name="Nota 3 6 3 5" xfId="3206" xr:uid="{00000000-0005-0000-0000-0000AB4A0000}"/>
    <cellStyle name="Nota 3 6 3 5 10" xfId="9336" xr:uid="{00000000-0005-0000-0000-0000AC4A0000}"/>
    <cellStyle name="Nota 3 6 3 5 11" xfId="14651" xr:uid="{00000000-0005-0000-0000-0000AD4A0000}"/>
    <cellStyle name="Nota 3 6 3 5 2" xfId="3593" xr:uid="{00000000-0005-0000-0000-0000AE4A0000}"/>
    <cellStyle name="Nota 3 6 3 5 2 2" xfId="7954" xr:uid="{00000000-0005-0000-0000-0000AF4A0000}"/>
    <cellStyle name="Nota 3 6 3 5 2 2 2" xfId="11930" xr:uid="{00000000-0005-0000-0000-0000B04A0000}"/>
    <cellStyle name="Nota 3 6 3 5 2 2 3" xfId="21472" xr:uid="{00000000-0005-0000-0000-0000B14A0000}"/>
    <cellStyle name="Nota 3 6 3 5 2 3" xfId="6246" xr:uid="{00000000-0005-0000-0000-0000B24A0000}"/>
    <cellStyle name="Nota 3 6 3 5 2 3 2" xfId="19764" xr:uid="{00000000-0005-0000-0000-0000B34A0000}"/>
    <cellStyle name="Nota 3 6 3 5 2 4" xfId="9685" xr:uid="{00000000-0005-0000-0000-0000B44A0000}"/>
    <cellStyle name="Nota 3 6 3 5 2 5" xfId="17522" xr:uid="{00000000-0005-0000-0000-0000B54A0000}"/>
    <cellStyle name="Nota 3 6 3 5 3" xfId="3976" xr:uid="{00000000-0005-0000-0000-0000B64A0000}"/>
    <cellStyle name="Nota 3 6 3 5 3 2" xfId="7876" xr:uid="{00000000-0005-0000-0000-0000B74A0000}"/>
    <cellStyle name="Nota 3 6 3 5 3 2 2" xfId="11867" xr:uid="{00000000-0005-0000-0000-0000B84A0000}"/>
    <cellStyle name="Nota 3 6 3 5 3 2 3" xfId="21394" xr:uid="{00000000-0005-0000-0000-0000B94A0000}"/>
    <cellStyle name="Nota 3 6 3 5 3 3" xfId="6168" xr:uid="{00000000-0005-0000-0000-0000BA4A0000}"/>
    <cellStyle name="Nota 3 6 3 5 3 3 2" xfId="19686" xr:uid="{00000000-0005-0000-0000-0000BB4A0000}"/>
    <cellStyle name="Nota 3 6 3 5 3 4" xfId="9895" xr:uid="{00000000-0005-0000-0000-0000BC4A0000}"/>
    <cellStyle name="Nota 3 6 3 5 3 5" xfId="14015" xr:uid="{00000000-0005-0000-0000-0000BD4A0000}"/>
    <cellStyle name="Nota 3 6 3 5 4" xfId="4359" xr:uid="{00000000-0005-0000-0000-0000BE4A0000}"/>
    <cellStyle name="Nota 3 6 3 5 4 2" xfId="8261" xr:uid="{00000000-0005-0000-0000-0000BF4A0000}"/>
    <cellStyle name="Nota 3 6 3 5 4 2 2" xfId="12229" xr:uid="{00000000-0005-0000-0000-0000C04A0000}"/>
    <cellStyle name="Nota 3 6 3 5 4 2 3" xfId="21779" xr:uid="{00000000-0005-0000-0000-0000C14A0000}"/>
    <cellStyle name="Nota 3 6 3 5 4 3" xfId="6553" xr:uid="{00000000-0005-0000-0000-0000C24A0000}"/>
    <cellStyle name="Nota 3 6 3 5 4 3 2" xfId="20071" xr:uid="{00000000-0005-0000-0000-0000C34A0000}"/>
    <cellStyle name="Nota 3 6 3 5 4 4" xfId="10073" xr:uid="{00000000-0005-0000-0000-0000C44A0000}"/>
    <cellStyle name="Nota 3 6 3 5 4 5" xfId="13646" xr:uid="{00000000-0005-0000-0000-0000C54A0000}"/>
    <cellStyle name="Nota 3 6 3 5 5" xfId="4741" xr:uid="{00000000-0005-0000-0000-0000C64A0000}"/>
    <cellStyle name="Nota 3 6 3 5 5 2" xfId="8493" xr:uid="{00000000-0005-0000-0000-0000C74A0000}"/>
    <cellStyle name="Nota 3 6 3 5 5 2 2" xfId="12461" xr:uid="{00000000-0005-0000-0000-0000C84A0000}"/>
    <cellStyle name="Nota 3 6 3 5 5 2 3" xfId="22011" xr:uid="{00000000-0005-0000-0000-0000C94A0000}"/>
    <cellStyle name="Nota 3 6 3 5 5 3" xfId="6785" xr:uid="{00000000-0005-0000-0000-0000CA4A0000}"/>
    <cellStyle name="Nota 3 6 3 5 5 3 2" xfId="20303" xr:uid="{00000000-0005-0000-0000-0000CB4A0000}"/>
    <cellStyle name="Nota 3 6 3 5 5 4" xfId="10250" xr:uid="{00000000-0005-0000-0000-0000CC4A0000}"/>
    <cellStyle name="Nota 3 6 3 5 5 5" xfId="13264" xr:uid="{00000000-0005-0000-0000-0000CD4A0000}"/>
    <cellStyle name="Nota 3 6 3 5 6" xfId="7017" xr:uid="{00000000-0005-0000-0000-0000CE4A0000}"/>
    <cellStyle name="Nota 3 6 3 5 6 2" xfId="8725" xr:uid="{00000000-0005-0000-0000-0000CF4A0000}"/>
    <cellStyle name="Nota 3 6 3 5 6 2 2" xfId="12693" xr:uid="{00000000-0005-0000-0000-0000D04A0000}"/>
    <cellStyle name="Nota 3 6 3 5 6 2 3" xfId="22243" xr:uid="{00000000-0005-0000-0000-0000D14A0000}"/>
    <cellStyle name="Nota 3 6 3 5 6 3" xfId="11151" xr:uid="{00000000-0005-0000-0000-0000D24A0000}"/>
    <cellStyle name="Nota 3 6 3 5 6 4" xfId="20535" xr:uid="{00000000-0005-0000-0000-0000D34A0000}"/>
    <cellStyle name="Nota 3 6 3 5 7" xfId="6005" xr:uid="{00000000-0005-0000-0000-0000D44A0000}"/>
    <cellStyle name="Nota 3 6 3 5 7 2" xfId="10746" xr:uid="{00000000-0005-0000-0000-0000D54A0000}"/>
    <cellStyle name="Nota 3 6 3 5 7 3" xfId="19523" xr:uid="{00000000-0005-0000-0000-0000D64A0000}"/>
    <cellStyle name="Nota 3 6 3 5 8" xfId="7713" xr:uid="{00000000-0005-0000-0000-0000D74A0000}"/>
    <cellStyle name="Nota 3 6 3 5 8 2" xfId="11734" xr:uid="{00000000-0005-0000-0000-0000D84A0000}"/>
    <cellStyle name="Nota 3 6 3 5 8 3" xfId="21231" xr:uid="{00000000-0005-0000-0000-0000D94A0000}"/>
    <cellStyle name="Nota 3 6 3 5 9" xfId="5199" xr:uid="{00000000-0005-0000-0000-0000DA4A0000}"/>
    <cellStyle name="Nota 3 6 3 5 9 2" xfId="12883" xr:uid="{00000000-0005-0000-0000-0000DB4A0000}"/>
    <cellStyle name="Nota 3 6 3 6" xfId="3263" xr:uid="{00000000-0005-0000-0000-0000DC4A0000}"/>
    <cellStyle name="Nota 3 6 3 6 2" xfId="3650" xr:uid="{00000000-0005-0000-0000-0000DD4A0000}"/>
    <cellStyle name="Nota 3 6 3 6 2 2" xfId="5066" xr:uid="{00000000-0005-0000-0000-0000DE4A0000}"/>
    <cellStyle name="Nota 3 6 3 6 2 2 2" xfId="12811" xr:uid="{00000000-0005-0000-0000-0000DF4A0000}"/>
    <cellStyle name="Nota 3 6 3 6 2 3" xfId="9741" xr:uid="{00000000-0005-0000-0000-0000E04A0000}"/>
    <cellStyle name="Nota 3 6 3 6 2 4" xfId="15247" xr:uid="{00000000-0005-0000-0000-0000E14A0000}"/>
    <cellStyle name="Nota 3 6 3 6 3" xfId="4033" xr:uid="{00000000-0005-0000-0000-0000E24A0000}"/>
    <cellStyle name="Nota 3 6 3 6 3 2" xfId="13958" xr:uid="{00000000-0005-0000-0000-0000E34A0000}"/>
    <cellStyle name="Nota 3 6 3 6 4" xfId="4416" xr:uid="{00000000-0005-0000-0000-0000E44A0000}"/>
    <cellStyle name="Nota 3 6 3 6 4 2" xfId="13589" xr:uid="{00000000-0005-0000-0000-0000E54A0000}"/>
    <cellStyle name="Nota 3 6 3 6 5" xfId="4798" xr:uid="{00000000-0005-0000-0000-0000E64A0000}"/>
    <cellStyle name="Nota 3 6 3 6 5 2" xfId="13208" xr:uid="{00000000-0005-0000-0000-0000E74A0000}"/>
    <cellStyle name="Nota 3 6 3 6 6" xfId="5349" xr:uid="{00000000-0005-0000-0000-0000E84A0000}"/>
    <cellStyle name="Nota 3 6 3 6 6 2" xfId="18867" xr:uid="{00000000-0005-0000-0000-0000E94A0000}"/>
    <cellStyle name="Nota 3 6 3 6 7" xfId="9393" xr:uid="{00000000-0005-0000-0000-0000EA4A0000}"/>
    <cellStyle name="Nota 3 6 3 6 8" xfId="17822" xr:uid="{00000000-0005-0000-0000-0000EB4A0000}"/>
    <cellStyle name="Nota 3 6 3 7" xfId="6092" xr:uid="{00000000-0005-0000-0000-0000EC4A0000}"/>
    <cellStyle name="Nota 3 6 3 7 2" xfId="7800" xr:uid="{00000000-0005-0000-0000-0000ED4A0000}"/>
    <cellStyle name="Nota 3 6 3 7 2 2" xfId="11816" xr:uid="{00000000-0005-0000-0000-0000EE4A0000}"/>
    <cellStyle name="Nota 3 6 3 7 2 3" xfId="21318" xr:uid="{00000000-0005-0000-0000-0000EF4A0000}"/>
    <cellStyle name="Nota 3 6 3 7 3" xfId="10805" xr:uid="{00000000-0005-0000-0000-0000F04A0000}"/>
    <cellStyle name="Nota 3 6 3 7 4" xfId="19610" xr:uid="{00000000-0005-0000-0000-0000F14A0000}"/>
    <cellStyle name="Nota 3 6 3 8" xfId="5714" xr:uid="{00000000-0005-0000-0000-0000F24A0000}"/>
    <cellStyle name="Nota 3 6 3 8 2" xfId="7423" xr:uid="{00000000-0005-0000-0000-0000F34A0000}"/>
    <cellStyle name="Nota 3 6 3 8 2 2" xfId="11486" xr:uid="{00000000-0005-0000-0000-0000F44A0000}"/>
    <cellStyle name="Nota 3 6 3 8 2 3" xfId="20941" xr:uid="{00000000-0005-0000-0000-0000F54A0000}"/>
    <cellStyle name="Nota 3 6 3 8 3" xfId="10511" xr:uid="{00000000-0005-0000-0000-0000F64A0000}"/>
    <cellStyle name="Nota 3 6 3 8 4" xfId="19232" xr:uid="{00000000-0005-0000-0000-0000F74A0000}"/>
    <cellStyle name="Nota 3 6 3 9" xfId="5537" xr:uid="{00000000-0005-0000-0000-0000F84A0000}"/>
    <cellStyle name="Nota 3 6 3 9 2" xfId="7246" xr:uid="{00000000-0005-0000-0000-0000F94A0000}"/>
    <cellStyle name="Nota 3 6 3 9 2 2" xfId="11355" xr:uid="{00000000-0005-0000-0000-0000FA4A0000}"/>
    <cellStyle name="Nota 3 6 3 9 2 3" xfId="20764" xr:uid="{00000000-0005-0000-0000-0000FB4A0000}"/>
    <cellStyle name="Nota 3 6 3 9 3" xfId="10495" xr:uid="{00000000-0005-0000-0000-0000FC4A0000}"/>
    <cellStyle name="Nota 3 6 3 9 4" xfId="19055" xr:uid="{00000000-0005-0000-0000-0000FD4A0000}"/>
    <cellStyle name="Nota 3 6 4" xfId="2725" xr:uid="{00000000-0005-0000-0000-0000FE4A0000}"/>
    <cellStyle name="Nota 3 6 4 2" xfId="2970" xr:uid="{00000000-0005-0000-0000-0000FF4A0000}"/>
    <cellStyle name="Nota 3 6 4 2 10" xfId="9122" xr:uid="{00000000-0005-0000-0000-0000004B0000}"/>
    <cellStyle name="Nota 3 6 4 2 11" xfId="18506" xr:uid="{00000000-0005-0000-0000-0000014B0000}"/>
    <cellStyle name="Nota 3 6 4 2 2" xfId="3357" xr:uid="{00000000-0005-0000-0000-0000024B0000}"/>
    <cellStyle name="Nota 3 6 4 2 2 2" xfId="7934" xr:uid="{00000000-0005-0000-0000-0000034B0000}"/>
    <cellStyle name="Nota 3 6 4 2 2 2 2" xfId="11910" xr:uid="{00000000-0005-0000-0000-0000044B0000}"/>
    <cellStyle name="Nota 3 6 4 2 2 2 3" xfId="21452" xr:uid="{00000000-0005-0000-0000-0000054B0000}"/>
    <cellStyle name="Nota 3 6 4 2 2 3" xfId="6226" xr:uid="{00000000-0005-0000-0000-0000064B0000}"/>
    <cellStyle name="Nota 3 6 4 2 2 3 2" xfId="19744" xr:uid="{00000000-0005-0000-0000-0000074B0000}"/>
    <cellStyle name="Nota 3 6 4 2 2 4" xfId="9487" xr:uid="{00000000-0005-0000-0000-0000084B0000}"/>
    <cellStyle name="Nota 3 6 4 2 2 5" xfId="15998" xr:uid="{00000000-0005-0000-0000-0000094B0000}"/>
    <cellStyle name="Nota 3 6 4 2 3" xfId="3740" xr:uid="{00000000-0005-0000-0000-00000A4B0000}"/>
    <cellStyle name="Nota 3 6 4 2 3 2" xfId="5097" xr:uid="{00000000-0005-0000-0000-00000B4B0000}"/>
    <cellStyle name="Nota 3 6 4 2 3 2 2" xfId="10344" xr:uid="{00000000-0005-0000-0000-00000C4B0000}"/>
    <cellStyle name="Nota 3 6 4 2 3 2 3" xfId="12942" xr:uid="{00000000-0005-0000-0000-00000D4B0000}"/>
    <cellStyle name="Nota 3 6 4 2 3 3" xfId="5317" xr:uid="{00000000-0005-0000-0000-00000E4B0000}"/>
    <cellStyle name="Nota 3 6 4 2 3 3 2" xfId="18835" xr:uid="{00000000-0005-0000-0000-00000F4B0000}"/>
    <cellStyle name="Nota 3 6 4 2 3 4" xfId="9802" xr:uid="{00000000-0005-0000-0000-0000104B0000}"/>
    <cellStyle name="Nota 3 6 4 2 3 5" xfId="17268" xr:uid="{00000000-0005-0000-0000-0000114B0000}"/>
    <cellStyle name="Nota 3 6 4 2 4" xfId="4123" xr:uid="{00000000-0005-0000-0000-0000124B0000}"/>
    <cellStyle name="Nota 3 6 4 2 4 2" xfId="8241" xr:uid="{00000000-0005-0000-0000-0000134B0000}"/>
    <cellStyle name="Nota 3 6 4 2 4 2 2" xfId="12209" xr:uid="{00000000-0005-0000-0000-0000144B0000}"/>
    <cellStyle name="Nota 3 6 4 2 4 2 3" xfId="21759" xr:uid="{00000000-0005-0000-0000-0000154B0000}"/>
    <cellStyle name="Nota 3 6 4 2 4 3" xfId="6533" xr:uid="{00000000-0005-0000-0000-0000164B0000}"/>
    <cellStyle name="Nota 3 6 4 2 4 3 2" xfId="20051" xr:uid="{00000000-0005-0000-0000-0000174B0000}"/>
    <cellStyle name="Nota 3 6 4 2 4 4" xfId="9980" xr:uid="{00000000-0005-0000-0000-0000184B0000}"/>
    <cellStyle name="Nota 3 6 4 2 4 5" xfId="13874" xr:uid="{00000000-0005-0000-0000-0000194B0000}"/>
    <cellStyle name="Nota 3 6 4 2 5" xfId="4505" xr:uid="{00000000-0005-0000-0000-00001A4B0000}"/>
    <cellStyle name="Nota 3 6 4 2 5 2" xfId="8473" xr:uid="{00000000-0005-0000-0000-00001B4B0000}"/>
    <cellStyle name="Nota 3 6 4 2 5 2 2" xfId="12441" xr:uid="{00000000-0005-0000-0000-00001C4B0000}"/>
    <cellStyle name="Nota 3 6 4 2 5 2 3" xfId="21991" xr:uid="{00000000-0005-0000-0000-00001D4B0000}"/>
    <cellStyle name="Nota 3 6 4 2 5 3" xfId="6765" xr:uid="{00000000-0005-0000-0000-00001E4B0000}"/>
    <cellStyle name="Nota 3 6 4 2 5 3 2" xfId="20283" xr:uid="{00000000-0005-0000-0000-00001F4B0000}"/>
    <cellStyle name="Nota 3 6 4 2 5 4" xfId="10157" xr:uid="{00000000-0005-0000-0000-0000204B0000}"/>
    <cellStyle name="Nota 3 6 4 2 5 5" xfId="13500" xr:uid="{00000000-0005-0000-0000-0000214B0000}"/>
    <cellStyle name="Nota 3 6 4 2 6" xfId="6997" xr:uid="{00000000-0005-0000-0000-0000224B0000}"/>
    <cellStyle name="Nota 3 6 4 2 6 2" xfId="8705" xr:uid="{00000000-0005-0000-0000-0000234B0000}"/>
    <cellStyle name="Nota 3 6 4 2 6 2 2" xfId="12673" xr:uid="{00000000-0005-0000-0000-0000244B0000}"/>
    <cellStyle name="Nota 3 6 4 2 6 2 3" xfId="22223" xr:uid="{00000000-0005-0000-0000-0000254B0000}"/>
    <cellStyle name="Nota 3 6 4 2 6 3" xfId="11131" xr:uid="{00000000-0005-0000-0000-0000264B0000}"/>
    <cellStyle name="Nota 3 6 4 2 6 4" xfId="20515" xr:uid="{00000000-0005-0000-0000-0000274B0000}"/>
    <cellStyle name="Nota 3 6 4 2 7" xfId="5985" xr:uid="{00000000-0005-0000-0000-0000284B0000}"/>
    <cellStyle name="Nota 3 6 4 2 7 2" xfId="10726" xr:uid="{00000000-0005-0000-0000-0000294B0000}"/>
    <cellStyle name="Nota 3 6 4 2 7 3" xfId="19503" xr:uid="{00000000-0005-0000-0000-00002A4B0000}"/>
    <cellStyle name="Nota 3 6 4 2 8" xfId="7693" xr:uid="{00000000-0005-0000-0000-00002B4B0000}"/>
    <cellStyle name="Nota 3 6 4 2 8 2" xfId="11714" xr:uid="{00000000-0005-0000-0000-00002C4B0000}"/>
    <cellStyle name="Nota 3 6 4 2 8 3" xfId="21211" xr:uid="{00000000-0005-0000-0000-00002D4B0000}"/>
    <cellStyle name="Nota 3 6 4 2 9" xfId="5179" xr:uid="{00000000-0005-0000-0000-00002E4B0000}"/>
    <cellStyle name="Nota 3 6 4 2 9 2" xfId="12903" xr:uid="{00000000-0005-0000-0000-00002F4B0000}"/>
    <cellStyle name="Nota 3 6 4 3" xfId="3215" xr:uid="{00000000-0005-0000-0000-0000304B0000}"/>
    <cellStyle name="Nota 3 6 4 3 10" xfId="9345" xr:uid="{00000000-0005-0000-0000-0000314B0000}"/>
    <cellStyle name="Nota 3 6 4 3 11" xfId="17119" xr:uid="{00000000-0005-0000-0000-0000324B0000}"/>
    <cellStyle name="Nota 3 6 4 3 2" xfId="3602" xr:uid="{00000000-0005-0000-0000-0000334B0000}"/>
    <cellStyle name="Nota 3 6 4 3 2 2" xfId="7963" xr:uid="{00000000-0005-0000-0000-0000344B0000}"/>
    <cellStyle name="Nota 3 6 4 3 2 2 2" xfId="11939" xr:uid="{00000000-0005-0000-0000-0000354B0000}"/>
    <cellStyle name="Nota 3 6 4 3 2 2 3" xfId="21481" xr:uid="{00000000-0005-0000-0000-0000364B0000}"/>
    <cellStyle name="Nota 3 6 4 3 2 3" xfId="6255" xr:uid="{00000000-0005-0000-0000-0000374B0000}"/>
    <cellStyle name="Nota 3 6 4 3 2 3 2" xfId="19773" xr:uid="{00000000-0005-0000-0000-0000384B0000}"/>
    <cellStyle name="Nota 3 6 4 3 2 4" xfId="9694" xr:uid="{00000000-0005-0000-0000-0000394B0000}"/>
    <cellStyle name="Nota 3 6 4 3 2 5" xfId="15805" xr:uid="{00000000-0005-0000-0000-00003A4B0000}"/>
    <cellStyle name="Nota 3 6 4 3 3" xfId="3985" xr:uid="{00000000-0005-0000-0000-00003B4B0000}"/>
    <cellStyle name="Nota 3 6 4 3 3 2" xfId="5069" xr:uid="{00000000-0005-0000-0000-00003C4B0000}"/>
    <cellStyle name="Nota 3 6 4 3 3 2 2" xfId="10321" xr:uid="{00000000-0005-0000-0000-00003D4B0000}"/>
    <cellStyle name="Nota 3 6 4 3 3 2 3" xfId="12808" xr:uid="{00000000-0005-0000-0000-00003E4B0000}"/>
    <cellStyle name="Nota 3 6 4 3 3 3" xfId="5346" xr:uid="{00000000-0005-0000-0000-00003F4B0000}"/>
    <cellStyle name="Nota 3 6 4 3 3 3 2" xfId="18864" xr:uid="{00000000-0005-0000-0000-0000404B0000}"/>
    <cellStyle name="Nota 3 6 4 3 3 4" xfId="9904" xr:uid="{00000000-0005-0000-0000-0000414B0000}"/>
    <cellStyle name="Nota 3 6 4 3 3 5" xfId="14006" xr:uid="{00000000-0005-0000-0000-0000424B0000}"/>
    <cellStyle name="Nota 3 6 4 3 4" xfId="4368" xr:uid="{00000000-0005-0000-0000-0000434B0000}"/>
    <cellStyle name="Nota 3 6 4 3 4 2" xfId="8270" xr:uid="{00000000-0005-0000-0000-0000444B0000}"/>
    <cellStyle name="Nota 3 6 4 3 4 2 2" xfId="12238" xr:uid="{00000000-0005-0000-0000-0000454B0000}"/>
    <cellStyle name="Nota 3 6 4 3 4 2 3" xfId="21788" xr:uid="{00000000-0005-0000-0000-0000464B0000}"/>
    <cellStyle name="Nota 3 6 4 3 4 3" xfId="6562" xr:uid="{00000000-0005-0000-0000-0000474B0000}"/>
    <cellStyle name="Nota 3 6 4 3 4 3 2" xfId="20080" xr:uid="{00000000-0005-0000-0000-0000484B0000}"/>
    <cellStyle name="Nota 3 6 4 3 4 4" xfId="10082" xr:uid="{00000000-0005-0000-0000-0000494B0000}"/>
    <cellStyle name="Nota 3 6 4 3 4 5" xfId="13637" xr:uid="{00000000-0005-0000-0000-00004A4B0000}"/>
    <cellStyle name="Nota 3 6 4 3 5" xfId="4750" xr:uid="{00000000-0005-0000-0000-00004B4B0000}"/>
    <cellStyle name="Nota 3 6 4 3 5 2" xfId="8502" xr:uid="{00000000-0005-0000-0000-00004C4B0000}"/>
    <cellStyle name="Nota 3 6 4 3 5 2 2" xfId="12470" xr:uid="{00000000-0005-0000-0000-00004D4B0000}"/>
    <cellStyle name="Nota 3 6 4 3 5 2 3" xfId="22020" xr:uid="{00000000-0005-0000-0000-00004E4B0000}"/>
    <cellStyle name="Nota 3 6 4 3 5 3" xfId="6794" xr:uid="{00000000-0005-0000-0000-00004F4B0000}"/>
    <cellStyle name="Nota 3 6 4 3 5 3 2" xfId="20312" xr:uid="{00000000-0005-0000-0000-0000504B0000}"/>
    <cellStyle name="Nota 3 6 4 3 5 4" xfId="10259" xr:uid="{00000000-0005-0000-0000-0000514B0000}"/>
    <cellStyle name="Nota 3 6 4 3 5 5" xfId="13255" xr:uid="{00000000-0005-0000-0000-0000524B0000}"/>
    <cellStyle name="Nota 3 6 4 3 6" xfId="7026" xr:uid="{00000000-0005-0000-0000-0000534B0000}"/>
    <cellStyle name="Nota 3 6 4 3 6 2" xfId="8734" xr:uid="{00000000-0005-0000-0000-0000544B0000}"/>
    <cellStyle name="Nota 3 6 4 3 6 2 2" xfId="12702" xr:uid="{00000000-0005-0000-0000-0000554B0000}"/>
    <cellStyle name="Nota 3 6 4 3 6 2 3" xfId="22252" xr:uid="{00000000-0005-0000-0000-0000564B0000}"/>
    <cellStyle name="Nota 3 6 4 3 6 3" xfId="11160" xr:uid="{00000000-0005-0000-0000-0000574B0000}"/>
    <cellStyle name="Nota 3 6 4 3 6 4" xfId="20544" xr:uid="{00000000-0005-0000-0000-0000584B0000}"/>
    <cellStyle name="Nota 3 6 4 3 7" xfId="6014" xr:uid="{00000000-0005-0000-0000-0000594B0000}"/>
    <cellStyle name="Nota 3 6 4 3 7 2" xfId="10755" xr:uid="{00000000-0005-0000-0000-00005A4B0000}"/>
    <cellStyle name="Nota 3 6 4 3 7 3" xfId="19532" xr:uid="{00000000-0005-0000-0000-00005B4B0000}"/>
    <cellStyle name="Nota 3 6 4 3 8" xfId="7722" xr:uid="{00000000-0005-0000-0000-00005C4B0000}"/>
    <cellStyle name="Nota 3 6 4 3 8 2" xfId="11743" xr:uid="{00000000-0005-0000-0000-00005D4B0000}"/>
    <cellStyle name="Nota 3 6 4 3 8 3" xfId="21240" xr:uid="{00000000-0005-0000-0000-00005E4B0000}"/>
    <cellStyle name="Nota 3 6 4 3 9" xfId="5208" xr:uid="{00000000-0005-0000-0000-00005F4B0000}"/>
    <cellStyle name="Nota 3 6 4 3 9 2" xfId="12767" xr:uid="{00000000-0005-0000-0000-0000604B0000}"/>
    <cellStyle name="Nota 3 6 4 4" xfId="3272" xr:uid="{00000000-0005-0000-0000-0000614B0000}"/>
    <cellStyle name="Nota 3 6 4 4 2" xfId="3659" xr:uid="{00000000-0005-0000-0000-0000624B0000}"/>
    <cellStyle name="Nota 3 6 4 4 2 2" xfId="18594" xr:uid="{00000000-0005-0000-0000-0000634B0000}"/>
    <cellStyle name="Nota 3 6 4 4 3" xfId="4042" xr:uid="{00000000-0005-0000-0000-0000644B0000}"/>
    <cellStyle name="Nota 3 6 4 4 3 2" xfId="13949" xr:uid="{00000000-0005-0000-0000-0000654B0000}"/>
    <cellStyle name="Nota 3 6 4 4 4" xfId="4425" xr:uid="{00000000-0005-0000-0000-0000664B0000}"/>
    <cellStyle name="Nota 3 6 4 4 4 2" xfId="13580" xr:uid="{00000000-0005-0000-0000-0000674B0000}"/>
    <cellStyle name="Nota 3 6 4 4 5" xfId="4807" xr:uid="{00000000-0005-0000-0000-0000684B0000}"/>
    <cellStyle name="Nota 3 6 4 4 5 2" xfId="13199" xr:uid="{00000000-0005-0000-0000-0000694B0000}"/>
    <cellStyle name="Nota 3 6 4 4 6" xfId="5793" xr:uid="{00000000-0005-0000-0000-00006A4B0000}"/>
    <cellStyle name="Nota 3 6 4 4 6 2" xfId="19311" xr:uid="{00000000-0005-0000-0000-00006B4B0000}"/>
    <cellStyle name="Nota 3 6 4 4 7" xfId="9402" xr:uid="{00000000-0005-0000-0000-00006C4B0000}"/>
    <cellStyle name="Nota 3 6 4 4 8" xfId="17969" xr:uid="{00000000-0005-0000-0000-00006D4B0000}"/>
    <cellStyle name="Nota 3 6 4 5" xfId="2890" xr:uid="{00000000-0005-0000-0000-00006E4B0000}"/>
    <cellStyle name="Nota 3 6 4 5 2" xfId="7501" xr:uid="{00000000-0005-0000-0000-00006F4B0000}"/>
    <cellStyle name="Nota 3 6 4 5 2 2" xfId="21019" xr:uid="{00000000-0005-0000-0000-0000704B0000}"/>
    <cellStyle name="Nota 3 6 4 5 3" xfId="9042" xr:uid="{00000000-0005-0000-0000-0000714B0000}"/>
    <cellStyle name="Nota 3 6 4 5 4" xfId="15390" xr:uid="{00000000-0005-0000-0000-0000724B0000}"/>
    <cellStyle name="Nota 3 6 4 6" xfId="8880" xr:uid="{00000000-0005-0000-0000-0000734B0000}"/>
    <cellStyle name="Nota 3 6 5" xfId="2668" xr:uid="{00000000-0005-0000-0000-0000744B0000}"/>
    <cellStyle name="Nota 3 6 5 2" xfId="2727" xr:uid="{00000000-0005-0000-0000-0000754B0000}"/>
    <cellStyle name="Nota 3 6 5 2 2" xfId="2971" xr:uid="{00000000-0005-0000-0000-0000764B0000}"/>
    <cellStyle name="Nota 3 6 5 2 2 10" xfId="9123" xr:uid="{00000000-0005-0000-0000-0000774B0000}"/>
    <cellStyle name="Nota 3 6 5 2 2 11" xfId="15705" xr:uid="{00000000-0005-0000-0000-0000784B0000}"/>
    <cellStyle name="Nota 3 6 5 2 2 2" xfId="3358" xr:uid="{00000000-0005-0000-0000-0000794B0000}"/>
    <cellStyle name="Nota 3 6 5 2 2 2 2" xfId="7935" xr:uid="{00000000-0005-0000-0000-00007A4B0000}"/>
    <cellStyle name="Nota 3 6 5 2 2 2 2 2" xfId="11911" xr:uid="{00000000-0005-0000-0000-00007B4B0000}"/>
    <cellStyle name="Nota 3 6 5 2 2 2 2 3" xfId="21453" xr:uid="{00000000-0005-0000-0000-00007C4B0000}"/>
    <cellStyle name="Nota 3 6 5 2 2 2 3" xfId="6227" xr:uid="{00000000-0005-0000-0000-00007D4B0000}"/>
    <cellStyle name="Nota 3 6 5 2 2 2 3 2" xfId="19745" xr:uid="{00000000-0005-0000-0000-00007E4B0000}"/>
    <cellStyle name="Nota 3 6 5 2 2 2 4" xfId="9488" xr:uid="{00000000-0005-0000-0000-00007F4B0000}"/>
    <cellStyle name="Nota 3 6 5 2 2 2 5" xfId="16135" xr:uid="{00000000-0005-0000-0000-0000804B0000}"/>
    <cellStyle name="Nota 3 6 5 2 2 3" xfId="3741" xr:uid="{00000000-0005-0000-0000-0000814B0000}"/>
    <cellStyle name="Nota 3 6 5 2 2 3 2" xfId="5088" xr:uid="{00000000-0005-0000-0000-0000824B0000}"/>
    <cellStyle name="Nota 3 6 5 2 2 3 2 2" xfId="10337" xr:uid="{00000000-0005-0000-0000-0000834B0000}"/>
    <cellStyle name="Nota 3 6 5 2 2 3 2 3" xfId="12947" xr:uid="{00000000-0005-0000-0000-0000844B0000}"/>
    <cellStyle name="Nota 3 6 5 2 2 3 3" xfId="5329" xr:uid="{00000000-0005-0000-0000-0000854B0000}"/>
    <cellStyle name="Nota 3 6 5 2 2 3 3 2" xfId="18847" xr:uid="{00000000-0005-0000-0000-0000864B0000}"/>
    <cellStyle name="Nota 3 6 5 2 2 3 4" xfId="9803" xr:uid="{00000000-0005-0000-0000-0000874B0000}"/>
    <cellStyle name="Nota 3 6 5 2 2 3 5" xfId="18559" xr:uid="{00000000-0005-0000-0000-0000884B0000}"/>
    <cellStyle name="Nota 3 6 5 2 2 4" xfId="4124" xr:uid="{00000000-0005-0000-0000-0000894B0000}"/>
    <cellStyle name="Nota 3 6 5 2 2 4 2" xfId="8242" xr:uid="{00000000-0005-0000-0000-00008A4B0000}"/>
    <cellStyle name="Nota 3 6 5 2 2 4 2 2" xfId="12210" xr:uid="{00000000-0005-0000-0000-00008B4B0000}"/>
    <cellStyle name="Nota 3 6 5 2 2 4 2 3" xfId="21760" xr:uid="{00000000-0005-0000-0000-00008C4B0000}"/>
    <cellStyle name="Nota 3 6 5 2 2 4 3" xfId="6534" xr:uid="{00000000-0005-0000-0000-00008D4B0000}"/>
    <cellStyle name="Nota 3 6 5 2 2 4 3 2" xfId="20052" xr:uid="{00000000-0005-0000-0000-00008E4B0000}"/>
    <cellStyle name="Nota 3 6 5 2 2 4 4" xfId="9981" xr:uid="{00000000-0005-0000-0000-00008F4B0000}"/>
    <cellStyle name="Nota 3 6 5 2 2 4 5" xfId="13873" xr:uid="{00000000-0005-0000-0000-0000904B0000}"/>
    <cellStyle name="Nota 3 6 5 2 2 5" xfId="4506" xr:uid="{00000000-0005-0000-0000-0000914B0000}"/>
    <cellStyle name="Nota 3 6 5 2 2 5 2" xfId="8474" xr:uid="{00000000-0005-0000-0000-0000924B0000}"/>
    <cellStyle name="Nota 3 6 5 2 2 5 2 2" xfId="12442" xr:uid="{00000000-0005-0000-0000-0000934B0000}"/>
    <cellStyle name="Nota 3 6 5 2 2 5 2 3" xfId="21992" xr:uid="{00000000-0005-0000-0000-0000944B0000}"/>
    <cellStyle name="Nota 3 6 5 2 2 5 3" xfId="6766" xr:uid="{00000000-0005-0000-0000-0000954B0000}"/>
    <cellStyle name="Nota 3 6 5 2 2 5 3 2" xfId="20284" xr:uid="{00000000-0005-0000-0000-0000964B0000}"/>
    <cellStyle name="Nota 3 6 5 2 2 5 4" xfId="10158" xr:uid="{00000000-0005-0000-0000-0000974B0000}"/>
    <cellStyle name="Nota 3 6 5 2 2 5 5" xfId="13499" xr:uid="{00000000-0005-0000-0000-0000984B0000}"/>
    <cellStyle name="Nota 3 6 5 2 2 6" xfId="6998" xr:uid="{00000000-0005-0000-0000-0000994B0000}"/>
    <cellStyle name="Nota 3 6 5 2 2 6 2" xfId="8706" xr:uid="{00000000-0005-0000-0000-00009A4B0000}"/>
    <cellStyle name="Nota 3 6 5 2 2 6 2 2" xfId="12674" xr:uid="{00000000-0005-0000-0000-00009B4B0000}"/>
    <cellStyle name="Nota 3 6 5 2 2 6 2 3" xfId="22224" xr:uid="{00000000-0005-0000-0000-00009C4B0000}"/>
    <cellStyle name="Nota 3 6 5 2 2 6 3" xfId="11132" xr:uid="{00000000-0005-0000-0000-00009D4B0000}"/>
    <cellStyle name="Nota 3 6 5 2 2 6 4" xfId="20516" xr:uid="{00000000-0005-0000-0000-00009E4B0000}"/>
    <cellStyle name="Nota 3 6 5 2 2 7" xfId="5986" xr:uid="{00000000-0005-0000-0000-00009F4B0000}"/>
    <cellStyle name="Nota 3 6 5 2 2 7 2" xfId="10727" xr:uid="{00000000-0005-0000-0000-0000A04B0000}"/>
    <cellStyle name="Nota 3 6 5 2 2 7 3" xfId="19504" xr:uid="{00000000-0005-0000-0000-0000A14B0000}"/>
    <cellStyle name="Nota 3 6 5 2 2 8" xfId="7694" xr:uid="{00000000-0005-0000-0000-0000A24B0000}"/>
    <cellStyle name="Nota 3 6 5 2 2 8 2" xfId="11715" xr:uid="{00000000-0005-0000-0000-0000A34B0000}"/>
    <cellStyle name="Nota 3 6 5 2 2 8 3" xfId="21212" xr:uid="{00000000-0005-0000-0000-0000A44B0000}"/>
    <cellStyle name="Nota 3 6 5 2 2 9" xfId="5180" xr:uid="{00000000-0005-0000-0000-0000A54B0000}"/>
    <cellStyle name="Nota 3 6 5 2 2 9 2" xfId="12902" xr:uid="{00000000-0005-0000-0000-0000A64B0000}"/>
    <cellStyle name="Nota 3 6 5 2 3" xfId="3217" xr:uid="{00000000-0005-0000-0000-0000A74B0000}"/>
    <cellStyle name="Nota 3 6 5 2 3 10" xfId="9347" xr:uid="{00000000-0005-0000-0000-0000A84B0000}"/>
    <cellStyle name="Nota 3 6 5 2 3 11" xfId="15295" xr:uid="{00000000-0005-0000-0000-0000A94B0000}"/>
    <cellStyle name="Nota 3 6 5 2 3 2" xfId="3604" xr:uid="{00000000-0005-0000-0000-0000AA4B0000}"/>
    <cellStyle name="Nota 3 6 5 2 3 2 2" xfId="7965" xr:uid="{00000000-0005-0000-0000-0000AB4B0000}"/>
    <cellStyle name="Nota 3 6 5 2 3 2 2 2" xfId="11941" xr:uid="{00000000-0005-0000-0000-0000AC4B0000}"/>
    <cellStyle name="Nota 3 6 5 2 3 2 2 3" xfId="21483" xr:uid="{00000000-0005-0000-0000-0000AD4B0000}"/>
    <cellStyle name="Nota 3 6 5 2 3 2 3" xfId="6257" xr:uid="{00000000-0005-0000-0000-0000AE4B0000}"/>
    <cellStyle name="Nota 3 6 5 2 3 2 3 2" xfId="19775" xr:uid="{00000000-0005-0000-0000-0000AF4B0000}"/>
    <cellStyle name="Nota 3 6 5 2 3 2 4" xfId="9696" xr:uid="{00000000-0005-0000-0000-0000B04B0000}"/>
    <cellStyle name="Nota 3 6 5 2 3 2 5" xfId="15257" xr:uid="{00000000-0005-0000-0000-0000B14B0000}"/>
    <cellStyle name="Nota 3 6 5 2 3 3" xfId="3987" xr:uid="{00000000-0005-0000-0000-0000B24B0000}"/>
    <cellStyle name="Nota 3 6 5 2 3 3 2" xfId="7773" xr:uid="{00000000-0005-0000-0000-0000B34B0000}"/>
    <cellStyle name="Nota 3 6 5 2 3 3 2 2" xfId="11794" xr:uid="{00000000-0005-0000-0000-0000B44B0000}"/>
    <cellStyle name="Nota 3 6 5 2 3 3 2 3" xfId="21291" xr:uid="{00000000-0005-0000-0000-0000B54B0000}"/>
    <cellStyle name="Nota 3 6 5 2 3 3 3" xfId="6065" xr:uid="{00000000-0005-0000-0000-0000B64B0000}"/>
    <cellStyle name="Nota 3 6 5 2 3 3 3 2" xfId="19583" xr:uid="{00000000-0005-0000-0000-0000B74B0000}"/>
    <cellStyle name="Nota 3 6 5 2 3 3 4" xfId="9906" xr:uid="{00000000-0005-0000-0000-0000B84B0000}"/>
    <cellStyle name="Nota 3 6 5 2 3 3 5" xfId="14004" xr:uid="{00000000-0005-0000-0000-0000B94B0000}"/>
    <cellStyle name="Nota 3 6 5 2 3 4" xfId="4370" xr:uid="{00000000-0005-0000-0000-0000BA4B0000}"/>
    <cellStyle name="Nota 3 6 5 2 3 4 2" xfId="8272" xr:uid="{00000000-0005-0000-0000-0000BB4B0000}"/>
    <cellStyle name="Nota 3 6 5 2 3 4 2 2" xfId="12240" xr:uid="{00000000-0005-0000-0000-0000BC4B0000}"/>
    <cellStyle name="Nota 3 6 5 2 3 4 2 3" xfId="21790" xr:uid="{00000000-0005-0000-0000-0000BD4B0000}"/>
    <cellStyle name="Nota 3 6 5 2 3 4 3" xfId="6564" xr:uid="{00000000-0005-0000-0000-0000BE4B0000}"/>
    <cellStyle name="Nota 3 6 5 2 3 4 3 2" xfId="20082" xr:uid="{00000000-0005-0000-0000-0000BF4B0000}"/>
    <cellStyle name="Nota 3 6 5 2 3 4 4" xfId="10084" xr:uid="{00000000-0005-0000-0000-0000C04B0000}"/>
    <cellStyle name="Nota 3 6 5 2 3 4 5" xfId="13635" xr:uid="{00000000-0005-0000-0000-0000C14B0000}"/>
    <cellStyle name="Nota 3 6 5 2 3 5" xfId="4752" xr:uid="{00000000-0005-0000-0000-0000C24B0000}"/>
    <cellStyle name="Nota 3 6 5 2 3 5 2" xfId="8504" xr:uid="{00000000-0005-0000-0000-0000C34B0000}"/>
    <cellStyle name="Nota 3 6 5 2 3 5 2 2" xfId="12472" xr:uid="{00000000-0005-0000-0000-0000C44B0000}"/>
    <cellStyle name="Nota 3 6 5 2 3 5 2 3" xfId="22022" xr:uid="{00000000-0005-0000-0000-0000C54B0000}"/>
    <cellStyle name="Nota 3 6 5 2 3 5 3" xfId="6796" xr:uid="{00000000-0005-0000-0000-0000C64B0000}"/>
    <cellStyle name="Nota 3 6 5 2 3 5 3 2" xfId="20314" xr:uid="{00000000-0005-0000-0000-0000C74B0000}"/>
    <cellStyle name="Nota 3 6 5 2 3 5 4" xfId="10261" xr:uid="{00000000-0005-0000-0000-0000C84B0000}"/>
    <cellStyle name="Nota 3 6 5 2 3 5 5" xfId="13253" xr:uid="{00000000-0005-0000-0000-0000C94B0000}"/>
    <cellStyle name="Nota 3 6 5 2 3 6" xfId="7028" xr:uid="{00000000-0005-0000-0000-0000CA4B0000}"/>
    <cellStyle name="Nota 3 6 5 2 3 6 2" xfId="8736" xr:uid="{00000000-0005-0000-0000-0000CB4B0000}"/>
    <cellStyle name="Nota 3 6 5 2 3 6 2 2" xfId="12704" xr:uid="{00000000-0005-0000-0000-0000CC4B0000}"/>
    <cellStyle name="Nota 3 6 5 2 3 6 2 3" xfId="22254" xr:uid="{00000000-0005-0000-0000-0000CD4B0000}"/>
    <cellStyle name="Nota 3 6 5 2 3 6 3" xfId="11162" xr:uid="{00000000-0005-0000-0000-0000CE4B0000}"/>
    <cellStyle name="Nota 3 6 5 2 3 6 4" xfId="20546" xr:uid="{00000000-0005-0000-0000-0000CF4B0000}"/>
    <cellStyle name="Nota 3 6 5 2 3 7" xfId="6016" xr:uid="{00000000-0005-0000-0000-0000D04B0000}"/>
    <cellStyle name="Nota 3 6 5 2 3 7 2" xfId="10757" xr:uid="{00000000-0005-0000-0000-0000D14B0000}"/>
    <cellStyle name="Nota 3 6 5 2 3 7 3" xfId="19534" xr:uid="{00000000-0005-0000-0000-0000D24B0000}"/>
    <cellStyle name="Nota 3 6 5 2 3 8" xfId="7724" xr:uid="{00000000-0005-0000-0000-0000D34B0000}"/>
    <cellStyle name="Nota 3 6 5 2 3 8 2" xfId="11745" xr:uid="{00000000-0005-0000-0000-0000D44B0000}"/>
    <cellStyle name="Nota 3 6 5 2 3 8 3" xfId="21242" xr:uid="{00000000-0005-0000-0000-0000D54B0000}"/>
    <cellStyle name="Nota 3 6 5 2 3 9" xfId="5210" xr:uid="{00000000-0005-0000-0000-0000D64B0000}"/>
    <cellStyle name="Nota 3 6 5 2 3 9 2" xfId="12765" xr:uid="{00000000-0005-0000-0000-0000D74B0000}"/>
    <cellStyle name="Nota 3 6 5 2 4" xfId="3274" xr:uid="{00000000-0005-0000-0000-0000D84B0000}"/>
    <cellStyle name="Nota 3 6 5 2 4 2" xfId="3661" xr:uid="{00000000-0005-0000-0000-0000D94B0000}"/>
    <cellStyle name="Nota 3 6 5 2 4 2 2" xfId="17132" xr:uid="{00000000-0005-0000-0000-0000DA4B0000}"/>
    <cellStyle name="Nota 3 6 5 2 4 3" xfId="4044" xr:uid="{00000000-0005-0000-0000-0000DB4B0000}"/>
    <cellStyle name="Nota 3 6 5 2 4 3 2" xfId="13947" xr:uid="{00000000-0005-0000-0000-0000DC4B0000}"/>
    <cellStyle name="Nota 3 6 5 2 4 4" xfId="4427" xr:uid="{00000000-0005-0000-0000-0000DD4B0000}"/>
    <cellStyle name="Nota 3 6 5 2 4 4 2" xfId="13578" xr:uid="{00000000-0005-0000-0000-0000DE4B0000}"/>
    <cellStyle name="Nota 3 6 5 2 4 5" xfId="4809" xr:uid="{00000000-0005-0000-0000-0000DF4B0000}"/>
    <cellStyle name="Nota 3 6 5 2 4 5 2" xfId="13197" xr:uid="{00000000-0005-0000-0000-0000E04B0000}"/>
    <cellStyle name="Nota 3 6 5 2 4 6" xfId="5845" xr:uid="{00000000-0005-0000-0000-0000E14B0000}"/>
    <cellStyle name="Nota 3 6 5 2 4 6 2" xfId="19363" xr:uid="{00000000-0005-0000-0000-0000E24B0000}"/>
    <cellStyle name="Nota 3 6 5 2 4 7" xfId="9404" xr:uid="{00000000-0005-0000-0000-0000E34B0000}"/>
    <cellStyle name="Nota 3 6 5 2 4 8" xfId="18731" xr:uid="{00000000-0005-0000-0000-0000E44B0000}"/>
    <cellStyle name="Nota 3 6 5 2 5" xfId="2892" xr:uid="{00000000-0005-0000-0000-0000E54B0000}"/>
    <cellStyle name="Nota 3 6 5 2 5 2" xfId="7553" xr:uid="{00000000-0005-0000-0000-0000E64B0000}"/>
    <cellStyle name="Nota 3 6 5 2 5 2 2" xfId="21071" xr:uid="{00000000-0005-0000-0000-0000E74B0000}"/>
    <cellStyle name="Nota 3 6 5 2 5 3" xfId="9044" xr:uid="{00000000-0005-0000-0000-0000E84B0000}"/>
    <cellStyle name="Nota 3 6 5 2 5 4" xfId="14839" xr:uid="{00000000-0005-0000-0000-0000E94B0000}"/>
    <cellStyle name="Nota 3 6 5 2 6" xfId="8882" xr:uid="{00000000-0005-0000-0000-0000EA4B0000}"/>
    <cellStyle name="Nota 3 6 5 3" xfId="2947" xr:uid="{00000000-0005-0000-0000-0000EB4B0000}"/>
    <cellStyle name="Nota 3 6 5 3 10" xfId="9099" xr:uid="{00000000-0005-0000-0000-0000EC4B0000}"/>
    <cellStyle name="Nota 3 6 5 3 11" xfId="18407" xr:uid="{00000000-0005-0000-0000-0000ED4B0000}"/>
    <cellStyle name="Nota 3 6 5 3 2" xfId="3334" xr:uid="{00000000-0005-0000-0000-0000EE4B0000}"/>
    <cellStyle name="Nota 3 6 5 3 2 2" xfId="7403" xr:uid="{00000000-0005-0000-0000-0000EF4B0000}"/>
    <cellStyle name="Nota 3 6 5 3 2 2 2" xfId="11482" xr:uid="{00000000-0005-0000-0000-0000F04B0000}"/>
    <cellStyle name="Nota 3 6 5 3 2 2 3" xfId="20921" xr:uid="{00000000-0005-0000-0000-0000F14B0000}"/>
    <cellStyle name="Nota 3 6 5 3 2 3" xfId="5694" xr:uid="{00000000-0005-0000-0000-0000F24B0000}"/>
    <cellStyle name="Nota 3 6 5 3 2 3 2" xfId="19212" xr:uid="{00000000-0005-0000-0000-0000F34B0000}"/>
    <cellStyle name="Nota 3 6 5 3 2 4" xfId="9464" xr:uid="{00000000-0005-0000-0000-0000F44B0000}"/>
    <cellStyle name="Nota 3 6 5 3 2 5" xfId="16095" xr:uid="{00000000-0005-0000-0000-0000F54B0000}"/>
    <cellStyle name="Nota 3 6 5 3 3" xfId="3717" xr:uid="{00000000-0005-0000-0000-0000F64B0000}"/>
    <cellStyle name="Nota 3 6 5 3 3 2" xfId="7432" xr:uid="{00000000-0005-0000-0000-0000F74B0000}"/>
    <cellStyle name="Nota 3 6 5 3 3 2 2" xfId="11493" xr:uid="{00000000-0005-0000-0000-0000F84B0000}"/>
    <cellStyle name="Nota 3 6 5 3 3 2 3" xfId="20950" xr:uid="{00000000-0005-0000-0000-0000F94B0000}"/>
    <cellStyle name="Nota 3 6 5 3 3 3" xfId="5723" xr:uid="{00000000-0005-0000-0000-0000FA4B0000}"/>
    <cellStyle name="Nota 3 6 5 3 3 3 2" xfId="19241" xr:uid="{00000000-0005-0000-0000-0000FB4B0000}"/>
    <cellStyle name="Nota 3 6 5 3 3 4" xfId="9779" xr:uid="{00000000-0005-0000-0000-0000FC4B0000}"/>
    <cellStyle name="Nota 3 6 5 3 3 5" xfId="17040" xr:uid="{00000000-0005-0000-0000-0000FD4B0000}"/>
    <cellStyle name="Nota 3 6 5 3 4" xfId="4100" xr:uid="{00000000-0005-0000-0000-0000FE4B0000}"/>
    <cellStyle name="Nota 3 6 5 3 4 2" xfId="8221" xr:uid="{00000000-0005-0000-0000-0000FF4B0000}"/>
    <cellStyle name="Nota 3 6 5 3 4 2 2" xfId="12189" xr:uid="{00000000-0005-0000-0000-0000004C0000}"/>
    <cellStyle name="Nota 3 6 5 3 4 2 3" xfId="21739" xr:uid="{00000000-0005-0000-0000-0000014C0000}"/>
    <cellStyle name="Nota 3 6 5 3 4 3" xfId="6513" xr:uid="{00000000-0005-0000-0000-0000024C0000}"/>
    <cellStyle name="Nota 3 6 5 3 4 3 2" xfId="20031" xr:uid="{00000000-0005-0000-0000-0000034C0000}"/>
    <cellStyle name="Nota 3 6 5 3 4 4" xfId="9957" xr:uid="{00000000-0005-0000-0000-0000044C0000}"/>
    <cellStyle name="Nota 3 6 5 3 4 5" xfId="13894" xr:uid="{00000000-0005-0000-0000-0000054C0000}"/>
    <cellStyle name="Nota 3 6 5 3 5" xfId="4482" xr:uid="{00000000-0005-0000-0000-0000064C0000}"/>
    <cellStyle name="Nota 3 6 5 3 5 2" xfId="8453" xr:uid="{00000000-0005-0000-0000-0000074C0000}"/>
    <cellStyle name="Nota 3 6 5 3 5 2 2" xfId="12421" xr:uid="{00000000-0005-0000-0000-0000084C0000}"/>
    <cellStyle name="Nota 3 6 5 3 5 2 3" xfId="21971" xr:uid="{00000000-0005-0000-0000-0000094C0000}"/>
    <cellStyle name="Nota 3 6 5 3 5 3" xfId="6745" xr:uid="{00000000-0005-0000-0000-00000A4C0000}"/>
    <cellStyle name="Nota 3 6 5 3 5 3 2" xfId="20263" xr:uid="{00000000-0005-0000-0000-00000B4C0000}"/>
    <cellStyle name="Nota 3 6 5 3 5 4" xfId="10134" xr:uid="{00000000-0005-0000-0000-00000C4C0000}"/>
    <cellStyle name="Nota 3 6 5 3 5 5" xfId="13523" xr:uid="{00000000-0005-0000-0000-00000D4C0000}"/>
    <cellStyle name="Nota 3 6 5 3 6" xfId="6977" xr:uid="{00000000-0005-0000-0000-00000E4C0000}"/>
    <cellStyle name="Nota 3 6 5 3 6 2" xfId="8685" xr:uid="{00000000-0005-0000-0000-00000F4C0000}"/>
    <cellStyle name="Nota 3 6 5 3 6 2 2" xfId="12653" xr:uid="{00000000-0005-0000-0000-0000104C0000}"/>
    <cellStyle name="Nota 3 6 5 3 6 2 3" xfId="22203" xr:uid="{00000000-0005-0000-0000-0000114C0000}"/>
    <cellStyle name="Nota 3 6 5 3 6 3" xfId="11111" xr:uid="{00000000-0005-0000-0000-0000124C0000}"/>
    <cellStyle name="Nota 3 6 5 3 6 4" xfId="20495" xr:uid="{00000000-0005-0000-0000-0000134C0000}"/>
    <cellStyle name="Nota 3 6 5 3 7" xfId="5965" xr:uid="{00000000-0005-0000-0000-0000144C0000}"/>
    <cellStyle name="Nota 3 6 5 3 7 2" xfId="10706" xr:uid="{00000000-0005-0000-0000-0000154C0000}"/>
    <cellStyle name="Nota 3 6 5 3 7 3" xfId="19483" xr:uid="{00000000-0005-0000-0000-0000164C0000}"/>
    <cellStyle name="Nota 3 6 5 3 8" xfId="7673" xr:uid="{00000000-0005-0000-0000-0000174C0000}"/>
    <cellStyle name="Nota 3 6 5 3 8 2" xfId="11694" xr:uid="{00000000-0005-0000-0000-0000184C0000}"/>
    <cellStyle name="Nota 3 6 5 3 8 3" xfId="21191" xr:uid="{00000000-0005-0000-0000-0000194C0000}"/>
    <cellStyle name="Nota 3 6 5 3 9" xfId="5158" xr:uid="{00000000-0005-0000-0000-00001A4C0000}"/>
    <cellStyle name="Nota 3 6 5 3 9 2" xfId="12769" xr:uid="{00000000-0005-0000-0000-00001B4C0000}"/>
    <cellStyle name="Nota 3 6 5 4" xfId="3160" xr:uid="{00000000-0005-0000-0000-00001C4C0000}"/>
    <cellStyle name="Nota 3 6 5 4 10" xfId="9290" xr:uid="{00000000-0005-0000-0000-00001D4C0000}"/>
    <cellStyle name="Nota 3 6 5 4 11" xfId="14663" xr:uid="{00000000-0005-0000-0000-00001E4C0000}"/>
    <cellStyle name="Nota 3 6 5 4 2" xfId="3547" xr:uid="{00000000-0005-0000-0000-00001F4C0000}"/>
    <cellStyle name="Nota 3 6 5 4 2 2" xfId="7278" xr:uid="{00000000-0005-0000-0000-0000204C0000}"/>
    <cellStyle name="Nota 3 6 5 4 2 2 2" xfId="11383" xr:uid="{00000000-0005-0000-0000-0000214C0000}"/>
    <cellStyle name="Nota 3 6 5 4 2 2 3" xfId="20796" xr:uid="{00000000-0005-0000-0000-0000224C0000}"/>
    <cellStyle name="Nota 3 6 5 4 2 3" xfId="5569" xr:uid="{00000000-0005-0000-0000-0000234C0000}"/>
    <cellStyle name="Nota 3 6 5 4 2 3 2" xfId="19087" xr:uid="{00000000-0005-0000-0000-0000244C0000}"/>
    <cellStyle name="Nota 3 6 5 4 2 4" xfId="9639" xr:uid="{00000000-0005-0000-0000-0000254C0000}"/>
    <cellStyle name="Nota 3 6 5 4 2 5" xfId="14359" xr:uid="{00000000-0005-0000-0000-0000264C0000}"/>
    <cellStyle name="Nota 3 6 5 4 3" xfId="3930" xr:uid="{00000000-0005-0000-0000-0000274C0000}"/>
    <cellStyle name="Nota 3 6 5 4 3 2" xfId="7082" xr:uid="{00000000-0005-0000-0000-0000284C0000}"/>
    <cellStyle name="Nota 3 6 5 4 3 2 2" xfId="11216" xr:uid="{00000000-0005-0000-0000-0000294C0000}"/>
    <cellStyle name="Nota 3 6 5 4 3 2 3" xfId="20600" xr:uid="{00000000-0005-0000-0000-00002A4C0000}"/>
    <cellStyle name="Nota 3 6 5 4 3 3" xfId="5373" xr:uid="{00000000-0005-0000-0000-00002B4C0000}"/>
    <cellStyle name="Nota 3 6 5 4 3 3 2" xfId="18891" xr:uid="{00000000-0005-0000-0000-00002C4C0000}"/>
    <cellStyle name="Nota 3 6 5 4 3 4" xfId="9853" xr:uid="{00000000-0005-0000-0000-00002D4C0000}"/>
    <cellStyle name="Nota 3 6 5 4 3 5" xfId="14061" xr:uid="{00000000-0005-0000-0000-00002E4C0000}"/>
    <cellStyle name="Nota 3 6 5 4 4" xfId="4313" xr:uid="{00000000-0005-0000-0000-00002F4C0000}"/>
    <cellStyle name="Nota 3 6 5 4 4 2" xfId="8180" xr:uid="{00000000-0005-0000-0000-0000304C0000}"/>
    <cellStyle name="Nota 3 6 5 4 4 2 2" xfId="12148" xr:uid="{00000000-0005-0000-0000-0000314C0000}"/>
    <cellStyle name="Nota 3 6 5 4 4 2 3" xfId="21698" xr:uid="{00000000-0005-0000-0000-0000324C0000}"/>
    <cellStyle name="Nota 3 6 5 4 4 3" xfId="6472" xr:uid="{00000000-0005-0000-0000-0000334C0000}"/>
    <cellStyle name="Nota 3 6 5 4 4 3 2" xfId="19990" xr:uid="{00000000-0005-0000-0000-0000344C0000}"/>
    <cellStyle name="Nota 3 6 5 4 4 4" xfId="10031" xr:uid="{00000000-0005-0000-0000-0000354C0000}"/>
    <cellStyle name="Nota 3 6 5 4 4 5" xfId="13692" xr:uid="{00000000-0005-0000-0000-0000364C0000}"/>
    <cellStyle name="Nota 3 6 5 4 5" xfId="4695" xr:uid="{00000000-0005-0000-0000-0000374C0000}"/>
    <cellStyle name="Nota 3 6 5 4 5 2" xfId="8412" xr:uid="{00000000-0005-0000-0000-0000384C0000}"/>
    <cellStyle name="Nota 3 6 5 4 5 2 2" xfId="12380" xr:uid="{00000000-0005-0000-0000-0000394C0000}"/>
    <cellStyle name="Nota 3 6 5 4 5 2 3" xfId="21930" xr:uid="{00000000-0005-0000-0000-00003A4C0000}"/>
    <cellStyle name="Nota 3 6 5 4 5 3" xfId="6704" xr:uid="{00000000-0005-0000-0000-00003B4C0000}"/>
    <cellStyle name="Nota 3 6 5 4 5 3 2" xfId="20222" xr:uid="{00000000-0005-0000-0000-00003C4C0000}"/>
    <cellStyle name="Nota 3 6 5 4 5 4" xfId="10208" xr:uid="{00000000-0005-0000-0000-00003D4C0000}"/>
    <cellStyle name="Nota 3 6 5 4 5 5" xfId="13310" xr:uid="{00000000-0005-0000-0000-00003E4C0000}"/>
    <cellStyle name="Nota 3 6 5 4 6" xfId="6936" xr:uid="{00000000-0005-0000-0000-00003F4C0000}"/>
    <cellStyle name="Nota 3 6 5 4 6 2" xfId="8644" xr:uid="{00000000-0005-0000-0000-0000404C0000}"/>
    <cellStyle name="Nota 3 6 5 4 6 2 2" xfId="12612" xr:uid="{00000000-0005-0000-0000-0000414C0000}"/>
    <cellStyle name="Nota 3 6 5 4 6 2 3" xfId="22162" xr:uid="{00000000-0005-0000-0000-0000424C0000}"/>
    <cellStyle name="Nota 3 6 5 4 6 3" xfId="11070" xr:uid="{00000000-0005-0000-0000-0000434C0000}"/>
    <cellStyle name="Nota 3 6 5 4 6 4" xfId="20454" xr:uid="{00000000-0005-0000-0000-0000444C0000}"/>
    <cellStyle name="Nota 3 6 5 4 7" xfId="5924" xr:uid="{00000000-0005-0000-0000-0000454C0000}"/>
    <cellStyle name="Nota 3 6 5 4 7 2" xfId="10665" xr:uid="{00000000-0005-0000-0000-0000464C0000}"/>
    <cellStyle name="Nota 3 6 5 4 7 3" xfId="19442" xr:uid="{00000000-0005-0000-0000-0000474C0000}"/>
    <cellStyle name="Nota 3 6 5 4 8" xfId="7632" xr:uid="{00000000-0005-0000-0000-0000484C0000}"/>
    <cellStyle name="Nota 3 6 5 4 8 2" xfId="11653" xr:uid="{00000000-0005-0000-0000-0000494C0000}"/>
    <cellStyle name="Nota 3 6 5 4 8 3" xfId="21150" xr:uid="{00000000-0005-0000-0000-00004A4C0000}"/>
    <cellStyle name="Nota 3 6 5 4 9" xfId="5020" xr:uid="{00000000-0005-0000-0000-00004B4C0000}"/>
    <cellStyle name="Nota 3 6 5 4 9 2" xfId="12999" xr:uid="{00000000-0005-0000-0000-00004C4C0000}"/>
    <cellStyle name="Nota 3 6 5 5" xfId="3062" xr:uid="{00000000-0005-0000-0000-00004D4C0000}"/>
    <cellStyle name="Nota 3 6 5 5 2" xfId="3449" xr:uid="{00000000-0005-0000-0000-00004E4C0000}"/>
    <cellStyle name="Nota 3 6 5 5 2 2" xfId="18744" xr:uid="{00000000-0005-0000-0000-00004F4C0000}"/>
    <cellStyle name="Nota 3 6 5 5 3" xfId="3832" xr:uid="{00000000-0005-0000-0000-0000504C0000}"/>
    <cellStyle name="Nota 3 6 5 5 3 2" xfId="14191" xr:uid="{00000000-0005-0000-0000-0000514C0000}"/>
    <cellStyle name="Nota 3 6 5 5 4" xfId="4215" xr:uid="{00000000-0005-0000-0000-0000524C0000}"/>
    <cellStyle name="Nota 3 6 5 5 4 2" xfId="13790" xr:uid="{00000000-0005-0000-0000-0000534C0000}"/>
    <cellStyle name="Nota 3 6 5 5 5" xfId="4597" xr:uid="{00000000-0005-0000-0000-0000544C0000}"/>
    <cellStyle name="Nota 3 6 5 5 5 2" xfId="13408" xr:uid="{00000000-0005-0000-0000-0000554C0000}"/>
    <cellStyle name="Nota 3 6 5 5 6" xfId="5806" xr:uid="{00000000-0005-0000-0000-0000564C0000}"/>
    <cellStyle name="Nota 3 6 5 5 6 2" xfId="19324" xr:uid="{00000000-0005-0000-0000-0000574C0000}"/>
    <cellStyle name="Nota 3 6 5 5 7" xfId="9202" xr:uid="{00000000-0005-0000-0000-0000584C0000}"/>
    <cellStyle name="Nota 3 6 5 5 8" xfId="15125" xr:uid="{00000000-0005-0000-0000-0000594C0000}"/>
    <cellStyle name="Nota 3 6 5 6" xfId="2868" xr:uid="{00000000-0005-0000-0000-00005A4C0000}"/>
    <cellStyle name="Nota 3 6 5 6 2" xfId="7514" xr:uid="{00000000-0005-0000-0000-00005B4C0000}"/>
    <cellStyle name="Nota 3 6 5 6 2 2" xfId="21032" xr:uid="{00000000-0005-0000-0000-00005C4C0000}"/>
    <cellStyle name="Nota 3 6 5 6 3" xfId="9021" xr:uid="{00000000-0005-0000-0000-00005D4C0000}"/>
    <cellStyle name="Nota 3 6 5 6 4" xfId="18417" xr:uid="{00000000-0005-0000-0000-00005E4C0000}"/>
    <cellStyle name="Nota 3 6 5 7" xfId="8825" xr:uid="{00000000-0005-0000-0000-00005F4C0000}"/>
    <cellStyle name="Nota 3 6 5 8" xfId="14986" xr:uid="{00000000-0005-0000-0000-0000604C0000}"/>
    <cellStyle name="Nota 3 6 6" xfId="2936" xr:uid="{00000000-0005-0000-0000-0000614C0000}"/>
    <cellStyle name="Nota 3 6 6 2" xfId="3323" xr:uid="{00000000-0005-0000-0000-0000624C0000}"/>
    <cellStyle name="Nota 3 6 6 2 2" xfId="7408" xr:uid="{00000000-0005-0000-0000-0000634C0000}"/>
    <cellStyle name="Nota 3 6 6 2 2 2" xfId="20926" xr:uid="{00000000-0005-0000-0000-0000644C0000}"/>
    <cellStyle name="Nota 3 6 6 2 3" xfId="9453" xr:uid="{00000000-0005-0000-0000-0000654C0000}"/>
    <cellStyle name="Nota 3 6 6 2 4" xfId="15784" xr:uid="{00000000-0005-0000-0000-0000664C0000}"/>
    <cellStyle name="Nota 3 6 6 3" xfId="3706" xr:uid="{00000000-0005-0000-0000-0000674C0000}"/>
    <cellStyle name="Nota 3 6 6 3 2" xfId="16025" xr:uid="{00000000-0005-0000-0000-0000684C0000}"/>
    <cellStyle name="Nota 3 6 6 4" xfId="4089" xr:uid="{00000000-0005-0000-0000-0000694C0000}"/>
    <cellStyle name="Nota 3 6 6 4 2" xfId="13905" xr:uid="{00000000-0005-0000-0000-00006A4C0000}"/>
    <cellStyle name="Nota 3 6 6 5" xfId="4471" xr:uid="{00000000-0005-0000-0000-00006B4C0000}"/>
    <cellStyle name="Nota 3 6 6 5 2" xfId="13534" xr:uid="{00000000-0005-0000-0000-00006C4C0000}"/>
    <cellStyle name="Nota 3 6 6 6" xfId="5699" xr:uid="{00000000-0005-0000-0000-00006D4C0000}"/>
    <cellStyle name="Nota 3 6 6 6 2" xfId="19217" xr:uid="{00000000-0005-0000-0000-00006E4C0000}"/>
    <cellStyle name="Nota 3 6 6 7" xfId="9088" xr:uid="{00000000-0005-0000-0000-00006F4C0000}"/>
    <cellStyle name="Nota 3 6 6 8" xfId="14912" xr:uid="{00000000-0005-0000-0000-0000704C0000}"/>
    <cellStyle name="Nota 3 6 7" xfId="3119" xr:uid="{00000000-0005-0000-0000-0000714C0000}"/>
    <cellStyle name="Nota 3 6 7 2" xfId="3506" xr:uid="{00000000-0005-0000-0000-0000724C0000}"/>
    <cellStyle name="Nota 3 6 7 2 2" xfId="7898" xr:uid="{00000000-0005-0000-0000-0000734C0000}"/>
    <cellStyle name="Nota 3 6 7 2 2 2" xfId="21416" xr:uid="{00000000-0005-0000-0000-0000744C0000}"/>
    <cellStyle name="Nota 3 6 7 2 3" xfId="9599" xr:uid="{00000000-0005-0000-0000-0000754C0000}"/>
    <cellStyle name="Nota 3 6 7 2 4" xfId="18183" xr:uid="{00000000-0005-0000-0000-0000764C0000}"/>
    <cellStyle name="Nota 3 6 7 3" xfId="3889" xr:uid="{00000000-0005-0000-0000-0000774C0000}"/>
    <cellStyle name="Nota 3 6 7 3 2" xfId="14137" xr:uid="{00000000-0005-0000-0000-0000784C0000}"/>
    <cellStyle name="Nota 3 6 7 4" xfId="4272" xr:uid="{00000000-0005-0000-0000-0000794C0000}"/>
    <cellStyle name="Nota 3 6 7 4 2" xfId="13733" xr:uid="{00000000-0005-0000-0000-00007A4C0000}"/>
    <cellStyle name="Nota 3 6 7 5" xfId="4654" xr:uid="{00000000-0005-0000-0000-00007B4C0000}"/>
    <cellStyle name="Nota 3 6 7 5 2" xfId="13351" xr:uid="{00000000-0005-0000-0000-00007C4C0000}"/>
    <cellStyle name="Nota 3 6 7 6" xfId="6190" xr:uid="{00000000-0005-0000-0000-00007D4C0000}"/>
    <cellStyle name="Nota 3 6 7 6 2" xfId="19708" xr:uid="{00000000-0005-0000-0000-00007E4C0000}"/>
    <cellStyle name="Nota 3 6 7 7" xfId="9250" xr:uid="{00000000-0005-0000-0000-00007F4C0000}"/>
    <cellStyle name="Nota 3 6 7 8" xfId="16693" xr:uid="{00000000-0005-0000-0000-0000804C0000}"/>
    <cellStyle name="Nota 3 6 8" xfId="3076" xr:uid="{00000000-0005-0000-0000-0000814C0000}"/>
    <cellStyle name="Nota 3 6 8 2" xfId="3463" xr:uid="{00000000-0005-0000-0000-0000824C0000}"/>
    <cellStyle name="Nota 3 6 8 2 2" xfId="7151" xr:uid="{00000000-0005-0000-0000-0000834C0000}"/>
    <cellStyle name="Nota 3 6 8 2 2 2" xfId="20669" xr:uid="{00000000-0005-0000-0000-0000844C0000}"/>
    <cellStyle name="Nota 3 6 8 2 3" xfId="9565" xr:uid="{00000000-0005-0000-0000-0000854C0000}"/>
    <cellStyle name="Nota 3 6 8 2 4" xfId="14454" xr:uid="{00000000-0005-0000-0000-0000864C0000}"/>
    <cellStyle name="Nota 3 6 8 3" xfId="3846" xr:uid="{00000000-0005-0000-0000-0000874C0000}"/>
    <cellStyle name="Nota 3 6 8 3 2" xfId="14179" xr:uid="{00000000-0005-0000-0000-0000884C0000}"/>
    <cellStyle name="Nota 3 6 8 4" xfId="4229" xr:uid="{00000000-0005-0000-0000-0000894C0000}"/>
    <cellStyle name="Nota 3 6 8 4 2" xfId="13776" xr:uid="{00000000-0005-0000-0000-00008A4C0000}"/>
    <cellStyle name="Nota 3 6 8 5" xfId="4611" xr:uid="{00000000-0005-0000-0000-00008B4C0000}"/>
    <cellStyle name="Nota 3 6 8 5 2" xfId="13394" xr:uid="{00000000-0005-0000-0000-00008C4C0000}"/>
    <cellStyle name="Nota 3 6 8 6" xfId="5442" xr:uid="{00000000-0005-0000-0000-00008D4C0000}"/>
    <cellStyle name="Nota 3 6 8 6 2" xfId="18960" xr:uid="{00000000-0005-0000-0000-00008E4C0000}"/>
    <cellStyle name="Nota 3 6 8 7" xfId="9216" xr:uid="{00000000-0005-0000-0000-00008F4C0000}"/>
    <cellStyle name="Nota 3 6 8 8" xfId="18738" xr:uid="{00000000-0005-0000-0000-0000904C0000}"/>
    <cellStyle name="Nota 3 6 9" xfId="6322" xr:uid="{00000000-0005-0000-0000-0000914C0000}"/>
    <cellStyle name="Nota 3 6 9 2" xfId="8030" xr:uid="{00000000-0005-0000-0000-0000924C0000}"/>
    <cellStyle name="Nota 3 6 9 2 2" xfId="12004" xr:uid="{00000000-0005-0000-0000-0000934C0000}"/>
    <cellStyle name="Nota 3 6 9 2 3" xfId="21548" xr:uid="{00000000-0005-0000-0000-0000944C0000}"/>
    <cellStyle name="Nota 3 6 9 3" xfId="10863" xr:uid="{00000000-0005-0000-0000-0000954C0000}"/>
    <cellStyle name="Nota 3 6 9 4" xfId="19840" xr:uid="{00000000-0005-0000-0000-0000964C0000}"/>
    <cellStyle name="Nota 3 7" xfId="2622" xr:uid="{00000000-0005-0000-0000-0000974C0000}"/>
    <cellStyle name="Nota 3 7 10" xfId="7487" xr:uid="{00000000-0005-0000-0000-0000984C0000}"/>
    <cellStyle name="Nota 3 7 10 2" xfId="11541" xr:uid="{00000000-0005-0000-0000-0000994C0000}"/>
    <cellStyle name="Nota 3 7 10 3" xfId="21005" xr:uid="{00000000-0005-0000-0000-00009A4C0000}"/>
    <cellStyle name="Nota 3 7 11" xfId="4904" xr:uid="{00000000-0005-0000-0000-00009B4C0000}"/>
    <cellStyle name="Nota 3 7 11 2" xfId="14107" xr:uid="{00000000-0005-0000-0000-00009C4C0000}"/>
    <cellStyle name="Nota 3 7 12" xfId="8785" xr:uid="{00000000-0005-0000-0000-00009D4C0000}"/>
    <cellStyle name="Nota 3 7 2" xfId="2724" xr:uid="{00000000-0005-0000-0000-00009E4C0000}"/>
    <cellStyle name="Nota 3 7 2 2" xfId="2969" xr:uid="{00000000-0005-0000-0000-00009F4C0000}"/>
    <cellStyle name="Nota 3 7 2 2 10" xfId="9121" xr:uid="{00000000-0005-0000-0000-0000A04C0000}"/>
    <cellStyle name="Nota 3 7 2 2 11" xfId="17215" xr:uid="{00000000-0005-0000-0000-0000A14C0000}"/>
    <cellStyle name="Nota 3 7 2 2 2" xfId="3356" xr:uid="{00000000-0005-0000-0000-0000A24C0000}"/>
    <cellStyle name="Nota 3 7 2 2 2 2" xfId="7933" xr:uid="{00000000-0005-0000-0000-0000A34C0000}"/>
    <cellStyle name="Nota 3 7 2 2 2 2 2" xfId="11909" xr:uid="{00000000-0005-0000-0000-0000A44C0000}"/>
    <cellStyle name="Nota 3 7 2 2 2 2 3" xfId="21451" xr:uid="{00000000-0005-0000-0000-0000A54C0000}"/>
    <cellStyle name="Nota 3 7 2 2 2 3" xfId="6225" xr:uid="{00000000-0005-0000-0000-0000A64C0000}"/>
    <cellStyle name="Nota 3 7 2 2 2 3 2" xfId="19743" xr:uid="{00000000-0005-0000-0000-0000A74C0000}"/>
    <cellStyle name="Nota 3 7 2 2 2 4" xfId="9486" xr:uid="{00000000-0005-0000-0000-0000A84C0000}"/>
    <cellStyle name="Nota 3 7 2 2 2 5" xfId="15837" xr:uid="{00000000-0005-0000-0000-0000A94C0000}"/>
    <cellStyle name="Nota 3 7 2 2 3" xfId="3739" xr:uid="{00000000-0005-0000-0000-0000AA4C0000}"/>
    <cellStyle name="Nota 3 7 2 2 3 2" xfId="7078" xr:uid="{00000000-0005-0000-0000-0000AB4C0000}"/>
    <cellStyle name="Nota 3 7 2 2 3 2 2" xfId="11212" xr:uid="{00000000-0005-0000-0000-0000AC4C0000}"/>
    <cellStyle name="Nota 3 7 2 2 3 2 3" xfId="20596" xr:uid="{00000000-0005-0000-0000-0000AD4C0000}"/>
    <cellStyle name="Nota 3 7 2 2 3 3" xfId="5369" xr:uid="{00000000-0005-0000-0000-0000AE4C0000}"/>
    <cellStyle name="Nota 3 7 2 2 3 3 2" xfId="18887" xr:uid="{00000000-0005-0000-0000-0000AF4C0000}"/>
    <cellStyle name="Nota 3 7 2 2 3 4" xfId="9801" xr:uid="{00000000-0005-0000-0000-0000B04C0000}"/>
    <cellStyle name="Nota 3 7 2 2 3 5" xfId="17438" xr:uid="{00000000-0005-0000-0000-0000B14C0000}"/>
    <cellStyle name="Nota 3 7 2 2 4" xfId="4122" xr:uid="{00000000-0005-0000-0000-0000B24C0000}"/>
    <cellStyle name="Nota 3 7 2 2 4 2" xfId="8240" xr:uid="{00000000-0005-0000-0000-0000B34C0000}"/>
    <cellStyle name="Nota 3 7 2 2 4 2 2" xfId="12208" xr:uid="{00000000-0005-0000-0000-0000B44C0000}"/>
    <cellStyle name="Nota 3 7 2 2 4 2 3" xfId="21758" xr:uid="{00000000-0005-0000-0000-0000B54C0000}"/>
    <cellStyle name="Nota 3 7 2 2 4 3" xfId="6532" xr:uid="{00000000-0005-0000-0000-0000B64C0000}"/>
    <cellStyle name="Nota 3 7 2 2 4 3 2" xfId="20050" xr:uid="{00000000-0005-0000-0000-0000B74C0000}"/>
    <cellStyle name="Nota 3 7 2 2 4 4" xfId="9979" xr:uid="{00000000-0005-0000-0000-0000B84C0000}"/>
    <cellStyle name="Nota 3 7 2 2 4 5" xfId="13875" xr:uid="{00000000-0005-0000-0000-0000B94C0000}"/>
    <cellStyle name="Nota 3 7 2 2 5" xfId="4504" xr:uid="{00000000-0005-0000-0000-0000BA4C0000}"/>
    <cellStyle name="Nota 3 7 2 2 5 2" xfId="8472" xr:uid="{00000000-0005-0000-0000-0000BB4C0000}"/>
    <cellStyle name="Nota 3 7 2 2 5 2 2" xfId="12440" xr:uid="{00000000-0005-0000-0000-0000BC4C0000}"/>
    <cellStyle name="Nota 3 7 2 2 5 2 3" xfId="21990" xr:uid="{00000000-0005-0000-0000-0000BD4C0000}"/>
    <cellStyle name="Nota 3 7 2 2 5 3" xfId="6764" xr:uid="{00000000-0005-0000-0000-0000BE4C0000}"/>
    <cellStyle name="Nota 3 7 2 2 5 3 2" xfId="20282" xr:uid="{00000000-0005-0000-0000-0000BF4C0000}"/>
    <cellStyle name="Nota 3 7 2 2 5 4" xfId="10156" xr:uid="{00000000-0005-0000-0000-0000C04C0000}"/>
    <cellStyle name="Nota 3 7 2 2 5 5" xfId="13501" xr:uid="{00000000-0005-0000-0000-0000C14C0000}"/>
    <cellStyle name="Nota 3 7 2 2 6" xfId="6996" xr:uid="{00000000-0005-0000-0000-0000C24C0000}"/>
    <cellStyle name="Nota 3 7 2 2 6 2" xfId="8704" xr:uid="{00000000-0005-0000-0000-0000C34C0000}"/>
    <cellStyle name="Nota 3 7 2 2 6 2 2" xfId="12672" xr:uid="{00000000-0005-0000-0000-0000C44C0000}"/>
    <cellStyle name="Nota 3 7 2 2 6 2 3" xfId="22222" xr:uid="{00000000-0005-0000-0000-0000C54C0000}"/>
    <cellStyle name="Nota 3 7 2 2 6 3" xfId="11130" xr:uid="{00000000-0005-0000-0000-0000C64C0000}"/>
    <cellStyle name="Nota 3 7 2 2 6 4" xfId="20514" xr:uid="{00000000-0005-0000-0000-0000C74C0000}"/>
    <cellStyle name="Nota 3 7 2 2 7" xfId="5984" xr:uid="{00000000-0005-0000-0000-0000C84C0000}"/>
    <cellStyle name="Nota 3 7 2 2 7 2" xfId="10725" xr:uid="{00000000-0005-0000-0000-0000C94C0000}"/>
    <cellStyle name="Nota 3 7 2 2 7 3" xfId="19502" xr:uid="{00000000-0005-0000-0000-0000CA4C0000}"/>
    <cellStyle name="Nota 3 7 2 2 8" xfId="7692" xr:uid="{00000000-0005-0000-0000-0000CB4C0000}"/>
    <cellStyle name="Nota 3 7 2 2 8 2" xfId="11713" xr:uid="{00000000-0005-0000-0000-0000CC4C0000}"/>
    <cellStyle name="Nota 3 7 2 2 8 3" xfId="21210" xr:uid="{00000000-0005-0000-0000-0000CD4C0000}"/>
    <cellStyle name="Nota 3 7 2 2 9" xfId="5178" xr:uid="{00000000-0005-0000-0000-0000CE4C0000}"/>
    <cellStyle name="Nota 3 7 2 2 9 2" xfId="12904" xr:uid="{00000000-0005-0000-0000-0000CF4C0000}"/>
    <cellStyle name="Nota 3 7 2 3" xfId="3214" xr:uid="{00000000-0005-0000-0000-0000D04C0000}"/>
    <cellStyle name="Nota 3 7 2 3 10" xfId="9344" xr:uid="{00000000-0005-0000-0000-0000D14C0000}"/>
    <cellStyle name="Nota 3 7 2 3 11" xfId="15569" xr:uid="{00000000-0005-0000-0000-0000D24C0000}"/>
    <cellStyle name="Nota 3 7 2 3 2" xfId="3601" xr:uid="{00000000-0005-0000-0000-0000D34C0000}"/>
    <cellStyle name="Nota 3 7 2 3 2 2" xfId="7962" xr:uid="{00000000-0005-0000-0000-0000D44C0000}"/>
    <cellStyle name="Nota 3 7 2 3 2 2 2" xfId="11938" xr:uid="{00000000-0005-0000-0000-0000D54C0000}"/>
    <cellStyle name="Nota 3 7 2 3 2 2 3" xfId="21480" xr:uid="{00000000-0005-0000-0000-0000D64C0000}"/>
    <cellStyle name="Nota 3 7 2 3 2 3" xfId="6254" xr:uid="{00000000-0005-0000-0000-0000D74C0000}"/>
    <cellStyle name="Nota 3 7 2 3 2 3 2" xfId="19772" xr:uid="{00000000-0005-0000-0000-0000D84C0000}"/>
    <cellStyle name="Nota 3 7 2 3 2 4" xfId="9693" xr:uid="{00000000-0005-0000-0000-0000D94C0000}"/>
    <cellStyle name="Nota 3 7 2 3 2 5" xfId="16607" xr:uid="{00000000-0005-0000-0000-0000DA4C0000}"/>
    <cellStyle name="Nota 3 7 2 3 3" xfId="3984" xr:uid="{00000000-0005-0000-0000-0000DB4C0000}"/>
    <cellStyle name="Nota 3 7 2 3 3 2" xfId="5127" xr:uid="{00000000-0005-0000-0000-0000DC4C0000}"/>
    <cellStyle name="Nota 3 7 2 3 3 2 2" xfId="10367" xr:uid="{00000000-0005-0000-0000-0000DD4C0000}"/>
    <cellStyle name="Nota 3 7 2 3 3 2 3" xfId="12791" xr:uid="{00000000-0005-0000-0000-0000DE4C0000}"/>
    <cellStyle name="Nota 3 7 2 3 3 3" xfId="5275" xr:uid="{00000000-0005-0000-0000-0000DF4C0000}"/>
    <cellStyle name="Nota 3 7 2 3 3 3 2" xfId="12748" xr:uid="{00000000-0005-0000-0000-0000E04C0000}"/>
    <cellStyle name="Nota 3 7 2 3 3 4" xfId="9903" xr:uid="{00000000-0005-0000-0000-0000E14C0000}"/>
    <cellStyle name="Nota 3 7 2 3 3 5" xfId="14007" xr:uid="{00000000-0005-0000-0000-0000E24C0000}"/>
    <cellStyle name="Nota 3 7 2 3 4" xfId="4367" xr:uid="{00000000-0005-0000-0000-0000E34C0000}"/>
    <cellStyle name="Nota 3 7 2 3 4 2" xfId="8269" xr:uid="{00000000-0005-0000-0000-0000E44C0000}"/>
    <cellStyle name="Nota 3 7 2 3 4 2 2" xfId="12237" xr:uid="{00000000-0005-0000-0000-0000E54C0000}"/>
    <cellStyle name="Nota 3 7 2 3 4 2 3" xfId="21787" xr:uid="{00000000-0005-0000-0000-0000E64C0000}"/>
    <cellStyle name="Nota 3 7 2 3 4 3" xfId="6561" xr:uid="{00000000-0005-0000-0000-0000E74C0000}"/>
    <cellStyle name="Nota 3 7 2 3 4 3 2" xfId="20079" xr:uid="{00000000-0005-0000-0000-0000E84C0000}"/>
    <cellStyle name="Nota 3 7 2 3 4 4" xfId="10081" xr:uid="{00000000-0005-0000-0000-0000E94C0000}"/>
    <cellStyle name="Nota 3 7 2 3 4 5" xfId="13638" xr:uid="{00000000-0005-0000-0000-0000EA4C0000}"/>
    <cellStyle name="Nota 3 7 2 3 5" xfId="4749" xr:uid="{00000000-0005-0000-0000-0000EB4C0000}"/>
    <cellStyle name="Nota 3 7 2 3 5 2" xfId="8501" xr:uid="{00000000-0005-0000-0000-0000EC4C0000}"/>
    <cellStyle name="Nota 3 7 2 3 5 2 2" xfId="12469" xr:uid="{00000000-0005-0000-0000-0000ED4C0000}"/>
    <cellStyle name="Nota 3 7 2 3 5 2 3" xfId="22019" xr:uid="{00000000-0005-0000-0000-0000EE4C0000}"/>
    <cellStyle name="Nota 3 7 2 3 5 3" xfId="6793" xr:uid="{00000000-0005-0000-0000-0000EF4C0000}"/>
    <cellStyle name="Nota 3 7 2 3 5 3 2" xfId="20311" xr:uid="{00000000-0005-0000-0000-0000F04C0000}"/>
    <cellStyle name="Nota 3 7 2 3 5 4" xfId="10258" xr:uid="{00000000-0005-0000-0000-0000F14C0000}"/>
    <cellStyle name="Nota 3 7 2 3 5 5" xfId="13256" xr:uid="{00000000-0005-0000-0000-0000F24C0000}"/>
    <cellStyle name="Nota 3 7 2 3 6" xfId="7025" xr:uid="{00000000-0005-0000-0000-0000F34C0000}"/>
    <cellStyle name="Nota 3 7 2 3 6 2" xfId="8733" xr:uid="{00000000-0005-0000-0000-0000F44C0000}"/>
    <cellStyle name="Nota 3 7 2 3 6 2 2" xfId="12701" xr:uid="{00000000-0005-0000-0000-0000F54C0000}"/>
    <cellStyle name="Nota 3 7 2 3 6 2 3" xfId="22251" xr:uid="{00000000-0005-0000-0000-0000F64C0000}"/>
    <cellStyle name="Nota 3 7 2 3 6 3" xfId="11159" xr:uid="{00000000-0005-0000-0000-0000F74C0000}"/>
    <cellStyle name="Nota 3 7 2 3 6 4" xfId="20543" xr:uid="{00000000-0005-0000-0000-0000F84C0000}"/>
    <cellStyle name="Nota 3 7 2 3 7" xfId="6013" xr:uid="{00000000-0005-0000-0000-0000F94C0000}"/>
    <cellStyle name="Nota 3 7 2 3 7 2" xfId="10754" xr:uid="{00000000-0005-0000-0000-0000FA4C0000}"/>
    <cellStyle name="Nota 3 7 2 3 7 3" xfId="19531" xr:uid="{00000000-0005-0000-0000-0000FB4C0000}"/>
    <cellStyle name="Nota 3 7 2 3 8" xfId="7721" xr:uid="{00000000-0005-0000-0000-0000FC4C0000}"/>
    <cellStyle name="Nota 3 7 2 3 8 2" xfId="11742" xr:uid="{00000000-0005-0000-0000-0000FD4C0000}"/>
    <cellStyle name="Nota 3 7 2 3 8 3" xfId="21239" xr:uid="{00000000-0005-0000-0000-0000FE4C0000}"/>
    <cellStyle name="Nota 3 7 2 3 9" xfId="5207" xr:uid="{00000000-0005-0000-0000-0000FF4C0000}"/>
    <cellStyle name="Nota 3 7 2 3 9 2" xfId="12875" xr:uid="{00000000-0005-0000-0000-0000004D0000}"/>
    <cellStyle name="Nota 3 7 2 4" xfId="3271" xr:uid="{00000000-0005-0000-0000-0000014D0000}"/>
    <cellStyle name="Nota 3 7 2 4 2" xfId="3658" xr:uid="{00000000-0005-0000-0000-0000024D0000}"/>
    <cellStyle name="Nota 3 7 2 4 2 2" xfId="17302" xr:uid="{00000000-0005-0000-0000-0000034D0000}"/>
    <cellStyle name="Nota 3 7 2 4 3" xfId="4041" xr:uid="{00000000-0005-0000-0000-0000044D0000}"/>
    <cellStyle name="Nota 3 7 2 4 3 2" xfId="13950" xr:uid="{00000000-0005-0000-0000-0000054D0000}"/>
    <cellStyle name="Nota 3 7 2 4 4" xfId="4424" xr:uid="{00000000-0005-0000-0000-0000064D0000}"/>
    <cellStyle name="Nota 3 7 2 4 4 2" xfId="13581" xr:uid="{00000000-0005-0000-0000-0000074D0000}"/>
    <cellStyle name="Nota 3 7 2 4 5" xfId="4806" xr:uid="{00000000-0005-0000-0000-0000084D0000}"/>
    <cellStyle name="Nota 3 7 2 4 5 2" xfId="13200" xr:uid="{00000000-0005-0000-0000-0000094D0000}"/>
    <cellStyle name="Nota 3 7 2 4 6" xfId="5792" xr:uid="{00000000-0005-0000-0000-00000A4D0000}"/>
    <cellStyle name="Nota 3 7 2 4 6 2" xfId="19310" xr:uid="{00000000-0005-0000-0000-00000B4D0000}"/>
    <cellStyle name="Nota 3 7 2 4 7" xfId="9401" xr:uid="{00000000-0005-0000-0000-00000C4D0000}"/>
    <cellStyle name="Nota 3 7 2 4 8" xfId="15992" xr:uid="{00000000-0005-0000-0000-00000D4D0000}"/>
    <cellStyle name="Nota 3 7 2 5" xfId="2889" xr:uid="{00000000-0005-0000-0000-00000E4D0000}"/>
    <cellStyle name="Nota 3 7 2 5 2" xfId="7500" xr:uid="{00000000-0005-0000-0000-00000F4D0000}"/>
    <cellStyle name="Nota 3 7 2 5 2 2" xfId="21018" xr:uid="{00000000-0005-0000-0000-0000104D0000}"/>
    <cellStyle name="Nota 3 7 2 5 3" xfId="9041" xr:uid="{00000000-0005-0000-0000-0000114D0000}"/>
    <cellStyle name="Nota 3 7 2 5 4" xfId="15664" xr:uid="{00000000-0005-0000-0000-0000124D0000}"/>
    <cellStyle name="Nota 3 7 2 6" xfId="8879" xr:uid="{00000000-0005-0000-0000-0000134D0000}"/>
    <cellStyle name="Nota 3 7 3" xfId="2711" xr:uid="{00000000-0005-0000-0000-0000144D0000}"/>
    <cellStyle name="Nota 3 7 3 2" xfId="2763" xr:uid="{00000000-0005-0000-0000-0000154D0000}"/>
    <cellStyle name="Nota 3 7 3 2 2" xfId="2986" xr:uid="{00000000-0005-0000-0000-0000164D0000}"/>
    <cellStyle name="Nota 3 7 3 2 2 10" xfId="9138" xr:uid="{00000000-0005-0000-0000-0000174D0000}"/>
    <cellStyle name="Nota 3 7 3 2 2 11" xfId="17452" xr:uid="{00000000-0005-0000-0000-0000184D0000}"/>
    <cellStyle name="Nota 3 7 3 2 2 2" xfId="3373" xr:uid="{00000000-0005-0000-0000-0000194D0000}"/>
    <cellStyle name="Nota 3 7 3 2 2 2 2" xfId="7951" xr:uid="{00000000-0005-0000-0000-00001A4D0000}"/>
    <cellStyle name="Nota 3 7 3 2 2 2 2 2" xfId="11927" xr:uid="{00000000-0005-0000-0000-00001B4D0000}"/>
    <cellStyle name="Nota 3 7 3 2 2 2 2 3" xfId="21469" xr:uid="{00000000-0005-0000-0000-00001C4D0000}"/>
    <cellStyle name="Nota 3 7 3 2 2 2 3" xfId="6243" xr:uid="{00000000-0005-0000-0000-00001D4D0000}"/>
    <cellStyle name="Nota 3 7 3 2 2 2 3 2" xfId="19761" xr:uid="{00000000-0005-0000-0000-00001E4D0000}"/>
    <cellStyle name="Nota 3 7 3 2 2 2 4" xfId="9503" xr:uid="{00000000-0005-0000-0000-00001F4D0000}"/>
    <cellStyle name="Nota 3 7 3 2 2 2 5" xfId="18268" xr:uid="{00000000-0005-0000-0000-0000204D0000}"/>
    <cellStyle name="Nota 3 7 3 2 2 3" xfId="3756" xr:uid="{00000000-0005-0000-0000-0000214D0000}"/>
    <cellStyle name="Nota 3 7 3 2 2 3 2" xfId="7835" xr:uid="{00000000-0005-0000-0000-0000224D0000}"/>
    <cellStyle name="Nota 3 7 3 2 2 3 2 2" xfId="11841" xr:uid="{00000000-0005-0000-0000-0000234D0000}"/>
    <cellStyle name="Nota 3 7 3 2 2 3 2 3" xfId="21353" xr:uid="{00000000-0005-0000-0000-0000244D0000}"/>
    <cellStyle name="Nota 3 7 3 2 2 3 3" xfId="6127" xr:uid="{00000000-0005-0000-0000-0000254D0000}"/>
    <cellStyle name="Nota 3 7 3 2 2 3 3 2" xfId="19645" xr:uid="{00000000-0005-0000-0000-0000264D0000}"/>
    <cellStyle name="Nota 3 7 3 2 2 3 4" xfId="9818" xr:uid="{00000000-0005-0000-0000-0000274D0000}"/>
    <cellStyle name="Nota 3 7 3 2 2 3 5" xfId="18742" xr:uid="{00000000-0005-0000-0000-0000284D0000}"/>
    <cellStyle name="Nota 3 7 3 2 2 4" xfId="4139" xr:uid="{00000000-0005-0000-0000-0000294D0000}"/>
    <cellStyle name="Nota 3 7 3 2 2 4 2" xfId="8258" xr:uid="{00000000-0005-0000-0000-00002A4D0000}"/>
    <cellStyle name="Nota 3 7 3 2 2 4 2 2" xfId="12226" xr:uid="{00000000-0005-0000-0000-00002B4D0000}"/>
    <cellStyle name="Nota 3 7 3 2 2 4 2 3" xfId="21776" xr:uid="{00000000-0005-0000-0000-00002C4D0000}"/>
    <cellStyle name="Nota 3 7 3 2 2 4 3" xfId="6550" xr:uid="{00000000-0005-0000-0000-00002D4D0000}"/>
    <cellStyle name="Nota 3 7 3 2 2 4 3 2" xfId="20068" xr:uid="{00000000-0005-0000-0000-00002E4D0000}"/>
    <cellStyle name="Nota 3 7 3 2 2 4 4" xfId="9996" xr:uid="{00000000-0005-0000-0000-00002F4D0000}"/>
    <cellStyle name="Nota 3 7 3 2 2 4 5" xfId="13858" xr:uid="{00000000-0005-0000-0000-0000304D0000}"/>
    <cellStyle name="Nota 3 7 3 2 2 5" xfId="4521" xr:uid="{00000000-0005-0000-0000-0000314D0000}"/>
    <cellStyle name="Nota 3 7 3 2 2 5 2" xfId="8490" xr:uid="{00000000-0005-0000-0000-0000324D0000}"/>
    <cellStyle name="Nota 3 7 3 2 2 5 2 2" xfId="12458" xr:uid="{00000000-0005-0000-0000-0000334D0000}"/>
    <cellStyle name="Nota 3 7 3 2 2 5 2 3" xfId="22008" xr:uid="{00000000-0005-0000-0000-0000344D0000}"/>
    <cellStyle name="Nota 3 7 3 2 2 5 3" xfId="6782" xr:uid="{00000000-0005-0000-0000-0000354D0000}"/>
    <cellStyle name="Nota 3 7 3 2 2 5 3 2" xfId="20300" xr:uid="{00000000-0005-0000-0000-0000364D0000}"/>
    <cellStyle name="Nota 3 7 3 2 2 5 4" xfId="10173" xr:uid="{00000000-0005-0000-0000-0000374D0000}"/>
    <cellStyle name="Nota 3 7 3 2 2 5 5" xfId="13484" xr:uid="{00000000-0005-0000-0000-0000384D0000}"/>
    <cellStyle name="Nota 3 7 3 2 2 6" xfId="7014" xr:uid="{00000000-0005-0000-0000-0000394D0000}"/>
    <cellStyle name="Nota 3 7 3 2 2 6 2" xfId="8722" xr:uid="{00000000-0005-0000-0000-00003A4D0000}"/>
    <cellStyle name="Nota 3 7 3 2 2 6 2 2" xfId="12690" xr:uid="{00000000-0005-0000-0000-00003B4D0000}"/>
    <cellStyle name="Nota 3 7 3 2 2 6 2 3" xfId="22240" xr:uid="{00000000-0005-0000-0000-00003C4D0000}"/>
    <cellStyle name="Nota 3 7 3 2 2 6 3" xfId="11148" xr:uid="{00000000-0005-0000-0000-00003D4D0000}"/>
    <cellStyle name="Nota 3 7 3 2 2 6 4" xfId="20532" xr:uid="{00000000-0005-0000-0000-00003E4D0000}"/>
    <cellStyle name="Nota 3 7 3 2 2 7" xfId="6002" xr:uid="{00000000-0005-0000-0000-00003F4D0000}"/>
    <cellStyle name="Nota 3 7 3 2 2 7 2" xfId="10743" xr:uid="{00000000-0005-0000-0000-0000404D0000}"/>
    <cellStyle name="Nota 3 7 3 2 2 7 3" xfId="19520" xr:uid="{00000000-0005-0000-0000-0000414D0000}"/>
    <cellStyle name="Nota 3 7 3 2 2 8" xfId="7710" xr:uid="{00000000-0005-0000-0000-0000424D0000}"/>
    <cellStyle name="Nota 3 7 3 2 2 8 2" xfId="11731" xr:uid="{00000000-0005-0000-0000-0000434D0000}"/>
    <cellStyle name="Nota 3 7 3 2 2 8 3" xfId="21228" xr:uid="{00000000-0005-0000-0000-0000444D0000}"/>
    <cellStyle name="Nota 3 7 3 2 2 9" xfId="5196" xr:uid="{00000000-0005-0000-0000-0000454D0000}"/>
    <cellStyle name="Nota 3 7 3 2 2 9 2" xfId="12886" xr:uid="{00000000-0005-0000-0000-0000464D0000}"/>
    <cellStyle name="Nota 3 7 3 2 3" xfId="3253" xr:uid="{00000000-0005-0000-0000-0000474D0000}"/>
    <cellStyle name="Nota 3 7 3 2 3 10" xfId="9383" xr:uid="{00000000-0005-0000-0000-0000484D0000}"/>
    <cellStyle name="Nota 3 7 3 2 3 11" xfId="17039" xr:uid="{00000000-0005-0000-0000-0000494D0000}"/>
    <cellStyle name="Nota 3 7 3 2 3 2" xfId="3640" xr:uid="{00000000-0005-0000-0000-00004A4D0000}"/>
    <cellStyle name="Nota 3 7 3 2 3 2 2" xfId="8001" xr:uid="{00000000-0005-0000-0000-00004B4D0000}"/>
    <cellStyle name="Nota 3 7 3 2 3 2 2 2" xfId="11977" xr:uid="{00000000-0005-0000-0000-00004C4D0000}"/>
    <cellStyle name="Nota 3 7 3 2 3 2 2 3" xfId="21519" xr:uid="{00000000-0005-0000-0000-00004D4D0000}"/>
    <cellStyle name="Nota 3 7 3 2 3 2 3" xfId="6293" xr:uid="{00000000-0005-0000-0000-00004E4D0000}"/>
    <cellStyle name="Nota 3 7 3 2 3 2 3 2" xfId="19811" xr:uid="{00000000-0005-0000-0000-00004F4D0000}"/>
    <cellStyle name="Nota 3 7 3 2 3 2 4" xfId="9732" xr:uid="{00000000-0005-0000-0000-0000504D0000}"/>
    <cellStyle name="Nota 3 7 3 2 3 2 5" xfId="18178" xr:uid="{00000000-0005-0000-0000-0000514D0000}"/>
    <cellStyle name="Nota 3 7 3 2 3 3" xfId="4023" xr:uid="{00000000-0005-0000-0000-0000524D0000}"/>
    <cellStyle name="Nota 3 7 3 2 3 3 2" xfId="5060" xr:uid="{00000000-0005-0000-0000-0000534D0000}"/>
    <cellStyle name="Nota 3 7 3 2 3 3 2 2" xfId="10313" xr:uid="{00000000-0005-0000-0000-0000544D0000}"/>
    <cellStyle name="Nota 3 7 3 2 3 3 2 3" xfId="12815" xr:uid="{00000000-0005-0000-0000-0000554D0000}"/>
    <cellStyle name="Nota 3 7 3 2 3 3 3" xfId="5355" xr:uid="{00000000-0005-0000-0000-0000564D0000}"/>
    <cellStyle name="Nota 3 7 3 2 3 3 3 2" xfId="18873" xr:uid="{00000000-0005-0000-0000-0000574D0000}"/>
    <cellStyle name="Nota 3 7 3 2 3 3 4" xfId="9942" xr:uid="{00000000-0005-0000-0000-0000584D0000}"/>
    <cellStyle name="Nota 3 7 3 2 3 3 5" xfId="13968" xr:uid="{00000000-0005-0000-0000-0000594D0000}"/>
    <cellStyle name="Nota 3 7 3 2 3 4" xfId="4406" xr:uid="{00000000-0005-0000-0000-00005A4D0000}"/>
    <cellStyle name="Nota 3 7 3 2 3 4 2" xfId="8308" xr:uid="{00000000-0005-0000-0000-00005B4D0000}"/>
    <cellStyle name="Nota 3 7 3 2 3 4 2 2" xfId="12276" xr:uid="{00000000-0005-0000-0000-00005C4D0000}"/>
    <cellStyle name="Nota 3 7 3 2 3 4 2 3" xfId="21826" xr:uid="{00000000-0005-0000-0000-00005D4D0000}"/>
    <cellStyle name="Nota 3 7 3 2 3 4 3" xfId="6600" xr:uid="{00000000-0005-0000-0000-00005E4D0000}"/>
    <cellStyle name="Nota 3 7 3 2 3 4 3 2" xfId="20118" xr:uid="{00000000-0005-0000-0000-00005F4D0000}"/>
    <cellStyle name="Nota 3 7 3 2 3 4 4" xfId="10120" xr:uid="{00000000-0005-0000-0000-0000604D0000}"/>
    <cellStyle name="Nota 3 7 3 2 3 4 5" xfId="13599" xr:uid="{00000000-0005-0000-0000-0000614D0000}"/>
    <cellStyle name="Nota 3 7 3 2 3 5" xfId="4788" xr:uid="{00000000-0005-0000-0000-0000624D0000}"/>
    <cellStyle name="Nota 3 7 3 2 3 5 2" xfId="8540" xr:uid="{00000000-0005-0000-0000-0000634D0000}"/>
    <cellStyle name="Nota 3 7 3 2 3 5 2 2" xfId="12508" xr:uid="{00000000-0005-0000-0000-0000644D0000}"/>
    <cellStyle name="Nota 3 7 3 2 3 5 2 3" xfId="22058" xr:uid="{00000000-0005-0000-0000-0000654D0000}"/>
    <cellStyle name="Nota 3 7 3 2 3 5 3" xfId="6832" xr:uid="{00000000-0005-0000-0000-0000664D0000}"/>
    <cellStyle name="Nota 3 7 3 2 3 5 3 2" xfId="20350" xr:uid="{00000000-0005-0000-0000-0000674D0000}"/>
    <cellStyle name="Nota 3 7 3 2 3 5 4" xfId="10297" xr:uid="{00000000-0005-0000-0000-0000684D0000}"/>
    <cellStyle name="Nota 3 7 3 2 3 5 5" xfId="13217" xr:uid="{00000000-0005-0000-0000-0000694D0000}"/>
    <cellStyle name="Nota 3 7 3 2 3 6" xfId="7064" xr:uid="{00000000-0005-0000-0000-00006A4D0000}"/>
    <cellStyle name="Nota 3 7 3 2 3 6 2" xfId="8772" xr:uid="{00000000-0005-0000-0000-00006B4D0000}"/>
    <cellStyle name="Nota 3 7 3 2 3 6 2 2" xfId="12740" xr:uid="{00000000-0005-0000-0000-00006C4D0000}"/>
    <cellStyle name="Nota 3 7 3 2 3 6 2 3" xfId="22290" xr:uid="{00000000-0005-0000-0000-00006D4D0000}"/>
    <cellStyle name="Nota 3 7 3 2 3 6 3" xfId="11198" xr:uid="{00000000-0005-0000-0000-00006E4D0000}"/>
    <cellStyle name="Nota 3 7 3 2 3 6 4" xfId="20582" xr:uid="{00000000-0005-0000-0000-00006F4D0000}"/>
    <cellStyle name="Nota 3 7 3 2 3 7" xfId="6052" xr:uid="{00000000-0005-0000-0000-0000704D0000}"/>
    <cellStyle name="Nota 3 7 3 2 3 7 2" xfId="10793" xr:uid="{00000000-0005-0000-0000-0000714D0000}"/>
    <cellStyle name="Nota 3 7 3 2 3 7 3" xfId="19570" xr:uid="{00000000-0005-0000-0000-0000724D0000}"/>
    <cellStyle name="Nota 3 7 3 2 3 8" xfId="7760" xr:uid="{00000000-0005-0000-0000-0000734D0000}"/>
    <cellStyle name="Nota 3 7 3 2 3 8 2" xfId="11781" xr:uid="{00000000-0005-0000-0000-0000744D0000}"/>
    <cellStyle name="Nota 3 7 3 2 3 8 3" xfId="21278" xr:uid="{00000000-0005-0000-0000-0000754D0000}"/>
    <cellStyle name="Nota 3 7 3 2 3 9" xfId="5246" xr:uid="{00000000-0005-0000-0000-0000764D0000}"/>
    <cellStyle name="Nota 3 7 3 2 3 9 2" xfId="12848" xr:uid="{00000000-0005-0000-0000-0000774D0000}"/>
    <cellStyle name="Nota 3 7 3 2 4" xfId="3310" xr:uid="{00000000-0005-0000-0000-0000784D0000}"/>
    <cellStyle name="Nota 3 7 3 2 4 2" xfId="3697" xr:uid="{00000000-0005-0000-0000-0000794D0000}"/>
    <cellStyle name="Nota 3 7 3 2 4 2 2" xfId="15326" xr:uid="{00000000-0005-0000-0000-00007A4D0000}"/>
    <cellStyle name="Nota 3 7 3 2 4 3" xfId="4080" xr:uid="{00000000-0005-0000-0000-00007B4D0000}"/>
    <cellStyle name="Nota 3 7 3 2 4 3 2" xfId="13914" xr:uid="{00000000-0005-0000-0000-00007C4D0000}"/>
    <cellStyle name="Nota 3 7 3 2 4 4" xfId="4463" xr:uid="{00000000-0005-0000-0000-00007D4D0000}"/>
    <cellStyle name="Nota 3 7 3 2 4 4 2" xfId="13542" xr:uid="{00000000-0005-0000-0000-00007E4D0000}"/>
    <cellStyle name="Nota 3 7 3 2 4 5" xfId="4845" xr:uid="{00000000-0005-0000-0000-00007F4D0000}"/>
    <cellStyle name="Nota 3 7 3 2 4 5 2" xfId="13161" xr:uid="{00000000-0005-0000-0000-0000804D0000}"/>
    <cellStyle name="Nota 3 7 3 2 4 6" xfId="5861" xr:uid="{00000000-0005-0000-0000-0000814D0000}"/>
    <cellStyle name="Nota 3 7 3 2 4 6 2" xfId="19379" xr:uid="{00000000-0005-0000-0000-0000824D0000}"/>
    <cellStyle name="Nota 3 7 3 2 4 7" xfId="9440" xr:uid="{00000000-0005-0000-0000-0000834D0000}"/>
    <cellStyle name="Nota 3 7 3 2 4 8" xfId="16598" xr:uid="{00000000-0005-0000-0000-0000844D0000}"/>
    <cellStyle name="Nota 3 7 3 2 5" xfId="2928" xr:uid="{00000000-0005-0000-0000-0000854D0000}"/>
    <cellStyle name="Nota 3 7 3 2 5 2" xfId="7569" xr:uid="{00000000-0005-0000-0000-0000864D0000}"/>
    <cellStyle name="Nota 3 7 3 2 5 2 2" xfId="21087" xr:uid="{00000000-0005-0000-0000-0000874D0000}"/>
    <cellStyle name="Nota 3 7 3 2 5 3" xfId="9080" xr:uid="{00000000-0005-0000-0000-0000884D0000}"/>
    <cellStyle name="Nota 3 7 3 2 5 4" xfId="17063" xr:uid="{00000000-0005-0000-0000-0000894D0000}"/>
    <cellStyle name="Nota 3 7 3 2 6" xfId="8918" xr:uid="{00000000-0005-0000-0000-00008A4D0000}"/>
    <cellStyle name="Nota 3 7 3 3" xfId="2962" xr:uid="{00000000-0005-0000-0000-00008B4D0000}"/>
    <cellStyle name="Nota 3 7 3 3 10" xfId="9114" xr:uid="{00000000-0005-0000-0000-00008C4D0000}"/>
    <cellStyle name="Nota 3 7 3 3 11" xfId="14789" xr:uid="{00000000-0005-0000-0000-00008D4D0000}"/>
    <cellStyle name="Nota 3 7 3 3 2" xfId="3349" xr:uid="{00000000-0005-0000-0000-00008E4D0000}"/>
    <cellStyle name="Nota 3 7 3 3 2 2" xfId="7926" xr:uid="{00000000-0005-0000-0000-00008F4D0000}"/>
    <cellStyle name="Nota 3 7 3 3 2 2 2" xfId="11902" xr:uid="{00000000-0005-0000-0000-0000904D0000}"/>
    <cellStyle name="Nota 3 7 3 3 2 2 3" xfId="21444" xr:uid="{00000000-0005-0000-0000-0000914D0000}"/>
    <cellStyle name="Nota 3 7 3 3 2 3" xfId="6218" xr:uid="{00000000-0005-0000-0000-0000924D0000}"/>
    <cellStyle name="Nota 3 7 3 3 2 3 2" xfId="19736" xr:uid="{00000000-0005-0000-0000-0000934D0000}"/>
    <cellStyle name="Nota 3 7 3 3 2 4" xfId="9479" xr:uid="{00000000-0005-0000-0000-0000944D0000}"/>
    <cellStyle name="Nota 3 7 3 3 2 5" xfId="18186" xr:uid="{00000000-0005-0000-0000-0000954D0000}"/>
    <cellStyle name="Nota 3 7 3 3 3" xfId="3732" xr:uid="{00000000-0005-0000-0000-0000964D0000}"/>
    <cellStyle name="Nota 3 7 3 3 3 2" xfId="7842" xr:uid="{00000000-0005-0000-0000-0000974D0000}"/>
    <cellStyle name="Nota 3 7 3 3 3 2 2" xfId="11846" xr:uid="{00000000-0005-0000-0000-0000984D0000}"/>
    <cellStyle name="Nota 3 7 3 3 3 2 3" xfId="21360" xr:uid="{00000000-0005-0000-0000-0000994D0000}"/>
    <cellStyle name="Nota 3 7 3 3 3 3" xfId="6134" xr:uid="{00000000-0005-0000-0000-00009A4D0000}"/>
    <cellStyle name="Nota 3 7 3 3 3 3 2" xfId="19652" xr:uid="{00000000-0005-0000-0000-00009B4D0000}"/>
    <cellStyle name="Nota 3 7 3 3 3 4" xfId="9794" xr:uid="{00000000-0005-0000-0000-00009C4D0000}"/>
    <cellStyle name="Nota 3 7 3 3 3 5" xfId="15041" xr:uid="{00000000-0005-0000-0000-00009D4D0000}"/>
    <cellStyle name="Nota 3 7 3 3 4" xfId="4115" xr:uid="{00000000-0005-0000-0000-00009E4D0000}"/>
    <cellStyle name="Nota 3 7 3 3 4 2" xfId="8233" xr:uid="{00000000-0005-0000-0000-00009F4D0000}"/>
    <cellStyle name="Nota 3 7 3 3 4 2 2" xfId="12201" xr:uid="{00000000-0005-0000-0000-0000A04D0000}"/>
    <cellStyle name="Nota 3 7 3 3 4 2 3" xfId="21751" xr:uid="{00000000-0005-0000-0000-0000A14D0000}"/>
    <cellStyle name="Nota 3 7 3 3 4 3" xfId="6525" xr:uid="{00000000-0005-0000-0000-0000A24D0000}"/>
    <cellStyle name="Nota 3 7 3 3 4 3 2" xfId="20043" xr:uid="{00000000-0005-0000-0000-0000A34D0000}"/>
    <cellStyle name="Nota 3 7 3 3 4 4" xfId="9972" xr:uid="{00000000-0005-0000-0000-0000A44D0000}"/>
    <cellStyle name="Nota 3 7 3 3 4 5" xfId="13879" xr:uid="{00000000-0005-0000-0000-0000A54D0000}"/>
    <cellStyle name="Nota 3 7 3 3 5" xfId="4497" xr:uid="{00000000-0005-0000-0000-0000A64D0000}"/>
    <cellStyle name="Nota 3 7 3 3 5 2" xfId="8465" xr:uid="{00000000-0005-0000-0000-0000A74D0000}"/>
    <cellStyle name="Nota 3 7 3 3 5 2 2" xfId="12433" xr:uid="{00000000-0005-0000-0000-0000A84D0000}"/>
    <cellStyle name="Nota 3 7 3 3 5 2 3" xfId="21983" xr:uid="{00000000-0005-0000-0000-0000A94D0000}"/>
    <cellStyle name="Nota 3 7 3 3 5 3" xfId="6757" xr:uid="{00000000-0005-0000-0000-0000AA4D0000}"/>
    <cellStyle name="Nota 3 7 3 3 5 3 2" xfId="20275" xr:uid="{00000000-0005-0000-0000-0000AB4D0000}"/>
    <cellStyle name="Nota 3 7 3 3 5 4" xfId="10149" xr:uid="{00000000-0005-0000-0000-0000AC4D0000}"/>
    <cellStyle name="Nota 3 7 3 3 5 5" xfId="13508" xr:uid="{00000000-0005-0000-0000-0000AD4D0000}"/>
    <cellStyle name="Nota 3 7 3 3 6" xfId="6989" xr:uid="{00000000-0005-0000-0000-0000AE4D0000}"/>
    <cellStyle name="Nota 3 7 3 3 6 2" xfId="8697" xr:uid="{00000000-0005-0000-0000-0000AF4D0000}"/>
    <cellStyle name="Nota 3 7 3 3 6 2 2" xfId="12665" xr:uid="{00000000-0005-0000-0000-0000B04D0000}"/>
    <cellStyle name="Nota 3 7 3 3 6 2 3" xfId="22215" xr:uid="{00000000-0005-0000-0000-0000B14D0000}"/>
    <cellStyle name="Nota 3 7 3 3 6 3" xfId="11123" xr:uid="{00000000-0005-0000-0000-0000B24D0000}"/>
    <cellStyle name="Nota 3 7 3 3 6 4" xfId="20507" xr:uid="{00000000-0005-0000-0000-0000B34D0000}"/>
    <cellStyle name="Nota 3 7 3 3 7" xfId="5977" xr:uid="{00000000-0005-0000-0000-0000B44D0000}"/>
    <cellStyle name="Nota 3 7 3 3 7 2" xfId="10718" xr:uid="{00000000-0005-0000-0000-0000B54D0000}"/>
    <cellStyle name="Nota 3 7 3 3 7 3" xfId="19495" xr:uid="{00000000-0005-0000-0000-0000B64D0000}"/>
    <cellStyle name="Nota 3 7 3 3 8" xfId="7685" xr:uid="{00000000-0005-0000-0000-0000B74D0000}"/>
    <cellStyle name="Nota 3 7 3 3 8 2" xfId="11706" xr:uid="{00000000-0005-0000-0000-0000B84D0000}"/>
    <cellStyle name="Nota 3 7 3 3 8 3" xfId="21203" xr:uid="{00000000-0005-0000-0000-0000B94D0000}"/>
    <cellStyle name="Nota 3 7 3 3 9" xfId="5171" xr:uid="{00000000-0005-0000-0000-0000BA4D0000}"/>
    <cellStyle name="Nota 3 7 3 3 9 2" xfId="12911" xr:uid="{00000000-0005-0000-0000-0000BB4D0000}"/>
    <cellStyle name="Nota 3 7 3 4" xfId="3201" xr:uid="{00000000-0005-0000-0000-0000BC4D0000}"/>
    <cellStyle name="Nota 3 7 3 4 10" xfId="9331" xr:uid="{00000000-0005-0000-0000-0000BD4D0000}"/>
    <cellStyle name="Nota 3 7 3 4 11" xfId="18077" xr:uid="{00000000-0005-0000-0000-0000BE4D0000}"/>
    <cellStyle name="Nota 3 7 3 4 2" xfId="3588" xr:uid="{00000000-0005-0000-0000-0000BF4D0000}"/>
    <cellStyle name="Nota 3 7 3 4 2 2" xfId="7255" xr:uid="{00000000-0005-0000-0000-0000C04D0000}"/>
    <cellStyle name="Nota 3 7 3 4 2 2 2" xfId="11360" xr:uid="{00000000-0005-0000-0000-0000C14D0000}"/>
    <cellStyle name="Nota 3 7 3 4 2 2 3" xfId="20773" xr:uid="{00000000-0005-0000-0000-0000C24D0000}"/>
    <cellStyle name="Nota 3 7 3 4 2 3" xfId="5546" xr:uid="{00000000-0005-0000-0000-0000C34D0000}"/>
    <cellStyle name="Nota 3 7 3 4 2 3 2" xfId="19064" xr:uid="{00000000-0005-0000-0000-0000C44D0000}"/>
    <cellStyle name="Nota 3 7 3 4 2 4" xfId="9680" xr:uid="{00000000-0005-0000-0000-0000C54D0000}"/>
    <cellStyle name="Nota 3 7 3 4 2 5" xfId="15561" xr:uid="{00000000-0005-0000-0000-0000C64D0000}"/>
    <cellStyle name="Nota 3 7 3 4 3" xfId="3971" xr:uid="{00000000-0005-0000-0000-0000C74D0000}"/>
    <cellStyle name="Nota 3 7 3 4 3 2" xfId="7169" xr:uid="{00000000-0005-0000-0000-0000C84D0000}"/>
    <cellStyle name="Nota 3 7 3 4 3 2 2" xfId="11299" xr:uid="{00000000-0005-0000-0000-0000C94D0000}"/>
    <cellStyle name="Nota 3 7 3 4 3 2 3" xfId="20687" xr:uid="{00000000-0005-0000-0000-0000CA4D0000}"/>
    <cellStyle name="Nota 3 7 3 4 3 3" xfId="5460" xr:uid="{00000000-0005-0000-0000-0000CB4D0000}"/>
    <cellStyle name="Nota 3 7 3 4 3 3 2" xfId="18978" xr:uid="{00000000-0005-0000-0000-0000CC4D0000}"/>
    <cellStyle name="Nota 3 7 3 4 3 4" xfId="9890" xr:uid="{00000000-0005-0000-0000-0000CD4D0000}"/>
    <cellStyle name="Nota 3 7 3 4 3 5" xfId="14020" xr:uid="{00000000-0005-0000-0000-0000CE4D0000}"/>
    <cellStyle name="Nota 3 7 3 4 4" xfId="4354" xr:uid="{00000000-0005-0000-0000-0000CF4D0000}"/>
    <cellStyle name="Nota 3 7 3 4 4 2" xfId="8121" xr:uid="{00000000-0005-0000-0000-0000D04D0000}"/>
    <cellStyle name="Nota 3 7 3 4 4 2 2" xfId="12089" xr:uid="{00000000-0005-0000-0000-0000D14D0000}"/>
    <cellStyle name="Nota 3 7 3 4 4 2 3" xfId="21639" xr:uid="{00000000-0005-0000-0000-0000D24D0000}"/>
    <cellStyle name="Nota 3 7 3 4 4 3" xfId="6413" xr:uid="{00000000-0005-0000-0000-0000D34D0000}"/>
    <cellStyle name="Nota 3 7 3 4 4 3 2" xfId="19931" xr:uid="{00000000-0005-0000-0000-0000D44D0000}"/>
    <cellStyle name="Nota 3 7 3 4 4 4" xfId="10068" xr:uid="{00000000-0005-0000-0000-0000D54D0000}"/>
    <cellStyle name="Nota 3 7 3 4 4 5" xfId="13651" xr:uid="{00000000-0005-0000-0000-0000D64D0000}"/>
    <cellStyle name="Nota 3 7 3 4 5" xfId="4736" xr:uid="{00000000-0005-0000-0000-0000D74D0000}"/>
    <cellStyle name="Nota 3 7 3 4 5 2" xfId="8353" xr:uid="{00000000-0005-0000-0000-0000D84D0000}"/>
    <cellStyle name="Nota 3 7 3 4 5 2 2" xfId="12321" xr:uid="{00000000-0005-0000-0000-0000D94D0000}"/>
    <cellStyle name="Nota 3 7 3 4 5 2 3" xfId="21871" xr:uid="{00000000-0005-0000-0000-0000DA4D0000}"/>
    <cellStyle name="Nota 3 7 3 4 5 3" xfId="6645" xr:uid="{00000000-0005-0000-0000-0000DB4D0000}"/>
    <cellStyle name="Nota 3 7 3 4 5 3 2" xfId="20163" xr:uid="{00000000-0005-0000-0000-0000DC4D0000}"/>
    <cellStyle name="Nota 3 7 3 4 5 4" xfId="10245" xr:uid="{00000000-0005-0000-0000-0000DD4D0000}"/>
    <cellStyle name="Nota 3 7 3 4 5 5" xfId="13269" xr:uid="{00000000-0005-0000-0000-0000DE4D0000}"/>
    <cellStyle name="Nota 3 7 3 4 6" xfId="6877" xr:uid="{00000000-0005-0000-0000-0000DF4D0000}"/>
    <cellStyle name="Nota 3 7 3 4 6 2" xfId="8585" xr:uid="{00000000-0005-0000-0000-0000E04D0000}"/>
    <cellStyle name="Nota 3 7 3 4 6 2 2" xfId="12553" xr:uid="{00000000-0005-0000-0000-0000E14D0000}"/>
    <cellStyle name="Nota 3 7 3 4 6 2 3" xfId="22103" xr:uid="{00000000-0005-0000-0000-0000E24D0000}"/>
    <cellStyle name="Nota 3 7 3 4 6 3" xfId="11011" xr:uid="{00000000-0005-0000-0000-0000E34D0000}"/>
    <cellStyle name="Nota 3 7 3 4 6 4" xfId="20395" xr:uid="{00000000-0005-0000-0000-0000E44D0000}"/>
    <cellStyle name="Nota 3 7 3 4 7" xfId="5865" xr:uid="{00000000-0005-0000-0000-0000E54D0000}"/>
    <cellStyle name="Nota 3 7 3 4 7 2" xfId="10606" xr:uid="{00000000-0005-0000-0000-0000E64D0000}"/>
    <cellStyle name="Nota 3 7 3 4 7 3" xfId="19383" xr:uid="{00000000-0005-0000-0000-0000E74D0000}"/>
    <cellStyle name="Nota 3 7 3 4 8" xfId="7573" xr:uid="{00000000-0005-0000-0000-0000E84D0000}"/>
    <cellStyle name="Nota 3 7 3 4 8 2" xfId="11594" xr:uid="{00000000-0005-0000-0000-0000E94D0000}"/>
    <cellStyle name="Nota 3 7 3 4 8 3" xfId="21091" xr:uid="{00000000-0005-0000-0000-0000EA4D0000}"/>
    <cellStyle name="Nota 3 7 3 4 9" xfId="4955" xr:uid="{00000000-0005-0000-0000-0000EB4D0000}"/>
    <cellStyle name="Nota 3 7 3 4 9 2" xfId="13064" xr:uid="{00000000-0005-0000-0000-0000EC4D0000}"/>
    <cellStyle name="Nota 3 7 3 5" xfId="3014" xr:uid="{00000000-0005-0000-0000-0000ED4D0000}"/>
    <cellStyle name="Nota 3 7 3 5 2" xfId="3401" xr:uid="{00000000-0005-0000-0000-0000EE4D0000}"/>
    <cellStyle name="Nota 3 7 3 5 2 2" xfId="14633" xr:uid="{00000000-0005-0000-0000-0000EF4D0000}"/>
    <cellStyle name="Nota 3 7 3 5 3" xfId="3784" xr:uid="{00000000-0005-0000-0000-0000F04D0000}"/>
    <cellStyle name="Nota 3 7 3 5 3 2" xfId="17503" xr:uid="{00000000-0005-0000-0000-0000F14D0000}"/>
    <cellStyle name="Nota 3 7 3 5 4" xfId="4167" xr:uid="{00000000-0005-0000-0000-0000F24D0000}"/>
    <cellStyle name="Nota 3 7 3 5 4 2" xfId="13838" xr:uid="{00000000-0005-0000-0000-0000F34D0000}"/>
    <cellStyle name="Nota 3 7 3 5 5" xfId="4549" xr:uid="{00000000-0005-0000-0000-0000F44D0000}"/>
    <cellStyle name="Nota 3 7 3 5 5 2" xfId="13456" xr:uid="{00000000-0005-0000-0000-0000F54D0000}"/>
    <cellStyle name="Nota 3 7 3 5 6" xfId="5842" xr:uid="{00000000-0005-0000-0000-0000F64D0000}"/>
    <cellStyle name="Nota 3 7 3 5 6 2" xfId="19360" xr:uid="{00000000-0005-0000-0000-0000F74D0000}"/>
    <cellStyle name="Nota 3 7 3 5 7" xfId="9157" xr:uid="{00000000-0005-0000-0000-0000F84D0000}"/>
    <cellStyle name="Nota 3 7 3 5 8" xfId="17327" xr:uid="{00000000-0005-0000-0000-0000F94D0000}"/>
    <cellStyle name="Nota 3 7 3 6" xfId="7550" xr:uid="{00000000-0005-0000-0000-0000FA4D0000}"/>
    <cellStyle name="Nota 3 7 3 6 2" xfId="11579" xr:uid="{00000000-0005-0000-0000-0000FB4D0000}"/>
    <cellStyle name="Nota 3 7 3 6 3" xfId="21068" xr:uid="{00000000-0005-0000-0000-0000FC4D0000}"/>
    <cellStyle name="Nota 3 7 3 7" xfId="8866" xr:uid="{00000000-0005-0000-0000-0000FD4D0000}"/>
    <cellStyle name="Nota 3 7 3 8" xfId="15246" xr:uid="{00000000-0005-0000-0000-0000FE4D0000}"/>
    <cellStyle name="Nota 3 7 4" xfId="2935" xr:uid="{00000000-0005-0000-0000-0000FF4D0000}"/>
    <cellStyle name="Nota 3 7 4 10" xfId="9087" xr:uid="{00000000-0005-0000-0000-0000004E0000}"/>
    <cellStyle name="Nota 3 7 4 11" xfId="17746" xr:uid="{00000000-0005-0000-0000-0000014E0000}"/>
    <cellStyle name="Nota 3 7 4 2" xfId="3322" xr:uid="{00000000-0005-0000-0000-0000024E0000}"/>
    <cellStyle name="Nota 3 7 4 2 2" xfId="7357" xr:uid="{00000000-0005-0000-0000-0000034E0000}"/>
    <cellStyle name="Nota 3 7 4 2 2 2" xfId="11443" xr:uid="{00000000-0005-0000-0000-0000044E0000}"/>
    <cellStyle name="Nota 3 7 4 2 2 3" xfId="20875" xr:uid="{00000000-0005-0000-0000-0000054E0000}"/>
    <cellStyle name="Nota 3 7 4 2 3" xfId="5648" xr:uid="{00000000-0005-0000-0000-0000064E0000}"/>
    <cellStyle name="Nota 3 7 4 2 3 2" xfId="19166" xr:uid="{00000000-0005-0000-0000-0000074E0000}"/>
    <cellStyle name="Nota 3 7 4 2 4" xfId="9452" xr:uid="{00000000-0005-0000-0000-0000084E0000}"/>
    <cellStyle name="Nota 3 7 4 2 5" xfId="18625" xr:uid="{00000000-0005-0000-0000-0000094E0000}"/>
    <cellStyle name="Nota 3 7 4 3" xfId="3705" xr:uid="{00000000-0005-0000-0000-00000A4E0000}"/>
    <cellStyle name="Nota 3 7 4 3 2" xfId="7186" xr:uid="{00000000-0005-0000-0000-00000B4E0000}"/>
    <cellStyle name="Nota 3 7 4 3 2 2" xfId="11315" xr:uid="{00000000-0005-0000-0000-00000C4E0000}"/>
    <cellStyle name="Nota 3 7 4 3 2 3" xfId="20704" xr:uid="{00000000-0005-0000-0000-00000D4E0000}"/>
    <cellStyle name="Nota 3 7 4 3 3" xfId="5477" xr:uid="{00000000-0005-0000-0000-00000E4E0000}"/>
    <cellStyle name="Nota 3 7 4 3 3 2" xfId="18995" xr:uid="{00000000-0005-0000-0000-00000F4E0000}"/>
    <cellStyle name="Nota 3 7 4 3 4" xfId="9768" xr:uid="{00000000-0005-0000-0000-0000104E0000}"/>
    <cellStyle name="Nota 3 7 4 3 5" xfId="15195" xr:uid="{00000000-0005-0000-0000-0000114E0000}"/>
    <cellStyle name="Nota 3 7 4 4" xfId="4088" xr:uid="{00000000-0005-0000-0000-0000124E0000}"/>
    <cellStyle name="Nota 3 7 4 4 2" xfId="8146" xr:uid="{00000000-0005-0000-0000-0000134E0000}"/>
    <cellStyle name="Nota 3 7 4 4 2 2" xfId="12114" xr:uid="{00000000-0005-0000-0000-0000144E0000}"/>
    <cellStyle name="Nota 3 7 4 4 2 3" xfId="21664" xr:uid="{00000000-0005-0000-0000-0000154E0000}"/>
    <cellStyle name="Nota 3 7 4 4 3" xfId="6438" xr:uid="{00000000-0005-0000-0000-0000164E0000}"/>
    <cellStyle name="Nota 3 7 4 4 3 2" xfId="19956" xr:uid="{00000000-0005-0000-0000-0000174E0000}"/>
    <cellStyle name="Nota 3 7 4 4 4" xfId="9946" xr:uid="{00000000-0005-0000-0000-0000184E0000}"/>
    <cellStyle name="Nota 3 7 4 4 5" xfId="13906" xr:uid="{00000000-0005-0000-0000-0000194E0000}"/>
    <cellStyle name="Nota 3 7 4 5" xfId="4470" xr:uid="{00000000-0005-0000-0000-00001A4E0000}"/>
    <cellStyle name="Nota 3 7 4 5 2" xfId="8378" xr:uid="{00000000-0005-0000-0000-00001B4E0000}"/>
    <cellStyle name="Nota 3 7 4 5 2 2" xfId="12346" xr:uid="{00000000-0005-0000-0000-00001C4E0000}"/>
    <cellStyle name="Nota 3 7 4 5 2 3" xfId="21896" xr:uid="{00000000-0005-0000-0000-00001D4E0000}"/>
    <cellStyle name="Nota 3 7 4 5 3" xfId="6670" xr:uid="{00000000-0005-0000-0000-00001E4E0000}"/>
    <cellStyle name="Nota 3 7 4 5 3 2" xfId="20188" xr:uid="{00000000-0005-0000-0000-00001F4E0000}"/>
    <cellStyle name="Nota 3 7 4 5 4" xfId="10123" xr:uid="{00000000-0005-0000-0000-0000204E0000}"/>
    <cellStyle name="Nota 3 7 4 5 5" xfId="13535" xr:uid="{00000000-0005-0000-0000-0000214E0000}"/>
    <cellStyle name="Nota 3 7 4 6" xfId="6902" xr:uid="{00000000-0005-0000-0000-0000224E0000}"/>
    <cellStyle name="Nota 3 7 4 6 2" xfId="8610" xr:uid="{00000000-0005-0000-0000-0000234E0000}"/>
    <cellStyle name="Nota 3 7 4 6 2 2" xfId="12578" xr:uid="{00000000-0005-0000-0000-0000244E0000}"/>
    <cellStyle name="Nota 3 7 4 6 2 3" xfId="22128" xr:uid="{00000000-0005-0000-0000-0000254E0000}"/>
    <cellStyle name="Nota 3 7 4 6 3" xfId="11036" xr:uid="{00000000-0005-0000-0000-0000264E0000}"/>
    <cellStyle name="Nota 3 7 4 6 4" xfId="20420" xr:uid="{00000000-0005-0000-0000-0000274E0000}"/>
    <cellStyle name="Nota 3 7 4 7" xfId="5890" xr:uid="{00000000-0005-0000-0000-0000284E0000}"/>
    <cellStyle name="Nota 3 7 4 7 2" xfId="10631" xr:uid="{00000000-0005-0000-0000-0000294E0000}"/>
    <cellStyle name="Nota 3 7 4 7 3" xfId="19408" xr:uid="{00000000-0005-0000-0000-00002A4E0000}"/>
    <cellStyle name="Nota 3 7 4 8" xfId="7598" xr:uid="{00000000-0005-0000-0000-00002B4E0000}"/>
    <cellStyle name="Nota 3 7 4 8 2" xfId="11619" xr:uid="{00000000-0005-0000-0000-00002C4E0000}"/>
    <cellStyle name="Nota 3 7 4 8 3" xfId="21116" xr:uid="{00000000-0005-0000-0000-00002D4E0000}"/>
    <cellStyle name="Nota 3 7 4 9" xfId="4983" xr:uid="{00000000-0005-0000-0000-00002E4E0000}"/>
    <cellStyle name="Nota 3 7 4 9 2" xfId="13036" xr:uid="{00000000-0005-0000-0000-00002F4E0000}"/>
    <cellStyle name="Nota 3 7 5" xfId="3114" xr:uid="{00000000-0005-0000-0000-0000304E0000}"/>
    <cellStyle name="Nota 3 7 5 2" xfId="3501" xr:uid="{00000000-0005-0000-0000-0000314E0000}"/>
    <cellStyle name="Nota 3 7 5 2 2" xfId="8056" xr:uid="{00000000-0005-0000-0000-0000324E0000}"/>
    <cellStyle name="Nota 3 7 5 2 2 2" xfId="21574" xr:uid="{00000000-0005-0000-0000-0000334E0000}"/>
    <cellStyle name="Nota 3 7 5 2 3" xfId="9594" xr:uid="{00000000-0005-0000-0000-0000344E0000}"/>
    <cellStyle name="Nota 3 7 5 2 4" xfId="15300" xr:uid="{00000000-0005-0000-0000-0000354E0000}"/>
    <cellStyle name="Nota 3 7 5 3" xfId="3884" xr:uid="{00000000-0005-0000-0000-0000364E0000}"/>
    <cellStyle name="Nota 3 7 5 3 2" xfId="14132" xr:uid="{00000000-0005-0000-0000-0000374E0000}"/>
    <cellStyle name="Nota 3 7 5 4" xfId="4267" xr:uid="{00000000-0005-0000-0000-0000384E0000}"/>
    <cellStyle name="Nota 3 7 5 4 2" xfId="13738" xr:uid="{00000000-0005-0000-0000-0000394E0000}"/>
    <cellStyle name="Nota 3 7 5 5" xfId="4649" xr:uid="{00000000-0005-0000-0000-00003A4E0000}"/>
    <cellStyle name="Nota 3 7 5 5 2" xfId="13356" xr:uid="{00000000-0005-0000-0000-00003B4E0000}"/>
    <cellStyle name="Nota 3 7 5 6" xfId="6348" xr:uid="{00000000-0005-0000-0000-00003C4E0000}"/>
    <cellStyle name="Nota 3 7 5 6 2" xfId="19866" xr:uid="{00000000-0005-0000-0000-00003D4E0000}"/>
    <cellStyle name="Nota 3 7 5 7" xfId="9245" xr:uid="{00000000-0005-0000-0000-00003E4E0000}"/>
    <cellStyle name="Nota 3 7 5 8" xfId="17797" xr:uid="{00000000-0005-0000-0000-00003F4E0000}"/>
    <cellStyle name="Nota 3 7 6" xfId="3077" xr:uid="{00000000-0005-0000-0000-0000404E0000}"/>
    <cellStyle name="Nota 3 7 6 2" xfId="3464" xr:uid="{00000000-0005-0000-0000-0000414E0000}"/>
    <cellStyle name="Nota 3 7 6 2 2" xfId="7395" xr:uid="{00000000-0005-0000-0000-0000424E0000}"/>
    <cellStyle name="Nota 3 7 6 2 2 2" xfId="20913" xr:uid="{00000000-0005-0000-0000-0000434E0000}"/>
    <cellStyle name="Nota 3 7 6 2 3" xfId="9566" xr:uid="{00000000-0005-0000-0000-0000444E0000}"/>
    <cellStyle name="Nota 3 7 6 2 4" xfId="14231" xr:uid="{00000000-0005-0000-0000-0000454E0000}"/>
    <cellStyle name="Nota 3 7 6 3" xfId="3847" xr:uid="{00000000-0005-0000-0000-0000464E0000}"/>
    <cellStyle name="Nota 3 7 6 3 2" xfId="14210" xr:uid="{00000000-0005-0000-0000-0000474E0000}"/>
    <cellStyle name="Nota 3 7 6 4" xfId="4230" xr:uid="{00000000-0005-0000-0000-0000484E0000}"/>
    <cellStyle name="Nota 3 7 6 4 2" xfId="13775" xr:uid="{00000000-0005-0000-0000-0000494E0000}"/>
    <cellStyle name="Nota 3 7 6 5" xfId="4612" xr:uid="{00000000-0005-0000-0000-00004A4E0000}"/>
    <cellStyle name="Nota 3 7 6 5 2" xfId="13393" xr:uid="{00000000-0005-0000-0000-00004B4E0000}"/>
    <cellStyle name="Nota 3 7 6 6" xfId="5686" xr:uid="{00000000-0005-0000-0000-00004C4E0000}"/>
    <cellStyle name="Nota 3 7 6 6 2" xfId="19204" xr:uid="{00000000-0005-0000-0000-00004D4E0000}"/>
    <cellStyle name="Nota 3 7 6 7" xfId="9217" xr:uid="{00000000-0005-0000-0000-00004E4E0000}"/>
    <cellStyle name="Nota 3 7 6 8" xfId="17446" xr:uid="{00000000-0005-0000-0000-00004F4E0000}"/>
    <cellStyle name="Nota 3 7 7" xfId="6129" xr:uid="{00000000-0005-0000-0000-0000504E0000}"/>
    <cellStyle name="Nota 3 7 7 2" xfId="7837" xr:uid="{00000000-0005-0000-0000-0000514E0000}"/>
    <cellStyle name="Nota 3 7 7 2 2" xfId="11843" xr:uid="{00000000-0005-0000-0000-0000524E0000}"/>
    <cellStyle name="Nota 3 7 7 2 3" xfId="21355" xr:uid="{00000000-0005-0000-0000-0000534E0000}"/>
    <cellStyle name="Nota 3 7 7 3" xfId="10818" xr:uid="{00000000-0005-0000-0000-0000544E0000}"/>
    <cellStyle name="Nota 3 7 7 4" xfId="19647" xr:uid="{00000000-0005-0000-0000-0000554E0000}"/>
    <cellStyle name="Nota 3 7 8" xfId="5429" xr:uid="{00000000-0005-0000-0000-0000564E0000}"/>
    <cellStyle name="Nota 3 7 8 2" xfId="7138" xr:uid="{00000000-0005-0000-0000-0000574E0000}"/>
    <cellStyle name="Nota 3 7 8 2 2" xfId="11272" xr:uid="{00000000-0005-0000-0000-0000584E0000}"/>
    <cellStyle name="Nota 3 7 8 2 3" xfId="20656" xr:uid="{00000000-0005-0000-0000-0000594E0000}"/>
    <cellStyle name="Nota 3 7 8 3" xfId="10446" xr:uid="{00000000-0005-0000-0000-00005A4E0000}"/>
    <cellStyle name="Nota 3 7 8 4" xfId="18947" xr:uid="{00000000-0005-0000-0000-00005B4E0000}"/>
    <cellStyle name="Nota 3 7 9" xfId="5778" xr:uid="{00000000-0005-0000-0000-00005C4E0000}"/>
    <cellStyle name="Nota 3 7 9 2" xfId="10554" xr:uid="{00000000-0005-0000-0000-00005D4E0000}"/>
    <cellStyle name="Nota 3 7 9 3" xfId="19296" xr:uid="{00000000-0005-0000-0000-00005E4E0000}"/>
    <cellStyle name="Nota 3 8" xfId="2689" xr:uid="{00000000-0005-0000-0000-00005F4E0000}"/>
    <cellStyle name="Nota 3 8 10" xfId="5735" xr:uid="{00000000-0005-0000-0000-0000604E0000}"/>
    <cellStyle name="Nota 3 8 10 2" xfId="10517" xr:uid="{00000000-0005-0000-0000-0000614E0000}"/>
    <cellStyle name="Nota 3 8 10 3" xfId="19253" xr:uid="{00000000-0005-0000-0000-0000624E0000}"/>
    <cellStyle name="Nota 3 8 11" xfId="7444" xr:uid="{00000000-0005-0000-0000-0000634E0000}"/>
    <cellStyle name="Nota 3 8 11 2" xfId="11504" xr:uid="{00000000-0005-0000-0000-0000644E0000}"/>
    <cellStyle name="Nota 3 8 11 3" xfId="20962" xr:uid="{00000000-0005-0000-0000-0000654E0000}"/>
    <cellStyle name="Nota 3 8 12" xfId="4867" xr:uid="{00000000-0005-0000-0000-0000664E0000}"/>
    <cellStyle name="Nota 3 8 12 2" xfId="13139" xr:uid="{00000000-0005-0000-0000-0000674E0000}"/>
    <cellStyle name="Nota 3 8 13" xfId="8844" xr:uid="{00000000-0005-0000-0000-0000684E0000}"/>
    <cellStyle name="Nota 3 8 14" xfId="18755" xr:uid="{00000000-0005-0000-0000-0000694E0000}"/>
    <cellStyle name="Nota 3 8 2" xfId="2746" xr:uid="{00000000-0005-0000-0000-00006A4E0000}"/>
    <cellStyle name="Nota 3 8 2 2" xfId="2976" xr:uid="{00000000-0005-0000-0000-00006B4E0000}"/>
    <cellStyle name="Nota 3 8 2 2 10" xfId="9128" xr:uid="{00000000-0005-0000-0000-00006C4E0000}"/>
    <cellStyle name="Nota 3 8 2 2 11" xfId="17766" xr:uid="{00000000-0005-0000-0000-00006D4E0000}"/>
    <cellStyle name="Nota 3 8 2 2 2" xfId="3363" xr:uid="{00000000-0005-0000-0000-00006E4E0000}"/>
    <cellStyle name="Nota 3 8 2 2 2 2" xfId="7940" xr:uid="{00000000-0005-0000-0000-00006F4E0000}"/>
    <cellStyle name="Nota 3 8 2 2 2 2 2" xfId="11916" xr:uid="{00000000-0005-0000-0000-0000704E0000}"/>
    <cellStyle name="Nota 3 8 2 2 2 2 3" xfId="21458" xr:uid="{00000000-0005-0000-0000-0000714E0000}"/>
    <cellStyle name="Nota 3 8 2 2 2 3" xfId="6232" xr:uid="{00000000-0005-0000-0000-0000724E0000}"/>
    <cellStyle name="Nota 3 8 2 2 2 3 2" xfId="19750" xr:uid="{00000000-0005-0000-0000-0000734E0000}"/>
    <cellStyle name="Nota 3 8 2 2 2 4" xfId="9493" xr:uid="{00000000-0005-0000-0000-0000744E0000}"/>
    <cellStyle name="Nota 3 8 2 2 2 5" xfId="15029" xr:uid="{00000000-0005-0000-0000-0000754E0000}"/>
    <cellStyle name="Nota 3 8 2 2 3" xfId="3746" xr:uid="{00000000-0005-0000-0000-0000764E0000}"/>
    <cellStyle name="Nota 3 8 2 2 3 2" xfId="7074" xr:uid="{00000000-0005-0000-0000-0000774E0000}"/>
    <cellStyle name="Nota 3 8 2 2 3 2 2" xfId="11208" xr:uid="{00000000-0005-0000-0000-0000784E0000}"/>
    <cellStyle name="Nota 3 8 2 2 3 2 3" xfId="20592" xr:uid="{00000000-0005-0000-0000-0000794E0000}"/>
    <cellStyle name="Nota 3 8 2 2 3 3" xfId="5365" xr:uid="{00000000-0005-0000-0000-00007A4E0000}"/>
    <cellStyle name="Nota 3 8 2 2 3 3 2" xfId="18883" xr:uid="{00000000-0005-0000-0000-00007B4E0000}"/>
    <cellStyle name="Nota 3 8 2 2 3 4" xfId="9808" xr:uid="{00000000-0005-0000-0000-00007C4E0000}"/>
    <cellStyle name="Nota 3 8 2 2 3 5" xfId="16872" xr:uid="{00000000-0005-0000-0000-00007D4E0000}"/>
    <cellStyle name="Nota 3 8 2 2 4" xfId="4129" xr:uid="{00000000-0005-0000-0000-00007E4E0000}"/>
    <cellStyle name="Nota 3 8 2 2 4 2" xfId="8247" xr:uid="{00000000-0005-0000-0000-00007F4E0000}"/>
    <cellStyle name="Nota 3 8 2 2 4 2 2" xfId="12215" xr:uid="{00000000-0005-0000-0000-0000804E0000}"/>
    <cellStyle name="Nota 3 8 2 2 4 2 3" xfId="21765" xr:uid="{00000000-0005-0000-0000-0000814E0000}"/>
    <cellStyle name="Nota 3 8 2 2 4 3" xfId="6539" xr:uid="{00000000-0005-0000-0000-0000824E0000}"/>
    <cellStyle name="Nota 3 8 2 2 4 3 2" xfId="20057" xr:uid="{00000000-0005-0000-0000-0000834E0000}"/>
    <cellStyle name="Nota 3 8 2 2 4 4" xfId="9986" xr:uid="{00000000-0005-0000-0000-0000844E0000}"/>
    <cellStyle name="Nota 3 8 2 2 4 5" xfId="13868" xr:uid="{00000000-0005-0000-0000-0000854E0000}"/>
    <cellStyle name="Nota 3 8 2 2 5" xfId="4511" xr:uid="{00000000-0005-0000-0000-0000864E0000}"/>
    <cellStyle name="Nota 3 8 2 2 5 2" xfId="8479" xr:uid="{00000000-0005-0000-0000-0000874E0000}"/>
    <cellStyle name="Nota 3 8 2 2 5 2 2" xfId="12447" xr:uid="{00000000-0005-0000-0000-0000884E0000}"/>
    <cellStyle name="Nota 3 8 2 2 5 2 3" xfId="21997" xr:uid="{00000000-0005-0000-0000-0000894E0000}"/>
    <cellStyle name="Nota 3 8 2 2 5 3" xfId="6771" xr:uid="{00000000-0005-0000-0000-00008A4E0000}"/>
    <cellStyle name="Nota 3 8 2 2 5 3 2" xfId="20289" xr:uid="{00000000-0005-0000-0000-00008B4E0000}"/>
    <cellStyle name="Nota 3 8 2 2 5 4" xfId="10163" xr:uid="{00000000-0005-0000-0000-00008C4E0000}"/>
    <cellStyle name="Nota 3 8 2 2 5 5" xfId="13494" xr:uid="{00000000-0005-0000-0000-00008D4E0000}"/>
    <cellStyle name="Nota 3 8 2 2 6" xfId="7003" xr:uid="{00000000-0005-0000-0000-00008E4E0000}"/>
    <cellStyle name="Nota 3 8 2 2 6 2" xfId="8711" xr:uid="{00000000-0005-0000-0000-00008F4E0000}"/>
    <cellStyle name="Nota 3 8 2 2 6 2 2" xfId="12679" xr:uid="{00000000-0005-0000-0000-0000904E0000}"/>
    <cellStyle name="Nota 3 8 2 2 6 2 3" xfId="22229" xr:uid="{00000000-0005-0000-0000-0000914E0000}"/>
    <cellStyle name="Nota 3 8 2 2 6 3" xfId="11137" xr:uid="{00000000-0005-0000-0000-0000924E0000}"/>
    <cellStyle name="Nota 3 8 2 2 6 4" xfId="20521" xr:uid="{00000000-0005-0000-0000-0000934E0000}"/>
    <cellStyle name="Nota 3 8 2 2 7" xfId="5991" xr:uid="{00000000-0005-0000-0000-0000944E0000}"/>
    <cellStyle name="Nota 3 8 2 2 7 2" xfId="10732" xr:uid="{00000000-0005-0000-0000-0000954E0000}"/>
    <cellStyle name="Nota 3 8 2 2 7 3" xfId="19509" xr:uid="{00000000-0005-0000-0000-0000964E0000}"/>
    <cellStyle name="Nota 3 8 2 2 8" xfId="7699" xr:uid="{00000000-0005-0000-0000-0000974E0000}"/>
    <cellStyle name="Nota 3 8 2 2 8 2" xfId="11720" xr:uid="{00000000-0005-0000-0000-0000984E0000}"/>
    <cellStyle name="Nota 3 8 2 2 8 3" xfId="21217" xr:uid="{00000000-0005-0000-0000-0000994E0000}"/>
    <cellStyle name="Nota 3 8 2 2 9" xfId="5185" xr:uid="{00000000-0005-0000-0000-00009A4E0000}"/>
    <cellStyle name="Nota 3 8 2 2 9 2" xfId="12897" xr:uid="{00000000-0005-0000-0000-00009B4E0000}"/>
    <cellStyle name="Nota 3 8 2 3" xfId="3236" xr:uid="{00000000-0005-0000-0000-00009C4E0000}"/>
    <cellStyle name="Nota 3 8 2 3 10" xfId="9366" xr:uid="{00000000-0005-0000-0000-00009D4E0000}"/>
    <cellStyle name="Nota 3 8 2 3 11" xfId="14788" xr:uid="{00000000-0005-0000-0000-00009E4E0000}"/>
    <cellStyle name="Nota 3 8 2 3 2" xfId="3623" xr:uid="{00000000-0005-0000-0000-00009F4E0000}"/>
    <cellStyle name="Nota 3 8 2 3 2 2" xfId="7984" xr:uid="{00000000-0005-0000-0000-0000A04E0000}"/>
    <cellStyle name="Nota 3 8 2 3 2 2 2" xfId="11960" xr:uid="{00000000-0005-0000-0000-0000A14E0000}"/>
    <cellStyle name="Nota 3 8 2 3 2 2 3" xfId="21502" xr:uid="{00000000-0005-0000-0000-0000A24E0000}"/>
    <cellStyle name="Nota 3 8 2 3 2 3" xfId="6276" xr:uid="{00000000-0005-0000-0000-0000A34E0000}"/>
    <cellStyle name="Nota 3 8 2 3 2 3 2" xfId="19794" xr:uid="{00000000-0005-0000-0000-0000A44E0000}"/>
    <cellStyle name="Nota 3 8 2 3 2 4" xfId="9715" xr:uid="{00000000-0005-0000-0000-0000A54E0000}"/>
    <cellStyle name="Nota 3 8 2 3 2 5" xfId="14940" xr:uid="{00000000-0005-0000-0000-0000A64E0000}"/>
    <cellStyle name="Nota 3 8 2 3 3" xfId="4006" xr:uid="{00000000-0005-0000-0000-0000A74E0000}"/>
    <cellStyle name="Nota 3 8 2 3 3 2" xfId="7088" xr:uid="{00000000-0005-0000-0000-0000A84E0000}"/>
    <cellStyle name="Nota 3 8 2 3 3 2 2" xfId="11222" xr:uid="{00000000-0005-0000-0000-0000A94E0000}"/>
    <cellStyle name="Nota 3 8 2 3 3 2 3" xfId="20606" xr:uid="{00000000-0005-0000-0000-0000AA4E0000}"/>
    <cellStyle name="Nota 3 8 2 3 3 3" xfId="5379" xr:uid="{00000000-0005-0000-0000-0000AB4E0000}"/>
    <cellStyle name="Nota 3 8 2 3 3 3 2" xfId="18897" xr:uid="{00000000-0005-0000-0000-0000AC4E0000}"/>
    <cellStyle name="Nota 3 8 2 3 3 4" xfId="9925" xr:uid="{00000000-0005-0000-0000-0000AD4E0000}"/>
    <cellStyle name="Nota 3 8 2 3 3 5" xfId="13985" xr:uid="{00000000-0005-0000-0000-0000AE4E0000}"/>
    <cellStyle name="Nota 3 8 2 3 4" xfId="4389" xr:uid="{00000000-0005-0000-0000-0000AF4E0000}"/>
    <cellStyle name="Nota 3 8 2 3 4 2" xfId="8291" xr:uid="{00000000-0005-0000-0000-0000B04E0000}"/>
    <cellStyle name="Nota 3 8 2 3 4 2 2" xfId="12259" xr:uid="{00000000-0005-0000-0000-0000B14E0000}"/>
    <cellStyle name="Nota 3 8 2 3 4 2 3" xfId="21809" xr:uid="{00000000-0005-0000-0000-0000B24E0000}"/>
    <cellStyle name="Nota 3 8 2 3 4 3" xfId="6583" xr:uid="{00000000-0005-0000-0000-0000B34E0000}"/>
    <cellStyle name="Nota 3 8 2 3 4 3 2" xfId="20101" xr:uid="{00000000-0005-0000-0000-0000B44E0000}"/>
    <cellStyle name="Nota 3 8 2 3 4 4" xfId="10103" xr:uid="{00000000-0005-0000-0000-0000B54E0000}"/>
    <cellStyle name="Nota 3 8 2 3 4 5" xfId="13616" xr:uid="{00000000-0005-0000-0000-0000B64E0000}"/>
    <cellStyle name="Nota 3 8 2 3 5" xfId="4771" xr:uid="{00000000-0005-0000-0000-0000B74E0000}"/>
    <cellStyle name="Nota 3 8 2 3 5 2" xfId="8523" xr:uid="{00000000-0005-0000-0000-0000B84E0000}"/>
    <cellStyle name="Nota 3 8 2 3 5 2 2" xfId="12491" xr:uid="{00000000-0005-0000-0000-0000B94E0000}"/>
    <cellStyle name="Nota 3 8 2 3 5 2 3" xfId="22041" xr:uid="{00000000-0005-0000-0000-0000BA4E0000}"/>
    <cellStyle name="Nota 3 8 2 3 5 3" xfId="6815" xr:uid="{00000000-0005-0000-0000-0000BB4E0000}"/>
    <cellStyle name="Nota 3 8 2 3 5 3 2" xfId="20333" xr:uid="{00000000-0005-0000-0000-0000BC4E0000}"/>
    <cellStyle name="Nota 3 8 2 3 5 4" xfId="10280" xr:uid="{00000000-0005-0000-0000-0000BD4E0000}"/>
    <cellStyle name="Nota 3 8 2 3 5 5" xfId="13234" xr:uid="{00000000-0005-0000-0000-0000BE4E0000}"/>
    <cellStyle name="Nota 3 8 2 3 6" xfId="7047" xr:uid="{00000000-0005-0000-0000-0000BF4E0000}"/>
    <cellStyle name="Nota 3 8 2 3 6 2" xfId="8755" xr:uid="{00000000-0005-0000-0000-0000C04E0000}"/>
    <cellStyle name="Nota 3 8 2 3 6 2 2" xfId="12723" xr:uid="{00000000-0005-0000-0000-0000C14E0000}"/>
    <cellStyle name="Nota 3 8 2 3 6 2 3" xfId="22273" xr:uid="{00000000-0005-0000-0000-0000C24E0000}"/>
    <cellStyle name="Nota 3 8 2 3 6 3" xfId="11181" xr:uid="{00000000-0005-0000-0000-0000C34E0000}"/>
    <cellStyle name="Nota 3 8 2 3 6 4" xfId="20565" xr:uid="{00000000-0005-0000-0000-0000C44E0000}"/>
    <cellStyle name="Nota 3 8 2 3 7" xfId="6035" xr:uid="{00000000-0005-0000-0000-0000C54E0000}"/>
    <cellStyle name="Nota 3 8 2 3 7 2" xfId="10776" xr:uid="{00000000-0005-0000-0000-0000C64E0000}"/>
    <cellStyle name="Nota 3 8 2 3 7 3" xfId="19553" xr:uid="{00000000-0005-0000-0000-0000C74E0000}"/>
    <cellStyle name="Nota 3 8 2 3 8" xfId="7743" xr:uid="{00000000-0005-0000-0000-0000C84E0000}"/>
    <cellStyle name="Nota 3 8 2 3 8 2" xfId="11764" xr:uid="{00000000-0005-0000-0000-0000C94E0000}"/>
    <cellStyle name="Nota 3 8 2 3 8 3" xfId="21261" xr:uid="{00000000-0005-0000-0000-0000CA4E0000}"/>
    <cellStyle name="Nota 3 8 2 3 9" xfId="5229" xr:uid="{00000000-0005-0000-0000-0000CB4E0000}"/>
    <cellStyle name="Nota 3 8 2 3 9 2" xfId="12865" xr:uid="{00000000-0005-0000-0000-0000CC4E0000}"/>
    <cellStyle name="Nota 3 8 2 4" xfId="3293" xr:uid="{00000000-0005-0000-0000-0000CD4E0000}"/>
    <cellStyle name="Nota 3 8 2 4 2" xfId="3680" xr:uid="{00000000-0005-0000-0000-0000CE4E0000}"/>
    <cellStyle name="Nota 3 8 2 4 2 2" xfId="18409" xr:uid="{00000000-0005-0000-0000-0000CF4E0000}"/>
    <cellStyle name="Nota 3 8 2 4 3" xfId="4063" xr:uid="{00000000-0005-0000-0000-0000D04E0000}"/>
    <cellStyle name="Nota 3 8 2 4 3 2" xfId="13928" xr:uid="{00000000-0005-0000-0000-0000D14E0000}"/>
    <cellStyle name="Nota 3 8 2 4 4" xfId="4446" xr:uid="{00000000-0005-0000-0000-0000D24E0000}"/>
    <cellStyle name="Nota 3 8 2 4 4 2" xfId="13559" xr:uid="{00000000-0005-0000-0000-0000D34E0000}"/>
    <cellStyle name="Nota 3 8 2 4 5" xfId="4828" xr:uid="{00000000-0005-0000-0000-0000D44E0000}"/>
    <cellStyle name="Nota 3 8 2 4 5 2" xfId="13178" xr:uid="{00000000-0005-0000-0000-0000D54E0000}"/>
    <cellStyle name="Nota 3 8 2 4 6" xfId="5825" xr:uid="{00000000-0005-0000-0000-0000D64E0000}"/>
    <cellStyle name="Nota 3 8 2 4 6 2" xfId="19343" xr:uid="{00000000-0005-0000-0000-0000D74E0000}"/>
    <cellStyle name="Nota 3 8 2 4 7" xfId="9423" xr:uid="{00000000-0005-0000-0000-0000D84E0000}"/>
    <cellStyle name="Nota 3 8 2 4 8" xfId="17449" xr:uid="{00000000-0005-0000-0000-0000D94E0000}"/>
    <cellStyle name="Nota 3 8 2 5" xfId="2911" xr:uid="{00000000-0005-0000-0000-0000DA4E0000}"/>
    <cellStyle name="Nota 3 8 2 5 2" xfId="7533" xr:uid="{00000000-0005-0000-0000-0000DB4E0000}"/>
    <cellStyle name="Nota 3 8 2 5 2 2" xfId="21051" xr:uid="{00000000-0005-0000-0000-0000DC4E0000}"/>
    <cellStyle name="Nota 3 8 2 5 3" xfId="9063" xr:uid="{00000000-0005-0000-0000-0000DD4E0000}"/>
    <cellStyle name="Nota 3 8 2 5 4" xfId="17802" xr:uid="{00000000-0005-0000-0000-0000DE4E0000}"/>
    <cellStyle name="Nota 3 8 2 6" xfId="8901" xr:uid="{00000000-0005-0000-0000-0000DF4E0000}"/>
    <cellStyle name="Nota 3 8 3" xfId="2662" xr:uid="{00000000-0005-0000-0000-0000E04E0000}"/>
    <cellStyle name="Nota 3 8 3 2" xfId="2946" xr:uid="{00000000-0005-0000-0000-0000E14E0000}"/>
    <cellStyle name="Nota 3 8 3 2 10" xfId="9098" xr:uid="{00000000-0005-0000-0000-0000E24E0000}"/>
    <cellStyle name="Nota 3 8 3 2 11" xfId="17116" xr:uid="{00000000-0005-0000-0000-0000E34E0000}"/>
    <cellStyle name="Nota 3 8 3 2 2" xfId="3333" xr:uid="{00000000-0005-0000-0000-0000E44E0000}"/>
    <cellStyle name="Nota 3 8 3 2 2 2" xfId="7404" xr:uid="{00000000-0005-0000-0000-0000E54E0000}"/>
    <cellStyle name="Nota 3 8 3 2 2 2 2" xfId="11483" xr:uid="{00000000-0005-0000-0000-0000E64E0000}"/>
    <cellStyle name="Nota 3 8 3 2 2 2 3" xfId="20922" xr:uid="{00000000-0005-0000-0000-0000E74E0000}"/>
    <cellStyle name="Nota 3 8 3 2 2 3" xfId="5695" xr:uid="{00000000-0005-0000-0000-0000E84E0000}"/>
    <cellStyle name="Nota 3 8 3 2 2 3 2" xfId="19213" xr:uid="{00000000-0005-0000-0000-0000E94E0000}"/>
    <cellStyle name="Nota 3 8 3 2 2 4" xfId="9463" xr:uid="{00000000-0005-0000-0000-0000EA4E0000}"/>
    <cellStyle name="Nota 3 8 3 2 2 5" xfId="14681" xr:uid="{00000000-0005-0000-0000-0000EB4E0000}"/>
    <cellStyle name="Nota 3 8 3 2 3" xfId="3716" xr:uid="{00000000-0005-0000-0000-0000EC4E0000}"/>
    <cellStyle name="Nota 3 8 3 2 3 2" xfId="5062" xr:uid="{00000000-0005-0000-0000-0000ED4E0000}"/>
    <cellStyle name="Nota 3 8 3 2 3 2 2" xfId="10315" xr:uid="{00000000-0005-0000-0000-0000EE4E0000}"/>
    <cellStyle name="Nota 3 8 3 2 3 2 3" xfId="12814" xr:uid="{00000000-0005-0000-0000-0000EF4E0000}"/>
    <cellStyle name="Nota 3 8 3 2 3 3" xfId="5353" xr:uid="{00000000-0005-0000-0000-0000F04E0000}"/>
    <cellStyle name="Nota 3 8 3 2 3 3 2" xfId="18871" xr:uid="{00000000-0005-0000-0000-0000F14E0000}"/>
    <cellStyle name="Nota 3 8 3 2 3 4" xfId="9778" xr:uid="{00000000-0005-0000-0000-0000F24E0000}"/>
    <cellStyle name="Nota 3 8 3 2 3 5" xfId="15566" xr:uid="{00000000-0005-0000-0000-0000F34E0000}"/>
    <cellStyle name="Nota 3 8 3 2 4" xfId="4099" xr:uid="{00000000-0005-0000-0000-0000F44E0000}"/>
    <cellStyle name="Nota 3 8 3 2 4 2" xfId="8220" xr:uid="{00000000-0005-0000-0000-0000F54E0000}"/>
    <cellStyle name="Nota 3 8 3 2 4 2 2" xfId="12188" xr:uid="{00000000-0005-0000-0000-0000F64E0000}"/>
    <cellStyle name="Nota 3 8 3 2 4 2 3" xfId="21738" xr:uid="{00000000-0005-0000-0000-0000F74E0000}"/>
    <cellStyle name="Nota 3 8 3 2 4 3" xfId="6512" xr:uid="{00000000-0005-0000-0000-0000F84E0000}"/>
    <cellStyle name="Nota 3 8 3 2 4 3 2" xfId="20030" xr:uid="{00000000-0005-0000-0000-0000F94E0000}"/>
    <cellStyle name="Nota 3 8 3 2 4 4" xfId="9956" xr:uid="{00000000-0005-0000-0000-0000FA4E0000}"/>
    <cellStyle name="Nota 3 8 3 2 4 5" xfId="13895" xr:uid="{00000000-0005-0000-0000-0000FB4E0000}"/>
    <cellStyle name="Nota 3 8 3 2 5" xfId="4481" xr:uid="{00000000-0005-0000-0000-0000FC4E0000}"/>
    <cellStyle name="Nota 3 8 3 2 5 2" xfId="8452" xr:uid="{00000000-0005-0000-0000-0000FD4E0000}"/>
    <cellStyle name="Nota 3 8 3 2 5 2 2" xfId="12420" xr:uid="{00000000-0005-0000-0000-0000FE4E0000}"/>
    <cellStyle name="Nota 3 8 3 2 5 2 3" xfId="21970" xr:uid="{00000000-0005-0000-0000-0000FF4E0000}"/>
    <cellStyle name="Nota 3 8 3 2 5 3" xfId="6744" xr:uid="{00000000-0005-0000-0000-0000004F0000}"/>
    <cellStyle name="Nota 3 8 3 2 5 3 2" xfId="20262" xr:uid="{00000000-0005-0000-0000-0000014F0000}"/>
    <cellStyle name="Nota 3 8 3 2 5 4" xfId="10133" xr:uid="{00000000-0005-0000-0000-0000024F0000}"/>
    <cellStyle name="Nota 3 8 3 2 5 5" xfId="13524" xr:uid="{00000000-0005-0000-0000-0000034F0000}"/>
    <cellStyle name="Nota 3 8 3 2 6" xfId="6976" xr:uid="{00000000-0005-0000-0000-0000044F0000}"/>
    <cellStyle name="Nota 3 8 3 2 6 2" xfId="8684" xr:uid="{00000000-0005-0000-0000-0000054F0000}"/>
    <cellStyle name="Nota 3 8 3 2 6 2 2" xfId="12652" xr:uid="{00000000-0005-0000-0000-0000064F0000}"/>
    <cellStyle name="Nota 3 8 3 2 6 2 3" xfId="22202" xr:uid="{00000000-0005-0000-0000-0000074F0000}"/>
    <cellStyle name="Nota 3 8 3 2 6 3" xfId="11110" xr:uid="{00000000-0005-0000-0000-0000084F0000}"/>
    <cellStyle name="Nota 3 8 3 2 6 4" xfId="20494" xr:uid="{00000000-0005-0000-0000-0000094F0000}"/>
    <cellStyle name="Nota 3 8 3 2 7" xfId="5964" xr:uid="{00000000-0005-0000-0000-00000A4F0000}"/>
    <cellStyle name="Nota 3 8 3 2 7 2" xfId="10705" xr:uid="{00000000-0005-0000-0000-00000B4F0000}"/>
    <cellStyle name="Nota 3 8 3 2 7 3" xfId="19482" xr:uid="{00000000-0005-0000-0000-00000C4F0000}"/>
    <cellStyle name="Nota 3 8 3 2 8" xfId="7672" xr:uid="{00000000-0005-0000-0000-00000D4F0000}"/>
    <cellStyle name="Nota 3 8 3 2 8 2" xfId="11693" xr:uid="{00000000-0005-0000-0000-00000E4F0000}"/>
    <cellStyle name="Nota 3 8 3 2 8 3" xfId="21190" xr:uid="{00000000-0005-0000-0000-00000F4F0000}"/>
    <cellStyle name="Nota 3 8 3 2 9" xfId="5156" xr:uid="{00000000-0005-0000-0000-0000104F0000}"/>
    <cellStyle name="Nota 3 8 3 2 9 2" xfId="12771" xr:uid="{00000000-0005-0000-0000-0000114F0000}"/>
    <cellStyle name="Nota 3 8 3 3" xfId="3154" xr:uid="{00000000-0005-0000-0000-0000124F0000}"/>
    <cellStyle name="Nota 3 8 3 3 10" xfId="9284" xr:uid="{00000000-0005-0000-0000-0000134F0000}"/>
    <cellStyle name="Nota 3 8 3 3 11" xfId="16228" xr:uid="{00000000-0005-0000-0000-0000144F0000}"/>
    <cellStyle name="Nota 3 8 3 3 2" xfId="3541" xr:uid="{00000000-0005-0000-0000-0000154F0000}"/>
    <cellStyle name="Nota 3 8 3 3 2 2" xfId="7370" xr:uid="{00000000-0005-0000-0000-0000164F0000}"/>
    <cellStyle name="Nota 3 8 3 3 2 2 2" xfId="11456" xr:uid="{00000000-0005-0000-0000-0000174F0000}"/>
    <cellStyle name="Nota 3 8 3 3 2 2 3" xfId="20888" xr:uid="{00000000-0005-0000-0000-0000184F0000}"/>
    <cellStyle name="Nota 3 8 3 3 2 3" xfId="5661" xr:uid="{00000000-0005-0000-0000-0000194F0000}"/>
    <cellStyle name="Nota 3 8 3 3 2 3 2" xfId="19179" xr:uid="{00000000-0005-0000-0000-00001A4F0000}"/>
    <cellStyle name="Nota 3 8 3 3 2 4" xfId="9633" xr:uid="{00000000-0005-0000-0000-00001B4F0000}"/>
    <cellStyle name="Nota 3 8 3 3 2 5" xfId="17447" xr:uid="{00000000-0005-0000-0000-00001C4F0000}"/>
    <cellStyle name="Nota 3 8 3 3 3" xfId="3924" xr:uid="{00000000-0005-0000-0000-00001D4F0000}"/>
    <cellStyle name="Nota 3 8 3 3 3 2" xfId="7215" xr:uid="{00000000-0005-0000-0000-00001E4F0000}"/>
    <cellStyle name="Nota 3 8 3 3 3 2 2" xfId="11341" xr:uid="{00000000-0005-0000-0000-00001F4F0000}"/>
    <cellStyle name="Nota 3 8 3 3 3 2 3" xfId="20733" xr:uid="{00000000-0005-0000-0000-0000204F0000}"/>
    <cellStyle name="Nota 3 8 3 3 3 3" xfId="5506" xr:uid="{00000000-0005-0000-0000-0000214F0000}"/>
    <cellStyle name="Nota 3 8 3 3 3 3 2" xfId="19024" xr:uid="{00000000-0005-0000-0000-0000224F0000}"/>
    <cellStyle name="Nota 3 8 3 3 3 4" xfId="9847" xr:uid="{00000000-0005-0000-0000-0000234F0000}"/>
    <cellStyle name="Nota 3 8 3 3 3 5" xfId="14067" xr:uid="{00000000-0005-0000-0000-0000244F0000}"/>
    <cellStyle name="Nota 3 8 3 3 4" xfId="4307" xr:uid="{00000000-0005-0000-0000-0000254F0000}"/>
    <cellStyle name="Nota 3 8 3 3 4 2" xfId="8186" xr:uid="{00000000-0005-0000-0000-0000264F0000}"/>
    <cellStyle name="Nota 3 8 3 3 4 2 2" xfId="12154" xr:uid="{00000000-0005-0000-0000-0000274F0000}"/>
    <cellStyle name="Nota 3 8 3 3 4 2 3" xfId="21704" xr:uid="{00000000-0005-0000-0000-0000284F0000}"/>
    <cellStyle name="Nota 3 8 3 3 4 3" xfId="6478" xr:uid="{00000000-0005-0000-0000-0000294F0000}"/>
    <cellStyle name="Nota 3 8 3 3 4 3 2" xfId="19996" xr:uid="{00000000-0005-0000-0000-00002A4F0000}"/>
    <cellStyle name="Nota 3 8 3 3 4 4" xfId="10025" xr:uid="{00000000-0005-0000-0000-00002B4F0000}"/>
    <cellStyle name="Nota 3 8 3 3 4 5" xfId="13698" xr:uid="{00000000-0005-0000-0000-00002C4F0000}"/>
    <cellStyle name="Nota 3 8 3 3 5" xfId="4689" xr:uid="{00000000-0005-0000-0000-00002D4F0000}"/>
    <cellStyle name="Nota 3 8 3 3 5 2" xfId="8418" xr:uid="{00000000-0005-0000-0000-00002E4F0000}"/>
    <cellStyle name="Nota 3 8 3 3 5 2 2" xfId="12386" xr:uid="{00000000-0005-0000-0000-00002F4F0000}"/>
    <cellStyle name="Nota 3 8 3 3 5 2 3" xfId="21936" xr:uid="{00000000-0005-0000-0000-0000304F0000}"/>
    <cellStyle name="Nota 3 8 3 3 5 3" xfId="6710" xr:uid="{00000000-0005-0000-0000-0000314F0000}"/>
    <cellStyle name="Nota 3 8 3 3 5 3 2" xfId="20228" xr:uid="{00000000-0005-0000-0000-0000324F0000}"/>
    <cellStyle name="Nota 3 8 3 3 5 4" xfId="10202" xr:uid="{00000000-0005-0000-0000-0000334F0000}"/>
    <cellStyle name="Nota 3 8 3 3 5 5" xfId="13316" xr:uid="{00000000-0005-0000-0000-0000344F0000}"/>
    <cellStyle name="Nota 3 8 3 3 6" xfId="6942" xr:uid="{00000000-0005-0000-0000-0000354F0000}"/>
    <cellStyle name="Nota 3 8 3 3 6 2" xfId="8650" xr:uid="{00000000-0005-0000-0000-0000364F0000}"/>
    <cellStyle name="Nota 3 8 3 3 6 2 2" xfId="12618" xr:uid="{00000000-0005-0000-0000-0000374F0000}"/>
    <cellStyle name="Nota 3 8 3 3 6 2 3" xfId="22168" xr:uid="{00000000-0005-0000-0000-0000384F0000}"/>
    <cellStyle name="Nota 3 8 3 3 6 3" xfId="11076" xr:uid="{00000000-0005-0000-0000-0000394F0000}"/>
    <cellStyle name="Nota 3 8 3 3 6 4" xfId="20460" xr:uid="{00000000-0005-0000-0000-00003A4F0000}"/>
    <cellStyle name="Nota 3 8 3 3 7" xfId="5930" xr:uid="{00000000-0005-0000-0000-00003B4F0000}"/>
    <cellStyle name="Nota 3 8 3 3 7 2" xfId="10671" xr:uid="{00000000-0005-0000-0000-00003C4F0000}"/>
    <cellStyle name="Nota 3 8 3 3 7 3" xfId="19448" xr:uid="{00000000-0005-0000-0000-00003D4F0000}"/>
    <cellStyle name="Nota 3 8 3 3 8" xfId="7638" xr:uid="{00000000-0005-0000-0000-00003E4F0000}"/>
    <cellStyle name="Nota 3 8 3 3 8 2" xfId="11659" xr:uid="{00000000-0005-0000-0000-00003F4F0000}"/>
    <cellStyle name="Nota 3 8 3 3 8 3" xfId="21156" xr:uid="{00000000-0005-0000-0000-0000404F0000}"/>
    <cellStyle name="Nota 3 8 3 3 9" xfId="5026" xr:uid="{00000000-0005-0000-0000-0000414F0000}"/>
    <cellStyle name="Nota 3 8 3 3 9 2" xfId="12993" xr:uid="{00000000-0005-0000-0000-0000424F0000}"/>
    <cellStyle name="Nota 3 8 3 4" xfId="3066" xr:uid="{00000000-0005-0000-0000-0000434F0000}"/>
    <cellStyle name="Nota 3 8 3 4 2" xfId="3453" xr:uid="{00000000-0005-0000-0000-0000444F0000}"/>
    <cellStyle name="Nota 3 8 3 4 2 2" xfId="15559" xr:uid="{00000000-0005-0000-0000-0000454F0000}"/>
    <cellStyle name="Nota 3 8 3 4 3" xfId="3836" xr:uid="{00000000-0005-0000-0000-0000464F0000}"/>
    <cellStyle name="Nota 3 8 3 4 3 2" xfId="14187" xr:uid="{00000000-0005-0000-0000-0000474F0000}"/>
    <cellStyle name="Nota 3 8 3 4 4" xfId="4219" xr:uid="{00000000-0005-0000-0000-0000484F0000}"/>
    <cellStyle name="Nota 3 8 3 4 4 2" xfId="13786" xr:uid="{00000000-0005-0000-0000-0000494F0000}"/>
    <cellStyle name="Nota 3 8 3 4 5" xfId="4601" xr:uid="{00000000-0005-0000-0000-00004A4F0000}"/>
    <cellStyle name="Nota 3 8 3 4 5 2" xfId="13404" xr:uid="{00000000-0005-0000-0000-00004B4F0000}"/>
    <cellStyle name="Nota 3 8 3 4 6" xfId="5798" xr:uid="{00000000-0005-0000-0000-00004C4F0000}"/>
    <cellStyle name="Nota 3 8 3 4 6 2" xfId="19316" xr:uid="{00000000-0005-0000-0000-00004D4F0000}"/>
    <cellStyle name="Nota 3 8 3 4 7" xfId="9206" xr:uid="{00000000-0005-0000-0000-00004E4F0000}"/>
    <cellStyle name="Nota 3 8 3 4 8" xfId="16500" xr:uid="{00000000-0005-0000-0000-00004F4F0000}"/>
    <cellStyle name="Nota 3 8 3 5" xfId="2862" xr:uid="{00000000-0005-0000-0000-0000504F0000}"/>
    <cellStyle name="Nota 3 8 3 5 2" xfId="7506" xr:uid="{00000000-0005-0000-0000-0000514F0000}"/>
    <cellStyle name="Nota 3 8 3 5 2 2" xfId="21024" xr:uid="{00000000-0005-0000-0000-0000524F0000}"/>
    <cellStyle name="Nota 3 8 3 5 3" xfId="9015" xr:uid="{00000000-0005-0000-0000-0000534F0000}"/>
    <cellStyle name="Nota 3 8 3 5 4" xfId="18759" xr:uid="{00000000-0005-0000-0000-0000544F0000}"/>
    <cellStyle name="Nota 3 8 3 6" xfId="8819" xr:uid="{00000000-0005-0000-0000-0000554F0000}"/>
    <cellStyle name="Nota 3 8 4" xfId="2952" xr:uid="{00000000-0005-0000-0000-0000564F0000}"/>
    <cellStyle name="Nota 3 8 4 10" xfId="9104" xr:uid="{00000000-0005-0000-0000-0000574F0000}"/>
    <cellStyle name="Nota 3 8 4 11" xfId="16882" xr:uid="{00000000-0005-0000-0000-0000584F0000}"/>
    <cellStyle name="Nota 3 8 4 2" xfId="3339" xr:uid="{00000000-0005-0000-0000-0000594F0000}"/>
    <cellStyle name="Nota 3 8 4 2 2" xfId="7431" xr:uid="{00000000-0005-0000-0000-00005A4F0000}"/>
    <cellStyle name="Nota 3 8 4 2 2 2" xfId="11492" xr:uid="{00000000-0005-0000-0000-00005B4F0000}"/>
    <cellStyle name="Nota 3 8 4 2 2 3" xfId="20949" xr:uid="{00000000-0005-0000-0000-00005C4F0000}"/>
    <cellStyle name="Nota 3 8 4 2 3" xfId="5722" xr:uid="{00000000-0005-0000-0000-00005D4F0000}"/>
    <cellStyle name="Nota 3 8 4 2 3 2" xfId="19240" xr:uid="{00000000-0005-0000-0000-00005E4F0000}"/>
    <cellStyle name="Nota 3 8 4 2 4" xfId="9469" xr:uid="{00000000-0005-0000-0000-00005F4F0000}"/>
    <cellStyle name="Nota 3 8 4 2 5" xfId="17298" xr:uid="{00000000-0005-0000-0000-0000604F0000}"/>
    <cellStyle name="Nota 3 8 4 3" xfId="3722" xr:uid="{00000000-0005-0000-0000-0000614F0000}"/>
    <cellStyle name="Nota 3 8 4 3 2" xfId="7095" xr:uid="{00000000-0005-0000-0000-0000624F0000}"/>
    <cellStyle name="Nota 3 8 4 3 2 2" xfId="11229" xr:uid="{00000000-0005-0000-0000-0000634F0000}"/>
    <cellStyle name="Nota 3 8 4 3 2 3" xfId="20613" xr:uid="{00000000-0005-0000-0000-0000644F0000}"/>
    <cellStyle name="Nota 3 8 4 3 3" xfId="5386" xr:uid="{00000000-0005-0000-0000-0000654F0000}"/>
    <cellStyle name="Nota 3 8 4 3 3 2" xfId="18904" xr:uid="{00000000-0005-0000-0000-0000664F0000}"/>
    <cellStyle name="Nota 3 8 4 3 4" xfId="9784" xr:uid="{00000000-0005-0000-0000-0000674F0000}"/>
    <cellStyle name="Nota 3 8 4 3 5" xfId="15017" xr:uid="{00000000-0005-0000-0000-0000684F0000}"/>
    <cellStyle name="Nota 3 8 4 4" xfId="4105" xr:uid="{00000000-0005-0000-0000-0000694F0000}"/>
    <cellStyle name="Nota 3 8 4 4 2" xfId="8226" xr:uid="{00000000-0005-0000-0000-00006A4F0000}"/>
    <cellStyle name="Nota 3 8 4 4 2 2" xfId="12194" xr:uid="{00000000-0005-0000-0000-00006B4F0000}"/>
    <cellStyle name="Nota 3 8 4 4 2 3" xfId="21744" xr:uid="{00000000-0005-0000-0000-00006C4F0000}"/>
    <cellStyle name="Nota 3 8 4 4 3" xfId="6518" xr:uid="{00000000-0005-0000-0000-00006D4F0000}"/>
    <cellStyle name="Nota 3 8 4 4 3 2" xfId="20036" xr:uid="{00000000-0005-0000-0000-00006E4F0000}"/>
    <cellStyle name="Nota 3 8 4 4 4" xfId="9962" xr:uid="{00000000-0005-0000-0000-00006F4F0000}"/>
    <cellStyle name="Nota 3 8 4 4 5" xfId="13889" xr:uid="{00000000-0005-0000-0000-0000704F0000}"/>
    <cellStyle name="Nota 3 8 4 5" xfId="4487" xr:uid="{00000000-0005-0000-0000-0000714F0000}"/>
    <cellStyle name="Nota 3 8 4 5 2" xfId="8458" xr:uid="{00000000-0005-0000-0000-0000724F0000}"/>
    <cellStyle name="Nota 3 8 4 5 2 2" xfId="12426" xr:uid="{00000000-0005-0000-0000-0000734F0000}"/>
    <cellStyle name="Nota 3 8 4 5 2 3" xfId="21976" xr:uid="{00000000-0005-0000-0000-0000744F0000}"/>
    <cellStyle name="Nota 3 8 4 5 3" xfId="6750" xr:uid="{00000000-0005-0000-0000-0000754F0000}"/>
    <cellStyle name="Nota 3 8 4 5 3 2" xfId="20268" xr:uid="{00000000-0005-0000-0000-0000764F0000}"/>
    <cellStyle name="Nota 3 8 4 5 4" xfId="10139" xr:uid="{00000000-0005-0000-0000-0000774F0000}"/>
    <cellStyle name="Nota 3 8 4 5 5" xfId="13518" xr:uid="{00000000-0005-0000-0000-0000784F0000}"/>
    <cellStyle name="Nota 3 8 4 6" xfId="6982" xr:uid="{00000000-0005-0000-0000-0000794F0000}"/>
    <cellStyle name="Nota 3 8 4 6 2" xfId="8690" xr:uid="{00000000-0005-0000-0000-00007A4F0000}"/>
    <cellStyle name="Nota 3 8 4 6 2 2" xfId="12658" xr:uid="{00000000-0005-0000-0000-00007B4F0000}"/>
    <cellStyle name="Nota 3 8 4 6 2 3" xfId="22208" xr:uid="{00000000-0005-0000-0000-00007C4F0000}"/>
    <cellStyle name="Nota 3 8 4 6 3" xfId="11116" xr:uid="{00000000-0005-0000-0000-00007D4F0000}"/>
    <cellStyle name="Nota 3 8 4 6 4" xfId="20500" xr:uid="{00000000-0005-0000-0000-00007E4F0000}"/>
    <cellStyle name="Nota 3 8 4 7" xfId="5970" xr:uid="{00000000-0005-0000-0000-00007F4F0000}"/>
    <cellStyle name="Nota 3 8 4 7 2" xfId="10711" xr:uid="{00000000-0005-0000-0000-0000804F0000}"/>
    <cellStyle name="Nota 3 8 4 7 3" xfId="19488" xr:uid="{00000000-0005-0000-0000-0000814F0000}"/>
    <cellStyle name="Nota 3 8 4 8" xfId="7678" xr:uid="{00000000-0005-0000-0000-0000824F0000}"/>
    <cellStyle name="Nota 3 8 4 8 2" xfId="11699" xr:uid="{00000000-0005-0000-0000-0000834F0000}"/>
    <cellStyle name="Nota 3 8 4 8 3" xfId="21196" xr:uid="{00000000-0005-0000-0000-0000844F0000}"/>
    <cellStyle name="Nota 3 8 4 9" xfId="5163" xr:uid="{00000000-0005-0000-0000-0000854F0000}"/>
    <cellStyle name="Nota 3 8 4 9 2" xfId="12919" xr:uid="{00000000-0005-0000-0000-0000864F0000}"/>
    <cellStyle name="Nota 3 8 5" xfId="3179" xr:uid="{00000000-0005-0000-0000-0000874F0000}"/>
    <cellStyle name="Nota 3 8 5 10" xfId="9309" xr:uid="{00000000-0005-0000-0000-0000884F0000}"/>
    <cellStyle name="Nota 3 8 5 11" xfId="14298" xr:uid="{00000000-0005-0000-0000-0000894F0000}"/>
    <cellStyle name="Nota 3 8 5 2" xfId="3566" xr:uid="{00000000-0005-0000-0000-00008A4F0000}"/>
    <cellStyle name="Nota 3 8 5 2 2" xfId="7399" xr:uid="{00000000-0005-0000-0000-00008B4F0000}"/>
    <cellStyle name="Nota 3 8 5 2 2 2" xfId="11478" xr:uid="{00000000-0005-0000-0000-00008C4F0000}"/>
    <cellStyle name="Nota 3 8 5 2 2 3" xfId="20917" xr:uid="{00000000-0005-0000-0000-00008D4F0000}"/>
    <cellStyle name="Nota 3 8 5 2 3" xfId="5690" xr:uid="{00000000-0005-0000-0000-00008E4F0000}"/>
    <cellStyle name="Nota 3 8 5 2 3 2" xfId="19208" xr:uid="{00000000-0005-0000-0000-00008F4F0000}"/>
    <cellStyle name="Nota 3 8 5 2 4" xfId="9658" xr:uid="{00000000-0005-0000-0000-0000904F0000}"/>
    <cellStyle name="Nota 3 8 5 2 5" xfId="18710" xr:uid="{00000000-0005-0000-0000-0000914F0000}"/>
    <cellStyle name="Nota 3 8 5 3" xfId="3949" xr:uid="{00000000-0005-0000-0000-0000924F0000}"/>
    <cellStyle name="Nota 3 8 5 3 2" xfId="7860" xr:uid="{00000000-0005-0000-0000-0000934F0000}"/>
    <cellStyle name="Nota 3 8 5 3 2 2" xfId="11858" xr:uid="{00000000-0005-0000-0000-0000944F0000}"/>
    <cellStyle name="Nota 3 8 5 3 2 3" xfId="21378" xr:uid="{00000000-0005-0000-0000-0000954F0000}"/>
    <cellStyle name="Nota 3 8 5 3 3" xfId="6152" xr:uid="{00000000-0005-0000-0000-0000964F0000}"/>
    <cellStyle name="Nota 3 8 5 3 3 2" xfId="19670" xr:uid="{00000000-0005-0000-0000-0000974F0000}"/>
    <cellStyle name="Nota 3 8 5 3 4" xfId="9872" xr:uid="{00000000-0005-0000-0000-0000984F0000}"/>
    <cellStyle name="Nota 3 8 5 3 5" xfId="14042" xr:uid="{00000000-0005-0000-0000-0000994F0000}"/>
    <cellStyle name="Nota 3 8 5 4" xfId="4332" xr:uid="{00000000-0005-0000-0000-00009A4F0000}"/>
    <cellStyle name="Nota 3 8 5 4 2" xfId="8161" xr:uid="{00000000-0005-0000-0000-00009B4F0000}"/>
    <cellStyle name="Nota 3 8 5 4 2 2" xfId="12129" xr:uid="{00000000-0005-0000-0000-00009C4F0000}"/>
    <cellStyle name="Nota 3 8 5 4 2 3" xfId="21679" xr:uid="{00000000-0005-0000-0000-00009D4F0000}"/>
    <cellStyle name="Nota 3 8 5 4 3" xfId="6453" xr:uid="{00000000-0005-0000-0000-00009E4F0000}"/>
    <cellStyle name="Nota 3 8 5 4 3 2" xfId="19971" xr:uid="{00000000-0005-0000-0000-00009F4F0000}"/>
    <cellStyle name="Nota 3 8 5 4 4" xfId="10050" xr:uid="{00000000-0005-0000-0000-0000A04F0000}"/>
    <cellStyle name="Nota 3 8 5 4 5" xfId="13673" xr:uid="{00000000-0005-0000-0000-0000A14F0000}"/>
    <cellStyle name="Nota 3 8 5 5" xfId="4714" xr:uid="{00000000-0005-0000-0000-0000A24F0000}"/>
    <cellStyle name="Nota 3 8 5 5 2" xfId="8393" xr:uid="{00000000-0005-0000-0000-0000A34F0000}"/>
    <cellStyle name="Nota 3 8 5 5 2 2" xfId="12361" xr:uid="{00000000-0005-0000-0000-0000A44F0000}"/>
    <cellStyle name="Nota 3 8 5 5 2 3" xfId="21911" xr:uid="{00000000-0005-0000-0000-0000A54F0000}"/>
    <cellStyle name="Nota 3 8 5 5 3" xfId="6685" xr:uid="{00000000-0005-0000-0000-0000A64F0000}"/>
    <cellStyle name="Nota 3 8 5 5 3 2" xfId="20203" xr:uid="{00000000-0005-0000-0000-0000A74F0000}"/>
    <cellStyle name="Nota 3 8 5 5 4" xfId="10227" xr:uid="{00000000-0005-0000-0000-0000A84F0000}"/>
    <cellStyle name="Nota 3 8 5 5 5" xfId="13291" xr:uid="{00000000-0005-0000-0000-0000A94F0000}"/>
    <cellStyle name="Nota 3 8 5 6" xfId="6917" xr:uid="{00000000-0005-0000-0000-0000AA4F0000}"/>
    <cellStyle name="Nota 3 8 5 6 2" xfId="8625" xr:uid="{00000000-0005-0000-0000-0000AB4F0000}"/>
    <cellStyle name="Nota 3 8 5 6 2 2" xfId="12593" xr:uid="{00000000-0005-0000-0000-0000AC4F0000}"/>
    <cellStyle name="Nota 3 8 5 6 2 3" xfId="22143" xr:uid="{00000000-0005-0000-0000-0000AD4F0000}"/>
    <cellStyle name="Nota 3 8 5 6 3" xfId="11051" xr:uid="{00000000-0005-0000-0000-0000AE4F0000}"/>
    <cellStyle name="Nota 3 8 5 6 4" xfId="20435" xr:uid="{00000000-0005-0000-0000-0000AF4F0000}"/>
    <cellStyle name="Nota 3 8 5 7" xfId="5905" xr:uid="{00000000-0005-0000-0000-0000B04F0000}"/>
    <cellStyle name="Nota 3 8 5 7 2" xfId="10646" xr:uid="{00000000-0005-0000-0000-0000B14F0000}"/>
    <cellStyle name="Nota 3 8 5 7 3" xfId="19423" xr:uid="{00000000-0005-0000-0000-0000B24F0000}"/>
    <cellStyle name="Nota 3 8 5 8" xfId="7613" xr:uid="{00000000-0005-0000-0000-0000B34F0000}"/>
    <cellStyle name="Nota 3 8 5 8 2" xfId="11634" xr:uid="{00000000-0005-0000-0000-0000B44F0000}"/>
    <cellStyle name="Nota 3 8 5 8 3" xfId="21131" xr:uid="{00000000-0005-0000-0000-0000B54F0000}"/>
    <cellStyle name="Nota 3 8 5 9" xfId="5000" xr:uid="{00000000-0005-0000-0000-0000B64F0000}"/>
    <cellStyle name="Nota 3 8 5 9 2" xfId="13019" xr:uid="{00000000-0005-0000-0000-0000B74F0000}"/>
    <cellStyle name="Nota 3 8 6" xfId="3023" xr:uid="{00000000-0005-0000-0000-0000B84F0000}"/>
    <cellStyle name="Nota 3 8 6 2" xfId="3410" xr:uid="{00000000-0005-0000-0000-0000B94F0000}"/>
    <cellStyle name="Nota 3 8 6 2 2" xfId="7912" xr:uid="{00000000-0005-0000-0000-0000BA4F0000}"/>
    <cellStyle name="Nota 3 8 6 2 2 2" xfId="21430" xr:uid="{00000000-0005-0000-0000-0000BB4F0000}"/>
    <cellStyle name="Nota 3 8 6 2 3" xfId="9528" xr:uid="{00000000-0005-0000-0000-0000BC4F0000}"/>
    <cellStyle name="Nota 3 8 6 2 4" xfId="17117" xr:uid="{00000000-0005-0000-0000-0000BD4F0000}"/>
    <cellStyle name="Nota 3 8 6 3" xfId="3793" xr:uid="{00000000-0005-0000-0000-0000BE4F0000}"/>
    <cellStyle name="Nota 3 8 6 3 2" xfId="15235" xr:uid="{00000000-0005-0000-0000-0000BF4F0000}"/>
    <cellStyle name="Nota 3 8 6 4" xfId="4176" xr:uid="{00000000-0005-0000-0000-0000C04F0000}"/>
    <cellStyle name="Nota 3 8 6 4 2" xfId="13829" xr:uid="{00000000-0005-0000-0000-0000C14F0000}"/>
    <cellStyle name="Nota 3 8 6 5" xfId="4558" xr:uid="{00000000-0005-0000-0000-0000C24F0000}"/>
    <cellStyle name="Nota 3 8 6 5 2" xfId="13447" xr:uid="{00000000-0005-0000-0000-0000C34F0000}"/>
    <cellStyle name="Nota 3 8 6 6" xfId="6204" xr:uid="{00000000-0005-0000-0000-0000C44F0000}"/>
    <cellStyle name="Nota 3 8 6 6 2" xfId="19722" xr:uid="{00000000-0005-0000-0000-0000C54F0000}"/>
    <cellStyle name="Nota 3 8 6 7" xfId="9165" xr:uid="{00000000-0005-0000-0000-0000C64F0000}"/>
    <cellStyle name="Nota 3 8 6 8" xfId="16923" xr:uid="{00000000-0005-0000-0000-0000C74F0000}"/>
    <cellStyle name="Nota 3 8 7" xfId="5350" xr:uid="{00000000-0005-0000-0000-0000C84F0000}"/>
    <cellStyle name="Nota 3 8 7 2" xfId="5065" xr:uid="{00000000-0005-0000-0000-0000C94F0000}"/>
    <cellStyle name="Nota 3 8 7 2 2" xfId="10318" xr:uid="{00000000-0005-0000-0000-0000CA4F0000}"/>
    <cellStyle name="Nota 3 8 7 2 3" xfId="12812" xr:uid="{00000000-0005-0000-0000-0000CB4F0000}"/>
    <cellStyle name="Nota 3 8 7 3" xfId="10428" xr:uid="{00000000-0005-0000-0000-0000CC4F0000}"/>
    <cellStyle name="Nota 3 8 7 4" xfId="18868" xr:uid="{00000000-0005-0000-0000-0000CD4F0000}"/>
    <cellStyle name="Nota 3 8 8" xfId="5626" xr:uid="{00000000-0005-0000-0000-0000CE4F0000}"/>
    <cellStyle name="Nota 3 8 8 2" xfId="7335" xr:uid="{00000000-0005-0000-0000-0000CF4F0000}"/>
    <cellStyle name="Nota 3 8 8 2 2" xfId="11423" xr:uid="{00000000-0005-0000-0000-0000D04F0000}"/>
    <cellStyle name="Nota 3 8 8 2 3" xfId="20853" xr:uid="{00000000-0005-0000-0000-0000D14F0000}"/>
    <cellStyle name="Nota 3 8 8 3" xfId="10501" xr:uid="{00000000-0005-0000-0000-0000D24F0000}"/>
    <cellStyle name="Nota 3 8 8 4" xfId="19144" xr:uid="{00000000-0005-0000-0000-0000D34F0000}"/>
    <cellStyle name="Nota 3 8 9" xfId="5451" xr:uid="{00000000-0005-0000-0000-0000D44F0000}"/>
    <cellStyle name="Nota 3 8 9 2" xfId="7160" xr:uid="{00000000-0005-0000-0000-0000D54F0000}"/>
    <cellStyle name="Nota 3 8 9 2 2" xfId="11291" xr:uid="{00000000-0005-0000-0000-0000D64F0000}"/>
    <cellStyle name="Nota 3 8 9 2 3" xfId="20678" xr:uid="{00000000-0005-0000-0000-0000D74F0000}"/>
    <cellStyle name="Nota 3 8 9 3" xfId="10465" xr:uid="{00000000-0005-0000-0000-0000D84F0000}"/>
    <cellStyle name="Nota 3 8 9 4" xfId="18969" xr:uid="{00000000-0005-0000-0000-0000D94F0000}"/>
    <cellStyle name="Nota 3 9" xfId="3007" xr:uid="{00000000-0005-0000-0000-0000DA4F0000}"/>
    <cellStyle name="Nota 3 9 2" xfId="3394" xr:uid="{00000000-0005-0000-0000-0000DB4F0000}"/>
    <cellStyle name="Nota 3 9 2 2" xfId="15464" xr:uid="{00000000-0005-0000-0000-0000DC4F0000}"/>
    <cellStyle name="Nota 3 9 3" xfId="3777" xr:uid="{00000000-0005-0000-0000-0000DD4F0000}"/>
    <cellStyle name="Nota 3 9 3 2" xfId="15277" xr:uid="{00000000-0005-0000-0000-0000DE4F0000}"/>
    <cellStyle name="Nota 3 9 4" xfId="4160" xr:uid="{00000000-0005-0000-0000-0000DF4F0000}"/>
    <cellStyle name="Nota 3 9 4 2" xfId="13845" xr:uid="{00000000-0005-0000-0000-0000E04F0000}"/>
    <cellStyle name="Nota 3 9 5" xfId="4542" xr:uid="{00000000-0005-0000-0000-0000E14F0000}"/>
    <cellStyle name="Nota 3 9 5 2" xfId="13463" xr:uid="{00000000-0005-0000-0000-0000E24F0000}"/>
    <cellStyle name="Nota 3 9 6" xfId="14997" xr:uid="{00000000-0005-0000-0000-0000E34F0000}"/>
    <cellStyle name="Nota 4" xfId="2302" xr:uid="{00000000-0005-0000-0000-0000E44F0000}"/>
    <cellStyle name="Note" xfId="1554" xr:uid="{00000000-0005-0000-0000-0000E54F0000}"/>
    <cellStyle name="Note 2" xfId="2621" xr:uid="{00000000-0005-0000-0000-0000E64F0000}"/>
    <cellStyle name="Note 2 10" xfId="5255" xr:uid="{00000000-0005-0000-0000-0000E74F0000}"/>
    <cellStyle name="Note 2 10 2" xfId="10395" xr:uid="{00000000-0005-0000-0000-0000E84F0000}"/>
    <cellStyle name="Note 2 10 3" xfId="12839" xr:uid="{00000000-0005-0000-0000-0000E94F0000}"/>
    <cellStyle name="Note 2 11" xfId="5044" xr:uid="{00000000-0005-0000-0000-0000EA4F0000}"/>
    <cellStyle name="Note 2 11 2" xfId="10306" xr:uid="{00000000-0005-0000-0000-0000EB4F0000}"/>
    <cellStyle name="Note 2 11 3" xfId="14106" xr:uid="{00000000-0005-0000-0000-0000EC4F0000}"/>
    <cellStyle name="Note 2 12" xfId="4850" xr:uid="{00000000-0005-0000-0000-0000ED4F0000}"/>
    <cellStyle name="Note 2 12 2" xfId="13156" xr:uid="{00000000-0005-0000-0000-0000EE4F0000}"/>
    <cellStyle name="Note 2 13" xfId="8784" xr:uid="{00000000-0005-0000-0000-0000EF4F0000}"/>
    <cellStyle name="Note 2 2" xfId="2710" xr:uid="{00000000-0005-0000-0000-0000F04F0000}"/>
    <cellStyle name="Note 2 2 10" xfId="7486" xr:uid="{00000000-0005-0000-0000-0000F14F0000}"/>
    <cellStyle name="Note 2 2 10 2" xfId="11540" xr:uid="{00000000-0005-0000-0000-0000F24F0000}"/>
    <cellStyle name="Note 2 2 10 3" xfId="21004" xr:uid="{00000000-0005-0000-0000-0000F34F0000}"/>
    <cellStyle name="Note 2 2 11" xfId="4903" xr:uid="{00000000-0005-0000-0000-0000F44F0000}"/>
    <cellStyle name="Note 2 2 11 2" xfId="13114" xr:uid="{00000000-0005-0000-0000-0000F54F0000}"/>
    <cellStyle name="Note 2 2 12" xfId="8865" xr:uid="{00000000-0005-0000-0000-0000F64F0000}"/>
    <cellStyle name="Note 2 2 13" xfId="15522" xr:uid="{00000000-0005-0000-0000-0000F74F0000}"/>
    <cellStyle name="Note 2 2 2" xfId="2762" xr:uid="{00000000-0005-0000-0000-0000F84F0000}"/>
    <cellStyle name="Note 2 2 2 2" xfId="2985" xr:uid="{00000000-0005-0000-0000-0000F94F0000}"/>
    <cellStyle name="Note 2 2 2 2 10" xfId="9137" xr:uid="{00000000-0005-0000-0000-0000FA4F0000}"/>
    <cellStyle name="Note 2 2 2 2 11" xfId="18745" xr:uid="{00000000-0005-0000-0000-0000FB4F0000}"/>
    <cellStyle name="Note 2 2 2 2 2" xfId="3372" xr:uid="{00000000-0005-0000-0000-0000FC4F0000}"/>
    <cellStyle name="Note 2 2 2 2 2 2" xfId="7950" xr:uid="{00000000-0005-0000-0000-0000FD4F0000}"/>
    <cellStyle name="Note 2 2 2 2 2 2 2" xfId="11926" xr:uid="{00000000-0005-0000-0000-0000FE4F0000}"/>
    <cellStyle name="Note 2 2 2 2 2 2 3" xfId="21468" xr:uid="{00000000-0005-0000-0000-0000FF4F0000}"/>
    <cellStyle name="Note 2 2 2 2 2 3" xfId="6242" xr:uid="{00000000-0005-0000-0000-000000500000}"/>
    <cellStyle name="Note 2 2 2 2 2 3 2" xfId="19760" xr:uid="{00000000-0005-0000-0000-000001500000}"/>
    <cellStyle name="Note 2 2 2 2 2 4" xfId="9502" xr:uid="{00000000-0005-0000-0000-000002500000}"/>
    <cellStyle name="Note 2 2 2 2 2 5" xfId="16357" xr:uid="{00000000-0005-0000-0000-000003500000}"/>
    <cellStyle name="Note 2 2 2 2 3" xfId="3755" xr:uid="{00000000-0005-0000-0000-000004500000}"/>
    <cellStyle name="Note 2 2 2 2 3 2" xfId="7913" xr:uid="{00000000-0005-0000-0000-000005500000}"/>
    <cellStyle name="Note 2 2 2 2 3 2 2" xfId="11891" xr:uid="{00000000-0005-0000-0000-000006500000}"/>
    <cellStyle name="Note 2 2 2 2 3 2 3" xfId="21431" xr:uid="{00000000-0005-0000-0000-000007500000}"/>
    <cellStyle name="Note 2 2 2 2 3 3" xfId="6205" xr:uid="{00000000-0005-0000-0000-000008500000}"/>
    <cellStyle name="Note 2 2 2 2 3 3 2" xfId="19723" xr:uid="{00000000-0005-0000-0000-000009500000}"/>
    <cellStyle name="Note 2 2 2 2 3 4" xfId="9817" xr:uid="{00000000-0005-0000-0000-00000A500000}"/>
    <cellStyle name="Note 2 2 2 2 3 5" xfId="16688" xr:uid="{00000000-0005-0000-0000-00000B500000}"/>
    <cellStyle name="Note 2 2 2 2 4" xfId="4138" xr:uid="{00000000-0005-0000-0000-00000C500000}"/>
    <cellStyle name="Note 2 2 2 2 4 2" xfId="8257" xr:uid="{00000000-0005-0000-0000-00000D500000}"/>
    <cellStyle name="Note 2 2 2 2 4 2 2" xfId="12225" xr:uid="{00000000-0005-0000-0000-00000E500000}"/>
    <cellStyle name="Note 2 2 2 2 4 2 3" xfId="21775" xr:uid="{00000000-0005-0000-0000-00000F500000}"/>
    <cellStyle name="Note 2 2 2 2 4 3" xfId="6549" xr:uid="{00000000-0005-0000-0000-000010500000}"/>
    <cellStyle name="Note 2 2 2 2 4 3 2" xfId="20067" xr:uid="{00000000-0005-0000-0000-000011500000}"/>
    <cellStyle name="Note 2 2 2 2 4 4" xfId="9995" xr:uid="{00000000-0005-0000-0000-000012500000}"/>
    <cellStyle name="Note 2 2 2 2 4 5" xfId="13859" xr:uid="{00000000-0005-0000-0000-000013500000}"/>
    <cellStyle name="Note 2 2 2 2 5" xfId="4520" xr:uid="{00000000-0005-0000-0000-000014500000}"/>
    <cellStyle name="Note 2 2 2 2 5 2" xfId="8489" xr:uid="{00000000-0005-0000-0000-000015500000}"/>
    <cellStyle name="Note 2 2 2 2 5 2 2" xfId="12457" xr:uid="{00000000-0005-0000-0000-000016500000}"/>
    <cellStyle name="Note 2 2 2 2 5 2 3" xfId="22007" xr:uid="{00000000-0005-0000-0000-000017500000}"/>
    <cellStyle name="Note 2 2 2 2 5 3" xfId="6781" xr:uid="{00000000-0005-0000-0000-000018500000}"/>
    <cellStyle name="Note 2 2 2 2 5 3 2" xfId="20299" xr:uid="{00000000-0005-0000-0000-000019500000}"/>
    <cellStyle name="Note 2 2 2 2 5 4" xfId="10172" xr:uid="{00000000-0005-0000-0000-00001A500000}"/>
    <cellStyle name="Note 2 2 2 2 5 5" xfId="13485" xr:uid="{00000000-0005-0000-0000-00001B500000}"/>
    <cellStyle name="Note 2 2 2 2 6" xfId="7013" xr:uid="{00000000-0005-0000-0000-00001C500000}"/>
    <cellStyle name="Note 2 2 2 2 6 2" xfId="8721" xr:uid="{00000000-0005-0000-0000-00001D500000}"/>
    <cellStyle name="Note 2 2 2 2 6 2 2" xfId="12689" xr:uid="{00000000-0005-0000-0000-00001E500000}"/>
    <cellStyle name="Note 2 2 2 2 6 2 3" xfId="22239" xr:uid="{00000000-0005-0000-0000-00001F500000}"/>
    <cellStyle name="Note 2 2 2 2 6 3" xfId="11147" xr:uid="{00000000-0005-0000-0000-000020500000}"/>
    <cellStyle name="Note 2 2 2 2 6 4" xfId="20531" xr:uid="{00000000-0005-0000-0000-000021500000}"/>
    <cellStyle name="Note 2 2 2 2 7" xfId="6001" xr:uid="{00000000-0005-0000-0000-000022500000}"/>
    <cellStyle name="Note 2 2 2 2 7 2" xfId="10742" xr:uid="{00000000-0005-0000-0000-000023500000}"/>
    <cellStyle name="Note 2 2 2 2 7 3" xfId="19519" xr:uid="{00000000-0005-0000-0000-000024500000}"/>
    <cellStyle name="Note 2 2 2 2 8" xfId="7709" xr:uid="{00000000-0005-0000-0000-000025500000}"/>
    <cellStyle name="Note 2 2 2 2 8 2" xfId="11730" xr:uid="{00000000-0005-0000-0000-000026500000}"/>
    <cellStyle name="Note 2 2 2 2 8 3" xfId="21227" xr:uid="{00000000-0005-0000-0000-000027500000}"/>
    <cellStyle name="Note 2 2 2 2 9" xfId="5195" xr:uid="{00000000-0005-0000-0000-000028500000}"/>
    <cellStyle name="Note 2 2 2 2 9 2" xfId="12887" xr:uid="{00000000-0005-0000-0000-000029500000}"/>
    <cellStyle name="Note 2 2 2 3" xfId="3252" xr:uid="{00000000-0005-0000-0000-00002A500000}"/>
    <cellStyle name="Note 2 2 2 3 10" xfId="9382" xr:uid="{00000000-0005-0000-0000-00002B500000}"/>
    <cellStyle name="Note 2 2 2 3 11" xfId="15567" xr:uid="{00000000-0005-0000-0000-00002C500000}"/>
    <cellStyle name="Note 2 2 2 3 2" xfId="3639" xr:uid="{00000000-0005-0000-0000-00002D500000}"/>
    <cellStyle name="Note 2 2 2 3 2 2" xfId="8000" xr:uid="{00000000-0005-0000-0000-00002E500000}"/>
    <cellStyle name="Note 2 2 2 3 2 2 2" xfId="11976" xr:uid="{00000000-0005-0000-0000-00002F500000}"/>
    <cellStyle name="Note 2 2 2 3 2 2 3" xfId="21518" xr:uid="{00000000-0005-0000-0000-000030500000}"/>
    <cellStyle name="Note 2 2 2 3 2 3" xfId="6292" xr:uid="{00000000-0005-0000-0000-000031500000}"/>
    <cellStyle name="Note 2 2 2 3 2 3 2" xfId="19810" xr:uid="{00000000-0005-0000-0000-000032500000}"/>
    <cellStyle name="Note 2 2 2 3 2 4" xfId="9731" xr:uid="{00000000-0005-0000-0000-000033500000}"/>
    <cellStyle name="Note 2 2 2 3 2 5" xfId="16886" xr:uid="{00000000-0005-0000-0000-000034500000}"/>
    <cellStyle name="Note 2 2 2 3 3" xfId="4022" xr:uid="{00000000-0005-0000-0000-000035500000}"/>
    <cellStyle name="Note 2 2 2 3 3 2" xfId="5059" xr:uid="{00000000-0005-0000-0000-000036500000}"/>
    <cellStyle name="Note 2 2 2 3 3 2 2" xfId="10312" xr:uid="{00000000-0005-0000-0000-000037500000}"/>
    <cellStyle name="Note 2 2 2 3 3 2 3" xfId="12816" xr:uid="{00000000-0005-0000-0000-000038500000}"/>
    <cellStyle name="Note 2 2 2 3 3 3" xfId="5356" xr:uid="{00000000-0005-0000-0000-000039500000}"/>
    <cellStyle name="Note 2 2 2 3 3 3 2" xfId="18874" xr:uid="{00000000-0005-0000-0000-00003A500000}"/>
    <cellStyle name="Note 2 2 2 3 3 4" xfId="9941" xr:uid="{00000000-0005-0000-0000-00003B500000}"/>
    <cellStyle name="Note 2 2 2 3 3 5" xfId="13969" xr:uid="{00000000-0005-0000-0000-00003C500000}"/>
    <cellStyle name="Note 2 2 2 3 4" xfId="4405" xr:uid="{00000000-0005-0000-0000-00003D500000}"/>
    <cellStyle name="Note 2 2 2 3 4 2" xfId="8307" xr:uid="{00000000-0005-0000-0000-00003E500000}"/>
    <cellStyle name="Note 2 2 2 3 4 2 2" xfId="12275" xr:uid="{00000000-0005-0000-0000-00003F500000}"/>
    <cellStyle name="Note 2 2 2 3 4 2 3" xfId="21825" xr:uid="{00000000-0005-0000-0000-000040500000}"/>
    <cellStyle name="Note 2 2 2 3 4 3" xfId="6599" xr:uid="{00000000-0005-0000-0000-000041500000}"/>
    <cellStyle name="Note 2 2 2 3 4 3 2" xfId="20117" xr:uid="{00000000-0005-0000-0000-000042500000}"/>
    <cellStyle name="Note 2 2 2 3 4 4" xfId="10119" xr:uid="{00000000-0005-0000-0000-000043500000}"/>
    <cellStyle name="Note 2 2 2 3 4 5" xfId="13600" xr:uid="{00000000-0005-0000-0000-000044500000}"/>
    <cellStyle name="Note 2 2 2 3 5" xfId="4787" xr:uid="{00000000-0005-0000-0000-000045500000}"/>
    <cellStyle name="Note 2 2 2 3 5 2" xfId="8539" xr:uid="{00000000-0005-0000-0000-000046500000}"/>
    <cellStyle name="Note 2 2 2 3 5 2 2" xfId="12507" xr:uid="{00000000-0005-0000-0000-000047500000}"/>
    <cellStyle name="Note 2 2 2 3 5 2 3" xfId="22057" xr:uid="{00000000-0005-0000-0000-000048500000}"/>
    <cellStyle name="Note 2 2 2 3 5 3" xfId="6831" xr:uid="{00000000-0005-0000-0000-000049500000}"/>
    <cellStyle name="Note 2 2 2 3 5 3 2" xfId="20349" xr:uid="{00000000-0005-0000-0000-00004A500000}"/>
    <cellStyle name="Note 2 2 2 3 5 4" xfId="10296" xr:uid="{00000000-0005-0000-0000-00004B500000}"/>
    <cellStyle name="Note 2 2 2 3 5 5" xfId="13218" xr:uid="{00000000-0005-0000-0000-00004C500000}"/>
    <cellStyle name="Note 2 2 2 3 6" xfId="7063" xr:uid="{00000000-0005-0000-0000-00004D500000}"/>
    <cellStyle name="Note 2 2 2 3 6 2" xfId="8771" xr:uid="{00000000-0005-0000-0000-00004E500000}"/>
    <cellStyle name="Note 2 2 2 3 6 2 2" xfId="12739" xr:uid="{00000000-0005-0000-0000-00004F500000}"/>
    <cellStyle name="Note 2 2 2 3 6 2 3" xfId="22289" xr:uid="{00000000-0005-0000-0000-000050500000}"/>
    <cellStyle name="Note 2 2 2 3 6 3" xfId="11197" xr:uid="{00000000-0005-0000-0000-000051500000}"/>
    <cellStyle name="Note 2 2 2 3 6 4" xfId="20581" xr:uid="{00000000-0005-0000-0000-000052500000}"/>
    <cellStyle name="Note 2 2 2 3 7" xfId="6051" xr:uid="{00000000-0005-0000-0000-000053500000}"/>
    <cellStyle name="Note 2 2 2 3 7 2" xfId="10792" xr:uid="{00000000-0005-0000-0000-000054500000}"/>
    <cellStyle name="Note 2 2 2 3 7 3" xfId="19569" xr:uid="{00000000-0005-0000-0000-000055500000}"/>
    <cellStyle name="Note 2 2 2 3 8" xfId="7759" xr:uid="{00000000-0005-0000-0000-000056500000}"/>
    <cellStyle name="Note 2 2 2 3 8 2" xfId="11780" xr:uid="{00000000-0005-0000-0000-000057500000}"/>
    <cellStyle name="Note 2 2 2 3 8 3" xfId="21277" xr:uid="{00000000-0005-0000-0000-000058500000}"/>
    <cellStyle name="Note 2 2 2 3 9" xfId="5245" xr:uid="{00000000-0005-0000-0000-000059500000}"/>
    <cellStyle name="Note 2 2 2 3 9 2" xfId="12849" xr:uid="{00000000-0005-0000-0000-00005A500000}"/>
    <cellStyle name="Note 2 2 2 4" xfId="3309" xr:uid="{00000000-0005-0000-0000-00005B500000}"/>
    <cellStyle name="Note 2 2 2 4 2" xfId="3696" xr:uid="{00000000-0005-0000-0000-00005C500000}"/>
    <cellStyle name="Note 2 2 2 4 2 2" xfId="15600" xr:uid="{00000000-0005-0000-0000-00005D500000}"/>
    <cellStyle name="Note 2 2 2 4 3" xfId="4079" xr:uid="{00000000-0005-0000-0000-00005E500000}"/>
    <cellStyle name="Note 2 2 2 4 3 2" xfId="13915" xr:uid="{00000000-0005-0000-0000-00005F500000}"/>
    <cellStyle name="Note 2 2 2 4 4" xfId="4462" xr:uid="{00000000-0005-0000-0000-000060500000}"/>
    <cellStyle name="Note 2 2 2 4 4 2" xfId="13543" xr:uid="{00000000-0005-0000-0000-000061500000}"/>
    <cellStyle name="Note 2 2 2 4 5" xfId="4844" xr:uid="{00000000-0005-0000-0000-000062500000}"/>
    <cellStyle name="Note 2 2 2 4 5 2" xfId="13162" xr:uid="{00000000-0005-0000-0000-000063500000}"/>
    <cellStyle name="Note 2 2 2 4 6" xfId="5841" xr:uid="{00000000-0005-0000-0000-000064500000}"/>
    <cellStyle name="Note 2 2 2 4 6 2" xfId="19359" xr:uid="{00000000-0005-0000-0000-000065500000}"/>
    <cellStyle name="Note 2 2 2 4 7" xfId="9439" xr:uid="{00000000-0005-0000-0000-000066500000}"/>
    <cellStyle name="Note 2 2 2 4 8" xfId="14448" xr:uid="{00000000-0005-0000-0000-000067500000}"/>
    <cellStyle name="Note 2 2 2 5" xfId="2927" xr:uid="{00000000-0005-0000-0000-000068500000}"/>
    <cellStyle name="Note 2 2 2 5 2" xfId="7549" xr:uid="{00000000-0005-0000-0000-000069500000}"/>
    <cellStyle name="Note 2 2 2 5 2 2" xfId="21067" xr:uid="{00000000-0005-0000-0000-00006A500000}"/>
    <cellStyle name="Note 2 2 2 5 3" xfId="9079" xr:uid="{00000000-0005-0000-0000-00006B500000}"/>
    <cellStyle name="Note 2 2 2 5 4" xfId="15737" xr:uid="{00000000-0005-0000-0000-00006C500000}"/>
    <cellStyle name="Note 2 2 2 6" xfId="8917" xr:uid="{00000000-0005-0000-0000-00006D500000}"/>
    <cellStyle name="Note 2 2 3" xfId="2635" xr:uid="{00000000-0005-0000-0000-00006E500000}"/>
    <cellStyle name="Note 2 2 3 2" xfId="2937" xr:uid="{00000000-0005-0000-0000-00006F500000}"/>
    <cellStyle name="Note 2 2 3 2 10" xfId="9089" xr:uid="{00000000-0005-0000-0000-000070500000}"/>
    <cellStyle name="Note 2 2 3 2 11" xfId="14632" xr:uid="{00000000-0005-0000-0000-000071500000}"/>
    <cellStyle name="Note 2 2 3 2 2" xfId="3324" xr:uid="{00000000-0005-0000-0000-000072500000}"/>
    <cellStyle name="Note 2 2 3 2 2 2" xfId="7295" xr:uid="{00000000-0005-0000-0000-000073500000}"/>
    <cellStyle name="Note 2 2 3 2 2 2 2" xfId="11400" xr:uid="{00000000-0005-0000-0000-000074500000}"/>
    <cellStyle name="Note 2 2 3 2 2 2 3" xfId="20813" xr:uid="{00000000-0005-0000-0000-000075500000}"/>
    <cellStyle name="Note 2 2 3 2 2 3" xfId="5586" xr:uid="{00000000-0005-0000-0000-000076500000}"/>
    <cellStyle name="Note 2 2 3 2 2 3 2" xfId="19104" xr:uid="{00000000-0005-0000-0000-000077500000}"/>
    <cellStyle name="Note 2 2 3 2 2 4" xfId="9454" xr:uid="{00000000-0005-0000-0000-000078500000}"/>
    <cellStyle name="Note 2 2 3 2 2 5" xfId="17163" xr:uid="{00000000-0005-0000-0000-000079500000}"/>
    <cellStyle name="Note 2 2 3 2 3" xfId="3707" xr:uid="{00000000-0005-0000-0000-00007A500000}"/>
    <cellStyle name="Note 2 2 3 2 3 2" xfId="7768" xr:uid="{00000000-0005-0000-0000-00007B500000}"/>
    <cellStyle name="Note 2 2 3 2 3 2 2" xfId="11789" xr:uid="{00000000-0005-0000-0000-00007C500000}"/>
    <cellStyle name="Note 2 2 3 2 3 2 3" xfId="21286" xr:uid="{00000000-0005-0000-0000-00007D500000}"/>
    <cellStyle name="Note 2 2 3 2 3 3" xfId="6060" xr:uid="{00000000-0005-0000-0000-00007E500000}"/>
    <cellStyle name="Note 2 2 3 2 3 3 2" xfId="19578" xr:uid="{00000000-0005-0000-0000-00007F500000}"/>
    <cellStyle name="Note 2 2 3 2 3 4" xfId="9769" xr:uid="{00000000-0005-0000-0000-000080500000}"/>
    <cellStyle name="Note 2 2 3 2 3 5" xfId="14919" xr:uid="{00000000-0005-0000-0000-000081500000}"/>
    <cellStyle name="Note 2 2 3 2 4" xfId="4090" xr:uid="{00000000-0005-0000-0000-000082500000}"/>
    <cellStyle name="Note 2 2 3 2 4 2" xfId="8211" xr:uid="{00000000-0005-0000-0000-000083500000}"/>
    <cellStyle name="Note 2 2 3 2 4 2 2" xfId="12179" xr:uid="{00000000-0005-0000-0000-000084500000}"/>
    <cellStyle name="Note 2 2 3 2 4 2 3" xfId="21729" xr:uid="{00000000-0005-0000-0000-000085500000}"/>
    <cellStyle name="Note 2 2 3 2 4 3" xfId="6503" xr:uid="{00000000-0005-0000-0000-000086500000}"/>
    <cellStyle name="Note 2 2 3 2 4 3 2" xfId="20021" xr:uid="{00000000-0005-0000-0000-000087500000}"/>
    <cellStyle name="Note 2 2 3 2 4 4" xfId="9947" xr:uid="{00000000-0005-0000-0000-000088500000}"/>
    <cellStyle name="Note 2 2 3 2 4 5" xfId="13904" xr:uid="{00000000-0005-0000-0000-000089500000}"/>
    <cellStyle name="Note 2 2 3 2 5" xfId="4472" xr:uid="{00000000-0005-0000-0000-00008A500000}"/>
    <cellStyle name="Note 2 2 3 2 5 2" xfId="8443" xr:uid="{00000000-0005-0000-0000-00008B500000}"/>
    <cellStyle name="Note 2 2 3 2 5 2 2" xfId="12411" xr:uid="{00000000-0005-0000-0000-00008C500000}"/>
    <cellStyle name="Note 2 2 3 2 5 2 3" xfId="21961" xr:uid="{00000000-0005-0000-0000-00008D500000}"/>
    <cellStyle name="Note 2 2 3 2 5 3" xfId="6735" xr:uid="{00000000-0005-0000-0000-00008E500000}"/>
    <cellStyle name="Note 2 2 3 2 5 3 2" xfId="20253" xr:uid="{00000000-0005-0000-0000-00008F500000}"/>
    <cellStyle name="Note 2 2 3 2 5 4" xfId="10124" xr:uid="{00000000-0005-0000-0000-000090500000}"/>
    <cellStyle name="Note 2 2 3 2 5 5" xfId="13533" xr:uid="{00000000-0005-0000-0000-000091500000}"/>
    <cellStyle name="Note 2 2 3 2 6" xfId="6967" xr:uid="{00000000-0005-0000-0000-000092500000}"/>
    <cellStyle name="Note 2 2 3 2 6 2" xfId="8675" xr:uid="{00000000-0005-0000-0000-000093500000}"/>
    <cellStyle name="Note 2 2 3 2 6 2 2" xfId="12643" xr:uid="{00000000-0005-0000-0000-000094500000}"/>
    <cellStyle name="Note 2 2 3 2 6 2 3" xfId="22193" xr:uid="{00000000-0005-0000-0000-000095500000}"/>
    <cellStyle name="Note 2 2 3 2 6 3" xfId="11101" xr:uid="{00000000-0005-0000-0000-000096500000}"/>
    <cellStyle name="Note 2 2 3 2 6 4" xfId="20485" xr:uid="{00000000-0005-0000-0000-000097500000}"/>
    <cellStyle name="Note 2 2 3 2 7" xfId="5955" xr:uid="{00000000-0005-0000-0000-000098500000}"/>
    <cellStyle name="Note 2 2 3 2 7 2" xfId="10696" xr:uid="{00000000-0005-0000-0000-000099500000}"/>
    <cellStyle name="Note 2 2 3 2 7 3" xfId="19473" xr:uid="{00000000-0005-0000-0000-00009A500000}"/>
    <cellStyle name="Note 2 2 3 2 8" xfId="7663" xr:uid="{00000000-0005-0000-0000-00009B500000}"/>
    <cellStyle name="Note 2 2 3 2 8 2" xfId="11684" xr:uid="{00000000-0005-0000-0000-00009C500000}"/>
    <cellStyle name="Note 2 2 3 2 8 3" xfId="21181" xr:uid="{00000000-0005-0000-0000-00009D500000}"/>
    <cellStyle name="Note 2 2 3 2 9" xfId="5146" xr:uid="{00000000-0005-0000-0000-00009E500000}"/>
    <cellStyle name="Note 2 2 3 2 9 2" xfId="12924" xr:uid="{00000000-0005-0000-0000-00009F500000}"/>
    <cellStyle name="Note 2 2 3 3" xfId="3127" xr:uid="{00000000-0005-0000-0000-0000A0500000}"/>
    <cellStyle name="Note 2 2 3 3 10" xfId="9257" xr:uid="{00000000-0005-0000-0000-0000A1500000}"/>
    <cellStyle name="Note 2 2 3 3 11" xfId="15288" xr:uid="{00000000-0005-0000-0000-0000A2500000}"/>
    <cellStyle name="Note 2 2 3 3 2" xfId="3514" xr:uid="{00000000-0005-0000-0000-0000A3500000}"/>
    <cellStyle name="Note 2 2 3 3 2 2" xfId="7375" xr:uid="{00000000-0005-0000-0000-0000A4500000}"/>
    <cellStyle name="Note 2 2 3 3 2 2 2" xfId="11461" xr:uid="{00000000-0005-0000-0000-0000A5500000}"/>
    <cellStyle name="Note 2 2 3 3 2 2 3" xfId="20893" xr:uid="{00000000-0005-0000-0000-0000A6500000}"/>
    <cellStyle name="Note 2 2 3 3 2 3" xfId="5666" xr:uid="{00000000-0005-0000-0000-0000A7500000}"/>
    <cellStyle name="Note 2 2 3 3 2 3 2" xfId="19184" xr:uid="{00000000-0005-0000-0000-0000A8500000}"/>
    <cellStyle name="Note 2 2 3 3 2 4" xfId="9606" xr:uid="{00000000-0005-0000-0000-0000A9500000}"/>
    <cellStyle name="Note 2 2 3 3 2 5" xfId="16040" xr:uid="{00000000-0005-0000-0000-0000AA500000}"/>
    <cellStyle name="Note 2 2 3 3 3" xfId="3897" xr:uid="{00000000-0005-0000-0000-0000AB500000}"/>
    <cellStyle name="Note 2 2 3 3 3 2" xfId="7108" xr:uid="{00000000-0005-0000-0000-0000AC500000}"/>
    <cellStyle name="Note 2 2 3 3 3 2 2" xfId="11242" xr:uid="{00000000-0005-0000-0000-0000AD500000}"/>
    <cellStyle name="Note 2 2 3 3 3 2 3" xfId="20626" xr:uid="{00000000-0005-0000-0000-0000AE500000}"/>
    <cellStyle name="Note 2 2 3 3 3 3" xfId="5399" xr:uid="{00000000-0005-0000-0000-0000AF500000}"/>
    <cellStyle name="Note 2 2 3 3 3 3 2" xfId="18917" xr:uid="{00000000-0005-0000-0000-0000B0500000}"/>
    <cellStyle name="Note 2 2 3 3 3 4" xfId="9820" xr:uid="{00000000-0005-0000-0000-0000B1500000}"/>
    <cellStyle name="Note 2 2 3 3 3 5" xfId="14104" xr:uid="{00000000-0005-0000-0000-0000B2500000}"/>
    <cellStyle name="Note 2 2 3 3 4" xfId="4280" xr:uid="{00000000-0005-0000-0000-0000B3500000}"/>
    <cellStyle name="Note 2 2 3 3 4 2" xfId="8201" xr:uid="{00000000-0005-0000-0000-0000B4500000}"/>
    <cellStyle name="Note 2 2 3 3 4 2 2" xfId="12169" xr:uid="{00000000-0005-0000-0000-0000B5500000}"/>
    <cellStyle name="Note 2 2 3 3 4 2 3" xfId="21719" xr:uid="{00000000-0005-0000-0000-0000B6500000}"/>
    <cellStyle name="Note 2 2 3 3 4 3" xfId="6493" xr:uid="{00000000-0005-0000-0000-0000B7500000}"/>
    <cellStyle name="Note 2 2 3 3 4 3 2" xfId="20011" xr:uid="{00000000-0005-0000-0000-0000B8500000}"/>
    <cellStyle name="Note 2 2 3 3 4 4" xfId="9998" xr:uid="{00000000-0005-0000-0000-0000B9500000}"/>
    <cellStyle name="Note 2 2 3 3 4 5" xfId="13725" xr:uid="{00000000-0005-0000-0000-0000BA500000}"/>
    <cellStyle name="Note 2 2 3 3 5" xfId="4662" xr:uid="{00000000-0005-0000-0000-0000BB500000}"/>
    <cellStyle name="Note 2 2 3 3 5 2" xfId="8433" xr:uid="{00000000-0005-0000-0000-0000BC500000}"/>
    <cellStyle name="Note 2 2 3 3 5 2 2" xfId="12401" xr:uid="{00000000-0005-0000-0000-0000BD500000}"/>
    <cellStyle name="Note 2 2 3 3 5 2 3" xfId="21951" xr:uid="{00000000-0005-0000-0000-0000BE500000}"/>
    <cellStyle name="Note 2 2 3 3 5 3" xfId="6725" xr:uid="{00000000-0005-0000-0000-0000BF500000}"/>
    <cellStyle name="Note 2 2 3 3 5 3 2" xfId="20243" xr:uid="{00000000-0005-0000-0000-0000C0500000}"/>
    <cellStyle name="Note 2 2 3 3 5 4" xfId="10175" xr:uid="{00000000-0005-0000-0000-0000C1500000}"/>
    <cellStyle name="Note 2 2 3 3 5 5" xfId="13343" xr:uid="{00000000-0005-0000-0000-0000C2500000}"/>
    <cellStyle name="Note 2 2 3 3 6" xfId="6957" xr:uid="{00000000-0005-0000-0000-0000C3500000}"/>
    <cellStyle name="Note 2 2 3 3 6 2" xfId="8665" xr:uid="{00000000-0005-0000-0000-0000C4500000}"/>
    <cellStyle name="Note 2 2 3 3 6 2 2" xfId="12633" xr:uid="{00000000-0005-0000-0000-0000C5500000}"/>
    <cellStyle name="Note 2 2 3 3 6 2 3" xfId="22183" xr:uid="{00000000-0005-0000-0000-0000C6500000}"/>
    <cellStyle name="Note 2 2 3 3 6 3" xfId="11091" xr:uid="{00000000-0005-0000-0000-0000C7500000}"/>
    <cellStyle name="Note 2 2 3 3 6 4" xfId="20475" xr:uid="{00000000-0005-0000-0000-0000C8500000}"/>
    <cellStyle name="Note 2 2 3 3 7" xfId="5945" xr:uid="{00000000-0005-0000-0000-0000C9500000}"/>
    <cellStyle name="Note 2 2 3 3 7 2" xfId="10686" xr:uid="{00000000-0005-0000-0000-0000CA500000}"/>
    <cellStyle name="Note 2 2 3 3 7 3" xfId="19463" xr:uid="{00000000-0005-0000-0000-0000CB500000}"/>
    <cellStyle name="Note 2 2 3 3 8" xfId="7653" xr:uid="{00000000-0005-0000-0000-0000CC500000}"/>
    <cellStyle name="Note 2 2 3 3 8 2" xfId="11674" xr:uid="{00000000-0005-0000-0000-0000CD500000}"/>
    <cellStyle name="Note 2 2 3 3 8 3" xfId="21171" xr:uid="{00000000-0005-0000-0000-0000CE500000}"/>
    <cellStyle name="Note 2 2 3 3 9" xfId="5041" xr:uid="{00000000-0005-0000-0000-0000CF500000}"/>
    <cellStyle name="Note 2 2 3 3 9 2" xfId="12978" xr:uid="{00000000-0005-0000-0000-0000D0500000}"/>
    <cellStyle name="Note 2 2 3 4" xfId="3075" xr:uid="{00000000-0005-0000-0000-0000D1500000}"/>
    <cellStyle name="Note 2 2 3 4 2" xfId="3462" xr:uid="{00000000-0005-0000-0000-0000D2500000}"/>
    <cellStyle name="Note 2 2 3 4 2 2" xfId="14734" xr:uid="{00000000-0005-0000-0000-0000D3500000}"/>
    <cellStyle name="Note 2 2 3 4 3" xfId="3845" xr:uid="{00000000-0005-0000-0000-0000D4500000}"/>
    <cellStyle name="Note 2 2 3 4 3 2" xfId="14180" xr:uid="{00000000-0005-0000-0000-0000D5500000}"/>
    <cellStyle name="Note 2 2 3 4 4" xfId="4228" xr:uid="{00000000-0005-0000-0000-0000D6500000}"/>
    <cellStyle name="Note 2 2 3 4 4 2" xfId="13777" xr:uid="{00000000-0005-0000-0000-0000D7500000}"/>
    <cellStyle name="Note 2 2 3 4 5" xfId="4610" xr:uid="{00000000-0005-0000-0000-0000D8500000}"/>
    <cellStyle name="Note 2 2 3 4 5 2" xfId="13395" xr:uid="{00000000-0005-0000-0000-0000D9500000}"/>
    <cellStyle name="Note 2 2 3 4 6" xfId="5758" xr:uid="{00000000-0005-0000-0000-0000DA500000}"/>
    <cellStyle name="Note 2 2 3 4 6 2" xfId="19276" xr:uid="{00000000-0005-0000-0000-0000DB500000}"/>
    <cellStyle name="Note 2 2 3 4 7" xfId="9215" xr:uid="{00000000-0005-0000-0000-0000DC500000}"/>
    <cellStyle name="Note 2 2 3 4 8" xfId="16684" xr:uid="{00000000-0005-0000-0000-0000DD500000}"/>
    <cellStyle name="Note 2 2 3 5" xfId="2835" xr:uid="{00000000-0005-0000-0000-0000DE500000}"/>
    <cellStyle name="Note 2 2 3 5 2" xfId="7467" xr:uid="{00000000-0005-0000-0000-0000DF500000}"/>
    <cellStyle name="Note 2 2 3 5 2 2" xfId="20985" xr:uid="{00000000-0005-0000-0000-0000E0500000}"/>
    <cellStyle name="Note 2 2 3 5 3" xfId="8988" xr:uid="{00000000-0005-0000-0000-0000E1500000}"/>
    <cellStyle name="Note 2 2 3 5 4" xfId="16596" xr:uid="{00000000-0005-0000-0000-0000E2500000}"/>
    <cellStyle name="Note 2 2 3 6" xfId="8792" xr:uid="{00000000-0005-0000-0000-0000E3500000}"/>
    <cellStyle name="Note 2 2 4" xfId="2961" xr:uid="{00000000-0005-0000-0000-0000E4500000}"/>
    <cellStyle name="Note 2 2 4 10" xfId="9113" xr:uid="{00000000-0005-0000-0000-0000E5500000}"/>
    <cellStyle name="Note 2 2 4 11" xfId="15065" xr:uid="{00000000-0005-0000-0000-0000E6500000}"/>
    <cellStyle name="Note 2 2 4 2" xfId="3348" xr:uid="{00000000-0005-0000-0000-0000E7500000}"/>
    <cellStyle name="Note 2 2 4 2 2" xfId="7346" xr:uid="{00000000-0005-0000-0000-0000E8500000}"/>
    <cellStyle name="Note 2 2 4 2 2 2" xfId="11432" xr:uid="{00000000-0005-0000-0000-0000E9500000}"/>
    <cellStyle name="Note 2 2 4 2 2 3" xfId="20864" xr:uid="{00000000-0005-0000-0000-0000EA500000}"/>
    <cellStyle name="Note 2 2 4 2 3" xfId="5637" xr:uid="{00000000-0005-0000-0000-0000EB500000}"/>
    <cellStyle name="Note 2 2 4 2 3 2" xfId="19155" xr:uid="{00000000-0005-0000-0000-0000EC500000}"/>
    <cellStyle name="Note 2 2 4 2 4" xfId="9478" xr:uid="{00000000-0005-0000-0000-0000ED500000}"/>
    <cellStyle name="Note 2 2 4 2 5" xfId="16894" xr:uid="{00000000-0005-0000-0000-0000EE500000}"/>
    <cellStyle name="Note 2 2 4 3" xfId="3731" xr:uid="{00000000-0005-0000-0000-0000EF500000}"/>
    <cellStyle name="Note 2 2 4 3 2" xfId="7209" xr:uid="{00000000-0005-0000-0000-0000F0500000}"/>
    <cellStyle name="Note 2 2 4 3 2 2" xfId="11335" xr:uid="{00000000-0005-0000-0000-0000F1500000}"/>
    <cellStyle name="Note 2 2 4 3 2 3" xfId="20727" xr:uid="{00000000-0005-0000-0000-0000F2500000}"/>
    <cellStyle name="Note 2 2 4 3 3" xfId="5500" xr:uid="{00000000-0005-0000-0000-0000F3500000}"/>
    <cellStyle name="Note 2 2 4 3 3 2" xfId="19018" xr:uid="{00000000-0005-0000-0000-0000F4500000}"/>
    <cellStyle name="Note 2 2 4 3 4" xfId="9793" xr:uid="{00000000-0005-0000-0000-0000F5500000}"/>
    <cellStyle name="Note 2 2 4 3 5" xfId="15316" xr:uid="{00000000-0005-0000-0000-0000F6500000}"/>
    <cellStyle name="Note 2 2 4 4" xfId="4114" xr:uid="{00000000-0005-0000-0000-0000F7500000}"/>
    <cellStyle name="Note 2 2 4 4 2" xfId="8122" xr:uid="{00000000-0005-0000-0000-0000F8500000}"/>
    <cellStyle name="Note 2 2 4 4 2 2" xfId="12090" xr:uid="{00000000-0005-0000-0000-0000F9500000}"/>
    <cellStyle name="Note 2 2 4 4 2 3" xfId="21640" xr:uid="{00000000-0005-0000-0000-0000FA500000}"/>
    <cellStyle name="Note 2 2 4 4 3" xfId="6414" xr:uid="{00000000-0005-0000-0000-0000FB500000}"/>
    <cellStyle name="Note 2 2 4 4 3 2" xfId="19932" xr:uid="{00000000-0005-0000-0000-0000FC500000}"/>
    <cellStyle name="Note 2 2 4 4 4" xfId="9971" xr:uid="{00000000-0005-0000-0000-0000FD500000}"/>
    <cellStyle name="Note 2 2 4 4 5" xfId="13880" xr:uid="{00000000-0005-0000-0000-0000FE500000}"/>
    <cellStyle name="Note 2 2 4 5" xfId="4496" xr:uid="{00000000-0005-0000-0000-0000FF500000}"/>
    <cellStyle name="Note 2 2 4 5 2" xfId="8354" xr:uid="{00000000-0005-0000-0000-000000510000}"/>
    <cellStyle name="Note 2 2 4 5 2 2" xfId="12322" xr:uid="{00000000-0005-0000-0000-000001510000}"/>
    <cellStyle name="Note 2 2 4 5 2 3" xfId="21872" xr:uid="{00000000-0005-0000-0000-000002510000}"/>
    <cellStyle name="Note 2 2 4 5 3" xfId="6646" xr:uid="{00000000-0005-0000-0000-000003510000}"/>
    <cellStyle name="Note 2 2 4 5 3 2" xfId="20164" xr:uid="{00000000-0005-0000-0000-000004510000}"/>
    <cellStyle name="Note 2 2 4 5 4" xfId="10148" xr:uid="{00000000-0005-0000-0000-000005510000}"/>
    <cellStyle name="Note 2 2 4 5 5" xfId="13509" xr:uid="{00000000-0005-0000-0000-000006510000}"/>
    <cellStyle name="Note 2 2 4 6" xfId="6878" xr:uid="{00000000-0005-0000-0000-000007510000}"/>
    <cellStyle name="Note 2 2 4 6 2" xfId="8586" xr:uid="{00000000-0005-0000-0000-000008510000}"/>
    <cellStyle name="Note 2 2 4 6 2 2" xfId="12554" xr:uid="{00000000-0005-0000-0000-000009510000}"/>
    <cellStyle name="Note 2 2 4 6 2 3" xfId="22104" xr:uid="{00000000-0005-0000-0000-00000A510000}"/>
    <cellStyle name="Note 2 2 4 6 3" xfId="11012" xr:uid="{00000000-0005-0000-0000-00000B510000}"/>
    <cellStyle name="Note 2 2 4 6 4" xfId="20396" xr:uid="{00000000-0005-0000-0000-00000C510000}"/>
    <cellStyle name="Note 2 2 4 7" xfId="5866" xr:uid="{00000000-0005-0000-0000-00000D510000}"/>
    <cellStyle name="Note 2 2 4 7 2" xfId="10607" xr:uid="{00000000-0005-0000-0000-00000E510000}"/>
    <cellStyle name="Note 2 2 4 7 3" xfId="19384" xr:uid="{00000000-0005-0000-0000-00000F510000}"/>
    <cellStyle name="Note 2 2 4 8" xfId="7574" xr:uid="{00000000-0005-0000-0000-000010510000}"/>
    <cellStyle name="Note 2 2 4 8 2" xfId="11595" xr:uid="{00000000-0005-0000-0000-000011510000}"/>
    <cellStyle name="Note 2 2 4 8 3" xfId="21092" xr:uid="{00000000-0005-0000-0000-000012510000}"/>
    <cellStyle name="Note 2 2 4 9" xfId="4956" xr:uid="{00000000-0005-0000-0000-000013510000}"/>
    <cellStyle name="Note 2 2 4 9 2" xfId="13063" xr:uid="{00000000-0005-0000-0000-000014510000}"/>
    <cellStyle name="Note 2 2 5" xfId="3200" xr:uid="{00000000-0005-0000-0000-000015510000}"/>
    <cellStyle name="Note 2 2 5 2" xfId="3587" xr:uid="{00000000-0005-0000-0000-000016510000}"/>
    <cellStyle name="Note 2 2 5 2 2" xfId="8020" xr:uid="{00000000-0005-0000-0000-000017510000}"/>
    <cellStyle name="Note 2 2 5 2 2 2" xfId="21538" xr:uid="{00000000-0005-0000-0000-000018510000}"/>
    <cellStyle name="Note 2 2 5 2 3" xfId="9679" xr:uid="{00000000-0005-0000-0000-000019510000}"/>
    <cellStyle name="Note 2 2 5 2 4" xfId="18575" xr:uid="{00000000-0005-0000-0000-00001A510000}"/>
    <cellStyle name="Note 2 2 5 3" xfId="3970" xr:uid="{00000000-0005-0000-0000-00001B510000}"/>
    <cellStyle name="Note 2 2 5 3 2" xfId="14021" xr:uid="{00000000-0005-0000-0000-00001C510000}"/>
    <cellStyle name="Note 2 2 5 4" xfId="4353" xr:uid="{00000000-0005-0000-0000-00001D510000}"/>
    <cellStyle name="Note 2 2 5 4 2" xfId="13652" xr:uid="{00000000-0005-0000-0000-00001E510000}"/>
    <cellStyle name="Note 2 2 5 5" xfId="4735" xr:uid="{00000000-0005-0000-0000-00001F510000}"/>
    <cellStyle name="Note 2 2 5 5 2" xfId="13270" xr:uid="{00000000-0005-0000-0000-000020510000}"/>
    <cellStyle name="Note 2 2 5 6" xfId="6312" xr:uid="{00000000-0005-0000-0000-000021510000}"/>
    <cellStyle name="Note 2 2 5 6 2" xfId="19830" xr:uid="{00000000-0005-0000-0000-000022510000}"/>
    <cellStyle name="Note 2 2 5 7" xfId="9330" xr:uid="{00000000-0005-0000-0000-000023510000}"/>
    <cellStyle name="Note 2 2 5 8" xfId="16785" xr:uid="{00000000-0005-0000-0000-000024510000}"/>
    <cellStyle name="Note 2 2 6" xfId="3018" xr:uid="{00000000-0005-0000-0000-000025510000}"/>
    <cellStyle name="Note 2 2 6 2" xfId="3405" xr:uid="{00000000-0005-0000-0000-000026510000}"/>
    <cellStyle name="Note 2 2 6 2 2" xfId="7867" xr:uid="{00000000-0005-0000-0000-000027510000}"/>
    <cellStyle name="Note 2 2 6 2 2 2" xfId="21385" xr:uid="{00000000-0005-0000-0000-000028510000}"/>
    <cellStyle name="Note 2 2 6 2 3" xfId="9524" xr:uid="{00000000-0005-0000-0000-000029510000}"/>
    <cellStyle name="Note 2 2 6 2 4" xfId="18750" xr:uid="{00000000-0005-0000-0000-00002A510000}"/>
    <cellStyle name="Note 2 2 6 3" xfId="3788" xr:uid="{00000000-0005-0000-0000-00002B510000}"/>
    <cellStyle name="Note 2 2 6 3 2" xfId="17162" xr:uid="{00000000-0005-0000-0000-00002C510000}"/>
    <cellStyle name="Note 2 2 6 4" xfId="4171" xr:uid="{00000000-0005-0000-0000-00002D510000}"/>
    <cellStyle name="Note 2 2 6 4 2" xfId="13834" xr:uid="{00000000-0005-0000-0000-00002E510000}"/>
    <cellStyle name="Note 2 2 6 5" xfId="4553" xr:uid="{00000000-0005-0000-0000-00002F510000}"/>
    <cellStyle name="Note 2 2 6 5 2" xfId="13452" xr:uid="{00000000-0005-0000-0000-000030510000}"/>
    <cellStyle name="Note 2 2 6 6" xfId="6159" xr:uid="{00000000-0005-0000-0000-000031510000}"/>
    <cellStyle name="Note 2 2 6 6 2" xfId="19677" xr:uid="{00000000-0005-0000-0000-000032510000}"/>
    <cellStyle name="Note 2 2 6 7" xfId="9161" xr:uid="{00000000-0005-0000-0000-000033510000}"/>
    <cellStyle name="Note 2 2 6 8" xfId="18448" xr:uid="{00000000-0005-0000-0000-000034510000}"/>
    <cellStyle name="Note 2 2 7" xfId="5320" xr:uid="{00000000-0005-0000-0000-000035510000}"/>
    <cellStyle name="Note 2 2 7 2" xfId="5142" xr:uid="{00000000-0005-0000-0000-000036510000}"/>
    <cellStyle name="Note 2 2 7 2 2" xfId="10381" xr:uid="{00000000-0005-0000-0000-000037510000}"/>
    <cellStyle name="Note 2 2 7 2 3" xfId="12928" xr:uid="{00000000-0005-0000-0000-000038510000}"/>
    <cellStyle name="Note 2 2 7 3" xfId="10422" xr:uid="{00000000-0005-0000-0000-000039510000}"/>
    <cellStyle name="Note 2 2 7 4" xfId="18838" xr:uid="{00000000-0005-0000-0000-00003A510000}"/>
    <cellStyle name="Note 2 2 8" xfId="5430" xr:uid="{00000000-0005-0000-0000-00003B510000}"/>
    <cellStyle name="Note 2 2 8 2" xfId="7139" xr:uid="{00000000-0005-0000-0000-00003C510000}"/>
    <cellStyle name="Note 2 2 8 2 2" xfId="11273" xr:uid="{00000000-0005-0000-0000-00003D510000}"/>
    <cellStyle name="Note 2 2 8 2 3" xfId="20657" xr:uid="{00000000-0005-0000-0000-00003E510000}"/>
    <cellStyle name="Note 2 2 8 3" xfId="10447" xr:uid="{00000000-0005-0000-0000-00003F510000}"/>
    <cellStyle name="Note 2 2 8 4" xfId="18948" xr:uid="{00000000-0005-0000-0000-000040510000}"/>
    <cellStyle name="Note 2 2 9" xfId="5777" xr:uid="{00000000-0005-0000-0000-000041510000}"/>
    <cellStyle name="Note 2 2 9 2" xfId="10553" xr:uid="{00000000-0005-0000-0000-000042510000}"/>
    <cellStyle name="Note 2 2 9 3" xfId="19295" xr:uid="{00000000-0005-0000-0000-000043510000}"/>
    <cellStyle name="Note 2 3" xfId="2723" xr:uid="{00000000-0005-0000-0000-000044510000}"/>
    <cellStyle name="Note 2 3 2" xfId="2968" xr:uid="{00000000-0005-0000-0000-000045510000}"/>
    <cellStyle name="Note 2 3 2 10" xfId="9120" xr:uid="{00000000-0005-0000-0000-000046510000}"/>
    <cellStyle name="Note 2 3 2 11" xfId="17385" xr:uid="{00000000-0005-0000-0000-000047510000}"/>
    <cellStyle name="Note 2 3 2 2" xfId="3355" xr:uid="{00000000-0005-0000-0000-000048510000}"/>
    <cellStyle name="Note 2 3 2 2 2" xfId="7932" xr:uid="{00000000-0005-0000-0000-000049510000}"/>
    <cellStyle name="Note 2 3 2 2 2 2" xfId="11908" xr:uid="{00000000-0005-0000-0000-00004A510000}"/>
    <cellStyle name="Note 2 3 2 2 2 3" xfId="21450" xr:uid="{00000000-0005-0000-0000-00004B510000}"/>
    <cellStyle name="Note 2 3 2 2 3" xfId="6224" xr:uid="{00000000-0005-0000-0000-00004C510000}"/>
    <cellStyle name="Note 2 3 2 2 3 2" xfId="19742" xr:uid="{00000000-0005-0000-0000-00004D510000}"/>
    <cellStyle name="Note 2 3 2 2 4" xfId="9485" xr:uid="{00000000-0005-0000-0000-00004E510000}"/>
    <cellStyle name="Note 2 3 2 2 5" xfId="14275" xr:uid="{00000000-0005-0000-0000-00004F510000}"/>
    <cellStyle name="Note 2 3 2 3" xfId="3738" xr:uid="{00000000-0005-0000-0000-000050510000}"/>
    <cellStyle name="Note 2 3 2 3 2" xfId="7214" xr:uid="{00000000-0005-0000-0000-000051510000}"/>
    <cellStyle name="Note 2 3 2 3 2 2" xfId="11340" xr:uid="{00000000-0005-0000-0000-000052510000}"/>
    <cellStyle name="Note 2 3 2 3 2 3" xfId="20732" xr:uid="{00000000-0005-0000-0000-000053510000}"/>
    <cellStyle name="Note 2 3 2 3 3" xfId="5505" xr:uid="{00000000-0005-0000-0000-000054510000}"/>
    <cellStyle name="Note 2 3 2 3 3 2" xfId="19023" xr:uid="{00000000-0005-0000-0000-000055510000}"/>
    <cellStyle name="Note 2 3 2 3 4" xfId="9800" xr:uid="{00000000-0005-0000-0000-000056510000}"/>
    <cellStyle name="Note 2 3 2 3 5" xfId="18730" xr:uid="{00000000-0005-0000-0000-000057510000}"/>
    <cellStyle name="Note 2 3 2 4" xfId="4121" xr:uid="{00000000-0005-0000-0000-000058510000}"/>
    <cellStyle name="Note 2 3 2 4 2" xfId="8239" xr:uid="{00000000-0005-0000-0000-000059510000}"/>
    <cellStyle name="Note 2 3 2 4 2 2" xfId="12207" xr:uid="{00000000-0005-0000-0000-00005A510000}"/>
    <cellStyle name="Note 2 3 2 4 2 3" xfId="21757" xr:uid="{00000000-0005-0000-0000-00005B510000}"/>
    <cellStyle name="Note 2 3 2 4 3" xfId="6531" xr:uid="{00000000-0005-0000-0000-00005C510000}"/>
    <cellStyle name="Note 2 3 2 4 3 2" xfId="20049" xr:uid="{00000000-0005-0000-0000-00005D510000}"/>
    <cellStyle name="Note 2 3 2 4 4" xfId="9978" xr:uid="{00000000-0005-0000-0000-00005E510000}"/>
    <cellStyle name="Note 2 3 2 4 5" xfId="13876" xr:uid="{00000000-0005-0000-0000-00005F510000}"/>
    <cellStyle name="Note 2 3 2 5" xfId="4503" xr:uid="{00000000-0005-0000-0000-000060510000}"/>
    <cellStyle name="Note 2 3 2 5 2" xfId="8471" xr:uid="{00000000-0005-0000-0000-000061510000}"/>
    <cellStyle name="Note 2 3 2 5 2 2" xfId="12439" xr:uid="{00000000-0005-0000-0000-000062510000}"/>
    <cellStyle name="Note 2 3 2 5 2 3" xfId="21989" xr:uid="{00000000-0005-0000-0000-000063510000}"/>
    <cellStyle name="Note 2 3 2 5 3" xfId="6763" xr:uid="{00000000-0005-0000-0000-000064510000}"/>
    <cellStyle name="Note 2 3 2 5 3 2" xfId="20281" xr:uid="{00000000-0005-0000-0000-000065510000}"/>
    <cellStyle name="Note 2 3 2 5 4" xfId="10155" xr:uid="{00000000-0005-0000-0000-000066510000}"/>
    <cellStyle name="Note 2 3 2 5 5" xfId="13502" xr:uid="{00000000-0005-0000-0000-000067510000}"/>
    <cellStyle name="Note 2 3 2 6" xfId="6995" xr:uid="{00000000-0005-0000-0000-000068510000}"/>
    <cellStyle name="Note 2 3 2 6 2" xfId="8703" xr:uid="{00000000-0005-0000-0000-000069510000}"/>
    <cellStyle name="Note 2 3 2 6 2 2" xfId="12671" xr:uid="{00000000-0005-0000-0000-00006A510000}"/>
    <cellStyle name="Note 2 3 2 6 2 3" xfId="22221" xr:uid="{00000000-0005-0000-0000-00006B510000}"/>
    <cellStyle name="Note 2 3 2 6 3" xfId="11129" xr:uid="{00000000-0005-0000-0000-00006C510000}"/>
    <cellStyle name="Note 2 3 2 6 4" xfId="20513" xr:uid="{00000000-0005-0000-0000-00006D510000}"/>
    <cellStyle name="Note 2 3 2 7" xfId="5983" xr:uid="{00000000-0005-0000-0000-00006E510000}"/>
    <cellStyle name="Note 2 3 2 7 2" xfId="10724" xr:uid="{00000000-0005-0000-0000-00006F510000}"/>
    <cellStyle name="Note 2 3 2 7 3" xfId="19501" xr:uid="{00000000-0005-0000-0000-000070510000}"/>
    <cellStyle name="Note 2 3 2 8" xfId="7691" xr:uid="{00000000-0005-0000-0000-000071510000}"/>
    <cellStyle name="Note 2 3 2 8 2" xfId="11712" xr:uid="{00000000-0005-0000-0000-000072510000}"/>
    <cellStyle name="Note 2 3 2 8 3" xfId="21209" xr:uid="{00000000-0005-0000-0000-000073510000}"/>
    <cellStyle name="Note 2 3 2 9" xfId="5177" xr:uid="{00000000-0005-0000-0000-000074510000}"/>
    <cellStyle name="Note 2 3 2 9 2" xfId="12905" xr:uid="{00000000-0005-0000-0000-000075510000}"/>
    <cellStyle name="Note 2 3 3" xfId="3213" xr:uid="{00000000-0005-0000-0000-000076510000}"/>
    <cellStyle name="Note 2 3 3 10" xfId="9343" xr:uid="{00000000-0005-0000-0000-000077510000}"/>
    <cellStyle name="Note 2 3 3 11" xfId="18581" xr:uid="{00000000-0005-0000-0000-000078510000}"/>
    <cellStyle name="Note 2 3 3 2" xfId="3600" xr:uid="{00000000-0005-0000-0000-000079510000}"/>
    <cellStyle name="Note 2 3 3 2 2" xfId="7961" xr:uid="{00000000-0005-0000-0000-00007A510000}"/>
    <cellStyle name="Note 2 3 3 2 2 2" xfId="11937" xr:uid="{00000000-0005-0000-0000-00007B510000}"/>
    <cellStyle name="Note 2 3 3 2 2 3" xfId="21479" xr:uid="{00000000-0005-0000-0000-00007C510000}"/>
    <cellStyle name="Note 2 3 3 2 3" xfId="6253" xr:uid="{00000000-0005-0000-0000-00007D510000}"/>
    <cellStyle name="Note 2 3 3 2 3 2" xfId="19771" xr:uid="{00000000-0005-0000-0000-00007E510000}"/>
    <cellStyle name="Note 2 3 3 2 4" xfId="9692" xr:uid="{00000000-0005-0000-0000-00007F510000}"/>
    <cellStyle name="Note 2 3 3 2 5" xfId="14428" xr:uid="{00000000-0005-0000-0000-000080510000}"/>
    <cellStyle name="Note 2 3 3 3" xfId="3983" xr:uid="{00000000-0005-0000-0000-000081510000}"/>
    <cellStyle name="Note 2 3 3 3 2" xfId="7098" xr:uid="{00000000-0005-0000-0000-000082510000}"/>
    <cellStyle name="Note 2 3 3 3 2 2" xfId="11232" xr:uid="{00000000-0005-0000-0000-000083510000}"/>
    <cellStyle name="Note 2 3 3 3 2 3" xfId="20616" xr:uid="{00000000-0005-0000-0000-000084510000}"/>
    <cellStyle name="Note 2 3 3 3 3" xfId="5389" xr:uid="{00000000-0005-0000-0000-000085510000}"/>
    <cellStyle name="Note 2 3 3 3 3 2" xfId="18907" xr:uid="{00000000-0005-0000-0000-000086510000}"/>
    <cellStyle name="Note 2 3 3 3 4" xfId="9902" xr:uid="{00000000-0005-0000-0000-000087510000}"/>
    <cellStyle name="Note 2 3 3 3 5" xfId="14008" xr:uid="{00000000-0005-0000-0000-000088510000}"/>
    <cellStyle name="Note 2 3 3 4" xfId="4366" xr:uid="{00000000-0005-0000-0000-000089510000}"/>
    <cellStyle name="Note 2 3 3 4 2" xfId="8268" xr:uid="{00000000-0005-0000-0000-00008A510000}"/>
    <cellStyle name="Note 2 3 3 4 2 2" xfId="12236" xr:uid="{00000000-0005-0000-0000-00008B510000}"/>
    <cellStyle name="Note 2 3 3 4 2 3" xfId="21786" xr:uid="{00000000-0005-0000-0000-00008C510000}"/>
    <cellStyle name="Note 2 3 3 4 3" xfId="6560" xr:uid="{00000000-0005-0000-0000-00008D510000}"/>
    <cellStyle name="Note 2 3 3 4 3 2" xfId="20078" xr:uid="{00000000-0005-0000-0000-00008E510000}"/>
    <cellStyle name="Note 2 3 3 4 4" xfId="10080" xr:uid="{00000000-0005-0000-0000-00008F510000}"/>
    <cellStyle name="Note 2 3 3 4 5" xfId="13639" xr:uid="{00000000-0005-0000-0000-000090510000}"/>
    <cellStyle name="Note 2 3 3 5" xfId="4748" xr:uid="{00000000-0005-0000-0000-000091510000}"/>
    <cellStyle name="Note 2 3 3 5 2" xfId="8500" xr:uid="{00000000-0005-0000-0000-000092510000}"/>
    <cellStyle name="Note 2 3 3 5 2 2" xfId="12468" xr:uid="{00000000-0005-0000-0000-000093510000}"/>
    <cellStyle name="Note 2 3 3 5 2 3" xfId="22018" xr:uid="{00000000-0005-0000-0000-000094510000}"/>
    <cellStyle name="Note 2 3 3 5 3" xfId="6792" xr:uid="{00000000-0005-0000-0000-000095510000}"/>
    <cellStyle name="Note 2 3 3 5 3 2" xfId="20310" xr:uid="{00000000-0005-0000-0000-000096510000}"/>
    <cellStyle name="Note 2 3 3 5 4" xfId="10257" xr:uid="{00000000-0005-0000-0000-000097510000}"/>
    <cellStyle name="Note 2 3 3 5 5" xfId="13257" xr:uid="{00000000-0005-0000-0000-000098510000}"/>
    <cellStyle name="Note 2 3 3 6" xfId="7024" xr:uid="{00000000-0005-0000-0000-000099510000}"/>
    <cellStyle name="Note 2 3 3 6 2" xfId="8732" xr:uid="{00000000-0005-0000-0000-00009A510000}"/>
    <cellStyle name="Note 2 3 3 6 2 2" xfId="12700" xr:uid="{00000000-0005-0000-0000-00009B510000}"/>
    <cellStyle name="Note 2 3 3 6 2 3" xfId="22250" xr:uid="{00000000-0005-0000-0000-00009C510000}"/>
    <cellStyle name="Note 2 3 3 6 3" xfId="11158" xr:uid="{00000000-0005-0000-0000-00009D510000}"/>
    <cellStyle name="Note 2 3 3 6 4" xfId="20542" xr:uid="{00000000-0005-0000-0000-00009E510000}"/>
    <cellStyle name="Note 2 3 3 7" xfId="6012" xr:uid="{00000000-0005-0000-0000-00009F510000}"/>
    <cellStyle name="Note 2 3 3 7 2" xfId="10753" xr:uid="{00000000-0005-0000-0000-0000A0510000}"/>
    <cellStyle name="Note 2 3 3 7 3" xfId="19530" xr:uid="{00000000-0005-0000-0000-0000A1510000}"/>
    <cellStyle name="Note 2 3 3 8" xfId="7720" xr:uid="{00000000-0005-0000-0000-0000A2510000}"/>
    <cellStyle name="Note 2 3 3 8 2" xfId="11741" xr:uid="{00000000-0005-0000-0000-0000A3510000}"/>
    <cellStyle name="Note 2 3 3 8 3" xfId="21238" xr:uid="{00000000-0005-0000-0000-0000A4510000}"/>
    <cellStyle name="Note 2 3 3 9" xfId="5206" xr:uid="{00000000-0005-0000-0000-0000A5510000}"/>
    <cellStyle name="Note 2 3 3 9 2" xfId="12876" xr:uid="{00000000-0005-0000-0000-0000A6510000}"/>
    <cellStyle name="Note 2 3 4" xfId="3270" xr:uid="{00000000-0005-0000-0000-0000A7510000}"/>
    <cellStyle name="Note 2 3 4 2" xfId="3657" xr:uid="{00000000-0005-0000-0000-0000A8510000}"/>
    <cellStyle name="Note 2 3 4 2 2" xfId="17473" xr:uid="{00000000-0005-0000-0000-0000A9510000}"/>
    <cellStyle name="Note 2 3 4 3" xfId="4040" xr:uid="{00000000-0005-0000-0000-0000AA510000}"/>
    <cellStyle name="Note 2 3 4 3 2" xfId="13951" xr:uid="{00000000-0005-0000-0000-0000AB510000}"/>
    <cellStyle name="Note 2 3 4 4" xfId="4423" xr:uid="{00000000-0005-0000-0000-0000AC510000}"/>
    <cellStyle name="Note 2 3 4 4 2" xfId="13582" xr:uid="{00000000-0005-0000-0000-0000AD510000}"/>
    <cellStyle name="Note 2 3 4 5" xfId="4805" xr:uid="{00000000-0005-0000-0000-0000AE510000}"/>
    <cellStyle name="Note 2 3 4 5 2" xfId="13201" xr:uid="{00000000-0005-0000-0000-0000AF510000}"/>
    <cellStyle name="Note 2 3 4 6" xfId="5791" xr:uid="{00000000-0005-0000-0000-0000B0510000}"/>
    <cellStyle name="Note 2 3 4 6 2" xfId="19309" xr:uid="{00000000-0005-0000-0000-0000B1510000}"/>
    <cellStyle name="Note 2 3 4 7" xfId="9400" xr:uid="{00000000-0005-0000-0000-0000B2510000}"/>
    <cellStyle name="Note 2 3 4 8" xfId="14541" xr:uid="{00000000-0005-0000-0000-0000B3510000}"/>
    <cellStyle name="Note 2 3 5" xfId="2888" xr:uid="{00000000-0005-0000-0000-0000B4510000}"/>
    <cellStyle name="Note 2 3 5 2" xfId="7499" xr:uid="{00000000-0005-0000-0000-0000B5510000}"/>
    <cellStyle name="Note 2 3 5 2 2" xfId="21017" xr:uid="{00000000-0005-0000-0000-0000B6510000}"/>
    <cellStyle name="Note 2 3 5 3" xfId="9040" xr:uid="{00000000-0005-0000-0000-0000B7510000}"/>
    <cellStyle name="Note 2 3 5 4" xfId="14099" xr:uid="{00000000-0005-0000-0000-0000B8510000}"/>
    <cellStyle name="Note 2 3 6" xfId="8878" xr:uid="{00000000-0005-0000-0000-0000B9510000}"/>
    <cellStyle name="Note 2 4" xfId="2670" xr:uid="{00000000-0005-0000-0000-0000BA510000}"/>
    <cellStyle name="Note 2 4 2" xfId="2729" xr:uid="{00000000-0005-0000-0000-0000BB510000}"/>
    <cellStyle name="Note 2 4 2 2" xfId="2972" xr:uid="{00000000-0005-0000-0000-0000BC510000}"/>
    <cellStyle name="Note 2 4 2 2 10" xfId="9124" xr:uid="{00000000-0005-0000-0000-0000BD510000}"/>
    <cellStyle name="Note 2 4 2 2 11" xfId="17044" xr:uid="{00000000-0005-0000-0000-0000BE510000}"/>
    <cellStyle name="Note 2 4 2 2 2" xfId="3359" xr:uid="{00000000-0005-0000-0000-0000BF510000}"/>
    <cellStyle name="Note 2 4 2 2 2 2" xfId="7936" xr:uid="{00000000-0005-0000-0000-0000C0510000}"/>
    <cellStyle name="Note 2 4 2 2 2 2 2" xfId="11912" xr:uid="{00000000-0005-0000-0000-0000C1510000}"/>
    <cellStyle name="Note 2 4 2 2 2 2 3" xfId="21454" xr:uid="{00000000-0005-0000-0000-0000C2510000}"/>
    <cellStyle name="Note 2 4 2 2 2 3" xfId="6228" xr:uid="{00000000-0005-0000-0000-0000C3510000}"/>
    <cellStyle name="Note 2 4 2 2 2 3 2" xfId="19746" xr:uid="{00000000-0005-0000-0000-0000C4510000}"/>
    <cellStyle name="Note 2 4 2 2 2 4" xfId="9489" xr:uid="{00000000-0005-0000-0000-0000C5510000}"/>
    <cellStyle name="Note 2 4 2 2 2 5" xfId="14145" xr:uid="{00000000-0005-0000-0000-0000C6510000}"/>
    <cellStyle name="Note 2 4 2 2 3" xfId="3742" xr:uid="{00000000-0005-0000-0000-0000C7510000}"/>
    <cellStyle name="Note 2 4 2 2 3 2" xfId="7193" xr:uid="{00000000-0005-0000-0000-0000C8510000}"/>
    <cellStyle name="Note 2 4 2 2 3 2 2" xfId="11320" xr:uid="{00000000-0005-0000-0000-0000C9510000}"/>
    <cellStyle name="Note 2 4 2 2 3 2 3" xfId="20711" xr:uid="{00000000-0005-0000-0000-0000CA510000}"/>
    <cellStyle name="Note 2 4 2 2 3 3" xfId="5484" xr:uid="{00000000-0005-0000-0000-0000CB510000}"/>
    <cellStyle name="Note 2 4 2 2 3 3 2" xfId="19002" xr:uid="{00000000-0005-0000-0000-0000CC510000}"/>
    <cellStyle name="Note 2 4 2 2 3 4" xfId="9804" xr:uid="{00000000-0005-0000-0000-0000CD510000}"/>
    <cellStyle name="Note 2 4 2 2 3 5" xfId="15692" xr:uid="{00000000-0005-0000-0000-0000CE510000}"/>
    <cellStyle name="Note 2 4 2 2 4" xfId="4125" xr:uid="{00000000-0005-0000-0000-0000CF510000}"/>
    <cellStyle name="Note 2 4 2 2 4 2" xfId="8243" xr:uid="{00000000-0005-0000-0000-0000D0510000}"/>
    <cellStyle name="Note 2 4 2 2 4 2 2" xfId="12211" xr:uid="{00000000-0005-0000-0000-0000D1510000}"/>
    <cellStyle name="Note 2 4 2 2 4 2 3" xfId="21761" xr:uid="{00000000-0005-0000-0000-0000D2510000}"/>
    <cellStyle name="Note 2 4 2 2 4 3" xfId="6535" xr:uid="{00000000-0005-0000-0000-0000D3510000}"/>
    <cellStyle name="Note 2 4 2 2 4 3 2" xfId="20053" xr:uid="{00000000-0005-0000-0000-0000D4510000}"/>
    <cellStyle name="Note 2 4 2 2 4 4" xfId="9982" xr:uid="{00000000-0005-0000-0000-0000D5510000}"/>
    <cellStyle name="Note 2 4 2 2 4 5" xfId="13872" xr:uid="{00000000-0005-0000-0000-0000D6510000}"/>
    <cellStyle name="Note 2 4 2 2 5" xfId="4507" xr:uid="{00000000-0005-0000-0000-0000D7510000}"/>
    <cellStyle name="Note 2 4 2 2 5 2" xfId="8475" xr:uid="{00000000-0005-0000-0000-0000D8510000}"/>
    <cellStyle name="Note 2 4 2 2 5 2 2" xfId="12443" xr:uid="{00000000-0005-0000-0000-0000D9510000}"/>
    <cellStyle name="Note 2 4 2 2 5 2 3" xfId="21993" xr:uid="{00000000-0005-0000-0000-0000DA510000}"/>
    <cellStyle name="Note 2 4 2 2 5 3" xfId="6767" xr:uid="{00000000-0005-0000-0000-0000DB510000}"/>
    <cellStyle name="Note 2 4 2 2 5 3 2" xfId="20285" xr:uid="{00000000-0005-0000-0000-0000DC510000}"/>
    <cellStyle name="Note 2 4 2 2 5 4" xfId="10159" xr:uid="{00000000-0005-0000-0000-0000DD510000}"/>
    <cellStyle name="Note 2 4 2 2 5 5" xfId="13498" xr:uid="{00000000-0005-0000-0000-0000DE510000}"/>
    <cellStyle name="Note 2 4 2 2 6" xfId="6999" xr:uid="{00000000-0005-0000-0000-0000DF510000}"/>
    <cellStyle name="Note 2 4 2 2 6 2" xfId="8707" xr:uid="{00000000-0005-0000-0000-0000E0510000}"/>
    <cellStyle name="Note 2 4 2 2 6 2 2" xfId="12675" xr:uid="{00000000-0005-0000-0000-0000E1510000}"/>
    <cellStyle name="Note 2 4 2 2 6 2 3" xfId="22225" xr:uid="{00000000-0005-0000-0000-0000E2510000}"/>
    <cellStyle name="Note 2 4 2 2 6 3" xfId="11133" xr:uid="{00000000-0005-0000-0000-0000E3510000}"/>
    <cellStyle name="Note 2 4 2 2 6 4" xfId="20517" xr:uid="{00000000-0005-0000-0000-0000E4510000}"/>
    <cellStyle name="Note 2 4 2 2 7" xfId="5987" xr:uid="{00000000-0005-0000-0000-0000E5510000}"/>
    <cellStyle name="Note 2 4 2 2 7 2" xfId="10728" xr:uid="{00000000-0005-0000-0000-0000E6510000}"/>
    <cellStyle name="Note 2 4 2 2 7 3" xfId="19505" xr:uid="{00000000-0005-0000-0000-0000E7510000}"/>
    <cellStyle name="Note 2 4 2 2 8" xfId="7695" xr:uid="{00000000-0005-0000-0000-0000E8510000}"/>
    <cellStyle name="Note 2 4 2 2 8 2" xfId="11716" xr:uid="{00000000-0005-0000-0000-0000E9510000}"/>
    <cellStyle name="Note 2 4 2 2 8 3" xfId="21213" xr:uid="{00000000-0005-0000-0000-0000EA510000}"/>
    <cellStyle name="Note 2 4 2 2 9" xfId="5181" xr:uid="{00000000-0005-0000-0000-0000EB510000}"/>
    <cellStyle name="Note 2 4 2 2 9 2" xfId="12901" xr:uid="{00000000-0005-0000-0000-0000EC510000}"/>
    <cellStyle name="Note 2 4 2 3" xfId="3219" xr:uid="{00000000-0005-0000-0000-0000ED510000}"/>
    <cellStyle name="Note 2 4 2 3 10" xfId="9349" xr:uid="{00000000-0005-0000-0000-0000EE510000}"/>
    <cellStyle name="Note 2 4 2 3 11" xfId="17600" xr:uid="{00000000-0005-0000-0000-0000EF510000}"/>
    <cellStyle name="Note 2 4 2 3 2" xfId="3606" xr:uid="{00000000-0005-0000-0000-0000F0510000}"/>
    <cellStyle name="Note 2 4 2 3 2 2" xfId="7967" xr:uid="{00000000-0005-0000-0000-0000F1510000}"/>
    <cellStyle name="Note 2 4 2 3 2 2 2" xfId="11943" xr:uid="{00000000-0005-0000-0000-0000F2510000}"/>
    <cellStyle name="Note 2 4 2 3 2 2 3" xfId="21485" xr:uid="{00000000-0005-0000-0000-0000F3510000}"/>
    <cellStyle name="Note 2 4 2 3 2 3" xfId="6259" xr:uid="{00000000-0005-0000-0000-0000F4510000}"/>
    <cellStyle name="Note 2 4 2 3 2 3 2" xfId="19777" xr:uid="{00000000-0005-0000-0000-0000F5510000}"/>
    <cellStyle name="Note 2 4 2 3 2 4" xfId="9698" xr:uid="{00000000-0005-0000-0000-0000F6510000}"/>
    <cellStyle name="Note 2 4 2 3 2 5" xfId="14702" xr:uid="{00000000-0005-0000-0000-0000F7510000}"/>
    <cellStyle name="Note 2 4 2 3 3" xfId="3989" xr:uid="{00000000-0005-0000-0000-0000F8510000}"/>
    <cellStyle name="Note 2 4 2 3 3 2" xfId="5126" xr:uid="{00000000-0005-0000-0000-0000F9510000}"/>
    <cellStyle name="Note 2 4 2 3 3 2 2" xfId="10366" xr:uid="{00000000-0005-0000-0000-0000FA510000}"/>
    <cellStyle name="Note 2 4 2 3 3 2 3" xfId="12792" xr:uid="{00000000-0005-0000-0000-0000FB510000}"/>
    <cellStyle name="Note 2 4 2 3 3 3" xfId="5276" xr:uid="{00000000-0005-0000-0000-0000FC510000}"/>
    <cellStyle name="Note 2 4 2 3 3 3 2" xfId="12747" xr:uid="{00000000-0005-0000-0000-0000FD510000}"/>
    <cellStyle name="Note 2 4 2 3 3 4" xfId="9908" xr:uid="{00000000-0005-0000-0000-0000FE510000}"/>
    <cellStyle name="Note 2 4 2 3 3 5" xfId="14002" xr:uid="{00000000-0005-0000-0000-0000FF510000}"/>
    <cellStyle name="Note 2 4 2 3 4" xfId="4372" xr:uid="{00000000-0005-0000-0000-000000520000}"/>
    <cellStyle name="Note 2 4 2 3 4 2" xfId="8274" xr:uid="{00000000-0005-0000-0000-000001520000}"/>
    <cellStyle name="Note 2 4 2 3 4 2 2" xfId="12242" xr:uid="{00000000-0005-0000-0000-000002520000}"/>
    <cellStyle name="Note 2 4 2 3 4 2 3" xfId="21792" xr:uid="{00000000-0005-0000-0000-000003520000}"/>
    <cellStyle name="Note 2 4 2 3 4 3" xfId="6566" xr:uid="{00000000-0005-0000-0000-000004520000}"/>
    <cellStyle name="Note 2 4 2 3 4 3 2" xfId="20084" xr:uid="{00000000-0005-0000-0000-000005520000}"/>
    <cellStyle name="Note 2 4 2 3 4 4" xfId="10086" xr:uid="{00000000-0005-0000-0000-000006520000}"/>
    <cellStyle name="Note 2 4 2 3 4 5" xfId="13633" xr:uid="{00000000-0005-0000-0000-000007520000}"/>
    <cellStyle name="Note 2 4 2 3 5" xfId="4754" xr:uid="{00000000-0005-0000-0000-000008520000}"/>
    <cellStyle name="Note 2 4 2 3 5 2" xfId="8506" xr:uid="{00000000-0005-0000-0000-000009520000}"/>
    <cellStyle name="Note 2 4 2 3 5 2 2" xfId="12474" xr:uid="{00000000-0005-0000-0000-00000A520000}"/>
    <cellStyle name="Note 2 4 2 3 5 2 3" xfId="22024" xr:uid="{00000000-0005-0000-0000-00000B520000}"/>
    <cellStyle name="Note 2 4 2 3 5 3" xfId="6798" xr:uid="{00000000-0005-0000-0000-00000C520000}"/>
    <cellStyle name="Note 2 4 2 3 5 3 2" xfId="20316" xr:uid="{00000000-0005-0000-0000-00000D520000}"/>
    <cellStyle name="Note 2 4 2 3 5 4" xfId="10263" xr:uid="{00000000-0005-0000-0000-00000E520000}"/>
    <cellStyle name="Note 2 4 2 3 5 5" xfId="13251" xr:uid="{00000000-0005-0000-0000-00000F520000}"/>
    <cellStyle name="Note 2 4 2 3 6" xfId="7030" xr:uid="{00000000-0005-0000-0000-000010520000}"/>
    <cellStyle name="Note 2 4 2 3 6 2" xfId="8738" xr:uid="{00000000-0005-0000-0000-000011520000}"/>
    <cellStyle name="Note 2 4 2 3 6 2 2" xfId="12706" xr:uid="{00000000-0005-0000-0000-000012520000}"/>
    <cellStyle name="Note 2 4 2 3 6 2 3" xfId="22256" xr:uid="{00000000-0005-0000-0000-000013520000}"/>
    <cellStyle name="Note 2 4 2 3 6 3" xfId="11164" xr:uid="{00000000-0005-0000-0000-000014520000}"/>
    <cellStyle name="Note 2 4 2 3 6 4" xfId="20548" xr:uid="{00000000-0005-0000-0000-000015520000}"/>
    <cellStyle name="Note 2 4 2 3 7" xfId="6018" xr:uid="{00000000-0005-0000-0000-000016520000}"/>
    <cellStyle name="Note 2 4 2 3 7 2" xfId="10759" xr:uid="{00000000-0005-0000-0000-000017520000}"/>
    <cellStyle name="Note 2 4 2 3 7 3" xfId="19536" xr:uid="{00000000-0005-0000-0000-000018520000}"/>
    <cellStyle name="Note 2 4 2 3 8" xfId="7726" xr:uid="{00000000-0005-0000-0000-000019520000}"/>
    <cellStyle name="Note 2 4 2 3 8 2" xfId="11747" xr:uid="{00000000-0005-0000-0000-00001A520000}"/>
    <cellStyle name="Note 2 4 2 3 8 3" xfId="21244" xr:uid="{00000000-0005-0000-0000-00001B520000}"/>
    <cellStyle name="Note 2 4 2 3 9" xfId="5212" xr:uid="{00000000-0005-0000-0000-00001C520000}"/>
    <cellStyle name="Note 2 4 2 3 9 2" xfId="12763" xr:uid="{00000000-0005-0000-0000-00001D520000}"/>
    <cellStyle name="Note 2 4 2 4" xfId="3276" xr:uid="{00000000-0005-0000-0000-00001E520000}"/>
    <cellStyle name="Note 2 4 2 4 2" xfId="3663" xr:uid="{00000000-0005-0000-0000-00001F520000}"/>
    <cellStyle name="Note 2 4 2 4 2 2" xfId="15481" xr:uid="{00000000-0005-0000-0000-000020520000}"/>
    <cellStyle name="Note 2 4 2 4 3" xfId="4046" xr:uid="{00000000-0005-0000-0000-000021520000}"/>
    <cellStyle name="Note 2 4 2 4 3 2" xfId="13945" xr:uid="{00000000-0005-0000-0000-000022520000}"/>
    <cellStyle name="Note 2 4 2 4 4" xfId="4429" xr:uid="{00000000-0005-0000-0000-000023520000}"/>
    <cellStyle name="Note 2 4 2 4 4 2" xfId="13576" xr:uid="{00000000-0005-0000-0000-000024520000}"/>
    <cellStyle name="Note 2 4 2 4 5" xfId="4811" xr:uid="{00000000-0005-0000-0000-000025520000}"/>
    <cellStyle name="Note 2 4 2 4 5 2" xfId="13195" xr:uid="{00000000-0005-0000-0000-000026520000}"/>
    <cellStyle name="Note 2 4 2 4 6" xfId="5847" xr:uid="{00000000-0005-0000-0000-000027520000}"/>
    <cellStyle name="Note 2 4 2 4 6 2" xfId="19365" xr:uid="{00000000-0005-0000-0000-000028520000}"/>
    <cellStyle name="Note 2 4 2 4 7" xfId="9406" xr:uid="{00000000-0005-0000-0000-000029520000}"/>
    <cellStyle name="Note 2 4 2 4 8" xfId="17269" xr:uid="{00000000-0005-0000-0000-00002A520000}"/>
    <cellStyle name="Note 2 4 2 5" xfId="2894" xr:uid="{00000000-0005-0000-0000-00002B520000}"/>
    <cellStyle name="Note 2 4 2 5 2" xfId="7555" xr:uid="{00000000-0005-0000-0000-00002C520000}"/>
    <cellStyle name="Note 2 4 2 5 2 2" xfId="21073" xr:uid="{00000000-0005-0000-0000-00002D520000}"/>
    <cellStyle name="Note 2 4 2 5 3" xfId="9046" xr:uid="{00000000-0005-0000-0000-00002E520000}"/>
    <cellStyle name="Note 2 4 2 5 4" xfId="12824" xr:uid="{00000000-0005-0000-0000-00002F520000}"/>
    <cellStyle name="Note 2 4 2 6" xfId="8884" xr:uid="{00000000-0005-0000-0000-000030520000}"/>
    <cellStyle name="Note 2 4 3" xfId="2948" xr:uid="{00000000-0005-0000-0000-000031520000}"/>
    <cellStyle name="Note 2 4 3 10" xfId="9100" xr:uid="{00000000-0005-0000-0000-000032520000}"/>
    <cellStyle name="Note 2 4 3 11" xfId="15289" xr:uid="{00000000-0005-0000-0000-000033520000}"/>
    <cellStyle name="Note 2 4 3 2" xfId="3335" xr:uid="{00000000-0005-0000-0000-000034520000}"/>
    <cellStyle name="Note 2 4 3 2 2" xfId="7405" xr:uid="{00000000-0005-0000-0000-000035520000}"/>
    <cellStyle name="Note 2 4 3 2 2 2" xfId="11484" xr:uid="{00000000-0005-0000-0000-000036520000}"/>
    <cellStyle name="Note 2 4 3 2 2 3" xfId="20923" xr:uid="{00000000-0005-0000-0000-000037520000}"/>
    <cellStyle name="Note 2 4 3 2 3" xfId="5696" xr:uid="{00000000-0005-0000-0000-000038520000}"/>
    <cellStyle name="Note 2 4 3 2 3 2" xfId="19214" xr:uid="{00000000-0005-0000-0000-000039520000}"/>
    <cellStyle name="Note 2 4 3 2 4" xfId="9465" xr:uid="{00000000-0005-0000-0000-00003A520000}"/>
    <cellStyle name="Note 2 4 3 2 5" xfId="17999" xr:uid="{00000000-0005-0000-0000-00003B520000}"/>
    <cellStyle name="Note 2 4 3 3" xfId="3718" xr:uid="{00000000-0005-0000-0000-00003C520000}"/>
    <cellStyle name="Note 2 4 3 3 2" xfId="7097" xr:uid="{00000000-0005-0000-0000-00003D520000}"/>
    <cellStyle name="Note 2 4 3 3 2 2" xfId="11231" xr:uid="{00000000-0005-0000-0000-00003E520000}"/>
    <cellStyle name="Note 2 4 3 3 2 3" xfId="20615" xr:uid="{00000000-0005-0000-0000-00003F520000}"/>
    <cellStyle name="Note 2 4 3 3 3" xfId="5388" xr:uid="{00000000-0005-0000-0000-000040520000}"/>
    <cellStyle name="Note 2 4 3 3 3 2" xfId="18906" xr:uid="{00000000-0005-0000-0000-000041520000}"/>
    <cellStyle name="Note 2 4 3 3 4" xfId="9780" xr:uid="{00000000-0005-0000-0000-000042520000}"/>
    <cellStyle name="Note 2 4 3 3 5" xfId="18331" xr:uid="{00000000-0005-0000-0000-000043520000}"/>
    <cellStyle name="Note 2 4 3 4" xfId="4101" xr:uid="{00000000-0005-0000-0000-000044520000}"/>
    <cellStyle name="Note 2 4 3 4 2" xfId="8222" xr:uid="{00000000-0005-0000-0000-000045520000}"/>
    <cellStyle name="Note 2 4 3 4 2 2" xfId="12190" xr:uid="{00000000-0005-0000-0000-000046520000}"/>
    <cellStyle name="Note 2 4 3 4 2 3" xfId="21740" xr:uid="{00000000-0005-0000-0000-000047520000}"/>
    <cellStyle name="Note 2 4 3 4 3" xfId="6514" xr:uid="{00000000-0005-0000-0000-000048520000}"/>
    <cellStyle name="Note 2 4 3 4 3 2" xfId="20032" xr:uid="{00000000-0005-0000-0000-000049520000}"/>
    <cellStyle name="Note 2 4 3 4 4" xfId="9958" xr:uid="{00000000-0005-0000-0000-00004A520000}"/>
    <cellStyle name="Note 2 4 3 4 5" xfId="13893" xr:uid="{00000000-0005-0000-0000-00004B520000}"/>
    <cellStyle name="Note 2 4 3 5" xfId="4483" xr:uid="{00000000-0005-0000-0000-00004C520000}"/>
    <cellStyle name="Note 2 4 3 5 2" xfId="8454" xr:uid="{00000000-0005-0000-0000-00004D520000}"/>
    <cellStyle name="Note 2 4 3 5 2 2" xfId="12422" xr:uid="{00000000-0005-0000-0000-00004E520000}"/>
    <cellStyle name="Note 2 4 3 5 2 3" xfId="21972" xr:uid="{00000000-0005-0000-0000-00004F520000}"/>
    <cellStyle name="Note 2 4 3 5 3" xfId="6746" xr:uid="{00000000-0005-0000-0000-000050520000}"/>
    <cellStyle name="Note 2 4 3 5 3 2" xfId="20264" xr:uid="{00000000-0005-0000-0000-000051520000}"/>
    <cellStyle name="Note 2 4 3 5 4" xfId="10135" xr:uid="{00000000-0005-0000-0000-000052520000}"/>
    <cellStyle name="Note 2 4 3 5 5" xfId="13522" xr:uid="{00000000-0005-0000-0000-000053520000}"/>
    <cellStyle name="Note 2 4 3 6" xfId="6978" xr:uid="{00000000-0005-0000-0000-000054520000}"/>
    <cellStyle name="Note 2 4 3 6 2" xfId="8686" xr:uid="{00000000-0005-0000-0000-000055520000}"/>
    <cellStyle name="Note 2 4 3 6 2 2" xfId="12654" xr:uid="{00000000-0005-0000-0000-000056520000}"/>
    <cellStyle name="Note 2 4 3 6 2 3" xfId="22204" xr:uid="{00000000-0005-0000-0000-000057520000}"/>
    <cellStyle name="Note 2 4 3 6 3" xfId="11112" xr:uid="{00000000-0005-0000-0000-000058520000}"/>
    <cellStyle name="Note 2 4 3 6 4" xfId="20496" xr:uid="{00000000-0005-0000-0000-000059520000}"/>
    <cellStyle name="Note 2 4 3 7" xfId="5966" xr:uid="{00000000-0005-0000-0000-00005A520000}"/>
    <cellStyle name="Note 2 4 3 7 2" xfId="10707" xr:uid="{00000000-0005-0000-0000-00005B520000}"/>
    <cellStyle name="Note 2 4 3 7 3" xfId="19484" xr:uid="{00000000-0005-0000-0000-00005C520000}"/>
    <cellStyle name="Note 2 4 3 8" xfId="7674" xr:uid="{00000000-0005-0000-0000-00005D520000}"/>
    <cellStyle name="Note 2 4 3 8 2" xfId="11695" xr:uid="{00000000-0005-0000-0000-00005E520000}"/>
    <cellStyle name="Note 2 4 3 8 3" xfId="21192" xr:uid="{00000000-0005-0000-0000-00005F520000}"/>
    <cellStyle name="Note 2 4 3 9" xfId="5159" xr:uid="{00000000-0005-0000-0000-000060520000}"/>
    <cellStyle name="Note 2 4 3 9 2" xfId="12768" xr:uid="{00000000-0005-0000-0000-000061520000}"/>
    <cellStyle name="Note 2 4 4" xfId="3162" xr:uid="{00000000-0005-0000-0000-000062520000}"/>
    <cellStyle name="Note 2 4 4 10" xfId="9292" xr:uid="{00000000-0005-0000-0000-000063520000}"/>
    <cellStyle name="Note 2 4 4 11" xfId="17992" xr:uid="{00000000-0005-0000-0000-000064520000}"/>
    <cellStyle name="Note 2 4 4 2" xfId="3549" xr:uid="{00000000-0005-0000-0000-000065520000}"/>
    <cellStyle name="Note 2 4 4 2 2" xfId="7367" xr:uid="{00000000-0005-0000-0000-000066520000}"/>
    <cellStyle name="Note 2 4 4 2 2 2" xfId="11453" xr:uid="{00000000-0005-0000-0000-000067520000}"/>
    <cellStyle name="Note 2 4 4 2 2 3" xfId="20885" xr:uid="{00000000-0005-0000-0000-000068520000}"/>
    <cellStyle name="Note 2 4 4 2 3" xfId="5658" xr:uid="{00000000-0005-0000-0000-000069520000}"/>
    <cellStyle name="Note 2 4 4 2 3 2" xfId="19176" xr:uid="{00000000-0005-0000-0000-00006A520000}"/>
    <cellStyle name="Note 2 4 4 2 4" xfId="9641" xr:uid="{00000000-0005-0000-0000-00006B520000}"/>
    <cellStyle name="Note 2 4 4 2 5" xfId="18108" xr:uid="{00000000-0005-0000-0000-00006C520000}"/>
    <cellStyle name="Note 2 4 4 3" xfId="3932" xr:uid="{00000000-0005-0000-0000-00006D520000}"/>
    <cellStyle name="Note 2 4 4 3 2" xfId="5144" xr:uid="{00000000-0005-0000-0000-00006E520000}"/>
    <cellStyle name="Note 2 4 4 3 2 2" xfId="10383" xr:uid="{00000000-0005-0000-0000-00006F520000}"/>
    <cellStyle name="Note 2 4 4 3 2 3" xfId="12926" xr:uid="{00000000-0005-0000-0000-000070520000}"/>
    <cellStyle name="Note 2 4 4 3 3" xfId="5335" xr:uid="{00000000-0005-0000-0000-000071520000}"/>
    <cellStyle name="Note 2 4 4 3 3 2" xfId="18853" xr:uid="{00000000-0005-0000-0000-000072520000}"/>
    <cellStyle name="Note 2 4 4 3 4" xfId="9855" xr:uid="{00000000-0005-0000-0000-000073520000}"/>
    <cellStyle name="Note 2 4 4 3 5" xfId="14059" xr:uid="{00000000-0005-0000-0000-000074520000}"/>
    <cellStyle name="Note 2 4 4 4" xfId="4315" xr:uid="{00000000-0005-0000-0000-000075520000}"/>
    <cellStyle name="Note 2 4 4 4 2" xfId="8178" xr:uid="{00000000-0005-0000-0000-000076520000}"/>
    <cellStyle name="Note 2 4 4 4 2 2" xfId="12146" xr:uid="{00000000-0005-0000-0000-000077520000}"/>
    <cellStyle name="Note 2 4 4 4 2 3" xfId="21696" xr:uid="{00000000-0005-0000-0000-000078520000}"/>
    <cellStyle name="Note 2 4 4 4 3" xfId="6470" xr:uid="{00000000-0005-0000-0000-000079520000}"/>
    <cellStyle name="Note 2 4 4 4 3 2" xfId="19988" xr:uid="{00000000-0005-0000-0000-00007A520000}"/>
    <cellStyle name="Note 2 4 4 4 4" xfId="10033" xr:uid="{00000000-0005-0000-0000-00007B520000}"/>
    <cellStyle name="Note 2 4 4 4 5" xfId="13690" xr:uid="{00000000-0005-0000-0000-00007C520000}"/>
    <cellStyle name="Note 2 4 4 5" xfId="4697" xr:uid="{00000000-0005-0000-0000-00007D520000}"/>
    <cellStyle name="Note 2 4 4 5 2" xfId="8410" xr:uid="{00000000-0005-0000-0000-00007E520000}"/>
    <cellStyle name="Note 2 4 4 5 2 2" xfId="12378" xr:uid="{00000000-0005-0000-0000-00007F520000}"/>
    <cellStyle name="Note 2 4 4 5 2 3" xfId="21928" xr:uid="{00000000-0005-0000-0000-000080520000}"/>
    <cellStyle name="Note 2 4 4 5 3" xfId="6702" xr:uid="{00000000-0005-0000-0000-000081520000}"/>
    <cellStyle name="Note 2 4 4 5 3 2" xfId="20220" xr:uid="{00000000-0005-0000-0000-000082520000}"/>
    <cellStyle name="Note 2 4 4 5 4" xfId="10210" xr:uid="{00000000-0005-0000-0000-000083520000}"/>
    <cellStyle name="Note 2 4 4 5 5" xfId="13308" xr:uid="{00000000-0005-0000-0000-000084520000}"/>
    <cellStyle name="Note 2 4 4 6" xfId="6934" xr:uid="{00000000-0005-0000-0000-000085520000}"/>
    <cellStyle name="Note 2 4 4 6 2" xfId="8642" xr:uid="{00000000-0005-0000-0000-000086520000}"/>
    <cellStyle name="Note 2 4 4 6 2 2" xfId="12610" xr:uid="{00000000-0005-0000-0000-000087520000}"/>
    <cellStyle name="Note 2 4 4 6 2 3" xfId="22160" xr:uid="{00000000-0005-0000-0000-000088520000}"/>
    <cellStyle name="Note 2 4 4 6 3" xfId="11068" xr:uid="{00000000-0005-0000-0000-000089520000}"/>
    <cellStyle name="Note 2 4 4 6 4" xfId="20452" xr:uid="{00000000-0005-0000-0000-00008A520000}"/>
    <cellStyle name="Note 2 4 4 7" xfId="5922" xr:uid="{00000000-0005-0000-0000-00008B520000}"/>
    <cellStyle name="Note 2 4 4 7 2" xfId="10663" xr:uid="{00000000-0005-0000-0000-00008C520000}"/>
    <cellStyle name="Note 2 4 4 7 3" xfId="19440" xr:uid="{00000000-0005-0000-0000-00008D520000}"/>
    <cellStyle name="Note 2 4 4 8" xfId="7630" xr:uid="{00000000-0005-0000-0000-00008E520000}"/>
    <cellStyle name="Note 2 4 4 8 2" xfId="11651" xr:uid="{00000000-0005-0000-0000-00008F520000}"/>
    <cellStyle name="Note 2 4 4 8 3" xfId="21148" xr:uid="{00000000-0005-0000-0000-000090520000}"/>
    <cellStyle name="Note 2 4 4 9" xfId="5018" xr:uid="{00000000-0005-0000-0000-000091520000}"/>
    <cellStyle name="Note 2 4 4 9 2" xfId="13001" xr:uid="{00000000-0005-0000-0000-000092520000}"/>
    <cellStyle name="Note 2 4 5" xfId="3060" xr:uid="{00000000-0005-0000-0000-000093520000}"/>
    <cellStyle name="Note 2 4 5 2" xfId="3447" xr:uid="{00000000-0005-0000-0000-000094520000}"/>
    <cellStyle name="Note 2 4 5 2 2" xfId="17982" xr:uid="{00000000-0005-0000-0000-000095520000}"/>
    <cellStyle name="Note 2 4 5 3" xfId="3830" xr:uid="{00000000-0005-0000-0000-000096520000}"/>
    <cellStyle name="Note 2 4 5 3 2" xfId="14095" xr:uid="{00000000-0005-0000-0000-000097520000}"/>
    <cellStyle name="Note 2 4 5 4" xfId="4213" xr:uid="{00000000-0005-0000-0000-000098520000}"/>
    <cellStyle name="Note 2 4 5 4 2" xfId="13792" xr:uid="{00000000-0005-0000-0000-000099520000}"/>
    <cellStyle name="Note 2 4 5 5" xfId="4595" xr:uid="{00000000-0005-0000-0000-00009A520000}"/>
    <cellStyle name="Note 2 4 5 5 2" xfId="13410" xr:uid="{00000000-0005-0000-0000-00009B520000}"/>
    <cellStyle name="Note 2 4 5 6" xfId="5808" xr:uid="{00000000-0005-0000-0000-00009C520000}"/>
    <cellStyle name="Note 2 4 5 6 2" xfId="19326" xr:uid="{00000000-0005-0000-0000-00009D520000}"/>
    <cellStyle name="Note 2 4 5 7" xfId="9200" xr:uid="{00000000-0005-0000-0000-00009E520000}"/>
    <cellStyle name="Note 2 4 5 8" xfId="15674" xr:uid="{00000000-0005-0000-0000-00009F520000}"/>
    <cellStyle name="Note 2 4 6" xfId="2870" xr:uid="{00000000-0005-0000-0000-0000A0520000}"/>
    <cellStyle name="Note 2 4 6 2" xfId="7516" xr:uid="{00000000-0005-0000-0000-0000A1520000}"/>
    <cellStyle name="Note 2 4 6 2 2" xfId="21034" xr:uid="{00000000-0005-0000-0000-0000A2520000}"/>
    <cellStyle name="Note 2 4 6 3" xfId="9023" xr:uid="{00000000-0005-0000-0000-0000A3520000}"/>
    <cellStyle name="Note 2 4 6 4" xfId="16847" xr:uid="{00000000-0005-0000-0000-0000A4520000}"/>
    <cellStyle name="Note 2 4 7" xfId="8827" xr:uid="{00000000-0005-0000-0000-0000A5520000}"/>
    <cellStyle name="Note 2 4 8" xfId="16114" xr:uid="{00000000-0005-0000-0000-0000A6520000}"/>
    <cellStyle name="Note 2 5" xfId="2828" xr:uid="{00000000-0005-0000-0000-0000A7520000}"/>
    <cellStyle name="Note 2 5 10" xfId="8981" xr:uid="{00000000-0005-0000-0000-0000A8520000}"/>
    <cellStyle name="Note 2 5 11" xfId="16400" xr:uid="{00000000-0005-0000-0000-0000A9520000}"/>
    <cellStyle name="Note 2 5 2" xfId="2769" xr:uid="{00000000-0005-0000-0000-0000AA520000}"/>
    <cellStyle name="Note 2 5 2 2" xfId="7290" xr:uid="{00000000-0005-0000-0000-0000AB520000}"/>
    <cellStyle name="Note 2 5 2 2 2" xfId="11395" xr:uid="{00000000-0005-0000-0000-0000AC520000}"/>
    <cellStyle name="Note 2 5 2 2 3" xfId="20808" xr:uid="{00000000-0005-0000-0000-0000AD520000}"/>
    <cellStyle name="Note 2 5 2 3" xfId="5581" xr:uid="{00000000-0005-0000-0000-0000AE520000}"/>
    <cellStyle name="Note 2 5 2 3 2" xfId="19099" xr:uid="{00000000-0005-0000-0000-0000AF520000}"/>
    <cellStyle name="Note 2 5 2 4" xfId="8924" xr:uid="{00000000-0005-0000-0000-0000B0520000}"/>
    <cellStyle name="Note 2 5 2 5" xfId="14637" xr:uid="{00000000-0005-0000-0000-0000B1520000}"/>
    <cellStyle name="Note 2 5 3" xfId="2802" xr:uid="{00000000-0005-0000-0000-0000B2520000}"/>
    <cellStyle name="Note 2 5 3 2" xfId="7107" xr:uid="{00000000-0005-0000-0000-0000B3520000}"/>
    <cellStyle name="Note 2 5 3 2 2" xfId="11241" xr:uid="{00000000-0005-0000-0000-0000B4520000}"/>
    <cellStyle name="Note 2 5 3 2 3" xfId="20625" xr:uid="{00000000-0005-0000-0000-0000B5520000}"/>
    <cellStyle name="Note 2 5 3 3" xfId="5398" xr:uid="{00000000-0005-0000-0000-0000B6520000}"/>
    <cellStyle name="Note 2 5 3 3 2" xfId="18916" xr:uid="{00000000-0005-0000-0000-0000B7520000}"/>
    <cellStyle name="Note 2 5 3 4" xfId="8957" xr:uid="{00000000-0005-0000-0000-0000B8520000}"/>
    <cellStyle name="Note 2 5 3 5" xfId="18557" xr:uid="{00000000-0005-0000-0000-0000B9520000}"/>
    <cellStyle name="Note 2 5 4" xfId="2804" xr:uid="{00000000-0005-0000-0000-0000BA520000}"/>
    <cellStyle name="Note 2 5 4 2" xfId="8202" xr:uid="{00000000-0005-0000-0000-0000BB520000}"/>
    <cellStyle name="Note 2 5 4 2 2" xfId="12170" xr:uid="{00000000-0005-0000-0000-0000BC520000}"/>
    <cellStyle name="Note 2 5 4 2 3" xfId="21720" xr:uid="{00000000-0005-0000-0000-0000BD520000}"/>
    <cellStyle name="Note 2 5 4 3" xfId="6494" xr:uid="{00000000-0005-0000-0000-0000BE520000}"/>
    <cellStyle name="Note 2 5 4 3 2" xfId="20012" xr:uid="{00000000-0005-0000-0000-0000BF520000}"/>
    <cellStyle name="Note 2 5 4 4" xfId="8959" xr:uid="{00000000-0005-0000-0000-0000C0520000}"/>
    <cellStyle name="Note 2 5 4 5" xfId="17095" xr:uid="{00000000-0005-0000-0000-0000C1520000}"/>
    <cellStyle name="Note 2 5 5" xfId="2773" xr:uid="{00000000-0005-0000-0000-0000C2520000}"/>
    <cellStyle name="Note 2 5 5 2" xfId="8434" xr:uid="{00000000-0005-0000-0000-0000C3520000}"/>
    <cellStyle name="Note 2 5 5 2 2" xfId="12402" xr:uid="{00000000-0005-0000-0000-0000C4520000}"/>
    <cellStyle name="Note 2 5 5 2 3" xfId="21952" xr:uid="{00000000-0005-0000-0000-0000C5520000}"/>
    <cellStyle name="Note 2 5 5 3" xfId="6726" xr:uid="{00000000-0005-0000-0000-0000C6520000}"/>
    <cellStyle name="Note 2 5 5 3 2" xfId="20244" xr:uid="{00000000-0005-0000-0000-0000C7520000}"/>
    <cellStyle name="Note 2 5 5 4" xfId="8928" xr:uid="{00000000-0005-0000-0000-0000C8520000}"/>
    <cellStyle name="Note 2 5 5 5" xfId="18675" xr:uid="{00000000-0005-0000-0000-0000C9520000}"/>
    <cellStyle name="Note 2 5 6" xfId="6958" xr:uid="{00000000-0005-0000-0000-0000CA520000}"/>
    <cellStyle name="Note 2 5 6 2" xfId="8666" xr:uid="{00000000-0005-0000-0000-0000CB520000}"/>
    <cellStyle name="Note 2 5 6 2 2" xfId="12634" xr:uid="{00000000-0005-0000-0000-0000CC520000}"/>
    <cellStyle name="Note 2 5 6 2 3" xfId="22184" xr:uid="{00000000-0005-0000-0000-0000CD520000}"/>
    <cellStyle name="Note 2 5 6 3" xfId="11092" xr:uid="{00000000-0005-0000-0000-0000CE520000}"/>
    <cellStyle name="Note 2 5 6 4" xfId="20476" xr:uid="{00000000-0005-0000-0000-0000CF520000}"/>
    <cellStyle name="Note 2 5 7" xfId="5946" xr:uid="{00000000-0005-0000-0000-0000D0520000}"/>
    <cellStyle name="Note 2 5 7 2" xfId="10687" xr:uid="{00000000-0005-0000-0000-0000D1520000}"/>
    <cellStyle name="Note 2 5 7 3" xfId="19464" xr:uid="{00000000-0005-0000-0000-0000D2520000}"/>
    <cellStyle name="Note 2 5 8" xfId="7654" xr:uid="{00000000-0005-0000-0000-0000D3520000}"/>
    <cellStyle name="Note 2 5 8 2" xfId="11675" xr:uid="{00000000-0005-0000-0000-0000D4520000}"/>
    <cellStyle name="Note 2 5 8 3" xfId="21172" xr:uid="{00000000-0005-0000-0000-0000D5520000}"/>
    <cellStyle name="Note 2 5 9" xfId="5047" xr:uid="{00000000-0005-0000-0000-0000D6520000}"/>
    <cellStyle name="Note 2 5 9 2" xfId="12974" xr:uid="{00000000-0005-0000-0000-0000D7520000}"/>
    <cellStyle name="Note 2 6" xfId="2934" xr:uid="{00000000-0005-0000-0000-0000D8520000}"/>
    <cellStyle name="Note 2 6 2" xfId="3321" xr:uid="{00000000-0005-0000-0000-0000D9520000}"/>
    <cellStyle name="Note 2 6 2 2" xfId="7410" xr:uid="{00000000-0005-0000-0000-0000DA520000}"/>
    <cellStyle name="Note 2 6 2 2 2" xfId="20928" xr:uid="{00000000-0005-0000-0000-0000DB520000}"/>
    <cellStyle name="Note 2 6 2 3" xfId="9451" xr:uid="{00000000-0005-0000-0000-0000DC520000}"/>
    <cellStyle name="Note 2 6 2 4" xfId="17333" xr:uid="{00000000-0005-0000-0000-0000DD520000}"/>
    <cellStyle name="Note 2 6 3" xfId="3704" xr:uid="{00000000-0005-0000-0000-0000DE520000}"/>
    <cellStyle name="Note 2 6 3 2" xfId="15470" xr:uid="{00000000-0005-0000-0000-0000DF520000}"/>
    <cellStyle name="Note 2 6 4" xfId="4087" xr:uid="{00000000-0005-0000-0000-0000E0520000}"/>
    <cellStyle name="Note 2 6 4 2" xfId="13907" xr:uid="{00000000-0005-0000-0000-0000E1520000}"/>
    <cellStyle name="Note 2 6 5" xfId="4469" xr:uid="{00000000-0005-0000-0000-0000E2520000}"/>
    <cellStyle name="Note 2 6 5 2" xfId="13536" xr:uid="{00000000-0005-0000-0000-0000E3520000}"/>
    <cellStyle name="Note 2 6 6" xfId="5701" xr:uid="{00000000-0005-0000-0000-0000E4520000}"/>
    <cellStyle name="Note 2 6 6 2" xfId="19219" xr:uid="{00000000-0005-0000-0000-0000E5520000}"/>
    <cellStyle name="Note 2 6 7" xfId="9086" xr:uid="{00000000-0005-0000-0000-0000E6520000}"/>
    <cellStyle name="Note 2 6 8" xfId="16455" xr:uid="{00000000-0005-0000-0000-0000E7520000}"/>
    <cellStyle name="Note 2 7" xfId="3113" xr:uid="{00000000-0005-0000-0000-0000E8520000}"/>
    <cellStyle name="Note 2 7 2" xfId="3500" xr:uid="{00000000-0005-0000-0000-0000E9520000}"/>
    <cellStyle name="Note 2 7 2 2" xfId="7891" xr:uid="{00000000-0005-0000-0000-0000EA520000}"/>
    <cellStyle name="Note 2 7 2 2 2" xfId="21409" xr:uid="{00000000-0005-0000-0000-0000EB520000}"/>
    <cellStyle name="Note 2 7 2 3" xfId="9593" xr:uid="{00000000-0005-0000-0000-0000EC520000}"/>
    <cellStyle name="Note 2 7 2 4" xfId="18416" xr:uid="{00000000-0005-0000-0000-0000ED520000}"/>
    <cellStyle name="Note 2 7 3" xfId="3883" xr:uid="{00000000-0005-0000-0000-0000EE520000}"/>
    <cellStyle name="Note 2 7 3 2" xfId="14139" xr:uid="{00000000-0005-0000-0000-0000EF520000}"/>
    <cellStyle name="Note 2 7 4" xfId="4266" xr:uid="{00000000-0005-0000-0000-0000F0520000}"/>
    <cellStyle name="Note 2 7 4 2" xfId="13739" xr:uid="{00000000-0005-0000-0000-0000F1520000}"/>
    <cellStyle name="Note 2 7 5" xfId="4648" xr:uid="{00000000-0005-0000-0000-0000F2520000}"/>
    <cellStyle name="Note 2 7 5 2" xfId="13357" xr:uid="{00000000-0005-0000-0000-0000F3520000}"/>
    <cellStyle name="Note 2 7 6" xfId="6183" xr:uid="{00000000-0005-0000-0000-0000F4520000}"/>
    <cellStyle name="Note 2 7 6 2" xfId="19701" xr:uid="{00000000-0005-0000-0000-0000F5520000}"/>
    <cellStyle name="Note 2 7 7" xfId="9244" xr:uid="{00000000-0005-0000-0000-0000F6520000}"/>
    <cellStyle name="Note 2 7 8" xfId="16506" xr:uid="{00000000-0005-0000-0000-0000F7520000}"/>
    <cellStyle name="Note 2 8" xfId="3078" xr:uid="{00000000-0005-0000-0000-0000F8520000}"/>
    <cellStyle name="Note 2 8 2" xfId="3465" xr:uid="{00000000-0005-0000-0000-0000F9520000}"/>
    <cellStyle name="Note 2 8 2 2" xfId="7142" xr:uid="{00000000-0005-0000-0000-0000FA520000}"/>
    <cellStyle name="Note 2 8 2 2 2" xfId="20660" xr:uid="{00000000-0005-0000-0000-0000FB520000}"/>
    <cellStyle name="Note 2 8 2 3" xfId="9567" xr:uid="{00000000-0005-0000-0000-0000FC520000}"/>
    <cellStyle name="Note 2 8 2 4" xfId="17885" xr:uid="{00000000-0005-0000-0000-0000FD520000}"/>
    <cellStyle name="Note 2 8 3" xfId="3848" xr:uid="{00000000-0005-0000-0000-0000FE520000}"/>
    <cellStyle name="Note 2 8 3 2" xfId="14205" xr:uid="{00000000-0005-0000-0000-0000FF520000}"/>
    <cellStyle name="Note 2 8 4" xfId="4231" xr:uid="{00000000-0005-0000-0000-000000530000}"/>
    <cellStyle name="Note 2 8 4 2" xfId="13774" xr:uid="{00000000-0005-0000-0000-000001530000}"/>
    <cellStyle name="Note 2 8 5" xfId="4613" xr:uid="{00000000-0005-0000-0000-000002530000}"/>
    <cellStyle name="Note 2 8 5 2" xfId="13392" xr:uid="{00000000-0005-0000-0000-000003530000}"/>
    <cellStyle name="Note 2 8 6" xfId="5433" xr:uid="{00000000-0005-0000-0000-000004530000}"/>
    <cellStyle name="Note 2 8 6 2" xfId="18951" xr:uid="{00000000-0005-0000-0000-000005530000}"/>
    <cellStyle name="Note 2 8 7" xfId="9218" xr:uid="{00000000-0005-0000-0000-000006530000}"/>
    <cellStyle name="Note 2 8 8" xfId="17276" xr:uid="{00000000-0005-0000-0000-000007530000}"/>
    <cellStyle name="Note 2 9" xfId="5472" xr:uid="{00000000-0005-0000-0000-000008530000}"/>
    <cellStyle name="Note 2 9 2" xfId="7181" xr:uid="{00000000-0005-0000-0000-000009530000}"/>
    <cellStyle name="Note 2 9 2 2" xfId="11310" xr:uid="{00000000-0005-0000-0000-00000A530000}"/>
    <cellStyle name="Note 2 9 2 3" xfId="20699" xr:uid="{00000000-0005-0000-0000-00000B530000}"/>
    <cellStyle name="Note 2 9 3" xfId="10471" xr:uid="{00000000-0005-0000-0000-00000C530000}"/>
    <cellStyle name="Note 2 9 4" xfId="18990" xr:uid="{00000000-0005-0000-0000-00000D530000}"/>
    <cellStyle name="Note 3" xfId="2690" xr:uid="{00000000-0005-0000-0000-00000E530000}"/>
    <cellStyle name="Note 3 10" xfId="5736" xr:uid="{00000000-0005-0000-0000-00000F530000}"/>
    <cellStyle name="Note 3 10 2" xfId="10518" xr:uid="{00000000-0005-0000-0000-000010530000}"/>
    <cellStyle name="Note 3 10 3" xfId="19254" xr:uid="{00000000-0005-0000-0000-000011530000}"/>
    <cellStyle name="Note 3 11" xfId="7445" xr:uid="{00000000-0005-0000-0000-000012530000}"/>
    <cellStyle name="Note 3 11 2" xfId="11505" xr:uid="{00000000-0005-0000-0000-000013530000}"/>
    <cellStyle name="Note 3 11 3" xfId="20963" xr:uid="{00000000-0005-0000-0000-000014530000}"/>
    <cellStyle name="Note 3 12" xfId="4868" xr:uid="{00000000-0005-0000-0000-000015530000}"/>
    <cellStyle name="Note 3 12 2" xfId="13138" xr:uid="{00000000-0005-0000-0000-000016530000}"/>
    <cellStyle name="Note 3 13" xfId="8845" xr:uid="{00000000-0005-0000-0000-000017530000}"/>
    <cellStyle name="Note 3 14" xfId="17462" xr:uid="{00000000-0005-0000-0000-000018530000}"/>
    <cellStyle name="Note 3 2" xfId="2747" xr:uid="{00000000-0005-0000-0000-000019530000}"/>
    <cellStyle name="Note 3 2 2" xfId="2977" xr:uid="{00000000-0005-0000-0000-00001A530000}"/>
    <cellStyle name="Note 3 2 2 10" xfId="9129" xr:uid="{00000000-0005-0000-0000-00001B530000}"/>
    <cellStyle name="Note 3 2 2 11" xfId="15156" xr:uid="{00000000-0005-0000-0000-00001C530000}"/>
    <cellStyle name="Note 3 2 2 2" xfId="3364" xr:uid="{00000000-0005-0000-0000-00001D530000}"/>
    <cellStyle name="Note 3 2 2 2 2" xfId="7941" xr:uid="{00000000-0005-0000-0000-00001E530000}"/>
    <cellStyle name="Note 3 2 2 2 2 2" xfId="11917" xr:uid="{00000000-0005-0000-0000-00001F530000}"/>
    <cellStyle name="Note 3 2 2 2 2 3" xfId="21459" xr:uid="{00000000-0005-0000-0000-000020530000}"/>
    <cellStyle name="Note 3 2 2 2 3" xfId="6233" xr:uid="{00000000-0005-0000-0000-000021530000}"/>
    <cellStyle name="Note 3 2 2 2 3 2" xfId="19751" xr:uid="{00000000-0005-0000-0000-000022530000}"/>
    <cellStyle name="Note 3 2 2 2 4" xfId="9494" xr:uid="{00000000-0005-0000-0000-000023530000}"/>
    <cellStyle name="Note 3 2 2 2 5" xfId="14753" xr:uid="{00000000-0005-0000-0000-000024530000}"/>
    <cellStyle name="Note 3 2 2 3" xfId="3747" xr:uid="{00000000-0005-0000-0000-000025530000}"/>
    <cellStyle name="Note 3 2 2 3 2" xfId="7073" xr:uid="{00000000-0005-0000-0000-000026530000}"/>
    <cellStyle name="Note 3 2 2 3 2 2" xfId="11207" xr:uid="{00000000-0005-0000-0000-000027530000}"/>
    <cellStyle name="Note 3 2 2 3 2 3" xfId="20591" xr:uid="{00000000-0005-0000-0000-000028530000}"/>
    <cellStyle name="Note 3 2 2 3 3" xfId="5364" xr:uid="{00000000-0005-0000-0000-000029530000}"/>
    <cellStyle name="Note 3 2 2 3 3 2" xfId="18882" xr:uid="{00000000-0005-0000-0000-00002A530000}"/>
    <cellStyle name="Note 3 2 2 3 4" xfId="9809" xr:uid="{00000000-0005-0000-0000-00002B530000}"/>
    <cellStyle name="Note 3 2 2 3 5" xfId="18164" xr:uid="{00000000-0005-0000-0000-00002C530000}"/>
    <cellStyle name="Note 3 2 2 4" xfId="4130" xr:uid="{00000000-0005-0000-0000-00002D530000}"/>
    <cellStyle name="Note 3 2 2 4 2" xfId="8248" xr:uid="{00000000-0005-0000-0000-00002E530000}"/>
    <cellStyle name="Note 3 2 2 4 2 2" xfId="12216" xr:uid="{00000000-0005-0000-0000-00002F530000}"/>
    <cellStyle name="Note 3 2 2 4 2 3" xfId="21766" xr:uid="{00000000-0005-0000-0000-000030530000}"/>
    <cellStyle name="Note 3 2 2 4 3" xfId="6540" xr:uid="{00000000-0005-0000-0000-000031530000}"/>
    <cellStyle name="Note 3 2 2 4 3 2" xfId="20058" xr:uid="{00000000-0005-0000-0000-000032530000}"/>
    <cellStyle name="Note 3 2 2 4 4" xfId="9987" xr:uid="{00000000-0005-0000-0000-000033530000}"/>
    <cellStyle name="Note 3 2 2 4 5" xfId="13867" xr:uid="{00000000-0005-0000-0000-000034530000}"/>
    <cellStyle name="Note 3 2 2 5" xfId="4512" xr:uid="{00000000-0005-0000-0000-000035530000}"/>
    <cellStyle name="Note 3 2 2 5 2" xfId="8480" xr:uid="{00000000-0005-0000-0000-000036530000}"/>
    <cellStyle name="Note 3 2 2 5 2 2" xfId="12448" xr:uid="{00000000-0005-0000-0000-000037530000}"/>
    <cellStyle name="Note 3 2 2 5 2 3" xfId="21998" xr:uid="{00000000-0005-0000-0000-000038530000}"/>
    <cellStyle name="Note 3 2 2 5 3" xfId="6772" xr:uid="{00000000-0005-0000-0000-000039530000}"/>
    <cellStyle name="Note 3 2 2 5 3 2" xfId="20290" xr:uid="{00000000-0005-0000-0000-00003A530000}"/>
    <cellStyle name="Note 3 2 2 5 4" xfId="10164" xr:uid="{00000000-0005-0000-0000-00003B530000}"/>
    <cellStyle name="Note 3 2 2 5 5" xfId="13493" xr:uid="{00000000-0005-0000-0000-00003C530000}"/>
    <cellStyle name="Note 3 2 2 6" xfId="7004" xr:uid="{00000000-0005-0000-0000-00003D530000}"/>
    <cellStyle name="Note 3 2 2 6 2" xfId="8712" xr:uid="{00000000-0005-0000-0000-00003E530000}"/>
    <cellStyle name="Note 3 2 2 6 2 2" xfId="12680" xr:uid="{00000000-0005-0000-0000-00003F530000}"/>
    <cellStyle name="Note 3 2 2 6 2 3" xfId="22230" xr:uid="{00000000-0005-0000-0000-000040530000}"/>
    <cellStyle name="Note 3 2 2 6 3" xfId="11138" xr:uid="{00000000-0005-0000-0000-000041530000}"/>
    <cellStyle name="Note 3 2 2 6 4" xfId="20522" xr:uid="{00000000-0005-0000-0000-000042530000}"/>
    <cellStyle name="Note 3 2 2 7" xfId="5992" xr:uid="{00000000-0005-0000-0000-000043530000}"/>
    <cellStyle name="Note 3 2 2 7 2" xfId="10733" xr:uid="{00000000-0005-0000-0000-000044530000}"/>
    <cellStyle name="Note 3 2 2 7 3" xfId="19510" xr:uid="{00000000-0005-0000-0000-000045530000}"/>
    <cellStyle name="Note 3 2 2 8" xfId="7700" xr:uid="{00000000-0005-0000-0000-000046530000}"/>
    <cellStyle name="Note 3 2 2 8 2" xfId="11721" xr:uid="{00000000-0005-0000-0000-000047530000}"/>
    <cellStyle name="Note 3 2 2 8 3" xfId="21218" xr:uid="{00000000-0005-0000-0000-000048530000}"/>
    <cellStyle name="Note 3 2 2 9" xfId="5186" xr:uid="{00000000-0005-0000-0000-000049530000}"/>
    <cellStyle name="Note 3 2 2 9 2" xfId="12896" xr:uid="{00000000-0005-0000-0000-00004A530000}"/>
    <cellStyle name="Note 3 2 3" xfId="3237" xr:uid="{00000000-0005-0000-0000-00004B530000}"/>
    <cellStyle name="Note 3 2 3 10" xfId="9367" xr:uid="{00000000-0005-0000-0000-00004C530000}"/>
    <cellStyle name="Note 3 2 3 11" xfId="14508" xr:uid="{00000000-0005-0000-0000-00004D530000}"/>
    <cellStyle name="Note 3 2 3 2" xfId="3624" xr:uid="{00000000-0005-0000-0000-00004E530000}"/>
    <cellStyle name="Note 3 2 3 2 2" xfId="7985" xr:uid="{00000000-0005-0000-0000-00004F530000}"/>
    <cellStyle name="Note 3 2 3 2 2 2" xfId="11961" xr:uid="{00000000-0005-0000-0000-000050530000}"/>
    <cellStyle name="Note 3 2 3 2 2 3" xfId="21503" xr:uid="{00000000-0005-0000-0000-000051530000}"/>
    <cellStyle name="Note 3 2 3 2 3" xfId="6277" xr:uid="{00000000-0005-0000-0000-000052530000}"/>
    <cellStyle name="Note 3 2 3 2 3 2" xfId="19795" xr:uid="{00000000-0005-0000-0000-000053530000}"/>
    <cellStyle name="Note 3 2 3 2 4" xfId="9716" xr:uid="{00000000-0005-0000-0000-000054530000}"/>
    <cellStyle name="Note 3 2 3 2 5" xfId="14660" xr:uid="{00000000-0005-0000-0000-000055530000}"/>
    <cellStyle name="Note 3 2 3 3" xfId="4007" xr:uid="{00000000-0005-0000-0000-000056530000}"/>
    <cellStyle name="Note 3 2 3 3 2" xfId="7087" xr:uid="{00000000-0005-0000-0000-000057530000}"/>
    <cellStyle name="Note 3 2 3 3 2 2" xfId="11221" xr:uid="{00000000-0005-0000-0000-000058530000}"/>
    <cellStyle name="Note 3 2 3 3 2 3" xfId="20605" xr:uid="{00000000-0005-0000-0000-000059530000}"/>
    <cellStyle name="Note 3 2 3 3 3" xfId="5378" xr:uid="{00000000-0005-0000-0000-00005A530000}"/>
    <cellStyle name="Note 3 2 3 3 3 2" xfId="18896" xr:uid="{00000000-0005-0000-0000-00005B530000}"/>
    <cellStyle name="Note 3 2 3 3 4" xfId="9926" xr:uid="{00000000-0005-0000-0000-00005C530000}"/>
    <cellStyle name="Note 3 2 3 3 5" xfId="13984" xr:uid="{00000000-0005-0000-0000-00005D530000}"/>
    <cellStyle name="Note 3 2 3 4" xfId="4390" xr:uid="{00000000-0005-0000-0000-00005E530000}"/>
    <cellStyle name="Note 3 2 3 4 2" xfId="8292" xr:uid="{00000000-0005-0000-0000-00005F530000}"/>
    <cellStyle name="Note 3 2 3 4 2 2" xfId="12260" xr:uid="{00000000-0005-0000-0000-000060530000}"/>
    <cellStyle name="Note 3 2 3 4 2 3" xfId="21810" xr:uid="{00000000-0005-0000-0000-000061530000}"/>
    <cellStyle name="Note 3 2 3 4 3" xfId="6584" xr:uid="{00000000-0005-0000-0000-000062530000}"/>
    <cellStyle name="Note 3 2 3 4 3 2" xfId="20102" xr:uid="{00000000-0005-0000-0000-000063530000}"/>
    <cellStyle name="Note 3 2 3 4 4" xfId="10104" xr:uid="{00000000-0005-0000-0000-000064530000}"/>
    <cellStyle name="Note 3 2 3 4 5" xfId="13615" xr:uid="{00000000-0005-0000-0000-000065530000}"/>
    <cellStyle name="Note 3 2 3 5" xfId="4772" xr:uid="{00000000-0005-0000-0000-000066530000}"/>
    <cellStyle name="Note 3 2 3 5 2" xfId="8524" xr:uid="{00000000-0005-0000-0000-000067530000}"/>
    <cellStyle name="Note 3 2 3 5 2 2" xfId="12492" xr:uid="{00000000-0005-0000-0000-000068530000}"/>
    <cellStyle name="Note 3 2 3 5 2 3" xfId="22042" xr:uid="{00000000-0005-0000-0000-000069530000}"/>
    <cellStyle name="Note 3 2 3 5 3" xfId="6816" xr:uid="{00000000-0005-0000-0000-00006A530000}"/>
    <cellStyle name="Note 3 2 3 5 3 2" xfId="20334" xr:uid="{00000000-0005-0000-0000-00006B530000}"/>
    <cellStyle name="Note 3 2 3 5 4" xfId="10281" xr:uid="{00000000-0005-0000-0000-00006C530000}"/>
    <cellStyle name="Note 3 2 3 5 5" xfId="13233" xr:uid="{00000000-0005-0000-0000-00006D530000}"/>
    <cellStyle name="Note 3 2 3 6" xfId="7048" xr:uid="{00000000-0005-0000-0000-00006E530000}"/>
    <cellStyle name="Note 3 2 3 6 2" xfId="8756" xr:uid="{00000000-0005-0000-0000-00006F530000}"/>
    <cellStyle name="Note 3 2 3 6 2 2" xfId="12724" xr:uid="{00000000-0005-0000-0000-000070530000}"/>
    <cellStyle name="Note 3 2 3 6 2 3" xfId="22274" xr:uid="{00000000-0005-0000-0000-000071530000}"/>
    <cellStyle name="Note 3 2 3 6 3" xfId="11182" xr:uid="{00000000-0005-0000-0000-000072530000}"/>
    <cellStyle name="Note 3 2 3 6 4" xfId="20566" xr:uid="{00000000-0005-0000-0000-000073530000}"/>
    <cellStyle name="Note 3 2 3 7" xfId="6036" xr:uid="{00000000-0005-0000-0000-000074530000}"/>
    <cellStyle name="Note 3 2 3 7 2" xfId="10777" xr:uid="{00000000-0005-0000-0000-000075530000}"/>
    <cellStyle name="Note 3 2 3 7 3" xfId="19554" xr:uid="{00000000-0005-0000-0000-000076530000}"/>
    <cellStyle name="Note 3 2 3 8" xfId="7744" xr:uid="{00000000-0005-0000-0000-000077530000}"/>
    <cellStyle name="Note 3 2 3 8 2" xfId="11765" xr:uid="{00000000-0005-0000-0000-000078530000}"/>
    <cellStyle name="Note 3 2 3 8 3" xfId="21262" xr:uid="{00000000-0005-0000-0000-000079530000}"/>
    <cellStyle name="Note 3 2 3 9" xfId="5230" xr:uid="{00000000-0005-0000-0000-00007A530000}"/>
    <cellStyle name="Note 3 2 3 9 2" xfId="12864" xr:uid="{00000000-0005-0000-0000-00007B530000}"/>
    <cellStyle name="Note 3 2 4" xfId="3294" xr:uid="{00000000-0005-0000-0000-00007C530000}"/>
    <cellStyle name="Note 3 2 4 2" xfId="3681" xr:uid="{00000000-0005-0000-0000-00007D530000}"/>
    <cellStyle name="Note 3 2 4 2 2" xfId="15294" xr:uid="{00000000-0005-0000-0000-00007E530000}"/>
    <cellStyle name="Note 3 2 4 3" xfId="4064" xr:uid="{00000000-0005-0000-0000-00007F530000}"/>
    <cellStyle name="Note 3 2 4 3 2" xfId="13927" xr:uid="{00000000-0005-0000-0000-000080530000}"/>
    <cellStyle name="Note 3 2 4 4" xfId="4447" xr:uid="{00000000-0005-0000-0000-000081530000}"/>
    <cellStyle name="Note 3 2 4 4 2" xfId="13558" xr:uid="{00000000-0005-0000-0000-000082530000}"/>
    <cellStyle name="Note 3 2 4 5" xfId="4829" xr:uid="{00000000-0005-0000-0000-000083530000}"/>
    <cellStyle name="Note 3 2 4 5 2" xfId="13177" xr:uid="{00000000-0005-0000-0000-000084530000}"/>
    <cellStyle name="Note 3 2 4 6" xfId="5826" xr:uid="{00000000-0005-0000-0000-000085530000}"/>
    <cellStyle name="Note 3 2 4 6 2" xfId="19344" xr:uid="{00000000-0005-0000-0000-000086530000}"/>
    <cellStyle name="Note 3 2 4 7" xfId="9424" xr:uid="{00000000-0005-0000-0000-000087530000}"/>
    <cellStyle name="Note 3 2 4 8" xfId="17279" xr:uid="{00000000-0005-0000-0000-000088530000}"/>
    <cellStyle name="Note 3 2 5" xfId="2912" xr:uid="{00000000-0005-0000-0000-000089530000}"/>
    <cellStyle name="Note 3 2 5 2" xfId="7534" xr:uid="{00000000-0005-0000-0000-00008A530000}"/>
    <cellStyle name="Note 3 2 5 2 2" xfId="21052" xr:uid="{00000000-0005-0000-0000-00008B530000}"/>
    <cellStyle name="Note 3 2 5 3" xfId="9064" xr:uid="{00000000-0005-0000-0000-00008C530000}"/>
    <cellStyle name="Note 3 2 5 4" xfId="16511" xr:uid="{00000000-0005-0000-0000-00008D530000}"/>
    <cellStyle name="Note 3 2 6" xfId="8902" xr:uid="{00000000-0005-0000-0000-00008E530000}"/>
    <cellStyle name="Note 3 3" xfId="2661" xr:uid="{00000000-0005-0000-0000-00008F530000}"/>
    <cellStyle name="Note 3 3 2" xfId="2945" xr:uid="{00000000-0005-0000-0000-000090530000}"/>
    <cellStyle name="Note 3 3 2 10" xfId="9097" xr:uid="{00000000-0005-0000-0000-000091530000}"/>
    <cellStyle name="Note 3 3 2 11" xfId="15563" xr:uid="{00000000-0005-0000-0000-000092530000}"/>
    <cellStyle name="Note 3 3 2 2" xfId="3332" xr:uid="{00000000-0005-0000-0000-000093530000}"/>
    <cellStyle name="Note 3 3 2 2 2" xfId="7321" xr:uid="{00000000-0005-0000-0000-000094530000}"/>
    <cellStyle name="Note 3 3 2 2 2 2" xfId="11411" xr:uid="{00000000-0005-0000-0000-000095530000}"/>
    <cellStyle name="Note 3 3 2 2 2 3" xfId="20839" xr:uid="{00000000-0005-0000-0000-000096530000}"/>
    <cellStyle name="Note 3 3 2 2 3" xfId="5612" xr:uid="{00000000-0005-0000-0000-000097530000}"/>
    <cellStyle name="Note 3 3 2 2 3 2" xfId="19130" xr:uid="{00000000-0005-0000-0000-000098530000}"/>
    <cellStyle name="Note 3 3 2 2 4" xfId="9462" xr:uid="{00000000-0005-0000-0000-000099530000}"/>
    <cellStyle name="Note 3 3 2 2 5" xfId="14961" xr:uid="{00000000-0005-0000-0000-00009A530000}"/>
    <cellStyle name="Note 3 3 2 3" xfId="3715" xr:uid="{00000000-0005-0000-0000-00009B530000}"/>
    <cellStyle name="Note 3 3 2 3 2" xfId="5133" xr:uid="{00000000-0005-0000-0000-00009C530000}"/>
    <cellStyle name="Note 3 3 2 3 2 2" xfId="10373" xr:uid="{00000000-0005-0000-0000-00009D530000}"/>
    <cellStyle name="Note 3 3 2 3 2 3" xfId="12929" xr:uid="{00000000-0005-0000-0000-00009E530000}"/>
    <cellStyle name="Note 3 3 2 3 3" xfId="5269" xr:uid="{00000000-0005-0000-0000-00009F530000}"/>
    <cellStyle name="Note 3 3 2 3 3 2" xfId="12754" xr:uid="{00000000-0005-0000-0000-0000A0530000}"/>
    <cellStyle name="Note 3 3 2 3 4" xfId="9777" xr:uid="{00000000-0005-0000-0000-0000A1530000}"/>
    <cellStyle name="Note 3 3 2 3 5" xfId="18502" xr:uid="{00000000-0005-0000-0000-0000A2530000}"/>
    <cellStyle name="Note 3 3 2 4" xfId="4098" xr:uid="{00000000-0005-0000-0000-0000A3530000}"/>
    <cellStyle name="Note 3 3 2 4 2" xfId="8219" xr:uid="{00000000-0005-0000-0000-0000A4530000}"/>
    <cellStyle name="Note 3 3 2 4 2 2" xfId="12187" xr:uid="{00000000-0005-0000-0000-0000A5530000}"/>
    <cellStyle name="Note 3 3 2 4 2 3" xfId="21737" xr:uid="{00000000-0005-0000-0000-0000A6530000}"/>
    <cellStyle name="Note 3 3 2 4 3" xfId="6511" xr:uid="{00000000-0005-0000-0000-0000A7530000}"/>
    <cellStyle name="Note 3 3 2 4 3 2" xfId="20029" xr:uid="{00000000-0005-0000-0000-0000A8530000}"/>
    <cellStyle name="Note 3 3 2 4 4" xfId="9955" xr:uid="{00000000-0005-0000-0000-0000A9530000}"/>
    <cellStyle name="Note 3 3 2 4 5" xfId="13896" xr:uid="{00000000-0005-0000-0000-0000AA530000}"/>
    <cellStyle name="Note 3 3 2 5" xfId="4480" xr:uid="{00000000-0005-0000-0000-0000AB530000}"/>
    <cellStyle name="Note 3 3 2 5 2" xfId="8451" xr:uid="{00000000-0005-0000-0000-0000AC530000}"/>
    <cellStyle name="Note 3 3 2 5 2 2" xfId="12419" xr:uid="{00000000-0005-0000-0000-0000AD530000}"/>
    <cellStyle name="Note 3 3 2 5 2 3" xfId="21969" xr:uid="{00000000-0005-0000-0000-0000AE530000}"/>
    <cellStyle name="Note 3 3 2 5 3" xfId="6743" xr:uid="{00000000-0005-0000-0000-0000AF530000}"/>
    <cellStyle name="Note 3 3 2 5 3 2" xfId="20261" xr:uid="{00000000-0005-0000-0000-0000B0530000}"/>
    <cellStyle name="Note 3 3 2 5 4" xfId="10132" xr:uid="{00000000-0005-0000-0000-0000B1530000}"/>
    <cellStyle name="Note 3 3 2 5 5" xfId="13525" xr:uid="{00000000-0005-0000-0000-0000B2530000}"/>
    <cellStyle name="Note 3 3 2 6" xfId="6975" xr:uid="{00000000-0005-0000-0000-0000B3530000}"/>
    <cellStyle name="Note 3 3 2 6 2" xfId="8683" xr:uid="{00000000-0005-0000-0000-0000B4530000}"/>
    <cellStyle name="Note 3 3 2 6 2 2" xfId="12651" xr:uid="{00000000-0005-0000-0000-0000B5530000}"/>
    <cellStyle name="Note 3 3 2 6 2 3" xfId="22201" xr:uid="{00000000-0005-0000-0000-0000B6530000}"/>
    <cellStyle name="Note 3 3 2 6 3" xfId="11109" xr:uid="{00000000-0005-0000-0000-0000B7530000}"/>
    <cellStyle name="Note 3 3 2 6 4" xfId="20493" xr:uid="{00000000-0005-0000-0000-0000B8530000}"/>
    <cellStyle name="Note 3 3 2 7" xfId="5963" xr:uid="{00000000-0005-0000-0000-0000B9530000}"/>
    <cellStyle name="Note 3 3 2 7 2" xfId="10704" xr:uid="{00000000-0005-0000-0000-0000BA530000}"/>
    <cellStyle name="Note 3 3 2 7 3" xfId="19481" xr:uid="{00000000-0005-0000-0000-0000BB530000}"/>
    <cellStyle name="Note 3 3 2 8" xfId="7671" xr:uid="{00000000-0005-0000-0000-0000BC530000}"/>
    <cellStyle name="Note 3 3 2 8 2" xfId="11692" xr:uid="{00000000-0005-0000-0000-0000BD530000}"/>
    <cellStyle name="Note 3 3 2 8 3" xfId="21189" xr:uid="{00000000-0005-0000-0000-0000BE530000}"/>
    <cellStyle name="Note 3 3 2 9" xfId="5155" xr:uid="{00000000-0005-0000-0000-0000BF530000}"/>
    <cellStyle name="Note 3 3 2 9 2" xfId="12772" xr:uid="{00000000-0005-0000-0000-0000C0530000}"/>
    <cellStyle name="Note 3 3 3" xfId="3153" xr:uid="{00000000-0005-0000-0000-0000C1530000}"/>
    <cellStyle name="Note 3 3 3 10" xfId="9283" xr:uid="{00000000-0005-0000-0000-0000C2530000}"/>
    <cellStyle name="Note 3 3 3 11" xfId="15494" xr:uid="{00000000-0005-0000-0000-0000C3530000}"/>
    <cellStyle name="Note 3 3 3 2" xfId="3540" xr:uid="{00000000-0005-0000-0000-0000C4530000}"/>
    <cellStyle name="Note 3 3 3 2 2" xfId="7325" xr:uid="{00000000-0005-0000-0000-0000C5530000}"/>
    <cellStyle name="Note 3 3 3 2 2 2" xfId="11415" xr:uid="{00000000-0005-0000-0000-0000C6530000}"/>
    <cellStyle name="Note 3 3 3 2 2 3" xfId="20843" xr:uid="{00000000-0005-0000-0000-0000C7530000}"/>
    <cellStyle name="Note 3 3 3 2 3" xfId="5616" xr:uid="{00000000-0005-0000-0000-0000C8530000}"/>
    <cellStyle name="Note 3 3 3 2 3 2" xfId="19134" xr:uid="{00000000-0005-0000-0000-0000C9530000}"/>
    <cellStyle name="Note 3 3 3 2 4" xfId="9632" xr:uid="{00000000-0005-0000-0000-0000CA530000}"/>
    <cellStyle name="Note 3 3 3 2 5" xfId="18739" xr:uid="{00000000-0005-0000-0000-0000CB530000}"/>
    <cellStyle name="Note 3 3 3 3" xfId="3923" xr:uid="{00000000-0005-0000-0000-0000CC530000}"/>
    <cellStyle name="Note 3 3 3 3 2" xfId="7079" xr:uid="{00000000-0005-0000-0000-0000CD530000}"/>
    <cellStyle name="Note 3 3 3 3 2 2" xfId="11213" xr:uid="{00000000-0005-0000-0000-0000CE530000}"/>
    <cellStyle name="Note 3 3 3 3 2 3" xfId="20597" xr:uid="{00000000-0005-0000-0000-0000CF530000}"/>
    <cellStyle name="Note 3 3 3 3 3" xfId="5370" xr:uid="{00000000-0005-0000-0000-0000D0530000}"/>
    <cellStyle name="Note 3 3 3 3 3 2" xfId="18888" xr:uid="{00000000-0005-0000-0000-0000D1530000}"/>
    <cellStyle name="Note 3 3 3 3 4" xfId="9846" xr:uid="{00000000-0005-0000-0000-0000D2530000}"/>
    <cellStyle name="Note 3 3 3 3 5" xfId="14068" xr:uid="{00000000-0005-0000-0000-0000D3530000}"/>
    <cellStyle name="Note 3 3 3 4" xfId="4306" xr:uid="{00000000-0005-0000-0000-0000D4530000}"/>
    <cellStyle name="Note 3 3 3 4 2" xfId="8187" xr:uid="{00000000-0005-0000-0000-0000D5530000}"/>
    <cellStyle name="Note 3 3 3 4 2 2" xfId="12155" xr:uid="{00000000-0005-0000-0000-0000D6530000}"/>
    <cellStyle name="Note 3 3 3 4 2 3" xfId="21705" xr:uid="{00000000-0005-0000-0000-0000D7530000}"/>
    <cellStyle name="Note 3 3 3 4 3" xfId="6479" xr:uid="{00000000-0005-0000-0000-0000D8530000}"/>
    <cellStyle name="Note 3 3 3 4 3 2" xfId="19997" xr:uid="{00000000-0005-0000-0000-0000D9530000}"/>
    <cellStyle name="Note 3 3 3 4 4" xfId="10024" xr:uid="{00000000-0005-0000-0000-0000DA530000}"/>
    <cellStyle name="Note 3 3 3 4 5" xfId="13699" xr:uid="{00000000-0005-0000-0000-0000DB530000}"/>
    <cellStyle name="Note 3 3 3 5" xfId="4688" xr:uid="{00000000-0005-0000-0000-0000DC530000}"/>
    <cellStyle name="Note 3 3 3 5 2" xfId="8419" xr:uid="{00000000-0005-0000-0000-0000DD530000}"/>
    <cellStyle name="Note 3 3 3 5 2 2" xfId="12387" xr:uid="{00000000-0005-0000-0000-0000DE530000}"/>
    <cellStyle name="Note 3 3 3 5 2 3" xfId="21937" xr:uid="{00000000-0005-0000-0000-0000DF530000}"/>
    <cellStyle name="Note 3 3 3 5 3" xfId="6711" xr:uid="{00000000-0005-0000-0000-0000E0530000}"/>
    <cellStyle name="Note 3 3 3 5 3 2" xfId="20229" xr:uid="{00000000-0005-0000-0000-0000E1530000}"/>
    <cellStyle name="Note 3 3 3 5 4" xfId="10201" xr:uid="{00000000-0005-0000-0000-0000E2530000}"/>
    <cellStyle name="Note 3 3 3 5 5" xfId="13317" xr:uid="{00000000-0005-0000-0000-0000E3530000}"/>
    <cellStyle name="Note 3 3 3 6" xfId="6943" xr:uid="{00000000-0005-0000-0000-0000E4530000}"/>
    <cellStyle name="Note 3 3 3 6 2" xfId="8651" xr:uid="{00000000-0005-0000-0000-0000E5530000}"/>
    <cellStyle name="Note 3 3 3 6 2 2" xfId="12619" xr:uid="{00000000-0005-0000-0000-0000E6530000}"/>
    <cellStyle name="Note 3 3 3 6 2 3" xfId="22169" xr:uid="{00000000-0005-0000-0000-0000E7530000}"/>
    <cellStyle name="Note 3 3 3 6 3" xfId="11077" xr:uid="{00000000-0005-0000-0000-0000E8530000}"/>
    <cellStyle name="Note 3 3 3 6 4" xfId="20461" xr:uid="{00000000-0005-0000-0000-0000E9530000}"/>
    <cellStyle name="Note 3 3 3 7" xfId="5931" xr:uid="{00000000-0005-0000-0000-0000EA530000}"/>
    <cellStyle name="Note 3 3 3 7 2" xfId="10672" xr:uid="{00000000-0005-0000-0000-0000EB530000}"/>
    <cellStyle name="Note 3 3 3 7 3" xfId="19449" xr:uid="{00000000-0005-0000-0000-0000EC530000}"/>
    <cellStyle name="Note 3 3 3 8" xfId="7639" xr:uid="{00000000-0005-0000-0000-0000ED530000}"/>
    <cellStyle name="Note 3 3 3 8 2" xfId="11660" xr:uid="{00000000-0005-0000-0000-0000EE530000}"/>
    <cellStyle name="Note 3 3 3 8 3" xfId="21157" xr:uid="{00000000-0005-0000-0000-0000EF530000}"/>
    <cellStyle name="Note 3 3 3 9" xfId="5027" xr:uid="{00000000-0005-0000-0000-0000F0530000}"/>
    <cellStyle name="Note 3 3 3 9 2" xfId="12992" xr:uid="{00000000-0005-0000-0000-0000F1530000}"/>
    <cellStyle name="Note 3 3 4" xfId="3067" xr:uid="{00000000-0005-0000-0000-0000F2530000}"/>
    <cellStyle name="Note 3 3 4 2" xfId="3454" xr:uid="{00000000-0005-0000-0000-0000F3530000}"/>
    <cellStyle name="Note 3 3 4 2 2" xfId="17111" xr:uid="{00000000-0005-0000-0000-0000F4530000}"/>
    <cellStyle name="Note 3 3 4 3" xfId="3837" xr:uid="{00000000-0005-0000-0000-0000F5530000}"/>
    <cellStyle name="Note 3 3 4 3 2" xfId="14093" xr:uid="{00000000-0005-0000-0000-0000F6530000}"/>
    <cellStyle name="Note 3 3 4 4" xfId="4220" xr:uid="{00000000-0005-0000-0000-0000F7530000}"/>
    <cellStyle name="Note 3 3 4 4 2" xfId="13785" xr:uid="{00000000-0005-0000-0000-0000F8530000}"/>
    <cellStyle name="Note 3 3 4 5" xfId="4602" xr:uid="{00000000-0005-0000-0000-0000F9530000}"/>
    <cellStyle name="Note 3 3 4 5 2" xfId="13403" xr:uid="{00000000-0005-0000-0000-0000FA530000}"/>
    <cellStyle name="Note 3 3 4 6" xfId="5746" xr:uid="{00000000-0005-0000-0000-0000FB530000}"/>
    <cellStyle name="Note 3 3 4 6 2" xfId="19264" xr:uid="{00000000-0005-0000-0000-0000FC530000}"/>
    <cellStyle name="Note 3 3 4 7" xfId="9207" xr:uid="{00000000-0005-0000-0000-0000FD530000}"/>
    <cellStyle name="Note 3 3 4 8" xfId="15555" xr:uid="{00000000-0005-0000-0000-0000FE530000}"/>
    <cellStyle name="Note 3 3 5" xfId="2861" xr:uid="{00000000-0005-0000-0000-0000FF530000}"/>
    <cellStyle name="Note 3 3 5 2" xfId="7455" xr:uid="{00000000-0005-0000-0000-000000540000}"/>
    <cellStyle name="Note 3 3 5 2 2" xfId="20973" xr:uid="{00000000-0005-0000-0000-000001540000}"/>
    <cellStyle name="Note 3 3 5 3" xfId="9014" xr:uid="{00000000-0005-0000-0000-000002540000}"/>
    <cellStyle name="Note 3 3 5 4" xfId="16705" xr:uid="{00000000-0005-0000-0000-000003540000}"/>
    <cellStyle name="Note 3 3 6" xfId="8818" xr:uid="{00000000-0005-0000-0000-000004540000}"/>
    <cellStyle name="Note 3 4" xfId="2953" xr:uid="{00000000-0005-0000-0000-000005540000}"/>
    <cellStyle name="Note 3 4 10" xfId="9105" xr:uid="{00000000-0005-0000-0000-000006540000}"/>
    <cellStyle name="Note 3 4 11" xfId="18174" xr:uid="{00000000-0005-0000-0000-000007540000}"/>
    <cellStyle name="Note 3 4 2" xfId="3340" xr:uid="{00000000-0005-0000-0000-000008540000}"/>
    <cellStyle name="Note 3 4 2 2" xfId="5072" xr:uid="{00000000-0005-0000-0000-000009540000}"/>
    <cellStyle name="Note 3 4 2 2 2" xfId="10324" xr:uid="{00000000-0005-0000-0000-00000A540000}"/>
    <cellStyle name="Note 3 4 2 2 3" xfId="12960" xr:uid="{00000000-0005-0000-0000-00000B540000}"/>
    <cellStyle name="Note 3 4 2 3" xfId="5295" xr:uid="{00000000-0005-0000-0000-00000C540000}"/>
    <cellStyle name="Note 3 4 2 3 2" xfId="18813" xr:uid="{00000000-0005-0000-0000-00000D540000}"/>
    <cellStyle name="Note 3 4 2 4" xfId="9470" xr:uid="{00000000-0005-0000-0000-00000E540000}"/>
    <cellStyle name="Note 3 4 2 5" xfId="18590" xr:uid="{00000000-0005-0000-0000-00000F540000}"/>
    <cellStyle name="Note 3 4 3" xfId="3723" xr:uid="{00000000-0005-0000-0000-000010540000}"/>
    <cellStyle name="Note 3 4 3 2" xfId="7094" xr:uid="{00000000-0005-0000-0000-000011540000}"/>
    <cellStyle name="Note 3 4 3 2 2" xfId="11228" xr:uid="{00000000-0005-0000-0000-000012540000}"/>
    <cellStyle name="Note 3 4 3 2 3" xfId="20612" xr:uid="{00000000-0005-0000-0000-000013540000}"/>
    <cellStyle name="Note 3 4 3 3" xfId="5385" xr:uid="{00000000-0005-0000-0000-000014540000}"/>
    <cellStyle name="Note 3 4 3 3 2" xfId="18903" xr:uid="{00000000-0005-0000-0000-000015540000}"/>
    <cellStyle name="Note 3 4 3 4" xfId="9785" xr:uid="{00000000-0005-0000-0000-000016540000}"/>
    <cellStyle name="Note 3 4 3 5" xfId="16444" xr:uid="{00000000-0005-0000-0000-000017540000}"/>
    <cellStyle name="Note 3 4 4" xfId="4106" xr:uid="{00000000-0005-0000-0000-000018540000}"/>
    <cellStyle name="Note 3 4 4 2" xfId="8227" xr:uid="{00000000-0005-0000-0000-000019540000}"/>
    <cellStyle name="Note 3 4 4 2 2" xfId="12195" xr:uid="{00000000-0005-0000-0000-00001A540000}"/>
    <cellStyle name="Note 3 4 4 2 3" xfId="21745" xr:uid="{00000000-0005-0000-0000-00001B540000}"/>
    <cellStyle name="Note 3 4 4 3" xfId="6519" xr:uid="{00000000-0005-0000-0000-00001C540000}"/>
    <cellStyle name="Note 3 4 4 3 2" xfId="20037" xr:uid="{00000000-0005-0000-0000-00001D540000}"/>
    <cellStyle name="Note 3 4 4 4" xfId="9963" xr:uid="{00000000-0005-0000-0000-00001E540000}"/>
    <cellStyle name="Note 3 4 4 5" xfId="13888" xr:uid="{00000000-0005-0000-0000-00001F540000}"/>
    <cellStyle name="Note 3 4 5" xfId="4488" xr:uid="{00000000-0005-0000-0000-000020540000}"/>
    <cellStyle name="Note 3 4 5 2" xfId="8459" xr:uid="{00000000-0005-0000-0000-000021540000}"/>
    <cellStyle name="Note 3 4 5 2 2" xfId="12427" xr:uid="{00000000-0005-0000-0000-000022540000}"/>
    <cellStyle name="Note 3 4 5 2 3" xfId="21977" xr:uid="{00000000-0005-0000-0000-000023540000}"/>
    <cellStyle name="Note 3 4 5 3" xfId="6751" xr:uid="{00000000-0005-0000-0000-000024540000}"/>
    <cellStyle name="Note 3 4 5 3 2" xfId="20269" xr:uid="{00000000-0005-0000-0000-000025540000}"/>
    <cellStyle name="Note 3 4 5 4" xfId="10140" xr:uid="{00000000-0005-0000-0000-000026540000}"/>
    <cellStyle name="Note 3 4 5 5" xfId="13517" xr:uid="{00000000-0005-0000-0000-000027540000}"/>
    <cellStyle name="Note 3 4 6" xfId="6983" xr:uid="{00000000-0005-0000-0000-000028540000}"/>
    <cellStyle name="Note 3 4 6 2" xfId="8691" xr:uid="{00000000-0005-0000-0000-000029540000}"/>
    <cellStyle name="Note 3 4 6 2 2" xfId="12659" xr:uid="{00000000-0005-0000-0000-00002A540000}"/>
    <cellStyle name="Note 3 4 6 2 3" xfId="22209" xr:uid="{00000000-0005-0000-0000-00002B540000}"/>
    <cellStyle name="Note 3 4 6 3" xfId="11117" xr:uid="{00000000-0005-0000-0000-00002C540000}"/>
    <cellStyle name="Note 3 4 6 4" xfId="20501" xr:uid="{00000000-0005-0000-0000-00002D540000}"/>
    <cellStyle name="Note 3 4 7" xfId="5971" xr:uid="{00000000-0005-0000-0000-00002E540000}"/>
    <cellStyle name="Note 3 4 7 2" xfId="10712" xr:uid="{00000000-0005-0000-0000-00002F540000}"/>
    <cellStyle name="Note 3 4 7 3" xfId="19489" xr:uid="{00000000-0005-0000-0000-000030540000}"/>
    <cellStyle name="Note 3 4 8" xfId="7679" xr:uid="{00000000-0005-0000-0000-000031540000}"/>
    <cellStyle name="Note 3 4 8 2" xfId="11700" xr:uid="{00000000-0005-0000-0000-000032540000}"/>
    <cellStyle name="Note 3 4 8 3" xfId="21197" xr:uid="{00000000-0005-0000-0000-000033540000}"/>
    <cellStyle name="Note 3 4 9" xfId="5164" xr:uid="{00000000-0005-0000-0000-000034540000}"/>
    <cellStyle name="Note 3 4 9 2" xfId="12918" xr:uid="{00000000-0005-0000-0000-000035540000}"/>
    <cellStyle name="Note 3 5" xfId="3180" xr:uid="{00000000-0005-0000-0000-000036540000}"/>
    <cellStyle name="Note 3 5 10" xfId="9310" xr:uid="{00000000-0005-0000-0000-000037540000}"/>
    <cellStyle name="Note 3 5 11" xfId="14254" xr:uid="{00000000-0005-0000-0000-000038540000}"/>
    <cellStyle name="Note 3 5 2" xfId="3567" xr:uid="{00000000-0005-0000-0000-000039540000}"/>
    <cellStyle name="Note 3 5 2 2" xfId="7400" xr:uid="{00000000-0005-0000-0000-00003A540000}"/>
    <cellStyle name="Note 3 5 2 2 2" xfId="11479" xr:uid="{00000000-0005-0000-0000-00003B540000}"/>
    <cellStyle name="Note 3 5 2 2 3" xfId="20918" xr:uid="{00000000-0005-0000-0000-00003C540000}"/>
    <cellStyle name="Note 3 5 2 3" xfId="5691" xr:uid="{00000000-0005-0000-0000-00003D540000}"/>
    <cellStyle name="Note 3 5 2 3 2" xfId="19209" xr:uid="{00000000-0005-0000-0000-00003E540000}"/>
    <cellStyle name="Note 3 5 2 4" xfId="9659" xr:uid="{00000000-0005-0000-0000-00003F540000}"/>
    <cellStyle name="Note 3 5 2 5" xfId="17418" xr:uid="{00000000-0005-0000-0000-000040540000}"/>
    <cellStyle name="Note 3 5 3" xfId="3950" xr:uid="{00000000-0005-0000-0000-000041540000}"/>
    <cellStyle name="Note 3 5 3 2" xfId="7084" xr:uid="{00000000-0005-0000-0000-000042540000}"/>
    <cellStyle name="Note 3 5 3 2 2" xfId="11218" xr:uid="{00000000-0005-0000-0000-000043540000}"/>
    <cellStyle name="Note 3 5 3 2 3" xfId="20602" xr:uid="{00000000-0005-0000-0000-000044540000}"/>
    <cellStyle name="Note 3 5 3 3" xfId="5375" xr:uid="{00000000-0005-0000-0000-000045540000}"/>
    <cellStyle name="Note 3 5 3 3 2" xfId="18893" xr:uid="{00000000-0005-0000-0000-000046540000}"/>
    <cellStyle name="Note 3 5 3 4" xfId="9873" xr:uid="{00000000-0005-0000-0000-000047540000}"/>
    <cellStyle name="Note 3 5 3 5" xfId="14041" xr:uid="{00000000-0005-0000-0000-000048540000}"/>
    <cellStyle name="Note 3 5 4" xfId="4333" xr:uid="{00000000-0005-0000-0000-000049540000}"/>
    <cellStyle name="Note 3 5 4 2" xfId="8160" xr:uid="{00000000-0005-0000-0000-00004A540000}"/>
    <cellStyle name="Note 3 5 4 2 2" xfId="12128" xr:uid="{00000000-0005-0000-0000-00004B540000}"/>
    <cellStyle name="Note 3 5 4 2 3" xfId="21678" xr:uid="{00000000-0005-0000-0000-00004C540000}"/>
    <cellStyle name="Note 3 5 4 3" xfId="6452" xr:uid="{00000000-0005-0000-0000-00004D540000}"/>
    <cellStyle name="Note 3 5 4 3 2" xfId="19970" xr:uid="{00000000-0005-0000-0000-00004E540000}"/>
    <cellStyle name="Note 3 5 4 4" xfId="10051" xr:uid="{00000000-0005-0000-0000-00004F540000}"/>
    <cellStyle name="Note 3 5 4 5" xfId="13672" xr:uid="{00000000-0005-0000-0000-000050540000}"/>
    <cellStyle name="Note 3 5 5" xfId="4715" xr:uid="{00000000-0005-0000-0000-000051540000}"/>
    <cellStyle name="Note 3 5 5 2" xfId="8392" xr:uid="{00000000-0005-0000-0000-000052540000}"/>
    <cellStyle name="Note 3 5 5 2 2" xfId="12360" xr:uid="{00000000-0005-0000-0000-000053540000}"/>
    <cellStyle name="Note 3 5 5 2 3" xfId="21910" xr:uid="{00000000-0005-0000-0000-000054540000}"/>
    <cellStyle name="Note 3 5 5 3" xfId="6684" xr:uid="{00000000-0005-0000-0000-000055540000}"/>
    <cellStyle name="Note 3 5 5 3 2" xfId="20202" xr:uid="{00000000-0005-0000-0000-000056540000}"/>
    <cellStyle name="Note 3 5 5 4" xfId="10228" xr:uid="{00000000-0005-0000-0000-000057540000}"/>
    <cellStyle name="Note 3 5 5 5" xfId="13290" xr:uid="{00000000-0005-0000-0000-000058540000}"/>
    <cellStyle name="Note 3 5 6" xfId="6916" xr:uid="{00000000-0005-0000-0000-000059540000}"/>
    <cellStyle name="Note 3 5 6 2" xfId="8624" xr:uid="{00000000-0005-0000-0000-00005A540000}"/>
    <cellStyle name="Note 3 5 6 2 2" xfId="12592" xr:uid="{00000000-0005-0000-0000-00005B540000}"/>
    <cellStyle name="Note 3 5 6 2 3" xfId="22142" xr:uid="{00000000-0005-0000-0000-00005C540000}"/>
    <cellStyle name="Note 3 5 6 3" xfId="11050" xr:uid="{00000000-0005-0000-0000-00005D540000}"/>
    <cellStyle name="Note 3 5 6 4" xfId="20434" xr:uid="{00000000-0005-0000-0000-00005E540000}"/>
    <cellStyle name="Note 3 5 7" xfId="5904" xr:uid="{00000000-0005-0000-0000-00005F540000}"/>
    <cellStyle name="Note 3 5 7 2" xfId="10645" xr:uid="{00000000-0005-0000-0000-000060540000}"/>
    <cellStyle name="Note 3 5 7 3" xfId="19422" xr:uid="{00000000-0005-0000-0000-000061540000}"/>
    <cellStyle name="Note 3 5 8" xfId="7612" xr:uid="{00000000-0005-0000-0000-000062540000}"/>
    <cellStyle name="Note 3 5 8 2" xfId="11633" xr:uid="{00000000-0005-0000-0000-000063540000}"/>
    <cellStyle name="Note 3 5 8 3" xfId="21130" xr:uid="{00000000-0005-0000-0000-000064540000}"/>
    <cellStyle name="Note 3 5 9" xfId="4999" xr:uid="{00000000-0005-0000-0000-000065540000}"/>
    <cellStyle name="Note 3 5 9 2" xfId="13020" xr:uid="{00000000-0005-0000-0000-000066540000}"/>
    <cellStyle name="Note 3 6" xfId="3045" xr:uid="{00000000-0005-0000-0000-000067540000}"/>
    <cellStyle name="Note 3 6 2" xfId="3432" xr:uid="{00000000-0005-0000-0000-000068540000}"/>
    <cellStyle name="Note 3 6 2 2" xfId="7784" xr:uid="{00000000-0005-0000-0000-000069540000}"/>
    <cellStyle name="Note 3 6 2 2 2" xfId="21302" xr:uid="{00000000-0005-0000-0000-00006A540000}"/>
    <cellStyle name="Note 3 6 2 3" xfId="9544" xr:uid="{00000000-0005-0000-0000-00006B540000}"/>
    <cellStyle name="Note 3 6 2 4" xfId="17386" xr:uid="{00000000-0005-0000-0000-00006C540000}"/>
    <cellStyle name="Note 3 6 3" xfId="3815" xr:uid="{00000000-0005-0000-0000-00006D540000}"/>
    <cellStyle name="Note 3 6 3 2" xfId="14471" xr:uid="{00000000-0005-0000-0000-00006E540000}"/>
    <cellStyle name="Note 3 6 4" xfId="4198" xr:uid="{00000000-0005-0000-0000-00006F540000}"/>
    <cellStyle name="Note 3 6 4 2" xfId="13807" xr:uid="{00000000-0005-0000-0000-000070540000}"/>
    <cellStyle name="Note 3 6 5" xfId="4580" xr:uid="{00000000-0005-0000-0000-000071540000}"/>
    <cellStyle name="Note 3 6 5 2" xfId="13425" xr:uid="{00000000-0005-0000-0000-000072540000}"/>
    <cellStyle name="Note 3 6 6" xfId="6076" xr:uid="{00000000-0005-0000-0000-000073540000}"/>
    <cellStyle name="Note 3 6 6 2" xfId="19594" xr:uid="{00000000-0005-0000-0000-000074540000}"/>
    <cellStyle name="Note 3 6 7" xfId="9185" xr:uid="{00000000-0005-0000-0000-000075540000}"/>
    <cellStyle name="Note 3 6 8" xfId="14310" xr:uid="{00000000-0005-0000-0000-000076540000}"/>
    <cellStyle name="Note 3 7" xfId="5351" xr:uid="{00000000-0005-0000-0000-000077540000}"/>
    <cellStyle name="Note 3 7 2" xfId="5064" xr:uid="{00000000-0005-0000-0000-000078540000}"/>
    <cellStyle name="Note 3 7 2 2" xfId="10317" xr:uid="{00000000-0005-0000-0000-000079540000}"/>
    <cellStyle name="Note 3 7 2 3" xfId="12813" xr:uid="{00000000-0005-0000-0000-00007A540000}"/>
    <cellStyle name="Note 3 7 3" xfId="10429" xr:uid="{00000000-0005-0000-0000-00007B540000}"/>
    <cellStyle name="Note 3 7 4" xfId="18869" xr:uid="{00000000-0005-0000-0000-00007C540000}"/>
    <cellStyle name="Note 3 8" xfId="6341" xr:uid="{00000000-0005-0000-0000-00007D540000}"/>
    <cellStyle name="Note 3 8 2" xfId="8049" xr:uid="{00000000-0005-0000-0000-00007E540000}"/>
    <cellStyle name="Note 3 8 2 2" xfId="12020" xr:uid="{00000000-0005-0000-0000-00007F540000}"/>
    <cellStyle name="Note 3 8 2 3" xfId="21567" xr:uid="{00000000-0005-0000-0000-000080540000}"/>
    <cellStyle name="Note 3 8 3" xfId="10876" xr:uid="{00000000-0005-0000-0000-000081540000}"/>
    <cellStyle name="Note 3 8 4" xfId="19859" xr:uid="{00000000-0005-0000-0000-000082540000}"/>
    <cellStyle name="Note 3 9" xfId="6335" xr:uid="{00000000-0005-0000-0000-000083540000}"/>
    <cellStyle name="Note 3 9 2" xfId="8043" xr:uid="{00000000-0005-0000-0000-000084540000}"/>
    <cellStyle name="Note 3 9 2 2" xfId="12014" xr:uid="{00000000-0005-0000-0000-000085540000}"/>
    <cellStyle name="Note 3 9 2 3" xfId="21561" xr:uid="{00000000-0005-0000-0000-000086540000}"/>
    <cellStyle name="Note 3 9 3" xfId="10870" xr:uid="{00000000-0005-0000-0000-000087540000}"/>
    <cellStyle name="Note 3 9 4" xfId="19853" xr:uid="{00000000-0005-0000-0000-000088540000}"/>
    <cellStyle name="Note 4" xfId="3009" xr:uid="{00000000-0005-0000-0000-000089540000}"/>
    <cellStyle name="Note 4 2" xfId="3396" xr:uid="{00000000-0005-0000-0000-00008A540000}"/>
    <cellStyle name="Note 4 2 2" xfId="17715" xr:uid="{00000000-0005-0000-0000-00008B540000}"/>
    <cellStyle name="Note 4 3" xfId="3779" xr:uid="{00000000-0005-0000-0000-00008C540000}"/>
    <cellStyle name="Note 4 3 2" xfId="14722" xr:uid="{00000000-0005-0000-0000-00008D540000}"/>
    <cellStyle name="Note 4 4" xfId="4162" xr:uid="{00000000-0005-0000-0000-00008E540000}"/>
    <cellStyle name="Note 4 4 2" xfId="13843" xr:uid="{00000000-0005-0000-0000-00008F540000}"/>
    <cellStyle name="Note 4 5" xfId="4544" xr:uid="{00000000-0005-0000-0000-000090540000}"/>
    <cellStyle name="Note 4 5 2" xfId="13461" xr:uid="{00000000-0005-0000-0000-000091540000}"/>
    <cellStyle name="Note 4 6" xfId="16125" xr:uid="{00000000-0005-0000-0000-000092540000}"/>
    <cellStyle name="Note 5" xfId="3125" xr:uid="{00000000-0005-0000-0000-000093540000}"/>
    <cellStyle name="Note 5 2" xfId="3512" xr:uid="{00000000-0005-0000-0000-000094540000}"/>
    <cellStyle name="Note 5 2 2" xfId="16534" xr:uid="{00000000-0005-0000-0000-000095540000}"/>
    <cellStyle name="Note 5 3" xfId="3895" xr:uid="{00000000-0005-0000-0000-000096540000}"/>
    <cellStyle name="Note 5 3 2" xfId="14113" xr:uid="{00000000-0005-0000-0000-000097540000}"/>
    <cellStyle name="Note 5 4" xfId="4278" xr:uid="{00000000-0005-0000-0000-000098540000}"/>
    <cellStyle name="Note 5 4 2" xfId="13727" xr:uid="{00000000-0005-0000-0000-000099540000}"/>
    <cellStyle name="Note 5 5" xfId="4660" xr:uid="{00000000-0005-0000-0000-00009A540000}"/>
    <cellStyle name="Note 5 5 2" xfId="13345" xr:uid="{00000000-0005-0000-0000-00009B540000}"/>
    <cellStyle name="Note 5 6" xfId="17114" xr:uid="{00000000-0005-0000-0000-00009C540000}"/>
    <cellStyle name="Note 6" xfId="22391" xr:uid="{00000000-0005-0000-0000-00009D540000}"/>
    <cellStyle name="Note 7" xfId="2070" xr:uid="{00000000-0005-0000-0000-00009E540000}"/>
    <cellStyle name="Output" xfId="1555" xr:uid="{00000000-0005-0000-0000-00009F540000}"/>
    <cellStyle name="Output 2" xfId="2620" xr:uid="{00000000-0005-0000-0000-0000A0540000}"/>
    <cellStyle name="Output 2 10" xfId="5260" xr:uid="{00000000-0005-0000-0000-0000A1540000}"/>
    <cellStyle name="Output 2 10 2" xfId="10400" xr:uid="{00000000-0005-0000-0000-0000A2540000}"/>
    <cellStyle name="Output 2 10 3" xfId="16142" xr:uid="{00000000-0005-0000-0000-0000A3540000}"/>
    <cellStyle name="Output 2 10 4" xfId="12834" xr:uid="{00000000-0005-0000-0000-0000A4540000}"/>
    <cellStyle name="Output 2 11" xfId="5042" xr:uid="{00000000-0005-0000-0000-0000A5540000}"/>
    <cellStyle name="Output 2 11 2" xfId="10304" xr:uid="{00000000-0005-0000-0000-0000A6540000}"/>
    <cellStyle name="Output 2 11 3" xfId="15996" xr:uid="{00000000-0005-0000-0000-0000A7540000}"/>
    <cellStyle name="Output 2 11 4" xfId="12977" xr:uid="{00000000-0005-0000-0000-0000A8540000}"/>
    <cellStyle name="Output 2 12" xfId="4853" xr:uid="{00000000-0005-0000-0000-0000A9540000}"/>
    <cellStyle name="Output 2 12 2" xfId="15830" xr:uid="{00000000-0005-0000-0000-0000AA540000}"/>
    <cellStyle name="Output 2 12 3" xfId="13153" xr:uid="{00000000-0005-0000-0000-0000AB540000}"/>
    <cellStyle name="Output 2 13" xfId="8783" xr:uid="{00000000-0005-0000-0000-0000AC540000}"/>
    <cellStyle name="Output 2 14" xfId="14148" xr:uid="{00000000-0005-0000-0000-0000AD540000}"/>
    <cellStyle name="Output 2 2" xfId="2709" xr:uid="{00000000-0005-0000-0000-0000AE540000}"/>
    <cellStyle name="Output 2 2 10" xfId="7485" xr:uid="{00000000-0005-0000-0000-0000AF540000}"/>
    <cellStyle name="Output 2 2 10 2" xfId="11539" xr:uid="{00000000-0005-0000-0000-0000B0540000}"/>
    <cellStyle name="Output 2 2 10 3" xfId="17843" xr:uid="{00000000-0005-0000-0000-0000B1540000}"/>
    <cellStyle name="Output 2 2 10 4" xfId="21003" xr:uid="{00000000-0005-0000-0000-0000B2540000}"/>
    <cellStyle name="Output 2 2 11" xfId="4902" xr:uid="{00000000-0005-0000-0000-0000B3540000}"/>
    <cellStyle name="Output 2 2 11 2" xfId="15875" xr:uid="{00000000-0005-0000-0000-0000B4540000}"/>
    <cellStyle name="Output 2 2 11 3" xfId="13115" xr:uid="{00000000-0005-0000-0000-0000B5540000}"/>
    <cellStyle name="Output 2 2 12" xfId="8864" xr:uid="{00000000-0005-0000-0000-0000B6540000}"/>
    <cellStyle name="Output 2 2 13" xfId="14278" xr:uid="{00000000-0005-0000-0000-0000B7540000}"/>
    <cellStyle name="Output 2 2 14" xfId="15794" xr:uid="{00000000-0005-0000-0000-0000B8540000}"/>
    <cellStyle name="Output 2 2 2" xfId="2636" xr:uid="{00000000-0005-0000-0000-0000B9540000}"/>
    <cellStyle name="Output 2 2 2 10" xfId="4886" xr:uid="{00000000-0005-0000-0000-0000BA540000}"/>
    <cellStyle name="Output 2 2 2 10 2" xfId="15861" xr:uid="{00000000-0005-0000-0000-0000BB540000}"/>
    <cellStyle name="Output 2 2 2 10 3" xfId="13120" xr:uid="{00000000-0005-0000-0000-0000BC540000}"/>
    <cellStyle name="Output 2 2 2 11" xfId="8793" xr:uid="{00000000-0005-0000-0000-0000BD540000}"/>
    <cellStyle name="Output 2 2 2 12" xfId="14215" xr:uid="{00000000-0005-0000-0000-0000BE540000}"/>
    <cellStyle name="Output 2 2 2 2" xfId="3128" xr:uid="{00000000-0005-0000-0000-0000BF540000}"/>
    <cellStyle name="Output 2 2 2 2 10" xfId="9258" xr:uid="{00000000-0005-0000-0000-0000C0540000}"/>
    <cellStyle name="Output 2 2 2 2 11" xfId="14583" xr:uid="{00000000-0005-0000-0000-0000C1540000}"/>
    <cellStyle name="Output 2 2 2 2 12" xfId="16768" xr:uid="{00000000-0005-0000-0000-0000C2540000}"/>
    <cellStyle name="Output 2 2 2 2 2" xfId="3515" xr:uid="{00000000-0005-0000-0000-0000C3540000}"/>
    <cellStyle name="Output 2 2 2 2 2 2" xfId="7376" xr:uid="{00000000-0005-0000-0000-0000C4540000}"/>
    <cellStyle name="Output 2 2 2 2 2 2 2" xfId="11462" xr:uid="{00000000-0005-0000-0000-0000C5540000}"/>
    <cellStyle name="Output 2 2 2 2 2 2 3" xfId="17757" xr:uid="{00000000-0005-0000-0000-0000C6540000}"/>
    <cellStyle name="Output 2 2 2 2 2 2 4" xfId="20894" xr:uid="{00000000-0005-0000-0000-0000C7540000}"/>
    <cellStyle name="Output 2 2 2 2 2 3" xfId="5667" xr:uid="{00000000-0005-0000-0000-0000C8540000}"/>
    <cellStyle name="Output 2 2 2 2 2 3 2" xfId="16466" xr:uid="{00000000-0005-0000-0000-0000C9540000}"/>
    <cellStyle name="Output 2 2 2 2 2 3 3" xfId="19185" xr:uid="{00000000-0005-0000-0000-0000CA540000}"/>
    <cellStyle name="Output 2 2 2 2 2 4" xfId="9607" xr:uid="{00000000-0005-0000-0000-0000CB540000}"/>
    <cellStyle name="Output 2 2 2 2 2 5" xfId="14863" xr:uid="{00000000-0005-0000-0000-0000CC540000}"/>
    <cellStyle name="Output 2 2 2 2 2 6" xfId="16182" xr:uid="{00000000-0005-0000-0000-0000CD540000}"/>
    <cellStyle name="Output 2 2 2 2 3" xfId="3898" xr:uid="{00000000-0005-0000-0000-0000CE540000}"/>
    <cellStyle name="Output 2 2 2 2 3 2" xfId="7884" xr:uid="{00000000-0005-0000-0000-0000CF540000}"/>
    <cellStyle name="Output 2 2 2 2 3 2 2" xfId="11875" xr:uid="{00000000-0005-0000-0000-0000D0540000}"/>
    <cellStyle name="Output 2 2 2 2 3 2 3" xfId="18140" xr:uid="{00000000-0005-0000-0000-0000D1540000}"/>
    <cellStyle name="Output 2 2 2 2 3 2 4" xfId="21402" xr:uid="{00000000-0005-0000-0000-0000D2540000}"/>
    <cellStyle name="Output 2 2 2 2 3 3" xfId="6176" xr:uid="{00000000-0005-0000-0000-0000D3540000}"/>
    <cellStyle name="Output 2 2 2 2 3 3 2" xfId="16848" xr:uid="{00000000-0005-0000-0000-0000D4540000}"/>
    <cellStyle name="Output 2 2 2 2 3 3 3" xfId="19694" xr:uid="{00000000-0005-0000-0000-0000D5540000}"/>
    <cellStyle name="Output 2 2 2 2 3 4" xfId="9821" xr:uid="{00000000-0005-0000-0000-0000D6540000}"/>
    <cellStyle name="Output 2 2 2 2 3 5" xfId="15139" xr:uid="{00000000-0005-0000-0000-0000D7540000}"/>
    <cellStyle name="Output 2 2 2 2 3 6" xfId="12826" xr:uid="{00000000-0005-0000-0000-0000D8540000}"/>
    <cellStyle name="Output 2 2 2 2 4" xfId="4281" xr:uid="{00000000-0005-0000-0000-0000D9540000}"/>
    <cellStyle name="Output 2 2 2 2 4 2" xfId="8200" xr:uid="{00000000-0005-0000-0000-0000DA540000}"/>
    <cellStyle name="Output 2 2 2 2 4 2 2" xfId="12168" xr:uid="{00000000-0005-0000-0000-0000DB540000}"/>
    <cellStyle name="Output 2 2 2 2 4 2 3" xfId="18392" xr:uid="{00000000-0005-0000-0000-0000DC540000}"/>
    <cellStyle name="Output 2 2 2 2 4 2 4" xfId="21718" xr:uid="{00000000-0005-0000-0000-0000DD540000}"/>
    <cellStyle name="Output 2 2 2 2 4 3" xfId="6492" xr:uid="{00000000-0005-0000-0000-0000DE540000}"/>
    <cellStyle name="Output 2 2 2 2 4 3 2" xfId="17101" xr:uid="{00000000-0005-0000-0000-0000DF540000}"/>
    <cellStyle name="Output 2 2 2 2 4 3 3" xfId="20010" xr:uid="{00000000-0005-0000-0000-0000E0540000}"/>
    <cellStyle name="Output 2 2 2 2 4 4" xfId="9999" xr:uid="{00000000-0005-0000-0000-0000E1540000}"/>
    <cellStyle name="Output 2 2 2 2 4 5" xfId="15414" xr:uid="{00000000-0005-0000-0000-0000E2540000}"/>
    <cellStyle name="Output 2 2 2 2 4 6" xfId="13724" xr:uid="{00000000-0005-0000-0000-0000E3540000}"/>
    <cellStyle name="Output 2 2 2 2 5" xfId="4663" xr:uid="{00000000-0005-0000-0000-0000E4540000}"/>
    <cellStyle name="Output 2 2 2 2 5 2" xfId="8432" xr:uid="{00000000-0005-0000-0000-0000E5540000}"/>
    <cellStyle name="Output 2 2 2 2 5 2 2" xfId="12400" xr:uid="{00000000-0005-0000-0000-0000E6540000}"/>
    <cellStyle name="Output 2 2 2 2 5 2 3" xfId="18563" xr:uid="{00000000-0005-0000-0000-0000E7540000}"/>
    <cellStyle name="Output 2 2 2 2 5 2 4" xfId="21950" xr:uid="{00000000-0005-0000-0000-0000E8540000}"/>
    <cellStyle name="Output 2 2 2 2 5 3" xfId="6724" xr:uid="{00000000-0005-0000-0000-0000E9540000}"/>
    <cellStyle name="Output 2 2 2 2 5 3 2" xfId="17272" xr:uid="{00000000-0005-0000-0000-0000EA540000}"/>
    <cellStyle name="Output 2 2 2 2 5 3 3" xfId="20242" xr:uid="{00000000-0005-0000-0000-0000EB540000}"/>
    <cellStyle name="Output 2 2 2 2 5 4" xfId="10176" xr:uid="{00000000-0005-0000-0000-0000EC540000}"/>
    <cellStyle name="Output 2 2 2 2 5 5" xfId="15688" xr:uid="{00000000-0005-0000-0000-0000ED540000}"/>
    <cellStyle name="Output 2 2 2 2 5 6" xfId="13342" xr:uid="{00000000-0005-0000-0000-0000EE540000}"/>
    <cellStyle name="Output 2 2 2 2 6" xfId="6956" xr:uid="{00000000-0005-0000-0000-0000EF540000}"/>
    <cellStyle name="Output 2 2 2 2 6 2" xfId="8664" xr:uid="{00000000-0005-0000-0000-0000F0540000}"/>
    <cellStyle name="Output 2 2 2 2 6 2 2" xfId="12632" xr:uid="{00000000-0005-0000-0000-0000F1540000}"/>
    <cellStyle name="Output 2 2 2 2 6 2 3" xfId="18734" xr:uid="{00000000-0005-0000-0000-0000F2540000}"/>
    <cellStyle name="Output 2 2 2 2 6 2 4" xfId="22182" xr:uid="{00000000-0005-0000-0000-0000F3540000}"/>
    <cellStyle name="Output 2 2 2 2 6 3" xfId="11090" xr:uid="{00000000-0005-0000-0000-0000F4540000}"/>
    <cellStyle name="Output 2 2 2 2 6 4" xfId="17442" xr:uid="{00000000-0005-0000-0000-0000F5540000}"/>
    <cellStyle name="Output 2 2 2 2 6 5" xfId="20474" xr:uid="{00000000-0005-0000-0000-0000F6540000}"/>
    <cellStyle name="Output 2 2 2 2 7" xfId="5944" xr:uid="{00000000-0005-0000-0000-0000F7540000}"/>
    <cellStyle name="Output 2 2 2 2 7 2" xfId="10685" xr:uid="{00000000-0005-0000-0000-0000F8540000}"/>
    <cellStyle name="Output 2 2 2 2 7 3" xfId="16680" xr:uid="{00000000-0005-0000-0000-0000F9540000}"/>
    <cellStyle name="Output 2 2 2 2 7 4" xfId="19462" xr:uid="{00000000-0005-0000-0000-0000FA540000}"/>
    <cellStyle name="Output 2 2 2 2 8" xfId="7652" xr:uid="{00000000-0005-0000-0000-0000FB540000}"/>
    <cellStyle name="Output 2 2 2 2 8 2" xfId="11673" xr:uid="{00000000-0005-0000-0000-0000FC540000}"/>
    <cellStyle name="Output 2 2 2 2 8 3" xfId="17972" xr:uid="{00000000-0005-0000-0000-0000FD540000}"/>
    <cellStyle name="Output 2 2 2 2 8 4" xfId="21170" xr:uid="{00000000-0005-0000-0000-0000FE540000}"/>
    <cellStyle name="Output 2 2 2 2 9" xfId="5040" xr:uid="{00000000-0005-0000-0000-0000FF540000}"/>
    <cellStyle name="Output 2 2 2 2 9 2" xfId="15995" xr:uid="{00000000-0005-0000-0000-000000550000}"/>
    <cellStyle name="Output 2 2 2 2 9 3" xfId="12979" xr:uid="{00000000-0005-0000-0000-000001550000}"/>
    <cellStyle name="Output 2 2 2 3" xfId="3120" xr:uid="{00000000-0005-0000-0000-000002550000}"/>
    <cellStyle name="Output 2 2 2 3 2" xfId="3507" xr:uid="{00000000-0005-0000-0000-000003550000}"/>
    <cellStyle name="Output 2 2 2 3 2 2" xfId="7332" xr:uid="{00000000-0005-0000-0000-000004550000}"/>
    <cellStyle name="Output 2 2 2 3 2 2 2" xfId="17722" xr:uid="{00000000-0005-0000-0000-000005550000}"/>
    <cellStyle name="Output 2 2 2 3 2 2 3" xfId="20850" xr:uid="{00000000-0005-0000-0000-000006550000}"/>
    <cellStyle name="Output 2 2 2 3 2 3" xfId="9600" xr:uid="{00000000-0005-0000-0000-000007550000}"/>
    <cellStyle name="Output 2 2 2 3 2 4" xfId="14857" xr:uid="{00000000-0005-0000-0000-000008550000}"/>
    <cellStyle name="Output 2 2 2 3 2 5" xfId="14749" xr:uid="{00000000-0005-0000-0000-000009550000}"/>
    <cellStyle name="Output 2 2 2 3 3" xfId="3890" xr:uid="{00000000-0005-0000-0000-00000A550000}"/>
    <cellStyle name="Output 2 2 2 3 3 2" xfId="15133" xr:uid="{00000000-0005-0000-0000-00000B550000}"/>
    <cellStyle name="Output 2 2 2 3 3 3" xfId="14130" xr:uid="{00000000-0005-0000-0000-00000C550000}"/>
    <cellStyle name="Output 2 2 2 3 4" xfId="4273" xr:uid="{00000000-0005-0000-0000-00000D550000}"/>
    <cellStyle name="Output 2 2 2 3 4 2" xfId="15408" xr:uid="{00000000-0005-0000-0000-00000E550000}"/>
    <cellStyle name="Output 2 2 2 3 4 3" xfId="13732" xr:uid="{00000000-0005-0000-0000-00000F550000}"/>
    <cellStyle name="Output 2 2 2 3 5" xfId="4655" xr:uid="{00000000-0005-0000-0000-000010550000}"/>
    <cellStyle name="Output 2 2 2 3 5 2" xfId="15682" xr:uid="{00000000-0005-0000-0000-000011550000}"/>
    <cellStyle name="Output 2 2 2 3 5 3" xfId="13350" xr:uid="{00000000-0005-0000-0000-000012550000}"/>
    <cellStyle name="Output 2 2 2 3 6" xfId="5623" xr:uid="{00000000-0005-0000-0000-000013550000}"/>
    <cellStyle name="Output 2 2 2 3 6 2" xfId="16431" xr:uid="{00000000-0005-0000-0000-000014550000}"/>
    <cellStyle name="Output 2 2 2 3 6 3" xfId="19141" xr:uid="{00000000-0005-0000-0000-000015550000}"/>
    <cellStyle name="Output 2 2 2 3 7" xfId="9251" xr:uid="{00000000-0005-0000-0000-000016550000}"/>
    <cellStyle name="Output 2 2 2 3 8" xfId="14577" xr:uid="{00000000-0005-0000-0000-000017550000}"/>
    <cellStyle name="Output 2 2 2 3 9" xfId="18747" xr:uid="{00000000-0005-0000-0000-000018550000}"/>
    <cellStyle name="Output 2 2 2 4" xfId="2836" xr:uid="{00000000-0005-0000-0000-000019550000}"/>
    <cellStyle name="Output 2 2 2 4 2" xfId="8013" xr:uid="{00000000-0005-0000-0000-00001A550000}"/>
    <cellStyle name="Output 2 2 2 4 2 2" xfId="11989" xr:uid="{00000000-0005-0000-0000-00001B550000}"/>
    <cellStyle name="Output 2 2 2 4 2 3" xfId="18230" xr:uid="{00000000-0005-0000-0000-00001C550000}"/>
    <cellStyle name="Output 2 2 2 4 2 4" xfId="21531" xr:uid="{00000000-0005-0000-0000-00001D550000}"/>
    <cellStyle name="Output 2 2 2 4 3" xfId="6305" xr:uid="{00000000-0005-0000-0000-00001E550000}"/>
    <cellStyle name="Output 2 2 2 4 3 2" xfId="16939" xr:uid="{00000000-0005-0000-0000-00001F550000}"/>
    <cellStyle name="Output 2 2 2 4 3 3" xfId="19823" xr:uid="{00000000-0005-0000-0000-000020550000}"/>
    <cellStyle name="Output 2 2 2 4 4" xfId="8989" xr:uid="{00000000-0005-0000-0000-000021550000}"/>
    <cellStyle name="Output 2 2 2 4 5" xfId="14376" xr:uid="{00000000-0005-0000-0000-000022550000}"/>
    <cellStyle name="Output 2 2 2 4 6" xfId="15823" xr:uid="{00000000-0005-0000-0000-000023550000}"/>
    <cellStyle name="Output 2 2 2 5" xfId="5543" xr:uid="{00000000-0005-0000-0000-000024550000}"/>
    <cellStyle name="Output 2 2 2 5 2" xfId="7252" xr:uid="{00000000-0005-0000-0000-000025550000}"/>
    <cellStyle name="Output 2 2 2 5 2 2" xfId="11357" xr:uid="{00000000-0005-0000-0000-000026550000}"/>
    <cellStyle name="Output 2 2 2 5 2 3" xfId="17653" xr:uid="{00000000-0005-0000-0000-000027550000}"/>
    <cellStyle name="Output 2 2 2 5 2 4" xfId="20770" xr:uid="{00000000-0005-0000-0000-000028550000}"/>
    <cellStyle name="Output 2 2 2 5 3" xfId="10497" xr:uid="{00000000-0005-0000-0000-000029550000}"/>
    <cellStyle name="Output 2 2 2 5 4" xfId="16362" xr:uid="{00000000-0005-0000-0000-00002A550000}"/>
    <cellStyle name="Output 2 2 2 5 5" xfId="19061" xr:uid="{00000000-0005-0000-0000-00002B550000}"/>
    <cellStyle name="Output 2 2 2 6" xfId="6151" xr:uid="{00000000-0005-0000-0000-00002C550000}"/>
    <cellStyle name="Output 2 2 2 6 2" xfId="7859" xr:uid="{00000000-0005-0000-0000-00002D550000}"/>
    <cellStyle name="Output 2 2 2 6 2 2" xfId="11857" xr:uid="{00000000-0005-0000-0000-00002E550000}"/>
    <cellStyle name="Output 2 2 2 6 2 3" xfId="18118" xr:uid="{00000000-0005-0000-0000-00002F550000}"/>
    <cellStyle name="Output 2 2 2 6 2 4" xfId="21377" xr:uid="{00000000-0005-0000-0000-000030550000}"/>
    <cellStyle name="Output 2 2 2 6 3" xfId="10825" xr:uid="{00000000-0005-0000-0000-000031550000}"/>
    <cellStyle name="Output 2 2 2 6 4" xfId="16826" xr:uid="{00000000-0005-0000-0000-000032550000}"/>
    <cellStyle name="Output 2 2 2 6 5" xfId="19669" xr:uid="{00000000-0005-0000-0000-000033550000}"/>
    <cellStyle name="Output 2 2 2 7" xfId="6117" xr:uid="{00000000-0005-0000-0000-000034550000}"/>
    <cellStyle name="Output 2 2 2 7 2" xfId="7825" xr:uid="{00000000-0005-0000-0000-000035550000}"/>
    <cellStyle name="Output 2 2 2 7 2 2" xfId="11834" xr:uid="{00000000-0005-0000-0000-000036550000}"/>
    <cellStyle name="Output 2 2 2 7 2 3" xfId="18089" xr:uid="{00000000-0005-0000-0000-000037550000}"/>
    <cellStyle name="Output 2 2 2 7 2 4" xfId="21343" xr:uid="{00000000-0005-0000-0000-000038550000}"/>
    <cellStyle name="Output 2 2 2 7 3" xfId="10814" xr:uid="{00000000-0005-0000-0000-000039550000}"/>
    <cellStyle name="Output 2 2 2 7 4" xfId="16797" xr:uid="{00000000-0005-0000-0000-00003A550000}"/>
    <cellStyle name="Output 2 2 2 7 5" xfId="19635" xr:uid="{00000000-0005-0000-0000-00003B550000}"/>
    <cellStyle name="Output 2 2 2 8" xfId="5757" xr:uid="{00000000-0005-0000-0000-00003C550000}"/>
    <cellStyle name="Output 2 2 2 8 2" xfId="10536" xr:uid="{00000000-0005-0000-0000-00003D550000}"/>
    <cellStyle name="Output 2 2 2 8 3" xfId="16536" xr:uid="{00000000-0005-0000-0000-00003E550000}"/>
    <cellStyle name="Output 2 2 2 8 4" xfId="19275" xr:uid="{00000000-0005-0000-0000-00003F550000}"/>
    <cellStyle name="Output 2 2 2 9" xfId="7466" xr:uid="{00000000-0005-0000-0000-000040550000}"/>
    <cellStyle name="Output 2 2 2 9 2" xfId="11523" xr:uid="{00000000-0005-0000-0000-000041550000}"/>
    <cellStyle name="Output 2 2 2 9 3" xfId="17827" xr:uid="{00000000-0005-0000-0000-000042550000}"/>
    <cellStyle name="Output 2 2 2 9 4" xfId="20984" xr:uid="{00000000-0005-0000-0000-000043550000}"/>
    <cellStyle name="Output 2 2 3" xfId="3199" xr:uid="{00000000-0005-0000-0000-000044550000}"/>
    <cellStyle name="Output 2 2 3 10" xfId="9329" xr:uid="{00000000-0005-0000-0000-000045550000}"/>
    <cellStyle name="Output 2 2 3 11" xfId="14643" xr:uid="{00000000-0005-0000-0000-000046550000}"/>
    <cellStyle name="Output 2 2 3 12" xfId="15482" xr:uid="{00000000-0005-0000-0000-000047550000}"/>
    <cellStyle name="Output 2 2 3 2" xfId="3586" xr:uid="{00000000-0005-0000-0000-000048550000}"/>
    <cellStyle name="Output 2 2 3 2 2" xfId="7345" xr:uid="{00000000-0005-0000-0000-000049550000}"/>
    <cellStyle name="Output 2 2 3 2 2 2" xfId="11431" xr:uid="{00000000-0005-0000-0000-00004A550000}"/>
    <cellStyle name="Output 2 2 3 2 2 3" xfId="17734" xr:uid="{00000000-0005-0000-0000-00004B550000}"/>
    <cellStyle name="Output 2 2 3 2 2 4" xfId="20863" xr:uid="{00000000-0005-0000-0000-00004C550000}"/>
    <cellStyle name="Output 2 2 3 2 3" xfId="5636" xr:uid="{00000000-0005-0000-0000-00004D550000}"/>
    <cellStyle name="Output 2 2 3 2 3 2" xfId="16443" xr:uid="{00000000-0005-0000-0000-00004E550000}"/>
    <cellStyle name="Output 2 2 3 2 3 3" xfId="19154" xr:uid="{00000000-0005-0000-0000-00004F550000}"/>
    <cellStyle name="Output 2 2 3 2 4" xfId="9678" xr:uid="{00000000-0005-0000-0000-000050550000}"/>
    <cellStyle name="Output 2 2 3 2 5" xfId="14923" xr:uid="{00000000-0005-0000-0000-000051550000}"/>
    <cellStyle name="Output 2 2 3 2 6" xfId="17283" xr:uid="{00000000-0005-0000-0000-000052550000}"/>
    <cellStyle name="Output 2 2 3 3" xfId="3969" xr:uid="{00000000-0005-0000-0000-000053550000}"/>
    <cellStyle name="Output 2 2 3 3 2" xfId="7211" xr:uid="{00000000-0005-0000-0000-000054550000}"/>
    <cellStyle name="Output 2 2 3 3 2 2" xfId="11337" xr:uid="{00000000-0005-0000-0000-000055550000}"/>
    <cellStyle name="Output 2 2 3 3 2 3" xfId="17616" xr:uid="{00000000-0005-0000-0000-000056550000}"/>
    <cellStyle name="Output 2 2 3 3 2 4" xfId="20729" xr:uid="{00000000-0005-0000-0000-000057550000}"/>
    <cellStyle name="Output 2 2 3 3 3" xfId="5502" xr:uid="{00000000-0005-0000-0000-000058550000}"/>
    <cellStyle name="Output 2 2 3 3 3 2" xfId="16325" xr:uid="{00000000-0005-0000-0000-000059550000}"/>
    <cellStyle name="Output 2 2 3 3 3 3" xfId="19020" xr:uid="{00000000-0005-0000-0000-00005A550000}"/>
    <cellStyle name="Output 2 2 3 3 4" xfId="9889" xr:uid="{00000000-0005-0000-0000-00005B550000}"/>
    <cellStyle name="Output 2 2 3 3 5" xfId="15199" xr:uid="{00000000-0005-0000-0000-00005C550000}"/>
    <cellStyle name="Output 2 2 3 3 6" xfId="14022" xr:uid="{00000000-0005-0000-0000-00005D550000}"/>
    <cellStyle name="Output 2 2 3 4" xfId="4352" xr:uid="{00000000-0005-0000-0000-00005E550000}"/>
    <cellStyle name="Output 2 2 3 4 2" xfId="8123" xr:uid="{00000000-0005-0000-0000-00005F550000}"/>
    <cellStyle name="Output 2 2 3 4 2 2" xfId="12091" xr:uid="{00000000-0005-0000-0000-000060550000}"/>
    <cellStyle name="Output 2 2 3 4 2 3" xfId="18327" xr:uid="{00000000-0005-0000-0000-000061550000}"/>
    <cellStyle name="Output 2 2 3 4 2 4" xfId="21641" xr:uid="{00000000-0005-0000-0000-000062550000}"/>
    <cellStyle name="Output 2 2 3 4 3" xfId="6415" xr:uid="{00000000-0005-0000-0000-000063550000}"/>
    <cellStyle name="Output 2 2 3 4 3 2" xfId="17036" xr:uid="{00000000-0005-0000-0000-000064550000}"/>
    <cellStyle name="Output 2 2 3 4 3 3" xfId="19933" xr:uid="{00000000-0005-0000-0000-000065550000}"/>
    <cellStyle name="Output 2 2 3 4 4" xfId="10067" xr:uid="{00000000-0005-0000-0000-000066550000}"/>
    <cellStyle name="Output 2 2 3 4 5" xfId="15474" xr:uid="{00000000-0005-0000-0000-000067550000}"/>
    <cellStyle name="Output 2 2 3 4 6" xfId="13653" xr:uid="{00000000-0005-0000-0000-000068550000}"/>
    <cellStyle name="Output 2 2 3 5" xfId="4734" xr:uid="{00000000-0005-0000-0000-000069550000}"/>
    <cellStyle name="Output 2 2 3 5 2" xfId="8355" xr:uid="{00000000-0005-0000-0000-00006A550000}"/>
    <cellStyle name="Output 2 2 3 5 2 2" xfId="12323" xr:uid="{00000000-0005-0000-0000-00006B550000}"/>
    <cellStyle name="Output 2 2 3 5 2 3" xfId="18498" xr:uid="{00000000-0005-0000-0000-00006C550000}"/>
    <cellStyle name="Output 2 2 3 5 2 4" xfId="21873" xr:uid="{00000000-0005-0000-0000-00006D550000}"/>
    <cellStyle name="Output 2 2 3 5 3" xfId="6647" xr:uid="{00000000-0005-0000-0000-00006E550000}"/>
    <cellStyle name="Output 2 2 3 5 3 2" xfId="17207" xr:uid="{00000000-0005-0000-0000-00006F550000}"/>
    <cellStyle name="Output 2 2 3 5 3 3" xfId="20165" xr:uid="{00000000-0005-0000-0000-000070550000}"/>
    <cellStyle name="Output 2 2 3 5 4" xfId="10244" xr:uid="{00000000-0005-0000-0000-000071550000}"/>
    <cellStyle name="Output 2 2 3 5 5" xfId="15747" xr:uid="{00000000-0005-0000-0000-000072550000}"/>
    <cellStyle name="Output 2 2 3 5 6" xfId="13271" xr:uid="{00000000-0005-0000-0000-000073550000}"/>
    <cellStyle name="Output 2 2 3 6" xfId="6879" xr:uid="{00000000-0005-0000-0000-000074550000}"/>
    <cellStyle name="Output 2 2 3 6 2" xfId="8587" xr:uid="{00000000-0005-0000-0000-000075550000}"/>
    <cellStyle name="Output 2 2 3 6 2 2" xfId="12555" xr:uid="{00000000-0005-0000-0000-000076550000}"/>
    <cellStyle name="Output 2 2 3 6 2 3" xfId="18669" xr:uid="{00000000-0005-0000-0000-000077550000}"/>
    <cellStyle name="Output 2 2 3 6 2 4" xfId="22105" xr:uid="{00000000-0005-0000-0000-000078550000}"/>
    <cellStyle name="Output 2 2 3 6 3" xfId="11013" xr:uid="{00000000-0005-0000-0000-000079550000}"/>
    <cellStyle name="Output 2 2 3 6 4" xfId="17377" xr:uid="{00000000-0005-0000-0000-00007A550000}"/>
    <cellStyle name="Output 2 2 3 6 5" xfId="20397" xr:uid="{00000000-0005-0000-0000-00007B550000}"/>
    <cellStyle name="Output 2 2 3 7" xfId="5867" xr:uid="{00000000-0005-0000-0000-00007C550000}"/>
    <cellStyle name="Output 2 2 3 7 2" xfId="10608" xr:uid="{00000000-0005-0000-0000-00007D550000}"/>
    <cellStyle name="Output 2 2 3 7 3" xfId="16615" xr:uid="{00000000-0005-0000-0000-00007E550000}"/>
    <cellStyle name="Output 2 2 3 7 4" xfId="19385" xr:uid="{00000000-0005-0000-0000-00007F550000}"/>
    <cellStyle name="Output 2 2 3 8" xfId="7575" xr:uid="{00000000-0005-0000-0000-000080550000}"/>
    <cellStyle name="Output 2 2 3 8 2" xfId="11596" xr:uid="{00000000-0005-0000-0000-000081550000}"/>
    <cellStyle name="Output 2 2 3 8 3" xfId="17907" xr:uid="{00000000-0005-0000-0000-000082550000}"/>
    <cellStyle name="Output 2 2 3 8 4" xfId="21093" xr:uid="{00000000-0005-0000-0000-000083550000}"/>
    <cellStyle name="Output 2 2 3 9" xfId="4957" xr:uid="{00000000-0005-0000-0000-000084550000}"/>
    <cellStyle name="Output 2 2 3 9 2" xfId="15925" xr:uid="{00000000-0005-0000-0000-000085550000}"/>
    <cellStyle name="Output 2 2 3 9 3" xfId="13062" xr:uid="{00000000-0005-0000-0000-000086550000}"/>
    <cellStyle name="Output 2 2 4" xfId="3016" xr:uid="{00000000-0005-0000-0000-000087550000}"/>
    <cellStyle name="Output 2 2 4 2" xfId="3403" xr:uid="{00000000-0005-0000-0000-000088550000}"/>
    <cellStyle name="Output 2 2 4 2 2" xfId="7785" xr:uid="{00000000-0005-0000-0000-000089550000}"/>
    <cellStyle name="Output 2 2 4 2 2 2" xfId="18053" xr:uid="{00000000-0005-0000-0000-00008A550000}"/>
    <cellStyle name="Output 2 2 4 2 2 3" xfId="21303" xr:uid="{00000000-0005-0000-0000-00008B550000}"/>
    <cellStyle name="Output 2 2 4 2 3" xfId="9522" xr:uid="{00000000-0005-0000-0000-00008C550000}"/>
    <cellStyle name="Output 2 2 4 2 4" xfId="14776" xr:uid="{00000000-0005-0000-0000-00008D550000}"/>
    <cellStyle name="Output 2 2 4 2 5" xfId="17988" xr:uid="{00000000-0005-0000-0000-00008E550000}"/>
    <cellStyle name="Output 2 2 4 3" xfId="3786" xr:uid="{00000000-0005-0000-0000-00008F550000}"/>
    <cellStyle name="Output 2 2 4 3 2" xfId="15052" xr:uid="{00000000-0005-0000-0000-000090550000}"/>
    <cellStyle name="Output 2 2 4 3 3" xfId="18624" xr:uid="{00000000-0005-0000-0000-000091550000}"/>
    <cellStyle name="Output 2 2 4 4" xfId="4169" xr:uid="{00000000-0005-0000-0000-000092550000}"/>
    <cellStyle name="Output 2 2 4 4 2" xfId="15327" xr:uid="{00000000-0005-0000-0000-000093550000}"/>
    <cellStyle name="Output 2 2 4 4 3" xfId="13836" xr:uid="{00000000-0005-0000-0000-000094550000}"/>
    <cellStyle name="Output 2 2 4 5" xfId="4551" xr:uid="{00000000-0005-0000-0000-000095550000}"/>
    <cellStyle name="Output 2 2 4 5 2" xfId="15601" xr:uid="{00000000-0005-0000-0000-000096550000}"/>
    <cellStyle name="Output 2 2 4 5 3" xfId="13454" xr:uid="{00000000-0005-0000-0000-000097550000}"/>
    <cellStyle name="Output 2 2 4 6" xfId="6077" xr:uid="{00000000-0005-0000-0000-000098550000}"/>
    <cellStyle name="Output 2 2 4 6 2" xfId="16761" xr:uid="{00000000-0005-0000-0000-000099550000}"/>
    <cellStyle name="Output 2 2 4 6 3" xfId="19595" xr:uid="{00000000-0005-0000-0000-00009A550000}"/>
    <cellStyle name="Output 2 2 4 7" xfId="9159" xr:uid="{00000000-0005-0000-0000-00009B550000}"/>
    <cellStyle name="Output 2 2 4 8" xfId="14496" xr:uid="{00000000-0005-0000-0000-00009C550000}"/>
    <cellStyle name="Output 2 2 4 9" xfId="15778" xr:uid="{00000000-0005-0000-0000-00009D550000}"/>
    <cellStyle name="Output 2 2 5" xfId="6304" xr:uid="{00000000-0005-0000-0000-00009E550000}"/>
    <cellStyle name="Output 2 2 5 2" xfId="8012" xr:uid="{00000000-0005-0000-0000-00009F550000}"/>
    <cellStyle name="Output 2 2 5 2 2" xfId="11988" xr:uid="{00000000-0005-0000-0000-0000A0550000}"/>
    <cellStyle name="Output 2 2 5 2 3" xfId="18229" xr:uid="{00000000-0005-0000-0000-0000A1550000}"/>
    <cellStyle name="Output 2 2 5 2 4" xfId="21530" xr:uid="{00000000-0005-0000-0000-0000A2550000}"/>
    <cellStyle name="Output 2 2 5 3" xfId="10852" xr:uid="{00000000-0005-0000-0000-0000A3550000}"/>
    <cellStyle name="Output 2 2 5 4" xfId="16938" xr:uid="{00000000-0005-0000-0000-0000A4550000}"/>
    <cellStyle name="Output 2 2 5 5" xfId="19822" xr:uid="{00000000-0005-0000-0000-0000A5550000}"/>
    <cellStyle name="Output 2 2 6" xfId="5298" xr:uid="{00000000-0005-0000-0000-0000A6550000}"/>
    <cellStyle name="Output 2 2 6 2" xfId="5116" xr:uid="{00000000-0005-0000-0000-0000A7550000}"/>
    <cellStyle name="Output 2 2 6 2 2" xfId="10359" xr:uid="{00000000-0005-0000-0000-0000A8550000}"/>
    <cellStyle name="Output 2 2 6 2 3" xfId="16049" xr:uid="{00000000-0005-0000-0000-0000A9550000}"/>
    <cellStyle name="Output 2 2 6 2 4" xfId="12796" xr:uid="{00000000-0005-0000-0000-0000AA550000}"/>
    <cellStyle name="Output 2 2 6 3" xfId="10413" xr:uid="{00000000-0005-0000-0000-0000AB550000}"/>
    <cellStyle name="Output 2 2 6 4" xfId="16173" xr:uid="{00000000-0005-0000-0000-0000AC550000}"/>
    <cellStyle name="Output 2 2 6 5" xfId="18816" xr:uid="{00000000-0005-0000-0000-0000AD550000}"/>
    <cellStyle name="Output 2 2 7" xfId="5509" xr:uid="{00000000-0005-0000-0000-0000AE550000}"/>
    <cellStyle name="Output 2 2 7 2" xfId="7218" xr:uid="{00000000-0005-0000-0000-0000AF550000}"/>
    <cellStyle name="Output 2 2 7 2 2" xfId="11344" xr:uid="{00000000-0005-0000-0000-0000B0550000}"/>
    <cellStyle name="Output 2 2 7 2 3" xfId="17621" xr:uid="{00000000-0005-0000-0000-0000B1550000}"/>
    <cellStyle name="Output 2 2 7 2 4" xfId="20736" xr:uid="{00000000-0005-0000-0000-0000B2550000}"/>
    <cellStyle name="Output 2 2 7 3" xfId="10484" xr:uid="{00000000-0005-0000-0000-0000B3550000}"/>
    <cellStyle name="Output 2 2 7 4" xfId="16330" xr:uid="{00000000-0005-0000-0000-0000B4550000}"/>
    <cellStyle name="Output 2 2 7 5" xfId="19027" xr:uid="{00000000-0005-0000-0000-0000B5550000}"/>
    <cellStyle name="Output 2 2 8" xfId="5496" xr:uid="{00000000-0005-0000-0000-0000B6550000}"/>
    <cellStyle name="Output 2 2 8 2" xfId="7205" xr:uid="{00000000-0005-0000-0000-0000B7550000}"/>
    <cellStyle name="Output 2 2 8 2 2" xfId="11331" xr:uid="{00000000-0005-0000-0000-0000B8550000}"/>
    <cellStyle name="Output 2 2 8 2 3" xfId="17611" xr:uid="{00000000-0005-0000-0000-0000B9550000}"/>
    <cellStyle name="Output 2 2 8 2 4" xfId="20723" xr:uid="{00000000-0005-0000-0000-0000BA550000}"/>
    <cellStyle name="Output 2 2 8 3" xfId="10478" xr:uid="{00000000-0005-0000-0000-0000BB550000}"/>
    <cellStyle name="Output 2 2 8 4" xfId="16320" xr:uid="{00000000-0005-0000-0000-0000BC550000}"/>
    <cellStyle name="Output 2 2 8 5" xfId="19014" xr:uid="{00000000-0005-0000-0000-0000BD550000}"/>
    <cellStyle name="Output 2 2 9" xfId="5776" xr:uid="{00000000-0005-0000-0000-0000BE550000}"/>
    <cellStyle name="Output 2 2 9 2" xfId="10552" xr:uid="{00000000-0005-0000-0000-0000BF550000}"/>
    <cellStyle name="Output 2 2 9 3" xfId="16551" xr:uid="{00000000-0005-0000-0000-0000C0550000}"/>
    <cellStyle name="Output 2 2 9 4" xfId="19294" xr:uid="{00000000-0005-0000-0000-0000C1550000}"/>
    <cellStyle name="Output 2 3" xfId="2673" xr:uid="{00000000-0005-0000-0000-0000C2550000}"/>
    <cellStyle name="Output 2 3 10" xfId="7519" xr:uid="{00000000-0005-0000-0000-0000C3550000}"/>
    <cellStyle name="Output 2 3 10 2" xfId="11560" xr:uid="{00000000-0005-0000-0000-0000C4550000}"/>
    <cellStyle name="Output 2 3 10 3" xfId="17866" xr:uid="{00000000-0005-0000-0000-0000C5550000}"/>
    <cellStyle name="Output 2 3 10 4" xfId="21037" xr:uid="{00000000-0005-0000-0000-0000C6550000}"/>
    <cellStyle name="Output 2 3 11" xfId="4923" xr:uid="{00000000-0005-0000-0000-0000C7550000}"/>
    <cellStyle name="Output 2 3 11 2" xfId="15893" xr:uid="{00000000-0005-0000-0000-0000C8550000}"/>
    <cellStyle name="Output 2 3 11 3" xfId="13096" xr:uid="{00000000-0005-0000-0000-0000C9550000}"/>
    <cellStyle name="Output 2 3 12" xfId="8830" xr:uid="{00000000-0005-0000-0000-0000CA550000}"/>
    <cellStyle name="Output 2 3 13" xfId="14246" xr:uid="{00000000-0005-0000-0000-0000CB550000}"/>
    <cellStyle name="Output 2 3 14" xfId="18780" xr:uid="{00000000-0005-0000-0000-0000CC550000}"/>
    <cellStyle name="Output 2 3 2" xfId="2732" xr:uid="{00000000-0005-0000-0000-0000CD550000}"/>
    <cellStyle name="Output 2 3 2 10" xfId="4945" xr:uid="{00000000-0005-0000-0000-0000CE550000}"/>
    <cellStyle name="Output 2 3 2 10 2" xfId="15915" xr:uid="{00000000-0005-0000-0000-0000CF550000}"/>
    <cellStyle name="Output 2 3 2 10 3" xfId="13074" xr:uid="{00000000-0005-0000-0000-0000D0550000}"/>
    <cellStyle name="Output 2 3 2 11" xfId="8887" xr:uid="{00000000-0005-0000-0000-0000D1550000}"/>
    <cellStyle name="Output 2 3 2 12" xfId="14291" xr:uid="{00000000-0005-0000-0000-0000D2550000}"/>
    <cellStyle name="Output 2 3 2 2" xfId="3222" xr:uid="{00000000-0005-0000-0000-0000D3550000}"/>
    <cellStyle name="Output 2 3 2 2 10" xfId="9352" xr:uid="{00000000-0005-0000-0000-0000D4550000}"/>
    <cellStyle name="Output 2 3 2 2 11" xfId="14656" xr:uid="{00000000-0005-0000-0000-0000D5550000}"/>
    <cellStyle name="Output 2 3 2 2 12" xfId="18177" xr:uid="{00000000-0005-0000-0000-0000D6550000}"/>
    <cellStyle name="Output 2 3 2 2 2" xfId="3609" xr:uid="{00000000-0005-0000-0000-0000D7550000}"/>
    <cellStyle name="Output 2 3 2 2 2 2" xfId="7970" xr:uid="{00000000-0005-0000-0000-0000D8550000}"/>
    <cellStyle name="Output 2 3 2 2 2 2 2" xfId="11946" xr:uid="{00000000-0005-0000-0000-0000D9550000}"/>
    <cellStyle name="Output 2 3 2 2 2 2 3" xfId="18196" xr:uid="{00000000-0005-0000-0000-0000DA550000}"/>
    <cellStyle name="Output 2 3 2 2 2 2 4" xfId="21488" xr:uid="{00000000-0005-0000-0000-0000DB550000}"/>
    <cellStyle name="Output 2 3 2 2 2 3" xfId="6262" xr:uid="{00000000-0005-0000-0000-0000DC550000}"/>
    <cellStyle name="Output 2 3 2 2 2 3 2" xfId="16904" xr:uid="{00000000-0005-0000-0000-0000DD550000}"/>
    <cellStyle name="Output 2 3 2 2 2 3 3" xfId="19780" xr:uid="{00000000-0005-0000-0000-0000DE550000}"/>
    <cellStyle name="Output 2 3 2 2 2 4" xfId="9701" xr:uid="{00000000-0005-0000-0000-0000DF550000}"/>
    <cellStyle name="Output 2 3 2 2 2 5" xfId="14936" xr:uid="{00000000-0005-0000-0000-0000E0550000}"/>
    <cellStyle name="Output 2 3 2 2 2 6" xfId="16722" xr:uid="{00000000-0005-0000-0000-0000E1550000}"/>
    <cellStyle name="Output 2 3 2 2 3" xfId="3992" xr:uid="{00000000-0005-0000-0000-0000E2550000}"/>
    <cellStyle name="Output 2 3 2 2 3 2" xfId="7769" xr:uid="{00000000-0005-0000-0000-0000E3550000}"/>
    <cellStyle name="Output 2 3 2 2 3 2 2" xfId="11790" xr:uid="{00000000-0005-0000-0000-0000E4550000}"/>
    <cellStyle name="Output 2 3 2 2 3 2 3" xfId="18042" xr:uid="{00000000-0005-0000-0000-0000E5550000}"/>
    <cellStyle name="Output 2 3 2 2 3 2 4" xfId="21287" xr:uid="{00000000-0005-0000-0000-0000E6550000}"/>
    <cellStyle name="Output 2 3 2 2 3 3" xfId="6061" xr:uid="{00000000-0005-0000-0000-0000E7550000}"/>
    <cellStyle name="Output 2 3 2 2 3 3 2" xfId="16750" xr:uid="{00000000-0005-0000-0000-0000E8550000}"/>
    <cellStyle name="Output 2 3 2 2 3 3 3" xfId="19579" xr:uid="{00000000-0005-0000-0000-0000E9550000}"/>
    <cellStyle name="Output 2 3 2 2 3 4" xfId="9911" xr:uid="{00000000-0005-0000-0000-0000EA550000}"/>
    <cellStyle name="Output 2 3 2 2 3 5" xfId="15212" xr:uid="{00000000-0005-0000-0000-0000EB550000}"/>
    <cellStyle name="Output 2 3 2 2 3 6" xfId="13999" xr:uid="{00000000-0005-0000-0000-0000EC550000}"/>
    <cellStyle name="Output 2 3 2 2 4" xfId="4375" xr:uid="{00000000-0005-0000-0000-0000ED550000}"/>
    <cellStyle name="Output 2 3 2 2 4 2" xfId="8277" xr:uid="{00000000-0005-0000-0000-0000EE550000}"/>
    <cellStyle name="Output 2 3 2 2 4 2 2" xfId="12245" xr:uid="{00000000-0005-0000-0000-0000EF550000}"/>
    <cellStyle name="Output 2 3 2 2 4 2 3" xfId="18429" xr:uid="{00000000-0005-0000-0000-0000F0550000}"/>
    <cellStyle name="Output 2 3 2 2 4 2 4" xfId="21795" xr:uid="{00000000-0005-0000-0000-0000F1550000}"/>
    <cellStyle name="Output 2 3 2 2 4 3" xfId="6569" xr:uid="{00000000-0005-0000-0000-0000F2550000}"/>
    <cellStyle name="Output 2 3 2 2 4 3 2" xfId="17138" xr:uid="{00000000-0005-0000-0000-0000F3550000}"/>
    <cellStyle name="Output 2 3 2 2 4 3 3" xfId="20087" xr:uid="{00000000-0005-0000-0000-0000F4550000}"/>
    <cellStyle name="Output 2 3 2 2 4 4" xfId="10089" xr:uid="{00000000-0005-0000-0000-0000F5550000}"/>
    <cellStyle name="Output 2 3 2 2 4 5" xfId="15487" xr:uid="{00000000-0005-0000-0000-0000F6550000}"/>
    <cellStyle name="Output 2 3 2 2 4 6" xfId="13630" xr:uid="{00000000-0005-0000-0000-0000F7550000}"/>
    <cellStyle name="Output 2 3 2 2 5" xfId="4757" xr:uid="{00000000-0005-0000-0000-0000F8550000}"/>
    <cellStyle name="Output 2 3 2 2 5 2" xfId="8509" xr:uid="{00000000-0005-0000-0000-0000F9550000}"/>
    <cellStyle name="Output 2 3 2 2 5 2 2" xfId="12477" xr:uid="{00000000-0005-0000-0000-0000FA550000}"/>
    <cellStyle name="Output 2 3 2 2 5 2 3" xfId="18600" xr:uid="{00000000-0005-0000-0000-0000FB550000}"/>
    <cellStyle name="Output 2 3 2 2 5 2 4" xfId="22027" xr:uid="{00000000-0005-0000-0000-0000FC550000}"/>
    <cellStyle name="Output 2 3 2 2 5 3" xfId="6801" xr:uid="{00000000-0005-0000-0000-0000FD550000}"/>
    <cellStyle name="Output 2 3 2 2 5 3 2" xfId="17308" xr:uid="{00000000-0005-0000-0000-0000FE550000}"/>
    <cellStyle name="Output 2 3 2 2 5 3 3" xfId="20319" xr:uid="{00000000-0005-0000-0000-0000FF550000}"/>
    <cellStyle name="Output 2 3 2 2 5 4" xfId="10266" xr:uid="{00000000-0005-0000-0000-000000560000}"/>
    <cellStyle name="Output 2 3 2 2 5 5" xfId="15760" xr:uid="{00000000-0005-0000-0000-000001560000}"/>
    <cellStyle name="Output 2 3 2 2 5 6" xfId="13248" xr:uid="{00000000-0005-0000-0000-000002560000}"/>
    <cellStyle name="Output 2 3 2 2 6" xfId="7033" xr:uid="{00000000-0005-0000-0000-000003560000}"/>
    <cellStyle name="Output 2 3 2 2 6 2" xfId="8741" xr:uid="{00000000-0005-0000-0000-000004560000}"/>
    <cellStyle name="Output 2 3 2 2 6 2 2" xfId="12709" xr:uid="{00000000-0005-0000-0000-000005560000}"/>
    <cellStyle name="Output 2 3 2 2 6 2 3" xfId="18772" xr:uid="{00000000-0005-0000-0000-000006560000}"/>
    <cellStyle name="Output 2 3 2 2 6 2 4" xfId="22259" xr:uid="{00000000-0005-0000-0000-000007560000}"/>
    <cellStyle name="Output 2 3 2 2 6 3" xfId="11167" xr:uid="{00000000-0005-0000-0000-000008560000}"/>
    <cellStyle name="Output 2 3 2 2 6 4" xfId="17479" xr:uid="{00000000-0005-0000-0000-000009560000}"/>
    <cellStyle name="Output 2 3 2 2 6 5" xfId="20551" xr:uid="{00000000-0005-0000-0000-00000A560000}"/>
    <cellStyle name="Output 2 3 2 2 7" xfId="6021" xr:uid="{00000000-0005-0000-0000-00000B560000}"/>
    <cellStyle name="Output 2 3 2 2 7 2" xfId="10762" xr:uid="{00000000-0005-0000-0000-00000C560000}"/>
    <cellStyle name="Output 2 3 2 2 7 3" xfId="16718" xr:uid="{00000000-0005-0000-0000-00000D560000}"/>
    <cellStyle name="Output 2 3 2 2 7 4" xfId="19539" xr:uid="{00000000-0005-0000-0000-00000E560000}"/>
    <cellStyle name="Output 2 3 2 2 8" xfId="7729" xr:uid="{00000000-0005-0000-0000-00000F560000}"/>
    <cellStyle name="Output 2 3 2 2 8 2" xfId="11750" xr:uid="{00000000-0005-0000-0000-000010560000}"/>
    <cellStyle name="Output 2 3 2 2 8 3" xfId="18010" xr:uid="{00000000-0005-0000-0000-000011560000}"/>
    <cellStyle name="Output 2 3 2 2 8 4" xfId="21247" xr:uid="{00000000-0005-0000-0000-000012560000}"/>
    <cellStyle name="Output 2 3 2 2 9" xfId="5215" xr:uid="{00000000-0005-0000-0000-000013560000}"/>
    <cellStyle name="Output 2 3 2 2 9 2" xfId="16106" xr:uid="{00000000-0005-0000-0000-000014560000}"/>
    <cellStyle name="Output 2 3 2 2 9 3" xfId="12760" xr:uid="{00000000-0005-0000-0000-000015560000}"/>
    <cellStyle name="Output 2 3 2 3" xfId="3279" xr:uid="{00000000-0005-0000-0000-000016560000}"/>
    <cellStyle name="Output 2 3 2 3 2" xfId="3666" xr:uid="{00000000-0005-0000-0000-000017560000}"/>
    <cellStyle name="Output 2 3 2 3 2 2" xfId="7315" xr:uid="{00000000-0005-0000-0000-000018560000}"/>
    <cellStyle name="Output 2 3 2 3 2 2 2" xfId="17708" xr:uid="{00000000-0005-0000-0000-000019560000}"/>
    <cellStyle name="Output 2 3 2 3 2 2 3" xfId="20833" xr:uid="{00000000-0005-0000-0000-00001A560000}"/>
    <cellStyle name="Output 2 3 2 3 2 3" xfId="9748" xr:uid="{00000000-0005-0000-0000-00001B560000}"/>
    <cellStyle name="Output 2 3 2 3 2 4" xfId="14978" xr:uid="{00000000-0005-0000-0000-00001C560000}"/>
    <cellStyle name="Output 2 3 2 3 2 5" xfId="15206" xr:uid="{00000000-0005-0000-0000-00001D560000}"/>
    <cellStyle name="Output 2 3 2 3 3" xfId="4049" xr:uid="{00000000-0005-0000-0000-00001E560000}"/>
    <cellStyle name="Output 2 3 2 3 3 2" xfId="15253" xr:uid="{00000000-0005-0000-0000-00001F560000}"/>
    <cellStyle name="Output 2 3 2 3 3 3" xfId="13942" xr:uid="{00000000-0005-0000-0000-000020560000}"/>
    <cellStyle name="Output 2 3 2 3 4" xfId="4432" xr:uid="{00000000-0005-0000-0000-000021560000}"/>
    <cellStyle name="Output 2 3 2 3 4 2" xfId="15529" xr:uid="{00000000-0005-0000-0000-000022560000}"/>
    <cellStyle name="Output 2 3 2 3 4 3" xfId="13573" xr:uid="{00000000-0005-0000-0000-000023560000}"/>
    <cellStyle name="Output 2 3 2 3 5" xfId="4814" xr:uid="{00000000-0005-0000-0000-000024560000}"/>
    <cellStyle name="Output 2 3 2 3 5 2" xfId="15801" xr:uid="{00000000-0005-0000-0000-000025560000}"/>
    <cellStyle name="Output 2 3 2 3 5 3" xfId="13192" xr:uid="{00000000-0005-0000-0000-000026560000}"/>
    <cellStyle name="Output 2 3 2 3 6" xfId="5606" xr:uid="{00000000-0005-0000-0000-000027560000}"/>
    <cellStyle name="Output 2 3 2 3 6 2" xfId="16417" xr:uid="{00000000-0005-0000-0000-000028560000}"/>
    <cellStyle name="Output 2 3 2 3 6 3" xfId="19124" xr:uid="{00000000-0005-0000-0000-000029560000}"/>
    <cellStyle name="Output 2 3 2 3 7" xfId="9409" xr:uid="{00000000-0005-0000-0000-00002A560000}"/>
    <cellStyle name="Output 2 3 2 3 8" xfId="14698" xr:uid="{00000000-0005-0000-0000-00002B560000}"/>
    <cellStyle name="Output 2 3 2 3 9" xfId="17098" xr:uid="{00000000-0005-0000-0000-00002C560000}"/>
    <cellStyle name="Output 2 3 2 4" xfId="2897" xr:uid="{00000000-0005-0000-0000-00002D560000}"/>
    <cellStyle name="Output 2 3 2 4 2" xfId="8074" xr:uid="{00000000-0005-0000-0000-00002E560000}"/>
    <cellStyle name="Output 2 3 2 4 2 2" xfId="12044" xr:uid="{00000000-0005-0000-0000-00002F560000}"/>
    <cellStyle name="Output 2 3 2 4 2 3" xfId="18280" xr:uid="{00000000-0005-0000-0000-000030560000}"/>
    <cellStyle name="Output 2 3 2 4 2 4" xfId="21592" xr:uid="{00000000-0005-0000-0000-000031560000}"/>
    <cellStyle name="Output 2 3 2 4 3" xfId="6366" xr:uid="{00000000-0005-0000-0000-000032560000}"/>
    <cellStyle name="Output 2 3 2 4 3 2" xfId="16989" xr:uid="{00000000-0005-0000-0000-000033560000}"/>
    <cellStyle name="Output 2 3 2 4 3 3" xfId="19884" xr:uid="{00000000-0005-0000-0000-000034560000}"/>
    <cellStyle name="Output 2 3 2 4 4" xfId="9049" xr:uid="{00000000-0005-0000-0000-000035560000}"/>
    <cellStyle name="Output 2 3 2 4 5" xfId="14424" xr:uid="{00000000-0005-0000-0000-000036560000}"/>
    <cellStyle name="Output 2 3 2 4 6" xfId="15579" xr:uid="{00000000-0005-0000-0000-000037560000}"/>
    <cellStyle name="Output 2 3 2 5" xfId="6403" xr:uid="{00000000-0005-0000-0000-000038560000}"/>
    <cellStyle name="Output 2 3 2 5 2" xfId="8111" xr:uid="{00000000-0005-0000-0000-000039560000}"/>
    <cellStyle name="Output 2 3 2 5 2 2" xfId="12079" xr:uid="{00000000-0005-0000-0000-00003A560000}"/>
    <cellStyle name="Output 2 3 2 5 2 3" xfId="18317" xr:uid="{00000000-0005-0000-0000-00003B560000}"/>
    <cellStyle name="Output 2 3 2 5 2 4" xfId="21629" xr:uid="{00000000-0005-0000-0000-00003C560000}"/>
    <cellStyle name="Output 2 3 2 5 3" xfId="10921" xr:uid="{00000000-0005-0000-0000-00003D560000}"/>
    <cellStyle name="Output 2 3 2 5 4" xfId="17026" xr:uid="{00000000-0005-0000-0000-00003E560000}"/>
    <cellStyle name="Output 2 3 2 5 5" xfId="19921" xr:uid="{00000000-0005-0000-0000-00003F560000}"/>
    <cellStyle name="Output 2 3 2 6" xfId="6635" xr:uid="{00000000-0005-0000-0000-000040560000}"/>
    <cellStyle name="Output 2 3 2 6 2" xfId="8343" xr:uid="{00000000-0005-0000-0000-000041560000}"/>
    <cellStyle name="Output 2 3 2 6 2 2" xfId="12311" xr:uid="{00000000-0005-0000-0000-000042560000}"/>
    <cellStyle name="Output 2 3 2 6 2 3" xfId="18488" xr:uid="{00000000-0005-0000-0000-000043560000}"/>
    <cellStyle name="Output 2 3 2 6 2 4" xfId="21861" xr:uid="{00000000-0005-0000-0000-000044560000}"/>
    <cellStyle name="Output 2 3 2 6 3" xfId="10961" xr:uid="{00000000-0005-0000-0000-000045560000}"/>
    <cellStyle name="Output 2 3 2 6 4" xfId="17197" xr:uid="{00000000-0005-0000-0000-000046560000}"/>
    <cellStyle name="Output 2 3 2 6 5" xfId="20153" xr:uid="{00000000-0005-0000-0000-000047560000}"/>
    <cellStyle name="Output 2 3 2 7" xfId="6867" xr:uid="{00000000-0005-0000-0000-000048560000}"/>
    <cellStyle name="Output 2 3 2 7 2" xfId="8575" xr:uid="{00000000-0005-0000-0000-000049560000}"/>
    <cellStyle name="Output 2 3 2 7 2 2" xfId="12543" xr:uid="{00000000-0005-0000-0000-00004A560000}"/>
    <cellStyle name="Output 2 3 2 7 2 3" xfId="18659" xr:uid="{00000000-0005-0000-0000-00004B560000}"/>
    <cellStyle name="Output 2 3 2 7 2 4" xfId="22093" xr:uid="{00000000-0005-0000-0000-00004C560000}"/>
    <cellStyle name="Output 2 3 2 7 3" xfId="11001" xr:uid="{00000000-0005-0000-0000-00004D560000}"/>
    <cellStyle name="Output 2 3 2 7 4" xfId="17367" xr:uid="{00000000-0005-0000-0000-00004E560000}"/>
    <cellStyle name="Output 2 3 2 7 5" xfId="20385" xr:uid="{00000000-0005-0000-0000-00004F560000}"/>
    <cellStyle name="Output 2 3 2 8" xfId="5850" xr:uid="{00000000-0005-0000-0000-000050560000}"/>
    <cellStyle name="Output 2 3 2 8 2" xfId="10596" xr:uid="{00000000-0005-0000-0000-000051560000}"/>
    <cellStyle name="Output 2 3 2 8 3" xfId="16603" xr:uid="{00000000-0005-0000-0000-000052560000}"/>
    <cellStyle name="Output 2 3 2 8 4" xfId="19368" xr:uid="{00000000-0005-0000-0000-000053560000}"/>
    <cellStyle name="Output 2 3 2 9" xfId="7558" xr:uid="{00000000-0005-0000-0000-000054560000}"/>
    <cellStyle name="Output 2 3 2 9 2" xfId="11584" xr:uid="{00000000-0005-0000-0000-000055560000}"/>
    <cellStyle name="Output 2 3 2 9 3" xfId="17895" xr:uid="{00000000-0005-0000-0000-000056560000}"/>
    <cellStyle name="Output 2 3 2 9 4" xfId="21076" xr:uid="{00000000-0005-0000-0000-000057560000}"/>
    <cellStyle name="Output 2 3 3" xfId="3165" xr:uid="{00000000-0005-0000-0000-000058560000}"/>
    <cellStyle name="Output 2 3 3 10" xfId="9295" xr:uid="{00000000-0005-0000-0000-000059560000}"/>
    <cellStyle name="Output 2 3 3 11" xfId="14614" xr:uid="{00000000-0005-0000-0000-00005A560000}"/>
    <cellStyle name="Output 2 3 3 12" xfId="17461" xr:uid="{00000000-0005-0000-0000-00005B560000}"/>
    <cellStyle name="Output 2 3 3 2" xfId="3552" xr:uid="{00000000-0005-0000-0000-00005C560000}"/>
    <cellStyle name="Output 2 3 3 2 2" xfId="7364" xr:uid="{00000000-0005-0000-0000-00005D560000}"/>
    <cellStyle name="Output 2 3 3 2 2 2" xfId="11450" xr:uid="{00000000-0005-0000-0000-00005E560000}"/>
    <cellStyle name="Output 2 3 3 2 2 3" xfId="17749" xr:uid="{00000000-0005-0000-0000-00005F560000}"/>
    <cellStyle name="Output 2 3 3 2 2 4" xfId="20882" xr:uid="{00000000-0005-0000-0000-000060560000}"/>
    <cellStyle name="Output 2 3 3 2 3" xfId="5655" xr:uid="{00000000-0005-0000-0000-000061560000}"/>
    <cellStyle name="Output 2 3 3 2 3 2" xfId="16458" xr:uid="{00000000-0005-0000-0000-000062560000}"/>
    <cellStyle name="Output 2 3 3 2 3 3" xfId="19173" xr:uid="{00000000-0005-0000-0000-000063560000}"/>
    <cellStyle name="Output 2 3 3 2 4" xfId="9644" xr:uid="{00000000-0005-0000-0000-000064560000}"/>
    <cellStyle name="Output 2 3 3 2 5" xfId="14894" xr:uid="{00000000-0005-0000-0000-000065560000}"/>
    <cellStyle name="Output 2 3 3 2 6" xfId="17690" xr:uid="{00000000-0005-0000-0000-000066560000}"/>
    <cellStyle name="Output 2 3 3 3" xfId="3935" xr:uid="{00000000-0005-0000-0000-000067560000}"/>
    <cellStyle name="Output 2 3 3 3 2" xfId="7847" xr:uid="{00000000-0005-0000-0000-000068560000}"/>
    <cellStyle name="Output 2 3 3 3 2 2" xfId="11850" xr:uid="{00000000-0005-0000-0000-000069560000}"/>
    <cellStyle name="Output 2 3 3 3 2 3" xfId="18106" xr:uid="{00000000-0005-0000-0000-00006A560000}"/>
    <cellStyle name="Output 2 3 3 3 2 4" xfId="21365" xr:uid="{00000000-0005-0000-0000-00006B560000}"/>
    <cellStyle name="Output 2 3 3 3 3" xfId="6139" xr:uid="{00000000-0005-0000-0000-00006C560000}"/>
    <cellStyle name="Output 2 3 3 3 3 2" xfId="16814" xr:uid="{00000000-0005-0000-0000-00006D560000}"/>
    <cellStyle name="Output 2 3 3 3 3 3" xfId="19657" xr:uid="{00000000-0005-0000-0000-00006E560000}"/>
    <cellStyle name="Output 2 3 3 3 4" xfId="9858" xr:uid="{00000000-0005-0000-0000-00006F560000}"/>
    <cellStyle name="Output 2 3 3 3 5" xfId="15170" xr:uid="{00000000-0005-0000-0000-000070560000}"/>
    <cellStyle name="Output 2 3 3 3 6" xfId="14056" xr:uid="{00000000-0005-0000-0000-000071560000}"/>
    <cellStyle name="Output 2 3 3 4" xfId="4318" xr:uid="{00000000-0005-0000-0000-000072560000}"/>
    <cellStyle name="Output 2 3 3 4 2" xfId="8175" xr:uid="{00000000-0005-0000-0000-000073560000}"/>
    <cellStyle name="Output 2 3 3 4 2 2" xfId="12143" xr:uid="{00000000-0005-0000-0000-000074560000}"/>
    <cellStyle name="Output 2 3 3 4 2 3" xfId="18372" xr:uid="{00000000-0005-0000-0000-000075560000}"/>
    <cellStyle name="Output 2 3 3 4 2 4" xfId="21693" xr:uid="{00000000-0005-0000-0000-000076560000}"/>
    <cellStyle name="Output 2 3 3 4 3" xfId="6467" xr:uid="{00000000-0005-0000-0000-000077560000}"/>
    <cellStyle name="Output 2 3 3 4 3 2" xfId="17081" xr:uid="{00000000-0005-0000-0000-000078560000}"/>
    <cellStyle name="Output 2 3 3 4 3 3" xfId="19985" xr:uid="{00000000-0005-0000-0000-000079560000}"/>
    <cellStyle name="Output 2 3 3 4 4" xfId="10036" xr:uid="{00000000-0005-0000-0000-00007A560000}"/>
    <cellStyle name="Output 2 3 3 4 5" xfId="15445" xr:uid="{00000000-0005-0000-0000-00007B560000}"/>
    <cellStyle name="Output 2 3 3 4 6" xfId="13687" xr:uid="{00000000-0005-0000-0000-00007C560000}"/>
    <cellStyle name="Output 2 3 3 5" xfId="4700" xr:uid="{00000000-0005-0000-0000-00007D560000}"/>
    <cellStyle name="Output 2 3 3 5 2" xfId="8407" xr:uid="{00000000-0005-0000-0000-00007E560000}"/>
    <cellStyle name="Output 2 3 3 5 2 2" xfId="12375" xr:uid="{00000000-0005-0000-0000-00007F560000}"/>
    <cellStyle name="Output 2 3 3 5 2 3" xfId="18543" xr:uid="{00000000-0005-0000-0000-000080560000}"/>
    <cellStyle name="Output 2 3 3 5 2 4" xfId="21925" xr:uid="{00000000-0005-0000-0000-000081560000}"/>
    <cellStyle name="Output 2 3 3 5 3" xfId="6699" xr:uid="{00000000-0005-0000-0000-000082560000}"/>
    <cellStyle name="Output 2 3 3 5 3 2" xfId="17252" xr:uid="{00000000-0005-0000-0000-000083560000}"/>
    <cellStyle name="Output 2 3 3 5 3 3" xfId="20217" xr:uid="{00000000-0005-0000-0000-000084560000}"/>
    <cellStyle name="Output 2 3 3 5 4" xfId="10213" xr:uid="{00000000-0005-0000-0000-000085560000}"/>
    <cellStyle name="Output 2 3 3 5 5" xfId="15719" xr:uid="{00000000-0005-0000-0000-000086560000}"/>
    <cellStyle name="Output 2 3 3 5 6" xfId="13305" xr:uid="{00000000-0005-0000-0000-000087560000}"/>
    <cellStyle name="Output 2 3 3 6" xfId="6931" xr:uid="{00000000-0005-0000-0000-000088560000}"/>
    <cellStyle name="Output 2 3 3 6 2" xfId="8639" xr:uid="{00000000-0005-0000-0000-000089560000}"/>
    <cellStyle name="Output 2 3 3 6 2 2" xfId="12607" xr:uid="{00000000-0005-0000-0000-00008A560000}"/>
    <cellStyle name="Output 2 3 3 6 2 3" xfId="18714" xr:uid="{00000000-0005-0000-0000-00008B560000}"/>
    <cellStyle name="Output 2 3 3 6 2 4" xfId="22157" xr:uid="{00000000-0005-0000-0000-00008C560000}"/>
    <cellStyle name="Output 2 3 3 6 3" xfId="11065" xr:uid="{00000000-0005-0000-0000-00008D560000}"/>
    <cellStyle name="Output 2 3 3 6 4" xfId="17422" xr:uid="{00000000-0005-0000-0000-00008E560000}"/>
    <cellStyle name="Output 2 3 3 6 5" xfId="20449" xr:uid="{00000000-0005-0000-0000-00008F560000}"/>
    <cellStyle name="Output 2 3 3 7" xfId="5919" xr:uid="{00000000-0005-0000-0000-000090560000}"/>
    <cellStyle name="Output 2 3 3 7 2" xfId="10660" xr:uid="{00000000-0005-0000-0000-000091560000}"/>
    <cellStyle name="Output 2 3 3 7 3" xfId="16660" xr:uid="{00000000-0005-0000-0000-000092560000}"/>
    <cellStyle name="Output 2 3 3 7 4" xfId="19437" xr:uid="{00000000-0005-0000-0000-000093560000}"/>
    <cellStyle name="Output 2 3 3 8" xfId="7627" xr:uid="{00000000-0005-0000-0000-000094560000}"/>
    <cellStyle name="Output 2 3 3 8 2" xfId="11648" xr:uid="{00000000-0005-0000-0000-000095560000}"/>
    <cellStyle name="Output 2 3 3 8 3" xfId="17952" xr:uid="{00000000-0005-0000-0000-000096560000}"/>
    <cellStyle name="Output 2 3 3 8 4" xfId="21145" xr:uid="{00000000-0005-0000-0000-000097560000}"/>
    <cellStyle name="Output 2 3 3 9" xfId="5015" xr:uid="{00000000-0005-0000-0000-000098560000}"/>
    <cellStyle name="Output 2 3 3 9 2" xfId="15975" xr:uid="{00000000-0005-0000-0000-000099560000}"/>
    <cellStyle name="Output 2 3 3 9 3" xfId="13004" xr:uid="{00000000-0005-0000-0000-00009A560000}"/>
    <cellStyle name="Output 2 3 4" xfId="3057" xr:uid="{00000000-0005-0000-0000-00009B560000}"/>
    <cellStyle name="Output 2 3 4 2" xfId="3444" xr:uid="{00000000-0005-0000-0000-00009C560000}"/>
    <cellStyle name="Output 2 3 4 2 2" xfId="7906" xr:uid="{00000000-0005-0000-0000-00009D560000}"/>
    <cellStyle name="Output 2 3 4 2 2 2" xfId="18160" xr:uid="{00000000-0005-0000-0000-00009E560000}"/>
    <cellStyle name="Output 2 3 4 2 2 3" xfId="21424" xr:uid="{00000000-0005-0000-0000-00009F560000}"/>
    <cellStyle name="Output 2 3 4 2 3" xfId="9553" xr:uid="{00000000-0005-0000-0000-0000A0560000}"/>
    <cellStyle name="Output 2 3 4 2 4" xfId="14809" xr:uid="{00000000-0005-0000-0000-0000A1560000}"/>
    <cellStyle name="Output 2 3 4 2 5" xfId="14879" xr:uid="{00000000-0005-0000-0000-0000A2560000}"/>
    <cellStyle name="Output 2 3 4 3" xfId="3827" xr:uid="{00000000-0005-0000-0000-0000A3560000}"/>
    <cellStyle name="Output 2 3 4 3 2" xfId="15085" xr:uid="{00000000-0005-0000-0000-0000A4560000}"/>
    <cellStyle name="Output 2 3 4 3 3" xfId="14102" xr:uid="{00000000-0005-0000-0000-0000A5560000}"/>
    <cellStyle name="Output 2 3 4 4" xfId="4210" xr:uid="{00000000-0005-0000-0000-0000A6560000}"/>
    <cellStyle name="Output 2 3 4 4 2" xfId="15360" xr:uid="{00000000-0005-0000-0000-0000A7560000}"/>
    <cellStyle name="Output 2 3 4 4 3" xfId="13795" xr:uid="{00000000-0005-0000-0000-0000A8560000}"/>
    <cellStyle name="Output 2 3 4 5" xfId="4592" xr:uid="{00000000-0005-0000-0000-0000A9560000}"/>
    <cellStyle name="Output 2 3 4 5 2" xfId="15634" xr:uid="{00000000-0005-0000-0000-0000AA560000}"/>
    <cellStyle name="Output 2 3 4 5 3" xfId="13413" xr:uid="{00000000-0005-0000-0000-0000AB560000}"/>
    <cellStyle name="Output 2 3 4 6" xfId="6198" xr:uid="{00000000-0005-0000-0000-0000AC560000}"/>
    <cellStyle name="Output 2 3 4 6 2" xfId="16868" xr:uid="{00000000-0005-0000-0000-0000AD560000}"/>
    <cellStyle name="Output 2 3 4 6 3" xfId="19716" xr:uid="{00000000-0005-0000-0000-0000AE560000}"/>
    <cellStyle name="Output 2 3 4 7" xfId="9197" xr:uid="{00000000-0005-0000-0000-0000AF560000}"/>
    <cellStyle name="Output 2 3 4 8" xfId="14529" xr:uid="{00000000-0005-0000-0000-0000B0560000}"/>
    <cellStyle name="Output 2 3 4 9" xfId="14837" xr:uid="{00000000-0005-0000-0000-0000B1560000}"/>
    <cellStyle name="Output 2 3 5" xfId="2873" xr:uid="{00000000-0005-0000-0000-0000B2560000}"/>
    <cellStyle name="Output 2 3 5 2" xfId="8065" xr:uid="{00000000-0005-0000-0000-0000B3560000}"/>
    <cellStyle name="Output 2 3 5 2 2" xfId="12035" xr:uid="{00000000-0005-0000-0000-0000B4560000}"/>
    <cellStyle name="Output 2 3 5 2 3" xfId="18272" xr:uid="{00000000-0005-0000-0000-0000B5560000}"/>
    <cellStyle name="Output 2 3 5 2 4" xfId="21583" xr:uid="{00000000-0005-0000-0000-0000B6560000}"/>
    <cellStyle name="Output 2 3 5 3" xfId="6357" xr:uid="{00000000-0005-0000-0000-0000B7560000}"/>
    <cellStyle name="Output 2 3 5 3 2" xfId="16981" xr:uid="{00000000-0005-0000-0000-0000B8560000}"/>
    <cellStyle name="Output 2 3 5 3 3" xfId="19875" xr:uid="{00000000-0005-0000-0000-0000B9560000}"/>
    <cellStyle name="Output 2 3 5 4" xfId="9026" xr:uid="{00000000-0005-0000-0000-0000BA560000}"/>
    <cellStyle name="Output 2 3 5 5" xfId="14407" xr:uid="{00000000-0005-0000-0000-0000BB560000}"/>
    <cellStyle name="Output 2 3 5 6" xfId="16892" xr:uid="{00000000-0005-0000-0000-0000BC560000}"/>
    <cellStyle name="Output 2 3 6" xfId="6381" xr:uid="{00000000-0005-0000-0000-0000BD560000}"/>
    <cellStyle name="Output 2 3 6 2" xfId="8089" xr:uid="{00000000-0005-0000-0000-0000BE560000}"/>
    <cellStyle name="Output 2 3 6 2 2" xfId="12057" xr:uid="{00000000-0005-0000-0000-0000BF560000}"/>
    <cellStyle name="Output 2 3 6 2 3" xfId="18295" xr:uid="{00000000-0005-0000-0000-0000C0560000}"/>
    <cellStyle name="Output 2 3 6 2 4" xfId="21607" xr:uid="{00000000-0005-0000-0000-0000C1560000}"/>
    <cellStyle name="Output 2 3 6 3" xfId="10899" xr:uid="{00000000-0005-0000-0000-0000C2560000}"/>
    <cellStyle name="Output 2 3 6 4" xfId="17004" xr:uid="{00000000-0005-0000-0000-0000C3560000}"/>
    <cellStyle name="Output 2 3 6 5" xfId="19899" xr:uid="{00000000-0005-0000-0000-0000C4560000}"/>
    <cellStyle name="Output 2 3 7" xfId="6613" xr:uid="{00000000-0005-0000-0000-0000C5560000}"/>
    <cellStyle name="Output 2 3 7 2" xfId="8321" xr:uid="{00000000-0005-0000-0000-0000C6560000}"/>
    <cellStyle name="Output 2 3 7 2 2" xfId="12289" xr:uid="{00000000-0005-0000-0000-0000C7560000}"/>
    <cellStyle name="Output 2 3 7 2 3" xfId="18466" xr:uid="{00000000-0005-0000-0000-0000C8560000}"/>
    <cellStyle name="Output 2 3 7 2 4" xfId="21839" xr:uid="{00000000-0005-0000-0000-0000C9560000}"/>
    <cellStyle name="Output 2 3 7 3" xfId="10939" xr:uid="{00000000-0005-0000-0000-0000CA560000}"/>
    <cellStyle name="Output 2 3 7 4" xfId="17175" xr:uid="{00000000-0005-0000-0000-0000CB560000}"/>
    <cellStyle name="Output 2 3 7 5" xfId="20131" xr:uid="{00000000-0005-0000-0000-0000CC560000}"/>
    <cellStyle name="Output 2 3 8" xfId="6845" xr:uid="{00000000-0005-0000-0000-0000CD560000}"/>
    <cellStyle name="Output 2 3 8 2" xfId="8553" xr:uid="{00000000-0005-0000-0000-0000CE560000}"/>
    <cellStyle name="Output 2 3 8 2 2" xfId="12521" xr:uid="{00000000-0005-0000-0000-0000CF560000}"/>
    <cellStyle name="Output 2 3 8 2 3" xfId="18637" xr:uid="{00000000-0005-0000-0000-0000D0560000}"/>
    <cellStyle name="Output 2 3 8 2 4" xfId="22071" xr:uid="{00000000-0005-0000-0000-0000D1560000}"/>
    <cellStyle name="Output 2 3 8 3" xfId="10979" xr:uid="{00000000-0005-0000-0000-0000D2560000}"/>
    <cellStyle name="Output 2 3 8 4" xfId="17345" xr:uid="{00000000-0005-0000-0000-0000D3560000}"/>
    <cellStyle name="Output 2 3 8 5" xfId="20363" xr:uid="{00000000-0005-0000-0000-0000D4560000}"/>
    <cellStyle name="Output 2 3 9" xfId="5811" xr:uid="{00000000-0005-0000-0000-0000D5560000}"/>
    <cellStyle name="Output 2 3 9 2" xfId="10574" xr:uid="{00000000-0005-0000-0000-0000D6560000}"/>
    <cellStyle name="Output 2 3 9 3" xfId="16574" xr:uid="{00000000-0005-0000-0000-0000D7560000}"/>
    <cellStyle name="Output 2 3 9 4" xfId="19329" xr:uid="{00000000-0005-0000-0000-0000D8560000}"/>
    <cellStyle name="Output 2 4" xfId="2827" xr:uid="{00000000-0005-0000-0000-0000D9560000}"/>
    <cellStyle name="Output 2 4 10" xfId="8980" xr:uid="{00000000-0005-0000-0000-0000DA560000}"/>
    <cellStyle name="Output 2 4 11" xfId="14369" xr:uid="{00000000-0005-0000-0000-0000DB560000}"/>
    <cellStyle name="Output 2 4 12" xfId="15009" xr:uid="{00000000-0005-0000-0000-0000DC560000}"/>
    <cellStyle name="Output 2 4 2" xfId="2770" xr:uid="{00000000-0005-0000-0000-0000DD560000}"/>
    <cellStyle name="Output 2 4 2 2" xfId="7291" xr:uid="{00000000-0005-0000-0000-0000DE560000}"/>
    <cellStyle name="Output 2 4 2 2 2" xfId="11396" xr:uid="{00000000-0005-0000-0000-0000DF560000}"/>
    <cellStyle name="Output 2 4 2 2 3" xfId="17688" xr:uid="{00000000-0005-0000-0000-0000E0560000}"/>
    <cellStyle name="Output 2 4 2 2 4" xfId="20809" xr:uid="{00000000-0005-0000-0000-0000E1560000}"/>
    <cellStyle name="Output 2 4 2 3" xfId="5582" xr:uid="{00000000-0005-0000-0000-0000E2560000}"/>
    <cellStyle name="Output 2 4 2 3 2" xfId="16397" xr:uid="{00000000-0005-0000-0000-0000E3560000}"/>
    <cellStyle name="Output 2 4 2 3 3" xfId="19100" xr:uid="{00000000-0005-0000-0000-0000E4560000}"/>
    <cellStyle name="Output 2 4 2 4" xfId="8925" xr:uid="{00000000-0005-0000-0000-0000E5560000}"/>
    <cellStyle name="Output 2 4 2 5" xfId="14320" xr:uid="{00000000-0005-0000-0000-0000E6560000}"/>
    <cellStyle name="Output 2 4 2 6" xfId="15931" xr:uid="{00000000-0005-0000-0000-0000E7560000}"/>
    <cellStyle name="Output 2 4 3" xfId="2809" xr:uid="{00000000-0005-0000-0000-0000E8560000}"/>
    <cellStyle name="Output 2 4 3 2" xfId="7916" xr:uid="{00000000-0005-0000-0000-0000E9560000}"/>
    <cellStyle name="Output 2 4 3 2 2" xfId="11894" xr:uid="{00000000-0005-0000-0000-0000EA560000}"/>
    <cellStyle name="Output 2 4 3 2 3" xfId="18168" xr:uid="{00000000-0005-0000-0000-0000EB560000}"/>
    <cellStyle name="Output 2 4 3 2 4" xfId="21434" xr:uid="{00000000-0005-0000-0000-0000EC560000}"/>
    <cellStyle name="Output 2 4 3 3" xfId="6208" xr:uid="{00000000-0005-0000-0000-0000ED560000}"/>
    <cellStyle name="Output 2 4 3 3 2" xfId="16876" xr:uid="{00000000-0005-0000-0000-0000EE560000}"/>
    <cellStyle name="Output 2 4 3 3 3" xfId="19726" xr:uid="{00000000-0005-0000-0000-0000EF560000}"/>
    <cellStyle name="Output 2 4 3 4" xfId="8964" xr:uid="{00000000-0005-0000-0000-0000F0560000}"/>
    <cellStyle name="Output 2 4 3 5" xfId="14353" xr:uid="{00000000-0005-0000-0000-0000F1560000}"/>
    <cellStyle name="Output 2 4 3 6" xfId="15145" xr:uid="{00000000-0005-0000-0000-0000F2560000}"/>
    <cellStyle name="Output 2 4 4" xfId="2801" xr:uid="{00000000-0005-0000-0000-0000F3560000}"/>
    <cellStyle name="Output 2 4 4 2" xfId="8203" xr:uid="{00000000-0005-0000-0000-0000F4560000}"/>
    <cellStyle name="Output 2 4 4 2 2" xfId="12171" xr:uid="{00000000-0005-0000-0000-0000F5560000}"/>
    <cellStyle name="Output 2 4 4 2 3" xfId="18393" xr:uid="{00000000-0005-0000-0000-0000F6560000}"/>
    <cellStyle name="Output 2 4 4 2 4" xfId="21721" xr:uid="{00000000-0005-0000-0000-0000F7560000}"/>
    <cellStyle name="Output 2 4 4 3" xfId="6495" xr:uid="{00000000-0005-0000-0000-0000F8560000}"/>
    <cellStyle name="Output 2 4 4 3 2" xfId="17102" xr:uid="{00000000-0005-0000-0000-0000F9560000}"/>
    <cellStyle name="Output 2 4 4 3 3" xfId="20013" xr:uid="{00000000-0005-0000-0000-0000FA560000}"/>
    <cellStyle name="Output 2 4 4 4" xfId="8956" xr:uid="{00000000-0005-0000-0000-0000FB560000}"/>
    <cellStyle name="Output 2 4 4 5" xfId="14347" xr:uid="{00000000-0005-0000-0000-0000FC560000}"/>
    <cellStyle name="Output 2 4 4 6" xfId="17266" xr:uid="{00000000-0005-0000-0000-0000FD560000}"/>
    <cellStyle name="Output 2 4 5" xfId="2792" xr:uid="{00000000-0005-0000-0000-0000FE560000}"/>
    <cellStyle name="Output 2 4 5 2" xfId="8435" xr:uid="{00000000-0005-0000-0000-0000FF560000}"/>
    <cellStyle name="Output 2 4 5 2 2" xfId="12403" xr:uid="{00000000-0005-0000-0000-000000570000}"/>
    <cellStyle name="Output 2 4 5 2 3" xfId="18564" xr:uid="{00000000-0005-0000-0000-000001570000}"/>
    <cellStyle name="Output 2 4 5 2 4" xfId="21953" xr:uid="{00000000-0005-0000-0000-000002570000}"/>
    <cellStyle name="Output 2 4 5 3" xfId="6727" xr:uid="{00000000-0005-0000-0000-000003570000}"/>
    <cellStyle name="Output 2 4 5 3 2" xfId="17273" xr:uid="{00000000-0005-0000-0000-000004570000}"/>
    <cellStyle name="Output 2 4 5 3 3" xfId="20245" xr:uid="{00000000-0005-0000-0000-000005570000}"/>
    <cellStyle name="Output 2 4 5 4" xfId="8947" xr:uid="{00000000-0005-0000-0000-000006570000}"/>
    <cellStyle name="Output 2 4 5 5" xfId="14339" xr:uid="{00000000-0005-0000-0000-000007570000}"/>
    <cellStyle name="Output 2 4 5 6" xfId="15371" xr:uid="{00000000-0005-0000-0000-000008570000}"/>
    <cellStyle name="Output 2 4 6" xfId="6959" xr:uid="{00000000-0005-0000-0000-000009570000}"/>
    <cellStyle name="Output 2 4 6 2" xfId="8667" xr:uid="{00000000-0005-0000-0000-00000A570000}"/>
    <cellStyle name="Output 2 4 6 2 2" xfId="12635" xr:uid="{00000000-0005-0000-0000-00000B570000}"/>
    <cellStyle name="Output 2 4 6 2 3" xfId="18735" xr:uid="{00000000-0005-0000-0000-00000C570000}"/>
    <cellStyle name="Output 2 4 6 2 4" xfId="22185" xr:uid="{00000000-0005-0000-0000-00000D570000}"/>
    <cellStyle name="Output 2 4 6 3" xfId="11093" xr:uid="{00000000-0005-0000-0000-00000E570000}"/>
    <cellStyle name="Output 2 4 6 4" xfId="17443" xr:uid="{00000000-0005-0000-0000-00000F570000}"/>
    <cellStyle name="Output 2 4 6 5" xfId="20477" xr:uid="{00000000-0005-0000-0000-000010570000}"/>
    <cellStyle name="Output 2 4 7" xfId="5947" xr:uid="{00000000-0005-0000-0000-000011570000}"/>
    <cellStyle name="Output 2 4 7 2" xfId="10688" xr:uid="{00000000-0005-0000-0000-000012570000}"/>
    <cellStyle name="Output 2 4 7 3" xfId="16681" xr:uid="{00000000-0005-0000-0000-000013570000}"/>
    <cellStyle name="Output 2 4 7 4" xfId="19465" xr:uid="{00000000-0005-0000-0000-000014570000}"/>
    <cellStyle name="Output 2 4 8" xfId="7655" xr:uid="{00000000-0005-0000-0000-000015570000}"/>
    <cellStyle name="Output 2 4 8 2" xfId="11676" xr:uid="{00000000-0005-0000-0000-000016570000}"/>
    <cellStyle name="Output 2 4 8 3" xfId="17973" xr:uid="{00000000-0005-0000-0000-000017570000}"/>
    <cellStyle name="Output 2 4 8 4" xfId="21173" xr:uid="{00000000-0005-0000-0000-000018570000}"/>
    <cellStyle name="Output 2 4 9" xfId="5048" xr:uid="{00000000-0005-0000-0000-000019570000}"/>
    <cellStyle name="Output 2 4 9 2" xfId="16000" xr:uid="{00000000-0005-0000-0000-00001A570000}"/>
    <cellStyle name="Output 2 4 9 3" xfId="12973" xr:uid="{00000000-0005-0000-0000-00001B570000}"/>
    <cellStyle name="Output 2 5" xfId="3112" xr:uid="{00000000-0005-0000-0000-00001C570000}"/>
    <cellStyle name="Output 2 5 2" xfId="3499" xr:uid="{00000000-0005-0000-0000-00001D570000}"/>
    <cellStyle name="Output 2 5 2 2" xfId="7413" xr:uid="{00000000-0005-0000-0000-00001E570000}"/>
    <cellStyle name="Output 2 5 2 2 2" xfId="17784" xr:uid="{00000000-0005-0000-0000-00001F570000}"/>
    <cellStyle name="Output 2 5 2 2 3" xfId="20931" xr:uid="{00000000-0005-0000-0000-000020570000}"/>
    <cellStyle name="Output 2 5 2 3" xfId="9592" xr:uid="{00000000-0005-0000-0000-000021570000}"/>
    <cellStyle name="Output 2 5 2 4" xfId="14852" xr:uid="{00000000-0005-0000-0000-000022570000}"/>
    <cellStyle name="Output 2 5 2 5" xfId="17125" xr:uid="{00000000-0005-0000-0000-000023570000}"/>
    <cellStyle name="Output 2 5 3" xfId="3882" xr:uid="{00000000-0005-0000-0000-000024570000}"/>
    <cellStyle name="Output 2 5 3 2" xfId="15128" xr:uid="{00000000-0005-0000-0000-000025570000}"/>
    <cellStyle name="Output 2 5 3 3" xfId="14173" xr:uid="{00000000-0005-0000-0000-000026570000}"/>
    <cellStyle name="Output 2 5 4" xfId="4265" xr:uid="{00000000-0005-0000-0000-000027570000}"/>
    <cellStyle name="Output 2 5 4 2" xfId="15403" xr:uid="{00000000-0005-0000-0000-000028570000}"/>
    <cellStyle name="Output 2 5 4 3" xfId="13740" xr:uid="{00000000-0005-0000-0000-000029570000}"/>
    <cellStyle name="Output 2 5 5" xfId="4647" xr:uid="{00000000-0005-0000-0000-00002A570000}"/>
    <cellStyle name="Output 2 5 5 2" xfId="15677" xr:uid="{00000000-0005-0000-0000-00002B570000}"/>
    <cellStyle name="Output 2 5 5 3" xfId="13358" xr:uid="{00000000-0005-0000-0000-00002C570000}"/>
    <cellStyle name="Output 2 5 6" xfId="5704" xr:uid="{00000000-0005-0000-0000-00002D570000}"/>
    <cellStyle name="Output 2 5 6 2" xfId="16493" xr:uid="{00000000-0005-0000-0000-00002E570000}"/>
    <cellStyle name="Output 2 5 6 3" xfId="19222" xr:uid="{00000000-0005-0000-0000-00002F570000}"/>
    <cellStyle name="Output 2 5 7" xfId="9243" xr:uid="{00000000-0005-0000-0000-000030570000}"/>
    <cellStyle name="Output 2 5 8" xfId="14572" xr:uid="{00000000-0005-0000-0000-000031570000}"/>
    <cellStyle name="Output 2 5 9" xfId="15177" xr:uid="{00000000-0005-0000-0000-000032570000}"/>
    <cellStyle name="Output 2 6" xfId="3095" xr:uid="{00000000-0005-0000-0000-000033570000}"/>
    <cellStyle name="Output 2 6 2" xfId="3482" xr:uid="{00000000-0005-0000-0000-000034570000}"/>
    <cellStyle name="Output 2 6 2 2" xfId="7804" xr:uid="{00000000-0005-0000-0000-000035570000}"/>
    <cellStyle name="Output 2 6 2 2 2" xfId="18069" xr:uid="{00000000-0005-0000-0000-000036570000}"/>
    <cellStyle name="Output 2 6 2 2 3" xfId="21322" xr:uid="{00000000-0005-0000-0000-000037570000}"/>
    <cellStyle name="Output 2 6 2 3" xfId="9577" xr:uid="{00000000-0005-0000-0000-000038570000}"/>
    <cellStyle name="Output 2 6 2 4" xfId="14838" xr:uid="{00000000-0005-0000-0000-000039570000}"/>
    <cellStyle name="Output 2 6 2 5" xfId="18449" xr:uid="{00000000-0005-0000-0000-00003A570000}"/>
    <cellStyle name="Output 2 6 3" xfId="3865" xr:uid="{00000000-0005-0000-0000-00003B570000}"/>
    <cellStyle name="Output 2 6 3 2" xfId="15114" xr:uid="{00000000-0005-0000-0000-00003C570000}"/>
    <cellStyle name="Output 2 6 3 3" xfId="14091" xr:uid="{00000000-0005-0000-0000-00003D570000}"/>
    <cellStyle name="Output 2 6 4" xfId="4248" xr:uid="{00000000-0005-0000-0000-00003E570000}"/>
    <cellStyle name="Output 2 6 4 2" xfId="15389" xr:uid="{00000000-0005-0000-0000-00003F570000}"/>
    <cellStyle name="Output 2 6 4 3" xfId="13757" xr:uid="{00000000-0005-0000-0000-000040570000}"/>
    <cellStyle name="Output 2 6 5" xfId="4630" xr:uid="{00000000-0005-0000-0000-000041570000}"/>
    <cellStyle name="Output 2 6 5 2" xfId="15663" xr:uid="{00000000-0005-0000-0000-000042570000}"/>
    <cellStyle name="Output 2 6 5 3" xfId="13375" xr:uid="{00000000-0005-0000-0000-000043570000}"/>
    <cellStyle name="Output 2 6 6" xfId="6096" xr:uid="{00000000-0005-0000-0000-000044570000}"/>
    <cellStyle name="Output 2 6 6 2" xfId="16777" xr:uid="{00000000-0005-0000-0000-000045570000}"/>
    <cellStyle name="Output 2 6 6 3" xfId="19614" xr:uid="{00000000-0005-0000-0000-000046570000}"/>
    <cellStyle name="Output 2 6 7" xfId="9228" xr:uid="{00000000-0005-0000-0000-000047570000}"/>
    <cellStyle name="Output 2 6 8" xfId="14558" xr:uid="{00000000-0005-0000-0000-000048570000}"/>
    <cellStyle name="Output 2 6 9" xfId="15353" xr:uid="{00000000-0005-0000-0000-000049570000}"/>
    <cellStyle name="Output 2 7" xfId="6111" xr:uid="{00000000-0005-0000-0000-00004A570000}"/>
    <cellStyle name="Output 2 7 2" xfId="7819" xr:uid="{00000000-0005-0000-0000-00004B570000}"/>
    <cellStyle name="Output 2 7 2 2" xfId="11829" xr:uid="{00000000-0005-0000-0000-00004C570000}"/>
    <cellStyle name="Output 2 7 2 3" xfId="18084" xr:uid="{00000000-0005-0000-0000-00004D570000}"/>
    <cellStyle name="Output 2 7 2 4" xfId="21337" xr:uid="{00000000-0005-0000-0000-00004E570000}"/>
    <cellStyle name="Output 2 7 3" xfId="10810" xr:uid="{00000000-0005-0000-0000-00004F570000}"/>
    <cellStyle name="Output 2 7 4" xfId="16792" xr:uid="{00000000-0005-0000-0000-000050570000}"/>
    <cellStyle name="Output 2 7 5" xfId="19629" xr:uid="{00000000-0005-0000-0000-000051570000}"/>
    <cellStyle name="Output 2 8" xfId="6211" xr:uid="{00000000-0005-0000-0000-000052570000}"/>
    <cellStyle name="Output 2 8 2" xfId="7919" xr:uid="{00000000-0005-0000-0000-000053570000}"/>
    <cellStyle name="Output 2 8 2 2" xfId="11896" xr:uid="{00000000-0005-0000-0000-000054570000}"/>
    <cellStyle name="Output 2 8 2 3" xfId="18171" xr:uid="{00000000-0005-0000-0000-000055570000}"/>
    <cellStyle name="Output 2 8 2 4" xfId="21437" xr:uid="{00000000-0005-0000-0000-000056570000}"/>
    <cellStyle name="Output 2 8 3" xfId="10849" xr:uid="{00000000-0005-0000-0000-000057570000}"/>
    <cellStyle name="Output 2 8 4" xfId="16879" xr:uid="{00000000-0005-0000-0000-000058570000}"/>
    <cellStyle name="Output 2 8 5" xfId="19729" xr:uid="{00000000-0005-0000-0000-000059570000}"/>
    <cellStyle name="Output 2 9" xfId="5440" xr:uid="{00000000-0005-0000-0000-00005A570000}"/>
    <cellStyle name="Output 2 9 2" xfId="7149" xr:uid="{00000000-0005-0000-0000-00005B570000}"/>
    <cellStyle name="Output 2 9 2 2" xfId="11281" xr:uid="{00000000-0005-0000-0000-00005C570000}"/>
    <cellStyle name="Output 2 9 2 3" xfId="17564" xr:uid="{00000000-0005-0000-0000-00005D570000}"/>
    <cellStyle name="Output 2 9 2 4" xfId="20667" xr:uid="{00000000-0005-0000-0000-00005E570000}"/>
    <cellStyle name="Output 2 9 3" xfId="10455" xr:uid="{00000000-0005-0000-0000-00005F570000}"/>
    <cellStyle name="Output 2 9 4" xfId="16274" xr:uid="{00000000-0005-0000-0000-000060570000}"/>
    <cellStyle name="Output 2 9 5" xfId="18958" xr:uid="{00000000-0005-0000-0000-000061570000}"/>
    <cellStyle name="Output 3" xfId="2691" xr:uid="{00000000-0005-0000-0000-000062570000}"/>
    <cellStyle name="Output 3 10" xfId="5737" xr:uid="{00000000-0005-0000-0000-000063570000}"/>
    <cellStyle name="Output 3 10 2" xfId="10519" xr:uid="{00000000-0005-0000-0000-000064570000}"/>
    <cellStyle name="Output 3 10 3" xfId="16518" xr:uid="{00000000-0005-0000-0000-000065570000}"/>
    <cellStyle name="Output 3 10 4" xfId="19255" xr:uid="{00000000-0005-0000-0000-000066570000}"/>
    <cellStyle name="Output 3 11" xfId="7446" xr:uid="{00000000-0005-0000-0000-000067570000}"/>
    <cellStyle name="Output 3 11 2" xfId="11506" xr:uid="{00000000-0005-0000-0000-000068570000}"/>
    <cellStyle name="Output 3 11 3" xfId="17809" xr:uid="{00000000-0005-0000-0000-000069570000}"/>
    <cellStyle name="Output 3 11 4" xfId="20964" xr:uid="{00000000-0005-0000-0000-00006A570000}"/>
    <cellStyle name="Output 3 12" xfId="4869" xr:uid="{00000000-0005-0000-0000-00006B570000}"/>
    <cellStyle name="Output 3 12 2" xfId="15844" xr:uid="{00000000-0005-0000-0000-00006C570000}"/>
    <cellStyle name="Output 3 12 3" xfId="13137" xr:uid="{00000000-0005-0000-0000-00006D570000}"/>
    <cellStyle name="Output 3 13" xfId="8846" xr:uid="{00000000-0005-0000-0000-00006E570000}"/>
    <cellStyle name="Output 3 14" xfId="14262" xr:uid="{00000000-0005-0000-0000-00006F570000}"/>
    <cellStyle name="Output 3 15" xfId="17292" xr:uid="{00000000-0005-0000-0000-000070570000}"/>
    <cellStyle name="Output 3 2" xfId="2748" xr:uid="{00000000-0005-0000-0000-000071570000}"/>
    <cellStyle name="Output 3 2 10" xfId="4934" xr:uid="{00000000-0005-0000-0000-000072570000}"/>
    <cellStyle name="Output 3 2 10 2" xfId="15904" xr:uid="{00000000-0005-0000-0000-000073570000}"/>
    <cellStyle name="Output 3 2 10 3" xfId="13085" xr:uid="{00000000-0005-0000-0000-000074570000}"/>
    <cellStyle name="Output 3 2 11" xfId="8903" xr:uid="{00000000-0005-0000-0000-000075570000}"/>
    <cellStyle name="Output 3 2 12" xfId="14305" xr:uid="{00000000-0005-0000-0000-000076570000}"/>
    <cellStyle name="Output 3 2 2" xfId="3238" xr:uid="{00000000-0005-0000-0000-000077570000}"/>
    <cellStyle name="Output 3 2 2 10" xfId="9368" xr:uid="{00000000-0005-0000-0000-000078570000}"/>
    <cellStyle name="Output 3 2 2 11" xfId="14670" xr:uid="{00000000-0005-0000-0000-000079570000}"/>
    <cellStyle name="Output 3 2 2 12" xfId="16187" xr:uid="{00000000-0005-0000-0000-00007A570000}"/>
    <cellStyle name="Output 3 2 2 2" xfId="3625" xr:uid="{00000000-0005-0000-0000-00007B570000}"/>
    <cellStyle name="Output 3 2 2 2 2" xfId="7986" xr:uid="{00000000-0005-0000-0000-00007C570000}"/>
    <cellStyle name="Output 3 2 2 2 2 2" xfId="11962" xr:uid="{00000000-0005-0000-0000-00007D570000}"/>
    <cellStyle name="Output 3 2 2 2 2 3" xfId="18209" xr:uid="{00000000-0005-0000-0000-00007E570000}"/>
    <cellStyle name="Output 3 2 2 2 2 4" xfId="21504" xr:uid="{00000000-0005-0000-0000-00007F570000}"/>
    <cellStyle name="Output 3 2 2 2 3" xfId="6278" xr:uid="{00000000-0005-0000-0000-000080570000}"/>
    <cellStyle name="Output 3 2 2 2 3 2" xfId="16918" xr:uid="{00000000-0005-0000-0000-000081570000}"/>
    <cellStyle name="Output 3 2 2 2 3 3" xfId="19796" xr:uid="{00000000-0005-0000-0000-000082570000}"/>
    <cellStyle name="Output 3 2 2 2 4" xfId="9717" xr:uid="{00000000-0005-0000-0000-000083570000}"/>
    <cellStyle name="Output 3 2 2 2 5" xfId="14950" xr:uid="{00000000-0005-0000-0000-000084570000}"/>
    <cellStyle name="Output 3 2 2 2 6" xfId="16087" xr:uid="{00000000-0005-0000-0000-000085570000}"/>
    <cellStyle name="Output 3 2 2 3" xfId="4008" xr:uid="{00000000-0005-0000-0000-000086570000}"/>
    <cellStyle name="Output 3 2 2 3 2" xfId="7763" xr:uid="{00000000-0005-0000-0000-000087570000}"/>
    <cellStyle name="Output 3 2 2 3 2 2" xfId="11784" xr:uid="{00000000-0005-0000-0000-000088570000}"/>
    <cellStyle name="Output 3 2 2 3 2 3" xfId="18037" xr:uid="{00000000-0005-0000-0000-000089570000}"/>
    <cellStyle name="Output 3 2 2 3 2 4" xfId="21281" xr:uid="{00000000-0005-0000-0000-00008A570000}"/>
    <cellStyle name="Output 3 2 2 3 3" xfId="6055" xr:uid="{00000000-0005-0000-0000-00008B570000}"/>
    <cellStyle name="Output 3 2 2 3 3 2" xfId="16745" xr:uid="{00000000-0005-0000-0000-00008C570000}"/>
    <cellStyle name="Output 3 2 2 3 3 3" xfId="19573" xr:uid="{00000000-0005-0000-0000-00008D570000}"/>
    <cellStyle name="Output 3 2 2 3 4" xfId="9927" xr:uid="{00000000-0005-0000-0000-00008E570000}"/>
    <cellStyle name="Output 3 2 2 3 5" xfId="15225" xr:uid="{00000000-0005-0000-0000-00008F570000}"/>
    <cellStyle name="Output 3 2 2 3 6" xfId="13983" xr:uid="{00000000-0005-0000-0000-000090570000}"/>
    <cellStyle name="Output 3 2 2 4" xfId="4391" xr:uid="{00000000-0005-0000-0000-000091570000}"/>
    <cellStyle name="Output 3 2 2 4 2" xfId="8293" xr:uid="{00000000-0005-0000-0000-000092570000}"/>
    <cellStyle name="Output 3 2 2 4 2 2" xfId="12261" xr:uid="{00000000-0005-0000-0000-000093570000}"/>
    <cellStyle name="Output 3 2 2 4 2 3" xfId="18443" xr:uid="{00000000-0005-0000-0000-000094570000}"/>
    <cellStyle name="Output 3 2 2 4 2 4" xfId="21811" xr:uid="{00000000-0005-0000-0000-000095570000}"/>
    <cellStyle name="Output 3 2 2 4 3" xfId="6585" xr:uid="{00000000-0005-0000-0000-000096570000}"/>
    <cellStyle name="Output 3 2 2 4 3 2" xfId="17152" xr:uid="{00000000-0005-0000-0000-000097570000}"/>
    <cellStyle name="Output 3 2 2 4 3 3" xfId="20103" xr:uid="{00000000-0005-0000-0000-000098570000}"/>
    <cellStyle name="Output 3 2 2 4 4" xfId="10105" xr:uid="{00000000-0005-0000-0000-000099570000}"/>
    <cellStyle name="Output 3 2 2 4 5" xfId="15501" xr:uid="{00000000-0005-0000-0000-00009A570000}"/>
    <cellStyle name="Output 3 2 2 4 6" xfId="13614" xr:uid="{00000000-0005-0000-0000-00009B570000}"/>
    <cellStyle name="Output 3 2 2 5" xfId="4773" xr:uid="{00000000-0005-0000-0000-00009C570000}"/>
    <cellStyle name="Output 3 2 2 5 2" xfId="8525" xr:uid="{00000000-0005-0000-0000-00009D570000}"/>
    <cellStyle name="Output 3 2 2 5 2 2" xfId="12493" xr:uid="{00000000-0005-0000-0000-00009E570000}"/>
    <cellStyle name="Output 3 2 2 5 2 3" xfId="18614" xr:uid="{00000000-0005-0000-0000-00009F570000}"/>
    <cellStyle name="Output 3 2 2 5 2 4" xfId="22043" xr:uid="{00000000-0005-0000-0000-0000A0570000}"/>
    <cellStyle name="Output 3 2 2 5 3" xfId="6817" xr:uid="{00000000-0005-0000-0000-0000A1570000}"/>
    <cellStyle name="Output 3 2 2 5 3 2" xfId="17322" xr:uid="{00000000-0005-0000-0000-0000A2570000}"/>
    <cellStyle name="Output 3 2 2 5 3 3" xfId="20335" xr:uid="{00000000-0005-0000-0000-0000A3570000}"/>
    <cellStyle name="Output 3 2 2 5 4" xfId="10282" xr:uid="{00000000-0005-0000-0000-0000A4570000}"/>
    <cellStyle name="Output 3 2 2 5 5" xfId="15773" xr:uid="{00000000-0005-0000-0000-0000A5570000}"/>
    <cellStyle name="Output 3 2 2 5 6" xfId="13232" xr:uid="{00000000-0005-0000-0000-0000A6570000}"/>
    <cellStyle name="Output 3 2 2 6" xfId="7049" xr:uid="{00000000-0005-0000-0000-0000A7570000}"/>
    <cellStyle name="Output 3 2 2 6 2" xfId="8757" xr:uid="{00000000-0005-0000-0000-0000A8570000}"/>
    <cellStyle name="Output 3 2 2 6 2 2" xfId="12725" xr:uid="{00000000-0005-0000-0000-0000A9570000}"/>
    <cellStyle name="Output 3 2 2 6 2 3" xfId="18786" xr:uid="{00000000-0005-0000-0000-0000AA570000}"/>
    <cellStyle name="Output 3 2 2 6 2 4" xfId="22275" xr:uid="{00000000-0005-0000-0000-0000AB570000}"/>
    <cellStyle name="Output 3 2 2 6 3" xfId="11183" xr:uid="{00000000-0005-0000-0000-0000AC570000}"/>
    <cellStyle name="Output 3 2 2 6 4" xfId="17493" xr:uid="{00000000-0005-0000-0000-0000AD570000}"/>
    <cellStyle name="Output 3 2 2 6 5" xfId="20567" xr:uid="{00000000-0005-0000-0000-0000AE570000}"/>
    <cellStyle name="Output 3 2 2 7" xfId="6037" xr:uid="{00000000-0005-0000-0000-0000AF570000}"/>
    <cellStyle name="Output 3 2 2 7 2" xfId="10778" xr:uid="{00000000-0005-0000-0000-0000B0570000}"/>
    <cellStyle name="Output 3 2 2 7 3" xfId="16732" xr:uid="{00000000-0005-0000-0000-0000B1570000}"/>
    <cellStyle name="Output 3 2 2 7 4" xfId="19555" xr:uid="{00000000-0005-0000-0000-0000B2570000}"/>
    <cellStyle name="Output 3 2 2 8" xfId="7745" xr:uid="{00000000-0005-0000-0000-0000B3570000}"/>
    <cellStyle name="Output 3 2 2 8 2" xfId="11766" xr:uid="{00000000-0005-0000-0000-0000B4570000}"/>
    <cellStyle name="Output 3 2 2 8 3" xfId="18024" xr:uid="{00000000-0005-0000-0000-0000B5570000}"/>
    <cellStyle name="Output 3 2 2 8 4" xfId="21263" xr:uid="{00000000-0005-0000-0000-0000B6570000}"/>
    <cellStyle name="Output 3 2 2 9" xfId="5231" xr:uid="{00000000-0005-0000-0000-0000B7570000}"/>
    <cellStyle name="Output 3 2 2 9 2" xfId="16120" xr:uid="{00000000-0005-0000-0000-0000B8570000}"/>
    <cellStyle name="Output 3 2 2 9 3" xfId="12863" xr:uid="{00000000-0005-0000-0000-0000B9570000}"/>
    <cellStyle name="Output 3 2 3" xfId="3295" xr:uid="{00000000-0005-0000-0000-0000BA570000}"/>
    <cellStyle name="Output 3 2 3 2" xfId="3682" xr:uid="{00000000-0005-0000-0000-0000BB570000}"/>
    <cellStyle name="Output 3 2 3 2 2" xfId="7307" xr:uid="{00000000-0005-0000-0000-0000BC570000}"/>
    <cellStyle name="Output 3 2 3 2 2 2" xfId="17700" xr:uid="{00000000-0005-0000-0000-0000BD570000}"/>
    <cellStyle name="Output 3 2 3 2 2 3" xfId="20825" xr:uid="{00000000-0005-0000-0000-0000BE570000}"/>
    <cellStyle name="Output 3 2 3 2 3" xfId="9759" xr:uid="{00000000-0005-0000-0000-0000BF570000}"/>
    <cellStyle name="Output 3 2 3 2 4" xfId="14992" xr:uid="{00000000-0005-0000-0000-0000C0570000}"/>
    <cellStyle name="Output 3 2 3 2 5" xfId="16833" xr:uid="{00000000-0005-0000-0000-0000C1570000}"/>
    <cellStyle name="Output 3 2 3 3" xfId="4065" xr:uid="{00000000-0005-0000-0000-0000C2570000}"/>
    <cellStyle name="Output 3 2 3 3 2" xfId="15267" xr:uid="{00000000-0005-0000-0000-0000C3570000}"/>
    <cellStyle name="Output 3 2 3 3 3" xfId="13926" xr:uid="{00000000-0005-0000-0000-0000C4570000}"/>
    <cellStyle name="Output 3 2 3 4" xfId="4448" xr:uid="{00000000-0005-0000-0000-0000C5570000}"/>
    <cellStyle name="Output 3 2 3 4 2" xfId="15542" xr:uid="{00000000-0005-0000-0000-0000C6570000}"/>
    <cellStyle name="Output 3 2 3 4 3" xfId="13557" xr:uid="{00000000-0005-0000-0000-0000C7570000}"/>
    <cellStyle name="Output 3 2 3 5" xfId="4830" xr:uid="{00000000-0005-0000-0000-0000C8570000}"/>
    <cellStyle name="Output 3 2 3 5 2" xfId="15814" xr:uid="{00000000-0005-0000-0000-0000C9570000}"/>
    <cellStyle name="Output 3 2 3 5 3" xfId="13176" xr:uid="{00000000-0005-0000-0000-0000CA570000}"/>
    <cellStyle name="Output 3 2 3 6" xfId="5598" xr:uid="{00000000-0005-0000-0000-0000CB570000}"/>
    <cellStyle name="Output 3 2 3 6 2" xfId="16409" xr:uid="{00000000-0005-0000-0000-0000CC570000}"/>
    <cellStyle name="Output 3 2 3 6 3" xfId="19116" xr:uid="{00000000-0005-0000-0000-0000CD570000}"/>
    <cellStyle name="Output 3 2 3 7" xfId="9425" xr:uid="{00000000-0005-0000-0000-0000CE570000}"/>
    <cellStyle name="Output 3 2 3 8" xfId="14712" xr:uid="{00000000-0005-0000-0000-0000CF570000}"/>
    <cellStyle name="Output 3 2 3 9" xfId="18570" xr:uid="{00000000-0005-0000-0000-0000D0570000}"/>
    <cellStyle name="Output 3 2 4" xfId="2913" xr:uid="{00000000-0005-0000-0000-0000D1570000}"/>
    <cellStyle name="Output 3 2 4 2" xfId="7120" xr:uid="{00000000-0005-0000-0000-0000D2570000}"/>
    <cellStyle name="Output 3 2 4 2 2" xfId="11254" xr:uid="{00000000-0005-0000-0000-0000D3570000}"/>
    <cellStyle name="Output 3 2 4 2 3" xfId="17540" xr:uid="{00000000-0005-0000-0000-0000D4570000}"/>
    <cellStyle name="Output 3 2 4 2 4" xfId="20638" xr:uid="{00000000-0005-0000-0000-0000D5570000}"/>
    <cellStyle name="Output 3 2 4 3" xfId="5411" xr:uid="{00000000-0005-0000-0000-0000D6570000}"/>
    <cellStyle name="Output 3 2 4 3 2" xfId="16250" xr:uid="{00000000-0005-0000-0000-0000D7570000}"/>
    <cellStyle name="Output 3 2 4 3 3" xfId="18929" xr:uid="{00000000-0005-0000-0000-0000D8570000}"/>
    <cellStyle name="Output 3 2 4 4" xfId="9065" xr:uid="{00000000-0005-0000-0000-0000D9570000}"/>
    <cellStyle name="Output 3 2 4 5" xfId="14437" xr:uid="{00000000-0005-0000-0000-0000DA570000}"/>
    <cellStyle name="Output 3 2 4 6" xfId="16200" xr:uid="{00000000-0005-0000-0000-0000DB570000}"/>
    <cellStyle name="Output 3 2 5" xfId="6392" xr:uid="{00000000-0005-0000-0000-0000DC570000}"/>
    <cellStyle name="Output 3 2 5 2" xfId="8100" xr:uid="{00000000-0005-0000-0000-0000DD570000}"/>
    <cellStyle name="Output 3 2 5 2 2" xfId="12068" xr:uid="{00000000-0005-0000-0000-0000DE570000}"/>
    <cellStyle name="Output 3 2 5 2 3" xfId="18306" xr:uid="{00000000-0005-0000-0000-0000DF570000}"/>
    <cellStyle name="Output 3 2 5 2 4" xfId="21618" xr:uid="{00000000-0005-0000-0000-0000E0570000}"/>
    <cellStyle name="Output 3 2 5 3" xfId="10910" xr:uid="{00000000-0005-0000-0000-0000E1570000}"/>
    <cellStyle name="Output 3 2 5 4" xfId="17015" xr:uid="{00000000-0005-0000-0000-0000E2570000}"/>
    <cellStyle name="Output 3 2 5 5" xfId="19910" xr:uid="{00000000-0005-0000-0000-0000E3570000}"/>
    <cellStyle name="Output 3 2 6" xfId="6624" xr:uid="{00000000-0005-0000-0000-0000E4570000}"/>
    <cellStyle name="Output 3 2 6 2" xfId="8332" xr:uid="{00000000-0005-0000-0000-0000E5570000}"/>
    <cellStyle name="Output 3 2 6 2 2" xfId="12300" xr:uid="{00000000-0005-0000-0000-0000E6570000}"/>
    <cellStyle name="Output 3 2 6 2 3" xfId="18477" xr:uid="{00000000-0005-0000-0000-0000E7570000}"/>
    <cellStyle name="Output 3 2 6 2 4" xfId="21850" xr:uid="{00000000-0005-0000-0000-0000E8570000}"/>
    <cellStyle name="Output 3 2 6 3" xfId="10950" xr:uid="{00000000-0005-0000-0000-0000E9570000}"/>
    <cellStyle name="Output 3 2 6 4" xfId="17186" xr:uid="{00000000-0005-0000-0000-0000EA570000}"/>
    <cellStyle name="Output 3 2 6 5" xfId="20142" xr:uid="{00000000-0005-0000-0000-0000EB570000}"/>
    <cellStyle name="Output 3 2 7" xfId="6856" xr:uid="{00000000-0005-0000-0000-0000EC570000}"/>
    <cellStyle name="Output 3 2 7 2" xfId="8564" xr:uid="{00000000-0005-0000-0000-0000ED570000}"/>
    <cellStyle name="Output 3 2 7 2 2" xfId="12532" xr:uid="{00000000-0005-0000-0000-0000EE570000}"/>
    <cellStyle name="Output 3 2 7 2 3" xfId="18648" xr:uid="{00000000-0005-0000-0000-0000EF570000}"/>
    <cellStyle name="Output 3 2 7 2 4" xfId="22082" xr:uid="{00000000-0005-0000-0000-0000F0570000}"/>
    <cellStyle name="Output 3 2 7 3" xfId="10990" xr:uid="{00000000-0005-0000-0000-0000F1570000}"/>
    <cellStyle name="Output 3 2 7 4" xfId="17356" xr:uid="{00000000-0005-0000-0000-0000F2570000}"/>
    <cellStyle name="Output 3 2 7 5" xfId="20374" xr:uid="{00000000-0005-0000-0000-0000F3570000}"/>
    <cellStyle name="Output 3 2 8" xfId="5827" xr:uid="{00000000-0005-0000-0000-0000F4570000}"/>
    <cellStyle name="Output 3 2 8 2" xfId="10585" xr:uid="{00000000-0005-0000-0000-0000F5570000}"/>
    <cellStyle name="Output 3 2 8 3" xfId="16587" xr:uid="{00000000-0005-0000-0000-0000F6570000}"/>
    <cellStyle name="Output 3 2 8 4" xfId="19345" xr:uid="{00000000-0005-0000-0000-0000F7570000}"/>
    <cellStyle name="Output 3 2 9" xfId="7535" xr:uid="{00000000-0005-0000-0000-0000F8570000}"/>
    <cellStyle name="Output 3 2 9 2" xfId="11571" xr:uid="{00000000-0005-0000-0000-0000F9570000}"/>
    <cellStyle name="Output 3 2 9 3" xfId="17879" xr:uid="{00000000-0005-0000-0000-0000FA570000}"/>
    <cellStyle name="Output 3 2 9 4" xfId="21053" xr:uid="{00000000-0005-0000-0000-0000FB570000}"/>
    <cellStyle name="Output 3 3" xfId="2660" xr:uid="{00000000-0005-0000-0000-0000FC570000}"/>
    <cellStyle name="Output 3 3 10" xfId="4890" xr:uid="{00000000-0005-0000-0000-0000FD570000}"/>
    <cellStyle name="Output 3 3 10 2" xfId="15865" xr:uid="{00000000-0005-0000-0000-0000FE570000}"/>
    <cellStyle name="Output 3 3 10 3" xfId="12818" xr:uid="{00000000-0005-0000-0000-0000FF570000}"/>
    <cellStyle name="Output 3 3 11" xfId="8817" xr:uid="{00000000-0005-0000-0000-000000580000}"/>
    <cellStyle name="Output 3 3 12" xfId="14237" xr:uid="{00000000-0005-0000-0000-000001580000}"/>
    <cellStyle name="Output 3 3 2" xfId="3152" xr:uid="{00000000-0005-0000-0000-000002580000}"/>
    <cellStyle name="Output 3 3 2 10" xfId="9282" xr:uid="{00000000-0005-0000-0000-000003580000}"/>
    <cellStyle name="Output 3 3 2 11" xfId="14605" xr:uid="{00000000-0005-0000-0000-000004580000}"/>
    <cellStyle name="Output 3 3 2 12" xfId="18436" xr:uid="{00000000-0005-0000-0000-000005580000}"/>
    <cellStyle name="Output 3 3 2 2" xfId="3539" xr:uid="{00000000-0005-0000-0000-000006580000}"/>
    <cellStyle name="Output 3 3 2 2 2" xfId="7282" xr:uid="{00000000-0005-0000-0000-000007580000}"/>
    <cellStyle name="Output 3 3 2 2 2 2" xfId="11387" xr:uid="{00000000-0005-0000-0000-000008580000}"/>
    <cellStyle name="Output 3 3 2 2 2 3" xfId="17680" xr:uid="{00000000-0005-0000-0000-000009580000}"/>
    <cellStyle name="Output 3 3 2 2 2 4" xfId="20800" xr:uid="{00000000-0005-0000-0000-00000A580000}"/>
    <cellStyle name="Output 3 3 2 2 3" xfId="5573" xr:uid="{00000000-0005-0000-0000-00000B580000}"/>
    <cellStyle name="Output 3 3 2 2 3 2" xfId="16389" xr:uid="{00000000-0005-0000-0000-00000C580000}"/>
    <cellStyle name="Output 3 3 2 2 3 3" xfId="19091" xr:uid="{00000000-0005-0000-0000-00000D580000}"/>
    <cellStyle name="Output 3 3 2 2 4" xfId="9631" xr:uid="{00000000-0005-0000-0000-00000E580000}"/>
    <cellStyle name="Output 3 3 2 2 5" xfId="14885" xr:uid="{00000000-0005-0000-0000-00000F580000}"/>
    <cellStyle name="Output 3 3 2 2 6" xfId="16685" xr:uid="{00000000-0005-0000-0000-000010580000}"/>
    <cellStyle name="Output 3 3 2 3" xfId="3922" xr:uid="{00000000-0005-0000-0000-000011580000}"/>
    <cellStyle name="Output 3 3 2 3 2" xfId="5098" xr:uid="{00000000-0005-0000-0000-000012580000}"/>
    <cellStyle name="Output 3 3 2 3 2 2" xfId="10345" xr:uid="{00000000-0005-0000-0000-000013580000}"/>
    <cellStyle name="Output 3 3 2 3 2 3" xfId="16033" xr:uid="{00000000-0005-0000-0000-000014580000}"/>
    <cellStyle name="Output 3 3 2 3 2 4" xfId="12941" xr:uid="{00000000-0005-0000-0000-000015580000}"/>
    <cellStyle name="Output 3 3 2 3 3" xfId="5316" xr:uid="{00000000-0005-0000-0000-000016580000}"/>
    <cellStyle name="Output 3 3 2 3 3 2" xfId="16189" xr:uid="{00000000-0005-0000-0000-000017580000}"/>
    <cellStyle name="Output 3 3 2 3 3 3" xfId="18834" xr:uid="{00000000-0005-0000-0000-000018580000}"/>
    <cellStyle name="Output 3 3 2 3 4" xfId="9845" xr:uid="{00000000-0005-0000-0000-000019580000}"/>
    <cellStyle name="Output 3 3 2 3 5" xfId="15161" xr:uid="{00000000-0005-0000-0000-00001A580000}"/>
    <cellStyle name="Output 3 3 2 3 6" xfId="14069" xr:uid="{00000000-0005-0000-0000-00001B580000}"/>
    <cellStyle name="Output 3 3 2 4" xfId="4305" xr:uid="{00000000-0005-0000-0000-00001C580000}"/>
    <cellStyle name="Output 3 3 2 4 2" xfId="8188" xr:uid="{00000000-0005-0000-0000-00001D580000}"/>
    <cellStyle name="Output 3 3 2 4 2 2" xfId="12156" xr:uid="{00000000-0005-0000-0000-00001E580000}"/>
    <cellStyle name="Output 3 3 2 4 2 3" xfId="18381" xr:uid="{00000000-0005-0000-0000-00001F580000}"/>
    <cellStyle name="Output 3 3 2 4 2 4" xfId="21706" xr:uid="{00000000-0005-0000-0000-000020580000}"/>
    <cellStyle name="Output 3 3 2 4 3" xfId="6480" xr:uid="{00000000-0005-0000-0000-000021580000}"/>
    <cellStyle name="Output 3 3 2 4 3 2" xfId="17090" xr:uid="{00000000-0005-0000-0000-000022580000}"/>
    <cellStyle name="Output 3 3 2 4 3 3" xfId="19998" xr:uid="{00000000-0005-0000-0000-000023580000}"/>
    <cellStyle name="Output 3 3 2 4 4" xfId="10023" xr:uid="{00000000-0005-0000-0000-000024580000}"/>
    <cellStyle name="Output 3 3 2 4 5" xfId="15436" xr:uid="{00000000-0005-0000-0000-000025580000}"/>
    <cellStyle name="Output 3 3 2 4 6" xfId="13700" xr:uid="{00000000-0005-0000-0000-000026580000}"/>
    <cellStyle name="Output 3 3 2 5" xfId="4687" xr:uid="{00000000-0005-0000-0000-000027580000}"/>
    <cellStyle name="Output 3 3 2 5 2" xfId="8420" xr:uid="{00000000-0005-0000-0000-000028580000}"/>
    <cellStyle name="Output 3 3 2 5 2 2" xfId="12388" xr:uid="{00000000-0005-0000-0000-000029580000}"/>
    <cellStyle name="Output 3 3 2 5 2 3" xfId="18552" xr:uid="{00000000-0005-0000-0000-00002A580000}"/>
    <cellStyle name="Output 3 3 2 5 2 4" xfId="21938" xr:uid="{00000000-0005-0000-0000-00002B580000}"/>
    <cellStyle name="Output 3 3 2 5 3" xfId="6712" xr:uid="{00000000-0005-0000-0000-00002C580000}"/>
    <cellStyle name="Output 3 3 2 5 3 2" xfId="17261" xr:uid="{00000000-0005-0000-0000-00002D580000}"/>
    <cellStyle name="Output 3 3 2 5 3 3" xfId="20230" xr:uid="{00000000-0005-0000-0000-00002E580000}"/>
    <cellStyle name="Output 3 3 2 5 4" xfId="10200" xr:uid="{00000000-0005-0000-0000-00002F580000}"/>
    <cellStyle name="Output 3 3 2 5 5" xfId="15710" xr:uid="{00000000-0005-0000-0000-000030580000}"/>
    <cellStyle name="Output 3 3 2 5 6" xfId="13318" xr:uid="{00000000-0005-0000-0000-000031580000}"/>
    <cellStyle name="Output 3 3 2 6" xfId="6944" xr:uid="{00000000-0005-0000-0000-000032580000}"/>
    <cellStyle name="Output 3 3 2 6 2" xfId="8652" xr:uid="{00000000-0005-0000-0000-000033580000}"/>
    <cellStyle name="Output 3 3 2 6 2 2" xfId="12620" xr:uid="{00000000-0005-0000-0000-000034580000}"/>
    <cellStyle name="Output 3 3 2 6 2 3" xfId="18723" xr:uid="{00000000-0005-0000-0000-000035580000}"/>
    <cellStyle name="Output 3 3 2 6 2 4" xfId="22170" xr:uid="{00000000-0005-0000-0000-000036580000}"/>
    <cellStyle name="Output 3 3 2 6 3" xfId="11078" xr:uid="{00000000-0005-0000-0000-000037580000}"/>
    <cellStyle name="Output 3 3 2 6 4" xfId="17431" xr:uid="{00000000-0005-0000-0000-000038580000}"/>
    <cellStyle name="Output 3 3 2 6 5" xfId="20462" xr:uid="{00000000-0005-0000-0000-000039580000}"/>
    <cellStyle name="Output 3 3 2 7" xfId="5932" xr:uid="{00000000-0005-0000-0000-00003A580000}"/>
    <cellStyle name="Output 3 3 2 7 2" xfId="10673" xr:uid="{00000000-0005-0000-0000-00003B580000}"/>
    <cellStyle name="Output 3 3 2 7 3" xfId="16669" xr:uid="{00000000-0005-0000-0000-00003C580000}"/>
    <cellStyle name="Output 3 3 2 7 4" xfId="19450" xr:uid="{00000000-0005-0000-0000-00003D580000}"/>
    <cellStyle name="Output 3 3 2 8" xfId="7640" xr:uid="{00000000-0005-0000-0000-00003E580000}"/>
    <cellStyle name="Output 3 3 2 8 2" xfId="11661" xr:uid="{00000000-0005-0000-0000-00003F580000}"/>
    <cellStyle name="Output 3 3 2 8 3" xfId="17961" xr:uid="{00000000-0005-0000-0000-000040580000}"/>
    <cellStyle name="Output 3 3 2 8 4" xfId="21158" xr:uid="{00000000-0005-0000-0000-000041580000}"/>
    <cellStyle name="Output 3 3 2 9" xfId="5028" xr:uid="{00000000-0005-0000-0000-000042580000}"/>
    <cellStyle name="Output 3 3 2 9 2" xfId="15984" xr:uid="{00000000-0005-0000-0000-000043580000}"/>
    <cellStyle name="Output 3 3 2 9 3" xfId="12991" xr:uid="{00000000-0005-0000-0000-000044580000}"/>
    <cellStyle name="Output 3 3 3" xfId="3068" xr:uid="{00000000-0005-0000-0000-000045580000}"/>
    <cellStyle name="Output 3 3 3 2" xfId="3455" xr:uid="{00000000-0005-0000-0000-000046580000}"/>
    <cellStyle name="Output 3 3 3 2 2" xfId="7863" xr:uid="{00000000-0005-0000-0000-000047580000}"/>
    <cellStyle name="Output 3 3 3 2 2 2" xfId="18121" xr:uid="{00000000-0005-0000-0000-000048580000}"/>
    <cellStyle name="Output 3 3 3 2 2 3" xfId="21381" xr:uid="{00000000-0005-0000-0000-000049580000}"/>
    <cellStyle name="Output 3 3 3 2 3" xfId="9560" xr:uid="{00000000-0005-0000-0000-00004A580000}"/>
    <cellStyle name="Output 3 3 3 2 4" xfId="14816" xr:uid="{00000000-0005-0000-0000-00004B580000}"/>
    <cellStyle name="Output 3 3 3 2 5" xfId="18402" xr:uid="{00000000-0005-0000-0000-00004C580000}"/>
    <cellStyle name="Output 3 3 3 3" xfId="3838" xr:uid="{00000000-0005-0000-0000-00004D580000}"/>
    <cellStyle name="Output 3 3 3 3 2" xfId="15092" xr:uid="{00000000-0005-0000-0000-00004E580000}"/>
    <cellStyle name="Output 3 3 3 3 3" xfId="14092" xr:uid="{00000000-0005-0000-0000-00004F580000}"/>
    <cellStyle name="Output 3 3 3 4" xfId="4221" xr:uid="{00000000-0005-0000-0000-000050580000}"/>
    <cellStyle name="Output 3 3 3 4 2" xfId="15367" xr:uid="{00000000-0005-0000-0000-000051580000}"/>
    <cellStyle name="Output 3 3 3 4 3" xfId="13784" xr:uid="{00000000-0005-0000-0000-000052580000}"/>
    <cellStyle name="Output 3 3 3 5" xfId="4603" xr:uid="{00000000-0005-0000-0000-000053580000}"/>
    <cellStyle name="Output 3 3 3 5 2" xfId="15641" xr:uid="{00000000-0005-0000-0000-000054580000}"/>
    <cellStyle name="Output 3 3 3 5 3" xfId="13402" xr:uid="{00000000-0005-0000-0000-000055580000}"/>
    <cellStyle name="Output 3 3 3 6" xfId="6155" xr:uid="{00000000-0005-0000-0000-000056580000}"/>
    <cellStyle name="Output 3 3 3 6 2" xfId="16829" xr:uid="{00000000-0005-0000-0000-000057580000}"/>
    <cellStyle name="Output 3 3 3 6 3" xfId="19673" xr:uid="{00000000-0005-0000-0000-000058580000}"/>
    <cellStyle name="Output 3 3 3 7" xfId="9208" xr:uid="{00000000-0005-0000-0000-000059580000}"/>
    <cellStyle name="Output 3 3 3 8" xfId="14536" xr:uid="{00000000-0005-0000-0000-00005A580000}"/>
    <cellStyle name="Output 3 3 3 9" xfId="15281" xr:uid="{00000000-0005-0000-0000-00005B580000}"/>
    <cellStyle name="Output 3 3 4" xfId="2860" xr:uid="{00000000-0005-0000-0000-00005C580000}"/>
    <cellStyle name="Output 3 3 4 2" xfId="8017" xr:uid="{00000000-0005-0000-0000-00005D580000}"/>
    <cellStyle name="Output 3 3 4 2 2" xfId="11993" xr:uid="{00000000-0005-0000-0000-00005E580000}"/>
    <cellStyle name="Output 3 3 4 2 3" xfId="18234" xr:uid="{00000000-0005-0000-0000-00005F580000}"/>
    <cellStyle name="Output 3 3 4 2 4" xfId="21535" xr:uid="{00000000-0005-0000-0000-000060580000}"/>
    <cellStyle name="Output 3 3 4 3" xfId="6309" xr:uid="{00000000-0005-0000-0000-000061580000}"/>
    <cellStyle name="Output 3 3 4 3 2" xfId="16943" xr:uid="{00000000-0005-0000-0000-000062580000}"/>
    <cellStyle name="Output 3 3 4 3 3" xfId="19827" xr:uid="{00000000-0005-0000-0000-000063580000}"/>
    <cellStyle name="Output 3 3 4 4" xfId="9013" xr:uid="{00000000-0005-0000-0000-000064580000}"/>
    <cellStyle name="Output 3 3 4 5" xfId="14398" xr:uid="{00000000-0005-0000-0000-000065580000}"/>
    <cellStyle name="Output 3 3 4 6" xfId="17997" xr:uid="{00000000-0005-0000-0000-000066580000}"/>
    <cellStyle name="Output 3 3 5" xfId="5478" xr:uid="{00000000-0005-0000-0000-000067580000}"/>
    <cellStyle name="Output 3 3 5 2" xfId="7187" xr:uid="{00000000-0005-0000-0000-000068580000}"/>
    <cellStyle name="Output 3 3 5 2 2" xfId="11316" xr:uid="{00000000-0005-0000-0000-000069580000}"/>
    <cellStyle name="Output 3 3 5 2 3" xfId="17596" xr:uid="{00000000-0005-0000-0000-00006A580000}"/>
    <cellStyle name="Output 3 3 5 2 4" xfId="20705" xr:uid="{00000000-0005-0000-0000-00006B580000}"/>
    <cellStyle name="Output 3 3 5 3" xfId="10473" xr:uid="{00000000-0005-0000-0000-00006C580000}"/>
    <cellStyle name="Output 3 3 5 4" xfId="16306" xr:uid="{00000000-0005-0000-0000-00006D580000}"/>
    <cellStyle name="Output 3 3 5 5" xfId="18996" xr:uid="{00000000-0005-0000-0000-00006E580000}"/>
    <cellStyle name="Output 3 3 6" xfId="6323" xr:uid="{00000000-0005-0000-0000-00006F580000}"/>
    <cellStyle name="Output 3 3 6 2" xfId="8031" xr:uid="{00000000-0005-0000-0000-000070580000}"/>
    <cellStyle name="Output 3 3 6 2 2" xfId="12005" xr:uid="{00000000-0005-0000-0000-000071580000}"/>
    <cellStyle name="Output 3 3 6 2 3" xfId="18245" xr:uid="{00000000-0005-0000-0000-000072580000}"/>
    <cellStyle name="Output 3 3 6 2 4" xfId="21549" xr:uid="{00000000-0005-0000-0000-000073580000}"/>
    <cellStyle name="Output 3 3 6 3" xfId="10864" xr:uid="{00000000-0005-0000-0000-000074580000}"/>
    <cellStyle name="Output 3 3 6 4" xfId="16954" xr:uid="{00000000-0005-0000-0000-000075580000}"/>
    <cellStyle name="Output 3 3 6 5" xfId="19841" xr:uid="{00000000-0005-0000-0000-000076580000}"/>
    <cellStyle name="Output 3 3 7" xfId="5515" xr:uid="{00000000-0005-0000-0000-000077580000}"/>
    <cellStyle name="Output 3 3 7 2" xfId="7224" xr:uid="{00000000-0005-0000-0000-000078580000}"/>
    <cellStyle name="Output 3 3 7 2 2" xfId="11349" xr:uid="{00000000-0005-0000-0000-000079580000}"/>
    <cellStyle name="Output 3 3 7 2 3" xfId="17627" xr:uid="{00000000-0005-0000-0000-00007A580000}"/>
    <cellStyle name="Output 3 3 7 2 4" xfId="20742" xr:uid="{00000000-0005-0000-0000-00007B580000}"/>
    <cellStyle name="Output 3 3 7 3" xfId="10489" xr:uid="{00000000-0005-0000-0000-00007C580000}"/>
    <cellStyle name="Output 3 3 7 4" xfId="16336" xr:uid="{00000000-0005-0000-0000-00007D580000}"/>
    <cellStyle name="Output 3 3 7 5" xfId="19033" xr:uid="{00000000-0005-0000-0000-00007E580000}"/>
    <cellStyle name="Output 3 3 8" xfId="5763" xr:uid="{00000000-0005-0000-0000-00007F580000}"/>
    <cellStyle name="Output 3 3 8 2" xfId="10540" xr:uid="{00000000-0005-0000-0000-000080580000}"/>
    <cellStyle name="Output 3 3 8 3" xfId="16541" xr:uid="{00000000-0005-0000-0000-000081580000}"/>
    <cellStyle name="Output 3 3 8 4" xfId="19281" xr:uid="{00000000-0005-0000-0000-000082580000}"/>
    <cellStyle name="Output 3 3 9" xfId="7472" xr:uid="{00000000-0005-0000-0000-000083580000}"/>
    <cellStyle name="Output 3 3 9 2" xfId="11527" xr:uid="{00000000-0005-0000-0000-000084580000}"/>
    <cellStyle name="Output 3 3 9 3" xfId="17832" xr:uid="{00000000-0005-0000-0000-000085580000}"/>
    <cellStyle name="Output 3 3 9 4" xfId="20990" xr:uid="{00000000-0005-0000-0000-000086580000}"/>
    <cellStyle name="Output 3 4" xfId="3181" xr:uid="{00000000-0005-0000-0000-000087580000}"/>
    <cellStyle name="Output 3 4 10" xfId="9311" xr:uid="{00000000-0005-0000-0000-000088580000}"/>
    <cellStyle name="Output 3 4 11" xfId="14627" xr:uid="{00000000-0005-0000-0000-000089580000}"/>
    <cellStyle name="Output 3 4 12" xfId="17852" xr:uid="{00000000-0005-0000-0000-00008A580000}"/>
    <cellStyle name="Output 3 4 2" xfId="3568" xr:uid="{00000000-0005-0000-0000-00008B580000}"/>
    <cellStyle name="Output 3 4 2 2" xfId="7317" xr:uid="{00000000-0005-0000-0000-00008C580000}"/>
    <cellStyle name="Output 3 4 2 2 2" xfId="11407" xr:uid="{00000000-0005-0000-0000-00008D580000}"/>
    <cellStyle name="Output 3 4 2 2 3" xfId="17710" xr:uid="{00000000-0005-0000-0000-00008E580000}"/>
    <cellStyle name="Output 3 4 2 2 4" xfId="20835" xr:uid="{00000000-0005-0000-0000-00008F580000}"/>
    <cellStyle name="Output 3 4 2 3" xfId="5608" xr:uid="{00000000-0005-0000-0000-000090580000}"/>
    <cellStyle name="Output 3 4 2 3 2" xfId="16419" xr:uid="{00000000-0005-0000-0000-000091580000}"/>
    <cellStyle name="Output 3 4 2 3 3" xfId="19126" xr:uid="{00000000-0005-0000-0000-000092580000}"/>
    <cellStyle name="Output 3 4 2 4" xfId="9660" xr:uid="{00000000-0005-0000-0000-000093580000}"/>
    <cellStyle name="Output 3 4 2 5" xfId="14907" xr:uid="{00000000-0005-0000-0000-000094580000}"/>
    <cellStyle name="Output 3 4 2 6" xfId="17248" xr:uid="{00000000-0005-0000-0000-000095580000}"/>
    <cellStyle name="Output 3 4 3" xfId="3951" xr:uid="{00000000-0005-0000-0000-000096580000}"/>
    <cellStyle name="Output 3 4 3 2" xfId="8009" xr:uid="{00000000-0005-0000-0000-000097580000}"/>
    <cellStyle name="Output 3 4 3 2 2" xfId="11985" xr:uid="{00000000-0005-0000-0000-000098580000}"/>
    <cellStyle name="Output 3 4 3 2 3" xfId="18226" xr:uid="{00000000-0005-0000-0000-000099580000}"/>
    <cellStyle name="Output 3 4 3 2 4" xfId="21527" xr:uid="{00000000-0005-0000-0000-00009A580000}"/>
    <cellStyle name="Output 3 4 3 3" xfId="6301" xr:uid="{00000000-0005-0000-0000-00009B580000}"/>
    <cellStyle name="Output 3 4 3 3 2" xfId="16935" xr:uid="{00000000-0005-0000-0000-00009C580000}"/>
    <cellStyle name="Output 3 4 3 3 3" xfId="19819" xr:uid="{00000000-0005-0000-0000-00009D580000}"/>
    <cellStyle name="Output 3 4 3 4" xfId="9874" xr:uid="{00000000-0005-0000-0000-00009E580000}"/>
    <cellStyle name="Output 3 4 3 5" xfId="15183" xr:uid="{00000000-0005-0000-0000-00009F580000}"/>
    <cellStyle name="Output 3 4 3 6" xfId="14040" xr:uid="{00000000-0005-0000-0000-0000A0580000}"/>
    <cellStyle name="Output 3 4 4" xfId="4334" xr:uid="{00000000-0005-0000-0000-0000A1580000}"/>
    <cellStyle name="Output 3 4 4 2" xfId="8159" xr:uid="{00000000-0005-0000-0000-0000A2580000}"/>
    <cellStyle name="Output 3 4 4 2 2" xfId="12127" xr:uid="{00000000-0005-0000-0000-0000A3580000}"/>
    <cellStyle name="Output 3 4 4 2 3" xfId="18359" xr:uid="{00000000-0005-0000-0000-0000A4580000}"/>
    <cellStyle name="Output 3 4 4 2 4" xfId="21677" xr:uid="{00000000-0005-0000-0000-0000A5580000}"/>
    <cellStyle name="Output 3 4 4 3" xfId="6451" xr:uid="{00000000-0005-0000-0000-0000A6580000}"/>
    <cellStyle name="Output 3 4 4 3 2" xfId="17068" xr:uid="{00000000-0005-0000-0000-0000A7580000}"/>
    <cellStyle name="Output 3 4 4 3 3" xfId="19969" xr:uid="{00000000-0005-0000-0000-0000A8580000}"/>
    <cellStyle name="Output 3 4 4 4" xfId="10052" xr:uid="{00000000-0005-0000-0000-0000A9580000}"/>
    <cellStyle name="Output 3 4 4 5" xfId="15458" xr:uid="{00000000-0005-0000-0000-0000AA580000}"/>
    <cellStyle name="Output 3 4 4 6" xfId="13671" xr:uid="{00000000-0005-0000-0000-0000AB580000}"/>
    <cellStyle name="Output 3 4 5" xfId="4716" xr:uid="{00000000-0005-0000-0000-0000AC580000}"/>
    <cellStyle name="Output 3 4 5 2" xfId="8391" xr:uid="{00000000-0005-0000-0000-0000AD580000}"/>
    <cellStyle name="Output 3 4 5 2 2" xfId="12359" xr:uid="{00000000-0005-0000-0000-0000AE580000}"/>
    <cellStyle name="Output 3 4 5 2 3" xfId="18530" xr:uid="{00000000-0005-0000-0000-0000AF580000}"/>
    <cellStyle name="Output 3 4 5 2 4" xfId="21909" xr:uid="{00000000-0005-0000-0000-0000B0580000}"/>
    <cellStyle name="Output 3 4 5 3" xfId="6683" xr:uid="{00000000-0005-0000-0000-0000B1580000}"/>
    <cellStyle name="Output 3 4 5 3 2" xfId="17239" xr:uid="{00000000-0005-0000-0000-0000B2580000}"/>
    <cellStyle name="Output 3 4 5 3 3" xfId="20201" xr:uid="{00000000-0005-0000-0000-0000B3580000}"/>
    <cellStyle name="Output 3 4 5 4" xfId="10229" xr:uid="{00000000-0005-0000-0000-0000B4580000}"/>
    <cellStyle name="Output 3 4 5 5" xfId="15732" xr:uid="{00000000-0005-0000-0000-0000B5580000}"/>
    <cellStyle name="Output 3 4 5 6" xfId="13289" xr:uid="{00000000-0005-0000-0000-0000B6580000}"/>
    <cellStyle name="Output 3 4 6" xfId="6915" xr:uid="{00000000-0005-0000-0000-0000B7580000}"/>
    <cellStyle name="Output 3 4 6 2" xfId="8623" xr:uid="{00000000-0005-0000-0000-0000B8580000}"/>
    <cellStyle name="Output 3 4 6 2 2" xfId="12591" xr:uid="{00000000-0005-0000-0000-0000B9580000}"/>
    <cellStyle name="Output 3 4 6 2 3" xfId="18701" xr:uid="{00000000-0005-0000-0000-0000BA580000}"/>
    <cellStyle name="Output 3 4 6 2 4" xfId="22141" xr:uid="{00000000-0005-0000-0000-0000BB580000}"/>
    <cellStyle name="Output 3 4 6 3" xfId="11049" xr:uid="{00000000-0005-0000-0000-0000BC580000}"/>
    <cellStyle name="Output 3 4 6 4" xfId="17409" xr:uid="{00000000-0005-0000-0000-0000BD580000}"/>
    <cellStyle name="Output 3 4 6 5" xfId="20433" xr:uid="{00000000-0005-0000-0000-0000BE580000}"/>
    <cellStyle name="Output 3 4 7" xfId="5903" xr:uid="{00000000-0005-0000-0000-0000BF580000}"/>
    <cellStyle name="Output 3 4 7 2" xfId="10644" xr:uid="{00000000-0005-0000-0000-0000C0580000}"/>
    <cellStyle name="Output 3 4 7 3" xfId="16647" xr:uid="{00000000-0005-0000-0000-0000C1580000}"/>
    <cellStyle name="Output 3 4 7 4" xfId="19421" xr:uid="{00000000-0005-0000-0000-0000C2580000}"/>
    <cellStyle name="Output 3 4 8" xfId="7611" xr:uid="{00000000-0005-0000-0000-0000C3580000}"/>
    <cellStyle name="Output 3 4 8 2" xfId="11632" xr:uid="{00000000-0005-0000-0000-0000C4580000}"/>
    <cellStyle name="Output 3 4 8 3" xfId="17939" xr:uid="{00000000-0005-0000-0000-0000C5580000}"/>
    <cellStyle name="Output 3 4 8 4" xfId="21129" xr:uid="{00000000-0005-0000-0000-0000C6580000}"/>
    <cellStyle name="Output 3 4 9" xfId="4998" xr:uid="{00000000-0005-0000-0000-0000C7580000}"/>
    <cellStyle name="Output 3 4 9 2" xfId="15962" xr:uid="{00000000-0005-0000-0000-0000C8580000}"/>
    <cellStyle name="Output 3 4 9 3" xfId="13021" xr:uid="{00000000-0005-0000-0000-0000C9580000}"/>
    <cellStyle name="Output 3 5" xfId="2999" xr:uid="{00000000-0005-0000-0000-0000CA580000}"/>
    <cellStyle name="Output 3 5 2" xfId="3386" xr:uid="{00000000-0005-0000-0000-0000CB580000}"/>
    <cellStyle name="Output 3 5 2 2" xfId="7231" xr:uid="{00000000-0005-0000-0000-0000CC580000}"/>
    <cellStyle name="Output 3 5 2 2 2" xfId="17634" xr:uid="{00000000-0005-0000-0000-0000CD580000}"/>
    <cellStyle name="Output 3 5 2 2 3" xfId="20749" xr:uid="{00000000-0005-0000-0000-0000CE580000}"/>
    <cellStyle name="Output 3 5 2 3" xfId="9512" xr:uid="{00000000-0005-0000-0000-0000CF580000}"/>
    <cellStyle name="Output 3 5 2 4" xfId="14763" xr:uid="{00000000-0005-0000-0000-0000D0580000}"/>
    <cellStyle name="Output 3 5 2 5" xfId="16641" xr:uid="{00000000-0005-0000-0000-0000D1580000}"/>
    <cellStyle name="Output 3 5 3" xfId="3769" xr:uid="{00000000-0005-0000-0000-0000D2580000}"/>
    <cellStyle name="Output 3 5 3 2" xfId="15039" xr:uid="{00000000-0005-0000-0000-0000D3580000}"/>
    <cellStyle name="Output 3 5 3 3" xfId="14732" xr:uid="{00000000-0005-0000-0000-0000D4580000}"/>
    <cellStyle name="Output 3 5 4" xfId="4152" xr:uid="{00000000-0005-0000-0000-0000D5580000}"/>
    <cellStyle name="Output 3 5 4 2" xfId="15314" xr:uid="{00000000-0005-0000-0000-0000D6580000}"/>
    <cellStyle name="Output 3 5 4 3" xfId="13848" xr:uid="{00000000-0005-0000-0000-0000D7580000}"/>
    <cellStyle name="Output 3 5 5" xfId="4534" xr:uid="{00000000-0005-0000-0000-0000D8580000}"/>
    <cellStyle name="Output 3 5 5 2" xfId="15588" xr:uid="{00000000-0005-0000-0000-0000D9580000}"/>
    <cellStyle name="Output 3 5 5 3" xfId="13471" xr:uid="{00000000-0005-0000-0000-0000DA580000}"/>
    <cellStyle name="Output 3 5 6" xfId="5522" xr:uid="{00000000-0005-0000-0000-0000DB580000}"/>
    <cellStyle name="Output 3 5 6 2" xfId="16343" xr:uid="{00000000-0005-0000-0000-0000DC580000}"/>
    <cellStyle name="Output 3 5 6 3" xfId="19040" xr:uid="{00000000-0005-0000-0000-0000DD580000}"/>
    <cellStyle name="Output 3 5 7" xfId="9147" xr:uid="{00000000-0005-0000-0000-0000DE580000}"/>
    <cellStyle name="Output 3 5 8" xfId="14483" xr:uid="{00000000-0005-0000-0000-0000DF580000}"/>
    <cellStyle name="Output 3 5 9" xfId="14455" xr:uid="{00000000-0005-0000-0000-0000E0580000}"/>
    <cellStyle name="Output 3 6" xfId="6180" xr:uid="{00000000-0005-0000-0000-0000E1580000}"/>
    <cellStyle name="Output 3 6 2" xfId="7888" xr:uid="{00000000-0005-0000-0000-0000E2580000}"/>
    <cellStyle name="Output 3 6 2 2" xfId="11877" xr:uid="{00000000-0005-0000-0000-0000E3580000}"/>
    <cellStyle name="Output 3 6 2 3" xfId="18144" xr:uid="{00000000-0005-0000-0000-0000E4580000}"/>
    <cellStyle name="Output 3 6 2 4" xfId="21406" xr:uid="{00000000-0005-0000-0000-0000E5580000}"/>
    <cellStyle name="Output 3 6 3" xfId="10835" xr:uid="{00000000-0005-0000-0000-0000E6580000}"/>
    <cellStyle name="Output 3 6 4" xfId="16852" xr:uid="{00000000-0005-0000-0000-0000E7580000}"/>
    <cellStyle name="Output 3 6 5" xfId="19698" xr:uid="{00000000-0005-0000-0000-0000E8580000}"/>
    <cellStyle name="Output 3 7" xfId="5422" xr:uid="{00000000-0005-0000-0000-0000E9580000}"/>
    <cellStyle name="Output 3 7 2" xfId="7131" xr:uid="{00000000-0005-0000-0000-0000EA580000}"/>
    <cellStyle name="Output 3 7 2 2" xfId="11265" xr:uid="{00000000-0005-0000-0000-0000EB580000}"/>
    <cellStyle name="Output 3 7 2 3" xfId="17550" xr:uid="{00000000-0005-0000-0000-0000EC580000}"/>
    <cellStyle name="Output 3 7 2 4" xfId="20649" xr:uid="{00000000-0005-0000-0000-0000ED580000}"/>
    <cellStyle name="Output 3 7 3" xfId="10439" xr:uid="{00000000-0005-0000-0000-0000EE580000}"/>
    <cellStyle name="Output 3 7 4" xfId="16260" xr:uid="{00000000-0005-0000-0000-0000EF580000}"/>
    <cellStyle name="Output 3 7 5" xfId="18940" xr:uid="{00000000-0005-0000-0000-0000F0580000}"/>
    <cellStyle name="Output 3 8" xfId="6191" xr:uid="{00000000-0005-0000-0000-0000F1580000}"/>
    <cellStyle name="Output 3 8 2" xfId="7899" xr:uid="{00000000-0005-0000-0000-0000F2580000}"/>
    <cellStyle name="Output 3 8 2 2" xfId="11885" xr:uid="{00000000-0005-0000-0000-0000F3580000}"/>
    <cellStyle name="Output 3 8 2 3" xfId="18153" xr:uid="{00000000-0005-0000-0000-0000F4580000}"/>
    <cellStyle name="Output 3 8 2 4" xfId="21417" xr:uid="{00000000-0005-0000-0000-0000F5580000}"/>
    <cellStyle name="Output 3 8 3" xfId="10842" xr:uid="{00000000-0005-0000-0000-0000F6580000}"/>
    <cellStyle name="Output 3 8 4" xfId="16861" xr:uid="{00000000-0005-0000-0000-0000F7580000}"/>
    <cellStyle name="Output 3 8 5" xfId="19709" xr:uid="{00000000-0005-0000-0000-0000F8580000}"/>
    <cellStyle name="Output 3 9" xfId="6343" xr:uid="{00000000-0005-0000-0000-0000F9580000}"/>
    <cellStyle name="Output 3 9 2" xfId="8051" xr:uid="{00000000-0005-0000-0000-0000FA580000}"/>
    <cellStyle name="Output 3 9 2 2" xfId="12022" xr:uid="{00000000-0005-0000-0000-0000FB580000}"/>
    <cellStyle name="Output 3 9 2 3" xfId="18262" xr:uid="{00000000-0005-0000-0000-0000FC580000}"/>
    <cellStyle name="Output 3 9 2 4" xfId="21569" xr:uid="{00000000-0005-0000-0000-0000FD580000}"/>
    <cellStyle name="Output 3 9 3" xfId="10878" xr:uid="{00000000-0005-0000-0000-0000FE580000}"/>
    <cellStyle name="Output 3 9 4" xfId="16971" xr:uid="{00000000-0005-0000-0000-0000FF580000}"/>
    <cellStyle name="Output 3 9 5" xfId="19861" xr:uid="{00000000-0005-0000-0000-000000590000}"/>
    <cellStyle name="Output 4" xfId="3010" xr:uid="{00000000-0005-0000-0000-000001590000}"/>
    <cellStyle name="Output 4 2" xfId="3397" xr:uid="{00000000-0005-0000-0000-000002590000}"/>
    <cellStyle name="Output 4 2 2" xfId="8036" xr:uid="{00000000-0005-0000-0000-000003590000}"/>
    <cellStyle name="Output 4 2 2 2" xfId="18249" xr:uid="{00000000-0005-0000-0000-000004590000}"/>
    <cellStyle name="Output 4 2 2 3" xfId="21554" xr:uid="{00000000-0005-0000-0000-000005590000}"/>
    <cellStyle name="Output 4 2 3" xfId="9517" xr:uid="{00000000-0005-0000-0000-000006590000}"/>
    <cellStyle name="Output 4 2 4" xfId="14771" xr:uid="{00000000-0005-0000-0000-000007590000}"/>
    <cellStyle name="Output 4 2 5" xfId="15189" xr:uid="{00000000-0005-0000-0000-000008590000}"/>
    <cellStyle name="Output 4 3" xfId="3780" xr:uid="{00000000-0005-0000-0000-000009590000}"/>
    <cellStyle name="Output 4 3 2" xfId="15047" xr:uid="{00000000-0005-0000-0000-00000A590000}"/>
    <cellStyle name="Output 4 3 3" xfId="16130" xr:uid="{00000000-0005-0000-0000-00000B590000}"/>
    <cellStyle name="Output 4 4" xfId="4163" xr:uid="{00000000-0005-0000-0000-00000C590000}"/>
    <cellStyle name="Output 4 4 2" xfId="15322" xr:uid="{00000000-0005-0000-0000-00000D590000}"/>
    <cellStyle name="Output 4 4 3" xfId="13842" xr:uid="{00000000-0005-0000-0000-00000E590000}"/>
    <cellStyle name="Output 4 5" xfId="4545" xr:uid="{00000000-0005-0000-0000-00000F590000}"/>
    <cellStyle name="Output 4 5 2" xfId="15596" xr:uid="{00000000-0005-0000-0000-000010590000}"/>
    <cellStyle name="Output 4 5 3" xfId="13460" xr:uid="{00000000-0005-0000-0000-000011590000}"/>
    <cellStyle name="Output 4 6" xfId="6328" xr:uid="{00000000-0005-0000-0000-000012590000}"/>
    <cellStyle name="Output 4 6 2" xfId="16958" xr:uid="{00000000-0005-0000-0000-000013590000}"/>
    <cellStyle name="Output 4 6 3" xfId="19846" xr:uid="{00000000-0005-0000-0000-000014590000}"/>
    <cellStyle name="Output 4 7" xfId="9153" xr:uid="{00000000-0005-0000-0000-000015590000}"/>
    <cellStyle name="Output 4 8" xfId="14491" xr:uid="{00000000-0005-0000-0000-000016590000}"/>
    <cellStyle name="Output 4 9" xfId="18029" xr:uid="{00000000-0005-0000-0000-000017590000}"/>
    <cellStyle name="Output 5" xfId="3103" xr:uid="{00000000-0005-0000-0000-000018590000}"/>
    <cellStyle name="Output 5 2" xfId="3490" xr:uid="{00000000-0005-0000-0000-000019590000}"/>
    <cellStyle name="Output 5 2 2" xfId="8076" xr:uid="{00000000-0005-0000-0000-00001A590000}"/>
    <cellStyle name="Output 5 2 2 2" xfId="18282" xr:uid="{00000000-0005-0000-0000-00001B590000}"/>
    <cellStyle name="Output 5 2 2 3" xfId="21594" xr:uid="{00000000-0005-0000-0000-00001C590000}"/>
    <cellStyle name="Output 5 2 3" xfId="9583" xr:uid="{00000000-0005-0000-0000-00001D590000}"/>
    <cellStyle name="Output 5 2 4" xfId="14845" xr:uid="{00000000-0005-0000-0000-00001E590000}"/>
    <cellStyle name="Output 5 2 5" xfId="14676" xr:uid="{00000000-0005-0000-0000-00001F590000}"/>
    <cellStyle name="Output 5 3" xfId="3873" xr:uid="{00000000-0005-0000-0000-000020590000}"/>
    <cellStyle name="Output 5 3 2" xfId="15121" xr:uid="{00000000-0005-0000-0000-000021590000}"/>
    <cellStyle name="Output 5 3 3" xfId="14192" xr:uid="{00000000-0005-0000-0000-000022590000}"/>
    <cellStyle name="Output 5 4" xfId="4256" xr:uid="{00000000-0005-0000-0000-000023590000}"/>
    <cellStyle name="Output 5 4 2" xfId="15396" xr:uid="{00000000-0005-0000-0000-000024590000}"/>
    <cellStyle name="Output 5 4 3" xfId="13749" xr:uid="{00000000-0005-0000-0000-000025590000}"/>
    <cellStyle name="Output 5 5" xfId="4638" xr:uid="{00000000-0005-0000-0000-000026590000}"/>
    <cellStyle name="Output 5 5 2" xfId="15670" xr:uid="{00000000-0005-0000-0000-000027590000}"/>
    <cellStyle name="Output 5 5 3" xfId="13367" xr:uid="{00000000-0005-0000-0000-000028590000}"/>
    <cellStyle name="Output 5 6" xfId="6368" xr:uid="{00000000-0005-0000-0000-000029590000}"/>
    <cellStyle name="Output 5 6 2" xfId="16991" xr:uid="{00000000-0005-0000-0000-00002A590000}"/>
    <cellStyle name="Output 5 6 3" xfId="19886" xr:uid="{00000000-0005-0000-0000-00002B590000}"/>
    <cellStyle name="Output 5 7" xfId="9234" xr:uid="{00000000-0005-0000-0000-00002C590000}"/>
    <cellStyle name="Output 5 8" xfId="14565" xr:uid="{00000000-0005-0000-0000-00002D590000}"/>
    <cellStyle name="Output 5 9" xfId="17415" xr:uid="{00000000-0005-0000-0000-00002E590000}"/>
    <cellStyle name="Output 6" xfId="5310" xr:uid="{00000000-0005-0000-0000-00002F590000}"/>
    <cellStyle name="Output 6 2" xfId="5104" xr:uid="{00000000-0005-0000-0000-000030590000}"/>
    <cellStyle name="Output 6 2 2" xfId="10348" xr:uid="{00000000-0005-0000-0000-000031590000}"/>
    <cellStyle name="Output 6 2 3" xfId="16039" xr:uid="{00000000-0005-0000-0000-000032590000}"/>
    <cellStyle name="Output 6 2 4" xfId="12935" xr:uid="{00000000-0005-0000-0000-000033590000}"/>
    <cellStyle name="Output 6 3" xfId="10418" xr:uid="{00000000-0005-0000-0000-000034590000}"/>
    <cellStyle name="Output 6 4" xfId="16183" xr:uid="{00000000-0005-0000-0000-000035590000}"/>
    <cellStyle name="Output 6 5" xfId="18828" xr:uid="{00000000-0005-0000-0000-000036590000}"/>
    <cellStyle name="Output 7" xfId="22400" xr:uid="{00000000-0005-0000-0000-000037590000}"/>
    <cellStyle name="Output 8" xfId="2533" xr:uid="{00000000-0005-0000-0000-000038590000}"/>
    <cellStyle name="Output 9" xfId="2071" xr:uid="{00000000-0005-0000-0000-000039590000}"/>
    <cellStyle name="Percent [2]" xfId="31892" xr:uid="{00000000-0005-0000-0000-00003A590000}"/>
    <cellStyle name="Percent [2] 2" xfId="31893" xr:uid="{00000000-0005-0000-0000-00003B590000}"/>
    <cellStyle name="Percent [2] 2 2" xfId="31894" xr:uid="{00000000-0005-0000-0000-00003C590000}"/>
    <cellStyle name="Percent [2] 3" xfId="31895" xr:uid="{00000000-0005-0000-0000-00003D590000}"/>
    <cellStyle name="Percent [2] 4" xfId="31896" xr:uid="{00000000-0005-0000-0000-00003E590000}"/>
    <cellStyle name="Percent_Sheet1" xfId="31897" xr:uid="{00000000-0005-0000-0000-00003F590000}"/>
    <cellStyle name="Percentual" xfId="31898" xr:uid="{00000000-0005-0000-0000-000040590000}"/>
    <cellStyle name="planilhas" xfId="1556" xr:uid="{00000000-0005-0000-0000-000041590000}"/>
    <cellStyle name="planilhas 10" xfId="1557" xr:uid="{00000000-0005-0000-0000-000042590000}"/>
    <cellStyle name="planilhas 10 2" xfId="1558" xr:uid="{00000000-0005-0000-0000-000043590000}"/>
    <cellStyle name="planilhas 11" xfId="1559" xr:uid="{00000000-0005-0000-0000-000044590000}"/>
    <cellStyle name="planilhas 11 2" xfId="1560" xr:uid="{00000000-0005-0000-0000-000045590000}"/>
    <cellStyle name="planilhas 12" xfId="1561" xr:uid="{00000000-0005-0000-0000-000046590000}"/>
    <cellStyle name="planilhas 12 2" xfId="1562" xr:uid="{00000000-0005-0000-0000-000047590000}"/>
    <cellStyle name="planilhas 13" xfId="1563" xr:uid="{00000000-0005-0000-0000-000048590000}"/>
    <cellStyle name="planilhas 13 2" xfId="1564" xr:uid="{00000000-0005-0000-0000-000049590000}"/>
    <cellStyle name="planilhas 14" xfId="1565" xr:uid="{00000000-0005-0000-0000-00004A590000}"/>
    <cellStyle name="planilhas 14 2" xfId="1566" xr:uid="{00000000-0005-0000-0000-00004B590000}"/>
    <cellStyle name="planilhas 15" xfId="1567" xr:uid="{00000000-0005-0000-0000-00004C590000}"/>
    <cellStyle name="planilhas 15 2" xfId="1568" xr:uid="{00000000-0005-0000-0000-00004D590000}"/>
    <cellStyle name="planilhas 16" xfId="1569" xr:uid="{00000000-0005-0000-0000-00004E590000}"/>
    <cellStyle name="planilhas 16 2" xfId="1570" xr:uid="{00000000-0005-0000-0000-00004F590000}"/>
    <cellStyle name="planilhas 17" xfId="1571" xr:uid="{00000000-0005-0000-0000-000050590000}"/>
    <cellStyle name="planilhas 17 2" xfId="1572" xr:uid="{00000000-0005-0000-0000-000051590000}"/>
    <cellStyle name="planilhas 18" xfId="1573" xr:uid="{00000000-0005-0000-0000-000052590000}"/>
    <cellStyle name="planilhas 18 2" xfId="1574" xr:uid="{00000000-0005-0000-0000-000053590000}"/>
    <cellStyle name="planilhas 19" xfId="1575" xr:uid="{00000000-0005-0000-0000-000054590000}"/>
    <cellStyle name="planilhas 19 2" xfId="1576" xr:uid="{00000000-0005-0000-0000-000055590000}"/>
    <cellStyle name="planilhas 2" xfId="1577" xr:uid="{00000000-0005-0000-0000-000056590000}"/>
    <cellStyle name="planilhas 2 2" xfId="1578" xr:uid="{00000000-0005-0000-0000-000057590000}"/>
    <cellStyle name="planilhas 20" xfId="1579" xr:uid="{00000000-0005-0000-0000-000058590000}"/>
    <cellStyle name="planilhas 20 2" xfId="1580" xr:uid="{00000000-0005-0000-0000-000059590000}"/>
    <cellStyle name="planilhas 21" xfId="1581" xr:uid="{00000000-0005-0000-0000-00005A590000}"/>
    <cellStyle name="planilhas 21 2" xfId="1582" xr:uid="{00000000-0005-0000-0000-00005B590000}"/>
    <cellStyle name="planilhas 22" xfId="1583" xr:uid="{00000000-0005-0000-0000-00005C590000}"/>
    <cellStyle name="planilhas 22 2" xfId="1584" xr:uid="{00000000-0005-0000-0000-00005D590000}"/>
    <cellStyle name="planilhas 23" xfId="1585" xr:uid="{00000000-0005-0000-0000-00005E590000}"/>
    <cellStyle name="planilhas 3" xfId="1586" xr:uid="{00000000-0005-0000-0000-00005F590000}"/>
    <cellStyle name="planilhas 3 2" xfId="1587" xr:uid="{00000000-0005-0000-0000-000060590000}"/>
    <cellStyle name="planilhas 4" xfId="1588" xr:uid="{00000000-0005-0000-0000-000061590000}"/>
    <cellStyle name="planilhas 4 2" xfId="1589" xr:uid="{00000000-0005-0000-0000-000062590000}"/>
    <cellStyle name="planilhas 5" xfId="1590" xr:uid="{00000000-0005-0000-0000-000063590000}"/>
    <cellStyle name="planilhas 5 2" xfId="1591" xr:uid="{00000000-0005-0000-0000-000064590000}"/>
    <cellStyle name="planilhas 6" xfId="1592" xr:uid="{00000000-0005-0000-0000-000065590000}"/>
    <cellStyle name="planilhas 6 2" xfId="1593" xr:uid="{00000000-0005-0000-0000-000066590000}"/>
    <cellStyle name="planilhas 7" xfId="1594" xr:uid="{00000000-0005-0000-0000-000067590000}"/>
    <cellStyle name="planilhas 7 2" xfId="1595" xr:uid="{00000000-0005-0000-0000-000068590000}"/>
    <cellStyle name="planilhas 8" xfId="1596" xr:uid="{00000000-0005-0000-0000-000069590000}"/>
    <cellStyle name="planilhas 8 2" xfId="1597" xr:uid="{00000000-0005-0000-0000-00006A590000}"/>
    <cellStyle name="planilhas 9" xfId="1598" xr:uid="{00000000-0005-0000-0000-00006B590000}"/>
    <cellStyle name="planilhas 9 2" xfId="1599" xr:uid="{00000000-0005-0000-0000-00006C590000}"/>
    <cellStyle name="Ponto" xfId="31899" xr:uid="{00000000-0005-0000-0000-00006D590000}"/>
    <cellStyle name="Porcentagem" xfId="2" builtinId="5" customBuiltin="1"/>
    <cellStyle name="Porcentagem 10" xfId="1600" xr:uid="{00000000-0005-0000-0000-00006F590000}"/>
    <cellStyle name="Porcentagem 10 2" xfId="1601" xr:uid="{00000000-0005-0000-0000-000070590000}"/>
    <cellStyle name="Porcentagem 11" xfId="1602" xr:uid="{00000000-0005-0000-0000-000071590000}"/>
    <cellStyle name="Porcentagem 11 2" xfId="1603" xr:uid="{00000000-0005-0000-0000-000072590000}"/>
    <cellStyle name="Porcentagem 12" xfId="1604" xr:uid="{00000000-0005-0000-0000-000073590000}"/>
    <cellStyle name="Porcentagem 12 2" xfId="1605" xr:uid="{00000000-0005-0000-0000-000074590000}"/>
    <cellStyle name="Porcentagem 13" xfId="52" xr:uid="{00000000-0005-0000-0000-000075590000}"/>
    <cellStyle name="Porcentagem 13 2" xfId="1606" xr:uid="{00000000-0005-0000-0000-000076590000}"/>
    <cellStyle name="Porcentagem 13 3" xfId="1607" xr:uid="{00000000-0005-0000-0000-000077590000}"/>
    <cellStyle name="Porcentagem 14" xfId="53" xr:uid="{00000000-0005-0000-0000-000078590000}"/>
    <cellStyle name="Porcentagem 14 2" xfId="1608" xr:uid="{00000000-0005-0000-0000-000079590000}"/>
    <cellStyle name="Porcentagem 14 3" xfId="1609" xr:uid="{00000000-0005-0000-0000-00007A590000}"/>
    <cellStyle name="Porcentagem 14 3 2" xfId="1610" xr:uid="{00000000-0005-0000-0000-00007B590000}"/>
    <cellStyle name="Porcentagem 14 3 2 2" xfId="1611" xr:uid="{00000000-0005-0000-0000-00007C590000}"/>
    <cellStyle name="Porcentagem 14 3 2 3" xfId="2579" xr:uid="{00000000-0005-0000-0000-00007D590000}"/>
    <cellStyle name="Porcentagem 14 3 2 3 2" xfId="22319" xr:uid="{00000000-0005-0000-0000-00007E590000}"/>
    <cellStyle name="Porcentagem 14 3 2 3 3" xfId="22341" xr:uid="{00000000-0005-0000-0000-00007F590000}"/>
    <cellStyle name="Porcentagem 14 3 2 3 3 2" xfId="22363" xr:uid="{00000000-0005-0000-0000-000080590000}"/>
    <cellStyle name="Porcentagem 14 3 2 3 3 3" xfId="22418" xr:uid="{00000000-0005-0000-0000-000081590000}"/>
    <cellStyle name="Porcentagem 14 3 2 3 3 3 2" xfId="22692" xr:uid="{00000000-0005-0000-0000-000082590000}"/>
    <cellStyle name="Porcentagem 14 3 2 3 4" xfId="22357" xr:uid="{00000000-0005-0000-0000-000083590000}"/>
    <cellStyle name="Porcentagem 14 3 2 3 5" xfId="22303" xr:uid="{00000000-0005-0000-0000-000084590000}"/>
    <cellStyle name="Porcentagem 14 3 2 4" xfId="26042" xr:uid="{00000000-0005-0000-0000-000085590000}"/>
    <cellStyle name="Porcentagem 14 3 3" xfId="1612" xr:uid="{00000000-0005-0000-0000-000086590000}"/>
    <cellStyle name="Porcentagem 15" xfId="1613" xr:uid="{00000000-0005-0000-0000-000087590000}"/>
    <cellStyle name="Porcentagem 15 2" xfId="1614" xr:uid="{00000000-0005-0000-0000-000088590000}"/>
    <cellStyle name="Porcentagem 16" xfId="1615" xr:uid="{00000000-0005-0000-0000-000089590000}"/>
    <cellStyle name="Porcentagem 16 2" xfId="1616" xr:uid="{00000000-0005-0000-0000-00008A590000}"/>
    <cellStyle name="Porcentagem 16 3" xfId="1617" xr:uid="{00000000-0005-0000-0000-00008B590000}"/>
    <cellStyle name="Porcentagem 16 3 2" xfId="1618" xr:uid="{00000000-0005-0000-0000-00008C590000}"/>
    <cellStyle name="Porcentagem 16 3 2 2" xfId="2580" xr:uid="{00000000-0005-0000-0000-00008D590000}"/>
    <cellStyle name="Porcentagem 16 3 2 2 2" xfId="22433" xr:uid="{00000000-0005-0000-0000-00008E590000}"/>
    <cellStyle name="Porcentagem 16 3 2 2 2 2" xfId="22707" xr:uid="{00000000-0005-0000-0000-00008F590000}"/>
    <cellStyle name="Porcentagem 16 3 3" xfId="1619" xr:uid="{00000000-0005-0000-0000-000090590000}"/>
    <cellStyle name="Porcentagem 16 3 4" xfId="22304" xr:uid="{00000000-0005-0000-0000-000091590000}"/>
    <cellStyle name="Porcentagem 16 3 4 2" xfId="22320" xr:uid="{00000000-0005-0000-0000-000092590000}"/>
    <cellStyle name="Porcentagem 16 3 4 3" xfId="22342" xr:uid="{00000000-0005-0000-0000-000093590000}"/>
    <cellStyle name="Porcentagem 16 3 4 3 2" xfId="22382" xr:uid="{00000000-0005-0000-0000-000094590000}"/>
    <cellStyle name="Porcentagem 16 3 4 3 3" xfId="22419" xr:uid="{00000000-0005-0000-0000-000095590000}"/>
    <cellStyle name="Porcentagem 16 3 4 3 3 2" xfId="22693" xr:uid="{00000000-0005-0000-0000-000096590000}"/>
    <cellStyle name="Porcentagem 16 3 4 4" xfId="22358" xr:uid="{00000000-0005-0000-0000-000097590000}"/>
    <cellStyle name="Porcentagem 16 3 5" xfId="26043" xr:uid="{00000000-0005-0000-0000-000098590000}"/>
    <cellStyle name="Porcentagem 17" xfId="54" xr:uid="{00000000-0005-0000-0000-000099590000}"/>
    <cellStyle name="Porcentagem 17 2" xfId="1620" xr:uid="{00000000-0005-0000-0000-00009A590000}"/>
    <cellStyle name="Porcentagem 18" xfId="1621" xr:uid="{00000000-0005-0000-0000-00009B590000}"/>
    <cellStyle name="Porcentagem 18 2" xfId="1622" xr:uid="{00000000-0005-0000-0000-00009C590000}"/>
    <cellStyle name="Porcentagem 18 3" xfId="1623" xr:uid="{00000000-0005-0000-0000-00009D590000}"/>
    <cellStyle name="Porcentagem 18 3 2" xfId="26080" xr:uid="{00000000-0005-0000-0000-00009E590000}"/>
    <cellStyle name="Porcentagem 19" xfId="1624" xr:uid="{00000000-0005-0000-0000-00009F590000}"/>
    <cellStyle name="Porcentagem 19 2" xfId="1625" xr:uid="{00000000-0005-0000-0000-0000A0590000}"/>
    <cellStyle name="Porcentagem 19 2 2" xfId="2578" xr:uid="{00000000-0005-0000-0000-0000A1590000}"/>
    <cellStyle name="Porcentagem 19 2 2 2" xfId="22432" xr:uid="{00000000-0005-0000-0000-0000A2590000}"/>
    <cellStyle name="Porcentagem 19 2 2 2 2" xfId="22706" xr:uid="{00000000-0005-0000-0000-0000A3590000}"/>
    <cellStyle name="Porcentagem 19 3" xfId="1626" xr:uid="{00000000-0005-0000-0000-0000A4590000}"/>
    <cellStyle name="Porcentagem 19 4" xfId="22302" xr:uid="{00000000-0005-0000-0000-0000A5590000}"/>
    <cellStyle name="Porcentagem 19 4 2" xfId="22318" xr:uid="{00000000-0005-0000-0000-0000A6590000}"/>
    <cellStyle name="Porcentagem 19 4 3" xfId="22340" xr:uid="{00000000-0005-0000-0000-0000A7590000}"/>
    <cellStyle name="Porcentagem 19 4 3 2" xfId="22369" xr:uid="{00000000-0005-0000-0000-0000A8590000}"/>
    <cellStyle name="Porcentagem 19 4 3 3" xfId="22417" xr:uid="{00000000-0005-0000-0000-0000A9590000}"/>
    <cellStyle name="Porcentagem 19 4 3 3 2" xfId="22691" xr:uid="{00000000-0005-0000-0000-0000AA590000}"/>
    <cellStyle name="Porcentagem 19 4 4" xfId="22356" xr:uid="{00000000-0005-0000-0000-0000AB590000}"/>
    <cellStyle name="Porcentagem 19 5" xfId="26041" xr:uid="{00000000-0005-0000-0000-0000AC590000}"/>
    <cellStyle name="Porcentagem 2" xfId="55" xr:uid="{00000000-0005-0000-0000-0000AD590000}"/>
    <cellStyle name="Porcentagem 2 2" xfId="1627" xr:uid="{00000000-0005-0000-0000-0000AE590000}"/>
    <cellStyle name="Porcentagem 2 2 2" xfId="1628" xr:uid="{00000000-0005-0000-0000-0000AF590000}"/>
    <cellStyle name="Porcentagem 2 2 3" xfId="1629" xr:uid="{00000000-0005-0000-0000-0000B0590000}"/>
    <cellStyle name="Porcentagem 2 3" xfId="1630" xr:uid="{00000000-0005-0000-0000-0000B1590000}"/>
    <cellStyle name="Porcentagem 2 3 2" xfId="1631" xr:uid="{00000000-0005-0000-0000-0000B2590000}"/>
    <cellStyle name="Porcentagem 2 4" xfId="1632" xr:uid="{00000000-0005-0000-0000-0000B3590000}"/>
    <cellStyle name="Porcentagem 2 5" xfId="1633" xr:uid="{00000000-0005-0000-0000-0000B4590000}"/>
    <cellStyle name="Porcentagem 2 6" xfId="1634" xr:uid="{00000000-0005-0000-0000-0000B5590000}"/>
    <cellStyle name="Porcentagem 2 7" xfId="1635" xr:uid="{00000000-0005-0000-0000-0000B6590000}"/>
    <cellStyle name="Porcentagem 2 8" xfId="1636" xr:uid="{00000000-0005-0000-0000-0000B7590000}"/>
    <cellStyle name="Porcentagem 2 8 2" xfId="1637" xr:uid="{00000000-0005-0000-0000-0000B8590000}"/>
    <cellStyle name="Porcentagem 2 8 3" xfId="2178" xr:uid="{00000000-0005-0000-0000-0000B9590000}"/>
    <cellStyle name="Porcentagem 2 9" xfId="26226" xr:uid="{00000000-0005-0000-0000-0000BA590000}"/>
    <cellStyle name="Porcentagem 20" xfId="1638" xr:uid="{00000000-0005-0000-0000-0000BB590000}"/>
    <cellStyle name="Porcentagem 20 10" xfId="22327" xr:uid="{00000000-0005-0000-0000-0000BC590000}"/>
    <cellStyle name="Porcentagem 20 10 2" xfId="22380" xr:uid="{00000000-0005-0000-0000-0000BD590000}"/>
    <cellStyle name="Porcentagem 20 10 3" xfId="22404" xr:uid="{00000000-0005-0000-0000-0000BE590000}"/>
    <cellStyle name="Porcentagem 20 10 3 2" xfId="22678" xr:uid="{00000000-0005-0000-0000-0000BF590000}"/>
    <cellStyle name="Porcentagem 20 11" xfId="2440" xr:uid="{00000000-0005-0000-0000-0000C0590000}"/>
    <cellStyle name="Porcentagem 20 12" xfId="26210" xr:uid="{00000000-0005-0000-0000-0000C1590000}"/>
    <cellStyle name="Porcentagem 20 2" xfId="1639" xr:uid="{00000000-0005-0000-0000-0000C2590000}"/>
    <cellStyle name="Porcentagem 20 3" xfId="2503" xr:uid="{00000000-0005-0000-0000-0000C3590000}"/>
    <cellStyle name="Porcentagem 20 4" xfId="2504" xr:uid="{00000000-0005-0000-0000-0000C4590000}"/>
    <cellStyle name="Porcentagem 20 5" xfId="2505" xr:uid="{00000000-0005-0000-0000-0000C5590000}"/>
    <cellStyle name="Porcentagem 20 6" xfId="2506" xr:uid="{00000000-0005-0000-0000-0000C6590000}"/>
    <cellStyle name="Porcentagem 20 7" xfId="2507" xr:uid="{00000000-0005-0000-0000-0000C7590000}"/>
    <cellStyle name="Porcentagem 20 8" xfId="2508" xr:uid="{00000000-0005-0000-0000-0000C8590000}"/>
    <cellStyle name="Porcentagem 20 9" xfId="2604" xr:uid="{00000000-0005-0000-0000-0000C9590000}"/>
    <cellStyle name="Porcentagem 21" xfId="2050" xr:uid="{00000000-0005-0000-0000-0000CA590000}"/>
    <cellStyle name="Porcentagem 21 2" xfId="26566" xr:uid="{00000000-0005-0000-0000-0000CB590000}"/>
    <cellStyle name="Porcentagem 22" xfId="26207" xr:uid="{00000000-0005-0000-0000-0000CC590000}"/>
    <cellStyle name="Porcentagem 3" xfId="1640" xr:uid="{00000000-0005-0000-0000-0000CD590000}"/>
    <cellStyle name="Porcentagem 3 10" xfId="1641" xr:uid="{00000000-0005-0000-0000-0000CE590000}"/>
    <cellStyle name="Porcentagem 3 10 2" xfId="1642" xr:uid="{00000000-0005-0000-0000-0000CF590000}"/>
    <cellStyle name="Porcentagem 3 11" xfId="1643" xr:uid="{00000000-0005-0000-0000-0000D0590000}"/>
    <cellStyle name="Porcentagem 3 11 2" xfId="1644" xr:uid="{00000000-0005-0000-0000-0000D1590000}"/>
    <cellStyle name="Porcentagem 3 12" xfId="1645" xr:uid="{00000000-0005-0000-0000-0000D2590000}"/>
    <cellStyle name="Porcentagem 3 12 2" xfId="1646" xr:uid="{00000000-0005-0000-0000-0000D3590000}"/>
    <cellStyle name="Porcentagem 3 13" xfId="1647" xr:uid="{00000000-0005-0000-0000-0000D4590000}"/>
    <cellStyle name="Porcentagem 3 14" xfId="1648" xr:uid="{00000000-0005-0000-0000-0000D5590000}"/>
    <cellStyle name="Porcentagem 3 2" xfId="1649" xr:uid="{00000000-0005-0000-0000-0000D6590000}"/>
    <cellStyle name="Porcentagem 3 2 2" xfId="1650" xr:uid="{00000000-0005-0000-0000-0000D7590000}"/>
    <cellStyle name="Porcentagem 3 2 3" xfId="1651" xr:uid="{00000000-0005-0000-0000-0000D8590000}"/>
    <cellStyle name="Porcentagem 3 3" xfId="1652" xr:uid="{00000000-0005-0000-0000-0000D9590000}"/>
    <cellStyle name="Porcentagem 3 3 2" xfId="1653" xr:uid="{00000000-0005-0000-0000-0000DA590000}"/>
    <cellStyle name="Porcentagem 3 4" xfId="1654" xr:uid="{00000000-0005-0000-0000-0000DB590000}"/>
    <cellStyle name="Porcentagem 3 4 2" xfId="1655" xr:uid="{00000000-0005-0000-0000-0000DC590000}"/>
    <cellStyle name="Porcentagem 3 5" xfId="1656" xr:uid="{00000000-0005-0000-0000-0000DD590000}"/>
    <cellStyle name="Porcentagem 3 5 2" xfId="1657" xr:uid="{00000000-0005-0000-0000-0000DE590000}"/>
    <cellStyle name="Porcentagem 3 6" xfId="1658" xr:uid="{00000000-0005-0000-0000-0000DF590000}"/>
    <cellStyle name="Porcentagem 3 6 2" xfId="1659" xr:uid="{00000000-0005-0000-0000-0000E0590000}"/>
    <cellStyle name="Porcentagem 3 7" xfId="1660" xr:uid="{00000000-0005-0000-0000-0000E1590000}"/>
    <cellStyle name="Porcentagem 3 7 2" xfId="1661" xr:uid="{00000000-0005-0000-0000-0000E2590000}"/>
    <cellStyle name="Porcentagem 3 8" xfId="1662" xr:uid="{00000000-0005-0000-0000-0000E3590000}"/>
    <cellStyle name="Porcentagem 3 8 2" xfId="1663" xr:uid="{00000000-0005-0000-0000-0000E4590000}"/>
    <cellStyle name="Porcentagem 3 9" xfId="1664" xr:uid="{00000000-0005-0000-0000-0000E5590000}"/>
    <cellStyle name="Porcentagem 3 9 2" xfId="1665" xr:uid="{00000000-0005-0000-0000-0000E6590000}"/>
    <cellStyle name="Porcentagem 4" xfId="1666" xr:uid="{00000000-0005-0000-0000-0000E7590000}"/>
    <cellStyle name="Porcentagem 4 10" xfId="1667" xr:uid="{00000000-0005-0000-0000-0000E8590000}"/>
    <cellStyle name="Porcentagem 4 10 2" xfId="1668" xr:uid="{00000000-0005-0000-0000-0000E9590000}"/>
    <cellStyle name="Porcentagem 4 11" xfId="1669" xr:uid="{00000000-0005-0000-0000-0000EA590000}"/>
    <cellStyle name="Porcentagem 4 12" xfId="1670" xr:uid="{00000000-0005-0000-0000-0000EB590000}"/>
    <cellStyle name="Porcentagem 4 2" xfId="1671" xr:uid="{00000000-0005-0000-0000-0000EC590000}"/>
    <cellStyle name="Porcentagem 4 2 2" xfId="1672" xr:uid="{00000000-0005-0000-0000-0000ED590000}"/>
    <cellStyle name="Porcentagem 4 2 2 2" xfId="31900" xr:uid="{00000000-0005-0000-0000-0000EE590000}"/>
    <cellStyle name="Porcentagem 4 2 3" xfId="31901" xr:uid="{00000000-0005-0000-0000-0000EF590000}"/>
    <cellStyle name="Porcentagem 4 3" xfId="1673" xr:uid="{00000000-0005-0000-0000-0000F0590000}"/>
    <cellStyle name="Porcentagem 4 3 2" xfId="1674" xr:uid="{00000000-0005-0000-0000-0000F1590000}"/>
    <cellStyle name="Porcentagem 4 4" xfId="1675" xr:uid="{00000000-0005-0000-0000-0000F2590000}"/>
    <cellStyle name="Porcentagem 4 4 2" xfId="1676" xr:uid="{00000000-0005-0000-0000-0000F3590000}"/>
    <cellStyle name="Porcentagem 4 5" xfId="1677" xr:uid="{00000000-0005-0000-0000-0000F4590000}"/>
    <cellStyle name="Porcentagem 4 5 2" xfId="1678" xr:uid="{00000000-0005-0000-0000-0000F5590000}"/>
    <cellStyle name="Porcentagem 4 6" xfId="1679" xr:uid="{00000000-0005-0000-0000-0000F6590000}"/>
    <cellStyle name="Porcentagem 4 6 2" xfId="1680" xr:uid="{00000000-0005-0000-0000-0000F7590000}"/>
    <cellStyle name="Porcentagem 4 7" xfId="1681" xr:uid="{00000000-0005-0000-0000-0000F8590000}"/>
    <cellStyle name="Porcentagem 4 7 2" xfId="1682" xr:uid="{00000000-0005-0000-0000-0000F9590000}"/>
    <cellStyle name="Porcentagem 4 8" xfId="1683" xr:uid="{00000000-0005-0000-0000-0000FA590000}"/>
    <cellStyle name="Porcentagem 4 8 2" xfId="1684" xr:uid="{00000000-0005-0000-0000-0000FB590000}"/>
    <cellStyle name="Porcentagem 4 9" xfId="1685" xr:uid="{00000000-0005-0000-0000-0000FC590000}"/>
    <cellStyle name="Porcentagem 4 9 2" xfId="1686" xr:uid="{00000000-0005-0000-0000-0000FD590000}"/>
    <cellStyle name="Porcentagem 5" xfId="1687" xr:uid="{00000000-0005-0000-0000-0000FE590000}"/>
    <cellStyle name="Porcentagem 5 10" xfId="1688" xr:uid="{00000000-0005-0000-0000-0000FF590000}"/>
    <cellStyle name="Porcentagem 5 10 2" xfId="1689" xr:uid="{00000000-0005-0000-0000-0000005A0000}"/>
    <cellStyle name="Porcentagem 5 11" xfId="1690" xr:uid="{00000000-0005-0000-0000-0000015A0000}"/>
    <cellStyle name="Porcentagem 5 11 2" xfId="1691" xr:uid="{00000000-0005-0000-0000-0000025A0000}"/>
    <cellStyle name="Porcentagem 5 12" xfId="1692" xr:uid="{00000000-0005-0000-0000-0000035A0000}"/>
    <cellStyle name="Porcentagem 5 2" xfId="1693" xr:uid="{00000000-0005-0000-0000-0000045A0000}"/>
    <cellStyle name="Porcentagem 5 2 2" xfId="1694" xr:uid="{00000000-0005-0000-0000-0000055A0000}"/>
    <cellStyle name="Porcentagem 5 3" xfId="1695" xr:uid="{00000000-0005-0000-0000-0000065A0000}"/>
    <cellStyle name="Porcentagem 5 3 2" xfId="1696" xr:uid="{00000000-0005-0000-0000-0000075A0000}"/>
    <cellStyle name="Porcentagem 5 4" xfId="1697" xr:uid="{00000000-0005-0000-0000-0000085A0000}"/>
    <cellStyle name="Porcentagem 5 4 2" xfId="1698" xr:uid="{00000000-0005-0000-0000-0000095A0000}"/>
    <cellStyle name="Porcentagem 5 5" xfId="1699" xr:uid="{00000000-0005-0000-0000-00000A5A0000}"/>
    <cellStyle name="Porcentagem 5 5 2" xfId="1700" xr:uid="{00000000-0005-0000-0000-00000B5A0000}"/>
    <cellStyle name="Porcentagem 5 6" xfId="1701" xr:uid="{00000000-0005-0000-0000-00000C5A0000}"/>
    <cellStyle name="Porcentagem 5 6 2" xfId="1702" xr:uid="{00000000-0005-0000-0000-00000D5A0000}"/>
    <cellStyle name="Porcentagem 5 7" xfId="1703" xr:uid="{00000000-0005-0000-0000-00000E5A0000}"/>
    <cellStyle name="Porcentagem 5 7 2" xfId="1704" xr:uid="{00000000-0005-0000-0000-00000F5A0000}"/>
    <cellStyle name="Porcentagem 5 8" xfId="1705" xr:uid="{00000000-0005-0000-0000-0000105A0000}"/>
    <cellStyle name="Porcentagem 5 8 2" xfId="1706" xr:uid="{00000000-0005-0000-0000-0000115A0000}"/>
    <cellStyle name="Porcentagem 5 9" xfId="1707" xr:uid="{00000000-0005-0000-0000-0000125A0000}"/>
    <cellStyle name="Porcentagem 5 9 2" xfId="1708" xr:uid="{00000000-0005-0000-0000-0000135A0000}"/>
    <cellStyle name="Porcentagem 6" xfId="1709" xr:uid="{00000000-0005-0000-0000-0000145A0000}"/>
    <cellStyle name="Porcentagem 6 10" xfId="31902" xr:uid="{00000000-0005-0000-0000-0000155A0000}"/>
    <cellStyle name="Porcentagem 6 10 2" xfId="31903" xr:uid="{00000000-0005-0000-0000-0000165A0000}"/>
    <cellStyle name="Porcentagem 6 10 3" xfId="31904" xr:uid="{00000000-0005-0000-0000-0000175A0000}"/>
    <cellStyle name="Porcentagem 6 10 4" xfId="31905" xr:uid="{00000000-0005-0000-0000-0000185A0000}"/>
    <cellStyle name="Porcentagem 6 11" xfId="31906" xr:uid="{00000000-0005-0000-0000-0000195A0000}"/>
    <cellStyle name="Porcentagem 6 11 2" xfId="31907" xr:uid="{00000000-0005-0000-0000-00001A5A0000}"/>
    <cellStyle name="Porcentagem 6 11 3" xfId="31908" xr:uid="{00000000-0005-0000-0000-00001B5A0000}"/>
    <cellStyle name="Porcentagem 6 11 4" xfId="31909" xr:uid="{00000000-0005-0000-0000-00001C5A0000}"/>
    <cellStyle name="Porcentagem 6 12" xfId="31910" xr:uid="{00000000-0005-0000-0000-00001D5A0000}"/>
    <cellStyle name="Porcentagem 6 12 2" xfId="31911" xr:uid="{00000000-0005-0000-0000-00001E5A0000}"/>
    <cellStyle name="Porcentagem 6 12 3" xfId="31912" xr:uid="{00000000-0005-0000-0000-00001F5A0000}"/>
    <cellStyle name="Porcentagem 6 13" xfId="31913" xr:uid="{00000000-0005-0000-0000-0000205A0000}"/>
    <cellStyle name="Porcentagem 6 13 2" xfId="31914" xr:uid="{00000000-0005-0000-0000-0000215A0000}"/>
    <cellStyle name="Porcentagem 6 14" xfId="31915" xr:uid="{00000000-0005-0000-0000-0000225A0000}"/>
    <cellStyle name="Porcentagem 6 15" xfId="31916" xr:uid="{00000000-0005-0000-0000-0000235A0000}"/>
    <cellStyle name="Porcentagem 6 2" xfId="1710" xr:uid="{00000000-0005-0000-0000-0000245A0000}"/>
    <cellStyle name="Porcentagem 6 2 10" xfId="31917" xr:uid="{00000000-0005-0000-0000-0000255A0000}"/>
    <cellStyle name="Porcentagem 6 2 10 2" xfId="31918" xr:uid="{00000000-0005-0000-0000-0000265A0000}"/>
    <cellStyle name="Porcentagem 6 2 10 3" xfId="31919" xr:uid="{00000000-0005-0000-0000-0000275A0000}"/>
    <cellStyle name="Porcentagem 6 2 10 4" xfId="31920" xr:uid="{00000000-0005-0000-0000-0000285A0000}"/>
    <cellStyle name="Porcentagem 6 2 11" xfId="31921" xr:uid="{00000000-0005-0000-0000-0000295A0000}"/>
    <cellStyle name="Porcentagem 6 2 11 2" xfId="31922" xr:uid="{00000000-0005-0000-0000-00002A5A0000}"/>
    <cellStyle name="Porcentagem 6 2 11 3" xfId="31923" xr:uid="{00000000-0005-0000-0000-00002B5A0000}"/>
    <cellStyle name="Porcentagem 6 2 12" xfId="31924" xr:uid="{00000000-0005-0000-0000-00002C5A0000}"/>
    <cellStyle name="Porcentagem 6 2 12 2" xfId="31925" xr:uid="{00000000-0005-0000-0000-00002D5A0000}"/>
    <cellStyle name="Porcentagem 6 2 13" xfId="31926" xr:uid="{00000000-0005-0000-0000-00002E5A0000}"/>
    <cellStyle name="Porcentagem 6 2 14" xfId="31927" xr:uid="{00000000-0005-0000-0000-00002F5A0000}"/>
    <cellStyle name="Porcentagem 6 2 2" xfId="31928" xr:uid="{00000000-0005-0000-0000-0000305A0000}"/>
    <cellStyle name="Porcentagem 6 2 2 2" xfId="31929" xr:uid="{00000000-0005-0000-0000-0000315A0000}"/>
    <cellStyle name="Porcentagem 6 2 2 2 2" xfId="31930" xr:uid="{00000000-0005-0000-0000-0000325A0000}"/>
    <cellStyle name="Porcentagem 6 2 2 2 2 2" xfId="31931" xr:uid="{00000000-0005-0000-0000-0000335A0000}"/>
    <cellStyle name="Porcentagem 6 2 2 2 2 2 2" xfId="31932" xr:uid="{00000000-0005-0000-0000-0000345A0000}"/>
    <cellStyle name="Porcentagem 6 2 2 2 2 2 3" xfId="31933" xr:uid="{00000000-0005-0000-0000-0000355A0000}"/>
    <cellStyle name="Porcentagem 6 2 2 2 2 2 4" xfId="31934" xr:uid="{00000000-0005-0000-0000-0000365A0000}"/>
    <cellStyle name="Porcentagem 6 2 2 2 2 3" xfId="31935" xr:uid="{00000000-0005-0000-0000-0000375A0000}"/>
    <cellStyle name="Porcentagem 6 2 2 2 2 4" xfId="31936" xr:uid="{00000000-0005-0000-0000-0000385A0000}"/>
    <cellStyle name="Porcentagem 6 2 2 2 2 5" xfId="31937" xr:uid="{00000000-0005-0000-0000-0000395A0000}"/>
    <cellStyle name="Porcentagem 6 2 2 2 3" xfId="31938" xr:uid="{00000000-0005-0000-0000-00003A5A0000}"/>
    <cellStyle name="Porcentagem 6 2 2 2 3 2" xfId="31939" xr:uid="{00000000-0005-0000-0000-00003B5A0000}"/>
    <cellStyle name="Porcentagem 6 2 2 2 3 3" xfId="31940" xr:uid="{00000000-0005-0000-0000-00003C5A0000}"/>
    <cellStyle name="Porcentagem 6 2 2 2 3 4" xfId="31941" xr:uid="{00000000-0005-0000-0000-00003D5A0000}"/>
    <cellStyle name="Porcentagem 6 2 2 2 4" xfId="31942" xr:uid="{00000000-0005-0000-0000-00003E5A0000}"/>
    <cellStyle name="Porcentagem 6 2 2 2 5" xfId="31943" xr:uid="{00000000-0005-0000-0000-00003F5A0000}"/>
    <cellStyle name="Porcentagem 6 2 2 2 6" xfId="31944" xr:uid="{00000000-0005-0000-0000-0000405A0000}"/>
    <cellStyle name="Porcentagem 6 2 2 3" xfId="31945" xr:uid="{00000000-0005-0000-0000-0000415A0000}"/>
    <cellStyle name="Porcentagem 6 2 2 3 2" xfId="31946" xr:uid="{00000000-0005-0000-0000-0000425A0000}"/>
    <cellStyle name="Porcentagem 6 2 2 3 2 2" xfId="31947" xr:uid="{00000000-0005-0000-0000-0000435A0000}"/>
    <cellStyle name="Porcentagem 6 2 2 3 2 3" xfId="31948" xr:uid="{00000000-0005-0000-0000-0000445A0000}"/>
    <cellStyle name="Porcentagem 6 2 2 3 2 4" xfId="31949" xr:uid="{00000000-0005-0000-0000-0000455A0000}"/>
    <cellStyle name="Porcentagem 6 2 2 3 3" xfId="31950" xr:uid="{00000000-0005-0000-0000-0000465A0000}"/>
    <cellStyle name="Porcentagem 6 2 2 3 4" xfId="31951" xr:uid="{00000000-0005-0000-0000-0000475A0000}"/>
    <cellStyle name="Porcentagem 6 2 2 3 5" xfId="31952" xr:uid="{00000000-0005-0000-0000-0000485A0000}"/>
    <cellStyle name="Porcentagem 6 2 2 4" xfId="31953" xr:uid="{00000000-0005-0000-0000-0000495A0000}"/>
    <cellStyle name="Porcentagem 6 2 2 4 2" xfId="31954" xr:uid="{00000000-0005-0000-0000-00004A5A0000}"/>
    <cellStyle name="Porcentagem 6 2 2 4 3" xfId="31955" xr:uid="{00000000-0005-0000-0000-00004B5A0000}"/>
    <cellStyle name="Porcentagem 6 2 2 4 4" xfId="31956" xr:uid="{00000000-0005-0000-0000-00004C5A0000}"/>
    <cellStyle name="Porcentagem 6 2 2 5" xfId="31957" xr:uid="{00000000-0005-0000-0000-00004D5A0000}"/>
    <cellStyle name="Porcentagem 6 2 2 5 2" xfId="31958" xr:uid="{00000000-0005-0000-0000-00004E5A0000}"/>
    <cellStyle name="Porcentagem 6 2 2 5 3" xfId="31959" xr:uid="{00000000-0005-0000-0000-00004F5A0000}"/>
    <cellStyle name="Porcentagem 6 2 2 5 4" xfId="31960" xr:uid="{00000000-0005-0000-0000-0000505A0000}"/>
    <cellStyle name="Porcentagem 6 2 2 6" xfId="31961" xr:uid="{00000000-0005-0000-0000-0000515A0000}"/>
    <cellStyle name="Porcentagem 6 2 2 6 2" xfId="31962" xr:uid="{00000000-0005-0000-0000-0000525A0000}"/>
    <cellStyle name="Porcentagem 6 2 2 6 3" xfId="31963" xr:uid="{00000000-0005-0000-0000-0000535A0000}"/>
    <cellStyle name="Porcentagem 6 2 2 7" xfId="31964" xr:uid="{00000000-0005-0000-0000-0000545A0000}"/>
    <cellStyle name="Porcentagem 6 2 2 8" xfId="31965" xr:uid="{00000000-0005-0000-0000-0000555A0000}"/>
    <cellStyle name="Porcentagem 6 2 2 9" xfId="31966" xr:uid="{00000000-0005-0000-0000-0000565A0000}"/>
    <cellStyle name="Porcentagem 6 2 3" xfId="31967" xr:uid="{00000000-0005-0000-0000-0000575A0000}"/>
    <cellStyle name="Porcentagem 6 2 3 2" xfId="31968" xr:uid="{00000000-0005-0000-0000-0000585A0000}"/>
    <cellStyle name="Porcentagem 6 2 3 2 2" xfId="31969" xr:uid="{00000000-0005-0000-0000-0000595A0000}"/>
    <cellStyle name="Porcentagem 6 2 3 2 2 2" xfId="31970" xr:uid="{00000000-0005-0000-0000-00005A5A0000}"/>
    <cellStyle name="Porcentagem 6 2 3 2 2 2 2" xfId="31971" xr:uid="{00000000-0005-0000-0000-00005B5A0000}"/>
    <cellStyle name="Porcentagem 6 2 3 2 2 2 3" xfId="31972" xr:uid="{00000000-0005-0000-0000-00005C5A0000}"/>
    <cellStyle name="Porcentagem 6 2 3 2 2 2 4" xfId="31973" xr:uid="{00000000-0005-0000-0000-00005D5A0000}"/>
    <cellStyle name="Porcentagem 6 2 3 2 2 3" xfId="31974" xr:uid="{00000000-0005-0000-0000-00005E5A0000}"/>
    <cellStyle name="Porcentagem 6 2 3 2 2 4" xfId="31975" xr:uid="{00000000-0005-0000-0000-00005F5A0000}"/>
    <cellStyle name="Porcentagem 6 2 3 2 2 5" xfId="31976" xr:uid="{00000000-0005-0000-0000-0000605A0000}"/>
    <cellStyle name="Porcentagem 6 2 3 2 3" xfId="31977" xr:uid="{00000000-0005-0000-0000-0000615A0000}"/>
    <cellStyle name="Porcentagem 6 2 3 2 3 2" xfId="31978" xr:uid="{00000000-0005-0000-0000-0000625A0000}"/>
    <cellStyle name="Porcentagem 6 2 3 2 3 3" xfId="31979" xr:uid="{00000000-0005-0000-0000-0000635A0000}"/>
    <cellStyle name="Porcentagem 6 2 3 2 3 4" xfId="31980" xr:uid="{00000000-0005-0000-0000-0000645A0000}"/>
    <cellStyle name="Porcentagem 6 2 3 2 4" xfId="31981" xr:uid="{00000000-0005-0000-0000-0000655A0000}"/>
    <cellStyle name="Porcentagem 6 2 3 2 5" xfId="31982" xr:uid="{00000000-0005-0000-0000-0000665A0000}"/>
    <cellStyle name="Porcentagem 6 2 3 2 6" xfId="31983" xr:uid="{00000000-0005-0000-0000-0000675A0000}"/>
    <cellStyle name="Porcentagem 6 2 3 3" xfId="31984" xr:uid="{00000000-0005-0000-0000-0000685A0000}"/>
    <cellStyle name="Porcentagem 6 2 3 3 2" xfId="31985" xr:uid="{00000000-0005-0000-0000-0000695A0000}"/>
    <cellStyle name="Porcentagem 6 2 3 3 2 2" xfId="31986" xr:uid="{00000000-0005-0000-0000-00006A5A0000}"/>
    <cellStyle name="Porcentagem 6 2 3 3 2 3" xfId="31987" xr:uid="{00000000-0005-0000-0000-00006B5A0000}"/>
    <cellStyle name="Porcentagem 6 2 3 3 2 4" xfId="31988" xr:uid="{00000000-0005-0000-0000-00006C5A0000}"/>
    <cellStyle name="Porcentagem 6 2 3 3 3" xfId="31989" xr:uid="{00000000-0005-0000-0000-00006D5A0000}"/>
    <cellStyle name="Porcentagem 6 2 3 3 4" xfId="31990" xr:uid="{00000000-0005-0000-0000-00006E5A0000}"/>
    <cellStyle name="Porcentagem 6 2 3 3 5" xfId="31991" xr:uid="{00000000-0005-0000-0000-00006F5A0000}"/>
    <cellStyle name="Porcentagem 6 2 3 4" xfId="31992" xr:uid="{00000000-0005-0000-0000-0000705A0000}"/>
    <cellStyle name="Porcentagem 6 2 3 4 2" xfId="31993" xr:uid="{00000000-0005-0000-0000-0000715A0000}"/>
    <cellStyle name="Porcentagem 6 2 3 4 3" xfId="31994" xr:uid="{00000000-0005-0000-0000-0000725A0000}"/>
    <cellStyle name="Porcentagem 6 2 3 4 4" xfId="31995" xr:uid="{00000000-0005-0000-0000-0000735A0000}"/>
    <cellStyle name="Porcentagem 6 2 3 5" xfId="31996" xr:uid="{00000000-0005-0000-0000-0000745A0000}"/>
    <cellStyle name="Porcentagem 6 2 3 5 2" xfId="31997" xr:uid="{00000000-0005-0000-0000-0000755A0000}"/>
    <cellStyle name="Porcentagem 6 2 3 5 3" xfId="31998" xr:uid="{00000000-0005-0000-0000-0000765A0000}"/>
    <cellStyle name="Porcentagem 6 2 3 5 4" xfId="31999" xr:uid="{00000000-0005-0000-0000-0000775A0000}"/>
    <cellStyle name="Porcentagem 6 2 3 6" xfId="32000" xr:uid="{00000000-0005-0000-0000-0000785A0000}"/>
    <cellStyle name="Porcentagem 6 2 3 6 2" xfId="32001" xr:uid="{00000000-0005-0000-0000-0000795A0000}"/>
    <cellStyle name="Porcentagem 6 2 3 6 3" xfId="32002" xr:uid="{00000000-0005-0000-0000-00007A5A0000}"/>
    <cellStyle name="Porcentagem 6 2 3 7" xfId="32003" xr:uid="{00000000-0005-0000-0000-00007B5A0000}"/>
    <cellStyle name="Porcentagem 6 2 3 8" xfId="32004" xr:uid="{00000000-0005-0000-0000-00007C5A0000}"/>
    <cellStyle name="Porcentagem 6 2 3 9" xfId="32005" xr:uid="{00000000-0005-0000-0000-00007D5A0000}"/>
    <cellStyle name="Porcentagem 6 2 4" xfId="32006" xr:uid="{00000000-0005-0000-0000-00007E5A0000}"/>
    <cellStyle name="Porcentagem 6 2 4 2" xfId="32007" xr:uid="{00000000-0005-0000-0000-00007F5A0000}"/>
    <cellStyle name="Porcentagem 6 2 4 2 2" xfId="32008" xr:uid="{00000000-0005-0000-0000-0000805A0000}"/>
    <cellStyle name="Porcentagem 6 2 4 2 2 2" xfId="32009" xr:uid="{00000000-0005-0000-0000-0000815A0000}"/>
    <cellStyle name="Porcentagem 6 2 4 2 2 3" xfId="32010" xr:uid="{00000000-0005-0000-0000-0000825A0000}"/>
    <cellStyle name="Porcentagem 6 2 4 2 2 4" xfId="32011" xr:uid="{00000000-0005-0000-0000-0000835A0000}"/>
    <cellStyle name="Porcentagem 6 2 4 2 3" xfId="32012" xr:uid="{00000000-0005-0000-0000-0000845A0000}"/>
    <cellStyle name="Porcentagem 6 2 4 2 4" xfId="32013" xr:uid="{00000000-0005-0000-0000-0000855A0000}"/>
    <cellStyle name="Porcentagem 6 2 4 2 5" xfId="32014" xr:uid="{00000000-0005-0000-0000-0000865A0000}"/>
    <cellStyle name="Porcentagem 6 2 4 3" xfId="32015" xr:uid="{00000000-0005-0000-0000-0000875A0000}"/>
    <cellStyle name="Porcentagem 6 2 4 3 2" xfId="32016" xr:uid="{00000000-0005-0000-0000-0000885A0000}"/>
    <cellStyle name="Porcentagem 6 2 4 3 3" xfId="32017" xr:uid="{00000000-0005-0000-0000-0000895A0000}"/>
    <cellStyle name="Porcentagem 6 2 4 3 4" xfId="32018" xr:uid="{00000000-0005-0000-0000-00008A5A0000}"/>
    <cellStyle name="Porcentagem 6 2 4 4" xfId="32019" xr:uid="{00000000-0005-0000-0000-00008B5A0000}"/>
    <cellStyle name="Porcentagem 6 2 4 5" xfId="32020" xr:uid="{00000000-0005-0000-0000-00008C5A0000}"/>
    <cellStyle name="Porcentagem 6 2 4 6" xfId="32021" xr:uid="{00000000-0005-0000-0000-00008D5A0000}"/>
    <cellStyle name="Porcentagem 6 2 5" xfId="32022" xr:uid="{00000000-0005-0000-0000-00008E5A0000}"/>
    <cellStyle name="Porcentagem 6 2 5 2" xfId="32023" xr:uid="{00000000-0005-0000-0000-00008F5A0000}"/>
    <cellStyle name="Porcentagem 6 2 5 2 2" xfId="32024" xr:uid="{00000000-0005-0000-0000-0000905A0000}"/>
    <cellStyle name="Porcentagem 6 2 5 2 2 2" xfId="32025" xr:uid="{00000000-0005-0000-0000-0000915A0000}"/>
    <cellStyle name="Porcentagem 6 2 5 2 2 3" xfId="32026" xr:uid="{00000000-0005-0000-0000-0000925A0000}"/>
    <cellStyle name="Porcentagem 6 2 5 2 2 4" xfId="32027" xr:uid="{00000000-0005-0000-0000-0000935A0000}"/>
    <cellStyle name="Porcentagem 6 2 5 2 3" xfId="32028" xr:uid="{00000000-0005-0000-0000-0000945A0000}"/>
    <cellStyle name="Porcentagem 6 2 5 2 4" xfId="32029" xr:uid="{00000000-0005-0000-0000-0000955A0000}"/>
    <cellStyle name="Porcentagem 6 2 5 2 5" xfId="32030" xr:uid="{00000000-0005-0000-0000-0000965A0000}"/>
    <cellStyle name="Porcentagem 6 2 5 3" xfId="32031" xr:uid="{00000000-0005-0000-0000-0000975A0000}"/>
    <cellStyle name="Porcentagem 6 2 5 3 2" xfId="32032" xr:uid="{00000000-0005-0000-0000-0000985A0000}"/>
    <cellStyle name="Porcentagem 6 2 5 3 3" xfId="32033" xr:uid="{00000000-0005-0000-0000-0000995A0000}"/>
    <cellStyle name="Porcentagem 6 2 5 3 4" xfId="32034" xr:uid="{00000000-0005-0000-0000-00009A5A0000}"/>
    <cellStyle name="Porcentagem 6 2 5 4" xfId="32035" xr:uid="{00000000-0005-0000-0000-00009B5A0000}"/>
    <cellStyle name="Porcentagem 6 2 5 5" xfId="32036" xr:uid="{00000000-0005-0000-0000-00009C5A0000}"/>
    <cellStyle name="Porcentagem 6 2 5 6" xfId="32037" xr:uid="{00000000-0005-0000-0000-00009D5A0000}"/>
    <cellStyle name="Porcentagem 6 2 6" xfId="32038" xr:uid="{00000000-0005-0000-0000-00009E5A0000}"/>
    <cellStyle name="Porcentagem 6 2 6 2" xfId="32039" xr:uid="{00000000-0005-0000-0000-00009F5A0000}"/>
    <cellStyle name="Porcentagem 6 2 6 2 2" xfId="32040" xr:uid="{00000000-0005-0000-0000-0000A05A0000}"/>
    <cellStyle name="Porcentagem 6 2 6 2 2 2" xfId="32041" xr:uid="{00000000-0005-0000-0000-0000A15A0000}"/>
    <cellStyle name="Porcentagem 6 2 6 2 2 3" xfId="32042" xr:uid="{00000000-0005-0000-0000-0000A25A0000}"/>
    <cellStyle name="Porcentagem 6 2 6 2 2 4" xfId="32043" xr:uid="{00000000-0005-0000-0000-0000A35A0000}"/>
    <cellStyle name="Porcentagem 6 2 6 2 3" xfId="32044" xr:uid="{00000000-0005-0000-0000-0000A45A0000}"/>
    <cellStyle name="Porcentagem 6 2 6 2 4" xfId="32045" xr:uid="{00000000-0005-0000-0000-0000A55A0000}"/>
    <cellStyle name="Porcentagem 6 2 6 2 5" xfId="32046" xr:uid="{00000000-0005-0000-0000-0000A65A0000}"/>
    <cellStyle name="Porcentagem 6 2 6 3" xfId="32047" xr:uid="{00000000-0005-0000-0000-0000A75A0000}"/>
    <cellStyle name="Porcentagem 6 2 6 3 2" xfId="32048" xr:uid="{00000000-0005-0000-0000-0000A85A0000}"/>
    <cellStyle name="Porcentagem 6 2 6 3 3" xfId="32049" xr:uid="{00000000-0005-0000-0000-0000A95A0000}"/>
    <cellStyle name="Porcentagem 6 2 6 3 4" xfId="32050" xr:uid="{00000000-0005-0000-0000-0000AA5A0000}"/>
    <cellStyle name="Porcentagem 6 2 6 4" xfId="32051" xr:uid="{00000000-0005-0000-0000-0000AB5A0000}"/>
    <cellStyle name="Porcentagem 6 2 6 5" xfId="32052" xr:uid="{00000000-0005-0000-0000-0000AC5A0000}"/>
    <cellStyle name="Porcentagem 6 2 6 6" xfId="32053" xr:uid="{00000000-0005-0000-0000-0000AD5A0000}"/>
    <cellStyle name="Porcentagem 6 2 7" xfId="32054" xr:uid="{00000000-0005-0000-0000-0000AE5A0000}"/>
    <cellStyle name="Porcentagem 6 2 7 2" xfId="32055" xr:uid="{00000000-0005-0000-0000-0000AF5A0000}"/>
    <cellStyle name="Porcentagem 6 2 7 2 2" xfId="32056" xr:uid="{00000000-0005-0000-0000-0000B05A0000}"/>
    <cellStyle name="Porcentagem 6 2 7 2 3" xfId="32057" xr:uid="{00000000-0005-0000-0000-0000B15A0000}"/>
    <cellStyle name="Porcentagem 6 2 7 2 4" xfId="32058" xr:uid="{00000000-0005-0000-0000-0000B25A0000}"/>
    <cellStyle name="Porcentagem 6 2 7 3" xfId="32059" xr:uid="{00000000-0005-0000-0000-0000B35A0000}"/>
    <cellStyle name="Porcentagem 6 2 7 4" xfId="32060" xr:uid="{00000000-0005-0000-0000-0000B45A0000}"/>
    <cellStyle name="Porcentagem 6 2 7 5" xfId="32061" xr:uid="{00000000-0005-0000-0000-0000B55A0000}"/>
    <cellStyle name="Porcentagem 6 2 8" xfId="32062" xr:uid="{00000000-0005-0000-0000-0000B65A0000}"/>
    <cellStyle name="Porcentagem 6 2 8 2" xfId="32063" xr:uid="{00000000-0005-0000-0000-0000B75A0000}"/>
    <cellStyle name="Porcentagem 6 2 8 3" xfId="32064" xr:uid="{00000000-0005-0000-0000-0000B85A0000}"/>
    <cellStyle name="Porcentagem 6 2 8 4" xfId="32065" xr:uid="{00000000-0005-0000-0000-0000B95A0000}"/>
    <cellStyle name="Porcentagem 6 2 9" xfId="32066" xr:uid="{00000000-0005-0000-0000-0000BA5A0000}"/>
    <cellStyle name="Porcentagem 6 2 9 2" xfId="32067" xr:uid="{00000000-0005-0000-0000-0000BB5A0000}"/>
    <cellStyle name="Porcentagem 6 2 9 3" xfId="32068" xr:uid="{00000000-0005-0000-0000-0000BC5A0000}"/>
    <cellStyle name="Porcentagem 6 2 9 4" xfId="32069" xr:uid="{00000000-0005-0000-0000-0000BD5A0000}"/>
    <cellStyle name="Porcentagem 6 3" xfId="32070" xr:uid="{00000000-0005-0000-0000-0000BE5A0000}"/>
    <cellStyle name="Porcentagem 6 3 2" xfId="32071" xr:uid="{00000000-0005-0000-0000-0000BF5A0000}"/>
    <cellStyle name="Porcentagem 6 3 2 2" xfId="32072" xr:uid="{00000000-0005-0000-0000-0000C05A0000}"/>
    <cellStyle name="Porcentagem 6 3 2 2 2" xfId="32073" xr:uid="{00000000-0005-0000-0000-0000C15A0000}"/>
    <cellStyle name="Porcentagem 6 3 2 2 2 2" xfId="32074" xr:uid="{00000000-0005-0000-0000-0000C25A0000}"/>
    <cellStyle name="Porcentagem 6 3 2 2 2 3" xfId="32075" xr:uid="{00000000-0005-0000-0000-0000C35A0000}"/>
    <cellStyle name="Porcentagem 6 3 2 2 2 4" xfId="32076" xr:uid="{00000000-0005-0000-0000-0000C45A0000}"/>
    <cellStyle name="Porcentagem 6 3 2 2 3" xfId="32077" xr:uid="{00000000-0005-0000-0000-0000C55A0000}"/>
    <cellStyle name="Porcentagem 6 3 2 2 4" xfId="32078" xr:uid="{00000000-0005-0000-0000-0000C65A0000}"/>
    <cellStyle name="Porcentagem 6 3 2 2 5" xfId="32079" xr:uid="{00000000-0005-0000-0000-0000C75A0000}"/>
    <cellStyle name="Porcentagem 6 3 2 3" xfId="32080" xr:uid="{00000000-0005-0000-0000-0000C85A0000}"/>
    <cellStyle name="Porcentagem 6 3 2 3 2" xfId="32081" xr:uid="{00000000-0005-0000-0000-0000C95A0000}"/>
    <cellStyle name="Porcentagem 6 3 2 3 3" xfId="32082" xr:uid="{00000000-0005-0000-0000-0000CA5A0000}"/>
    <cellStyle name="Porcentagem 6 3 2 3 4" xfId="32083" xr:uid="{00000000-0005-0000-0000-0000CB5A0000}"/>
    <cellStyle name="Porcentagem 6 3 2 4" xfId="32084" xr:uid="{00000000-0005-0000-0000-0000CC5A0000}"/>
    <cellStyle name="Porcentagem 6 3 2 5" xfId="32085" xr:uid="{00000000-0005-0000-0000-0000CD5A0000}"/>
    <cellStyle name="Porcentagem 6 3 2 6" xfId="32086" xr:uid="{00000000-0005-0000-0000-0000CE5A0000}"/>
    <cellStyle name="Porcentagem 6 3 3" xfId="32087" xr:uid="{00000000-0005-0000-0000-0000CF5A0000}"/>
    <cellStyle name="Porcentagem 6 3 3 2" xfId="32088" xr:uid="{00000000-0005-0000-0000-0000D05A0000}"/>
    <cellStyle name="Porcentagem 6 3 3 2 2" xfId="32089" xr:uid="{00000000-0005-0000-0000-0000D15A0000}"/>
    <cellStyle name="Porcentagem 6 3 3 2 3" xfId="32090" xr:uid="{00000000-0005-0000-0000-0000D25A0000}"/>
    <cellStyle name="Porcentagem 6 3 3 2 4" xfId="32091" xr:uid="{00000000-0005-0000-0000-0000D35A0000}"/>
    <cellStyle name="Porcentagem 6 3 3 3" xfId="32092" xr:uid="{00000000-0005-0000-0000-0000D45A0000}"/>
    <cellStyle name="Porcentagem 6 3 3 4" xfId="32093" xr:uid="{00000000-0005-0000-0000-0000D55A0000}"/>
    <cellStyle name="Porcentagem 6 3 3 5" xfId="32094" xr:uid="{00000000-0005-0000-0000-0000D65A0000}"/>
    <cellStyle name="Porcentagem 6 3 4" xfId="32095" xr:uid="{00000000-0005-0000-0000-0000D75A0000}"/>
    <cellStyle name="Porcentagem 6 3 4 2" xfId="32096" xr:uid="{00000000-0005-0000-0000-0000D85A0000}"/>
    <cellStyle name="Porcentagem 6 3 4 3" xfId="32097" xr:uid="{00000000-0005-0000-0000-0000D95A0000}"/>
    <cellStyle name="Porcentagem 6 3 4 4" xfId="32098" xr:uid="{00000000-0005-0000-0000-0000DA5A0000}"/>
    <cellStyle name="Porcentagem 6 3 5" xfId="32099" xr:uid="{00000000-0005-0000-0000-0000DB5A0000}"/>
    <cellStyle name="Porcentagem 6 3 5 2" xfId="32100" xr:uid="{00000000-0005-0000-0000-0000DC5A0000}"/>
    <cellStyle name="Porcentagem 6 3 5 3" xfId="32101" xr:uid="{00000000-0005-0000-0000-0000DD5A0000}"/>
    <cellStyle name="Porcentagem 6 3 5 4" xfId="32102" xr:uid="{00000000-0005-0000-0000-0000DE5A0000}"/>
    <cellStyle name="Porcentagem 6 3 6" xfId="32103" xr:uid="{00000000-0005-0000-0000-0000DF5A0000}"/>
    <cellStyle name="Porcentagem 6 3 6 2" xfId="32104" xr:uid="{00000000-0005-0000-0000-0000E05A0000}"/>
    <cellStyle name="Porcentagem 6 3 6 3" xfId="32105" xr:uid="{00000000-0005-0000-0000-0000E15A0000}"/>
    <cellStyle name="Porcentagem 6 3 7" xfId="32106" xr:uid="{00000000-0005-0000-0000-0000E25A0000}"/>
    <cellStyle name="Porcentagem 6 3 8" xfId="32107" xr:uid="{00000000-0005-0000-0000-0000E35A0000}"/>
    <cellStyle name="Porcentagem 6 3 9" xfId="32108" xr:uid="{00000000-0005-0000-0000-0000E45A0000}"/>
    <cellStyle name="Porcentagem 6 4" xfId="32109" xr:uid="{00000000-0005-0000-0000-0000E55A0000}"/>
    <cellStyle name="Porcentagem 6 4 2" xfId="32110" xr:uid="{00000000-0005-0000-0000-0000E65A0000}"/>
    <cellStyle name="Porcentagem 6 4 2 2" xfId="32111" xr:uid="{00000000-0005-0000-0000-0000E75A0000}"/>
    <cellStyle name="Porcentagem 6 4 2 2 2" xfId="32112" xr:uid="{00000000-0005-0000-0000-0000E85A0000}"/>
    <cellStyle name="Porcentagem 6 4 2 2 2 2" xfId="32113" xr:uid="{00000000-0005-0000-0000-0000E95A0000}"/>
    <cellStyle name="Porcentagem 6 4 2 2 2 3" xfId="32114" xr:uid="{00000000-0005-0000-0000-0000EA5A0000}"/>
    <cellStyle name="Porcentagem 6 4 2 2 2 4" xfId="32115" xr:uid="{00000000-0005-0000-0000-0000EB5A0000}"/>
    <cellStyle name="Porcentagem 6 4 2 2 3" xfId="32116" xr:uid="{00000000-0005-0000-0000-0000EC5A0000}"/>
    <cellStyle name="Porcentagem 6 4 2 2 4" xfId="32117" xr:uid="{00000000-0005-0000-0000-0000ED5A0000}"/>
    <cellStyle name="Porcentagem 6 4 2 2 5" xfId="32118" xr:uid="{00000000-0005-0000-0000-0000EE5A0000}"/>
    <cellStyle name="Porcentagem 6 4 2 3" xfId="32119" xr:uid="{00000000-0005-0000-0000-0000EF5A0000}"/>
    <cellStyle name="Porcentagem 6 4 2 3 2" xfId="32120" xr:uid="{00000000-0005-0000-0000-0000F05A0000}"/>
    <cellStyle name="Porcentagem 6 4 2 3 3" xfId="32121" xr:uid="{00000000-0005-0000-0000-0000F15A0000}"/>
    <cellStyle name="Porcentagem 6 4 2 3 4" xfId="32122" xr:uid="{00000000-0005-0000-0000-0000F25A0000}"/>
    <cellStyle name="Porcentagem 6 4 2 4" xfId="32123" xr:uid="{00000000-0005-0000-0000-0000F35A0000}"/>
    <cellStyle name="Porcentagem 6 4 2 5" xfId="32124" xr:uid="{00000000-0005-0000-0000-0000F45A0000}"/>
    <cellStyle name="Porcentagem 6 4 2 6" xfId="32125" xr:uid="{00000000-0005-0000-0000-0000F55A0000}"/>
    <cellStyle name="Porcentagem 6 4 3" xfId="32126" xr:uid="{00000000-0005-0000-0000-0000F65A0000}"/>
    <cellStyle name="Porcentagem 6 4 3 2" xfId="32127" xr:uid="{00000000-0005-0000-0000-0000F75A0000}"/>
    <cellStyle name="Porcentagem 6 4 3 2 2" xfId="32128" xr:uid="{00000000-0005-0000-0000-0000F85A0000}"/>
    <cellStyle name="Porcentagem 6 4 3 2 3" xfId="32129" xr:uid="{00000000-0005-0000-0000-0000F95A0000}"/>
    <cellStyle name="Porcentagem 6 4 3 2 4" xfId="32130" xr:uid="{00000000-0005-0000-0000-0000FA5A0000}"/>
    <cellStyle name="Porcentagem 6 4 3 3" xfId="32131" xr:uid="{00000000-0005-0000-0000-0000FB5A0000}"/>
    <cellStyle name="Porcentagem 6 4 3 4" xfId="32132" xr:uid="{00000000-0005-0000-0000-0000FC5A0000}"/>
    <cellStyle name="Porcentagem 6 4 3 5" xfId="32133" xr:uid="{00000000-0005-0000-0000-0000FD5A0000}"/>
    <cellStyle name="Porcentagem 6 4 4" xfId="32134" xr:uid="{00000000-0005-0000-0000-0000FE5A0000}"/>
    <cellStyle name="Porcentagem 6 4 4 2" xfId="32135" xr:uid="{00000000-0005-0000-0000-0000FF5A0000}"/>
    <cellStyle name="Porcentagem 6 4 4 3" xfId="32136" xr:uid="{00000000-0005-0000-0000-0000005B0000}"/>
    <cellStyle name="Porcentagem 6 4 4 4" xfId="32137" xr:uid="{00000000-0005-0000-0000-0000015B0000}"/>
    <cellStyle name="Porcentagem 6 4 5" xfId="32138" xr:uid="{00000000-0005-0000-0000-0000025B0000}"/>
    <cellStyle name="Porcentagem 6 4 5 2" xfId="32139" xr:uid="{00000000-0005-0000-0000-0000035B0000}"/>
    <cellStyle name="Porcentagem 6 4 5 3" xfId="32140" xr:uid="{00000000-0005-0000-0000-0000045B0000}"/>
    <cellStyle name="Porcentagem 6 4 5 4" xfId="32141" xr:uid="{00000000-0005-0000-0000-0000055B0000}"/>
    <cellStyle name="Porcentagem 6 4 6" xfId="32142" xr:uid="{00000000-0005-0000-0000-0000065B0000}"/>
    <cellStyle name="Porcentagem 6 4 6 2" xfId="32143" xr:uid="{00000000-0005-0000-0000-0000075B0000}"/>
    <cellStyle name="Porcentagem 6 4 6 3" xfId="32144" xr:uid="{00000000-0005-0000-0000-0000085B0000}"/>
    <cellStyle name="Porcentagem 6 4 7" xfId="32145" xr:uid="{00000000-0005-0000-0000-0000095B0000}"/>
    <cellStyle name="Porcentagem 6 4 8" xfId="32146" xr:uid="{00000000-0005-0000-0000-00000A5B0000}"/>
    <cellStyle name="Porcentagem 6 4 9" xfId="32147" xr:uid="{00000000-0005-0000-0000-00000B5B0000}"/>
    <cellStyle name="Porcentagem 6 5" xfId="32148" xr:uid="{00000000-0005-0000-0000-00000C5B0000}"/>
    <cellStyle name="Porcentagem 6 5 2" xfId="32149" xr:uid="{00000000-0005-0000-0000-00000D5B0000}"/>
    <cellStyle name="Porcentagem 6 5 2 2" xfId="32150" xr:uid="{00000000-0005-0000-0000-00000E5B0000}"/>
    <cellStyle name="Porcentagem 6 5 2 2 2" xfId="32151" xr:uid="{00000000-0005-0000-0000-00000F5B0000}"/>
    <cellStyle name="Porcentagem 6 5 2 2 3" xfId="32152" xr:uid="{00000000-0005-0000-0000-0000105B0000}"/>
    <cellStyle name="Porcentagem 6 5 2 2 4" xfId="32153" xr:uid="{00000000-0005-0000-0000-0000115B0000}"/>
    <cellStyle name="Porcentagem 6 5 2 3" xfId="32154" xr:uid="{00000000-0005-0000-0000-0000125B0000}"/>
    <cellStyle name="Porcentagem 6 5 2 4" xfId="32155" xr:uid="{00000000-0005-0000-0000-0000135B0000}"/>
    <cellStyle name="Porcentagem 6 5 2 5" xfId="32156" xr:uid="{00000000-0005-0000-0000-0000145B0000}"/>
    <cellStyle name="Porcentagem 6 5 3" xfId="32157" xr:uid="{00000000-0005-0000-0000-0000155B0000}"/>
    <cellStyle name="Porcentagem 6 5 3 2" xfId="32158" xr:uid="{00000000-0005-0000-0000-0000165B0000}"/>
    <cellStyle name="Porcentagem 6 5 3 3" xfId="32159" xr:uid="{00000000-0005-0000-0000-0000175B0000}"/>
    <cellStyle name="Porcentagem 6 5 3 4" xfId="32160" xr:uid="{00000000-0005-0000-0000-0000185B0000}"/>
    <cellStyle name="Porcentagem 6 5 4" xfId="32161" xr:uid="{00000000-0005-0000-0000-0000195B0000}"/>
    <cellStyle name="Porcentagem 6 5 5" xfId="32162" xr:uid="{00000000-0005-0000-0000-00001A5B0000}"/>
    <cellStyle name="Porcentagem 6 5 6" xfId="32163" xr:uid="{00000000-0005-0000-0000-00001B5B0000}"/>
    <cellStyle name="Porcentagem 6 6" xfId="32164" xr:uid="{00000000-0005-0000-0000-00001C5B0000}"/>
    <cellStyle name="Porcentagem 6 6 2" xfId="32165" xr:uid="{00000000-0005-0000-0000-00001D5B0000}"/>
    <cellStyle name="Porcentagem 6 6 2 2" xfId="32166" xr:uid="{00000000-0005-0000-0000-00001E5B0000}"/>
    <cellStyle name="Porcentagem 6 6 2 2 2" xfId="32167" xr:uid="{00000000-0005-0000-0000-00001F5B0000}"/>
    <cellStyle name="Porcentagem 6 6 2 2 3" xfId="32168" xr:uid="{00000000-0005-0000-0000-0000205B0000}"/>
    <cellStyle name="Porcentagem 6 6 2 2 4" xfId="32169" xr:uid="{00000000-0005-0000-0000-0000215B0000}"/>
    <cellStyle name="Porcentagem 6 6 2 3" xfId="32170" xr:uid="{00000000-0005-0000-0000-0000225B0000}"/>
    <cellStyle name="Porcentagem 6 6 2 4" xfId="32171" xr:uid="{00000000-0005-0000-0000-0000235B0000}"/>
    <cellStyle name="Porcentagem 6 6 2 5" xfId="32172" xr:uid="{00000000-0005-0000-0000-0000245B0000}"/>
    <cellStyle name="Porcentagem 6 6 3" xfId="32173" xr:uid="{00000000-0005-0000-0000-0000255B0000}"/>
    <cellStyle name="Porcentagem 6 6 3 2" xfId="32174" xr:uid="{00000000-0005-0000-0000-0000265B0000}"/>
    <cellStyle name="Porcentagem 6 6 3 3" xfId="32175" xr:uid="{00000000-0005-0000-0000-0000275B0000}"/>
    <cellStyle name="Porcentagem 6 6 3 4" xfId="32176" xr:uid="{00000000-0005-0000-0000-0000285B0000}"/>
    <cellStyle name="Porcentagem 6 6 4" xfId="32177" xr:uid="{00000000-0005-0000-0000-0000295B0000}"/>
    <cellStyle name="Porcentagem 6 6 5" xfId="32178" xr:uid="{00000000-0005-0000-0000-00002A5B0000}"/>
    <cellStyle name="Porcentagem 6 6 6" xfId="32179" xr:uid="{00000000-0005-0000-0000-00002B5B0000}"/>
    <cellStyle name="Porcentagem 6 7" xfId="32180" xr:uid="{00000000-0005-0000-0000-00002C5B0000}"/>
    <cellStyle name="Porcentagem 6 7 2" xfId="32181" xr:uid="{00000000-0005-0000-0000-00002D5B0000}"/>
    <cellStyle name="Porcentagem 6 7 2 2" xfId="32182" xr:uid="{00000000-0005-0000-0000-00002E5B0000}"/>
    <cellStyle name="Porcentagem 6 7 2 2 2" xfId="32183" xr:uid="{00000000-0005-0000-0000-00002F5B0000}"/>
    <cellStyle name="Porcentagem 6 7 2 2 3" xfId="32184" xr:uid="{00000000-0005-0000-0000-0000305B0000}"/>
    <cellStyle name="Porcentagem 6 7 2 2 4" xfId="32185" xr:uid="{00000000-0005-0000-0000-0000315B0000}"/>
    <cellStyle name="Porcentagem 6 7 2 3" xfId="32186" xr:uid="{00000000-0005-0000-0000-0000325B0000}"/>
    <cellStyle name="Porcentagem 6 7 2 4" xfId="32187" xr:uid="{00000000-0005-0000-0000-0000335B0000}"/>
    <cellStyle name="Porcentagem 6 7 2 5" xfId="32188" xr:uid="{00000000-0005-0000-0000-0000345B0000}"/>
    <cellStyle name="Porcentagem 6 7 3" xfId="32189" xr:uid="{00000000-0005-0000-0000-0000355B0000}"/>
    <cellStyle name="Porcentagem 6 7 3 2" xfId="32190" xr:uid="{00000000-0005-0000-0000-0000365B0000}"/>
    <cellStyle name="Porcentagem 6 7 3 3" xfId="32191" xr:uid="{00000000-0005-0000-0000-0000375B0000}"/>
    <cellStyle name="Porcentagem 6 7 3 4" xfId="32192" xr:uid="{00000000-0005-0000-0000-0000385B0000}"/>
    <cellStyle name="Porcentagem 6 7 4" xfId="32193" xr:uid="{00000000-0005-0000-0000-0000395B0000}"/>
    <cellStyle name="Porcentagem 6 7 5" xfId="32194" xr:uid="{00000000-0005-0000-0000-00003A5B0000}"/>
    <cellStyle name="Porcentagem 6 7 6" xfId="32195" xr:uid="{00000000-0005-0000-0000-00003B5B0000}"/>
    <cellStyle name="Porcentagem 6 8" xfId="32196" xr:uid="{00000000-0005-0000-0000-00003C5B0000}"/>
    <cellStyle name="Porcentagem 6 8 2" xfId="32197" xr:uid="{00000000-0005-0000-0000-00003D5B0000}"/>
    <cellStyle name="Porcentagem 6 8 2 2" xfId="32198" xr:uid="{00000000-0005-0000-0000-00003E5B0000}"/>
    <cellStyle name="Porcentagem 6 8 2 3" xfId="32199" xr:uid="{00000000-0005-0000-0000-00003F5B0000}"/>
    <cellStyle name="Porcentagem 6 8 2 4" xfId="32200" xr:uid="{00000000-0005-0000-0000-0000405B0000}"/>
    <cellStyle name="Porcentagem 6 8 3" xfId="32201" xr:uid="{00000000-0005-0000-0000-0000415B0000}"/>
    <cellStyle name="Porcentagem 6 8 4" xfId="32202" xr:uid="{00000000-0005-0000-0000-0000425B0000}"/>
    <cellStyle name="Porcentagem 6 8 5" xfId="32203" xr:uid="{00000000-0005-0000-0000-0000435B0000}"/>
    <cellStyle name="Porcentagem 6 9" xfId="32204" xr:uid="{00000000-0005-0000-0000-0000445B0000}"/>
    <cellStyle name="Porcentagem 6 9 2" xfId="32205" xr:uid="{00000000-0005-0000-0000-0000455B0000}"/>
    <cellStyle name="Porcentagem 6 9 3" xfId="32206" xr:uid="{00000000-0005-0000-0000-0000465B0000}"/>
    <cellStyle name="Porcentagem 6 9 4" xfId="32207" xr:uid="{00000000-0005-0000-0000-0000475B0000}"/>
    <cellStyle name="Porcentagem 7" xfId="1711" xr:uid="{00000000-0005-0000-0000-0000485B0000}"/>
    <cellStyle name="Porcentagem 7 2" xfId="1712" xr:uid="{00000000-0005-0000-0000-0000495B0000}"/>
    <cellStyle name="Porcentagem 8" xfId="1713" xr:uid="{00000000-0005-0000-0000-00004A5B0000}"/>
    <cellStyle name="Porcentagem 8 2" xfId="1714" xr:uid="{00000000-0005-0000-0000-00004B5B0000}"/>
    <cellStyle name="Porcentagem 9" xfId="1715" xr:uid="{00000000-0005-0000-0000-00004C5B0000}"/>
    <cellStyle name="Porcentagem 9 2" xfId="1716" xr:uid="{00000000-0005-0000-0000-00004D5B0000}"/>
    <cellStyle name="Porcentagem 9 2 2" xfId="1717" xr:uid="{00000000-0005-0000-0000-00004E5B0000}"/>
    <cellStyle name="Porcentagem 9 3" xfId="1718" xr:uid="{00000000-0005-0000-0000-00004F5B0000}"/>
    <cellStyle name="Porcentagem 9 4" xfId="1719" xr:uid="{00000000-0005-0000-0000-0000505B0000}"/>
    <cellStyle name="Porcentagem_planilha orçamentária PORTO BELO 2 - COMPLETA" xfId="56" xr:uid="{00000000-0005-0000-0000-0000515B0000}"/>
    <cellStyle name="Result" xfId="1720" xr:uid="{00000000-0005-0000-0000-0000525B0000}"/>
    <cellStyle name="Result 2" xfId="26203" xr:uid="{00000000-0005-0000-0000-0000535B0000}"/>
    <cellStyle name="Result2" xfId="1721" xr:uid="{00000000-0005-0000-0000-0000545B0000}"/>
    <cellStyle name="Result2 2" xfId="26204" xr:uid="{00000000-0005-0000-0000-0000555B0000}"/>
    <cellStyle name="Ruim" xfId="9" builtinId="27" customBuiltin="1"/>
    <cellStyle name="Saída" xfId="11" builtinId="21" customBuiltin="1"/>
    <cellStyle name="Saída 2" xfId="1722" xr:uid="{00000000-0005-0000-0000-0000575B0000}"/>
    <cellStyle name="Saída 2 2" xfId="1723" xr:uid="{00000000-0005-0000-0000-0000585B0000}"/>
    <cellStyle name="Saída 2 2 2" xfId="2615" xr:uid="{00000000-0005-0000-0000-0000595B0000}"/>
    <cellStyle name="Saída 2 2 2 10" xfId="5249" xr:uid="{00000000-0005-0000-0000-00005A5B0000}"/>
    <cellStyle name="Saída 2 2 2 10 2" xfId="10389" xr:uid="{00000000-0005-0000-0000-00005B5B0000}"/>
    <cellStyle name="Saída 2 2 2 10 3" xfId="16133" xr:uid="{00000000-0005-0000-0000-00005C5B0000}"/>
    <cellStyle name="Saída 2 2 2 10 4" xfId="12845" xr:uid="{00000000-0005-0000-0000-00005D5B0000}"/>
    <cellStyle name="Saída 2 2 2 11" xfId="5046" xr:uid="{00000000-0005-0000-0000-00005E5B0000}"/>
    <cellStyle name="Saída 2 2 2 11 2" xfId="10308" xr:uid="{00000000-0005-0000-0000-00005F5B0000}"/>
    <cellStyle name="Saída 2 2 2 11 3" xfId="15999" xr:uid="{00000000-0005-0000-0000-0000605B0000}"/>
    <cellStyle name="Saída 2 2 2 11 4" xfId="12975" xr:uid="{00000000-0005-0000-0000-0000615B0000}"/>
    <cellStyle name="Saída 2 2 2 12" xfId="4858" xr:uid="{00000000-0005-0000-0000-0000625B0000}"/>
    <cellStyle name="Saída 2 2 2 12 2" xfId="15835" xr:uid="{00000000-0005-0000-0000-0000635B0000}"/>
    <cellStyle name="Saída 2 2 2 12 3" xfId="13148" xr:uid="{00000000-0005-0000-0000-0000645B0000}"/>
    <cellStyle name="Saída 2 2 2 13" xfId="8778" xr:uid="{00000000-0005-0000-0000-0000655B0000}"/>
    <cellStyle name="Saída 2 2 2 14" xfId="14143" xr:uid="{00000000-0005-0000-0000-0000665B0000}"/>
    <cellStyle name="Saída 2 2 2 2" xfId="2704" xr:uid="{00000000-0005-0000-0000-0000675B0000}"/>
    <cellStyle name="Saída 2 2 2 2 10" xfId="7480" xr:uid="{00000000-0005-0000-0000-0000685B0000}"/>
    <cellStyle name="Saída 2 2 2 2 10 2" xfId="11534" xr:uid="{00000000-0005-0000-0000-0000695B0000}"/>
    <cellStyle name="Saída 2 2 2 2 10 3" xfId="17838" xr:uid="{00000000-0005-0000-0000-00006A5B0000}"/>
    <cellStyle name="Saída 2 2 2 2 10 4" xfId="20998" xr:uid="{00000000-0005-0000-0000-00006B5B0000}"/>
    <cellStyle name="Saída 2 2 2 2 11" xfId="4897" xr:uid="{00000000-0005-0000-0000-00006C5B0000}"/>
    <cellStyle name="Saída 2 2 2 2 11 2" xfId="15870" xr:uid="{00000000-0005-0000-0000-00006D5B0000}"/>
    <cellStyle name="Saída 2 2 2 2 11 3" xfId="14112" xr:uid="{00000000-0005-0000-0000-00006E5B0000}"/>
    <cellStyle name="Saída 2 2 2 2 12" xfId="8859" xr:uid="{00000000-0005-0000-0000-00006F5B0000}"/>
    <cellStyle name="Saída 2 2 2 2 13" xfId="14273" xr:uid="{00000000-0005-0000-0000-0000705B0000}"/>
    <cellStyle name="Saída 2 2 2 2 14" xfId="14299" xr:uid="{00000000-0005-0000-0000-0000715B0000}"/>
    <cellStyle name="Saída 2 2 2 2 2" xfId="2641" xr:uid="{00000000-0005-0000-0000-0000725B0000}"/>
    <cellStyle name="Saída 2 2 2 2 2 10" xfId="4892" xr:uid="{00000000-0005-0000-0000-0000735B0000}"/>
    <cellStyle name="Saída 2 2 2 2 2 10 2" xfId="15867" xr:uid="{00000000-0005-0000-0000-0000745B0000}"/>
    <cellStyle name="Saída 2 2 2 2 2 10 3" xfId="14122" xr:uid="{00000000-0005-0000-0000-0000755B0000}"/>
    <cellStyle name="Saída 2 2 2 2 2 11" xfId="8798" xr:uid="{00000000-0005-0000-0000-0000765B0000}"/>
    <cellStyle name="Saída 2 2 2 2 2 12" xfId="14220" xr:uid="{00000000-0005-0000-0000-0000775B0000}"/>
    <cellStyle name="Saída 2 2 2 2 2 2" xfId="3133" xr:uid="{00000000-0005-0000-0000-0000785B0000}"/>
    <cellStyle name="Saída 2 2 2 2 2 2 10" xfId="9263" xr:uid="{00000000-0005-0000-0000-0000795B0000}"/>
    <cellStyle name="Saída 2 2 2 2 2 2 11" xfId="14588" xr:uid="{00000000-0005-0000-0000-00007A5B0000}"/>
    <cellStyle name="Saída 2 2 2 2 2 2 12" xfId="14737" xr:uid="{00000000-0005-0000-0000-00007B5B0000}"/>
    <cellStyle name="Saída 2 2 2 2 2 2 2" xfId="3520" xr:uid="{00000000-0005-0000-0000-00007C5B0000}"/>
    <cellStyle name="Saída 2 2 2 2 2 2 2 2" xfId="7287" xr:uid="{00000000-0005-0000-0000-00007D5B0000}"/>
    <cellStyle name="Saída 2 2 2 2 2 2 2 2 2" xfId="11392" xr:uid="{00000000-0005-0000-0000-00007E5B0000}"/>
    <cellStyle name="Saída 2 2 2 2 2 2 2 2 3" xfId="17685" xr:uid="{00000000-0005-0000-0000-00007F5B0000}"/>
    <cellStyle name="Saída 2 2 2 2 2 2 2 2 4" xfId="20805" xr:uid="{00000000-0005-0000-0000-0000805B0000}"/>
    <cellStyle name="Saída 2 2 2 2 2 2 2 3" xfId="5578" xr:uid="{00000000-0005-0000-0000-0000815B0000}"/>
    <cellStyle name="Saída 2 2 2 2 2 2 2 3 2" xfId="16394" xr:uid="{00000000-0005-0000-0000-0000825B0000}"/>
    <cellStyle name="Saída 2 2 2 2 2 2 2 3 3" xfId="19096" xr:uid="{00000000-0005-0000-0000-0000835B0000}"/>
    <cellStyle name="Saída 2 2 2 2 2 2 2 4" xfId="9612" xr:uid="{00000000-0005-0000-0000-0000845B0000}"/>
    <cellStyle name="Saída 2 2 2 2 2 2 2 5" xfId="14868" xr:uid="{00000000-0005-0000-0000-0000855B0000}"/>
    <cellStyle name="Saída 2 2 2 2 2 2 2 6" xfId="17590" xr:uid="{00000000-0005-0000-0000-0000865B0000}"/>
    <cellStyle name="Saída 2 2 2 2 2 2 3" xfId="3903" xr:uid="{00000000-0005-0000-0000-0000875B0000}"/>
    <cellStyle name="Saída 2 2 2 2 2 2 3 2" xfId="7866" xr:uid="{00000000-0005-0000-0000-0000885B0000}"/>
    <cellStyle name="Saída 2 2 2 2 2 2 3 2 2" xfId="11862" xr:uid="{00000000-0005-0000-0000-0000895B0000}"/>
    <cellStyle name="Saída 2 2 2 2 2 2 3 2 3" xfId="18124" xr:uid="{00000000-0005-0000-0000-00008A5B0000}"/>
    <cellStyle name="Saída 2 2 2 2 2 2 3 2 4" xfId="21384" xr:uid="{00000000-0005-0000-0000-00008B5B0000}"/>
    <cellStyle name="Saída 2 2 2 2 2 2 3 3" xfId="6158" xr:uid="{00000000-0005-0000-0000-00008C5B0000}"/>
    <cellStyle name="Saída 2 2 2 2 2 2 3 3 2" xfId="16832" xr:uid="{00000000-0005-0000-0000-00008D5B0000}"/>
    <cellStyle name="Saída 2 2 2 2 2 2 3 3 3" xfId="19676" xr:uid="{00000000-0005-0000-0000-00008E5B0000}"/>
    <cellStyle name="Saída 2 2 2 2 2 2 3 4" xfId="9826" xr:uid="{00000000-0005-0000-0000-00008F5B0000}"/>
    <cellStyle name="Saída 2 2 2 2 2 2 3 5" xfId="15144" xr:uid="{00000000-0005-0000-0000-0000905B0000}"/>
    <cellStyle name="Saída 2 2 2 2 2 2 3 6" xfId="14085" xr:uid="{00000000-0005-0000-0000-0000915B0000}"/>
    <cellStyle name="Saída 2 2 2 2 2 2 4" xfId="4286" xr:uid="{00000000-0005-0000-0000-0000925B0000}"/>
    <cellStyle name="Saída 2 2 2 2 2 2 4 2" xfId="8195" xr:uid="{00000000-0005-0000-0000-0000935B0000}"/>
    <cellStyle name="Saída 2 2 2 2 2 2 4 2 2" xfId="12163" xr:uid="{00000000-0005-0000-0000-0000945B0000}"/>
    <cellStyle name="Saída 2 2 2 2 2 2 4 2 3" xfId="18387" xr:uid="{00000000-0005-0000-0000-0000955B0000}"/>
    <cellStyle name="Saída 2 2 2 2 2 2 4 2 4" xfId="21713" xr:uid="{00000000-0005-0000-0000-0000965B0000}"/>
    <cellStyle name="Saída 2 2 2 2 2 2 4 3" xfId="6487" xr:uid="{00000000-0005-0000-0000-0000975B0000}"/>
    <cellStyle name="Saída 2 2 2 2 2 2 4 3 2" xfId="17096" xr:uid="{00000000-0005-0000-0000-0000985B0000}"/>
    <cellStyle name="Saída 2 2 2 2 2 2 4 3 3" xfId="20005" xr:uid="{00000000-0005-0000-0000-0000995B0000}"/>
    <cellStyle name="Saída 2 2 2 2 2 2 4 4" xfId="10004" xr:uid="{00000000-0005-0000-0000-00009A5B0000}"/>
    <cellStyle name="Saída 2 2 2 2 2 2 4 5" xfId="15419" xr:uid="{00000000-0005-0000-0000-00009B5B0000}"/>
    <cellStyle name="Saída 2 2 2 2 2 2 4 6" xfId="13719" xr:uid="{00000000-0005-0000-0000-00009C5B0000}"/>
    <cellStyle name="Saída 2 2 2 2 2 2 5" xfId="4668" xr:uid="{00000000-0005-0000-0000-00009D5B0000}"/>
    <cellStyle name="Saída 2 2 2 2 2 2 5 2" xfId="8427" xr:uid="{00000000-0005-0000-0000-00009E5B0000}"/>
    <cellStyle name="Saída 2 2 2 2 2 2 5 2 2" xfId="12395" xr:uid="{00000000-0005-0000-0000-00009F5B0000}"/>
    <cellStyle name="Saída 2 2 2 2 2 2 5 2 3" xfId="18558" xr:uid="{00000000-0005-0000-0000-0000A05B0000}"/>
    <cellStyle name="Saída 2 2 2 2 2 2 5 2 4" xfId="21945" xr:uid="{00000000-0005-0000-0000-0000A15B0000}"/>
    <cellStyle name="Saída 2 2 2 2 2 2 5 3" xfId="6719" xr:uid="{00000000-0005-0000-0000-0000A25B0000}"/>
    <cellStyle name="Saída 2 2 2 2 2 2 5 3 2" xfId="17267" xr:uid="{00000000-0005-0000-0000-0000A35B0000}"/>
    <cellStyle name="Saída 2 2 2 2 2 2 5 3 3" xfId="20237" xr:uid="{00000000-0005-0000-0000-0000A45B0000}"/>
    <cellStyle name="Saída 2 2 2 2 2 2 5 4" xfId="10181" xr:uid="{00000000-0005-0000-0000-0000A55B0000}"/>
    <cellStyle name="Saída 2 2 2 2 2 2 5 5" xfId="15693" xr:uid="{00000000-0005-0000-0000-0000A65B0000}"/>
    <cellStyle name="Saída 2 2 2 2 2 2 5 6" xfId="13337" xr:uid="{00000000-0005-0000-0000-0000A75B0000}"/>
    <cellStyle name="Saída 2 2 2 2 2 2 6" xfId="6951" xr:uid="{00000000-0005-0000-0000-0000A85B0000}"/>
    <cellStyle name="Saída 2 2 2 2 2 2 6 2" xfId="8659" xr:uid="{00000000-0005-0000-0000-0000A95B0000}"/>
    <cellStyle name="Saída 2 2 2 2 2 2 6 2 2" xfId="12627" xr:uid="{00000000-0005-0000-0000-0000AA5B0000}"/>
    <cellStyle name="Saída 2 2 2 2 2 2 6 2 3" xfId="18729" xr:uid="{00000000-0005-0000-0000-0000AB5B0000}"/>
    <cellStyle name="Saída 2 2 2 2 2 2 6 2 4" xfId="22177" xr:uid="{00000000-0005-0000-0000-0000AC5B0000}"/>
    <cellStyle name="Saída 2 2 2 2 2 2 6 3" xfId="11085" xr:uid="{00000000-0005-0000-0000-0000AD5B0000}"/>
    <cellStyle name="Saída 2 2 2 2 2 2 6 4" xfId="17437" xr:uid="{00000000-0005-0000-0000-0000AE5B0000}"/>
    <cellStyle name="Saída 2 2 2 2 2 2 6 5" xfId="20469" xr:uid="{00000000-0005-0000-0000-0000AF5B0000}"/>
    <cellStyle name="Saída 2 2 2 2 2 2 7" xfId="5939" xr:uid="{00000000-0005-0000-0000-0000B05B0000}"/>
    <cellStyle name="Saída 2 2 2 2 2 2 7 2" xfId="10680" xr:uid="{00000000-0005-0000-0000-0000B15B0000}"/>
    <cellStyle name="Saída 2 2 2 2 2 2 7 3" xfId="16675" xr:uid="{00000000-0005-0000-0000-0000B25B0000}"/>
    <cellStyle name="Saída 2 2 2 2 2 2 7 4" xfId="19457" xr:uid="{00000000-0005-0000-0000-0000B35B0000}"/>
    <cellStyle name="Saída 2 2 2 2 2 2 8" xfId="7647" xr:uid="{00000000-0005-0000-0000-0000B45B0000}"/>
    <cellStyle name="Saída 2 2 2 2 2 2 8 2" xfId="11668" xr:uid="{00000000-0005-0000-0000-0000B55B0000}"/>
    <cellStyle name="Saída 2 2 2 2 2 2 8 3" xfId="17967" xr:uid="{00000000-0005-0000-0000-0000B65B0000}"/>
    <cellStyle name="Saída 2 2 2 2 2 2 8 4" xfId="21165" xr:uid="{00000000-0005-0000-0000-0000B75B0000}"/>
    <cellStyle name="Saída 2 2 2 2 2 2 9" xfId="5035" xr:uid="{00000000-0005-0000-0000-0000B85B0000}"/>
    <cellStyle name="Saída 2 2 2 2 2 2 9 2" xfId="15990" xr:uid="{00000000-0005-0000-0000-0000B95B0000}"/>
    <cellStyle name="Saída 2 2 2 2 2 2 9 3" xfId="12984" xr:uid="{00000000-0005-0000-0000-0000BA5B0000}"/>
    <cellStyle name="Saída 2 2 2 2 2 3" xfId="3100" xr:uid="{00000000-0005-0000-0000-0000BB5B0000}"/>
    <cellStyle name="Saída 2 2 2 2 2 3 2" xfId="3487" xr:uid="{00000000-0005-0000-0000-0000BC5B0000}"/>
    <cellStyle name="Saída 2 2 2 2 2 3 2 2" xfId="7824" xr:uid="{00000000-0005-0000-0000-0000BD5B0000}"/>
    <cellStyle name="Saída 2 2 2 2 2 3 2 2 2" xfId="18088" xr:uid="{00000000-0005-0000-0000-0000BE5B0000}"/>
    <cellStyle name="Saída 2 2 2 2 2 3 2 2 3" xfId="21342" xr:uid="{00000000-0005-0000-0000-0000BF5B0000}"/>
    <cellStyle name="Saída 2 2 2 2 2 3 2 3" xfId="9581" xr:uid="{00000000-0005-0000-0000-0000C05B0000}"/>
    <cellStyle name="Saída 2 2 2 2 2 3 2 4" xfId="14843" xr:uid="{00000000-0005-0000-0000-0000C15B0000}"/>
    <cellStyle name="Saída 2 2 2 2 2 3 2 5" xfId="16924" xr:uid="{00000000-0005-0000-0000-0000C25B0000}"/>
    <cellStyle name="Saída 2 2 2 2 2 3 3" xfId="3870" xr:uid="{00000000-0005-0000-0000-0000C35B0000}"/>
    <cellStyle name="Saída 2 2 2 2 2 3 3 2" xfId="15119" xr:uid="{00000000-0005-0000-0000-0000C45B0000}"/>
    <cellStyle name="Saída 2 2 2 2 2 3 3 3" xfId="14196" xr:uid="{00000000-0005-0000-0000-0000C55B0000}"/>
    <cellStyle name="Saída 2 2 2 2 2 3 4" xfId="4253" xr:uid="{00000000-0005-0000-0000-0000C65B0000}"/>
    <cellStyle name="Saída 2 2 2 2 2 3 4 2" xfId="15394" xr:uid="{00000000-0005-0000-0000-0000C75B0000}"/>
    <cellStyle name="Saída 2 2 2 2 2 3 4 3" xfId="13752" xr:uid="{00000000-0005-0000-0000-0000C85B0000}"/>
    <cellStyle name="Saída 2 2 2 2 2 3 5" xfId="4635" xr:uid="{00000000-0005-0000-0000-0000C95B0000}"/>
    <cellStyle name="Saída 2 2 2 2 2 3 5 2" xfId="15668" xr:uid="{00000000-0005-0000-0000-0000CA5B0000}"/>
    <cellStyle name="Saída 2 2 2 2 2 3 5 3" xfId="13370" xr:uid="{00000000-0005-0000-0000-0000CB5B0000}"/>
    <cellStyle name="Saída 2 2 2 2 2 3 6" xfId="6116" xr:uid="{00000000-0005-0000-0000-0000CC5B0000}"/>
    <cellStyle name="Saída 2 2 2 2 2 3 6 2" xfId="16796" xr:uid="{00000000-0005-0000-0000-0000CD5B0000}"/>
    <cellStyle name="Saída 2 2 2 2 2 3 6 3" xfId="19634" xr:uid="{00000000-0005-0000-0000-0000CE5B0000}"/>
    <cellStyle name="Saída 2 2 2 2 2 3 7" xfId="9232" xr:uid="{00000000-0005-0000-0000-0000CF5B0000}"/>
    <cellStyle name="Saída 2 2 2 2 2 3 8" xfId="14563" xr:uid="{00000000-0005-0000-0000-0000D05B0000}"/>
    <cellStyle name="Saída 2 2 2 2 2 3 9" xfId="17945" xr:uid="{00000000-0005-0000-0000-0000D15B0000}"/>
    <cellStyle name="Saída 2 2 2 2 2 4" xfId="2841" xr:uid="{00000000-0005-0000-0000-0000D25B0000}"/>
    <cellStyle name="Saída 2 2 2 2 2 4 2" xfId="7816" xr:uid="{00000000-0005-0000-0000-0000D35B0000}"/>
    <cellStyle name="Saída 2 2 2 2 2 4 2 2" xfId="11826" xr:uid="{00000000-0005-0000-0000-0000D45B0000}"/>
    <cellStyle name="Saída 2 2 2 2 2 4 2 3" xfId="18081" xr:uid="{00000000-0005-0000-0000-0000D55B0000}"/>
    <cellStyle name="Saída 2 2 2 2 2 4 2 4" xfId="21334" xr:uid="{00000000-0005-0000-0000-0000D65B0000}"/>
    <cellStyle name="Saída 2 2 2 2 2 4 3" xfId="6108" xr:uid="{00000000-0005-0000-0000-0000D75B0000}"/>
    <cellStyle name="Saída 2 2 2 2 2 4 3 2" xfId="16789" xr:uid="{00000000-0005-0000-0000-0000D85B0000}"/>
    <cellStyle name="Saída 2 2 2 2 2 4 3 3" xfId="19626" xr:uid="{00000000-0005-0000-0000-0000D95B0000}"/>
    <cellStyle name="Saída 2 2 2 2 2 4 4" xfId="8994" xr:uid="{00000000-0005-0000-0000-0000DA5B0000}"/>
    <cellStyle name="Saída 2 2 2 2 2 4 5" xfId="14381" xr:uid="{00000000-0005-0000-0000-0000DB5B0000}"/>
    <cellStyle name="Saída 2 2 2 2 2 4 6" xfId="16129" xr:uid="{00000000-0005-0000-0000-0000DC5B0000}"/>
    <cellStyle name="Saída 2 2 2 2 2 5" xfId="5435" xr:uid="{00000000-0005-0000-0000-0000DD5B0000}"/>
    <cellStyle name="Saída 2 2 2 2 2 5 2" xfId="7144" xr:uid="{00000000-0005-0000-0000-0000DE5B0000}"/>
    <cellStyle name="Saída 2 2 2 2 2 5 2 2" xfId="11277" xr:uid="{00000000-0005-0000-0000-0000DF5B0000}"/>
    <cellStyle name="Saída 2 2 2 2 2 5 2 3" xfId="17559" xr:uid="{00000000-0005-0000-0000-0000E05B0000}"/>
    <cellStyle name="Saída 2 2 2 2 2 5 2 4" xfId="20662" xr:uid="{00000000-0005-0000-0000-0000E15B0000}"/>
    <cellStyle name="Saída 2 2 2 2 2 5 3" xfId="10451" xr:uid="{00000000-0005-0000-0000-0000E25B0000}"/>
    <cellStyle name="Saída 2 2 2 2 2 5 4" xfId="16269" xr:uid="{00000000-0005-0000-0000-0000E35B0000}"/>
    <cellStyle name="Saída 2 2 2 2 2 5 5" xfId="18953" xr:uid="{00000000-0005-0000-0000-0000E45B0000}"/>
    <cellStyle name="Saída 2 2 2 2 2 6" xfId="5417" xr:uid="{00000000-0005-0000-0000-0000E55B0000}"/>
    <cellStyle name="Saída 2 2 2 2 2 6 2" xfId="7126" xr:uid="{00000000-0005-0000-0000-0000E65B0000}"/>
    <cellStyle name="Saída 2 2 2 2 2 6 2 2" xfId="11260" xr:uid="{00000000-0005-0000-0000-0000E75B0000}"/>
    <cellStyle name="Saída 2 2 2 2 2 6 2 3" xfId="17546" xr:uid="{00000000-0005-0000-0000-0000E85B0000}"/>
    <cellStyle name="Saída 2 2 2 2 2 6 2 4" xfId="20644" xr:uid="{00000000-0005-0000-0000-0000E95B0000}"/>
    <cellStyle name="Saída 2 2 2 2 2 6 3" xfId="10434" xr:uid="{00000000-0005-0000-0000-0000EA5B0000}"/>
    <cellStyle name="Saída 2 2 2 2 2 6 4" xfId="16256" xr:uid="{00000000-0005-0000-0000-0000EB5B0000}"/>
    <cellStyle name="Saída 2 2 2 2 2 6 5" xfId="18935" xr:uid="{00000000-0005-0000-0000-0000EC5B0000}"/>
    <cellStyle name="Saída 2 2 2 2 2 7" xfId="5426" xr:uid="{00000000-0005-0000-0000-0000ED5B0000}"/>
    <cellStyle name="Saída 2 2 2 2 2 7 2" xfId="7135" xr:uid="{00000000-0005-0000-0000-0000EE5B0000}"/>
    <cellStyle name="Saída 2 2 2 2 2 7 2 2" xfId="11269" xr:uid="{00000000-0005-0000-0000-0000EF5B0000}"/>
    <cellStyle name="Saída 2 2 2 2 2 7 2 3" xfId="17554" xr:uid="{00000000-0005-0000-0000-0000F05B0000}"/>
    <cellStyle name="Saída 2 2 2 2 2 7 2 4" xfId="20653" xr:uid="{00000000-0005-0000-0000-0000F15B0000}"/>
    <cellStyle name="Saída 2 2 2 2 2 7 3" xfId="10443" xr:uid="{00000000-0005-0000-0000-0000F25B0000}"/>
    <cellStyle name="Saída 2 2 2 2 2 7 4" xfId="16264" xr:uid="{00000000-0005-0000-0000-0000F35B0000}"/>
    <cellStyle name="Saída 2 2 2 2 2 7 5" xfId="18944" xr:uid="{00000000-0005-0000-0000-0000F45B0000}"/>
    <cellStyle name="Saída 2 2 2 2 2 8" xfId="5765" xr:uid="{00000000-0005-0000-0000-0000F55B0000}"/>
    <cellStyle name="Saída 2 2 2 2 2 8 2" xfId="10542" xr:uid="{00000000-0005-0000-0000-0000F65B0000}"/>
    <cellStyle name="Saída 2 2 2 2 2 8 3" xfId="16543" xr:uid="{00000000-0005-0000-0000-0000F75B0000}"/>
    <cellStyle name="Saída 2 2 2 2 2 8 4" xfId="19283" xr:uid="{00000000-0005-0000-0000-0000F85B0000}"/>
    <cellStyle name="Saída 2 2 2 2 2 9" xfId="7474" xr:uid="{00000000-0005-0000-0000-0000F95B0000}"/>
    <cellStyle name="Saída 2 2 2 2 2 9 2" xfId="11529" xr:uid="{00000000-0005-0000-0000-0000FA5B0000}"/>
    <cellStyle name="Saída 2 2 2 2 2 9 3" xfId="17834" xr:uid="{00000000-0005-0000-0000-0000FB5B0000}"/>
    <cellStyle name="Saída 2 2 2 2 2 9 4" xfId="20992" xr:uid="{00000000-0005-0000-0000-0000FC5B0000}"/>
    <cellStyle name="Saída 2 2 2 2 3" xfId="3194" xr:uid="{00000000-0005-0000-0000-0000FD5B0000}"/>
    <cellStyle name="Saída 2 2 2 2 3 10" xfId="9324" xr:uid="{00000000-0005-0000-0000-0000FE5B0000}"/>
    <cellStyle name="Saída 2 2 2 2 3 11" xfId="14638" xr:uid="{00000000-0005-0000-0000-0000FF5B0000}"/>
    <cellStyle name="Saída 2 2 2 2 3 12" xfId="17303" xr:uid="{00000000-0005-0000-0000-0000005C0000}"/>
    <cellStyle name="Saída 2 2 2 2 3 2" xfId="3581" xr:uid="{00000000-0005-0000-0000-0000015C0000}"/>
    <cellStyle name="Saída 2 2 2 2 3 2 2" xfId="7258" xr:uid="{00000000-0005-0000-0000-0000025C0000}"/>
    <cellStyle name="Saída 2 2 2 2 3 2 2 2" xfId="11363" xr:uid="{00000000-0005-0000-0000-0000035C0000}"/>
    <cellStyle name="Saída 2 2 2 2 3 2 2 3" xfId="17658" xr:uid="{00000000-0005-0000-0000-0000045C0000}"/>
    <cellStyle name="Saída 2 2 2 2 3 2 2 4" xfId="20776" xr:uid="{00000000-0005-0000-0000-0000055C0000}"/>
    <cellStyle name="Saída 2 2 2 2 3 2 3" xfId="5549" xr:uid="{00000000-0005-0000-0000-0000065C0000}"/>
    <cellStyle name="Saída 2 2 2 2 3 2 3 2" xfId="16367" xr:uid="{00000000-0005-0000-0000-0000075C0000}"/>
    <cellStyle name="Saída 2 2 2 2 3 2 3 3" xfId="19067" xr:uid="{00000000-0005-0000-0000-0000085C0000}"/>
    <cellStyle name="Saída 2 2 2 2 3 2 4" xfId="9673" xr:uid="{00000000-0005-0000-0000-0000095C0000}"/>
    <cellStyle name="Saída 2 2 2 2 3 2 5" xfId="14918" xr:uid="{00000000-0005-0000-0000-00000A5C0000}"/>
    <cellStyle name="Saída 2 2 2 2 3 2 6" xfId="16079" xr:uid="{00000000-0005-0000-0000-00000B5C0000}"/>
    <cellStyle name="Saída 2 2 2 2 3 3" xfId="3964" xr:uid="{00000000-0005-0000-0000-00000C5C0000}"/>
    <cellStyle name="Saída 2 2 2 2 3 3 2" xfId="7191" xr:uid="{00000000-0005-0000-0000-00000D5C0000}"/>
    <cellStyle name="Saída 2 2 2 2 3 3 2 2" xfId="11319" xr:uid="{00000000-0005-0000-0000-00000E5C0000}"/>
    <cellStyle name="Saída 2 2 2 2 3 3 2 3" xfId="17599" xr:uid="{00000000-0005-0000-0000-00000F5C0000}"/>
    <cellStyle name="Saída 2 2 2 2 3 3 2 4" xfId="20709" xr:uid="{00000000-0005-0000-0000-0000105C0000}"/>
    <cellStyle name="Saída 2 2 2 2 3 3 3" xfId="5482" xr:uid="{00000000-0005-0000-0000-0000115C0000}"/>
    <cellStyle name="Saída 2 2 2 2 3 3 3 2" xfId="16309" xr:uid="{00000000-0005-0000-0000-0000125C0000}"/>
    <cellStyle name="Saída 2 2 2 2 3 3 3 3" xfId="19000" xr:uid="{00000000-0005-0000-0000-0000135C0000}"/>
    <cellStyle name="Saída 2 2 2 2 3 3 4" xfId="9886" xr:uid="{00000000-0005-0000-0000-0000145C0000}"/>
    <cellStyle name="Saída 2 2 2 2 3 3 5" xfId="15194" xr:uid="{00000000-0005-0000-0000-0000155C0000}"/>
    <cellStyle name="Saída 2 2 2 2 3 3 6" xfId="14027" xr:uid="{00000000-0005-0000-0000-0000165C0000}"/>
    <cellStyle name="Saída 2 2 2 2 3 4" xfId="4347" xr:uid="{00000000-0005-0000-0000-0000175C0000}"/>
    <cellStyle name="Saída 2 2 2 2 3 4 2" xfId="8128" xr:uid="{00000000-0005-0000-0000-0000185C0000}"/>
    <cellStyle name="Saída 2 2 2 2 3 4 2 2" xfId="12096" xr:uid="{00000000-0005-0000-0000-0000195C0000}"/>
    <cellStyle name="Saída 2 2 2 2 3 4 2 3" xfId="18332" xr:uid="{00000000-0005-0000-0000-00001A5C0000}"/>
    <cellStyle name="Saída 2 2 2 2 3 4 2 4" xfId="21646" xr:uid="{00000000-0005-0000-0000-00001B5C0000}"/>
    <cellStyle name="Saída 2 2 2 2 3 4 3" xfId="6420" xr:uid="{00000000-0005-0000-0000-00001C5C0000}"/>
    <cellStyle name="Saída 2 2 2 2 3 4 3 2" xfId="17041" xr:uid="{00000000-0005-0000-0000-00001D5C0000}"/>
    <cellStyle name="Saída 2 2 2 2 3 4 3 3" xfId="19938" xr:uid="{00000000-0005-0000-0000-00001E5C0000}"/>
    <cellStyle name="Saída 2 2 2 2 3 4 4" xfId="10064" xr:uid="{00000000-0005-0000-0000-00001F5C0000}"/>
    <cellStyle name="Saída 2 2 2 2 3 4 5" xfId="15469" xr:uid="{00000000-0005-0000-0000-0000205C0000}"/>
    <cellStyle name="Saída 2 2 2 2 3 4 6" xfId="13658" xr:uid="{00000000-0005-0000-0000-0000215C0000}"/>
    <cellStyle name="Saída 2 2 2 2 3 5" xfId="4729" xr:uid="{00000000-0005-0000-0000-0000225C0000}"/>
    <cellStyle name="Saída 2 2 2 2 3 5 2" xfId="8360" xr:uid="{00000000-0005-0000-0000-0000235C0000}"/>
    <cellStyle name="Saída 2 2 2 2 3 5 2 2" xfId="12328" xr:uid="{00000000-0005-0000-0000-0000245C0000}"/>
    <cellStyle name="Saída 2 2 2 2 3 5 2 3" xfId="18503" xr:uid="{00000000-0005-0000-0000-0000255C0000}"/>
    <cellStyle name="Saída 2 2 2 2 3 5 2 4" xfId="21878" xr:uid="{00000000-0005-0000-0000-0000265C0000}"/>
    <cellStyle name="Saída 2 2 2 2 3 5 3" xfId="6652" xr:uid="{00000000-0005-0000-0000-0000275C0000}"/>
    <cellStyle name="Saída 2 2 2 2 3 5 3 2" xfId="17212" xr:uid="{00000000-0005-0000-0000-0000285C0000}"/>
    <cellStyle name="Saída 2 2 2 2 3 5 3 3" xfId="20170" xr:uid="{00000000-0005-0000-0000-0000295C0000}"/>
    <cellStyle name="Saída 2 2 2 2 3 5 4" xfId="10241" xr:uid="{00000000-0005-0000-0000-00002A5C0000}"/>
    <cellStyle name="Saída 2 2 2 2 3 5 5" xfId="15742" xr:uid="{00000000-0005-0000-0000-00002B5C0000}"/>
    <cellStyle name="Saída 2 2 2 2 3 5 6" xfId="13276" xr:uid="{00000000-0005-0000-0000-00002C5C0000}"/>
    <cellStyle name="Saída 2 2 2 2 3 6" xfId="6884" xr:uid="{00000000-0005-0000-0000-00002D5C0000}"/>
    <cellStyle name="Saída 2 2 2 2 3 6 2" xfId="8592" xr:uid="{00000000-0005-0000-0000-00002E5C0000}"/>
    <cellStyle name="Saída 2 2 2 2 3 6 2 2" xfId="12560" xr:uid="{00000000-0005-0000-0000-00002F5C0000}"/>
    <cellStyle name="Saída 2 2 2 2 3 6 2 3" xfId="18674" xr:uid="{00000000-0005-0000-0000-0000305C0000}"/>
    <cellStyle name="Saída 2 2 2 2 3 6 2 4" xfId="22110" xr:uid="{00000000-0005-0000-0000-0000315C0000}"/>
    <cellStyle name="Saída 2 2 2 2 3 6 3" xfId="11018" xr:uid="{00000000-0005-0000-0000-0000325C0000}"/>
    <cellStyle name="Saída 2 2 2 2 3 6 4" xfId="17382" xr:uid="{00000000-0005-0000-0000-0000335C0000}"/>
    <cellStyle name="Saída 2 2 2 2 3 6 5" xfId="20402" xr:uid="{00000000-0005-0000-0000-0000345C0000}"/>
    <cellStyle name="Saída 2 2 2 2 3 7" xfId="5872" xr:uid="{00000000-0005-0000-0000-0000355C0000}"/>
    <cellStyle name="Saída 2 2 2 2 3 7 2" xfId="10613" xr:uid="{00000000-0005-0000-0000-0000365C0000}"/>
    <cellStyle name="Saída 2 2 2 2 3 7 3" xfId="16620" xr:uid="{00000000-0005-0000-0000-0000375C0000}"/>
    <cellStyle name="Saída 2 2 2 2 3 7 4" xfId="19390" xr:uid="{00000000-0005-0000-0000-0000385C0000}"/>
    <cellStyle name="Saída 2 2 2 2 3 8" xfId="7580" xr:uid="{00000000-0005-0000-0000-0000395C0000}"/>
    <cellStyle name="Saída 2 2 2 2 3 8 2" xfId="11601" xr:uid="{00000000-0005-0000-0000-00003A5C0000}"/>
    <cellStyle name="Saída 2 2 2 2 3 8 3" xfId="17912" xr:uid="{00000000-0005-0000-0000-00003B5C0000}"/>
    <cellStyle name="Saída 2 2 2 2 3 8 4" xfId="21098" xr:uid="{00000000-0005-0000-0000-00003C5C0000}"/>
    <cellStyle name="Saída 2 2 2 2 3 9" xfId="4962" xr:uid="{00000000-0005-0000-0000-00003D5C0000}"/>
    <cellStyle name="Saída 2 2 2 2 3 9 2" xfId="15930" xr:uid="{00000000-0005-0000-0000-00003E5C0000}"/>
    <cellStyle name="Saída 2 2 2 2 3 9 3" xfId="13057" xr:uid="{00000000-0005-0000-0000-00003F5C0000}"/>
    <cellStyle name="Saída 2 2 2 2 4" xfId="3013" xr:uid="{00000000-0005-0000-0000-0000405C0000}"/>
    <cellStyle name="Saída 2 2 2 2 4 2" xfId="3400" xr:uid="{00000000-0005-0000-0000-0000415C0000}"/>
    <cellStyle name="Saída 2 2 2 2 4 2 2" xfId="7907" xr:uid="{00000000-0005-0000-0000-0000425C0000}"/>
    <cellStyle name="Saída 2 2 2 2 4 2 2 2" xfId="18161" xr:uid="{00000000-0005-0000-0000-0000435C0000}"/>
    <cellStyle name="Saída 2 2 2 2 4 2 2 3" xfId="21425" xr:uid="{00000000-0005-0000-0000-0000445C0000}"/>
    <cellStyle name="Saída 2 2 2 2 4 2 3" xfId="9520" xr:uid="{00000000-0005-0000-0000-0000455C0000}"/>
    <cellStyle name="Saída 2 2 2 2 4 2 4" xfId="14774" xr:uid="{00000000-0005-0000-0000-0000465C0000}"/>
    <cellStyle name="Saída 2 2 2 2 4 2 5" xfId="14913" xr:uid="{00000000-0005-0000-0000-0000475C0000}"/>
    <cellStyle name="Saída 2 2 2 2 4 3" xfId="3783" xr:uid="{00000000-0005-0000-0000-0000485C0000}"/>
    <cellStyle name="Saída 2 2 2 2 4 3 2" xfId="15050" xr:uid="{00000000-0005-0000-0000-0000495C0000}"/>
    <cellStyle name="Saída 2 2 2 2 4 3 3" xfId="18796" xr:uid="{00000000-0005-0000-0000-00004A5C0000}"/>
    <cellStyle name="Saída 2 2 2 2 4 4" xfId="4166" xr:uid="{00000000-0005-0000-0000-00004B5C0000}"/>
    <cellStyle name="Saída 2 2 2 2 4 4 2" xfId="15325" xr:uid="{00000000-0005-0000-0000-00004C5C0000}"/>
    <cellStyle name="Saída 2 2 2 2 4 4 3" xfId="13839" xr:uid="{00000000-0005-0000-0000-00004D5C0000}"/>
    <cellStyle name="Saída 2 2 2 2 4 5" xfId="4548" xr:uid="{00000000-0005-0000-0000-00004E5C0000}"/>
    <cellStyle name="Saída 2 2 2 2 4 5 2" xfId="15599" xr:uid="{00000000-0005-0000-0000-00004F5C0000}"/>
    <cellStyle name="Saída 2 2 2 2 4 5 3" xfId="13457" xr:uid="{00000000-0005-0000-0000-0000505C0000}"/>
    <cellStyle name="Saída 2 2 2 2 4 6" xfId="6199" xr:uid="{00000000-0005-0000-0000-0000515C0000}"/>
    <cellStyle name="Saída 2 2 2 2 4 6 2" xfId="16869" xr:uid="{00000000-0005-0000-0000-0000525C0000}"/>
    <cellStyle name="Saída 2 2 2 2 4 6 3" xfId="19717" xr:uid="{00000000-0005-0000-0000-0000535C0000}"/>
    <cellStyle name="Saída 2 2 2 2 4 7" xfId="9156" xr:uid="{00000000-0005-0000-0000-0000545C0000}"/>
    <cellStyle name="Saída 2 2 2 2 4 8" xfId="14494" xr:uid="{00000000-0005-0000-0000-0000555C0000}"/>
    <cellStyle name="Saída 2 2 2 2 4 9" xfId="17498" xr:uid="{00000000-0005-0000-0000-0000565C0000}"/>
    <cellStyle name="Saída 2 2 2 2 5" xfId="5285" xr:uid="{00000000-0005-0000-0000-0000575C0000}"/>
    <cellStyle name="Saída 2 2 2 2 5 2" xfId="5082" xr:uid="{00000000-0005-0000-0000-0000585C0000}"/>
    <cellStyle name="Saída 2 2 2 2 5 2 2" xfId="10333" xr:uid="{00000000-0005-0000-0000-0000595C0000}"/>
    <cellStyle name="Saída 2 2 2 2 5 2 3" xfId="16020" xr:uid="{00000000-0005-0000-0000-00005A5C0000}"/>
    <cellStyle name="Saída 2 2 2 2 5 2 4" xfId="12953" xr:uid="{00000000-0005-0000-0000-00005B5C0000}"/>
    <cellStyle name="Saída 2 2 2 2 5 3" xfId="10410" xr:uid="{00000000-0005-0000-0000-00005C5C0000}"/>
    <cellStyle name="Saída 2 2 2 2 5 4" xfId="16163" xr:uid="{00000000-0005-0000-0000-00005D5C0000}"/>
    <cellStyle name="Saída 2 2 2 2 5 5" xfId="18803" xr:uid="{00000000-0005-0000-0000-00005E5C0000}"/>
    <cellStyle name="Saída 2 2 2 2 6" xfId="5436" xr:uid="{00000000-0005-0000-0000-00005F5C0000}"/>
    <cellStyle name="Saída 2 2 2 2 6 2" xfId="7145" xr:uid="{00000000-0005-0000-0000-0000605C0000}"/>
    <cellStyle name="Saída 2 2 2 2 6 2 2" xfId="11278" xr:uid="{00000000-0005-0000-0000-0000615C0000}"/>
    <cellStyle name="Saída 2 2 2 2 6 2 3" xfId="17560" xr:uid="{00000000-0005-0000-0000-0000625C0000}"/>
    <cellStyle name="Saída 2 2 2 2 6 2 4" xfId="20663" xr:uid="{00000000-0005-0000-0000-0000635C0000}"/>
    <cellStyle name="Saída 2 2 2 2 6 3" xfId="10452" xr:uid="{00000000-0005-0000-0000-0000645C0000}"/>
    <cellStyle name="Saída 2 2 2 2 6 4" xfId="16270" xr:uid="{00000000-0005-0000-0000-0000655C0000}"/>
    <cellStyle name="Saída 2 2 2 2 6 5" xfId="18954" xr:uid="{00000000-0005-0000-0000-0000665C0000}"/>
    <cellStyle name="Saída 2 2 2 2 7" xfId="6089" xr:uid="{00000000-0005-0000-0000-0000675C0000}"/>
    <cellStyle name="Saída 2 2 2 2 7 2" xfId="7797" xr:uid="{00000000-0005-0000-0000-0000685C0000}"/>
    <cellStyle name="Saída 2 2 2 2 7 2 2" xfId="11813" xr:uid="{00000000-0005-0000-0000-0000695C0000}"/>
    <cellStyle name="Saída 2 2 2 2 7 2 3" xfId="18065" xr:uid="{00000000-0005-0000-0000-00006A5C0000}"/>
    <cellStyle name="Saída 2 2 2 2 7 2 4" xfId="21315" xr:uid="{00000000-0005-0000-0000-00006B5C0000}"/>
    <cellStyle name="Saída 2 2 2 2 7 3" xfId="10804" xr:uid="{00000000-0005-0000-0000-00006C5C0000}"/>
    <cellStyle name="Saída 2 2 2 2 7 4" xfId="16773" xr:uid="{00000000-0005-0000-0000-00006D5C0000}"/>
    <cellStyle name="Saída 2 2 2 2 7 5" xfId="19607" xr:uid="{00000000-0005-0000-0000-00006E5C0000}"/>
    <cellStyle name="Saída 2 2 2 2 8" xfId="5471" xr:uid="{00000000-0005-0000-0000-00006F5C0000}"/>
    <cellStyle name="Saída 2 2 2 2 8 2" xfId="7180" xr:uid="{00000000-0005-0000-0000-0000705C0000}"/>
    <cellStyle name="Saída 2 2 2 2 8 2 2" xfId="11309" xr:uid="{00000000-0005-0000-0000-0000715C0000}"/>
    <cellStyle name="Saída 2 2 2 2 8 2 3" xfId="17591" xr:uid="{00000000-0005-0000-0000-0000725C0000}"/>
    <cellStyle name="Saída 2 2 2 2 8 2 4" xfId="20698" xr:uid="{00000000-0005-0000-0000-0000735C0000}"/>
    <cellStyle name="Saída 2 2 2 2 8 3" xfId="10470" xr:uid="{00000000-0005-0000-0000-0000745C0000}"/>
    <cellStyle name="Saída 2 2 2 2 8 4" xfId="16301" xr:uid="{00000000-0005-0000-0000-0000755C0000}"/>
    <cellStyle name="Saída 2 2 2 2 8 5" xfId="18989" xr:uid="{00000000-0005-0000-0000-0000765C0000}"/>
    <cellStyle name="Saída 2 2 2 2 9" xfId="5771" xr:uid="{00000000-0005-0000-0000-0000775C0000}"/>
    <cellStyle name="Saída 2 2 2 2 9 2" xfId="10547" xr:uid="{00000000-0005-0000-0000-0000785C0000}"/>
    <cellStyle name="Saída 2 2 2 2 9 3" xfId="16546" xr:uid="{00000000-0005-0000-0000-0000795C0000}"/>
    <cellStyle name="Saída 2 2 2 2 9 4" xfId="19289" xr:uid="{00000000-0005-0000-0000-00007A5C0000}"/>
    <cellStyle name="Saída 2 2 2 3" xfId="2679" xr:uid="{00000000-0005-0000-0000-00007B5C0000}"/>
    <cellStyle name="Saída 2 2 2 3 10" xfId="7524" xr:uid="{00000000-0005-0000-0000-00007C5C0000}"/>
    <cellStyle name="Saída 2 2 2 3 10 2" xfId="11564" xr:uid="{00000000-0005-0000-0000-00007D5C0000}"/>
    <cellStyle name="Saída 2 2 2 3 10 3" xfId="17871" xr:uid="{00000000-0005-0000-0000-00007E5C0000}"/>
    <cellStyle name="Saída 2 2 2 3 10 4" xfId="21042" xr:uid="{00000000-0005-0000-0000-00007F5C0000}"/>
    <cellStyle name="Saída 2 2 2 3 11" xfId="4927" xr:uid="{00000000-0005-0000-0000-0000805C0000}"/>
    <cellStyle name="Saída 2 2 2 3 11 2" xfId="15897" xr:uid="{00000000-0005-0000-0000-0000815C0000}"/>
    <cellStyle name="Saída 2 2 2 3 11 3" xfId="13092" xr:uid="{00000000-0005-0000-0000-0000825C0000}"/>
    <cellStyle name="Saída 2 2 2 3 12" xfId="8835" xr:uid="{00000000-0005-0000-0000-0000835C0000}"/>
    <cellStyle name="Saída 2 2 2 3 13" xfId="14252" xr:uid="{00000000-0005-0000-0000-0000845C0000}"/>
    <cellStyle name="Saída 2 2 2 3 14" xfId="18437" xr:uid="{00000000-0005-0000-0000-0000855C0000}"/>
    <cellStyle name="Saída 2 2 2 3 2" xfId="2737" xr:uid="{00000000-0005-0000-0000-0000865C0000}"/>
    <cellStyle name="Saída 2 2 2 3 2 10" xfId="4949" xr:uid="{00000000-0005-0000-0000-0000875C0000}"/>
    <cellStyle name="Saída 2 2 2 3 2 10 2" xfId="15919" xr:uid="{00000000-0005-0000-0000-0000885C0000}"/>
    <cellStyle name="Saída 2 2 2 3 2 10 3" xfId="13070" xr:uid="{00000000-0005-0000-0000-0000895C0000}"/>
    <cellStyle name="Saída 2 2 2 3 2 11" xfId="8892" xr:uid="{00000000-0005-0000-0000-00008A5C0000}"/>
    <cellStyle name="Saída 2 2 2 3 2 12" xfId="14296" xr:uid="{00000000-0005-0000-0000-00008B5C0000}"/>
    <cellStyle name="Saída 2 2 2 3 2 2" xfId="3227" xr:uid="{00000000-0005-0000-0000-00008C5C0000}"/>
    <cellStyle name="Saída 2 2 2 3 2 2 10" xfId="9357" xr:uid="{00000000-0005-0000-0000-00008D5C0000}"/>
    <cellStyle name="Saída 2 2 2 3 2 2 11" xfId="14661" xr:uid="{00000000-0005-0000-0000-00008E5C0000}"/>
    <cellStyle name="Saída 2 2 2 3 2 2 12" xfId="17544" xr:uid="{00000000-0005-0000-0000-00008F5C0000}"/>
    <cellStyle name="Saída 2 2 2 3 2 2 2" xfId="3614" xr:uid="{00000000-0005-0000-0000-0000905C0000}"/>
    <cellStyle name="Saída 2 2 2 3 2 2 2 2" xfId="7975" xr:uid="{00000000-0005-0000-0000-0000915C0000}"/>
    <cellStyle name="Saída 2 2 2 3 2 2 2 2 2" xfId="11951" xr:uid="{00000000-0005-0000-0000-0000925C0000}"/>
    <cellStyle name="Saída 2 2 2 3 2 2 2 2 3" xfId="18201" xr:uid="{00000000-0005-0000-0000-0000935C0000}"/>
    <cellStyle name="Saída 2 2 2 3 2 2 2 2 4" xfId="21493" xr:uid="{00000000-0005-0000-0000-0000945C0000}"/>
    <cellStyle name="Saída 2 2 2 3 2 2 2 3" xfId="6267" xr:uid="{00000000-0005-0000-0000-0000955C0000}"/>
    <cellStyle name="Saída 2 2 2 3 2 2 2 3 2" xfId="16909" xr:uid="{00000000-0005-0000-0000-0000965C0000}"/>
    <cellStyle name="Saída 2 2 2 3 2 2 2 3 3" xfId="19785" xr:uid="{00000000-0005-0000-0000-0000975C0000}"/>
    <cellStyle name="Saída 2 2 2 3 2 2 2 4" xfId="9706" xr:uid="{00000000-0005-0000-0000-0000985C0000}"/>
    <cellStyle name="Saída 2 2 2 3 2 2 2 5" xfId="14941" xr:uid="{00000000-0005-0000-0000-0000995C0000}"/>
    <cellStyle name="Saída 2 2 2 3 2 2 2 6" xfId="15764" xr:uid="{00000000-0005-0000-0000-00009A5C0000}"/>
    <cellStyle name="Saída 2 2 2 3 2 2 3" xfId="3997" xr:uid="{00000000-0005-0000-0000-00009B5C0000}"/>
    <cellStyle name="Saída 2 2 2 3 2 2 3 2" xfId="5157" xr:uid="{00000000-0005-0000-0000-00009C5C0000}"/>
    <cellStyle name="Saída 2 2 2 3 2 2 3 2 2" xfId="10386" xr:uid="{00000000-0005-0000-0000-00009D5C0000}"/>
    <cellStyle name="Saída 2 2 2 3 2 2 3 2 3" xfId="16078" xr:uid="{00000000-0005-0000-0000-00009E5C0000}"/>
    <cellStyle name="Saída 2 2 2 3 2 2 3 2 4" xfId="12770" xr:uid="{00000000-0005-0000-0000-00009F5C0000}"/>
    <cellStyle name="Saída 2 2 2 3 2 2 3 3" xfId="5344" xr:uid="{00000000-0005-0000-0000-0000A05C0000}"/>
    <cellStyle name="Saída 2 2 2 3 2 2 3 3 2" xfId="16211" xr:uid="{00000000-0005-0000-0000-0000A15C0000}"/>
    <cellStyle name="Saída 2 2 2 3 2 2 3 3 3" xfId="18862" xr:uid="{00000000-0005-0000-0000-0000A25C0000}"/>
    <cellStyle name="Saída 2 2 2 3 2 2 3 4" xfId="9916" xr:uid="{00000000-0005-0000-0000-0000A35C0000}"/>
    <cellStyle name="Saída 2 2 2 3 2 2 3 5" xfId="15217" xr:uid="{00000000-0005-0000-0000-0000A45C0000}"/>
    <cellStyle name="Saída 2 2 2 3 2 2 3 6" xfId="13994" xr:uid="{00000000-0005-0000-0000-0000A55C0000}"/>
    <cellStyle name="Saída 2 2 2 3 2 2 4" xfId="4380" xr:uid="{00000000-0005-0000-0000-0000A65C0000}"/>
    <cellStyle name="Saída 2 2 2 3 2 2 4 2" xfId="8282" xr:uid="{00000000-0005-0000-0000-0000A75C0000}"/>
    <cellStyle name="Saída 2 2 2 3 2 2 4 2 2" xfId="12250" xr:uid="{00000000-0005-0000-0000-0000A85C0000}"/>
    <cellStyle name="Saída 2 2 2 3 2 2 4 2 3" xfId="18434" xr:uid="{00000000-0005-0000-0000-0000A95C0000}"/>
    <cellStyle name="Saída 2 2 2 3 2 2 4 2 4" xfId="21800" xr:uid="{00000000-0005-0000-0000-0000AA5C0000}"/>
    <cellStyle name="Saída 2 2 2 3 2 2 4 3" xfId="6574" xr:uid="{00000000-0005-0000-0000-0000AB5C0000}"/>
    <cellStyle name="Saída 2 2 2 3 2 2 4 3 2" xfId="17143" xr:uid="{00000000-0005-0000-0000-0000AC5C0000}"/>
    <cellStyle name="Saída 2 2 2 3 2 2 4 3 3" xfId="20092" xr:uid="{00000000-0005-0000-0000-0000AD5C0000}"/>
    <cellStyle name="Saída 2 2 2 3 2 2 4 4" xfId="10094" xr:uid="{00000000-0005-0000-0000-0000AE5C0000}"/>
    <cellStyle name="Saída 2 2 2 3 2 2 4 5" xfId="15492" xr:uid="{00000000-0005-0000-0000-0000AF5C0000}"/>
    <cellStyle name="Saída 2 2 2 3 2 2 4 6" xfId="13625" xr:uid="{00000000-0005-0000-0000-0000B05C0000}"/>
    <cellStyle name="Saída 2 2 2 3 2 2 5" xfId="4762" xr:uid="{00000000-0005-0000-0000-0000B15C0000}"/>
    <cellStyle name="Saída 2 2 2 3 2 2 5 2" xfId="8514" xr:uid="{00000000-0005-0000-0000-0000B25C0000}"/>
    <cellStyle name="Saída 2 2 2 3 2 2 5 2 2" xfId="12482" xr:uid="{00000000-0005-0000-0000-0000B35C0000}"/>
    <cellStyle name="Saída 2 2 2 3 2 2 5 2 3" xfId="18605" xr:uid="{00000000-0005-0000-0000-0000B45C0000}"/>
    <cellStyle name="Saída 2 2 2 3 2 2 5 2 4" xfId="22032" xr:uid="{00000000-0005-0000-0000-0000B55C0000}"/>
    <cellStyle name="Saída 2 2 2 3 2 2 5 3" xfId="6806" xr:uid="{00000000-0005-0000-0000-0000B65C0000}"/>
    <cellStyle name="Saída 2 2 2 3 2 2 5 3 2" xfId="17313" xr:uid="{00000000-0005-0000-0000-0000B75C0000}"/>
    <cellStyle name="Saída 2 2 2 3 2 2 5 3 3" xfId="20324" xr:uid="{00000000-0005-0000-0000-0000B85C0000}"/>
    <cellStyle name="Saída 2 2 2 3 2 2 5 4" xfId="10271" xr:uid="{00000000-0005-0000-0000-0000B95C0000}"/>
    <cellStyle name="Saída 2 2 2 3 2 2 5 5" xfId="15765" xr:uid="{00000000-0005-0000-0000-0000BA5C0000}"/>
    <cellStyle name="Saída 2 2 2 3 2 2 5 6" xfId="13243" xr:uid="{00000000-0005-0000-0000-0000BB5C0000}"/>
    <cellStyle name="Saída 2 2 2 3 2 2 6" xfId="7038" xr:uid="{00000000-0005-0000-0000-0000BC5C0000}"/>
    <cellStyle name="Saída 2 2 2 3 2 2 6 2" xfId="8746" xr:uid="{00000000-0005-0000-0000-0000BD5C0000}"/>
    <cellStyle name="Saída 2 2 2 3 2 2 6 2 2" xfId="12714" xr:uid="{00000000-0005-0000-0000-0000BE5C0000}"/>
    <cellStyle name="Saída 2 2 2 3 2 2 6 2 3" xfId="18777" xr:uid="{00000000-0005-0000-0000-0000BF5C0000}"/>
    <cellStyle name="Saída 2 2 2 3 2 2 6 2 4" xfId="22264" xr:uid="{00000000-0005-0000-0000-0000C05C0000}"/>
    <cellStyle name="Saída 2 2 2 3 2 2 6 3" xfId="11172" xr:uid="{00000000-0005-0000-0000-0000C15C0000}"/>
    <cellStyle name="Saída 2 2 2 3 2 2 6 4" xfId="17484" xr:uid="{00000000-0005-0000-0000-0000C25C0000}"/>
    <cellStyle name="Saída 2 2 2 3 2 2 6 5" xfId="20556" xr:uid="{00000000-0005-0000-0000-0000C35C0000}"/>
    <cellStyle name="Saída 2 2 2 3 2 2 7" xfId="6026" xr:uid="{00000000-0005-0000-0000-0000C45C0000}"/>
    <cellStyle name="Saída 2 2 2 3 2 2 7 2" xfId="10767" xr:uid="{00000000-0005-0000-0000-0000C55C0000}"/>
    <cellStyle name="Saída 2 2 2 3 2 2 7 3" xfId="16723" xr:uid="{00000000-0005-0000-0000-0000C65C0000}"/>
    <cellStyle name="Saída 2 2 2 3 2 2 7 4" xfId="19544" xr:uid="{00000000-0005-0000-0000-0000C75C0000}"/>
    <cellStyle name="Saída 2 2 2 3 2 2 8" xfId="7734" xr:uid="{00000000-0005-0000-0000-0000C85C0000}"/>
    <cellStyle name="Saída 2 2 2 3 2 2 8 2" xfId="11755" xr:uid="{00000000-0005-0000-0000-0000C95C0000}"/>
    <cellStyle name="Saída 2 2 2 3 2 2 8 3" xfId="18015" xr:uid="{00000000-0005-0000-0000-0000CA5C0000}"/>
    <cellStyle name="Saída 2 2 2 3 2 2 8 4" xfId="21252" xr:uid="{00000000-0005-0000-0000-0000CB5C0000}"/>
    <cellStyle name="Saída 2 2 2 3 2 2 9" xfId="5220" xr:uid="{00000000-0005-0000-0000-0000CC5C0000}"/>
    <cellStyle name="Saída 2 2 2 3 2 2 9 2" xfId="16111" xr:uid="{00000000-0005-0000-0000-0000CD5C0000}"/>
    <cellStyle name="Saída 2 2 2 3 2 2 9 3" xfId="12874" xr:uid="{00000000-0005-0000-0000-0000CE5C0000}"/>
    <cellStyle name="Saída 2 2 2 3 2 3" xfId="3284" xr:uid="{00000000-0005-0000-0000-0000CF5C0000}"/>
    <cellStyle name="Saída 2 2 2 3 2 3 2" xfId="3671" xr:uid="{00000000-0005-0000-0000-0000D05C0000}"/>
    <cellStyle name="Saída 2 2 2 3 2 3 2 2" xfId="7249" xr:uid="{00000000-0005-0000-0000-0000D15C0000}"/>
    <cellStyle name="Saída 2 2 2 3 2 3 2 2 2" xfId="17650" xr:uid="{00000000-0005-0000-0000-0000D25C0000}"/>
    <cellStyle name="Saída 2 2 2 3 2 3 2 2 3" xfId="20767" xr:uid="{00000000-0005-0000-0000-0000D35C0000}"/>
    <cellStyle name="Saída 2 2 2 3 2 3 2 3" xfId="9752" xr:uid="{00000000-0005-0000-0000-0000D45C0000}"/>
    <cellStyle name="Saída 2 2 2 3 2 3 2 4" xfId="14983" xr:uid="{00000000-0005-0000-0000-0000D55C0000}"/>
    <cellStyle name="Saída 2 2 2 3 2 3 2 5" xfId="16085" xr:uid="{00000000-0005-0000-0000-0000D65C0000}"/>
    <cellStyle name="Saída 2 2 2 3 2 3 3" xfId="4054" xr:uid="{00000000-0005-0000-0000-0000D75C0000}"/>
    <cellStyle name="Saída 2 2 2 3 2 3 3 2" xfId="15258" xr:uid="{00000000-0005-0000-0000-0000D85C0000}"/>
    <cellStyle name="Saída 2 2 2 3 2 3 3 3" xfId="13937" xr:uid="{00000000-0005-0000-0000-0000D95C0000}"/>
    <cellStyle name="Saída 2 2 2 3 2 3 4" xfId="4437" xr:uid="{00000000-0005-0000-0000-0000DA5C0000}"/>
    <cellStyle name="Saída 2 2 2 3 2 3 4 2" xfId="15534" xr:uid="{00000000-0005-0000-0000-0000DB5C0000}"/>
    <cellStyle name="Saída 2 2 2 3 2 3 4 3" xfId="13568" xr:uid="{00000000-0005-0000-0000-0000DC5C0000}"/>
    <cellStyle name="Saída 2 2 2 3 2 3 5" xfId="4819" xr:uid="{00000000-0005-0000-0000-0000DD5C0000}"/>
    <cellStyle name="Saída 2 2 2 3 2 3 5 2" xfId="15806" xr:uid="{00000000-0005-0000-0000-0000DE5C0000}"/>
    <cellStyle name="Saída 2 2 2 3 2 3 5 3" xfId="13187" xr:uid="{00000000-0005-0000-0000-0000DF5C0000}"/>
    <cellStyle name="Saída 2 2 2 3 2 3 6" xfId="5540" xr:uid="{00000000-0005-0000-0000-0000E05C0000}"/>
    <cellStyle name="Saída 2 2 2 3 2 3 6 2" xfId="16359" xr:uid="{00000000-0005-0000-0000-0000E15C0000}"/>
    <cellStyle name="Saída 2 2 2 3 2 3 6 3" xfId="19058" xr:uid="{00000000-0005-0000-0000-0000E25C0000}"/>
    <cellStyle name="Saída 2 2 2 3 2 3 7" xfId="9414" xr:uid="{00000000-0005-0000-0000-0000E35C0000}"/>
    <cellStyle name="Saída 2 2 2 3 2 3 8" xfId="14703" xr:uid="{00000000-0005-0000-0000-0000E45C0000}"/>
    <cellStyle name="Saída 2 2 2 3 2 3 9" xfId="15142" xr:uid="{00000000-0005-0000-0000-0000E55C0000}"/>
    <cellStyle name="Saída 2 2 2 3 2 4" xfId="2902" xr:uid="{00000000-0005-0000-0000-0000E65C0000}"/>
    <cellStyle name="Saída 2 2 2 3 2 4 2" xfId="8072" xr:uid="{00000000-0005-0000-0000-0000E75C0000}"/>
    <cellStyle name="Saída 2 2 2 3 2 4 2 2" xfId="12042" xr:uid="{00000000-0005-0000-0000-0000E85C0000}"/>
    <cellStyle name="Saída 2 2 2 3 2 4 2 3" xfId="18278" xr:uid="{00000000-0005-0000-0000-0000E95C0000}"/>
    <cellStyle name="Saída 2 2 2 3 2 4 2 4" xfId="21590" xr:uid="{00000000-0005-0000-0000-0000EA5C0000}"/>
    <cellStyle name="Saída 2 2 2 3 2 4 3" xfId="6364" xr:uid="{00000000-0005-0000-0000-0000EB5C0000}"/>
    <cellStyle name="Saída 2 2 2 3 2 4 3 2" xfId="16987" xr:uid="{00000000-0005-0000-0000-0000EC5C0000}"/>
    <cellStyle name="Saída 2 2 2 3 2 4 3 3" xfId="19882" xr:uid="{00000000-0005-0000-0000-0000ED5C0000}"/>
    <cellStyle name="Saída 2 2 2 3 2 4 4" xfId="9054" xr:uid="{00000000-0005-0000-0000-0000EE5C0000}"/>
    <cellStyle name="Saída 2 2 2 3 2 4 5" xfId="14429" xr:uid="{00000000-0005-0000-0000-0000EF5C0000}"/>
    <cellStyle name="Saída 2 2 2 3 2 4 6" xfId="15651" xr:uid="{00000000-0005-0000-0000-0000F05C0000}"/>
    <cellStyle name="Saída 2 2 2 3 2 5" xfId="6407" xr:uid="{00000000-0005-0000-0000-0000F15C0000}"/>
    <cellStyle name="Saída 2 2 2 3 2 5 2" xfId="8115" xr:uid="{00000000-0005-0000-0000-0000F25C0000}"/>
    <cellStyle name="Saída 2 2 2 3 2 5 2 2" xfId="12083" xr:uid="{00000000-0005-0000-0000-0000F35C0000}"/>
    <cellStyle name="Saída 2 2 2 3 2 5 2 3" xfId="18321" xr:uid="{00000000-0005-0000-0000-0000F45C0000}"/>
    <cellStyle name="Saída 2 2 2 3 2 5 2 4" xfId="21633" xr:uid="{00000000-0005-0000-0000-0000F55C0000}"/>
    <cellStyle name="Saída 2 2 2 3 2 5 3" xfId="10925" xr:uid="{00000000-0005-0000-0000-0000F65C0000}"/>
    <cellStyle name="Saída 2 2 2 3 2 5 4" xfId="17030" xr:uid="{00000000-0005-0000-0000-0000F75C0000}"/>
    <cellStyle name="Saída 2 2 2 3 2 5 5" xfId="19925" xr:uid="{00000000-0005-0000-0000-0000F85C0000}"/>
    <cellStyle name="Saída 2 2 2 3 2 6" xfId="6639" xr:uid="{00000000-0005-0000-0000-0000F95C0000}"/>
    <cellStyle name="Saída 2 2 2 3 2 6 2" xfId="8347" xr:uid="{00000000-0005-0000-0000-0000FA5C0000}"/>
    <cellStyle name="Saída 2 2 2 3 2 6 2 2" xfId="12315" xr:uid="{00000000-0005-0000-0000-0000FB5C0000}"/>
    <cellStyle name="Saída 2 2 2 3 2 6 2 3" xfId="18492" xr:uid="{00000000-0005-0000-0000-0000FC5C0000}"/>
    <cellStyle name="Saída 2 2 2 3 2 6 2 4" xfId="21865" xr:uid="{00000000-0005-0000-0000-0000FD5C0000}"/>
    <cellStyle name="Saída 2 2 2 3 2 6 3" xfId="10965" xr:uid="{00000000-0005-0000-0000-0000FE5C0000}"/>
    <cellStyle name="Saída 2 2 2 3 2 6 4" xfId="17201" xr:uid="{00000000-0005-0000-0000-0000FF5C0000}"/>
    <cellStyle name="Saída 2 2 2 3 2 6 5" xfId="20157" xr:uid="{00000000-0005-0000-0000-0000005D0000}"/>
    <cellStyle name="Saída 2 2 2 3 2 7" xfId="6871" xr:uid="{00000000-0005-0000-0000-0000015D0000}"/>
    <cellStyle name="Saída 2 2 2 3 2 7 2" xfId="8579" xr:uid="{00000000-0005-0000-0000-0000025D0000}"/>
    <cellStyle name="Saída 2 2 2 3 2 7 2 2" xfId="12547" xr:uid="{00000000-0005-0000-0000-0000035D0000}"/>
    <cellStyle name="Saída 2 2 2 3 2 7 2 3" xfId="18663" xr:uid="{00000000-0005-0000-0000-0000045D0000}"/>
    <cellStyle name="Saída 2 2 2 3 2 7 2 4" xfId="22097" xr:uid="{00000000-0005-0000-0000-0000055D0000}"/>
    <cellStyle name="Saída 2 2 2 3 2 7 3" xfId="11005" xr:uid="{00000000-0005-0000-0000-0000065D0000}"/>
    <cellStyle name="Saída 2 2 2 3 2 7 4" xfId="17371" xr:uid="{00000000-0005-0000-0000-0000075D0000}"/>
    <cellStyle name="Saída 2 2 2 3 2 7 5" xfId="20389" xr:uid="{00000000-0005-0000-0000-0000085D0000}"/>
    <cellStyle name="Saída 2 2 2 3 2 8" xfId="5855" xr:uid="{00000000-0005-0000-0000-0000095D0000}"/>
    <cellStyle name="Saída 2 2 2 3 2 8 2" xfId="10600" xr:uid="{00000000-0005-0000-0000-00000A5D0000}"/>
    <cellStyle name="Saída 2 2 2 3 2 8 3" xfId="16608" xr:uid="{00000000-0005-0000-0000-00000B5D0000}"/>
    <cellStyle name="Saída 2 2 2 3 2 8 4" xfId="19373" xr:uid="{00000000-0005-0000-0000-00000C5D0000}"/>
    <cellStyle name="Saída 2 2 2 3 2 9" xfId="7563" xr:uid="{00000000-0005-0000-0000-00000D5D0000}"/>
    <cellStyle name="Saída 2 2 2 3 2 9 2" xfId="11588" xr:uid="{00000000-0005-0000-0000-00000E5D0000}"/>
    <cellStyle name="Saída 2 2 2 3 2 9 3" xfId="17900" xr:uid="{00000000-0005-0000-0000-00000F5D0000}"/>
    <cellStyle name="Saída 2 2 2 3 2 9 4" xfId="21081" xr:uid="{00000000-0005-0000-0000-0000105D0000}"/>
    <cellStyle name="Saída 2 2 2 3 3" xfId="3170" xr:uid="{00000000-0005-0000-0000-0000115D0000}"/>
    <cellStyle name="Saída 2 2 2 3 3 10" xfId="9300" xr:uid="{00000000-0005-0000-0000-0000125D0000}"/>
    <cellStyle name="Saída 2 2 2 3 3 11" xfId="14619" xr:uid="{00000000-0005-0000-0000-0000135D0000}"/>
    <cellStyle name="Saída 2 2 2 3 3 12" xfId="18412" xr:uid="{00000000-0005-0000-0000-0000145D0000}"/>
    <cellStyle name="Saída 2 2 2 3 3 2" xfId="3557" xr:uid="{00000000-0005-0000-0000-0000155D0000}"/>
    <cellStyle name="Saída 2 2 2 3 3 2 2" xfId="7363" xr:uid="{00000000-0005-0000-0000-0000165D0000}"/>
    <cellStyle name="Saída 2 2 2 3 3 2 2 2" xfId="11449" xr:uid="{00000000-0005-0000-0000-0000175D0000}"/>
    <cellStyle name="Saída 2 2 2 3 3 2 2 3" xfId="17748" xr:uid="{00000000-0005-0000-0000-0000185D0000}"/>
    <cellStyle name="Saída 2 2 2 3 3 2 2 4" xfId="20881" xr:uid="{00000000-0005-0000-0000-0000195D0000}"/>
    <cellStyle name="Saída 2 2 2 3 3 2 3" xfId="5654" xr:uid="{00000000-0005-0000-0000-00001A5D0000}"/>
    <cellStyle name="Saída 2 2 2 3 3 2 3 2" xfId="16457" xr:uid="{00000000-0005-0000-0000-00001B5D0000}"/>
    <cellStyle name="Saída 2 2 2 3 3 2 3 3" xfId="19172" xr:uid="{00000000-0005-0000-0000-00001C5D0000}"/>
    <cellStyle name="Saída 2 2 2 3 3 2 4" xfId="9649" xr:uid="{00000000-0005-0000-0000-00001D5D0000}"/>
    <cellStyle name="Saída 2 2 2 3 3 2 5" xfId="14899" xr:uid="{00000000-0005-0000-0000-00001E5D0000}"/>
    <cellStyle name="Saída 2 2 2 3 3 2 6" xfId="16578" xr:uid="{00000000-0005-0000-0000-00001F5D0000}"/>
    <cellStyle name="Saída 2 2 2 3 3 3" xfId="3940" xr:uid="{00000000-0005-0000-0000-0000205D0000}"/>
    <cellStyle name="Saída 2 2 2 3 3 3 2" xfId="5111" xr:uid="{00000000-0005-0000-0000-0000215D0000}"/>
    <cellStyle name="Saída 2 2 2 3 3 3 2 2" xfId="10354" xr:uid="{00000000-0005-0000-0000-0000225D0000}"/>
    <cellStyle name="Saída 2 2 2 3 3 3 2 3" xfId="16045" xr:uid="{00000000-0005-0000-0000-0000235D0000}"/>
    <cellStyle name="Saída 2 2 2 3 3 3 2 4" xfId="12799" xr:uid="{00000000-0005-0000-0000-0000245D0000}"/>
    <cellStyle name="Saída 2 2 2 3 3 3 3" xfId="5303" xr:uid="{00000000-0005-0000-0000-0000255D0000}"/>
    <cellStyle name="Saída 2 2 2 3 3 3 3 2" xfId="16177" xr:uid="{00000000-0005-0000-0000-0000265D0000}"/>
    <cellStyle name="Saída 2 2 2 3 3 3 3 3" xfId="18821" xr:uid="{00000000-0005-0000-0000-0000275D0000}"/>
    <cellStyle name="Saída 2 2 2 3 3 3 4" xfId="9863" xr:uid="{00000000-0005-0000-0000-0000285D0000}"/>
    <cellStyle name="Saída 2 2 2 3 3 3 5" xfId="15175" xr:uid="{00000000-0005-0000-0000-0000295D0000}"/>
    <cellStyle name="Saída 2 2 2 3 3 3 6" xfId="14051" xr:uid="{00000000-0005-0000-0000-00002A5D0000}"/>
    <cellStyle name="Saída 2 2 2 3 3 4" xfId="4323" xr:uid="{00000000-0005-0000-0000-00002B5D0000}"/>
    <cellStyle name="Saída 2 2 2 3 3 4 2" xfId="8170" xr:uid="{00000000-0005-0000-0000-00002C5D0000}"/>
    <cellStyle name="Saída 2 2 2 3 3 4 2 2" xfId="12138" xr:uid="{00000000-0005-0000-0000-00002D5D0000}"/>
    <cellStyle name="Saída 2 2 2 3 3 4 2 3" xfId="18367" xr:uid="{00000000-0005-0000-0000-00002E5D0000}"/>
    <cellStyle name="Saída 2 2 2 3 3 4 2 4" xfId="21688" xr:uid="{00000000-0005-0000-0000-00002F5D0000}"/>
    <cellStyle name="Saída 2 2 2 3 3 4 3" xfId="6462" xr:uid="{00000000-0005-0000-0000-0000305D0000}"/>
    <cellStyle name="Saída 2 2 2 3 3 4 3 2" xfId="17076" xr:uid="{00000000-0005-0000-0000-0000315D0000}"/>
    <cellStyle name="Saída 2 2 2 3 3 4 3 3" xfId="19980" xr:uid="{00000000-0005-0000-0000-0000325D0000}"/>
    <cellStyle name="Saída 2 2 2 3 3 4 4" xfId="10041" xr:uid="{00000000-0005-0000-0000-0000335D0000}"/>
    <cellStyle name="Saída 2 2 2 3 3 4 5" xfId="15450" xr:uid="{00000000-0005-0000-0000-0000345D0000}"/>
    <cellStyle name="Saída 2 2 2 3 3 4 6" xfId="13682" xr:uid="{00000000-0005-0000-0000-0000355D0000}"/>
    <cellStyle name="Saída 2 2 2 3 3 5" xfId="4705" xr:uid="{00000000-0005-0000-0000-0000365D0000}"/>
    <cellStyle name="Saída 2 2 2 3 3 5 2" xfId="8402" xr:uid="{00000000-0005-0000-0000-0000375D0000}"/>
    <cellStyle name="Saída 2 2 2 3 3 5 2 2" xfId="12370" xr:uid="{00000000-0005-0000-0000-0000385D0000}"/>
    <cellStyle name="Saída 2 2 2 3 3 5 2 3" xfId="18538" xr:uid="{00000000-0005-0000-0000-0000395D0000}"/>
    <cellStyle name="Saída 2 2 2 3 3 5 2 4" xfId="21920" xr:uid="{00000000-0005-0000-0000-00003A5D0000}"/>
    <cellStyle name="Saída 2 2 2 3 3 5 3" xfId="6694" xr:uid="{00000000-0005-0000-0000-00003B5D0000}"/>
    <cellStyle name="Saída 2 2 2 3 3 5 3 2" xfId="17247" xr:uid="{00000000-0005-0000-0000-00003C5D0000}"/>
    <cellStyle name="Saída 2 2 2 3 3 5 3 3" xfId="20212" xr:uid="{00000000-0005-0000-0000-00003D5D0000}"/>
    <cellStyle name="Saída 2 2 2 3 3 5 4" xfId="10218" xr:uid="{00000000-0005-0000-0000-00003E5D0000}"/>
    <cellStyle name="Saída 2 2 2 3 3 5 5" xfId="15724" xr:uid="{00000000-0005-0000-0000-00003F5D0000}"/>
    <cellStyle name="Saída 2 2 2 3 3 5 6" xfId="13300" xr:uid="{00000000-0005-0000-0000-0000405D0000}"/>
    <cellStyle name="Saída 2 2 2 3 3 6" xfId="6926" xr:uid="{00000000-0005-0000-0000-0000415D0000}"/>
    <cellStyle name="Saída 2 2 2 3 3 6 2" xfId="8634" xr:uid="{00000000-0005-0000-0000-0000425D0000}"/>
    <cellStyle name="Saída 2 2 2 3 3 6 2 2" xfId="12602" xr:uid="{00000000-0005-0000-0000-0000435D0000}"/>
    <cellStyle name="Saída 2 2 2 3 3 6 2 3" xfId="18709" xr:uid="{00000000-0005-0000-0000-0000445D0000}"/>
    <cellStyle name="Saída 2 2 2 3 3 6 2 4" xfId="22152" xr:uid="{00000000-0005-0000-0000-0000455D0000}"/>
    <cellStyle name="Saída 2 2 2 3 3 6 3" xfId="11060" xr:uid="{00000000-0005-0000-0000-0000465D0000}"/>
    <cellStyle name="Saída 2 2 2 3 3 6 4" xfId="17417" xr:uid="{00000000-0005-0000-0000-0000475D0000}"/>
    <cellStyle name="Saída 2 2 2 3 3 6 5" xfId="20444" xr:uid="{00000000-0005-0000-0000-0000485D0000}"/>
    <cellStyle name="Saída 2 2 2 3 3 7" xfId="5914" xr:uid="{00000000-0005-0000-0000-0000495D0000}"/>
    <cellStyle name="Saída 2 2 2 3 3 7 2" xfId="10655" xr:uid="{00000000-0005-0000-0000-00004A5D0000}"/>
    <cellStyle name="Saída 2 2 2 3 3 7 3" xfId="16655" xr:uid="{00000000-0005-0000-0000-00004B5D0000}"/>
    <cellStyle name="Saída 2 2 2 3 3 7 4" xfId="19432" xr:uid="{00000000-0005-0000-0000-00004C5D0000}"/>
    <cellStyle name="Saída 2 2 2 3 3 8" xfId="7622" xr:uid="{00000000-0005-0000-0000-00004D5D0000}"/>
    <cellStyle name="Saída 2 2 2 3 3 8 2" xfId="11643" xr:uid="{00000000-0005-0000-0000-00004E5D0000}"/>
    <cellStyle name="Saída 2 2 2 3 3 8 3" xfId="17947" xr:uid="{00000000-0005-0000-0000-00004F5D0000}"/>
    <cellStyle name="Saída 2 2 2 3 3 8 4" xfId="21140" xr:uid="{00000000-0005-0000-0000-0000505D0000}"/>
    <cellStyle name="Saída 2 2 2 3 3 9" xfId="5010" xr:uid="{00000000-0005-0000-0000-0000515D0000}"/>
    <cellStyle name="Saída 2 2 2 3 3 9 2" xfId="15970" xr:uid="{00000000-0005-0000-0000-0000525D0000}"/>
    <cellStyle name="Saída 2 2 2 3 3 9 3" xfId="13009" xr:uid="{00000000-0005-0000-0000-0000535D0000}"/>
    <cellStyle name="Saída 2 2 2 3 4" xfId="3052" xr:uid="{00000000-0005-0000-0000-0000545D0000}"/>
    <cellStyle name="Saída 2 2 2 3 4 2" xfId="3439" xr:uid="{00000000-0005-0000-0000-0000555D0000}"/>
    <cellStyle name="Saída 2 2 2 3 4 2 2" xfId="7789" xr:uid="{00000000-0005-0000-0000-0000565D0000}"/>
    <cellStyle name="Saída 2 2 2 3 4 2 2 2" xfId="18057" xr:uid="{00000000-0005-0000-0000-0000575D0000}"/>
    <cellStyle name="Saída 2 2 2 3 4 2 2 3" xfId="21307" xr:uid="{00000000-0005-0000-0000-0000585D0000}"/>
    <cellStyle name="Saída 2 2 2 3 4 2 3" xfId="9549" xr:uid="{00000000-0005-0000-0000-0000595D0000}"/>
    <cellStyle name="Saída 2 2 2 3 4 2 4" xfId="14804" xr:uid="{00000000-0005-0000-0000-00005A5D0000}"/>
    <cellStyle name="Saída 2 2 2 3 4 2 5" xfId="16952" xr:uid="{00000000-0005-0000-0000-00005B5D0000}"/>
    <cellStyle name="Saída 2 2 2 3 4 3" xfId="3822" xr:uid="{00000000-0005-0000-0000-00005C5D0000}"/>
    <cellStyle name="Saída 2 2 2 3 4 3 2" xfId="15080" xr:uid="{00000000-0005-0000-0000-00005D5D0000}"/>
    <cellStyle name="Saída 2 2 2 3 4 3 3" xfId="16134" xr:uid="{00000000-0005-0000-0000-00005E5D0000}"/>
    <cellStyle name="Saída 2 2 2 3 4 4" xfId="4205" xr:uid="{00000000-0005-0000-0000-00005F5D0000}"/>
    <cellStyle name="Saída 2 2 2 3 4 4 2" xfId="15355" xr:uid="{00000000-0005-0000-0000-0000605D0000}"/>
    <cellStyle name="Saída 2 2 2 3 4 4 3" xfId="13800" xr:uid="{00000000-0005-0000-0000-0000615D0000}"/>
    <cellStyle name="Saída 2 2 2 3 4 5" xfId="4587" xr:uid="{00000000-0005-0000-0000-0000625D0000}"/>
    <cellStyle name="Saída 2 2 2 3 4 5 2" xfId="15629" xr:uid="{00000000-0005-0000-0000-0000635D0000}"/>
    <cellStyle name="Saída 2 2 2 3 4 5 3" xfId="13418" xr:uid="{00000000-0005-0000-0000-0000645D0000}"/>
    <cellStyle name="Saída 2 2 2 3 4 6" xfId="6081" xr:uid="{00000000-0005-0000-0000-0000655D0000}"/>
    <cellStyle name="Saída 2 2 2 3 4 6 2" xfId="16765" xr:uid="{00000000-0005-0000-0000-0000665D0000}"/>
    <cellStyle name="Saída 2 2 2 3 4 6 3" xfId="19599" xr:uid="{00000000-0005-0000-0000-0000675D0000}"/>
    <cellStyle name="Saída 2 2 2 3 4 7" xfId="9192" xr:uid="{00000000-0005-0000-0000-0000685D0000}"/>
    <cellStyle name="Saída 2 2 2 3 4 8" xfId="14524" xr:uid="{00000000-0005-0000-0000-0000695D0000}"/>
    <cellStyle name="Saída 2 2 2 3 4 9" xfId="16191" xr:uid="{00000000-0005-0000-0000-00006A5D0000}"/>
    <cellStyle name="Saída 2 2 2 3 5" xfId="2879" xr:uid="{00000000-0005-0000-0000-00006B5D0000}"/>
    <cellStyle name="Saída 2 2 2 3 5 2" xfId="8067" xr:uid="{00000000-0005-0000-0000-00006C5D0000}"/>
    <cellStyle name="Saída 2 2 2 3 5 2 2" xfId="12037" xr:uid="{00000000-0005-0000-0000-00006D5D0000}"/>
    <cellStyle name="Saída 2 2 2 3 5 2 3" xfId="18274" xr:uid="{00000000-0005-0000-0000-00006E5D0000}"/>
    <cellStyle name="Saída 2 2 2 3 5 2 4" xfId="21585" xr:uid="{00000000-0005-0000-0000-00006F5D0000}"/>
    <cellStyle name="Saída 2 2 2 3 5 3" xfId="6359" xr:uid="{00000000-0005-0000-0000-0000705D0000}"/>
    <cellStyle name="Saída 2 2 2 3 5 3 2" xfId="16983" xr:uid="{00000000-0005-0000-0000-0000715D0000}"/>
    <cellStyle name="Saída 2 2 2 3 5 3 3" xfId="19877" xr:uid="{00000000-0005-0000-0000-0000725D0000}"/>
    <cellStyle name="Saída 2 2 2 3 5 4" xfId="9031" xr:uid="{00000000-0005-0000-0000-0000735D0000}"/>
    <cellStyle name="Saída 2 2 2 3 5 5" xfId="14413" xr:uid="{00000000-0005-0000-0000-0000745D0000}"/>
    <cellStyle name="Saída 2 2 2 3 5 6" xfId="17837" xr:uid="{00000000-0005-0000-0000-0000755D0000}"/>
    <cellStyle name="Saída 2 2 2 3 6" xfId="6385" xr:uid="{00000000-0005-0000-0000-0000765D0000}"/>
    <cellStyle name="Saída 2 2 2 3 6 2" xfId="8093" xr:uid="{00000000-0005-0000-0000-0000775D0000}"/>
    <cellStyle name="Saída 2 2 2 3 6 2 2" xfId="12061" xr:uid="{00000000-0005-0000-0000-0000785D0000}"/>
    <cellStyle name="Saída 2 2 2 3 6 2 3" xfId="18299" xr:uid="{00000000-0005-0000-0000-0000795D0000}"/>
    <cellStyle name="Saída 2 2 2 3 6 2 4" xfId="21611" xr:uid="{00000000-0005-0000-0000-00007A5D0000}"/>
    <cellStyle name="Saída 2 2 2 3 6 3" xfId="10903" xr:uid="{00000000-0005-0000-0000-00007B5D0000}"/>
    <cellStyle name="Saída 2 2 2 3 6 4" xfId="17008" xr:uid="{00000000-0005-0000-0000-00007C5D0000}"/>
    <cellStyle name="Saída 2 2 2 3 6 5" xfId="19903" xr:uid="{00000000-0005-0000-0000-00007D5D0000}"/>
    <cellStyle name="Saída 2 2 2 3 7" xfId="6617" xr:uid="{00000000-0005-0000-0000-00007E5D0000}"/>
    <cellStyle name="Saída 2 2 2 3 7 2" xfId="8325" xr:uid="{00000000-0005-0000-0000-00007F5D0000}"/>
    <cellStyle name="Saída 2 2 2 3 7 2 2" xfId="12293" xr:uid="{00000000-0005-0000-0000-0000805D0000}"/>
    <cellStyle name="Saída 2 2 2 3 7 2 3" xfId="18470" xr:uid="{00000000-0005-0000-0000-0000815D0000}"/>
    <cellStyle name="Saída 2 2 2 3 7 2 4" xfId="21843" xr:uid="{00000000-0005-0000-0000-0000825D0000}"/>
    <cellStyle name="Saída 2 2 2 3 7 3" xfId="10943" xr:uid="{00000000-0005-0000-0000-0000835D0000}"/>
    <cellStyle name="Saída 2 2 2 3 7 4" xfId="17179" xr:uid="{00000000-0005-0000-0000-0000845D0000}"/>
    <cellStyle name="Saída 2 2 2 3 7 5" xfId="20135" xr:uid="{00000000-0005-0000-0000-0000855D0000}"/>
    <cellStyle name="Saída 2 2 2 3 8" xfId="6849" xr:uid="{00000000-0005-0000-0000-0000865D0000}"/>
    <cellStyle name="Saída 2 2 2 3 8 2" xfId="8557" xr:uid="{00000000-0005-0000-0000-0000875D0000}"/>
    <cellStyle name="Saída 2 2 2 3 8 2 2" xfId="12525" xr:uid="{00000000-0005-0000-0000-0000885D0000}"/>
    <cellStyle name="Saída 2 2 2 3 8 2 3" xfId="18641" xr:uid="{00000000-0005-0000-0000-0000895D0000}"/>
    <cellStyle name="Saída 2 2 2 3 8 2 4" xfId="22075" xr:uid="{00000000-0005-0000-0000-00008A5D0000}"/>
    <cellStyle name="Saída 2 2 2 3 8 3" xfId="10983" xr:uid="{00000000-0005-0000-0000-00008B5D0000}"/>
    <cellStyle name="Saída 2 2 2 3 8 4" xfId="17349" xr:uid="{00000000-0005-0000-0000-00008C5D0000}"/>
    <cellStyle name="Saída 2 2 2 3 8 5" xfId="20367" xr:uid="{00000000-0005-0000-0000-00008D5D0000}"/>
    <cellStyle name="Saída 2 2 2 3 9" xfId="5816" xr:uid="{00000000-0005-0000-0000-00008E5D0000}"/>
    <cellStyle name="Saída 2 2 2 3 9 2" xfId="10578" xr:uid="{00000000-0005-0000-0000-00008F5D0000}"/>
    <cellStyle name="Saída 2 2 2 3 9 3" xfId="16579" xr:uid="{00000000-0005-0000-0000-0000905D0000}"/>
    <cellStyle name="Saída 2 2 2 3 9 4" xfId="19334" xr:uid="{00000000-0005-0000-0000-0000915D0000}"/>
    <cellStyle name="Saída 2 2 2 4" xfId="2822" xr:uid="{00000000-0005-0000-0000-0000925D0000}"/>
    <cellStyle name="Saída 2 2 2 4 10" xfId="8975" xr:uid="{00000000-0005-0000-0000-0000935D0000}"/>
    <cellStyle name="Saída 2 2 2 4 11" xfId="14364" xr:uid="{00000000-0005-0000-0000-0000945D0000}"/>
    <cellStyle name="Saída 2 2 2 4 12" xfId="17110" xr:uid="{00000000-0005-0000-0000-0000955D0000}"/>
    <cellStyle name="Saída 2 2 2 4 2" xfId="2780" xr:uid="{00000000-0005-0000-0000-0000965D0000}"/>
    <cellStyle name="Saída 2 2 2 4 2 2" xfId="7380" xr:uid="{00000000-0005-0000-0000-0000975D0000}"/>
    <cellStyle name="Saída 2 2 2 4 2 2 2" xfId="11466" xr:uid="{00000000-0005-0000-0000-0000985D0000}"/>
    <cellStyle name="Saída 2 2 2 4 2 2 3" xfId="17760" xr:uid="{00000000-0005-0000-0000-0000995D0000}"/>
    <cellStyle name="Saída 2 2 2 4 2 2 4" xfId="20898" xr:uid="{00000000-0005-0000-0000-00009A5D0000}"/>
    <cellStyle name="Saída 2 2 2 4 2 3" xfId="5671" xr:uid="{00000000-0005-0000-0000-00009B5D0000}"/>
    <cellStyle name="Saída 2 2 2 4 2 3 2" xfId="16469" xr:uid="{00000000-0005-0000-0000-00009C5D0000}"/>
    <cellStyle name="Saída 2 2 2 4 2 3 3" xfId="19189" xr:uid="{00000000-0005-0000-0000-00009D5D0000}"/>
    <cellStyle name="Saída 2 2 2 4 2 4" xfId="8935" xr:uid="{00000000-0005-0000-0000-00009E5D0000}"/>
    <cellStyle name="Saída 2 2 2 4 2 5" xfId="14329" xr:uid="{00000000-0005-0000-0000-00009F5D0000}"/>
    <cellStyle name="Saída 2 2 2 4 2 6" xfId="15291" xr:uid="{00000000-0005-0000-0000-0000A05D0000}"/>
    <cellStyle name="Saída 2 2 2 4 3" xfId="2808" xr:uid="{00000000-0005-0000-0000-0000A15D0000}"/>
    <cellStyle name="Saída 2 2 2 4 3 2" xfId="7786" xr:uid="{00000000-0005-0000-0000-0000A25D0000}"/>
    <cellStyle name="Saída 2 2 2 4 3 2 2" xfId="11804" xr:uid="{00000000-0005-0000-0000-0000A35D0000}"/>
    <cellStyle name="Saída 2 2 2 4 3 2 3" xfId="18054" xr:uid="{00000000-0005-0000-0000-0000A45D0000}"/>
    <cellStyle name="Saída 2 2 2 4 3 2 4" xfId="21304" xr:uid="{00000000-0005-0000-0000-0000A55D0000}"/>
    <cellStyle name="Saída 2 2 2 4 3 3" xfId="6078" xr:uid="{00000000-0005-0000-0000-0000A65D0000}"/>
    <cellStyle name="Saída 2 2 2 4 3 3 2" xfId="16762" xr:uid="{00000000-0005-0000-0000-0000A75D0000}"/>
    <cellStyle name="Saída 2 2 2 4 3 3 3" xfId="19596" xr:uid="{00000000-0005-0000-0000-0000A85D0000}"/>
    <cellStyle name="Saída 2 2 2 4 3 4" xfId="8963" xr:uid="{00000000-0005-0000-0000-0000A95D0000}"/>
    <cellStyle name="Saída 2 2 2 4 3 5" xfId="14352" xr:uid="{00000000-0005-0000-0000-0000AA5D0000}"/>
    <cellStyle name="Saída 2 2 2 4 3 6" xfId="17531" xr:uid="{00000000-0005-0000-0000-0000AB5D0000}"/>
    <cellStyle name="Saída 2 2 2 4 4" xfId="2817" xr:uid="{00000000-0005-0000-0000-0000AC5D0000}"/>
    <cellStyle name="Saída 2 2 2 4 4 2" xfId="8208" xr:uid="{00000000-0005-0000-0000-0000AD5D0000}"/>
    <cellStyle name="Saída 2 2 2 4 4 2 2" xfId="12176" xr:uid="{00000000-0005-0000-0000-0000AE5D0000}"/>
    <cellStyle name="Saída 2 2 2 4 4 2 3" xfId="18398" xr:uid="{00000000-0005-0000-0000-0000AF5D0000}"/>
    <cellStyle name="Saída 2 2 2 4 4 2 4" xfId="21726" xr:uid="{00000000-0005-0000-0000-0000B05D0000}"/>
    <cellStyle name="Saída 2 2 2 4 4 3" xfId="6500" xr:uid="{00000000-0005-0000-0000-0000B15D0000}"/>
    <cellStyle name="Saída 2 2 2 4 4 3 2" xfId="17107" xr:uid="{00000000-0005-0000-0000-0000B25D0000}"/>
    <cellStyle name="Saída 2 2 2 4 4 3 3" xfId="20018" xr:uid="{00000000-0005-0000-0000-0000B35D0000}"/>
    <cellStyle name="Saída 2 2 2 4 4 4" xfId="8972" xr:uid="{00000000-0005-0000-0000-0000B45D0000}"/>
    <cellStyle name="Saída 2 2 2 4 4 5" xfId="14360" xr:uid="{00000000-0005-0000-0000-0000B55D0000}"/>
    <cellStyle name="Saída 2 2 2 4 4 6" xfId="18743" xr:uid="{00000000-0005-0000-0000-0000B65D0000}"/>
    <cellStyle name="Saída 2 2 2 4 5" xfId="2786" xr:uid="{00000000-0005-0000-0000-0000B75D0000}"/>
    <cellStyle name="Saída 2 2 2 4 5 2" xfId="8440" xr:uid="{00000000-0005-0000-0000-0000B85D0000}"/>
    <cellStyle name="Saída 2 2 2 4 5 2 2" xfId="12408" xr:uid="{00000000-0005-0000-0000-0000B95D0000}"/>
    <cellStyle name="Saída 2 2 2 4 5 2 3" xfId="18569" xr:uid="{00000000-0005-0000-0000-0000BA5D0000}"/>
    <cellStyle name="Saída 2 2 2 4 5 2 4" xfId="21958" xr:uid="{00000000-0005-0000-0000-0000BB5D0000}"/>
    <cellStyle name="Saída 2 2 2 4 5 3" xfId="6732" xr:uid="{00000000-0005-0000-0000-0000BC5D0000}"/>
    <cellStyle name="Saída 2 2 2 4 5 3 2" xfId="17278" xr:uid="{00000000-0005-0000-0000-0000BD5D0000}"/>
    <cellStyle name="Saída 2 2 2 4 5 3 3" xfId="20250" xr:uid="{00000000-0005-0000-0000-0000BE5D0000}"/>
    <cellStyle name="Saída 2 2 2 4 5 4" xfId="8941" xr:uid="{00000000-0005-0000-0000-0000BF5D0000}"/>
    <cellStyle name="Saída 2 2 2 4 5 5" xfId="14333" xr:uid="{00000000-0005-0000-0000-0000C05D0000}"/>
    <cellStyle name="Saída 2 2 2 4 5 6" xfId="14740" xr:uid="{00000000-0005-0000-0000-0000C15D0000}"/>
    <cellStyle name="Saída 2 2 2 4 6" xfId="6964" xr:uid="{00000000-0005-0000-0000-0000C25D0000}"/>
    <cellStyle name="Saída 2 2 2 4 6 2" xfId="8672" xr:uid="{00000000-0005-0000-0000-0000C35D0000}"/>
    <cellStyle name="Saída 2 2 2 4 6 2 2" xfId="12640" xr:uid="{00000000-0005-0000-0000-0000C45D0000}"/>
    <cellStyle name="Saída 2 2 2 4 6 2 3" xfId="18740" xr:uid="{00000000-0005-0000-0000-0000C55D0000}"/>
    <cellStyle name="Saída 2 2 2 4 6 2 4" xfId="22190" xr:uid="{00000000-0005-0000-0000-0000C65D0000}"/>
    <cellStyle name="Saída 2 2 2 4 6 3" xfId="11098" xr:uid="{00000000-0005-0000-0000-0000C75D0000}"/>
    <cellStyle name="Saída 2 2 2 4 6 4" xfId="17448" xr:uid="{00000000-0005-0000-0000-0000C85D0000}"/>
    <cellStyle name="Saída 2 2 2 4 6 5" xfId="20482" xr:uid="{00000000-0005-0000-0000-0000C95D0000}"/>
    <cellStyle name="Saída 2 2 2 4 7" xfId="5952" xr:uid="{00000000-0005-0000-0000-0000CA5D0000}"/>
    <cellStyle name="Saída 2 2 2 4 7 2" xfId="10693" xr:uid="{00000000-0005-0000-0000-0000CB5D0000}"/>
    <cellStyle name="Saída 2 2 2 4 7 3" xfId="16686" xr:uid="{00000000-0005-0000-0000-0000CC5D0000}"/>
    <cellStyle name="Saída 2 2 2 4 7 4" xfId="19470" xr:uid="{00000000-0005-0000-0000-0000CD5D0000}"/>
    <cellStyle name="Saída 2 2 2 4 8" xfId="7660" xr:uid="{00000000-0005-0000-0000-0000CE5D0000}"/>
    <cellStyle name="Saída 2 2 2 4 8 2" xfId="11681" xr:uid="{00000000-0005-0000-0000-0000CF5D0000}"/>
    <cellStyle name="Saída 2 2 2 4 8 3" xfId="17978" xr:uid="{00000000-0005-0000-0000-0000D05D0000}"/>
    <cellStyle name="Saída 2 2 2 4 8 4" xfId="21178" xr:uid="{00000000-0005-0000-0000-0000D15D0000}"/>
    <cellStyle name="Saída 2 2 2 4 9" xfId="5053" xr:uid="{00000000-0005-0000-0000-0000D25D0000}"/>
    <cellStyle name="Saída 2 2 2 4 9 2" xfId="16005" xr:uid="{00000000-0005-0000-0000-0000D35D0000}"/>
    <cellStyle name="Saída 2 2 2 4 9 3" xfId="12968" xr:uid="{00000000-0005-0000-0000-0000D45D0000}"/>
    <cellStyle name="Saída 2 2 2 5" xfId="3107" xr:uid="{00000000-0005-0000-0000-0000D55D0000}"/>
    <cellStyle name="Saída 2 2 2 5 2" xfId="3494" xr:uid="{00000000-0005-0000-0000-0000D65D0000}"/>
    <cellStyle name="Saída 2 2 2 5 2 2" xfId="7418" xr:uid="{00000000-0005-0000-0000-0000D75D0000}"/>
    <cellStyle name="Saída 2 2 2 5 2 2 2" xfId="17789" xr:uid="{00000000-0005-0000-0000-0000D85D0000}"/>
    <cellStyle name="Saída 2 2 2 5 2 2 3" xfId="20936" xr:uid="{00000000-0005-0000-0000-0000D95D0000}"/>
    <cellStyle name="Saída 2 2 2 5 2 3" xfId="9587" xr:uid="{00000000-0005-0000-0000-0000DA5D0000}"/>
    <cellStyle name="Saída 2 2 2 5 2 4" xfId="14847" xr:uid="{00000000-0005-0000-0000-0000DB5D0000}"/>
    <cellStyle name="Saída 2 2 2 5 2 5" xfId="18758" xr:uid="{00000000-0005-0000-0000-0000DC5D0000}"/>
    <cellStyle name="Saída 2 2 2 5 3" xfId="3877" xr:uid="{00000000-0005-0000-0000-0000DD5D0000}"/>
    <cellStyle name="Saída 2 2 2 5 3 2" xfId="15123" xr:uid="{00000000-0005-0000-0000-0000DE5D0000}"/>
    <cellStyle name="Saída 2 2 2 5 3 3" xfId="14167" xr:uid="{00000000-0005-0000-0000-0000DF5D0000}"/>
    <cellStyle name="Saída 2 2 2 5 4" xfId="4260" xr:uid="{00000000-0005-0000-0000-0000E05D0000}"/>
    <cellStyle name="Saída 2 2 2 5 4 2" xfId="15398" xr:uid="{00000000-0005-0000-0000-0000E15D0000}"/>
    <cellStyle name="Saída 2 2 2 5 4 3" xfId="13745" xr:uid="{00000000-0005-0000-0000-0000E25D0000}"/>
    <cellStyle name="Saída 2 2 2 5 5" xfId="4642" xr:uid="{00000000-0005-0000-0000-0000E35D0000}"/>
    <cellStyle name="Saída 2 2 2 5 5 2" xfId="15672" xr:uid="{00000000-0005-0000-0000-0000E45D0000}"/>
    <cellStyle name="Saída 2 2 2 5 5 3" xfId="13363" xr:uid="{00000000-0005-0000-0000-0000E55D0000}"/>
    <cellStyle name="Saída 2 2 2 5 6" xfId="5709" xr:uid="{00000000-0005-0000-0000-0000E65D0000}"/>
    <cellStyle name="Saída 2 2 2 5 6 2" xfId="16498" xr:uid="{00000000-0005-0000-0000-0000E75D0000}"/>
    <cellStyle name="Saída 2 2 2 5 6 3" xfId="19227" xr:uid="{00000000-0005-0000-0000-0000E85D0000}"/>
    <cellStyle name="Saída 2 2 2 5 7" xfId="9238" xr:uid="{00000000-0005-0000-0000-0000E95D0000}"/>
    <cellStyle name="Saída 2 2 2 5 8" xfId="14567" xr:uid="{00000000-0005-0000-0000-0000EA5D0000}"/>
    <cellStyle name="Saída 2 2 2 5 9" xfId="17074" xr:uid="{00000000-0005-0000-0000-0000EB5D0000}"/>
    <cellStyle name="Saída 2 2 2 6" xfId="3005" xr:uid="{00000000-0005-0000-0000-0000EC5D0000}"/>
    <cellStyle name="Saída 2 2 2 6 2" xfId="3392" xr:uid="{00000000-0005-0000-0000-0000ED5D0000}"/>
    <cellStyle name="Saída 2 2 2 6 2 2" xfId="7851" xr:uid="{00000000-0005-0000-0000-0000EE5D0000}"/>
    <cellStyle name="Saída 2 2 2 6 2 2 2" xfId="18110" xr:uid="{00000000-0005-0000-0000-0000EF5D0000}"/>
    <cellStyle name="Saída 2 2 2 6 2 2 3" xfId="21369" xr:uid="{00000000-0005-0000-0000-0000F05D0000}"/>
    <cellStyle name="Saída 2 2 2 6 2 3" xfId="9516" xr:uid="{00000000-0005-0000-0000-0000F15D0000}"/>
    <cellStyle name="Saída 2 2 2 6 2 4" xfId="14768" xr:uid="{00000000-0005-0000-0000-0000F25D0000}"/>
    <cellStyle name="Saída 2 2 2 6 2 5" xfId="17062" xr:uid="{00000000-0005-0000-0000-0000F35D0000}"/>
    <cellStyle name="Saída 2 2 2 6 3" xfId="3775" xr:uid="{00000000-0005-0000-0000-0000F45D0000}"/>
    <cellStyle name="Saída 2 2 2 6 3 2" xfId="15044" xr:uid="{00000000-0005-0000-0000-0000F55D0000}"/>
    <cellStyle name="Saída 2 2 2 6 3 3" xfId="15824" xr:uid="{00000000-0005-0000-0000-0000F65D0000}"/>
    <cellStyle name="Saída 2 2 2 6 4" xfId="4158" xr:uid="{00000000-0005-0000-0000-0000F75D0000}"/>
    <cellStyle name="Saída 2 2 2 6 4 2" xfId="15319" xr:uid="{00000000-0005-0000-0000-0000F85D0000}"/>
    <cellStyle name="Saída 2 2 2 6 4 3" xfId="14115" xr:uid="{00000000-0005-0000-0000-0000F95D0000}"/>
    <cellStyle name="Saída 2 2 2 6 5" xfId="4540" xr:uid="{00000000-0005-0000-0000-0000FA5D0000}"/>
    <cellStyle name="Saída 2 2 2 6 5 2" xfId="15593" xr:uid="{00000000-0005-0000-0000-0000FB5D0000}"/>
    <cellStyle name="Saída 2 2 2 6 5 3" xfId="13465" xr:uid="{00000000-0005-0000-0000-0000FC5D0000}"/>
    <cellStyle name="Saída 2 2 2 6 6" xfId="6143" xr:uid="{00000000-0005-0000-0000-0000FD5D0000}"/>
    <cellStyle name="Saída 2 2 2 6 6 2" xfId="16818" xr:uid="{00000000-0005-0000-0000-0000FE5D0000}"/>
    <cellStyle name="Saída 2 2 2 6 6 3" xfId="19661" xr:uid="{00000000-0005-0000-0000-0000FF5D0000}"/>
    <cellStyle name="Saída 2 2 2 6 7" xfId="9152" xr:uid="{00000000-0005-0000-0000-0000005E0000}"/>
    <cellStyle name="Saída 2 2 2 6 8" xfId="14488" xr:uid="{00000000-0005-0000-0000-0000015E0000}"/>
    <cellStyle name="Saída 2 2 2 6 9" xfId="15547" xr:uid="{00000000-0005-0000-0000-0000025E0000}"/>
    <cellStyle name="Saída 2 2 2 7" xfId="5625" xr:uid="{00000000-0005-0000-0000-0000035E0000}"/>
    <cellStyle name="Saída 2 2 2 7 2" xfId="7334" xr:uid="{00000000-0005-0000-0000-0000045E0000}"/>
    <cellStyle name="Saída 2 2 2 7 2 2" xfId="11422" xr:uid="{00000000-0005-0000-0000-0000055E0000}"/>
    <cellStyle name="Saída 2 2 2 7 2 3" xfId="17724" xr:uid="{00000000-0005-0000-0000-0000065E0000}"/>
    <cellStyle name="Saída 2 2 2 7 2 4" xfId="20852" xr:uid="{00000000-0005-0000-0000-0000075E0000}"/>
    <cellStyle name="Saída 2 2 2 7 3" xfId="10500" xr:uid="{00000000-0005-0000-0000-0000085E0000}"/>
    <cellStyle name="Saída 2 2 2 7 4" xfId="16433" xr:uid="{00000000-0005-0000-0000-0000095E0000}"/>
    <cellStyle name="Saída 2 2 2 7 5" xfId="19143" xr:uid="{00000000-0005-0000-0000-00000A5E0000}"/>
    <cellStyle name="Saída 2 2 2 8" xfId="6311" xr:uid="{00000000-0005-0000-0000-00000B5E0000}"/>
    <cellStyle name="Saída 2 2 2 8 2" xfId="8019" xr:uid="{00000000-0005-0000-0000-00000C5E0000}"/>
    <cellStyle name="Saída 2 2 2 8 2 2" xfId="11995" xr:uid="{00000000-0005-0000-0000-00000D5E0000}"/>
    <cellStyle name="Saída 2 2 2 8 2 3" xfId="18236" xr:uid="{00000000-0005-0000-0000-00000E5E0000}"/>
    <cellStyle name="Saída 2 2 2 8 2 4" xfId="21537" xr:uid="{00000000-0005-0000-0000-00000F5E0000}"/>
    <cellStyle name="Saída 2 2 2 8 3" xfId="10857" xr:uid="{00000000-0005-0000-0000-0000105E0000}"/>
    <cellStyle name="Saída 2 2 2 8 4" xfId="16945" xr:uid="{00000000-0005-0000-0000-0000115E0000}"/>
    <cellStyle name="Saída 2 2 2 8 5" xfId="19829" xr:uid="{00000000-0005-0000-0000-0000125E0000}"/>
    <cellStyle name="Saída 2 2 2 9" xfId="5508" xr:uid="{00000000-0005-0000-0000-0000135E0000}"/>
    <cellStyle name="Saída 2 2 2 9 2" xfId="7217" xr:uid="{00000000-0005-0000-0000-0000145E0000}"/>
    <cellStyle name="Saída 2 2 2 9 2 2" xfId="11343" xr:uid="{00000000-0005-0000-0000-0000155E0000}"/>
    <cellStyle name="Saída 2 2 2 9 2 3" xfId="17620" xr:uid="{00000000-0005-0000-0000-0000165E0000}"/>
    <cellStyle name="Saída 2 2 2 9 2 4" xfId="20735" xr:uid="{00000000-0005-0000-0000-0000175E0000}"/>
    <cellStyle name="Saída 2 2 2 9 3" xfId="10483" xr:uid="{00000000-0005-0000-0000-0000185E0000}"/>
    <cellStyle name="Saída 2 2 2 9 4" xfId="16329" xr:uid="{00000000-0005-0000-0000-0000195E0000}"/>
    <cellStyle name="Saída 2 2 2 9 5" xfId="19026" xr:uid="{00000000-0005-0000-0000-00001A5E0000}"/>
    <cellStyle name="Saída 2 2 3" xfId="2698" xr:uid="{00000000-0005-0000-0000-00001B5E0000}"/>
    <cellStyle name="Saída 2 2 3 10" xfId="5759" xr:uid="{00000000-0005-0000-0000-00001C5E0000}"/>
    <cellStyle name="Saída 2 2 3 10 2" xfId="10537" xr:uid="{00000000-0005-0000-0000-00001D5E0000}"/>
    <cellStyle name="Saída 2 2 3 10 3" xfId="16537" xr:uid="{00000000-0005-0000-0000-00001E5E0000}"/>
    <cellStyle name="Saída 2 2 3 10 4" xfId="19277" xr:uid="{00000000-0005-0000-0000-00001F5E0000}"/>
    <cellStyle name="Saída 2 2 3 11" xfId="7468" xr:uid="{00000000-0005-0000-0000-0000205E0000}"/>
    <cellStyle name="Saída 2 2 3 11 2" xfId="11524" xr:uid="{00000000-0005-0000-0000-0000215E0000}"/>
    <cellStyle name="Saída 2 2 3 11 3" xfId="17828" xr:uid="{00000000-0005-0000-0000-0000225E0000}"/>
    <cellStyle name="Saída 2 2 3 11 4" xfId="20986" xr:uid="{00000000-0005-0000-0000-0000235E0000}"/>
    <cellStyle name="Saída 2 2 3 12" xfId="4887" xr:uid="{00000000-0005-0000-0000-0000245E0000}"/>
    <cellStyle name="Saída 2 2 3 12 2" xfId="15862" xr:uid="{00000000-0005-0000-0000-0000255E0000}"/>
    <cellStyle name="Saída 2 2 3 12 3" xfId="13119" xr:uid="{00000000-0005-0000-0000-0000265E0000}"/>
    <cellStyle name="Saída 2 2 3 13" xfId="8853" xr:uid="{00000000-0005-0000-0000-0000275E0000}"/>
    <cellStyle name="Saída 2 2 3 14" xfId="14269" xr:uid="{00000000-0005-0000-0000-0000285E0000}"/>
    <cellStyle name="Saída 2 2 3 15" xfId="17510" xr:uid="{00000000-0005-0000-0000-0000295E0000}"/>
    <cellStyle name="Saída 2 2 3 2" xfId="2755" xr:uid="{00000000-0005-0000-0000-00002A5E0000}"/>
    <cellStyle name="Saída 2 2 3 2 10" xfId="4939" xr:uid="{00000000-0005-0000-0000-00002B5E0000}"/>
    <cellStyle name="Saída 2 2 3 2 10 2" xfId="15909" xr:uid="{00000000-0005-0000-0000-00002C5E0000}"/>
    <cellStyle name="Saída 2 2 3 2 10 3" xfId="13080" xr:uid="{00000000-0005-0000-0000-00002D5E0000}"/>
    <cellStyle name="Saída 2 2 3 2 11" xfId="8910" xr:uid="{00000000-0005-0000-0000-00002E5E0000}"/>
    <cellStyle name="Saída 2 2 3 2 12" xfId="14312" xr:uid="{00000000-0005-0000-0000-00002F5E0000}"/>
    <cellStyle name="Saída 2 2 3 2 2" xfId="3245" xr:uid="{00000000-0005-0000-0000-0000305E0000}"/>
    <cellStyle name="Saída 2 2 3 2 2 10" xfId="9375" xr:uid="{00000000-0005-0000-0000-0000315E0000}"/>
    <cellStyle name="Saída 2 2 3 2 2 11" xfId="14677" xr:uid="{00000000-0005-0000-0000-0000325E0000}"/>
    <cellStyle name="Saída 2 2 3 2 2 12" xfId="15928" xr:uid="{00000000-0005-0000-0000-0000335E0000}"/>
    <cellStyle name="Saída 2 2 3 2 2 2" xfId="3632" xr:uid="{00000000-0005-0000-0000-0000345E0000}"/>
    <cellStyle name="Saída 2 2 3 2 2 2 2" xfId="7993" xr:uid="{00000000-0005-0000-0000-0000355E0000}"/>
    <cellStyle name="Saída 2 2 3 2 2 2 2 2" xfId="11969" xr:uid="{00000000-0005-0000-0000-0000365E0000}"/>
    <cellStyle name="Saída 2 2 3 2 2 2 2 3" xfId="18216" xr:uid="{00000000-0005-0000-0000-0000375E0000}"/>
    <cellStyle name="Saída 2 2 3 2 2 2 2 4" xfId="21511" xr:uid="{00000000-0005-0000-0000-0000385E0000}"/>
    <cellStyle name="Saída 2 2 3 2 2 2 3" xfId="6285" xr:uid="{00000000-0005-0000-0000-0000395E0000}"/>
    <cellStyle name="Saída 2 2 3 2 2 2 3 2" xfId="16925" xr:uid="{00000000-0005-0000-0000-00003A5E0000}"/>
    <cellStyle name="Saída 2 2 3 2 2 2 3 3" xfId="19803" xr:uid="{00000000-0005-0000-0000-00003B5E0000}"/>
    <cellStyle name="Saída 2 2 3 2 2 2 4" xfId="9724" xr:uid="{00000000-0005-0000-0000-00003C5E0000}"/>
    <cellStyle name="Saída 2 2 3 2 2 2 5" xfId="14957" xr:uid="{00000000-0005-0000-0000-00003D5E0000}"/>
    <cellStyle name="Saída 2 2 3 2 2 2 6" xfId="15570" xr:uid="{00000000-0005-0000-0000-00003E5E0000}"/>
    <cellStyle name="Saída 2 2 3 2 2 3" xfId="4015" xr:uid="{00000000-0005-0000-0000-00003F5E0000}"/>
    <cellStyle name="Saída 2 2 3 2 2 3 2" xfId="7072" xr:uid="{00000000-0005-0000-0000-0000405E0000}"/>
    <cellStyle name="Saída 2 2 3 2 2 3 2 2" xfId="11206" xr:uid="{00000000-0005-0000-0000-0000415E0000}"/>
    <cellStyle name="Saída 2 2 3 2 2 3 2 3" xfId="17509" xr:uid="{00000000-0005-0000-0000-0000425E0000}"/>
    <cellStyle name="Saída 2 2 3 2 2 3 2 4" xfId="20590" xr:uid="{00000000-0005-0000-0000-0000435E0000}"/>
    <cellStyle name="Saída 2 2 3 2 2 3 3" xfId="5363" xr:uid="{00000000-0005-0000-0000-0000445E0000}"/>
    <cellStyle name="Saída 2 2 3 2 2 3 3 2" xfId="16219" xr:uid="{00000000-0005-0000-0000-0000455E0000}"/>
    <cellStyle name="Saída 2 2 3 2 2 3 3 3" xfId="18881" xr:uid="{00000000-0005-0000-0000-0000465E0000}"/>
    <cellStyle name="Saída 2 2 3 2 2 3 4" xfId="9934" xr:uid="{00000000-0005-0000-0000-0000475E0000}"/>
    <cellStyle name="Saída 2 2 3 2 2 3 5" xfId="15232" xr:uid="{00000000-0005-0000-0000-0000485E0000}"/>
    <cellStyle name="Saída 2 2 3 2 2 3 6" xfId="13976" xr:uid="{00000000-0005-0000-0000-0000495E0000}"/>
    <cellStyle name="Saída 2 2 3 2 2 4" xfId="4398" xr:uid="{00000000-0005-0000-0000-00004A5E0000}"/>
    <cellStyle name="Saída 2 2 3 2 2 4 2" xfId="8300" xr:uid="{00000000-0005-0000-0000-00004B5E0000}"/>
    <cellStyle name="Saída 2 2 3 2 2 4 2 2" xfId="12268" xr:uid="{00000000-0005-0000-0000-00004C5E0000}"/>
    <cellStyle name="Saída 2 2 3 2 2 4 2 3" xfId="18450" xr:uid="{00000000-0005-0000-0000-00004D5E0000}"/>
    <cellStyle name="Saída 2 2 3 2 2 4 2 4" xfId="21818" xr:uid="{00000000-0005-0000-0000-00004E5E0000}"/>
    <cellStyle name="Saída 2 2 3 2 2 4 3" xfId="6592" xr:uid="{00000000-0005-0000-0000-00004F5E0000}"/>
    <cellStyle name="Saída 2 2 3 2 2 4 3 2" xfId="17159" xr:uid="{00000000-0005-0000-0000-0000505E0000}"/>
    <cellStyle name="Saída 2 2 3 2 2 4 3 3" xfId="20110" xr:uid="{00000000-0005-0000-0000-0000515E0000}"/>
    <cellStyle name="Saída 2 2 3 2 2 4 4" xfId="10112" xr:uid="{00000000-0005-0000-0000-0000525E0000}"/>
    <cellStyle name="Saída 2 2 3 2 2 4 5" xfId="15508" xr:uid="{00000000-0005-0000-0000-0000535E0000}"/>
    <cellStyle name="Saída 2 2 3 2 2 4 6" xfId="13607" xr:uid="{00000000-0005-0000-0000-0000545E0000}"/>
    <cellStyle name="Saída 2 2 3 2 2 5" xfId="4780" xr:uid="{00000000-0005-0000-0000-0000555E0000}"/>
    <cellStyle name="Saída 2 2 3 2 2 5 2" xfId="8532" xr:uid="{00000000-0005-0000-0000-0000565E0000}"/>
    <cellStyle name="Saída 2 2 3 2 2 5 2 2" xfId="12500" xr:uid="{00000000-0005-0000-0000-0000575E0000}"/>
    <cellStyle name="Saída 2 2 3 2 2 5 2 3" xfId="18621" xr:uid="{00000000-0005-0000-0000-0000585E0000}"/>
    <cellStyle name="Saída 2 2 3 2 2 5 2 4" xfId="22050" xr:uid="{00000000-0005-0000-0000-0000595E0000}"/>
    <cellStyle name="Saída 2 2 3 2 2 5 3" xfId="6824" xr:uid="{00000000-0005-0000-0000-00005A5E0000}"/>
    <cellStyle name="Saída 2 2 3 2 2 5 3 2" xfId="17329" xr:uid="{00000000-0005-0000-0000-00005B5E0000}"/>
    <cellStyle name="Saída 2 2 3 2 2 5 3 3" xfId="20342" xr:uid="{00000000-0005-0000-0000-00005C5E0000}"/>
    <cellStyle name="Saída 2 2 3 2 2 5 4" xfId="10289" xr:uid="{00000000-0005-0000-0000-00005D5E0000}"/>
    <cellStyle name="Saída 2 2 3 2 2 5 5" xfId="15780" xr:uid="{00000000-0005-0000-0000-00005E5E0000}"/>
    <cellStyle name="Saída 2 2 3 2 2 5 6" xfId="13225" xr:uid="{00000000-0005-0000-0000-00005F5E0000}"/>
    <cellStyle name="Saída 2 2 3 2 2 6" xfId="7056" xr:uid="{00000000-0005-0000-0000-0000605E0000}"/>
    <cellStyle name="Saída 2 2 3 2 2 6 2" xfId="8764" xr:uid="{00000000-0005-0000-0000-0000615E0000}"/>
    <cellStyle name="Saída 2 2 3 2 2 6 2 2" xfId="12732" xr:uid="{00000000-0005-0000-0000-0000625E0000}"/>
    <cellStyle name="Saída 2 2 3 2 2 6 2 3" xfId="18793" xr:uid="{00000000-0005-0000-0000-0000635E0000}"/>
    <cellStyle name="Saída 2 2 3 2 2 6 2 4" xfId="22282" xr:uid="{00000000-0005-0000-0000-0000645E0000}"/>
    <cellStyle name="Saída 2 2 3 2 2 6 3" xfId="11190" xr:uid="{00000000-0005-0000-0000-0000655E0000}"/>
    <cellStyle name="Saída 2 2 3 2 2 6 4" xfId="17500" xr:uid="{00000000-0005-0000-0000-0000665E0000}"/>
    <cellStyle name="Saída 2 2 3 2 2 6 5" xfId="20574" xr:uid="{00000000-0005-0000-0000-0000675E0000}"/>
    <cellStyle name="Saída 2 2 3 2 2 7" xfId="6044" xr:uid="{00000000-0005-0000-0000-0000685E0000}"/>
    <cellStyle name="Saída 2 2 3 2 2 7 2" xfId="10785" xr:uid="{00000000-0005-0000-0000-0000695E0000}"/>
    <cellStyle name="Saída 2 2 3 2 2 7 3" xfId="16739" xr:uid="{00000000-0005-0000-0000-00006A5E0000}"/>
    <cellStyle name="Saída 2 2 3 2 2 7 4" xfId="19562" xr:uid="{00000000-0005-0000-0000-00006B5E0000}"/>
    <cellStyle name="Saída 2 2 3 2 2 8" xfId="7752" xr:uid="{00000000-0005-0000-0000-00006C5E0000}"/>
    <cellStyle name="Saída 2 2 3 2 2 8 2" xfId="11773" xr:uid="{00000000-0005-0000-0000-00006D5E0000}"/>
    <cellStyle name="Saída 2 2 3 2 2 8 3" xfId="18031" xr:uid="{00000000-0005-0000-0000-00006E5E0000}"/>
    <cellStyle name="Saída 2 2 3 2 2 8 4" xfId="21270" xr:uid="{00000000-0005-0000-0000-00006F5E0000}"/>
    <cellStyle name="Saída 2 2 3 2 2 9" xfId="5238" xr:uid="{00000000-0005-0000-0000-0000705E0000}"/>
    <cellStyle name="Saída 2 2 3 2 2 9 2" xfId="16127" xr:uid="{00000000-0005-0000-0000-0000715E0000}"/>
    <cellStyle name="Saída 2 2 3 2 2 9 3" xfId="12856" xr:uid="{00000000-0005-0000-0000-0000725E0000}"/>
    <cellStyle name="Saída 2 2 3 2 3" xfId="3302" xr:uid="{00000000-0005-0000-0000-0000735E0000}"/>
    <cellStyle name="Saída 2 2 3 2 3 2" xfId="3689" xr:uid="{00000000-0005-0000-0000-0000745E0000}"/>
    <cellStyle name="Saída 2 2 3 2 3 2 2" xfId="7311" xr:uid="{00000000-0005-0000-0000-0000755E0000}"/>
    <cellStyle name="Saída 2 2 3 2 3 2 2 2" xfId="17704" xr:uid="{00000000-0005-0000-0000-0000765E0000}"/>
    <cellStyle name="Saída 2 2 3 2 3 2 2 3" xfId="20829" xr:uid="{00000000-0005-0000-0000-0000775E0000}"/>
    <cellStyle name="Saída 2 2 3 2 3 2 3" xfId="9764" xr:uid="{00000000-0005-0000-0000-0000785E0000}"/>
    <cellStyle name="Saída 2 2 3 2 3 2 4" xfId="14999" xr:uid="{00000000-0005-0000-0000-0000795E0000}"/>
    <cellStyle name="Saída 2 2 3 2 3 2 5" xfId="14285" xr:uid="{00000000-0005-0000-0000-00007A5E0000}"/>
    <cellStyle name="Saída 2 2 3 2 3 3" xfId="4072" xr:uid="{00000000-0005-0000-0000-00007B5E0000}"/>
    <cellStyle name="Saída 2 2 3 2 3 3 2" xfId="15274" xr:uid="{00000000-0005-0000-0000-00007C5E0000}"/>
    <cellStyle name="Saída 2 2 3 2 3 3 3" xfId="13919" xr:uid="{00000000-0005-0000-0000-00007D5E0000}"/>
    <cellStyle name="Saída 2 2 3 2 3 4" xfId="4455" xr:uid="{00000000-0005-0000-0000-00007E5E0000}"/>
    <cellStyle name="Saída 2 2 3 2 3 4 2" xfId="15549" xr:uid="{00000000-0005-0000-0000-00007F5E0000}"/>
    <cellStyle name="Saída 2 2 3 2 3 4 3" xfId="13550" xr:uid="{00000000-0005-0000-0000-0000805E0000}"/>
    <cellStyle name="Saída 2 2 3 2 3 5" xfId="4837" xr:uid="{00000000-0005-0000-0000-0000815E0000}"/>
    <cellStyle name="Saída 2 2 3 2 3 5 2" xfId="15821" xr:uid="{00000000-0005-0000-0000-0000825E0000}"/>
    <cellStyle name="Saída 2 2 3 2 3 5 3" xfId="13169" xr:uid="{00000000-0005-0000-0000-0000835E0000}"/>
    <cellStyle name="Saída 2 2 3 2 3 6" xfId="5602" xr:uid="{00000000-0005-0000-0000-0000845E0000}"/>
    <cellStyle name="Saída 2 2 3 2 3 6 2" xfId="16413" xr:uid="{00000000-0005-0000-0000-0000855E0000}"/>
    <cellStyle name="Saída 2 2 3 2 3 6 3" xfId="19120" xr:uid="{00000000-0005-0000-0000-0000865E0000}"/>
    <cellStyle name="Saída 2 2 3 2 3 7" xfId="9432" xr:uid="{00000000-0005-0000-0000-0000875E0000}"/>
    <cellStyle name="Saída 2 2 3 2 3 8" xfId="14719" xr:uid="{00000000-0005-0000-0000-0000885E0000}"/>
    <cellStyle name="Saída 2 2 3 2 3 9" xfId="15007" xr:uid="{00000000-0005-0000-0000-0000895E0000}"/>
    <cellStyle name="Saída 2 2 3 2 4" xfId="2920" xr:uid="{00000000-0005-0000-0000-00008A5E0000}"/>
    <cellStyle name="Saída 2 2 3 2 4 2" xfId="7808" xr:uid="{00000000-0005-0000-0000-00008B5E0000}"/>
    <cellStyle name="Saída 2 2 3 2 4 2 2" xfId="11820" xr:uid="{00000000-0005-0000-0000-00008C5E0000}"/>
    <cellStyle name="Saída 2 2 3 2 4 2 3" xfId="18073" xr:uid="{00000000-0005-0000-0000-00008D5E0000}"/>
    <cellStyle name="Saída 2 2 3 2 4 2 4" xfId="21326" xr:uid="{00000000-0005-0000-0000-00008E5E0000}"/>
    <cellStyle name="Saída 2 2 3 2 4 3" xfId="6100" xr:uid="{00000000-0005-0000-0000-00008F5E0000}"/>
    <cellStyle name="Saída 2 2 3 2 4 3 2" xfId="16781" xr:uid="{00000000-0005-0000-0000-0000905E0000}"/>
    <cellStyle name="Saída 2 2 3 2 4 3 3" xfId="19618" xr:uid="{00000000-0005-0000-0000-0000915E0000}"/>
    <cellStyle name="Saída 2 2 3 2 4 4" xfId="9072" xr:uid="{00000000-0005-0000-0000-0000925E0000}"/>
    <cellStyle name="Saída 2 2 3 2 4 5" xfId="14444" xr:uid="{00000000-0005-0000-0000-0000935E0000}"/>
    <cellStyle name="Saída 2 2 3 2 4 6" xfId="15957" xr:uid="{00000000-0005-0000-0000-0000945E0000}"/>
    <cellStyle name="Saída 2 2 3 2 5" xfId="6397" xr:uid="{00000000-0005-0000-0000-0000955E0000}"/>
    <cellStyle name="Saída 2 2 3 2 5 2" xfId="8105" xr:uid="{00000000-0005-0000-0000-0000965E0000}"/>
    <cellStyle name="Saída 2 2 3 2 5 2 2" xfId="12073" xr:uid="{00000000-0005-0000-0000-0000975E0000}"/>
    <cellStyle name="Saída 2 2 3 2 5 2 3" xfId="18311" xr:uid="{00000000-0005-0000-0000-0000985E0000}"/>
    <cellStyle name="Saída 2 2 3 2 5 2 4" xfId="21623" xr:uid="{00000000-0005-0000-0000-0000995E0000}"/>
    <cellStyle name="Saída 2 2 3 2 5 3" xfId="10915" xr:uid="{00000000-0005-0000-0000-00009A5E0000}"/>
    <cellStyle name="Saída 2 2 3 2 5 4" xfId="17020" xr:uid="{00000000-0005-0000-0000-00009B5E0000}"/>
    <cellStyle name="Saída 2 2 3 2 5 5" xfId="19915" xr:uid="{00000000-0005-0000-0000-00009C5E0000}"/>
    <cellStyle name="Saída 2 2 3 2 6" xfId="6629" xr:uid="{00000000-0005-0000-0000-00009D5E0000}"/>
    <cellStyle name="Saída 2 2 3 2 6 2" xfId="8337" xr:uid="{00000000-0005-0000-0000-00009E5E0000}"/>
    <cellStyle name="Saída 2 2 3 2 6 2 2" xfId="12305" xr:uid="{00000000-0005-0000-0000-00009F5E0000}"/>
    <cellStyle name="Saída 2 2 3 2 6 2 3" xfId="18482" xr:uid="{00000000-0005-0000-0000-0000A05E0000}"/>
    <cellStyle name="Saída 2 2 3 2 6 2 4" xfId="21855" xr:uid="{00000000-0005-0000-0000-0000A15E0000}"/>
    <cellStyle name="Saída 2 2 3 2 6 3" xfId="10955" xr:uid="{00000000-0005-0000-0000-0000A25E0000}"/>
    <cellStyle name="Saída 2 2 3 2 6 4" xfId="17191" xr:uid="{00000000-0005-0000-0000-0000A35E0000}"/>
    <cellStyle name="Saída 2 2 3 2 6 5" xfId="20147" xr:uid="{00000000-0005-0000-0000-0000A45E0000}"/>
    <cellStyle name="Saída 2 2 3 2 7" xfId="6861" xr:uid="{00000000-0005-0000-0000-0000A55E0000}"/>
    <cellStyle name="Saída 2 2 3 2 7 2" xfId="8569" xr:uid="{00000000-0005-0000-0000-0000A65E0000}"/>
    <cellStyle name="Saída 2 2 3 2 7 2 2" xfId="12537" xr:uid="{00000000-0005-0000-0000-0000A75E0000}"/>
    <cellStyle name="Saída 2 2 3 2 7 2 3" xfId="18653" xr:uid="{00000000-0005-0000-0000-0000A85E0000}"/>
    <cellStyle name="Saída 2 2 3 2 7 2 4" xfId="22087" xr:uid="{00000000-0005-0000-0000-0000A95E0000}"/>
    <cellStyle name="Saída 2 2 3 2 7 3" xfId="10995" xr:uid="{00000000-0005-0000-0000-0000AA5E0000}"/>
    <cellStyle name="Saída 2 2 3 2 7 4" xfId="17361" xr:uid="{00000000-0005-0000-0000-0000AB5E0000}"/>
    <cellStyle name="Saída 2 2 3 2 7 5" xfId="20379" xr:uid="{00000000-0005-0000-0000-0000AC5E0000}"/>
    <cellStyle name="Saída 2 2 3 2 8" xfId="5834" xr:uid="{00000000-0005-0000-0000-0000AD5E0000}"/>
    <cellStyle name="Saída 2 2 3 2 8 2" xfId="10590" xr:uid="{00000000-0005-0000-0000-0000AE5E0000}"/>
    <cellStyle name="Saída 2 2 3 2 8 3" xfId="16594" xr:uid="{00000000-0005-0000-0000-0000AF5E0000}"/>
    <cellStyle name="Saída 2 2 3 2 8 4" xfId="19352" xr:uid="{00000000-0005-0000-0000-0000B05E0000}"/>
    <cellStyle name="Saída 2 2 3 2 9" xfId="7542" xr:uid="{00000000-0005-0000-0000-0000B15E0000}"/>
    <cellStyle name="Saída 2 2 3 2 9 2" xfId="11576" xr:uid="{00000000-0005-0000-0000-0000B25E0000}"/>
    <cellStyle name="Saída 2 2 3 2 9 3" xfId="17886" xr:uid="{00000000-0005-0000-0000-0000B35E0000}"/>
    <cellStyle name="Saída 2 2 3 2 9 4" xfId="21060" xr:uid="{00000000-0005-0000-0000-0000B45E0000}"/>
    <cellStyle name="Saída 2 2 3 3" xfId="2653" xr:uid="{00000000-0005-0000-0000-0000B55E0000}"/>
    <cellStyle name="Saída 2 2 3 3 10" xfId="4879" xr:uid="{00000000-0005-0000-0000-0000B65E0000}"/>
    <cellStyle name="Saída 2 2 3 3 10 2" xfId="15854" xr:uid="{00000000-0005-0000-0000-0000B75E0000}"/>
    <cellStyle name="Saída 2 2 3 3 10 3" xfId="13127" xr:uid="{00000000-0005-0000-0000-0000B85E0000}"/>
    <cellStyle name="Saída 2 2 3 3 11" xfId="8810" xr:uid="{00000000-0005-0000-0000-0000B95E0000}"/>
    <cellStyle name="Saída 2 2 3 3 12" xfId="14230" xr:uid="{00000000-0005-0000-0000-0000BA5E0000}"/>
    <cellStyle name="Saída 2 2 3 3 2" xfId="3145" xr:uid="{00000000-0005-0000-0000-0000BB5E0000}"/>
    <cellStyle name="Saída 2 2 3 3 2 10" xfId="9275" xr:uid="{00000000-0005-0000-0000-0000BC5E0000}"/>
    <cellStyle name="Saída 2 2 3 3 2 11" xfId="14598" xr:uid="{00000000-0005-0000-0000-0000BD5E0000}"/>
    <cellStyle name="Saída 2 2 3 3 2 12" xfId="16725" xr:uid="{00000000-0005-0000-0000-0000BE5E0000}"/>
    <cellStyle name="Saída 2 2 3 3 2 2" xfId="3532" xr:uid="{00000000-0005-0000-0000-0000BF5E0000}"/>
    <cellStyle name="Saída 2 2 3 3 2 2 2" xfId="7261" xr:uid="{00000000-0005-0000-0000-0000C05E0000}"/>
    <cellStyle name="Saída 2 2 3 3 2 2 2 2" xfId="11366" xr:uid="{00000000-0005-0000-0000-0000C15E0000}"/>
    <cellStyle name="Saída 2 2 3 3 2 2 2 3" xfId="17661" xr:uid="{00000000-0005-0000-0000-0000C25E0000}"/>
    <cellStyle name="Saída 2 2 3 3 2 2 2 4" xfId="20779" xr:uid="{00000000-0005-0000-0000-0000C35E0000}"/>
    <cellStyle name="Saída 2 2 3 3 2 2 3" xfId="5552" xr:uid="{00000000-0005-0000-0000-0000C45E0000}"/>
    <cellStyle name="Saída 2 2 3 3 2 2 3 2" xfId="16370" xr:uid="{00000000-0005-0000-0000-0000C55E0000}"/>
    <cellStyle name="Saída 2 2 3 3 2 2 3 3" xfId="19070" xr:uid="{00000000-0005-0000-0000-0000C65E0000}"/>
    <cellStyle name="Saída 2 2 3 3 2 2 4" xfId="9624" xr:uid="{00000000-0005-0000-0000-0000C75E0000}"/>
    <cellStyle name="Saída 2 2 3 3 2 2 5" xfId="14878" xr:uid="{00000000-0005-0000-0000-0000C85E0000}"/>
    <cellStyle name="Saída 2 2 3 3 2 2 6" xfId="15280" xr:uid="{00000000-0005-0000-0000-0000C95E0000}"/>
    <cellStyle name="Saída 2 2 3 3 2 3" xfId="3915" xr:uid="{00000000-0005-0000-0000-0000CA5E0000}"/>
    <cellStyle name="Saída 2 2 3 3 2 3 2" xfId="8068" xr:uid="{00000000-0005-0000-0000-0000CB5E0000}"/>
    <cellStyle name="Saída 2 2 3 3 2 3 2 2" xfId="12038" xr:uid="{00000000-0005-0000-0000-0000CC5E0000}"/>
    <cellStyle name="Saída 2 2 3 3 2 3 2 3" xfId="18275" xr:uid="{00000000-0005-0000-0000-0000CD5E0000}"/>
    <cellStyle name="Saída 2 2 3 3 2 3 2 4" xfId="21586" xr:uid="{00000000-0005-0000-0000-0000CE5E0000}"/>
    <cellStyle name="Saída 2 2 3 3 2 3 3" xfId="6360" xr:uid="{00000000-0005-0000-0000-0000CF5E0000}"/>
    <cellStyle name="Saída 2 2 3 3 2 3 3 2" xfId="16984" xr:uid="{00000000-0005-0000-0000-0000D05E0000}"/>
    <cellStyle name="Saída 2 2 3 3 2 3 3 3" xfId="19878" xr:uid="{00000000-0005-0000-0000-0000D15E0000}"/>
    <cellStyle name="Saída 2 2 3 3 2 3 4" xfId="9838" xr:uid="{00000000-0005-0000-0000-0000D25E0000}"/>
    <cellStyle name="Saída 2 2 3 3 2 3 5" xfId="15154" xr:uid="{00000000-0005-0000-0000-0000D35E0000}"/>
    <cellStyle name="Saída 2 2 3 3 2 3 6" xfId="14076" xr:uid="{00000000-0005-0000-0000-0000D45E0000}"/>
    <cellStyle name="Saída 2 2 3 3 2 4" xfId="4298" xr:uid="{00000000-0005-0000-0000-0000D55E0000}"/>
    <cellStyle name="Saída 2 2 3 3 2 4 2" xfId="8133" xr:uid="{00000000-0005-0000-0000-0000D65E0000}"/>
    <cellStyle name="Saída 2 2 3 3 2 4 2 2" xfId="12101" xr:uid="{00000000-0005-0000-0000-0000D75E0000}"/>
    <cellStyle name="Saída 2 2 3 3 2 4 2 3" xfId="18337" xr:uid="{00000000-0005-0000-0000-0000D85E0000}"/>
    <cellStyle name="Saída 2 2 3 3 2 4 2 4" xfId="21651" xr:uid="{00000000-0005-0000-0000-0000D95E0000}"/>
    <cellStyle name="Saída 2 2 3 3 2 4 3" xfId="6425" xr:uid="{00000000-0005-0000-0000-0000DA5E0000}"/>
    <cellStyle name="Saída 2 2 3 3 2 4 3 2" xfId="17046" xr:uid="{00000000-0005-0000-0000-0000DB5E0000}"/>
    <cellStyle name="Saída 2 2 3 3 2 4 3 3" xfId="19943" xr:uid="{00000000-0005-0000-0000-0000DC5E0000}"/>
    <cellStyle name="Saída 2 2 3 3 2 4 4" xfId="10016" xr:uid="{00000000-0005-0000-0000-0000DD5E0000}"/>
    <cellStyle name="Saída 2 2 3 3 2 4 5" xfId="15429" xr:uid="{00000000-0005-0000-0000-0000DE5E0000}"/>
    <cellStyle name="Saída 2 2 3 3 2 4 6" xfId="13707" xr:uid="{00000000-0005-0000-0000-0000DF5E0000}"/>
    <cellStyle name="Saída 2 2 3 3 2 5" xfId="4680" xr:uid="{00000000-0005-0000-0000-0000E05E0000}"/>
    <cellStyle name="Saída 2 2 3 3 2 5 2" xfId="8365" xr:uid="{00000000-0005-0000-0000-0000E15E0000}"/>
    <cellStyle name="Saída 2 2 3 3 2 5 2 2" xfId="12333" xr:uid="{00000000-0005-0000-0000-0000E25E0000}"/>
    <cellStyle name="Saída 2 2 3 3 2 5 2 3" xfId="18508" xr:uid="{00000000-0005-0000-0000-0000E35E0000}"/>
    <cellStyle name="Saída 2 2 3 3 2 5 2 4" xfId="21883" xr:uid="{00000000-0005-0000-0000-0000E45E0000}"/>
    <cellStyle name="Saída 2 2 3 3 2 5 3" xfId="6657" xr:uid="{00000000-0005-0000-0000-0000E55E0000}"/>
    <cellStyle name="Saída 2 2 3 3 2 5 3 2" xfId="17217" xr:uid="{00000000-0005-0000-0000-0000E65E0000}"/>
    <cellStyle name="Saída 2 2 3 3 2 5 3 3" xfId="20175" xr:uid="{00000000-0005-0000-0000-0000E75E0000}"/>
    <cellStyle name="Saída 2 2 3 3 2 5 4" xfId="10193" xr:uid="{00000000-0005-0000-0000-0000E85E0000}"/>
    <cellStyle name="Saída 2 2 3 3 2 5 5" xfId="15703" xr:uid="{00000000-0005-0000-0000-0000E95E0000}"/>
    <cellStyle name="Saída 2 2 3 3 2 5 6" xfId="13325" xr:uid="{00000000-0005-0000-0000-0000EA5E0000}"/>
    <cellStyle name="Saída 2 2 3 3 2 6" xfId="6889" xr:uid="{00000000-0005-0000-0000-0000EB5E0000}"/>
    <cellStyle name="Saída 2 2 3 3 2 6 2" xfId="8597" xr:uid="{00000000-0005-0000-0000-0000EC5E0000}"/>
    <cellStyle name="Saída 2 2 3 3 2 6 2 2" xfId="12565" xr:uid="{00000000-0005-0000-0000-0000ED5E0000}"/>
    <cellStyle name="Saída 2 2 3 3 2 6 2 3" xfId="18679" xr:uid="{00000000-0005-0000-0000-0000EE5E0000}"/>
    <cellStyle name="Saída 2 2 3 3 2 6 2 4" xfId="22115" xr:uid="{00000000-0005-0000-0000-0000EF5E0000}"/>
    <cellStyle name="Saída 2 2 3 3 2 6 3" xfId="11023" xr:uid="{00000000-0005-0000-0000-0000F05E0000}"/>
    <cellStyle name="Saída 2 2 3 3 2 6 4" xfId="17387" xr:uid="{00000000-0005-0000-0000-0000F15E0000}"/>
    <cellStyle name="Saída 2 2 3 3 2 6 5" xfId="20407" xr:uid="{00000000-0005-0000-0000-0000F25E0000}"/>
    <cellStyle name="Saída 2 2 3 3 2 7" xfId="5877" xr:uid="{00000000-0005-0000-0000-0000F35E0000}"/>
    <cellStyle name="Saída 2 2 3 3 2 7 2" xfId="10618" xr:uid="{00000000-0005-0000-0000-0000F45E0000}"/>
    <cellStyle name="Saída 2 2 3 3 2 7 3" xfId="16625" xr:uid="{00000000-0005-0000-0000-0000F55E0000}"/>
    <cellStyle name="Saída 2 2 3 3 2 7 4" xfId="19395" xr:uid="{00000000-0005-0000-0000-0000F65E0000}"/>
    <cellStyle name="Saída 2 2 3 3 2 8" xfId="7585" xr:uid="{00000000-0005-0000-0000-0000F75E0000}"/>
    <cellStyle name="Saída 2 2 3 3 2 8 2" xfId="11606" xr:uid="{00000000-0005-0000-0000-0000F85E0000}"/>
    <cellStyle name="Saída 2 2 3 3 2 8 3" xfId="17917" xr:uid="{00000000-0005-0000-0000-0000F95E0000}"/>
    <cellStyle name="Saída 2 2 3 3 2 8 4" xfId="21103" xr:uid="{00000000-0005-0000-0000-0000FA5E0000}"/>
    <cellStyle name="Saída 2 2 3 3 2 9" xfId="4967" xr:uid="{00000000-0005-0000-0000-0000FB5E0000}"/>
    <cellStyle name="Saída 2 2 3 3 2 9 2" xfId="15935" xr:uid="{00000000-0005-0000-0000-0000FC5E0000}"/>
    <cellStyle name="Saída 2 2 3 3 2 9 3" xfId="13052" xr:uid="{00000000-0005-0000-0000-0000FD5E0000}"/>
    <cellStyle name="Saída 2 2 3 3 3" xfId="3098" xr:uid="{00000000-0005-0000-0000-0000FE5E0000}"/>
    <cellStyle name="Saída 2 2 3 3 3 2" xfId="3485" xr:uid="{00000000-0005-0000-0000-0000FF5E0000}"/>
    <cellStyle name="Saída 2 2 3 3 3 2 2" xfId="7240" xr:uid="{00000000-0005-0000-0000-0000005F0000}"/>
    <cellStyle name="Saída 2 2 3 3 3 2 2 2" xfId="17643" xr:uid="{00000000-0005-0000-0000-0000015F0000}"/>
    <cellStyle name="Saída 2 2 3 3 3 2 2 3" xfId="20758" xr:uid="{00000000-0005-0000-0000-0000025F0000}"/>
    <cellStyle name="Saída 2 2 3 3 3 2 3" xfId="9579" xr:uid="{00000000-0005-0000-0000-0000035F0000}"/>
    <cellStyle name="Saída 2 2 3 3 3 2 4" xfId="14841" xr:uid="{00000000-0005-0000-0000-0000045F0000}"/>
    <cellStyle name="Saída 2 2 3 3 3 2 5" xfId="16042" xr:uid="{00000000-0005-0000-0000-0000055F0000}"/>
    <cellStyle name="Saída 2 2 3 3 3 3" xfId="3868" xr:uid="{00000000-0005-0000-0000-0000065F0000}"/>
    <cellStyle name="Saída 2 2 3 3 3 3 2" xfId="15117" xr:uid="{00000000-0005-0000-0000-0000075F0000}"/>
    <cellStyle name="Saída 2 2 3 3 3 3 3" xfId="14195" xr:uid="{00000000-0005-0000-0000-0000085F0000}"/>
    <cellStyle name="Saída 2 2 3 3 3 4" xfId="4251" xr:uid="{00000000-0005-0000-0000-0000095F0000}"/>
    <cellStyle name="Saída 2 2 3 3 3 4 2" xfId="15392" xr:uid="{00000000-0005-0000-0000-00000A5F0000}"/>
    <cellStyle name="Saída 2 2 3 3 3 4 3" xfId="13754" xr:uid="{00000000-0005-0000-0000-00000B5F0000}"/>
    <cellStyle name="Saída 2 2 3 3 3 5" xfId="4633" xr:uid="{00000000-0005-0000-0000-00000C5F0000}"/>
    <cellStyle name="Saída 2 2 3 3 3 5 2" xfId="15666" xr:uid="{00000000-0005-0000-0000-00000D5F0000}"/>
    <cellStyle name="Saída 2 2 3 3 3 5 3" xfId="13372" xr:uid="{00000000-0005-0000-0000-00000E5F0000}"/>
    <cellStyle name="Saída 2 2 3 3 3 6" xfId="5531" xr:uid="{00000000-0005-0000-0000-00000F5F0000}"/>
    <cellStyle name="Saída 2 2 3 3 3 6 2" xfId="16352" xr:uid="{00000000-0005-0000-0000-0000105F0000}"/>
    <cellStyle name="Saída 2 2 3 3 3 6 3" xfId="19049" xr:uid="{00000000-0005-0000-0000-0000115F0000}"/>
    <cellStyle name="Saída 2 2 3 3 3 7" xfId="9230" xr:uid="{00000000-0005-0000-0000-0000125F0000}"/>
    <cellStyle name="Saída 2 2 3 3 3 8" xfId="14561" xr:uid="{00000000-0005-0000-0000-0000135F0000}"/>
    <cellStyle name="Saída 2 2 3 3 3 9" xfId="14522" xr:uid="{00000000-0005-0000-0000-0000145F0000}"/>
    <cellStyle name="Saída 2 2 3 3 4" xfId="2853" xr:uid="{00000000-0005-0000-0000-0000155F0000}"/>
    <cellStyle name="Saída 2 2 3 3 4 2" xfId="7841" xr:uid="{00000000-0005-0000-0000-0000165F0000}"/>
    <cellStyle name="Saída 2 2 3 3 4 2 2" xfId="11845" xr:uid="{00000000-0005-0000-0000-0000175F0000}"/>
    <cellStyle name="Saída 2 2 3 3 4 2 3" xfId="18101" xr:uid="{00000000-0005-0000-0000-0000185F0000}"/>
    <cellStyle name="Saída 2 2 3 3 4 2 4" xfId="21359" xr:uid="{00000000-0005-0000-0000-0000195F0000}"/>
    <cellStyle name="Saída 2 2 3 3 4 3" xfId="6133" xr:uid="{00000000-0005-0000-0000-00001A5F0000}"/>
    <cellStyle name="Saída 2 2 3 3 4 3 2" xfId="16809" xr:uid="{00000000-0005-0000-0000-00001B5F0000}"/>
    <cellStyle name="Saída 2 2 3 3 4 3 3" xfId="19651" xr:uid="{00000000-0005-0000-0000-00001C5F0000}"/>
    <cellStyle name="Saída 2 2 3 3 4 4" xfId="9006" xr:uid="{00000000-0005-0000-0000-00001D5F0000}"/>
    <cellStyle name="Saída 2 2 3 3 4 5" xfId="14391" xr:uid="{00000000-0005-0000-0000-00001E5F0000}"/>
    <cellStyle name="Saída 2 2 3 3 4 6" xfId="17507" xr:uid="{00000000-0005-0000-0000-00001F5F0000}"/>
    <cellStyle name="Saída 2 2 3 3 5" xfId="5447" xr:uid="{00000000-0005-0000-0000-0000205F0000}"/>
    <cellStyle name="Saída 2 2 3 3 5 2" xfId="7156" xr:uid="{00000000-0005-0000-0000-0000215F0000}"/>
    <cellStyle name="Saída 2 2 3 3 5 2 2" xfId="11287" xr:uid="{00000000-0005-0000-0000-0000225F0000}"/>
    <cellStyle name="Saída 2 2 3 3 5 2 3" xfId="17570" xr:uid="{00000000-0005-0000-0000-0000235F0000}"/>
    <cellStyle name="Saída 2 2 3 3 5 2 4" xfId="20674" xr:uid="{00000000-0005-0000-0000-0000245F0000}"/>
    <cellStyle name="Saída 2 2 3 3 5 3" xfId="10461" xr:uid="{00000000-0005-0000-0000-0000255F0000}"/>
    <cellStyle name="Saída 2 2 3 3 5 4" xfId="16280" xr:uid="{00000000-0005-0000-0000-0000265F0000}"/>
    <cellStyle name="Saída 2 2 3 3 5 5" xfId="18965" xr:uid="{00000000-0005-0000-0000-0000275F0000}"/>
    <cellStyle name="Saída 2 2 3 3 6" xfId="6179" xr:uid="{00000000-0005-0000-0000-0000285F0000}"/>
    <cellStyle name="Saída 2 2 3 3 6 2" xfId="7887" xr:uid="{00000000-0005-0000-0000-0000295F0000}"/>
    <cellStyle name="Saída 2 2 3 3 6 2 2" xfId="11876" xr:uid="{00000000-0005-0000-0000-00002A5F0000}"/>
    <cellStyle name="Saída 2 2 3 3 6 2 3" xfId="18143" xr:uid="{00000000-0005-0000-0000-00002B5F0000}"/>
    <cellStyle name="Saída 2 2 3 3 6 2 4" xfId="21405" xr:uid="{00000000-0005-0000-0000-00002C5F0000}"/>
    <cellStyle name="Saída 2 2 3 3 6 3" xfId="10834" xr:uid="{00000000-0005-0000-0000-00002D5F0000}"/>
    <cellStyle name="Saída 2 2 3 3 6 4" xfId="16851" xr:uid="{00000000-0005-0000-0000-00002E5F0000}"/>
    <cellStyle name="Saída 2 2 3 3 6 5" xfId="19697" xr:uid="{00000000-0005-0000-0000-00002F5F0000}"/>
    <cellStyle name="Saída 2 2 3 3 7" xfId="5437" xr:uid="{00000000-0005-0000-0000-0000305F0000}"/>
    <cellStyle name="Saída 2 2 3 3 7 2" xfId="7146" xr:uid="{00000000-0005-0000-0000-0000315F0000}"/>
    <cellStyle name="Saída 2 2 3 3 7 2 2" xfId="11279" xr:uid="{00000000-0005-0000-0000-0000325F0000}"/>
    <cellStyle name="Saída 2 2 3 3 7 2 3" xfId="17561" xr:uid="{00000000-0005-0000-0000-0000335F0000}"/>
    <cellStyle name="Saída 2 2 3 3 7 2 4" xfId="20664" xr:uid="{00000000-0005-0000-0000-0000345F0000}"/>
    <cellStyle name="Saída 2 2 3 3 7 3" xfId="10453" xr:uid="{00000000-0005-0000-0000-0000355F0000}"/>
    <cellStyle name="Saída 2 2 3 3 7 4" xfId="16271" xr:uid="{00000000-0005-0000-0000-0000365F0000}"/>
    <cellStyle name="Saída 2 2 3 3 7 5" xfId="18955" xr:uid="{00000000-0005-0000-0000-0000375F0000}"/>
    <cellStyle name="Saída 2 2 3 3 8" xfId="5748" xr:uid="{00000000-0005-0000-0000-0000385F0000}"/>
    <cellStyle name="Saída 2 2 3 3 8 2" xfId="10529" xr:uid="{00000000-0005-0000-0000-0000395F0000}"/>
    <cellStyle name="Saída 2 2 3 3 8 3" xfId="16528" xr:uid="{00000000-0005-0000-0000-00003A5F0000}"/>
    <cellStyle name="Saída 2 2 3 3 8 4" xfId="19266" xr:uid="{00000000-0005-0000-0000-00003B5F0000}"/>
    <cellStyle name="Saída 2 2 3 3 9" xfId="7457" xr:uid="{00000000-0005-0000-0000-00003C5F0000}"/>
    <cellStyle name="Saída 2 2 3 3 9 2" xfId="11516" xr:uid="{00000000-0005-0000-0000-00003D5F0000}"/>
    <cellStyle name="Saída 2 2 3 3 9 3" xfId="17819" xr:uid="{00000000-0005-0000-0000-00003E5F0000}"/>
    <cellStyle name="Saída 2 2 3 3 9 4" xfId="20975" xr:uid="{00000000-0005-0000-0000-00003F5F0000}"/>
    <cellStyle name="Saída 2 2 3 4" xfId="3188" xr:uid="{00000000-0005-0000-0000-0000405F0000}"/>
    <cellStyle name="Saída 2 2 3 4 10" xfId="9318" xr:uid="{00000000-0005-0000-0000-0000415F0000}"/>
    <cellStyle name="Saída 2 2 3 4 11" xfId="14634" xr:uid="{00000000-0005-0000-0000-0000425F0000}"/>
    <cellStyle name="Saída 2 2 3 4 12" xfId="14693" xr:uid="{00000000-0005-0000-0000-0000435F0000}"/>
    <cellStyle name="Saída 2 2 3 4 2" xfId="3575" xr:uid="{00000000-0005-0000-0000-0000445F0000}"/>
    <cellStyle name="Saída 2 2 3 4 2 2" xfId="7270" xr:uid="{00000000-0005-0000-0000-0000455F0000}"/>
    <cellStyle name="Saída 2 2 3 4 2 2 2" xfId="11375" xr:uid="{00000000-0005-0000-0000-0000465F0000}"/>
    <cellStyle name="Saída 2 2 3 4 2 2 3" xfId="17669" xr:uid="{00000000-0005-0000-0000-0000475F0000}"/>
    <cellStyle name="Saída 2 2 3 4 2 2 4" xfId="20788" xr:uid="{00000000-0005-0000-0000-0000485F0000}"/>
    <cellStyle name="Saída 2 2 3 4 2 3" xfId="5561" xr:uid="{00000000-0005-0000-0000-0000495F0000}"/>
    <cellStyle name="Saída 2 2 3 4 2 3 2" xfId="16378" xr:uid="{00000000-0005-0000-0000-00004A5F0000}"/>
    <cellStyle name="Saída 2 2 3 4 2 3 3" xfId="19079" xr:uid="{00000000-0005-0000-0000-00004B5F0000}"/>
    <cellStyle name="Saída 2 2 3 4 2 4" xfId="9667" xr:uid="{00000000-0005-0000-0000-00004C5F0000}"/>
    <cellStyle name="Saída 2 2 3 4 2 5" xfId="14914" xr:uid="{00000000-0005-0000-0000-00004D5F0000}"/>
    <cellStyle name="Saída 2 2 3 4 2 6" xfId="16006" xr:uid="{00000000-0005-0000-0000-00004E5F0000}"/>
    <cellStyle name="Saída 2 2 3 4 3" xfId="3958" xr:uid="{00000000-0005-0000-0000-00004F5F0000}"/>
    <cellStyle name="Saída 2 2 3 4 3 2" xfId="5123" xr:uid="{00000000-0005-0000-0000-0000505F0000}"/>
    <cellStyle name="Saída 2 2 3 4 3 2 2" xfId="10364" xr:uid="{00000000-0005-0000-0000-0000515F0000}"/>
    <cellStyle name="Saída 2 2 3 4 3 2 3" xfId="16055" xr:uid="{00000000-0005-0000-0000-0000525F0000}"/>
    <cellStyle name="Saída 2 2 3 4 3 2 4" xfId="14117" xr:uid="{00000000-0005-0000-0000-0000535F0000}"/>
    <cellStyle name="Saída 2 2 3 4 3 3" xfId="5279" xr:uid="{00000000-0005-0000-0000-0000545F0000}"/>
    <cellStyle name="Saída 2 2 3 4 3 3 2" xfId="16157" xr:uid="{00000000-0005-0000-0000-0000555F0000}"/>
    <cellStyle name="Saída 2 2 3 4 3 3 3" xfId="12744" xr:uid="{00000000-0005-0000-0000-0000565F0000}"/>
    <cellStyle name="Saída 2 2 3 4 3 4" xfId="9881" xr:uid="{00000000-0005-0000-0000-0000575F0000}"/>
    <cellStyle name="Saída 2 2 3 4 3 5" xfId="15190" xr:uid="{00000000-0005-0000-0000-0000585F0000}"/>
    <cellStyle name="Saída 2 2 3 4 3 6" xfId="14033" xr:uid="{00000000-0005-0000-0000-0000595F0000}"/>
    <cellStyle name="Saída 2 2 3 4 4" xfId="4341" xr:uid="{00000000-0005-0000-0000-00005A5F0000}"/>
    <cellStyle name="Saída 2 2 3 4 4 2" xfId="8152" xr:uid="{00000000-0005-0000-0000-00005B5F0000}"/>
    <cellStyle name="Saída 2 2 3 4 4 2 2" xfId="12120" xr:uid="{00000000-0005-0000-0000-00005C5F0000}"/>
    <cellStyle name="Saída 2 2 3 4 4 2 3" xfId="18352" xr:uid="{00000000-0005-0000-0000-00005D5F0000}"/>
    <cellStyle name="Saída 2 2 3 4 4 2 4" xfId="21670" xr:uid="{00000000-0005-0000-0000-00005E5F0000}"/>
    <cellStyle name="Saída 2 2 3 4 4 3" xfId="6444" xr:uid="{00000000-0005-0000-0000-00005F5F0000}"/>
    <cellStyle name="Saída 2 2 3 4 4 3 2" xfId="17061" xr:uid="{00000000-0005-0000-0000-0000605F0000}"/>
    <cellStyle name="Saída 2 2 3 4 4 3 3" xfId="19962" xr:uid="{00000000-0005-0000-0000-0000615F0000}"/>
    <cellStyle name="Saída 2 2 3 4 4 4" xfId="10059" xr:uid="{00000000-0005-0000-0000-0000625F0000}"/>
    <cellStyle name="Saída 2 2 3 4 4 5" xfId="15465" xr:uid="{00000000-0005-0000-0000-0000635F0000}"/>
    <cellStyle name="Saída 2 2 3 4 4 6" xfId="13664" xr:uid="{00000000-0005-0000-0000-0000645F0000}"/>
    <cellStyle name="Saída 2 2 3 4 5" xfId="4723" xr:uid="{00000000-0005-0000-0000-0000655F0000}"/>
    <cellStyle name="Saída 2 2 3 4 5 2" xfId="8384" xr:uid="{00000000-0005-0000-0000-0000665F0000}"/>
    <cellStyle name="Saída 2 2 3 4 5 2 2" xfId="12352" xr:uid="{00000000-0005-0000-0000-0000675F0000}"/>
    <cellStyle name="Saída 2 2 3 4 5 2 3" xfId="18523" xr:uid="{00000000-0005-0000-0000-0000685F0000}"/>
    <cellStyle name="Saída 2 2 3 4 5 2 4" xfId="21902" xr:uid="{00000000-0005-0000-0000-0000695F0000}"/>
    <cellStyle name="Saída 2 2 3 4 5 3" xfId="6676" xr:uid="{00000000-0005-0000-0000-00006A5F0000}"/>
    <cellStyle name="Saída 2 2 3 4 5 3 2" xfId="17232" xr:uid="{00000000-0005-0000-0000-00006B5F0000}"/>
    <cellStyle name="Saída 2 2 3 4 5 3 3" xfId="20194" xr:uid="{00000000-0005-0000-0000-00006C5F0000}"/>
    <cellStyle name="Saída 2 2 3 4 5 4" xfId="10236" xr:uid="{00000000-0005-0000-0000-00006D5F0000}"/>
    <cellStyle name="Saída 2 2 3 4 5 5" xfId="15739" xr:uid="{00000000-0005-0000-0000-00006E5F0000}"/>
    <cellStyle name="Saída 2 2 3 4 5 6" xfId="13282" xr:uid="{00000000-0005-0000-0000-00006F5F0000}"/>
    <cellStyle name="Saída 2 2 3 4 6" xfId="6908" xr:uid="{00000000-0005-0000-0000-0000705F0000}"/>
    <cellStyle name="Saída 2 2 3 4 6 2" xfId="8616" xr:uid="{00000000-0005-0000-0000-0000715F0000}"/>
    <cellStyle name="Saída 2 2 3 4 6 2 2" xfId="12584" xr:uid="{00000000-0005-0000-0000-0000725F0000}"/>
    <cellStyle name="Saída 2 2 3 4 6 2 3" xfId="18694" xr:uid="{00000000-0005-0000-0000-0000735F0000}"/>
    <cellStyle name="Saída 2 2 3 4 6 2 4" xfId="22134" xr:uid="{00000000-0005-0000-0000-0000745F0000}"/>
    <cellStyle name="Saída 2 2 3 4 6 3" xfId="11042" xr:uid="{00000000-0005-0000-0000-0000755F0000}"/>
    <cellStyle name="Saída 2 2 3 4 6 4" xfId="17402" xr:uid="{00000000-0005-0000-0000-0000765F0000}"/>
    <cellStyle name="Saída 2 2 3 4 6 5" xfId="20426" xr:uid="{00000000-0005-0000-0000-0000775F0000}"/>
    <cellStyle name="Saída 2 2 3 4 7" xfId="5896" xr:uid="{00000000-0005-0000-0000-0000785F0000}"/>
    <cellStyle name="Saída 2 2 3 4 7 2" xfId="10637" xr:uid="{00000000-0005-0000-0000-0000795F0000}"/>
    <cellStyle name="Saída 2 2 3 4 7 3" xfId="16640" xr:uid="{00000000-0005-0000-0000-00007A5F0000}"/>
    <cellStyle name="Saída 2 2 3 4 7 4" xfId="19414" xr:uid="{00000000-0005-0000-0000-00007B5F0000}"/>
    <cellStyle name="Saída 2 2 3 4 8" xfId="7604" xr:uid="{00000000-0005-0000-0000-00007C5F0000}"/>
    <cellStyle name="Saída 2 2 3 4 8 2" xfId="11625" xr:uid="{00000000-0005-0000-0000-00007D5F0000}"/>
    <cellStyle name="Saída 2 2 3 4 8 3" xfId="17932" xr:uid="{00000000-0005-0000-0000-00007E5F0000}"/>
    <cellStyle name="Saída 2 2 3 4 8 4" xfId="21122" xr:uid="{00000000-0005-0000-0000-00007F5F0000}"/>
    <cellStyle name="Saída 2 2 3 4 9" xfId="4991" xr:uid="{00000000-0005-0000-0000-0000805F0000}"/>
    <cellStyle name="Saída 2 2 3 4 9 2" xfId="15955" xr:uid="{00000000-0005-0000-0000-0000815F0000}"/>
    <cellStyle name="Saída 2 2 3 4 9 3" xfId="13028" xr:uid="{00000000-0005-0000-0000-0000825F0000}"/>
    <cellStyle name="Saída 2 2 3 5" xfId="2997" xr:uid="{00000000-0005-0000-0000-0000835F0000}"/>
    <cellStyle name="Saída 2 2 3 5 2" xfId="3384" xr:uid="{00000000-0005-0000-0000-0000845F0000}"/>
    <cellStyle name="Saída 2 2 3 5 2 2" xfId="7815" xr:uid="{00000000-0005-0000-0000-0000855F0000}"/>
    <cellStyle name="Saída 2 2 3 5 2 2 2" xfId="18080" xr:uid="{00000000-0005-0000-0000-0000865F0000}"/>
    <cellStyle name="Saída 2 2 3 5 2 2 3" xfId="21333" xr:uid="{00000000-0005-0000-0000-0000875F0000}"/>
    <cellStyle name="Saída 2 2 3 5 2 3" xfId="9510" xr:uid="{00000000-0005-0000-0000-0000885F0000}"/>
    <cellStyle name="Saída 2 2 3 5 2 4" xfId="14761" xr:uid="{00000000-0005-0000-0000-0000895F0000}"/>
    <cellStyle name="Saída 2 2 3 5 2 5" xfId="15956" xr:uid="{00000000-0005-0000-0000-00008A5F0000}"/>
    <cellStyle name="Saída 2 2 3 5 3" xfId="3767" xr:uid="{00000000-0005-0000-0000-00008B5F0000}"/>
    <cellStyle name="Saída 2 2 3 5 3 2" xfId="15037" xr:uid="{00000000-0005-0000-0000-00008C5F0000}"/>
    <cellStyle name="Saída 2 2 3 5 3 3" xfId="16470" xr:uid="{00000000-0005-0000-0000-00008D5F0000}"/>
    <cellStyle name="Saída 2 2 3 5 4" xfId="4150" xr:uid="{00000000-0005-0000-0000-00008E5F0000}"/>
    <cellStyle name="Saída 2 2 3 5 4 2" xfId="15312" xr:uid="{00000000-0005-0000-0000-00008F5F0000}"/>
    <cellStyle name="Saída 2 2 3 5 4 3" xfId="13297" xr:uid="{00000000-0005-0000-0000-0000905F0000}"/>
    <cellStyle name="Saída 2 2 3 5 5" xfId="4532" xr:uid="{00000000-0005-0000-0000-0000915F0000}"/>
    <cellStyle name="Saída 2 2 3 5 5 2" xfId="15586" xr:uid="{00000000-0005-0000-0000-0000925F0000}"/>
    <cellStyle name="Saída 2 2 3 5 5 3" xfId="13473" xr:uid="{00000000-0005-0000-0000-0000935F0000}"/>
    <cellStyle name="Saída 2 2 3 5 6" xfId="6107" xr:uid="{00000000-0005-0000-0000-0000945F0000}"/>
    <cellStyle name="Saída 2 2 3 5 6 2" xfId="16788" xr:uid="{00000000-0005-0000-0000-0000955F0000}"/>
    <cellStyle name="Saída 2 2 3 5 6 3" xfId="19625" xr:uid="{00000000-0005-0000-0000-0000965F0000}"/>
    <cellStyle name="Saída 2 2 3 5 7" xfId="9145" xr:uid="{00000000-0005-0000-0000-0000975F0000}"/>
    <cellStyle name="Saída 2 2 3 5 8" xfId="14481" xr:uid="{00000000-0005-0000-0000-0000985F0000}"/>
    <cellStyle name="Saída 2 2 3 5 9" xfId="17713" xr:uid="{00000000-0005-0000-0000-0000995F0000}"/>
    <cellStyle name="Saída 2 2 3 6" xfId="6350" xr:uid="{00000000-0005-0000-0000-00009A5F0000}"/>
    <cellStyle name="Saída 2 2 3 6 2" xfId="8058" xr:uid="{00000000-0005-0000-0000-00009B5F0000}"/>
    <cellStyle name="Saída 2 2 3 6 2 2" xfId="12028" xr:uid="{00000000-0005-0000-0000-00009C5F0000}"/>
    <cellStyle name="Saída 2 2 3 6 2 3" xfId="18267" xr:uid="{00000000-0005-0000-0000-00009D5F0000}"/>
    <cellStyle name="Saída 2 2 3 6 2 4" xfId="21576" xr:uid="{00000000-0005-0000-0000-00009E5F0000}"/>
    <cellStyle name="Saída 2 2 3 6 3" xfId="10882" xr:uid="{00000000-0005-0000-0000-00009F5F0000}"/>
    <cellStyle name="Saída 2 2 3 6 4" xfId="16976" xr:uid="{00000000-0005-0000-0000-0000A05F0000}"/>
    <cellStyle name="Saída 2 2 3 6 5" xfId="19868" xr:uid="{00000000-0005-0000-0000-0000A15F0000}"/>
    <cellStyle name="Saída 2 2 3 7" xfId="5685" xr:uid="{00000000-0005-0000-0000-0000A25F0000}"/>
    <cellStyle name="Saída 2 2 3 7 2" xfId="7394" xr:uid="{00000000-0005-0000-0000-0000A35F0000}"/>
    <cellStyle name="Saída 2 2 3 7 2 2" xfId="11476" xr:uid="{00000000-0005-0000-0000-0000A45F0000}"/>
    <cellStyle name="Saída 2 2 3 7 2 3" xfId="17773" xr:uid="{00000000-0005-0000-0000-0000A55F0000}"/>
    <cellStyle name="Saída 2 2 3 7 2 4" xfId="20912" xr:uid="{00000000-0005-0000-0000-0000A65F0000}"/>
    <cellStyle name="Saída 2 2 3 7 3" xfId="10508" xr:uid="{00000000-0005-0000-0000-0000A75F0000}"/>
    <cellStyle name="Saída 2 2 3 7 4" xfId="16482" xr:uid="{00000000-0005-0000-0000-0000A85F0000}"/>
    <cellStyle name="Saída 2 2 3 7 5" xfId="19203" xr:uid="{00000000-0005-0000-0000-0000A95F0000}"/>
    <cellStyle name="Saída 2 2 3 8" xfId="6317" xr:uid="{00000000-0005-0000-0000-0000AA5F0000}"/>
    <cellStyle name="Saída 2 2 3 8 2" xfId="8025" xr:uid="{00000000-0005-0000-0000-0000AB5F0000}"/>
    <cellStyle name="Saída 2 2 3 8 2 2" xfId="12000" xr:uid="{00000000-0005-0000-0000-0000AC5F0000}"/>
    <cellStyle name="Saída 2 2 3 8 2 3" xfId="18241" xr:uid="{00000000-0005-0000-0000-0000AD5F0000}"/>
    <cellStyle name="Saída 2 2 3 8 2 4" xfId="21543" xr:uid="{00000000-0005-0000-0000-0000AE5F0000}"/>
    <cellStyle name="Saída 2 2 3 8 3" xfId="10861" xr:uid="{00000000-0005-0000-0000-0000AF5F0000}"/>
    <cellStyle name="Saída 2 2 3 8 4" xfId="16950" xr:uid="{00000000-0005-0000-0000-0000B05F0000}"/>
    <cellStyle name="Saída 2 2 3 8 5" xfId="19835" xr:uid="{00000000-0005-0000-0000-0000B15F0000}"/>
    <cellStyle name="Saída 2 2 3 9" xfId="6336" xr:uid="{00000000-0005-0000-0000-0000B25F0000}"/>
    <cellStyle name="Saída 2 2 3 9 2" xfId="8044" xr:uid="{00000000-0005-0000-0000-0000B35F0000}"/>
    <cellStyle name="Saída 2 2 3 9 2 2" xfId="12015" xr:uid="{00000000-0005-0000-0000-0000B45F0000}"/>
    <cellStyle name="Saída 2 2 3 9 2 3" xfId="18256" xr:uid="{00000000-0005-0000-0000-0000B55F0000}"/>
    <cellStyle name="Saída 2 2 3 9 2 4" xfId="21562" xr:uid="{00000000-0005-0000-0000-0000B65F0000}"/>
    <cellStyle name="Saída 2 2 3 9 3" xfId="10871" xr:uid="{00000000-0005-0000-0000-0000B75F0000}"/>
    <cellStyle name="Saída 2 2 3 9 4" xfId="16965" xr:uid="{00000000-0005-0000-0000-0000B85F0000}"/>
    <cellStyle name="Saída 2 2 3 9 5" xfId="19854" xr:uid="{00000000-0005-0000-0000-0000B95F0000}"/>
    <cellStyle name="Saída 2 2 4" xfId="3088" xr:uid="{00000000-0005-0000-0000-0000BA5F0000}"/>
    <cellStyle name="Saída 2 2 4 2" xfId="3475" xr:uid="{00000000-0005-0000-0000-0000BB5F0000}"/>
    <cellStyle name="Saída 2 2 4 2 2" xfId="5101" xr:uid="{00000000-0005-0000-0000-0000BC5F0000}"/>
    <cellStyle name="Saída 2 2 4 2 2 2" xfId="16036" xr:uid="{00000000-0005-0000-0000-0000BD5F0000}"/>
    <cellStyle name="Saída 2 2 4 2 2 3" xfId="12938" xr:uid="{00000000-0005-0000-0000-0000BE5F0000}"/>
    <cellStyle name="Saída 2 2 4 2 3" xfId="9572" xr:uid="{00000000-0005-0000-0000-0000BF5F0000}"/>
    <cellStyle name="Saída 2 2 4 2 4" xfId="14832" xr:uid="{00000000-0005-0000-0000-0000C05F0000}"/>
    <cellStyle name="Saída 2 2 4 2 5" xfId="16738" xr:uid="{00000000-0005-0000-0000-0000C15F0000}"/>
    <cellStyle name="Saída 2 2 4 3" xfId="3858" xr:uid="{00000000-0005-0000-0000-0000C25F0000}"/>
    <cellStyle name="Saída 2 2 4 3 2" xfId="15108" xr:uid="{00000000-0005-0000-0000-0000C35F0000}"/>
    <cellStyle name="Saída 2 2 4 3 3" xfId="14193" xr:uid="{00000000-0005-0000-0000-0000C45F0000}"/>
    <cellStyle name="Saída 2 2 4 4" xfId="4241" xr:uid="{00000000-0005-0000-0000-0000C55F0000}"/>
    <cellStyle name="Saída 2 2 4 4 2" xfId="15383" xr:uid="{00000000-0005-0000-0000-0000C65F0000}"/>
    <cellStyle name="Saída 2 2 4 4 3" xfId="13764" xr:uid="{00000000-0005-0000-0000-0000C75F0000}"/>
    <cellStyle name="Saída 2 2 4 5" xfId="4623" xr:uid="{00000000-0005-0000-0000-0000C85F0000}"/>
    <cellStyle name="Saída 2 2 4 5 2" xfId="15657" xr:uid="{00000000-0005-0000-0000-0000C95F0000}"/>
    <cellStyle name="Saída 2 2 4 5 3" xfId="13382" xr:uid="{00000000-0005-0000-0000-0000CA5F0000}"/>
    <cellStyle name="Saída 2 2 4 6" xfId="5313" xr:uid="{00000000-0005-0000-0000-0000CB5F0000}"/>
    <cellStyle name="Saída 2 2 4 6 2" xfId="16186" xr:uid="{00000000-0005-0000-0000-0000CC5F0000}"/>
    <cellStyle name="Saída 2 2 4 6 3" xfId="18831" xr:uid="{00000000-0005-0000-0000-0000CD5F0000}"/>
    <cellStyle name="Saída 2 2 4 7" xfId="9223" xr:uid="{00000000-0005-0000-0000-0000CE5F0000}"/>
    <cellStyle name="Saída 2 2 4 8" xfId="14552" xr:uid="{00000000-0005-0000-0000-0000CF5F0000}"/>
    <cellStyle name="Saída 2 2 4 9" xfId="17689" xr:uid="{00000000-0005-0000-0000-0000D05F0000}"/>
    <cellStyle name="Saída 2 2 5" xfId="3081" xr:uid="{00000000-0005-0000-0000-0000D15F0000}"/>
    <cellStyle name="Saída 2 2 5 2" xfId="3468" xr:uid="{00000000-0005-0000-0000-0000D25F0000}"/>
    <cellStyle name="Saída 2 2 5 2 2" xfId="5124" xr:uid="{00000000-0005-0000-0000-0000D35F0000}"/>
    <cellStyle name="Saída 2 2 5 2 2 2" xfId="16056" xr:uid="{00000000-0005-0000-0000-0000D45F0000}"/>
    <cellStyle name="Saída 2 2 5 2 2 3" xfId="12930" xr:uid="{00000000-0005-0000-0000-0000D55F0000}"/>
    <cellStyle name="Saída 2 2 5 2 3" xfId="9570" xr:uid="{00000000-0005-0000-0000-0000D65F0000}"/>
    <cellStyle name="Saída 2 2 5 2 4" xfId="14825" xr:uid="{00000000-0005-0000-0000-0000D75F0000}"/>
    <cellStyle name="Saída 2 2 5 2 5" xfId="15820" xr:uid="{00000000-0005-0000-0000-0000D85F0000}"/>
    <cellStyle name="Saída 2 2 5 3" xfId="3851" xr:uid="{00000000-0005-0000-0000-0000D95F0000}"/>
    <cellStyle name="Saída 2 2 5 3 2" xfId="15101" xr:uid="{00000000-0005-0000-0000-0000DA5F0000}"/>
    <cellStyle name="Saída 2 2 5 3 3" xfId="14214" xr:uid="{00000000-0005-0000-0000-0000DB5F0000}"/>
    <cellStyle name="Saída 2 2 5 4" xfId="4234" xr:uid="{00000000-0005-0000-0000-0000DC5F0000}"/>
    <cellStyle name="Saída 2 2 5 4 2" xfId="15376" xr:uid="{00000000-0005-0000-0000-0000DD5F0000}"/>
    <cellStyle name="Saída 2 2 5 4 3" xfId="13771" xr:uid="{00000000-0005-0000-0000-0000DE5F0000}"/>
    <cellStyle name="Saída 2 2 5 5" xfId="4616" xr:uid="{00000000-0005-0000-0000-0000DF5F0000}"/>
    <cellStyle name="Saída 2 2 5 5 2" xfId="15650" xr:uid="{00000000-0005-0000-0000-0000E05F0000}"/>
    <cellStyle name="Saída 2 2 5 5 3" xfId="13389" xr:uid="{00000000-0005-0000-0000-0000E15F0000}"/>
    <cellStyle name="Saída 2 2 5 6" xfId="5278" xr:uid="{00000000-0005-0000-0000-0000E25F0000}"/>
    <cellStyle name="Saída 2 2 5 6 2" xfId="16156" xr:uid="{00000000-0005-0000-0000-0000E35F0000}"/>
    <cellStyle name="Saída 2 2 5 6 3" xfId="12745" xr:uid="{00000000-0005-0000-0000-0000E45F0000}"/>
    <cellStyle name="Saída 2 2 5 7" xfId="9221" xr:uid="{00000000-0005-0000-0000-0000E55F0000}"/>
    <cellStyle name="Saída 2 2 5 8" xfId="14545" xr:uid="{00000000-0005-0000-0000-0000E65F0000}"/>
    <cellStyle name="Saída 2 2 5 9" xfId="17105" xr:uid="{00000000-0005-0000-0000-0000E75F0000}"/>
    <cellStyle name="Saída 2 2 6" xfId="5491" xr:uid="{00000000-0005-0000-0000-0000E85F0000}"/>
    <cellStyle name="Saída 2 2 6 2" xfId="7200" xr:uid="{00000000-0005-0000-0000-0000E95F0000}"/>
    <cellStyle name="Saída 2 2 6 2 2" xfId="11326" xr:uid="{00000000-0005-0000-0000-0000EA5F0000}"/>
    <cellStyle name="Saída 2 2 6 2 3" xfId="17606" xr:uid="{00000000-0005-0000-0000-0000EB5F0000}"/>
    <cellStyle name="Saída 2 2 6 2 4" xfId="20718" xr:uid="{00000000-0005-0000-0000-0000EC5F0000}"/>
    <cellStyle name="Saída 2 2 6 3" xfId="10475" xr:uid="{00000000-0005-0000-0000-0000ED5F0000}"/>
    <cellStyle name="Saída 2 2 6 4" xfId="16315" xr:uid="{00000000-0005-0000-0000-0000EE5F0000}"/>
    <cellStyle name="Saída 2 2 6 5" xfId="19009" xr:uid="{00000000-0005-0000-0000-0000EF5F0000}"/>
    <cellStyle name="Saída 2 2 7" xfId="22396" xr:uid="{00000000-0005-0000-0000-0000F05F0000}"/>
    <cellStyle name="Saída 2 2 8" xfId="2158" xr:uid="{00000000-0005-0000-0000-0000F15F0000}"/>
    <cellStyle name="Saída 2 3" xfId="1724" xr:uid="{00000000-0005-0000-0000-0000F25F0000}"/>
    <cellStyle name="Saída 2 4" xfId="1725" xr:uid="{00000000-0005-0000-0000-0000F35F0000}"/>
    <cellStyle name="Saída 3" xfId="1726" xr:uid="{00000000-0005-0000-0000-0000F45F0000}"/>
    <cellStyle name="Saída 3 2" xfId="2619" xr:uid="{00000000-0005-0000-0000-0000F55F0000}"/>
    <cellStyle name="Saída 3 2 10" xfId="5254" xr:uid="{00000000-0005-0000-0000-0000F65F0000}"/>
    <cellStyle name="Saída 3 2 10 2" xfId="10394" xr:uid="{00000000-0005-0000-0000-0000F75F0000}"/>
    <cellStyle name="Saída 3 2 10 3" xfId="16138" xr:uid="{00000000-0005-0000-0000-0000F85F0000}"/>
    <cellStyle name="Saída 3 2 10 4" xfId="12840" xr:uid="{00000000-0005-0000-0000-0000F95F0000}"/>
    <cellStyle name="Saída 3 2 11" xfId="5084" xr:uid="{00000000-0005-0000-0000-0000FA5F0000}"/>
    <cellStyle name="Saída 3 2 11 2" xfId="10335" xr:uid="{00000000-0005-0000-0000-0000FB5F0000}"/>
    <cellStyle name="Saída 3 2 11 3" xfId="16022" xr:uid="{00000000-0005-0000-0000-0000FC5F0000}"/>
    <cellStyle name="Saída 3 2 11 4" xfId="12951" xr:uid="{00000000-0005-0000-0000-0000FD5F0000}"/>
    <cellStyle name="Saída 3 2 12" xfId="4854" xr:uid="{00000000-0005-0000-0000-0000FE5F0000}"/>
    <cellStyle name="Saída 3 2 12 2" xfId="15831" xr:uid="{00000000-0005-0000-0000-0000FF5F0000}"/>
    <cellStyle name="Saída 3 2 12 3" xfId="13152" xr:uid="{00000000-0005-0000-0000-000000600000}"/>
    <cellStyle name="Saída 3 2 13" xfId="8782" xr:uid="{00000000-0005-0000-0000-000001600000}"/>
    <cellStyle name="Saída 3 2 14" xfId="14147" xr:uid="{00000000-0005-0000-0000-000002600000}"/>
    <cellStyle name="Saída 3 2 2" xfId="2708" xr:uid="{00000000-0005-0000-0000-000003600000}"/>
    <cellStyle name="Saída 3 2 2 10" xfId="7484" xr:uid="{00000000-0005-0000-0000-000004600000}"/>
    <cellStyle name="Saída 3 2 2 10 2" xfId="11538" xr:uid="{00000000-0005-0000-0000-000005600000}"/>
    <cellStyle name="Saída 3 2 2 10 3" xfId="17842" xr:uid="{00000000-0005-0000-0000-000006600000}"/>
    <cellStyle name="Saída 3 2 2 10 4" xfId="21002" xr:uid="{00000000-0005-0000-0000-000007600000}"/>
    <cellStyle name="Saída 3 2 2 11" xfId="4901" xr:uid="{00000000-0005-0000-0000-000008600000}"/>
    <cellStyle name="Saída 3 2 2 11 2" xfId="15874" xr:uid="{00000000-0005-0000-0000-000009600000}"/>
    <cellStyle name="Saída 3 2 2 11 3" xfId="14110" xr:uid="{00000000-0005-0000-0000-00000A600000}"/>
    <cellStyle name="Saída 3 2 2 12" xfId="8863" xr:uid="{00000000-0005-0000-0000-00000B600000}"/>
    <cellStyle name="Saída 3 2 2 13" xfId="14277" xr:uid="{00000000-0005-0000-0000-00000C600000}"/>
    <cellStyle name="Saída 3 2 2 14" xfId="16558" xr:uid="{00000000-0005-0000-0000-00000D600000}"/>
    <cellStyle name="Saída 3 2 2 2" xfId="2637" xr:uid="{00000000-0005-0000-0000-00000E600000}"/>
    <cellStyle name="Saída 3 2 2 2 10" xfId="4888" xr:uid="{00000000-0005-0000-0000-00000F600000}"/>
    <cellStyle name="Saída 3 2 2 2 10 2" xfId="15863" xr:uid="{00000000-0005-0000-0000-000010600000}"/>
    <cellStyle name="Saída 3 2 2 2 10 3" xfId="12742" xr:uid="{00000000-0005-0000-0000-000011600000}"/>
    <cellStyle name="Saída 3 2 2 2 11" xfId="8794" xr:uid="{00000000-0005-0000-0000-000012600000}"/>
    <cellStyle name="Saída 3 2 2 2 12" xfId="14216" xr:uid="{00000000-0005-0000-0000-000013600000}"/>
    <cellStyle name="Saída 3 2 2 2 2" xfId="3129" xr:uid="{00000000-0005-0000-0000-000014600000}"/>
    <cellStyle name="Saída 3 2 2 2 2 10" xfId="9259" xr:uid="{00000000-0005-0000-0000-000015600000}"/>
    <cellStyle name="Saída 3 2 2 2 2 11" xfId="14584" xr:uid="{00000000-0005-0000-0000-000016600000}"/>
    <cellStyle name="Saída 3 2 2 2 2 12" xfId="18060" xr:uid="{00000000-0005-0000-0000-000017600000}"/>
    <cellStyle name="Saída 3 2 2 2 2 2" xfId="3516" xr:uid="{00000000-0005-0000-0000-000018600000}"/>
    <cellStyle name="Saída 3 2 2 2 2 2 2" xfId="7289" xr:uid="{00000000-0005-0000-0000-000019600000}"/>
    <cellStyle name="Saída 3 2 2 2 2 2 2 2" xfId="11394" xr:uid="{00000000-0005-0000-0000-00001A600000}"/>
    <cellStyle name="Saída 3 2 2 2 2 2 2 3" xfId="17687" xr:uid="{00000000-0005-0000-0000-00001B600000}"/>
    <cellStyle name="Saída 3 2 2 2 2 2 2 4" xfId="20807" xr:uid="{00000000-0005-0000-0000-00001C600000}"/>
    <cellStyle name="Saída 3 2 2 2 2 2 3" xfId="5580" xr:uid="{00000000-0005-0000-0000-00001D600000}"/>
    <cellStyle name="Saída 3 2 2 2 2 2 3 2" xfId="16396" xr:uid="{00000000-0005-0000-0000-00001E600000}"/>
    <cellStyle name="Saída 3 2 2 2 2 2 3 3" xfId="19098" xr:uid="{00000000-0005-0000-0000-00001F600000}"/>
    <cellStyle name="Saída 3 2 2 2 2 2 4" xfId="9608" xr:uid="{00000000-0005-0000-0000-000020600000}"/>
    <cellStyle name="Saída 3 2 2 2 2 2 5" xfId="14864" xr:uid="{00000000-0005-0000-0000-000021600000}"/>
    <cellStyle name="Saída 3 2 2 2 2 2 6" xfId="16300" xr:uid="{00000000-0005-0000-0000-000022600000}"/>
    <cellStyle name="Saída 3 2 2 2 2 3" xfId="3899" xr:uid="{00000000-0005-0000-0000-000023600000}"/>
    <cellStyle name="Saída 3 2 2 2 2 3 2" xfId="7791" xr:uid="{00000000-0005-0000-0000-000024600000}"/>
    <cellStyle name="Saída 3 2 2 2 2 3 2 2" xfId="11807" xr:uid="{00000000-0005-0000-0000-000025600000}"/>
    <cellStyle name="Saída 3 2 2 2 2 3 2 3" xfId="18059" xr:uid="{00000000-0005-0000-0000-000026600000}"/>
    <cellStyle name="Saída 3 2 2 2 2 3 2 4" xfId="21309" xr:uid="{00000000-0005-0000-0000-000027600000}"/>
    <cellStyle name="Saída 3 2 2 2 2 3 3" xfId="6083" xr:uid="{00000000-0005-0000-0000-000028600000}"/>
    <cellStyle name="Saída 3 2 2 2 2 3 3 2" xfId="16767" xr:uid="{00000000-0005-0000-0000-000029600000}"/>
    <cellStyle name="Saída 3 2 2 2 2 3 3 3" xfId="19601" xr:uid="{00000000-0005-0000-0000-00002A600000}"/>
    <cellStyle name="Saída 3 2 2 2 2 3 4" xfId="9822" xr:uid="{00000000-0005-0000-0000-00002B600000}"/>
    <cellStyle name="Saída 3 2 2 2 2 3 5" xfId="15140" xr:uid="{00000000-0005-0000-0000-00002C600000}"/>
    <cellStyle name="Saída 3 2 2 2 2 3 6" xfId="14089" xr:uid="{00000000-0005-0000-0000-00002D600000}"/>
    <cellStyle name="Saída 3 2 2 2 2 4" xfId="4282" xr:uid="{00000000-0005-0000-0000-00002E600000}"/>
    <cellStyle name="Saída 3 2 2 2 2 4 2" xfId="8199" xr:uid="{00000000-0005-0000-0000-00002F600000}"/>
    <cellStyle name="Saída 3 2 2 2 2 4 2 2" xfId="12167" xr:uid="{00000000-0005-0000-0000-000030600000}"/>
    <cellStyle name="Saída 3 2 2 2 2 4 2 3" xfId="18391" xr:uid="{00000000-0005-0000-0000-000031600000}"/>
    <cellStyle name="Saída 3 2 2 2 2 4 2 4" xfId="21717" xr:uid="{00000000-0005-0000-0000-000032600000}"/>
    <cellStyle name="Saída 3 2 2 2 2 4 3" xfId="6491" xr:uid="{00000000-0005-0000-0000-000033600000}"/>
    <cellStyle name="Saída 3 2 2 2 2 4 3 2" xfId="17100" xr:uid="{00000000-0005-0000-0000-000034600000}"/>
    <cellStyle name="Saída 3 2 2 2 2 4 3 3" xfId="20009" xr:uid="{00000000-0005-0000-0000-000035600000}"/>
    <cellStyle name="Saída 3 2 2 2 2 4 4" xfId="10000" xr:uid="{00000000-0005-0000-0000-000036600000}"/>
    <cellStyle name="Saída 3 2 2 2 2 4 5" xfId="15415" xr:uid="{00000000-0005-0000-0000-000037600000}"/>
    <cellStyle name="Saída 3 2 2 2 2 4 6" xfId="13723" xr:uid="{00000000-0005-0000-0000-000038600000}"/>
    <cellStyle name="Saída 3 2 2 2 2 5" xfId="4664" xr:uid="{00000000-0005-0000-0000-000039600000}"/>
    <cellStyle name="Saída 3 2 2 2 2 5 2" xfId="8431" xr:uid="{00000000-0005-0000-0000-00003A600000}"/>
    <cellStyle name="Saída 3 2 2 2 2 5 2 2" xfId="12399" xr:uid="{00000000-0005-0000-0000-00003B600000}"/>
    <cellStyle name="Saída 3 2 2 2 2 5 2 3" xfId="18562" xr:uid="{00000000-0005-0000-0000-00003C600000}"/>
    <cellStyle name="Saída 3 2 2 2 2 5 2 4" xfId="21949" xr:uid="{00000000-0005-0000-0000-00003D600000}"/>
    <cellStyle name="Saída 3 2 2 2 2 5 3" xfId="6723" xr:uid="{00000000-0005-0000-0000-00003E600000}"/>
    <cellStyle name="Saída 3 2 2 2 2 5 3 2" xfId="17271" xr:uid="{00000000-0005-0000-0000-00003F600000}"/>
    <cellStyle name="Saída 3 2 2 2 2 5 3 3" xfId="20241" xr:uid="{00000000-0005-0000-0000-000040600000}"/>
    <cellStyle name="Saída 3 2 2 2 2 5 4" xfId="10177" xr:uid="{00000000-0005-0000-0000-000041600000}"/>
    <cellStyle name="Saída 3 2 2 2 2 5 5" xfId="15689" xr:uid="{00000000-0005-0000-0000-000042600000}"/>
    <cellStyle name="Saída 3 2 2 2 2 5 6" xfId="13341" xr:uid="{00000000-0005-0000-0000-000043600000}"/>
    <cellStyle name="Saída 3 2 2 2 2 6" xfId="6955" xr:uid="{00000000-0005-0000-0000-000044600000}"/>
    <cellStyle name="Saída 3 2 2 2 2 6 2" xfId="8663" xr:uid="{00000000-0005-0000-0000-000045600000}"/>
    <cellStyle name="Saída 3 2 2 2 2 6 2 2" xfId="12631" xr:uid="{00000000-0005-0000-0000-000046600000}"/>
    <cellStyle name="Saída 3 2 2 2 2 6 2 3" xfId="18733" xr:uid="{00000000-0005-0000-0000-000047600000}"/>
    <cellStyle name="Saída 3 2 2 2 2 6 2 4" xfId="22181" xr:uid="{00000000-0005-0000-0000-000048600000}"/>
    <cellStyle name="Saída 3 2 2 2 2 6 3" xfId="11089" xr:uid="{00000000-0005-0000-0000-000049600000}"/>
    <cellStyle name="Saída 3 2 2 2 2 6 4" xfId="17441" xr:uid="{00000000-0005-0000-0000-00004A600000}"/>
    <cellStyle name="Saída 3 2 2 2 2 6 5" xfId="20473" xr:uid="{00000000-0005-0000-0000-00004B600000}"/>
    <cellStyle name="Saída 3 2 2 2 2 7" xfId="5943" xr:uid="{00000000-0005-0000-0000-00004C600000}"/>
    <cellStyle name="Saída 3 2 2 2 2 7 2" xfId="10684" xr:uid="{00000000-0005-0000-0000-00004D600000}"/>
    <cellStyle name="Saída 3 2 2 2 2 7 3" xfId="16679" xr:uid="{00000000-0005-0000-0000-00004E600000}"/>
    <cellStyle name="Saída 3 2 2 2 2 7 4" xfId="19461" xr:uid="{00000000-0005-0000-0000-00004F600000}"/>
    <cellStyle name="Saída 3 2 2 2 2 8" xfId="7651" xr:uid="{00000000-0005-0000-0000-000050600000}"/>
    <cellStyle name="Saída 3 2 2 2 2 8 2" xfId="11672" xr:uid="{00000000-0005-0000-0000-000051600000}"/>
    <cellStyle name="Saída 3 2 2 2 2 8 3" xfId="17971" xr:uid="{00000000-0005-0000-0000-000052600000}"/>
    <cellStyle name="Saída 3 2 2 2 2 8 4" xfId="21169" xr:uid="{00000000-0005-0000-0000-000053600000}"/>
    <cellStyle name="Saída 3 2 2 2 2 9" xfId="5039" xr:uid="{00000000-0005-0000-0000-000054600000}"/>
    <cellStyle name="Saída 3 2 2 2 2 9 2" xfId="15994" xr:uid="{00000000-0005-0000-0000-000055600000}"/>
    <cellStyle name="Saída 3 2 2 2 2 9 3" xfId="12980" xr:uid="{00000000-0005-0000-0000-000056600000}"/>
    <cellStyle name="Saída 3 2 2 2 3" xfId="3002" xr:uid="{00000000-0005-0000-0000-000057600000}"/>
    <cellStyle name="Saída 3 2 2 2 3 2" xfId="3389" xr:uid="{00000000-0005-0000-0000-000058600000}"/>
    <cellStyle name="Saída 3 2 2 2 3 2 2" xfId="7428" xr:uid="{00000000-0005-0000-0000-000059600000}"/>
    <cellStyle name="Saída 3 2 2 2 3 2 2 2" xfId="17796" xr:uid="{00000000-0005-0000-0000-00005A600000}"/>
    <cellStyle name="Saída 3 2 2 2 3 2 2 3" xfId="20946" xr:uid="{00000000-0005-0000-0000-00005B600000}"/>
    <cellStyle name="Saída 3 2 2 2 3 2 3" xfId="9513" xr:uid="{00000000-0005-0000-0000-00005C600000}"/>
    <cellStyle name="Saída 3 2 2 2 3 2 4" xfId="14766" xr:uid="{00000000-0005-0000-0000-00005D600000}"/>
    <cellStyle name="Saída 3 2 2 2 3 2 5" xfId="17233" xr:uid="{00000000-0005-0000-0000-00005E600000}"/>
    <cellStyle name="Saída 3 2 2 2 3 3" xfId="3772" xr:uid="{00000000-0005-0000-0000-00005F600000}"/>
    <cellStyle name="Saída 3 2 2 2 3 3 2" xfId="15042" xr:uid="{00000000-0005-0000-0000-000060600000}"/>
    <cellStyle name="Saída 3 2 2 2 3 3 3" xfId="17889" xr:uid="{00000000-0005-0000-0000-000061600000}"/>
    <cellStyle name="Saída 3 2 2 2 3 4" xfId="4155" xr:uid="{00000000-0005-0000-0000-000062600000}"/>
    <cellStyle name="Saída 3 2 2 2 3 4 2" xfId="15317" xr:uid="{00000000-0005-0000-0000-000063600000}"/>
    <cellStyle name="Saída 3 2 2 2 3 4 3" xfId="14411" xr:uid="{00000000-0005-0000-0000-000064600000}"/>
    <cellStyle name="Saída 3 2 2 2 3 5" xfId="4537" xr:uid="{00000000-0005-0000-0000-000065600000}"/>
    <cellStyle name="Saída 3 2 2 2 3 5 2" xfId="15591" xr:uid="{00000000-0005-0000-0000-000066600000}"/>
    <cellStyle name="Saída 3 2 2 2 3 5 3" xfId="13468" xr:uid="{00000000-0005-0000-0000-000067600000}"/>
    <cellStyle name="Saída 3 2 2 2 3 6" xfId="5719" xr:uid="{00000000-0005-0000-0000-000068600000}"/>
    <cellStyle name="Saída 3 2 2 2 3 6 2" xfId="16505" xr:uid="{00000000-0005-0000-0000-000069600000}"/>
    <cellStyle name="Saída 3 2 2 2 3 6 3" xfId="19237" xr:uid="{00000000-0005-0000-0000-00006A600000}"/>
    <cellStyle name="Saída 3 2 2 2 3 7" xfId="9149" xr:uid="{00000000-0005-0000-0000-00006B600000}"/>
    <cellStyle name="Saída 3 2 2 2 3 8" xfId="14486" xr:uid="{00000000-0005-0000-0000-00006C600000}"/>
    <cellStyle name="Saída 3 2 2 2 3 9" xfId="14442" xr:uid="{00000000-0005-0000-0000-00006D600000}"/>
    <cellStyle name="Saída 3 2 2 2 4" xfId="2837" xr:uid="{00000000-0005-0000-0000-00006E600000}"/>
    <cellStyle name="Saída 3 2 2 2 4 2" xfId="8042" xr:uid="{00000000-0005-0000-0000-00006F600000}"/>
    <cellStyle name="Saída 3 2 2 2 4 2 2" xfId="12013" xr:uid="{00000000-0005-0000-0000-000070600000}"/>
    <cellStyle name="Saída 3 2 2 2 4 2 3" xfId="18255" xr:uid="{00000000-0005-0000-0000-000071600000}"/>
    <cellStyle name="Saída 3 2 2 2 4 2 4" xfId="21560" xr:uid="{00000000-0005-0000-0000-000072600000}"/>
    <cellStyle name="Saída 3 2 2 2 4 3" xfId="6334" xr:uid="{00000000-0005-0000-0000-000073600000}"/>
    <cellStyle name="Saída 3 2 2 2 4 3 2" xfId="16964" xr:uid="{00000000-0005-0000-0000-000074600000}"/>
    <cellStyle name="Saída 3 2 2 2 4 3 3" xfId="19852" xr:uid="{00000000-0005-0000-0000-000075600000}"/>
    <cellStyle name="Saída 3 2 2 2 4 4" xfId="8990" xr:uid="{00000000-0005-0000-0000-000076600000}"/>
    <cellStyle name="Saída 3 2 2 2 4 5" xfId="14377" xr:uid="{00000000-0005-0000-0000-000077600000}"/>
    <cellStyle name="Saída 3 2 2 2 4 6" xfId="15551" xr:uid="{00000000-0005-0000-0000-000078600000}"/>
    <cellStyle name="Saída 3 2 2 2 5" xfId="5334" xr:uid="{00000000-0005-0000-0000-000079600000}"/>
    <cellStyle name="Saída 3 2 2 2 5 2" xfId="5058" xr:uid="{00000000-0005-0000-0000-00007A600000}"/>
    <cellStyle name="Saída 3 2 2 2 5 2 2" xfId="10311" xr:uid="{00000000-0005-0000-0000-00007B600000}"/>
    <cellStyle name="Saída 3 2 2 2 5 2 3" xfId="16008" xr:uid="{00000000-0005-0000-0000-00007C600000}"/>
    <cellStyle name="Saída 3 2 2 2 5 2 4" xfId="12964" xr:uid="{00000000-0005-0000-0000-00007D600000}"/>
    <cellStyle name="Saída 3 2 2 2 5 3" xfId="10426" xr:uid="{00000000-0005-0000-0000-00007E600000}"/>
    <cellStyle name="Saída 3 2 2 2 5 4" xfId="16203" xr:uid="{00000000-0005-0000-0000-00007F600000}"/>
    <cellStyle name="Saída 3 2 2 2 5 5" xfId="18852" xr:uid="{00000000-0005-0000-0000-000080600000}"/>
    <cellStyle name="Saída 3 2 2 2 6" xfId="6095" xr:uid="{00000000-0005-0000-0000-000081600000}"/>
    <cellStyle name="Saída 3 2 2 2 6 2" xfId="7803" xr:uid="{00000000-0005-0000-0000-000082600000}"/>
    <cellStyle name="Saída 3 2 2 2 6 2 2" xfId="11818" xr:uid="{00000000-0005-0000-0000-000083600000}"/>
    <cellStyle name="Saída 3 2 2 2 6 2 3" xfId="18068" xr:uid="{00000000-0005-0000-0000-000084600000}"/>
    <cellStyle name="Saída 3 2 2 2 6 2 4" xfId="21321" xr:uid="{00000000-0005-0000-0000-000085600000}"/>
    <cellStyle name="Saída 3 2 2 2 6 3" xfId="10806" xr:uid="{00000000-0005-0000-0000-000086600000}"/>
    <cellStyle name="Saída 3 2 2 2 6 4" xfId="16776" xr:uid="{00000000-0005-0000-0000-000087600000}"/>
    <cellStyle name="Saída 3 2 2 2 6 5" xfId="19613" xr:uid="{00000000-0005-0000-0000-000088600000}"/>
    <cellStyle name="Saída 3 2 2 2 7" xfId="6156" xr:uid="{00000000-0005-0000-0000-000089600000}"/>
    <cellStyle name="Saída 3 2 2 2 7 2" xfId="7864" xr:uid="{00000000-0005-0000-0000-00008A600000}"/>
    <cellStyle name="Saída 3 2 2 2 7 2 2" xfId="11861" xr:uid="{00000000-0005-0000-0000-00008B600000}"/>
    <cellStyle name="Saída 3 2 2 2 7 2 3" xfId="18122" xr:uid="{00000000-0005-0000-0000-00008C600000}"/>
    <cellStyle name="Saída 3 2 2 2 7 2 4" xfId="21382" xr:uid="{00000000-0005-0000-0000-00008D600000}"/>
    <cellStyle name="Saída 3 2 2 2 7 3" xfId="10827" xr:uid="{00000000-0005-0000-0000-00008E600000}"/>
    <cellStyle name="Saída 3 2 2 2 7 4" xfId="16830" xr:uid="{00000000-0005-0000-0000-00008F600000}"/>
    <cellStyle name="Saída 3 2 2 2 7 5" xfId="19674" xr:uid="{00000000-0005-0000-0000-000090600000}"/>
    <cellStyle name="Saída 3 2 2 2 8" xfId="5761" xr:uid="{00000000-0005-0000-0000-000091600000}"/>
    <cellStyle name="Saída 3 2 2 2 8 2" xfId="10538" xr:uid="{00000000-0005-0000-0000-000092600000}"/>
    <cellStyle name="Saída 3 2 2 2 8 3" xfId="16539" xr:uid="{00000000-0005-0000-0000-000093600000}"/>
    <cellStyle name="Saída 3 2 2 2 8 4" xfId="19279" xr:uid="{00000000-0005-0000-0000-000094600000}"/>
    <cellStyle name="Saída 3 2 2 2 9" xfId="7470" xr:uid="{00000000-0005-0000-0000-000095600000}"/>
    <cellStyle name="Saída 3 2 2 2 9 2" xfId="11525" xr:uid="{00000000-0005-0000-0000-000096600000}"/>
    <cellStyle name="Saída 3 2 2 2 9 3" xfId="17830" xr:uid="{00000000-0005-0000-0000-000097600000}"/>
    <cellStyle name="Saída 3 2 2 2 9 4" xfId="20988" xr:uid="{00000000-0005-0000-0000-000098600000}"/>
    <cellStyle name="Saída 3 2 2 3" xfId="3198" xr:uid="{00000000-0005-0000-0000-000099600000}"/>
    <cellStyle name="Saída 3 2 2 3 10" xfId="9328" xr:uid="{00000000-0005-0000-0000-00009A600000}"/>
    <cellStyle name="Saída 3 2 2 3 11" xfId="14642" xr:uid="{00000000-0005-0000-0000-00009B600000}"/>
    <cellStyle name="Saída 3 2 2 3 12" xfId="18424" xr:uid="{00000000-0005-0000-0000-00009C600000}"/>
    <cellStyle name="Saída 3 2 2 3 2" xfId="3585" xr:uid="{00000000-0005-0000-0000-00009D600000}"/>
    <cellStyle name="Saída 3 2 2 3 2 2" xfId="7256" xr:uid="{00000000-0005-0000-0000-00009E600000}"/>
    <cellStyle name="Saída 3 2 2 3 2 2 2" xfId="11361" xr:uid="{00000000-0005-0000-0000-00009F600000}"/>
    <cellStyle name="Saída 3 2 2 3 2 2 3" xfId="17656" xr:uid="{00000000-0005-0000-0000-0000A0600000}"/>
    <cellStyle name="Saída 3 2 2 3 2 2 4" xfId="20774" xr:uid="{00000000-0005-0000-0000-0000A1600000}"/>
    <cellStyle name="Saída 3 2 2 3 2 3" xfId="5547" xr:uid="{00000000-0005-0000-0000-0000A2600000}"/>
    <cellStyle name="Saída 3 2 2 3 2 3 2" xfId="16365" xr:uid="{00000000-0005-0000-0000-0000A3600000}"/>
    <cellStyle name="Saída 3 2 2 3 2 3 3" xfId="19065" xr:uid="{00000000-0005-0000-0000-0000A4600000}"/>
    <cellStyle name="Saída 3 2 2 3 2 4" xfId="9677" xr:uid="{00000000-0005-0000-0000-0000A5600000}"/>
    <cellStyle name="Saída 3 2 2 3 2 5" xfId="14922" xr:uid="{00000000-0005-0000-0000-0000A6600000}"/>
    <cellStyle name="Saída 3 2 2 3 2 6" xfId="17453" xr:uid="{00000000-0005-0000-0000-0000A7600000}"/>
    <cellStyle name="Saída 3 2 2 3 3" xfId="3968" xr:uid="{00000000-0005-0000-0000-0000A8600000}"/>
    <cellStyle name="Saída 3 2 2 3 3 2" xfId="5106" xr:uid="{00000000-0005-0000-0000-0000A9600000}"/>
    <cellStyle name="Saída 3 2 2 3 3 2 2" xfId="10350" xr:uid="{00000000-0005-0000-0000-0000AA600000}"/>
    <cellStyle name="Saída 3 2 2 3 3 2 3" xfId="16041" xr:uid="{00000000-0005-0000-0000-0000AB600000}"/>
    <cellStyle name="Saída 3 2 2 3 3 2 4" xfId="12804" xr:uid="{00000000-0005-0000-0000-0000AC600000}"/>
    <cellStyle name="Saída 3 2 2 3 3 3" xfId="5308" xr:uid="{00000000-0005-0000-0000-0000AD600000}"/>
    <cellStyle name="Saída 3 2 2 3 3 3 2" xfId="16181" xr:uid="{00000000-0005-0000-0000-0000AE600000}"/>
    <cellStyle name="Saída 3 2 2 3 3 3 3" xfId="18826" xr:uid="{00000000-0005-0000-0000-0000AF600000}"/>
    <cellStyle name="Saída 3 2 2 3 3 4" xfId="9888" xr:uid="{00000000-0005-0000-0000-0000B0600000}"/>
    <cellStyle name="Saída 3 2 2 3 3 5" xfId="15198" xr:uid="{00000000-0005-0000-0000-0000B1600000}"/>
    <cellStyle name="Saída 3 2 2 3 3 6" xfId="14023" xr:uid="{00000000-0005-0000-0000-0000B2600000}"/>
    <cellStyle name="Saída 3 2 2 3 4" xfId="4351" xr:uid="{00000000-0005-0000-0000-0000B3600000}"/>
    <cellStyle name="Saída 3 2 2 3 4 2" xfId="8124" xr:uid="{00000000-0005-0000-0000-0000B4600000}"/>
    <cellStyle name="Saída 3 2 2 3 4 2 2" xfId="12092" xr:uid="{00000000-0005-0000-0000-0000B5600000}"/>
    <cellStyle name="Saída 3 2 2 3 4 2 3" xfId="18328" xr:uid="{00000000-0005-0000-0000-0000B6600000}"/>
    <cellStyle name="Saída 3 2 2 3 4 2 4" xfId="21642" xr:uid="{00000000-0005-0000-0000-0000B7600000}"/>
    <cellStyle name="Saída 3 2 2 3 4 3" xfId="6416" xr:uid="{00000000-0005-0000-0000-0000B8600000}"/>
    <cellStyle name="Saída 3 2 2 3 4 3 2" xfId="17037" xr:uid="{00000000-0005-0000-0000-0000B9600000}"/>
    <cellStyle name="Saída 3 2 2 3 4 3 3" xfId="19934" xr:uid="{00000000-0005-0000-0000-0000BA600000}"/>
    <cellStyle name="Saída 3 2 2 3 4 4" xfId="10066" xr:uid="{00000000-0005-0000-0000-0000BB600000}"/>
    <cellStyle name="Saída 3 2 2 3 4 5" xfId="15473" xr:uid="{00000000-0005-0000-0000-0000BC600000}"/>
    <cellStyle name="Saída 3 2 2 3 4 6" xfId="13654" xr:uid="{00000000-0005-0000-0000-0000BD600000}"/>
    <cellStyle name="Saída 3 2 2 3 5" xfId="4733" xr:uid="{00000000-0005-0000-0000-0000BE600000}"/>
    <cellStyle name="Saída 3 2 2 3 5 2" xfId="8356" xr:uid="{00000000-0005-0000-0000-0000BF600000}"/>
    <cellStyle name="Saída 3 2 2 3 5 2 2" xfId="12324" xr:uid="{00000000-0005-0000-0000-0000C0600000}"/>
    <cellStyle name="Saída 3 2 2 3 5 2 3" xfId="18499" xr:uid="{00000000-0005-0000-0000-0000C1600000}"/>
    <cellStyle name="Saída 3 2 2 3 5 2 4" xfId="21874" xr:uid="{00000000-0005-0000-0000-0000C2600000}"/>
    <cellStyle name="Saída 3 2 2 3 5 3" xfId="6648" xr:uid="{00000000-0005-0000-0000-0000C3600000}"/>
    <cellStyle name="Saída 3 2 2 3 5 3 2" xfId="17208" xr:uid="{00000000-0005-0000-0000-0000C4600000}"/>
    <cellStyle name="Saída 3 2 2 3 5 3 3" xfId="20166" xr:uid="{00000000-0005-0000-0000-0000C5600000}"/>
    <cellStyle name="Saída 3 2 2 3 5 4" xfId="10243" xr:uid="{00000000-0005-0000-0000-0000C6600000}"/>
    <cellStyle name="Saída 3 2 2 3 5 5" xfId="15746" xr:uid="{00000000-0005-0000-0000-0000C7600000}"/>
    <cellStyle name="Saída 3 2 2 3 5 6" xfId="13272" xr:uid="{00000000-0005-0000-0000-0000C8600000}"/>
    <cellStyle name="Saída 3 2 2 3 6" xfId="6880" xr:uid="{00000000-0005-0000-0000-0000C9600000}"/>
    <cellStyle name="Saída 3 2 2 3 6 2" xfId="8588" xr:uid="{00000000-0005-0000-0000-0000CA600000}"/>
    <cellStyle name="Saída 3 2 2 3 6 2 2" xfId="12556" xr:uid="{00000000-0005-0000-0000-0000CB600000}"/>
    <cellStyle name="Saída 3 2 2 3 6 2 3" xfId="18670" xr:uid="{00000000-0005-0000-0000-0000CC600000}"/>
    <cellStyle name="Saída 3 2 2 3 6 2 4" xfId="22106" xr:uid="{00000000-0005-0000-0000-0000CD600000}"/>
    <cellStyle name="Saída 3 2 2 3 6 3" xfId="11014" xr:uid="{00000000-0005-0000-0000-0000CE600000}"/>
    <cellStyle name="Saída 3 2 2 3 6 4" xfId="17378" xr:uid="{00000000-0005-0000-0000-0000CF600000}"/>
    <cellStyle name="Saída 3 2 2 3 6 5" xfId="20398" xr:uid="{00000000-0005-0000-0000-0000D0600000}"/>
    <cellStyle name="Saída 3 2 2 3 7" xfId="5868" xr:uid="{00000000-0005-0000-0000-0000D1600000}"/>
    <cellStyle name="Saída 3 2 2 3 7 2" xfId="10609" xr:uid="{00000000-0005-0000-0000-0000D2600000}"/>
    <cellStyle name="Saída 3 2 2 3 7 3" xfId="16616" xr:uid="{00000000-0005-0000-0000-0000D3600000}"/>
    <cellStyle name="Saída 3 2 2 3 7 4" xfId="19386" xr:uid="{00000000-0005-0000-0000-0000D4600000}"/>
    <cellStyle name="Saída 3 2 2 3 8" xfId="7576" xr:uid="{00000000-0005-0000-0000-0000D5600000}"/>
    <cellStyle name="Saída 3 2 2 3 8 2" xfId="11597" xr:uid="{00000000-0005-0000-0000-0000D6600000}"/>
    <cellStyle name="Saída 3 2 2 3 8 3" xfId="17908" xr:uid="{00000000-0005-0000-0000-0000D7600000}"/>
    <cellStyle name="Saída 3 2 2 3 8 4" xfId="21094" xr:uid="{00000000-0005-0000-0000-0000D8600000}"/>
    <cellStyle name="Saída 3 2 2 3 9" xfId="4958" xr:uid="{00000000-0005-0000-0000-0000D9600000}"/>
    <cellStyle name="Saída 3 2 2 3 9 2" xfId="15926" xr:uid="{00000000-0005-0000-0000-0000DA600000}"/>
    <cellStyle name="Saída 3 2 2 3 9 3" xfId="13061" xr:uid="{00000000-0005-0000-0000-0000DB600000}"/>
    <cellStyle name="Saída 3 2 2 4" xfId="2991" xr:uid="{00000000-0005-0000-0000-0000DC600000}"/>
    <cellStyle name="Saída 3 2 2 4 2" xfId="3378" xr:uid="{00000000-0005-0000-0000-0000DD600000}"/>
    <cellStyle name="Saída 3 2 2 4 2 2" xfId="7850" xr:uid="{00000000-0005-0000-0000-0000DE600000}"/>
    <cellStyle name="Saída 3 2 2 4 2 2 2" xfId="18109" xr:uid="{00000000-0005-0000-0000-0000DF600000}"/>
    <cellStyle name="Saída 3 2 2 4 2 2 3" xfId="21368" xr:uid="{00000000-0005-0000-0000-0000E0600000}"/>
    <cellStyle name="Saída 3 2 2 4 2 3" xfId="9506" xr:uid="{00000000-0005-0000-0000-0000E1600000}"/>
    <cellStyle name="Saída 3 2 2 4 2 4" xfId="14756" xr:uid="{00000000-0005-0000-0000-0000E2600000}"/>
    <cellStyle name="Saída 3 2 2 4 2 5" xfId="15585" xr:uid="{00000000-0005-0000-0000-0000E3600000}"/>
    <cellStyle name="Saída 3 2 2 4 3" xfId="3761" xr:uid="{00000000-0005-0000-0000-0000E4600000}"/>
    <cellStyle name="Saída 3 2 2 4 3 2" xfId="15032" xr:uid="{00000000-0005-0000-0000-0000E5600000}"/>
    <cellStyle name="Saída 3 2 2 4 3 3" xfId="17109" xr:uid="{00000000-0005-0000-0000-0000E6600000}"/>
    <cellStyle name="Saída 3 2 2 4 4" xfId="4144" xr:uid="{00000000-0005-0000-0000-0000E7600000}"/>
    <cellStyle name="Saída 3 2 2 4 4 2" xfId="15307" xr:uid="{00000000-0005-0000-0000-0000E8600000}"/>
    <cellStyle name="Saída 3 2 2 4 4 3" xfId="13853" xr:uid="{00000000-0005-0000-0000-0000E9600000}"/>
    <cellStyle name="Saída 3 2 2 4 5" xfId="4526" xr:uid="{00000000-0005-0000-0000-0000EA600000}"/>
    <cellStyle name="Saída 3 2 2 4 5 2" xfId="15581" xr:uid="{00000000-0005-0000-0000-0000EB600000}"/>
    <cellStyle name="Saída 3 2 2 4 5 3" xfId="13479" xr:uid="{00000000-0005-0000-0000-0000EC600000}"/>
    <cellStyle name="Saída 3 2 2 4 6" xfId="6142" xr:uid="{00000000-0005-0000-0000-0000ED600000}"/>
    <cellStyle name="Saída 3 2 2 4 6 2" xfId="16817" xr:uid="{00000000-0005-0000-0000-0000EE600000}"/>
    <cellStyle name="Saída 3 2 2 4 6 3" xfId="19660" xr:uid="{00000000-0005-0000-0000-0000EF600000}"/>
    <cellStyle name="Saída 3 2 2 4 7" xfId="9141" xr:uid="{00000000-0005-0000-0000-0000F0600000}"/>
    <cellStyle name="Saída 3 2 2 4 8" xfId="14476" xr:uid="{00000000-0005-0000-0000-0000F1600000}"/>
    <cellStyle name="Saída 3 2 2 4 9" xfId="18403" xr:uid="{00000000-0005-0000-0000-0000F2600000}"/>
    <cellStyle name="Saída 3 2 2 5" xfId="6314" xr:uid="{00000000-0005-0000-0000-0000F3600000}"/>
    <cellStyle name="Saída 3 2 2 5 2" xfId="8022" xr:uid="{00000000-0005-0000-0000-0000F4600000}"/>
    <cellStyle name="Saída 3 2 2 5 2 2" xfId="11997" xr:uid="{00000000-0005-0000-0000-0000F5600000}"/>
    <cellStyle name="Saída 3 2 2 5 2 3" xfId="18238" xr:uid="{00000000-0005-0000-0000-0000F6600000}"/>
    <cellStyle name="Saída 3 2 2 5 2 4" xfId="21540" xr:uid="{00000000-0005-0000-0000-0000F7600000}"/>
    <cellStyle name="Saída 3 2 2 5 3" xfId="10859" xr:uid="{00000000-0005-0000-0000-0000F8600000}"/>
    <cellStyle name="Saída 3 2 2 5 4" xfId="16947" xr:uid="{00000000-0005-0000-0000-0000F9600000}"/>
    <cellStyle name="Saída 3 2 2 5 5" xfId="19832" xr:uid="{00000000-0005-0000-0000-0000FA600000}"/>
    <cellStyle name="Saída 3 2 2 6" xfId="5687" xr:uid="{00000000-0005-0000-0000-0000FB600000}"/>
    <cellStyle name="Saída 3 2 2 6 2" xfId="7396" xr:uid="{00000000-0005-0000-0000-0000FC600000}"/>
    <cellStyle name="Saída 3 2 2 6 2 2" xfId="11477" xr:uid="{00000000-0005-0000-0000-0000FD600000}"/>
    <cellStyle name="Saída 3 2 2 6 2 3" xfId="17774" xr:uid="{00000000-0005-0000-0000-0000FE600000}"/>
    <cellStyle name="Saída 3 2 2 6 2 4" xfId="20914" xr:uid="{00000000-0005-0000-0000-0000FF600000}"/>
    <cellStyle name="Saída 3 2 2 6 3" xfId="10509" xr:uid="{00000000-0005-0000-0000-000000610000}"/>
    <cellStyle name="Saída 3 2 2 6 4" xfId="16483" xr:uid="{00000000-0005-0000-0000-000001610000}"/>
    <cellStyle name="Saída 3 2 2 6 5" xfId="19205" xr:uid="{00000000-0005-0000-0000-000002610000}"/>
    <cellStyle name="Saída 3 2 2 7" xfId="5267" xr:uid="{00000000-0005-0000-0000-000003610000}"/>
    <cellStyle name="Saída 3 2 2 7 2" xfId="5135" xr:uid="{00000000-0005-0000-0000-000004610000}"/>
    <cellStyle name="Saída 3 2 2 7 2 2" xfId="10374" xr:uid="{00000000-0005-0000-0000-000005610000}"/>
    <cellStyle name="Saída 3 2 2 7 2 3" xfId="16064" xr:uid="{00000000-0005-0000-0000-000006610000}"/>
    <cellStyle name="Saída 3 2 2 7 2 4" xfId="12786" xr:uid="{00000000-0005-0000-0000-000007610000}"/>
    <cellStyle name="Saída 3 2 2 7 3" xfId="10406" xr:uid="{00000000-0005-0000-0000-000008610000}"/>
    <cellStyle name="Saída 3 2 2 7 4" xfId="16148" xr:uid="{00000000-0005-0000-0000-000009610000}"/>
    <cellStyle name="Saída 3 2 2 7 5" xfId="12827" xr:uid="{00000000-0005-0000-0000-00000A610000}"/>
    <cellStyle name="Saída 3 2 2 8" xfId="6306" xr:uid="{00000000-0005-0000-0000-00000B610000}"/>
    <cellStyle name="Saída 3 2 2 8 2" xfId="8014" xr:uid="{00000000-0005-0000-0000-00000C610000}"/>
    <cellStyle name="Saída 3 2 2 8 2 2" xfId="11990" xr:uid="{00000000-0005-0000-0000-00000D610000}"/>
    <cellStyle name="Saída 3 2 2 8 2 3" xfId="18231" xr:uid="{00000000-0005-0000-0000-00000E610000}"/>
    <cellStyle name="Saída 3 2 2 8 2 4" xfId="21532" xr:uid="{00000000-0005-0000-0000-00000F610000}"/>
    <cellStyle name="Saída 3 2 2 8 3" xfId="10853" xr:uid="{00000000-0005-0000-0000-000010610000}"/>
    <cellStyle name="Saída 3 2 2 8 4" xfId="16940" xr:uid="{00000000-0005-0000-0000-000011610000}"/>
    <cellStyle name="Saída 3 2 2 8 5" xfId="19824" xr:uid="{00000000-0005-0000-0000-000012610000}"/>
    <cellStyle name="Saída 3 2 2 9" xfId="5775" xr:uid="{00000000-0005-0000-0000-000013610000}"/>
    <cellStyle name="Saída 3 2 2 9 2" xfId="10551" xr:uid="{00000000-0005-0000-0000-000014610000}"/>
    <cellStyle name="Saída 3 2 2 9 3" xfId="16550" xr:uid="{00000000-0005-0000-0000-000015610000}"/>
    <cellStyle name="Saída 3 2 2 9 4" xfId="19293" xr:uid="{00000000-0005-0000-0000-000016610000}"/>
    <cellStyle name="Saída 3 2 3" xfId="2674" xr:uid="{00000000-0005-0000-0000-000017610000}"/>
    <cellStyle name="Saída 3 2 3 10" xfId="7520" xr:uid="{00000000-0005-0000-0000-000018610000}"/>
    <cellStyle name="Saída 3 2 3 10 2" xfId="11561" xr:uid="{00000000-0005-0000-0000-000019610000}"/>
    <cellStyle name="Saída 3 2 3 10 3" xfId="17867" xr:uid="{00000000-0005-0000-0000-00001A610000}"/>
    <cellStyle name="Saída 3 2 3 10 4" xfId="21038" xr:uid="{00000000-0005-0000-0000-00001B610000}"/>
    <cellStyle name="Saída 3 2 3 11" xfId="4924" xr:uid="{00000000-0005-0000-0000-00001C610000}"/>
    <cellStyle name="Saída 3 2 3 11 2" xfId="15894" xr:uid="{00000000-0005-0000-0000-00001D610000}"/>
    <cellStyle name="Saída 3 2 3 11 3" xfId="13095" xr:uid="{00000000-0005-0000-0000-00001E610000}"/>
    <cellStyle name="Saída 3 2 3 12" xfId="8831" xr:uid="{00000000-0005-0000-0000-00001F610000}"/>
    <cellStyle name="Saída 3 2 3 13" xfId="14247" xr:uid="{00000000-0005-0000-0000-000020610000}"/>
    <cellStyle name="Saída 3 2 3 14" xfId="17487" xr:uid="{00000000-0005-0000-0000-000021610000}"/>
    <cellStyle name="Saída 3 2 3 2" xfId="2733" xr:uid="{00000000-0005-0000-0000-000022610000}"/>
    <cellStyle name="Saída 3 2 3 2 10" xfId="4946" xr:uid="{00000000-0005-0000-0000-000023610000}"/>
    <cellStyle name="Saída 3 2 3 2 10 2" xfId="15916" xr:uid="{00000000-0005-0000-0000-000024610000}"/>
    <cellStyle name="Saída 3 2 3 2 10 3" xfId="13073" xr:uid="{00000000-0005-0000-0000-000025610000}"/>
    <cellStyle name="Saída 3 2 3 2 11" xfId="8888" xr:uid="{00000000-0005-0000-0000-000026610000}"/>
    <cellStyle name="Saída 3 2 3 2 12" xfId="14292" xr:uid="{00000000-0005-0000-0000-000027610000}"/>
    <cellStyle name="Saída 3 2 3 2 2" xfId="3223" xr:uid="{00000000-0005-0000-0000-000028610000}"/>
    <cellStyle name="Saída 3 2 3 2 2 10" xfId="9353" xr:uid="{00000000-0005-0000-0000-000029610000}"/>
    <cellStyle name="Saída 3 2 3 2 2 11" xfId="14657" xr:uid="{00000000-0005-0000-0000-00002A610000}"/>
    <cellStyle name="Saída 3 2 3 2 2 12" xfId="14744" xr:uid="{00000000-0005-0000-0000-00002B610000}"/>
    <cellStyle name="Saída 3 2 3 2 2 2" xfId="3610" xr:uid="{00000000-0005-0000-0000-00002C610000}"/>
    <cellStyle name="Saída 3 2 3 2 2 2 2" xfId="7971" xr:uid="{00000000-0005-0000-0000-00002D610000}"/>
    <cellStyle name="Saída 3 2 3 2 2 2 2 2" xfId="11947" xr:uid="{00000000-0005-0000-0000-00002E610000}"/>
    <cellStyle name="Saída 3 2 3 2 2 2 2 3" xfId="18197" xr:uid="{00000000-0005-0000-0000-00002F610000}"/>
    <cellStyle name="Saída 3 2 3 2 2 2 2 4" xfId="21489" xr:uid="{00000000-0005-0000-0000-000030610000}"/>
    <cellStyle name="Saída 3 2 3 2 2 2 3" xfId="6263" xr:uid="{00000000-0005-0000-0000-000031610000}"/>
    <cellStyle name="Saída 3 2 3 2 2 2 3 2" xfId="16905" xr:uid="{00000000-0005-0000-0000-000032610000}"/>
    <cellStyle name="Saída 3 2 3 2 2 2 3 3" xfId="19781" xr:uid="{00000000-0005-0000-0000-000033610000}"/>
    <cellStyle name="Saída 3 2 3 2 2 2 4" xfId="9702" xr:uid="{00000000-0005-0000-0000-000034610000}"/>
    <cellStyle name="Saída 3 2 3 2 2 2 5" xfId="14937" xr:uid="{00000000-0005-0000-0000-000035610000}"/>
    <cellStyle name="Saída 3 2 3 2 2 2 6" xfId="18776" xr:uid="{00000000-0005-0000-0000-000036610000}"/>
    <cellStyle name="Saída 3 2 3 2 2 3" xfId="3993" xr:uid="{00000000-0005-0000-0000-000037610000}"/>
    <cellStyle name="Saída 3 2 3 2 2 3 2" xfId="5128" xr:uid="{00000000-0005-0000-0000-000038610000}"/>
    <cellStyle name="Saída 3 2 3 2 2 3 2 2" xfId="10368" xr:uid="{00000000-0005-0000-0000-000039610000}"/>
    <cellStyle name="Saída 3 2 3 2 2 3 2 3" xfId="16058" xr:uid="{00000000-0005-0000-0000-00003A610000}"/>
    <cellStyle name="Saída 3 2 3 2 2 3 2 4" xfId="12790" xr:uid="{00000000-0005-0000-0000-00003B610000}"/>
    <cellStyle name="Saída 3 2 3 2 2 3 3" xfId="5274" xr:uid="{00000000-0005-0000-0000-00003C610000}"/>
    <cellStyle name="Saída 3 2 3 2 2 3 3 2" xfId="16154" xr:uid="{00000000-0005-0000-0000-00003D610000}"/>
    <cellStyle name="Saída 3 2 3 2 2 3 3 3" xfId="12749" xr:uid="{00000000-0005-0000-0000-00003E610000}"/>
    <cellStyle name="Saída 3 2 3 2 2 3 4" xfId="9912" xr:uid="{00000000-0005-0000-0000-00003F610000}"/>
    <cellStyle name="Saída 3 2 3 2 2 3 5" xfId="15213" xr:uid="{00000000-0005-0000-0000-000040610000}"/>
    <cellStyle name="Saída 3 2 3 2 2 3 6" xfId="13998" xr:uid="{00000000-0005-0000-0000-000041610000}"/>
    <cellStyle name="Saída 3 2 3 2 2 4" xfId="4376" xr:uid="{00000000-0005-0000-0000-000042610000}"/>
    <cellStyle name="Saída 3 2 3 2 2 4 2" xfId="8278" xr:uid="{00000000-0005-0000-0000-000043610000}"/>
    <cellStyle name="Saída 3 2 3 2 2 4 2 2" xfId="12246" xr:uid="{00000000-0005-0000-0000-000044610000}"/>
    <cellStyle name="Saída 3 2 3 2 2 4 2 3" xfId="18430" xr:uid="{00000000-0005-0000-0000-000045610000}"/>
    <cellStyle name="Saída 3 2 3 2 2 4 2 4" xfId="21796" xr:uid="{00000000-0005-0000-0000-000046610000}"/>
    <cellStyle name="Saída 3 2 3 2 2 4 3" xfId="6570" xr:uid="{00000000-0005-0000-0000-000047610000}"/>
    <cellStyle name="Saída 3 2 3 2 2 4 3 2" xfId="17139" xr:uid="{00000000-0005-0000-0000-000048610000}"/>
    <cellStyle name="Saída 3 2 3 2 2 4 3 3" xfId="20088" xr:uid="{00000000-0005-0000-0000-000049610000}"/>
    <cellStyle name="Saída 3 2 3 2 2 4 4" xfId="10090" xr:uid="{00000000-0005-0000-0000-00004A610000}"/>
    <cellStyle name="Saída 3 2 3 2 2 4 5" xfId="15488" xr:uid="{00000000-0005-0000-0000-00004B610000}"/>
    <cellStyle name="Saída 3 2 3 2 2 4 6" xfId="13629" xr:uid="{00000000-0005-0000-0000-00004C610000}"/>
    <cellStyle name="Saída 3 2 3 2 2 5" xfId="4758" xr:uid="{00000000-0005-0000-0000-00004D610000}"/>
    <cellStyle name="Saída 3 2 3 2 2 5 2" xfId="8510" xr:uid="{00000000-0005-0000-0000-00004E610000}"/>
    <cellStyle name="Saída 3 2 3 2 2 5 2 2" xfId="12478" xr:uid="{00000000-0005-0000-0000-00004F610000}"/>
    <cellStyle name="Saída 3 2 3 2 2 5 2 3" xfId="18601" xr:uid="{00000000-0005-0000-0000-000050610000}"/>
    <cellStyle name="Saída 3 2 3 2 2 5 2 4" xfId="22028" xr:uid="{00000000-0005-0000-0000-000051610000}"/>
    <cellStyle name="Saída 3 2 3 2 2 5 3" xfId="6802" xr:uid="{00000000-0005-0000-0000-000052610000}"/>
    <cellStyle name="Saída 3 2 3 2 2 5 3 2" xfId="17309" xr:uid="{00000000-0005-0000-0000-000053610000}"/>
    <cellStyle name="Saída 3 2 3 2 2 5 3 3" xfId="20320" xr:uid="{00000000-0005-0000-0000-000054610000}"/>
    <cellStyle name="Saída 3 2 3 2 2 5 4" xfId="10267" xr:uid="{00000000-0005-0000-0000-000055610000}"/>
    <cellStyle name="Saída 3 2 3 2 2 5 5" xfId="15761" xr:uid="{00000000-0005-0000-0000-000056610000}"/>
    <cellStyle name="Saída 3 2 3 2 2 5 6" xfId="13247" xr:uid="{00000000-0005-0000-0000-000057610000}"/>
    <cellStyle name="Saída 3 2 3 2 2 6" xfId="7034" xr:uid="{00000000-0005-0000-0000-000058610000}"/>
    <cellStyle name="Saída 3 2 3 2 2 6 2" xfId="8742" xr:uid="{00000000-0005-0000-0000-000059610000}"/>
    <cellStyle name="Saída 3 2 3 2 2 6 2 2" xfId="12710" xr:uid="{00000000-0005-0000-0000-00005A610000}"/>
    <cellStyle name="Saída 3 2 3 2 2 6 2 3" xfId="18773" xr:uid="{00000000-0005-0000-0000-00005B610000}"/>
    <cellStyle name="Saída 3 2 3 2 2 6 2 4" xfId="22260" xr:uid="{00000000-0005-0000-0000-00005C610000}"/>
    <cellStyle name="Saída 3 2 3 2 2 6 3" xfId="11168" xr:uid="{00000000-0005-0000-0000-00005D610000}"/>
    <cellStyle name="Saída 3 2 3 2 2 6 4" xfId="17480" xr:uid="{00000000-0005-0000-0000-00005E610000}"/>
    <cellStyle name="Saída 3 2 3 2 2 6 5" xfId="20552" xr:uid="{00000000-0005-0000-0000-00005F610000}"/>
    <cellStyle name="Saída 3 2 3 2 2 7" xfId="6022" xr:uid="{00000000-0005-0000-0000-000060610000}"/>
    <cellStyle name="Saída 3 2 3 2 2 7 2" xfId="10763" xr:uid="{00000000-0005-0000-0000-000061610000}"/>
    <cellStyle name="Saída 3 2 3 2 2 7 3" xfId="16719" xr:uid="{00000000-0005-0000-0000-000062610000}"/>
    <cellStyle name="Saída 3 2 3 2 2 7 4" xfId="19540" xr:uid="{00000000-0005-0000-0000-000063610000}"/>
    <cellStyle name="Saída 3 2 3 2 2 8" xfId="7730" xr:uid="{00000000-0005-0000-0000-000064610000}"/>
    <cellStyle name="Saída 3 2 3 2 2 8 2" xfId="11751" xr:uid="{00000000-0005-0000-0000-000065610000}"/>
    <cellStyle name="Saída 3 2 3 2 2 8 3" xfId="18011" xr:uid="{00000000-0005-0000-0000-000066610000}"/>
    <cellStyle name="Saída 3 2 3 2 2 8 4" xfId="21248" xr:uid="{00000000-0005-0000-0000-000067610000}"/>
    <cellStyle name="Saída 3 2 3 2 2 9" xfId="5216" xr:uid="{00000000-0005-0000-0000-000068610000}"/>
    <cellStyle name="Saída 3 2 3 2 2 9 2" xfId="16107" xr:uid="{00000000-0005-0000-0000-000069610000}"/>
    <cellStyle name="Saída 3 2 3 2 2 9 3" xfId="12759" xr:uid="{00000000-0005-0000-0000-00006A610000}"/>
    <cellStyle name="Saída 3 2 3 2 3" xfId="3280" xr:uid="{00000000-0005-0000-0000-00006B610000}"/>
    <cellStyle name="Saída 3 2 3 2 3 2" xfId="3667" xr:uid="{00000000-0005-0000-0000-00006C610000}"/>
    <cellStyle name="Saída 3 2 3 2 3 2 2" xfId="7398" xr:uid="{00000000-0005-0000-0000-00006D610000}"/>
    <cellStyle name="Saída 3 2 3 2 3 2 2 2" xfId="17776" xr:uid="{00000000-0005-0000-0000-00006E610000}"/>
    <cellStyle name="Saída 3 2 3 2 3 2 2 3" xfId="20916" xr:uid="{00000000-0005-0000-0000-00006F610000}"/>
    <cellStyle name="Saída 3 2 3 2 3 2 3" xfId="9749" xr:uid="{00000000-0005-0000-0000-000070610000}"/>
    <cellStyle name="Saída 3 2 3 2 3 2 4" xfId="14979" xr:uid="{00000000-0005-0000-0000-000071610000}"/>
    <cellStyle name="Saída 3 2 3 2 3 2 5" xfId="16898" xr:uid="{00000000-0005-0000-0000-000072610000}"/>
    <cellStyle name="Saída 3 2 3 2 3 3" xfId="4050" xr:uid="{00000000-0005-0000-0000-000073610000}"/>
    <cellStyle name="Saída 3 2 3 2 3 3 2" xfId="15254" xr:uid="{00000000-0005-0000-0000-000074610000}"/>
    <cellStyle name="Saída 3 2 3 2 3 3 3" xfId="13941" xr:uid="{00000000-0005-0000-0000-000075610000}"/>
    <cellStyle name="Saída 3 2 3 2 3 4" xfId="4433" xr:uid="{00000000-0005-0000-0000-000076610000}"/>
    <cellStyle name="Saída 3 2 3 2 3 4 2" xfId="15530" xr:uid="{00000000-0005-0000-0000-000077610000}"/>
    <cellStyle name="Saída 3 2 3 2 3 4 3" xfId="13572" xr:uid="{00000000-0005-0000-0000-000078610000}"/>
    <cellStyle name="Saída 3 2 3 2 3 5" xfId="4815" xr:uid="{00000000-0005-0000-0000-000079610000}"/>
    <cellStyle name="Saída 3 2 3 2 3 5 2" xfId="15802" xr:uid="{00000000-0005-0000-0000-00007A610000}"/>
    <cellStyle name="Saída 3 2 3 2 3 5 3" xfId="13191" xr:uid="{00000000-0005-0000-0000-00007B610000}"/>
    <cellStyle name="Saída 3 2 3 2 3 6" xfId="5689" xr:uid="{00000000-0005-0000-0000-00007C610000}"/>
    <cellStyle name="Saída 3 2 3 2 3 6 2" xfId="16485" xr:uid="{00000000-0005-0000-0000-00007D610000}"/>
    <cellStyle name="Saída 3 2 3 2 3 6 3" xfId="19207" xr:uid="{00000000-0005-0000-0000-00007E610000}"/>
    <cellStyle name="Saída 3 2 3 2 3 7" xfId="9410" xr:uid="{00000000-0005-0000-0000-00007F610000}"/>
    <cellStyle name="Saída 3 2 3 2 3 8" xfId="14699" xr:uid="{00000000-0005-0000-0000-000080610000}"/>
    <cellStyle name="Saída 3 2 3 2 3 9" xfId="18389" xr:uid="{00000000-0005-0000-0000-000081610000}"/>
    <cellStyle name="Saída 3 2 3 2 4" xfId="2898" xr:uid="{00000000-0005-0000-0000-000082610000}"/>
    <cellStyle name="Saída 3 2 3 2 4 2" xfId="7820" xr:uid="{00000000-0005-0000-0000-000083610000}"/>
    <cellStyle name="Saída 3 2 3 2 4 2 2" xfId="11830" xr:uid="{00000000-0005-0000-0000-000084610000}"/>
    <cellStyle name="Saída 3 2 3 2 4 2 3" xfId="18085" xr:uid="{00000000-0005-0000-0000-000085610000}"/>
    <cellStyle name="Saída 3 2 3 2 4 2 4" xfId="21338" xr:uid="{00000000-0005-0000-0000-000086610000}"/>
    <cellStyle name="Saída 3 2 3 2 4 3" xfId="6112" xr:uid="{00000000-0005-0000-0000-000087610000}"/>
    <cellStyle name="Saída 3 2 3 2 4 3 2" xfId="16793" xr:uid="{00000000-0005-0000-0000-000088610000}"/>
    <cellStyle name="Saída 3 2 3 2 4 3 3" xfId="19630" xr:uid="{00000000-0005-0000-0000-000089610000}"/>
    <cellStyle name="Saída 3 2 3 2 4 4" xfId="9050" xr:uid="{00000000-0005-0000-0000-00008A610000}"/>
    <cellStyle name="Saída 3 2 3 2 4 5" xfId="14425" xr:uid="{00000000-0005-0000-0000-00008B610000}"/>
    <cellStyle name="Saída 3 2 3 2 4 6" xfId="15305" xr:uid="{00000000-0005-0000-0000-00008C610000}"/>
    <cellStyle name="Saída 3 2 3 2 5" xfId="6404" xr:uid="{00000000-0005-0000-0000-00008D610000}"/>
    <cellStyle name="Saída 3 2 3 2 5 2" xfId="8112" xr:uid="{00000000-0005-0000-0000-00008E610000}"/>
    <cellStyle name="Saída 3 2 3 2 5 2 2" xfId="12080" xr:uid="{00000000-0005-0000-0000-00008F610000}"/>
    <cellStyle name="Saída 3 2 3 2 5 2 3" xfId="18318" xr:uid="{00000000-0005-0000-0000-000090610000}"/>
    <cellStyle name="Saída 3 2 3 2 5 2 4" xfId="21630" xr:uid="{00000000-0005-0000-0000-000091610000}"/>
    <cellStyle name="Saída 3 2 3 2 5 3" xfId="10922" xr:uid="{00000000-0005-0000-0000-000092610000}"/>
    <cellStyle name="Saída 3 2 3 2 5 4" xfId="17027" xr:uid="{00000000-0005-0000-0000-000093610000}"/>
    <cellStyle name="Saída 3 2 3 2 5 5" xfId="19922" xr:uid="{00000000-0005-0000-0000-000094610000}"/>
    <cellStyle name="Saída 3 2 3 2 6" xfId="6636" xr:uid="{00000000-0005-0000-0000-000095610000}"/>
    <cellStyle name="Saída 3 2 3 2 6 2" xfId="8344" xr:uid="{00000000-0005-0000-0000-000096610000}"/>
    <cellStyle name="Saída 3 2 3 2 6 2 2" xfId="12312" xr:uid="{00000000-0005-0000-0000-000097610000}"/>
    <cellStyle name="Saída 3 2 3 2 6 2 3" xfId="18489" xr:uid="{00000000-0005-0000-0000-000098610000}"/>
    <cellStyle name="Saída 3 2 3 2 6 2 4" xfId="21862" xr:uid="{00000000-0005-0000-0000-000099610000}"/>
    <cellStyle name="Saída 3 2 3 2 6 3" xfId="10962" xr:uid="{00000000-0005-0000-0000-00009A610000}"/>
    <cellStyle name="Saída 3 2 3 2 6 4" xfId="17198" xr:uid="{00000000-0005-0000-0000-00009B610000}"/>
    <cellStyle name="Saída 3 2 3 2 6 5" xfId="20154" xr:uid="{00000000-0005-0000-0000-00009C610000}"/>
    <cellStyle name="Saída 3 2 3 2 7" xfId="6868" xr:uid="{00000000-0005-0000-0000-00009D610000}"/>
    <cellStyle name="Saída 3 2 3 2 7 2" xfId="8576" xr:uid="{00000000-0005-0000-0000-00009E610000}"/>
    <cellStyle name="Saída 3 2 3 2 7 2 2" xfId="12544" xr:uid="{00000000-0005-0000-0000-00009F610000}"/>
    <cellStyle name="Saída 3 2 3 2 7 2 3" xfId="18660" xr:uid="{00000000-0005-0000-0000-0000A0610000}"/>
    <cellStyle name="Saída 3 2 3 2 7 2 4" xfId="22094" xr:uid="{00000000-0005-0000-0000-0000A1610000}"/>
    <cellStyle name="Saída 3 2 3 2 7 3" xfId="11002" xr:uid="{00000000-0005-0000-0000-0000A2610000}"/>
    <cellStyle name="Saída 3 2 3 2 7 4" xfId="17368" xr:uid="{00000000-0005-0000-0000-0000A3610000}"/>
    <cellStyle name="Saída 3 2 3 2 7 5" xfId="20386" xr:uid="{00000000-0005-0000-0000-0000A4610000}"/>
    <cellStyle name="Saída 3 2 3 2 8" xfId="5851" xr:uid="{00000000-0005-0000-0000-0000A5610000}"/>
    <cellStyle name="Saída 3 2 3 2 8 2" xfId="10597" xr:uid="{00000000-0005-0000-0000-0000A6610000}"/>
    <cellStyle name="Saída 3 2 3 2 8 3" xfId="16604" xr:uid="{00000000-0005-0000-0000-0000A7610000}"/>
    <cellStyle name="Saída 3 2 3 2 8 4" xfId="19369" xr:uid="{00000000-0005-0000-0000-0000A8610000}"/>
    <cellStyle name="Saída 3 2 3 2 9" xfId="7559" xr:uid="{00000000-0005-0000-0000-0000A9610000}"/>
    <cellStyle name="Saída 3 2 3 2 9 2" xfId="11585" xr:uid="{00000000-0005-0000-0000-0000AA610000}"/>
    <cellStyle name="Saída 3 2 3 2 9 3" xfId="17896" xr:uid="{00000000-0005-0000-0000-0000AB610000}"/>
    <cellStyle name="Saída 3 2 3 2 9 4" xfId="21077" xr:uid="{00000000-0005-0000-0000-0000AC610000}"/>
    <cellStyle name="Saída 3 2 3 3" xfId="3166" xr:uid="{00000000-0005-0000-0000-0000AD610000}"/>
    <cellStyle name="Saída 3 2 3 3 10" xfId="9296" xr:uid="{00000000-0005-0000-0000-0000AE610000}"/>
    <cellStyle name="Saída 3 2 3 3 11" xfId="14615" xr:uid="{00000000-0005-0000-0000-0000AF610000}"/>
    <cellStyle name="Saída 3 2 3 3 12" xfId="17291" xr:uid="{00000000-0005-0000-0000-0000B0610000}"/>
    <cellStyle name="Saída 3 2 3 3 2" xfId="3553" xr:uid="{00000000-0005-0000-0000-0000B1610000}"/>
    <cellStyle name="Saída 3 2 3 3 2 2" xfId="7365" xr:uid="{00000000-0005-0000-0000-0000B2610000}"/>
    <cellStyle name="Saída 3 2 3 3 2 2 2" xfId="11451" xr:uid="{00000000-0005-0000-0000-0000B3610000}"/>
    <cellStyle name="Saída 3 2 3 3 2 2 3" xfId="17750" xr:uid="{00000000-0005-0000-0000-0000B4610000}"/>
    <cellStyle name="Saída 3 2 3 3 2 2 4" xfId="20883" xr:uid="{00000000-0005-0000-0000-0000B5610000}"/>
    <cellStyle name="Saída 3 2 3 3 2 3" xfId="5656" xr:uid="{00000000-0005-0000-0000-0000B6610000}"/>
    <cellStyle name="Saída 3 2 3 3 2 3 2" xfId="16459" xr:uid="{00000000-0005-0000-0000-0000B7610000}"/>
    <cellStyle name="Saída 3 2 3 3 2 3 3" xfId="19174" xr:uid="{00000000-0005-0000-0000-0000B8610000}"/>
    <cellStyle name="Saída 3 2 3 3 2 4" xfId="9645" xr:uid="{00000000-0005-0000-0000-0000B9610000}"/>
    <cellStyle name="Saída 3 2 3 3 2 5" xfId="14895" xr:uid="{00000000-0005-0000-0000-0000BA610000}"/>
    <cellStyle name="Saída 3 2 3 3 2 6" xfId="14328" xr:uid="{00000000-0005-0000-0000-0000BB610000}"/>
    <cellStyle name="Saída 3 2 3 3 3" xfId="3936" xr:uid="{00000000-0005-0000-0000-0000BC610000}"/>
    <cellStyle name="Saída 3 2 3 3 3 2" xfId="7115" xr:uid="{00000000-0005-0000-0000-0000BD610000}"/>
    <cellStyle name="Saída 3 2 3 3 3 2 2" xfId="11249" xr:uid="{00000000-0005-0000-0000-0000BE610000}"/>
    <cellStyle name="Saída 3 2 3 3 3 2 3" xfId="17535" xr:uid="{00000000-0005-0000-0000-0000BF610000}"/>
    <cellStyle name="Saída 3 2 3 3 3 2 4" xfId="20633" xr:uid="{00000000-0005-0000-0000-0000C0610000}"/>
    <cellStyle name="Saída 3 2 3 3 3 3" xfId="5406" xr:uid="{00000000-0005-0000-0000-0000C1610000}"/>
    <cellStyle name="Saída 3 2 3 3 3 3 2" xfId="16245" xr:uid="{00000000-0005-0000-0000-0000C2610000}"/>
    <cellStyle name="Saída 3 2 3 3 3 3 3" xfId="18924" xr:uid="{00000000-0005-0000-0000-0000C3610000}"/>
    <cellStyle name="Saída 3 2 3 3 3 4" xfId="9859" xr:uid="{00000000-0005-0000-0000-0000C4610000}"/>
    <cellStyle name="Saída 3 2 3 3 3 5" xfId="15171" xr:uid="{00000000-0005-0000-0000-0000C5610000}"/>
    <cellStyle name="Saída 3 2 3 3 3 6" xfId="14055" xr:uid="{00000000-0005-0000-0000-0000C6610000}"/>
    <cellStyle name="Saída 3 2 3 3 4" xfId="4319" xr:uid="{00000000-0005-0000-0000-0000C7610000}"/>
    <cellStyle name="Saída 3 2 3 3 4 2" xfId="8174" xr:uid="{00000000-0005-0000-0000-0000C8610000}"/>
    <cellStyle name="Saída 3 2 3 3 4 2 2" xfId="12142" xr:uid="{00000000-0005-0000-0000-0000C9610000}"/>
    <cellStyle name="Saída 3 2 3 3 4 2 3" xfId="18371" xr:uid="{00000000-0005-0000-0000-0000CA610000}"/>
    <cellStyle name="Saída 3 2 3 3 4 2 4" xfId="21692" xr:uid="{00000000-0005-0000-0000-0000CB610000}"/>
    <cellStyle name="Saída 3 2 3 3 4 3" xfId="6466" xr:uid="{00000000-0005-0000-0000-0000CC610000}"/>
    <cellStyle name="Saída 3 2 3 3 4 3 2" xfId="17080" xr:uid="{00000000-0005-0000-0000-0000CD610000}"/>
    <cellStyle name="Saída 3 2 3 3 4 3 3" xfId="19984" xr:uid="{00000000-0005-0000-0000-0000CE610000}"/>
    <cellStyle name="Saída 3 2 3 3 4 4" xfId="10037" xr:uid="{00000000-0005-0000-0000-0000CF610000}"/>
    <cellStyle name="Saída 3 2 3 3 4 5" xfId="15446" xr:uid="{00000000-0005-0000-0000-0000D0610000}"/>
    <cellStyle name="Saída 3 2 3 3 4 6" xfId="13686" xr:uid="{00000000-0005-0000-0000-0000D1610000}"/>
    <cellStyle name="Saída 3 2 3 3 5" xfId="4701" xr:uid="{00000000-0005-0000-0000-0000D2610000}"/>
    <cellStyle name="Saída 3 2 3 3 5 2" xfId="8406" xr:uid="{00000000-0005-0000-0000-0000D3610000}"/>
    <cellStyle name="Saída 3 2 3 3 5 2 2" xfId="12374" xr:uid="{00000000-0005-0000-0000-0000D4610000}"/>
    <cellStyle name="Saída 3 2 3 3 5 2 3" xfId="18542" xr:uid="{00000000-0005-0000-0000-0000D5610000}"/>
    <cellStyle name="Saída 3 2 3 3 5 2 4" xfId="21924" xr:uid="{00000000-0005-0000-0000-0000D6610000}"/>
    <cellStyle name="Saída 3 2 3 3 5 3" xfId="6698" xr:uid="{00000000-0005-0000-0000-0000D7610000}"/>
    <cellStyle name="Saída 3 2 3 3 5 3 2" xfId="17251" xr:uid="{00000000-0005-0000-0000-0000D8610000}"/>
    <cellStyle name="Saída 3 2 3 3 5 3 3" xfId="20216" xr:uid="{00000000-0005-0000-0000-0000D9610000}"/>
    <cellStyle name="Saída 3 2 3 3 5 4" xfId="10214" xr:uid="{00000000-0005-0000-0000-0000DA610000}"/>
    <cellStyle name="Saída 3 2 3 3 5 5" xfId="15720" xr:uid="{00000000-0005-0000-0000-0000DB610000}"/>
    <cellStyle name="Saída 3 2 3 3 5 6" xfId="13304" xr:uid="{00000000-0005-0000-0000-0000DC610000}"/>
    <cellStyle name="Saída 3 2 3 3 6" xfId="6930" xr:uid="{00000000-0005-0000-0000-0000DD610000}"/>
    <cellStyle name="Saída 3 2 3 3 6 2" xfId="8638" xr:uid="{00000000-0005-0000-0000-0000DE610000}"/>
    <cellStyle name="Saída 3 2 3 3 6 2 2" xfId="12606" xr:uid="{00000000-0005-0000-0000-0000DF610000}"/>
    <cellStyle name="Saída 3 2 3 3 6 2 3" xfId="18713" xr:uid="{00000000-0005-0000-0000-0000E0610000}"/>
    <cellStyle name="Saída 3 2 3 3 6 2 4" xfId="22156" xr:uid="{00000000-0005-0000-0000-0000E1610000}"/>
    <cellStyle name="Saída 3 2 3 3 6 3" xfId="11064" xr:uid="{00000000-0005-0000-0000-0000E2610000}"/>
    <cellStyle name="Saída 3 2 3 3 6 4" xfId="17421" xr:uid="{00000000-0005-0000-0000-0000E3610000}"/>
    <cellStyle name="Saída 3 2 3 3 6 5" xfId="20448" xr:uid="{00000000-0005-0000-0000-0000E4610000}"/>
    <cellStyle name="Saída 3 2 3 3 7" xfId="5918" xr:uid="{00000000-0005-0000-0000-0000E5610000}"/>
    <cellStyle name="Saída 3 2 3 3 7 2" xfId="10659" xr:uid="{00000000-0005-0000-0000-0000E6610000}"/>
    <cellStyle name="Saída 3 2 3 3 7 3" xfId="16659" xr:uid="{00000000-0005-0000-0000-0000E7610000}"/>
    <cellStyle name="Saída 3 2 3 3 7 4" xfId="19436" xr:uid="{00000000-0005-0000-0000-0000E8610000}"/>
    <cellStyle name="Saída 3 2 3 3 8" xfId="7626" xr:uid="{00000000-0005-0000-0000-0000E9610000}"/>
    <cellStyle name="Saída 3 2 3 3 8 2" xfId="11647" xr:uid="{00000000-0005-0000-0000-0000EA610000}"/>
    <cellStyle name="Saída 3 2 3 3 8 3" xfId="17951" xr:uid="{00000000-0005-0000-0000-0000EB610000}"/>
    <cellStyle name="Saída 3 2 3 3 8 4" xfId="21144" xr:uid="{00000000-0005-0000-0000-0000EC610000}"/>
    <cellStyle name="Saída 3 2 3 3 9" xfId="5014" xr:uid="{00000000-0005-0000-0000-0000ED610000}"/>
    <cellStyle name="Saída 3 2 3 3 9 2" xfId="15974" xr:uid="{00000000-0005-0000-0000-0000EE610000}"/>
    <cellStyle name="Saída 3 2 3 3 9 3" xfId="13005" xr:uid="{00000000-0005-0000-0000-0000EF610000}"/>
    <cellStyle name="Saída 3 2 3 4" xfId="3056" xr:uid="{00000000-0005-0000-0000-0000F0610000}"/>
    <cellStyle name="Saída 3 2 3 4 2" xfId="3443" xr:uid="{00000000-0005-0000-0000-0000F1610000}"/>
    <cellStyle name="Saída 3 2 3 4 2 2" xfId="7840" xr:uid="{00000000-0005-0000-0000-0000F2610000}"/>
    <cellStyle name="Saída 3 2 3 4 2 2 2" xfId="18100" xr:uid="{00000000-0005-0000-0000-0000F3610000}"/>
    <cellStyle name="Saída 3 2 3 4 2 2 3" xfId="21358" xr:uid="{00000000-0005-0000-0000-0000F4610000}"/>
    <cellStyle name="Saída 3 2 3 4 2 3" xfId="9552" xr:uid="{00000000-0005-0000-0000-0000F5610000}"/>
    <cellStyle name="Saída 3 2 3 4 2 4" xfId="14808" xr:uid="{00000000-0005-0000-0000-0000F6610000}"/>
    <cellStyle name="Saída 3 2 3 4 2 5" xfId="17660" xr:uid="{00000000-0005-0000-0000-0000F7610000}"/>
    <cellStyle name="Saída 3 2 3 4 3" xfId="3826" xr:uid="{00000000-0005-0000-0000-0000F8610000}"/>
    <cellStyle name="Saída 3 2 3 4 3 2" xfId="15084" xr:uid="{00000000-0005-0000-0000-0000F9610000}"/>
    <cellStyle name="Saída 3 2 3 4 3 3" xfId="14114" xr:uid="{00000000-0005-0000-0000-0000FA610000}"/>
    <cellStyle name="Saída 3 2 3 4 4" xfId="4209" xr:uid="{00000000-0005-0000-0000-0000FB610000}"/>
    <cellStyle name="Saída 3 2 3 4 4 2" xfId="15359" xr:uid="{00000000-0005-0000-0000-0000FC610000}"/>
    <cellStyle name="Saída 3 2 3 4 4 3" xfId="13796" xr:uid="{00000000-0005-0000-0000-0000FD610000}"/>
    <cellStyle name="Saída 3 2 3 4 5" xfId="4591" xr:uid="{00000000-0005-0000-0000-0000FE610000}"/>
    <cellStyle name="Saída 3 2 3 4 5 2" xfId="15633" xr:uid="{00000000-0005-0000-0000-0000FF610000}"/>
    <cellStyle name="Saída 3 2 3 4 5 3" xfId="13414" xr:uid="{00000000-0005-0000-0000-000000620000}"/>
    <cellStyle name="Saída 3 2 3 4 6" xfId="6132" xr:uid="{00000000-0005-0000-0000-000001620000}"/>
    <cellStyle name="Saída 3 2 3 4 6 2" xfId="16808" xr:uid="{00000000-0005-0000-0000-000002620000}"/>
    <cellStyle name="Saída 3 2 3 4 6 3" xfId="19650" xr:uid="{00000000-0005-0000-0000-000003620000}"/>
    <cellStyle name="Saída 3 2 3 4 7" xfId="9196" xr:uid="{00000000-0005-0000-0000-000004620000}"/>
    <cellStyle name="Saída 3 2 3 4 8" xfId="14528" xr:uid="{00000000-0005-0000-0000-000005620000}"/>
    <cellStyle name="Saída 3 2 3 4 9" xfId="16031" xr:uid="{00000000-0005-0000-0000-000006620000}"/>
    <cellStyle name="Saída 3 2 3 5" xfId="2874" xr:uid="{00000000-0005-0000-0000-000007620000}"/>
    <cellStyle name="Saída 3 2 3 5 2" xfId="7201" xr:uid="{00000000-0005-0000-0000-000008620000}"/>
    <cellStyle name="Saída 3 2 3 5 2 2" xfId="11327" xr:uid="{00000000-0005-0000-0000-000009620000}"/>
    <cellStyle name="Saída 3 2 3 5 2 3" xfId="17607" xr:uid="{00000000-0005-0000-0000-00000A620000}"/>
    <cellStyle name="Saída 3 2 3 5 2 4" xfId="20719" xr:uid="{00000000-0005-0000-0000-00000B620000}"/>
    <cellStyle name="Saída 3 2 3 5 3" xfId="5492" xr:uid="{00000000-0005-0000-0000-00000C620000}"/>
    <cellStyle name="Saída 3 2 3 5 3 2" xfId="16316" xr:uid="{00000000-0005-0000-0000-00000D620000}"/>
    <cellStyle name="Saída 3 2 3 5 3 3" xfId="19010" xr:uid="{00000000-0005-0000-0000-00000E620000}"/>
    <cellStyle name="Saída 3 2 3 5 4" xfId="9027" xr:uid="{00000000-0005-0000-0000-00000F620000}"/>
    <cellStyle name="Saída 3 2 3 5 5" xfId="14408" xr:uid="{00000000-0005-0000-0000-000010620000}"/>
    <cellStyle name="Saída 3 2 3 5 6" xfId="18184" xr:uid="{00000000-0005-0000-0000-000011620000}"/>
    <cellStyle name="Saída 3 2 3 6" xfId="6382" xr:uid="{00000000-0005-0000-0000-000012620000}"/>
    <cellStyle name="Saída 3 2 3 6 2" xfId="8090" xr:uid="{00000000-0005-0000-0000-000013620000}"/>
    <cellStyle name="Saída 3 2 3 6 2 2" xfId="12058" xr:uid="{00000000-0005-0000-0000-000014620000}"/>
    <cellStyle name="Saída 3 2 3 6 2 3" xfId="18296" xr:uid="{00000000-0005-0000-0000-000015620000}"/>
    <cellStyle name="Saída 3 2 3 6 2 4" xfId="21608" xr:uid="{00000000-0005-0000-0000-000016620000}"/>
    <cellStyle name="Saída 3 2 3 6 3" xfId="10900" xr:uid="{00000000-0005-0000-0000-000017620000}"/>
    <cellStyle name="Saída 3 2 3 6 4" xfId="17005" xr:uid="{00000000-0005-0000-0000-000018620000}"/>
    <cellStyle name="Saída 3 2 3 6 5" xfId="19900" xr:uid="{00000000-0005-0000-0000-000019620000}"/>
    <cellStyle name="Saída 3 2 3 7" xfId="6614" xr:uid="{00000000-0005-0000-0000-00001A620000}"/>
    <cellStyle name="Saída 3 2 3 7 2" xfId="8322" xr:uid="{00000000-0005-0000-0000-00001B620000}"/>
    <cellStyle name="Saída 3 2 3 7 2 2" xfId="12290" xr:uid="{00000000-0005-0000-0000-00001C620000}"/>
    <cellStyle name="Saída 3 2 3 7 2 3" xfId="18467" xr:uid="{00000000-0005-0000-0000-00001D620000}"/>
    <cellStyle name="Saída 3 2 3 7 2 4" xfId="21840" xr:uid="{00000000-0005-0000-0000-00001E620000}"/>
    <cellStyle name="Saída 3 2 3 7 3" xfId="10940" xr:uid="{00000000-0005-0000-0000-00001F620000}"/>
    <cellStyle name="Saída 3 2 3 7 4" xfId="17176" xr:uid="{00000000-0005-0000-0000-000020620000}"/>
    <cellStyle name="Saída 3 2 3 7 5" xfId="20132" xr:uid="{00000000-0005-0000-0000-000021620000}"/>
    <cellStyle name="Saída 3 2 3 8" xfId="6846" xr:uid="{00000000-0005-0000-0000-000022620000}"/>
    <cellStyle name="Saída 3 2 3 8 2" xfId="8554" xr:uid="{00000000-0005-0000-0000-000023620000}"/>
    <cellStyle name="Saída 3 2 3 8 2 2" xfId="12522" xr:uid="{00000000-0005-0000-0000-000024620000}"/>
    <cellStyle name="Saída 3 2 3 8 2 3" xfId="18638" xr:uid="{00000000-0005-0000-0000-000025620000}"/>
    <cellStyle name="Saída 3 2 3 8 2 4" xfId="22072" xr:uid="{00000000-0005-0000-0000-000026620000}"/>
    <cellStyle name="Saída 3 2 3 8 3" xfId="10980" xr:uid="{00000000-0005-0000-0000-000027620000}"/>
    <cellStyle name="Saída 3 2 3 8 4" xfId="17346" xr:uid="{00000000-0005-0000-0000-000028620000}"/>
    <cellStyle name="Saída 3 2 3 8 5" xfId="20364" xr:uid="{00000000-0005-0000-0000-000029620000}"/>
    <cellStyle name="Saída 3 2 3 9" xfId="5812" xr:uid="{00000000-0005-0000-0000-00002A620000}"/>
    <cellStyle name="Saída 3 2 3 9 2" xfId="10575" xr:uid="{00000000-0005-0000-0000-00002B620000}"/>
    <cellStyle name="Saída 3 2 3 9 3" xfId="16575" xr:uid="{00000000-0005-0000-0000-00002C620000}"/>
    <cellStyle name="Saída 3 2 3 9 4" xfId="19330" xr:uid="{00000000-0005-0000-0000-00002D620000}"/>
    <cellStyle name="Saída 3 2 4" xfId="2826" xr:uid="{00000000-0005-0000-0000-00002E620000}"/>
    <cellStyle name="Saída 3 2 4 10" xfId="8979" xr:uid="{00000000-0005-0000-0000-00002F620000}"/>
    <cellStyle name="Saída 3 2 4 11" xfId="14368" xr:uid="{00000000-0005-0000-0000-000030620000}"/>
    <cellStyle name="Saída 3 2 4 12" xfId="17525" xr:uid="{00000000-0005-0000-0000-000031620000}"/>
    <cellStyle name="Saída 3 2 4 2" xfId="2776" xr:uid="{00000000-0005-0000-0000-000032620000}"/>
    <cellStyle name="Saída 3 2 4 2 2" xfId="7378" xr:uid="{00000000-0005-0000-0000-000033620000}"/>
    <cellStyle name="Saída 3 2 4 2 2 2" xfId="11464" xr:uid="{00000000-0005-0000-0000-000034620000}"/>
    <cellStyle name="Saída 3 2 4 2 2 3" xfId="17759" xr:uid="{00000000-0005-0000-0000-000035620000}"/>
    <cellStyle name="Saída 3 2 4 2 2 4" xfId="20896" xr:uid="{00000000-0005-0000-0000-000036620000}"/>
    <cellStyle name="Saída 3 2 4 2 3" xfId="5669" xr:uid="{00000000-0005-0000-0000-000037620000}"/>
    <cellStyle name="Saída 3 2 4 2 3 2" xfId="16468" xr:uid="{00000000-0005-0000-0000-000038620000}"/>
    <cellStyle name="Saída 3 2 4 2 3 3" xfId="19187" xr:uid="{00000000-0005-0000-0000-000039620000}"/>
    <cellStyle name="Saída 3 2 4 2 4" xfId="8931" xr:uid="{00000000-0005-0000-0000-00003A620000}"/>
    <cellStyle name="Saída 3 2 4 2 5" xfId="14325" xr:uid="{00000000-0005-0000-0000-00003B620000}"/>
    <cellStyle name="Saída 3 2 4 2 6" xfId="18504" xr:uid="{00000000-0005-0000-0000-00003C620000}"/>
    <cellStyle name="Saída 3 2 4 3" xfId="2810" xr:uid="{00000000-0005-0000-0000-00003D620000}"/>
    <cellStyle name="Saída 3 2 4 3 2" xfId="7836" xr:uid="{00000000-0005-0000-0000-00003E620000}"/>
    <cellStyle name="Saída 3 2 4 3 2 2" xfId="11842" xr:uid="{00000000-0005-0000-0000-00003F620000}"/>
    <cellStyle name="Saída 3 2 4 3 2 3" xfId="18097" xr:uid="{00000000-0005-0000-0000-000040620000}"/>
    <cellStyle name="Saída 3 2 4 3 2 4" xfId="21354" xr:uid="{00000000-0005-0000-0000-000041620000}"/>
    <cellStyle name="Saída 3 2 4 3 3" xfId="6128" xr:uid="{00000000-0005-0000-0000-000042620000}"/>
    <cellStyle name="Saída 3 2 4 3 3 2" xfId="16805" xr:uid="{00000000-0005-0000-0000-000043620000}"/>
    <cellStyle name="Saída 3 2 4 3 3 3" xfId="19646" xr:uid="{00000000-0005-0000-0000-000044620000}"/>
    <cellStyle name="Saída 3 2 4 3 4" xfId="8965" xr:uid="{00000000-0005-0000-0000-000045620000}"/>
    <cellStyle name="Saída 3 2 4 3 5" xfId="14354" xr:uid="{00000000-0005-0000-0000-000046620000}"/>
    <cellStyle name="Saída 3 2 4 3 6" xfId="16393" xr:uid="{00000000-0005-0000-0000-000047620000}"/>
    <cellStyle name="Saída 3 2 4 4" xfId="2800" xr:uid="{00000000-0005-0000-0000-000048620000}"/>
    <cellStyle name="Saída 3 2 4 4 2" xfId="8204" xr:uid="{00000000-0005-0000-0000-000049620000}"/>
    <cellStyle name="Saída 3 2 4 4 2 2" xfId="12172" xr:uid="{00000000-0005-0000-0000-00004A620000}"/>
    <cellStyle name="Saída 3 2 4 4 2 3" xfId="18394" xr:uid="{00000000-0005-0000-0000-00004B620000}"/>
    <cellStyle name="Saída 3 2 4 4 2 4" xfId="21722" xr:uid="{00000000-0005-0000-0000-00004C620000}"/>
    <cellStyle name="Saída 3 2 4 4 3" xfId="6496" xr:uid="{00000000-0005-0000-0000-00004D620000}"/>
    <cellStyle name="Saída 3 2 4 4 3 2" xfId="17103" xr:uid="{00000000-0005-0000-0000-00004E620000}"/>
    <cellStyle name="Saída 3 2 4 4 3 3" xfId="20014" xr:uid="{00000000-0005-0000-0000-00004F620000}"/>
    <cellStyle name="Saída 3 2 4 4 4" xfId="8955" xr:uid="{00000000-0005-0000-0000-000050620000}"/>
    <cellStyle name="Saída 3 2 4 4 5" xfId="14346" xr:uid="{00000000-0005-0000-0000-000051620000}"/>
    <cellStyle name="Saída 3 2 4 4 6" xfId="17436" xr:uid="{00000000-0005-0000-0000-000052620000}"/>
    <cellStyle name="Saída 3 2 4 5" xfId="2788" xr:uid="{00000000-0005-0000-0000-000053620000}"/>
    <cellStyle name="Saída 3 2 4 5 2" xfId="8436" xr:uid="{00000000-0005-0000-0000-000054620000}"/>
    <cellStyle name="Saída 3 2 4 5 2 2" xfId="12404" xr:uid="{00000000-0005-0000-0000-000055620000}"/>
    <cellStyle name="Saída 3 2 4 5 2 3" xfId="18565" xr:uid="{00000000-0005-0000-0000-000056620000}"/>
    <cellStyle name="Saída 3 2 4 5 2 4" xfId="21954" xr:uid="{00000000-0005-0000-0000-000057620000}"/>
    <cellStyle name="Saída 3 2 4 5 3" xfId="6728" xr:uid="{00000000-0005-0000-0000-000058620000}"/>
    <cellStyle name="Saída 3 2 4 5 3 2" xfId="17274" xr:uid="{00000000-0005-0000-0000-000059620000}"/>
    <cellStyle name="Saída 3 2 4 5 3 3" xfId="20246" xr:uid="{00000000-0005-0000-0000-00005A620000}"/>
    <cellStyle name="Saída 3 2 4 5 4" xfId="8943" xr:uid="{00000000-0005-0000-0000-00005B620000}"/>
    <cellStyle name="Saída 3 2 4 5 5" xfId="14335" xr:uid="{00000000-0005-0000-0000-00005C620000}"/>
    <cellStyle name="Saída 3 2 4 5 6" xfId="17859" xr:uid="{00000000-0005-0000-0000-00005D620000}"/>
    <cellStyle name="Saída 3 2 4 6" xfId="6960" xr:uid="{00000000-0005-0000-0000-00005E620000}"/>
    <cellStyle name="Saída 3 2 4 6 2" xfId="8668" xr:uid="{00000000-0005-0000-0000-00005F620000}"/>
    <cellStyle name="Saída 3 2 4 6 2 2" xfId="12636" xr:uid="{00000000-0005-0000-0000-000060620000}"/>
    <cellStyle name="Saída 3 2 4 6 2 3" xfId="18736" xr:uid="{00000000-0005-0000-0000-000061620000}"/>
    <cellStyle name="Saída 3 2 4 6 2 4" xfId="22186" xr:uid="{00000000-0005-0000-0000-000062620000}"/>
    <cellStyle name="Saída 3 2 4 6 3" xfId="11094" xr:uid="{00000000-0005-0000-0000-000063620000}"/>
    <cellStyle name="Saída 3 2 4 6 4" xfId="17444" xr:uid="{00000000-0005-0000-0000-000064620000}"/>
    <cellStyle name="Saída 3 2 4 6 5" xfId="20478" xr:uid="{00000000-0005-0000-0000-000065620000}"/>
    <cellStyle name="Saída 3 2 4 7" xfId="5948" xr:uid="{00000000-0005-0000-0000-000066620000}"/>
    <cellStyle name="Saída 3 2 4 7 2" xfId="10689" xr:uid="{00000000-0005-0000-0000-000067620000}"/>
    <cellStyle name="Saída 3 2 4 7 3" xfId="16682" xr:uid="{00000000-0005-0000-0000-000068620000}"/>
    <cellStyle name="Saída 3 2 4 7 4" xfId="19466" xr:uid="{00000000-0005-0000-0000-000069620000}"/>
    <cellStyle name="Saída 3 2 4 8" xfId="7656" xr:uid="{00000000-0005-0000-0000-00006A620000}"/>
    <cellStyle name="Saída 3 2 4 8 2" xfId="11677" xr:uid="{00000000-0005-0000-0000-00006B620000}"/>
    <cellStyle name="Saída 3 2 4 8 3" xfId="17974" xr:uid="{00000000-0005-0000-0000-00006C620000}"/>
    <cellStyle name="Saída 3 2 4 8 4" xfId="21174" xr:uid="{00000000-0005-0000-0000-00006D620000}"/>
    <cellStyle name="Saída 3 2 4 9" xfId="5049" xr:uid="{00000000-0005-0000-0000-00006E620000}"/>
    <cellStyle name="Saída 3 2 4 9 2" xfId="16001" xr:uid="{00000000-0005-0000-0000-00006F620000}"/>
    <cellStyle name="Saída 3 2 4 9 3" xfId="12972" xr:uid="{00000000-0005-0000-0000-000070620000}"/>
    <cellStyle name="Saída 3 2 5" xfId="3111" xr:uid="{00000000-0005-0000-0000-000071620000}"/>
    <cellStyle name="Saída 3 2 5 2" xfId="3498" xr:uid="{00000000-0005-0000-0000-000072620000}"/>
    <cellStyle name="Saída 3 2 5 2 2" xfId="7414" xr:uid="{00000000-0005-0000-0000-000073620000}"/>
    <cellStyle name="Saída 3 2 5 2 2 2" xfId="17785" xr:uid="{00000000-0005-0000-0000-000074620000}"/>
    <cellStyle name="Saída 3 2 5 2 2 3" xfId="20932" xr:uid="{00000000-0005-0000-0000-000075620000}"/>
    <cellStyle name="Saída 3 2 5 2 3" xfId="9591" xr:uid="{00000000-0005-0000-0000-000076620000}"/>
    <cellStyle name="Saída 3 2 5 2 4" xfId="14851" xr:uid="{00000000-0005-0000-0000-000077620000}"/>
    <cellStyle name="Saída 3 2 5 2 5" xfId="15574" xr:uid="{00000000-0005-0000-0000-000078620000}"/>
    <cellStyle name="Saída 3 2 5 3" xfId="3881" xr:uid="{00000000-0005-0000-0000-000079620000}"/>
    <cellStyle name="Saída 3 2 5 3 2" xfId="15127" xr:uid="{00000000-0005-0000-0000-00007A620000}"/>
    <cellStyle name="Saída 3 2 5 3 3" xfId="14133" xr:uid="{00000000-0005-0000-0000-00007B620000}"/>
    <cellStyle name="Saída 3 2 5 4" xfId="4264" xr:uid="{00000000-0005-0000-0000-00007C620000}"/>
    <cellStyle name="Saída 3 2 5 4 2" xfId="15402" xr:uid="{00000000-0005-0000-0000-00007D620000}"/>
    <cellStyle name="Saída 3 2 5 4 3" xfId="13741" xr:uid="{00000000-0005-0000-0000-00007E620000}"/>
    <cellStyle name="Saída 3 2 5 5" xfId="4646" xr:uid="{00000000-0005-0000-0000-00007F620000}"/>
    <cellStyle name="Saída 3 2 5 5 2" xfId="15676" xr:uid="{00000000-0005-0000-0000-000080620000}"/>
    <cellStyle name="Saída 3 2 5 5 3" xfId="13359" xr:uid="{00000000-0005-0000-0000-000081620000}"/>
    <cellStyle name="Saída 3 2 5 6" xfId="5705" xr:uid="{00000000-0005-0000-0000-000082620000}"/>
    <cellStyle name="Saída 3 2 5 6 2" xfId="16494" xr:uid="{00000000-0005-0000-0000-000083620000}"/>
    <cellStyle name="Saída 3 2 5 6 3" xfId="19223" xr:uid="{00000000-0005-0000-0000-000084620000}"/>
    <cellStyle name="Saída 3 2 5 7" xfId="9242" xr:uid="{00000000-0005-0000-0000-000085620000}"/>
    <cellStyle name="Saída 3 2 5 8" xfId="14571" xr:uid="{00000000-0005-0000-0000-000086620000}"/>
    <cellStyle name="Saída 3 2 5 9" xfId="18075" xr:uid="{00000000-0005-0000-0000-000087620000}"/>
    <cellStyle name="Saída 3 2 6" xfId="3032" xr:uid="{00000000-0005-0000-0000-000088620000}"/>
    <cellStyle name="Saída 3 2 6 2" xfId="3419" xr:uid="{00000000-0005-0000-0000-000089620000}"/>
    <cellStyle name="Saída 3 2 6 2 2" xfId="7839" xr:uid="{00000000-0005-0000-0000-00008A620000}"/>
    <cellStyle name="Saída 3 2 6 2 2 2" xfId="18099" xr:uid="{00000000-0005-0000-0000-00008B620000}"/>
    <cellStyle name="Saída 3 2 6 2 2 3" xfId="21357" xr:uid="{00000000-0005-0000-0000-00008C620000}"/>
    <cellStyle name="Saída 3 2 6 2 3" xfId="9534" xr:uid="{00000000-0005-0000-0000-00008D620000}"/>
    <cellStyle name="Saída 3 2 6 2 4" xfId="14787" xr:uid="{00000000-0005-0000-0000-00008E620000}"/>
    <cellStyle name="Saída 3 2 6 2 5" xfId="14459" xr:uid="{00000000-0005-0000-0000-00008F620000}"/>
    <cellStyle name="Saída 3 2 6 3" xfId="3802" xr:uid="{00000000-0005-0000-0000-000090620000}"/>
    <cellStyle name="Saída 3 2 6 3 2" xfId="15063" xr:uid="{00000000-0005-0000-0000-000091620000}"/>
    <cellStyle name="Saída 3 2 6 3 3" xfId="17467" xr:uid="{00000000-0005-0000-0000-000092620000}"/>
    <cellStyle name="Saída 3 2 6 4" xfId="4185" xr:uid="{00000000-0005-0000-0000-000093620000}"/>
    <cellStyle name="Saída 3 2 6 4 2" xfId="15338" xr:uid="{00000000-0005-0000-0000-000094620000}"/>
    <cellStyle name="Saída 3 2 6 4 3" xfId="13820" xr:uid="{00000000-0005-0000-0000-000095620000}"/>
    <cellStyle name="Saída 3 2 6 5" xfId="4567" xr:uid="{00000000-0005-0000-0000-000096620000}"/>
    <cellStyle name="Saída 3 2 6 5 2" xfId="15612" xr:uid="{00000000-0005-0000-0000-000097620000}"/>
    <cellStyle name="Saída 3 2 6 5 3" xfId="13438" xr:uid="{00000000-0005-0000-0000-000098620000}"/>
    <cellStyle name="Saída 3 2 6 6" xfId="6131" xr:uid="{00000000-0005-0000-0000-000099620000}"/>
    <cellStyle name="Saída 3 2 6 6 2" xfId="16807" xr:uid="{00000000-0005-0000-0000-00009A620000}"/>
    <cellStyle name="Saída 3 2 6 6 3" xfId="19649" xr:uid="{00000000-0005-0000-0000-00009B620000}"/>
    <cellStyle name="Saída 3 2 6 7" xfId="9172" xr:uid="{00000000-0005-0000-0000-00009C620000}"/>
    <cellStyle name="Saída 3 2 6 8" xfId="14507" xr:uid="{00000000-0005-0000-0000-00009D620000}"/>
    <cellStyle name="Saída 3 2 6 9" xfId="17294" xr:uid="{00000000-0005-0000-0000-00009E620000}"/>
    <cellStyle name="Saída 3 2 7" xfId="5301" xr:uid="{00000000-0005-0000-0000-00009F620000}"/>
    <cellStyle name="Saída 3 2 7 2" xfId="5113" xr:uid="{00000000-0005-0000-0000-0000A0620000}"/>
    <cellStyle name="Saída 3 2 7 2 2" xfId="10356" xr:uid="{00000000-0005-0000-0000-0000A1620000}"/>
    <cellStyle name="Saída 3 2 7 2 3" xfId="16047" xr:uid="{00000000-0005-0000-0000-0000A2620000}"/>
    <cellStyle name="Saída 3 2 7 2 4" xfId="12933" xr:uid="{00000000-0005-0000-0000-0000A3620000}"/>
    <cellStyle name="Saída 3 2 7 3" xfId="10414" xr:uid="{00000000-0005-0000-0000-0000A4620000}"/>
    <cellStyle name="Saída 3 2 7 4" xfId="16175" xr:uid="{00000000-0005-0000-0000-0000A5620000}"/>
    <cellStyle name="Saída 3 2 7 5" xfId="18819" xr:uid="{00000000-0005-0000-0000-0000A6620000}"/>
    <cellStyle name="Saída 3 2 8" xfId="6150" xr:uid="{00000000-0005-0000-0000-0000A7620000}"/>
    <cellStyle name="Saída 3 2 8 2" xfId="7858" xr:uid="{00000000-0005-0000-0000-0000A8620000}"/>
    <cellStyle name="Saída 3 2 8 2 2" xfId="11856" xr:uid="{00000000-0005-0000-0000-0000A9620000}"/>
    <cellStyle name="Saída 3 2 8 2 3" xfId="18117" xr:uid="{00000000-0005-0000-0000-0000AA620000}"/>
    <cellStyle name="Saída 3 2 8 2 4" xfId="21376" xr:uid="{00000000-0005-0000-0000-0000AB620000}"/>
    <cellStyle name="Saída 3 2 8 3" xfId="10824" xr:uid="{00000000-0005-0000-0000-0000AC620000}"/>
    <cellStyle name="Saída 3 2 8 4" xfId="16825" xr:uid="{00000000-0005-0000-0000-0000AD620000}"/>
    <cellStyle name="Saída 3 2 8 5" xfId="19668" xr:uid="{00000000-0005-0000-0000-0000AE620000}"/>
    <cellStyle name="Saída 3 2 9" xfId="5305" xr:uid="{00000000-0005-0000-0000-0000AF620000}"/>
    <cellStyle name="Saída 3 2 9 2" xfId="5109" xr:uid="{00000000-0005-0000-0000-0000B0620000}"/>
    <cellStyle name="Saída 3 2 9 2 2" xfId="10352" xr:uid="{00000000-0005-0000-0000-0000B1620000}"/>
    <cellStyle name="Saída 3 2 9 2 3" xfId="16043" xr:uid="{00000000-0005-0000-0000-0000B2620000}"/>
    <cellStyle name="Saída 3 2 9 2 4" xfId="12801" xr:uid="{00000000-0005-0000-0000-0000B3620000}"/>
    <cellStyle name="Saída 3 2 9 3" xfId="10416" xr:uid="{00000000-0005-0000-0000-0000B4620000}"/>
    <cellStyle name="Saída 3 2 9 4" xfId="16179" xr:uid="{00000000-0005-0000-0000-0000B5620000}"/>
    <cellStyle name="Saída 3 2 9 5" xfId="18823" xr:uid="{00000000-0005-0000-0000-0000B6620000}"/>
    <cellStyle name="Saída 3 3" xfId="2692" xr:uid="{00000000-0005-0000-0000-0000B7620000}"/>
    <cellStyle name="Saída 3 3 10" xfId="5738" xr:uid="{00000000-0005-0000-0000-0000B8620000}"/>
    <cellStyle name="Saída 3 3 10 2" xfId="10520" xr:uid="{00000000-0005-0000-0000-0000B9620000}"/>
    <cellStyle name="Saída 3 3 10 3" xfId="16519" xr:uid="{00000000-0005-0000-0000-0000BA620000}"/>
    <cellStyle name="Saída 3 3 10 4" xfId="19256" xr:uid="{00000000-0005-0000-0000-0000BB620000}"/>
    <cellStyle name="Saída 3 3 11" xfId="7447" xr:uid="{00000000-0005-0000-0000-0000BC620000}"/>
    <cellStyle name="Saída 3 3 11 2" xfId="11507" xr:uid="{00000000-0005-0000-0000-0000BD620000}"/>
    <cellStyle name="Saída 3 3 11 3" xfId="17810" xr:uid="{00000000-0005-0000-0000-0000BE620000}"/>
    <cellStyle name="Saída 3 3 11 4" xfId="20965" xr:uid="{00000000-0005-0000-0000-0000BF620000}"/>
    <cellStyle name="Saída 3 3 12" xfId="4870" xr:uid="{00000000-0005-0000-0000-0000C0620000}"/>
    <cellStyle name="Saída 3 3 12 2" xfId="15845" xr:uid="{00000000-0005-0000-0000-0000C1620000}"/>
    <cellStyle name="Saída 3 3 12 3" xfId="13136" xr:uid="{00000000-0005-0000-0000-0000C2620000}"/>
    <cellStyle name="Saída 3 3 13" xfId="8847" xr:uid="{00000000-0005-0000-0000-0000C3620000}"/>
    <cellStyle name="Saída 3 3 14" xfId="14263" xr:uid="{00000000-0005-0000-0000-0000C4620000}"/>
    <cellStyle name="Saída 3 3 15" xfId="18584" xr:uid="{00000000-0005-0000-0000-0000C5620000}"/>
    <cellStyle name="Saída 3 3 2" xfId="2749" xr:uid="{00000000-0005-0000-0000-0000C6620000}"/>
    <cellStyle name="Saída 3 3 2 10" xfId="4935" xr:uid="{00000000-0005-0000-0000-0000C7620000}"/>
    <cellStyle name="Saída 3 3 2 10 2" xfId="15905" xr:uid="{00000000-0005-0000-0000-0000C8620000}"/>
    <cellStyle name="Saída 3 3 2 10 3" xfId="13084" xr:uid="{00000000-0005-0000-0000-0000C9620000}"/>
    <cellStyle name="Saída 3 3 2 11" xfId="8904" xr:uid="{00000000-0005-0000-0000-0000CA620000}"/>
    <cellStyle name="Saída 3 3 2 12" xfId="14306" xr:uid="{00000000-0005-0000-0000-0000CB620000}"/>
    <cellStyle name="Saída 3 3 2 2" xfId="3239" xr:uid="{00000000-0005-0000-0000-0000CC620000}"/>
    <cellStyle name="Saída 3 3 2 2 10" xfId="9369" xr:uid="{00000000-0005-0000-0000-0000CD620000}"/>
    <cellStyle name="Saída 3 3 2 2 11" xfId="14671" xr:uid="{00000000-0005-0000-0000-0000CE620000}"/>
    <cellStyle name="Saída 3 3 2 2 12" xfId="15744" xr:uid="{00000000-0005-0000-0000-0000CF620000}"/>
    <cellStyle name="Saída 3 3 2 2 2" xfId="3626" xr:uid="{00000000-0005-0000-0000-0000D0620000}"/>
    <cellStyle name="Saída 3 3 2 2 2 2" xfId="7987" xr:uid="{00000000-0005-0000-0000-0000D1620000}"/>
    <cellStyle name="Saída 3 3 2 2 2 2 2" xfId="11963" xr:uid="{00000000-0005-0000-0000-0000D2620000}"/>
    <cellStyle name="Saída 3 3 2 2 2 2 3" xfId="18210" xr:uid="{00000000-0005-0000-0000-0000D3620000}"/>
    <cellStyle name="Saída 3 3 2 2 2 2 4" xfId="21505" xr:uid="{00000000-0005-0000-0000-0000D4620000}"/>
    <cellStyle name="Saída 3 3 2 2 2 3" xfId="6279" xr:uid="{00000000-0005-0000-0000-0000D5620000}"/>
    <cellStyle name="Saída 3 3 2 2 2 3 2" xfId="16919" xr:uid="{00000000-0005-0000-0000-0000D6620000}"/>
    <cellStyle name="Saída 3 3 2 2 2 3 3" xfId="19797" xr:uid="{00000000-0005-0000-0000-0000D7620000}"/>
    <cellStyle name="Saída 3 3 2 2 2 4" xfId="9718" xr:uid="{00000000-0005-0000-0000-0000D8620000}"/>
    <cellStyle name="Saída 3 3 2 2 2 5" xfId="14951" xr:uid="{00000000-0005-0000-0000-0000D9620000}"/>
    <cellStyle name="Saída 3 3 2 2 2 6" xfId="17991" xr:uid="{00000000-0005-0000-0000-0000DA620000}"/>
    <cellStyle name="Saída 3 3 2 2 3" xfId="4009" xr:uid="{00000000-0005-0000-0000-0000DB620000}"/>
    <cellStyle name="Saída 3 3 2 2 3 2" xfId="7809" xr:uid="{00000000-0005-0000-0000-0000DC620000}"/>
    <cellStyle name="Saída 3 3 2 2 3 2 2" xfId="11821" xr:uid="{00000000-0005-0000-0000-0000DD620000}"/>
    <cellStyle name="Saída 3 3 2 2 3 2 3" xfId="18074" xr:uid="{00000000-0005-0000-0000-0000DE620000}"/>
    <cellStyle name="Saída 3 3 2 2 3 2 4" xfId="21327" xr:uid="{00000000-0005-0000-0000-0000DF620000}"/>
    <cellStyle name="Saída 3 3 2 2 3 3" xfId="6101" xr:uid="{00000000-0005-0000-0000-0000E0620000}"/>
    <cellStyle name="Saída 3 3 2 2 3 3 2" xfId="16782" xr:uid="{00000000-0005-0000-0000-0000E1620000}"/>
    <cellStyle name="Saída 3 3 2 2 3 3 3" xfId="19619" xr:uid="{00000000-0005-0000-0000-0000E2620000}"/>
    <cellStyle name="Saída 3 3 2 2 3 4" xfId="9928" xr:uid="{00000000-0005-0000-0000-0000E3620000}"/>
    <cellStyle name="Saída 3 3 2 2 3 5" xfId="15226" xr:uid="{00000000-0005-0000-0000-0000E4620000}"/>
    <cellStyle name="Saída 3 3 2 2 3 6" xfId="13982" xr:uid="{00000000-0005-0000-0000-0000E5620000}"/>
    <cellStyle name="Saída 3 3 2 2 4" xfId="4392" xr:uid="{00000000-0005-0000-0000-0000E6620000}"/>
    <cellStyle name="Saída 3 3 2 2 4 2" xfId="8294" xr:uid="{00000000-0005-0000-0000-0000E7620000}"/>
    <cellStyle name="Saída 3 3 2 2 4 2 2" xfId="12262" xr:uid="{00000000-0005-0000-0000-0000E8620000}"/>
    <cellStyle name="Saída 3 3 2 2 4 2 3" xfId="18444" xr:uid="{00000000-0005-0000-0000-0000E9620000}"/>
    <cellStyle name="Saída 3 3 2 2 4 2 4" xfId="21812" xr:uid="{00000000-0005-0000-0000-0000EA620000}"/>
    <cellStyle name="Saída 3 3 2 2 4 3" xfId="6586" xr:uid="{00000000-0005-0000-0000-0000EB620000}"/>
    <cellStyle name="Saída 3 3 2 2 4 3 2" xfId="17153" xr:uid="{00000000-0005-0000-0000-0000EC620000}"/>
    <cellStyle name="Saída 3 3 2 2 4 3 3" xfId="20104" xr:uid="{00000000-0005-0000-0000-0000ED620000}"/>
    <cellStyle name="Saída 3 3 2 2 4 4" xfId="10106" xr:uid="{00000000-0005-0000-0000-0000EE620000}"/>
    <cellStyle name="Saída 3 3 2 2 4 5" xfId="15502" xr:uid="{00000000-0005-0000-0000-0000EF620000}"/>
    <cellStyle name="Saída 3 3 2 2 4 6" xfId="13613" xr:uid="{00000000-0005-0000-0000-0000F0620000}"/>
    <cellStyle name="Saída 3 3 2 2 5" xfId="4774" xr:uid="{00000000-0005-0000-0000-0000F1620000}"/>
    <cellStyle name="Saída 3 3 2 2 5 2" xfId="8526" xr:uid="{00000000-0005-0000-0000-0000F2620000}"/>
    <cellStyle name="Saída 3 3 2 2 5 2 2" xfId="12494" xr:uid="{00000000-0005-0000-0000-0000F3620000}"/>
    <cellStyle name="Saída 3 3 2 2 5 2 3" xfId="18615" xr:uid="{00000000-0005-0000-0000-0000F4620000}"/>
    <cellStyle name="Saída 3 3 2 2 5 2 4" xfId="22044" xr:uid="{00000000-0005-0000-0000-0000F5620000}"/>
    <cellStyle name="Saída 3 3 2 2 5 3" xfId="6818" xr:uid="{00000000-0005-0000-0000-0000F6620000}"/>
    <cellStyle name="Saída 3 3 2 2 5 3 2" xfId="17323" xr:uid="{00000000-0005-0000-0000-0000F7620000}"/>
    <cellStyle name="Saída 3 3 2 2 5 3 3" xfId="20336" xr:uid="{00000000-0005-0000-0000-0000F8620000}"/>
    <cellStyle name="Saída 3 3 2 2 5 4" xfId="10283" xr:uid="{00000000-0005-0000-0000-0000F9620000}"/>
    <cellStyle name="Saída 3 3 2 2 5 5" xfId="15774" xr:uid="{00000000-0005-0000-0000-0000FA620000}"/>
    <cellStyle name="Saída 3 3 2 2 5 6" xfId="13231" xr:uid="{00000000-0005-0000-0000-0000FB620000}"/>
    <cellStyle name="Saída 3 3 2 2 6" xfId="7050" xr:uid="{00000000-0005-0000-0000-0000FC620000}"/>
    <cellStyle name="Saída 3 3 2 2 6 2" xfId="8758" xr:uid="{00000000-0005-0000-0000-0000FD620000}"/>
    <cellStyle name="Saída 3 3 2 2 6 2 2" xfId="12726" xr:uid="{00000000-0005-0000-0000-0000FE620000}"/>
    <cellStyle name="Saída 3 3 2 2 6 2 3" xfId="18787" xr:uid="{00000000-0005-0000-0000-0000FF620000}"/>
    <cellStyle name="Saída 3 3 2 2 6 2 4" xfId="22276" xr:uid="{00000000-0005-0000-0000-000000630000}"/>
    <cellStyle name="Saída 3 3 2 2 6 3" xfId="11184" xr:uid="{00000000-0005-0000-0000-000001630000}"/>
    <cellStyle name="Saída 3 3 2 2 6 4" xfId="17494" xr:uid="{00000000-0005-0000-0000-000002630000}"/>
    <cellStyle name="Saída 3 3 2 2 6 5" xfId="20568" xr:uid="{00000000-0005-0000-0000-000003630000}"/>
    <cellStyle name="Saída 3 3 2 2 7" xfId="6038" xr:uid="{00000000-0005-0000-0000-000004630000}"/>
    <cellStyle name="Saída 3 3 2 2 7 2" xfId="10779" xr:uid="{00000000-0005-0000-0000-000005630000}"/>
    <cellStyle name="Saída 3 3 2 2 7 3" xfId="16733" xr:uid="{00000000-0005-0000-0000-000006630000}"/>
    <cellStyle name="Saída 3 3 2 2 7 4" xfId="19556" xr:uid="{00000000-0005-0000-0000-000007630000}"/>
    <cellStyle name="Saída 3 3 2 2 8" xfId="7746" xr:uid="{00000000-0005-0000-0000-000008630000}"/>
    <cellStyle name="Saída 3 3 2 2 8 2" xfId="11767" xr:uid="{00000000-0005-0000-0000-000009630000}"/>
    <cellStyle name="Saída 3 3 2 2 8 3" xfId="18025" xr:uid="{00000000-0005-0000-0000-00000A630000}"/>
    <cellStyle name="Saída 3 3 2 2 8 4" xfId="21264" xr:uid="{00000000-0005-0000-0000-00000B630000}"/>
    <cellStyle name="Saída 3 3 2 2 9" xfId="5232" xr:uid="{00000000-0005-0000-0000-00000C630000}"/>
    <cellStyle name="Saída 3 3 2 2 9 2" xfId="16121" xr:uid="{00000000-0005-0000-0000-00000D630000}"/>
    <cellStyle name="Saída 3 3 2 2 9 3" xfId="12862" xr:uid="{00000000-0005-0000-0000-00000E630000}"/>
    <cellStyle name="Saída 3 3 2 3" xfId="3296" xr:uid="{00000000-0005-0000-0000-00000F630000}"/>
    <cellStyle name="Saída 3 3 2 3 2" xfId="3683" xr:uid="{00000000-0005-0000-0000-000010630000}"/>
    <cellStyle name="Saída 3 3 2 3 2 2" xfId="7308" xr:uid="{00000000-0005-0000-0000-000011630000}"/>
    <cellStyle name="Saída 3 3 2 3 2 2 2" xfId="17701" xr:uid="{00000000-0005-0000-0000-000012630000}"/>
    <cellStyle name="Saída 3 3 2 3 2 2 3" xfId="20826" xr:uid="{00000000-0005-0000-0000-000013630000}"/>
    <cellStyle name="Saída 3 3 2 3 2 3" xfId="9760" xr:uid="{00000000-0005-0000-0000-000014630000}"/>
    <cellStyle name="Saída 3 3 2 3 2 4" xfId="14993" xr:uid="{00000000-0005-0000-0000-000015630000}"/>
    <cellStyle name="Saída 3 3 2 3 2 5" xfId="18125" xr:uid="{00000000-0005-0000-0000-000016630000}"/>
    <cellStyle name="Saída 3 3 2 3 3" xfId="4066" xr:uid="{00000000-0005-0000-0000-000017630000}"/>
    <cellStyle name="Saída 3 3 2 3 3 2" xfId="15268" xr:uid="{00000000-0005-0000-0000-000018630000}"/>
    <cellStyle name="Saída 3 3 2 3 3 3" xfId="13925" xr:uid="{00000000-0005-0000-0000-000019630000}"/>
    <cellStyle name="Saída 3 3 2 3 4" xfId="4449" xr:uid="{00000000-0005-0000-0000-00001A630000}"/>
    <cellStyle name="Saída 3 3 2 3 4 2" xfId="15543" xr:uid="{00000000-0005-0000-0000-00001B630000}"/>
    <cellStyle name="Saída 3 3 2 3 4 3" xfId="13556" xr:uid="{00000000-0005-0000-0000-00001C630000}"/>
    <cellStyle name="Saída 3 3 2 3 5" xfId="4831" xr:uid="{00000000-0005-0000-0000-00001D630000}"/>
    <cellStyle name="Saída 3 3 2 3 5 2" xfId="15815" xr:uid="{00000000-0005-0000-0000-00001E630000}"/>
    <cellStyle name="Saída 3 3 2 3 5 3" xfId="13175" xr:uid="{00000000-0005-0000-0000-00001F630000}"/>
    <cellStyle name="Saída 3 3 2 3 6" xfId="5599" xr:uid="{00000000-0005-0000-0000-000020630000}"/>
    <cellStyle name="Saída 3 3 2 3 6 2" xfId="16410" xr:uid="{00000000-0005-0000-0000-000021630000}"/>
    <cellStyle name="Saída 3 3 2 3 6 3" xfId="19117" xr:uid="{00000000-0005-0000-0000-000022630000}"/>
    <cellStyle name="Saída 3 3 2 3 7" xfId="9426" xr:uid="{00000000-0005-0000-0000-000023630000}"/>
    <cellStyle name="Saída 3 3 2 3 8" xfId="14713" xr:uid="{00000000-0005-0000-0000-000024630000}"/>
    <cellStyle name="Saída 3 3 2 3 9" xfId="15556" xr:uid="{00000000-0005-0000-0000-000025630000}"/>
    <cellStyle name="Saída 3 3 2 4" xfId="2914" xr:uid="{00000000-0005-0000-0000-000026630000}"/>
    <cellStyle name="Saída 3 3 2 4 2" xfId="7299" xr:uid="{00000000-0005-0000-0000-000027630000}"/>
    <cellStyle name="Saída 3 3 2 4 2 2" xfId="11404" xr:uid="{00000000-0005-0000-0000-000028630000}"/>
    <cellStyle name="Saída 3 3 2 4 2 3" xfId="17693" xr:uid="{00000000-0005-0000-0000-000029630000}"/>
    <cellStyle name="Saída 3 3 2 4 2 4" xfId="20817" xr:uid="{00000000-0005-0000-0000-00002A630000}"/>
    <cellStyle name="Saída 3 3 2 4 3" xfId="5590" xr:uid="{00000000-0005-0000-0000-00002B630000}"/>
    <cellStyle name="Saída 3 3 2 4 3 2" xfId="16402" xr:uid="{00000000-0005-0000-0000-00002C630000}"/>
    <cellStyle name="Saída 3 3 2 4 3 3" xfId="19108" xr:uid="{00000000-0005-0000-0000-00002D630000}"/>
    <cellStyle name="Saída 3 3 2 4 4" xfId="9066" xr:uid="{00000000-0005-0000-0000-00002E630000}"/>
    <cellStyle name="Saída 3 3 2 4 5" xfId="14438" xr:uid="{00000000-0005-0000-0000-00002F630000}"/>
    <cellStyle name="Saída 3 3 2 4 6" xfId="15621" xr:uid="{00000000-0005-0000-0000-000030630000}"/>
    <cellStyle name="Saída 3 3 2 5" xfId="6393" xr:uid="{00000000-0005-0000-0000-000031630000}"/>
    <cellStyle name="Saída 3 3 2 5 2" xfId="8101" xr:uid="{00000000-0005-0000-0000-000032630000}"/>
    <cellStyle name="Saída 3 3 2 5 2 2" xfId="12069" xr:uid="{00000000-0005-0000-0000-000033630000}"/>
    <cellStyle name="Saída 3 3 2 5 2 3" xfId="18307" xr:uid="{00000000-0005-0000-0000-000034630000}"/>
    <cellStyle name="Saída 3 3 2 5 2 4" xfId="21619" xr:uid="{00000000-0005-0000-0000-000035630000}"/>
    <cellStyle name="Saída 3 3 2 5 3" xfId="10911" xr:uid="{00000000-0005-0000-0000-000036630000}"/>
    <cellStyle name="Saída 3 3 2 5 4" xfId="17016" xr:uid="{00000000-0005-0000-0000-000037630000}"/>
    <cellStyle name="Saída 3 3 2 5 5" xfId="19911" xr:uid="{00000000-0005-0000-0000-000038630000}"/>
    <cellStyle name="Saída 3 3 2 6" xfId="6625" xr:uid="{00000000-0005-0000-0000-000039630000}"/>
    <cellStyle name="Saída 3 3 2 6 2" xfId="8333" xr:uid="{00000000-0005-0000-0000-00003A630000}"/>
    <cellStyle name="Saída 3 3 2 6 2 2" xfId="12301" xr:uid="{00000000-0005-0000-0000-00003B630000}"/>
    <cellStyle name="Saída 3 3 2 6 2 3" xfId="18478" xr:uid="{00000000-0005-0000-0000-00003C630000}"/>
    <cellStyle name="Saída 3 3 2 6 2 4" xfId="21851" xr:uid="{00000000-0005-0000-0000-00003D630000}"/>
    <cellStyle name="Saída 3 3 2 6 3" xfId="10951" xr:uid="{00000000-0005-0000-0000-00003E630000}"/>
    <cellStyle name="Saída 3 3 2 6 4" xfId="17187" xr:uid="{00000000-0005-0000-0000-00003F630000}"/>
    <cellStyle name="Saída 3 3 2 6 5" xfId="20143" xr:uid="{00000000-0005-0000-0000-000040630000}"/>
    <cellStyle name="Saída 3 3 2 7" xfId="6857" xr:uid="{00000000-0005-0000-0000-000041630000}"/>
    <cellStyle name="Saída 3 3 2 7 2" xfId="8565" xr:uid="{00000000-0005-0000-0000-000042630000}"/>
    <cellStyle name="Saída 3 3 2 7 2 2" xfId="12533" xr:uid="{00000000-0005-0000-0000-000043630000}"/>
    <cellStyle name="Saída 3 3 2 7 2 3" xfId="18649" xr:uid="{00000000-0005-0000-0000-000044630000}"/>
    <cellStyle name="Saída 3 3 2 7 2 4" xfId="22083" xr:uid="{00000000-0005-0000-0000-000045630000}"/>
    <cellStyle name="Saída 3 3 2 7 3" xfId="10991" xr:uid="{00000000-0005-0000-0000-000046630000}"/>
    <cellStyle name="Saída 3 3 2 7 4" xfId="17357" xr:uid="{00000000-0005-0000-0000-000047630000}"/>
    <cellStyle name="Saída 3 3 2 7 5" xfId="20375" xr:uid="{00000000-0005-0000-0000-000048630000}"/>
    <cellStyle name="Saída 3 3 2 8" xfId="5828" xr:uid="{00000000-0005-0000-0000-000049630000}"/>
    <cellStyle name="Saída 3 3 2 8 2" xfId="10586" xr:uid="{00000000-0005-0000-0000-00004A630000}"/>
    <cellStyle name="Saída 3 3 2 8 3" xfId="16588" xr:uid="{00000000-0005-0000-0000-00004B630000}"/>
    <cellStyle name="Saída 3 3 2 8 4" xfId="19346" xr:uid="{00000000-0005-0000-0000-00004C630000}"/>
    <cellStyle name="Saída 3 3 2 9" xfId="7536" xr:uid="{00000000-0005-0000-0000-00004D630000}"/>
    <cellStyle name="Saída 3 3 2 9 2" xfId="11572" xr:uid="{00000000-0005-0000-0000-00004E630000}"/>
    <cellStyle name="Saída 3 3 2 9 3" xfId="17880" xr:uid="{00000000-0005-0000-0000-00004F630000}"/>
    <cellStyle name="Saída 3 3 2 9 4" xfId="21054" xr:uid="{00000000-0005-0000-0000-000050630000}"/>
    <cellStyle name="Saída 3 3 3" xfId="2659" xr:uid="{00000000-0005-0000-0000-000051630000}"/>
    <cellStyle name="Saída 3 3 3 10" xfId="4876" xr:uid="{00000000-0005-0000-0000-000052630000}"/>
    <cellStyle name="Saída 3 3 3 10 2" xfId="15851" xr:uid="{00000000-0005-0000-0000-000053630000}"/>
    <cellStyle name="Saída 3 3 3 10 3" xfId="13130" xr:uid="{00000000-0005-0000-0000-000054630000}"/>
    <cellStyle name="Saída 3 3 3 11" xfId="8816" xr:uid="{00000000-0005-0000-0000-000055630000}"/>
    <cellStyle name="Saída 3 3 3 12" xfId="14236" xr:uid="{00000000-0005-0000-0000-000056630000}"/>
    <cellStyle name="Saída 3 3 3 2" xfId="3151" xr:uid="{00000000-0005-0000-0000-000057630000}"/>
    <cellStyle name="Saída 3 3 3 2 10" xfId="9281" xr:uid="{00000000-0005-0000-0000-000058630000}"/>
    <cellStyle name="Saída 3 3 3 2 11" xfId="14604" xr:uid="{00000000-0005-0000-0000-000059630000}"/>
    <cellStyle name="Saída 3 3 3 2 12" xfId="17145" xr:uid="{00000000-0005-0000-0000-00005A630000}"/>
    <cellStyle name="Saída 3 3 3 2 2" xfId="3538" xr:uid="{00000000-0005-0000-0000-00005B630000}"/>
    <cellStyle name="Saída 3 3 3 2 2 2" xfId="7283" xr:uid="{00000000-0005-0000-0000-00005C630000}"/>
    <cellStyle name="Saída 3 3 3 2 2 2 2" xfId="11388" xr:uid="{00000000-0005-0000-0000-00005D630000}"/>
    <cellStyle name="Saída 3 3 3 2 2 2 3" xfId="17681" xr:uid="{00000000-0005-0000-0000-00005E630000}"/>
    <cellStyle name="Saída 3 3 3 2 2 2 4" xfId="20801" xr:uid="{00000000-0005-0000-0000-00005F630000}"/>
    <cellStyle name="Saída 3 3 3 2 2 3" xfId="5574" xr:uid="{00000000-0005-0000-0000-000060630000}"/>
    <cellStyle name="Saída 3 3 3 2 2 3 2" xfId="16390" xr:uid="{00000000-0005-0000-0000-000061630000}"/>
    <cellStyle name="Saída 3 3 3 2 2 3 3" xfId="19092" xr:uid="{00000000-0005-0000-0000-000062630000}"/>
    <cellStyle name="Saída 3 3 3 2 2 4" xfId="9630" xr:uid="{00000000-0005-0000-0000-000063630000}"/>
    <cellStyle name="Saída 3 3 3 2 2 5" xfId="14884" xr:uid="{00000000-0005-0000-0000-000064630000}"/>
    <cellStyle name="Saída 3 3 3 2 2 6" xfId="17977" xr:uid="{00000000-0005-0000-0000-000065630000}"/>
    <cellStyle name="Saída 3 3 3 2 3" xfId="3921" xr:uid="{00000000-0005-0000-0000-000066630000}"/>
    <cellStyle name="Saída 3 3 3 2 3 2" xfId="5089" xr:uid="{00000000-0005-0000-0000-000067630000}"/>
    <cellStyle name="Saída 3 3 3 2 3 2 2" xfId="10338" xr:uid="{00000000-0005-0000-0000-000068630000}"/>
    <cellStyle name="Saída 3 3 3 2 3 2 3" xfId="16026" xr:uid="{00000000-0005-0000-0000-000069630000}"/>
    <cellStyle name="Saída 3 3 3 2 3 2 4" xfId="12946" xr:uid="{00000000-0005-0000-0000-00006A630000}"/>
    <cellStyle name="Saída 3 3 3 2 3 3" xfId="5328" xr:uid="{00000000-0005-0000-0000-00006B630000}"/>
    <cellStyle name="Saída 3 3 3 2 3 3 2" xfId="16198" xr:uid="{00000000-0005-0000-0000-00006C630000}"/>
    <cellStyle name="Saída 3 3 3 2 3 3 3" xfId="18846" xr:uid="{00000000-0005-0000-0000-00006D630000}"/>
    <cellStyle name="Saída 3 3 3 2 3 4" xfId="9844" xr:uid="{00000000-0005-0000-0000-00006E630000}"/>
    <cellStyle name="Saída 3 3 3 2 3 5" xfId="15160" xr:uid="{00000000-0005-0000-0000-00006F630000}"/>
    <cellStyle name="Saída 3 3 3 2 3 6" xfId="14070" xr:uid="{00000000-0005-0000-0000-000070630000}"/>
    <cellStyle name="Saída 3 3 3 2 4" xfId="4304" xr:uid="{00000000-0005-0000-0000-000071630000}"/>
    <cellStyle name="Saída 3 3 3 2 4 2" xfId="8189" xr:uid="{00000000-0005-0000-0000-000072630000}"/>
    <cellStyle name="Saída 3 3 3 2 4 2 2" xfId="12157" xr:uid="{00000000-0005-0000-0000-000073630000}"/>
    <cellStyle name="Saída 3 3 3 2 4 2 3" xfId="18382" xr:uid="{00000000-0005-0000-0000-000074630000}"/>
    <cellStyle name="Saída 3 3 3 2 4 2 4" xfId="21707" xr:uid="{00000000-0005-0000-0000-000075630000}"/>
    <cellStyle name="Saída 3 3 3 2 4 3" xfId="6481" xr:uid="{00000000-0005-0000-0000-000076630000}"/>
    <cellStyle name="Saída 3 3 3 2 4 3 2" xfId="17091" xr:uid="{00000000-0005-0000-0000-000077630000}"/>
    <cellStyle name="Saída 3 3 3 2 4 3 3" xfId="19999" xr:uid="{00000000-0005-0000-0000-000078630000}"/>
    <cellStyle name="Saída 3 3 3 2 4 4" xfId="10022" xr:uid="{00000000-0005-0000-0000-000079630000}"/>
    <cellStyle name="Saída 3 3 3 2 4 5" xfId="15435" xr:uid="{00000000-0005-0000-0000-00007A630000}"/>
    <cellStyle name="Saída 3 3 3 2 4 6" xfId="13701" xr:uid="{00000000-0005-0000-0000-00007B630000}"/>
    <cellStyle name="Saída 3 3 3 2 5" xfId="4686" xr:uid="{00000000-0005-0000-0000-00007C630000}"/>
    <cellStyle name="Saída 3 3 3 2 5 2" xfId="8421" xr:uid="{00000000-0005-0000-0000-00007D630000}"/>
    <cellStyle name="Saída 3 3 3 2 5 2 2" xfId="12389" xr:uid="{00000000-0005-0000-0000-00007E630000}"/>
    <cellStyle name="Saída 3 3 3 2 5 2 3" xfId="18553" xr:uid="{00000000-0005-0000-0000-00007F630000}"/>
    <cellStyle name="Saída 3 3 3 2 5 2 4" xfId="21939" xr:uid="{00000000-0005-0000-0000-000080630000}"/>
    <cellStyle name="Saída 3 3 3 2 5 3" xfId="6713" xr:uid="{00000000-0005-0000-0000-000081630000}"/>
    <cellStyle name="Saída 3 3 3 2 5 3 2" xfId="17262" xr:uid="{00000000-0005-0000-0000-000082630000}"/>
    <cellStyle name="Saída 3 3 3 2 5 3 3" xfId="20231" xr:uid="{00000000-0005-0000-0000-000083630000}"/>
    <cellStyle name="Saída 3 3 3 2 5 4" xfId="10199" xr:uid="{00000000-0005-0000-0000-000084630000}"/>
    <cellStyle name="Saída 3 3 3 2 5 5" xfId="15709" xr:uid="{00000000-0005-0000-0000-000085630000}"/>
    <cellStyle name="Saída 3 3 3 2 5 6" xfId="13319" xr:uid="{00000000-0005-0000-0000-000086630000}"/>
    <cellStyle name="Saída 3 3 3 2 6" xfId="6945" xr:uid="{00000000-0005-0000-0000-000087630000}"/>
    <cellStyle name="Saída 3 3 3 2 6 2" xfId="8653" xr:uid="{00000000-0005-0000-0000-000088630000}"/>
    <cellStyle name="Saída 3 3 3 2 6 2 2" xfId="12621" xr:uid="{00000000-0005-0000-0000-000089630000}"/>
    <cellStyle name="Saída 3 3 3 2 6 2 3" xfId="18724" xr:uid="{00000000-0005-0000-0000-00008A630000}"/>
    <cellStyle name="Saída 3 3 3 2 6 2 4" xfId="22171" xr:uid="{00000000-0005-0000-0000-00008B630000}"/>
    <cellStyle name="Saída 3 3 3 2 6 3" xfId="11079" xr:uid="{00000000-0005-0000-0000-00008C630000}"/>
    <cellStyle name="Saída 3 3 3 2 6 4" xfId="17432" xr:uid="{00000000-0005-0000-0000-00008D630000}"/>
    <cellStyle name="Saída 3 3 3 2 6 5" xfId="20463" xr:uid="{00000000-0005-0000-0000-00008E630000}"/>
    <cellStyle name="Saída 3 3 3 2 7" xfId="5933" xr:uid="{00000000-0005-0000-0000-00008F630000}"/>
    <cellStyle name="Saída 3 3 3 2 7 2" xfId="10674" xr:uid="{00000000-0005-0000-0000-000090630000}"/>
    <cellStyle name="Saída 3 3 3 2 7 3" xfId="16670" xr:uid="{00000000-0005-0000-0000-000091630000}"/>
    <cellStyle name="Saída 3 3 3 2 7 4" xfId="19451" xr:uid="{00000000-0005-0000-0000-000092630000}"/>
    <cellStyle name="Saída 3 3 3 2 8" xfId="7641" xr:uid="{00000000-0005-0000-0000-000093630000}"/>
    <cellStyle name="Saída 3 3 3 2 8 2" xfId="11662" xr:uid="{00000000-0005-0000-0000-000094630000}"/>
    <cellStyle name="Saída 3 3 3 2 8 3" xfId="17962" xr:uid="{00000000-0005-0000-0000-000095630000}"/>
    <cellStyle name="Saída 3 3 3 2 8 4" xfId="21159" xr:uid="{00000000-0005-0000-0000-000096630000}"/>
    <cellStyle name="Saída 3 3 3 2 9" xfId="5029" xr:uid="{00000000-0005-0000-0000-000097630000}"/>
    <cellStyle name="Saída 3 3 3 2 9 2" xfId="15985" xr:uid="{00000000-0005-0000-0000-000098630000}"/>
    <cellStyle name="Saída 3 3 3 2 9 3" xfId="12990" xr:uid="{00000000-0005-0000-0000-000099630000}"/>
    <cellStyle name="Saída 3 3 3 3" xfId="3069" xr:uid="{00000000-0005-0000-0000-00009A630000}"/>
    <cellStyle name="Saída 3 3 3 3 2" xfId="3456" xr:uid="{00000000-0005-0000-0000-00009B630000}"/>
    <cellStyle name="Saída 3 3 3 3 2 2" xfId="7238" xr:uid="{00000000-0005-0000-0000-00009C630000}"/>
    <cellStyle name="Saída 3 3 3 3 2 2 2" xfId="17641" xr:uid="{00000000-0005-0000-0000-00009D630000}"/>
    <cellStyle name="Saída 3 3 3 3 2 2 3" xfId="20756" xr:uid="{00000000-0005-0000-0000-00009E630000}"/>
    <cellStyle name="Saída 3 3 3 3 2 3" xfId="9561" xr:uid="{00000000-0005-0000-0000-00009F630000}"/>
    <cellStyle name="Saída 3 3 3 3 2 4" xfId="14817" xr:uid="{00000000-0005-0000-0000-0000A0630000}"/>
    <cellStyle name="Saída 3 3 3 3 2 5" xfId="15285" xr:uid="{00000000-0005-0000-0000-0000A1630000}"/>
    <cellStyle name="Saída 3 3 3 3 3" xfId="3839" xr:uid="{00000000-0005-0000-0000-0000A2630000}"/>
    <cellStyle name="Saída 3 3 3 3 3 2" xfId="15093" xr:uid="{00000000-0005-0000-0000-0000A3630000}"/>
    <cellStyle name="Saída 3 3 3 3 3 3" xfId="14186" xr:uid="{00000000-0005-0000-0000-0000A4630000}"/>
    <cellStyle name="Saída 3 3 3 3 4" xfId="4222" xr:uid="{00000000-0005-0000-0000-0000A5630000}"/>
    <cellStyle name="Saída 3 3 3 3 4 2" xfId="15368" xr:uid="{00000000-0005-0000-0000-0000A6630000}"/>
    <cellStyle name="Saída 3 3 3 3 4 3" xfId="13783" xr:uid="{00000000-0005-0000-0000-0000A7630000}"/>
    <cellStyle name="Saída 3 3 3 3 5" xfId="4604" xr:uid="{00000000-0005-0000-0000-0000A8630000}"/>
    <cellStyle name="Saída 3 3 3 3 5 2" xfId="15642" xr:uid="{00000000-0005-0000-0000-0000A9630000}"/>
    <cellStyle name="Saída 3 3 3 3 5 3" xfId="13401" xr:uid="{00000000-0005-0000-0000-0000AA630000}"/>
    <cellStyle name="Saída 3 3 3 3 6" xfId="5529" xr:uid="{00000000-0005-0000-0000-0000AB630000}"/>
    <cellStyle name="Saída 3 3 3 3 6 2" xfId="16350" xr:uid="{00000000-0005-0000-0000-0000AC630000}"/>
    <cellStyle name="Saída 3 3 3 3 6 3" xfId="19047" xr:uid="{00000000-0005-0000-0000-0000AD630000}"/>
    <cellStyle name="Saída 3 3 3 3 7" xfId="9209" xr:uid="{00000000-0005-0000-0000-0000AE630000}"/>
    <cellStyle name="Saída 3 3 3 3 8" xfId="14537" xr:uid="{00000000-0005-0000-0000-0000AF630000}"/>
    <cellStyle name="Saída 3 3 3 3 9" xfId="15006" xr:uid="{00000000-0005-0000-0000-0000B0630000}"/>
    <cellStyle name="Saída 3 3 3 4" xfId="2859" xr:uid="{00000000-0005-0000-0000-0000B1630000}"/>
    <cellStyle name="Saída 3 3 3 4 2" xfId="7790" xr:uid="{00000000-0005-0000-0000-0000B2630000}"/>
    <cellStyle name="Saída 3 3 3 4 2 2" xfId="11806" xr:uid="{00000000-0005-0000-0000-0000B3630000}"/>
    <cellStyle name="Saída 3 3 3 4 2 3" xfId="18058" xr:uid="{00000000-0005-0000-0000-0000B4630000}"/>
    <cellStyle name="Saída 3 3 3 4 2 4" xfId="21308" xr:uid="{00000000-0005-0000-0000-0000B5630000}"/>
    <cellStyle name="Saída 3 3 3 4 3" xfId="6082" xr:uid="{00000000-0005-0000-0000-0000B6630000}"/>
    <cellStyle name="Saída 3 3 3 4 3 2" xfId="16766" xr:uid="{00000000-0005-0000-0000-0000B7630000}"/>
    <cellStyle name="Saída 3 3 3 4 3 3" xfId="19600" xr:uid="{00000000-0005-0000-0000-0000B8630000}"/>
    <cellStyle name="Saída 3 3 3 4 4" xfId="9012" xr:uid="{00000000-0005-0000-0000-0000B9630000}"/>
    <cellStyle name="Saída 3 3 3 4 5" xfId="14397" xr:uid="{00000000-0005-0000-0000-0000BA630000}"/>
    <cellStyle name="Saída 3 3 3 4 6" xfId="16093" xr:uid="{00000000-0005-0000-0000-0000BB630000}"/>
    <cellStyle name="Saída 3 3 3 5" xfId="5628" xr:uid="{00000000-0005-0000-0000-0000BC630000}"/>
    <cellStyle name="Saída 3 3 3 5 2" xfId="7337" xr:uid="{00000000-0005-0000-0000-0000BD630000}"/>
    <cellStyle name="Saída 3 3 3 5 2 2" xfId="11424" xr:uid="{00000000-0005-0000-0000-0000BE630000}"/>
    <cellStyle name="Saída 3 3 3 5 2 3" xfId="17726" xr:uid="{00000000-0005-0000-0000-0000BF630000}"/>
    <cellStyle name="Saída 3 3 3 5 2 4" xfId="20855" xr:uid="{00000000-0005-0000-0000-0000C0630000}"/>
    <cellStyle name="Saída 3 3 3 5 3" xfId="10502" xr:uid="{00000000-0005-0000-0000-0000C1630000}"/>
    <cellStyle name="Saída 3 3 3 5 4" xfId="16435" xr:uid="{00000000-0005-0000-0000-0000C2630000}"/>
    <cellStyle name="Saída 3 3 3 5 5" xfId="19146" xr:uid="{00000000-0005-0000-0000-0000C3630000}"/>
    <cellStyle name="Saída 3 3 3 6" xfId="6207" xr:uid="{00000000-0005-0000-0000-0000C4630000}"/>
    <cellStyle name="Saída 3 3 3 6 2" xfId="7915" xr:uid="{00000000-0005-0000-0000-0000C5630000}"/>
    <cellStyle name="Saída 3 3 3 6 2 2" xfId="11893" xr:uid="{00000000-0005-0000-0000-0000C6630000}"/>
    <cellStyle name="Saída 3 3 3 6 2 3" xfId="18167" xr:uid="{00000000-0005-0000-0000-0000C7630000}"/>
    <cellStyle name="Saída 3 3 3 6 2 4" xfId="21433" xr:uid="{00000000-0005-0000-0000-0000C8630000}"/>
    <cellStyle name="Saída 3 3 3 6 3" xfId="10847" xr:uid="{00000000-0005-0000-0000-0000C9630000}"/>
    <cellStyle name="Saída 3 3 3 6 4" xfId="16875" xr:uid="{00000000-0005-0000-0000-0000CA630000}"/>
    <cellStyle name="Saída 3 3 3 6 5" xfId="19725" xr:uid="{00000000-0005-0000-0000-0000CB630000}"/>
    <cellStyle name="Saída 3 3 3 7" xfId="6320" xr:uid="{00000000-0005-0000-0000-0000CC630000}"/>
    <cellStyle name="Saída 3 3 3 7 2" xfId="8028" xr:uid="{00000000-0005-0000-0000-0000CD630000}"/>
    <cellStyle name="Saída 3 3 3 7 2 2" xfId="12003" xr:uid="{00000000-0005-0000-0000-0000CE630000}"/>
    <cellStyle name="Saída 3 3 3 7 2 3" xfId="18244" xr:uid="{00000000-0005-0000-0000-0000CF630000}"/>
    <cellStyle name="Saída 3 3 3 7 2 4" xfId="21546" xr:uid="{00000000-0005-0000-0000-0000D0630000}"/>
    <cellStyle name="Saída 3 3 3 7 3" xfId="10862" xr:uid="{00000000-0005-0000-0000-0000D1630000}"/>
    <cellStyle name="Saída 3 3 3 7 4" xfId="16953" xr:uid="{00000000-0005-0000-0000-0000D2630000}"/>
    <cellStyle name="Saída 3 3 3 7 5" xfId="19838" xr:uid="{00000000-0005-0000-0000-0000D3630000}"/>
    <cellStyle name="Saída 3 3 3 8" xfId="5744" xr:uid="{00000000-0005-0000-0000-0000D4630000}"/>
    <cellStyle name="Saída 3 3 3 8 2" xfId="10526" xr:uid="{00000000-0005-0000-0000-0000D5630000}"/>
    <cellStyle name="Saída 3 3 3 8 3" xfId="16525" xr:uid="{00000000-0005-0000-0000-0000D6630000}"/>
    <cellStyle name="Saída 3 3 3 8 4" xfId="19262" xr:uid="{00000000-0005-0000-0000-0000D7630000}"/>
    <cellStyle name="Saída 3 3 3 9" xfId="7453" xr:uid="{00000000-0005-0000-0000-0000D8630000}"/>
    <cellStyle name="Saída 3 3 3 9 2" xfId="11513" xr:uid="{00000000-0005-0000-0000-0000D9630000}"/>
    <cellStyle name="Saída 3 3 3 9 3" xfId="17816" xr:uid="{00000000-0005-0000-0000-0000DA630000}"/>
    <cellStyle name="Saída 3 3 3 9 4" xfId="20971" xr:uid="{00000000-0005-0000-0000-0000DB630000}"/>
    <cellStyle name="Saída 3 3 4" xfId="3182" xr:uid="{00000000-0005-0000-0000-0000DC630000}"/>
    <cellStyle name="Saída 3 3 4 10" xfId="9312" xr:uid="{00000000-0005-0000-0000-0000DD630000}"/>
    <cellStyle name="Saída 3 3 4 11" xfId="14628" xr:uid="{00000000-0005-0000-0000-0000DE630000}"/>
    <cellStyle name="Saída 3 3 4 12" xfId="14419" xr:uid="{00000000-0005-0000-0000-0000DF630000}"/>
    <cellStyle name="Saída 3 3 4 2" xfId="3569" xr:uid="{00000000-0005-0000-0000-0000E0630000}"/>
    <cellStyle name="Saída 3 3 4 2 2" xfId="7316" xr:uid="{00000000-0005-0000-0000-0000E1630000}"/>
    <cellStyle name="Saída 3 3 4 2 2 2" xfId="11406" xr:uid="{00000000-0005-0000-0000-0000E2630000}"/>
    <cellStyle name="Saída 3 3 4 2 2 3" xfId="17709" xr:uid="{00000000-0005-0000-0000-0000E3630000}"/>
    <cellStyle name="Saída 3 3 4 2 2 4" xfId="20834" xr:uid="{00000000-0005-0000-0000-0000E4630000}"/>
    <cellStyle name="Saída 3 3 4 2 3" xfId="5607" xr:uid="{00000000-0005-0000-0000-0000E5630000}"/>
    <cellStyle name="Saída 3 3 4 2 3 2" xfId="16418" xr:uid="{00000000-0005-0000-0000-0000E6630000}"/>
    <cellStyle name="Saída 3 3 4 2 3 3" xfId="19125" xr:uid="{00000000-0005-0000-0000-0000E7630000}"/>
    <cellStyle name="Saída 3 3 4 2 4" xfId="9661" xr:uid="{00000000-0005-0000-0000-0000E8630000}"/>
    <cellStyle name="Saída 3 3 4 2 5" xfId="14908" xr:uid="{00000000-0005-0000-0000-0000E9630000}"/>
    <cellStyle name="Saída 3 3 4 2 6" xfId="18539" xr:uid="{00000000-0005-0000-0000-0000EA630000}"/>
    <cellStyle name="Saída 3 3 4 3" xfId="3952" xr:uid="{00000000-0005-0000-0000-0000EB630000}"/>
    <cellStyle name="Saída 3 3 4 3 2" xfId="8008" xr:uid="{00000000-0005-0000-0000-0000EC630000}"/>
    <cellStyle name="Saída 3 3 4 3 2 2" xfId="11984" xr:uid="{00000000-0005-0000-0000-0000ED630000}"/>
    <cellStyle name="Saída 3 3 4 3 2 3" xfId="18225" xr:uid="{00000000-0005-0000-0000-0000EE630000}"/>
    <cellStyle name="Saída 3 3 4 3 2 4" xfId="21526" xr:uid="{00000000-0005-0000-0000-0000EF630000}"/>
    <cellStyle name="Saída 3 3 4 3 3" xfId="6300" xr:uid="{00000000-0005-0000-0000-0000F0630000}"/>
    <cellStyle name="Saída 3 3 4 3 3 2" xfId="16934" xr:uid="{00000000-0005-0000-0000-0000F1630000}"/>
    <cellStyle name="Saída 3 3 4 3 3 3" xfId="19818" xr:uid="{00000000-0005-0000-0000-0000F2630000}"/>
    <cellStyle name="Saída 3 3 4 3 4" xfId="9875" xr:uid="{00000000-0005-0000-0000-0000F3630000}"/>
    <cellStyle name="Saída 3 3 4 3 5" xfId="15184" xr:uid="{00000000-0005-0000-0000-0000F4630000}"/>
    <cellStyle name="Saída 3 3 4 3 6" xfId="14039" xr:uid="{00000000-0005-0000-0000-0000F5630000}"/>
    <cellStyle name="Saída 3 3 4 4" xfId="4335" xr:uid="{00000000-0005-0000-0000-0000F6630000}"/>
    <cellStyle name="Saída 3 3 4 4 2" xfId="8158" xr:uid="{00000000-0005-0000-0000-0000F7630000}"/>
    <cellStyle name="Saída 3 3 4 4 2 2" xfId="12126" xr:uid="{00000000-0005-0000-0000-0000F8630000}"/>
    <cellStyle name="Saída 3 3 4 4 2 3" xfId="18358" xr:uid="{00000000-0005-0000-0000-0000F9630000}"/>
    <cellStyle name="Saída 3 3 4 4 2 4" xfId="21676" xr:uid="{00000000-0005-0000-0000-0000FA630000}"/>
    <cellStyle name="Saída 3 3 4 4 3" xfId="6450" xr:uid="{00000000-0005-0000-0000-0000FB630000}"/>
    <cellStyle name="Saída 3 3 4 4 3 2" xfId="17067" xr:uid="{00000000-0005-0000-0000-0000FC630000}"/>
    <cellStyle name="Saída 3 3 4 4 3 3" xfId="19968" xr:uid="{00000000-0005-0000-0000-0000FD630000}"/>
    <cellStyle name="Saída 3 3 4 4 4" xfId="10053" xr:uid="{00000000-0005-0000-0000-0000FE630000}"/>
    <cellStyle name="Saída 3 3 4 4 5" xfId="15459" xr:uid="{00000000-0005-0000-0000-0000FF630000}"/>
    <cellStyle name="Saída 3 3 4 4 6" xfId="13670" xr:uid="{00000000-0005-0000-0000-000000640000}"/>
    <cellStyle name="Saída 3 3 4 5" xfId="4717" xr:uid="{00000000-0005-0000-0000-000001640000}"/>
    <cellStyle name="Saída 3 3 4 5 2" xfId="8390" xr:uid="{00000000-0005-0000-0000-000002640000}"/>
    <cellStyle name="Saída 3 3 4 5 2 2" xfId="12358" xr:uid="{00000000-0005-0000-0000-000003640000}"/>
    <cellStyle name="Saída 3 3 4 5 2 3" xfId="18529" xr:uid="{00000000-0005-0000-0000-000004640000}"/>
    <cellStyle name="Saída 3 3 4 5 2 4" xfId="21908" xr:uid="{00000000-0005-0000-0000-000005640000}"/>
    <cellStyle name="Saída 3 3 4 5 3" xfId="6682" xr:uid="{00000000-0005-0000-0000-000006640000}"/>
    <cellStyle name="Saída 3 3 4 5 3 2" xfId="17238" xr:uid="{00000000-0005-0000-0000-000007640000}"/>
    <cellStyle name="Saída 3 3 4 5 3 3" xfId="20200" xr:uid="{00000000-0005-0000-0000-000008640000}"/>
    <cellStyle name="Saída 3 3 4 5 4" xfId="10230" xr:uid="{00000000-0005-0000-0000-000009640000}"/>
    <cellStyle name="Saída 3 3 4 5 5" xfId="15733" xr:uid="{00000000-0005-0000-0000-00000A640000}"/>
    <cellStyle name="Saída 3 3 4 5 6" xfId="13288" xr:uid="{00000000-0005-0000-0000-00000B640000}"/>
    <cellStyle name="Saída 3 3 4 6" xfId="6914" xr:uid="{00000000-0005-0000-0000-00000C640000}"/>
    <cellStyle name="Saída 3 3 4 6 2" xfId="8622" xr:uid="{00000000-0005-0000-0000-00000D640000}"/>
    <cellStyle name="Saída 3 3 4 6 2 2" xfId="12590" xr:uid="{00000000-0005-0000-0000-00000E640000}"/>
    <cellStyle name="Saída 3 3 4 6 2 3" xfId="18700" xr:uid="{00000000-0005-0000-0000-00000F640000}"/>
    <cellStyle name="Saída 3 3 4 6 2 4" xfId="22140" xr:uid="{00000000-0005-0000-0000-000010640000}"/>
    <cellStyle name="Saída 3 3 4 6 3" xfId="11048" xr:uid="{00000000-0005-0000-0000-000011640000}"/>
    <cellStyle name="Saída 3 3 4 6 4" xfId="17408" xr:uid="{00000000-0005-0000-0000-000012640000}"/>
    <cellStyle name="Saída 3 3 4 6 5" xfId="20432" xr:uid="{00000000-0005-0000-0000-000013640000}"/>
    <cellStyle name="Saída 3 3 4 7" xfId="5902" xr:uid="{00000000-0005-0000-0000-000014640000}"/>
    <cellStyle name="Saída 3 3 4 7 2" xfId="10643" xr:uid="{00000000-0005-0000-0000-000015640000}"/>
    <cellStyle name="Saída 3 3 4 7 3" xfId="16646" xr:uid="{00000000-0005-0000-0000-000016640000}"/>
    <cellStyle name="Saída 3 3 4 7 4" xfId="19420" xr:uid="{00000000-0005-0000-0000-000017640000}"/>
    <cellStyle name="Saída 3 3 4 8" xfId="7610" xr:uid="{00000000-0005-0000-0000-000018640000}"/>
    <cellStyle name="Saída 3 3 4 8 2" xfId="11631" xr:uid="{00000000-0005-0000-0000-000019640000}"/>
    <cellStyle name="Saída 3 3 4 8 3" xfId="17938" xr:uid="{00000000-0005-0000-0000-00001A640000}"/>
    <cellStyle name="Saída 3 3 4 8 4" xfId="21128" xr:uid="{00000000-0005-0000-0000-00001B640000}"/>
    <cellStyle name="Saída 3 3 4 9" xfId="4997" xr:uid="{00000000-0005-0000-0000-00001C640000}"/>
    <cellStyle name="Saída 3 3 4 9 2" xfId="15961" xr:uid="{00000000-0005-0000-0000-00001D640000}"/>
    <cellStyle name="Saída 3 3 4 9 3" xfId="13022" xr:uid="{00000000-0005-0000-0000-00001E640000}"/>
    <cellStyle name="Saída 3 3 5" xfId="3044" xr:uid="{00000000-0005-0000-0000-00001F640000}"/>
    <cellStyle name="Saída 3 3 5 2" xfId="3431" xr:uid="{00000000-0005-0000-0000-000020640000}"/>
    <cellStyle name="Saída 3 3 5 2 2" xfId="7232" xr:uid="{00000000-0005-0000-0000-000021640000}"/>
    <cellStyle name="Saída 3 3 5 2 2 2" xfId="17635" xr:uid="{00000000-0005-0000-0000-000022640000}"/>
    <cellStyle name="Saída 3 3 5 2 2 3" xfId="20750" xr:uid="{00000000-0005-0000-0000-000023640000}"/>
    <cellStyle name="Saída 3 3 5 2 3" xfId="9543" xr:uid="{00000000-0005-0000-0000-000024640000}"/>
    <cellStyle name="Saída 3 3 5 2 4" xfId="14798" xr:uid="{00000000-0005-0000-0000-000025640000}"/>
    <cellStyle name="Saída 3 3 5 2 5" xfId="18678" xr:uid="{00000000-0005-0000-0000-000026640000}"/>
    <cellStyle name="Saída 3 3 5 3" xfId="3814" xr:uid="{00000000-0005-0000-0000-000027640000}"/>
    <cellStyle name="Saída 3 3 5 3 2" xfId="15074" xr:uid="{00000000-0005-0000-0000-000028640000}"/>
    <cellStyle name="Saída 3 3 5 3 3" xfId="14751" xr:uid="{00000000-0005-0000-0000-000029640000}"/>
    <cellStyle name="Saída 3 3 5 4" xfId="4197" xr:uid="{00000000-0005-0000-0000-00002A640000}"/>
    <cellStyle name="Saída 3 3 5 4 2" xfId="15349" xr:uid="{00000000-0005-0000-0000-00002B640000}"/>
    <cellStyle name="Saída 3 3 5 4 3" xfId="13808" xr:uid="{00000000-0005-0000-0000-00002C640000}"/>
    <cellStyle name="Saída 3 3 5 5" xfId="4579" xr:uid="{00000000-0005-0000-0000-00002D640000}"/>
    <cellStyle name="Saída 3 3 5 5 2" xfId="15623" xr:uid="{00000000-0005-0000-0000-00002E640000}"/>
    <cellStyle name="Saída 3 3 5 5 3" xfId="13426" xr:uid="{00000000-0005-0000-0000-00002F640000}"/>
    <cellStyle name="Saída 3 3 5 6" xfId="5523" xr:uid="{00000000-0005-0000-0000-000030640000}"/>
    <cellStyle name="Saída 3 3 5 6 2" xfId="16344" xr:uid="{00000000-0005-0000-0000-000031640000}"/>
    <cellStyle name="Saída 3 3 5 6 3" xfId="19041" xr:uid="{00000000-0005-0000-0000-000032640000}"/>
    <cellStyle name="Saída 3 3 5 7" xfId="9184" xr:uid="{00000000-0005-0000-0000-000033640000}"/>
    <cellStyle name="Saída 3 3 5 8" xfId="14518" xr:uid="{00000000-0005-0000-0000-000034640000}"/>
    <cellStyle name="Saída 3 3 5 9" xfId="14468" xr:uid="{00000000-0005-0000-0000-000035640000}"/>
    <cellStyle name="Saída 3 3 6" xfId="6167" xr:uid="{00000000-0005-0000-0000-000036640000}"/>
    <cellStyle name="Saída 3 3 6 2" xfId="7875" xr:uid="{00000000-0005-0000-0000-000037640000}"/>
    <cellStyle name="Saída 3 3 6 2 2" xfId="11866" xr:uid="{00000000-0005-0000-0000-000038640000}"/>
    <cellStyle name="Saída 3 3 6 2 3" xfId="18132" xr:uid="{00000000-0005-0000-0000-000039640000}"/>
    <cellStyle name="Saída 3 3 6 2 4" xfId="21393" xr:uid="{00000000-0005-0000-0000-00003A640000}"/>
    <cellStyle name="Saída 3 3 6 3" xfId="10830" xr:uid="{00000000-0005-0000-0000-00003B640000}"/>
    <cellStyle name="Saída 3 3 6 4" xfId="16840" xr:uid="{00000000-0005-0000-0000-00003C640000}"/>
    <cellStyle name="Saída 3 3 6 5" xfId="19685" xr:uid="{00000000-0005-0000-0000-00003D640000}"/>
    <cellStyle name="Saída 3 3 7" xfId="5513" xr:uid="{00000000-0005-0000-0000-00003E640000}"/>
    <cellStyle name="Saída 3 3 7 2" xfId="7222" xr:uid="{00000000-0005-0000-0000-00003F640000}"/>
    <cellStyle name="Saída 3 3 7 2 2" xfId="11347" xr:uid="{00000000-0005-0000-0000-000040640000}"/>
    <cellStyle name="Saída 3 3 7 2 3" xfId="17625" xr:uid="{00000000-0005-0000-0000-000041640000}"/>
    <cellStyle name="Saída 3 3 7 2 4" xfId="20740" xr:uid="{00000000-0005-0000-0000-000042640000}"/>
    <cellStyle name="Saída 3 3 7 3" xfId="10487" xr:uid="{00000000-0005-0000-0000-000043640000}"/>
    <cellStyle name="Saída 3 3 7 4" xfId="16334" xr:uid="{00000000-0005-0000-0000-000044640000}"/>
    <cellStyle name="Saída 3 3 7 5" xfId="19031" xr:uid="{00000000-0005-0000-0000-000045640000}"/>
    <cellStyle name="Saída 3 3 8" xfId="6174" xr:uid="{00000000-0005-0000-0000-000046640000}"/>
    <cellStyle name="Saída 3 3 8 2" xfId="7882" xr:uid="{00000000-0005-0000-0000-000047640000}"/>
    <cellStyle name="Saída 3 3 8 2 2" xfId="11873" xr:uid="{00000000-0005-0000-0000-000048640000}"/>
    <cellStyle name="Saída 3 3 8 2 3" xfId="18138" xr:uid="{00000000-0005-0000-0000-000049640000}"/>
    <cellStyle name="Saída 3 3 8 2 4" xfId="21400" xr:uid="{00000000-0005-0000-0000-00004A640000}"/>
    <cellStyle name="Saída 3 3 8 3" xfId="10833" xr:uid="{00000000-0005-0000-0000-00004B640000}"/>
    <cellStyle name="Saída 3 3 8 4" xfId="16846" xr:uid="{00000000-0005-0000-0000-00004C640000}"/>
    <cellStyle name="Saída 3 3 8 5" xfId="19692" xr:uid="{00000000-0005-0000-0000-00004D640000}"/>
    <cellStyle name="Saída 3 3 9" xfId="5516" xr:uid="{00000000-0005-0000-0000-00004E640000}"/>
    <cellStyle name="Saída 3 3 9 2" xfId="7225" xr:uid="{00000000-0005-0000-0000-00004F640000}"/>
    <cellStyle name="Saída 3 3 9 2 2" xfId="11350" xr:uid="{00000000-0005-0000-0000-000050640000}"/>
    <cellStyle name="Saída 3 3 9 2 3" xfId="17628" xr:uid="{00000000-0005-0000-0000-000051640000}"/>
    <cellStyle name="Saída 3 3 9 2 4" xfId="20743" xr:uid="{00000000-0005-0000-0000-000052640000}"/>
    <cellStyle name="Saída 3 3 9 3" xfId="10490" xr:uid="{00000000-0005-0000-0000-000053640000}"/>
    <cellStyle name="Saída 3 3 9 4" xfId="16337" xr:uid="{00000000-0005-0000-0000-000054640000}"/>
    <cellStyle name="Saída 3 3 9 5" xfId="19034" xr:uid="{00000000-0005-0000-0000-000055640000}"/>
    <cellStyle name="Saída 3 4" xfId="3011" xr:uid="{00000000-0005-0000-0000-000056640000}"/>
    <cellStyle name="Saída 3 4 2" xfId="3398" xr:uid="{00000000-0005-0000-0000-000057640000}"/>
    <cellStyle name="Saída 3 4 2 2" xfId="7219" xr:uid="{00000000-0005-0000-0000-000058640000}"/>
    <cellStyle name="Saída 3 4 2 2 2" xfId="17622" xr:uid="{00000000-0005-0000-0000-000059640000}"/>
    <cellStyle name="Saída 3 4 2 2 3" xfId="20737" xr:uid="{00000000-0005-0000-0000-00005A640000}"/>
    <cellStyle name="Saída 3 4 2 3" xfId="9518" xr:uid="{00000000-0005-0000-0000-00005B640000}"/>
    <cellStyle name="Saída 3 4 2 4" xfId="14772" xr:uid="{00000000-0005-0000-0000-00005C640000}"/>
    <cellStyle name="Saída 3 4 2 5" xfId="16379" xr:uid="{00000000-0005-0000-0000-00005D640000}"/>
    <cellStyle name="Saída 3 4 3" xfId="3781" xr:uid="{00000000-0005-0000-0000-00005E640000}"/>
    <cellStyle name="Saída 3 4 3 2" xfId="15048" xr:uid="{00000000-0005-0000-0000-00005F640000}"/>
    <cellStyle name="Saída 3 4 3 3" xfId="18034" xr:uid="{00000000-0005-0000-0000-000060640000}"/>
    <cellStyle name="Saída 3 4 4" xfId="4164" xr:uid="{00000000-0005-0000-0000-000061640000}"/>
    <cellStyle name="Saída 3 4 4 2" xfId="15323" xr:uid="{00000000-0005-0000-0000-000062640000}"/>
    <cellStyle name="Saída 3 4 4 3" xfId="13841" xr:uid="{00000000-0005-0000-0000-000063640000}"/>
    <cellStyle name="Saída 3 4 5" xfId="4546" xr:uid="{00000000-0005-0000-0000-000064640000}"/>
    <cellStyle name="Saída 3 4 5 2" xfId="15597" xr:uid="{00000000-0005-0000-0000-000065640000}"/>
    <cellStyle name="Saída 3 4 5 3" xfId="13459" xr:uid="{00000000-0005-0000-0000-000066640000}"/>
    <cellStyle name="Saída 3 4 6" xfId="5510" xr:uid="{00000000-0005-0000-0000-000067640000}"/>
    <cellStyle name="Saída 3 4 6 2" xfId="16331" xr:uid="{00000000-0005-0000-0000-000068640000}"/>
    <cellStyle name="Saída 3 4 6 3" xfId="19028" xr:uid="{00000000-0005-0000-0000-000069640000}"/>
    <cellStyle name="Saída 3 4 7" xfId="9154" xr:uid="{00000000-0005-0000-0000-00006A640000}"/>
    <cellStyle name="Saída 3 4 8" xfId="14492" xr:uid="{00000000-0005-0000-0000-00006B640000}"/>
    <cellStyle name="Saída 3 4 9" xfId="16737" xr:uid="{00000000-0005-0000-0000-00006C640000}"/>
    <cellStyle name="Saída 3 5" xfId="3084" xr:uid="{00000000-0005-0000-0000-00006D640000}"/>
    <cellStyle name="Saída 3 5 2" xfId="3471" xr:uid="{00000000-0005-0000-0000-00006E640000}"/>
    <cellStyle name="Saída 3 5 2 2" xfId="8077" xr:uid="{00000000-0005-0000-0000-00006F640000}"/>
    <cellStyle name="Saída 3 5 2 2 2" xfId="18283" xr:uid="{00000000-0005-0000-0000-000070640000}"/>
    <cellStyle name="Saída 3 5 2 2 3" xfId="21595" xr:uid="{00000000-0005-0000-0000-000071640000}"/>
    <cellStyle name="Saída 3 5 2 3" xfId="9571" xr:uid="{00000000-0005-0000-0000-000072640000}"/>
    <cellStyle name="Saída 3 5 2 4" xfId="14828" xr:uid="{00000000-0005-0000-0000-000073640000}"/>
    <cellStyle name="Saída 3 5 2 5" xfId="14998" xr:uid="{00000000-0005-0000-0000-000074640000}"/>
    <cellStyle name="Saída 3 5 3" xfId="3854" xr:uid="{00000000-0005-0000-0000-000075640000}"/>
    <cellStyle name="Saída 3 5 3 2" xfId="15104" xr:uid="{00000000-0005-0000-0000-000076640000}"/>
    <cellStyle name="Saída 3 5 3 3" xfId="14211" xr:uid="{00000000-0005-0000-0000-000077640000}"/>
    <cellStyle name="Saída 3 5 4" xfId="4237" xr:uid="{00000000-0005-0000-0000-000078640000}"/>
    <cellStyle name="Saída 3 5 4 2" xfId="15379" xr:uid="{00000000-0005-0000-0000-000079640000}"/>
    <cellStyle name="Saída 3 5 4 3" xfId="13768" xr:uid="{00000000-0005-0000-0000-00007A640000}"/>
    <cellStyle name="Saída 3 5 5" xfId="4619" xr:uid="{00000000-0005-0000-0000-00007B640000}"/>
    <cellStyle name="Saída 3 5 5 2" xfId="15653" xr:uid="{00000000-0005-0000-0000-00007C640000}"/>
    <cellStyle name="Saída 3 5 5 3" xfId="13386" xr:uid="{00000000-0005-0000-0000-00007D640000}"/>
    <cellStyle name="Saída 3 5 6" xfId="6369" xr:uid="{00000000-0005-0000-0000-00007E640000}"/>
    <cellStyle name="Saída 3 5 6 2" xfId="16992" xr:uid="{00000000-0005-0000-0000-00007F640000}"/>
    <cellStyle name="Saída 3 5 6 3" xfId="19887" xr:uid="{00000000-0005-0000-0000-000080640000}"/>
    <cellStyle name="Saída 3 5 7" xfId="9222" xr:uid="{00000000-0005-0000-0000-000081640000}"/>
    <cellStyle name="Saída 3 5 8" xfId="14548" xr:uid="{00000000-0005-0000-0000-000082640000}"/>
    <cellStyle name="Saída 3 5 9" xfId="16237" xr:uid="{00000000-0005-0000-0000-000083640000}"/>
    <cellStyle name="Saída 3 6" xfId="5332" xr:uid="{00000000-0005-0000-0000-000084640000}"/>
    <cellStyle name="Saída 3 6 2" xfId="5085" xr:uid="{00000000-0005-0000-0000-000085640000}"/>
    <cellStyle name="Saída 3 6 2 2" xfId="10336" xr:uid="{00000000-0005-0000-0000-000086640000}"/>
    <cellStyle name="Saída 3 6 2 3" xfId="16023" xr:uid="{00000000-0005-0000-0000-000087640000}"/>
    <cellStyle name="Saída 3 6 2 4" xfId="12950" xr:uid="{00000000-0005-0000-0000-000088640000}"/>
    <cellStyle name="Saída 3 6 3" xfId="10425" xr:uid="{00000000-0005-0000-0000-000089640000}"/>
    <cellStyle name="Saída 3 6 4" xfId="16201" xr:uid="{00000000-0005-0000-0000-00008A640000}"/>
    <cellStyle name="Saída 3 6 5" xfId="18850" xr:uid="{00000000-0005-0000-0000-00008B640000}"/>
    <cellStyle name="Saída 3 7" xfId="22384" xr:uid="{00000000-0005-0000-0000-00008C640000}"/>
    <cellStyle name="Saída 3 8" xfId="2072" xr:uid="{00000000-0005-0000-0000-00008D640000}"/>
    <cellStyle name="Sep. milhar [0]" xfId="32208" xr:uid="{00000000-0005-0000-0000-00008E640000}"/>
    <cellStyle name="Separador de m" xfId="32209" xr:uid="{00000000-0005-0000-0000-00008F640000}"/>
    <cellStyle name="Separador de milhares 10" xfId="1727" xr:uid="{00000000-0005-0000-0000-000091640000}"/>
    <cellStyle name="Separador de milhares 10 2" xfId="1728" xr:uid="{00000000-0005-0000-0000-000092640000}"/>
    <cellStyle name="Separador de milhares 10 2 2" xfId="1729" xr:uid="{00000000-0005-0000-0000-000093640000}"/>
    <cellStyle name="Separador de milhares 10 2 2 10" xfId="26330" xr:uid="{00000000-0005-0000-0000-000094640000}"/>
    <cellStyle name="Separador de milhares 10 2 2 2" xfId="22463" xr:uid="{00000000-0005-0000-0000-000095640000}"/>
    <cellStyle name="Separador de milhares 10 2 2 2 2" xfId="23019" xr:uid="{00000000-0005-0000-0000-000096640000}"/>
    <cellStyle name="Separador de milhares 10 2 2 2 2 2" xfId="23906" xr:uid="{00000000-0005-0000-0000-000097640000}"/>
    <cellStyle name="Separador de milhares 10 2 2 2 2 2 2" xfId="25682" xr:uid="{00000000-0005-0000-0000-000098640000}"/>
    <cellStyle name="Separador de milhares 10 2 2 2 2 3" xfId="24794" xr:uid="{00000000-0005-0000-0000-000099640000}"/>
    <cellStyle name="Separador de milhares 10 2 2 2 3" xfId="23403" xr:uid="{00000000-0005-0000-0000-00009A640000}"/>
    <cellStyle name="Separador de milhares 10 2 2 2 3 2" xfId="25179" xr:uid="{00000000-0005-0000-0000-00009B640000}"/>
    <cellStyle name="Separador de milhares 10 2 2 2 4" xfId="24291" xr:uid="{00000000-0005-0000-0000-00009C640000}"/>
    <cellStyle name="Separador de milhares 10 2 2 2 5" xfId="26081" xr:uid="{00000000-0005-0000-0000-00009D640000}"/>
    <cellStyle name="Separador de milhares 10 2 2 2 6" xfId="26451" xr:uid="{00000000-0005-0000-0000-00009E640000}"/>
    <cellStyle name="Separador de milhares 10 2 2 3" xfId="22760" xr:uid="{00000000-0005-0000-0000-00009F640000}"/>
    <cellStyle name="Separador de milhares 10 2 2 3 2" xfId="23647" xr:uid="{00000000-0005-0000-0000-0000A0640000}"/>
    <cellStyle name="Separador de milhares 10 2 2 3 2 2" xfId="25423" xr:uid="{00000000-0005-0000-0000-0000A1640000}"/>
    <cellStyle name="Separador de milhares 10 2 2 3 3" xfId="24535" xr:uid="{00000000-0005-0000-0000-0000A2640000}"/>
    <cellStyle name="Separador de milhares 10 2 2 4" xfId="22879" xr:uid="{00000000-0005-0000-0000-0000A3640000}"/>
    <cellStyle name="Separador de milhares 10 2 2 4 2" xfId="23766" xr:uid="{00000000-0005-0000-0000-0000A4640000}"/>
    <cellStyle name="Separador de milhares 10 2 2 4 2 2" xfId="25542" xr:uid="{00000000-0005-0000-0000-0000A5640000}"/>
    <cellStyle name="Separador de milhares 10 2 2 4 3" xfId="24654" xr:uid="{00000000-0005-0000-0000-0000A6640000}"/>
    <cellStyle name="Separador de milhares 10 2 2 5" xfId="23263" xr:uid="{00000000-0005-0000-0000-0000A7640000}"/>
    <cellStyle name="Separador de milhares 10 2 2 5 2" xfId="25039" xr:uid="{00000000-0005-0000-0000-0000A8640000}"/>
    <cellStyle name="Separador de milhares 10 2 2 6" xfId="24151" xr:uid="{00000000-0005-0000-0000-0000A9640000}"/>
    <cellStyle name="Separador de milhares 10 2 2 7" xfId="2336" xr:uid="{00000000-0005-0000-0000-0000AA640000}"/>
    <cellStyle name="Separador de milhares 10 2 2 8" xfId="25925" xr:uid="{00000000-0005-0000-0000-0000AB640000}"/>
    <cellStyle name="Separador de milhares 10 2 2 9" xfId="2193" xr:uid="{00000000-0005-0000-0000-0000AC640000}"/>
    <cellStyle name="Separador de milhares 10 3" xfId="1730" xr:uid="{00000000-0005-0000-0000-0000AD640000}"/>
    <cellStyle name="Separador de milhares 10 3 10" xfId="26331" xr:uid="{00000000-0005-0000-0000-0000AE640000}"/>
    <cellStyle name="Separador de milhares 10 3 2" xfId="22462" xr:uid="{00000000-0005-0000-0000-0000AF640000}"/>
    <cellStyle name="Separador de milhares 10 3 2 2" xfId="23018" xr:uid="{00000000-0005-0000-0000-0000B0640000}"/>
    <cellStyle name="Separador de milhares 10 3 2 2 2" xfId="23905" xr:uid="{00000000-0005-0000-0000-0000B1640000}"/>
    <cellStyle name="Separador de milhares 10 3 2 2 2 2" xfId="25681" xr:uid="{00000000-0005-0000-0000-0000B2640000}"/>
    <cellStyle name="Separador de milhares 10 3 2 2 3" xfId="24793" xr:uid="{00000000-0005-0000-0000-0000B3640000}"/>
    <cellStyle name="Separador de milhares 10 3 2 3" xfId="23402" xr:uid="{00000000-0005-0000-0000-0000B4640000}"/>
    <cellStyle name="Separador de milhares 10 3 2 3 2" xfId="25178" xr:uid="{00000000-0005-0000-0000-0000B5640000}"/>
    <cellStyle name="Separador de milhares 10 3 2 4" xfId="24290" xr:uid="{00000000-0005-0000-0000-0000B6640000}"/>
    <cellStyle name="Separador de milhares 10 3 2 5" xfId="26082" xr:uid="{00000000-0005-0000-0000-0000B7640000}"/>
    <cellStyle name="Separador de milhares 10 3 2 6" xfId="26452" xr:uid="{00000000-0005-0000-0000-0000B8640000}"/>
    <cellStyle name="Separador de milhares 10 3 3" xfId="22759" xr:uid="{00000000-0005-0000-0000-0000B9640000}"/>
    <cellStyle name="Separador de milhares 10 3 3 2" xfId="23646" xr:uid="{00000000-0005-0000-0000-0000BA640000}"/>
    <cellStyle name="Separador de milhares 10 3 3 2 2" xfId="25422" xr:uid="{00000000-0005-0000-0000-0000BB640000}"/>
    <cellStyle name="Separador de milhares 10 3 3 3" xfId="24534" xr:uid="{00000000-0005-0000-0000-0000BC640000}"/>
    <cellStyle name="Separador de milhares 10 3 4" xfId="22878" xr:uid="{00000000-0005-0000-0000-0000BD640000}"/>
    <cellStyle name="Separador de milhares 10 3 4 2" xfId="23765" xr:uid="{00000000-0005-0000-0000-0000BE640000}"/>
    <cellStyle name="Separador de milhares 10 3 4 2 2" xfId="25541" xr:uid="{00000000-0005-0000-0000-0000BF640000}"/>
    <cellStyle name="Separador de milhares 10 3 4 3" xfId="24653" xr:uid="{00000000-0005-0000-0000-0000C0640000}"/>
    <cellStyle name="Separador de milhares 10 3 5" xfId="23262" xr:uid="{00000000-0005-0000-0000-0000C1640000}"/>
    <cellStyle name="Separador de milhares 10 3 5 2" xfId="25038" xr:uid="{00000000-0005-0000-0000-0000C2640000}"/>
    <cellStyle name="Separador de milhares 10 3 6" xfId="24150" xr:uid="{00000000-0005-0000-0000-0000C3640000}"/>
    <cellStyle name="Separador de milhares 10 3 7" xfId="2335" xr:uid="{00000000-0005-0000-0000-0000C4640000}"/>
    <cellStyle name="Separador de milhares 10 3 8" xfId="25926" xr:uid="{00000000-0005-0000-0000-0000C5640000}"/>
    <cellStyle name="Separador de milhares 10 3 9" xfId="2192" xr:uid="{00000000-0005-0000-0000-0000C6640000}"/>
    <cellStyle name="Separador de milhares 10 4" xfId="1731" xr:uid="{00000000-0005-0000-0000-0000C7640000}"/>
    <cellStyle name="Separador de milhares 10 4 2" xfId="1732" xr:uid="{00000000-0005-0000-0000-0000C8640000}"/>
    <cellStyle name="Separador de milhares 10 4 2 2" xfId="2582" xr:uid="{00000000-0005-0000-0000-0000C9640000}"/>
    <cellStyle name="Separador de milhares 10 4 2 2 2" xfId="22434" xr:uid="{00000000-0005-0000-0000-0000CA640000}"/>
    <cellStyle name="Separador de milhares 10 4 2 2 2 2" xfId="22708" xr:uid="{00000000-0005-0000-0000-0000CB640000}"/>
    <cellStyle name="Separador de milhares 10 4 2 2 2 2 2" xfId="23241" xr:uid="{00000000-0005-0000-0000-0000CC640000}"/>
    <cellStyle name="Separador de milhares 10 4 2 2 2 2 2 2" xfId="24128" xr:uid="{00000000-0005-0000-0000-0000CD640000}"/>
    <cellStyle name="Separador de milhares 10 4 2 2 2 2 2 2 2" xfId="25904" xr:uid="{00000000-0005-0000-0000-0000CE640000}"/>
    <cellStyle name="Separador de milhares 10 4 2 2 2 2 2 3" xfId="25016" xr:uid="{00000000-0005-0000-0000-0000CF640000}"/>
    <cellStyle name="Separador de milhares 10 4 2 2 2 2 3" xfId="23625" xr:uid="{00000000-0005-0000-0000-0000D0640000}"/>
    <cellStyle name="Separador de milhares 10 4 2 2 2 2 3 2" xfId="25401" xr:uid="{00000000-0005-0000-0000-0000D1640000}"/>
    <cellStyle name="Separador de milhares 10 4 2 2 2 2 4" xfId="24513" xr:uid="{00000000-0005-0000-0000-0000D2640000}"/>
    <cellStyle name="Separador de milhares 10 4 2 2 3" xfId="22621" xr:uid="{00000000-0005-0000-0000-0000D3640000}"/>
    <cellStyle name="Separador de milhares 10 4 2 2 3 2" xfId="23177" xr:uid="{00000000-0005-0000-0000-0000D4640000}"/>
    <cellStyle name="Separador de milhares 10 4 2 2 3 2 2" xfId="24064" xr:uid="{00000000-0005-0000-0000-0000D5640000}"/>
    <cellStyle name="Separador de milhares 10 4 2 2 3 2 2 2" xfId="25840" xr:uid="{00000000-0005-0000-0000-0000D6640000}"/>
    <cellStyle name="Separador de milhares 10 4 2 2 3 2 3" xfId="24952" xr:uid="{00000000-0005-0000-0000-0000D7640000}"/>
    <cellStyle name="Separador de milhares 10 4 2 2 3 3" xfId="23561" xr:uid="{00000000-0005-0000-0000-0000D8640000}"/>
    <cellStyle name="Separador de milhares 10 4 2 2 3 3 2" xfId="25337" xr:uid="{00000000-0005-0000-0000-0000D9640000}"/>
    <cellStyle name="Separador de milhares 10 4 2 2 3 4" xfId="24449" xr:uid="{00000000-0005-0000-0000-0000DA640000}"/>
    <cellStyle name="Separador de milhares 10 4 2 3" xfId="22591" xr:uid="{00000000-0005-0000-0000-0000DB640000}"/>
    <cellStyle name="Separador de milhares 10 4 2 3 2" xfId="23147" xr:uid="{00000000-0005-0000-0000-0000DC640000}"/>
    <cellStyle name="Separador de milhares 10 4 2 3 2 2" xfId="24034" xr:uid="{00000000-0005-0000-0000-0000DD640000}"/>
    <cellStyle name="Separador de milhares 10 4 2 3 2 2 2" xfId="25810" xr:uid="{00000000-0005-0000-0000-0000DE640000}"/>
    <cellStyle name="Separador de milhares 10 4 2 3 2 3" xfId="24922" xr:uid="{00000000-0005-0000-0000-0000DF640000}"/>
    <cellStyle name="Separador de milhares 10 4 2 3 3" xfId="23531" xr:uid="{00000000-0005-0000-0000-0000E0640000}"/>
    <cellStyle name="Separador de milhares 10 4 2 3 3 2" xfId="25307" xr:uid="{00000000-0005-0000-0000-0000E1640000}"/>
    <cellStyle name="Separador de milhares 10 4 2 3 4" xfId="24419" xr:uid="{00000000-0005-0000-0000-0000E2640000}"/>
    <cellStyle name="Separador de milhares 10 4 2 4" xfId="2483" xr:uid="{00000000-0005-0000-0000-0000E3640000}"/>
    <cellStyle name="Separador de milhares 10 4 3" xfId="22306" xr:uid="{00000000-0005-0000-0000-0000E4640000}"/>
    <cellStyle name="Separador de milhares 10 4 3 2" xfId="22322" xr:uid="{00000000-0005-0000-0000-0000E5640000}"/>
    <cellStyle name="Separador de milhares 10 4 3 2 2" xfId="22651" xr:uid="{00000000-0005-0000-0000-0000E6640000}"/>
    <cellStyle name="Separador de milhares 10 4 3 2 2 2" xfId="23207" xr:uid="{00000000-0005-0000-0000-0000E7640000}"/>
    <cellStyle name="Separador de milhares 10 4 3 2 2 2 2" xfId="24094" xr:uid="{00000000-0005-0000-0000-0000E8640000}"/>
    <cellStyle name="Separador de milhares 10 4 3 2 2 2 2 2" xfId="25870" xr:uid="{00000000-0005-0000-0000-0000E9640000}"/>
    <cellStyle name="Separador de milhares 10 4 3 2 2 2 3" xfId="24982" xr:uid="{00000000-0005-0000-0000-0000EA640000}"/>
    <cellStyle name="Separador de milhares 10 4 3 2 2 3" xfId="23591" xr:uid="{00000000-0005-0000-0000-0000EB640000}"/>
    <cellStyle name="Separador de milhares 10 4 3 2 2 3 2" xfId="25367" xr:uid="{00000000-0005-0000-0000-0000EC640000}"/>
    <cellStyle name="Separador de milhares 10 4 3 2 2 4" xfId="24479" xr:uid="{00000000-0005-0000-0000-0000ED640000}"/>
    <cellStyle name="Separador de milhares 10 4 3 3" xfId="22344" xr:uid="{00000000-0005-0000-0000-0000EE640000}"/>
    <cellStyle name="Separador de milhares 10 4 3 3 2" xfId="22372" xr:uid="{00000000-0005-0000-0000-0000EF640000}"/>
    <cellStyle name="Separador de milhares 10 4 3 3 2 2" xfId="22671" xr:uid="{00000000-0005-0000-0000-0000F0640000}"/>
    <cellStyle name="Separador de milhares 10 4 3 3 2 2 2" xfId="23227" xr:uid="{00000000-0005-0000-0000-0000F1640000}"/>
    <cellStyle name="Separador de milhares 10 4 3 3 2 2 2 2" xfId="24114" xr:uid="{00000000-0005-0000-0000-0000F2640000}"/>
    <cellStyle name="Separador de milhares 10 4 3 3 2 2 2 2 2" xfId="25890" xr:uid="{00000000-0005-0000-0000-0000F3640000}"/>
    <cellStyle name="Separador de milhares 10 4 3 3 2 2 2 3" xfId="25002" xr:uid="{00000000-0005-0000-0000-0000F4640000}"/>
    <cellStyle name="Separador de milhares 10 4 3 3 2 2 3" xfId="23611" xr:uid="{00000000-0005-0000-0000-0000F5640000}"/>
    <cellStyle name="Separador de milhares 10 4 3 3 2 2 3 2" xfId="25387" xr:uid="{00000000-0005-0000-0000-0000F6640000}"/>
    <cellStyle name="Separador de milhares 10 4 3 3 2 2 4" xfId="24499" xr:uid="{00000000-0005-0000-0000-0000F7640000}"/>
    <cellStyle name="Separador de milhares 10 4 3 3 3" xfId="22421" xr:uid="{00000000-0005-0000-0000-0000F8640000}"/>
    <cellStyle name="Separador de milhares 10 4 3 3 3 2" xfId="22695" xr:uid="{00000000-0005-0000-0000-0000F9640000}"/>
    <cellStyle name="Separador de milhares 10 4 3 3 3 2 2" xfId="23237" xr:uid="{00000000-0005-0000-0000-0000FA640000}"/>
    <cellStyle name="Separador de milhares 10 4 3 3 3 2 2 2" xfId="24124" xr:uid="{00000000-0005-0000-0000-0000FB640000}"/>
    <cellStyle name="Separador de milhares 10 4 3 3 3 2 2 2 2" xfId="25900" xr:uid="{00000000-0005-0000-0000-0000FC640000}"/>
    <cellStyle name="Separador de milhares 10 4 3 3 3 2 2 3" xfId="25012" xr:uid="{00000000-0005-0000-0000-0000FD640000}"/>
    <cellStyle name="Separador de milhares 10 4 3 3 3 2 3" xfId="23621" xr:uid="{00000000-0005-0000-0000-0000FE640000}"/>
    <cellStyle name="Separador de milhares 10 4 3 3 3 2 3 2" xfId="25397" xr:uid="{00000000-0005-0000-0000-0000FF640000}"/>
    <cellStyle name="Separador de milhares 10 4 3 3 3 2 4" xfId="24509" xr:uid="{00000000-0005-0000-0000-000000650000}"/>
    <cellStyle name="Separador de milhares 10 4 3 3 4" xfId="22659" xr:uid="{00000000-0005-0000-0000-000001650000}"/>
    <cellStyle name="Separador de milhares 10 4 3 3 4 2" xfId="23215" xr:uid="{00000000-0005-0000-0000-000002650000}"/>
    <cellStyle name="Separador de milhares 10 4 3 3 4 2 2" xfId="24102" xr:uid="{00000000-0005-0000-0000-000003650000}"/>
    <cellStyle name="Separador de milhares 10 4 3 3 4 2 2 2" xfId="25878" xr:uid="{00000000-0005-0000-0000-000004650000}"/>
    <cellStyle name="Separador de milhares 10 4 3 3 4 2 3" xfId="24990" xr:uid="{00000000-0005-0000-0000-000005650000}"/>
    <cellStyle name="Separador de milhares 10 4 3 3 4 3" xfId="23599" xr:uid="{00000000-0005-0000-0000-000006650000}"/>
    <cellStyle name="Separador de milhares 10 4 3 3 4 3 2" xfId="25375" xr:uid="{00000000-0005-0000-0000-000007650000}"/>
    <cellStyle name="Separador de milhares 10 4 3 3 4 4" xfId="24487" xr:uid="{00000000-0005-0000-0000-000008650000}"/>
    <cellStyle name="Separador de milhares 10 4 3 4" xfId="22360" xr:uid="{00000000-0005-0000-0000-000009650000}"/>
    <cellStyle name="Separador de milhares 10 4 3 4 2" xfId="22665" xr:uid="{00000000-0005-0000-0000-00000A650000}"/>
    <cellStyle name="Separador de milhares 10 4 3 4 2 2" xfId="23221" xr:uid="{00000000-0005-0000-0000-00000B650000}"/>
    <cellStyle name="Separador de milhares 10 4 3 4 2 2 2" xfId="24108" xr:uid="{00000000-0005-0000-0000-00000C650000}"/>
    <cellStyle name="Separador de milhares 10 4 3 4 2 2 2 2" xfId="25884" xr:uid="{00000000-0005-0000-0000-00000D650000}"/>
    <cellStyle name="Separador de milhares 10 4 3 4 2 2 3" xfId="24996" xr:uid="{00000000-0005-0000-0000-00000E650000}"/>
    <cellStyle name="Separador de milhares 10 4 3 4 2 3" xfId="23605" xr:uid="{00000000-0005-0000-0000-00000F650000}"/>
    <cellStyle name="Separador de milhares 10 4 3 4 2 3 2" xfId="25381" xr:uid="{00000000-0005-0000-0000-000010650000}"/>
    <cellStyle name="Separador de milhares 10 4 3 4 2 4" xfId="24493" xr:uid="{00000000-0005-0000-0000-000011650000}"/>
    <cellStyle name="Separador de milhares 10 4 3 5" xfId="22645" xr:uid="{00000000-0005-0000-0000-000012650000}"/>
    <cellStyle name="Separador de milhares 10 4 3 5 2" xfId="23201" xr:uid="{00000000-0005-0000-0000-000013650000}"/>
    <cellStyle name="Separador de milhares 10 4 3 5 2 2" xfId="24088" xr:uid="{00000000-0005-0000-0000-000014650000}"/>
    <cellStyle name="Separador de milhares 10 4 3 5 2 2 2" xfId="25864" xr:uid="{00000000-0005-0000-0000-000015650000}"/>
    <cellStyle name="Separador de milhares 10 4 3 5 2 3" xfId="24976" xr:uid="{00000000-0005-0000-0000-000016650000}"/>
    <cellStyle name="Separador de milhares 10 4 3 5 3" xfId="23585" xr:uid="{00000000-0005-0000-0000-000017650000}"/>
    <cellStyle name="Separador de milhares 10 4 3 5 3 2" xfId="25361" xr:uid="{00000000-0005-0000-0000-000018650000}"/>
    <cellStyle name="Separador de milhares 10 4 3 5 4" xfId="24473" xr:uid="{00000000-0005-0000-0000-000019650000}"/>
    <cellStyle name="Separador de milhares 10 4 4" xfId="22583" xr:uid="{00000000-0005-0000-0000-00001A650000}"/>
    <cellStyle name="Separador de milhares 10 4 4 2" xfId="23139" xr:uid="{00000000-0005-0000-0000-00001B650000}"/>
    <cellStyle name="Separador de milhares 10 4 4 2 2" xfId="24026" xr:uid="{00000000-0005-0000-0000-00001C650000}"/>
    <cellStyle name="Separador de milhares 10 4 4 2 2 2" xfId="25802" xr:uid="{00000000-0005-0000-0000-00001D650000}"/>
    <cellStyle name="Separador de milhares 10 4 4 2 3" xfId="24914" xr:uid="{00000000-0005-0000-0000-00001E650000}"/>
    <cellStyle name="Separador de milhares 10 4 4 3" xfId="23523" xr:uid="{00000000-0005-0000-0000-00001F650000}"/>
    <cellStyle name="Separador de milhares 10 4 4 3 2" xfId="25299" xr:uid="{00000000-0005-0000-0000-000020650000}"/>
    <cellStyle name="Separador de milhares 10 4 4 4" xfId="24411" xr:uid="{00000000-0005-0000-0000-000021650000}"/>
    <cellStyle name="Separador de milhares 10 4 5" xfId="26045" xr:uid="{00000000-0005-0000-0000-000022650000}"/>
    <cellStyle name="Separador de milhares 10 4 6" xfId="2472" xr:uid="{00000000-0005-0000-0000-000023650000}"/>
    <cellStyle name="Separador de milhares 11" xfId="1733" xr:uid="{00000000-0005-0000-0000-000024650000}"/>
    <cellStyle name="Separador de milhares 11 10" xfId="25910" xr:uid="{00000000-0005-0000-0000-000025650000}"/>
    <cellStyle name="Separador de milhares 11 11" xfId="2159" xr:uid="{00000000-0005-0000-0000-000026650000}"/>
    <cellStyle name="Separador de milhares 11 12" xfId="26309" xr:uid="{00000000-0005-0000-0000-000027650000}"/>
    <cellStyle name="Separador de milhares 11 2" xfId="1734" xr:uid="{00000000-0005-0000-0000-000028650000}"/>
    <cellStyle name="Separador de milhares 11 2 10" xfId="26317" xr:uid="{00000000-0005-0000-0000-000029650000}"/>
    <cellStyle name="Separador de milhares 11 2 2" xfId="22443" xr:uid="{00000000-0005-0000-0000-00002A650000}"/>
    <cellStyle name="Separador de milhares 11 2 2 2" xfId="22999" xr:uid="{00000000-0005-0000-0000-00002B650000}"/>
    <cellStyle name="Separador de milhares 11 2 2 2 2" xfId="23886" xr:uid="{00000000-0005-0000-0000-00002C650000}"/>
    <cellStyle name="Separador de milhares 11 2 2 2 2 2" xfId="25662" xr:uid="{00000000-0005-0000-0000-00002D650000}"/>
    <cellStyle name="Separador de milhares 11 2 2 2 3" xfId="24774" xr:uid="{00000000-0005-0000-0000-00002E650000}"/>
    <cellStyle name="Separador de milhares 11 2 2 3" xfId="23383" xr:uid="{00000000-0005-0000-0000-00002F650000}"/>
    <cellStyle name="Separador de milhares 11 2 2 3 2" xfId="25159" xr:uid="{00000000-0005-0000-0000-000030650000}"/>
    <cellStyle name="Separador de milhares 11 2 2 4" xfId="24271" xr:uid="{00000000-0005-0000-0000-000031650000}"/>
    <cellStyle name="Separador de milhares 11 2 2 5" xfId="26084" xr:uid="{00000000-0005-0000-0000-000032650000}"/>
    <cellStyle name="Separador de milhares 11 2 2 6" xfId="26454" xr:uid="{00000000-0005-0000-0000-000033650000}"/>
    <cellStyle name="Separador de milhares 11 2 3" xfId="22747" xr:uid="{00000000-0005-0000-0000-000034650000}"/>
    <cellStyle name="Separador de milhares 11 2 3 2" xfId="23634" xr:uid="{00000000-0005-0000-0000-000035650000}"/>
    <cellStyle name="Separador de milhares 11 2 3 2 2" xfId="25410" xr:uid="{00000000-0005-0000-0000-000036650000}"/>
    <cellStyle name="Separador de milhares 11 2 3 3" xfId="24522" xr:uid="{00000000-0005-0000-0000-000037650000}"/>
    <cellStyle name="Separador de milhares 11 2 4" xfId="22866" xr:uid="{00000000-0005-0000-0000-000038650000}"/>
    <cellStyle name="Separador de milhares 11 2 4 2" xfId="23753" xr:uid="{00000000-0005-0000-0000-000039650000}"/>
    <cellStyle name="Separador de milhares 11 2 4 2 2" xfId="25529" xr:uid="{00000000-0005-0000-0000-00003A650000}"/>
    <cellStyle name="Separador de milhares 11 2 4 3" xfId="24641" xr:uid="{00000000-0005-0000-0000-00003B650000}"/>
    <cellStyle name="Separador de milhares 11 2 5" xfId="23250" xr:uid="{00000000-0005-0000-0000-00003C650000}"/>
    <cellStyle name="Separador de milhares 11 2 5 2" xfId="25026" xr:uid="{00000000-0005-0000-0000-00003D650000}"/>
    <cellStyle name="Separador de milhares 11 2 6" xfId="24138" xr:uid="{00000000-0005-0000-0000-00003E650000}"/>
    <cellStyle name="Separador de milhares 11 2 7" xfId="2311" xr:uid="{00000000-0005-0000-0000-00003F650000}"/>
    <cellStyle name="Separador de milhares 11 2 8" xfId="25914" xr:uid="{00000000-0005-0000-0000-000040650000}"/>
    <cellStyle name="Separador de milhares 11 2 9" xfId="2167" xr:uid="{00000000-0005-0000-0000-000041650000}"/>
    <cellStyle name="Separador de milhares 11 3" xfId="1735" xr:uid="{00000000-0005-0000-0000-000042650000}"/>
    <cellStyle name="Separador de milhares 11 3 10" xfId="26316" xr:uid="{00000000-0005-0000-0000-000043650000}"/>
    <cellStyle name="Separador de milhares 11 3 2" xfId="22442" xr:uid="{00000000-0005-0000-0000-000044650000}"/>
    <cellStyle name="Separador de milhares 11 3 2 2" xfId="22998" xr:uid="{00000000-0005-0000-0000-000045650000}"/>
    <cellStyle name="Separador de milhares 11 3 2 2 2" xfId="23885" xr:uid="{00000000-0005-0000-0000-000046650000}"/>
    <cellStyle name="Separador de milhares 11 3 2 2 2 2" xfId="25661" xr:uid="{00000000-0005-0000-0000-000047650000}"/>
    <cellStyle name="Separador de milhares 11 3 2 2 3" xfId="24773" xr:uid="{00000000-0005-0000-0000-000048650000}"/>
    <cellStyle name="Separador de milhares 11 3 2 3" xfId="23382" xr:uid="{00000000-0005-0000-0000-000049650000}"/>
    <cellStyle name="Separador de milhares 11 3 2 3 2" xfId="25158" xr:uid="{00000000-0005-0000-0000-00004A650000}"/>
    <cellStyle name="Separador de milhares 11 3 2 4" xfId="24270" xr:uid="{00000000-0005-0000-0000-00004B650000}"/>
    <cellStyle name="Separador de milhares 11 3 2 5" xfId="26086" xr:uid="{00000000-0005-0000-0000-00004C650000}"/>
    <cellStyle name="Separador de milhares 11 3 2 6" xfId="26456" xr:uid="{00000000-0005-0000-0000-00004D650000}"/>
    <cellStyle name="Separador de milhares 11 3 3" xfId="22746" xr:uid="{00000000-0005-0000-0000-00004E650000}"/>
    <cellStyle name="Separador de milhares 11 3 3 2" xfId="23633" xr:uid="{00000000-0005-0000-0000-00004F650000}"/>
    <cellStyle name="Separador de milhares 11 3 3 2 2" xfId="25409" xr:uid="{00000000-0005-0000-0000-000050650000}"/>
    <cellStyle name="Separador de milhares 11 3 3 3" xfId="24521" xr:uid="{00000000-0005-0000-0000-000051650000}"/>
    <cellStyle name="Separador de milhares 11 3 3 4" xfId="26085" xr:uid="{00000000-0005-0000-0000-000052650000}"/>
    <cellStyle name="Separador de milhares 11 3 3 5" xfId="26455" xr:uid="{00000000-0005-0000-0000-000053650000}"/>
    <cellStyle name="Separador de milhares 11 3 4" xfId="22865" xr:uid="{00000000-0005-0000-0000-000054650000}"/>
    <cellStyle name="Separador de milhares 11 3 4 2" xfId="23752" xr:uid="{00000000-0005-0000-0000-000055650000}"/>
    <cellStyle name="Separador de milhares 11 3 4 2 2" xfId="25528" xr:uid="{00000000-0005-0000-0000-000056650000}"/>
    <cellStyle name="Separador de milhares 11 3 4 3" xfId="24640" xr:uid="{00000000-0005-0000-0000-000057650000}"/>
    <cellStyle name="Separador de milhares 11 3 4 4" xfId="26662" xr:uid="{00000000-0005-0000-0000-000058650000}"/>
    <cellStyle name="Separador de milhares 11 3 5" xfId="23249" xr:uid="{00000000-0005-0000-0000-000059650000}"/>
    <cellStyle name="Separador de milhares 11 3 5 2" xfId="25025" xr:uid="{00000000-0005-0000-0000-00005A650000}"/>
    <cellStyle name="Separador de milhares 11 3 6" xfId="24137" xr:uid="{00000000-0005-0000-0000-00005B650000}"/>
    <cellStyle name="Separador de milhares 11 3 7" xfId="2310" xr:uid="{00000000-0005-0000-0000-00005C650000}"/>
    <cellStyle name="Separador de milhares 11 3 8" xfId="25913" xr:uid="{00000000-0005-0000-0000-00005D650000}"/>
    <cellStyle name="Separador de milhares 11 3 9" xfId="2166" xr:uid="{00000000-0005-0000-0000-00005E650000}"/>
    <cellStyle name="Separador de milhares 11 4" xfId="22439" xr:uid="{00000000-0005-0000-0000-00005F650000}"/>
    <cellStyle name="Separador de milhares 11 4 2" xfId="22995" xr:uid="{00000000-0005-0000-0000-000060650000}"/>
    <cellStyle name="Separador de milhares 11 4 2 2" xfId="23882" xr:uid="{00000000-0005-0000-0000-000061650000}"/>
    <cellStyle name="Separador de milhares 11 4 2 2 2" xfId="25658" xr:uid="{00000000-0005-0000-0000-000062650000}"/>
    <cellStyle name="Separador de milhares 11 4 2 3" xfId="24770" xr:uid="{00000000-0005-0000-0000-000063650000}"/>
    <cellStyle name="Separador de milhares 11 4 3" xfId="23379" xr:uid="{00000000-0005-0000-0000-000064650000}"/>
    <cellStyle name="Separador de milhares 11 4 3 2" xfId="25155" xr:uid="{00000000-0005-0000-0000-000065650000}"/>
    <cellStyle name="Separador de milhares 11 4 4" xfId="24267" xr:uid="{00000000-0005-0000-0000-000066650000}"/>
    <cellStyle name="Separador de milhares 11 4 5" xfId="26083" xr:uid="{00000000-0005-0000-0000-000067650000}"/>
    <cellStyle name="Separador de milhares 11 4 6" xfId="26453" xr:uid="{00000000-0005-0000-0000-000068650000}"/>
    <cellStyle name="Separador de milhares 11 5" xfId="22743" xr:uid="{00000000-0005-0000-0000-000069650000}"/>
    <cellStyle name="Separador de milhares 11 5 2" xfId="23630" xr:uid="{00000000-0005-0000-0000-00006A650000}"/>
    <cellStyle name="Separador de milhares 11 5 2 2" xfId="25406" xr:uid="{00000000-0005-0000-0000-00006B650000}"/>
    <cellStyle name="Separador de milhares 11 5 3" xfId="24518" xr:uid="{00000000-0005-0000-0000-00006C650000}"/>
    <cellStyle name="Separador de milhares 11 6" xfId="22862" xr:uid="{00000000-0005-0000-0000-00006D650000}"/>
    <cellStyle name="Separador de milhares 11 6 2" xfId="23749" xr:uid="{00000000-0005-0000-0000-00006E650000}"/>
    <cellStyle name="Separador de milhares 11 6 2 2" xfId="25525" xr:uid="{00000000-0005-0000-0000-00006F650000}"/>
    <cellStyle name="Separador de milhares 11 6 3" xfId="24637" xr:uid="{00000000-0005-0000-0000-000070650000}"/>
    <cellStyle name="Separador de milhares 11 7" xfId="23246" xr:uid="{00000000-0005-0000-0000-000071650000}"/>
    <cellStyle name="Separador de milhares 11 7 2" xfId="25022" xr:uid="{00000000-0005-0000-0000-000072650000}"/>
    <cellStyle name="Separador de milhares 11 8" xfId="24134" xr:uid="{00000000-0005-0000-0000-000073650000}"/>
    <cellStyle name="Separador de milhares 11 9" xfId="2306" xr:uid="{00000000-0005-0000-0000-000074650000}"/>
    <cellStyle name="Separador de milhares 12" xfId="1736" xr:uid="{00000000-0005-0000-0000-000075650000}"/>
    <cellStyle name="Separador de milhares 12 10" xfId="25911" xr:uid="{00000000-0005-0000-0000-000076650000}"/>
    <cellStyle name="Separador de milhares 12 11" xfId="2160" xr:uid="{00000000-0005-0000-0000-000077650000}"/>
    <cellStyle name="Separador de milhares 12 12" xfId="26310" xr:uid="{00000000-0005-0000-0000-000078650000}"/>
    <cellStyle name="Separador de milhares 12 2" xfId="1737" xr:uid="{00000000-0005-0000-0000-000079650000}"/>
    <cellStyle name="Separador de milhares 12 2 10" xfId="26318" xr:uid="{00000000-0005-0000-0000-00007A650000}"/>
    <cellStyle name="Separador de milhares 12 2 2" xfId="22444" xr:uid="{00000000-0005-0000-0000-00007B650000}"/>
    <cellStyle name="Separador de milhares 12 2 2 2" xfId="23000" xr:uid="{00000000-0005-0000-0000-00007C650000}"/>
    <cellStyle name="Separador de milhares 12 2 2 2 2" xfId="23887" xr:uid="{00000000-0005-0000-0000-00007D650000}"/>
    <cellStyle name="Separador de milhares 12 2 2 2 2 2" xfId="25663" xr:uid="{00000000-0005-0000-0000-00007E650000}"/>
    <cellStyle name="Separador de milhares 12 2 2 2 3" xfId="24775" xr:uid="{00000000-0005-0000-0000-00007F650000}"/>
    <cellStyle name="Separador de milhares 12 2 2 3" xfId="23384" xr:uid="{00000000-0005-0000-0000-000080650000}"/>
    <cellStyle name="Separador de milhares 12 2 2 3 2" xfId="25160" xr:uid="{00000000-0005-0000-0000-000081650000}"/>
    <cellStyle name="Separador de milhares 12 2 2 4" xfId="24272" xr:uid="{00000000-0005-0000-0000-000082650000}"/>
    <cellStyle name="Separador de milhares 12 2 2 5" xfId="26087" xr:uid="{00000000-0005-0000-0000-000083650000}"/>
    <cellStyle name="Separador de milhares 12 2 2 6" xfId="26457" xr:uid="{00000000-0005-0000-0000-000084650000}"/>
    <cellStyle name="Separador de milhares 12 2 3" xfId="22748" xr:uid="{00000000-0005-0000-0000-000085650000}"/>
    <cellStyle name="Separador de milhares 12 2 3 2" xfId="23635" xr:uid="{00000000-0005-0000-0000-000086650000}"/>
    <cellStyle name="Separador de milhares 12 2 3 2 2" xfId="25411" xr:uid="{00000000-0005-0000-0000-000087650000}"/>
    <cellStyle name="Separador de milhares 12 2 3 3" xfId="24523" xr:uid="{00000000-0005-0000-0000-000088650000}"/>
    <cellStyle name="Separador de milhares 12 2 4" xfId="22867" xr:uid="{00000000-0005-0000-0000-000089650000}"/>
    <cellStyle name="Separador de milhares 12 2 4 2" xfId="23754" xr:uid="{00000000-0005-0000-0000-00008A650000}"/>
    <cellStyle name="Separador de milhares 12 2 4 2 2" xfId="25530" xr:uid="{00000000-0005-0000-0000-00008B650000}"/>
    <cellStyle name="Separador de milhares 12 2 4 3" xfId="24642" xr:uid="{00000000-0005-0000-0000-00008C650000}"/>
    <cellStyle name="Separador de milhares 12 2 5" xfId="23251" xr:uid="{00000000-0005-0000-0000-00008D650000}"/>
    <cellStyle name="Separador de milhares 12 2 5 2" xfId="25027" xr:uid="{00000000-0005-0000-0000-00008E650000}"/>
    <cellStyle name="Separador de milhares 12 2 6" xfId="24139" xr:uid="{00000000-0005-0000-0000-00008F650000}"/>
    <cellStyle name="Separador de milhares 12 2 7" xfId="2313" xr:uid="{00000000-0005-0000-0000-000090650000}"/>
    <cellStyle name="Separador de milhares 12 2 8" xfId="25915" xr:uid="{00000000-0005-0000-0000-000091650000}"/>
    <cellStyle name="Separador de milhares 12 2 9" xfId="2168" xr:uid="{00000000-0005-0000-0000-000092650000}"/>
    <cellStyle name="Separador de milhares 12 3" xfId="1738" xr:uid="{00000000-0005-0000-0000-000093650000}"/>
    <cellStyle name="Separador de milhares 12 3 2" xfId="1739" xr:uid="{00000000-0005-0000-0000-000094650000}"/>
    <cellStyle name="Separador de milhares 12 3 2 2" xfId="22574" xr:uid="{00000000-0005-0000-0000-000095650000}"/>
    <cellStyle name="Separador de milhares 12 3 2 2 2" xfId="23130" xr:uid="{00000000-0005-0000-0000-000096650000}"/>
    <cellStyle name="Separador de milhares 12 3 2 2 2 2" xfId="24017" xr:uid="{00000000-0005-0000-0000-000097650000}"/>
    <cellStyle name="Separador de milhares 12 3 2 2 2 2 2" xfId="25793" xr:uid="{00000000-0005-0000-0000-000098650000}"/>
    <cellStyle name="Separador de milhares 12 3 2 2 2 3" xfId="24905" xr:uid="{00000000-0005-0000-0000-000099650000}"/>
    <cellStyle name="Separador de milhares 12 3 2 2 3" xfId="23514" xr:uid="{00000000-0005-0000-0000-00009A650000}"/>
    <cellStyle name="Separador de milhares 12 3 2 2 3 2" xfId="25290" xr:uid="{00000000-0005-0000-0000-00009B650000}"/>
    <cellStyle name="Separador de milhares 12 3 2 2 4" xfId="24402" xr:uid="{00000000-0005-0000-0000-00009C650000}"/>
    <cellStyle name="Separador de milhares 12 3 2 3" xfId="22981" xr:uid="{00000000-0005-0000-0000-00009D650000}"/>
    <cellStyle name="Separador de milhares 12 3 2 3 2" xfId="23868" xr:uid="{00000000-0005-0000-0000-00009E650000}"/>
    <cellStyle name="Separador de milhares 12 3 2 3 2 2" xfId="25644" xr:uid="{00000000-0005-0000-0000-00009F650000}"/>
    <cellStyle name="Separador de milhares 12 3 2 3 3" xfId="24756" xr:uid="{00000000-0005-0000-0000-0000A0650000}"/>
    <cellStyle name="Separador de milhares 12 3 2 4" xfId="23365" xr:uid="{00000000-0005-0000-0000-0000A1650000}"/>
    <cellStyle name="Separador de milhares 12 3 2 4 2" xfId="25141" xr:uid="{00000000-0005-0000-0000-0000A2650000}"/>
    <cellStyle name="Separador de milhares 12 3 2 5" xfId="24253" xr:uid="{00000000-0005-0000-0000-0000A3650000}"/>
    <cellStyle name="Separador de milhares 12 3 2 6" xfId="26027" xr:uid="{00000000-0005-0000-0000-0000A4650000}"/>
    <cellStyle name="Separador de milhares 12 3 2 7" xfId="2463" xr:uid="{00000000-0005-0000-0000-0000A5650000}"/>
    <cellStyle name="Separador de milhares 12 3 2 8" xfId="26432" xr:uid="{00000000-0005-0000-0000-0000A6650000}"/>
    <cellStyle name="Separador de milhares 12 3 3" xfId="2312" xr:uid="{00000000-0005-0000-0000-0000A7650000}"/>
    <cellStyle name="Separador de milhares 12 4" xfId="22440" xr:uid="{00000000-0005-0000-0000-0000A8650000}"/>
    <cellStyle name="Separador de milhares 12 4 2" xfId="22996" xr:uid="{00000000-0005-0000-0000-0000A9650000}"/>
    <cellStyle name="Separador de milhares 12 4 2 2" xfId="23883" xr:uid="{00000000-0005-0000-0000-0000AA650000}"/>
    <cellStyle name="Separador de milhares 12 4 2 2 2" xfId="25659" xr:uid="{00000000-0005-0000-0000-0000AB650000}"/>
    <cellStyle name="Separador de milhares 12 4 2 3" xfId="24771" xr:uid="{00000000-0005-0000-0000-0000AC650000}"/>
    <cellStyle name="Separador de milhares 12 4 3" xfId="23380" xr:uid="{00000000-0005-0000-0000-0000AD650000}"/>
    <cellStyle name="Separador de milhares 12 4 3 2" xfId="25156" xr:uid="{00000000-0005-0000-0000-0000AE650000}"/>
    <cellStyle name="Separador de milhares 12 4 4" xfId="24268" xr:uid="{00000000-0005-0000-0000-0000AF650000}"/>
    <cellStyle name="Separador de milhares 12 5" xfId="22744" xr:uid="{00000000-0005-0000-0000-0000B0650000}"/>
    <cellStyle name="Separador de milhares 12 5 2" xfId="23631" xr:uid="{00000000-0005-0000-0000-0000B1650000}"/>
    <cellStyle name="Separador de milhares 12 5 2 2" xfId="25407" xr:uid="{00000000-0005-0000-0000-0000B2650000}"/>
    <cellStyle name="Separador de milhares 12 5 3" xfId="24519" xr:uid="{00000000-0005-0000-0000-0000B3650000}"/>
    <cellStyle name="Separador de milhares 12 6" xfId="22863" xr:uid="{00000000-0005-0000-0000-0000B4650000}"/>
    <cellStyle name="Separador de milhares 12 6 2" xfId="23750" xr:uid="{00000000-0005-0000-0000-0000B5650000}"/>
    <cellStyle name="Separador de milhares 12 6 2 2" xfId="25526" xr:uid="{00000000-0005-0000-0000-0000B6650000}"/>
    <cellStyle name="Separador de milhares 12 6 3" xfId="24638" xr:uid="{00000000-0005-0000-0000-0000B7650000}"/>
    <cellStyle name="Separador de milhares 12 7" xfId="23247" xr:uid="{00000000-0005-0000-0000-0000B8650000}"/>
    <cellStyle name="Separador de milhares 12 7 2" xfId="25023" xr:uid="{00000000-0005-0000-0000-0000B9650000}"/>
    <cellStyle name="Separador de milhares 12 8" xfId="24135" xr:uid="{00000000-0005-0000-0000-0000BA650000}"/>
    <cellStyle name="Separador de milhares 12 9" xfId="2307" xr:uid="{00000000-0005-0000-0000-0000BB650000}"/>
    <cellStyle name="Separador de milhares 13" xfId="1740" xr:uid="{00000000-0005-0000-0000-0000BC650000}"/>
    <cellStyle name="Separador de milhares 13 2" xfId="1741" xr:uid="{00000000-0005-0000-0000-0000BD650000}"/>
    <cellStyle name="Separador de milhares 13 2 2" xfId="1742" xr:uid="{00000000-0005-0000-0000-0000BE650000}"/>
    <cellStyle name="Separador de milhares 13 2 2 10" xfId="26024" xr:uid="{00000000-0005-0000-0000-0000BF650000}"/>
    <cellStyle name="Separador de milhares 13 2 2 11" xfId="2288" xr:uid="{00000000-0005-0000-0000-0000C0650000}"/>
    <cellStyle name="Separador de milhares 13 2 2 12" xfId="26429" xr:uid="{00000000-0005-0000-0000-0000C1650000}"/>
    <cellStyle name="Separador de milhares 13 2 2 2" xfId="2633" xr:uid="{00000000-0005-0000-0000-0000C2650000}"/>
    <cellStyle name="Separador de milhares 13 2 2 2 2" xfId="22637" xr:uid="{00000000-0005-0000-0000-0000C3650000}"/>
    <cellStyle name="Separador de milhares 13 2 2 2 2 2" xfId="23193" xr:uid="{00000000-0005-0000-0000-0000C4650000}"/>
    <cellStyle name="Separador de milhares 13 2 2 2 2 2 2" xfId="24080" xr:uid="{00000000-0005-0000-0000-0000C5650000}"/>
    <cellStyle name="Separador de milhares 13 2 2 2 2 2 2 2" xfId="25856" xr:uid="{00000000-0005-0000-0000-0000C6650000}"/>
    <cellStyle name="Separador de milhares 13 2 2 2 2 2 3" xfId="24968" xr:uid="{00000000-0005-0000-0000-0000C7650000}"/>
    <cellStyle name="Separador de milhares 13 2 2 2 2 3" xfId="23577" xr:uid="{00000000-0005-0000-0000-0000C8650000}"/>
    <cellStyle name="Separador de milhares 13 2 2 2 2 3 2" xfId="25353" xr:uid="{00000000-0005-0000-0000-0000C9650000}"/>
    <cellStyle name="Separador de milhares 13 2 2 2 2 4" xfId="24465" xr:uid="{00000000-0005-0000-0000-0000CA650000}"/>
    <cellStyle name="Separador de milhares 13 2 2 2 3" xfId="22991" xr:uid="{00000000-0005-0000-0000-0000CB650000}"/>
    <cellStyle name="Separador de milhares 13 2 2 2 3 2" xfId="23878" xr:uid="{00000000-0005-0000-0000-0000CC650000}"/>
    <cellStyle name="Separador de milhares 13 2 2 2 3 2 2" xfId="25654" xr:uid="{00000000-0005-0000-0000-0000CD650000}"/>
    <cellStyle name="Separador de milhares 13 2 2 2 3 3" xfId="24766" xr:uid="{00000000-0005-0000-0000-0000CE650000}"/>
    <cellStyle name="Separador de milhares 13 2 2 2 4" xfId="23375" xr:uid="{00000000-0005-0000-0000-0000CF650000}"/>
    <cellStyle name="Separador de milhares 13 2 2 2 4 2" xfId="25151" xr:uid="{00000000-0005-0000-0000-0000D0650000}"/>
    <cellStyle name="Separador de milhares 13 2 2 2 5" xfId="24263" xr:uid="{00000000-0005-0000-0000-0000D1650000}"/>
    <cellStyle name="Separador de milhares 13 2 2 3" xfId="2607" xr:uid="{00000000-0005-0000-0000-0000D2650000}"/>
    <cellStyle name="Separador de milhares 13 2 2 3 2" xfId="22628" xr:uid="{00000000-0005-0000-0000-0000D3650000}"/>
    <cellStyle name="Separador de milhares 13 2 2 3 2 2" xfId="23184" xr:uid="{00000000-0005-0000-0000-0000D4650000}"/>
    <cellStyle name="Separador de milhares 13 2 2 3 2 2 2" xfId="24071" xr:uid="{00000000-0005-0000-0000-0000D5650000}"/>
    <cellStyle name="Separador de milhares 13 2 2 3 2 2 2 2" xfId="25847" xr:uid="{00000000-0005-0000-0000-0000D6650000}"/>
    <cellStyle name="Separador de milhares 13 2 2 3 2 2 3" xfId="24959" xr:uid="{00000000-0005-0000-0000-0000D7650000}"/>
    <cellStyle name="Separador de milhares 13 2 2 3 2 3" xfId="23568" xr:uid="{00000000-0005-0000-0000-0000D8650000}"/>
    <cellStyle name="Separador de milhares 13 2 2 3 2 3 2" xfId="25344" xr:uid="{00000000-0005-0000-0000-0000D9650000}"/>
    <cellStyle name="Separador de milhares 13 2 2 3 2 4" xfId="24456" xr:uid="{00000000-0005-0000-0000-0000DA650000}"/>
    <cellStyle name="Separador de milhares 13 2 2 4" xfId="22558" xr:uid="{00000000-0005-0000-0000-0000DB650000}"/>
    <cellStyle name="Separador de milhares 13 2 2 4 2" xfId="23114" xr:uid="{00000000-0005-0000-0000-0000DC650000}"/>
    <cellStyle name="Separador de milhares 13 2 2 4 2 2" xfId="24001" xr:uid="{00000000-0005-0000-0000-0000DD650000}"/>
    <cellStyle name="Separador de milhares 13 2 2 4 2 2 2" xfId="25777" xr:uid="{00000000-0005-0000-0000-0000DE650000}"/>
    <cellStyle name="Separador de milhares 13 2 2 4 2 3" xfId="24889" xr:uid="{00000000-0005-0000-0000-0000DF650000}"/>
    <cellStyle name="Separador de milhares 13 2 2 4 3" xfId="23498" xr:uid="{00000000-0005-0000-0000-0000E0650000}"/>
    <cellStyle name="Separador de milhares 13 2 2 4 3 2" xfId="25274" xr:uid="{00000000-0005-0000-0000-0000E1650000}"/>
    <cellStyle name="Separador de milhares 13 2 2 4 4" xfId="24386" xr:uid="{00000000-0005-0000-0000-0000E2650000}"/>
    <cellStyle name="Separador de milhares 13 2 2 5" xfId="22855" xr:uid="{00000000-0005-0000-0000-0000E3650000}"/>
    <cellStyle name="Separador de milhares 13 2 2 5 2" xfId="23742" xr:uid="{00000000-0005-0000-0000-0000E4650000}"/>
    <cellStyle name="Separador de milhares 13 2 2 5 2 2" xfId="25518" xr:uid="{00000000-0005-0000-0000-0000E5650000}"/>
    <cellStyle name="Separador de milhares 13 2 2 5 3" xfId="24630" xr:uid="{00000000-0005-0000-0000-0000E6650000}"/>
    <cellStyle name="Separador de milhares 13 2 2 6" xfId="22974" xr:uid="{00000000-0005-0000-0000-0000E7650000}"/>
    <cellStyle name="Separador de milhares 13 2 2 6 2" xfId="23861" xr:uid="{00000000-0005-0000-0000-0000E8650000}"/>
    <cellStyle name="Separador de milhares 13 2 2 6 2 2" xfId="25637" xr:uid="{00000000-0005-0000-0000-0000E9650000}"/>
    <cellStyle name="Separador de milhares 13 2 2 6 3" xfId="24749" xr:uid="{00000000-0005-0000-0000-0000EA650000}"/>
    <cellStyle name="Separador de milhares 13 2 2 7" xfId="23358" xr:uid="{00000000-0005-0000-0000-0000EB650000}"/>
    <cellStyle name="Separador de milhares 13 2 2 7 2" xfId="25134" xr:uid="{00000000-0005-0000-0000-0000EC650000}"/>
    <cellStyle name="Separador de milhares 13 2 2 8" xfId="24246" xr:uid="{00000000-0005-0000-0000-0000ED650000}"/>
    <cellStyle name="Separador de milhares 13 2 2 9" xfId="2431" xr:uid="{00000000-0005-0000-0000-0000EE650000}"/>
    <cellStyle name="Separador de milhares 13 2 3" xfId="1743" xr:uid="{00000000-0005-0000-0000-0000EF650000}"/>
    <cellStyle name="Separador de milhares 13 2 3 2" xfId="22611" xr:uid="{00000000-0005-0000-0000-0000F0650000}"/>
    <cellStyle name="Separador de milhares 13 2 3 2 2" xfId="23167" xr:uid="{00000000-0005-0000-0000-0000F1650000}"/>
    <cellStyle name="Separador de milhares 13 2 3 2 2 2" xfId="24054" xr:uid="{00000000-0005-0000-0000-0000F2650000}"/>
    <cellStyle name="Separador de milhares 13 2 3 2 2 2 2" xfId="25830" xr:uid="{00000000-0005-0000-0000-0000F3650000}"/>
    <cellStyle name="Separador de milhares 13 2 3 2 2 3" xfId="24942" xr:uid="{00000000-0005-0000-0000-0000F4650000}"/>
    <cellStyle name="Separador de milhares 13 2 3 2 3" xfId="23551" xr:uid="{00000000-0005-0000-0000-0000F5650000}"/>
    <cellStyle name="Separador de milhares 13 2 3 2 3 2" xfId="25327" xr:uid="{00000000-0005-0000-0000-0000F6650000}"/>
    <cellStyle name="Separador de milhares 13 2 3 2 4" xfId="24439" xr:uid="{00000000-0005-0000-0000-0000F7650000}"/>
    <cellStyle name="Separador de milhares 13 2 3 3" xfId="2562" xr:uid="{00000000-0005-0000-0000-0000F8650000}"/>
    <cellStyle name="Separador de milhares 13 3" xfId="1744" xr:uid="{00000000-0005-0000-0000-0000F9650000}"/>
    <cellStyle name="Separador de milhares 13 3 2" xfId="22580" xr:uid="{00000000-0005-0000-0000-0000FA650000}"/>
    <cellStyle name="Separador de milhares 13 3 2 2" xfId="23136" xr:uid="{00000000-0005-0000-0000-0000FB650000}"/>
    <cellStyle name="Separador de milhares 13 3 2 2 2" xfId="24023" xr:uid="{00000000-0005-0000-0000-0000FC650000}"/>
    <cellStyle name="Separador de milhares 13 3 2 2 2 2" xfId="25799" xr:uid="{00000000-0005-0000-0000-0000FD650000}"/>
    <cellStyle name="Separador de milhares 13 3 2 2 3" xfId="24911" xr:uid="{00000000-0005-0000-0000-0000FE650000}"/>
    <cellStyle name="Separador de milhares 13 3 2 3" xfId="23520" xr:uid="{00000000-0005-0000-0000-0000FF650000}"/>
    <cellStyle name="Separador de milhares 13 3 2 3 2" xfId="25296" xr:uid="{00000000-0005-0000-0000-000000660000}"/>
    <cellStyle name="Separador de milhares 13 3 2 4" xfId="24408" xr:uid="{00000000-0005-0000-0000-000001660000}"/>
    <cellStyle name="Separador de milhares 13 3 3" xfId="2469" xr:uid="{00000000-0005-0000-0000-000002660000}"/>
    <cellStyle name="Separador de milhares 13 4" xfId="1745" xr:uid="{00000000-0005-0000-0000-000003660000}"/>
    <cellStyle name="Separador de milhares 13 4 2" xfId="22578" xr:uid="{00000000-0005-0000-0000-000004660000}"/>
    <cellStyle name="Separador de milhares 13 4 2 2" xfId="23134" xr:uid="{00000000-0005-0000-0000-000005660000}"/>
    <cellStyle name="Separador de milhares 13 4 2 2 2" xfId="24021" xr:uid="{00000000-0005-0000-0000-000006660000}"/>
    <cellStyle name="Separador de milhares 13 4 2 2 2 2" xfId="25797" xr:uid="{00000000-0005-0000-0000-000007660000}"/>
    <cellStyle name="Separador de milhares 13 4 2 2 3" xfId="24909" xr:uid="{00000000-0005-0000-0000-000008660000}"/>
    <cellStyle name="Separador de milhares 13 4 2 3" xfId="23518" xr:uid="{00000000-0005-0000-0000-000009660000}"/>
    <cellStyle name="Separador de milhares 13 4 2 3 2" xfId="25294" xr:uid="{00000000-0005-0000-0000-00000A660000}"/>
    <cellStyle name="Separador de milhares 13 4 2 4" xfId="24406" xr:uid="{00000000-0005-0000-0000-00000B660000}"/>
    <cellStyle name="Separador de milhares 13 4 3" xfId="2467" xr:uid="{00000000-0005-0000-0000-00000C660000}"/>
    <cellStyle name="Separador de milhares 14" xfId="1746" xr:uid="{00000000-0005-0000-0000-00000D660000}"/>
    <cellStyle name="Separador de milhares 14 10" xfId="2627" xr:uid="{00000000-0005-0000-0000-00000E660000}"/>
    <cellStyle name="Separador de milhares 14 10 2" xfId="22633" xr:uid="{00000000-0005-0000-0000-00000F660000}"/>
    <cellStyle name="Separador de milhares 14 10 2 2" xfId="23189" xr:uid="{00000000-0005-0000-0000-000010660000}"/>
    <cellStyle name="Separador de milhares 14 10 2 2 2" xfId="24076" xr:uid="{00000000-0005-0000-0000-000011660000}"/>
    <cellStyle name="Separador de milhares 14 10 2 2 2 2" xfId="25852" xr:uid="{00000000-0005-0000-0000-000012660000}"/>
    <cellStyle name="Separador de milhares 14 10 2 2 3" xfId="24964" xr:uid="{00000000-0005-0000-0000-000013660000}"/>
    <cellStyle name="Separador de milhares 14 10 2 3" xfId="23573" xr:uid="{00000000-0005-0000-0000-000014660000}"/>
    <cellStyle name="Separador de milhares 14 10 2 3 2" xfId="25349" xr:uid="{00000000-0005-0000-0000-000015660000}"/>
    <cellStyle name="Separador de milhares 14 10 2 4" xfId="24461" xr:uid="{00000000-0005-0000-0000-000016660000}"/>
    <cellStyle name="Separador de milhares 14 11" xfId="22324" xr:uid="{00000000-0005-0000-0000-000017660000}"/>
    <cellStyle name="Separador de milhares 14 11 2" xfId="22366" xr:uid="{00000000-0005-0000-0000-000018660000}"/>
    <cellStyle name="Separador de milhares 14 11 2 2" xfId="22669" xr:uid="{00000000-0005-0000-0000-000019660000}"/>
    <cellStyle name="Separador de milhares 14 11 2 2 2" xfId="23225" xr:uid="{00000000-0005-0000-0000-00001A660000}"/>
    <cellStyle name="Separador de milhares 14 11 2 2 2 2" xfId="24112" xr:uid="{00000000-0005-0000-0000-00001B660000}"/>
    <cellStyle name="Separador de milhares 14 11 2 2 2 2 2" xfId="25888" xr:uid="{00000000-0005-0000-0000-00001C660000}"/>
    <cellStyle name="Separador de milhares 14 11 2 2 2 3" xfId="25000" xr:uid="{00000000-0005-0000-0000-00001D660000}"/>
    <cellStyle name="Separador de milhares 14 11 2 2 3" xfId="23609" xr:uid="{00000000-0005-0000-0000-00001E660000}"/>
    <cellStyle name="Separador de milhares 14 11 2 2 3 2" xfId="25385" xr:uid="{00000000-0005-0000-0000-00001F660000}"/>
    <cellStyle name="Separador de milhares 14 11 2 2 4" xfId="24497" xr:uid="{00000000-0005-0000-0000-000020660000}"/>
    <cellStyle name="Separador de milhares 14 11 3" xfId="22401" xr:uid="{00000000-0005-0000-0000-000021660000}"/>
    <cellStyle name="Separador de milhares 14 11 3 2" xfId="22675" xr:uid="{00000000-0005-0000-0000-000022660000}"/>
    <cellStyle name="Separador de milhares 14 11 3 2 2" xfId="23231" xr:uid="{00000000-0005-0000-0000-000023660000}"/>
    <cellStyle name="Separador de milhares 14 11 3 2 2 2" xfId="24118" xr:uid="{00000000-0005-0000-0000-000024660000}"/>
    <cellStyle name="Separador de milhares 14 11 3 2 2 2 2" xfId="25894" xr:uid="{00000000-0005-0000-0000-000025660000}"/>
    <cellStyle name="Separador de milhares 14 11 3 2 2 3" xfId="25006" xr:uid="{00000000-0005-0000-0000-000026660000}"/>
    <cellStyle name="Separador de milhares 14 11 3 2 3" xfId="23615" xr:uid="{00000000-0005-0000-0000-000027660000}"/>
    <cellStyle name="Separador de milhares 14 11 3 2 3 2" xfId="25391" xr:uid="{00000000-0005-0000-0000-000028660000}"/>
    <cellStyle name="Separador de milhares 14 11 3 2 4" xfId="24503" xr:uid="{00000000-0005-0000-0000-000029660000}"/>
    <cellStyle name="Separador de milhares 14 11 4" xfId="22653" xr:uid="{00000000-0005-0000-0000-00002A660000}"/>
    <cellStyle name="Separador de milhares 14 11 4 2" xfId="23209" xr:uid="{00000000-0005-0000-0000-00002B660000}"/>
    <cellStyle name="Separador de milhares 14 11 4 2 2" xfId="24096" xr:uid="{00000000-0005-0000-0000-00002C660000}"/>
    <cellStyle name="Separador de milhares 14 11 4 2 2 2" xfId="25872" xr:uid="{00000000-0005-0000-0000-00002D660000}"/>
    <cellStyle name="Separador de milhares 14 11 4 2 3" xfId="24984" xr:uid="{00000000-0005-0000-0000-00002E660000}"/>
    <cellStyle name="Separador de milhares 14 11 4 3" xfId="23593" xr:uid="{00000000-0005-0000-0000-00002F660000}"/>
    <cellStyle name="Separador de milhares 14 11 4 3 2" xfId="25369" xr:uid="{00000000-0005-0000-0000-000030660000}"/>
    <cellStyle name="Separador de milhares 14 11 4 4" xfId="24481" xr:uid="{00000000-0005-0000-0000-000031660000}"/>
    <cellStyle name="Separador de milhares 14 12" xfId="22451" xr:uid="{00000000-0005-0000-0000-000032660000}"/>
    <cellStyle name="Separador de milhares 14 12 2" xfId="23007" xr:uid="{00000000-0005-0000-0000-000033660000}"/>
    <cellStyle name="Separador de milhares 14 12 2 2" xfId="23894" xr:uid="{00000000-0005-0000-0000-000034660000}"/>
    <cellStyle name="Separador de milhares 14 12 2 2 2" xfId="25670" xr:uid="{00000000-0005-0000-0000-000035660000}"/>
    <cellStyle name="Separador de milhares 14 12 2 3" xfId="24782" xr:uid="{00000000-0005-0000-0000-000036660000}"/>
    <cellStyle name="Separador de milhares 14 12 3" xfId="23391" xr:uid="{00000000-0005-0000-0000-000037660000}"/>
    <cellStyle name="Separador de milhares 14 12 3 2" xfId="25167" xr:uid="{00000000-0005-0000-0000-000038660000}"/>
    <cellStyle name="Separador de milhares 14 12 4" xfId="24279" xr:uid="{00000000-0005-0000-0000-000039660000}"/>
    <cellStyle name="Separador de milhares 14 13" xfId="2323" xr:uid="{00000000-0005-0000-0000-00003A660000}"/>
    <cellStyle name="Separador de milhares 14 14" xfId="26044" xr:uid="{00000000-0005-0000-0000-00003B660000}"/>
    <cellStyle name="Separador de milhares 14 15" xfId="2177" xr:uid="{00000000-0005-0000-0000-00003C660000}"/>
    <cellStyle name="Separador de milhares 14 2" xfId="1747" xr:uid="{00000000-0005-0000-0000-00003D660000}"/>
    <cellStyle name="Separador de milhares 14 2 2" xfId="2581" xr:uid="{00000000-0005-0000-0000-00003E660000}"/>
    <cellStyle name="Separador de milhares 14 2 2 2" xfId="22321" xr:uid="{00000000-0005-0000-0000-00003F660000}"/>
    <cellStyle name="Separador de milhares 14 2 2 2 2" xfId="22650" xr:uid="{00000000-0005-0000-0000-000040660000}"/>
    <cellStyle name="Separador de milhares 14 2 2 2 2 2" xfId="23206" xr:uid="{00000000-0005-0000-0000-000041660000}"/>
    <cellStyle name="Separador de milhares 14 2 2 2 2 2 2" xfId="24093" xr:uid="{00000000-0005-0000-0000-000042660000}"/>
    <cellStyle name="Separador de milhares 14 2 2 2 2 2 2 2" xfId="25869" xr:uid="{00000000-0005-0000-0000-000043660000}"/>
    <cellStyle name="Separador de milhares 14 2 2 2 2 2 3" xfId="24981" xr:uid="{00000000-0005-0000-0000-000044660000}"/>
    <cellStyle name="Separador de milhares 14 2 2 2 2 3" xfId="23590" xr:uid="{00000000-0005-0000-0000-000045660000}"/>
    <cellStyle name="Separador de milhares 14 2 2 2 2 3 2" xfId="25366" xr:uid="{00000000-0005-0000-0000-000046660000}"/>
    <cellStyle name="Separador de milhares 14 2 2 2 2 4" xfId="24478" xr:uid="{00000000-0005-0000-0000-000047660000}"/>
    <cellStyle name="Separador de milhares 14 2 2 3" xfId="22343" xr:uid="{00000000-0005-0000-0000-000048660000}"/>
    <cellStyle name="Separador de milhares 14 2 2 3 2" xfId="22365" xr:uid="{00000000-0005-0000-0000-000049660000}"/>
    <cellStyle name="Separador de milhares 14 2 2 3 2 2" xfId="22668" xr:uid="{00000000-0005-0000-0000-00004A660000}"/>
    <cellStyle name="Separador de milhares 14 2 2 3 2 2 2" xfId="23224" xr:uid="{00000000-0005-0000-0000-00004B660000}"/>
    <cellStyle name="Separador de milhares 14 2 2 3 2 2 2 2" xfId="24111" xr:uid="{00000000-0005-0000-0000-00004C660000}"/>
    <cellStyle name="Separador de milhares 14 2 2 3 2 2 2 2 2" xfId="25887" xr:uid="{00000000-0005-0000-0000-00004D660000}"/>
    <cellStyle name="Separador de milhares 14 2 2 3 2 2 2 3" xfId="24999" xr:uid="{00000000-0005-0000-0000-00004E660000}"/>
    <cellStyle name="Separador de milhares 14 2 2 3 2 2 3" xfId="23608" xr:uid="{00000000-0005-0000-0000-00004F660000}"/>
    <cellStyle name="Separador de milhares 14 2 2 3 2 2 3 2" xfId="25384" xr:uid="{00000000-0005-0000-0000-000050660000}"/>
    <cellStyle name="Separador de milhares 14 2 2 3 2 2 4" xfId="24496" xr:uid="{00000000-0005-0000-0000-000051660000}"/>
    <cellStyle name="Separador de milhares 14 2 2 3 3" xfId="22420" xr:uid="{00000000-0005-0000-0000-000052660000}"/>
    <cellStyle name="Separador de milhares 14 2 2 3 3 2" xfId="22694" xr:uid="{00000000-0005-0000-0000-000053660000}"/>
    <cellStyle name="Separador de milhares 14 2 2 3 3 2 2" xfId="23236" xr:uid="{00000000-0005-0000-0000-000054660000}"/>
    <cellStyle name="Separador de milhares 14 2 2 3 3 2 2 2" xfId="24123" xr:uid="{00000000-0005-0000-0000-000055660000}"/>
    <cellStyle name="Separador de milhares 14 2 2 3 3 2 2 2 2" xfId="25899" xr:uid="{00000000-0005-0000-0000-000056660000}"/>
    <cellStyle name="Separador de milhares 14 2 2 3 3 2 2 3" xfId="25011" xr:uid="{00000000-0005-0000-0000-000057660000}"/>
    <cellStyle name="Separador de milhares 14 2 2 3 3 2 3" xfId="23620" xr:uid="{00000000-0005-0000-0000-000058660000}"/>
    <cellStyle name="Separador de milhares 14 2 2 3 3 2 3 2" xfId="25396" xr:uid="{00000000-0005-0000-0000-000059660000}"/>
    <cellStyle name="Separador de milhares 14 2 2 3 3 2 4" xfId="24508" xr:uid="{00000000-0005-0000-0000-00005A660000}"/>
    <cellStyle name="Separador de milhares 14 2 2 3 4" xfId="22658" xr:uid="{00000000-0005-0000-0000-00005B660000}"/>
    <cellStyle name="Separador de milhares 14 2 2 3 4 2" xfId="23214" xr:uid="{00000000-0005-0000-0000-00005C660000}"/>
    <cellStyle name="Separador de milhares 14 2 2 3 4 2 2" xfId="24101" xr:uid="{00000000-0005-0000-0000-00005D660000}"/>
    <cellStyle name="Separador de milhares 14 2 2 3 4 2 2 2" xfId="25877" xr:uid="{00000000-0005-0000-0000-00005E660000}"/>
    <cellStyle name="Separador de milhares 14 2 2 3 4 2 3" xfId="24989" xr:uid="{00000000-0005-0000-0000-00005F660000}"/>
    <cellStyle name="Separador de milhares 14 2 2 3 4 3" xfId="23598" xr:uid="{00000000-0005-0000-0000-000060660000}"/>
    <cellStyle name="Separador de milhares 14 2 2 3 4 3 2" xfId="25374" xr:uid="{00000000-0005-0000-0000-000061660000}"/>
    <cellStyle name="Separador de milhares 14 2 2 3 4 4" xfId="24486" xr:uid="{00000000-0005-0000-0000-000062660000}"/>
    <cellStyle name="Separador de milhares 14 2 2 4" xfId="22359" xr:uid="{00000000-0005-0000-0000-000063660000}"/>
    <cellStyle name="Separador de milhares 14 2 2 4 2" xfId="22664" xr:uid="{00000000-0005-0000-0000-000064660000}"/>
    <cellStyle name="Separador de milhares 14 2 2 4 2 2" xfId="23220" xr:uid="{00000000-0005-0000-0000-000065660000}"/>
    <cellStyle name="Separador de milhares 14 2 2 4 2 2 2" xfId="24107" xr:uid="{00000000-0005-0000-0000-000066660000}"/>
    <cellStyle name="Separador de milhares 14 2 2 4 2 2 2 2" xfId="25883" xr:uid="{00000000-0005-0000-0000-000067660000}"/>
    <cellStyle name="Separador de milhares 14 2 2 4 2 2 3" xfId="24995" xr:uid="{00000000-0005-0000-0000-000068660000}"/>
    <cellStyle name="Separador de milhares 14 2 2 4 2 3" xfId="23604" xr:uid="{00000000-0005-0000-0000-000069660000}"/>
    <cellStyle name="Separador de milhares 14 2 2 4 2 3 2" xfId="25380" xr:uid="{00000000-0005-0000-0000-00006A660000}"/>
    <cellStyle name="Separador de milhares 14 2 2 4 2 4" xfId="24492" xr:uid="{00000000-0005-0000-0000-00006B660000}"/>
    <cellStyle name="Separador de milhares 14 2 2 5" xfId="22305" xr:uid="{00000000-0005-0000-0000-00006C660000}"/>
    <cellStyle name="Separador de milhares 14 2 2 5 2" xfId="22644" xr:uid="{00000000-0005-0000-0000-00006D660000}"/>
    <cellStyle name="Separador de milhares 14 2 2 5 2 2" xfId="23200" xr:uid="{00000000-0005-0000-0000-00006E660000}"/>
    <cellStyle name="Separador de milhares 14 2 2 5 2 2 2" xfId="24087" xr:uid="{00000000-0005-0000-0000-00006F660000}"/>
    <cellStyle name="Separador de milhares 14 2 2 5 2 2 2 2" xfId="25863" xr:uid="{00000000-0005-0000-0000-000070660000}"/>
    <cellStyle name="Separador de milhares 14 2 2 5 2 2 3" xfId="24975" xr:uid="{00000000-0005-0000-0000-000071660000}"/>
    <cellStyle name="Separador de milhares 14 2 2 5 2 3" xfId="23584" xr:uid="{00000000-0005-0000-0000-000072660000}"/>
    <cellStyle name="Separador de milhares 14 2 2 5 2 3 2" xfId="25360" xr:uid="{00000000-0005-0000-0000-000073660000}"/>
    <cellStyle name="Separador de milhares 14 2 2 5 2 4" xfId="24472" xr:uid="{00000000-0005-0000-0000-000074660000}"/>
    <cellStyle name="Separador de milhares 14 2 2 6" xfId="22620" xr:uid="{00000000-0005-0000-0000-000075660000}"/>
    <cellStyle name="Separador de milhares 14 2 2 6 2" xfId="23176" xr:uid="{00000000-0005-0000-0000-000076660000}"/>
    <cellStyle name="Separador de milhares 14 2 2 6 2 2" xfId="24063" xr:uid="{00000000-0005-0000-0000-000077660000}"/>
    <cellStyle name="Separador de milhares 14 2 2 6 2 2 2" xfId="25839" xr:uid="{00000000-0005-0000-0000-000078660000}"/>
    <cellStyle name="Separador de milhares 14 2 2 6 2 3" xfId="24951" xr:uid="{00000000-0005-0000-0000-000079660000}"/>
    <cellStyle name="Separador de milhares 14 2 2 6 3" xfId="23560" xr:uid="{00000000-0005-0000-0000-00007A660000}"/>
    <cellStyle name="Separador de milhares 14 2 2 6 3 2" xfId="25336" xr:uid="{00000000-0005-0000-0000-00007B660000}"/>
    <cellStyle name="Separador de milhares 14 2 2 6 4" xfId="24448" xr:uid="{00000000-0005-0000-0000-00007C660000}"/>
    <cellStyle name="Separador de milhares 14 2 3" xfId="22562" xr:uid="{00000000-0005-0000-0000-00007D660000}"/>
    <cellStyle name="Separador de milhares 14 2 3 2" xfId="23118" xr:uid="{00000000-0005-0000-0000-00007E660000}"/>
    <cellStyle name="Separador de milhares 14 2 3 2 2" xfId="24005" xr:uid="{00000000-0005-0000-0000-00007F660000}"/>
    <cellStyle name="Separador de milhares 14 2 3 2 2 2" xfId="25781" xr:uid="{00000000-0005-0000-0000-000080660000}"/>
    <cellStyle name="Separador de milhares 14 2 3 2 3" xfId="24893" xr:uid="{00000000-0005-0000-0000-000081660000}"/>
    <cellStyle name="Separador de milhares 14 2 3 3" xfId="23502" xr:uid="{00000000-0005-0000-0000-000082660000}"/>
    <cellStyle name="Separador de milhares 14 2 3 3 2" xfId="25278" xr:uid="{00000000-0005-0000-0000-000083660000}"/>
    <cellStyle name="Separador de milhares 14 2 3 4" xfId="24390" xr:uid="{00000000-0005-0000-0000-000084660000}"/>
    <cellStyle name="Separador de milhares 14 2 4" xfId="2435" xr:uid="{00000000-0005-0000-0000-000085660000}"/>
    <cellStyle name="Separador de milhares 14 2 5" xfId="2292" xr:uid="{00000000-0005-0000-0000-000086660000}"/>
    <cellStyle name="Separador de milhares 14 3" xfId="1748" xr:uid="{00000000-0005-0000-0000-000087660000}"/>
    <cellStyle name="Separador de milhares 14 3 2" xfId="22593" xr:uid="{00000000-0005-0000-0000-000088660000}"/>
    <cellStyle name="Separador de milhares 14 3 2 2" xfId="23149" xr:uid="{00000000-0005-0000-0000-000089660000}"/>
    <cellStyle name="Separador de milhares 14 3 2 2 2" xfId="24036" xr:uid="{00000000-0005-0000-0000-00008A660000}"/>
    <cellStyle name="Separador de milhares 14 3 2 2 2 2" xfId="25812" xr:uid="{00000000-0005-0000-0000-00008B660000}"/>
    <cellStyle name="Separador de milhares 14 3 2 2 3" xfId="24924" xr:uid="{00000000-0005-0000-0000-00008C660000}"/>
    <cellStyle name="Separador de milhares 14 3 2 3" xfId="23533" xr:uid="{00000000-0005-0000-0000-00008D660000}"/>
    <cellStyle name="Separador de milhares 14 3 2 3 2" xfId="25309" xr:uid="{00000000-0005-0000-0000-00008E660000}"/>
    <cellStyle name="Separador de milhares 14 3 2 4" xfId="24421" xr:uid="{00000000-0005-0000-0000-00008F660000}"/>
    <cellStyle name="Separador de milhares 14 3 3" xfId="2509" xr:uid="{00000000-0005-0000-0000-000090660000}"/>
    <cellStyle name="Separador de milhares 14 4" xfId="2510" xr:uid="{00000000-0005-0000-0000-000091660000}"/>
    <cellStyle name="Separador de milhares 14 4 2" xfId="22594" xr:uid="{00000000-0005-0000-0000-000092660000}"/>
    <cellStyle name="Separador de milhares 14 4 2 2" xfId="23150" xr:uid="{00000000-0005-0000-0000-000093660000}"/>
    <cellStyle name="Separador de milhares 14 4 2 2 2" xfId="24037" xr:uid="{00000000-0005-0000-0000-000094660000}"/>
    <cellStyle name="Separador de milhares 14 4 2 2 2 2" xfId="25813" xr:uid="{00000000-0005-0000-0000-000095660000}"/>
    <cellStyle name="Separador de milhares 14 4 2 2 3" xfId="24925" xr:uid="{00000000-0005-0000-0000-000096660000}"/>
    <cellStyle name="Separador de milhares 14 4 2 3" xfId="23534" xr:uid="{00000000-0005-0000-0000-000097660000}"/>
    <cellStyle name="Separador de milhares 14 4 2 3 2" xfId="25310" xr:uid="{00000000-0005-0000-0000-000098660000}"/>
    <cellStyle name="Separador de milhares 14 4 2 4" xfId="24422" xr:uid="{00000000-0005-0000-0000-000099660000}"/>
    <cellStyle name="Separador de milhares 14 5" xfId="2511" xr:uid="{00000000-0005-0000-0000-00009A660000}"/>
    <cellStyle name="Separador de milhares 14 5 2" xfId="22595" xr:uid="{00000000-0005-0000-0000-00009B660000}"/>
    <cellStyle name="Separador de milhares 14 5 2 2" xfId="23151" xr:uid="{00000000-0005-0000-0000-00009C660000}"/>
    <cellStyle name="Separador de milhares 14 5 2 2 2" xfId="24038" xr:uid="{00000000-0005-0000-0000-00009D660000}"/>
    <cellStyle name="Separador de milhares 14 5 2 2 2 2" xfId="25814" xr:uid="{00000000-0005-0000-0000-00009E660000}"/>
    <cellStyle name="Separador de milhares 14 5 2 2 3" xfId="24926" xr:uid="{00000000-0005-0000-0000-00009F660000}"/>
    <cellStyle name="Separador de milhares 14 5 2 3" xfId="23535" xr:uid="{00000000-0005-0000-0000-0000A0660000}"/>
    <cellStyle name="Separador de milhares 14 5 2 3 2" xfId="25311" xr:uid="{00000000-0005-0000-0000-0000A1660000}"/>
    <cellStyle name="Separador de milhares 14 5 2 4" xfId="24423" xr:uid="{00000000-0005-0000-0000-0000A2660000}"/>
    <cellStyle name="Separador de milhares 14 6" xfId="2512" xr:uid="{00000000-0005-0000-0000-0000A3660000}"/>
    <cellStyle name="Separador de milhares 14 6 2" xfId="22596" xr:uid="{00000000-0005-0000-0000-0000A4660000}"/>
    <cellStyle name="Separador de milhares 14 6 2 2" xfId="23152" xr:uid="{00000000-0005-0000-0000-0000A5660000}"/>
    <cellStyle name="Separador de milhares 14 6 2 2 2" xfId="24039" xr:uid="{00000000-0005-0000-0000-0000A6660000}"/>
    <cellStyle name="Separador de milhares 14 6 2 2 2 2" xfId="25815" xr:uid="{00000000-0005-0000-0000-0000A7660000}"/>
    <cellStyle name="Separador de milhares 14 6 2 2 3" xfId="24927" xr:uid="{00000000-0005-0000-0000-0000A8660000}"/>
    <cellStyle name="Separador de milhares 14 6 2 3" xfId="23536" xr:uid="{00000000-0005-0000-0000-0000A9660000}"/>
    <cellStyle name="Separador de milhares 14 6 2 3 2" xfId="25312" xr:uid="{00000000-0005-0000-0000-0000AA660000}"/>
    <cellStyle name="Separador de milhares 14 6 2 4" xfId="24424" xr:uid="{00000000-0005-0000-0000-0000AB660000}"/>
    <cellStyle name="Separador de milhares 14 7" xfId="2513" xr:uid="{00000000-0005-0000-0000-0000AC660000}"/>
    <cellStyle name="Separador de milhares 14 7 2" xfId="22597" xr:uid="{00000000-0005-0000-0000-0000AD660000}"/>
    <cellStyle name="Separador de milhares 14 7 2 2" xfId="23153" xr:uid="{00000000-0005-0000-0000-0000AE660000}"/>
    <cellStyle name="Separador de milhares 14 7 2 2 2" xfId="24040" xr:uid="{00000000-0005-0000-0000-0000AF660000}"/>
    <cellStyle name="Separador de milhares 14 7 2 2 2 2" xfId="25816" xr:uid="{00000000-0005-0000-0000-0000B0660000}"/>
    <cellStyle name="Separador de milhares 14 7 2 2 3" xfId="24928" xr:uid="{00000000-0005-0000-0000-0000B1660000}"/>
    <cellStyle name="Separador de milhares 14 7 2 3" xfId="23537" xr:uid="{00000000-0005-0000-0000-0000B2660000}"/>
    <cellStyle name="Separador de milhares 14 7 2 3 2" xfId="25313" xr:uid="{00000000-0005-0000-0000-0000B3660000}"/>
    <cellStyle name="Separador de milhares 14 7 2 4" xfId="24425" xr:uid="{00000000-0005-0000-0000-0000B4660000}"/>
    <cellStyle name="Separador de milhares 14 8" xfId="2514" xr:uid="{00000000-0005-0000-0000-0000B5660000}"/>
    <cellStyle name="Separador de milhares 14 8 2" xfId="22598" xr:uid="{00000000-0005-0000-0000-0000B6660000}"/>
    <cellStyle name="Separador de milhares 14 8 2 2" xfId="23154" xr:uid="{00000000-0005-0000-0000-0000B7660000}"/>
    <cellStyle name="Separador de milhares 14 8 2 2 2" xfId="24041" xr:uid="{00000000-0005-0000-0000-0000B8660000}"/>
    <cellStyle name="Separador de milhares 14 8 2 2 2 2" xfId="25817" xr:uid="{00000000-0005-0000-0000-0000B9660000}"/>
    <cellStyle name="Separador de milhares 14 8 2 2 3" xfId="24929" xr:uid="{00000000-0005-0000-0000-0000BA660000}"/>
    <cellStyle name="Separador de milhares 14 8 2 3" xfId="23538" xr:uid="{00000000-0005-0000-0000-0000BB660000}"/>
    <cellStyle name="Separador de milhares 14 8 2 3 2" xfId="25314" xr:uid="{00000000-0005-0000-0000-0000BC660000}"/>
    <cellStyle name="Separador de milhares 14 8 2 4" xfId="24426" xr:uid="{00000000-0005-0000-0000-0000BD660000}"/>
    <cellStyle name="Separador de milhares 14 9" xfId="2515" xr:uid="{00000000-0005-0000-0000-0000BE660000}"/>
    <cellStyle name="Separador de milhares 14 9 2" xfId="22599" xr:uid="{00000000-0005-0000-0000-0000BF660000}"/>
    <cellStyle name="Separador de milhares 14 9 2 2" xfId="23155" xr:uid="{00000000-0005-0000-0000-0000C0660000}"/>
    <cellStyle name="Separador de milhares 14 9 2 2 2" xfId="24042" xr:uid="{00000000-0005-0000-0000-0000C1660000}"/>
    <cellStyle name="Separador de milhares 14 9 2 2 2 2" xfId="25818" xr:uid="{00000000-0005-0000-0000-0000C2660000}"/>
    <cellStyle name="Separador de milhares 14 9 2 2 3" xfId="24930" xr:uid="{00000000-0005-0000-0000-0000C3660000}"/>
    <cellStyle name="Separador de milhares 14 9 2 3" xfId="23539" xr:uid="{00000000-0005-0000-0000-0000C4660000}"/>
    <cellStyle name="Separador de milhares 14 9 2 3 2" xfId="25315" xr:uid="{00000000-0005-0000-0000-0000C5660000}"/>
    <cellStyle name="Separador de milhares 14 9 2 4" xfId="24427" xr:uid="{00000000-0005-0000-0000-0000C6660000}"/>
    <cellStyle name="Separador de milhares 15" xfId="1749" xr:uid="{00000000-0005-0000-0000-0000C7660000}"/>
    <cellStyle name="Separador de milhares 15 2" xfId="1750" xr:uid="{00000000-0005-0000-0000-0000C8660000}"/>
    <cellStyle name="Separador de milhares 15 2 2" xfId="22585" xr:uid="{00000000-0005-0000-0000-0000C9660000}"/>
    <cellStyle name="Separador de milhares 15 2 2 2" xfId="23141" xr:uid="{00000000-0005-0000-0000-0000CA660000}"/>
    <cellStyle name="Separador de milhares 15 2 2 2 2" xfId="24028" xr:uid="{00000000-0005-0000-0000-0000CB660000}"/>
    <cellStyle name="Separador de milhares 15 2 2 2 2 2" xfId="25804" xr:uid="{00000000-0005-0000-0000-0000CC660000}"/>
    <cellStyle name="Separador de milhares 15 2 2 2 3" xfId="24916" xr:uid="{00000000-0005-0000-0000-0000CD660000}"/>
    <cellStyle name="Separador de milhares 15 2 2 3" xfId="23525" xr:uid="{00000000-0005-0000-0000-0000CE660000}"/>
    <cellStyle name="Separador de milhares 15 2 2 3 2" xfId="25301" xr:uid="{00000000-0005-0000-0000-0000CF660000}"/>
    <cellStyle name="Separador de milhares 15 2 2 4" xfId="24413" xr:uid="{00000000-0005-0000-0000-0000D0660000}"/>
    <cellStyle name="Separador de milhares 15 2 3" xfId="2476" xr:uid="{00000000-0005-0000-0000-0000D1660000}"/>
    <cellStyle name="Separador de milhares 15 3" xfId="22564" xr:uid="{00000000-0005-0000-0000-0000D2660000}"/>
    <cellStyle name="Separador de milhares 15 3 2" xfId="23120" xr:uid="{00000000-0005-0000-0000-0000D3660000}"/>
    <cellStyle name="Separador de milhares 15 3 2 2" xfId="24007" xr:uid="{00000000-0005-0000-0000-0000D4660000}"/>
    <cellStyle name="Separador de milhares 15 3 2 2 2" xfId="25783" xr:uid="{00000000-0005-0000-0000-0000D5660000}"/>
    <cellStyle name="Separador de milhares 15 3 2 3" xfId="24895" xr:uid="{00000000-0005-0000-0000-0000D6660000}"/>
    <cellStyle name="Separador de milhares 15 3 3" xfId="23504" xr:uid="{00000000-0005-0000-0000-0000D7660000}"/>
    <cellStyle name="Separador de milhares 15 3 3 2" xfId="25280" xr:uid="{00000000-0005-0000-0000-0000D8660000}"/>
    <cellStyle name="Separador de milhares 15 3 4" xfId="24392" xr:uid="{00000000-0005-0000-0000-0000D9660000}"/>
    <cellStyle name="Separador de milhares 15 4" xfId="22859" xr:uid="{00000000-0005-0000-0000-0000DA660000}"/>
    <cellStyle name="Separador de milhares 15 4 2" xfId="23746" xr:uid="{00000000-0005-0000-0000-0000DB660000}"/>
    <cellStyle name="Separador de milhares 15 4 2 2" xfId="25522" xr:uid="{00000000-0005-0000-0000-0000DC660000}"/>
    <cellStyle name="Separador de milhares 15 4 3" xfId="24634" xr:uid="{00000000-0005-0000-0000-0000DD660000}"/>
    <cellStyle name="Separador de milhares 15 5" xfId="22978" xr:uid="{00000000-0005-0000-0000-0000DE660000}"/>
    <cellStyle name="Separador de milhares 15 5 2" xfId="23865" xr:uid="{00000000-0005-0000-0000-0000DF660000}"/>
    <cellStyle name="Separador de milhares 15 5 2 2" xfId="25641" xr:uid="{00000000-0005-0000-0000-0000E0660000}"/>
    <cellStyle name="Separador de milhares 15 5 3" xfId="24753" xr:uid="{00000000-0005-0000-0000-0000E1660000}"/>
    <cellStyle name="Separador de milhares 15 6" xfId="23362" xr:uid="{00000000-0005-0000-0000-0000E2660000}"/>
    <cellStyle name="Separador de milhares 15 6 2" xfId="25138" xr:uid="{00000000-0005-0000-0000-0000E3660000}"/>
    <cellStyle name="Separador de milhares 15 7" xfId="24250" xr:uid="{00000000-0005-0000-0000-0000E4660000}"/>
    <cellStyle name="Separador de milhares 15 8" xfId="2437" xr:uid="{00000000-0005-0000-0000-0000E5660000}"/>
    <cellStyle name="Separador de milhares 15 9" xfId="2294" xr:uid="{00000000-0005-0000-0000-0000E6660000}"/>
    <cellStyle name="Separador de milhares 2" xfId="1751" xr:uid="{00000000-0005-0000-0000-0000E7660000}"/>
    <cellStyle name="Separador de milhares 2 10" xfId="1752" xr:uid="{00000000-0005-0000-0000-0000E8660000}"/>
    <cellStyle name="Separador de milhares 2 10 2" xfId="1753" xr:uid="{00000000-0005-0000-0000-0000E9660000}"/>
    <cellStyle name="Separador de milhares 2 10 2 2" xfId="1754" xr:uid="{00000000-0005-0000-0000-0000EA660000}"/>
    <cellStyle name="Separador de milhares 2 10 2 2 10" xfId="26332" xr:uid="{00000000-0005-0000-0000-0000EB660000}"/>
    <cellStyle name="Separador de milhares 2 10 2 2 2" xfId="22465" xr:uid="{00000000-0005-0000-0000-0000EC660000}"/>
    <cellStyle name="Separador de milhares 2 10 2 2 2 2" xfId="23021" xr:uid="{00000000-0005-0000-0000-0000ED660000}"/>
    <cellStyle name="Separador de milhares 2 10 2 2 2 2 2" xfId="23908" xr:uid="{00000000-0005-0000-0000-0000EE660000}"/>
    <cellStyle name="Separador de milhares 2 10 2 2 2 2 2 2" xfId="25684" xr:uid="{00000000-0005-0000-0000-0000EF660000}"/>
    <cellStyle name="Separador de milhares 2 10 2 2 2 2 3" xfId="24796" xr:uid="{00000000-0005-0000-0000-0000F0660000}"/>
    <cellStyle name="Separador de milhares 2 10 2 2 2 3" xfId="23405" xr:uid="{00000000-0005-0000-0000-0000F1660000}"/>
    <cellStyle name="Separador de milhares 2 10 2 2 2 3 2" xfId="25181" xr:uid="{00000000-0005-0000-0000-0000F2660000}"/>
    <cellStyle name="Separador de milhares 2 10 2 2 2 4" xfId="24293" xr:uid="{00000000-0005-0000-0000-0000F3660000}"/>
    <cellStyle name="Separador de milhares 2 10 2 2 2 5" xfId="26088" xr:uid="{00000000-0005-0000-0000-0000F4660000}"/>
    <cellStyle name="Separador de milhares 2 10 2 2 2 6" xfId="26458" xr:uid="{00000000-0005-0000-0000-0000F5660000}"/>
    <cellStyle name="Separador de milhares 2 10 2 2 3" xfId="22762" xr:uid="{00000000-0005-0000-0000-0000F6660000}"/>
    <cellStyle name="Separador de milhares 2 10 2 2 3 2" xfId="23649" xr:uid="{00000000-0005-0000-0000-0000F7660000}"/>
    <cellStyle name="Separador de milhares 2 10 2 2 3 2 2" xfId="25425" xr:uid="{00000000-0005-0000-0000-0000F8660000}"/>
    <cellStyle name="Separador de milhares 2 10 2 2 3 3" xfId="24537" xr:uid="{00000000-0005-0000-0000-0000F9660000}"/>
    <cellStyle name="Separador de milhares 2 10 2 2 4" xfId="22881" xr:uid="{00000000-0005-0000-0000-0000FA660000}"/>
    <cellStyle name="Separador de milhares 2 10 2 2 4 2" xfId="23768" xr:uid="{00000000-0005-0000-0000-0000FB660000}"/>
    <cellStyle name="Separador de milhares 2 10 2 2 4 2 2" xfId="25544" xr:uid="{00000000-0005-0000-0000-0000FC660000}"/>
    <cellStyle name="Separador de milhares 2 10 2 2 4 3" xfId="24656" xr:uid="{00000000-0005-0000-0000-0000FD660000}"/>
    <cellStyle name="Separador de milhares 2 10 2 2 5" xfId="23265" xr:uid="{00000000-0005-0000-0000-0000FE660000}"/>
    <cellStyle name="Separador de milhares 2 10 2 2 5 2" xfId="25041" xr:uid="{00000000-0005-0000-0000-0000FF660000}"/>
    <cellStyle name="Separador de milhares 2 10 2 2 6" xfId="24153" xr:uid="{00000000-0005-0000-0000-000000670000}"/>
    <cellStyle name="Separador de milhares 2 10 2 2 7" xfId="2338" xr:uid="{00000000-0005-0000-0000-000001670000}"/>
    <cellStyle name="Separador de milhares 2 10 2 2 8" xfId="25927" xr:uid="{00000000-0005-0000-0000-000002670000}"/>
    <cellStyle name="Separador de milhares 2 10 2 2 9" xfId="2195" xr:uid="{00000000-0005-0000-0000-000003670000}"/>
    <cellStyle name="Separador de milhares 2 10 3" xfId="1755" xr:uid="{00000000-0005-0000-0000-000004670000}"/>
    <cellStyle name="Separador de milhares 2 10 3 10" xfId="26333" xr:uid="{00000000-0005-0000-0000-000005670000}"/>
    <cellStyle name="Separador de milhares 2 10 3 2" xfId="22464" xr:uid="{00000000-0005-0000-0000-000006670000}"/>
    <cellStyle name="Separador de milhares 2 10 3 2 2" xfId="23020" xr:uid="{00000000-0005-0000-0000-000007670000}"/>
    <cellStyle name="Separador de milhares 2 10 3 2 2 2" xfId="23907" xr:uid="{00000000-0005-0000-0000-000008670000}"/>
    <cellStyle name="Separador de milhares 2 10 3 2 2 2 2" xfId="25683" xr:uid="{00000000-0005-0000-0000-000009670000}"/>
    <cellStyle name="Separador de milhares 2 10 3 2 2 3" xfId="24795" xr:uid="{00000000-0005-0000-0000-00000A670000}"/>
    <cellStyle name="Separador de milhares 2 10 3 2 3" xfId="23404" xr:uid="{00000000-0005-0000-0000-00000B670000}"/>
    <cellStyle name="Separador de milhares 2 10 3 2 3 2" xfId="25180" xr:uid="{00000000-0005-0000-0000-00000C670000}"/>
    <cellStyle name="Separador de milhares 2 10 3 2 4" xfId="24292" xr:uid="{00000000-0005-0000-0000-00000D670000}"/>
    <cellStyle name="Separador de milhares 2 10 3 2 5" xfId="26089" xr:uid="{00000000-0005-0000-0000-00000E670000}"/>
    <cellStyle name="Separador de milhares 2 10 3 2 6" xfId="26459" xr:uid="{00000000-0005-0000-0000-00000F670000}"/>
    <cellStyle name="Separador de milhares 2 10 3 3" xfId="22761" xr:uid="{00000000-0005-0000-0000-000010670000}"/>
    <cellStyle name="Separador de milhares 2 10 3 3 2" xfId="23648" xr:uid="{00000000-0005-0000-0000-000011670000}"/>
    <cellStyle name="Separador de milhares 2 10 3 3 2 2" xfId="25424" xr:uid="{00000000-0005-0000-0000-000012670000}"/>
    <cellStyle name="Separador de milhares 2 10 3 3 3" xfId="24536" xr:uid="{00000000-0005-0000-0000-000013670000}"/>
    <cellStyle name="Separador de milhares 2 10 3 4" xfId="22880" xr:uid="{00000000-0005-0000-0000-000014670000}"/>
    <cellStyle name="Separador de milhares 2 10 3 4 2" xfId="23767" xr:uid="{00000000-0005-0000-0000-000015670000}"/>
    <cellStyle name="Separador de milhares 2 10 3 4 2 2" xfId="25543" xr:uid="{00000000-0005-0000-0000-000016670000}"/>
    <cellStyle name="Separador de milhares 2 10 3 4 3" xfId="24655" xr:uid="{00000000-0005-0000-0000-000017670000}"/>
    <cellStyle name="Separador de milhares 2 10 3 5" xfId="23264" xr:uid="{00000000-0005-0000-0000-000018670000}"/>
    <cellStyle name="Separador de milhares 2 10 3 5 2" xfId="25040" xr:uid="{00000000-0005-0000-0000-000019670000}"/>
    <cellStyle name="Separador de milhares 2 10 3 6" xfId="24152" xr:uid="{00000000-0005-0000-0000-00001A670000}"/>
    <cellStyle name="Separador de milhares 2 10 3 7" xfId="2337" xr:uid="{00000000-0005-0000-0000-00001B670000}"/>
    <cellStyle name="Separador de milhares 2 10 3 8" xfId="25928" xr:uid="{00000000-0005-0000-0000-00001C670000}"/>
    <cellStyle name="Separador de milhares 2 10 3 9" xfId="2194" xr:uid="{00000000-0005-0000-0000-00001D670000}"/>
    <cellStyle name="Separador de milhares 2 11" xfId="1756" xr:uid="{00000000-0005-0000-0000-00001E670000}"/>
    <cellStyle name="Separador de milhares 2 11 2" xfId="1757" xr:uid="{00000000-0005-0000-0000-00001F670000}"/>
    <cellStyle name="Separador de milhares 2 11 2 2" xfId="1758" xr:uid="{00000000-0005-0000-0000-000020670000}"/>
    <cellStyle name="Separador de milhares 2 11 2 2 10" xfId="26334" xr:uid="{00000000-0005-0000-0000-000021670000}"/>
    <cellStyle name="Separador de milhares 2 11 2 2 2" xfId="22467" xr:uid="{00000000-0005-0000-0000-000022670000}"/>
    <cellStyle name="Separador de milhares 2 11 2 2 2 2" xfId="23023" xr:uid="{00000000-0005-0000-0000-000023670000}"/>
    <cellStyle name="Separador de milhares 2 11 2 2 2 2 2" xfId="23910" xr:uid="{00000000-0005-0000-0000-000024670000}"/>
    <cellStyle name="Separador de milhares 2 11 2 2 2 2 2 2" xfId="25686" xr:uid="{00000000-0005-0000-0000-000025670000}"/>
    <cellStyle name="Separador de milhares 2 11 2 2 2 2 3" xfId="24798" xr:uid="{00000000-0005-0000-0000-000026670000}"/>
    <cellStyle name="Separador de milhares 2 11 2 2 2 3" xfId="23407" xr:uid="{00000000-0005-0000-0000-000027670000}"/>
    <cellStyle name="Separador de milhares 2 11 2 2 2 3 2" xfId="25183" xr:uid="{00000000-0005-0000-0000-000028670000}"/>
    <cellStyle name="Separador de milhares 2 11 2 2 2 4" xfId="24295" xr:uid="{00000000-0005-0000-0000-000029670000}"/>
    <cellStyle name="Separador de milhares 2 11 2 2 2 5" xfId="26090" xr:uid="{00000000-0005-0000-0000-00002A670000}"/>
    <cellStyle name="Separador de milhares 2 11 2 2 2 6" xfId="26460" xr:uid="{00000000-0005-0000-0000-00002B670000}"/>
    <cellStyle name="Separador de milhares 2 11 2 2 3" xfId="22764" xr:uid="{00000000-0005-0000-0000-00002C670000}"/>
    <cellStyle name="Separador de milhares 2 11 2 2 3 2" xfId="23651" xr:uid="{00000000-0005-0000-0000-00002D670000}"/>
    <cellStyle name="Separador de milhares 2 11 2 2 3 2 2" xfId="25427" xr:uid="{00000000-0005-0000-0000-00002E670000}"/>
    <cellStyle name="Separador de milhares 2 11 2 2 3 3" xfId="24539" xr:uid="{00000000-0005-0000-0000-00002F670000}"/>
    <cellStyle name="Separador de milhares 2 11 2 2 4" xfId="22883" xr:uid="{00000000-0005-0000-0000-000030670000}"/>
    <cellStyle name="Separador de milhares 2 11 2 2 4 2" xfId="23770" xr:uid="{00000000-0005-0000-0000-000031670000}"/>
    <cellStyle name="Separador de milhares 2 11 2 2 4 2 2" xfId="25546" xr:uid="{00000000-0005-0000-0000-000032670000}"/>
    <cellStyle name="Separador de milhares 2 11 2 2 4 3" xfId="24658" xr:uid="{00000000-0005-0000-0000-000033670000}"/>
    <cellStyle name="Separador de milhares 2 11 2 2 5" xfId="23267" xr:uid="{00000000-0005-0000-0000-000034670000}"/>
    <cellStyle name="Separador de milhares 2 11 2 2 5 2" xfId="25043" xr:uid="{00000000-0005-0000-0000-000035670000}"/>
    <cellStyle name="Separador de milhares 2 11 2 2 6" xfId="24155" xr:uid="{00000000-0005-0000-0000-000036670000}"/>
    <cellStyle name="Separador de milhares 2 11 2 2 7" xfId="2340" xr:uid="{00000000-0005-0000-0000-000037670000}"/>
    <cellStyle name="Separador de milhares 2 11 2 2 8" xfId="25929" xr:uid="{00000000-0005-0000-0000-000038670000}"/>
    <cellStyle name="Separador de milhares 2 11 2 2 9" xfId="2197" xr:uid="{00000000-0005-0000-0000-000039670000}"/>
    <cellStyle name="Separador de milhares 2 11 3" xfId="1759" xr:uid="{00000000-0005-0000-0000-00003A670000}"/>
    <cellStyle name="Separador de milhares 2 11 3 10" xfId="26335" xr:uid="{00000000-0005-0000-0000-00003B670000}"/>
    <cellStyle name="Separador de milhares 2 11 3 2" xfId="22466" xr:uid="{00000000-0005-0000-0000-00003C670000}"/>
    <cellStyle name="Separador de milhares 2 11 3 2 2" xfId="23022" xr:uid="{00000000-0005-0000-0000-00003D670000}"/>
    <cellStyle name="Separador de milhares 2 11 3 2 2 2" xfId="23909" xr:uid="{00000000-0005-0000-0000-00003E670000}"/>
    <cellStyle name="Separador de milhares 2 11 3 2 2 2 2" xfId="25685" xr:uid="{00000000-0005-0000-0000-00003F670000}"/>
    <cellStyle name="Separador de milhares 2 11 3 2 2 3" xfId="24797" xr:uid="{00000000-0005-0000-0000-000040670000}"/>
    <cellStyle name="Separador de milhares 2 11 3 2 3" xfId="23406" xr:uid="{00000000-0005-0000-0000-000041670000}"/>
    <cellStyle name="Separador de milhares 2 11 3 2 3 2" xfId="25182" xr:uid="{00000000-0005-0000-0000-000042670000}"/>
    <cellStyle name="Separador de milhares 2 11 3 2 4" xfId="24294" xr:uid="{00000000-0005-0000-0000-000043670000}"/>
    <cellStyle name="Separador de milhares 2 11 3 2 5" xfId="26091" xr:uid="{00000000-0005-0000-0000-000044670000}"/>
    <cellStyle name="Separador de milhares 2 11 3 2 6" xfId="26461" xr:uid="{00000000-0005-0000-0000-000045670000}"/>
    <cellStyle name="Separador de milhares 2 11 3 3" xfId="22763" xr:uid="{00000000-0005-0000-0000-000046670000}"/>
    <cellStyle name="Separador de milhares 2 11 3 3 2" xfId="23650" xr:uid="{00000000-0005-0000-0000-000047670000}"/>
    <cellStyle name="Separador de milhares 2 11 3 3 2 2" xfId="25426" xr:uid="{00000000-0005-0000-0000-000048670000}"/>
    <cellStyle name="Separador de milhares 2 11 3 3 3" xfId="24538" xr:uid="{00000000-0005-0000-0000-000049670000}"/>
    <cellStyle name="Separador de milhares 2 11 3 4" xfId="22882" xr:uid="{00000000-0005-0000-0000-00004A670000}"/>
    <cellStyle name="Separador de milhares 2 11 3 4 2" xfId="23769" xr:uid="{00000000-0005-0000-0000-00004B670000}"/>
    <cellStyle name="Separador de milhares 2 11 3 4 2 2" xfId="25545" xr:uid="{00000000-0005-0000-0000-00004C670000}"/>
    <cellStyle name="Separador de milhares 2 11 3 4 3" xfId="24657" xr:uid="{00000000-0005-0000-0000-00004D670000}"/>
    <cellStyle name="Separador de milhares 2 11 3 5" xfId="23266" xr:uid="{00000000-0005-0000-0000-00004E670000}"/>
    <cellStyle name="Separador de milhares 2 11 3 5 2" xfId="25042" xr:uid="{00000000-0005-0000-0000-00004F670000}"/>
    <cellStyle name="Separador de milhares 2 11 3 6" xfId="24154" xr:uid="{00000000-0005-0000-0000-000050670000}"/>
    <cellStyle name="Separador de milhares 2 11 3 7" xfId="2339" xr:uid="{00000000-0005-0000-0000-000051670000}"/>
    <cellStyle name="Separador de milhares 2 11 3 8" xfId="25930" xr:uid="{00000000-0005-0000-0000-000052670000}"/>
    <cellStyle name="Separador de milhares 2 11 3 9" xfId="2196" xr:uid="{00000000-0005-0000-0000-000053670000}"/>
    <cellStyle name="Separador de milhares 2 12" xfId="1760" xr:uid="{00000000-0005-0000-0000-000054670000}"/>
    <cellStyle name="Separador de milhares 2 12 2" xfId="1761" xr:uid="{00000000-0005-0000-0000-000055670000}"/>
    <cellStyle name="Separador de milhares 2 12 2 2" xfId="1762" xr:uid="{00000000-0005-0000-0000-000056670000}"/>
    <cellStyle name="Separador de milhares 2 12 2 2 10" xfId="26336" xr:uid="{00000000-0005-0000-0000-000057670000}"/>
    <cellStyle name="Separador de milhares 2 12 2 2 2" xfId="22469" xr:uid="{00000000-0005-0000-0000-000058670000}"/>
    <cellStyle name="Separador de milhares 2 12 2 2 2 2" xfId="23025" xr:uid="{00000000-0005-0000-0000-000059670000}"/>
    <cellStyle name="Separador de milhares 2 12 2 2 2 2 2" xfId="23912" xr:uid="{00000000-0005-0000-0000-00005A670000}"/>
    <cellStyle name="Separador de milhares 2 12 2 2 2 2 2 2" xfId="25688" xr:uid="{00000000-0005-0000-0000-00005B670000}"/>
    <cellStyle name="Separador de milhares 2 12 2 2 2 2 3" xfId="24800" xr:uid="{00000000-0005-0000-0000-00005C670000}"/>
    <cellStyle name="Separador de milhares 2 12 2 2 2 3" xfId="23409" xr:uid="{00000000-0005-0000-0000-00005D670000}"/>
    <cellStyle name="Separador de milhares 2 12 2 2 2 3 2" xfId="25185" xr:uid="{00000000-0005-0000-0000-00005E670000}"/>
    <cellStyle name="Separador de milhares 2 12 2 2 2 4" xfId="24297" xr:uid="{00000000-0005-0000-0000-00005F670000}"/>
    <cellStyle name="Separador de milhares 2 12 2 2 2 5" xfId="26092" xr:uid="{00000000-0005-0000-0000-000060670000}"/>
    <cellStyle name="Separador de milhares 2 12 2 2 2 6" xfId="26462" xr:uid="{00000000-0005-0000-0000-000061670000}"/>
    <cellStyle name="Separador de milhares 2 12 2 2 3" xfId="22766" xr:uid="{00000000-0005-0000-0000-000062670000}"/>
    <cellStyle name="Separador de milhares 2 12 2 2 3 2" xfId="23653" xr:uid="{00000000-0005-0000-0000-000063670000}"/>
    <cellStyle name="Separador de milhares 2 12 2 2 3 2 2" xfId="25429" xr:uid="{00000000-0005-0000-0000-000064670000}"/>
    <cellStyle name="Separador de milhares 2 12 2 2 3 3" xfId="24541" xr:uid="{00000000-0005-0000-0000-000065670000}"/>
    <cellStyle name="Separador de milhares 2 12 2 2 4" xfId="22885" xr:uid="{00000000-0005-0000-0000-000066670000}"/>
    <cellStyle name="Separador de milhares 2 12 2 2 4 2" xfId="23772" xr:uid="{00000000-0005-0000-0000-000067670000}"/>
    <cellStyle name="Separador de milhares 2 12 2 2 4 2 2" xfId="25548" xr:uid="{00000000-0005-0000-0000-000068670000}"/>
    <cellStyle name="Separador de milhares 2 12 2 2 4 3" xfId="24660" xr:uid="{00000000-0005-0000-0000-000069670000}"/>
    <cellStyle name="Separador de milhares 2 12 2 2 5" xfId="23269" xr:uid="{00000000-0005-0000-0000-00006A670000}"/>
    <cellStyle name="Separador de milhares 2 12 2 2 5 2" xfId="25045" xr:uid="{00000000-0005-0000-0000-00006B670000}"/>
    <cellStyle name="Separador de milhares 2 12 2 2 6" xfId="24157" xr:uid="{00000000-0005-0000-0000-00006C670000}"/>
    <cellStyle name="Separador de milhares 2 12 2 2 7" xfId="2342" xr:uid="{00000000-0005-0000-0000-00006D670000}"/>
    <cellStyle name="Separador de milhares 2 12 2 2 8" xfId="25931" xr:uid="{00000000-0005-0000-0000-00006E670000}"/>
    <cellStyle name="Separador de milhares 2 12 2 2 9" xfId="2199" xr:uid="{00000000-0005-0000-0000-00006F670000}"/>
    <cellStyle name="Separador de milhares 2 12 3" xfId="1763" xr:uid="{00000000-0005-0000-0000-000070670000}"/>
    <cellStyle name="Separador de milhares 2 12 3 10" xfId="26337" xr:uid="{00000000-0005-0000-0000-000071670000}"/>
    <cellStyle name="Separador de milhares 2 12 3 2" xfId="22468" xr:uid="{00000000-0005-0000-0000-000072670000}"/>
    <cellStyle name="Separador de milhares 2 12 3 2 2" xfId="23024" xr:uid="{00000000-0005-0000-0000-000073670000}"/>
    <cellStyle name="Separador de milhares 2 12 3 2 2 2" xfId="23911" xr:uid="{00000000-0005-0000-0000-000074670000}"/>
    <cellStyle name="Separador de milhares 2 12 3 2 2 2 2" xfId="25687" xr:uid="{00000000-0005-0000-0000-000075670000}"/>
    <cellStyle name="Separador de milhares 2 12 3 2 2 3" xfId="24799" xr:uid="{00000000-0005-0000-0000-000076670000}"/>
    <cellStyle name="Separador de milhares 2 12 3 2 3" xfId="23408" xr:uid="{00000000-0005-0000-0000-000077670000}"/>
    <cellStyle name="Separador de milhares 2 12 3 2 3 2" xfId="25184" xr:uid="{00000000-0005-0000-0000-000078670000}"/>
    <cellStyle name="Separador de milhares 2 12 3 2 4" xfId="24296" xr:uid="{00000000-0005-0000-0000-000079670000}"/>
    <cellStyle name="Separador de milhares 2 12 3 2 5" xfId="26093" xr:uid="{00000000-0005-0000-0000-00007A670000}"/>
    <cellStyle name="Separador de milhares 2 12 3 2 6" xfId="26463" xr:uid="{00000000-0005-0000-0000-00007B670000}"/>
    <cellStyle name="Separador de milhares 2 12 3 3" xfId="22765" xr:uid="{00000000-0005-0000-0000-00007C670000}"/>
    <cellStyle name="Separador de milhares 2 12 3 3 2" xfId="23652" xr:uid="{00000000-0005-0000-0000-00007D670000}"/>
    <cellStyle name="Separador de milhares 2 12 3 3 2 2" xfId="25428" xr:uid="{00000000-0005-0000-0000-00007E670000}"/>
    <cellStyle name="Separador de milhares 2 12 3 3 3" xfId="24540" xr:uid="{00000000-0005-0000-0000-00007F670000}"/>
    <cellStyle name="Separador de milhares 2 12 3 4" xfId="22884" xr:uid="{00000000-0005-0000-0000-000080670000}"/>
    <cellStyle name="Separador de milhares 2 12 3 4 2" xfId="23771" xr:uid="{00000000-0005-0000-0000-000081670000}"/>
    <cellStyle name="Separador de milhares 2 12 3 4 2 2" xfId="25547" xr:uid="{00000000-0005-0000-0000-000082670000}"/>
    <cellStyle name="Separador de milhares 2 12 3 4 3" xfId="24659" xr:uid="{00000000-0005-0000-0000-000083670000}"/>
    <cellStyle name="Separador de milhares 2 12 3 5" xfId="23268" xr:uid="{00000000-0005-0000-0000-000084670000}"/>
    <cellStyle name="Separador de milhares 2 12 3 5 2" xfId="25044" xr:uid="{00000000-0005-0000-0000-000085670000}"/>
    <cellStyle name="Separador de milhares 2 12 3 6" xfId="24156" xr:uid="{00000000-0005-0000-0000-000086670000}"/>
    <cellStyle name="Separador de milhares 2 12 3 7" xfId="2341" xr:uid="{00000000-0005-0000-0000-000087670000}"/>
    <cellStyle name="Separador de milhares 2 12 3 8" xfId="25932" xr:uid="{00000000-0005-0000-0000-000088670000}"/>
    <cellStyle name="Separador de milhares 2 12 3 9" xfId="2198" xr:uid="{00000000-0005-0000-0000-000089670000}"/>
    <cellStyle name="Separador de milhares 2 13" xfId="1764" xr:uid="{00000000-0005-0000-0000-00008A670000}"/>
    <cellStyle name="Separador de milhares 2 13 2" xfId="1765" xr:uid="{00000000-0005-0000-0000-00008B670000}"/>
    <cellStyle name="Separador de milhares 2 13 2 2" xfId="1766" xr:uid="{00000000-0005-0000-0000-00008C670000}"/>
    <cellStyle name="Separador de milhares 2 13 2 2 10" xfId="26338" xr:uid="{00000000-0005-0000-0000-00008D670000}"/>
    <cellStyle name="Separador de milhares 2 13 2 2 2" xfId="22471" xr:uid="{00000000-0005-0000-0000-00008E670000}"/>
    <cellStyle name="Separador de milhares 2 13 2 2 2 2" xfId="23027" xr:uid="{00000000-0005-0000-0000-00008F670000}"/>
    <cellStyle name="Separador de milhares 2 13 2 2 2 2 2" xfId="23914" xr:uid="{00000000-0005-0000-0000-000090670000}"/>
    <cellStyle name="Separador de milhares 2 13 2 2 2 2 2 2" xfId="25690" xr:uid="{00000000-0005-0000-0000-000091670000}"/>
    <cellStyle name="Separador de milhares 2 13 2 2 2 2 3" xfId="24802" xr:uid="{00000000-0005-0000-0000-000092670000}"/>
    <cellStyle name="Separador de milhares 2 13 2 2 2 3" xfId="23411" xr:uid="{00000000-0005-0000-0000-000093670000}"/>
    <cellStyle name="Separador de milhares 2 13 2 2 2 3 2" xfId="25187" xr:uid="{00000000-0005-0000-0000-000094670000}"/>
    <cellStyle name="Separador de milhares 2 13 2 2 2 4" xfId="24299" xr:uid="{00000000-0005-0000-0000-000095670000}"/>
    <cellStyle name="Separador de milhares 2 13 2 2 2 5" xfId="26094" xr:uid="{00000000-0005-0000-0000-000096670000}"/>
    <cellStyle name="Separador de milhares 2 13 2 2 2 6" xfId="26464" xr:uid="{00000000-0005-0000-0000-000097670000}"/>
    <cellStyle name="Separador de milhares 2 13 2 2 3" xfId="22768" xr:uid="{00000000-0005-0000-0000-000098670000}"/>
    <cellStyle name="Separador de milhares 2 13 2 2 3 2" xfId="23655" xr:uid="{00000000-0005-0000-0000-000099670000}"/>
    <cellStyle name="Separador de milhares 2 13 2 2 3 2 2" xfId="25431" xr:uid="{00000000-0005-0000-0000-00009A670000}"/>
    <cellStyle name="Separador de milhares 2 13 2 2 3 3" xfId="24543" xr:uid="{00000000-0005-0000-0000-00009B670000}"/>
    <cellStyle name="Separador de milhares 2 13 2 2 4" xfId="22887" xr:uid="{00000000-0005-0000-0000-00009C670000}"/>
    <cellStyle name="Separador de milhares 2 13 2 2 4 2" xfId="23774" xr:uid="{00000000-0005-0000-0000-00009D670000}"/>
    <cellStyle name="Separador de milhares 2 13 2 2 4 2 2" xfId="25550" xr:uid="{00000000-0005-0000-0000-00009E670000}"/>
    <cellStyle name="Separador de milhares 2 13 2 2 4 3" xfId="24662" xr:uid="{00000000-0005-0000-0000-00009F670000}"/>
    <cellStyle name="Separador de milhares 2 13 2 2 5" xfId="23271" xr:uid="{00000000-0005-0000-0000-0000A0670000}"/>
    <cellStyle name="Separador de milhares 2 13 2 2 5 2" xfId="25047" xr:uid="{00000000-0005-0000-0000-0000A1670000}"/>
    <cellStyle name="Separador de milhares 2 13 2 2 6" xfId="24159" xr:uid="{00000000-0005-0000-0000-0000A2670000}"/>
    <cellStyle name="Separador de milhares 2 13 2 2 7" xfId="2344" xr:uid="{00000000-0005-0000-0000-0000A3670000}"/>
    <cellStyle name="Separador de milhares 2 13 2 2 8" xfId="25933" xr:uid="{00000000-0005-0000-0000-0000A4670000}"/>
    <cellStyle name="Separador de milhares 2 13 2 2 9" xfId="2201" xr:uid="{00000000-0005-0000-0000-0000A5670000}"/>
    <cellStyle name="Separador de milhares 2 13 3" xfId="1767" xr:uid="{00000000-0005-0000-0000-0000A6670000}"/>
    <cellStyle name="Separador de milhares 2 13 3 10" xfId="26339" xr:uid="{00000000-0005-0000-0000-0000A7670000}"/>
    <cellStyle name="Separador de milhares 2 13 3 2" xfId="22470" xr:uid="{00000000-0005-0000-0000-0000A8670000}"/>
    <cellStyle name="Separador de milhares 2 13 3 2 2" xfId="23026" xr:uid="{00000000-0005-0000-0000-0000A9670000}"/>
    <cellStyle name="Separador de milhares 2 13 3 2 2 2" xfId="23913" xr:uid="{00000000-0005-0000-0000-0000AA670000}"/>
    <cellStyle name="Separador de milhares 2 13 3 2 2 2 2" xfId="25689" xr:uid="{00000000-0005-0000-0000-0000AB670000}"/>
    <cellStyle name="Separador de milhares 2 13 3 2 2 3" xfId="24801" xr:uid="{00000000-0005-0000-0000-0000AC670000}"/>
    <cellStyle name="Separador de milhares 2 13 3 2 3" xfId="23410" xr:uid="{00000000-0005-0000-0000-0000AD670000}"/>
    <cellStyle name="Separador de milhares 2 13 3 2 3 2" xfId="25186" xr:uid="{00000000-0005-0000-0000-0000AE670000}"/>
    <cellStyle name="Separador de milhares 2 13 3 2 4" xfId="24298" xr:uid="{00000000-0005-0000-0000-0000AF670000}"/>
    <cellStyle name="Separador de milhares 2 13 3 2 5" xfId="26095" xr:uid="{00000000-0005-0000-0000-0000B0670000}"/>
    <cellStyle name="Separador de milhares 2 13 3 2 6" xfId="26465" xr:uid="{00000000-0005-0000-0000-0000B1670000}"/>
    <cellStyle name="Separador de milhares 2 13 3 3" xfId="22767" xr:uid="{00000000-0005-0000-0000-0000B2670000}"/>
    <cellStyle name="Separador de milhares 2 13 3 3 2" xfId="23654" xr:uid="{00000000-0005-0000-0000-0000B3670000}"/>
    <cellStyle name="Separador de milhares 2 13 3 3 2 2" xfId="25430" xr:uid="{00000000-0005-0000-0000-0000B4670000}"/>
    <cellStyle name="Separador de milhares 2 13 3 3 3" xfId="24542" xr:uid="{00000000-0005-0000-0000-0000B5670000}"/>
    <cellStyle name="Separador de milhares 2 13 3 4" xfId="22886" xr:uid="{00000000-0005-0000-0000-0000B6670000}"/>
    <cellStyle name="Separador de milhares 2 13 3 4 2" xfId="23773" xr:uid="{00000000-0005-0000-0000-0000B7670000}"/>
    <cellStyle name="Separador de milhares 2 13 3 4 2 2" xfId="25549" xr:uid="{00000000-0005-0000-0000-0000B8670000}"/>
    <cellStyle name="Separador de milhares 2 13 3 4 3" xfId="24661" xr:uid="{00000000-0005-0000-0000-0000B9670000}"/>
    <cellStyle name="Separador de milhares 2 13 3 5" xfId="23270" xr:uid="{00000000-0005-0000-0000-0000BA670000}"/>
    <cellStyle name="Separador de milhares 2 13 3 5 2" xfId="25046" xr:uid="{00000000-0005-0000-0000-0000BB670000}"/>
    <cellStyle name="Separador de milhares 2 13 3 6" xfId="24158" xr:uid="{00000000-0005-0000-0000-0000BC670000}"/>
    <cellStyle name="Separador de milhares 2 13 3 7" xfId="2343" xr:uid="{00000000-0005-0000-0000-0000BD670000}"/>
    <cellStyle name="Separador de milhares 2 13 3 8" xfId="25934" xr:uid="{00000000-0005-0000-0000-0000BE670000}"/>
    <cellStyle name="Separador de milhares 2 13 3 9" xfId="2200" xr:uid="{00000000-0005-0000-0000-0000BF670000}"/>
    <cellStyle name="Separador de milhares 2 14" xfId="1768" xr:uid="{00000000-0005-0000-0000-0000C0670000}"/>
    <cellStyle name="Separador de milhares 2 14 2" xfId="1769" xr:uid="{00000000-0005-0000-0000-0000C1670000}"/>
    <cellStyle name="Separador de milhares 2 14 2 2" xfId="1770" xr:uid="{00000000-0005-0000-0000-0000C2670000}"/>
    <cellStyle name="Separador de milhares 2 14 2 2 10" xfId="26340" xr:uid="{00000000-0005-0000-0000-0000C3670000}"/>
    <cellStyle name="Separador de milhares 2 14 2 2 2" xfId="22473" xr:uid="{00000000-0005-0000-0000-0000C4670000}"/>
    <cellStyle name="Separador de milhares 2 14 2 2 2 2" xfId="23029" xr:uid="{00000000-0005-0000-0000-0000C5670000}"/>
    <cellStyle name="Separador de milhares 2 14 2 2 2 2 2" xfId="23916" xr:uid="{00000000-0005-0000-0000-0000C6670000}"/>
    <cellStyle name="Separador de milhares 2 14 2 2 2 2 2 2" xfId="25692" xr:uid="{00000000-0005-0000-0000-0000C7670000}"/>
    <cellStyle name="Separador de milhares 2 14 2 2 2 2 3" xfId="24804" xr:uid="{00000000-0005-0000-0000-0000C8670000}"/>
    <cellStyle name="Separador de milhares 2 14 2 2 2 3" xfId="23413" xr:uid="{00000000-0005-0000-0000-0000C9670000}"/>
    <cellStyle name="Separador de milhares 2 14 2 2 2 3 2" xfId="25189" xr:uid="{00000000-0005-0000-0000-0000CA670000}"/>
    <cellStyle name="Separador de milhares 2 14 2 2 2 4" xfId="24301" xr:uid="{00000000-0005-0000-0000-0000CB670000}"/>
    <cellStyle name="Separador de milhares 2 14 2 2 2 5" xfId="26096" xr:uid="{00000000-0005-0000-0000-0000CC670000}"/>
    <cellStyle name="Separador de milhares 2 14 2 2 2 6" xfId="26466" xr:uid="{00000000-0005-0000-0000-0000CD670000}"/>
    <cellStyle name="Separador de milhares 2 14 2 2 3" xfId="22770" xr:uid="{00000000-0005-0000-0000-0000CE670000}"/>
    <cellStyle name="Separador de milhares 2 14 2 2 3 2" xfId="23657" xr:uid="{00000000-0005-0000-0000-0000CF670000}"/>
    <cellStyle name="Separador de milhares 2 14 2 2 3 2 2" xfId="25433" xr:uid="{00000000-0005-0000-0000-0000D0670000}"/>
    <cellStyle name="Separador de milhares 2 14 2 2 3 3" xfId="24545" xr:uid="{00000000-0005-0000-0000-0000D1670000}"/>
    <cellStyle name="Separador de milhares 2 14 2 2 4" xfId="22889" xr:uid="{00000000-0005-0000-0000-0000D2670000}"/>
    <cellStyle name="Separador de milhares 2 14 2 2 4 2" xfId="23776" xr:uid="{00000000-0005-0000-0000-0000D3670000}"/>
    <cellStyle name="Separador de milhares 2 14 2 2 4 2 2" xfId="25552" xr:uid="{00000000-0005-0000-0000-0000D4670000}"/>
    <cellStyle name="Separador de milhares 2 14 2 2 4 3" xfId="24664" xr:uid="{00000000-0005-0000-0000-0000D5670000}"/>
    <cellStyle name="Separador de milhares 2 14 2 2 5" xfId="23273" xr:uid="{00000000-0005-0000-0000-0000D6670000}"/>
    <cellStyle name="Separador de milhares 2 14 2 2 5 2" xfId="25049" xr:uid="{00000000-0005-0000-0000-0000D7670000}"/>
    <cellStyle name="Separador de milhares 2 14 2 2 6" xfId="24161" xr:uid="{00000000-0005-0000-0000-0000D8670000}"/>
    <cellStyle name="Separador de milhares 2 14 2 2 7" xfId="2346" xr:uid="{00000000-0005-0000-0000-0000D9670000}"/>
    <cellStyle name="Separador de milhares 2 14 2 2 8" xfId="25935" xr:uid="{00000000-0005-0000-0000-0000DA670000}"/>
    <cellStyle name="Separador de milhares 2 14 2 2 9" xfId="2203" xr:uid="{00000000-0005-0000-0000-0000DB670000}"/>
    <cellStyle name="Separador de milhares 2 14 3" xfId="1771" xr:uid="{00000000-0005-0000-0000-0000DC670000}"/>
    <cellStyle name="Separador de milhares 2 14 3 10" xfId="26341" xr:uid="{00000000-0005-0000-0000-0000DD670000}"/>
    <cellStyle name="Separador de milhares 2 14 3 2" xfId="22472" xr:uid="{00000000-0005-0000-0000-0000DE670000}"/>
    <cellStyle name="Separador de milhares 2 14 3 2 2" xfId="23028" xr:uid="{00000000-0005-0000-0000-0000DF670000}"/>
    <cellStyle name="Separador de milhares 2 14 3 2 2 2" xfId="23915" xr:uid="{00000000-0005-0000-0000-0000E0670000}"/>
    <cellStyle name="Separador de milhares 2 14 3 2 2 2 2" xfId="25691" xr:uid="{00000000-0005-0000-0000-0000E1670000}"/>
    <cellStyle name="Separador de milhares 2 14 3 2 2 3" xfId="24803" xr:uid="{00000000-0005-0000-0000-0000E2670000}"/>
    <cellStyle name="Separador de milhares 2 14 3 2 3" xfId="23412" xr:uid="{00000000-0005-0000-0000-0000E3670000}"/>
    <cellStyle name="Separador de milhares 2 14 3 2 3 2" xfId="25188" xr:uid="{00000000-0005-0000-0000-0000E4670000}"/>
    <cellStyle name="Separador de milhares 2 14 3 2 4" xfId="24300" xr:uid="{00000000-0005-0000-0000-0000E5670000}"/>
    <cellStyle name="Separador de milhares 2 14 3 2 5" xfId="26097" xr:uid="{00000000-0005-0000-0000-0000E6670000}"/>
    <cellStyle name="Separador de milhares 2 14 3 2 6" xfId="26467" xr:uid="{00000000-0005-0000-0000-0000E7670000}"/>
    <cellStyle name="Separador de milhares 2 14 3 3" xfId="22769" xr:uid="{00000000-0005-0000-0000-0000E8670000}"/>
    <cellStyle name="Separador de milhares 2 14 3 3 2" xfId="23656" xr:uid="{00000000-0005-0000-0000-0000E9670000}"/>
    <cellStyle name="Separador de milhares 2 14 3 3 2 2" xfId="25432" xr:uid="{00000000-0005-0000-0000-0000EA670000}"/>
    <cellStyle name="Separador de milhares 2 14 3 3 3" xfId="24544" xr:uid="{00000000-0005-0000-0000-0000EB670000}"/>
    <cellStyle name="Separador de milhares 2 14 3 4" xfId="22888" xr:uid="{00000000-0005-0000-0000-0000EC670000}"/>
    <cellStyle name="Separador de milhares 2 14 3 4 2" xfId="23775" xr:uid="{00000000-0005-0000-0000-0000ED670000}"/>
    <cellStyle name="Separador de milhares 2 14 3 4 2 2" xfId="25551" xr:uid="{00000000-0005-0000-0000-0000EE670000}"/>
    <cellStyle name="Separador de milhares 2 14 3 4 3" xfId="24663" xr:uid="{00000000-0005-0000-0000-0000EF670000}"/>
    <cellStyle name="Separador de milhares 2 14 3 5" xfId="23272" xr:uid="{00000000-0005-0000-0000-0000F0670000}"/>
    <cellStyle name="Separador de milhares 2 14 3 5 2" xfId="25048" xr:uid="{00000000-0005-0000-0000-0000F1670000}"/>
    <cellStyle name="Separador de milhares 2 14 3 6" xfId="24160" xr:uid="{00000000-0005-0000-0000-0000F2670000}"/>
    <cellStyle name="Separador de milhares 2 14 3 7" xfId="2345" xr:uid="{00000000-0005-0000-0000-0000F3670000}"/>
    <cellStyle name="Separador de milhares 2 14 3 8" xfId="25936" xr:uid="{00000000-0005-0000-0000-0000F4670000}"/>
    <cellStyle name="Separador de milhares 2 14 3 9" xfId="2202" xr:uid="{00000000-0005-0000-0000-0000F5670000}"/>
    <cellStyle name="Separador de milhares 2 15" xfId="1772" xr:uid="{00000000-0005-0000-0000-0000F6670000}"/>
    <cellStyle name="Separador de milhares 2 15 2" xfId="1773" xr:uid="{00000000-0005-0000-0000-0000F7670000}"/>
    <cellStyle name="Separador de milhares 2 15 2 2" xfId="1774" xr:uid="{00000000-0005-0000-0000-0000F8670000}"/>
    <cellStyle name="Separador de milhares 2 15 2 2 10" xfId="26342" xr:uid="{00000000-0005-0000-0000-0000F9670000}"/>
    <cellStyle name="Separador de milhares 2 15 2 2 2" xfId="22475" xr:uid="{00000000-0005-0000-0000-0000FA670000}"/>
    <cellStyle name="Separador de milhares 2 15 2 2 2 2" xfId="23031" xr:uid="{00000000-0005-0000-0000-0000FB670000}"/>
    <cellStyle name="Separador de milhares 2 15 2 2 2 2 2" xfId="23918" xr:uid="{00000000-0005-0000-0000-0000FC670000}"/>
    <cellStyle name="Separador de milhares 2 15 2 2 2 2 2 2" xfId="25694" xr:uid="{00000000-0005-0000-0000-0000FD670000}"/>
    <cellStyle name="Separador de milhares 2 15 2 2 2 2 3" xfId="24806" xr:uid="{00000000-0005-0000-0000-0000FE670000}"/>
    <cellStyle name="Separador de milhares 2 15 2 2 2 3" xfId="23415" xr:uid="{00000000-0005-0000-0000-0000FF670000}"/>
    <cellStyle name="Separador de milhares 2 15 2 2 2 3 2" xfId="25191" xr:uid="{00000000-0005-0000-0000-000000680000}"/>
    <cellStyle name="Separador de milhares 2 15 2 2 2 4" xfId="24303" xr:uid="{00000000-0005-0000-0000-000001680000}"/>
    <cellStyle name="Separador de milhares 2 15 2 2 2 5" xfId="26098" xr:uid="{00000000-0005-0000-0000-000002680000}"/>
    <cellStyle name="Separador de milhares 2 15 2 2 2 6" xfId="26468" xr:uid="{00000000-0005-0000-0000-000003680000}"/>
    <cellStyle name="Separador de milhares 2 15 2 2 3" xfId="22772" xr:uid="{00000000-0005-0000-0000-000004680000}"/>
    <cellStyle name="Separador de milhares 2 15 2 2 3 2" xfId="23659" xr:uid="{00000000-0005-0000-0000-000005680000}"/>
    <cellStyle name="Separador de milhares 2 15 2 2 3 2 2" xfId="25435" xr:uid="{00000000-0005-0000-0000-000006680000}"/>
    <cellStyle name="Separador de milhares 2 15 2 2 3 3" xfId="24547" xr:uid="{00000000-0005-0000-0000-000007680000}"/>
    <cellStyle name="Separador de milhares 2 15 2 2 4" xfId="22891" xr:uid="{00000000-0005-0000-0000-000008680000}"/>
    <cellStyle name="Separador de milhares 2 15 2 2 4 2" xfId="23778" xr:uid="{00000000-0005-0000-0000-000009680000}"/>
    <cellStyle name="Separador de milhares 2 15 2 2 4 2 2" xfId="25554" xr:uid="{00000000-0005-0000-0000-00000A680000}"/>
    <cellStyle name="Separador de milhares 2 15 2 2 4 3" xfId="24666" xr:uid="{00000000-0005-0000-0000-00000B680000}"/>
    <cellStyle name="Separador de milhares 2 15 2 2 5" xfId="23275" xr:uid="{00000000-0005-0000-0000-00000C680000}"/>
    <cellStyle name="Separador de milhares 2 15 2 2 5 2" xfId="25051" xr:uid="{00000000-0005-0000-0000-00000D680000}"/>
    <cellStyle name="Separador de milhares 2 15 2 2 6" xfId="24163" xr:uid="{00000000-0005-0000-0000-00000E680000}"/>
    <cellStyle name="Separador de milhares 2 15 2 2 7" xfId="2348" xr:uid="{00000000-0005-0000-0000-00000F680000}"/>
    <cellStyle name="Separador de milhares 2 15 2 2 8" xfId="25937" xr:uid="{00000000-0005-0000-0000-000010680000}"/>
    <cellStyle name="Separador de milhares 2 15 2 2 9" xfId="2205" xr:uid="{00000000-0005-0000-0000-000011680000}"/>
    <cellStyle name="Separador de milhares 2 15 3" xfId="1775" xr:uid="{00000000-0005-0000-0000-000012680000}"/>
    <cellStyle name="Separador de milhares 2 15 3 10" xfId="26343" xr:uid="{00000000-0005-0000-0000-000013680000}"/>
    <cellStyle name="Separador de milhares 2 15 3 2" xfId="22474" xr:uid="{00000000-0005-0000-0000-000014680000}"/>
    <cellStyle name="Separador de milhares 2 15 3 2 2" xfId="23030" xr:uid="{00000000-0005-0000-0000-000015680000}"/>
    <cellStyle name="Separador de milhares 2 15 3 2 2 2" xfId="23917" xr:uid="{00000000-0005-0000-0000-000016680000}"/>
    <cellStyle name="Separador de milhares 2 15 3 2 2 2 2" xfId="25693" xr:uid="{00000000-0005-0000-0000-000017680000}"/>
    <cellStyle name="Separador de milhares 2 15 3 2 2 3" xfId="24805" xr:uid="{00000000-0005-0000-0000-000018680000}"/>
    <cellStyle name="Separador de milhares 2 15 3 2 3" xfId="23414" xr:uid="{00000000-0005-0000-0000-000019680000}"/>
    <cellStyle name="Separador de milhares 2 15 3 2 3 2" xfId="25190" xr:uid="{00000000-0005-0000-0000-00001A680000}"/>
    <cellStyle name="Separador de milhares 2 15 3 2 4" xfId="24302" xr:uid="{00000000-0005-0000-0000-00001B680000}"/>
    <cellStyle name="Separador de milhares 2 15 3 2 5" xfId="26099" xr:uid="{00000000-0005-0000-0000-00001C680000}"/>
    <cellStyle name="Separador de milhares 2 15 3 2 6" xfId="26469" xr:uid="{00000000-0005-0000-0000-00001D680000}"/>
    <cellStyle name="Separador de milhares 2 15 3 3" xfId="22771" xr:uid="{00000000-0005-0000-0000-00001E680000}"/>
    <cellStyle name="Separador de milhares 2 15 3 3 2" xfId="23658" xr:uid="{00000000-0005-0000-0000-00001F680000}"/>
    <cellStyle name="Separador de milhares 2 15 3 3 2 2" xfId="25434" xr:uid="{00000000-0005-0000-0000-000020680000}"/>
    <cellStyle name="Separador de milhares 2 15 3 3 3" xfId="24546" xr:uid="{00000000-0005-0000-0000-000021680000}"/>
    <cellStyle name="Separador de milhares 2 15 3 4" xfId="22890" xr:uid="{00000000-0005-0000-0000-000022680000}"/>
    <cellStyle name="Separador de milhares 2 15 3 4 2" xfId="23777" xr:uid="{00000000-0005-0000-0000-000023680000}"/>
    <cellStyle name="Separador de milhares 2 15 3 4 2 2" xfId="25553" xr:uid="{00000000-0005-0000-0000-000024680000}"/>
    <cellStyle name="Separador de milhares 2 15 3 4 3" xfId="24665" xr:uid="{00000000-0005-0000-0000-000025680000}"/>
    <cellStyle name="Separador de milhares 2 15 3 5" xfId="23274" xr:uid="{00000000-0005-0000-0000-000026680000}"/>
    <cellStyle name="Separador de milhares 2 15 3 5 2" xfId="25050" xr:uid="{00000000-0005-0000-0000-000027680000}"/>
    <cellStyle name="Separador de milhares 2 15 3 6" xfId="24162" xr:uid="{00000000-0005-0000-0000-000028680000}"/>
    <cellStyle name="Separador de milhares 2 15 3 7" xfId="2347" xr:uid="{00000000-0005-0000-0000-000029680000}"/>
    <cellStyle name="Separador de milhares 2 15 3 8" xfId="25938" xr:uid="{00000000-0005-0000-0000-00002A680000}"/>
    <cellStyle name="Separador de milhares 2 15 3 9" xfId="2204" xr:uid="{00000000-0005-0000-0000-00002B680000}"/>
    <cellStyle name="Separador de milhares 2 16" xfId="1776" xr:uid="{00000000-0005-0000-0000-00002C680000}"/>
    <cellStyle name="Separador de milhares 2 16 2" xfId="1777" xr:uid="{00000000-0005-0000-0000-00002D680000}"/>
    <cellStyle name="Separador de milhares 2 16 2 2" xfId="1778" xr:uid="{00000000-0005-0000-0000-00002E680000}"/>
    <cellStyle name="Separador de milhares 2 16 2 2 10" xfId="26344" xr:uid="{00000000-0005-0000-0000-00002F680000}"/>
    <cellStyle name="Separador de milhares 2 16 2 2 2" xfId="22477" xr:uid="{00000000-0005-0000-0000-000030680000}"/>
    <cellStyle name="Separador de milhares 2 16 2 2 2 2" xfId="23033" xr:uid="{00000000-0005-0000-0000-000031680000}"/>
    <cellStyle name="Separador de milhares 2 16 2 2 2 2 2" xfId="23920" xr:uid="{00000000-0005-0000-0000-000032680000}"/>
    <cellStyle name="Separador de milhares 2 16 2 2 2 2 2 2" xfId="25696" xr:uid="{00000000-0005-0000-0000-000033680000}"/>
    <cellStyle name="Separador de milhares 2 16 2 2 2 2 3" xfId="24808" xr:uid="{00000000-0005-0000-0000-000034680000}"/>
    <cellStyle name="Separador de milhares 2 16 2 2 2 3" xfId="23417" xr:uid="{00000000-0005-0000-0000-000035680000}"/>
    <cellStyle name="Separador de milhares 2 16 2 2 2 3 2" xfId="25193" xr:uid="{00000000-0005-0000-0000-000036680000}"/>
    <cellStyle name="Separador de milhares 2 16 2 2 2 4" xfId="24305" xr:uid="{00000000-0005-0000-0000-000037680000}"/>
    <cellStyle name="Separador de milhares 2 16 2 2 2 5" xfId="26100" xr:uid="{00000000-0005-0000-0000-000038680000}"/>
    <cellStyle name="Separador de milhares 2 16 2 2 2 6" xfId="26470" xr:uid="{00000000-0005-0000-0000-000039680000}"/>
    <cellStyle name="Separador de milhares 2 16 2 2 3" xfId="22774" xr:uid="{00000000-0005-0000-0000-00003A680000}"/>
    <cellStyle name="Separador de milhares 2 16 2 2 3 2" xfId="23661" xr:uid="{00000000-0005-0000-0000-00003B680000}"/>
    <cellStyle name="Separador de milhares 2 16 2 2 3 2 2" xfId="25437" xr:uid="{00000000-0005-0000-0000-00003C680000}"/>
    <cellStyle name="Separador de milhares 2 16 2 2 3 3" xfId="24549" xr:uid="{00000000-0005-0000-0000-00003D680000}"/>
    <cellStyle name="Separador de milhares 2 16 2 2 4" xfId="22893" xr:uid="{00000000-0005-0000-0000-00003E680000}"/>
    <cellStyle name="Separador de milhares 2 16 2 2 4 2" xfId="23780" xr:uid="{00000000-0005-0000-0000-00003F680000}"/>
    <cellStyle name="Separador de milhares 2 16 2 2 4 2 2" xfId="25556" xr:uid="{00000000-0005-0000-0000-000040680000}"/>
    <cellStyle name="Separador de milhares 2 16 2 2 4 3" xfId="24668" xr:uid="{00000000-0005-0000-0000-000041680000}"/>
    <cellStyle name="Separador de milhares 2 16 2 2 5" xfId="23277" xr:uid="{00000000-0005-0000-0000-000042680000}"/>
    <cellStyle name="Separador de milhares 2 16 2 2 5 2" xfId="25053" xr:uid="{00000000-0005-0000-0000-000043680000}"/>
    <cellStyle name="Separador de milhares 2 16 2 2 6" xfId="24165" xr:uid="{00000000-0005-0000-0000-000044680000}"/>
    <cellStyle name="Separador de milhares 2 16 2 2 7" xfId="2350" xr:uid="{00000000-0005-0000-0000-000045680000}"/>
    <cellStyle name="Separador de milhares 2 16 2 2 8" xfId="25939" xr:uid="{00000000-0005-0000-0000-000046680000}"/>
    <cellStyle name="Separador de milhares 2 16 2 2 9" xfId="2207" xr:uid="{00000000-0005-0000-0000-000047680000}"/>
    <cellStyle name="Separador de milhares 2 16 3" xfId="1779" xr:uid="{00000000-0005-0000-0000-000048680000}"/>
    <cellStyle name="Separador de milhares 2 16 3 10" xfId="26345" xr:uid="{00000000-0005-0000-0000-000049680000}"/>
    <cellStyle name="Separador de milhares 2 16 3 2" xfId="22476" xr:uid="{00000000-0005-0000-0000-00004A680000}"/>
    <cellStyle name="Separador de milhares 2 16 3 2 2" xfId="23032" xr:uid="{00000000-0005-0000-0000-00004B680000}"/>
    <cellStyle name="Separador de milhares 2 16 3 2 2 2" xfId="23919" xr:uid="{00000000-0005-0000-0000-00004C680000}"/>
    <cellStyle name="Separador de milhares 2 16 3 2 2 2 2" xfId="25695" xr:uid="{00000000-0005-0000-0000-00004D680000}"/>
    <cellStyle name="Separador de milhares 2 16 3 2 2 3" xfId="24807" xr:uid="{00000000-0005-0000-0000-00004E680000}"/>
    <cellStyle name="Separador de milhares 2 16 3 2 3" xfId="23416" xr:uid="{00000000-0005-0000-0000-00004F680000}"/>
    <cellStyle name="Separador de milhares 2 16 3 2 3 2" xfId="25192" xr:uid="{00000000-0005-0000-0000-000050680000}"/>
    <cellStyle name="Separador de milhares 2 16 3 2 4" xfId="24304" xr:uid="{00000000-0005-0000-0000-000051680000}"/>
    <cellStyle name="Separador de milhares 2 16 3 2 5" xfId="26101" xr:uid="{00000000-0005-0000-0000-000052680000}"/>
    <cellStyle name="Separador de milhares 2 16 3 2 6" xfId="26471" xr:uid="{00000000-0005-0000-0000-000053680000}"/>
    <cellStyle name="Separador de milhares 2 16 3 3" xfId="22773" xr:uid="{00000000-0005-0000-0000-000054680000}"/>
    <cellStyle name="Separador de milhares 2 16 3 3 2" xfId="23660" xr:uid="{00000000-0005-0000-0000-000055680000}"/>
    <cellStyle name="Separador de milhares 2 16 3 3 2 2" xfId="25436" xr:uid="{00000000-0005-0000-0000-000056680000}"/>
    <cellStyle name="Separador de milhares 2 16 3 3 3" xfId="24548" xr:uid="{00000000-0005-0000-0000-000057680000}"/>
    <cellStyle name="Separador de milhares 2 16 3 4" xfId="22892" xr:uid="{00000000-0005-0000-0000-000058680000}"/>
    <cellStyle name="Separador de milhares 2 16 3 4 2" xfId="23779" xr:uid="{00000000-0005-0000-0000-000059680000}"/>
    <cellStyle name="Separador de milhares 2 16 3 4 2 2" xfId="25555" xr:uid="{00000000-0005-0000-0000-00005A680000}"/>
    <cellStyle name="Separador de milhares 2 16 3 4 3" xfId="24667" xr:uid="{00000000-0005-0000-0000-00005B680000}"/>
    <cellStyle name="Separador de milhares 2 16 3 5" xfId="23276" xr:uid="{00000000-0005-0000-0000-00005C680000}"/>
    <cellStyle name="Separador de milhares 2 16 3 5 2" xfId="25052" xr:uid="{00000000-0005-0000-0000-00005D680000}"/>
    <cellStyle name="Separador de milhares 2 16 3 6" xfId="24164" xr:uid="{00000000-0005-0000-0000-00005E680000}"/>
    <cellStyle name="Separador de milhares 2 16 3 7" xfId="2349" xr:uid="{00000000-0005-0000-0000-00005F680000}"/>
    <cellStyle name="Separador de milhares 2 16 3 8" xfId="25940" xr:uid="{00000000-0005-0000-0000-000060680000}"/>
    <cellStyle name="Separador de milhares 2 16 3 9" xfId="2206" xr:uid="{00000000-0005-0000-0000-000061680000}"/>
    <cellStyle name="Separador de milhares 2 17" xfId="1780" xr:uid="{00000000-0005-0000-0000-000062680000}"/>
    <cellStyle name="Separador de milhares 2 17 2" xfId="1781" xr:uid="{00000000-0005-0000-0000-000063680000}"/>
    <cellStyle name="Separador de milhares 2 17 2 2" xfId="1782" xr:uid="{00000000-0005-0000-0000-000064680000}"/>
    <cellStyle name="Separador de milhares 2 17 2 2 10" xfId="26346" xr:uid="{00000000-0005-0000-0000-000065680000}"/>
    <cellStyle name="Separador de milhares 2 17 2 2 2" xfId="22479" xr:uid="{00000000-0005-0000-0000-000066680000}"/>
    <cellStyle name="Separador de milhares 2 17 2 2 2 2" xfId="23035" xr:uid="{00000000-0005-0000-0000-000067680000}"/>
    <cellStyle name="Separador de milhares 2 17 2 2 2 2 2" xfId="23922" xr:uid="{00000000-0005-0000-0000-000068680000}"/>
    <cellStyle name="Separador de milhares 2 17 2 2 2 2 2 2" xfId="25698" xr:uid="{00000000-0005-0000-0000-000069680000}"/>
    <cellStyle name="Separador de milhares 2 17 2 2 2 2 3" xfId="24810" xr:uid="{00000000-0005-0000-0000-00006A680000}"/>
    <cellStyle name="Separador de milhares 2 17 2 2 2 3" xfId="23419" xr:uid="{00000000-0005-0000-0000-00006B680000}"/>
    <cellStyle name="Separador de milhares 2 17 2 2 2 3 2" xfId="25195" xr:uid="{00000000-0005-0000-0000-00006C680000}"/>
    <cellStyle name="Separador de milhares 2 17 2 2 2 4" xfId="24307" xr:uid="{00000000-0005-0000-0000-00006D680000}"/>
    <cellStyle name="Separador de milhares 2 17 2 2 2 5" xfId="26102" xr:uid="{00000000-0005-0000-0000-00006E680000}"/>
    <cellStyle name="Separador de milhares 2 17 2 2 2 6" xfId="26472" xr:uid="{00000000-0005-0000-0000-00006F680000}"/>
    <cellStyle name="Separador de milhares 2 17 2 2 3" xfId="22776" xr:uid="{00000000-0005-0000-0000-000070680000}"/>
    <cellStyle name="Separador de milhares 2 17 2 2 3 2" xfId="23663" xr:uid="{00000000-0005-0000-0000-000071680000}"/>
    <cellStyle name="Separador de milhares 2 17 2 2 3 2 2" xfId="25439" xr:uid="{00000000-0005-0000-0000-000072680000}"/>
    <cellStyle name="Separador de milhares 2 17 2 2 3 3" xfId="24551" xr:uid="{00000000-0005-0000-0000-000073680000}"/>
    <cellStyle name="Separador de milhares 2 17 2 2 4" xfId="22895" xr:uid="{00000000-0005-0000-0000-000074680000}"/>
    <cellStyle name="Separador de milhares 2 17 2 2 4 2" xfId="23782" xr:uid="{00000000-0005-0000-0000-000075680000}"/>
    <cellStyle name="Separador de milhares 2 17 2 2 4 2 2" xfId="25558" xr:uid="{00000000-0005-0000-0000-000076680000}"/>
    <cellStyle name="Separador de milhares 2 17 2 2 4 3" xfId="24670" xr:uid="{00000000-0005-0000-0000-000077680000}"/>
    <cellStyle name="Separador de milhares 2 17 2 2 5" xfId="23279" xr:uid="{00000000-0005-0000-0000-000078680000}"/>
    <cellStyle name="Separador de milhares 2 17 2 2 5 2" xfId="25055" xr:uid="{00000000-0005-0000-0000-000079680000}"/>
    <cellStyle name="Separador de milhares 2 17 2 2 6" xfId="24167" xr:uid="{00000000-0005-0000-0000-00007A680000}"/>
    <cellStyle name="Separador de milhares 2 17 2 2 7" xfId="2352" xr:uid="{00000000-0005-0000-0000-00007B680000}"/>
    <cellStyle name="Separador de milhares 2 17 2 2 8" xfId="25941" xr:uid="{00000000-0005-0000-0000-00007C680000}"/>
    <cellStyle name="Separador de milhares 2 17 2 2 9" xfId="2209" xr:uid="{00000000-0005-0000-0000-00007D680000}"/>
    <cellStyle name="Separador de milhares 2 17 3" xfId="1783" xr:uid="{00000000-0005-0000-0000-00007E680000}"/>
    <cellStyle name="Separador de milhares 2 17 3 10" xfId="26347" xr:uid="{00000000-0005-0000-0000-00007F680000}"/>
    <cellStyle name="Separador de milhares 2 17 3 2" xfId="22478" xr:uid="{00000000-0005-0000-0000-000080680000}"/>
    <cellStyle name="Separador de milhares 2 17 3 2 2" xfId="23034" xr:uid="{00000000-0005-0000-0000-000081680000}"/>
    <cellStyle name="Separador de milhares 2 17 3 2 2 2" xfId="23921" xr:uid="{00000000-0005-0000-0000-000082680000}"/>
    <cellStyle name="Separador de milhares 2 17 3 2 2 2 2" xfId="25697" xr:uid="{00000000-0005-0000-0000-000083680000}"/>
    <cellStyle name="Separador de milhares 2 17 3 2 2 3" xfId="24809" xr:uid="{00000000-0005-0000-0000-000084680000}"/>
    <cellStyle name="Separador de milhares 2 17 3 2 3" xfId="23418" xr:uid="{00000000-0005-0000-0000-000085680000}"/>
    <cellStyle name="Separador de milhares 2 17 3 2 3 2" xfId="25194" xr:uid="{00000000-0005-0000-0000-000086680000}"/>
    <cellStyle name="Separador de milhares 2 17 3 2 4" xfId="24306" xr:uid="{00000000-0005-0000-0000-000087680000}"/>
    <cellStyle name="Separador de milhares 2 17 3 2 5" xfId="26103" xr:uid="{00000000-0005-0000-0000-000088680000}"/>
    <cellStyle name="Separador de milhares 2 17 3 2 6" xfId="26473" xr:uid="{00000000-0005-0000-0000-000089680000}"/>
    <cellStyle name="Separador de milhares 2 17 3 3" xfId="22775" xr:uid="{00000000-0005-0000-0000-00008A680000}"/>
    <cellStyle name="Separador de milhares 2 17 3 3 2" xfId="23662" xr:uid="{00000000-0005-0000-0000-00008B680000}"/>
    <cellStyle name="Separador de milhares 2 17 3 3 2 2" xfId="25438" xr:uid="{00000000-0005-0000-0000-00008C680000}"/>
    <cellStyle name="Separador de milhares 2 17 3 3 3" xfId="24550" xr:uid="{00000000-0005-0000-0000-00008D680000}"/>
    <cellStyle name="Separador de milhares 2 17 3 4" xfId="22894" xr:uid="{00000000-0005-0000-0000-00008E680000}"/>
    <cellStyle name="Separador de milhares 2 17 3 4 2" xfId="23781" xr:uid="{00000000-0005-0000-0000-00008F680000}"/>
    <cellStyle name="Separador de milhares 2 17 3 4 2 2" xfId="25557" xr:uid="{00000000-0005-0000-0000-000090680000}"/>
    <cellStyle name="Separador de milhares 2 17 3 4 3" xfId="24669" xr:uid="{00000000-0005-0000-0000-000091680000}"/>
    <cellStyle name="Separador de milhares 2 17 3 5" xfId="23278" xr:uid="{00000000-0005-0000-0000-000092680000}"/>
    <cellStyle name="Separador de milhares 2 17 3 5 2" xfId="25054" xr:uid="{00000000-0005-0000-0000-000093680000}"/>
    <cellStyle name="Separador de milhares 2 17 3 6" xfId="24166" xr:uid="{00000000-0005-0000-0000-000094680000}"/>
    <cellStyle name="Separador de milhares 2 17 3 7" xfId="2351" xr:uid="{00000000-0005-0000-0000-000095680000}"/>
    <cellStyle name="Separador de milhares 2 17 3 8" xfId="25942" xr:uid="{00000000-0005-0000-0000-000096680000}"/>
    <cellStyle name="Separador de milhares 2 17 3 9" xfId="2208" xr:uid="{00000000-0005-0000-0000-000097680000}"/>
    <cellStyle name="Separador de milhares 2 18" xfId="1784" xr:uid="{00000000-0005-0000-0000-000098680000}"/>
    <cellStyle name="Separador de milhares 2 18 2" xfId="1785" xr:uid="{00000000-0005-0000-0000-000099680000}"/>
    <cellStyle name="Separador de milhares 2 18 2 2" xfId="1786" xr:uid="{00000000-0005-0000-0000-00009A680000}"/>
    <cellStyle name="Separador de milhares 2 18 2 2 10" xfId="26348" xr:uid="{00000000-0005-0000-0000-00009B680000}"/>
    <cellStyle name="Separador de milhares 2 18 2 2 2" xfId="22481" xr:uid="{00000000-0005-0000-0000-00009C680000}"/>
    <cellStyle name="Separador de milhares 2 18 2 2 2 2" xfId="23037" xr:uid="{00000000-0005-0000-0000-00009D680000}"/>
    <cellStyle name="Separador de milhares 2 18 2 2 2 2 2" xfId="23924" xr:uid="{00000000-0005-0000-0000-00009E680000}"/>
    <cellStyle name="Separador de milhares 2 18 2 2 2 2 2 2" xfId="25700" xr:uid="{00000000-0005-0000-0000-00009F680000}"/>
    <cellStyle name="Separador de milhares 2 18 2 2 2 2 3" xfId="24812" xr:uid="{00000000-0005-0000-0000-0000A0680000}"/>
    <cellStyle name="Separador de milhares 2 18 2 2 2 3" xfId="23421" xr:uid="{00000000-0005-0000-0000-0000A1680000}"/>
    <cellStyle name="Separador de milhares 2 18 2 2 2 3 2" xfId="25197" xr:uid="{00000000-0005-0000-0000-0000A2680000}"/>
    <cellStyle name="Separador de milhares 2 18 2 2 2 4" xfId="24309" xr:uid="{00000000-0005-0000-0000-0000A3680000}"/>
    <cellStyle name="Separador de milhares 2 18 2 2 2 5" xfId="26104" xr:uid="{00000000-0005-0000-0000-0000A4680000}"/>
    <cellStyle name="Separador de milhares 2 18 2 2 2 6" xfId="26474" xr:uid="{00000000-0005-0000-0000-0000A5680000}"/>
    <cellStyle name="Separador de milhares 2 18 2 2 3" xfId="22778" xr:uid="{00000000-0005-0000-0000-0000A6680000}"/>
    <cellStyle name="Separador de milhares 2 18 2 2 3 2" xfId="23665" xr:uid="{00000000-0005-0000-0000-0000A7680000}"/>
    <cellStyle name="Separador de milhares 2 18 2 2 3 2 2" xfId="25441" xr:uid="{00000000-0005-0000-0000-0000A8680000}"/>
    <cellStyle name="Separador de milhares 2 18 2 2 3 3" xfId="24553" xr:uid="{00000000-0005-0000-0000-0000A9680000}"/>
    <cellStyle name="Separador de milhares 2 18 2 2 4" xfId="22897" xr:uid="{00000000-0005-0000-0000-0000AA680000}"/>
    <cellStyle name="Separador de milhares 2 18 2 2 4 2" xfId="23784" xr:uid="{00000000-0005-0000-0000-0000AB680000}"/>
    <cellStyle name="Separador de milhares 2 18 2 2 4 2 2" xfId="25560" xr:uid="{00000000-0005-0000-0000-0000AC680000}"/>
    <cellStyle name="Separador de milhares 2 18 2 2 4 3" xfId="24672" xr:uid="{00000000-0005-0000-0000-0000AD680000}"/>
    <cellStyle name="Separador de milhares 2 18 2 2 5" xfId="23281" xr:uid="{00000000-0005-0000-0000-0000AE680000}"/>
    <cellStyle name="Separador de milhares 2 18 2 2 5 2" xfId="25057" xr:uid="{00000000-0005-0000-0000-0000AF680000}"/>
    <cellStyle name="Separador de milhares 2 18 2 2 6" xfId="24169" xr:uid="{00000000-0005-0000-0000-0000B0680000}"/>
    <cellStyle name="Separador de milhares 2 18 2 2 7" xfId="2354" xr:uid="{00000000-0005-0000-0000-0000B1680000}"/>
    <cellStyle name="Separador de milhares 2 18 2 2 8" xfId="25943" xr:uid="{00000000-0005-0000-0000-0000B2680000}"/>
    <cellStyle name="Separador de milhares 2 18 2 2 9" xfId="2211" xr:uid="{00000000-0005-0000-0000-0000B3680000}"/>
    <cellStyle name="Separador de milhares 2 18 3" xfId="1787" xr:uid="{00000000-0005-0000-0000-0000B4680000}"/>
    <cellStyle name="Separador de milhares 2 18 3 10" xfId="26349" xr:uid="{00000000-0005-0000-0000-0000B5680000}"/>
    <cellStyle name="Separador de milhares 2 18 3 2" xfId="22480" xr:uid="{00000000-0005-0000-0000-0000B6680000}"/>
    <cellStyle name="Separador de milhares 2 18 3 2 2" xfId="23036" xr:uid="{00000000-0005-0000-0000-0000B7680000}"/>
    <cellStyle name="Separador de milhares 2 18 3 2 2 2" xfId="23923" xr:uid="{00000000-0005-0000-0000-0000B8680000}"/>
    <cellStyle name="Separador de milhares 2 18 3 2 2 2 2" xfId="25699" xr:uid="{00000000-0005-0000-0000-0000B9680000}"/>
    <cellStyle name="Separador de milhares 2 18 3 2 2 3" xfId="24811" xr:uid="{00000000-0005-0000-0000-0000BA680000}"/>
    <cellStyle name="Separador de milhares 2 18 3 2 3" xfId="23420" xr:uid="{00000000-0005-0000-0000-0000BB680000}"/>
    <cellStyle name="Separador de milhares 2 18 3 2 3 2" xfId="25196" xr:uid="{00000000-0005-0000-0000-0000BC680000}"/>
    <cellStyle name="Separador de milhares 2 18 3 2 4" xfId="24308" xr:uid="{00000000-0005-0000-0000-0000BD680000}"/>
    <cellStyle name="Separador de milhares 2 18 3 2 5" xfId="26105" xr:uid="{00000000-0005-0000-0000-0000BE680000}"/>
    <cellStyle name="Separador de milhares 2 18 3 2 6" xfId="26475" xr:uid="{00000000-0005-0000-0000-0000BF680000}"/>
    <cellStyle name="Separador de milhares 2 18 3 3" xfId="22777" xr:uid="{00000000-0005-0000-0000-0000C0680000}"/>
    <cellStyle name="Separador de milhares 2 18 3 3 2" xfId="23664" xr:uid="{00000000-0005-0000-0000-0000C1680000}"/>
    <cellStyle name="Separador de milhares 2 18 3 3 2 2" xfId="25440" xr:uid="{00000000-0005-0000-0000-0000C2680000}"/>
    <cellStyle name="Separador de milhares 2 18 3 3 3" xfId="24552" xr:uid="{00000000-0005-0000-0000-0000C3680000}"/>
    <cellStyle name="Separador de milhares 2 18 3 4" xfId="22896" xr:uid="{00000000-0005-0000-0000-0000C4680000}"/>
    <cellStyle name="Separador de milhares 2 18 3 4 2" xfId="23783" xr:uid="{00000000-0005-0000-0000-0000C5680000}"/>
    <cellStyle name="Separador de milhares 2 18 3 4 2 2" xfId="25559" xr:uid="{00000000-0005-0000-0000-0000C6680000}"/>
    <cellStyle name="Separador de milhares 2 18 3 4 3" xfId="24671" xr:uid="{00000000-0005-0000-0000-0000C7680000}"/>
    <cellStyle name="Separador de milhares 2 18 3 5" xfId="23280" xr:uid="{00000000-0005-0000-0000-0000C8680000}"/>
    <cellStyle name="Separador de milhares 2 18 3 5 2" xfId="25056" xr:uid="{00000000-0005-0000-0000-0000C9680000}"/>
    <cellStyle name="Separador de milhares 2 18 3 6" xfId="24168" xr:uid="{00000000-0005-0000-0000-0000CA680000}"/>
    <cellStyle name="Separador de milhares 2 18 3 7" xfId="2353" xr:uid="{00000000-0005-0000-0000-0000CB680000}"/>
    <cellStyle name="Separador de milhares 2 18 3 8" xfId="25944" xr:uid="{00000000-0005-0000-0000-0000CC680000}"/>
    <cellStyle name="Separador de milhares 2 18 3 9" xfId="2210" xr:uid="{00000000-0005-0000-0000-0000CD680000}"/>
    <cellStyle name="Separador de milhares 2 19" xfId="1788" xr:uid="{00000000-0005-0000-0000-0000CE680000}"/>
    <cellStyle name="Separador de milhares 2 19 2" xfId="1789" xr:uid="{00000000-0005-0000-0000-0000CF680000}"/>
    <cellStyle name="Separador de milhares 2 19 2 2" xfId="1790" xr:uid="{00000000-0005-0000-0000-0000D0680000}"/>
    <cellStyle name="Separador de milhares 2 19 2 2 10" xfId="26350" xr:uid="{00000000-0005-0000-0000-0000D1680000}"/>
    <cellStyle name="Separador de milhares 2 19 2 2 2" xfId="22483" xr:uid="{00000000-0005-0000-0000-0000D2680000}"/>
    <cellStyle name="Separador de milhares 2 19 2 2 2 2" xfId="23039" xr:uid="{00000000-0005-0000-0000-0000D3680000}"/>
    <cellStyle name="Separador de milhares 2 19 2 2 2 2 2" xfId="23926" xr:uid="{00000000-0005-0000-0000-0000D4680000}"/>
    <cellStyle name="Separador de milhares 2 19 2 2 2 2 2 2" xfId="25702" xr:uid="{00000000-0005-0000-0000-0000D5680000}"/>
    <cellStyle name="Separador de milhares 2 19 2 2 2 2 3" xfId="24814" xr:uid="{00000000-0005-0000-0000-0000D6680000}"/>
    <cellStyle name="Separador de milhares 2 19 2 2 2 3" xfId="23423" xr:uid="{00000000-0005-0000-0000-0000D7680000}"/>
    <cellStyle name="Separador de milhares 2 19 2 2 2 3 2" xfId="25199" xr:uid="{00000000-0005-0000-0000-0000D8680000}"/>
    <cellStyle name="Separador de milhares 2 19 2 2 2 4" xfId="24311" xr:uid="{00000000-0005-0000-0000-0000D9680000}"/>
    <cellStyle name="Separador de milhares 2 19 2 2 2 5" xfId="26106" xr:uid="{00000000-0005-0000-0000-0000DA680000}"/>
    <cellStyle name="Separador de milhares 2 19 2 2 2 6" xfId="26476" xr:uid="{00000000-0005-0000-0000-0000DB680000}"/>
    <cellStyle name="Separador de milhares 2 19 2 2 3" xfId="22780" xr:uid="{00000000-0005-0000-0000-0000DC680000}"/>
    <cellStyle name="Separador de milhares 2 19 2 2 3 2" xfId="23667" xr:uid="{00000000-0005-0000-0000-0000DD680000}"/>
    <cellStyle name="Separador de milhares 2 19 2 2 3 2 2" xfId="25443" xr:uid="{00000000-0005-0000-0000-0000DE680000}"/>
    <cellStyle name="Separador de milhares 2 19 2 2 3 3" xfId="24555" xr:uid="{00000000-0005-0000-0000-0000DF680000}"/>
    <cellStyle name="Separador de milhares 2 19 2 2 4" xfId="22899" xr:uid="{00000000-0005-0000-0000-0000E0680000}"/>
    <cellStyle name="Separador de milhares 2 19 2 2 4 2" xfId="23786" xr:uid="{00000000-0005-0000-0000-0000E1680000}"/>
    <cellStyle name="Separador de milhares 2 19 2 2 4 2 2" xfId="25562" xr:uid="{00000000-0005-0000-0000-0000E2680000}"/>
    <cellStyle name="Separador de milhares 2 19 2 2 4 3" xfId="24674" xr:uid="{00000000-0005-0000-0000-0000E3680000}"/>
    <cellStyle name="Separador de milhares 2 19 2 2 5" xfId="23283" xr:uid="{00000000-0005-0000-0000-0000E4680000}"/>
    <cellStyle name="Separador de milhares 2 19 2 2 5 2" xfId="25059" xr:uid="{00000000-0005-0000-0000-0000E5680000}"/>
    <cellStyle name="Separador de milhares 2 19 2 2 6" xfId="24171" xr:uid="{00000000-0005-0000-0000-0000E6680000}"/>
    <cellStyle name="Separador de milhares 2 19 2 2 7" xfId="2356" xr:uid="{00000000-0005-0000-0000-0000E7680000}"/>
    <cellStyle name="Separador de milhares 2 19 2 2 8" xfId="25945" xr:uid="{00000000-0005-0000-0000-0000E8680000}"/>
    <cellStyle name="Separador de milhares 2 19 2 2 9" xfId="2213" xr:uid="{00000000-0005-0000-0000-0000E9680000}"/>
    <cellStyle name="Separador de milhares 2 19 3" xfId="1791" xr:uid="{00000000-0005-0000-0000-0000EA680000}"/>
    <cellStyle name="Separador de milhares 2 19 3 10" xfId="26351" xr:uid="{00000000-0005-0000-0000-0000EB680000}"/>
    <cellStyle name="Separador de milhares 2 19 3 2" xfId="22482" xr:uid="{00000000-0005-0000-0000-0000EC680000}"/>
    <cellStyle name="Separador de milhares 2 19 3 2 2" xfId="23038" xr:uid="{00000000-0005-0000-0000-0000ED680000}"/>
    <cellStyle name="Separador de milhares 2 19 3 2 2 2" xfId="23925" xr:uid="{00000000-0005-0000-0000-0000EE680000}"/>
    <cellStyle name="Separador de milhares 2 19 3 2 2 2 2" xfId="25701" xr:uid="{00000000-0005-0000-0000-0000EF680000}"/>
    <cellStyle name="Separador de milhares 2 19 3 2 2 3" xfId="24813" xr:uid="{00000000-0005-0000-0000-0000F0680000}"/>
    <cellStyle name="Separador de milhares 2 19 3 2 3" xfId="23422" xr:uid="{00000000-0005-0000-0000-0000F1680000}"/>
    <cellStyle name="Separador de milhares 2 19 3 2 3 2" xfId="25198" xr:uid="{00000000-0005-0000-0000-0000F2680000}"/>
    <cellStyle name="Separador de milhares 2 19 3 2 4" xfId="24310" xr:uid="{00000000-0005-0000-0000-0000F3680000}"/>
    <cellStyle name="Separador de milhares 2 19 3 2 5" xfId="26107" xr:uid="{00000000-0005-0000-0000-0000F4680000}"/>
    <cellStyle name="Separador de milhares 2 19 3 2 6" xfId="26477" xr:uid="{00000000-0005-0000-0000-0000F5680000}"/>
    <cellStyle name="Separador de milhares 2 19 3 3" xfId="22779" xr:uid="{00000000-0005-0000-0000-0000F6680000}"/>
    <cellStyle name="Separador de milhares 2 19 3 3 2" xfId="23666" xr:uid="{00000000-0005-0000-0000-0000F7680000}"/>
    <cellStyle name="Separador de milhares 2 19 3 3 2 2" xfId="25442" xr:uid="{00000000-0005-0000-0000-0000F8680000}"/>
    <cellStyle name="Separador de milhares 2 19 3 3 3" xfId="24554" xr:uid="{00000000-0005-0000-0000-0000F9680000}"/>
    <cellStyle name="Separador de milhares 2 19 3 4" xfId="22898" xr:uid="{00000000-0005-0000-0000-0000FA680000}"/>
    <cellStyle name="Separador de milhares 2 19 3 4 2" xfId="23785" xr:uid="{00000000-0005-0000-0000-0000FB680000}"/>
    <cellStyle name="Separador de milhares 2 19 3 4 2 2" xfId="25561" xr:uid="{00000000-0005-0000-0000-0000FC680000}"/>
    <cellStyle name="Separador de milhares 2 19 3 4 3" xfId="24673" xr:uid="{00000000-0005-0000-0000-0000FD680000}"/>
    <cellStyle name="Separador de milhares 2 19 3 5" xfId="23282" xr:uid="{00000000-0005-0000-0000-0000FE680000}"/>
    <cellStyle name="Separador de milhares 2 19 3 5 2" xfId="25058" xr:uid="{00000000-0005-0000-0000-0000FF680000}"/>
    <cellStyle name="Separador de milhares 2 19 3 6" xfId="24170" xr:uid="{00000000-0005-0000-0000-000000690000}"/>
    <cellStyle name="Separador de milhares 2 19 3 7" xfId="2355" xr:uid="{00000000-0005-0000-0000-000001690000}"/>
    <cellStyle name="Separador de milhares 2 19 3 8" xfId="25946" xr:uid="{00000000-0005-0000-0000-000002690000}"/>
    <cellStyle name="Separador de milhares 2 19 3 9" xfId="2212" xr:uid="{00000000-0005-0000-0000-000003690000}"/>
    <cellStyle name="Separador de milhares 2 2" xfId="1792" xr:uid="{00000000-0005-0000-0000-000004690000}"/>
    <cellStyle name="Separador de milhares 2 2 10" xfId="1793" xr:uid="{00000000-0005-0000-0000-000005690000}"/>
    <cellStyle name="Separador de milhares 2 2 10 2" xfId="1794" xr:uid="{00000000-0005-0000-0000-000006690000}"/>
    <cellStyle name="Separador de milhares 2 2 10 2 2" xfId="1795" xr:uid="{00000000-0005-0000-0000-000007690000}"/>
    <cellStyle name="Separador de milhares 2 2 10 2 2 10" xfId="26352" xr:uid="{00000000-0005-0000-0000-000008690000}"/>
    <cellStyle name="Separador de milhares 2 2 10 2 2 2" xfId="22486" xr:uid="{00000000-0005-0000-0000-000009690000}"/>
    <cellStyle name="Separador de milhares 2 2 10 2 2 2 2" xfId="23042" xr:uid="{00000000-0005-0000-0000-00000A690000}"/>
    <cellStyle name="Separador de milhares 2 2 10 2 2 2 2 2" xfId="23929" xr:uid="{00000000-0005-0000-0000-00000B690000}"/>
    <cellStyle name="Separador de milhares 2 2 10 2 2 2 2 2 2" xfId="25705" xr:uid="{00000000-0005-0000-0000-00000C690000}"/>
    <cellStyle name="Separador de milhares 2 2 10 2 2 2 2 3" xfId="24817" xr:uid="{00000000-0005-0000-0000-00000D690000}"/>
    <cellStyle name="Separador de milhares 2 2 10 2 2 2 3" xfId="23426" xr:uid="{00000000-0005-0000-0000-00000E690000}"/>
    <cellStyle name="Separador de milhares 2 2 10 2 2 2 3 2" xfId="25202" xr:uid="{00000000-0005-0000-0000-00000F690000}"/>
    <cellStyle name="Separador de milhares 2 2 10 2 2 2 4" xfId="24314" xr:uid="{00000000-0005-0000-0000-000010690000}"/>
    <cellStyle name="Separador de milhares 2 2 10 2 2 2 5" xfId="26108" xr:uid="{00000000-0005-0000-0000-000011690000}"/>
    <cellStyle name="Separador de milhares 2 2 10 2 2 2 6" xfId="26478" xr:uid="{00000000-0005-0000-0000-000012690000}"/>
    <cellStyle name="Separador de milhares 2 2 10 2 2 3" xfId="22783" xr:uid="{00000000-0005-0000-0000-000013690000}"/>
    <cellStyle name="Separador de milhares 2 2 10 2 2 3 2" xfId="23670" xr:uid="{00000000-0005-0000-0000-000014690000}"/>
    <cellStyle name="Separador de milhares 2 2 10 2 2 3 2 2" xfId="25446" xr:uid="{00000000-0005-0000-0000-000015690000}"/>
    <cellStyle name="Separador de milhares 2 2 10 2 2 3 3" xfId="24558" xr:uid="{00000000-0005-0000-0000-000016690000}"/>
    <cellStyle name="Separador de milhares 2 2 10 2 2 4" xfId="22902" xr:uid="{00000000-0005-0000-0000-000017690000}"/>
    <cellStyle name="Separador de milhares 2 2 10 2 2 4 2" xfId="23789" xr:uid="{00000000-0005-0000-0000-000018690000}"/>
    <cellStyle name="Separador de milhares 2 2 10 2 2 4 2 2" xfId="25565" xr:uid="{00000000-0005-0000-0000-000019690000}"/>
    <cellStyle name="Separador de milhares 2 2 10 2 2 4 3" xfId="24677" xr:uid="{00000000-0005-0000-0000-00001A690000}"/>
    <cellStyle name="Separador de milhares 2 2 10 2 2 5" xfId="23286" xr:uid="{00000000-0005-0000-0000-00001B690000}"/>
    <cellStyle name="Separador de milhares 2 2 10 2 2 5 2" xfId="25062" xr:uid="{00000000-0005-0000-0000-00001C690000}"/>
    <cellStyle name="Separador de milhares 2 2 10 2 2 6" xfId="24174" xr:uid="{00000000-0005-0000-0000-00001D690000}"/>
    <cellStyle name="Separador de milhares 2 2 10 2 2 7" xfId="2359" xr:uid="{00000000-0005-0000-0000-00001E690000}"/>
    <cellStyle name="Separador de milhares 2 2 10 2 2 8" xfId="25947" xr:uid="{00000000-0005-0000-0000-00001F690000}"/>
    <cellStyle name="Separador de milhares 2 2 10 2 2 9" xfId="2216" xr:uid="{00000000-0005-0000-0000-000020690000}"/>
    <cellStyle name="Separador de milhares 2 2 10 3" xfId="1796" xr:uid="{00000000-0005-0000-0000-000021690000}"/>
    <cellStyle name="Separador de milhares 2 2 10 3 10" xfId="26353" xr:uid="{00000000-0005-0000-0000-000022690000}"/>
    <cellStyle name="Separador de milhares 2 2 10 3 2" xfId="22485" xr:uid="{00000000-0005-0000-0000-000023690000}"/>
    <cellStyle name="Separador de milhares 2 2 10 3 2 2" xfId="23041" xr:uid="{00000000-0005-0000-0000-000024690000}"/>
    <cellStyle name="Separador de milhares 2 2 10 3 2 2 2" xfId="23928" xr:uid="{00000000-0005-0000-0000-000025690000}"/>
    <cellStyle name="Separador de milhares 2 2 10 3 2 2 2 2" xfId="25704" xr:uid="{00000000-0005-0000-0000-000026690000}"/>
    <cellStyle name="Separador de milhares 2 2 10 3 2 2 3" xfId="24816" xr:uid="{00000000-0005-0000-0000-000027690000}"/>
    <cellStyle name="Separador de milhares 2 2 10 3 2 3" xfId="23425" xr:uid="{00000000-0005-0000-0000-000028690000}"/>
    <cellStyle name="Separador de milhares 2 2 10 3 2 3 2" xfId="25201" xr:uid="{00000000-0005-0000-0000-000029690000}"/>
    <cellStyle name="Separador de milhares 2 2 10 3 2 4" xfId="24313" xr:uid="{00000000-0005-0000-0000-00002A690000}"/>
    <cellStyle name="Separador de milhares 2 2 10 3 2 5" xfId="26109" xr:uid="{00000000-0005-0000-0000-00002B690000}"/>
    <cellStyle name="Separador de milhares 2 2 10 3 2 6" xfId="26479" xr:uid="{00000000-0005-0000-0000-00002C690000}"/>
    <cellStyle name="Separador de milhares 2 2 10 3 3" xfId="22782" xr:uid="{00000000-0005-0000-0000-00002D690000}"/>
    <cellStyle name="Separador de milhares 2 2 10 3 3 2" xfId="23669" xr:uid="{00000000-0005-0000-0000-00002E690000}"/>
    <cellStyle name="Separador de milhares 2 2 10 3 3 2 2" xfId="25445" xr:uid="{00000000-0005-0000-0000-00002F690000}"/>
    <cellStyle name="Separador de milhares 2 2 10 3 3 3" xfId="24557" xr:uid="{00000000-0005-0000-0000-000030690000}"/>
    <cellStyle name="Separador de milhares 2 2 10 3 4" xfId="22901" xr:uid="{00000000-0005-0000-0000-000031690000}"/>
    <cellStyle name="Separador de milhares 2 2 10 3 4 2" xfId="23788" xr:uid="{00000000-0005-0000-0000-000032690000}"/>
    <cellStyle name="Separador de milhares 2 2 10 3 4 2 2" xfId="25564" xr:uid="{00000000-0005-0000-0000-000033690000}"/>
    <cellStyle name="Separador de milhares 2 2 10 3 4 3" xfId="24676" xr:uid="{00000000-0005-0000-0000-000034690000}"/>
    <cellStyle name="Separador de milhares 2 2 10 3 5" xfId="23285" xr:uid="{00000000-0005-0000-0000-000035690000}"/>
    <cellStyle name="Separador de milhares 2 2 10 3 5 2" xfId="25061" xr:uid="{00000000-0005-0000-0000-000036690000}"/>
    <cellStyle name="Separador de milhares 2 2 10 3 6" xfId="24173" xr:uid="{00000000-0005-0000-0000-000037690000}"/>
    <cellStyle name="Separador de milhares 2 2 10 3 7" xfId="2358" xr:uid="{00000000-0005-0000-0000-000038690000}"/>
    <cellStyle name="Separador de milhares 2 2 10 3 8" xfId="25948" xr:uid="{00000000-0005-0000-0000-000039690000}"/>
    <cellStyle name="Separador de milhares 2 2 10 3 9" xfId="2215" xr:uid="{00000000-0005-0000-0000-00003A690000}"/>
    <cellStyle name="Separador de milhares 2 2 11" xfId="1797" xr:uid="{00000000-0005-0000-0000-00003B690000}"/>
    <cellStyle name="Separador de milhares 2 2 11 2" xfId="1798" xr:uid="{00000000-0005-0000-0000-00003C690000}"/>
    <cellStyle name="Separador de milhares 2 2 11 2 2" xfId="1799" xr:uid="{00000000-0005-0000-0000-00003D690000}"/>
    <cellStyle name="Separador de milhares 2 2 11 2 2 10" xfId="26354" xr:uid="{00000000-0005-0000-0000-00003E690000}"/>
    <cellStyle name="Separador de milhares 2 2 11 2 2 2" xfId="22488" xr:uid="{00000000-0005-0000-0000-00003F690000}"/>
    <cellStyle name="Separador de milhares 2 2 11 2 2 2 2" xfId="23044" xr:uid="{00000000-0005-0000-0000-000040690000}"/>
    <cellStyle name="Separador de milhares 2 2 11 2 2 2 2 2" xfId="23931" xr:uid="{00000000-0005-0000-0000-000041690000}"/>
    <cellStyle name="Separador de milhares 2 2 11 2 2 2 2 2 2" xfId="25707" xr:uid="{00000000-0005-0000-0000-000042690000}"/>
    <cellStyle name="Separador de milhares 2 2 11 2 2 2 2 3" xfId="24819" xr:uid="{00000000-0005-0000-0000-000043690000}"/>
    <cellStyle name="Separador de milhares 2 2 11 2 2 2 3" xfId="23428" xr:uid="{00000000-0005-0000-0000-000044690000}"/>
    <cellStyle name="Separador de milhares 2 2 11 2 2 2 3 2" xfId="25204" xr:uid="{00000000-0005-0000-0000-000045690000}"/>
    <cellStyle name="Separador de milhares 2 2 11 2 2 2 4" xfId="24316" xr:uid="{00000000-0005-0000-0000-000046690000}"/>
    <cellStyle name="Separador de milhares 2 2 11 2 2 2 5" xfId="26110" xr:uid="{00000000-0005-0000-0000-000047690000}"/>
    <cellStyle name="Separador de milhares 2 2 11 2 2 2 6" xfId="26480" xr:uid="{00000000-0005-0000-0000-000048690000}"/>
    <cellStyle name="Separador de milhares 2 2 11 2 2 3" xfId="22785" xr:uid="{00000000-0005-0000-0000-000049690000}"/>
    <cellStyle name="Separador de milhares 2 2 11 2 2 3 2" xfId="23672" xr:uid="{00000000-0005-0000-0000-00004A690000}"/>
    <cellStyle name="Separador de milhares 2 2 11 2 2 3 2 2" xfId="25448" xr:uid="{00000000-0005-0000-0000-00004B690000}"/>
    <cellStyle name="Separador de milhares 2 2 11 2 2 3 3" xfId="24560" xr:uid="{00000000-0005-0000-0000-00004C690000}"/>
    <cellStyle name="Separador de milhares 2 2 11 2 2 4" xfId="22904" xr:uid="{00000000-0005-0000-0000-00004D690000}"/>
    <cellStyle name="Separador de milhares 2 2 11 2 2 4 2" xfId="23791" xr:uid="{00000000-0005-0000-0000-00004E690000}"/>
    <cellStyle name="Separador de milhares 2 2 11 2 2 4 2 2" xfId="25567" xr:uid="{00000000-0005-0000-0000-00004F690000}"/>
    <cellStyle name="Separador de milhares 2 2 11 2 2 4 3" xfId="24679" xr:uid="{00000000-0005-0000-0000-000050690000}"/>
    <cellStyle name="Separador de milhares 2 2 11 2 2 5" xfId="23288" xr:uid="{00000000-0005-0000-0000-000051690000}"/>
    <cellStyle name="Separador de milhares 2 2 11 2 2 5 2" xfId="25064" xr:uid="{00000000-0005-0000-0000-000052690000}"/>
    <cellStyle name="Separador de milhares 2 2 11 2 2 6" xfId="24176" xr:uid="{00000000-0005-0000-0000-000053690000}"/>
    <cellStyle name="Separador de milhares 2 2 11 2 2 7" xfId="2361" xr:uid="{00000000-0005-0000-0000-000054690000}"/>
    <cellStyle name="Separador de milhares 2 2 11 2 2 8" xfId="25949" xr:uid="{00000000-0005-0000-0000-000055690000}"/>
    <cellStyle name="Separador de milhares 2 2 11 2 2 9" xfId="2218" xr:uid="{00000000-0005-0000-0000-000056690000}"/>
    <cellStyle name="Separador de milhares 2 2 11 3" xfId="1800" xr:uid="{00000000-0005-0000-0000-000057690000}"/>
    <cellStyle name="Separador de milhares 2 2 11 3 10" xfId="26355" xr:uid="{00000000-0005-0000-0000-000058690000}"/>
    <cellStyle name="Separador de milhares 2 2 11 3 2" xfId="22487" xr:uid="{00000000-0005-0000-0000-000059690000}"/>
    <cellStyle name="Separador de milhares 2 2 11 3 2 2" xfId="23043" xr:uid="{00000000-0005-0000-0000-00005A690000}"/>
    <cellStyle name="Separador de milhares 2 2 11 3 2 2 2" xfId="23930" xr:uid="{00000000-0005-0000-0000-00005B690000}"/>
    <cellStyle name="Separador de milhares 2 2 11 3 2 2 2 2" xfId="25706" xr:uid="{00000000-0005-0000-0000-00005C690000}"/>
    <cellStyle name="Separador de milhares 2 2 11 3 2 2 3" xfId="24818" xr:uid="{00000000-0005-0000-0000-00005D690000}"/>
    <cellStyle name="Separador de milhares 2 2 11 3 2 3" xfId="23427" xr:uid="{00000000-0005-0000-0000-00005E690000}"/>
    <cellStyle name="Separador de milhares 2 2 11 3 2 3 2" xfId="25203" xr:uid="{00000000-0005-0000-0000-00005F690000}"/>
    <cellStyle name="Separador de milhares 2 2 11 3 2 4" xfId="24315" xr:uid="{00000000-0005-0000-0000-000060690000}"/>
    <cellStyle name="Separador de milhares 2 2 11 3 2 5" xfId="26111" xr:uid="{00000000-0005-0000-0000-000061690000}"/>
    <cellStyle name="Separador de milhares 2 2 11 3 2 6" xfId="26481" xr:uid="{00000000-0005-0000-0000-000062690000}"/>
    <cellStyle name="Separador de milhares 2 2 11 3 3" xfId="22784" xr:uid="{00000000-0005-0000-0000-000063690000}"/>
    <cellStyle name="Separador de milhares 2 2 11 3 3 2" xfId="23671" xr:uid="{00000000-0005-0000-0000-000064690000}"/>
    <cellStyle name="Separador de milhares 2 2 11 3 3 2 2" xfId="25447" xr:uid="{00000000-0005-0000-0000-000065690000}"/>
    <cellStyle name="Separador de milhares 2 2 11 3 3 3" xfId="24559" xr:uid="{00000000-0005-0000-0000-000066690000}"/>
    <cellStyle name="Separador de milhares 2 2 11 3 4" xfId="22903" xr:uid="{00000000-0005-0000-0000-000067690000}"/>
    <cellStyle name="Separador de milhares 2 2 11 3 4 2" xfId="23790" xr:uid="{00000000-0005-0000-0000-000068690000}"/>
    <cellStyle name="Separador de milhares 2 2 11 3 4 2 2" xfId="25566" xr:uid="{00000000-0005-0000-0000-000069690000}"/>
    <cellStyle name="Separador de milhares 2 2 11 3 4 3" xfId="24678" xr:uid="{00000000-0005-0000-0000-00006A690000}"/>
    <cellStyle name="Separador de milhares 2 2 11 3 5" xfId="23287" xr:uid="{00000000-0005-0000-0000-00006B690000}"/>
    <cellStyle name="Separador de milhares 2 2 11 3 5 2" xfId="25063" xr:uid="{00000000-0005-0000-0000-00006C690000}"/>
    <cellStyle name="Separador de milhares 2 2 11 3 6" xfId="24175" xr:uid="{00000000-0005-0000-0000-00006D690000}"/>
    <cellStyle name="Separador de milhares 2 2 11 3 7" xfId="2360" xr:uid="{00000000-0005-0000-0000-00006E690000}"/>
    <cellStyle name="Separador de milhares 2 2 11 3 8" xfId="25950" xr:uid="{00000000-0005-0000-0000-00006F690000}"/>
    <cellStyle name="Separador de milhares 2 2 11 3 9" xfId="2217" xr:uid="{00000000-0005-0000-0000-000070690000}"/>
    <cellStyle name="Separador de milhares 2 2 12" xfId="1801" xr:uid="{00000000-0005-0000-0000-000071690000}"/>
    <cellStyle name="Separador de milhares 2 2 13" xfId="1802" xr:uid="{00000000-0005-0000-0000-000072690000}"/>
    <cellStyle name="Separador de milhares 2 2 13 2" xfId="1803" xr:uid="{00000000-0005-0000-0000-000073690000}"/>
    <cellStyle name="Separador de milhares 2 2 13 2 10" xfId="26356" xr:uid="{00000000-0005-0000-0000-000074690000}"/>
    <cellStyle name="Separador de milhares 2 2 13 2 2" xfId="22489" xr:uid="{00000000-0005-0000-0000-000075690000}"/>
    <cellStyle name="Separador de milhares 2 2 13 2 2 2" xfId="23045" xr:uid="{00000000-0005-0000-0000-000076690000}"/>
    <cellStyle name="Separador de milhares 2 2 13 2 2 2 2" xfId="23932" xr:uid="{00000000-0005-0000-0000-000077690000}"/>
    <cellStyle name="Separador de milhares 2 2 13 2 2 2 2 2" xfId="25708" xr:uid="{00000000-0005-0000-0000-000078690000}"/>
    <cellStyle name="Separador de milhares 2 2 13 2 2 2 3" xfId="24820" xr:uid="{00000000-0005-0000-0000-000079690000}"/>
    <cellStyle name="Separador de milhares 2 2 13 2 2 3" xfId="23429" xr:uid="{00000000-0005-0000-0000-00007A690000}"/>
    <cellStyle name="Separador de milhares 2 2 13 2 2 3 2" xfId="25205" xr:uid="{00000000-0005-0000-0000-00007B690000}"/>
    <cellStyle name="Separador de milhares 2 2 13 2 2 4" xfId="24317" xr:uid="{00000000-0005-0000-0000-00007C690000}"/>
    <cellStyle name="Separador de milhares 2 2 13 2 2 5" xfId="26112" xr:uid="{00000000-0005-0000-0000-00007D690000}"/>
    <cellStyle name="Separador de milhares 2 2 13 2 2 6" xfId="26482" xr:uid="{00000000-0005-0000-0000-00007E690000}"/>
    <cellStyle name="Separador de milhares 2 2 13 2 3" xfId="22786" xr:uid="{00000000-0005-0000-0000-00007F690000}"/>
    <cellStyle name="Separador de milhares 2 2 13 2 3 2" xfId="23673" xr:uid="{00000000-0005-0000-0000-000080690000}"/>
    <cellStyle name="Separador de milhares 2 2 13 2 3 2 2" xfId="25449" xr:uid="{00000000-0005-0000-0000-000081690000}"/>
    <cellStyle name="Separador de milhares 2 2 13 2 3 3" xfId="24561" xr:uid="{00000000-0005-0000-0000-000082690000}"/>
    <cellStyle name="Separador de milhares 2 2 13 2 4" xfId="22905" xr:uid="{00000000-0005-0000-0000-000083690000}"/>
    <cellStyle name="Separador de milhares 2 2 13 2 4 2" xfId="23792" xr:uid="{00000000-0005-0000-0000-000084690000}"/>
    <cellStyle name="Separador de milhares 2 2 13 2 4 2 2" xfId="25568" xr:uid="{00000000-0005-0000-0000-000085690000}"/>
    <cellStyle name="Separador de milhares 2 2 13 2 4 3" xfId="24680" xr:uid="{00000000-0005-0000-0000-000086690000}"/>
    <cellStyle name="Separador de milhares 2 2 13 2 5" xfId="23289" xr:uid="{00000000-0005-0000-0000-000087690000}"/>
    <cellStyle name="Separador de milhares 2 2 13 2 5 2" xfId="25065" xr:uid="{00000000-0005-0000-0000-000088690000}"/>
    <cellStyle name="Separador de milhares 2 2 13 2 6" xfId="24177" xr:uid="{00000000-0005-0000-0000-000089690000}"/>
    <cellStyle name="Separador de milhares 2 2 13 2 7" xfId="2362" xr:uid="{00000000-0005-0000-0000-00008A690000}"/>
    <cellStyle name="Separador de milhares 2 2 13 2 8" xfId="25951" xr:uid="{00000000-0005-0000-0000-00008B690000}"/>
    <cellStyle name="Separador de milhares 2 2 13 2 9" xfId="2219" xr:uid="{00000000-0005-0000-0000-00008C690000}"/>
    <cellStyle name="Separador de milhares 2 2 14" xfId="1804" xr:uid="{00000000-0005-0000-0000-00008D690000}"/>
    <cellStyle name="Separador de milhares 2 2 14 10" xfId="26357" xr:uid="{00000000-0005-0000-0000-00008E690000}"/>
    <cellStyle name="Separador de milhares 2 2 14 2" xfId="22484" xr:uid="{00000000-0005-0000-0000-00008F690000}"/>
    <cellStyle name="Separador de milhares 2 2 14 2 2" xfId="23040" xr:uid="{00000000-0005-0000-0000-000090690000}"/>
    <cellStyle name="Separador de milhares 2 2 14 2 2 2" xfId="23927" xr:uid="{00000000-0005-0000-0000-000091690000}"/>
    <cellStyle name="Separador de milhares 2 2 14 2 2 2 2" xfId="25703" xr:uid="{00000000-0005-0000-0000-000092690000}"/>
    <cellStyle name="Separador de milhares 2 2 14 2 2 3" xfId="24815" xr:uid="{00000000-0005-0000-0000-000093690000}"/>
    <cellStyle name="Separador de milhares 2 2 14 2 3" xfId="23424" xr:uid="{00000000-0005-0000-0000-000094690000}"/>
    <cellStyle name="Separador de milhares 2 2 14 2 3 2" xfId="25200" xr:uid="{00000000-0005-0000-0000-000095690000}"/>
    <cellStyle name="Separador de milhares 2 2 14 2 4" xfId="24312" xr:uid="{00000000-0005-0000-0000-000096690000}"/>
    <cellStyle name="Separador de milhares 2 2 14 2 5" xfId="26113" xr:uid="{00000000-0005-0000-0000-000097690000}"/>
    <cellStyle name="Separador de milhares 2 2 14 2 6" xfId="26483" xr:uid="{00000000-0005-0000-0000-000098690000}"/>
    <cellStyle name="Separador de milhares 2 2 14 3" xfId="22781" xr:uid="{00000000-0005-0000-0000-000099690000}"/>
    <cellStyle name="Separador de milhares 2 2 14 3 2" xfId="23668" xr:uid="{00000000-0005-0000-0000-00009A690000}"/>
    <cellStyle name="Separador de milhares 2 2 14 3 2 2" xfId="25444" xr:uid="{00000000-0005-0000-0000-00009B690000}"/>
    <cellStyle name="Separador de milhares 2 2 14 3 3" xfId="24556" xr:uid="{00000000-0005-0000-0000-00009C690000}"/>
    <cellStyle name="Separador de milhares 2 2 14 4" xfId="22900" xr:uid="{00000000-0005-0000-0000-00009D690000}"/>
    <cellStyle name="Separador de milhares 2 2 14 4 2" xfId="23787" xr:uid="{00000000-0005-0000-0000-00009E690000}"/>
    <cellStyle name="Separador de milhares 2 2 14 4 2 2" xfId="25563" xr:uid="{00000000-0005-0000-0000-00009F690000}"/>
    <cellStyle name="Separador de milhares 2 2 14 4 3" xfId="24675" xr:uid="{00000000-0005-0000-0000-0000A0690000}"/>
    <cellStyle name="Separador de milhares 2 2 14 5" xfId="23284" xr:uid="{00000000-0005-0000-0000-0000A1690000}"/>
    <cellStyle name="Separador de milhares 2 2 14 5 2" xfId="25060" xr:uid="{00000000-0005-0000-0000-0000A2690000}"/>
    <cellStyle name="Separador de milhares 2 2 14 6" xfId="24172" xr:uid="{00000000-0005-0000-0000-0000A3690000}"/>
    <cellStyle name="Separador de milhares 2 2 14 7" xfId="2357" xr:uid="{00000000-0005-0000-0000-0000A4690000}"/>
    <cellStyle name="Separador de milhares 2 2 14 8" xfId="25952" xr:uid="{00000000-0005-0000-0000-0000A5690000}"/>
    <cellStyle name="Separador de milhares 2 2 14 9" xfId="2214" xr:uid="{00000000-0005-0000-0000-0000A6690000}"/>
    <cellStyle name="Separador de milhares 2 2 2" xfId="1805" xr:uid="{00000000-0005-0000-0000-0000A7690000}"/>
    <cellStyle name="Separador de milhares 2 2 2 2" xfId="1806" xr:uid="{00000000-0005-0000-0000-0000A8690000}"/>
    <cellStyle name="Separador de milhares 2 2 2 2 2" xfId="1807" xr:uid="{00000000-0005-0000-0000-0000A9690000}"/>
    <cellStyle name="Separador de milhares 2 2 2 2 2 10" xfId="2221" xr:uid="{00000000-0005-0000-0000-0000AA690000}"/>
    <cellStyle name="Separador de milhares 2 2 2 2 2 11" xfId="26358" xr:uid="{00000000-0005-0000-0000-0000AB690000}"/>
    <cellStyle name="Separador de milhares 2 2 2 2 2 2" xfId="2591" xr:uid="{00000000-0005-0000-0000-0000AC690000}"/>
    <cellStyle name="Separador de milhares 2 2 2 2 2 2 2" xfId="26114" xr:uid="{00000000-0005-0000-0000-0000AD690000}"/>
    <cellStyle name="Separador de milhares 2 2 2 2 2 2 3" xfId="26484" xr:uid="{00000000-0005-0000-0000-0000AE690000}"/>
    <cellStyle name="Separador de milhares 2 2 2 2 2 3" xfId="22491" xr:uid="{00000000-0005-0000-0000-0000AF690000}"/>
    <cellStyle name="Separador de milhares 2 2 2 2 2 3 2" xfId="23047" xr:uid="{00000000-0005-0000-0000-0000B0690000}"/>
    <cellStyle name="Separador de milhares 2 2 2 2 2 3 2 2" xfId="23934" xr:uid="{00000000-0005-0000-0000-0000B1690000}"/>
    <cellStyle name="Separador de milhares 2 2 2 2 2 3 2 2 2" xfId="25710" xr:uid="{00000000-0005-0000-0000-0000B2690000}"/>
    <cellStyle name="Separador de milhares 2 2 2 2 2 3 2 3" xfId="24822" xr:uid="{00000000-0005-0000-0000-0000B3690000}"/>
    <cellStyle name="Separador de milhares 2 2 2 2 2 3 3" xfId="23431" xr:uid="{00000000-0005-0000-0000-0000B4690000}"/>
    <cellStyle name="Separador de milhares 2 2 2 2 2 3 3 2" xfId="25207" xr:uid="{00000000-0005-0000-0000-0000B5690000}"/>
    <cellStyle name="Separador de milhares 2 2 2 2 2 3 4" xfId="24319" xr:uid="{00000000-0005-0000-0000-0000B6690000}"/>
    <cellStyle name="Separador de milhares 2 2 2 2 2 4" xfId="22788" xr:uid="{00000000-0005-0000-0000-0000B7690000}"/>
    <cellStyle name="Separador de milhares 2 2 2 2 2 4 2" xfId="23675" xr:uid="{00000000-0005-0000-0000-0000B8690000}"/>
    <cellStyle name="Separador de milhares 2 2 2 2 2 4 2 2" xfId="25451" xr:uid="{00000000-0005-0000-0000-0000B9690000}"/>
    <cellStyle name="Separador de milhares 2 2 2 2 2 4 3" xfId="24563" xr:uid="{00000000-0005-0000-0000-0000BA690000}"/>
    <cellStyle name="Separador de milhares 2 2 2 2 2 5" xfId="22907" xr:uid="{00000000-0005-0000-0000-0000BB690000}"/>
    <cellStyle name="Separador de milhares 2 2 2 2 2 5 2" xfId="23794" xr:uid="{00000000-0005-0000-0000-0000BC690000}"/>
    <cellStyle name="Separador de milhares 2 2 2 2 2 5 2 2" xfId="25570" xr:uid="{00000000-0005-0000-0000-0000BD690000}"/>
    <cellStyle name="Separador de milhares 2 2 2 2 2 5 3" xfId="24682" xr:uid="{00000000-0005-0000-0000-0000BE690000}"/>
    <cellStyle name="Separador de milhares 2 2 2 2 2 6" xfId="23291" xr:uid="{00000000-0005-0000-0000-0000BF690000}"/>
    <cellStyle name="Separador de milhares 2 2 2 2 2 6 2" xfId="25067" xr:uid="{00000000-0005-0000-0000-0000C0690000}"/>
    <cellStyle name="Separador de milhares 2 2 2 2 2 7" xfId="24179" xr:uid="{00000000-0005-0000-0000-0000C1690000}"/>
    <cellStyle name="Separador de milhares 2 2 2 2 2 8" xfId="2364" xr:uid="{00000000-0005-0000-0000-0000C2690000}"/>
    <cellStyle name="Separador de milhares 2 2 2 2 2 9" xfId="25953" xr:uid="{00000000-0005-0000-0000-0000C3690000}"/>
    <cellStyle name="Separador de milhares 2 2 2 2 3" xfId="2589" xr:uid="{00000000-0005-0000-0000-0000C4690000}"/>
    <cellStyle name="Separador de milhares 2 2 2 3" xfId="1808" xr:uid="{00000000-0005-0000-0000-0000C5690000}"/>
    <cellStyle name="Separador de milhares 2 2 2 3 10" xfId="2220" xr:uid="{00000000-0005-0000-0000-0000C6690000}"/>
    <cellStyle name="Separador de milhares 2 2 2 3 11" xfId="26359" xr:uid="{00000000-0005-0000-0000-0000C7690000}"/>
    <cellStyle name="Separador de milhares 2 2 2 3 2" xfId="2602" xr:uid="{00000000-0005-0000-0000-0000C8690000}"/>
    <cellStyle name="Separador de milhares 2 2 2 3 2 2" xfId="22627" xr:uid="{00000000-0005-0000-0000-0000C9690000}"/>
    <cellStyle name="Separador de milhares 2 2 2 3 2 2 2" xfId="23183" xr:uid="{00000000-0005-0000-0000-0000CA690000}"/>
    <cellStyle name="Separador de milhares 2 2 2 3 2 2 2 2" xfId="24070" xr:uid="{00000000-0005-0000-0000-0000CB690000}"/>
    <cellStyle name="Separador de milhares 2 2 2 3 2 2 2 2 2" xfId="25846" xr:uid="{00000000-0005-0000-0000-0000CC690000}"/>
    <cellStyle name="Separador de milhares 2 2 2 3 2 2 2 3" xfId="24958" xr:uid="{00000000-0005-0000-0000-0000CD690000}"/>
    <cellStyle name="Separador de milhares 2 2 2 3 2 2 3" xfId="23567" xr:uid="{00000000-0005-0000-0000-0000CE690000}"/>
    <cellStyle name="Separador de milhares 2 2 2 3 2 2 3 2" xfId="25343" xr:uid="{00000000-0005-0000-0000-0000CF690000}"/>
    <cellStyle name="Separador de milhares 2 2 2 3 2 2 4" xfId="24455" xr:uid="{00000000-0005-0000-0000-0000D0690000}"/>
    <cellStyle name="Separador de milhares 2 2 2 3 2 3" xfId="26115" xr:uid="{00000000-0005-0000-0000-0000D1690000}"/>
    <cellStyle name="Separador de milhares 2 2 2 3 2 4" xfId="26485" xr:uid="{00000000-0005-0000-0000-0000D2690000}"/>
    <cellStyle name="Separador de milhares 2 2 2 3 3" xfId="22490" xr:uid="{00000000-0005-0000-0000-0000D3690000}"/>
    <cellStyle name="Separador de milhares 2 2 2 3 3 2" xfId="23046" xr:uid="{00000000-0005-0000-0000-0000D4690000}"/>
    <cellStyle name="Separador de milhares 2 2 2 3 3 2 2" xfId="23933" xr:uid="{00000000-0005-0000-0000-0000D5690000}"/>
    <cellStyle name="Separador de milhares 2 2 2 3 3 2 2 2" xfId="25709" xr:uid="{00000000-0005-0000-0000-0000D6690000}"/>
    <cellStyle name="Separador de milhares 2 2 2 3 3 2 3" xfId="24821" xr:uid="{00000000-0005-0000-0000-0000D7690000}"/>
    <cellStyle name="Separador de milhares 2 2 2 3 3 3" xfId="23430" xr:uid="{00000000-0005-0000-0000-0000D8690000}"/>
    <cellStyle name="Separador de milhares 2 2 2 3 3 3 2" xfId="25206" xr:uid="{00000000-0005-0000-0000-0000D9690000}"/>
    <cellStyle name="Separador de milhares 2 2 2 3 3 4" xfId="24318" xr:uid="{00000000-0005-0000-0000-0000DA690000}"/>
    <cellStyle name="Separador de milhares 2 2 2 3 4" xfId="22787" xr:uid="{00000000-0005-0000-0000-0000DB690000}"/>
    <cellStyle name="Separador de milhares 2 2 2 3 4 2" xfId="23674" xr:uid="{00000000-0005-0000-0000-0000DC690000}"/>
    <cellStyle name="Separador de milhares 2 2 2 3 4 2 2" xfId="25450" xr:uid="{00000000-0005-0000-0000-0000DD690000}"/>
    <cellStyle name="Separador de milhares 2 2 2 3 4 3" xfId="24562" xr:uid="{00000000-0005-0000-0000-0000DE690000}"/>
    <cellStyle name="Separador de milhares 2 2 2 3 5" xfId="22906" xr:uid="{00000000-0005-0000-0000-0000DF690000}"/>
    <cellStyle name="Separador de milhares 2 2 2 3 5 2" xfId="23793" xr:uid="{00000000-0005-0000-0000-0000E0690000}"/>
    <cellStyle name="Separador de milhares 2 2 2 3 5 2 2" xfId="25569" xr:uid="{00000000-0005-0000-0000-0000E1690000}"/>
    <cellStyle name="Separador de milhares 2 2 2 3 5 3" xfId="24681" xr:uid="{00000000-0005-0000-0000-0000E2690000}"/>
    <cellStyle name="Separador de milhares 2 2 2 3 6" xfId="23290" xr:uid="{00000000-0005-0000-0000-0000E3690000}"/>
    <cellStyle name="Separador de milhares 2 2 2 3 6 2" xfId="25066" xr:uid="{00000000-0005-0000-0000-0000E4690000}"/>
    <cellStyle name="Separador de milhares 2 2 2 3 7" xfId="24178" xr:uid="{00000000-0005-0000-0000-0000E5690000}"/>
    <cellStyle name="Separador de milhares 2 2 2 3 8" xfId="2363" xr:uid="{00000000-0005-0000-0000-0000E6690000}"/>
    <cellStyle name="Separador de milhares 2 2 2 3 9" xfId="25954" xr:uid="{00000000-0005-0000-0000-0000E7690000}"/>
    <cellStyle name="Separador de milhares 2 2 2 4" xfId="2593" xr:uid="{00000000-0005-0000-0000-0000E8690000}"/>
    <cellStyle name="Separador de milhares 2 2 3" xfId="1809" xr:uid="{00000000-0005-0000-0000-0000E9690000}"/>
    <cellStyle name="Separador de milhares 2 2 3 2" xfId="1810" xr:uid="{00000000-0005-0000-0000-0000EA690000}"/>
    <cellStyle name="Separador de milhares 2 2 3 2 2" xfId="1811" xr:uid="{00000000-0005-0000-0000-0000EB690000}"/>
    <cellStyle name="Separador de milhares 2 2 3 2 2 10" xfId="26360" xr:uid="{00000000-0005-0000-0000-0000EC690000}"/>
    <cellStyle name="Separador de milhares 2 2 3 2 2 2" xfId="22493" xr:uid="{00000000-0005-0000-0000-0000ED690000}"/>
    <cellStyle name="Separador de milhares 2 2 3 2 2 2 2" xfId="23049" xr:uid="{00000000-0005-0000-0000-0000EE690000}"/>
    <cellStyle name="Separador de milhares 2 2 3 2 2 2 2 2" xfId="23936" xr:uid="{00000000-0005-0000-0000-0000EF690000}"/>
    <cellStyle name="Separador de milhares 2 2 3 2 2 2 2 2 2" xfId="25712" xr:uid="{00000000-0005-0000-0000-0000F0690000}"/>
    <cellStyle name="Separador de milhares 2 2 3 2 2 2 2 3" xfId="24824" xr:uid="{00000000-0005-0000-0000-0000F1690000}"/>
    <cellStyle name="Separador de milhares 2 2 3 2 2 2 3" xfId="23433" xr:uid="{00000000-0005-0000-0000-0000F2690000}"/>
    <cellStyle name="Separador de milhares 2 2 3 2 2 2 3 2" xfId="25209" xr:uid="{00000000-0005-0000-0000-0000F3690000}"/>
    <cellStyle name="Separador de milhares 2 2 3 2 2 2 4" xfId="24321" xr:uid="{00000000-0005-0000-0000-0000F4690000}"/>
    <cellStyle name="Separador de milhares 2 2 3 2 2 2 5" xfId="26116" xr:uid="{00000000-0005-0000-0000-0000F5690000}"/>
    <cellStyle name="Separador de milhares 2 2 3 2 2 2 6" xfId="26486" xr:uid="{00000000-0005-0000-0000-0000F6690000}"/>
    <cellStyle name="Separador de milhares 2 2 3 2 2 3" xfId="22790" xr:uid="{00000000-0005-0000-0000-0000F7690000}"/>
    <cellStyle name="Separador de milhares 2 2 3 2 2 3 2" xfId="23677" xr:uid="{00000000-0005-0000-0000-0000F8690000}"/>
    <cellStyle name="Separador de milhares 2 2 3 2 2 3 2 2" xfId="25453" xr:uid="{00000000-0005-0000-0000-0000F9690000}"/>
    <cellStyle name="Separador de milhares 2 2 3 2 2 3 3" xfId="24565" xr:uid="{00000000-0005-0000-0000-0000FA690000}"/>
    <cellStyle name="Separador de milhares 2 2 3 2 2 4" xfId="22909" xr:uid="{00000000-0005-0000-0000-0000FB690000}"/>
    <cellStyle name="Separador de milhares 2 2 3 2 2 4 2" xfId="23796" xr:uid="{00000000-0005-0000-0000-0000FC690000}"/>
    <cellStyle name="Separador de milhares 2 2 3 2 2 4 2 2" xfId="25572" xr:uid="{00000000-0005-0000-0000-0000FD690000}"/>
    <cellStyle name="Separador de milhares 2 2 3 2 2 4 3" xfId="24684" xr:uid="{00000000-0005-0000-0000-0000FE690000}"/>
    <cellStyle name="Separador de milhares 2 2 3 2 2 5" xfId="23293" xr:uid="{00000000-0005-0000-0000-0000FF690000}"/>
    <cellStyle name="Separador de milhares 2 2 3 2 2 5 2" xfId="25069" xr:uid="{00000000-0005-0000-0000-0000006A0000}"/>
    <cellStyle name="Separador de milhares 2 2 3 2 2 6" xfId="24181" xr:uid="{00000000-0005-0000-0000-0000016A0000}"/>
    <cellStyle name="Separador de milhares 2 2 3 2 2 7" xfId="2366" xr:uid="{00000000-0005-0000-0000-0000026A0000}"/>
    <cellStyle name="Separador de milhares 2 2 3 2 2 8" xfId="25955" xr:uid="{00000000-0005-0000-0000-0000036A0000}"/>
    <cellStyle name="Separador de milhares 2 2 3 2 2 9" xfId="2223" xr:uid="{00000000-0005-0000-0000-0000046A0000}"/>
    <cellStyle name="Separador de milhares 2 2 3 3" xfId="1812" xr:uid="{00000000-0005-0000-0000-0000056A0000}"/>
    <cellStyle name="Separador de milhares 2 2 3 3 10" xfId="26361" xr:uid="{00000000-0005-0000-0000-0000066A0000}"/>
    <cellStyle name="Separador de milhares 2 2 3 3 2" xfId="22492" xr:uid="{00000000-0005-0000-0000-0000076A0000}"/>
    <cellStyle name="Separador de milhares 2 2 3 3 2 2" xfId="23048" xr:uid="{00000000-0005-0000-0000-0000086A0000}"/>
    <cellStyle name="Separador de milhares 2 2 3 3 2 2 2" xfId="23935" xr:uid="{00000000-0005-0000-0000-0000096A0000}"/>
    <cellStyle name="Separador de milhares 2 2 3 3 2 2 2 2" xfId="25711" xr:uid="{00000000-0005-0000-0000-00000A6A0000}"/>
    <cellStyle name="Separador de milhares 2 2 3 3 2 2 3" xfId="24823" xr:uid="{00000000-0005-0000-0000-00000B6A0000}"/>
    <cellStyle name="Separador de milhares 2 2 3 3 2 3" xfId="23432" xr:uid="{00000000-0005-0000-0000-00000C6A0000}"/>
    <cellStyle name="Separador de milhares 2 2 3 3 2 3 2" xfId="25208" xr:uid="{00000000-0005-0000-0000-00000D6A0000}"/>
    <cellStyle name="Separador de milhares 2 2 3 3 2 4" xfId="24320" xr:uid="{00000000-0005-0000-0000-00000E6A0000}"/>
    <cellStyle name="Separador de milhares 2 2 3 3 2 5" xfId="26117" xr:uid="{00000000-0005-0000-0000-00000F6A0000}"/>
    <cellStyle name="Separador de milhares 2 2 3 3 2 6" xfId="26487" xr:uid="{00000000-0005-0000-0000-0000106A0000}"/>
    <cellStyle name="Separador de milhares 2 2 3 3 3" xfId="22789" xr:uid="{00000000-0005-0000-0000-0000116A0000}"/>
    <cellStyle name="Separador de milhares 2 2 3 3 3 2" xfId="23676" xr:uid="{00000000-0005-0000-0000-0000126A0000}"/>
    <cellStyle name="Separador de milhares 2 2 3 3 3 2 2" xfId="25452" xr:uid="{00000000-0005-0000-0000-0000136A0000}"/>
    <cellStyle name="Separador de milhares 2 2 3 3 3 3" xfId="24564" xr:uid="{00000000-0005-0000-0000-0000146A0000}"/>
    <cellStyle name="Separador de milhares 2 2 3 3 4" xfId="22908" xr:uid="{00000000-0005-0000-0000-0000156A0000}"/>
    <cellStyle name="Separador de milhares 2 2 3 3 4 2" xfId="23795" xr:uid="{00000000-0005-0000-0000-0000166A0000}"/>
    <cellStyle name="Separador de milhares 2 2 3 3 4 2 2" xfId="25571" xr:uid="{00000000-0005-0000-0000-0000176A0000}"/>
    <cellStyle name="Separador de milhares 2 2 3 3 4 3" xfId="24683" xr:uid="{00000000-0005-0000-0000-0000186A0000}"/>
    <cellStyle name="Separador de milhares 2 2 3 3 5" xfId="23292" xr:uid="{00000000-0005-0000-0000-0000196A0000}"/>
    <cellStyle name="Separador de milhares 2 2 3 3 5 2" xfId="25068" xr:uid="{00000000-0005-0000-0000-00001A6A0000}"/>
    <cellStyle name="Separador de milhares 2 2 3 3 6" xfId="24180" xr:uid="{00000000-0005-0000-0000-00001B6A0000}"/>
    <cellStyle name="Separador de milhares 2 2 3 3 7" xfId="2365" xr:uid="{00000000-0005-0000-0000-00001C6A0000}"/>
    <cellStyle name="Separador de milhares 2 2 3 3 8" xfId="25956" xr:uid="{00000000-0005-0000-0000-00001D6A0000}"/>
    <cellStyle name="Separador de milhares 2 2 3 3 9" xfId="2222" xr:uid="{00000000-0005-0000-0000-00001E6A0000}"/>
    <cellStyle name="Separador de milhares 2 2 3 4" xfId="2598" xr:uid="{00000000-0005-0000-0000-00001F6A0000}"/>
    <cellStyle name="Separador de milhares 2 2 4" xfId="1813" xr:uid="{00000000-0005-0000-0000-0000206A0000}"/>
    <cellStyle name="Separador de milhares 2 2 4 2" xfId="1814" xr:uid="{00000000-0005-0000-0000-0000216A0000}"/>
    <cellStyle name="Separador de milhares 2 2 4 2 2" xfId="1815" xr:uid="{00000000-0005-0000-0000-0000226A0000}"/>
    <cellStyle name="Separador de milhares 2 2 4 2 2 10" xfId="26362" xr:uid="{00000000-0005-0000-0000-0000236A0000}"/>
    <cellStyle name="Separador de milhares 2 2 4 2 2 2" xfId="22495" xr:uid="{00000000-0005-0000-0000-0000246A0000}"/>
    <cellStyle name="Separador de milhares 2 2 4 2 2 2 2" xfId="23051" xr:uid="{00000000-0005-0000-0000-0000256A0000}"/>
    <cellStyle name="Separador de milhares 2 2 4 2 2 2 2 2" xfId="23938" xr:uid="{00000000-0005-0000-0000-0000266A0000}"/>
    <cellStyle name="Separador de milhares 2 2 4 2 2 2 2 2 2" xfId="25714" xr:uid="{00000000-0005-0000-0000-0000276A0000}"/>
    <cellStyle name="Separador de milhares 2 2 4 2 2 2 2 3" xfId="24826" xr:uid="{00000000-0005-0000-0000-0000286A0000}"/>
    <cellStyle name="Separador de milhares 2 2 4 2 2 2 3" xfId="23435" xr:uid="{00000000-0005-0000-0000-0000296A0000}"/>
    <cellStyle name="Separador de milhares 2 2 4 2 2 2 3 2" xfId="25211" xr:uid="{00000000-0005-0000-0000-00002A6A0000}"/>
    <cellStyle name="Separador de milhares 2 2 4 2 2 2 4" xfId="24323" xr:uid="{00000000-0005-0000-0000-00002B6A0000}"/>
    <cellStyle name="Separador de milhares 2 2 4 2 2 2 5" xfId="26118" xr:uid="{00000000-0005-0000-0000-00002C6A0000}"/>
    <cellStyle name="Separador de milhares 2 2 4 2 2 2 6" xfId="26488" xr:uid="{00000000-0005-0000-0000-00002D6A0000}"/>
    <cellStyle name="Separador de milhares 2 2 4 2 2 3" xfId="22792" xr:uid="{00000000-0005-0000-0000-00002E6A0000}"/>
    <cellStyle name="Separador de milhares 2 2 4 2 2 3 2" xfId="23679" xr:uid="{00000000-0005-0000-0000-00002F6A0000}"/>
    <cellStyle name="Separador de milhares 2 2 4 2 2 3 2 2" xfId="25455" xr:uid="{00000000-0005-0000-0000-0000306A0000}"/>
    <cellStyle name="Separador de milhares 2 2 4 2 2 3 3" xfId="24567" xr:uid="{00000000-0005-0000-0000-0000316A0000}"/>
    <cellStyle name="Separador de milhares 2 2 4 2 2 4" xfId="22911" xr:uid="{00000000-0005-0000-0000-0000326A0000}"/>
    <cellStyle name="Separador de milhares 2 2 4 2 2 4 2" xfId="23798" xr:uid="{00000000-0005-0000-0000-0000336A0000}"/>
    <cellStyle name="Separador de milhares 2 2 4 2 2 4 2 2" xfId="25574" xr:uid="{00000000-0005-0000-0000-0000346A0000}"/>
    <cellStyle name="Separador de milhares 2 2 4 2 2 4 3" xfId="24686" xr:uid="{00000000-0005-0000-0000-0000356A0000}"/>
    <cellStyle name="Separador de milhares 2 2 4 2 2 5" xfId="23295" xr:uid="{00000000-0005-0000-0000-0000366A0000}"/>
    <cellStyle name="Separador de milhares 2 2 4 2 2 5 2" xfId="25071" xr:uid="{00000000-0005-0000-0000-0000376A0000}"/>
    <cellStyle name="Separador de milhares 2 2 4 2 2 6" xfId="24183" xr:uid="{00000000-0005-0000-0000-0000386A0000}"/>
    <cellStyle name="Separador de milhares 2 2 4 2 2 7" xfId="2368" xr:uid="{00000000-0005-0000-0000-0000396A0000}"/>
    <cellStyle name="Separador de milhares 2 2 4 2 2 8" xfId="25957" xr:uid="{00000000-0005-0000-0000-00003A6A0000}"/>
    <cellStyle name="Separador de milhares 2 2 4 2 2 9" xfId="2225" xr:uid="{00000000-0005-0000-0000-00003B6A0000}"/>
    <cellStyle name="Separador de milhares 2 2 4 3" xfId="1816" xr:uid="{00000000-0005-0000-0000-00003C6A0000}"/>
    <cellStyle name="Separador de milhares 2 2 4 3 10" xfId="26363" xr:uid="{00000000-0005-0000-0000-00003D6A0000}"/>
    <cellStyle name="Separador de milhares 2 2 4 3 2" xfId="22494" xr:uid="{00000000-0005-0000-0000-00003E6A0000}"/>
    <cellStyle name="Separador de milhares 2 2 4 3 2 2" xfId="23050" xr:uid="{00000000-0005-0000-0000-00003F6A0000}"/>
    <cellStyle name="Separador de milhares 2 2 4 3 2 2 2" xfId="23937" xr:uid="{00000000-0005-0000-0000-0000406A0000}"/>
    <cellStyle name="Separador de milhares 2 2 4 3 2 2 2 2" xfId="25713" xr:uid="{00000000-0005-0000-0000-0000416A0000}"/>
    <cellStyle name="Separador de milhares 2 2 4 3 2 2 3" xfId="24825" xr:uid="{00000000-0005-0000-0000-0000426A0000}"/>
    <cellStyle name="Separador de milhares 2 2 4 3 2 3" xfId="23434" xr:uid="{00000000-0005-0000-0000-0000436A0000}"/>
    <cellStyle name="Separador de milhares 2 2 4 3 2 3 2" xfId="25210" xr:uid="{00000000-0005-0000-0000-0000446A0000}"/>
    <cellStyle name="Separador de milhares 2 2 4 3 2 4" xfId="24322" xr:uid="{00000000-0005-0000-0000-0000456A0000}"/>
    <cellStyle name="Separador de milhares 2 2 4 3 2 5" xfId="26119" xr:uid="{00000000-0005-0000-0000-0000466A0000}"/>
    <cellStyle name="Separador de milhares 2 2 4 3 2 6" xfId="26489" xr:uid="{00000000-0005-0000-0000-0000476A0000}"/>
    <cellStyle name="Separador de milhares 2 2 4 3 3" xfId="22791" xr:uid="{00000000-0005-0000-0000-0000486A0000}"/>
    <cellStyle name="Separador de milhares 2 2 4 3 3 2" xfId="23678" xr:uid="{00000000-0005-0000-0000-0000496A0000}"/>
    <cellStyle name="Separador de milhares 2 2 4 3 3 2 2" xfId="25454" xr:uid="{00000000-0005-0000-0000-00004A6A0000}"/>
    <cellStyle name="Separador de milhares 2 2 4 3 3 3" xfId="24566" xr:uid="{00000000-0005-0000-0000-00004B6A0000}"/>
    <cellStyle name="Separador de milhares 2 2 4 3 4" xfId="22910" xr:uid="{00000000-0005-0000-0000-00004C6A0000}"/>
    <cellStyle name="Separador de milhares 2 2 4 3 4 2" xfId="23797" xr:uid="{00000000-0005-0000-0000-00004D6A0000}"/>
    <cellStyle name="Separador de milhares 2 2 4 3 4 2 2" xfId="25573" xr:uid="{00000000-0005-0000-0000-00004E6A0000}"/>
    <cellStyle name="Separador de milhares 2 2 4 3 4 3" xfId="24685" xr:uid="{00000000-0005-0000-0000-00004F6A0000}"/>
    <cellStyle name="Separador de milhares 2 2 4 3 5" xfId="23294" xr:uid="{00000000-0005-0000-0000-0000506A0000}"/>
    <cellStyle name="Separador de milhares 2 2 4 3 5 2" xfId="25070" xr:uid="{00000000-0005-0000-0000-0000516A0000}"/>
    <cellStyle name="Separador de milhares 2 2 4 3 6" xfId="24182" xr:uid="{00000000-0005-0000-0000-0000526A0000}"/>
    <cellStyle name="Separador de milhares 2 2 4 3 7" xfId="2367" xr:uid="{00000000-0005-0000-0000-0000536A0000}"/>
    <cellStyle name="Separador de milhares 2 2 4 3 8" xfId="25958" xr:uid="{00000000-0005-0000-0000-0000546A0000}"/>
    <cellStyle name="Separador de milhares 2 2 4 3 9" xfId="2224" xr:uid="{00000000-0005-0000-0000-0000556A0000}"/>
    <cellStyle name="Separador de milhares 2 2 4 4" xfId="2599" xr:uid="{00000000-0005-0000-0000-0000566A0000}"/>
    <cellStyle name="Separador de milhares 2 2 5" xfId="1817" xr:uid="{00000000-0005-0000-0000-0000576A0000}"/>
    <cellStyle name="Separador de milhares 2 2 5 2" xfId="1818" xr:uid="{00000000-0005-0000-0000-0000586A0000}"/>
    <cellStyle name="Separador de milhares 2 2 5 2 2" xfId="1819" xr:uid="{00000000-0005-0000-0000-0000596A0000}"/>
    <cellStyle name="Separador de milhares 2 2 5 2 2 10" xfId="26364" xr:uid="{00000000-0005-0000-0000-00005A6A0000}"/>
    <cellStyle name="Separador de milhares 2 2 5 2 2 2" xfId="22497" xr:uid="{00000000-0005-0000-0000-00005B6A0000}"/>
    <cellStyle name="Separador de milhares 2 2 5 2 2 2 2" xfId="23053" xr:uid="{00000000-0005-0000-0000-00005C6A0000}"/>
    <cellStyle name="Separador de milhares 2 2 5 2 2 2 2 2" xfId="23940" xr:uid="{00000000-0005-0000-0000-00005D6A0000}"/>
    <cellStyle name="Separador de milhares 2 2 5 2 2 2 2 2 2" xfId="25716" xr:uid="{00000000-0005-0000-0000-00005E6A0000}"/>
    <cellStyle name="Separador de milhares 2 2 5 2 2 2 2 3" xfId="24828" xr:uid="{00000000-0005-0000-0000-00005F6A0000}"/>
    <cellStyle name="Separador de milhares 2 2 5 2 2 2 3" xfId="23437" xr:uid="{00000000-0005-0000-0000-0000606A0000}"/>
    <cellStyle name="Separador de milhares 2 2 5 2 2 2 3 2" xfId="25213" xr:uid="{00000000-0005-0000-0000-0000616A0000}"/>
    <cellStyle name="Separador de milhares 2 2 5 2 2 2 4" xfId="24325" xr:uid="{00000000-0005-0000-0000-0000626A0000}"/>
    <cellStyle name="Separador de milhares 2 2 5 2 2 2 5" xfId="26120" xr:uid="{00000000-0005-0000-0000-0000636A0000}"/>
    <cellStyle name="Separador de milhares 2 2 5 2 2 2 6" xfId="26490" xr:uid="{00000000-0005-0000-0000-0000646A0000}"/>
    <cellStyle name="Separador de milhares 2 2 5 2 2 3" xfId="22794" xr:uid="{00000000-0005-0000-0000-0000656A0000}"/>
    <cellStyle name="Separador de milhares 2 2 5 2 2 3 2" xfId="23681" xr:uid="{00000000-0005-0000-0000-0000666A0000}"/>
    <cellStyle name="Separador de milhares 2 2 5 2 2 3 2 2" xfId="25457" xr:uid="{00000000-0005-0000-0000-0000676A0000}"/>
    <cellStyle name="Separador de milhares 2 2 5 2 2 3 3" xfId="24569" xr:uid="{00000000-0005-0000-0000-0000686A0000}"/>
    <cellStyle name="Separador de milhares 2 2 5 2 2 4" xfId="22913" xr:uid="{00000000-0005-0000-0000-0000696A0000}"/>
    <cellStyle name="Separador de milhares 2 2 5 2 2 4 2" xfId="23800" xr:uid="{00000000-0005-0000-0000-00006A6A0000}"/>
    <cellStyle name="Separador de milhares 2 2 5 2 2 4 2 2" xfId="25576" xr:uid="{00000000-0005-0000-0000-00006B6A0000}"/>
    <cellStyle name="Separador de milhares 2 2 5 2 2 4 3" xfId="24688" xr:uid="{00000000-0005-0000-0000-00006C6A0000}"/>
    <cellStyle name="Separador de milhares 2 2 5 2 2 5" xfId="23297" xr:uid="{00000000-0005-0000-0000-00006D6A0000}"/>
    <cellStyle name="Separador de milhares 2 2 5 2 2 5 2" xfId="25073" xr:uid="{00000000-0005-0000-0000-00006E6A0000}"/>
    <cellStyle name="Separador de milhares 2 2 5 2 2 6" xfId="24185" xr:uid="{00000000-0005-0000-0000-00006F6A0000}"/>
    <cellStyle name="Separador de milhares 2 2 5 2 2 7" xfId="2370" xr:uid="{00000000-0005-0000-0000-0000706A0000}"/>
    <cellStyle name="Separador de milhares 2 2 5 2 2 8" xfId="25959" xr:uid="{00000000-0005-0000-0000-0000716A0000}"/>
    <cellStyle name="Separador de milhares 2 2 5 2 2 9" xfId="2227" xr:uid="{00000000-0005-0000-0000-0000726A0000}"/>
    <cellStyle name="Separador de milhares 2 2 5 3" xfId="1820" xr:uid="{00000000-0005-0000-0000-0000736A0000}"/>
    <cellStyle name="Separador de milhares 2 2 5 3 10" xfId="26365" xr:uid="{00000000-0005-0000-0000-0000746A0000}"/>
    <cellStyle name="Separador de milhares 2 2 5 3 2" xfId="22496" xr:uid="{00000000-0005-0000-0000-0000756A0000}"/>
    <cellStyle name="Separador de milhares 2 2 5 3 2 2" xfId="23052" xr:uid="{00000000-0005-0000-0000-0000766A0000}"/>
    <cellStyle name="Separador de milhares 2 2 5 3 2 2 2" xfId="23939" xr:uid="{00000000-0005-0000-0000-0000776A0000}"/>
    <cellStyle name="Separador de milhares 2 2 5 3 2 2 2 2" xfId="25715" xr:uid="{00000000-0005-0000-0000-0000786A0000}"/>
    <cellStyle name="Separador de milhares 2 2 5 3 2 2 3" xfId="24827" xr:uid="{00000000-0005-0000-0000-0000796A0000}"/>
    <cellStyle name="Separador de milhares 2 2 5 3 2 3" xfId="23436" xr:uid="{00000000-0005-0000-0000-00007A6A0000}"/>
    <cellStyle name="Separador de milhares 2 2 5 3 2 3 2" xfId="25212" xr:uid="{00000000-0005-0000-0000-00007B6A0000}"/>
    <cellStyle name="Separador de milhares 2 2 5 3 2 4" xfId="24324" xr:uid="{00000000-0005-0000-0000-00007C6A0000}"/>
    <cellStyle name="Separador de milhares 2 2 5 3 2 5" xfId="26121" xr:uid="{00000000-0005-0000-0000-00007D6A0000}"/>
    <cellStyle name="Separador de milhares 2 2 5 3 2 6" xfId="26491" xr:uid="{00000000-0005-0000-0000-00007E6A0000}"/>
    <cellStyle name="Separador de milhares 2 2 5 3 3" xfId="22793" xr:uid="{00000000-0005-0000-0000-00007F6A0000}"/>
    <cellStyle name="Separador de milhares 2 2 5 3 3 2" xfId="23680" xr:uid="{00000000-0005-0000-0000-0000806A0000}"/>
    <cellStyle name="Separador de milhares 2 2 5 3 3 2 2" xfId="25456" xr:uid="{00000000-0005-0000-0000-0000816A0000}"/>
    <cellStyle name="Separador de milhares 2 2 5 3 3 3" xfId="24568" xr:uid="{00000000-0005-0000-0000-0000826A0000}"/>
    <cellStyle name="Separador de milhares 2 2 5 3 4" xfId="22912" xr:uid="{00000000-0005-0000-0000-0000836A0000}"/>
    <cellStyle name="Separador de milhares 2 2 5 3 4 2" xfId="23799" xr:uid="{00000000-0005-0000-0000-0000846A0000}"/>
    <cellStyle name="Separador de milhares 2 2 5 3 4 2 2" xfId="25575" xr:uid="{00000000-0005-0000-0000-0000856A0000}"/>
    <cellStyle name="Separador de milhares 2 2 5 3 4 3" xfId="24687" xr:uid="{00000000-0005-0000-0000-0000866A0000}"/>
    <cellStyle name="Separador de milhares 2 2 5 3 5" xfId="23296" xr:uid="{00000000-0005-0000-0000-0000876A0000}"/>
    <cellStyle name="Separador de milhares 2 2 5 3 5 2" xfId="25072" xr:uid="{00000000-0005-0000-0000-0000886A0000}"/>
    <cellStyle name="Separador de milhares 2 2 5 3 6" xfId="24184" xr:uid="{00000000-0005-0000-0000-0000896A0000}"/>
    <cellStyle name="Separador de milhares 2 2 5 3 7" xfId="2369" xr:uid="{00000000-0005-0000-0000-00008A6A0000}"/>
    <cellStyle name="Separador de milhares 2 2 5 3 8" xfId="25960" xr:uid="{00000000-0005-0000-0000-00008B6A0000}"/>
    <cellStyle name="Separador de milhares 2 2 5 3 9" xfId="2226" xr:uid="{00000000-0005-0000-0000-00008C6A0000}"/>
    <cellStyle name="Separador de milhares 2 2 5 4" xfId="2596" xr:uid="{00000000-0005-0000-0000-00008D6A0000}"/>
    <cellStyle name="Separador de milhares 2 2 6" xfId="1821" xr:uid="{00000000-0005-0000-0000-00008E6A0000}"/>
    <cellStyle name="Separador de milhares 2 2 6 2" xfId="1822" xr:uid="{00000000-0005-0000-0000-00008F6A0000}"/>
    <cellStyle name="Separador de milhares 2 2 6 2 2" xfId="1823" xr:uid="{00000000-0005-0000-0000-0000906A0000}"/>
    <cellStyle name="Separador de milhares 2 2 6 2 2 10" xfId="26366" xr:uid="{00000000-0005-0000-0000-0000916A0000}"/>
    <cellStyle name="Separador de milhares 2 2 6 2 2 2" xfId="22499" xr:uid="{00000000-0005-0000-0000-0000926A0000}"/>
    <cellStyle name="Separador de milhares 2 2 6 2 2 2 2" xfId="23055" xr:uid="{00000000-0005-0000-0000-0000936A0000}"/>
    <cellStyle name="Separador de milhares 2 2 6 2 2 2 2 2" xfId="23942" xr:uid="{00000000-0005-0000-0000-0000946A0000}"/>
    <cellStyle name="Separador de milhares 2 2 6 2 2 2 2 2 2" xfId="25718" xr:uid="{00000000-0005-0000-0000-0000956A0000}"/>
    <cellStyle name="Separador de milhares 2 2 6 2 2 2 2 3" xfId="24830" xr:uid="{00000000-0005-0000-0000-0000966A0000}"/>
    <cellStyle name="Separador de milhares 2 2 6 2 2 2 3" xfId="23439" xr:uid="{00000000-0005-0000-0000-0000976A0000}"/>
    <cellStyle name="Separador de milhares 2 2 6 2 2 2 3 2" xfId="25215" xr:uid="{00000000-0005-0000-0000-0000986A0000}"/>
    <cellStyle name="Separador de milhares 2 2 6 2 2 2 4" xfId="24327" xr:uid="{00000000-0005-0000-0000-0000996A0000}"/>
    <cellStyle name="Separador de milhares 2 2 6 2 2 2 5" xfId="26122" xr:uid="{00000000-0005-0000-0000-00009A6A0000}"/>
    <cellStyle name="Separador de milhares 2 2 6 2 2 2 6" xfId="26492" xr:uid="{00000000-0005-0000-0000-00009B6A0000}"/>
    <cellStyle name="Separador de milhares 2 2 6 2 2 3" xfId="22796" xr:uid="{00000000-0005-0000-0000-00009C6A0000}"/>
    <cellStyle name="Separador de milhares 2 2 6 2 2 3 2" xfId="23683" xr:uid="{00000000-0005-0000-0000-00009D6A0000}"/>
    <cellStyle name="Separador de milhares 2 2 6 2 2 3 2 2" xfId="25459" xr:uid="{00000000-0005-0000-0000-00009E6A0000}"/>
    <cellStyle name="Separador de milhares 2 2 6 2 2 3 3" xfId="24571" xr:uid="{00000000-0005-0000-0000-00009F6A0000}"/>
    <cellStyle name="Separador de milhares 2 2 6 2 2 4" xfId="22915" xr:uid="{00000000-0005-0000-0000-0000A06A0000}"/>
    <cellStyle name="Separador de milhares 2 2 6 2 2 4 2" xfId="23802" xr:uid="{00000000-0005-0000-0000-0000A16A0000}"/>
    <cellStyle name="Separador de milhares 2 2 6 2 2 4 2 2" xfId="25578" xr:uid="{00000000-0005-0000-0000-0000A26A0000}"/>
    <cellStyle name="Separador de milhares 2 2 6 2 2 4 3" xfId="24690" xr:uid="{00000000-0005-0000-0000-0000A36A0000}"/>
    <cellStyle name="Separador de milhares 2 2 6 2 2 5" xfId="23299" xr:uid="{00000000-0005-0000-0000-0000A46A0000}"/>
    <cellStyle name="Separador de milhares 2 2 6 2 2 5 2" xfId="25075" xr:uid="{00000000-0005-0000-0000-0000A56A0000}"/>
    <cellStyle name="Separador de milhares 2 2 6 2 2 6" xfId="24187" xr:uid="{00000000-0005-0000-0000-0000A66A0000}"/>
    <cellStyle name="Separador de milhares 2 2 6 2 2 7" xfId="2372" xr:uid="{00000000-0005-0000-0000-0000A76A0000}"/>
    <cellStyle name="Separador de milhares 2 2 6 2 2 8" xfId="25961" xr:uid="{00000000-0005-0000-0000-0000A86A0000}"/>
    <cellStyle name="Separador de milhares 2 2 6 2 2 9" xfId="2229" xr:uid="{00000000-0005-0000-0000-0000A96A0000}"/>
    <cellStyle name="Separador de milhares 2 2 6 3" xfId="1824" xr:uid="{00000000-0005-0000-0000-0000AA6A0000}"/>
    <cellStyle name="Separador de milhares 2 2 6 3 10" xfId="26367" xr:uid="{00000000-0005-0000-0000-0000AB6A0000}"/>
    <cellStyle name="Separador de milhares 2 2 6 3 2" xfId="22498" xr:uid="{00000000-0005-0000-0000-0000AC6A0000}"/>
    <cellStyle name="Separador de milhares 2 2 6 3 2 2" xfId="23054" xr:uid="{00000000-0005-0000-0000-0000AD6A0000}"/>
    <cellStyle name="Separador de milhares 2 2 6 3 2 2 2" xfId="23941" xr:uid="{00000000-0005-0000-0000-0000AE6A0000}"/>
    <cellStyle name="Separador de milhares 2 2 6 3 2 2 2 2" xfId="25717" xr:uid="{00000000-0005-0000-0000-0000AF6A0000}"/>
    <cellStyle name="Separador de milhares 2 2 6 3 2 2 3" xfId="24829" xr:uid="{00000000-0005-0000-0000-0000B06A0000}"/>
    <cellStyle name="Separador de milhares 2 2 6 3 2 3" xfId="23438" xr:uid="{00000000-0005-0000-0000-0000B16A0000}"/>
    <cellStyle name="Separador de milhares 2 2 6 3 2 3 2" xfId="25214" xr:uid="{00000000-0005-0000-0000-0000B26A0000}"/>
    <cellStyle name="Separador de milhares 2 2 6 3 2 4" xfId="24326" xr:uid="{00000000-0005-0000-0000-0000B36A0000}"/>
    <cellStyle name="Separador de milhares 2 2 6 3 2 5" xfId="26123" xr:uid="{00000000-0005-0000-0000-0000B46A0000}"/>
    <cellStyle name="Separador de milhares 2 2 6 3 2 6" xfId="26493" xr:uid="{00000000-0005-0000-0000-0000B56A0000}"/>
    <cellStyle name="Separador de milhares 2 2 6 3 3" xfId="22795" xr:uid="{00000000-0005-0000-0000-0000B66A0000}"/>
    <cellStyle name="Separador de milhares 2 2 6 3 3 2" xfId="23682" xr:uid="{00000000-0005-0000-0000-0000B76A0000}"/>
    <cellStyle name="Separador de milhares 2 2 6 3 3 2 2" xfId="25458" xr:uid="{00000000-0005-0000-0000-0000B86A0000}"/>
    <cellStyle name="Separador de milhares 2 2 6 3 3 3" xfId="24570" xr:uid="{00000000-0005-0000-0000-0000B96A0000}"/>
    <cellStyle name="Separador de milhares 2 2 6 3 4" xfId="22914" xr:uid="{00000000-0005-0000-0000-0000BA6A0000}"/>
    <cellStyle name="Separador de milhares 2 2 6 3 4 2" xfId="23801" xr:uid="{00000000-0005-0000-0000-0000BB6A0000}"/>
    <cellStyle name="Separador de milhares 2 2 6 3 4 2 2" xfId="25577" xr:uid="{00000000-0005-0000-0000-0000BC6A0000}"/>
    <cellStyle name="Separador de milhares 2 2 6 3 4 3" xfId="24689" xr:uid="{00000000-0005-0000-0000-0000BD6A0000}"/>
    <cellStyle name="Separador de milhares 2 2 6 3 5" xfId="23298" xr:uid="{00000000-0005-0000-0000-0000BE6A0000}"/>
    <cellStyle name="Separador de milhares 2 2 6 3 5 2" xfId="25074" xr:uid="{00000000-0005-0000-0000-0000BF6A0000}"/>
    <cellStyle name="Separador de milhares 2 2 6 3 6" xfId="24186" xr:uid="{00000000-0005-0000-0000-0000C06A0000}"/>
    <cellStyle name="Separador de milhares 2 2 6 3 7" xfId="2371" xr:uid="{00000000-0005-0000-0000-0000C16A0000}"/>
    <cellStyle name="Separador de milhares 2 2 6 3 8" xfId="25962" xr:uid="{00000000-0005-0000-0000-0000C26A0000}"/>
    <cellStyle name="Separador de milhares 2 2 6 3 9" xfId="2228" xr:uid="{00000000-0005-0000-0000-0000C36A0000}"/>
    <cellStyle name="Separador de milhares 2 2 6 4" xfId="2597" xr:uid="{00000000-0005-0000-0000-0000C46A0000}"/>
    <cellStyle name="Separador de milhares 2 2 7" xfId="1825" xr:uid="{00000000-0005-0000-0000-0000C56A0000}"/>
    <cellStyle name="Separador de milhares 2 2 7 2" xfId="1826" xr:uid="{00000000-0005-0000-0000-0000C66A0000}"/>
    <cellStyle name="Separador de milhares 2 2 7 2 2" xfId="1827" xr:uid="{00000000-0005-0000-0000-0000C76A0000}"/>
    <cellStyle name="Separador de milhares 2 2 7 2 2 10" xfId="26368" xr:uid="{00000000-0005-0000-0000-0000C86A0000}"/>
    <cellStyle name="Separador de milhares 2 2 7 2 2 2" xfId="22501" xr:uid="{00000000-0005-0000-0000-0000C96A0000}"/>
    <cellStyle name="Separador de milhares 2 2 7 2 2 2 2" xfId="23057" xr:uid="{00000000-0005-0000-0000-0000CA6A0000}"/>
    <cellStyle name="Separador de milhares 2 2 7 2 2 2 2 2" xfId="23944" xr:uid="{00000000-0005-0000-0000-0000CB6A0000}"/>
    <cellStyle name="Separador de milhares 2 2 7 2 2 2 2 2 2" xfId="25720" xr:uid="{00000000-0005-0000-0000-0000CC6A0000}"/>
    <cellStyle name="Separador de milhares 2 2 7 2 2 2 2 3" xfId="24832" xr:uid="{00000000-0005-0000-0000-0000CD6A0000}"/>
    <cellStyle name="Separador de milhares 2 2 7 2 2 2 3" xfId="23441" xr:uid="{00000000-0005-0000-0000-0000CE6A0000}"/>
    <cellStyle name="Separador de milhares 2 2 7 2 2 2 3 2" xfId="25217" xr:uid="{00000000-0005-0000-0000-0000CF6A0000}"/>
    <cellStyle name="Separador de milhares 2 2 7 2 2 2 4" xfId="24329" xr:uid="{00000000-0005-0000-0000-0000D06A0000}"/>
    <cellStyle name="Separador de milhares 2 2 7 2 2 2 5" xfId="26124" xr:uid="{00000000-0005-0000-0000-0000D16A0000}"/>
    <cellStyle name="Separador de milhares 2 2 7 2 2 2 6" xfId="26494" xr:uid="{00000000-0005-0000-0000-0000D26A0000}"/>
    <cellStyle name="Separador de milhares 2 2 7 2 2 3" xfId="22798" xr:uid="{00000000-0005-0000-0000-0000D36A0000}"/>
    <cellStyle name="Separador de milhares 2 2 7 2 2 3 2" xfId="23685" xr:uid="{00000000-0005-0000-0000-0000D46A0000}"/>
    <cellStyle name="Separador de milhares 2 2 7 2 2 3 2 2" xfId="25461" xr:uid="{00000000-0005-0000-0000-0000D56A0000}"/>
    <cellStyle name="Separador de milhares 2 2 7 2 2 3 3" xfId="24573" xr:uid="{00000000-0005-0000-0000-0000D66A0000}"/>
    <cellStyle name="Separador de milhares 2 2 7 2 2 4" xfId="22917" xr:uid="{00000000-0005-0000-0000-0000D76A0000}"/>
    <cellStyle name="Separador de milhares 2 2 7 2 2 4 2" xfId="23804" xr:uid="{00000000-0005-0000-0000-0000D86A0000}"/>
    <cellStyle name="Separador de milhares 2 2 7 2 2 4 2 2" xfId="25580" xr:uid="{00000000-0005-0000-0000-0000D96A0000}"/>
    <cellStyle name="Separador de milhares 2 2 7 2 2 4 3" xfId="24692" xr:uid="{00000000-0005-0000-0000-0000DA6A0000}"/>
    <cellStyle name="Separador de milhares 2 2 7 2 2 5" xfId="23301" xr:uid="{00000000-0005-0000-0000-0000DB6A0000}"/>
    <cellStyle name="Separador de milhares 2 2 7 2 2 5 2" xfId="25077" xr:uid="{00000000-0005-0000-0000-0000DC6A0000}"/>
    <cellStyle name="Separador de milhares 2 2 7 2 2 6" xfId="24189" xr:uid="{00000000-0005-0000-0000-0000DD6A0000}"/>
    <cellStyle name="Separador de milhares 2 2 7 2 2 7" xfId="2374" xr:uid="{00000000-0005-0000-0000-0000DE6A0000}"/>
    <cellStyle name="Separador de milhares 2 2 7 2 2 8" xfId="25963" xr:uid="{00000000-0005-0000-0000-0000DF6A0000}"/>
    <cellStyle name="Separador de milhares 2 2 7 2 2 9" xfId="2231" xr:uid="{00000000-0005-0000-0000-0000E06A0000}"/>
    <cellStyle name="Separador de milhares 2 2 7 3" xfId="1828" xr:uid="{00000000-0005-0000-0000-0000E16A0000}"/>
    <cellStyle name="Separador de milhares 2 2 7 3 10" xfId="26369" xr:uid="{00000000-0005-0000-0000-0000E26A0000}"/>
    <cellStyle name="Separador de milhares 2 2 7 3 2" xfId="22500" xr:uid="{00000000-0005-0000-0000-0000E36A0000}"/>
    <cellStyle name="Separador de milhares 2 2 7 3 2 2" xfId="23056" xr:uid="{00000000-0005-0000-0000-0000E46A0000}"/>
    <cellStyle name="Separador de milhares 2 2 7 3 2 2 2" xfId="23943" xr:uid="{00000000-0005-0000-0000-0000E56A0000}"/>
    <cellStyle name="Separador de milhares 2 2 7 3 2 2 2 2" xfId="25719" xr:uid="{00000000-0005-0000-0000-0000E66A0000}"/>
    <cellStyle name="Separador de milhares 2 2 7 3 2 2 3" xfId="24831" xr:uid="{00000000-0005-0000-0000-0000E76A0000}"/>
    <cellStyle name="Separador de milhares 2 2 7 3 2 3" xfId="23440" xr:uid="{00000000-0005-0000-0000-0000E86A0000}"/>
    <cellStyle name="Separador de milhares 2 2 7 3 2 3 2" xfId="25216" xr:uid="{00000000-0005-0000-0000-0000E96A0000}"/>
    <cellStyle name="Separador de milhares 2 2 7 3 2 4" xfId="24328" xr:uid="{00000000-0005-0000-0000-0000EA6A0000}"/>
    <cellStyle name="Separador de milhares 2 2 7 3 2 5" xfId="26125" xr:uid="{00000000-0005-0000-0000-0000EB6A0000}"/>
    <cellStyle name="Separador de milhares 2 2 7 3 2 6" xfId="26495" xr:uid="{00000000-0005-0000-0000-0000EC6A0000}"/>
    <cellStyle name="Separador de milhares 2 2 7 3 3" xfId="22797" xr:uid="{00000000-0005-0000-0000-0000ED6A0000}"/>
    <cellStyle name="Separador de milhares 2 2 7 3 3 2" xfId="23684" xr:uid="{00000000-0005-0000-0000-0000EE6A0000}"/>
    <cellStyle name="Separador de milhares 2 2 7 3 3 2 2" xfId="25460" xr:uid="{00000000-0005-0000-0000-0000EF6A0000}"/>
    <cellStyle name="Separador de milhares 2 2 7 3 3 3" xfId="24572" xr:uid="{00000000-0005-0000-0000-0000F06A0000}"/>
    <cellStyle name="Separador de milhares 2 2 7 3 4" xfId="22916" xr:uid="{00000000-0005-0000-0000-0000F16A0000}"/>
    <cellStyle name="Separador de milhares 2 2 7 3 4 2" xfId="23803" xr:uid="{00000000-0005-0000-0000-0000F26A0000}"/>
    <cellStyle name="Separador de milhares 2 2 7 3 4 2 2" xfId="25579" xr:uid="{00000000-0005-0000-0000-0000F36A0000}"/>
    <cellStyle name="Separador de milhares 2 2 7 3 4 3" xfId="24691" xr:uid="{00000000-0005-0000-0000-0000F46A0000}"/>
    <cellStyle name="Separador de milhares 2 2 7 3 5" xfId="23300" xr:uid="{00000000-0005-0000-0000-0000F56A0000}"/>
    <cellStyle name="Separador de milhares 2 2 7 3 5 2" xfId="25076" xr:uid="{00000000-0005-0000-0000-0000F66A0000}"/>
    <cellStyle name="Separador de milhares 2 2 7 3 6" xfId="24188" xr:uid="{00000000-0005-0000-0000-0000F76A0000}"/>
    <cellStyle name="Separador de milhares 2 2 7 3 7" xfId="2373" xr:uid="{00000000-0005-0000-0000-0000F86A0000}"/>
    <cellStyle name="Separador de milhares 2 2 7 3 8" xfId="25964" xr:uid="{00000000-0005-0000-0000-0000F96A0000}"/>
    <cellStyle name="Separador de milhares 2 2 7 3 9" xfId="2230" xr:uid="{00000000-0005-0000-0000-0000FA6A0000}"/>
    <cellStyle name="Separador de milhares 2 2 7 4" xfId="2588" xr:uid="{00000000-0005-0000-0000-0000FB6A0000}"/>
    <cellStyle name="Separador de milhares 2 2 8" xfId="1829" xr:uid="{00000000-0005-0000-0000-0000FC6A0000}"/>
    <cellStyle name="Separador de milhares 2 2 8 2" xfId="1830" xr:uid="{00000000-0005-0000-0000-0000FD6A0000}"/>
    <cellStyle name="Separador de milhares 2 2 8 2 2" xfId="1831" xr:uid="{00000000-0005-0000-0000-0000FE6A0000}"/>
    <cellStyle name="Separador de milhares 2 2 8 2 2 10" xfId="26370" xr:uid="{00000000-0005-0000-0000-0000FF6A0000}"/>
    <cellStyle name="Separador de milhares 2 2 8 2 2 2" xfId="22503" xr:uid="{00000000-0005-0000-0000-0000006B0000}"/>
    <cellStyle name="Separador de milhares 2 2 8 2 2 2 2" xfId="23059" xr:uid="{00000000-0005-0000-0000-0000016B0000}"/>
    <cellStyle name="Separador de milhares 2 2 8 2 2 2 2 2" xfId="23946" xr:uid="{00000000-0005-0000-0000-0000026B0000}"/>
    <cellStyle name="Separador de milhares 2 2 8 2 2 2 2 2 2" xfId="25722" xr:uid="{00000000-0005-0000-0000-0000036B0000}"/>
    <cellStyle name="Separador de milhares 2 2 8 2 2 2 2 3" xfId="24834" xr:uid="{00000000-0005-0000-0000-0000046B0000}"/>
    <cellStyle name="Separador de milhares 2 2 8 2 2 2 3" xfId="23443" xr:uid="{00000000-0005-0000-0000-0000056B0000}"/>
    <cellStyle name="Separador de milhares 2 2 8 2 2 2 3 2" xfId="25219" xr:uid="{00000000-0005-0000-0000-0000066B0000}"/>
    <cellStyle name="Separador de milhares 2 2 8 2 2 2 4" xfId="24331" xr:uid="{00000000-0005-0000-0000-0000076B0000}"/>
    <cellStyle name="Separador de milhares 2 2 8 2 2 2 5" xfId="26126" xr:uid="{00000000-0005-0000-0000-0000086B0000}"/>
    <cellStyle name="Separador de milhares 2 2 8 2 2 2 6" xfId="26496" xr:uid="{00000000-0005-0000-0000-0000096B0000}"/>
    <cellStyle name="Separador de milhares 2 2 8 2 2 3" xfId="22800" xr:uid="{00000000-0005-0000-0000-00000A6B0000}"/>
    <cellStyle name="Separador de milhares 2 2 8 2 2 3 2" xfId="23687" xr:uid="{00000000-0005-0000-0000-00000B6B0000}"/>
    <cellStyle name="Separador de milhares 2 2 8 2 2 3 2 2" xfId="25463" xr:uid="{00000000-0005-0000-0000-00000C6B0000}"/>
    <cellStyle name="Separador de milhares 2 2 8 2 2 3 3" xfId="24575" xr:uid="{00000000-0005-0000-0000-00000D6B0000}"/>
    <cellStyle name="Separador de milhares 2 2 8 2 2 4" xfId="22919" xr:uid="{00000000-0005-0000-0000-00000E6B0000}"/>
    <cellStyle name="Separador de milhares 2 2 8 2 2 4 2" xfId="23806" xr:uid="{00000000-0005-0000-0000-00000F6B0000}"/>
    <cellStyle name="Separador de milhares 2 2 8 2 2 4 2 2" xfId="25582" xr:uid="{00000000-0005-0000-0000-0000106B0000}"/>
    <cellStyle name="Separador de milhares 2 2 8 2 2 4 3" xfId="24694" xr:uid="{00000000-0005-0000-0000-0000116B0000}"/>
    <cellStyle name="Separador de milhares 2 2 8 2 2 5" xfId="23303" xr:uid="{00000000-0005-0000-0000-0000126B0000}"/>
    <cellStyle name="Separador de milhares 2 2 8 2 2 5 2" xfId="25079" xr:uid="{00000000-0005-0000-0000-0000136B0000}"/>
    <cellStyle name="Separador de milhares 2 2 8 2 2 6" xfId="24191" xr:uid="{00000000-0005-0000-0000-0000146B0000}"/>
    <cellStyle name="Separador de milhares 2 2 8 2 2 7" xfId="2376" xr:uid="{00000000-0005-0000-0000-0000156B0000}"/>
    <cellStyle name="Separador de milhares 2 2 8 2 2 8" xfId="25965" xr:uid="{00000000-0005-0000-0000-0000166B0000}"/>
    <cellStyle name="Separador de milhares 2 2 8 2 2 9" xfId="2233" xr:uid="{00000000-0005-0000-0000-0000176B0000}"/>
    <cellStyle name="Separador de milhares 2 2 8 3" xfId="1832" xr:uid="{00000000-0005-0000-0000-0000186B0000}"/>
    <cellStyle name="Separador de milhares 2 2 8 3 10" xfId="26371" xr:uid="{00000000-0005-0000-0000-0000196B0000}"/>
    <cellStyle name="Separador de milhares 2 2 8 3 2" xfId="22502" xr:uid="{00000000-0005-0000-0000-00001A6B0000}"/>
    <cellStyle name="Separador de milhares 2 2 8 3 2 2" xfId="23058" xr:uid="{00000000-0005-0000-0000-00001B6B0000}"/>
    <cellStyle name="Separador de milhares 2 2 8 3 2 2 2" xfId="23945" xr:uid="{00000000-0005-0000-0000-00001C6B0000}"/>
    <cellStyle name="Separador de milhares 2 2 8 3 2 2 2 2" xfId="25721" xr:uid="{00000000-0005-0000-0000-00001D6B0000}"/>
    <cellStyle name="Separador de milhares 2 2 8 3 2 2 3" xfId="24833" xr:uid="{00000000-0005-0000-0000-00001E6B0000}"/>
    <cellStyle name="Separador de milhares 2 2 8 3 2 3" xfId="23442" xr:uid="{00000000-0005-0000-0000-00001F6B0000}"/>
    <cellStyle name="Separador de milhares 2 2 8 3 2 3 2" xfId="25218" xr:uid="{00000000-0005-0000-0000-0000206B0000}"/>
    <cellStyle name="Separador de milhares 2 2 8 3 2 4" xfId="24330" xr:uid="{00000000-0005-0000-0000-0000216B0000}"/>
    <cellStyle name="Separador de milhares 2 2 8 3 2 5" xfId="26127" xr:uid="{00000000-0005-0000-0000-0000226B0000}"/>
    <cellStyle name="Separador de milhares 2 2 8 3 2 6" xfId="26497" xr:uid="{00000000-0005-0000-0000-0000236B0000}"/>
    <cellStyle name="Separador de milhares 2 2 8 3 3" xfId="22799" xr:uid="{00000000-0005-0000-0000-0000246B0000}"/>
    <cellStyle name="Separador de milhares 2 2 8 3 3 2" xfId="23686" xr:uid="{00000000-0005-0000-0000-0000256B0000}"/>
    <cellStyle name="Separador de milhares 2 2 8 3 3 2 2" xfId="25462" xr:uid="{00000000-0005-0000-0000-0000266B0000}"/>
    <cellStyle name="Separador de milhares 2 2 8 3 3 3" xfId="24574" xr:uid="{00000000-0005-0000-0000-0000276B0000}"/>
    <cellStyle name="Separador de milhares 2 2 8 3 4" xfId="22918" xr:uid="{00000000-0005-0000-0000-0000286B0000}"/>
    <cellStyle name="Separador de milhares 2 2 8 3 4 2" xfId="23805" xr:uid="{00000000-0005-0000-0000-0000296B0000}"/>
    <cellStyle name="Separador de milhares 2 2 8 3 4 2 2" xfId="25581" xr:uid="{00000000-0005-0000-0000-00002A6B0000}"/>
    <cellStyle name="Separador de milhares 2 2 8 3 4 3" xfId="24693" xr:uid="{00000000-0005-0000-0000-00002B6B0000}"/>
    <cellStyle name="Separador de milhares 2 2 8 3 5" xfId="23302" xr:uid="{00000000-0005-0000-0000-00002C6B0000}"/>
    <cellStyle name="Separador de milhares 2 2 8 3 5 2" xfId="25078" xr:uid="{00000000-0005-0000-0000-00002D6B0000}"/>
    <cellStyle name="Separador de milhares 2 2 8 3 6" xfId="24190" xr:uid="{00000000-0005-0000-0000-00002E6B0000}"/>
    <cellStyle name="Separador de milhares 2 2 8 3 7" xfId="2375" xr:uid="{00000000-0005-0000-0000-00002F6B0000}"/>
    <cellStyle name="Separador de milhares 2 2 8 3 8" xfId="25966" xr:uid="{00000000-0005-0000-0000-0000306B0000}"/>
    <cellStyle name="Separador de milhares 2 2 8 3 9" xfId="2232" xr:uid="{00000000-0005-0000-0000-0000316B0000}"/>
    <cellStyle name="Separador de milhares 2 2 8 4" xfId="2587" xr:uid="{00000000-0005-0000-0000-0000326B0000}"/>
    <cellStyle name="Separador de milhares 2 2 9" xfId="1833" xr:uid="{00000000-0005-0000-0000-0000336B0000}"/>
    <cellStyle name="Separador de milhares 2 2 9 2" xfId="1834" xr:uid="{00000000-0005-0000-0000-0000346B0000}"/>
    <cellStyle name="Separador de milhares 2 2 9 2 2" xfId="1835" xr:uid="{00000000-0005-0000-0000-0000356B0000}"/>
    <cellStyle name="Separador de milhares 2 2 9 2 2 10" xfId="26372" xr:uid="{00000000-0005-0000-0000-0000366B0000}"/>
    <cellStyle name="Separador de milhares 2 2 9 2 2 2" xfId="22505" xr:uid="{00000000-0005-0000-0000-0000376B0000}"/>
    <cellStyle name="Separador de milhares 2 2 9 2 2 2 2" xfId="23061" xr:uid="{00000000-0005-0000-0000-0000386B0000}"/>
    <cellStyle name="Separador de milhares 2 2 9 2 2 2 2 2" xfId="23948" xr:uid="{00000000-0005-0000-0000-0000396B0000}"/>
    <cellStyle name="Separador de milhares 2 2 9 2 2 2 2 2 2" xfId="25724" xr:uid="{00000000-0005-0000-0000-00003A6B0000}"/>
    <cellStyle name="Separador de milhares 2 2 9 2 2 2 2 3" xfId="24836" xr:uid="{00000000-0005-0000-0000-00003B6B0000}"/>
    <cellStyle name="Separador de milhares 2 2 9 2 2 2 3" xfId="23445" xr:uid="{00000000-0005-0000-0000-00003C6B0000}"/>
    <cellStyle name="Separador de milhares 2 2 9 2 2 2 3 2" xfId="25221" xr:uid="{00000000-0005-0000-0000-00003D6B0000}"/>
    <cellStyle name="Separador de milhares 2 2 9 2 2 2 4" xfId="24333" xr:uid="{00000000-0005-0000-0000-00003E6B0000}"/>
    <cellStyle name="Separador de milhares 2 2 9 2 2 2 5" xfId="26128" xr:uid="{00000000-0005-0000-0000-00003F6B0000}"/>
    <cellStyle name="Separador de milhares 2 2 9 2 2 2 6" xfId="26498" xr:uid="{00000000-0005-0000-0000-0000406B0000}"/>
    <cellStyle name="Separador de milhares 2 2 9 2 2 3" xfId="22802" xr:uid="{00000000-0005-0000-0000-0000416B0000}"/>
    <cellStyle name="Separador de milhares 2 2 9 2 2 3 2" xfId="23689" xr:uid="{00000000-0005-0000-0000-0000426B0000}"/>
    <cellStyle name="Separador de milhares 2 2 9 2 2 3 2 2" xfId="25465" xr:uid="{00000000-0005-0000-0000-0000436B0000}"/>
    <cellStyle name="Separador de milhares 2 2 9 2 2 3 3" xfId="24577" xr:uid="{00000000-0005-0000-0000-0000446B0000}"/>
    <cellStyle name="Separador de milhares 2 2 9 2 2 4" xfId="22921" xr:uid="{00000000-0005-0000-0000-0000456B0000}"/>
    <cellStyle name="Separador de milhares 2 2 9 2 2 4 2" xfId="23808" xr:uid="{00000000-0005-0000-0000-0000466B0000}"/>
    <cellStyle name="Separador de milhares 2 2 9 2 2 4 2 2" xfId="25584" xr:uid="{00000000-0005-0000-0000-0000476B0000}"/>
    <cellStyle name="Separador de milhares 2 2 9 2 2 4 3" xfId="24696" xr:uid="{00000000-0005-0000-0000-0000486B0000}"/>
    <cellStyle name="Separador de milhares 2 2 9 2 2 5" xfId="23305" xr:uid="{00000000-0005-0000-0000-0000496B0000}"/>
    <cellStyle name="Separador de milhares 2 2 9 2 2 5 2" xfId="25081" xr:uid="{00000000-0005-0000-0000-00004A6B0000}"/>
    <cellStyle name="Separador de milhares 2 2 9 2 2 6" xfId="24193" xr:uid="{00000000-0005-0000-0000-00004B6B0000}"/>
    <cellStyle name="Separador de milhares 2 2 9 2 2 7" xfId="2378" xr:uid="{00000000-0005-0000-0000-00004C6B0000}"/>
    <cellStyle name="Separador de milhares 2 2 9 2 2 8" xfId="25967" xr:uid="{00000000-0005-0000-0000-00004D6B0000}"/>
    <cellStyle name="Separador de milhares 2 2 9 2 2 9" xfId="2235" xr:uid="{00000000-0005-0000-0000-00004E6B0000}"/>
    <cellStyle name="Separador de milhares 2 2 9 3" xfId="1836" xr:uid="{00000000-0005-0000-0000-00004F6B0000}"/>
    <cellStyle name="Separador de milhares 2 2 9 3 10" xfId="26373" xr:uid="{00000000-0005-0000-0000-0000506B0000}"/>
    <cellStyle name="Separador de milhares 2 2 9 3 2" xfId="22504" xr:uid="{00000000-0005-0000-0000-0000516B0000}"/>
    <cellStyle name="Separador de milhares 2 2 9 3 2 2" xfId="23060" xr:uid="{00000000-0005-0000-0000-0000526B0000}"/>
    <cellStyle name="Separador de milhares 2 2 9 3 2 2 2" xfId="23947" xr:uid="{00000000-0005-0000-0000-0000536B0000}"/>
    <cellStyle name="Separador de milhares 2 2 9 3 2 2 2 2" xfId="25723" xr:uid="{00000000-0005-0000-0000-0000546B0000}"/>
    <cellStyle name="Separador de milhares 2 2 9 3 2 2 3" xfId="24835" xr:uid="{00000000-0005-0000-0000-0000556B0000}"/>
    <cellStyle name="Separador de milhares 2 2 9 3 2 3" xfId="23444" xr:uid="{00000000-0005-0000-0000-0000566B0000}"/>
    <cellStyle name="Separador de milhares 2 2 9 3 2 3 2" xfId="25220" xr:uid="{00000000-0005-0000-0000-0000576B0000}"/>
    <cellStyle name="Separador de milhares 2 2 9 3 2 4" xfId="24332" xr:uid="{00000000-0005-0000-0000-0000586B0000}"/>
    <cellStyle name="Separador de milhares 2 2 9 3 2 5" xfId="26129" xr:uid="{00000000-0005-0000-0000-0000596B0000}"/>
    <cellStyle name="Separador de milhares 2 2 9 3 2 6" xfId="26499" xr:uid="{00000000-0005-0000-0000-00005A6B0000}"/>
    <cellStyle name="Separador de milhares 2 2 9 3 3" xfId="22801" xr:uid="{00000000-0005-0000-0000-00005B6B0000}"/>
    <cellStyle name="Separador de milhares 2 2 9 3 3 2" xfId="23688" xr:uid="{00000000-0005-0000-0000-00005C6B0000}"/>
    <cellStyle name="Separador de milhares 2 2 9 3 3 2 2" xfId="25464" xr:uid="{00000000-0005-0000-0000-00005D6B0000}"/>
    <cellStyle name="Separador de milhares 2 2 9 3 3 3" xfId="24576" xr:uid="{00000000-0005-0000-0000-00005E6B0000}"/>
    <cellStyle name="Separador de milhares 2 2 9 3 4" xfId="22920" xr:uid="{00000000-0005-0000-0000-00005F6B0000}"/>
    <cellStyle name="Separador de milhares 2 2 9 3 4 2" xfId="23807" xr:uid="{00000000-0005-0000-0000-0000606B0000}"/>
    <cellStyle name="Separador de milhares 2 2 9 3 4 2 2" xfId="25583" xr:uid="{00000000-0005-0000-0000-0000616B0000}"/>
    <cellStyle name="Separador de milhares 2 2 9 3 4 3" xfId="24695" xr:uid="{00000000-0005-0000-0000-0000626B0000}"/>
    <cellStyle name="Separador de milhares 2 2 9 3 5" xfId="23304" xr:uid="{00000000-0005-0000-0000-0000636B0000}"/>
    <cellStyle name="Separador de milhares 2 2 9 3 5 2" xfId="25080" xr:uid="{00000000-0005-0000-0000-0000646B0000}"/>
    <cellStyle name="Separador de milhares 2 2 9 3 6" xfId="24192" xr:uid="{00000000-0005-0000-0000-0000656B0000}"/>
    <cellStyle name="Separador de milhares 2 2 9 3 7" xfId="2377" xr:uid="{00000000-0005-0000-0000-0000666B0000}"/>
    <cellStyle name="Separador de milhares 2 2 9 3 8" xfId="25968" xr:uid="{00000000-0005-0000-0000-0000676B0000}"/>
    <cellStyle name="Separador de milhares 2 2 9 3 9" xfId="2234" xr:uid="{00000000-0005-0000-0000-0000686B0000}"/>
    <cellStyle name="Separador de milhares 2 2 9 4" xfId="2585" xr:uid="{00000000-0005-0000-0000-0000696B0000}"/>
    <cellStyle name="Separador de milhares 2 20" xfId="1837" xr:uid="{00000000-0005-0000-0000-00006A6B0000}"/>
    <cellStyle name="Separador de milhares 2 20 2" xfId="1838" xr:uid="{00000000-0005-0000-0000-00006B6B0000}"/>
    <cellStyle name="Separador de milhares 2 20 2 2" xfId="1839" xr:uid="{00000000-0005-0000-0000-00006C6B0000}"/>
    <cellStyle name="Separador de milhares 2 20 2 2 10" xfId="26374" xr:uid="{00000000-0005-0000-0000-00006D6B0000}"/>
    <cellStyle name="Separador de milhares 2 20 2 2 2" xfId="22507" xr:uid="{00000000-0005-0000-0000-00006E6B0000}"/>
    <cellStyle name="Separador de milhares 2 20 2 2 2 2" xfId="23063" xr:uid="{00000000-0005-0000-0000-00006F6B0000}"/>
    <cellStyle name="Separador de milhares 2 20 2 2 2 2 2" xfId="23950" xr:uid="{00000000-0005-0000-0000-0000706B0000}"/>
    <cellStyle name="Separador de milhares 2 20 2 2 2 2 2 2" xfId="25726" xr:uid="{00000000-0005-0000-0000-0000716B0000}"/>
    <cellStyle name="Separador de milhares 2 20 2 2 2 2 3" xfId="24838" xr:uid="{00000000-0005-0000-0000-0000726B0000}"/>
    <cellStyle name="Separador de milhares 2 20 2 2 2 3" xfId="23447" xr:uid="{00000000-0005-0000-0000-0000736B0000}"/>
    <cellStyle name="Separador de milhares 2 20 2 2 2 3 2" xfId="25223" xr:uid="{00000000-0005-0000-0000-0000746B0000}"/>
    <cellStyle name="Separador de milhares 2 20 2 2 2 4" xfId="24335" xr:uid="{00000000-0005-0000-0000-0000756B0000}"/>
    <cellStyle name="Separador de milhares 2 20 2 2 2 5" xfId="26130" xr:uid="{00000000-0005-0000-0000-0000766B0000}"/>
    <cellStyle name="Separador de milhares 2 20 2 2 2 6" xfId="26500" xr:uid="{00000000-0005-0000-0000-0000776B0000}"/>
    <cellStyle name="Separador de milhares 2 20 2 2 3" xfId="22804" xr:uid="{00000000-0005-0000-0000-0000786B0000}"/>
    <cellStyle name="Separador de milhares 2 20 2 2 3 2" xfId="23691" xr:uid="{00000000-0005-0000-0000-0000796B0000}"/>
    <cellStyle name="Separador de milhares 2 20 2 2 3 2 2" xfId="25467" xr:uid="{00000000-0005-0000-0000-00007A6B0000}"/>
    <cellStyle name="Separador de milhares 2 20 2 2 3 3" xfId="24579" xr:uid="{00000000-0005-0000-0000-00007B6B0000}"/>
    <cellStyle name="Separador de milhares 2 20 2 2 4" xfId="22923" xr:uid="{00000000-0005-0000-0000-00007C6B0000}"/>
    <cellStyle name="Separador de milhares 2 20 2 2 4 2" xfId="23810" xr:uid="{00000000-0005-0000-0000-00007D6B0000}"/>
    <cellStyle name="Separador de milhares 2 20 2 2 4 2 2" xfId="25586" xr:uid="{00000000-0005-0000-0000-00007E6B0000}"/>
    <cellStyle name="Separador de milhares 2 20 2 2 4 3" xfId="24698" xr:uid="{00000000-0005-0000-0000-00007F6B0000}"/>
    <cellStyle name="Separador de milhares 2 20 2 2 5" xfId="23307" xr:uid="{00000000-0005-0000-0000-0000806B0000}"/>
    <cellStyle name="Separador de milhares 2 20 2 2 5 2" xfId="25083" xr:uid="{00000000-0005-0000-0000-0000816B0000}"/>
    <cellStyle name="Separador de milhares 2 20 2 2 6" xfId="24195" xr:uid="{00000000-0005-0000-0000-0000826B0000}"/>
    <cellStyle name="Separador de milhares 2 20 2 2 7" xfId="2380" xr:uid="{00000000-0005-0000-0000-0000836B0000}"/>
    <cellStyle name="Separador de milhares 2 20 2 2 8" xfId="25969" xr:uid="{00000000-0005-0000-0000-0000846B0000}"/>
    <cellStyle name="Separador de milhares 2 20 2 2 9" xfId="2237" xr:uid="{00000000-0005-0000-0000-0000856B0000}"/>
    <cellStyle name="Separador de milhares 2 20 3" xfId="1840" xr:uid="{00000000-0005-0000-0000-0000866B0000}"/>
    <cellStyle name="Separador de milhares 2 20 3 10" xfId="26375" xr:uid="{00000000-0005-0000-0000-0000876B0000}"/>
    <cellStyle name="Separador de milhares 2 20 3 2" xfId="22506" xr:uid="{00000000-0005-0000-0000-0000886B0000}"/>
    <cellStyle name="Separador de milhares 2 20 3 2 2" xfId="23062" xr:uid="{00000000-0005-0000-0000-0000896B0000}"/>
    <cellStyle name="Separador de milhares 2 20 3 2 2 2" xfId="23949" xr:uid="{00000000-0005-0000-0000-00008A6B0000}"/>
    <cellStyle name="Separador de milhares 2 20 3 2 2 2 2" xfId="25725" xr:uid="{00000000-0005-0000-0000-00008B6B0000}"/>
    <cellStyle name="Separador de milhares 2 20 3 2 2 3" xfId="24837" xr:uid="{00000000-0005-0000-0000-00008C6B0000}"/>
    <cellStyle name="Separador de milhares 2 20 3 2 3" xfId="23446" xr:uid="{00000000-0005-0000-0000-00008D6B0000}"/>
    <cellStyle name="Separador de milhares 2 20 3 2 3 2" xfId="25222" xr:uid="{00000000-0005-0000-0000-00008E6B0000}"/>
    <cellStyle name="Separador de milhares 2 20 3 2 4" xfId="24334" xr:uid="{00000000-0005-0000-0000-00008F6B0000}"/>
    <cellStyle name="Separador de milhares 2 20 3 2 5" xfId="26131" xr:uid="{00000000-0005-0000-0000-0000906B0000}"/>
    <cellStyle name="Separador de milhares 2 20 3 2 6" xfId="26501" xr:uid="{00000000-0005-0000-0000-0000916B0000}"/>
    <cellStyle name="Separador de milhares 2 20 3 3" xfId="22803" xr:uid="{00000000-0005-0000-0000-0000926B0000}"/>
    <cellStyle name="Separador de milhares 2 20 3 3 2" xfId="23690" xr:uid="{00000000-0005-0000-0000-0000936B0000}"/>
    <cellStyle name="Separador de milhares 2 20 3 3 2 2" xfId="25466" xr:uid="{00000000-0005-0000-0000-0000946B0000}"/>
    <cellStyle name="Separador de milhares 2 20 3 3 3" xfId="24578" xr:uid="{00000000-0005-0000-0000-0000956B0000}"/>
    <cellStyle name="Separador de milhares 2 20 3 4" xfId="22922" xr:uid="{00000000-0005-0000-0000-0000966B0000}"/>
    <cellStyle name="Separador de milhares 2 20 3 4 2" xfId="23809" xr:uid="{00000000-0005-0000-0000-0000976B0000}"/>
    <cellStyle name="Separador de milhares 2 20 3 4 2 2" xfId="25585" xr:uid="{00000000-0005-0000-0000-0000986B0000}"/>
    <cellStyle name="Separador de milhares 2 20 3 4 3" xfId="24697" xr:uid="{00000000-0005-0000-0000-0000996B0000}"/>
    <cellStyle name="Separador de milhares 2 20 3 5" xfId="23306" xr:uid="{00000000-0005-0000-0000-00009A6B0000}"/>
    <cellStyle name="Separador de milhares 2 20 3 5 2" xfId="25082" xr:uid="{00000000-0005-0000-0000-00009B6B0000}"/>
    <cellStyle name="Separador de milhares 2 20 3 6" xfId="24194" xr:uid="{00000000-0005-0000-0000-00009C6B0000}"/>
    <cellStyle name="Separador de milhares 2 20 3 7" xfId="2379" xr:uid="{00000000-0005-0000-0000-00009D6B0000}"/>
    <cellStyle name="Separador de milhares 2 20 3 8" xfId="25970" xr:uid="{00000000-0005-0000-0000-00009E6B0000}"/>
    <cellStyle name="Separador de milhares 2 20 3 9" xfId="2236" xr:uid="{00000000-0005-0000-0000-00009F6B0000}"/>
    <cellStyle name="Separador de milhares 2 21" xfId="1841" xr:uid="{00000000-0005-0000-0000-0000A06B0000}"/>
    <cellStyle name="Separador de milhares 2 21 2" xfId="1842" xr:uid="{00000000-0005-0000-0000-0000A16B0000}"/>
    <cellStyle name="Separador de milhares 2 21 2 2" xfId="1843" xr:uid="{00000000-0005-0000-0000-0000A26B0000}"/>
    <cellStyle name="Separador de milhares 2 21 2 2 10" xfId="26376" xr:uid="{00000000-0005-0000-0000-0000A36B0000}"/>
    <cellStyle name="Separador de milhares 2 21 2 2 2" xfId="22509" xr:uid="{00000000-0005-0000-0000-0000A46B0000}"/>
    <cellStyle name="Separador de milhares 2 21 2 2 2 2" xfId="23065" xr:uid="{00000000-0005-0000-0000-0000A56B0000}"/>
    <cellStyle name="Separador de milhares 2 21 2 2 2 2 2" xfId="23952" xr:uid="{00000000-0005-0000-0000-0000A66B0000}"/>
    <cellStyle name="Separador de milhares 2 21 2 2 2 2 2 2" xfId="25728" xr:uid="{00000000-0005-0000-0000-0000A76B0000}"/>
    <cellStyle name="Separador de milhares 2 21 2 2 2 2 3" xfId="24840" xr:uid="{00000000-0005-0000-0000-0000A86B0000}"/>
    <cellStyle name="Separador de milhares 2 21 2 2 2 3" xfId="23449" xr:uid="{00000000-0005-0000-0000-0000A96B0000}"/>
    <cellStyle name="Separador de milhares 2 21 2 2 2 3 2" xfId="25225" xr:uid="{00000000-0005-0000-0000-0000AA6B0000}"/>
    <cellStyle name="Separador de milhares 2 21 2 2 2 4" xfId="24337" xr:uid="{00000000-0005-0000-0000-0000AB6B0000}"/>
    <cellStyle name="Separador de milhares 2 21 2 2 2 5" xfId="26132" xr:uid="{00000000-0005-0000-0000-0000AC6B0000}"/>
    <cellStyle name="Separador de milhares 2 21 2 2 2 6" xfId="26502" xr:uid="{00000000-0005-0000-0000-0000AD6B0000}"/>
    <cellStyle name="Separador de milhares 2 21 2 2 3" xfId="22806" xr:uid="{00000000-0005-0000-0000-0000AE6B0000}"/>
    <cellStyle name="Separador de milhares 2 21 2 2 3 2" xfId="23693" xr:uid="{00000000-0005-0000-0000-0000AF6B0000}"/>
    <cellStyle name="Separador de milhares 2 21 2 2 3 2 2" xfId="25469" xr:uid="{00000000-0005-0000-0000-0000B06B0000}"/>
    <cellStyle name="Separador de milhares 2 21 2 2 3 3" xfId="24581" xr:uid="{00000000-0005-0000-0000-0000B16B0000}"/>
    <cellStyle name="Separador de milhares 2 21 2 2 4" xfId="22925" xr:uid="{00000000-0005-0000-0000-0000B26B0000}"/>
    <cellStyle name="Separador de milhares 2 21 2 2 4 2" xfId="23812" xr:uid="{00000000-0005-0000-0000-0000B36B0000}"/>
    <cellStyle name="Separador de milhares 2 21 2 2 4 2 2" xfId="25588" xr:uid="{00000000-0005-0000-0000-0000B46B0000}"/>
    <cellStyle name="Separador de milhares 2 21 2 2 4 3" xfId="24700" xr:uid="{00000000-0005-0000-0000-0000B56B0000}"/>
    <cellStyle name="Separador de milhares 2 21 2 2 5" xfId="23309" xr:uid="{00000000-0005-0000-0000-0000B66B0000}"/>
    <cellStyle name="Separador de milhares 2 21 2 2 5 2" xfId="25085" xr:uid="{00000000-0005-0000-0000-0000B76B0000}"/>
    <cellStyle name="Separador de milhares 2 21 2 2 6" xfId="24197" xr:uid="{00000000-0005-0000-0000-0000B86B0000}"/>
    <cellStyle name="Separador de milhares 2 21 2 2 7" xfId="2382" xr:uid="{00000000-0005-0000-0000-0000B96B0000}"/>
    <cellStyle name="Separador de milhares 2 21 2 2 8" xfId="25971" xr:uid="{00000000-0005-0000-0000-0000BA6B0000}"/>
    <cellStyle name="Separador de milhares 2 21 2 2 9" xfId="2239" xr:uid="{00000000-0005-0000-0000-0000BB6B0000}"/>
    <cellStyle name="Separador de milhares 2 21 3" xfId="1844" xr:uid="{00000000-0005-0000-0000-0000BC6B0000}"/>
    <cellStyle name="Separador de milhares 2 21 3 10" xfId="26377" xr:uid="{00000000-0005-0000-0000-0000BD6B0000}"/>
    <cellStyle name="Separador de milhares 2 21 3 2" xfId="22508" xr:uid="{00000000-0005-0000-0000-0000BE6B0000}"/>
    <cellStyle name="Separador de milhares 2 21 3 2 2" xfId="23064" xr:uid="{00000000-0005-0000-0000-0000BF6B0000}"/>
    <cellStyle name="Separador de milhares 2 21 3 2 2 2" xfId="23951" xr:uid="{00000000-0005-0000-0000-0000C06B0000}"/>
    <cellStyle name="Separador de milhares 2 21 3 2 2 2 2" xfId="25727" xr:uid="{00000000-0005-0000-0000-0000C16B0000}"/>
    <cellStyle name="Separador de milhares 2 21 3 2 2 3" xfId="24839" xr:uid="{00000000-0005-0000-0000-0000C26B0000}"/>
    <cellStyle name="Separador de milhares 2 21 3 2 3" xfId="23448" xr:uid="{00000000-0005-0000-0000-0000C36B0000}"/>
    <cellStyle name="Separador de milhares 2 21 3 2 3 2" xfId="25224" xr:uid="{00000000-0005-0000-0000-0000C46B0000}"/>
    <cellStyle name="Separador de milhares 2 21 3 2 4" xfId="24336" xr:uid="{00000000-0005-0000-0000-0000C56B0000}"/>
    <cellStyle name="Separador de milhares 2 21 3 2 5" xfId="26133" xr:uid="{00000000-0005-0000-0000-0000C66B0000}"/>
    <cellStyle name="Separador de milhares 2 21 3 2 6" xfId="26503" xr:uid="{00000000-0005-0000-0000-0000C76B0000}"/>
    <cellStyle name="Separador de milhares 2 21 3 3" xfId="22805" xr:uid="{00000000-0005-0000-0000-0000C86B0000}"/>
    <cellStyle name="Separador de milhares 2 21 3 3 2" xfId="23692" xr:uid="{00000000-0005-0000-0000-0000C96B0000}"/>
    <cellStyle name="Separador de milhares 2 21 3 3 2 2" xfId="25468" xr:uid="{00000000-0005-0000-0000-0000CA6B0000}"/>
    <cellStyle name="Separador de milhares 2 21 3 3 3" xfId="24580" xr:uid="{00000000-0005-0000-0000-0000CB6B0000}"/>
    <cellStyle name="Separador de milhares 2 21 3 4" xfId="22924" xr:uid="{00000000-0005-0000-0000-0000CC6B0000}"/>
    <cellStyle name="Separador de milhares 2 21 3 4 2" xfId="23811" xr:uid="{00000000-0005-0000-0000-0000CD6B0000}"/>
    <cellStyle name="Separador de milhares 2 21 3 4 2 2" xfId="25587" xr:uid="{00000000-0005-0000-0000-0000CE6B0000}"/>
    <cellStyle name="Separador de milhares 2 21 3 4 3" xfId="24699" xr:uid="{00000000-0005-0000-0000-0000CF6B0000}"/>
    <cellStyle name="Separador de milhares 2 21 3 5" xfId="23308" xr:uid="{00000000-0005-0000-0000-0000D06B0000}"/>
    <cellStyle name="Separador de milhares 2 21 3 5 2" xfId="25084" xr:uid="{00000000-0005-0000-0000-0000D16B0000}"/>
    <cellStyle name="Separador de milhares 2 21 3 6" xfId="24196" xr:uid="{00000000-0005-0000-0000-0000D26B0000}"/>
    <cellStyle name="Separador de milhares 2 21 3 7" xfId="2381" xr:uid="{00000000-0005-0000-0000-0000D36B0000}"/>
    <cellStyle name="Separador de milhares 2 21 3 8" xfId="25972" xr:uid="{00000000-0005-0000-0000-0000D46B0000}"/>
    <cellStyle name="Separador de milhares 2 21 3 9" xfId="2238" xr:uid="{00000000-0005-0000-0000-0000D56B0000}"/>
    <cellStyle name="Separador de milhares 2 22" xfId="1845" xr:uid="{00000000-0005-0000-0000-0000D66B0000}"/>
    <cellStyle name="Separador de milhares 2 23" xfId="1846" xr:uid="{00000000-0005-0000-0000-0000D76B0000}"/>
    <cellStyle name="Separador de milhares 2 23 2" xfId="1847" xr:uid="{00000000-0005-0000-0000-0000D86B0000}"/>
    <cellStyle name="Separador de milhares 2 23 2 10" xfId="26378" xr:uid="{00000000-0005-0000-0000-0000D96B0000}"/>
    <cellStyle name="Separador de milhares 2 23 2 2" xfId="22510" xr:uid="{00000000-0005-0000-0000-0000DA6B0000}"/>
    <cellStyle name="Separador de milhares 2 23 2 2 2" xfId="23066" xr:uid="{00000000-0005-0000-0000-0000DB6B0000}"/>
    <cellStyle name="Separador de milhares 2 23 2 2 2 2" xfId="23953" xr:uid="{00000000-0005-0000-0000-0000DC6B0000}"/>
    <cellStyle name="Separador de milhares 2 23 2 2 2 2 2" xfId="25729" xr:uid="{00000000-0005-0000-0000-0000DD6B0000}"/>
    <cellStyle name="Separador de milhares 2 23 2 2 2 3" xfId="24841" xr:uid="{00000000-0005-0000-0000-0000DE6B0000}"/>
    <cellStyle name="Separador de milhares 2 23 2 2 3" xfId="23450" xr:uid="{00000000-0005-0000-0000-0000DF6B0000}"/>
    <cellStyle name="Separador de milhares 2 23 2 2 3 2" xfId="25226" xr:uid="{00000000-0005-0000-0000-0000E06B0000}"/>
    <cellStyle name="Separador de milhares 2 23 2 2 4" xfId="24338" xr:uid="{00000000-0005-0000-0000-0000E16B0000}"/>
    <cellStyle name="Separador de milhares 2 23 2 2 5" xfId="26134" xr:uid="{00000000-0005-0000-0000-0000E26B0000}"/>
    <cellStyle name="Separador de milhares 2 23 2 2 6" xfId="26504" xr:uid="{00000000-0005-0000-0000-0000E36B0000}"/>
    <cellStyle name="Separador de milhares 2 23 2 3" xfId="22807" xr:uid="{00000000-0005-0000-0000-0000E46B0000}"/>
    <cellStyle name="Separador de milhares 2 23 2 3 2" xfId="23694" xr:uid="{00000000-0005-0000-0000-0000E56B0000}"/>
    <cellStyle name="Separador de milhares 2 23 2 3 2 2" xfId="25470" xr:uid="{00000000-0005-0000-0000-0000E66B0000}"/>
    <cellStyle name="Separador de milhares 2 23 2 3 3" xfId="24582" xr:uid="{00000000-0005-0000-0000-0000E76B0000}"/>
    <cellStyle name="Separador de milhares 2 23 2 4" xfId="22926" xr:uid="{00000000-0005-0000-0000-0000E86B0000}"/>
    <cellStyle name="Separador de milhares 2 23 2 4 2" xfId="23813" xr:uid="{00000000-0005-0000-0000-0000E96B0000}"/>
    <cellStyle name="Separador de milhares 2 23 2 4 2 2" xfId="25589" xr:uid="{00000000-0005-0000-0000-0000EA6B0000}"/>
    <cellStyle name="Separador de milhares 2 23 2 4 3" xfId="24701" xr:uid="{00000000-0005-0000-0000-0000EB6B0000}"/>
    <cellStyle name="Separador de milhares 2 23 2 5" xfId="23310" xr:uid="{00000000-0005-0000-0000-0000EC6B0000}"/>
    <cellStyle name="Separador de milhares 2 23 2 5 2" xfId="25086" xr:uid="{00000000-0005-0000-0000-0000ED6B0000}"/>
    <cellStyle name="Separador de milhares 2 23 2 6" xfId="24198" xr:uid="{00000000-0005-0000-0000-0000EE6B0000}"/>
    <cellStyle name="Separador de milhares 2 23 2 7" xfId="2383" xr:uid="{00000000-0005-0000-0000-0000EF6B0000}"/>
    <cellStyle name="Separador de milhares 2 23 2 8" xfId="25973" xr:uid="{00000000-0005-0000-0000-0000F06B0000}"/>
    <cellStyle name="Separador de milhares 2 23 2 9" xfId="2240" xr:uid="{00000000-0005-0000-0000-0000F16B0000}"/>
    <cellStyle name="Separador de milhares 2 24" xfId="1848" xr:uid="{00000000-0005-0000-0000-0000F26B0000}"/>
    <cellStyle name="Separador de milhares 2 24 10" xfId="26379" xr:uid="{00000000-0005-0000-0000-0000F36B0000}"/>
    <cellStyle name="Separador de milhares 2 24 2" xfId="22453" xr:uid="{00000000-0005-0000-0000-0000F46B0000}"/>
    <cellStyle name="Separador de milhares 2 24 2 2" xfId="23009" xr:uid="{00000000-0005-0000-0000-0000F56B0000}"/>
    <cellStyle name="Separador de milhares 2 24 2 2 2" xfId="23896" xr:uid="{00000000-0005-0000-0000-0000F66B0000}"/>
    <cellStyle name="Separador de milhares 2 24 2 2 2 2" xfId="25672" xr:uid="{00000000-0005-0000-0000-0000F76B0000}"/>
    <cellStyle name="Separador de milhares 2 24 2 2 3" xfId="24784" xr:uid="{00000000-0005-0000-0000-0000F86B0000}"/>
    <cellStyle name="Separador de milhares 2 24 2 3" xfId="23393" xr:uid="{00000000-0005-0000-0000-0000F96B0000}"/>
    <cellStyle name="Separador de milhares 2 24 2 3 2" xfId="25169" xr:uid="{00000000-0005-0000-0000-0000FA6B0000}"/>
    <cellStyle name="Separador de milhares 2 24 2 4" xfId="24281" xr:uid="{00000000-0005-0000-0000-0000FB6B0000}"/>
    <cellStyle name="Separador de milhares 2 24 2 5" xfId="26135" xr:uid="{00000000-0005-0000-0000-0000FC6B0000}"/>
    <cellStyle name="Separador de milhares 2 24 2 6" xfId="26505" xr:uid="{00000000-0005-0000-0000-0000FD6B0000}"/>
    <cellStyle name="Separador de milhares 2 24 3" xfId="22750" xr:uid="{00000000-0005-0000-0000-0000FE6B0000}"/>
    <cellStyle name="Separador de milhares 2 24 3 2" xfId="23637" xr:uid="{00000000-0005-0000-0000-0000FF6B0000}"/>
    <cellStyle name="Separador de milhares 2 24 3 2 2" xfId="25413" xr:uid="{00000000-0005-0000-0000-0000006C0000}"/>
    <cellStyle name="Separador de milhares 2 24 3 3" xfId="24525" xr:uid="{00000000-0005-0000-0000-0000016C0000}"/>
    <cellStyle name="Separador de milhares 2 24 4" xfId="22869" xr:uid="{00000000-0005-0000-0000-0000026C0000}"/>
    <cellStyle name="Separador de milhares 2 24 4 2" xfId="23756" xr:uid="{00000000-0005-0000-0000-0000036C0000}"/>
    <cellStyle name="Separador de milhares 2 24 4 2 2" xfId="25532" xr:uid="{00000000-0005-0000-0000-0000046C0000}"/>
    <cellStyle name="Separador de milhares 2 24 4 3" xfId="24644" xr:uid="{00000000-0005-0000-0000-0000056C0000}"/>
    <cellStyle name="Separador de milhares 2 24 5" xfId="23253" xr:uid="{00000000-0005-0000-0000-0000066C0000}"/>
    <cellStyle name="Separador de milhares 2 24 5 2" xfId="25029" xr:uid="{00000000-0005-0000-0000-0000076C0000}"/>
    <cellStyle name="Separador de milhares 2 24 6" xfId="24141" xr:uid="{00000000-0005-0000-0000-0000086C0000}"/>
    <cellStyle name="Separador de milhares 2 24 7" xfId="2326" xr:uid="{00000000-0005-0000-0000-0000096C0000}"/>
    <cellStyle name="Separador de milhares 2 24 8" xfId="25974" xr:uid="{00000000-0005-0000-0000-00000A6C0000}"/>
    <cellStyle name="Separador de milhares 2 24 9" xfId="2183" xr:uid="{00000000-0005-0000-0000-00000B6C0000}"/>
    <cellStyle name="Separador de milhares 2 25" xfId="1849" xr:uid="{00000000-0005-0000-0000-00000C6C0000}"/>
    <cellStyle name="Separador de milhares 2 3" xfId="1850" xr:uid="{00000000-0005-0000-0000-00000D6C0000}"/>
    <cellStyle name="Separador de milhares 2 3 10" xfId="1851" xr:uid="{00000000-0005-0000-0000-00000E6C0000}"/>
    <cellStyle name="Separador de milhares 2 3 10 2" xfId="1852" xr:uid="{00000000-0005-0000-0000-00000F6C0000}"/>
    <cellStyle name="Separador de milhares 2 3 10 2 2" xfId="1853" xr:uid="{00000000-0005-0000-0000-0000106C0000}"/>
    <cellStyle name="Separador de milhares 2 3 10 2 2 10" xfId="26380" xr:uid="{00000000-0005-0000-0000-0000116C0000}"/>
    <cellStyle name="Separador de milhares 2 3 10 2 2 2" xfId="22512" xr:uid="{00000000-0005-0000-0000-0000126C0000}"/>
    <cellStyle name="Separador de milhares 2 3 10 2 2 2 2" xfId="23068" xr:uid="{00000000-0005-0000-0000-0000136C0000}"/>
    <cellStyle name="Separador de milhares 2 3 10 2 2 2 2 2" xfId="23955" xr:uid="{00000000-0005-0000-0000-0000146C0000}"/>
    <cellStyle name="Separador de milhares 2 3 10 2 2 2 2 2 2" xfId="25731" xr:uid="{00000000-0005-0000-0000-0000156C0000}"/>
    <cellStyle name="Separador de milhares 2 3 10 2 2 2 2 3" xfId="24843" xr:uid="{00000000-0005-0000-0000-0000166C0000}"/>
    <cellStyle name="Separador de milhares 2 3 10 2 2 2 3" xfId="23452" xr:uid="{00000000-0005-0000-0000-0000176C0000}"/>
    <cellStyle name="Separador de milhares 2 3 10 2 2 2 3 2" xfId="25228" xr:uid="{00000000-0005-0000-0000-0000186C0000}"/>
    <cellStyle name="Separador de milhares 2 3 10 2 2 2 4" xfId="24340" xr:uid="{00000000-0005-0000-0000-0000196C0000}"/>
    <cellStyle name="Separador de milhares 2 3 10 2 2 2 5" xfId="26136" xr:uid="{00000000-0005-0000-0000-00001A6C0000}"/>
    <cellStyle name="Separador de milhares 2 3 10 2 2 2 6" xfId="26506" xr:uid="{00000000-0005-0000-0000-00001B6C0000}"/>
    <cellStyle name="Separador de milhares 2 3 10 2 2 3" xfId="22809" xr:uid="{00000000-0005-0000-0000-00001C6C0000}"/>
    <cellStyle name="Separador de milhares 2 3 10 2 2 3 2" xfId="23696" xr:uid="{00000000-0005-0000-0000-00001D6C0000}"/>
    <cellStyle name="Separador de milhares 2 3 10 2 2 3 2 2" xfId="25472" xr:uid="{00000000-0005-0000-0000-00001E6C0000}"/>
    <cellStyle name="Separador de milhares 2 3 10 2 2 3 3" xfId="24584" xr:uid="{00000000-0005-0000-0000-00001F6C0000}"/>
    <cellStyle name="Separador de milhares 2 3 10 2 2 4" xfId="22928" xr:uid="{00000000-0005-0000-0000-0000206C0000}"/>
    <cellStyle name="Separador de milhares 2 3 10 2 2 4 2" xfId="23815" xr:uid="{00000000-0005-0000-0000-0000216C0000}"/>
    <cellStyle name="Separador de milhares 2 3 10 2 2 4 2 2" xfId="25591" xr:uid="{00000000-0005-0000-0000-0000226C0000}"/>
    <cellStyle name="Separador de milhares 2 3 10 2 2 4 3" xfId="24703" xr:uid="{00000000-0005-0000-0000-0000236C0000}"/>
    <cellStyle name="Separador de milhares 2 3 10 2 2 5" xfId="23312" xr:uid="{00000000-0005-0000-0000-0000246C0000}"/>
    <cellStyle name="Separador de milhares 2 3 10 2 2 5 2" xfId="25088" xr:uid="{00000000-0005-0000-0000-0000256C0000}"/>
    <cellStyle name="Separador de milhares 2 3 10 2 2 6" xfId="24200" xr:uid="{00000000-0005-0000-0000-0000266C0000}"/>
    <cellStyle name="Separador de milhares 2 3 10 2 2 7" xfId="2385" xr:uid="{00000000-0005-0000-0000-0000276C0000}"/>
    <cellStyle name="Separador de milhares 2 3 10 2 2 8" xfId="25975" xr:uid="{00000000-0005-0000-0000-0000286C0000}"/>
    <cellStyle name="Separador de milhares 2 3 10 2 2 9" xfId="2242" xr:uid="{00000000-0005-0000-0000-0000296C0000}"/>
    <cellStyle name="Separador de milhares 2 3 10 3" xfId="1854" xr:uid="{00000000-0005-0000-0000-00002A6C0000}"/>
    <cellStyle name="Separador de milhares 2 3 10 3 10" xfId="26381" xr:uid="{00000000-0005-0000-0000-00002B6C0000}"/>
    <cellStyle name="Separador de milhares 2 3 10 3 2" xfId="22511" xr:uid="{00000000-0005-0000-0000-00002C6C0000}"/>
    <cellStyle name="Separador de milhares 2 3 10 3 2 2" xfId="23067" xr:uid="{00000000-0005-0000-0000-00002D6C0000}"/>
    <cellStyle name="Separador de milhares 2 3 10 3 2 2 2" xfId="23954" xr:uid="{00000000-0005-0000-0000-00002E6C0000}"/>
    <cellStyle name="Separador de milhares 2 3 10 3 2 2 2 2" xfId="25730" xr:uid="{00000000-0005-0000-0000-00002F6C0000}"/>
    <cellStyle name="Separador de milhares 2 3 10 3 2 2 3" xfId="24842" xr:uid="{00000000-0005-0000-0000-0000306C0000}"/>
    <cellStyle name="Separador de milhares 2 3 10 3 2 3" xfId="23451" xr:uid="{00000000-0005-0000-0000-0000316C0000}"/>
    <cellStyle name="Separador de milhares 2 3 10 3 2 3 2" xfId="25227" xr:uid="{00000000-0005-0000-0000-0000326C0000}"/>
    <cellStyle name="Separador de milhares 2 3 10 3 2 4" xfId="24339" xr:uid="{00000000-0005-0000-0000-0000336C0000}"/>
    <cellStyle name="Separador de milhares 2 3 10 3 2 5" xfId="26137" xr:uid="{00000000-0005-0000-0000-0000346C0000}"/>
    <cellStyle name="Separador de milhares 2 3 10 3 2 6" xfId="26507" xr:uid="{00000000-0005-0000-0000-0000356C0000}"/>
    <cellStyle name="Separador de milhares 2 3 10 3 3" xfId="22808" xr:uid="{00000000-0005-0000-0000-0000366C0000}"/>
    <cellStyle name="Separador de milhares 2 3 10 3 3 2" xfId="23695" xr:uid="{00000000-0005-0000-0000-0000376C0000}"/>
    <cellStyle name="Separador de milhares 2 3 10 3 3 2 2" xfId="25471" xr:uid="{00000000-0005-0000-0000-0000386C0000}"/>
    <cellStyle name="Separador de milhares 2 3 10 3 3 3" xfId="24583" xr:uid="{00000000-0005-0000-0000-0000396C0000}"/>
    <cellStyle name="Separador de milhares 2 3 10 3 4" xfId="22927" xr:uid="{00000000-0005-0000-0000-00003A6C0000}"/>
    <cellStyle name="Separador de milhares 2 3 10 3 4 2" xfId="23814" xr:uid="{00000000-0005-0000-0000-00003B6C0000}"/>
    <cellStyle name="Separador de milhares 2 3 10 3 4 2 2" xfId="25590" xr:uid="{00000000-0005-0000-0000-00003C6C0000}"/>
    <cellStyle name="Separador de milhares 2 3 10 3 4 3" xfId="24702" xr:uid="{00000000-0005-0000-0000-00003D6C0000}"/>
    <cellStyle name="Separador de milhares 2 3 10 3 5" xfId="23311" xr:uid="{00000000-0005-0000-0000-00003E6C0000}"/>
    <cellStyle name="Separador de milhares 2 3 10 3 5 2" xfId="25087" xr:uid="{00000000-0005-0000-0000-00003F6C0000}"/>
    <cellStyle name="Separador de milhares 2 3 10 3 6" xfId="24199" xr:uid="{00000000-0005-0000-0000-0000406C0000}"/>
    <cellStyle name="Separador de milhares 2 3 10 3 7" xfId="2384" xr:uid="{00000000-0005-0000-0000-0000416C0000}"/>
    <cellStyle name="Separador de milhares 2 3 10 3 8" xfId="25976" xr:uid="{00000000-0005-0000-0000-0000426C0000}"/>
    <cellStyle name="Separador de milhares 2 3 10 3 9" xfId="2241" xr:uid="{00000000-0005-0000-0000-0000436C0000}"/>
    <cellStyle name="Separador de milhares 2 3 11" xfId="1855" xr:uid="{00000000-0005-0000-0000-0000446C0000}"/>
    <cellStyle name="Separador de milhares 2 3 2" xfId="1856" xr:uid="{00000000-0005-0000-0000-0000456C0000}"/>
    <cellStyle name="Separador de milhares 2 3 2 2" xfId="1857" xr:uid="{00000000-0005-0000-0000-0000466C0000}"/>
    <cellStyle name="Separador de milhares 2 3 2 2 2" xfId="1858" xr:uid="{00000000-0005-0000-0000-0000476C0000}"/>
    <cellStyle name="Separador de milhares 2 3 2 2 2 10" xfId="26382" xr:uid="{00000000-0005-0000-0000-0000486C0000}"/>
    <cellStyle name="Separador de milhares 2 3 2 2 2 2" xfId="22514" xr:uid="{00000000-0005-0000-0000-0000496C0000}"/>
    <cellStyle name="Separador de milhares 2 3 2 2 2 2 2" xfId="23070" xr:uid="{00000000-0005-0000-0000-00004A6C0000}"/>
    <cellStyle name="Separador de milhares 2 3 2 2 2 2 2 2" xfId="23957" xr:uid="{00000000-0005-0000-0000-00004B6C0000}"/>
    <cellStyle name="Separador de milhares 2 3 2 2 2 2 2 2 2" xfId="25733" xr:uid="{00000000-0005-0000-0000-00004C6C0000}"/>
    <cellStyle name="Separador de milhares 2 3 2 2 2 2 2 3" xfId="24845" xr:uid="{00000000-0005-0000-0000-00004D6C0000}"/>
    <cellStyle name="Separador de milhares 2 3 2 2 2 2 3" xfId="23454" xr:uid="{00000000-0005-0000-0000-00004E6C0000}"/>
    <cellStyle name="Separador de milhares 2 3 2 2 2 2 3 2" xfId="25230" xr:uid="{00000000-0005-0000-0000-00004F6C0000}"/>
    <cellStyle name="Separador de milhares 2 3 2 2 2 2 4" xfId="24342" xr:uid="{00000000-0005-0000-0000-0000506C0000}"/>
    <cellStyle name="Separador de milhares 2 3 2 2 2 2 5" xfId="26138" xr:uid="{00000000-0005-0000-0000-0000516C0000}"/>
    <cellStyle name="Separador de milhares 2 3 2 2 2 2 6" xfId="26508" xr:uid="{00000000-0005-0000-0000-0000526C0000}"/>
    <cellStyle name="Separador de milhares 2 3 2 2 2 3" xfId="22811" xr:uid="{00000000-0005-0000-0000-0000536C0000}"/>
    <cellStyle name="Separador de milhares 2 3 2 2 2 3 2" xfId="23698" xr:uid="{00000000-0005-0000-0000-0000546C0000}"/>
    <cellStyle name="Separador de milhares 2 3 2 2 2 3 2 2" xfId="25474" xr:uid="{00000000-0005-0000-0000-0000556C0000}"/>
    <cellStyle name="Separador de milhares 2 3 2 2 2 3 3" xfId="24586" xr:uid="{00000000-0005-0000-0000-0000566C0000}"/>
    <cellStyle name="Separador de milhares 2 3 2 2 2 4" xfId="22930" xr:uid="{00000000-0005-0000-0000-0000576C0000}"/>
    <cellStyle name="Separador de milhares 2 3 2 2 2 4 2" xfId="23817" xr:uid="{00000000-0005-0000-0000-0000586C0000}"/>
    <cellStyle name="Separador de milhares 2 3 2 2 2 4 2 2" xfId="25593" xr:uid="{00000000-0005-0000-0000-0000596C0000}"/>
    <cellStyle name="Separador de milhares 2 3 2 2 2 4 3" xfId="24705" xr:uid="{00000000-0005-0000-0000-00005A6C0000}"/>
    <cellStyle name="Separador de milhares 2 3 2 2 2 5" xfId="23314" xr:uid="{00000000-0005-0000-0000-00005B6C0000}"/>
    <cellStyle name="Separador de milhares 2 3 2 2 2 5 2" xfId="25090" xr:uid="{00000000-0005-0000-0000-00005C6C0000}"/>
    <cellStyle name="Separador de milhares 2 3 2 2 2 6" xfId="24202" xr:uid="{00000000-0005-0000-0000-00005D6C0000}"/>
    <cellStyle name="Separador de milhares 2 3 2 2 2 7" xfId="2387" xr:uid="{00000000-0005-0000-0000-00005E6C0000}"/>
    <cellStyle name="Separador de milhares 2 3 2 2 2 8" xfId="25977" xr:uid="{00000000-0005-0000-0000-00005F6C0000}"/>
    <cellStyle name="Separador de milhares 2 3 2 2 2 9" xfId="2244" xr:uid="{00000000-0005-0000-0000-0000606C0000}"/>
    <cellStyle name="Separador de milhares 2 3 2 3" xfId="1859" xr:uid="{00000000-0005-0000-0000-0000616C0000}"/>
    <cellStyle name="Separador de milhares 2 3 2 3 10" xfId="26383" xr:uid="{00000000-0005-0000-0000-0000626C0000}"/>
    <cellStyle name="Separador de milhares 2 3 2 3 2" xfId="22513" xr:uid="{00000000-0005-0000-0000-0000636C0000}"/>
    <cellStyle name="Separador de milhares 2 3 2 3 2 2" xfId="23069" xr:uid="{00000000-0005-0000-0000-0000646C0000}"/>
    <cellStyle name="Separador de milhares 2 3 2 3 2 2 2" xfId="23956" xr:uid="{00000000-0005-0000-0000-0000656C0000}"/>
    <cellStyle name="Separador de milhares 2 3 2 3 2 2 2 2" xfId="25732" xr:uid="{00000000-0005-0000-0000-0000666C0000}"/>
    <cellStyle name="Separador de milhares 2 3 2 3 2 2 3" xfId="24844" xr:uid="{00000000-0005-0000-0000-0000676C0000}"/>
    <cellStyle name="Separador de milhares 2 3 2 3 2 3" xfId="23453" xr:uid="{00000000-0005-0000-0000-0000686C0000}"/>
    <cellStyle name="Separador de milhares 2 3 2 3 2 3 2" xfId="25229" xr:uid="{00000000-0005-0000-0000-0000696C0000}"/>
    <cellStyle name="Separador de milhares 2 3 2 3 2 4" xfId="24341" xr:uid="{00000000-0005-0000-0000-00006A6C0000}"/>
    <cellStyle name="Separador de milhares 2 3 2 3 2 5" xfId="26139" xr:uid="{00000000-0005-0000-0000-00006B6C0000}"/>
    <cellStyle name="Separador de milhares 2 3 2 3 2 6" xfId="26509" xr:uid="{00000000-0005-0000-0000-00006C6C0000}"/>
    <cellStyle name="Separador de milhares 2 3 2 3 3" xfId="22810" xr:uid="{00000000-0005-0000-0000-00006D6C0000}"/>
    <cellStyle name="Separador de milhares 2 3 2 3 3 2" xfId="23697" xr:uid="{00000000-0005-0000-0000-00006E6C0000}"/>
    <cellStyle name="Separador de milhares 2 3 2 3 3 2 2" xfId="25473" xr:uid="{00000000-0005-0000-0000-00006F6C0000}"/>
    <cellStyle name="Separador de milhares 2 3 2 3 3 3" xfId="24585" xr:uid="{00000000-0005-0000-0000-0000706C0000}"/>
    <cellStyle name="Separador de milhares 2 3 2 3 4" xfId="22929" xr:uid="{00000000-0005-0000-0000-0000716C0000}"/>
    <cellStyle name="Separador de milhares 2 3 2 3 4 2" xfId="23816" xr:uid="{00000000-0005-0000-0000-0000726C0000}"/>
    <cellStyle name="Separador de milhares 2 3 2 3 4 2 2" xfId="25592" xr:uid="{00000000-0005-0000-0000-0000736C0000}"/>
    <cellStyle name="Separador de milhares 2 3 2 3 4 3" xfId="24704" xr:uid="{00000000-0005-0000-0000-0000746C0000}"/>
    <cellStyle name="Separador de milhares 2 3 2 3 5" xfId="23313" xr:uid="{00000000-0005-0000-0000-0000756C0000}"/>
    <cellStyle name="Separador de milhares 2 3 2 3 5 2" xfId="25089" xr:uid="{00000000-0005-0000-0000-0000766C0000}"/>
    <cellStyle name="Separador de milhares 2 3 2 3 6" xfId="24201" xr:uid="{00000000-0005-0000-0000-0000776C0000}"/>
    <cellStyle name="Separador de milhares 2 3 2 3 7" xfId="2386" xr:uid="{00000000-0005-0000-0000-0000786C0000}"/>
    <cellStyle name="Separador de milhares 2 3 2 3 8" xfId="25978" xr:uid="{00000000-0005-0000-0000-0000796C0000}"/>
    <cellStyle name="Separador de milhares 2 3 2 3 9" xfId="2243" xr:uid="{00000000-0005-0000-0000-00007A6C0000}"/>
    <cellStyle name="Separador de milhares 2 3 3" xfId="1860" xr:uid="{00000000-0005-0000-0000-00007B6C0000}"/>
    <cellStyle name="Separador de milhares 2 3 3 2" xfId="1861" xr:uid="{00000000-0005-0000-0000-00007C6C0000}"/>
    <cellStyle name="Separador de milhares 2 3 3 2 2" xfId="1862" xr:uid="{00000000-0005-0000-0000-00007D6C0000}"/>
    <cellStyle name="Separador de milhares 2 3 3 2 2 10" xfId="26384" xr:uid="{00000000-0005-0000-0000-00007E6C0000}"/>
    <cellStyle name="Separador de milhares 2 3 3 2 2 2" xfId="22516" xr:uid="{00000000-0005-0000-0000-00007F6C0000}"/>
    <cellStyle name="Separador de milhares 2 3 3 2 2 2 2" xfId="23072" xr:uid="{00000000-0005-0000-0000-0000806C0000}"/>
    <cellStyle name="Separador de milhares 2 3 3 2 2 2 2 2" xfId="23959" xr:uid="{00000000-0005-0000-0000-0000816C0000}"/>
    <cellStyle name="Separador de milhares 2 3 3 2 2 2 2 2 2" xfId="25735" xr:uid="{00000000-0005-0000-0000-0000826C0000}"/>
    <cellStyle name="Separador de milhares 2 3 3 2 2 2 2 3" xfId="24847" xr:uid="{00000000-0005-0000-0000-0000836C0000}"/>
    <cellStyle name="Separador de milhares 2 3 3 2 2 2 3" xfId="23456" xr:uid="{00000000-0005-0000-0000-0000846C0000}"/>
    <cellStyle name="Separador de milhares 2 3 3 2 2 2 3 2" xfId="25232" xr:uid="{00000000-0005-0000-0000-0000856C0000}"/>
    <cellStyle name="Separador de milhares 2 3 3 2 2 2 4" xfId="24344" xr:uid="{00000000-0005-0000-0000-0000866C0000}"/>
    <cellStyle name="Separador de milhares 2 3 3 2 2 2 5" xfId="26140" xr:uid="{00000000-0005-0000-0000-0000876C0000}"/>
    <cellStyle name="Separador de milhares 2 3 3 2 2 2 6" xfId="26510" xr:uid="{00000000-0005-0000-0000-0000886C0000}"/>
    <cellStyle name="Separador de milhares 2 3 3 2 2 3" xfId="22813" xr:uid="{00000000-0005-0000-0000-0000896C0000}"/>
    <cellStyle name="Separador de milhares 2 3 3 2 2 3 2" xfId="23700" xr:uid="{00000000-0005-0000-0000-00008A6C0000}"/>
    <cellStyle name="Separador de milhares 2 3 3 2 2 3 2 2" xfId="25476" xr:uid="{00000000-0005-0000-0000-00008B6C0000}"/>
    <cellStyle name="Separador de milhares 2 3 3 2 2 3 3" xfId="24588" xr:uid="{00000000-0005-0000-0000-00008C6C0000}"/>
    <cellStyle name="Separador de milhares 2 3 3 2 2 4" xfId="22932" xr:uid="{00000000-0005-0000-0000-00008D6C0000}"/>
    <cellStyle name="Separador de milhares 2 3 3 2 2 4 2" xfId="23819" xr:uid="{00000000-0005-0000-0000-00008E6C0000}"/>
    <cellStyle name="Separador de milhares 2 3 3 2 2 4 2 2" xfId="25595" xr:uid="{00000000-0005-0000-0000-00008F6C0000}"/>
    <cellStyle name="Separador de milhares 2 3 3 2 2 4 3" xfId="24707" xr:uid="{00000000-0005-0000-0000-0000906C0000}"/>
    <cellStyle name="Separador de milhares 2 3 3 2 2 5" xfId="23316" xr:uid="{00000000-0005-0000-0000-0000916C0000}"/>
    <cellStyle name="Separador de milhares 2 3 3 2 2 5 2" xfId="25092" xr:uid="{00000000-0005-0000-0000-0000926C0000}"/>
    <cellStyle name="Separador de milhares 2 3 3 2 2 6" xfId="24204" xr:uid="{00000000-0005-0000-0000-0000936C0000}"/>
    <cellStyle name="Separador de milhares 2 3 3 2 2 7" xfId="2389" xr:uid="{00000000-0005-0000-0000-0000946C0000}"/>
    <cellStyle name="Separador de milhares 2 3 3 2 2 8" xfId="25979" xr:uid="{00000000-0005-0000-0000-0000956C0000}"/>
    <cellStyle name="Separador de milhares 2 3 3 2 2 9" xfId="2246" xr:uid="{00000000-0005-0000-0000-0000966C0000}"/>
    <cellStyle name="Separador de milhares 2 3 3 3" xfId="1863" xr:uid="{00000000-0005-0000-0000-0000976C0000}"/>
    <cellStyle name="Separador de milhares 2 3 3 3 10" xfId="26385" xr:uid="{00000000-0005-0000-0000-0000986C0000}"/>
    <cellStyle name="Separador de milhares 2 3 3 3 2" xfId="22515" xr:uid="{00000000-0005-0000-0000-0000996C0000}"/>
    <cellStyle name="Separador de milhares 2 3 3 3 2 2" xfId="23071" xr:uid="{00000000-0005-0000-0000-00009A6C0000}"/>
    <cellStyle name="Separador de milhares 2 3 3 3 2 2 2" xfId="23958" xr:uid="{00000000-0005-0000-0000-00009B6C0000}"/>
    <cellStyle name="Separador de milhares 2 3 3 3 2 2 2 2" xfId="25734" xr:uid="{00000000-0005-0000-0000-00009C6C0000}"/>
    <cellStyle name="Separador de milhares 2 3 3 3 2 2 3" xfId="24846" xr:uid="{00000000-0005-0000-0000-00009D6C0000}"/>
    <cellStyle name="Separador de milhares 2 3 3 3 2 3" xfId="23455" xr:uid="{00000000-0005-0000-0000-00009E6C0000}"/>
    <cellStyle name="Separador de milhares 2 3 3 3 2 3 2" xfId="25231" xr:uid="{00000000-0005-0000-0000-00009F6C0000}"/>
    <cellStyle name="Separador de milhares 2 3 3 3 2 4" xfId="24343" xr:uid="{00000000-0005-0000-0000-0000A06C0000}"/>
    <cellStyle name="Separador de milhares 2 3 3 3 2 5" xfId="26141" xr:uid="{00000000-0005-0000-0000-0000A16C0000}"/>
    <cellStyle name="Separador de milhares 2 3 3 3 2 6" xfId="26511" xr:uid="{00000000-0005-0000-0000-0000A26C0000}"/>
    <cellStyle name="Separador de milhares 2 3 3 3 3" xfId="22812" xr:uid="{00000000-0005-0000-0000-0000A36C0000}"/>
    <cellStyle name="Separador de milhares 2 3 3 3 3 2" xfId="23699" xr:uid="{00000000-0005-0000-0000-0000A46C0000}"/>
    <cellStyle name="Separador de milhares 2 3 3 3 3 2 2" xfId="25475" xr:uid="{00000000-0005-0000-0000-0000A56C0000}"/>
    <cellStyle name="Separador de milhares 2 3 3 3 3 3" xfId="24587" xr:uid="{00000000-0005-0000-0000-0000A66C0000}"/>
    <cellStyle name="Separador de milhares 2 3 3 3 4" xfId="22931" xr:uid="{00000000-0005-0000-0000-0000A76C0000}"/>
    <cellStyle name="Separador de milhares 2 3 3 3 4 2" xfId="23818" xr:uid="{00000000-0005-0000-0000-0000A86C0000}"/>
    <cellStyle name="Separador de milhares 2 3 3 3 4 2 2" xfId="25594" xr:uid="{00000000-0005-0000-0000-0000A96C0000}"/>
    <cellStyle name="Separador de milhares 2 3 3 3 4 3" xfId="24706" xr:uid="{00000000-0005-0000-0000-0000AA6C0000}"/>
    <cellStyle name="Separador de milhares 2 3 3 3 5" xfId="23315" xr:uid="{00000000-0005-0000-0000-0000AB6C0000}"/>
    <cellStyle name="Separador de milhares 2 3 3 3 5 2" xfId="25091" xr:uid="{00000000-0005-0000-0000-0000AC6C0000}"/>
    <cellStyle name="Separador de milhares 2 3 3 3 6" xfId="24203" xr:uid="{00000000-0005-0000-0000-0000AD6C0000}"/>
    <cellStyle name="Separador de milhares 2 3 3 3 7" xfId="2388" xr:uid="{00000000-0005-0000-0000-0000AE6C0000}"/>
    <cellStyle name="Separador de milhares 2 3 3 3 8" xfId="25980" xr:uid="{00000000-0005-0000-0000-0000AF6C0000}"/>
    <cellStyle name="Separador de milhares 2 3 3 3 9" xfId="2245" xr:uid="{00000000-0005-0000-0000-0000B06C0000}"/>
    <cellStyle name="Separador de milhares 2 3 4" xfId="1864" xr:uid="{00000000-0005-0000-0000-0000B16C0000}"/>
    <cellStyle name="Separador de milhares 2 3 4 2" xfId="1865" xr:uid="{00000000-0005-0000-0000-0000B26C0000}"/>
    <cellStyle name="Separador de milhares 2 3 4 2 2" xfId="1866" xr:uid="{00000000-0005-0000-0000-0000B36C0000}"/>
    <cellStyle name="Separador de milhares 2 3 4 2 2 10" xfId="26386" xr:uid="{00000000-0005-0000-0000-0000B46C0000}"/>
    <cellStyle name="Separador de milhares 2 3 4 2 2 2" xfId="22518" xr:uid="{00000000-0005-0000-0000-0000B56C0000}"/>
    <cellStyle name="Separador de milhares 2 3 4 2 2 2 2" xfId="23074" xr:uid="{00000000-0005-0000-0000-0000B66C0000}"/>
    <cellStyle name="Separador de milhares 2 3 4 2 2 2 2 2" xfId="23961" xr:uid="{00000000-0005-0000-0000-0000B76C0000}"/>
    <cellStyle name="Separador de milhares 2 3 4 2 2 2 2 2 2" xfId="25737" xr:uid="{00000000-0005-0000-0000-0000B86C0000}"/>
    <cellStyle name="Separador de milhares 2 3 4 2 2 2 2 3" xfId="24849" xr:uid="{00000000-0005-0000-0000-0000B96C0000}"/>
    <cellStyle name="Separador de milhares 2 3 4 2 2 2 3" xfId="23458" xr:uid="{00000000-0005-0000-0000-0000BA6C0000}"/>
    <cellStyle name="Separador de milhares 2 3 4 2 2 2 3 2" xfId="25234" xr:uid="{00000000-0005-0000-0000-0000BB6C0000}"/>
    <cellStyle name="Separador de milhares 2 3 4 2 2 2 4" xfId="24346" xr:uid="{00000000-0005-0000-0000-0000BC6C0000}"/>
    <cellStyle name="Separador de milhares 2 3 4 2 2 2 5" xfId="26142" xr:uid="{00000000-0005-0000-0000-0000BD6C0000}"/>
    <cellStyle name="Separador de milhares 2 3 4 2 2 2 6" xfId="26512" xr:uid="{00000000-0005-0000-0000-0000BE6C0000}"/>
    <cellStyle name="Separador de milhares 2 3 4 2 2 3" xfId="22815" xr:uid="{00000000-0005-0000-0000-0000BF6C0000}"/>
    <cellStyle name="Separador de milhares 2 3 4 2 2 3 2" xfId="23702" xr:uid="{00000000-0005-0000-0000-0000C06C0000}"/>
    <cellStyle name="Separador de milhares 2 3 4 2 2 3 2 2" xfId="25478" xr:uid="{00000000-0005-0000-0000-0000C16C0000}"/>
    <cellStyle name="Separador de milhares 2 3 4 2 2 3 3" xfId="24590" xr:uid="{00000000-0005-0000-0000-0000C26C0000}"/>
    <cellStyle name="Separador de milhares 2 3 4 2 2 4" xfId="22934" xr:uid="{00000000-0005-0000-0000-0000C36C0000}"/>
    <cellStyle name="Separador de milhares 2 3 4 2 2 4 2" xfId="23821" xr:uid="{00000000-0005-0000-0000-0000C46C0000}"/>
    <cellStyle name="Separador de milhares 2 3 4 2 2 4 2 2" xfId="25597" xr:uid="{00000000-0005-0000-0000-0000C56C0000}"/>
    <cellStyle name="Separador de milhares 2 3 4 2 2 4 3" xfId="24709" xr:uid="{00000000-0005-0000-0000-0000C66C0000}"/>
    <cellStyle name="Separador de milhares 2 3 4 2 2 5" xfId="23318" xr:uid="{00000000-0005-0000-0000-0000C76C0000}"/>
    <cellStyle name="Separador de milhares 2 3 4 2 2 5 2" xfId="25094" xr:uid="{00000000-0005-0000-0000-0000C86C0000}"/>
    <cellStyle name="Separador de milhares 2 3 4 2 2 6" xfId="24206" xr:uid="{00000000-0005-0000-0000-0000C96C0000}"/>
    <cellStyle name="Separador de milhares 2 3 4 2 2 7" xfId="2391" xr:uid="{00000000-0005-0000-0000-0000CA6C0000}"/>
    <cellStyle name="Separador de milhares 2 3 4 2 2 8" xfId="25981" xr:uid="{00000000-0005-0000-0000-0000CB6C0000}"/>
    <cellStyle name="Separador de milhares 2 3 4 2 2 9" xfId="2248" xr:uid="{00000000-0005-0000-0000-0000CC6C0000}"/>
    <cellStyle name="Separador de milhares 2 3 4 3" xfId="1867" xr:uid="{00000000-0005-0000-0000-0000CD6C0000}"/>
    <cellStyle name="Separador de milhares 2 3 4 3 10" xfId="26387" xr:uid="{00000000-0005-0000-0000-0000CE6C0000}"/>
    <cellStyle name="Separador de milhares 2 3 4 3 2" xfId="22517" xr:uid="{00000000-0005-0000-0000-0000CF6C0000}"/>
    <cellStyle name="Separador de milhares 2 3 4 3 2 2" xfId="23073" xr:uid="{00000000-0005-0000-0000-0000D06C0000}"/>
    <cellStyle name="Separador de milhares 2 3 4 3 2 2 2" xfId="23960" xr:uid="{00000000-0005-0000-0000-0000D16C0000}"/>
    <cellStyle name="Separador de milhares 2 3 4 3 2 2 2 2" xfId="25736" xr:uid="{00000000-0005-0000-0000-0000D26C0000}"/>
    <cellStyle name="Separador de milhares 2 3 4 3 2 2 3" xfId="24848" xr:uid="{00000000-0005-0000-0000-0000D36C0000}"/>
    <cellStyle name="Separador de milhares 2 3 4 3 2 3" xfId="23457" xr:uid="{00000000-0005-0000-0000-0000D46C0000}"/>
    <cellStyle name="Separador de milhares 2 3 4 3 2 3 2" xfId="25233" xr:uid="{00000000-0005-0000-0000-0000D56C0000}"/>
    <cellStyle name="Separador de milhares 2 3 4 3 2 4" xfId="24345" xr:uid="{00000000-0005-0000-0000-0000D66C0000}"/>
    <cellStyle name="Separador de milhares 2 3 4 3 2 5" xfId="26143" xr:uid="{00000000-0005-0000-0000-0000D76C0000}"/>
    <cellStyle name="Separador de milhares 2 3 4 3 2 6" xfId="26513" xr:uid="{00000000-0005-0000-0000-0000D86C0000}"/>
    <cellStyle name="Separador de milhares 2 3 4 3 3" xfId="22814" xr:uid="{00000000-0005-0000-0000-0000D96C0000}"/>
    <cellStyle name="Separador de milhares 2 3 4 3 3 2" xfId="23701" xr:uid="{00000000-0005-0000-0000-0000DA6C0000}"/>
    <cellStyle name="Separador de milhares 2 3 4 3 3 2 2" xfId="25477" xr:uid="{00000000-0005-0000-0000-0000DB6C0000}"/>
    <cellStyle name="Separador de milhares 2 3 4 3 3 3" xfId="24589" xr:uid="{00000000-0005-0000-0000-0000DC6C0000}"/>
    <cellStyle name="Separador de milhares 2 3 4 3 4" xfId="22933" xr:uid="{00000000-0005-0000-0000-0000DD6C0000}"/>
    <cellStyle name="Separador de milhares 2 3 4 3 4 2" xfId="23820" xr:uid="{00000000-0005-0000-0000-0000DE6C0000}"/>
    <cellStyle name="Separador de milhares 2 3 4 3 4 2 2" xfId="25596" xr:uid="{00000000-0005-0000-0000-0000DF6C0000}"/>
    <cellStyle name="Separador de milhares 2 3 4 3 4 3" xfId="24708" xr:uid="{00000000-0005-0000-0000-0000E06C0000}"/>
    <cellStyle name="Separador de milhares 2 3 4 3 5" xfId="23317" xr:uid="{00000000-0005-0000-0000-0000E16C0000}"/>
    <cellStyle name="Separador de milhares 2 3 4 3 5 2" xfId="25093" xr:uid="{00000000-0005-0000-0000-0000E26C0000}"/>
    <cellStyle name="Separador de milhares 2 3 4 3 6" xfId="24205" xr:uid="{00000000-0005-0000-0000-0000E36C0000}"/>
    <cellStyle name="Separador de milhares 2 3 4 3 7" xfId="2390" xr:uid="{00000000-0005-0000-0000-0000E46C0000}"/>
    <cellStyle name="Separador de milhares 2 3 4 3 8" xfId="25982" xr:uid="{00000000-0005-0000-0000-0000E56C0000}"/>
    <cellStyle name="Separador de milhares 2 3 4 3 9" xfId="2247" xr:uid="{00000000-0005-0000-0000-0000E66C0000}"/>
    <cellStyle name="Separador de milhares 2 3 5" xfId="1868" xr:uid="{00000000-0005-0000-0000-0000E76C0000}"/>
    <cellStyle name="Separador de milhares 2 3 5 2" xfId="1869" xr:uid="{00000000-0005-0000-0000-0000E86C0000}"/>
    <cellStyle name="Separador de milhares 2 3 5 2 2" xfId="1870" xr:uid="{00000000-0005-0000-0000-0000E96C0000}"/>
    <cellStyle name="Separador de milhares 2 3 5 2 2 10" xfId="26388" xr:uid="{00000000-0005-0000-0000-0000EA6C0000}"/>
    <cellStyle name="Separador de milhares 2 3 5 2 2 2" xfId="22520" xr:uid="{00000000-0005-0000-0000-0000EB6C0000}"/>
    <cellStyle name="Separador de milhares 2 3 5 2 2 2 2" xfId="23076" xr:uid="{00000000-0005-0000-0000-0000EC6C0000}"/>
    <cellStyle name="Separador de milhares 2 3 5 2 2 2 2 2" xfId="23963" xr:uid="{00000000-0005-0000-0000-0000ED6C0000}"/>
    <cellStyle name="Separador de milhares 2 3 5 2 2 2 2 2 2" xfId="25739" xr:uid="{00000000-0005-0000-0000-0000EE6C0000}"/>
    <cellStyle name="Separador de milhares 2 3 5 2 2 2 2 3" xfId="24851" xr:uid="{00000000-0005-0000-0000-0000EF6C0000}"/>
    <cellStyle name="Separador de milhares 2 3 5 2 2 2 3" xfId="23460" xr:uid="{00000000-0005-0000-0000-0000F06C0000}"/>
    <cellStyle name="Separador de milhares 2 3 5 2 2 2 3 2" xfId="25236" xr:uid="{00000000-0005-0000-0000-0000F16C0000}"/>
    <cellStyle name="Separador de milhares 2 3 5 2 2 2 4" xfId="24348" xr:uid="{00000000-0005-0000-0000-0000F26C0000}"/>
    <cellStyle name="Separador de milhares 2 3 5 2 2 2 5" xfId="26144" xr:uid="{00000000-0005-0000-0000-0000F36C0000}"/>
    <cellStyle name="Separador de milhares 2 3 5 2 2 2 6" xfId="26514" xr:uid="{00000000-0005-0000-0000-0000F46C0000}"/>
    <cellStyle name="Separador de milhares 2 3 5 2 2 3" xfId="22817" xr:uid="{00000000-0005-0000-0000-0000F56C0000}"/>
    <cellStyle name="Separador de milhares 2 3 5 2 2 3 2" xfId="23704" xr:uid="{00000000-0005-0000-0000-0000F66C0000}"/>
    <cellStyle name="Separador de milhares 2 3 5 2 2 3 2 2" xfId="25480" xr:uid="{00000000-0005-0000-0000-0000F76C0000}"/>
    <cellStyle name="Separador de milhares 2 3 5 2 2 3 3" xfId="24592" xr:uid="{00000000-0005-0000-0000-0000F86C0000}"/>
    <cellStyle name="Separador de milhares 2 3 5 2 2 4" xfId="22936" xr:uid="{00000000-0005-0000-0000-0000F96C0000}"/>
    <cellStyle name="Separador de milhares 2 3 5 2 2 4 2" xfId="23823" xr:uid="{00000000-0005-0000-0000-0000FA6C0000}"/>
    <cellStyle name="Separador de milhares 2 3 5 2 2 4 2 2" xfId="25599" xr:uid="{00000000-0005-0000-0000-0000FB6C0000}"/>
    <cellStyle name="Separador de milhares 2 3 5 2 2 4 3" xfId="24711" xr:uid="{00000000-0005-0000-0000-0000FC6C0000}"/>
    <cellStyle name="Separador de milhares 2 3 5 2 2 5" xfId="23320" xr:uid="{00000000-0005-0000-0000-0000FD6C0000}"/>
    <cellStyle name="Separador de milhares 2 3 5 2 2 5 2" xfId="25096" xr:uid="{00000000-0005-0000-0000-0000FE6C0000}"/>
    <cellStyle name="Separador de milhares 2 3 5 2 2 6" xfId="24208" xr:uid="{00000000-0005-0000-0000-0000FF6C0000}"/>
    <cellStyle name="Separador de milhares 2 3 5 2 2 7" xfId="2393" xr:uid="{00000000-0005-0000-0000-0000006D0000}"/>
    <cellStyle name="Separador de milhares 2 3 5 2 2 8" xfId="25983" xr:uid="{00000000-0005-0000-0000-0000016D0000}"/>
    <cellStyle name="Separador de milhares 2 3 5 2 2 9" xfId="2250" xr:uid="{00000000-0005-0000-0000-0000026D0000}"/>
    <cellStyle name="Separador de milhares 2 3 5 3" xfId="1871" xr:uid="{00000000-0005-0000-0000-0000036D0000}"/>
    <cellStyle name="Separador de milhares 2 3 5 3 10" xfId="26389" xr:uid="{00000000-0005-0000-0000-0000046D0000}"/>
    <cellStyle name="Separador de milhares 2 3 5 3 2" xfId="22519" xr:uid="{00000000-0005-0000-0000-0000056D0000}"/>
    <cellStyle name="Separador de milhares 2 3 5 3 2 2" xfId="23075" xr:uid="{00000000-0005-0000-0000-0000066D0000}"/>
    <cellStyle name="Separador de milhares 2 3 5 3 2 2 2" xfId="23962" xr:uid="{00000000-0005-0000-0000-0000076D0000}"/>
    <cellStyle name="Separador de milhares 2 3 5 3 2 2 2 2" xfId="25738" xr:uid="{00000000-0005-0000-0000-0000086D0000}"/>
    <cellStyle name="Separador de milhares 2 3 5 3 2 2 3" xfId="24850" xr:uid="{00000000-0005-0000-0000-0000096D0000}"/>
    <cellStyle name="Separador de milhares 2 3 5 3 2 3" xfId="23459" xr:uid="{00000000-0005-0000-0000-00000A6D0000}"/>
    <cellStyle name="Separador de milhares 2 3 5 3 2 3 2" xfId="25235" xr:uid="{00000000-0005-0000-0000-00000B6D0000}"/>
    <cellStyle name="Separador de milhares 2 3 5 3 2 4" xfId="24347" xr:uid="{00000000-0005-0000-0000-00000C6D0000}"/>
    <cellStyle name="Separador de milhares 2 3 5 3 2 5" xfId="26145" xr:uid="{00000000-0005-0000-0000-00000D6D0000}"/>
    <cellStyle name="Separador de milhares 2 3 5 3 2 6" xfId="26515" xr:uid="{00000000-0005-0000-0000-00000E6D0000}"/>
    <cellStyle name="Separador de milhares 2 3 5 3 3" xfId="22816" xr:uid="{00000000-0005-0000-0000-00000F6D0000}"/>
    <cellStyle name="Separador de milhares 2 3 5 3 3 2" xfId="23703" xr:uid="{00000000-0005-0000-0000-0000106D0000}"/>
    <cellStyle name="Separador de milhares 2 3 5 3 3 2 2" xfId="25479" xr:uid="{00000000-0005-0000-0000-0000116D0000}"/>
    <cellStyle name="Separador de milhares 2 3 5 3 3 3" xfId="24591" xr:uid="{00000000-0005-0000-0000-0000126D0000}"/>
    <cellStyle name="Separador de milhares 2 3 5 3 4" xfId="22935" xr:uid="{00000000-0005-0000-0000-0000136D0000}"/>
    <cellStyle name="Separador de milhares 2 3 5 3 4 2" xfId="23822" xr:uid="{00000000-0005-0000-0000-0000146D0000}"/>
    <cellStyle name="Separador de milhares 2 3 5 3 4 2 2" xfId="25598" xr:uid="{00000000-0005-0000-0000-0000156D0000}"/>
    <cellStyle name="Separador de milhares 2 3 5 3 4 3" xfId="24710" xr:uid="{00000000-0005-0000-0000-0000166D0000}"/>
    <cellStyle name="Separador de milhares 2 3 5 3 5" xfId="23319" xr:uid="{00000000-0005-0000-0000-0000176D0000}"/>
    <cellStyle name="Separador de milhares 2 3 5 3 5 2" xfId="25095" xr:uid="{00000000-0005-0000-0000-0000186D0000}"/>
    <cellStyle name="Separador de milhares 2 3 5 3 6" xfId="24207" xr:uid="{00000000-0005-0000-0000-0000196D0000}"/>
    <cellStyle name="Separador de milhares 2 3 5 3 7" xfId="2392" xr:uid="{00000000-0005-0000-0000-00001A6D0000}"/>
    <cellStyle name="Separador de milhares 2 3 5 3 8" xfId="25984" xr:uid="{00000000-0005-0000-0000-00001B6D0000}"/>
    <cellStyle name="Separador de milhares 2 3 5 3 9" xfId="2249" xr:uid="{00000000-0005-0000-0000-00001C6D0000}"/>
    <cellStyle name="Separador de milhares 2 3 6" xfId="1872" xr:uid="{00000000-0005-0000-0000-00001D6D0000}"/>
    <cellStyle name="Separador de milhares 2 3 6 2" xfId="1873" xr:uid="{00000000-0005-0000-0000-00001E6D0000}"/>
    <cellStyle name="Separador de milhares 2 3 6 2 2" xfId="1874" xr:uid="{00000000-0005-0000-0000-00001F6D0000}"/>
    <cellStyle name="Separador de milhares 2 3 6 2 2 10" xfId="26390" xr:uid="{00000000-0005-0000-0000-0000206D0000}"/>
    <cellStyle name="Separador de milhares 2 3 6 2 2 2" xfId="22522" xr:uid="{00000000-0005-0000-0000-0000216D0000}"/>
    <cellStyle name="Separador de milhares 2 3 6 2 2 2 2" xfId="23078" xr:uid="{00000000-0005-0000-0000-0000226D0000}"/>
    <cellStyle name="Separador de milhares 2 3 6 2 2 2 2 2" xfId="23965" xr:uid="{00000000-0005-0000-0000-0000236D0000}"/>
    <cellStyle name="Separador de milhares 2 3 6 2 2 2 2 2 2" xfId="25741" xr:uid="{00000000-0005-0000-0000-0000246D0000}"/>
    <cellStyle name="Separador de milhares 2 3 6 2 2 2 2 3" xfId="24853" xr:uid="{00000000-0005-0000-0000-0000256D0000}"/>
    <cellStyle name="Separador de milhares 2 3 6 2 2 2 3" xfId="23462" xr:uid="{00000000-0005-0000-0000-0000266D0000}"/>
    <cellStyle name="Separador de milhares 2 3 6 2 2 2 3 2" xfId="25238" xr:uid="{00000000-0005-0000-0000-0000276D0000}"/>
    <cellStyle name="Separador de milhares 2 3 6 2 2 2 4" xfId="24350" xr:uid="{00000000-0005-0000-0000-0000286D0000}"/>
    <cellStyle name="Separador de milhares 2 3 6 2 2 2 5" xfId="26146" xr:uid="{00000000-0005-0000-0000-0000296D0000}"/>
    <cellStyle name="Separador de milhares 2 3 6 2 2 2 6" xfId="26516" xr:uid="{00000000-0005-0000-0000-00002A6D0000}"/>
    <cellStyle name="Separador de milhares 2 3 6 2 2 3" xfId="22819" xr:uid="{00000000-0005-0000-0000-00002B6D0000}"/>
    <cellStyle name="Separador de milhares 2 3 6 2 2 3 2" xfId="23706" xr:uid="{00000000-0005-0000-0000-00002C6D0000}"/>
    <cellStyle name="Separador de milhares 2 3 6 2 2 3 2 2" xfId="25482" xr:uid="{00000000-0005-0000-0000-00002D6D0000}"/>
    <cellStyle name="Separador de milhares 2 3 6 2 2 3 3" xfId="24594" xr:uid="{00000000-0005-0000-0000-00002E6D0000}"/>
    <cellStyle name="Separador de milhares 2 3 6 2 2 4" xfId="22938" xr:uid="{00000000-0005-0000-0000-00002F6D0000}"/>
    <cellStyle name="Separador de milhares 2 3 6 2 2 4 2" xfId="23825" xr:uid="{00000000-0005-0000-0000-0000306D0000}"/>
    <cellStyle name="Separador de milhares 2 3 6 2 2 4 2 2" xfId="25601" xr:uid="{00000000-0005-0000-0000-0000316D0000}"/>
    <cellStyle name="Separador de milhares 2 3 6 2 2 4 3" xfId="24713" xr:uid="{00000000-0005-0000-0000-0000326D0000}"/>
    <cellStyle name="Separador de milhares 2 3 6 2 2 5" xfId="23322" xr:uid="{00000000-0005-0000-0000-0000336D0000}"/>
    <cellStyle name="Separador de milhares 2 3 6 2 2 5 2" xfId="25098" xr:uid="{00000000-0005-0000-0000-0000346D0000}"/>
    <cellStyle name="Separador de milhares 2 3 6 2 2 6" xfId="24210" xr:uid="{00000000-0005-0000-0000-0000356D0000}"/>
    <cellStyle name="Separador de milhares 2 3 6 2 2 7" xfId="2395" xr:uid="{00000000-0005-0000-0000-0000366D0000}"/>
    <cellStyle name="Separador de milhares 2 3 6 2 2 8" xfId="25985" xr:uid="{00000000-0005-0000-0000-0000376D0000}"/>
    <cellStyle name="Separador de milhares 2 3 6 2 2 9" xfId="2252" xr:uid="{00000000-0005-0000-0000-0000386D0000}"/>
    <cellStyle name="Separador de milhares 2 3 6 3" xfId="1875" xr:uid="{00000000-0005-0000-0000-0000396D0000}"/>
    <cellStyle name="Separador de milhares 2 3 6 3 10" xfId="26391" xr:uid="{00000000-0005-0000-0000-00003A6D0000}"/>
    <cellStyle name="Separador de milhares 2 3 6 3 2" xfId="22521" xr:uid="{00000000-0005-0000-0000-00003B6D0000}"/>
    <cellStyle name="Separador de milhares 2 3 6 3 2 2" xfId="23077" xr:uid="{00000000-0005-0000-0000-00003C6D0000}"/>
    <cellStyle name="Separador de milhares 2 3 6 3 2 2 2" xfId="23964" xr:uid="{00000000-0005-0000-0000-00003D6D0000}"/>
    <cellStyle name="Separador de milhares 2 3 6 3 2 2 2 2" xfId="25740" xr:uid="{00000000-0005-0000-0000-00003E6D0000}"/>
    <cellStyle name="Separador de milhares 2 3 6 3 2 2 3" xfId="24852" xr:uid="{00000000-0005-0000-0000-00003F6D0000}"/>
    <cellStyle name="Separador de milhares 2 3 6 3 2 3" xfId="23461" xr:uid="{00000000-0005-0000-0000-0000406D0000}"/>
    <cellStyle name="Separador de milhares 2 3 6 3 2 3 2" xfId="25237" xr:uid="{00000000-0005-0000-0000-0000416D0000}"/>
    <cellStyle name="Separador de milhares 2 3 6 3 2 4" xfId="24349" xr:uid="{00000000-0005-0000-0000-0000426D0000}"/>
    <cellStyle name="Separador de milhares 2 3 6 3 2 5" xfId="26147" xr:uid="{00000000-0005-0000-0000-0000436D0000}"/>
    <cellStyle name="Separador de milhares 2 3 6 3 2 6" xfId="26517" xr:uid="{00000000-0005-0000-0000-0000446D0000}"/>
    <cellStyle name="Separador de milhares 2 3 6 3 3" xfId="22818" xr:uid="{00000000-0005-0000-0000-0000456D0000}"/>
    <cellStyle name="Separador de milhares 2 3 6 3 3 2" xfId="23705" xr:uid="{00000000-0005-0000-0000-0000466D0000}"/>
    <cellStyle name="Separador de milhares 2 3 6 3 3 2 2" xfId="25481" xr:uid="{00000000-0005-0000-0000-0000476D0000}"/>
    <cellStyle name="Separador de milhares 2 3 6 3 3 3" xfId="24593" xr:uid="{00000000-0005-0000-0000-0000486D0000}"/>
    <cellStyle name="Separador de milhares 2 3 6 3 4" xfId="22937" xr:uid="{00000000-0005-0000-0000-0000496D0000}"/>
    <cellStyle name="Separador de milhares 2 3 6 3 4 2" xfId="23824" xr:uid="{00000000-0005-0000-0000-00004A6D0000}"/>
    <cellStyle name="Separador de milhares 2 3 6 3 4 2 2" xfId="25600" xr:uid="{00000000-0005-0000-0000-00004B6D0000}"/>
    <cellStyle name="Separador de milhares 2 3 6 3 4 3" xfId="24712" xr:uid="{00000000-0005-0000-0000-00004C6D0000}"/>
    <cellStyle name="Separador de milhares 2 3 6 3 5" xfId="23321" xr:uid="{00000000-0005-0000-0000-00004D6D0000}"/>
    <cellStyle name="Separador de milhares 2 3 6 3 5 2" xfId="25097" xr:uid="{00000000-0005-0000-0000-00004E6D0000}"/>
    <cellStyle name="Separador de milhares 2 3 6 3 6" xfId="24209" xr:uid="{00000000-0005-0000-0000-00004F6D0000}"/>
    <cellStyle name="Separador de milhares 2 3 6 3 7" xfId="2394" xr:uid="{00000000-0005-0000-0000-0000506D0000}"/>
    <cellStyle name="Separador de milhares 2 3 6 3 8" xfId="25986" xr:uid="{00000000-0005-0000-0000-0000516D0000}"/>
    <cellStyle name="Separador de milhares 2 3 6 3 9" xfId="2251" xr:uid="{00000000-0005-0000-0000-0000526D0000}"/>
    <cellStyle name="Separador de milhares 2 3 7" xfId="1876" xr:uid="{00000000-0005-0000-0000-0000536D0000}"/>
    <cellStyle name="Separador de milhares 2 3 7 2" xfId="1877" xr:uid="{00000000-0005-0000-0000-0000546D0000}"/>
    <cellStyle name="Separador de milhares 2 3 7 2 2" xfId="1878" xr:uid="{00000000-0005-0000-0000-0000556D0000}"/>
    <cellStyle name="Separador de milhares 2 3 7 2 2 10" xfId="26392" xr:uid="{00000000-0005-0000-0000-0000566D0000}"/>
    <cellStyle name="Separador de milhares 2 3 7 2 2 2" xfId="22524" xr:uid="{00000000-0005-0000-0000-0000576D0000}"/>
    <cellStyle name="Separador de milhares 2 3 7 2 2 2 2" xfId="23080" xr:uid="{00000000-0005-0000-0000-0000586D0000}"/>
    <cellStyle name="Separador de milhares 2 3 7 2 2 2 2 2" xfId="23967" xr:uid="{00000000-0005-0000-0000-0000596D0000}"/>
    <cellStyle name="Separador de milhares 2 3 7 2 2 2 2 2 2" xfId="25743" xr:uid="{00000000-0005-0000-0000-00005A6D0000}"/>
    <cellStyle name="Separador de milhares 2 3 7 2 2 2 2 3" xfId="24855" xr:uid="{00000000-0005-0000-0000-00005B6D0000}"/>
    <cellStyle name="Separador de milhares 2 3 7 2 2 2 3" xfId="23464" xr:uid="{00000000-0005-0000-0000-00005C6D0000}"/>
    <cellStyle name="Separador de milhares 2 3 7 2 2 2 3 2" xfId="25240" xr:uid="{00000000-0005-0000-0000-00005D6D0000}"/>
    <cellStyle name="Separador de milhares 2 3 7 2 2 2 4" xfId="24352" xr:uid="{00000000-0005-0000-0000-00005E6D0000}"/>
    <cellStyle name="Separador de milhares 2 3 7 2 2 2 5" xfId="26148" xr:uid="{00000000-0005-0000-0000-00005F6D0000}"/>
    <cellStyle name="Separador de milhares 2 3 7 2 2 2 6" xfId="26518" xr:uid="{00000000-0005-0000-0000-0000606D0000}"/>
    <cellStyle name="Separador de milhares 2 3 7 2 2 3" xfId="22821" xr:uid="{00000000-0005-0000-0000-0000616D0000}"/>
    <cellStyle name="Separador de milhares 2 3 7 2 2 3 2" xfId="23708" xr:uid="{00000000-0005-0000-0000-0000626D0000}"/>
    <cellStyle name="Separador de milhares 2 3 7 2 2 3 2 2" xfId="25484" xr:uid="{00000000-0005-0000-0000-0000636D0000}"/>
    <cellStyle name="Separador de milhares 2 3 7 2 2 3 3" xfId="24596" xr:uid="{00000000-0005-0000-0000-0000646D0000}"/>
    <cellStyle name="Separador de milhares 2 3 7 2 2 4" xfId="22940" xr:uid="{00000000-0005-0000-0000-0000656D0000}"/>
    <cellStyle name="Separador de milhares 2 3 7 2 2 4 2" xfId="23827" xr:uid="{00000000-0005-0000-0000-0000666D0000}"/>
    <cellStyle name="Separador de milhares 2 3 7 2 2 4 2 2" xfId="25603" xr:uid="{00000000-0005-0000-0000-0000676D0000}"/>
    <cellStyle name="Separador de milhares 2 3 7 2 2 4 3" xfId="24715" xr:uid="{00000000-0005-0000-0000-0000686D0000}"/>
    <cellStyle name="Separador de milhares 2 3 7 2 2 5" xfId="23324" xr:uid="{00000000-0005-0000-0000-0000696D0000}"/>
    <cellStyle name="Separador de milhares 2 3 7 2 2 5 2" xfId="25100" xr:uid="{00000000-0005-0000-0000-00006A6D0000}"/>
    <cellStyle name="Separador de milhares 2 3 7 2 2 6" xfId="24212" xr:uid="{00000000-0005-0000-0000-00006B6D0000}"/>
    <cellStyle name="Separador de milhares 2 3 7 2 2 7" xfId="2397" xr:uid="{00000000-0005-0000-0000-00006C6D0000}"/>
    <cellStyle name="Separador de milhares 2 3 7 2 2 8" xfId="25987" xr:uid="{00000000-0005-0000-0000-00006D6D0000}"/>
    <cellStyle name="Separador de milhares 2 3 7 2 2 9" xfId="2254" xr:uid="{00000000-0005-0000-0000-00006E6D0000}"/>
    <cellStyle name="Separador de milhares 2 3 7 3" xfId="1879" xr:uid="{00000000-0005-0000-0000-00006F6D0000}"/>
    <cellStyle name="Separador de milhares 2 3 7 3 10" xfId="26393" xr:uid="{00000000-0005-0000-0000-0000706D0000}"/>
    <cellStyle name="Separador de milhares 2 3 7 3 2" xfId="22523" xr:uid="{00000000-0005-0000-0000-0000716D0000}"/>
    <cellStyle name="Separador de milhares 2 3 7 3 2 2" xfId="23079" xr:uid="{00000000-0005-0000-0000-0000726D0000}"/>
    <cellStyle name="Separador de milhares 2 3 7 3 2 2 2" xfId="23966" xr:uid="{00000000-0005-0000-0000-0000736D0000}"/>
    <cellStyle name="Separador de milhares 2 3 7 3 2 2 2 2" xfId="25742" xr:uid="{00000000-0005-0000-0000-0000746D0000}"/>
    <cellStyle name="Separador de milhares 2 3 7 3 2 2 3" xfId="24854" xr:uid="{00000000-0005-0000-0000-0000756D0000}"/>
    <cellStyle name="Separador de milhares 2 3 7 3 2 3" xfId="23463" xr:uid="{00000000-0005-0000-0000-0000766D0000}"/>
    <cellStyle name="Separador de milhares 2 3 7 3 2 3 2" xfId="25239" xr:uid="{00000000-0005-0000-0000-0000776D0000}"/>
    <cellStyle name="Separador de milhares 2 3 7 3 2 4" xfId="24351" xr:uid="{00000000-0005-0000-0000-0000786D0000}"/>
    <cellStyle name="Separador de milhares 2 3 7 3 2 5" xfId="26149" xr:uid="{00000000-0005-0000-0000-0000796D0000}"/>
    <cellStyle name="Separador de milhares 2 3 7 3 2 6" xfId="26519" xr:uid="{00000000-0005-0000-0000-00007A6D0000}"/>
    <cellStyle name="Separador de milhares 2 3 7 3 3" xfId="22820" xr:uid="{00000000-0005-0000-0000-00007B6D0000}"/>
    <cellStyle name="Separador de milhares 2 3 7 3 3 2" xfId="23707" xr:uid="{00000000-0005-0000-0000-00007C6D0000}"/>
    <cellStyle name="Separador de milhares 2 3 7 3 3 2 2" xfId="25483" xr:uid="{00000000-0005-0000-0000-00007D6D0000}"/>
    <cellStyle name="Separador de milhares 2 3 7 3 3 3" xfId="24595" xr:uid="{00000000-0005-0000-0000-00007E6D0000}"/>
    <cellStyle name="Separador de milhares 2 3 7 3 4" xfId="22939" xr:uid="{00000000-0005-0000-0000-00007F6D0000}"/>
    <cellStyle name="Separador de milhares 2 3 7 3 4 2" xfId="23826" xr:uid="{00000000-0005-0000-0000-0000806D0000}"/>
    <cellStyle name="Separador de milhares 2 3 7 3 4 2 2" xfId="25602" xr:uid="{00000000-0005-0000-0000-0000816D0000}"/>
    <cellStyle name="Separador de milhares 2 3 7 3 4 3" xfId="24714" xr:uid="{00000000-0005-0000-0000-0000826D0000}"/>
    <cellStyle name="Separador de milhares 2 3 7 3 5" xfId="23323" xr:uid="{00000000-0005-0000-0000-0000836D0000}"/>
    <cellStyle name="Separador de milhares 2 3 7 3 5 2" xfId="25099" xr:uid="{00000000-0005-0000-0000-0000846D0000}"/>
    <cellStyle name="Separador de milhares 2 3 7 3 6" xfId="24211" xr:uid="{00000000-0005-0000-0000-0000856D0000}"/>
    <cellStyle name="Separador de milhares 2 3 7 3 7" xfId="2396" xr:uid="{00000000-0005-0000-0000-0000866D0000}"/>
    <cellStyle name="Separador de milhares 2 3 7 3 8" xfId="25988" xr:uid="{00000000-0005-0000-0000-0000876D0000}"/>
    <cellStyle name="Separador de milhares 2 3 7 3 9" xfId="2253" xr:uid="{00000000-0005-0000-0000-0000886D0000}"/>
    <cellStyle name="Separador de milhares 2 3 8" xfId="1880" xr:uid="{00000000-0005-0000-0000-0000896D0000}"/>
    <cellStyle name="Separador de milhares 2 3 8 2" xfId="1881" xr:uid="{00000000-0005-0000-0000-00008A6D0000}"/>
    <cellStyle name="Separador de milhares 2 3 8 2 2" xfId="1882" xr:uid="{00000000-0005-0000-0000-00008B6D0000}"/>
    <cellStyle name="Separador de milhares 2 3 8 2 2 10" xfId="26394" xr:uid="{00000000-0005-0000-0000-00008C6D0000}"/>
    <cellStyle name="Separador de milhares 2 3 8 2 2 2" xfId="22526" xr:uid="{00000000-0005-0000-0000-00008D6D0000}"/>
    <cellStyle name="Separador de milhares 2 3 8 2 2 2 2" xfId="23082" xr:uid="{00000000-0005-0000-0000-00008E6D0000}"/>
    <cellStyle name="Separador de milhares 2 3 8 2 2 2 2 2" xfId="23969" xr:uid="{00000000-0005-0000-0000-00008F6D0000}"/>
    <cellStyle name="Separador de milhares 2 3 8 2 2 2 2 2 2" xfId="25745" xr:uid="{00000000-0005-0000-0000-0000906D0000}"/>
    <cellStyle name="Separador de milhares 2 3 8 2 2 2 2 3" xfId="24857" xr:uid="{00000000-0005-0000-0000-0000916D0000}"/>
    <cellStyle name="Separador de milhares 2 3 8 2 2 2 3" xfId="23466" xr:uid="{00000000-0005-0000-0000-0000926D0000}"/>
    <cellStyle name="Separador de milhares 2 3 8 2 2 2 3 2" xfId="25242" xr:uid="{00000000-0005-0000-0000-0000936D0000}"/>
    <cellStyle name="Separador de milhares 2 3 8 2 2 2 4" xfId="24354" xr:uid="{00000000-0005-0000-0000-0000946D0000}"/>
    <cellStyle name="Separador de milhares 2 3 8 2 2 2 5" xfId="26150" xr:uid="{00000000-0005-0000-0000-0000956D0000}"/>
    <cellStyle name="Separador de milhares 2 3 8 2 2 2 6" xfId="26520" xr:uid="{00000000-0005-0000-0000-0000966D0000}"/>
    <cellStyle name="Separador de milhares 2 3 8 2 2 3" xfId="22823" xr:uid="{00000000-0005-0000-0000-0000976D0000}"/>
    <cellStyle name="Separador de milhares 2 3 8 2 2 3 2" xfId="23710" xr:uid="{00000000-0005-0000-0000-0000986D0000}"/>
    <cellStyle name="Separador de milhares 2 3 8 2 2 3 2 2" xfId="25486" xr:uid="{00000000-0005-0000-0000-0000996D0000}"/>
    <cellStyle name="Separador de milhares 2 3 8 2 2 3 3" xfId="24598" xr:uid="{00000000-0005-0000-0000-00009A6D0000}"/>
    <cellStyle name="Separador de milhares 2 3 8 2 2 4" xfId="22942" xr:uid="{00000000-0005-0000-0000-00009B6D0000}"/>
    <cellStyle name="Separador de milhares 2 3 8 2 2 4 2" xfId="23829" xr:uid="{00000000-0005-0000-0000-00009C6D0000}"/>
    <cellStyle name="Separador de milhares 2 3 8 2 2 4 2 2" xfId="25605" xr:uid="{00000000-0005-0000-0000-00009D6D0000}"/>
    <cellStyle name="Separador de milhares 2 3 8 2 2 4 3" xfId="24717" xr:uid="{00000000-0005-0000-0000-00009E6D0000}"/>
    <cellStyle name="Separador de milhares 2 3 8 2 2 5" xfId="23326" xr:uid="{00000000-0005-0000-0000-00009F6D0000}"/>
    <cellStyle name="Separador de milhares 2 3 8 2 2 5 2" xfId="25102" xr:uid="{00000000-0005-0000-0000-0000A06D0000}"/>
    <cellStyle name="Separador de milhares 2 3 8 2 2 6" xfId="24214" xr:uid="{00000000-0005-0000-0000-0000A16D0000}"/>
    <cellStyle name="Separador de milhares 2 3 8 2 2 7" xfId="2399" xr:uid="{00000000-0005-0000-0000-0000A26D0000}"/>
    <cellStyle name="Separador de milhares 2 3 8 2 2 8" xfId="25989" xr:uid="{00000000-0005-0000-0000-0000A36D0000}"/>
    <cellStyle name="Separador de milhares 2 3 8 2 2 9" xfId="2256" xr:uid="{00000000-0005-0000-0000-0000A46D0000}"/>
    <cellStyle name="Separador de milhares 2 3 8 3" xfId="1883" xr:uid="{00000000-0005-0000-0000-0000A56D0000}"/>
    <cellStyle name="Separador de milhares 2 3 8 3 10" xfId="26395" xr:uid="{00000000-0005-0000-0000-0000A66D0000}"/>
    <cellStyle name="Separador de milhares 2 3 8 3 2" xfId="22525" xr:uid="{00000000-0005-0000-0000-0000A76D0000}"/>
    <cellStyle name="Separador de milhares 2 3 8 3 2 2" xfId="23081" xr:uid="{00000000-0005-0000-0000-0000A86D0000}"/>
    <cellStyle name="Separador de milhares 2 3 8 3 2 2 2" xfId="23968" xr:uid="{00000000-0005-0000-0000-0000A96D0000}"/>
    <cellStyle name="Separador de milhares 2 3 8 3 2 2 2 2" xfId="25744" xr:uid="{00000000-0005-0000-0000-0000AA6D0000}"/>
    <cellStyle name="Separador de milhares 2 3 8 3 2 2 3" xfId="24856" xr:uid="{00000000-0005-0000-0000-0000AB6D0000}"/>
    <cellStyle name="Separador de milhares 2 3 8 3 2 3" xfId="23465" xr:uid="{00000000-0005-0000-0000-0000AC6D0000}"/>
    <cellStyle name="Separador de milhares 2 3 8 3 2 3 2" xfId="25241" xr:uid="{00000000-0005-0000-0000-0000AD6D0000}"/>
    <cellStyle name="Separador de milhares 2 3 8 3 2 4" xfId="24353" xr:uid="{00000000-0005-0000-0000-0000AE6D0000}"/>
    <cellStyle name="Separador de milhares 2 3 8 3 2 5" xfId="26151" xr:uid="{00000000-0005-0000-0000-0000AF6D0000}"/>
    <cellStyle name="Separador de milhares 2 3 8 3 2 6" xfId="26521" xr:uid="{00000000-0005-0000-0000-0000B06D0000}"/>
    <cellStyle name="Separador de milhares 2 3 8 3 3" xfId="22822" xr:uid="{00000000-0005-0000-0000-0000B16D0000}"/>
    <cellStyle name="Separador de milhares 2 3 8 3 3 2" xfId="23709" xr:uid="{00000000-0005-0000-0000-0000B26D0000}"/>
    <cellStyle name="Separador de milhares 2 3 8 3 3 2 2" xfId="25485" xr:uid="{00000000-0005-0000-0000-0000B36D0000}"/>
    <cellStyle name="Separador de milhares 2 3 8 3 3 3" xfId="24597" xr:uid="{00000000-0005-0000-0000-0000B46D0000}"/>
    <cellStyle name="Separador de milhares 2 3 8 3 4" xfId="22941" xr:uid="{00000000-0005-0000-0000-0000B56D0000}"/>
    <cellStyle name="Separador de milhares 2 3 8 3 4 2" xfId="23828" xr:uid="{00000000-0005-0000-0000-0000B66D0000}"/>
    <cellStyle name="Separador de milhares 2 3 8 3 4 2 2" xfId="25604" xr:uid="{00000000-0005-0000-0000-0000B76D0000}"/>
    <cellStyle name="Separador de milhares 2 3 8 3 4 3" xfId="24716" xr:uid="{00000000-0005-0000-0000-0000B86D0000}"/>
    <cellStyle name="Separador de milhares 2 3 8 3 5" xfId="23325" xr:uid="{00000000-0005-0000-0000-0000B96D0000}"/>
    <cellStyle name="Separador de milhares 2 3 8 3 5 2" xfId="25101" xr:uid="{00000000-0005-0000-0000-0000BA6D0000}"/>
    <cellStyle name="Separador de milhares 2 3 8 3 6" xfId="24213" xr:uid="{00000000-0005-0000-0000-0000BB6D0000}"/>
    <cellStyle name="Separador de milhares 2 3 8 3 7" xfId="2398" xr:uid="{00000000-0005-0000-0000-0000BC6D0000}"/>
    <cellStyle name="Separador de milhares 2 3 8 3 8" xfId="25990" xr:uid="{00000000-0005-0000-0000-0000BD6D0000}"/>
    <cellStyle name="Separador de milhares 2 3 8 3 9" xfId="2255" xr:uid="{00000000-0005-0000-0000-0000BE6D0000}"/>
    <cellStyle name="Separador de milhares 2 3 9" xfId="1884" xr:uid="{00000000-0005-0000-0000-0000BF6D0000}"/>
    <cellStyle name="Separador de milhares 2 3 9 2" xfId="1885" xr:uid="{00000000-0005-0000-0000-0000C06D0000}"/>
    <cellStyle name="Separador de milhares 2 3 9 2 2" xfId="1886" xr:uid="{00000000-0005-0000-0000-0000C16D0000}"/>
    <cellStyle name="Separador de milhares 2 3 9 2 2 10" xfId="26396" xr:uid="{00000000-0005-0000-0000-0000C26D0000}"/>
    <cellStyle name="Separador de milhares 2 3 9 2 2 2" xfId="22528" xr:uid="{00000000-0005-0000-0000-0000C36D0000}"/>
    <cellStyle name="Separador de milhares 2 3 9 2 2 2 2" xfId="23084" xr:uid="{00000000-0005-0000-0000-0000C46D0000}"/>
    <cellStyle name="Separador de milhares 2 3 9 2 2 2 2 2" xfId="23971" xr:uid="{00000000-0005-0000-0000-0000C56D0000}"/>
    <cellStyle name="Separador de milhares 2 3 9 2 2 2 2 2 2" xfId="25747" xr:uid="{00000000-0005-0000-0000-0000C66D0000}"/>
    <cellStyle name="Separador de milhares 2 3 9 2 2 2 2 3" xfId="24859" xr:uid="{00000000-0005-0000-0000-0000C76D0000}"/>
    <cellStyle name="Separador de milhares 2 3 9 2 2 2 3" xfId="23468" xr:uid="{00000000-0005-0000-0000-0000C86D0000}"/>
    <cellStyle name="Separador de milhares 2 3 9 2 2 2 3 2" xfId="25244" xr:uid="{00000000-0005-0000-0000-0000C96D0000}"/>
    <cellStyle name="Separador de milhares 2 3 9 2 2 2 4" xfId="24356" xr:uid="{00000000-0005-0000-0000-0000CA6D0000}"/>
    <cellStyle name="Separador de milhares 2 3 9 2 2 2 5" xfId="26152" xr:uid="{00000000-0005-0000-0000-0000CB6D0000}"/>
    <cellStyle name="Separador de milhares 2 3 9 2 2 2 6" xfId="26522" xr:uid="{00000000-0005-0000-0000-0000CC6D0000}"/>
    <cellStyle name="Separador de milhares 2 3 9 2 2 3" xfId="22825" xr:uid="{00000000-0005-0000-0000-0000CD6D0000}"/>
    <cellStyle name="Separador de milhares 2 3 9 2 2 3 2" xfId="23712" xr:uid="{00000000-0005-0000-0000-0000CE6D0000}"/>
    <cellStyle name="Separador de milhares 2 3 9 2 2 3 2 2" xfId="25488" xr:uid="{00000000-0005-0000-0000-0000CF6D0000}"/>
    <cellStyle name="Separador de milhares 2 3 9 2 2 3 3" xfId="24600" xr:uid="{00000000-0005-0000-0000-0000D06D0000}"/>
    <cellStyle name="Separador de milhares 2 3 9 2 2 4" xfId="22944" xr:uid="{00000000-0005-0000-0000-0000D16D0000}"/>
    <cellStyle name="Separador de milhares 2 3 9 2 2 4 2" xfId="23831" xr:uid="{00000000-0005-0000-0000-0000D26D0000}"/>
    <cellStyle name="Separador de milhares 2 3 9 2 2 4 2 2" xfId="25607" xr:uid="{00000000-0005-0000-0000-0000D36D0000}"/>
    <cellStyle name="Separador de milhares 2 3 9 2 2 4 3" xfId="24719" xr:uid="{00000000-0005-0000-0000-0000D46D0000}"/>
    <cellStyle name="Separador de milhares 2 3 9 2 2 5" xfId="23328" xr:uid="{00000000-0005-0000-0000-0000D56D0000}"/>
    <cellStyle name="Separador de milhares 2 3 9 2 2 5 2" xfId="25104" xr:uid="{00000000-0005-0000-0000-0000D66D0000}"/>
    <cellStyle name="Separador de milhares 2 3 9 2 2 6" xfId="24216" xr:uid="{00000000-0005-0000-0000-0000D76D0000}"/>
    <cellStyle name="Separador de milhares 2 3 9 2 2 7" xfId="2401" xr:uid="{00000000-0005-0000-0000-0000D86D0000}"/>
    <cellStyle name="Separador de milhares 2 3 9 2 2 8" xfId="25991" xr:uid="{00000000-0005-0000-0000-0000D96D0000}"/>
    <cellStyle name="Separador de milhares 2 3 9 2 2 9" xfId="2258" xr:uid="{00000000-0005-0000-0000-0000DA6D0000}"/>
    <cellStyle name="Separador de milhares 2 3 9 3" xfId="1887" xr:uid="{00000000-0005-0000-0000-0000DB6D0000}"/>
    <cellStyle name="Separador de milhares 2 3 9 3 10" xfId="26397" xr:uid="{00000000-0005-0000-0000-0000DC6D0000}"/>
    <cellStyle name="Separador de milhares 2 3 9 3 2" xfId="22527" xr:uid="{00000000-0005-0000-0000-0000DD6D0000}"/>
    <cellStyle name="Separador de milhares 2 3 9 3 2 2" xfId="23083" xr:uid="{00000000-0005-0000-0000-0000DE6D0000}"/>
    <cellStyle name="Separador de milhares 2 3 9 3 2 2 2" xfId="23970" xr:uid="{00000000-0005-0000-0000-0000DF6D0000}"/>
    <cellStyle name="Separador de milhares 2 3 9 3 2 2 2 2" xfId="25746" xr:uid="{00000000-0005-0000-0000-0000E06D0000}"/>
    <cellStyle name="Separador de milhares 2 3 9 3 2 2 3" xfId="24858" xr:uid="{00000000-0005-0000-0000-0000E16D0000}"/>
    <cellStyle name="Separador de milhares 2 3 9 3 2 3" xfId="23467" xr:uid="{00000000-0005-0000-0000-0000E26D0000}"/>
    <cellStyle name="Separador de milhares 2 3 9 3 2 3 2" xfId="25243" xr:uid="{00000000-0005-0000-0000-0000E36D0000}"/>
    <cellStyle name="Separador de milhares 2 3 9 3 2 4" xfId="24355" xr:uid="{00000000-0005-0000-0000-0000E46D0000}"/>
    <cellStyle name="Separador de milhares 2 3 9 3 2 5" xfId="26153" xr:uid="{00000000-0005-0000-0000-0000E56D0000}"/>
    <cellStyle name="Separador de milhares 2 3 9 3 2 6" xfId="26523" xr:uid="{00000000-0005-0000-0000-0000E66D0000}"/>
    <cellStyle name="Separador de milhares 2 3 9 3 3" xfId="22824" xr:uid="{00000000-0005-0000-0000-0000E76D0000}"/>
    <cellStyle name="Separador de milhares 2 3 9 3 3 2" xfId="23711" xr:uid="{00000000-0005-0000-0000-0000E86D0000}"/>
    <cellStyle name="Separador de milhares 2 3 9 3 3 2 2" xfId="25487" xr:uid="{00000000-0005-0000-0000-0000E96D0000}"/>
    <cellStyle name="Separador de milhares 2 3 9 3 3 3" xfId="24599" xr:uid="{00000000-0005-0000-0000-0000EA6D0000}"/>
    <cellStyle name="Separador de milhares 2 3 9 3 4" xfId="22943" xr:uid="{00000000-0005-0000-0000-0000EB6D0000}"/>
    <cellStyle name="Separador de milhares 2 3 9 3 4 2" xfId="23830" xr:uid="{00000000-0005-0000-0000-0000EC6D0000}"/>
    <cellStyle name="Separador de milhares 2 3 9 3 4 2 2" xfId="25606" xr:uid="{00000000-0005-0000-0000-0000ED6D0000}"/>
    <cellStyle name="Separador de milhares 2 3 9 3 4 3" xfId="24718" xr:uid="{00000000-0005-0000-0000-0000EE6D0000}"/>
    <cellStyle name="Separador de milhares 2 3 9 3 5" xfId="23327" xr:uid="{00000000-0005-0000-0000-0000EF6D0000}"/>
    <cellStyle name="Separador de milhares 2 3 9 3 5 2" xfId="25103" xr:uid="{00000000-0005-0000-0000-0000F06D0000}"/>
    <cellStyle name="Separador de milhares 2 3 9 3 6" xfId="24215" xr:uid="{00000000-0005-0000-0000-0000F16D0000}"/>
    <cellStyle name="Separador de milhares 2 3 9 3 7" xfId="2400" xr:uid="{00000000-0005-0000-0000-0000F26D0000}"/>
    <cellStyle name="Separador de milhares 2 3 9 3 8" xfId="25992" xr:uid="{00000000-0005-0000-0000-0000F36D0000}"/>
    <cellStyle name="Separador de milhares 2 3 9 3 9" xfId="2257" xr:uid="{00000000-0005-0000-0000-0000F46D0000}"/>
    <cellStyle name="Separador de milhares 2 4" xfId="1888" xr:uid="{00000000-0005-0000-0000-0000F56D0000}"/>
    <cellStyle name="Separador de milhares 2 4 2" xfId="1889" xr:uid="{00000000-0005-0000-0000-0000F66D0000}"/>
    <cellStyle name="Separador de milhares 2 4 2 2" xfId="1890" xr:uid="{00000000-0005-0000-0000-0000F76D0000}"/>
    <cellStyle name="Separador de milhares 2 4 2 2 10" xfId="26398" xr:uid="{00000000-0005-0000-0000-0000F86D0000}"/>
    <cellStyle name="Separador de milhares 2 4 2 2 2" xfId="22530" xr:uid="{00000000-0005-0000-0000-0000F96D0000}"/>
    <cellStyle name="Separador de milhares 2 4 2 2 2 2" xfId="23086" xr:uid="{00000000-0005-0000-0000-0000FA6D0000}"/>
    <cellStyle name="Separador de milhares 2 4 2 2 2 2 2" xfId="23973" xr:uid="{00000000-0005-0000-0000-0000FB6D0000}"/>
    <cellStyle name="Separador de milhares 2 4 2 2 2 2 2 2" xfId="25749" xr:uid="{00000000-0005-0000-0000-0000FC6D0000}"/>
    <cellStyle name="Separador de milhares 2 4 2 2 2 2 3" xfId="24861" xr:uid="{00000000-0005-0000-0000-0000FD6D0000}"/>
    <cellStyle name="Separador de milhares 2 4 2 2 2 3" xfId="23470" xr:uid="{00000000-0005-0000-0000-0000FE6D0000}"/>
    <cellStyle name="Separador de milhares 2 4 2 2 2 3 2" xfId="25246" xr:uid="{00000000-0005-0000-0000-0000FF6D0000}"/>
    <cellStyle name="Separador de milhares 2 4 2 2 2 4" xfId="24358" xr:uid="{00000000-0005-0000-0000-0000006E0000}"/>
    <cellStyle name="Separador de milhares 2 4 2 2 2 5" xfId="26154" xr:uid="{00000000-0005-0000-0000-0000016E0000}"/>
    <cellStyle name="Separador de milhares 2 4 2 2 2 6" xfId="26524" xr:uid="{00000000-0005-0000-0000-0000026E0000}"/>
    <cellStyle name="Separador de milhares 2 4 2 2 3" xfId="22827" xr:uid="{00000000-0005-0000-0000-0000036E0000}"/>
    <cellStyle name="Separador de milhares 2 4 2 2 3 2" xfId="23714" xr:uid="{00000000-0005-0000-0000-0000046E0000}"/>
    <cellStyle name="Separador de milhares 2 4 2 2 3 2 2" xfId="25490" xr:uid="{00000000-0005-0000-0000-0000056E0000}"/>
    <cellStyle name="Separador de milhares 2 4 2 2 3 3" xfId="24602" xr:uid="{00000000-0005-0000-0000-0000066E0000}"/>
    <cellStyle name="Separador de milhares 2 4 2 2 4" xfId="22946" xr:uid="{00000000-0005-0000-0000-0000076E0000}"/>
    <cellStyle name="Separador de milhares 2 4 2 2 4 2" xfId="23833" xr:uid="{00000000-0005-0000-0000-0000086E0000}"/>
    <cellStyle name="Separador de milhares 2 4 2 2 4 2 2" xfId="25609" xr:uid="{00000000-0005-0000-0000-0000096E0000}"/>
    <cellStyle name="Separador de milhares 2 4 2 2 4 3" xfId="24721" xr:uid="{00000000-0005-0000-0000-00000A6E0000}"/>
    <cellStyle name="Separador de milhares 2 4 2 2 5" xfId="23330" xr:uid="{00000000-0005-0000-0000-00000B6E0000}"/>
    <cellStyle name="Separador de milhares 2 4 2 2 5 2" xfId="25106" xr:uid="{00000000-0005-0000-0000-00000C6E0000}"/>
    <cellStyle name="Separador de milhares 2 4 2 2 6" xfId="24218" xr:uid="{00000000-0005-0000-0000-00000D6E0000}"/>
    <cellStyle name="Separador de milhares 2 4 2 2 7" xfId="2403" xr:uid="{00000000-0005-0000-0000-00000E6E0000}"/>
    <cellStyle name="Separador de milhares 2 4 2 2 8" xfId="25993" xr:uid="{00000000-0005-0000-0000-00000F6E0000}"/>
    <cellStyle name="Separador de milhares 2 4 2 2 9" xfId="2260" xr:uid="{00000000-0005-0000-0000-0000106E0000}"/>
    <cellStyle name="Separador de milhares 2 4 3" xfId="1891" xr:uid="{00000000-0005-0000-0000-0000116E0000}"/>
    <cellStyle name="Separador de milhares 2 4 3 10" xfId="26399" xr:uid="{00000000-0005-0000-0000-0000126E0000}"/>
    <cellStyle name="Separador de milhares 2 4 3 2" xfId="22529" xr:uid="{00000000-0005-0000-0000-0000136E0000}"/>
    <cellStyle name="Separador de milhares 2 4 3 2 2" xfId="23085" xr:uid="{00000000-0005-0000-0000-0000146E0000}"/>
    <cellStyle name="Separador de milhares 2 4 3 2 2 2" xfId="23972" xr:uid="{00000000-0005-0000-0000-0000156E0000}"/>
    <cellStyle name="Separador de milhares 2 4 3 2 2 2 2" xfId="25748" xr:uid="{00000000-0005-0000-0000-0000166E0000}"/>
    <cellStyle name="Separador de milhares 2 4 3 2 2 3" xfId="24860" xr:uid="{00000000-0005-0000-0000-0000176E0000}"/>
    <cellStyle name="Separador de milhares 2 4 3 2 3" xfId="23469" xr:uid="{00000000-0005-0000-0000-0000186E0000}"/>
    <cellStyle name="Separador de milhares 2 4 3 2 3 2" xfId="25245" xr:uid="{00000000-0005-0000-0000-0000196E0000}"/>
    <cellStyle name="Separador de milhares 2 4 3 2 4" xfId="24357" xr:uid="{00000000-0005-0000-0000-00001A6E0000}"/>
    <cellStyle name="Separador de milhares 2 4 3 2 5" xfId="26155" xr:uid="{00000000-0005-0000-0000-00001B6E0000}"/>
    <cellStyle name="Separador de milhares 2 4 3 2 6" xfId="26525" xr:uid="{00000000-0005-0000-0000-00001C6E0000}"/>
    <cellStyle name="Separador de milhares 2 4 3 3" xfId="22826" xr:uid="{00000000-0005-0000-0000-00001D6E0000}"/>
    <cellStyle name="Separador de milhares 2 4 3 3 2" xfId="23713" xr:uid="{00000000-0005-0000-0000-00001E6E0000}"/>
    <cellStyle name="Separador de milhares 2 4 3 3 2 2" xfId="25489" xr:uid="{00000000-0005-0000-0000-00001F6E0000}"/>
    <cellStyle name="Separador de milhares 2 4 3 3 3" xfId="24601" xr:uid="{00000000-0005-0000-0000-0000206E0000}"/>
    <cellStyle name="Separador de milhares 2 4 3 4" xfId="22945" xr:uid="{00000000-0005-0000-0000-0000216E0000}"/>
    <cellStyle name="Separador de milhares 2 4 3 4 2" xfId="23832" xr:uid="{00000000-0005-0000-0000-0000226E0000}"/>
    <cellStyle name="Separador de milhares 2 4 3 4 2 2" xfId="25608" xr:uid="{00000000-0005-0000-0000-0000236E0000}"/>
    <cellStyle name="Separador de milhares 2 4 3 4 3" xfId="24720" xr:uid="{00000000-0005-0000-0000-0000246E0000}"/>
    <cellStyle name="Separador de milhares 2 4 3 5" xfId="23329" xr:uid="{00000000-0005-0000-0000-0000256E0000}"/>
    <cellStyle name="Separador de milhares 2 4 3 5 2" xfId="25105" xr:uid="{00000000-0005-0000-0000-0000266E0000}"/>
    <cellStyle name="Separador de milhares 2 4 3 6" xfId="24217" xr:uid="{00000000-0005-0000-0000-0000276E0000}"/>
    <cellStyle name="Separador de milhares 2 4 3 7" xfId="2402" xr:uid="{00000000-0005-0000-0000-0000286E0000}"/>
    <cellStyle name="Separador de milhares 2 4 3 8" xfId="25994" xr:uid="{00000000-0005-0000-0000-0000296E0000}"/>
    <cellStyle name="Separador de milhares 2 4 3 9" xfId="2259" xr:uid="{00000000-0005-0000-0000-00002A6E0000}"/>
    <cellStyle name="Separador de milhares 2 5" xfId="1892" xr:uid="{00000000-0005-0000-0000-00002B6E0000}"/>
    <cellStyle name="Separador de milhares 2 5 2" xfId="1893" xr:uid="{00000000-0005-0000-0000-00002C6E0000}"/>
    <cellStyle name="Separador de milhares 2 5 2 2" xfId="1894" xr:uid="{00000000-0005-0000-0000-00002D6E0000}"/>
    <cellStyle name="Separador de milhares 2 5 2 2 10" xfId="26400" xr:uid="{00000000-0005-0000-0000-00002E6E0000}"/>
    <cellStyle name="Separador de milhares 2 5 2 2 2" xfId="22532" xr:uid="{00000000-0005-0000-0000-00002F6E0000}"/>
    <cellStyle name="Separador de milhares 2 5 2 2 2 2" xfId="23088" xr:uid="{00000000-0005-0000-0000-0000306E0000}"/>
    <cellStyle name="Separador de milhares 2 5 2 2 2 2 2" xfId="23975" xr:uid="{00000000-0005-0000-0000-0000316E0000}"/>
    <cellStyle name="Separador de milhares 2 5 2 2 2 2 2 2" xfId="25751" xr:uid="{00000000-0005-0000-0000-0000326E0000}"/>
    <cellStyle name="Separador de milhares 2 5 2 2 2 2 3" xfId="24863" xr:uid="{00000000-0005-0000-0000-0000336E0000}"/>
    <cellStyle name="Separador de milhares 2 5 2 2 2 3" xfId="23472" xr:uid="{00000000-0005-0000-0000-0000346E0000}"/>
    <cellStyle name="Separador de milhares 2 5 2 2 2 3 2" xfId="25248" xr:uid="{00000000-0005-0000-0000-0000356E0000}"/>
    <cellStyle name="Separador de milhares 2 5 2 2 2 4" xfId="24360" xr:uid="{00000000-0005-0000-0000-0000366E0000}"/>
    <cellStyle name="Separador de milhares 2 5 2 2 2 5" xfId="26156" xr:uid="{00000000-0005-0000-0000-0000376E0000}"/>
    <cellStyle name="Separador de milhares 2 5 2 2 2 6" xfId="26526" xr:uid="{00000000-0005-0000-0000-0000386E0000}"/>
    <cellStyle name="Separador de milhares 2 5 2 2 3" xfId="22829" xr:uid="{00000000-0005-0000-0000-0000396E0000}"/>
    <cellStyle name="Separador de milhares 2 5 2 2 3 2" xfId="23716" xr:uid="{00000000-0005-0000-0000-00003A6E0000}"/>
    <cellStyle name="Separador de milhares 2 5 2 2 3 2 2" xfId="25492" xr:uid="{00000000-0005-0000-0000-00003B6E0000}"/>
    <cellStyle name="Separador de milhares 2 5 2 2 3 3" xfId="24604" xr:uid="{00000000-0005-0000-0000-00003C6E0000}"/>
    <cellStyle name="Separador de milhares 2 5 2 2 4" xfId="22948" xr:uid="{00000000-0005-0000-0000-00003D6E0000}"/>
    <cellStyle name="Separador de milhares 2 5 2 2 4 2" xfId="23835" xr:uid="{00000000-0005-0000-0000-00003E6E0000}"/>
    <cellStyle name="Separador de milhares 2 5 2 2 4 2 2" xfId="25611" xr:uid="{00000000-0005-0000-0000-00003F6E0000}"/>
    <cellStyle name="Separador de milhares 2 5 2 2 4 3" xfId="24723" xr:uid="{00000000-0005-0000-0000-0000406E0000}"/>
    <cellStyle name="Separador de milhares 2 5 2 2 5" xfId="23332" xr:uid="{00000000-0005-0000-0000-0000416E0000}"/>
    <cellStyle name="Separador de milhares 2 5 2 2 5 2" xfId="25108" xr:uid="{00000000-0005-0000-0000-0000426E0000}"/>
    <cellStyle name="Separador de milhares 2 5 2 2 6" xfId="24220" xr:uid="{00000000-0005-0000-0000-0000436E0000}"/>
    <cellStyle name="Separador de milhares 2 5 2 2 7" xfId="2405" xr:uid="{00000000-0005-0000-0000-0000446E0000}"/>
    <cellStyle name="Separador de milhares 2 5 2 2 8" xfId="25995" xr:uid="{00000000-0005-0000-0000-0000456E0000}"/>
    <cellStyle name="Separador de milhares 2 5 2 2 9" xfId="2262" xr:uid="{00000000-0005-0000-0000-0000466E0000}"/>
    <cellStyle name="Separador de milhares 2 5 3" xfId="1895" xr:uid="{00000000-0005-0000-0000-0000476E0000}"/>
    <cellStyle name="Separador de milhares 2 5 3 10" xfId="26401" xr:uid="{00000000-0005-0000-0000-0000486E0000}"/>
    <cellStyle name="Separador de milhares 2 5 3 2" xfId="22531" xr:uid="{00000000-0005-0000-0000-0000496E0000}"/>
    <cellStyle name="Separador de milhares 2 5 3 2 2" xfId="23087" xr:uid="{00000000-0005-0000-0000-00004A6E0000}"/>
    <cellStyle name="Separador de milhares 2 5 3 2 2 2" xfId="23974" xr:uid="{00000000-0005-0000-0000-00004B6E0000}"/>
    <cellStyle name="Separador de milhares 2 5 3 2 2 2 2" xfId="25750" xr:uid="{00000000-0005-0000-0000-00004C6E0000}"/>
    <cellStyle name="Separador de milhares 2 5 3 2 2 3" xfId="24862" xr:uid="{00000000-0005-0000-0000-00004D6E0000}"/>
    <cellStyle name="Separador de milhares 2 5 3 2 3" xfId="23471" xr:uid="{00000000-0005-0000-0000-00004E6E0000}"/>
    <cellStyle name="Separador de milhares 2 5 3 2 3 2" xfId="25247" xr:uid="{00000000-0005-0000-0000-00004F6E0000}"/>
    <cellStyle name="Separador de milhares 2 5 3 2 4" xfId="24359" xr:uid="{00000000-0005-0000-0000-0000506E0000}"/>
    <cellStyle name="Separador de milhares 2 5 3 2 5" xfId="26157" xr:uid="{00000000-0005-0000-0000-0000516E0000}"/>
    <cellStyle name="Separador de milhares 2 5 3 2 6" xfId="26527" xr:uid="{00000000-0005-0000-0000-0000526E0000}"/>
    <cellStyle name="Separador de milhares 2 5 3 3" xfId="22828" xr:uid="{00000000-0005-0000-0000-0000536E0000}"/>
    <cellStyle name="Separador de milhares 2 5 3 3 2" xfId="23715" xr:uid="{00000000-0005-0000-0000-0000546E0000}"/>
    <cellStyle name="Separador de milhares 2 5 3 3 2 2" xfId="25491" xr:uid="{00000000-0005-0000-0000-0000556E0000}"/>
    <cellStyle name="Separador de milhares 2 5 3 3 3" xfId="24603" xr:uid="{00000000-0005-0000-0000-0000566E0000}"/>
    <cellStyle name="Separador de milhares 2 5 3 4" xfId="22947" xr:uid="{00000000-0005-0000-0000-0000576E0000}"/>
    <cellStyle name="Separador de milhares 2 5 3 4 2" xfId="23834" xr:uid="{00000000-0005-0000-0000-0000586E0000}"/>
    <cellStyle name="Separador de milhares 2 5 3 4 2 2" xfId="25610" xr:uid="{00000000-0005-0000-0000-0000596E0000}"/>
    <cellStyle name="Separador de milhares 2 5 3 4 3" xfId="24722" xr:uid="{00000000-0005-0000-0000-00005A6E0000}"/>
    <cellStyle name="Separador de milhares 2 5 3 5" xfId="23331" xr:uid="{00000000-0005-0000-0000-00005B6E0000}"/>
    <cellStyle name="Separador de milhares 2 5 3 5 2" xfId="25107" xr:uid="{00000000-0005-0000-0000-00005C6E0000}"/>
    <cellStyle name="Separador de milhares 2 5 3 6" xfId="24219" xr:uid="{00000000-0005-0000-0000-00005D6E0000}"/>
    <cellStyle name="Separador de milhares 2 5 3 7" xfId="2404" xr:uid="{00000000-0005-0000-0000-00005E6E0000}"/>
    <cellStyle name="Separador de milhares 2 5 3 8" xfId="25996" xr:uid="{00000000-0005-0000-0000-00005F6E0000}"/>
    <cellStyle name="Separador de milhares 2 5 3 9" xfId="2261" xr:uid="{00000000-0005-0000-0000-0000606E0000}"/>
    <cellStyle name="Separador de milhares 2 6" xfId="1896" xr:uid="{00000000-0005-0000-0000-0000616E0000}"/>
    <cellStyle name="Separador de milhares 2 6 2" xfId="1897" xr:uid="{00000000-0005-0000-0000-0000626E0000}"/>
    <cellStyle name="Separador de milhares 2 6 2 2" xfId="1898" xr:uid="{00000000-0005-0000-0000-0000636E0000}"/>
    <cellStyle name="Separador de milhares 2 6 2 2 10" xfId="26402" xr:uid="{00000000-0005-0000-0000-0000646E0000}"/>
    <cellStyle name="Separador de milhares 2 6 2 2 2" xfId="22534" xr:uid="{00000000-0005-0000-0000-0000656E0000}"/>
    <cellStyle name="Separador de milhares 2 6 2 2 2 2" xfId="23090" xr:uid="{00000000-0005-0000-0000-0000666E0000}"/>
    <cellStyle name="Separador de milhares 2 6 2 2 2 2 2" xfId="23977" xr:uid="{00000000-0005-0000-0000-0000676E0000}"/>
    <cellStyle name="Separador de milhares 2 6 2 2 2 2 2 2" xfId="25753" xr:uid="{00000000-0005-0000-0000-0000686E0000}"/>
    <cellStyle name="Separador de milhares 2 6 2 2 2 2 3" xfId="24865" xr:uid="{00000000-0005-0000-0000-0000696E0000}"/>
    <cellStyle name="Separador de milhares 2 6 2 2 2 3" xfId="23474" xr:uid="{00000000-0005-0000-0000-00006A6E0000}"/>
    <cellStyle name="Separador de milhares 2 6 2 2 2 3 2" xfId="25250" xr:uid="{00000000-0005-0000-0000-00006B6E0000}"/>
    <cellStyle name="Separador de milhares 2 6 2 2 2 4" xfId="24362" xr:uid="{00000000-0005-0000-0000-00006C6E0000}"/>
    <cellStyle name="Separador de milhares 2 6 2 2 2 5" xfId="26158" xr:uid="{00000000-0005-0000-0000-00006D6E0000}"/>
    <cellStyle name="Separador de milhares 2 6 2 2 2 6" xfId="26528" xr:uid="{00000000-0005-0000-0000-00006E6E0000}"/>
    <cellStyle name="Separador de milhares 2 6 2 2 3" xfId="22831" xr:uid="{00000000-0005-0000-0000-00006F6E0000}"/>
    <cellStyle name="Separador de milhares 2 6 2 2 3 2" xfId="23718" xr:uid="{00000000-0005-0000-0000-0000706E0000}"/>
    <cellStyle name="Separador de milhares 2 6 2 2 3 2 2" xfId="25494" xr:uid="{00000000-0005-0000-0000-0000716E0000}"/>
    <cellStyle name="Separador de milhares 2 6 2 2 3 3" xfId="24606" xr:uid="{00000000-0005-0000-0000-0000726E0000}"/>
    <cellStyle name="Separador de milhares 2 6 2 2 4" xfId="22950" xr:uid="{00000000-0005-0000-0000-0000736E0000}"/>
    <cellStyle name="Separador de milhares 2 6 2 2 4 2" xfId="23837" xr:uid="{00000000-0005-0000-0000-0000746E0000}"/>
    <cellStyle name="Separador de milhares 2 6 2 2 4 2 2" xfId="25613" xr:uid="{00000000-0005-0000-0000-0000756E0000}"/>
    <cellStyle name="Separador de milhares 2 6 2 2 4 3" xfId="24725" xr:uid="{00000000-0005-0000-0000-0000766E0000}"/>
    <cellStyle name="Separador de milhares 2 6 2 2 5" xfId="23334" xr:uid="{00000000-0005-0000-0000-0000776E0000}"/>
    <cellStyle name="Separador de milhares 2 6 2 2 5 2" xfId="25110" xr:uid="{00000000-0005-0000-0000-0000786E0000}"/>
    <cellStyle name="Separador de milhares 2 6 2 2 6" xfId="24222" xr:uid="{00000000-0005-0000-0000-0000796E0000}"/>
    <cellStyle name="Separador de milhares 2 6 2 2 7" xfId="2407" xr:uid="{00000000-0005-0000-0000-00007A6E0000}"/>
    <cellStyle name="Separador de milhares 2 6 2 2 8" xfId="25997" xr:uid="{00000000-0005-0000-0000-00007B6E0000}"/>
    <cellStyle name="Separador de milhares 2 6 2 2 9" xfId="2264" xr:uid="{00000000-0005-0000-0000-00007C6E0000}"/>
    <cellStyle name="Separador de milhares 2 6 3" xfId="1899" xr:uid="{00000000-0005-0000-0000-00007D6E0000}"/>
    <cellStyle name="Separador de milhares 2 6 3 10" xfId="26403" xr:uid="{00000000-0005-0000-0000-00007E6E0000}"/>
    <cellStyle name="Separador de milhares 2 6 3 2" xfId="22533" xr:uid="{00000000-0005-0000-0000-00007F6E0000}"/>
    <cellStyle name="Separador de milhares 2 6 3 2 2" xfId="23089" xr:uid="{00000000-0005-0000-0000-0000806E0000}"/>
    <cellStyle name="Separador de milhares 2 6 3 2 2 2" xfId="23976" xr:uid="{00000000-0005-0000-0000-0000816E0000}"/>
    <cellStyle name="Separador de milhares 2 6 3 2 2 2 2" xfId="25752" xr:uid="{00000000-0005-0000-0000-0000826E0000}"/>
    <cellStyle name="Separador de milhares 2 6 3 2 2 3" xfId="24864" xr:uid="{00000000-0005-0000-0000-0000836E0000}"/>
    <cellStyle name="Separador de milhares 2 6 3 2 3" xfId="23473" xr:uid="{00000000-0005-0000-0000-0000846E0000}"/>
    <cellStyle name="Separador de milhares 2 6 3 2 3 2" xfId="25249" xr:uid="{00000000-0005-0000-0000-0000856E0000}"/>
    <cellStyle name="Separador de milhares 2 6 3 2 4" xfId="24361" xr:uid="{00000000-0005-0000-0000-0000866E0000}"/>
    <cellStyle name="Separador de milhares 2 6 3 2 5" xfId="26159" xr:uid="{00000000-0005-0000-0000-0000876E0000}"/>
    <cellStyle name="Separador de milhares 2 6 3 2 6" xfId="26529" xr:uid="{00000000-0005-0000-0000-0000886E0000}"/>
    <cellStyle name="Separador de milhares 2 6 3 3" xfId="22830" xr:uid="{00000000-0005-0000-0000-0000896E0000}"/>
    <cellStyle name="Separador de milhares 2 6 3 3 2" xfId="23717" xr:uid="{00000000-0005-0000-0000-00008A6E0000}"/>
    <cellStyle name="Separador de milhares 2 6 3 3 2 2" xfId="25493" xr:uid="{00000000-0005-0000-0000-00008B6E0000}"/>
    <cellStyle name="Separador de milhares 2 6 3 3 3" xfId="24605" xr:uid="{00000000-0005-0000-0000-00008C6E0000}"/>
    <cellStyle name="Separador de milhares 2 6 3 4" xfId="22949" xr:uid="{00000000-0005-0000-0000-00008D6E0000}"/>
    <cellStyle name="Separador de milhares 2 6 3 4 2" xfId="23836" xr:uid="{00000000-0005-0000-0000-00008E6E0000}"/>
    <cellStyle name="Separador de milhares 2 6 3 4 2 2" xfId="25612" xr:uid="{00000000-0005-0000-0000-00008F6E0000}"/>
    <cellStyle name="Separador de milhares 2 6 3 4 3" xfId="24724" xr:uid="{00000000-0005-0000-0000-0000906E0000}"/>
    <cellStyle name="Separador de milhares 2 6 3 5" xfId="23333" xr:uid="{00000000-0005-0000-0000-0000916E0000}"/>
    <cellStyle name="Separador de milhares 2 6 3 5 2" xfId="25109" xr:uid="{00000000-0005-0000-0000-0000926E0000}"/>
    <cellStyle name="Separador de milhares 2 6 3 6" xfId="24221" xr:uid="{00000000-0005-0000-0000-0000936E0000}"/>
    <cellStyle name="Separador de milhares 2 6 3 7" xfId="2406" xr:uid="{00000000-0005-0000-0000-0000946E0000}"/>
    <cellStyle name="Separador de milhares 2 6 3 8" xfId="25998" xr:uid="{00000000-0005-0000-0000-0000956E0000}"/>
    <cellStyle name="Separador de milhares 2 6 3 9" xfId="2263" xr:uid="{00000000-0005-0000-0000-0000966E0000}"/>
    <cellStyle name="Separador de milhares 2 7" xfId="1900" xr:uid="{00000000-0005-0000-0000-0000976E0000}"/>
    <cellStyle name="Separador de milhares 2 7 2" xfId="1901" xr:uid="{00000000-0005-0000-0000-0000986E0000}"/>
    <cellStyle name="Separador de milhares 2 7 2 2" xfId="1902" xr:uid="{00000000-0005-0000-0000-0000996E0000}"/>
    <cellStyle name="Separador de milhares 2 7 2 2 10" xfId="26404" xr:uid="{00000000-0005-0000-0000-00009A6E0000}"/>
    <cellStyle name="Separador de milhares 2 7 2 2 2" xfId="22536" xr:uid="{00000000-0005-0000-0000-00009B6E0000}"/>
    <cellStyle name="Separador de milhares 2 7 2 2 2 2" xfId="23092" xr:uid="{00000000-0005-0000-0000-00009C6E0000}"/>
    <cellStyle name="Separador de milhares 2 7 2 2 2 2 2" xfId="23979" xr:uid="{00000000-0005-0000-0000-00009D6E0000}"/>
    <cellStyle name="Separador de milhares 2 7 2 2 2 2 2 2" xfId="25755" xr:uid="{00000000-0005-0000-0000-00009E6E0000}"/>
    <cellStyle name="Separador de milhares 2 7 2 2 2 2 3" xfId="24867" xr:uid="{00000000-0005-0000-0000-00009F6E0000}"/>
    <cellStyle name="Separador de milhares 2 7 2 2 2 3" xfId="23476" xr:uid="{00000000-0005-0000-0000-0000A06E0000}"/>
    <cellStyle name="Separador de milhares 2 7 2 2 2 3 2" xfId="25252" xr:uid="{00000000-0005-0000-0000-0000A16E0000}"/>
    <cellStyle name="Separador de milhares 2 7 2 2 2 4" xfId="24364" xr:uid="{00000000-0005-0000-0000-0000A26E0000}"/>
    <cellStyle name="Separador de milhares 2 7 2 2 2 5" xfId="26160" xr:uid="{00000000-0005-0000-0000-0000A36E0000}"/>
    <cellStyle name="Separador de milhares 2 7 2 2 2 6" xfId="26530" xr:uid="{00000000-0005-0000-0000-0000A46E0000}"/>
    <cellStyle name="Separador de milhares 2 7 2 2 3" xfId="22833" xr:uid="{00000000-0005-0000-0000-0000A56E0000}"/>
    <cellStyle name="Separador de milhares 2 7 2 2 3 2" xfId="23720" xr:uid="{00000000-0005-0000-0000-0000A66E0000}"/>
    <cellStyle name="Separador de milhares 2 7 2 2 3 2 2" xfId="25496" xr:uid="{00000000-0005-0000-0000-0000A76E0000}"/>
    <cellStyle name="Separador de milhares 2 7 2 2 3 3" xfId="24608" xr:uid="{00000000-0005-0000-0000-0000A86E0000}"/>
    <cellStyle name="Separador de milhares 2 7 2 2 4" xfId="22952" xr:uid="{00000000-0005-0000-0000-0000A96E0000}"/>
    <cellStyle name="Separador de milhares 2 7 2 2 4 2" xfId="23839" xr:uid="{00000000-0005-0000-0000-0000AA6E0000}"/>
    <cellStyle name="Separador de milhares 2 7 2 2 4 2 2" xfId="25615" xr:uid="{00000000-0005-0000-0000-0000AB6E0000}"/>
    <cellStyle name="Separador de milhares 2 7 2 2 4 3" xfId="24727" xr:uid="{00000000-0005-0000-0000-0000AC6E0000}"/>
    <cellStyle name="Separador de milhares 2 7 2 2 5" xfId="23336" xr:uid="{00000000-0005-0000-0000-0000AD6E0000}"/>
    <cellStyle name="Separador de milhares 2 7 2 2 5 2" xfId="25112" xr:uid="{00000000-0005-0000-0000-0000AE6E0000}"/>
    <cellStyle name="Separador de milhares 2 7 2 2 6" xfId="24224" xr:uid="{00000000-0005-0000-0000-0000AF6E0000}"/>
    <cellStyle name="Separador de milhares 2 7 2 2 7" xfId="2409" xr:uid="{00000000-0005-0000-0000-0000B06E0000}"/>
    <cellStyle name="Separador de milhares 2 7 2 2 8" xfId="25999" xr:uid="{00000000-0005-0000-0000-0000B16E0000}"/>
    <cellStyle name="Separador de milhares 2 7 2 2 9" xfId="2266" xr:uid="{00000000-0005-0000-0000-0000B26E0000}"/>
    <cellStyle name="Separador de milhares 2 7 3" xfId="1903" xr:uid="{00000000-0005-0000-0000-0000B36E0000}"/>
    <cellStyle name="Separador de milhares 2 7 3 10" xfId="26405" xr:uid="{00000000-0005-0000-0000-0000B46E0000}"/>
    <cellStyle name="Separador de milhares 2 7 3 2" xfId="22535" xr:uid="{00000000-0005-0000-0000-0000B56E0000}"/>
    <cellStyle name="Separador de milhares 2 7 3 2 2" xfId="23091" xr:uid="{00000000-0005-0000-0000-0000B66E0000}"/>
    <cellStyle name="Separador de milhares 2 7 3 2 2 2" xfId="23978" xr:uid="{00000000-0005-0000-0000-0000B76E0000}"/>
    <cellStyle name="Separador de milhares 2 7 3 2 2 2 2" xfId="25754" xr:uid="{00000000-0005-0000-0000-0000B86E0000}"/>
    <cellStyle name="Separador de milhares 2 7 3 2 2 3" xfId="24866" xr:uid="{00000000-0005-0000-0000-0000B96E0000}"/>
    <cellStyle name="Separador de milhares 2 7 3 2 3" xfId="23475" xr:uid="{00000000-0005-0000-0000-0000BA6E0000}"/>
    <cellStyle name="Separador de milhares 2 7 3 2 3 2" xfId="25251" xr:uid="{00000000-0005-0000-0000-0000BB6E0000}"/>
    <cellStyle name="Separador de milhares 2 7 3 2 4" xfId="24363" xr:uid="{00000000-0005-0000-0000-0000BC6E0000}"/>
    <cellStyle name="Separador de milhares 2 7 3 2 5" xfId="26161" xr:uid="{00000000-0005-0000-0000-0000BD6E0000}"/>
    <cellStyle name="Separador de milhares 2 7 3 2 6" xfId="26531" xr:uid="{00000000-0005-0000-0000-0000BE6E0000}"/>
    <cellStyle name="Separador de milhares 2 7 3 3" xfId="22832" xr:uid="{00000000-0005-0000-0000-0000BF6E0000}"/>
    <cellStyle name="Separador de milhares 2 7 3 3 2" xfId="23719" xr:uid="{00000000-0005-0000-0000-0000C06E0000}"/>
    <cellStyle name="Separador de milhares 2 7 3 3 2 2" xfId="25495" xr:uid="{00000000-0005-0000-0000-0000C16E0000}"/>
    <cellStyle name="Separador de milhares 2 7 3 3 3" xfId="24607" xr:uid="{00000000-0005-0000-0000-0000C26E0000}"/>
    <cellStyle name="Separador de milhares 2 7 3 4" xfId="22951" xr:uid="{00000000-0005-0000-0000-0000C36E0000}"/>
    <cellStyle name="Separador de milhares 2 7 3 4 2" xfId="23838" xr:uid="{00000000-0005-0000-0000-0000C46E0000}"/>
    <cellStyle name="Separador de milhares 2 7 3 4 2 2" xfId="25614" xr:uid="{00000000-0005-0000-0000-0000C56E0000}"/>
    <cellStyle name="Separador de milhares 2 7 3 4 3" xfId="24726" xr:uid="{00000000-0005-0000-0000-0000C66E0000}"/>
    <cellStyle name="Separador de milhares 2 7 3 5" xfId="23335" xr:uid="{00000000-0005-0000-0000-0000C76E0000}"/>
    <cellStyle name="Separador de milhares 2 7 3 5 2" xfId="25111" xr:uid="{00000000-0005-0000-0000-0000C86E0000}"/>
    <cellStyle name="Separador de milhares 2 7 3 6" xfId="24223" xr:uid="{00000000-0005-0000-0000-0000C96E0000}"/>
    <cellStyle name="Separador de milhares 2 7 3 7" xfId="2408" xr:uid="{00000000-0005-0000-0000-0000CA6E0000}"/>
    <cellStyle name="Separador de milhares 2 7 3 8" xfId="26000" xr:uid="{00000000-0005-0000-0000-0000CB6E0000}"/>
    <cellStyle name="Separador de milhares 2 7 3 9" xfId="2265" xr:uid="{00000000-0005-0000-0000-0000CC6E0000}"/>
    <cellStyle name="Separador de milhares 2 8" xfId="1904" xr:uid="{00000000-0005-0000-0000-0000CD6E0000}"/>
    <cellStyle name="Separador de milhares 2 8 2" xfId="1905" xr:uid="{00000000-0005-0000-0000-0000CE6E0000}"/>
    <cellStyle name="Separador de milhares 2 8 2 2" xfId="1906" xr:uid="{00000000-0005-0000-0000-0000CF6E0000}"/>
    <cellStyle name="Separador de milhares 2 8 2 2 10" xfId="26406" xr:uid="{00000000-0005-0000-0000-0000D06E0000}"/>
    <cellStyle name="Separador de milhares 2 8 2 2 2" xfId="22538" xr:uid="{00000000-0005-0000-0000-0000D16E0000}"/>
    <cellStyle name="Separador de milhares 2 8 2 2 2 2" xfId="23094" xr:uid="{00000000-0005-0000-0000-0000D26E0000}"/>
    <cellStyle name="Separador de milhares 2 8 2 2 2 2 2" xfId="23981" xr:uid="{00000000-0005-0000-0000-0000D36E0000}"/>
    <cellStyle name="Separador de milhares 2 8 2 2 2 2 2 2" xfId="25757" xr:uid="{00000000-0005-0000-0000-0000D46E0000}"/>
    <cellStyle name="Separador de milhares 2 8 2 2 2 2 3" xfId="24869" xr:uid="{00000000-0005-0000-0000-0000D56E0000}"/>
    <cellStyle name="Separador de milhares 2 8 2 2 2 3" xfId="23478" xr:uid="{00000000-0005-0000-0000-0000D66E0000}"/>
    <cellStyle name="Separador de milhares 2 8 2 2 2 3 2" xfId="25254" xr:uid="{00000000-0005-0000-0000-0000D76E0000}"/>
    <cellStyle name="Separador de milhares 2 8 2 2 2 4" xfId="24366" xr:uid="{00000000-0005-0000-0000-0000D86E0000}"/>
    <cellStyle name="Separador de milhares 2 8 2 2 2 5" xfId="26162" xr:uid="{00000000-0005-0000-0000-0000D96E0000}"/>
    <cellStyle name="Separador de milhares 2 8 2 2 2 6" xfId="26532" xr:uid="{00000000-0005-0000-0000-0000DA6E0000}"/>
    <cellStyle name="Separador de milhares 2 8 2 2 3" xfId="22835" xr:uid="{00000000-0005-0000-0000-0000DB6E0000}"/>
    <cellStyle name="Separador de milhares 2 8 2 2 3 2" xfId="23722" xr:uid="{00000000-0005-0000-0000-0000DC6E0000}"/>
    <cellStyle name="Separador de milhares 2 8 2 2 3 2 2" xfId="25498" xr:uid="{00000000-0005-0000-0000-0000DD6E0000}"/>
    <cellStyle name="Separador de milhares 2 8 2 2 3 3" xfId="24610" xr:uid="{00000000-0005-0000-0000-0000DE6E0000}"/>
    <cellStyle name="Separador de milhares 2 8 2 2 4" xfId="22954" xr:uid="{00000000-0005-0000-0000-0000DF6E0000}"/>
    <cellStyle name="Separador de milhares 2 8 2 2 4 2" xfId="23841" xr:uid="{00000000-0005-0000-0000-0000E06E0000}"/>
    <cellStyle name="Separador de milhares 2 8 2 2 4 2 2" xfId="25617" xr:uid="{00000000-0005-0000-0000-0000E16E0000}"/>
    <cellStyle name="Separador de milhares 2 8 2 2 4 3" xfId="24729" xr:uid="{00000000-0005-0000-0000-0000E26E0000}"/>
    <cellStyle name="Separador de milhares 2 8 2 2 5" xfId="23338" xr:uid="{00000000-0005-0000-0000-0000E36E0000}"/>
    <cellStyle name="Separador de milhares 2 8 2 2 5 2" xfId="25114" xr:uid="{00000000-0005-0000-0000-0000E46E0000}"/>
    <cellStyle name="Separador de milhares 2 8 2 2 6" xfId="24226" xr:uid="{00000000-0005-0000-0000-0000E56E0000}"/>
    <cellStyle name="Separador de milhares 2 8 2 2 7" xfId="2411" xr:uid="{00000000-0005-0000-0000-0000E66E0000}"/>
    <cellStyle name="Separador de milhares 2 8 2 2 8" xfId="26001" xr:uid="{00000000-0005-0000-0000-0000E76E0000}"/>
    <cellStyle name="Separador de milhares 2 8 2 2 9" xfId="2268" xr:uid="{00000000-0005-0000-0000-0000E86E0000}"/>
    <cellStyle name="Separador de milhares 2 8 3" xfId="1907" xr:uid="{00000000-0005-0000-0000-0000E96E0000}"/>
    <cellStyle name="Separador de milhares 2 8 3 10" xfId="26407" xr:uid="{00000000-0005-0000-0000-0000EA6E0000}"/>
    <cellStyle name="Separador de milhares 2 8 3 2" xfId="22537" xr:uid="{00000000-0005-0000-0000-0000EB6E0000}"/>
    <cellStyle name="Separador de milhares 2 8 3 2 2" xfId="23093" xr:uid="{00000000-0005-0000-0000-0000EC6E0000}"/>
    <cellStyle name="Separador de milhares 2 8 3 2 2 2" xfId="23980" xr:uid="{00000000-0005-0000-0000-0000ED6E0000}"/>
    <cellStyle name="Separador de milhares 2 8 3 2 2 2 2" xfId="25756" xr:uid="{00000000-0005-0000-0000-0000EE6E0000}"/>
    <cellStyle name="Separador de milhares 2 8 3 2 2 3" xfId="24868" xr:uid="{00000000-0005-0000-0000-0000EF6E0000}"/>
    <cellStyle name="Separador de milhares 2 8 3 2 3" xfId="23477" xr:uid="{00000000-0005-0000-0000-0000F06E0000}"/>
    <cellStyle name="Separador de milhares 2 8 3 2 3 2" xfId="25253" xr:uid="{00000000-0005-0000-0000-0000F16E0000}"/>
    <cellStyle name="Separador de milhares 2 8 3 2 4" xfId="24365" xr:uid="{00000000-0005-0000-0000-0000F26E0000}"/>
    <cellStyle name="Separador de milhares 2 8 3 2 5" xfId="26163" xr:uid="{00000000-0005-0000-0000-0000F36E0000}"/>
    <cellStyle name="Separador de milhares 2 8 3 2 6" xfId="26533" xr:uid="{00000000-0005-0000-0000-0000F46E0000}"/>
    <cellStyle name="Separador de milhares 2 8 3 3" xfId="22834" xr:uid="{00000000-0005-0000-0000-0000F56E0000}"/>
    <cellStyle name="Separador de milhares 2 8 3 3 2" xfId="23721" xr:uid="{00000000-0005-0000-0000-0000F66E0000}"/>
    <cellStyle name="Separador de milhares 2 8 3 3 2 2" xfId="25497" xr:uid="{00000000-0005-0000-0000-0000F76E0000}"/>
    <cellStyle name="Separador de milhares 2 8 3 3 3" xfId="24609" xr:uid="{00000000-0005-0000-0000-0000F86E0000}"/>
    <cellStyle name="Separador de milhares 2 8 3 4" xfId="22953" xr:uid="{00000000-0005-0000-0000-0000F96E0000}"/>
    <cellStyle name="Separador de milhares 2 8 3 4 2" xfId="23840" xr:uid="{00000000-0005-0000-0000-0000FA6E0000}"/>
    <cellStyle name="Separador de milhares 2 8 3 4 2 2" xfId="25616" xr:uid="{00000000-0005-0000-0000-0000FB6E0000}"/>
    <cellStyle name="Separador de milhares 2 8 3 4 3" xfId="24728" xr:uid="{00000000-0005-0000-0000-0000FC6E0000}"/>
    <cellStyle name="Separador de milhares 2 8 3 5" xfId="23337" xr:uid="{00000000-0005-0000-0000-0000FD6E0000}"/>
    <cellStyle name="Separador de milhares 2 8 3 5 2" xfId="25113" xr:uid="{00000000-0005-0000-0000-0000FE6E0000}"/>
    <cellStyle name="Separador de milhares 2 8 3 6" xfId="24225" xr:uid="{00000000-0005-0000-0000-0000FF6E0000}"/>
    <cellStyle name="Separador de milhares 2 8 3 7" xfId="2410" xr:uid="{00000000-0005-0000-0000-0000006F0000}"/>
    <cellStyle name="Separador de milhares 2 8 3 8" xfId="26002" xr:uid="{00000000-0005-0000-0000-0000016F0000}"/>
    <cellStyle name="Separador de milhares 2 8 3 9" xfId="2267" xr:uid="{00000000-0005-0000-0000-0000026F0000}"/>
    <cellStyle name="Separador de milhares 2 9" xfId="1908" xr:uid="{00000000-0005-0000-0000-0000036F0000}"/>
    <cellStyle name="Separador de milhares 2 9 2" xfId="1909" xr:uid="{00000000-0005-0000-0000-0000046F0000}"/>
    <cellStyle name="Separador de milhares 2 9 2 2" xfId="1910" xr:uid="{00000000-0005-0000-0000-0000056F0000}"/>
    <cellStyle name="Separador de milhares 2 9 2 2 10" xfId="26408" xr:uid="{00000000-0005-0000-0000-0000066F0000}"/>
    <cellStyle name="Separador de milhares 2 9 2 2 2" xfId="22540" xr:uid="{00000000-0005-0000-0000-0000076F0000}"/>
    <cellStyle name="Separador de milhares 2 9 2 2 2 2" xfId="23096" xr:uid="{00000000-0005-0000-0000-0000086F0000}"/>
    <cellStyle name="Separador de milhares 2 9 2 2 2 2 2" xfId="23983" xr:uid="{00000000-0005-0000-0000-0000096F0000}"/>
    <cellStyle name="Separador de milhares 2 9 2 2 2 2 2 2" xfId="25759" xr:uid="{00000000-0005-0000-0000-00000A6F0000}"/>
    <cellStyle name="Separador de milhares 2 9 2 2 2 2 3" xfId="24871" xr:uid="{00000000-0005-0000-0000-00000B6F0000}"/>
    <cellStyle name="Separador de milhares 2 9 2 2 2 3" xfId="23480" xr:uid="{00000000-0005-0000-0000-00000C6F0000}"/>
    <cellStyle name="Separador de milhares 2 9 2 2 2 3 2" xfId="25256" xr:uid="{00000000-0005-0000-0000-00000D6F0000}"/>
    <cellStyle name="Separador de milhares 2 9 2 2 2 4" xfId="24368" xr:uid="{00000000-0005-0000-0000-00000E6F0000}"/>
    <cellStyle name="Separador de milhares 2 9 2 2 2 5" xfId="26164" xr:uid="{00000000-0005-0000-0000-00000F6F0000}"/>
    <cellStyle name="Separador de milhares 2 9 2 2 2 6" xfId="26534" xr:uid="{00000000-0005-0000-0000-0000106F0000}"/>
    <cellStyle name="Separador de milhares 2 9 2 2 3" xfId="22837" xr:uid="{00000000-0005-0000-0000-0000116F0000}"/>
    <cellStyle name="Separador de milhares 2 9 2 2 3 2" xfId="23724" xr:uid="{00000000-0005-0000-0000-0000126F0000}"/>
    <cellStyle name="Separador de milhares 2 9 2 2 3 2 2" xfId="25500" xr:uid="{00000000-0005-0000-0000-0000136F0000}"/>
    <cellStyle name="Separador de milhares 2 9 2 2 3 3" xfId="24612" xr:uid="{00000000-0005-0000-0000-0000146F0000}"/>
    <cellStyle name="Separador de milhares 2 9 2 2 4" xfId="22956" xr:uid="{00000000-0005-0000-0000-0000156F0000}"/>
    <cellStyle name="Separador de milhares 2 9 2 2 4 2" xfId="23843" xr:uid="{00000000-0005-0000-0000-0000166F0000}"/>
    <cellStyle name="Separador de milhares 2 9 2 2 4 2 2" xfId="25619" xr:uid="{00000000-0005-0000-0000-0000176F0000}"/>
    <cellStyle name="Separador de milhares 2 9 2 2 4 3" xfId="24731" xr:uid="{00000000-0005-0000-0000-0000186F0000}"/>
    <cellStyle name="Separador de milhares 2 9 2 2 5" xfId="23340" xr:uid="{00000000-0005-0000-0000-0000196F0000}"/>
    <cellStyle name="Separador de milhares 2 9 2 2 5 2" xfId="25116" xr:uid="{00000000-0005-0000-0000-00001A6F0000}"/>
    <cellStyle name="Separador de milhares 2 9 2 2 6" xfId="24228" xr:uid="{00000000-0005-0000-0000-00001B6F0000}"/>
    <cellStyle name="Separador de milhares 2 9 2 2 7" xfId="2413" xr:uid="{00000000-0005-0000-0000-00001C6F0000}"/>
    <cellStyle name="Separador de milhares 2 9 2 2 8" xfId="26003" xr:uid="{00000000-0005-0000-0000-00001D6F0000}"/>
    <cellStyle name="Separador de milhares 2 9 2 2 9" xfId="2270" xr:uid="{00000000-0005-0000-0000-00001E6F0000}"/>
    <cellStyle name="Separador de milhares 2 9 3" xfId="1911" xr:uid="{00000000-0005-0000-0000-00001F6F0000}"/>
    <cellStyle name="Separador de milhares 2 9 3 10" xfId="26409" xr:uid="{00000000-0005-0000-0000-0000206F0000}"/>
    <cellStyle name="Separador de milhares 2 9 3 2" xfId="22539" xr:uid="{00000000-0005-0000-0000-0000216F0000}"/>
    <cellStyle name="Separador de milhares 2 9 3 2 2" xfId="23095" xr:uid="{00000000-0005-0000-0000-0000226F0000}"/>
    <cellStyle name="Separador de milhares 2 9 3 2 2 2" xfId="23982" xr:uid="{00000000-0005-0000-0000-0000236F0000}"/>
    <cellStyle name="Separador de milhares 2 9 3 2 2 2 2" xfId="25758" xr:uid="{00000000-0005-0000-0000-0000246F0000}"/>
    <cellStyle name="Separador de milhares 2 9 3 2 2 3" xfId="24870" xr:uid="{00000000-0005-0000-0000-0000256F0000}"/>
    <cellStyle name="Separador de milhares 2 9 3 2 3" xfId="23479" xr:uid="{00000000-0005-0000-0000-0000266F0000}"/>
    <cellStyle name="Separador de milhares 2 9 3 2 3 2" xfId="25255" xr:uid="{00000000-0005-0000-0000-0000276F0000}"/>
    <cellStyle name="Separador de milhares 2 9 3 2 4" xfId="24367" xr:uid="{00000000-0005-0000-0000-0000286F0000}"/>
    <cellStyle name="Separador de milhares 2 9 3 2 5" xfId="26165" xr:uid="{00000000-0005-0000-0000-0000296F0000}"/>
    <cellStyle name="Separador de milhares 2 9 3 2 6" xfId="26535" xr:uid="{00000000-0005-0000-0000-00002A6F0000}"/>
    <cellStyle name="Separador de milhares 2 9 3 3" xfId="22836" xr:uid="{00000000-0005-0000-0000-00002B6F0000}"/>
    <cellStyle name="Separador de milhares 2 9 3 3 2" xfId="23723" xr:uid="{00000000-0005-0000-0000-00002C6F0000}"/>
    <cellStyle name="Separador de milhares 2 9 3 3 2 2" xfId="25499" xr:uid="{00000000-0005-0000-0000-00002D6F0000}"/>
    <cellStyle name="Separador de milhares 2 9 3 3 3" xfId="24611" xr:uid="{00000000-0005-0000-0000-00002E6F0000}"/>
    <cellStyle name="Separador de milhares 2 9 3 4" xfId="22955" xr:uid="{00000000-0005-0000-0000-00002F6F0000}"/>
    <cellStyle name="Separador de milhares 2 9 3 4 2" xfId="23842" xr:uid="{00000000-0005-0000-0000-0000306F0000}"/>
    <cellStyle name="Separador de milhares 2 9 3 4 2 2" xfId="25618" xr:uid="{00000000-0005-0000-0000-0000316F0000}"/>
    <cellStyle name="Separador de milhares 2 9 3 4 3" xfId="24730" xr:uid="{00000000-0005-0000-0000-0000326F0000}"/>
    <cellStyle name="Separador de milhares 2 9 3 5" xfId="23339" xr:uid="{00000000-0005-0000-0000-0000336F0000}"/>
    <cellStyle name="Separador de milhares 2 9 3 5 2" xfId="25115" xr:uid="{00000000-0005-0000-0000-0000346F0000}"/>
    <cellStyle name="Separador de milhares 2 9 3 6" xfId="24227" xr:uid="{00000000-0005-0000-0000-0000356F0000}"/>
    <cellStyle name="Separador de milhares 2 9 3 7" xfId="2412" xr:uid="{00000000-0005-0000-0000-0000366F0000}"/>
    <cellStyle name="Separador de milhares 2 9 3 8" xfId="26004" xr:uid="{00000000-0005-0000-0000-0000376F0000}"/>
    <cellStyle name="Separador de milhares 2 9 3 9" xfId="2269" xr:uid="{00000000-0005-0000-0000-0000386F0000}"/>
    <cellStyle name="Separador de milhares 3" xfId="1912" xr:uid="{00000000-0005-0000-0000-0000396F0000}"/>
    <cellStyle name="Separador de milhares 3 10" xfId="1913" xr:uid="{00000000-0005-0000-0000-00003A6F0000}"/>
    <cellStyle name="Separador de milhares 3 10 2" xfId="1914" xr:uid="{00000000-0005-0000-0000-00003B6F0000}"/>
    <cellStyle name="Separador de milhares 3 11" xfId="1915" xr:uid="{00000000-0005-0000-0000-00003C6F0000}"/>
    <cellStyle name="Separador de milhares 3 12" xfId="1916" xr:uid="{00000000-0005-0000-0000-00003D6F0000}"/>
    <cellStyle name="Separador de milhares 3 12 2" xfId="1917" xr:uid="{00000000-0005-0000-0000-00003E6F0000}"/>
    <cellStyle name="Separador de milhares 3 12 2 2" xfId="1918" xr:uid="{00000000-0005-0000-0000-00003F6F0000}"/>
    <cellStyle name="Separador de milhares 3 12 2 2 10" xfId="26410" xr:uid="{00000000-0005-0000-0000-0000406F0000}"/>
    <cellStyle name="Separador de milhares 3 12 2 2 2" xfId="22542" xr:uid="{00000000-0005-0000-0000-0000416F0000}"/>
    <cellStyle name="Separador de milhares 3 12 2 2 2 2" xfId="23098" xr:uid="{00000000-0005-0000-0000-0000426F0000}"/>
    <cellStyle name="Separador de milhares 3 12 2 2 2 2 2" xfId="23985" xr:uid="{00000000-0005-0000-0000-0000436F0000}"/>
    <cellStyle name="Separador de milhares 3 12 2 2 2 2 2 2" xfId="25761" xr:uid="{00000000-0005-0000-0000-0000446F0000}"/>
    <cellStyle name="Separador de milhares 3 12 2 2 2 2 3" xfId="24873" xr:uid="{00000000-0005-0000-0000-0000456F0000}"/>
    <cellStyle name="Separador de milhares 3 12 2 2 2 3" xfId="23482" xr:uid="{00000000-0005-0000-0000-0000466F0000}"/>
    <cellStyle name="Separador de milhares 3 12 2 2 2 3 2" xfId="25258" xr:uid="{00000000-0005-0000-0000-0000476F0000}"/>
    <cellStyle name="Separador de milhares 3 12 2 2 2 4" xfId="24370" xr:uid="{00000000-0005-0000-0000-0000486F0000}"/>
    <cellStyle name="Separador de milhares 3 12 2 2 2 5" xfId="26166" xr:uid="{00000000-0005-0000-0000-0000496F0000}"/>
    <cellStyle name="Separador de milhares 3 12 2 2 2 6" xfId="26536" xr:uid="{00000000-0005-0000-0000-00004A6F0000}"/>
    <cellStyle name="Separador de milhares 3 12 2 2 3" xfId="22839" xr:uid="{00000000-0005-0000-0000-00004B6F0000}"/>
    <cellStyle name="Separador de milhares 3 12 2 2 3 2" xfId="23726" xr:uid="{00000000-0005-0000-0000-00004C6F0000}"/>
    <cellStyle name="Separador de milhares 3 12 2 2 3 2 2" xfId="25502" xr:uid="{00000000-0005-0000-0000-00004D6F0000}"/>
    <cellStyle name="Separador de milhares 3 12 2 2 3 3" xfId="24614" xr:uid="{00000000-0005-0000-0000-00004E6F0000}"/>
    <cellStyle name="Separador de milhares 3 12 2 2 4" xfId="22958" xr:uid="{00000000-0005-0000-0000-00004F6F0000}"/>
    <cellStyle name="Separador de milhares 3 12 2 2 4 2" xfId="23845" xr:uid="{00000000-0005-0000-0000-0000506F0000}"/>
    <cellStyle name="Separador de milhares 3 12 2 2 4 2 2" xfId="25621" xr:uid="{00000000-0005-0000-0000-0000516F0000}"/>
    <cellStyle name="Separador de milhares 3 12 2 2 4 3" xfId="24733" xr:uid="{00000000-0005-0000-0000-0000526F0000}"/>
    <cellStyle name="Separador de milhares 3 12 2 2 5" xfId="23342" xr:uid="{00000000-0005-0000-0000-0000536F0000}"/>
    <cellStyle name="Separador de milhares 3 12 2 2 5 2" xfId="25118" xr:uid="{00000000-0005-0000-0000-0000546F0000}"/>
    <cellStyle name="Separador de milhares 3 12 2 2 6" xfId="24230" xr:uid="{00000000-0005-0000-0000-0000556F0000}"/>
    <cellStyle name="Separador de milhares 3 12 2 2 7" xfId="2415" xr:uid="{00000000-0005-0000-0000-0000566F0000}"/>
    <cellStyle name="Separador de milhares 3 12 2 2 8" xfId="26005" xr:uid="{00000000-0005-0000-0000-0000576F0000}"/>
    <cellStyle name="Separador de milhares 3 12 2 2 9" xfId="2272" xr:uid="{00000000-0005-0000-0000-0000586F0000}"/>
    <cellStyle name="Separador de milhares 3 12 3" xfId="1919" xr:uid="{00000000-0005-0000-0000-0000596F0000}"/>
    <cellStyle name="Separador de milhares 3 12 3 10" xfId="26411" xr:uid="{00000000-0005-0000-0000-00005A6F0000}"/>
    <cellStyle name="Separador de milhares 3 12 3 2" xfId="22541" xr:uid="{00000000-0005-0000-0000-00005B6F0000}"/>
    <cellStyle name="Separador de milhares 3 12 3 2 2" xfId="23097" xr:uid="{00000000-0005-0000-0000-00005C6F0000}"/>
    <cellStyle name="Separador de milhares 3 12 3 2 2 2" xfId="23984" xr:uid="{00000000-0005-0000-0000-00005D6F0000}"/>
    <cellStyle name="Separador de milhares 3 12 3 2 2 2 2" xfId="25760" xr:uid="{00000000-0005-0000-0000-00005E6F0000}"/>
    <cellStyle name="Separador de milhares 3 12 3 2 2 3" xfId="24872" xr:uid="{00000000-0005-0000-0000-00005F6F0000}"/>
    <cellStyle name="Separador de milhares 3 12 3 2 3" xfId="23481" xr:uid="{00000000-0005-0000-0000-0000606F0000}"/>
    <cellStyle name="Separador de milhares 3 12 3 2 3 2" xfId="25257" xr:uid="{00000000-0005-0000-0000-0000616F0000}"/>
    <cellStyle name="Separador de milhares 3 12 3 2 4" xfId="24369" xr:uid="{00000000-0005-0000-0000-0000626F0000}"/>
    <cellStyle name="Separador de milhares 3 12 3 2 5" xfId="26167" xr:uid="{00000000-0005-0000-0000-0000636F0000}"/>
    <cellStyle name="Separador de milhares 3 12 3 2 6" xfId="26537" xr:uid="{00000000-0005-0000-0000-0000646F0000}"/>
    <cellStyle name="Separador de milhares 3 12 3 3" xfId="22838" xr:uid="{00000000-0005-0000-0000-0000656F0000}"/>
    <cellStyle name="Separador de milhares 3 12 3 3 2" xfId="23725" xr:uid="{00000000-0005-0000-0000-0000666F0000}"/>
    <cellStyle name="Separador de milhares 3 12 3 3 2 2" xfId="25501" xr:uid="{00000000-0005-0000-0000-0000676F0000}"/>
    <cellStyle name="Separador de milhares 3 12 3 3 3" xfId="24613" xr:uid="{00000000-0005-0000-0000-0000686F0000}"/>
    <cellStyle name="Separador de milhares 3 12 3 4" xfId="22957" xr:uid="{00000000-0005-0000-0000-0000696F0000}"/>
    <cellStyle name="Separador de milhares 3 12 3 4 2" xfId="23844" xr:uid="{00000000-0005-0000-0000-00006A6F0000}"/>
    <cellStyle name="Separador de milhares 3 12 3 4 2 2" xfId="25620" xr:uid="{00000000-0005-0000-0000-00006B6F0000}"/>
    <cellStyle name="Separador de milhares 3 12 3 4 3" xfId="24732" xr:uid="{00000000-0005-0000-0000-00006C6F0000}"/>
    <cellStyle name="Separador de milhares 3 12 3 5" xfId="23341" xr:uid="{00000000-0005-0000-0000-00006D6F0000}"/>
    <cellStyle name="Separador de milhares 3 12 3 5 2" xfId="25117" xr:uid="{00000000-0005-0000-0000-00006E6F0000}"/>
    <cellStyle name="Separador de milhares 3 12 3 6" xfId="24229" xr:uid="{00000000-0005-0000-0000-00006F6F0000}"/>
    <cellStyle name="Separador de milhares 3 12 3 7" xfId="2414" xr:uid="{00000000-0005-0000-0000-0000706F0000}"/>
    <cellStyle name="Separador de milhares 3 12 3 8" xfId="26006" xr:uid="{00000000-0005-0000-0000-0000716F0000}"/>
    <cellStyle name="Separador de milhares 3 12 3 9" xfId="2271" xr:uid="{00000000-0005-0000-0000-0000726F0000}"/>
    <cellStyle name="Separador de milhares 3 13" xfId="1920" xr:uid="{00000000-0005-0000-0000-0000736F0000}"/>
    <cellStyle name="Separador de milhares 3 14" xfId="2595" xr:uid="{00000000-0005-0000-0000-0000746F0000}"/>
    <cellStyle name="Separador de milhares 3 14 2" xfId="22626" xr:uid="{00000000-0005-0000-0000-0000756F0000}"/>
    <cellStyle name="Separador de milhares 3 14 2 2" xfId="23182" xr:uid="{00000000-0005-0000-0000-0000766F0000}"/>
    <cellStyle name="Separador de milhares 3 14 2 2 2" xfId="24069" xr:uid="{00000000-0005-0000-0000-0000776F0000}"/>
    <cellStyle name="Separador de milhares 3 14 2 2 2 2" xfId="25845" xr:uid="{00000000-0005-0000-0000-0000786F0000}"/>
    <cellStyle name="Separador de milhares 3 14 2 2 3" xfId="24957" xr:uid="{00000000-0005-0000-0000-0000796F0000}"/>
    <cellStyle name="Separador de milhares 3 14 2 3" xfId="23566" xr:uid="{00000000-0005-0000-0000-00007A6F0000}"/>
    <cellStyle name="Separador de milhares 3 14 2 3 2" xfId="25342" xr:uid="{00000000-0005-0000-0000-00007B6F0000}"/>
    <cellStyle name="Separador de milhares 3 14 2 4" xfId="24454" xr:uid="{00000000-0005-0000-0000-00007C6F0000}"/>
    <cellStyle name="Separador de milhares 3 2" xfId="1921" xr:uid="{00000000-0005-0000-0000-00007D6F0000}"/>
    <cellStyle name="Separador de milhares 3 2 2" xfId="1922" xr:uid="{00000000-0005-0000-0000-00007E6F0000}"/>
    <cellStyle name="Separador de milhares 3 2 3" xfId="2590" xr:uid="{00000000-0005-0000-0000-00007F6F0000}"/>
    <cellStyle name="Separador de milhares 3 2 3 2" xfId="22625" xr:uid="{00000000-0005-0000-0000-0000806F0000}"/>
    <cellStyle name="Separador de milhares 3 2 3 2 2" xfId="23181" xr:uid="{00000000-0005-0000-0000-0000816F0000}"/>
    <cellStyle name="Separador de milhares 3 2 3 2 2 2" xfId="24068" xr:uid="{00000000-0005-0000-0000-0000826F0000}"/>
    <cellStyle name="Separador de milhares 3 2 3 2 2 2 2" xfId="25844" xr:uid="{00000000-0005-0000-0000-0000836F0000}"/>
    <cellStyle name="Separador de milhares 3 2 3 2 2 3" xfId="24956" xr:uid="{00000000-0005-0000-0000-0000846F0000}"/>
    <cellStyle name="Separador de milhares 3 2 3 2 3" xfId="23565" xr:uid="{00000000-0005-0000-0000-0000856F0000}"/>
    <cellStyle name="Separador de milhares 3 2 3 2 3 2" xfId="25341" xr:uid="{00000000-0005-0000-0000-0000866F0000}"/>
    <cellStyle name="Separador de milhares 3 2 3 2 4" xfId="24453" xr:uid="{00000000-0005-0000-0000-0000876F0000}"/>
    <cellStyle name="Separador de milhares 3 3" xfId="1923" xr:uid="{00000000-0005-0000-0000-0000886F0000}"/>
    <cellStyle name="Separador de milhares 3 3 2" xfId="1924" xr:uid="{00000000-0005-0000-0000-0000896F0000}"/>
    <cellStyle name="Separador de milhares 3 4" xfId="1925" xr:uid="{00000000-0005-0000-0000-00008A6F0000}"/>
    <cellStyle name="Separador de milhares 3 4 2" xfId="1926" xr:uid="{00000000-0005-0000-0000-00008B6F0000}"/>
    <cellStyle name="Separador de milhares 3 5" xfId="1927" xr:uid="{00000000-0005-0000-0000-00008C6F0000}"/>
    <cellStyle name="Separador de milhares 3 5 2" xfId="1928" xr:uid="{00000000-0005-0000-0000-00008D6F0000}"/>
    <cellStyle name="Separador de milhares 3 6" xfId="1929" xr:uid="{00000000-0005-0000-0000-00008E6F0000}"/>
    <cellStyle name="Separador de milhares 3 6 2" xfId="1930" xr:uid="{00000000-0005-0000-0000-00008F6F0000}"/>
    <cellStyle name="Separador de milhares 3 7" xfId="1931" xr:uid="{00000000-0005-0000-0000-0000906F0000}"/>
    <cellStyle name="Separador de milhares 3 7 2" xfId="1932" xr:uid="{00000000-0005-0000-0000-0000916F0000}"/>
    <cellStyle name="Separador de milhares 3 8" xfId="1933" xr:uid="{00000000-0005-0000-0000-0000926F0000}"/>
    <cellStyle name="Separador de milhares 3 8 2" xfId="1934" xr:uid="{00000000-0005-0000-0000-0000936F0000}"/>
    <cellStyle name="Separador de milhares 3 9" xfId="1935" xr:uid="{00000000-0005-0000-0000-0000946F0000}"/>
    <cellStyle name="Separador de milhares 3 9 2" xfId="1936" xr:uid="{00000000-0005-0000-0000-0000956F0000}"/>
    <cellStyle name="Separador de milhares 4" xfId="1937" xr:uid="{00000000-0005-0000-0000-0000966F0000}"/>
    <cellStyle name="Separador de milhares 4 2" xfId="1938" xr:uid="{00000000-0005-0000-0000-0000976F0000}"/>
    <cellStyle name="Separador de milhares 4 2 2" xfId="1939" xr:uid="{00000000-0005-0000-0000-0000986F0000}"/>
    <cellStyle name="Separador de milhares 4 2 2 10" xfId="26412" xr:uid="{00000000-0005-0000-0000-0000996F0000}"/>
    <cellStyle name="Separador de milhares 4 2 2 2" xfId="22544" xr:uid="{00000000-0005-0000-0000-00009A6F0000}"/>
    <cellStyle name="Separador de milhares 4 2 2 2 2" xfId="23100" xr:uid="{00000000-0005-0000-0000-00009B6F0000}"/>
    <cellStyle name="Separador de milhares 4 2 2 2 2 2" xfId="23987" xr:uid="{00000000-0005-0000-0000-00009C6F0000}"/>
    <cellStyle name="Separador de milhares 4 2 2 2 2 2 2" xfId="25763" xr:uid="{00000000-0005-0000-0000-00009D6F0000}"/>
    <cellStyle name="Separador de milhares 4 2 2 2 2 3" xfId="24875" xr:uid="{00000000-0005-0000-0000-00009E6F0000}"/>
    <cellStyle name="Separador de milhares 4 2 2 2 3" xfId="23484" xr:uid="{00000000-0005-0000-0000-00009F6F0000}"/>
    <cellStyle name="Separador de milhares 4 2 2 2 3 2" xfId="25260" xr:uid="{00000000-0005-0000-0000-0000A06F0000}"/>
    <cellStyle name="Separador de milhares 4 2 2 2 4" xfId="24372" xr:uid="{00000000-0005-0000-0000-0000A16F0000}"/>
    <cellStyle name="Separador de milhares 4 2 2 2 5" xfId="26168" xr:uid="{00000000-0005-0000-0000-0000A26F0000}"/>
    <cellStyle name="Separador de milhares 4 2 2 2 6" xfId="26538" xr:uid="{00000000-0005-0000-0000-0000A36F0000}"/>
    <cellStyle name="Separador de milhares 4 2 2 3" xfId="22841" xr:uid="{00000000-0005-0000-0000-0000A46F0000}"/>
    <cellStyle name="Separador de milhares 4 2 2 3 2" xfId="23728" xr:uid="{00000000-0005-0000-0000-0000A56F0000}"/>
    <cellStyle name="Separador de milhares 4 2 2 3 2 2" xfId="25504" xr:uid="{00000000-0005-0000-0000-0000A66F0000}"/>
    <cellStyle name="Separador de milhares 4 2 2 3 3" xfId="24616" xr:uid="{00000000-0005-0000-0000-0000A76F0000}"/>
    <cellStyle name="Separador de milhares 4 2 2 4" xfId="22960" xr:uid="{00000000-0005-0000-0000-0000A86F0000}"/>
    <cellStyle name="Separador de milhares 4 2 2 4 2" xfId="23847" xr:uid="{00000000-0005-0000-0000-0000A96F0000}"/>
    <cellStyle name="Separador de milhares 4 2 2 4 2 2" xfId="25623" xr:uid="{00000000-0005-0000-0000-0000AA6F0000}"/>
    <cellStyle name="Separador de milhares 4 2 2 4 3" xfId="24735" xr:uid="{00000000-0005-0000-0000-0000AB6F0000}"/>
    <cellStyle name="Separador de milhares 4 2 2 5" xfId="23344" xr:uid="{00000000-0005-0000-0000-0000AC6F0000}"/>
    <cellStyle name="Separador de milhares 4 2 2 5 2" xfId="25120" xr:uid="{00000000-0005-0000-0000-0000AD6F0000}"/>
    <cellStyle name="Separador de milhares 4 2 2 6" xfId="24232" xr:uid="{00000000-0005-0000-0000-0000AE6F0000}"/>
    <cellStyle name="Separador de milhares 4 2 2 7" xfId="2417" xr:uid="{00000000-0005-0000-0000-0000AF6F0000}"/>
    <cellStyle name="Separador de milhares 4 2 2 8" xfId="26007" xr:uid="{00000000-0005-0000-0000-0000B06F0000}"/>
    <cellStyle name="Separador de milhares 4 2 2 9" xfId="2274" xr:uid="{00000000-0005-0000-0000-0000B16F0000}"/>
    <cellStyle name="Separador de milhares 4 3" xfId="1940" xr:uid="{00000000-0005-0000-0000-0000B26F0000}"/>
    <cellStyle name="Separador de milhares 4 3 10" xfId="26413" xr:uid="{00000000-0005-0000-0000-0000B36F0000}"/>
    <cellStyle name="Separador de milhares 4 3 2" xfId="22543" xr:uid="{00000000-0005-0000-0000-0000B46F0000}"/>
    <cellStyle name="Separador de milhares 4 3 2 2" xfId="23099" xr:uid="{00000000-0005-0000-0000-0000B56F0000}"/>
    <cellStyle name="Separador de milhares 4 3 2 2 2" xfId="23986" xr:uid="{00000000-0005-0000-0000-0000B66F0000}"/>
    <cellStyle name="Separador de milhares 4 3 2 2 2 2" xfId="25762" xr:uid="{00000000-0005-0000-0000-0000B76F0000}"/>
    <cellStyle name="Separador de milhares 4 3 2 2 3" xfId="24874" xr:uid="{00000000-0005-0000-0000-0000B86F0000}"/>
    <cellStyle name="Separador de milhares 4 3 2 3" xfId="23483" xr:uid="{00000000-0005-0000-0000-0000B96F0000}"/>
    <cellStyle name="Separador de milhares 4 3 2 3 2" xfId="25259" xr:uid="{00000000-0005-0000-0000-0000BA6F0000}"/>
    <cellStyle name="Separador de milhares 4 3 2 4" xfId="24371" xr:uid="{00000000-0005-0000-0000-0000BB6F0000}"/>
    <cellStyle name="Separador de milhares 4 3 2 5" xfId="26169" xr:uid="{00000000-0005-0000-0000-0000BC6F0000}"/>
    <cellStyle name="Separador de milhares 4 3 2 6" xfId="26539" xr:uid="{00000000-0005-0000-0000-0000BD6F0000}"/>
    <cellStyle name="Separador de milhares 4 3 3" xfId="22840" xr:uid="{00000000-0005-0000-0000-0000BE6F0000}"/>
    <cellStyle name="Separador de milhares 4 3 3 2" xfId="23727" xr:uid="{00000000-0005-0000-0000-0000BF6F0000}"/>
    <cellStyle name="Separador de milhares 4 3 3 2 2" xfId="25503" xr:uid="{00000000-0005-0000-0000-0000C06F0000}"/>
    <cellStyle name="Separador de milhares 4 3 3 3" xfId="24615" xr:uid="{00000000-0005-0000-0000-0000C16F0000}"/>
    <cellStyle name="Separador de milhares 4 3 4" xfId="22959" xr:uid="{00000000-0005-0000-0000-0000C26F0000}"/>
    <cellStyle name="Separador de milhares 4 3 4 2" xfId="23846" xr:uid="{00000000-0005-0000-0000-0000C36F0000}"/>
    <cellStyle name="Separador de milhares 4 3 4 2 2" xfId="25622" xr:uid="{00000000-0005-0000-0000-0000C46F0000}"/>
    <cellStyle name="Separador de milhares 4 3 4 3" xfId="24734" xr:uid="{00000000-0005-0000-0000-0000C56F0000}"/>
    <cellStyle name="Separador de milhares 4 3 5" xfId="23343" xr:uid="{00000000-0005-0000-0000-0000C66F0000}"/>
    <cellStyle name="Separador de milhares 4 3 5 2" xfId="25119" xr:uid="{00000000-0005-0000-0000-0000C76F0000}"/>
    <cellStyle name="Separador de milhares 4 3 6" xfId="24231" xr:uid="{00000000-0005-0000-0000-0000C86F0000}"/>
    <cellStyle name="Separador de milhares 4 3 7" xfId="2416" xr:uid="{00000000-0005-0000-0000-0000C96F0000}"/>
    <cellStyle name="Separador de milhares 4 3 8" xfId="26008" xr:uid="{00000000-0005-0000-0000-0000CA6F0000}"/>
    <cellStyle name="Separador de milhares 4 3 9" xfId="2273" xr:uid="{00000000-0005-0000-0000-0000CB6F0000}"/>
    <cellStyle name="Separador de milhares 4 4" xfId="2586" xr:uid="{00000000-0005-0000-0000-0000CC6F0000}"/>
    <cellStyle name="Separador de milhares 4 4 2" xfId="22624" xr:uid="{00000000-0005-0000-0000-0000CD6F0000}"/>
    <cellStyle name="Separador de milhares 4 4 2 2" xfId="23180" xr:uid="{00000000-0005-0000-0000-0000CE6F0000}"/>
    <cellStyle name="Separador de milhares 4 4 2 2 2" xfId="24067" xr:uid="{00000000-0005-0000-0000-0000CF6F0000}"/>
    <cellStyle name="Separador de milhares 4 4 2 2 2 2" xfId="25843" xr:uid="{00000000-0005-0000-0000-0000D06F0000}"/>
    <cellStyle name="Separador de milhares 4 4 2 2 3" xfId="24955" xr:uid="{00000000-0005-0000-0000-0000D16F0000}"/>
    <cellStyle name="Separador de milhares 4 4 2 3" xfId="23564" xr:uid="{00000000-0005-0000-0000-0000D26F0000}"/>
    <cellStyle name="Separador de milhares 4 4 2 3 2" xfId="25340" xr:uid="{00000000-0005-0000-0000-0000D36F0000}"/>
    <cellStyle name="Separador de milhares 4 4 2 4" xfId="24452" xr:uid="{00000000-0005-0000-0000-0000D46F0000}"/>
    <cellStyle name="Separador de milhares 4 4 3" xfId="26312" xr:uid="{00000000-0005-0000-0000-0000D56F0000}"/>
    <cellStyle name="Separador de milhares 4 5" xfId="26206" xr:uid="{00000000-0005-0000-0000-0000D66F0000}"/>
    <cellStyle name="Separador de milhares 5" xfId="1941" xr:uid="{00000000-0005-0000-0000-0000D76F0000}"/>
    <cellStyle name="Separador de milhares 5 2" xfId="1942" xr:uid="{00000000-0005-0000-0000-0000D86F0000}"/>
    <cellStyle name="Separador de milhares 5 2 2" xfId="1943" xr:uid="{00000000-0005-0000-0000-0000D96F0000}"/>
    <cellStyle name="Separador de milhares 5 2 2 2" xfId="1944" xr:uid="{00000000-0005-0000-0000-0000DA6F0000}"/>
    <cellStyle name="Separador de milhares 5 2 2 2 10" xfId="26414" xr:uid="{00000000-0005-0000-0000-0000DB6F0000}"/>
    <cellStyle name="Separador de milhares 5 2 2 2 2" xfId="22547" xr:uid="{00000000-0005-0000-0000-0000DC6F0000}"/>
    <cellStyle name="Separador de milhares 5 2 2 2 2 2" xfId="23103" xr:uid="{00000000-0005-0000-0000-0000DD6F0000}"/>
    <cellStyle name="Separador de milhares 5 2 2 2 2 2 2" xfId="23990" xr:uid="{00000000-0005-0000-0000-0000DE6F0000}"/>
    <cellStyle name="Separador de milhares 5 2 2 2 2 2 2 2" xfId="25766" xr:uid="{00000000-0005-0000-0000-0000DF6F0000}"/>
    <cellStyle name="Separador de milhares 5 2 2 2 2 2 3" xfId="24878" xr:uid="{00000000-0005-0000-0000-0000E06F0000}"/>
    <cellStyle name="Separador de milhares 5 2 2 2 2 3" xfId="23487" xr:uid="{00000000-0005-0000-0000-0000E16F0000}"/>
    <cellStyle name="Separador de milhares 5 2 2 2 2 3 2" xfId="25263" xr:uid="{00000000-0005-0000-0000-0000E26F0000}"/>
    <cellStyle name="Separador de milhares 5 2 2 2 2 4" xfId="24375" xr:uid="{00000000-0005-0000-0000-0000E36F0000}"/>
    <cellStyle name="Separador de milhares 5 2 2 2 2 5" xfId="26170" xr:uid="{00000000-0005-0000-0000-0000E46F0000}"/>
    <cellStyle name="Separador de milhares 5 2 2 2 2 6" xfId="26540" xr:uid="{00000000-0005-0000-0000-0000E56F0000}"/>
    <cellStyle name="Separador de milhares 5 2 2 2 3" xfId="22844" xr:uid="{00000000-0005-0000-0000-0000E66F0000}"/>
    <cellStyle name="Separador de milhares 5 2 2 2 3 2" xfId="23731" xr:uid="{00000000-0005-0000-0000-0000E76F0000}"/>
    <cellStyle name="Separador de milhares 5 2 2 2 3 2 2" xfId="25507" xr:uid="{00000000-0005-0000-0000-0000E86F0000}"/>
    <cellStyle name="Separador de milhares 5 2 2 2 3 3" xfId="24619" xr:uid="{00000000-0005-0000-0000-0000E96F0000}"/>
    <cellStyle name="Separador de milhares 5 2 2 2 4" xfId="22963" xr:uid="{00000000-0005-0000-0000-0000EA6F0000}"/>
    <cellStyle name="Separador de milhares 5 2 2 2 4 2" xfId="23850" xr:uid="{00000000-0005-0000-0000-0000EB6F0000}"/>
    <cellStyle name="Separador de milhares 5 2 2 2 4 2 2" xfId="25626" xr:uid="{00000000-0005-0000-0000-0000EC6F0000}"/>
    <cellStyle name="Separador de milhares 5 2 2 2 4 3" xfId="24738" xr:uid="{00000000-0005-0000-0000-0000ED6F0000}"/>
    <cellStyle name="Separador de milhares 5 2 2 2 5" xfId="23347" xr:uid="{00000000-0005-0000-0000-0000EE6F0000}"/>
    <cellStyle name="Separador de milhares 5 2 2 2 5 2" xfId="25123" xr:uid="{00000000-0005-0000-0000-0000EF6F0000}"/>
    <cellStyle name="Separador de milhares 5 2 2 2 6" xfId="24235" xr:uid="{00000000-0005-0000-0000-0000F06F0000}"/>
    <cellStyle name="Separador de milhares 5 2 2 2 7" xfId="2420" xr:uid="{00000000-0005-0000-0000-0000F16F0000}"/>
    <cellStyle name="Separador de milhares 5 2 2 2 8" xfId="26009" xr:uid="{00000000-0005-0000-0000-0000F26F0000}"/>
    <cellStyle name="Separador de milhares 5 2 2 2 9" xfId="2277" xr:uid="{00000000-0005-0000-0000-0000F36F0000}"/>
    <cellStyle name="Separador de milhares 5 2 3" xfId="1945" xr:uid="{00000000-0005-0000-0000-0000F46F0000}"/>
    <cellStyle name="Separador de milhares 5 2 3 10" xfId="26415" xr:uid="{00000000-0005-0000-0000-0000F56F0000}"/>
    <cellStyle name="Separador de milhares 5 2 3 2" xfId="22546" xr:uid="{00000000-0005-0000-0000-0000F66F0000}"/>
    <cellStyle name="Separador de milhares 5 2 3 2 2" xfId="23102" xr:uid="{00000000-0005-0000-0000-0000F76F0000}"/>
    <cellStyle name="Separador de milhares 5 2 3 2 2 2" xfId="23989" xr:uid="{00000000-0005-0000-0000-0000F86F0000}"/>
    <cellStyle name="Separador de milhares 5 2 3 2 2 2 2" xfId="25765" xr:uid="{00000000-0005-0000-0000-0000F96F0000}"/>
    <cellStyle name="Separador de milhares 5 2 3 2 2 3" xfId="24877" xr:uid="{00000000-0005-0000-0000-0000FA6F0000}"/>
    <cellStyle name="Separador de milhares 5 2 3 2 3" xfId="23486" xr:uid="{00000000-0005-0000-0000-0000FB6F0000}"/>
    <cellStyle name="Separador de milhares 5 2 3 2 3 2" xfId="25262" xr:uid="{00000000-0005-0000-0000-0000FC6F0000}"/>
    <cellStyle name="Separador de milhares 5 2 3 2 4" xfId="24374" xr:uid="{00000000-0005-0000-0000-0000FD6F0000}"/>
    <cellStyle name="Separador de milhares 5 2 3 2 5" xfId="26171" xr:uid="{00000000-0005-0000-0000-0000FE6F0000}"/>
    <cellStyle name="Separador de milhares 5 2 3 2 6" xfId="26541" xr:uid="{00000000-0005-0000-0000-0000FF6F0000}"/>
    <cellStyle name="Separador de milhares 5 2 3 3" xfId="22843" xr:uid="{00000000-0005-0000-0000-000000700000}"/>
    <cellStyle name="Separador de milhares 5 2 3 3 2" xfId="23730" xr:uid="{00000000-0005-0000-0000-000001700000}"/>
    <cellStyle name="Separador de milhares 5 2 3 3 2 2" xfId="25506" xr:uid="{00000000-0005-0000-0000-000002700000}"/>
    <cellStyle name="Separador de milhares 5 2 3 3 3" xfId="24618" xr:uid="{00000000-0005-0000-0000-000003700000}"/>
    <cellStyle name="Separador de milhares 5 2 3 4" xfId="22962" xr:uid="{00000000-0005-0000-0000-000004700000}"/>
    <cellStyle name="Separador de milhares 5 2 3 4 2" xfId="23849" xr:uid="{00000000-0005-0000-0000-000005700000}"/>
    <cellStyle name="Separador de milhares 5 2 3 4 2 2" xfId="25625" xr:uid="{00000000-0005-0000-0000-000006700000}"/>
    <cellStyle name="Separador de milhares 5 2 3 4 3" xfId="24737" xr:uid="{00000000-0005-0000-0000-000007700000}"/>
    <cellStyle name="Separador de milhares 5 2 3 5" xfId="23346" xr:uid="{00000000-0005-0000-0000-000008700000}"/>
    <cellStyle name="Separador de milhares 5 2 3 5 2" xfId="25122" xr:uid="{00000000-0005-0000-0000-000009700000}"/>
    <cellStyle name="Separador de milhares 5 2 3 6" xfId="24234" xr:uid="{00000000-0005-0000-0000-00000A700000}"/>
    <cellStyle name="Separador de milhares 5 2 3 7" xfId="2419" xr:uid="{00000000-0005-0000-0000-00000B700000}"/>
    <cellStyle name="Separador de milhares 5 2 3 8" xfId="26010" xr:uid="{00000000-0005-0000-0000-00000C700000}"/>
    <cellStyle name="Separador de milhares 5 2 3 9" xfId="2276" xr:uid="{00000000-0005-0000-0000-00000D700000}"/>
    <cellStyle name="Separador de milhares 5 3" xfId="1946" xr:uid="{00000000-0005-0000-0000-00000E700000}"/>
    <cellStyle name="Separador de milhares 5 3 2" xfId="1947" xr:uid="{00000000-0005-0000-0000-00000F700000}"/>
    <cellStyle name="Separador de milhares 5 3 2 10" xfId="26416" xr:uid="{00000000-0005-0000-0000-000010700000}"/>
    <cellStyle name="Separador de milhares 5 3 2 2" xfId="22548" xr:uid="{00000000-0005-0000-0000-000011700000}"/>
    <cellStyle name="Separador de milhares 5 3 2 2 2" xfId="23104" xr:uid="{00000000-0005-0000-0000-000012700000}"/>
    <cellStyle name="Separador de milhares 5 3 2 2 2 2" xfId="23991" xr:uid="{00000000-0005-0000-0000-000013700000}"/>
    <cellStyle name="Separador de milhares 5 3 2 2 2 2 2" xfId="25767" xr:uid="{00000000-0005-0000-0000-000014700000}"/>
    <cellStyle name="Separador de milhares 5 3 2 2 2 3" xfId="24879" xr:uid="{00000000-0005-0000-0000-000015700000}"/>
    <cellStyle name="Separador de milhares 5 3 2 2 3" xfId="23488" xr:uid="{00000000-0005-0000-0000-000016700000}"/>
    <cellStyle name="Separador de milhares 5 3 2 2 3 2" xfId="25264" xr:uid="{00000000-0005-0000-0000-000017700000}"/>
    <cellStyle name="Separador de milhares 5 3 2 2 4" xfId="24376" xr:uid="{00000000-0005-0000-0000-000018700000}"/>
    <cellStyle name="Separador de milhares 5 3 2 2 5" xfId="26172" xr:uid="{00000000-0005-0000-0000-000019700000}"/>
    <cellStyle name="Separador de milhares 5 3 2 2 6" xfId="26542" xr:uid="{00000000-0005-0000-0000-00001A700000}"/>
    <cellStyle name="Separador de milhares 5 3 2 3" xfId="22845" xr:uid="{00000000-0005-0000-0000-00001B700000}"/>
    <cellStyle name="Separador de milhares 5 3 2 3 2" xfId="23732" xr:uid="{00000000-0005-0000-0000-00001C700000}"/>
    <cellStyle name="Separador de milhares 5 3 2 3 2 2" xfId="25508" xr:uid="{00000000-0005-0000-0000-00001D700000}"/>
    <cellStyle name="Separador de milhares 5 3 2 3 3" xfId="24620" xr:uid="{00000000-0005-0000-0000-00001E700000}"/>
    <cellStyle name="Separador de milhares 5 3 2 4" xfId="22964" xr:uid="{00000000-0005-0000-0000-00001F700000}"/>
    <cellStyle name="Separador de milhares 5 3 2 4 2" xfId="23851" xr:uid="{00000000-0005-0000-0000-000020700000}"/>
    <cellStyle name="Separador de milhares 5 3 2 4 2 2" xfId="25627" xr:uid="{00000000-0005-0000-0000-000021700000}"/>
    <cellStyle name="Separador de milhares 5 3 2 4 3" xfId="24739" xr:uid="{00000000-0005-0000-0000-000022700000}"/>
    <cellStyle name="Separador de milhares 5 3 2 5" xfId="23348" xr:uid="{00000000-0005-0000-0000-000023700000}"/>
    <cellStyle name="Separador de milhares 5 3 2 5 2" xfId="25124" xr:uid="{00000000-0005-0000-0000-000024700000}"/>
    <cellStyle name="Separador de milhares 5 3 2 6" xfId="24236" xr:uid="{00000000-0005-0000-0000-000025700000}"/>
    <cellStyle name="Separador de milhares 5 3 2 7" xfId="2421" xr:uid="{00000000-0005-0000-0000-000026700000}"/>
    <cellStyle name="Separador de milhares 5 3 2 8" xfId="26011" xr:uid="{00000000-0005-0000-0000-000027700000}"/>
    <cellStyle name="Separador de milhares 5 3 2 9" xfId="2278" xr:uid="{00000000-0005-0000-0000-000028700000}"/>
    <cellStyle name="Separador de milhares 5 4" xfId="1948" xr:uid="{00000000-0005-0000-0000-000029700000}"/>
    <cellStyle name="Separador de milhares 5 4 2" xfId="1949" xr:uid="{00000000-0005-0000-0000-00002A700000}"/>
    <cellStyle name="Separador de milhares 5 4 2 10" xfId="26417" xr:uid="{00000000-0005-0000-0000-00002B700000}"/>
    <cellStyle name="Separador de milhares 5 4 2 2" xfId="22549" xr:uid="{00000000-0005-0000-0000-00002C700000}"/>
    <cellStyle name="Separador de milhares 5 4 2 2 2" xfId="23105" xr:uid="{00000000-0005-0000-0000-00002D700000}"/>
    <cellStyle name="Separador de milhares 5 4 2 2 2 2" xfId="23992" xr:uid="{00000000-0005-0000-0000-00002E700000}"/>
    <cellStyle name="Separador de milhares 5 4 2 2 2 2 2" xfId="25768" xr:uid="{00000000-0005-0000-0000-00002F700000}"/>
    <cellStyle name="Separador de milhares 5 4 2 2 2 3" xfId="24880" xr:uid="{00000000-0005-0000-0000-000030700000}"/>
    <cellStyle name="Separador de milhares 5 4 2 2 3" xfId="23489" xr:uid="{00000000-0005-0000-0000-000031700000}"/>
    <cellStyle name="Separador de milhares 5 4 2 2 3 2" xfId="25265" xr:uid="{00000000-0005-0000-0000-000032700000}"/>
    <cellStyle name="Separador de milhares 5 4 2 2 4" xfId="24377" xr:uid="{00000000-0005-0000-0000-000033700000}"/>
    <cellStyle name="Separador de milhares 5 4 2 2 5" xfId="26173" xr:uid="{00000000-0005-0000-0000-000034700000}"/>
    <cellStyle name="Separador de milhares 5 4 2 2 6" xfId="26543" xr:uid="{00000000-0005-0000-0000-000035700000}"/>
    <cellStyle name="Separador de milhares 5 4 2 3" xfId="22846" xr:uid="{00000000-0005-0000-0000-000036700000}"/>
    <cellStyle name="Separador de milhares 5 4 2 3 2" xfId="23733" xr:uid="{00000000-0005-0000-0000-000037700000}"/>
    <cellStyle name="Separador de milhares 5 4 2 3 2 2" xfId="25509" xr:uid="{00000000-0005-0000-0000-000038700000}"/>
    <cellStyle name="Separador de milhares 5 4 2 3 3" xfId="24621" xr:uid="{00000000-0005-0000-0000-000039700000}"/>
    <cellStyle name="Separador de milhares 5 4 2 4" xfId="22965" xr:uid="{00000000-0005-0000-0000-00003A700000}"/>
    <cellStyle name="Separador de milhares 5 4 2 4 2" xfId="23852" xr:uid="{00000000-0005-0000-0000-00003B700000}"/>
    <cellStyle name="Separador de milhares 5 4 2 4 2 2" xfId="25628" xr:uid="{00000000-0005-0000-0000-00003C700000}"/>
    <cellStyle name="Separador de milhares 5 4 2 4 3" xfId="24740" xr:uid="{00000000-0005-0000-0000-00003D700000}"/>
    <cellStyle name="Separador de milhares 5 4 2 5" xfId="23349" xr:uid="{00000000-0005-0000-0000-00003E700000}"/>
    <cellStyle name="Separador de milhares 5 4 2 5 2" xfId="25125" xr:uid="{00000000-0005-0000-0000-00003F700000}"/>
    <cellStyle name="Separador de milhares 5 4 2 6" xfId="24237" xr:uid="{00000000-0005-0000-0000-000040700000}"/>
    <cellStyle name="Separador de milhares 5 4 2 7" xfId="2422" xr:uid="{00000000-0005-0000-0000-000041700000}"/>
    <cellStyle name="Separador de milhares 5 4 2 8" xfId="26012" xr:uid="{00000000-0005-0000-0000-000042700000}"/>
    <cellStyle name="Separador de milhares 5 4 2 9" xfId="2279" xr:uid="{00000000-0005-0000-0000-000043700000}"/>
    <cellStyle name="Separador de milhares 5 5" xfId="1950" xr:uid="{00000000-0005-0000-0000-000044700000}"/>
    <cellStyle name="Separador de milhares 5 5 10" xfId="26418" xr:uid="{00000000-0005-0000-0000-000045700000}"/>
    <cellStyle name="Separador de milhares 5 5 2" xfId="22545" xr:uid="{00000000-0005-0000-0000-000046700000}"/>
    <cellStyle name="Separador de milhares 5 5 2 2" xfId="23101" xr:uid="{00000000-0005-0000-0000-000047700000}"/>
    <cellStyle name="Separador de milhares 5 5 2 2 2" xfId="23988" xr:uid="{00000000-0005-0000-0000-000048700000}"/>
    <cellStyle name="Separador de milhares 5 5 2 2 2 2" xfId="25764" xr:uid="{00000000-0005-0000-0000-000049700000}"/>
    <cellStyle name="Separador de milhares 5 5 2 2 3" xfId="24876" xr:uid="{00000000-0005-0000-0000-00004A700000}"/>
    <cellStyle name="Separador de milhares 5 5 2 3" xfId="23485" xr:uid="{00000000-0005-0000-0000-00004B700000}"/>
    <cellStyle name="Separador de milhares 5 5 2 3 2" xfId="25261" xr:uid="{00000000-0005-0000-0000-00004C700000}"/>
    <cellStyle name="Separador de milhares 5 5 2 4" xfId="24373" xr:uid="{00000000-0005-0000-0000-00004D700000}"/>
    <cellStyle name="Separador de milhares 5 5 2 5" xfId="26174" xr:uid="{00000000-0005-0000-0000-00004E700000}"/>
    <cellStyle name="Separador de milhares 5 5 2 6" xfId="26544" xr:uid="{00000000-0005-0000-0000-00004F700000}"/>
    <cellStyle name="Separador de milhares 5 5 3" xfId="22842" xr:uid="{00000000-0005-0000-0000-000050700000}"/>
    <cellStyle name="Separador de milhares 5 5 3 2" xfId="23729" xr:uid="{00000000-0005-0000-0000-000051700000}"/>
    <cellStyle name="Separador de milhares 5 5 3 2 2" xfId="25505" xr:uid="{00000000-0005-0000-0000-000052700000}"/>
    <cellStyle name="Separador de milhares 5 5 3 3" xfId="24617" xr:uid="{00000000-0005-0000-0000-000053700000}"/>
    <cellStyle name="Separador de milhares 5 5 4" xfId="22961" xr:uid="{00000000-0005-0000-0000-000054700000}"/>
    <cellStyle name="Separador de milhares 5 5 4 2" xfId="23848" xr:uid="{00000000-0005-0000-0000-000055700000}"/>
    <cellStyle name="Separador de milhares 5 5 4 2 2" xfId="25624" xr:uid="{00000000-0005-0000-0000-000056700000}"/>
    <cellStyle name="Separador de milhares 5 5 4 3" xfId="24736" xr:uid="{00000000-0005-0000-0000-000057700000}"/>
    <cellStyle name="Separador de milhares 5 5 5" xfId="23345" xr:uid="{00000000-0005-0000-0000-000058700000}"/>
    <cellStyle name="Separador de milhares 5 5 5 2" xfId="25121" xr:uid="{00000000-0005-0000-0000-000059700000}"/>
    <cellStyle name="Separador de milhares 5 5 6" xfId="24233" xr:uid="{00000000-0005-0000-0000-00005A700000}"/>
    <cellStyle name="Separador de milhares 5 5 7" xfId="2418" xr:uid="{00000000-0005-0000-0000-00005B700000}"/>
    <cellStyle name="Separador de milhares 5 5 8" xfId="26013" xr:uid="{00000000-0005-0000-0000-00005C700000}"/>
    <cellStyle name="Separador de milhares 5 5 9" xfId="2275" xr:uid="{00000000-0005-0000-0000-00005D700000}"/>
    <cellStyle name="Separador de milhares 5 6" xfId="1951" xr:uid="{00000000-0005-0000-0000-00005E700000}"/>
    <cellStyle name="Separador de milhares 5 6 2" xfId="22584" xr:uid="{00000000-0005-0000-0000-00005F700000}"/>
    <cellStyle name="Separador de milhares 5 6 2 2" xfId="23140" xr:uid="{00000000-0005-0000-0000-000060700000}"/>
    <cellStyle name="Separador de milhares 5 6 2 2 2" xfId="24027" xr:uid="{00000000-0005-0000-0000-000061700000}"/>
    <cellStyle name="Separador de milhares 5 6 2 2 2 2" xfId="25803" xr:uid="{00000000-0005-0000-0000-000062700000}"/>
    <cellStyle name="Separador de milhares 5 6 2 2 3" xfId="24915" xr:uid="{00000000-0005-0000-0000-000063700000}"/>
    <cellStyle name="Separador de milhares 5 6 2 3" xfId="23524" xr:uid="{00000000-0005-0000-0000-000064700000}"/>
    <cellStyle name="Separador de milhares 5 6 2 3 2" xfId="25300" xr:uid="{00000000-0005-0000-0000-000065700000}"/>
    <cellStyle name="Separador de milhares 5 6 2 4" xfId="24412" xr:uid="{00000000-0005-0000-0000-000066700000}"/>
    <cellStyle name="Separador de milhares 5 6 3" xfId="22985" xr:uid="{00000000-0005-0000-0000-000067700000}"/>
    <cellStyle name="Separador de milhares 5 6 3 2" xfId="23872" xr:uid="{00000000-0005-0000-0000-000068700000}"/>
    <cellStyle name="Separador de milhares 5 6 3 2 2" xfId="25648" xr:uid="{00000000-0005-0000-0000-000069700000}"/>
    <cellStyle name="Separador de milhares 5 6 3 3" xfId="24760" xr:uid="{00000000-0005-0000-0000-00006A700000}"/>
    <cellStyle name="Separador de milhares 5 6 4" xfId="23369" xr:uid="{00000000-0005-0000-0000-00006B700000}"/>
    <cellStyle name="Separador de milhares 5 6 4 2" xfId="25145" xr:uid="{00000000-0005-0000-0000-00006C700000}"/>
    <cellStyle name="Separador de milhares 5 6 5" xfId="24257" xr:uid="{00000000-0005-0000-0000-00006D700000}"/>
    <cellStyle name="Separador de milhares 5 6 6" xfId="26048" xr:uid="{00000000-0005-0000-0000-00006E700000}"/>
    <cellStyle name="Separador de milhares 5 6 7" xfId="2475" xr:uid="{00000000-0005-0000-0000-00006F700000}"/>
    <cellStyle name="Separador de milhares 5 6 8" xfId="26438" xr:uid="{00000000-0005-0000-0000-000070700000}"/>
    <cellStyle name="Separador de milhares 6" xfId="57" xr:uid="{00000000-0005-0000-0000-000071700000}"/>
    <cellStyle name="Separador de milhares 6 2" xfId="1952" xr:uid="{00000000-0005-0000-0000-000072700000}"/>
    <cellStyle name="Separador de milhares 6 2 2" xfId="1953" xr:uid="{00000000-0005-0000-0000-000073700000}"/>
    <cellStyle name="Separador de milhares 6 2 2 10" xfId="26419" xr:uid="{00000000-0005-0000-0000-000074700000}"/>
    <cellStyle name="Separador de milhares 6 2 2 2" xfId="22551" xr:uid="{00000000-0005-0000-0000-000075700000}"/>
    <cellStyle name="Separador de milhares 6 2 2 2 2" xfId="23107" xr:uid="{00000000-0005-0000-0000-000076700000}"/>
    <cellStyle name="Separador de milhares 6 2 2 2 2 2" xfId="23994" xr:uid="{00000000-0005-0000-0000-000077700000}"/>
    <cellStyle name="Separador de milhares 6 2 2 2 2 2 2" xfId="25770" xr:uid="{00000000-0005-0000-0000-000078700000}"/>
    <cellStyle name="Separador de milhares 6 2 2 2 2 3" xfId="24882" xr:uid="{00000000-0005-0000-0000-000079700000}"/>
    <cellStyle name="Separador de milhares 6 2 2 2 3" xfId="23491" xr:uid="{00000000-0005-0000-0000-00007A700000}"/>
    <cellStyle name="Separador de milhares 6 2 2 2 3 2" xfId="25267" xr:uid="{00000000-0005-0000-0000-00007B700000}"/>
    <cellStyle name="Separador de milhares 6 2 2 2 4" xfId="24379" xr:uid="{00000000-0005-0000-0000-00007C700000}"/>
    <cellStyle name="Separador de milhares 6 2 2 2 5" xfId="26175" xr:uid="{00000000-0005-0000-0000-00007D700000}"/>
    <cellStyle name="Separador de milhares 6 2 2 2 6" xfId="26545" xr:uid="{00000000-0005-0000-0000-00007E700000}"/>
    <cellStyle name="Separador de milhares 6 2 2 3" xfId="22848" xr:uid="{00000000-0005-0000-0000-00007F700000}"/>
    <cellStyle name="Separador de milhares 6 2 2 3 2" xfId="23735" xr:uid="{00000000-0005-0000-0000-000080700000}"/>
    <cellStyle name="Separador de milhares 6 2 2 3 2 2" xfId="25511" xr:uid="{00000000-0005-0000-0000-000081700000}"/>
    <cellStyle name="Separador de milhares 6 2 2 3 3" xfId="24623" xr:uid="{00000000-0005-0000-0000-000082700000}"/>
    <cellStyle name="Separador de milhares 6 2 2 4" xfId="22967" xr:uid="{00000000-0005-0000-0000-000083700000}"/>
    <cellStyle name="Separador de milhares 6 2 2 4 2" xfId="23854" xr:uid="{00000000-0005-0000-0000-000084700000}"/>
    <cellStyle name="Separador de milhares 6 2 2 4 2 2" xfId="25630" xr:uid="{00000000-0005-0000-0000-000085700000}"/>
    <cellStyle name="Separador de milhares 6 2 2 4 3" xfId="24742" xr:uid="{00000000-0005-0000-0000-000086700000}"/>
    <cellStyle name="Separador de milhares 6 2 2 5" xfId="23351" xr:uid="{00000000-0005-0000-0000-000087700000}"/>
    <cellStyle name="Separador de milhares 6 2 2 5 2" xfId="25127" xr:uid="{00000000-0005-0000-0000-000088700000}"/>
    <cellStyle name="Separador de milhares 6 2 2 6" xfId="24239" xr:uid="{00000000-0005-0000-0000-000089700000}"/>
    <cellStyle name="Separador de milhares 6 2 2 7" xfId="2424" xr:uid="{00000000-0005-0000-0000-00008A700000}"/>
    <cellStyle name="Separador de milhares 6 2 2 8" xfId="26014" xr:uid="{00000000-0005-0000-0000-00008B700000}"/>
    <cellStyle name="Separador de milhares 6 2 2 9" xfId="2281" xr:uid="{00000000-0005-0000-0000-00008C700000}"/>
    <cellStyle name="Separador de milhares 6 3" xfId="1954" xr:uid="{00000000-0005-0000-0000-00008D700000}"/>
    <cellStyle name="Separador de milhares 6 3 2" xfId="1955" xr:uid="{00000000-0005-0000-0000-00008E700000}"/>
    <cellStyle name="Separador de milhares 6 3 2 10" xfId="26021" xr:uid="{00000000-0005-0000-0000-00008F700000}"/>
    <cellStyle name="Separador de milhares 6 3 2 11" xfId="2280" xr:uid="{00000000-0005-0000-0000-000090700000}"/>
    <cellStyle name="Separador de milhares 6 3 2 12" xfId="26426" xr:uid="{00000000-0005-0000-0000-000091700000}"/>
    <cellStyle name="Separador de milhares 6 3 2 2" xfId="1956" xr:uid="{00000000-0005-0000-0000-000092700000}"/>
    <cellStyle name="Separador de milhares 6 3 2 2 2" xfId="8774" xr:uid="{00000000-0005-0000-0000-000093700000}"/>
    <cellStyle name="Separador de milhares 6 3 2 2 2 2" xfId="22640" xr:uid="{00000000-0005-0000-0000-000094700000}"/>
    <cellStyle name="Separador de milhares 6 3 2 2 2 2 2" xfId="23196" xr:uid="{00000000-0005-0000-0000-000095700000}"/>
    <cellStyle name="Separador de milhares 6 3 2 2 2 2 2 2" xfId="24083" xr:uid="{00000000-0005-0000-0000-000096700000}"/>
    <cellStyle name="Separador de milhares 6 3 2 2 2 2 2 2 2" xfId="25859" xr:uid="{00000000-0005-0000-0000-000097700000}"/>
    <cellStyle name="Separador de milhares 6 3 2 2 2 2 2 3" xfId="24971" xr:uid="{00000000-0005-0000-0000-000098700000}"/>
    <cellStyle name="Separador de milhares 6 3 2 2 2 2 3" xfId="23580" xr:uid="{00000000-0005-0000-0000-000099700000}"/>
    <cellStyle name="Separador de milhares 6 3 2 2 2 2 3 2" xfId="25356" xr:uid="{00000000-0005-0000-0000-00009A700000}"/>
    <cellStyle name="Separador de milhares 6 3 2 2 2 2 4" xfId="24468" xr:uid="{00000000-0005-0000-0000-00009B700000}"/>
    <cellStyle name="Separador de milhares 6 3 2 2 3" xfId="2630" xr:uid="{00000000-0005-0000-0000-00009C700000}"/>
    <cellStyle name="Separador de milhares 6 3 2 2 3 2" xfId="22634" xr:uid="{00000000-0005-0000-0000-00009D700000}"/>
    <cellStyle name="Separador de milhares 6 3 2 2 3 2 2" xfId="23190" xr:uid="{00000000-0005-0000-0000-00009E700000}"/>
    <cellStyle name="Separador de milhares 6 3 2 2 3 2 2 2" xfId="24077" xr:uid="{00000000-0005-0000-0000-00009F700000}"/>
    <cellStyle name="Separador de milhares 6 3 2 2 3 2 2 2 2" xfId="25853" xr:uid="{00000000-0005-0000-0000-0000A0700000}"/>
    <cellStyle name="Separador de milhares 6 3 2 2 3 2 2 3" xfId="24965" xr:uid="{00000000-0005-0000-0000-0000A1700000}"/>
    <cellStyle name="Separador de milhares 6 3 2 2 3 2 3" xfId="23574" xr:uid="{00000000-0005-0000-0000-0000A2700000}"/>
    <cellStyle name="Separador de milhares 6 3 2 2 3 2 3 2" xfId="25350" xr:uid="{00000000-0005-0000-0000-0000A3700000}"/>
    <cellStyle name="Separador de milhares 6 3 2 2 3 2 4" xfId="24462" xr:uid="{00000000-0005-0000-0000-0000A4700000}"/>
    <cellStyle name="Separador de milhares 6 3 2 2 3 3" xfId="22988" xr:uid="{00000000-0005-0000-0000-0000A5700000}"/>
    <cellStyle name="Separador de milhares 6 3 2 2 3 3 2" xfId="23875" xr:uid="{00000000-0005-0000-0000-0000A6700000}"/>
    <cellStyle name="Separador de milhares 6 3 2 2 3 3 2 2" xfId="25651" xr:uid="{00000000-0005-0000-0000-0000A7700000}"/>
    <cellStyle name="Separador de milhares 6 3 2 2 3 3 3" xfId="24763" xr:uid="{00000000-0005-0000-0000-0000A8700000}"/>
    <cellStyle name="Separador de milhares 6 3 2 2 3 4" xfId="23372" xr:uid="{00000000-0005-0000-0000-0000A9700000}"/>
    <cellStyle name="Separador de milhares 6 3 2 2 3 4 2" xfId="25148" xr:uid="{00000000-0005-0000-0000-0000AA700000}"/>
    <cellStyle name="Separador de milhares 6 3 2 2 3 5" xfId="24260" xr:uid="{00000000-0005-0000-0000-0000AB700000}"/>
    <cellStyle name="Separador de milhares 6 3 2 2 4" xfId="2477" xr:uid="{00000000-0005-0000-0000-0000AC700000}"/>
    <cellStyle name="Separador de milhares 6 3 2 3" xfId="2610" xr:uid="{00000000-0005-0000-0000-0000AD700000}"/>
    <cellStyle name="Separador de milhares 6 3 2 3 2" xfId="22631" xr:uid="{00000000-0005-0000-0000-0000AE700000}"/>
    <cellStyle name="Separador de milhares 6 3 2 3 2 2" xfId="23187" xr:uid="{00000000-0005-0000-0000-0000AF700000}"/>
    <cellStyle name="Separador de milhares 6 3 2 3 2 2 2" xfId="24074" xr:uid="{00000000-0005-0000-0000-0000B0700000}"/>
    <cellStyle name="Separador de milhares 6 3 2 3 2 2 2 2" xfId="25850" xr:uid="{00000000-0005-0000-0000-0000B1700000}"/>
    <cellStyle name="Separador de milhares 6 3 2 3 2 2 3" xfId="24962" xr:uid="{00000000-0005-0000-0000-0000B2700000}"/>
    <cellStyle name="Separador de milhares 6 3 2 3 2 3" xfId="23571" xr:uid="{00000000-0005-0000-0000-0000B3700000}"/>
    <cellStyle name="Separador de milhares 6 3 2 3 2 3 2" xfId="25347" xr:uid="{00000000-0005-0000-0000-0000B4700000}"/>
    <cellStyle name="Separador de milhares 6 3 2 3 2 4" xfId="24459" xr:uid="{00000000-0005-0000-0000-0000B5700000}"/>
    <cellStyle name="Separador de milhares 6 3 2 4" xfId="22550" xr:uid="{00000000-0005-0000-0000-0000B6700000}"/>
    <cellStyle name="Separador de milhares 6 3 2 4 2" xfId="23106" xr:uid="{00000000-0005-0000-0000-0000B7700000}"/>
    <cellStyle name="Separador de milhares 6 3 2 4 2 2" xfId="23993" xr:uid="{00000000-0005-0000-0000-0000B8700000}"/>
    <cellStyle name="Separador de milhares 6 3 2 4 2 2 2" xfId="25769" xr:uid="{00000000-0005-0000-0000-0000B9700000}"/>
    <cellStyle name="Separador de milhares 6 3 2 4 2 3" xfId="24881" xr:uid="{00000000-0005-0000-0000-0000BA700000}"/>
    <cellStyle name="Separador de milhares 6 3 2 4 3" xfId="23490" xr:uid="{00000000-0005-0000-0000-0000BB700000}"/>
    <cellStyle name="Separador de milhares 6 3 2 4 3 2" xfId="25266" xr:uid="{00000000-0005-0000-0000-0000BC700000}"/>
    <cellStyle name="Separador de milhares 6 3 2 4 4" xfId="24378" xr:uid="{00000000-0005-0000-0000-0000BD700000}"/>
    <cellStyle name="Separador de milhares 6 3 2 5" xfId="22847" xr:uid="{00000000-0005-0000-0000-0000BE700000}"/>
    <cellStyle name="Separador de milhares 6 3 2 5 2" xfId="23734" xr:uid="{00000000-0005-0000-0000-0000BF700000}"/>
    <cellStyle name="Separador de milhares 6 3 2 5 2 2" xfId="25510" xr:uid="{00000000-0005-0000-0000-0000C0700000}"/>
    <cellStyle name="Separador de milhares 6 3 2 5 3" xfId="24622" xr:uid="{00000000-0005-0000-0000-0000C1700000}"/>
    <cellStyle name="Separador de milhares 6 3 2 6" xfId="22966" xr:uid="{00000000-0005-0000-0000-0000C2700000}"/>
    <cellStyle name="Separador de milhares 6 3 2 6 2" xfId="23853" xr:uid="{00000000-0005-0000-0000-0000C3700000}"/>
    <cellStyle name="Separador de milhares 6 3 2 6 2 2" xfId="25629" xr:uid="{00000000-0005-0000-0000-0000C4700000}"/>
    <cellStyle name="Separador de milhares 6 3 2 6 3" xfId="24741" xr:uid="{00000000-0005-0000-0000-0000C5700000}"/>
    <cellStyle name="Separador de milhares 6 3 2 7" xfId="23350" xr:uid="{00000000-0005-0000-0000-0000C6700000}"/>
    <cellStyle name="Separador de milhares 6 3 2 7 2" xfId="25126" xr:uid="{00000000-0005-0000-0000-0000C7700000}"/>
    <cellStyle name="Separador de milhares 6 3 2 8" xfId="24238" xr:uid="{00000000-0005-0000-0000-0000C8700000}"/>
    <cellStyle name="Separador de milhares 6 3 2 9" xfId="2423" xr:uid="{00000000-0005-0000-0000-0000C9700000}"/>
    <cellStyle name="Separador de milhares 6 3 3" xfId="1957" xr:uid="{00000000-0005-0000-0000-0000CA700000}"/>
    <cellStyle name="Separador de milhares 6 3 3 2" xfId="22614" xr:uid="{00000000-0005-0000-0000-0000CB700000}"/>
    <cellStyle name="Separador de milhares 6 3 3 2 2" xfId="23170" xr:uid="{00000000-0005-0000-0000-0000CC700000}"/>
    <cellStyle name="Separador de milhares 6 3 3 2 2 2" xfId="24057" xr:uid="{00000000-0005-0000-0000-0000CD700000}"/>
    <cellStyle name="Separador de milhares 6 3 3 2 2 2 2" xfId="25833" xr:uid="{00000000-0005-0000-0000-0000CE700000}"/>
    <cellStyle name="Separador de milhares 6 3 3 2 2 3" xfId="24945" xr:uid="{00000000-0005-0000-0000-0000CF700000}"/>
    <cellStyle name="Separador de milhares 6 3 3 2 3" xfId="23554" xr:uid="{00000000-0005-0000-0000-0000D0700000}"/>
    <cellStyle name="Separador de milhares 6 3 3 2 3 2" xfId="25330" xr:uid="{00000000-0005-0000-0000-0000D1700000}"/>
    <cellStyle name="Separador de milhares 6 3 3 2 4" xfId="24442" xr:uid="{00000000-0005-0000-0000-0000D2700000}"/>
    <cellStyle name="Separador de milhares 6 3 3 3" xfId="2565" xr:uid="{00000000-0005-0000-0000-0000D3700000}"/>
    <cellStyle name="Separador de milhares 7" xfId="1958" xr:uid="{00000000-0005-0000-0000-0000D4700000}"/>
    <cellStyle name="Separador de milhares 7 2" xfId="1959" xr:uid="{00000000-0005-0000-0000-0000D5700000}"/>
    <cellStyle name="Separador de milhares 7 2 2" xfId="1960" xr:uid="{00000000-0005-0000-0000-0000D6700000}"/>
    <cellStyle name="Separador de milhares 7 2 2 10" xfId="26420" xr:uid="{00000000-0005-0000-0000-0000D7700000}"/>
    <cellStyle name="Separador de milhares 7 2 2 2" xfId="22553" xr:uid="{00000000-0005-0000-0000-0000D8700000}"/>
    <cellStyle name="Separador de milhares 7 2 2 2 2" xfId="23109" xr:uid="{00000000-0005-0000-0000-0000D9700000}"/>
    <cellStyle name="Separador de milhares 7 2 2 2 2 2" xfId="23996" xr:uid="{00000000-0005-0000-0000-0000DA700000}"/>
    <cellStyle name="Separador de milhares 7 2 2 2 2 2 2" xfId="25772" xr:uid="{00000000-0005-0000-0000-0000DB700000}"/>
    <cellStyle name="Separador de milhares 7 2 2 2 2 3" xfId="24884" xr:uid="{00000000-0005-0000-0000-0000DC700000}"/>
    <cellStyle name="Separador de milhares 7 2 2 2 3" xfId="23493" xr:uid="{00000000-0005-0000-0000-0000DD700000}"/>
    <cellStyle name="Separador de milhares 7 2 2 2 3 2" xfId="25269" xr:uid="{00000000-0005-0000-0000-0000DE700000}"/>
    <cellStyle name="Separador de milhares 7 2 2 2 4" xfId="24381" xr:uid="{00000000-0005-0000-0000-0000DF700000}"/>
    <cellStyle name="Separador de milhares 7 2 2 2 5" xfId="26176" xr:uid="{00000000-0005-0000-0000-0000E0700000}"/>
    <cellStyle name="Separador de milhares 7 2 2 2 6" xfId="26546" xr:uid="{00000000-0005-0000-0000-0000E1700000}"/>
    <cellStyle name="Separador de milhares 7 2 2 3" xfId="22850" xr:uid="{00000000-0005-0000-0000-0000E2700000}"/>
    <cellStyle name="Separador de milhares 7 2 2 3 2" xfId="23737" xr:uid="{00000000-0005-0000-0000-0000E3700000}"/>
    <cellStyle name="Separador de milhares 7 2 2 3 2 2" xfId="25513" xr:uid="{00000000-0005-0000-0000-0000E4700000}"/>
    <cellStyle name="Separador de milhares 7 2 2 3 3" xfId="24625" xr:uid="{00000000-0005-0000-0000-0000E5700000}"/>
    <cellStyle name="Separador de milhares 7 2 2 4" xfId="22969" xr:uid="{00000000-0005-0000-0000-0000E6700000}"/>
    <cellStyle name="Separador de milhares 7 2 2 4 2" xfId="23856" xr:uid="{00000000-0005-0000-0000-0000E7700000}"/>
    <cellStyle name="Separador de milhares 7 2 2 4 2 2" xfId="25632" xr:uid="{00000000-0005-0000-0000-0000E8700000}"/>
    <cellStyle name="Separador de milhares 7 2 2 4 3" xfId="24744" xr:uid="{00000000-0005-0000-0000-0000E9700000}"/>
    <cellStyle name="Separador de milhares 7 2 2 5" xfId="23353" xr:uid="{00000000-0005-0000-0000-0000EA700000}"/>
    <cellStyle name="Separador de milhares 7 2 2 5 2" xfId="25129" xr:uid="{00000000-0005-0000-0000-0000EB700000}"/>
    <cellStyle name="Separador de milhares 7 2 2 6" xfId="24241" xr:uid="{00000000-0005-0000-0000-0000EC700000}"/>
    <cellStyle name="Separador de milhares 7 2 2 7" xfId="2426" xr:uid="{00000000-0005-0000-0000-0000ED700000}"/>
    <cellStyle name="Separador de milhares 7 2 2 8" xfId="26015" xr:uid="{00000000-0005-0000-0000-0000EE700000}"/>
    <cellStyle name="Separador de milhares 7 2 2 9" xfId="2283" xr:uid="{00000000-0005-0000-0000-0000EF700000}"/>
    <cellStyle name="Separador de milhares 7 3" xfId="1961" xr:uid="{00000000-0005-0000-0000-0000F0700000}"/>
    <cellStyle name="Separador de milhares 7 3 10" xfId="2282" xr:uid="{00000000-0005-0000-0000-0000F1700000}"/>
    <cellStyle name="Separador de milhares 7 3 11" xfId="26421" xr:uid="{00000000-0005-0000-0000-0000F2700000}"/>
    <cellStyle name="Separador de milhares 7 3 2" xfId="1962" xr:uid="{00000000-0005-0000-0000-0000F3700000}"/>
    <cellStyle name="Separador de milhares 7 3 2 2" xfId="22570" xr:uid="{00000000-0005-0000-0000-0000F4700000}"/>
    <cellStyle name="Separador de milhares 7 3 2 2 2" xfId="23126" xr:uid="{00000000-0005-0000-0000-0000F5700000}"/>
    <cellStyle name="Separador de milhares 7 3 2 2 2 2" xfId="24013" xr:uid="{00000000-0005-0000-0000-0000F6700000}"/>
    <cellStyle name="Separador de milhares 7 3 2 2 2 2 2" xfId="25789" xr:uid="{00000000-0005-0000-0000-0000F7700000}"/>
    <cellStyle name="Separador de milhares 7 3 2 2 2 3" xfId="24901" xr:uid="{00000000-0005-0000-0000-0000F8700000}"/>
    <cellStyle name="Separador de milhares 7 3 2 2 3" xfId="23510" xr:uid="{00000000-0005-0000-0000-0000F9700000}"/>
    <cellStyle name="Separador de milhares 7 3 2 2 3 2" xfId="25286" xr:uid="{00000000-0005-0000-0000-0000FA700000}"/>
    <cellStyle name="Separador de milhares 7 3 2 2 4" xfId="24398" xr:uid="{00000000-0005-0000-0000-0000FB700000}"/>
    <cellStyle name="Separador de milhares 7 3 2 3" xfId="26177" xr:uid="{00000000-0005-0000-0000-0000FC700000}"/>
    <cellStyle name="Separador de milhares 7 3 2 4" xfId="2459" xr:uid="{00000000-0005-0000-0000-0000FD700000}"/>
    <cellStyle name="Separador de milhares 7 3 2 5" xfId="26547" xr:uid="{00000000-0005-0000-0000-0000FE700000}"/>
    <cellStyle name="Separador de milhares 7 3 3" xfId="22552" xr:uid="{00000000-0005-0000-0000-0000FF700000}"/>
    <cellStyle name="Separador de milhares 7 3 3 2" xfId="23108" xr:uid="{00000000-0005-0000-0000-000000710000}"/>
    <cellStyle name="Separador de milhares 7 3 3 2 2" xfId="23995" xr:uid="{00000000-0005-0000-0000-000001710000}"/>
    <cellStyle name="Separador de milhares 7 3 3 2 2 2" xfId="25771" xr:uid="{00000000-0005-0000-0000-000002710000}"/>
    <cellStyle name="Separador de milhares 7 3 3 2 3" xfId="24883" xr:uid="{00000000-0005-0000-0000-000003710000}"/>
    <cellStyle name="Separador de milhares 7 3 3 3" xfId="23492" xr:uid="{00000000-0005-0000-0000-000004710000}"/>
    <cellStyle name="Separador de milhares 7 3 3 3 2" xfId="25268" xr:uid="{00000000-0005-0000-0000-000005710000}"/>
    <cellStyle name="Separador de milhares 7 3 3 4" xfId="24380" xr:uid="{00000000-0005-0000-0000-000006710000}"/>
    <cellStyle name="Separador de milhares 7 3 4" xfId="22849" xr:uid="{00000000-0005-0000-0000-000007710000}"/>
    <cellStyle name="Separador de milhares 7 3 4 2" xfId="23736" xr:uid="{00000000-0005-0000-0000-000008710000}"/>
    <cellStyle name="Separador de milhares 7 3 4 2 2" xfId="25512" xr:uid="{00000000-0005-0000-0000-000009710000}"/>
    <cellStyle name="Separador de milhares 7 3 4 3" xfId="24624" xr:uid="{00000000-0005-0000-0000-00000A710000}"/>
    <cellStyle name="Separador de milhares 7 3 5" xfId="22968" xr:uid="{00000000-0005-0000-0000-00000B710000}"/>
    <cellStyle name="Separador de milhares 7 3 5 2" xfId="23855" xr:uid="{00000000-0005-0000-0000-00000C710000}"/>
    <cellStyle name="Separador de milhares 7 3 5 2 2" xfId="25631" xr:uid="{00000000-0005-0000-0000-00000D710000}"/>
    <cellStyle name="Separador de milhares 7 3 5 3" xfId="24743" xr:uid="{00000000-0005-0000-0000-00000E710000}"/>
    <cellStyle name="Separador de milhares 7 3 6" xfId="23352" xr:uid="{00000000-0005-0000-0000-00000F710000}"/>
    <cellStyle name="Separador de milhares 7 3 6 2" xfId="25128" xr:uid="{00000000-0005-0000-0000-000010710000}"/>
    <cellStyle name="Separador de milhares 7 3 7" xfId="24240" xr:uid="{00000000-0005-0000-0000-000011710000}"/>
    <cellStyle name="Separador de milhares 7 3 8" xfId="2425" xr:uid="{00000000-0005-0000-0000-000012710000}"/>
    <cellStyle name="Separador de milhares 7 3 9" xfId="26016" xr:uid="{00000000-0005-0000-0000-000013710000}"/>
    <cellStyle name="Separador de milhares 7 4" xfId="1963" xr:uid="{00000000-0005-0000-0000-000014710000}"/>
    <cellStyle name="Separador de milhares 7 4 10" xfId="22452" xr:uid="{00000000-0005-0000-0000-000015710000}"/>
    <cellStyle name="Separador de milhares 7 4 10 2" xfId="23008" xr:uid="{00000000-0005-0000-0000-000016710000}"/>
    <cellStyle name="Separador de milhares 7 4 10 2 2" xfId="23895" xr:uid="{00000000-0005-0000-0000-000017710000}"/>
    <cellStyle name="Separador de milhares 7 4 10 2 2 2" xfId="25671" xr:uid="{00000000-0005-0000-0000-000018710000}"/>
    <cellStyle name="Separador de milhares 7 4 10 2 3" xfId="24783" xr:uid="{00000000-0005-0000-0000-000019710000}"/>
    <cellStyle name="Separador de milhares 7 4 10 3" xfId="23392" xr:uid="{00000000-0005-0000-0000-00001A710000}"/>
    <cellStyle name="Separador de milhares 7 4 10 3 2" xfId="25168" xr:uid="{00000000-0005-0000-0000-00001B710000}"/>
    <cellStyle name="Separador de milhares 7 4 10 4" xfId="24280" xr:uid="{00000000-0005-0000-0000-00001C710000}"/>
    <cellStyle name="Separador de milhares 7 4 11" xfId="2324" xr:uid="{00000000-0005-0000-0000-00001D710000}"/>
    <cellStyle name="Separador de milhares 7 4 12" xfId="26046" xr:uid="{00000000-0005-0000-0000-00001E710000}"/>
    <cellStyle name="Separador de milhares 7 4 13" xfId="2182" xr:uid="{00000000-0005-0000-0000-00001F710000}"/>
    <cellStyle name="Separador de milhares 7 4 2" xfId="1964" xr:uid="{00000000-0005-0000-0000-000020710000}"/>
    <cellStyle name="Separador de milhares 7 4 2 2" xfId="2583" xr:uid="{00000000-0005-0000-0000-000021710000}"/>
    <cellStyle name="Separador de milhares 7 4 2 2 2" xfId="22435" xr:uid="{00000000-0005-0000-0000-000022710000}"/>
    <cellStyle name="Separador de milhares 7 4 2 2 2 2" xfId="22709" xr:uid="{00000000-0005-0000-0000-000023710000}"/>
    <cellStyle name="Separador de milhares 7 4 2 2 2 2 2" xfId="23242" xr:uid="{00000000-0005-0000-0000-000024710000}"/>
    <cellStyle name="Separador de milhares 7 4 2 2 2 2 2 2" xfId="24129" xr:uid="{00000000-0005-0000-0000-000025710000}"/>
    <cellStyle name="Separador de milhares 7 4 2 2 2 2 2 2 2" xfId="25905" xr:uid="{00000000-0005-0000-0000-000026710000}"/>
    <cellStyle name="Separador de milhares 7 4 2 2 2 2 2 3" xfId="25017" xr:uid="{00000000-0005-0000-0000-000027710000}"/>
    <cellStyle name="Separador de milhares 7 4 2 2 2 2 3" xfId="23626" xr:uid="{00000000-0005-0000-0000-000028710000}"/>
    <cellStyle name="Separador de milhares 7 4 2 2 2 2 3 2" xfId="25402" xr:uid="{00000000-0005-0000-0000-000029710000}"/>
    <cellStyle name="Separador de milhares 7 4 2 2 2 2 4" xfId="24514" xr:uid="{00000000-0005-0000-0000-00002A710000}"/>
    <cellStyle name="Separador de milhares 7 4 2 2 3" xfId="22622" xr:uid="{00000000-0005-0000-0000-00002B710000}"/>
    <cellStyle name="Separador de milhares 7 4 2 2 3 2" xfId="23178" xr:uid="{00000000-0005-0000-0000-00002C710000}"/>
    <cellStyle name="Separador de milhares 7 4 2 2 3 2 2" xfId="24065" xr:uid="{00000000-0005-0000-0000-00002D710000}"/>
    <cellStyle name="Separador de milhares 7 4 2 2 3 2 2 2" xfId="25841" xr:uid="{00000000-0005-0000-0000-00002E710000}"/>
    <cellStyle name="Separador de milhares 7 4 2 2 3 2 3" xfId="24953" xr:uid="{00000000-0005-0000-0000-00002F710000}"/>
    <cellStyle name="Separador de milhares 7 4 2 2 3 3" xfId="23562" xr:uid="{00000000-0005-0000-0000-000030710000}"/>
    <cellStyle name="Separador de milhares 7 4 2 2 3 3 2" xfId="25338" xr:uid="{00000000-0005-0000-0000-000031710000}"/>
    <cellStyle name="Separador de milhares 7 4 2 2 3 4" xfId="24450" xr:uid="{00000000-0005-0000-0000-000032710000}"/>
    <cellStyle name="Separador de milhares 7 4 2 3" xfId="22568" xr:uid="{00000000-0005-0000-0000-000033710000}"/>
    <cellStyle name="Separador de milhares 7 4 2 3 2" xfId="23124" xr:uid="{00000000-0005-0000-0000-000034710000}"/>
    <cellStyle name="Separador de milhares 7 4 2 3 2 2" xfId="24011" xr:uid="{00000000-0005-0000-0000-000035710000}"/>
    <cellStyle name="Separador de milhares 7 4 2 3 2 2 2" xfId="25787" xr:uid="{00000000-0005-0000-0000-000036710000}"/>
    <cellStyle name="Separador de milhares 7 4 2 3 2 3" xfId="24899" xr:uid="{00000000-0005-0000-0000-000037710000}"/>
    <cellStyle name="Separador de milhares 7 4 2 3 3" xfId="23508" xr:uid="{00000000-0005-0000-0000-000038710000}"/>
    <cellStyle name="Separador de milhares 7 4 2 3 3 2" xfId="25284" xr:uid="{00000000-0005-0000-0000-000039710000}"/>
    <cellStyle name="Separador de milhares 7 4 2 3 4" xfId="24396" xr:uid="{00000000-0005-0000-0000-00003A710000}"/>
    <cellStyle name="Separador de milhares 7 4 2 4" xfId="2457" xr:uid="{00000000-0005-0000-0000-00003B710000}"/>
    <cellStyle name="Separador de milhares 7 4 3" xfId="2516" xr:uid="{00000000-0005-0000-0000-00003C710000}"/>
    <cellStyle name="Separador de milhares 7 4 3 2" xfId="22600" xr:uid="{00000000-0005-0000-0000-00003D710000}"/>
    <cellStyle name="Separador de milhares 7 4 3 2 2" xfId="23156" xr:uid="{00000000-0005-0000-0000-00003E710000}"/>
    <cellStyle name="Separador de milhares 7 4 3 2 2 2" xfId="24043" xr:uid="{00000000-0005-0000-0000-00003F710000}"/>
    <cellStyle name="Separador de milhares 7 4 3 2 2 2 2" xfId="25819" xr:uid="{00000000-0005-0000-0000-000040710000}"/>
    <cellStyle name="Separador de milhares 7 4 3 2 2 3" xfId="24931" xr:uid="{00000000-0005-0000-0000-000041710000}"/>
    <cellStyle name="Separador de milhares 7 4 3 2 3" xfId="23540" xr:uid="{00000000-0005-0000-0000-000042710000}"/>
    <cellStyle name="Separador de milhares 7 4 3 2 3 2" xfId="25316" xr:uid="{00000000-0005-0000-0000-000043710000}"/>
    <cellStyle name="Separador de milhares 7 4 3 2 4" xfId="24428" xr:uid="{00000000-0005-0000-0000-000044710000}"/>
    <cellStyle name="Separador de milhares 7 4 4" xfId="2517" xr:uid="{00000000-0005-0000-0000-000045710000}"/>
    <cellStyle name="Separador de milhares 7 4 4 2" xfId="22601" xr:uid="{00000000-0005-0000-0000-000046710000}"/>
    <cellStyle name="Separador de milhares 7 4 4 2 2" xfId="23157" xr:uid="{00000000-0005-0000-0000-000047710000}"/>
    <cellStyle name="Separador de milhares 7 4 4 2 2 2" xfId="24044" xr:uid="{00000000-0005-0000-0000-000048710000}"/>
    <cellStyle name="Separador de milhares 7 4 4 2 2 2 2" xfId="25820" xr:uid="{00000000-0005-0000-0000-000049710000}"/>
    <cellStyle name="Separador de milhares 7 4 4 2 2 3" xfId="24932" xr:uid="{00000000-0005-0000-0000-00004A710000}"/>
    <cellStyle name="Separador de milhares 7 4 4 2 3" xfId="23541" xr:uid="{00000000-0005-0000-0000-00004B710000}"/>
    <cellStyle name="Separador de milhares 7 4 4 2 3 2" xfId="25317" xr:uid="{00000000-0005-0000-0000-00004C710000}"/>
    <cellStyle name="Separador de milhares 7 4 4 2 4" xfId="24429" xr:uid="{00000000-0005-0000-0000-00004D710000}"/>
    <cellStyle name="Separador de milhares 7 4 5" xfId="2518" xr:uid="{00000000-0005-0000-0000-00004E710000}"/>
    <cellStyle name="Separador de milhares 7 4 5 2" xfId="22602" xr:uid="{00000000-0005-0000-0000-00004F710000}"/>
    <cellStyle name="Separador de milhares 7 4 5 2 2" xfId="23158" xr:uid="{00000000-0005-0000-0000-000050710000}"/>
    <cellStyle name="Separador de milhares 7 4 5 2 2 2" xfId="24045" xr:uid="{00000000-0005-0000-0000-000051710000}"/>
    <cellStyle name="Separador de milhares 7 4 5 2 2 2 2" xfId="25821" xr:uid="{00000000-0005-0000-0000-000052710000}"/>
    <cellStyle name="Separador de milhares 7 4 5 2 2 3" xfId="24933" xr:uid="{00000000-0005-0000-0000-000053710000}"/>
    <cellStyle name="Separador de milhares 7 4 5 2 3" xfId="23542" xr:uid="{00000000-0005-0000-0000-000054710000}"/>
    <cellStyle name="Separador de milhares 7 4 5 2 3 2" xfId="25318" xr:uid="{00000000-0005-0000-0000-000055710000}"/>
    <cellStyle name="Separador de milhares 7 4 5 2 4" xfId="24430" xr:uid="{00000000-0005-0000-0000-000056710000}"/>
    <cellStyle name="Separador de milhares 7 4 6" xfId="2519" xr:uid="{00000000-0005-0000-0000-000057710000}"/>
    <cellStyle name="Separador de milhares 7 4 6 2" xfId="22603" xr:uid="{00000000-0005-0000-0000-000058710000}"/>
    <cellStyle name="Separador de milhares 7 4 6 2 2" xfId="23159" xr:uid="{00000000-0005-0000-0000-000059710000}"/>
    <cellStyle name="Separador de milhares 7 4 6 2 2 2" xfId="24046" xr:uid="{00000000-0005-0000-0000-00005A710000}"/>
    <cellStyle name="Separador de milhares 7 4 6 2 2 2 2" xfId="25822" xr:uid="{00000000-0005-0000-0000-00005B710000}"/>
    <cellStyle name="Separador de milhares 7 4 6 2 2 3" xfId="24934" xr:uid="{00000000-0005-0000-0000-00005C710000}"/>
    <cellStyle name="Separador de milhares 7 4 6 2 3" xfId="23543" xr:uid="{00000000-0005-0000-0000-00005D710000}"/>
    <cellStyle name="Separador de milhares 7 4 6 2 3 2" xfId="25319" xr:uid="{00000000-0005-0000-0000-00005E710000}"/>
    <cellStyle name="Separador de milhares 7 4 6 2 4" xfId="24431" xr:uid="{00000000-0005-0000-0000-00005F710000}"/>
    <cellStyle name="Separador de milhares 7 4 7" xfId="2520" xr:uid="{00000000-0005-0000-0000-000060710000}"/>
    <cellStyle name="Separador de milhares 7 4 7 2" xfId="22604" xr:uid="{00000000-0005-0000-0000-000061710000}"/>
    <cellStyle name="Separador de milhares 7 4 7 2 2" xfId="23160" xr:uid="{00000000-0005-0000-0000-000062710000}"/>
    <cellStyle name="Separador de milhares 7 4 7 2 2 2" xfId="24047" xr:uid="{00000000-0005-0000-0000-000063710000}"/>
    <cellStyle name="Separador de milhares 7 4 7 2 2 2 2" xfId="25823" xr:uid="{00000000-0005-0000-0000-000064710000}"/>
    <cellStyle name="Separador de milhares 7 4 7 2 2 3" xfId="24935" xr:uid="{00000000-0005-0000-0000-000065710000}"/>
    <cellStyle name="Separador de milhares 7 4 7 2 3" xfId="23544" xr:uid="{00000000-0005-0000-0000-000066710000}"/>
    <cellStyle name="Separador de milhares 7 4 7 2 3 2" xfId="25320" xr:uid="{00000000-0005-0000-0000-000067710000}"/>
    <cellStyle name="Separador de milhares 7 4 7 2 4" xfId="24432" xr:uid="{00000000-0005-0000-0000-000068710000}"/>
    <cellStyle name="Separador de milhares 7 4 8" xfId="2521" xr:uid="{00000000-0005-0000-0000-000069710000}"/>
    <cellStyle name="Separador de milhares 7 4 8 2" xfId="22605" xr:uid="{00000000-0005-0000-0000-00006A710000}"/>
    <cellStyle name="Separador de milhares 7 4 8 2 2" xfId="23161" xr:uid="{00000000-0005-0000-0000-00006B710000}"/>
    <cellStyle name="Separador de milhares 7 4 8 2 2 2" xfId="24048" xr:uid="{00000000-0005-0000-0000-00006C710000}"/>
    <cellStyle name="Separador de milhares 7 4 8 2 2 2 2" xfId="25824" xr:uid="{00000000-0005-0000-0000-00006D710000}"/>
    <cellStyle name="Separador de milhares 7 4 8 2 2 3" xfId="24936" xr:uid="{00000000-0005-0000-0000-00006E710000}"/>
    <cellStyle name="Separador de milhares 7 4 8 2 3" xfId="23545" xr:uid="{00000000-0005-0000-0000-00006F710000}"/>
    <cellStyle name="Separador de milhares 7 4 8 2 3 2" xfId="25321" xr:uid="{00000000-0005-0000-0000-000070710000}"/>
    <cellStyle name="Separador de milhares 7 4 8 2 4" xfId="24433" xr:uid="{00000000-0005-0000-0000-000071710000}"/>
    <cellStyle name="Separador de milhares 7 4 9" xfId="22325" xr:uid="{00000000-0005-0000-0000-000072710000}"/>
    <cellStyle name="Separador de milhares 7 4 9 2" xfId="22364" xr:uid="{00000000-0005-0000-0000-000073710000}"/>
    <cellStyle name="Separador de milhares 7 4 9 2 2" xfId="22667" xr:uid="{00000000-0005-0000-0000-000074710000}"/>
    <cellStyle name="Separador de milhares 7 4 9 2 2 2" xfId="23223" xr:uid="{00000000-0005-0000-0000-000075710000}"/>
    <cellStyle name="Separador de milhares 7 4 9 2 2 2 2" xfId="24110" xr:uid="{00000000-0005-0000-0000-000076710000}"/>
    <cellStyle name="Separador de milhares 7 4 9 2 2 2 2 2" xfId="25886" xr:uid="{00000000-0005-0000-0000-000077710000}"/>
    <cellStyle name="Separador de milhares 7 4 9 2 2 2 3" xfId="24998" xr:uid="{00000000-0005-0000-0000-000078710000}"/>
    <cellStyle name="Separador de milhares 7 4 9 2 2 3" xfId="23607" xr:uid="{00000000-0005-0000-0000-000079710000}"/>
    <cellStyle name="Separador de milhares 7 4 9 2 2 3 2" xfId="25383" xr:uid="{00000000-0005-0000-0000-00007A710000}"/>
    <cellStyle name="Separador de milhares 7 4 9 2 2 4" xfId="24495" xr:uid="{00000000-0005-0000-0000-00007B710000}"/>
    <cellStyle name="Separador de milhares 7 4 9 3" xfId="22402" xr:uid="{00000000-0005-0000-0000-00007C710000}"/>
    <cellStyle name="Separador de milhares 7 4 9 3 2" xfId="22676" xr:uid="{00000000-0005-0000-0000-00007D710000}"/>
    <cellStyle name="Separador de milhares 7 4 9 3 2 2" xfId="23232" xr:uid="{00000000-0005-0000-0000-00007E710000}"/>
    <cellStyle name="Separador de milhares 7 4 9 3 2 2 2" xfId="24119" xr:uid="{00000000-0005-0000-0000-00007F710000}"/>
    <cellStyle name="Separador de milhares 7 4 9 3 2 2 2 2" xfId="25895" xr:uid="{00000000-0005-0000-0000-000080710000}"/>
    <cellStyle name="Separador de milhares 7 4 9 3 2 2 3" xfId="25007" xr:uid="{00000000-0005-0000-0000-000081710000}"/>
    <cellStyle name="Separador de milhares 7 4 9 3 2 3" xfId="23616" xr:uid="{00000000-0005-0000-0000-000082710000}"/>
    <cellStyle name="Separador de milhares 7 4 9 3 2 3 2" xfId="25392" xr:uid="{00000000-0005-0000-0000-000083710000}"/>
    <cellStyle name="Separador de milhares 7 4 9 3 2 4" xfId="24504" xr:uid="{00000000-0005-0000-0000-000084710000}"/>
    <cellStyle name="Separador de milhares 7 4 9 4" xfId="22654" xr:uid="{00000000-0005-0000-0000-000085710000}"/>
    <cellStyle name="Separador de milhares 7 4 9 4 2" xfId="23210" xr:uid="{00000000-0005-0000-0000-000086710000}"/>
    <cellStyle name="Separador de milhares 7 4 9 4 2 2" xfId="24097" xr:uid="{00000000-0005-0000-0000-000087710000}"/>
    <cellStyle name="Separador de milhares 7 4 9 4 2 2 2" xfId="25873" xr:uid="{00000000-0005-0000-0000-000088710000}"/>
    <cellStyle name="Separador de milhares 7 4 9 4 2 3" xfId="24985" xr:uid="{00000000-0005-0000-0000-000089710000}"/>
    <cellStyle name="Separador de milhares 7 4 9 4 3" xfId="23594" xr:uid="{00000000-0005-0000-0000-00008A710000}"/>
    <cellStyle name="Separador de milhares 7 4 9 4 3 2" xfId="25370" xr:uid="{00000000-0005-0000-0000-00008B710000}"/>
    <cellStyle name="Separador de milhares 7 4 9 4 4" xfId="24482" xr:uid="{00000000-0005-0000-0000-00008C710000}"/>
    <cellStyle name="Separador de milhares 7 5" xfId="1965" xr:uid="{00000000-0005-0000-0000-00008D710000}"/>
    <cellStyle name="Separador de milhares 7 5 2" xfId="22586" xr:uid="{00000000-0005-0000-0000-00008E710000}"/>
    <cellStyle name="Separador de milhares 7 5 2 2" xfId="23142" xr:uid="{00000000-0005-0000-0000-00008F710000}"/>
    <cellStyle name="Separador de milhares 7 5 2 2 2" xfId="24029" xr:uid="{00000000-0005-0000-0000-000090710000}"/>
    <cellStyle name="Separador de milhares 7 5 2 2 2 2" xfId="25805" xr:uid="{00000000-0005-0000-0000-000091710000}"/>
    <cellStyle name="Separador de milhares 7 5 2 2 3" xfId="24917" xr:uid="{00000000-0005-0000-0000-000092710000}"/>
    <cellStyle name="Separador de milhares 7 5 2 3" xfId="23526" xr:uid="{00000000-0005-0000-0000-000093710000}"/>
    <cellStyle name="Separador de milhares 7 5 2 3 2" xfId="25302" xr:uid="{00000000-0005-0000-0000-000094710000}"/>
    <cellStyle name="Separador de milhares 7 5 2 4" xfId="24414" xr:uid="{00000000-0005-0000-0000-000095710000}"/>
    <cellStyle name="Separador de milhares 7 5 3" xfId="2478" xr:uid="{00000000-0005-0000-0000-000096710000}"/>
    <cellStyle name="Separador de milhares 8" xfId="1966" xr:uid="{00000000-0005-0000-0000-000097710000}"/>
    <cellStyle name="Separador de milhares 8 2" xfId="1967" xr:uid="{00000000-0005-0000-0000-000098710000}"/>
    <cellStyle name="Separador de milhares 8 2 2" xfId="1968" xr:uid="{00000000-0005-0000-0000-000099710000}"/>
    <cellStyle name="Separador de milhares 8 2 2 2" xfId="1969" xr:uid="{00000000-0005-0000-0000-00009A710000}"/>
    <cellStyle name="Separador de milhares 8 2 2 2 10" xfId="26023" xr:uid="{00000000-0005-0000-0000-00009B710000}"/>
    <cellStyle name="Separador de milhares 8 2 2 2 11" xfId="2285" xr:uid="{00000000-0005-0000-0000-00009C710000}"/>
    <cellStyle name="Separador de milhares 8 2 2 2 12" xfId="26428" xr:uid="{00000000-0005-0000-0000-00009D710000}"/>
    <cellStyle name="Separador de milhares 8 2 2 2 2" xfId="2632" xr:uid="{00000000-0005-0000-0000-00009E710000}"/>
    <cellStyle name="Separador de milhares 8 2 2 2 2 2" xfId="22636" xr:uid="{00000000-0005-0000-0000-00009F710000}"/>
    <cellStyle name="Separador de milhares 8 2 2 2 2 2 2" xfId="23192" xr:uid="{00000000-0005-0000-0000-0000A0710000}"/>
    <cellStyle name="Separador de milhares 8 2 2 2 2 2 2 2" xfId="24079" xr:uid="{00000000-0005-0000-0000-0000A1710000}"/>
    <cellStyle name="Separador de milhares 8 2 2 2 2 2 2 2 2" xfId="25855" xr:uid="{00000000-0005-0000-0000-0000A2710000}"/>
    <cellStyle name="Separador de milhares 8 2 2 2 2 2 2 3" xfId="24967" xr:uid="{00000000-0005-0000-0000-0000A3710000}"/>
    <cellStyle name="Separador de milhares 8 2 2 2 2 2 3" xfId="23576" xr:uid="{00000000-0005-0000-0000-0000A4710000}"/>
    <cellStyle name="Separador de milhares 8 2 2 2 2 2 3 2" xfId="25352" xr:uid="{00000000-0005-0000-0000-0000A5710000}"/>
    <cellStyle name="Separador de milhares 8 2 2 2 2 2 4" xfId="24464" xr:uid="{00000000-0005-0000-0000-0000A6710000}"/>
    <cellStyle name="Separador de milhares 8 2 2 2 2 3" xfId="22990" xr:uid="{00000000-0005-0000-0000-0000A7710000}"/>
    <cellStyle name="Separador de milhares 8 2 2 2 2 3 2" xfId="23877" xr:uid="{00000000-0005-0000-0000-0000A8710000}"/>
    <cellStyle name="Separador de milhares 8 2 2 2 2 3 2 2" xfId="25653" xr:uid="{00000000-0005-0000-0000-0000A9710000}"/>
    <cellStyle name="Separador de milhares 8 2 2 2 2 3 3" xfId="24765" xr:uid="{00000000-0005-0000-0000-0000AA710000}"/>
    <cellStyle name="Separador de milhares 8 2 2 2 2 4" xfId="23374" xr:uid="{00000000-0005-0000-0000-0000AB710000}"/>
    <cellStyle name="Separador de milhares 8 2 2 2 2 4 2" xfId="25150" xr:uid="{00000000-0005-0000-0000-0000AC710000}"/>
    <cellStyle name="Separador de milhares 8 2 2 2 2 5" xfId="24262" xr:uid="{00000000-0005-0000-0000-0000AD710000}"/>
    <cellStyle name="Separador de milhares 8 2 2 2 3" xfId="2611" xr:uid="{00000000-0005-0000-0000-0000AE710000}"/>
    <cellStyle name="Separador de milhares 8 2 2 2 3 2" xfId="22632" xr:uid="{00000000-0005-0000-0000-0000AF710000}"/>
    <cellStyle name="Separador de milhares 8 2 2 2 3 2 2" xfId="23188" xr:uid="{00000000-0005-0000-0000-0000B0710000}"/>
    <cellStyle name="Separador de milhares 8 2 2 2 3 2 2 2" xfId="24075" xr:uid="{00000000-0005-0000-0000-0000B1710000}"/>
    <cellStyle name="Separador de milhares 8 2 2 2 3 2 2 2 2" xfId="25851" xr:uid="{00000000-0005-0000-0000-0000B2710000}"/>
    <cellStyle name="Separador de milhares 8 2 2 2 3 2 2 3" xfId="24963" xr:uid="{00000000-0005-0000-0000-0000B3710000}"/>
    <cellStyle name="Separador de milhares 8 2 2 2 3 2 3" xfId="23572" xr:uid="{00000000-0005-0000-0000-0000B4710000}"/>
    <cellStyle name="Separador de milhares 8 2 2 2 3 2 3 2" xfId="25348" xr:uid="{00000000-0005-0000-0000-0000B5710000}"/>
    <cellStyle name="Separador de milhares 8 2 2 2 3 2 4" xfId="24460" xr:uid="{00000000-0005-0000-0000-0000B6710000}"/>
    <cellStyle name="Separador de milhares 8 2 2 2 4" xfId="22555" xr:uid="{00000000-0005-0000-0000-0000B7710000}"/>
    <cellStyle name="Separador de milhares 8 2 2 2 4 2" xfId="23111" xr:uid="{00000000-0005-0000-0000-0000B8710000}"/>
    <cellStyle name="Separador de milhares 8 2 2 2 4 2 2" xfId="23998" xr:uid="{00000000-0005-0000-0000-0000B9710000}"/>
    <cellStyle name="Separador de milhares 8 2 2 2 4 2 2 2" xfId="25774" xr:uid="{00000000-0005-0000-0000-0000BA710000}"/>
    <cellStyle name="Separador de milhares 8 2 2 2 4 2 3" xfId="24886" xr:uid="{00000000-0005-0000-0000-0000BB710000}"/>
    <cellStyle name="Separador de milhares 8 2 2 2 4 3" xfId="23495" xr:uid="{00000000-0005-0000-0000-0000BC710000}"/>
    <cellStyle name="Separador de milhares 8 2 2 2 4 3 2" xfId="25271" xr:uid="{00000000-0005-0000-0000-0000BD710000}"/>
    <cellStyle name="Separador de milhares 8 2 2 2 4 4" xfId="24383" xr:uid="{00000000-0005-0000-0000-0000BE710000}"/>
    <cellStyle name="Separador de milhares 8 2 2 2 5" xfId="22852" xr:uid="{00000000-0005-0000-0000-0000BF710000}"/>
    <cellStyle name="Separador de milhares 8 2 2 2 5 2" xfId="23739" xr:uid="{00000000-0005-0000-0000-0000C0710000}"/>
    <cellStyle name="Separador de milhares 8 2 2 2 5 2 2" xfId="25515" xr:uid="{00000000-0005-0000-0000-0000C1710000}"/>
    <cellStyle name="Separador de milhares 8 2 2 2 5 3" xfId="24627" xr:uid="{00000000-0005-0000-0000-0000C2710000}"/>
    <cellStyle name="Separador de milhares 8 2 2 2 6" xfId="22971" xr:uid="{00000000-0005-0000-0000-0000C3710000}"/>
    <cellStyle name="Separador de milhares 8 2 2 2 6 2" xfId="23858" xr:uid="{00000000-0005-0000-0000-0000C4710000}"/>
    <cellStyle name="Separador de milhares 8 2 2 2 6 2 2" xfId="25634" xr:uid="{00000000-0005-0000-0000-0000C5710000}"/>
    <cellStyle name="Separador de milhares 8 2 2 2 6 3" xfId="24746" xr:uid="{00000000-0005-0000-0000-0000C6710000}"/>
    <cellStyle name="Separador de milhares 8 2 2 2 7" xfId="23355" xr:uid="{00000000-0005-0000-0000-0000C7710000}"/>
    <cellStyle name="Separador de milhares 8 2 2 2 7 2" xfId="25131" xr:uid="{00000000-0005-0000-0000-0000C8710000}"/>
    <cellStyle name="Separador de milhares 8 2 2 2 8" xfId="24243" xr:uid="{00000000-0005-0000-0000-0000C9710000}"/>
    <cellStyle name="Separador de milhares 8 2 2 2 9" xfId="2428" xr:uid="{00000000-0005-0000-0000-0000CA710000}"/>
    <cellStyle name="Separador de milhares 8 2 2 3" xfId="1970" xr:uid="{00000000-0005-0000-0000-0000CB710000}"/>
    <cellStyle name="Separador de milhares 8 2 2 3 2" xfId="22615" xr:uid="{00000000-0005-0000-0000-0000CC710000}"/>
    <cellStyle name="Separador de milhares 8 2 2 3 2 2" xfId="23171" xr:uid="{00000000-0005-0000-0000-0000CD710000}"/>
    <cellStyle name="Separador de milhares 8 2 2 3 2 2 2" xfId="24058" xr:uid="{00000000-0005-0000-0000-0000CE710000}"/>
    <cellStyle name="Separador de milhares 8 2 2 3 2 2 2 2" xfId="25834" xr:uid="{00000000-0005-0000-0000-0000CF710000}"/>
    <cellStyle name="Separador de milhares 8 2 2 3 2 2 3" xfId="24946" xr:uid="{00000000-0005-0000-0000-0000D0710000}"/>
    <cellStyle name="Separador de milhares 8 2 2 3 2 3" xfId="23555" xr:uid="{00000000-0005-0000-0000-0000D1710000}"/>
    <cellStyle name="Separador de milhares 8 2 2 3 2 3 2" xfId="25331" xr:uid="{00000000-0005-0000-0000-0000D2710000}"/>
    <cellStyle name="Separador de milhares 8 2 2 3 2 4" xfId="24443" xr:uid="{00000000-0005-0000-0000-0000D3710000}"/>
    <cellStyle name="Separador de milhares 8 2 2 3 3" xfId="26178" xr:uid="{00000000-0005-0000-0000-0000D4710000}"/>
    <cellStyle name="Separador de milhares 8 2 2 3 4" xfId="2566" xr:uid="{00000000-0005-0000-0000-0000D5710000}"/>
    <cellStyle name="Separador de milhares 8 2 2 3 5" xfId="26548" xr:uid="{00000000-0005-0000-0000-0000D6710000}"/>
    <cellStyle name="Separador de milhares 8 2 2 4" xfId="22447" xr:uid="{00000000-0005-0000-0000-0000D7710000}"/>
    <cellStyle name="Separador de milhares 8 2 2 4 2" xfId="23003" xr:uid="{00000000-0005-0000-0000-0000D8710000}"/>
    <cellStyle name="Separador de milhares 8 2 2 4 2 2" xfId="23890" xr:uid="{00000000-0005-0000-0000-0000D9710000}"/>
    <cellStyle name="Separador de milhares 8 2 2 4 2 2 2" xfId="25666" xr:uid="{00000000-0005-0000-0000-0000DA710000}"/>
    <cellStyle name="Separador de milhares 8 2 2 4 2 3" xfId="24778" xr:uid="{00000000-0005-0000-0000-0000DB710000}"/>
    <cellStyle name="Separador de milhares 8 2 2 4 3" xfId="23387" xr:uid="{00000000-0005-0000-0000-0000DC710000}"/>
    <cellStyle name="Separador de milhares 8 2 2 4 3 2" xfId="25163" xr:uid="{00000000-0005-0000-0000-0000DD710000}"/>
    <cellStyle name="Separador de milhares 8 2 2 4 4" xfId="24275" xr:uid="{00000000-0005-0000-0000-0000DE710000}"/>
    <cellStyle name="Separador de milhares 8 2 2 5" xfId="2319" xr:uid="{00000000-0005-0000-0000-0000DF710000}"/>
    <cellStyle name="Separador de milhares 8 2 2 6" xfId="2173" xr:uid="{00000000-0005-0000-0000-0000E0710000}"/>
    <cellStyle name="Separador de milhares 8 2 3" xfId="1971" xr:uid="{00000000-0005-0000-0000-0000E1710000}"/>
    <cellStyle name="Separador de milhares 8 2 3 2" xfId="22587" xr:uid="{00000000-0005-0000-0000-0000E2710000}"/>
    <cellStyle name="Separador de milhares 8 2 3 2 2" xfId="23143" xr:uid="{00000000-0005-0000-0000-0000E3710000}"/>
    <cellStyle name="Separador de milhares 8 2 3 2 2 2" xfId="24030" xr:uid="{00000000-0005-0000-0000-0000E4710000}"/>
    <cellStyle name="Separador de milhares 8 2 3 2 2 2 2" xfId="25806" xr:uid="{00000000-0005-0000-0000-0000E5710000}"/>
    <cellStyle name="Separador de milhares 8 2 3 2 2 3" xfId="24918" xr:uid="{00000000-0005-0000-0000-0000E6710000}"/>
    <cellStyle name="Separador de milhares 8 2 3 2 3" xfId="23527" xr:uid="{00000000-0005-0000-0000-0000E7710000}"/>
    <cellStyle name="Separador de milhares 8 2 3 2 3 2" xfId="25303" xr:uid="{00000000-0005-0000-0000-0000E8710000}"/>
    <cellStyle name="Separador de milhares 8 2 3 2 4" xfId="24415" xr:uid="{00000000-0005-0000-0000-0000E9710000}"/>
    <cellStyle name="Separador de milhares 8 2 3 3" xfId="2479" xr:uid="{00000000-0005-0000-0000-0000EA710000}"/>
    <cellStyle name="Separador de milhares 8 3" xfId="1972" xr:uid="{00000000-0005-0000-0000-0000EB710000}"/>
    <cellStyle name="Separador de milhares 8 3 2" xfId="1973" xr:uid="{00000000-0005-0000-0000-0000EC710000}"/>
    <cellStyle name="Separador de milhares 8 3 2 10" xfId="26022" xr:uid="{00000000-0005-0000-0000-0000ED710000}"/>
    <cellStyle name="Separador de milhares 8 3 2 11" xfId="2284" xr:uid="{00000000-0005-0000-0000-0000EE710000}"/>
    <cellStyle name="Separador de milhares 8 3 2 12" xfId="26427" xr:uid="{00000000-0005-0000-0000-0000EF710000}"/>
    <cellStyle name="Separador de milhares 8 3 2 2" xfId="2631" xr:uid="{00000000-0005-0000-0000-0000F0710000}"/>
    <cellStyle name="Separador de milhares 8 3 2 2 2" xfId="22635" xr:uid="{00000000-0005-0000-0000-0000F1710000}"/>
    <cellStyle name="Separador de milhares 8 3 2 2 2 2" xfId="23191" xr:uid="{00000000-0005-0000-0000-0000F2710000}"/>
    <cellStyle name="Separador de milhares 8 3 2 2 2 2 2" xfId="24078" xr:uid="{00000000-0005-0000-0000-0000F3710000}"/>
    <cellStyle name="Separador de milhares 8 3 2 2 2 2 2 2" xfId="25854" xr:uid="{00000000-0005-0000-0000-0000F4710000}"/>
    <cellStyle name="Separador de milhares 8 3 2 2 2 2 3" xfId="24966" xr:uid="{00000000-0005-0000-0000-0000F5710000}"/>
    <cellStyle name="Separador de milhares 8 3 2 2 2 3" xfId="23575" xr:uid="{00000000-0005-0000-0000-0000F6710000}"/>
    <cellStyle name="Separador de milhares 8 3 2 2 2 3 2" xfId="25351" xr:uid="{00000000-0005-0000-0000-0000F7710000}"/>
    <cellStyle name="Separador de milhares 8 3 2 2 2 4" xfId="24463" xr:uid="{00000000-0005-0000-0000-0000F8710000}"/>
    <cellStyle name="Separador de milhares 8 3 2 2 3" xfId="22989" xr:uid="{00000000-0005-0000-0000-0000F9710000}"/>
    <cellStyle name="Separador de milhares 8 3 2 2 3 2" xfId="23876" xr:uid="{00000000-0005-0000-0000-0000FA710000}"/>
    <cellStyle name="Separador de milhares 8 3 2 2 3 2 2" xfId="25652" xr:uid="{00000000-0005-0000-0000-0000FB710000}"/>
    <cellStyle name="Separador de milhares 8 3 2 2 3 3" xfId="24764" xr:uid="{00000000-0005-0000-0000-0000FC710000}"/>
    <cellStyle name="Separador de milhares 8 3 2 2 4" xfId="23373" xr:uid="{00000000-0005-0000-0000-0000FD710000}"/>
    <cellStyle name="Separador de milhares 8 3 2 2 4 2" xfId="25149" xr:uid="{00000000-0005-0000-0000-0000FE710000}"/>
    <cellStyle name="Separador de milhares 8 3 2 2 5" xfId="24261" xr:uid="{00000000-0005-0000-0000-0000FF710000}"/>
    <cellStyle name="Separador de milhares 8 3 2 3" xfId="2608" xr:uid="{00000000-0005-0000-0000-000000720000}"/>
    <cellStyle name="Separador de milhares 8 3 2 3 2" xfId="22629" xr:uid="{00000000-0005-0000-0000-000001720000}"/>
    <cellStyle name="Separador de milhares 8 3 2 3 2 2" xfId="23185" xr:uid="{00000000-0005-0000-0000-000002720000}"/>
    <cellStyle name="Separador de milhares 8 3 2 3 2 2 2" xfId="24072" xr:uid="{00000000-0005-0000-0000-000003720000}"/>
    <cellStyle name="Separador de milhares 8 3 2 3 2 2 2 2" xfId="25848" xr:uid="{00000000-0005-0000-0000-000004720000}"/>
    <cellStyle name="Separador de milhares 8 3 2 3 2 2 3" xfId="24960" xr:uid="{00000000-0005-0000-0000-000005720000}"/>
    <cellStyle name="Separador de milhares 8 3 2 3 2 3" xfId="23569" xr:uid="{00000000-0005-0000-0000-000006720000}"/>
    <cellStyle name="Separador de milhares 8 3 2 3 2 3 2" xfId="25345" xr:uid="{00000000-0005-0000-0000-000007720000}"/>
    <cellStyle name="Separador de milhares 8 3 2 3 2 4" xfId="24457" xr:uid="{00000000-0005-0000-0000-000008720000}"/>
    <cellStyle name="Separador de milhares 8 3 2 4" xfId="22554" xr:uid="{00000000-0005-0000-0000-000009720000}"/>
    <cellStyle name="Separador de milhares 8 3 2 4 2" xfId="23110" xr:uid="{00000000-0005-0000-0000-00000A720000}"/>
    <cellStyle name="Separador de milhares 8 3 2 4 2 2" xfId="23997" xr:uid="{00000000-0005-0000-0000-00000B720000}"/>
    <cellStyle name="Separador de milhares 8 3 2 4 2 2 2" xfId="25773" xr:uid="{00000000-0005-0000-0000-00000C720000}"/>
    <cellStyle name="Separador de milhares 8 3 2 4 2 3" xfId="24885" xr:uid="{00000000-0005-0000-0000-00000D720000}"/>
    <cellStyle name="Separador de milhares 8 3 2 4 3" xfId="23494" xr:uid="{00000000-0005-0000-0000-00000E720000}"/>
    <cellStyle name="Separador de milhares 8 3 2 4 3 2" xfId="25270" xr:uid="{00000000-0005-0000-0000-00000F720000}"/>
    <cellStyle name="Separador de milhares 8 3 2 4 4" xfId="24382" xr:uid="{00000000-0005-0000-0000-000010720000}"/>
    <cellStyle name="Separador de milhares 8 3 2 5" xfId="22851" xr:uid="{00000000-0005-0000-0000-000011720000}"/>
    <cellStyle name="Separador de milhares 8 3 2 5 2" xfId="23738" xr:uid="{00000000-0005-0000-0000-000012720000}"/>
    <cellStyle name="Separador de milhares 8 3 2 5 2 2" xfId="25514" xr:uid="{00000000-0005-0000-0000-000013720000}"/>
    <cellStyle name="Separador de milhares 8 3 2 5 3" xfId="24626" xr:uid="{00000000-0005-0000-0000-000014720000}"/>
    <cellStyle name="Separador de milhares 8 3 2 6" xfId="22970" xr:uid="{00000000-0005-0000-0000-000015720000}"/>
    <cellStyle name="Separador de milhares 8 3 2 6 2" xfId="23857" xr:uid="{00000000-0005-0000-0000-000016720000}"/>
    <cellStyle name="Separador de milhares 8 3 2 6 2 2" xfId="25633" xr:uid="{00000000-0005-0000-0000-000017720000}"/>
    <cellStyle name="Separador de milhares 8 3 2 6 3" xfId="24745" xr:uid="{00000000-0005-0000-0000-000018720000}"/>
    <cellStyle name="Separador de milhares 8 3 2 7" xfId="23354" xr:uid="{00000000-0005-0000-0000-000019720000}"/>
    <cellStyle name="Separador de milhares 8 3 2 7 2" xfId="25130" xr:uid="{00000000-0005-0000-0000-00001A720000}"/>
    <cellStyle name="Separador de milhares 8 3 2 8" xfId="24242" xr:uid="{00000000-0005-0000-0000-00001B720000}"/>
    <cellStyle name="Separador de milhares 8 3 2 9" xfId="2427" xr:uid="{00000000-0005-0000-0000-00001C720000}"/>
    <cellStyle name="Separador de milhares 8 3 3" xfId="1974" xr:uid="{00000000-0005-0000-0000-00001D720000}"/>
    <cellStyle name="Separador de milhares 8 3 3 2" xfId="22612" xr:uid="{00000000-0005-0000-0000-00001E720000}"/>
    <cellStyle name="Separador de milhares 8 3 3 2 2" xfId="23168" xr:uid="{00000000-0005-0000-0000-00001F720000}"/>
    <cellStyle name="Separador de milhares 8 3 3 2 2 2" xfId="24055" xr:uid="{00000000-0005-0000-0000-000020720000}"/>
    <cellStyle name="Separador de milhares 8 3 3 2 2 2 2" xfId="25831" xr:uid="{00000000-0005-0000-0000-000021720000}"/>
    <cellStyle name="Separador de milhares 8 3 3 2 2 3" xfId="24943" xr:uid="{00000000-0005-0000-0000-000022720000}"/>
    <cellStyle name="Separador de milhares 8 3 3 2 3" xfId="23552" xr:uid="{00000000-0005-0000-0000-000023720000}"/>
    <cellStyle name="Separador de milhares 8 3 3 2 3 2" xfId="25328" xr:uid="{00000000-0005-0000-0000-000024720000}"/>
    <cellStyle name="Separador de milhares 8 3 3 2 4" xfId="24440" xr:uid="{00000000-0005-0000-0000-000025720000}"/>
    <cellStyle name="Separador de milhares 8 3 3 3" xfId="2563" xr:uid="{00000000-0005-0000-0000-000026720000}"/>
    <cellStyle name="Separador de milhares 8 4" xfId="1975" xr:uid="{00000000-0005-0000-0000-000027720000}"/>
    <cellStyle name="Separador de milhares 8 4 2" xfId="1976" xr:uid="{00000000-0005-0000-0000-000028720000}"/>
    <cellStyle name="Separador de milhares 8 4 2 2" xfId="22575" xr:uid="{00000000-0005-0000-0000-000029720000}"/>
    <cellStyle name="Separador de milhares 8 4 2 2 2" xfId="23131" xr:uid="{00000000-0005-0000-0000-00002A720000}"/>
    <cellStyle name="Separador de milhares 8 4 2 2 2 2" xfId="24018" xr:uid="{00000000-0005-0000-0000-00002B720000}"/>
    <cellStyle name="Separador de milhares 8 4 2 2 2 2 2" xfId="25794" xr:uid="{00000000-0005-0000-0000-00002C720000}"/>
    <cellStyle name="Separador de milhares 8 4 2 2 2 3" xfId="24906" xr:uid="{00000000-0005-0000-0000-00002D720000}"/>
    <cellStyle name="Separador de milhares 8 4 2 2 3" xfId="23515" xr:uid="{00000000-0005-0000-0000-00002E720000}"/>
    <cellStyle name="Separador de milhares 8 4 2 2 3 2" xfId="25291" xr:uid="{00000000-0005-0000-0000-00002F720000}"/>
    <cellStyle name="Separador de milhares 8 4 2 2 4" xfId="24403" xr:uid="{00000000-0005-0000-0000-000030720000}"/>
    <cellStyle name="Separador de milhares 8 4 2 2 5" xfId="26180" xr:uid="{00000000-0005-0000-0000-000031720000}"/>
    <cellStyle name="Separador de milhares 8 4 2 2 6" xfId="26550" xr:uid="{00000000-0005-0000-0000-000032720000}"/>
    <cellStyle name="Separador de milhares 8 4 2 3" xfId="22982" xr:uid="{00000000-0005-0000-0000-000033720000}"/>
    <cellStyle name="Separador de milhares 8 4 2 3 2" xfId="23869" xr:uid="{00000000-0005-0000-0000-000034720000}"/>
    <cellStyle name="Separador de milhares 8 4 2 3 2 2" xfId="25645" xr:uid="{00000000-0005-0000-0000-000035720000}"/>
    <cellStyle name="Separador de milhares 8 4 2 3 3" xfId="24757" xr:uid="{00000000-0005-0000-0000-000036720000}"/>
    <cellStyle name="Separador de milhares 8 4 2 3 4" xfId="26666" xr:uid="{00000000-0005-0000-0000-000037720000}"/>
    <cellStyle name="Separador de milhares 8 4 2 4" xfId="23366" xr:uid="{00000000-0005-0000-0000-000038720000}"/>
    <cellStyle name="Separador de milhares 8 4 2 4 2" xfId="25142" xr:uid="{00000000-0005-0000-0000-000039720000}"/>
    <cellStyle name="Separador de milhares 8 4 2 5" xfId="24254" xr:uid="{00000000-0005-0000-0000-00003A720000}"/>
    <cellStyle name="Separador de milhares 8 4 2 6" xfId="26028" xr:uid="{00000000-0005-0000-0000-00003B720000}"/>
    <cellStyle name="Separador de milhares 8 4 2 7" xfId="2464" xr:uid="{00000000-0005-0000-0000-00003C720000}"/>
    <cellStyle name="Separador de milhares 8 4 2 8" xfId="26433" xr:uid="{00000000-0005-0000-0000-00003D720000}"/>
    <cellStyle name="Separador de milhares 8 4 3" xfId="2314" xr:uid="{00000000-0005-0000-0000-00003E720000}"/>
    <cellStyle name="Separador de milhares 8 4 3 2" xfId="26179" xr:uid="{00000000-0005-0000-0000-00003F720000}"/>
    <cellStyle name="Separador de milhares 8 4 3 3" xfId="26549" xr:uid="{00000000-0005-0000-0000-000040720000}"/>
    <cellStyle name="Separador de milhares 8 4 4" xfId="2169" xr:uid="{00000000-0005-0000-0000-000041720000}"/>
    <cellStyle name="Separador de milhares 8 4 4 2" xfId="26663" xr:uid="{00000000-0005-0000-0000-000042720000}"/>
    <cellStyle name="Separador de milhares 8 4 5" xfId="26319" xr:uid="{00000000-0005-0000-0000-000043720000}"/>
    <cellStyle name="Separador de milhares 8 5" xfId="1977" xr:uid="{00000000-0005-0000-0000-000044720000}"/>
    <cellStyle name="Separador de milhares 8 5 2" xfId="22446" xr:uid="{00000000-0005-0000-0000-000045720000}"/>
    <cellStyle name="Separador de milhares 8 5 2 2" xfId="23002" xr:uid="{00000000-0005-0000-0000-000046720000}"/>
    <cellStyle name="Separador de milhares 8 5 2 2 2" xfId="23889" xr:uid="{00000000-0005-0000-0000-000047720000}"/>
    <cellStyle name="Separador de milhares 8 5 2 2 2 2" xfId="25665" xr:uid="{00000000-0005-0000-0000-000048720000}"/>
    <cellStyle name="Separador de milhares 8 5 2 2 3" xfId="24777" xr:uid="{00000000-0005-0000-0000-000049720000}"/>
    <cellStyle name="Separador de milhares 8 5 2 3" xfId="23386" xr:uid="{00000000-0005-0000-0000-00004A720000}"/>
    <cellStyle name="Separador de milhares 8 5 2 3 2" xfId="25162" xr:uid="{00000000-0005-0000-0000-00004B720000}"/>
    <cellStyle name="Separador de milhares 8 5 2 4" xfId="24274" xr:uid="{00000000-0005-0000-0000-00004C720000}"/>
    <cellStyle name="Separador de milhares 8 5 2 5" xfId="26181" xr:uid="{00000000-0005-0000-0000-00004D720000}"/>
    <cellStyle name="Separador de milhares 8 5 2 6" xfId="26551" xr:uid="{00000000-0005-0000-0000-00004E720000}"/>
    <cellStyle name="Separador de milhares 8 5 3" xfId="2318" xr:uid="{00000000-0005-0000-0000-00004F720000}"/>
    <cellStyle name="Separador de milhares 8 5 4" xfId="2172" xr:uid="{00000000-0005-0000-0000-000050720000}"/>
    <cellStyle name="Separador de milhares 8 6" xfId="1978" xr:uid="{00000000-0005-0000-0000-000051720000}"/>
    <cellStyle name="Separador de milhares 8 6 2" xfId="22569" xr:uid="{00000000-0005-0000-0000-000052720000}"/>
    <cellStyle name="Separador de milhares 8 6 2 2" xfId="23125" xr:uid="{00000000-0005-0000-0000-000053720000}"/>
    <cellStyle name="Separador de milhares 8 6 2 2 2" xfId="24012" xr:uid="{00000000-0005-0000-0000-000054720000}"/>
    <cellStyle name="Separador de milhares 8 6 2 2 2 2" xfId="25788" xr:uid="{00000000-0005-0000-0000-000055720000}"/>
    <cellStyle name="Separador de milhares 8 6 2 2 3" xfId="24900" xr:uid="{00000000-0005-0000-0000-000056720000}"/>
    <cellStyle name="Separador de milhares 8 6 2 3" xfId="23509" xr:uid="{00000000-0005-0000-0000-000057720000}"/>
    <cellStyle name="Separador de milhares 8 6 2 3 2" xfId="25285" xr:uid="{00000000-0005-0000-0000-000058720000}"/>
    <cellStyle name="Separador de milhares 8 6 2 4" xfId="24397" xr:uid="{00000000-0005-0000-0000-000059720000}"/>
    <cellStyle name="Separador de milhares 8 6 3" xfId="2458" xr:uid="{00000000-0005-0000-0000-00005A720000}"/>
    <cellStyle name="Separador de milhares 9" xfId="1979" xr:uid="{00000000-0005-0000-0000-00005B720000}"/>
    <cellStyle name="Separador de milhares 9 2" xfId="1980" xr:uid="{00000000-0005-0000-0000-00005C720000}"/>
    <cellStyle name="Separador de milhares 9 2 2" xfId="1981" xr:uid="{00000000-0005-0000-0000-00005D720000}"/>
    <cellStyle name="Separador de milhares 9 2 2 10" xfId="26422" xr:uid="{00000000-0005-0000-0000-00005E720000}"/>
    <cellStyle name="Separador de milhares 9 2 2 2" xfId="22557" xr:uid="{00000000-0005-0000-0000-00005F720000}"/>
    <cellStyle name="Separador de milhares 9 2 2 2 2" xfId="23113" xr:uid="{00000000-0005-0000-0000-000060720000}"/>
    <cellStyle name="Separador de milhares 9 2 2 2 2 2" xfId="24000" xr:uid="{00000000-0005-0000-0000-000061720000}"/>
    <cellStyle name="Separador de milhares 9 2 2 2 2 2 2" xfId="25776" xr:uid="{00000000-0005-0000-0000-000062720000}"/>
    <cellStyle name="Separador de milhares 9 2 2 2 2 3" xfId="24888" xr:uid="{00000000-0005-0000-0000-000063720000}"/>
    <cellStyle name="Separador de milhares 9 2 2 2 3" xfId="23497" xr:uid="{00000000-0005-0000-0000-000064720000}"/>
    <cellStyle name="Separador de milhares 9 2 2 2 3 2" xfId="25273" xr:uid="{00000000-0005-0000-0000-000065720000}"/>
    <cellStyle name="Separador de milhares 9 2 2 2 4" xfId="24385" xr:uid="{00000000-0005-0000-0000-000066720000}"/>
    <cellStyle name="Separador de milhares 9 2 2 2 5" xfId="26182" xr:uid="{00000000-0005-0000-0000-000067720000}"/>
    <cellStyle name="Separador de milhares 9 2 2 2 6" xfId="26552" xr:uid="{00000000-0005-0000-0000-000068720000}"/>
    <cellStyle name="Separador de milhares 9 2 2 3" xfId="22854" xr:uid="{00000000-0005-0000-0000-000069720000}"/>
    <cellStyle name="Separador de milhares 9 2 2 3 2" xfId="23741" xr:uid="{00000000-0005-0000-0000-00006A720000}"/>
    <cellStyle name="Separador de milhares 9 2 2 3 2 2" xfId="25517" xr:uid="{00000000-0005-0000-0000-00006B720000}"/>
    <cellStyle name="Separador de milhares 9 2 2 3 3" xfId="24629" xr:uid="{00000000-0005-0000-0000-00006C720000}"/>
    <cellStyle name="Separador de milhares 9 2 2 4" xfId="22973" xr:uid="{00000000-0005-0000-0000-00006D720000}"/>
    <cellStyle name="Separador de milhares 9 2 2 4 2" xfId="23860" xr:uid="{00000000-0005-0000-0000-00006E720000}"/>
    <cellStyle name="Separador de milhares 9 2 2 4 2 2" xfId="25636" xr:uid="{00000000-0005-0000-0000-00006F720000}"/>
    <cellStyle name="Separador de milhares 9 2 2 4 3" xfId="24748" xr:uid="{00000000-0005-0000-0000-000070720000}"/>
    <cellStyle name="Separador de milhares 9 2 2 5" xfId="23357" xr:uid="{00000000-0005-0000-0000-000071720000}"/>
    <cellStyle name="Separador de milhares 9 2 2 5 2" xfId="25133" xr:uid="{00000000-0005-0000-0000-000072720000}"/>
    <cellStyle name="Separador de milhares 9 2 2 6" xfId="24245" xr:uid="{00000000-0005-0000-0000-000073720000}"/>
    <cellStyle name="Separador de milhares 9 2 2 7" xfId="2430" xr:uid="{00000000-0005-0000-0000-000074720000}"/>
    <cellStyle name="Separador de milhares 9 2 2 8" xfId="26017" xr:uid="{00000000-0005-0000-0000-000075720000}"/>
    <cellStyle name="Separador de milhares 9 2 2 9" xfId="2287" xr:uid="{00000000-0005-0000-0000-000076720000}"/>
    <cellStyle name="Separador de milhares 9 3" xfId="1982" xr:uid="{00000000-0005-0000-0000-000077720000}"/>
    <cellStyle name="Separador de milhares 9 3 10" xfId="26423" xr:uid="{00000000-0005-0000-0000-000078720000}"/>
    <cellStyle name="Separador de milhares 9 3 2" xfId="22556" xr:uid="{00000000-0005-0000-0000-000079720000}"/>
    <cellStyle name="Separador de milhares 9 3 2 2" xfId="23112" xr:uid="{00000000-0005-0000-0000-00007A720000}"/>
    <cellStyle name="Separador de milhares 9 3 2 2 2" xfId="23999" xr:uid="{00000000-0005-0000-0000-00007B720000}"/>
    <cellStyle name="Separador de milhares 9 3 2 2 2 2" xfId="25775" xr:uid="{00000000-0005-0000-0000-00007C720000}"/>
    <cellStyle name="Separador de milhares 9 3 2 2 3" xfId="24887" xr:uid="{00000000-0005-0000-0000-00007D720000}"/>
    <cellStyle name="Separador de milhares 9 3 2 3" xfId="23496" xr:uid="{00000000-0005-0000-0000-00007E720000}"/>
    <cellStyle name="Separador de milhares 9 3 2 3 2" xfId="25272" xr:uid="{00000000-0005-0000-0000-00007F720000}"/>
    <cellStyle name="Separador de milhares 9 3 2 4" xfId="24384" xr:uid="{00000000-0005-0000-0000-000080720000}"/>
    <cellStyle name="Separador de milhares 9 3 2 5" xfId="26183" xr:uid="{00000000-0005-0000-0000-000081720000}"/>
    <cellStyle name="Separador de milhares 9 3 2 6" xfId="26553" xr:uid="{00000000-0005-0000-0000-000082720000}"/>
    <cellStyle name="Separador de milhares 9 3 3" xfId="22853" xr:uid="{00000000-0005-0000-0000-000083720000}"/>
    <cellStyle name="Separador de milhares 9 3 3 2" xfId="23740" xr:uid="{00000000-0005-0000-0000-000084720000}"/>
    <cellStyle name="Separador de milhares 9 3 3 2 2" xfId="25516" xr:uid="{00000000-0005-0000-0000-000085720000}"/>
    <cellStyle name="Separador de milhares 9 3 3 3" xfId="24628" xr:uid="{00000000-0005-0000-0000-000086720000}"/>
    <cellStyle name="Separador de milhares 9 3 4" xfId="22972" xr:uid="{00000000-0005-0000-0000-000087720000}"/>
    <cellStyle name="Separador de milhares 9 3 4 2" xfId="23859" xr:uid="{00000000-0005-0000-0000-000088720000}"/>
    <cellStyle name="Separador de milhares 9 3 4 2 2" xfId="25635" xr:uid="{00000000-0005-0000-0000-000089720000}"/>
    <cellStyle name="Separador de milhares 9 3 4 3" xfId="24747" xr:uid="{00000000-0005-0000-0000-00008A720000}"/>
    <cellStyle name="Separador de milhares 9 3 5" xfId="23356" xr:uid="{00000000-0005-0000-0000-00008B720000}"/>
    <cellStyle name="Separador de milhares 9 3 5 2" xfId="25132" xr:uid="{00000000-0005-0000-0000-00008C720000}"/>
    <cellStyle name="Separador de milhares 9 3 6" xfId="24244" xr:uid="{00000000-0005-0000-0000-00008D720000}"/>
    <cellStyle name="Separador de milhares 9 3 7" xfId="2429" xr:uid="{00000000-0005-0000-0000-00008E720000}"/>
    <cellStyle name="Separador de milhares 9 3 8" xfId="26018" xr:uid="{00000000-0005-0000-0000-00008F720000}"/>
    <cellStyle name="Separador de milhares 9 3 9" xfId="2286" xr:uid="{00000000-0005-0000-0000-000090720000}"/>
    <cellStyle name="Separador de milhares_planilha orçamentária PORTO BELO 2 - COMPLETA" xfId="58" xr:uid="{00000000-0005-0000-0000-000091720000}"/>
    <cellStyle name="Sepavador de milhares [0]_Pasta2" xfId="32210" xr:uid="{00000000-0005-0000-0000-000092720000}"/>
    <cellStyle name="Standard_RP100_01 (metr.)" xfId="32211" xr:uid="{00000000-0005-0000-0000-000093720000}"/>
    <cellStyle name="TableStyleLight1" xfId="1983" xr:uid="{00000000-0005-0000-0000-000094720000}"/>
    <cellStyle name="Texto de Aviso" xfId="15" builtinId="11" customBuiltin="1"/>
    <cellStyle name="Texto de Aviso 2" xfId="1984" xr:uid="{00000000-0005-0000-0000-000096720000}"/>
    <cellStyle name="Texto de Aviso 2 2" xfId="1985" xr:uid="{00000000-0005-0000-0000-000097720000}"/>
    <cellStyle name="Texto de Aviso 2 3" xfId="1986" xr:uid="{00000000-0005-0000-0000-000098720000}"/>
    <cellStyle name="Texto de Aviso 2 4" xfId="1987" xr:uid="{00000000-0005-0000-0000-000099720000}"/>
    <cellStyle name="Texto de Aviso 3" xfId="1988" xr:uid="{00000000-0005-0000-0000-00009A720000}"/>
    <cellStyle name="Texto de Aviso 4" xfId="2303" xr:uid="{00000000-0005-0000-0000-00009B720000}"/>
    <cellStyle name="Texto Explicativo" xfId="17" builtinId="53" customBuiltin="1"/>
    <cellStyle name="Texto Explicativo 2" xfId="1989" xr:uid="{00000000-0005-0000-0000-00009D720000}"/>
    <cellStyle name="Texto Explicativo 2 2" xfId="1990" xr:uid="{00000000-0005-0000-0000-00009E720000}"/>
    <cellStyle name="Texto Explicativo 2 3" xfId="1991" xr:uid="{00000000-0005-0000-0000-00009F720000}"/>
    <cellStyle name="Texto Explicativo 2 4" xfId="1992" xr:uid="{00000000-0005-0000-0000-0000A0720000}"/>
    <cellStyle name="Texto Explicativo 3" xfId="1993" xr:uid="{00000000-0005-0000-0000-0000A1720000}"/>
    <cellStyle name="Título" xfId="3" builtinId="15" customBuiltin="1"/>
    <cellStyle name="Título 1" xfId="4" builtinId="16" customBuiltin="1"/>
    <cellStyle name="Título 1 1" xfId="1994" xr:uid="{00000000-0005-0000-0000-0000A4720000}"/>
    <cellStyle name="Título 1 1 1" xfId="1995" xr:uid="{00000000-0005-0000-0000-0000A5720000}"/>
    <cellStyle name="Título 1 1 10" xfId="1996" xr:uid="{00000000-0005-0000-0000-0000A6720000}"/>
    <cellStyle name="Título 1 1 11" xfId="1997" xr:uid="{00000000-0005-0000-0000-0000A7720000}"/>
    <cellStyle name="Título 1 1 12" xfId="1998" xr:uid="{00000000-0005-0000-0000-0000A8720000}"/>
    <cellStyle name="Título 1 1 13" xfId="1999" xr:uid="{00000000-0005-0000-0000-0000A9720000}"/>
    <cellStyle name="Título 1 1 14" xfId="2000" xr:uid="{00000000-0005-0000-0000-0000AA720000}"/>
    <cellStyle name="Título 1 1 15" xfId="2001" xr:uid="{00000000-0005-0000-0000-0000AB720000}"/>
    <cellStyle name="Título 1 1 2" xfId="2002" xr:uid="{00000000-0005-0000-0000-0000AC720000}"/>
    <cellStyle name="Título 1 1 3" xfId="2003" xr:uid="{00000000-0005-0000-0000-0000AD720000}"/>
    <cellStyle name="Título 1 1 4" xfId="2004" xr:uid="{00000000-0005-0000-0000-0000AE720000}"/>
    <cellStyle name="Título 1 1 5" xfId="2005" xr:uid="{00000000-0005-0000-0000-0000AF720000}"/>
    <cellStyle name="Título 1 1 6" xfId="2006" xr:uid="{00000000-0005-0000-0000-0000B0720000}"/>
    <cellStyle name="Título 1 1 7" xfId="2007" xr:uid="{00000000-0005-0000-0000-0000B1720000}"/>
    <cellStyle name="Título 1 1 8" xfId="2008" xr:uid="{00000000-0005-0000-0000-0000B2720000}"/>
    <cellStyle name="Título 1 1 9" xfId="2009" xr:uid="{00000000-0005-0000-0000-0000B3720000}"/>
    <cellStyle name="Título 1 2" xfId="2010" xr:uid="{00000000-0005-0000-0000-0000B4720000}"/>
    <cellStyle name="Título 2" xfId="5" builtinId="17" customBuiltin="1"/>
    <cellStyle name="Título 2 2" xfId="2011" xr:uid="{00000000-0005-0000-0000-0000B6720000}"/>
    <cellStyle name="Título 3" xfId="6" builtinId="18" customBuiltin="1"/>
    <cellStyle name="Título 3 2" xfId="2012" xr:uid="{00000000-0005-0000-0000-0000B8720000}"/>
    <cellStyle name="Título 3 2 2" xfId="26564" xr:uid="{00000000-0005-0000-0000-0000B9720000}"/>
    <cellStyle name="Título 3 2 2 2" xfId="26672" xr:uid="{00000000-0005-0000-0000-0000BA720000}"/>
    <cellStyle name="Título 3 2 3" xfId="26228" xr:uid="{00000000-0005-0000-0000-0000BB720000}"/>
    <cellStyle name="Título 4" xfId="7" builtinId="19" customBuiltin="1"/>
    <cellStyle name="Título 4 2" xfId="2013" xr:uid="{00000000-0005-0000-0000-0000BD720000}"/>
    <cellStyle name="Título 5" xfId="2014" xr:uid="{00000000-0005-0000-0000-0000BE720000}"/>
    <cellStyle name="Título 5 2" xfId="2015" xr:uid="{00000000-0005-0000-0000-0000BF720000}"/>
    <cellStyle name="Título 5 3" xfId="2016" xr:uid="{00000000-0005-0000-0000-0000C0720000}"/>
    <cellStyle name="Título 5 4" xfId="2017" xr:uid="{00000000-0005-0000-0000-0000C1720000}"/>
    <cellStyle name="Título 6" xfId="2018" xr:uid="{00000000-0005-0000-0000-0000C2720000}"/>
    <cellStyle name="Titulo1" xfId="32212" xr:uid="{00000000-0005-0000-0000-0000C3720000}"/>
    <cellStyle name="Titulo2" xfId="32213" xr:uid="{00000000-0005-0000-0000-0000C4720000}"/>
    <cellStyle name="Total" xfId="18" builtinId="25" customBuiltin="1"/>
    <cellStyle name="Total 2" xfId="2019" xr:uid="{00000000-0005-0000-0000-0000C6720000}"/>
    <cellStyle name="Total 2 2" xfId="2020" xr:uid="{00000000-0005-0000-0000-0000C7720000}"/>
    <cellStyle name="Total 2 2 2" xfId="2612" xr:uid="{00000000-0005-0000-0000-0000C8720000}"/>
    <cellStyle name="Total 2 2 2 10" xfId="5248" xr:uid="{00000000-0005-0000-0000-0000C9720000}"/>
    <cellStyle name="Total 2 2 2 10 2" xfId="10388" xr:uid="{00000000-0005-0000-0000-0000CA720000}"/>
    <cellStyle name="Total 2 2 2 10 3" xfId="16132" xr:uid="{00000000-0005-0000-0000-0000CB720000}"/>
    <cellStyle name="Total 2 2 2 10 4" xfId="12846" xr:uid="{00000000-0005-0000-0000-0000CC720000}"/>
    <cellStyle name="Total 2 2 2 11" xfId="5141" xr:uid="{00000000-0005-0000-0000-0000CD720000}"/>
    <cellStyle name="Total 2 2 2 11 2" xfId="10380" xr:uid="{00000000-0005-0000-0000-0000CE720000}"/>
    <cellStyle name="Total 2 2 2 11 3" xfId="16069" xr:uid="{00000000-0005-0000-0000-0000CF720000}"/>
    <cellStyle name="Total 2 2 2 11 4" xfId="12780" xr:uid="{00000000-0005-0000-0000-0000D0720000}"/>
    <cellStyle name="Total 2 2 2 12" xfId="4859" xr:uid="{00000000-0005-0000-0000-0000D1720000}"/>
    <cellStyle name="Total 2 2 2 12 2" xfId="15836" xr:uid="{00000000-0005-0000-0000-0000D2720000}"/>
    <cellStyle name="Total 2 2 2 12 3" xfId="13147" xr:uid="{00000000-0005-0000-0000-0000D3720000}"/>
    <cellStyle name="Total 2 2 2 13" xfId="8775" xr:uid="{00000000-0005-0000-0000-0000D4720000}"/>
    <cellStyle name="Total 2 2 2 14" xfId="14141" xr:uid="{00000000-0005-0000-0000-0000D5720000}"/>
    <cellStyle name="Total 2 2 2 2" xfId="2701" xr:uid="{00000000-0005-0000-0000-0000D6720000}"/>
    <cellStyle name="Total 2 2 2 2 10" xfId="7477" xr:uid="{00000000-0005-0000-0000-0000D7720000}"/>
    <cellStyle name="Total 2 2 2 2 10 2" xfId="11531" xr:uid="{00000000-0005-0000-0000-0000D8720000}"/>
    <cellStyle name="Total 2 2 2 2 10 3" xfId="17836" xr:uid="{00000000-0005-0000-0000-0000D9720000}"/>
    <cellStyle name="Total 2 2 2 2 10 4" xfId="20995" xr:uid="{00000000-0005-0000-0000-0000DA720000}"/>
    <cellStyle name="Total 2 2 2 2 11" xfId="4894" xr:uid="{00000000-0005-0000-0000-0000DB720000}"/>
    <cellStyle name="Total 2 2 2 2 11 2" xfId="15868" xr:uid="{00000000-0005-0000-0000-0000DC720000}"/>
    <cellStyle name="Total 2 2 2 2 11 3" xfId="12817" xr:uid="{00000000-0005-0000-0000-0000DD720000}"/>
    <cellStyle name="Total 2 2 2 2 12" xfId="8856" xr:uid="{00000000-0005-0000-0000-0000DE720000}"/>
    <cellStyle name="Total 2 2 2 2 13" xfId="14271" xr:uid="{00000000-0005-0000-0000-0000DF720000}"/>
    <cellStyle name="Total 2 2 2 2 14" xfId="18180" xr:uid="{00000000-0005-0000-0000-0000E0720000}"/>
    <cellStyle name="Total 2 2 2 2 2" xfId="2643" xr:uid="{00000000-0005-0000-0000-0000E1720000}"/>
    <cellStyle name="Total 2 2 2 2 2 10" xfId="4917" xr:uid="{00000000-0005-0000-0000-0000E2720000}"/>
    <cellStyle name="Total 2 2 2 2 2 10 2" xfId="15887" xr:uid="{00000000-0005-0000-0000-0000E3720000}"/>
    <cellStyle name="Total 2 2 2 2 2 10 3" xfId="13102" xr:uid="{00000000-0005-0000-0000-0000E4720000}"/>
    <cellStyle name="Total 2 2 2 2 2 11" xfId="8800" xr:uid="{00000000-0005-0000-0000-0000E5720000}"/>
    <cellStyle name="Total 2 2 2 2 2 12" xfId="14222" xr:uid="{00000000-0005-0000-0000-0000E6720000}"/>
    <cellStyle name="Total 2 2 2 2 2 2" xfId="3135" xr:uid="{00000000-0005-0000-0000-0000E7720000}"/>
    <cellStyle name="Total 2 2 2 2 2 2 10" xfId="9265" xr:uid="{00000000-0005-0000-0000-0000E8720000}"/>
    <cellStyle name="Total 2 2 2 2 2 2 11" xfId="14590" xr:uid="{00000000-0005-0000-0000-0000E9720000}"/>
    <cellStyle name="Total 2 2 2 2 2 2 12" xfId="17902" xr:uid="{00000000-0005-0000-0000-0000EA720000}"/>
    <cellStyle name="Total 2 2 2 2 2 2 2" xfId="3522" xr:uid="{00000000-0005-0000-0000-0000EB720000}"/>
    <cellStyle name="Total 2 2 2 2 2 2 2 2" xfId="7285" xr:uid="{00000000-0005-0000-0000-0000EC720000}"/>
    <cellStyle name="Total 2 2 2 2 2 2 2 2 2" xfId="11390" xr:uid="{00000000-0005-0000-0000-0000ED720000}"/>
    <cellStyle name="Total 2 2 2 2 2 2 2 2 3" xfId="17683" xr:uid="{00000000-0005-0000-0000-0000EE720000}"/>
    <cellStyle name="Total 2 2 2 2 2 2 2 2 4" xfId="20803" xr:uid="{00000000-0005-0000-0000-0000EF720000}"/>
    <cellStyle name="Total 2 2 2 2 2 2 2 3" xfId="5576" xr:uid="{00000000-0005-0000-0000-0000F0720000}"/>
    <cellStyle name="Total 2 2 2 2 2 2 2 3 2" xfId="16392" xr:uid="{00000000-0005-0000-0000-0000F1720000}"/>
    <cellStyle name="Total 2 2 2 2 2 2 2 3 3" xfId="19094" xr:uid="{00000000-0005-0000-0000-0000F2720000}"/>
    <cellStyle name="Total 2 2 2 2 2 2 2 4" xfId="9614" xr:uid="{00000000-0005-0000-0000-0000F3720000}"/>
    <cellStyle name="Total 2 2 2 2 2 2 2 5" xfId="14870" xr:uid="{00000000-0005-0000-0000-0000F4720000}"/>
    <cellStyle name="Total 2 2 2 2 2 2 2 6" xfId="14543" xr:uid="{00000000-0005-0000-0000-0000F5720000}"/>
    <cellStyle name="Total 2 2 2 2 2 2 3" xfId="3905" xr:uid="{00000000-0005-0000-0000-0000F6720000}"/>
    <cellStyle name="Total 2 2 2 2 2 2 3 2" xfId="7112" xr:uid="{00000000-0005-0000-0000-0000F7720000}"/>
    <cellStyle name="Total 2 2 2 2 2 2 3 2 2" xfId="11246" xr:uid="{00000000-0005-0000-0000-0000F8720000}"/>
    <cellStyle name="Total 2 2 2 2 2 2 3 2 3" xfId="17532" xr:uid="{00000000-0005-0000-0000-0000F9720000}"/>
    <cellStyle name="Total 2 2 2 2 2 2 3 2 4" xfId="20630" xr:uid="{00000000-0005-0000-0000-0000FA720000}"/>
    <cellStyle name="Total 2 2 2 2 2 2 3 3" xfId="5403" xr:uid="{00000000-0005-0000-0000-0000FB720000}"/>
    <cellStyle name="Total 2 2 2 2 2 2 3 3 2" xfId="16242" xr:uid="{00000000-0005-0000-0000-0000FC720000}"/>
    <cellStyle name="Total 2 2 2 2 2 2 3 3 3" xfId="18921" xr:uid="{00000000-0005-0000-0000-0000FD720000}"/>
    <cellStyle name="Total 2 2 2 2 2 2 3 4" xfId="9828" xr:uid="{00000000-0005-0000-0000-0000FE720000}"/>
    <cellStyle name="Total 2 2 2 2 2 2 3 5" xfId="15146" xr:uid="{00000000-0005-0000-0000-0000FF720000}"/>
    <cellStyle name="Total 2 2 2 2 2 2 3 6" xfId="14083" xr:uid="{00000000-0005-0000-0000-000000730000}"/>
    <cellStyle name="Total 2 2 2 2 2 2 4" xfId="4288" xr:uid="{00000000-0005-0000-0000-000001730000}"/>
    <cellStyle name="Total 2 2 2 2 2 2 4 2" xfId="8193" xr:uid="{00000000-0005-0000-0000-000002730000}"/>
    <cellStyle name="Total 2 2 2 2 2 2 4 2 2" xfId="12161" xr:uid="{00000000-0005-0000-0000-000003730000}"/>
    <cellStyle name="Total 2 2 2 2 2 2 4 2 3" xfId="18385" xr:uid="{00000000-0005-0000-0000-000004730000}"/>
    <cellStyle name="Total 2 2 2 2 2 2 4 2 4" xfId="21711" xr:uid="{00000000-0005-0000-0000-000005730000}"/>
    <cellStyle name="Total 2 2 2 2 2 2 4 3" xfId="6485" xr:uid="{00000000-0005-0000-0000-000006730000}"/>
    <cellStyle name="Total 2 2 2 2 2 2 4 3 2" xfId="17094" xr:uid="{00000000-0005-0000-0000-000007730000}"/>
    <cellStyle name="Total 2 2 2 2 2 2 4 3 3" xfId="20003" xr:uid="{00000000-0005-0000-0000-000008730000}"/>
    <cellStyle name="Total 2 2 2 2 2 2 4 4" xfId="10006" xr:uid="{00000000-0005-0000-0000-000009730000}"/>
    <cellStyle name="Total 2 2 2 2 2 2 4 5" xfId="15421" xr:uid="{00000000-0005-0000-0000-00000A730000}"/>
    <cellStyle name="Total 2 2 2 2 2 2 4 6" xfId="13717" xr:uid="{00000000-0005-0000-0000-00000B730000}"/>
    <cellStyle name="Total 2 2 2 2 2 2 5" xfId="4670" xr:uid="{00000000-0005-0000-0000-00000C730000}"/>
    <cellStyle name="Total 2 2 2 2 2 2 5 2" xfId="8425" xr:uid="{00000000-0005-0000-0000-00000D730000}"/>
    <cellStyle name="Total 2 2 2 2 2 2 5 2 2" xfId="12393" xr:uid="{00000000-0005-0000-0000-00000E730000}"/>
    <cellStyle name="Total 2 2 2 2 2 2 5 2 3" xfId="18556" xr:uid="{00000000-0005-0000-0000-00000F730000}"/>
    <cellStyle name="Total 2 2 2 2 2 2 5 2 4" xfId="21943" xr:uid="{00000000-0005-0000-0000-000010730000}"/>
    <cellStyle name="Total 2 2 2 2 2 2 5 3" xfId="6717" xr:uid="{00000000-0005-0000-0000-000011730000}"/>
    <cellStyle name="Total 2 2 2 2 2 2 5 3 2" xfId="17265" xr:uid="{00000000-0005-0000-0000-000012730000}"/>
    <cellStyle name="Total 2 2 2 2 2 2 5 3 3" xfId="20235" xr:uid="{00000000-0005-0000-0000-000013730000}"/>
    <cellStyle name="Total 2 2 2 2 2 2 5 4" xfId="10183" xr:uid="{00000000-0005-0000-0000-000014730000}"/>
    <cellStyle name="Total 2 2 2 2 2 2 5 5" xfId="15695" xr:uid="{00000000-0005-0000-0000-000015730000}"/>
    <cellStyle name="Total 2 2 2 2 2 2 5 6" xfId="13335" xr:uid="{00000000-0005-0000-0000-000016730000}"/>
    <cellStyle name="Total 2 2 2 2 2 2 6" xfId="6949" xr:uid="{00000000-0005-0000-0000-000017730000}"/>
    <cellStyle name="Total 2 2 2 2 2 2 6 2" xfId="8657" xr:uid="{00000000-0005-0000-0000-000018730000}"/>
    <cellStyle name="Total 2 2 2 2 2 2 6 2 2" xfId="12625" xr:uid="{00000000-0005-0000-0000-000019730000}"/>
    <cellStyle name="Total 2 2 2 2 2 2 6 2 3" xfId="18727" xr:uid="{00000000-0005-0000-0000-00001A730000}"/>
    <cellStyle name="Total 2 2 2 2 2 2 6 2 4" xfId="22175" xr:uid="{00000000-0005-0000-0000-00001B730000}"/>
    <cellStyle name="Total 2 2 2 2 2 2 6 3" xfId="11083" xr:uid="{00000000-0005-0000-0000-00001C730000}"/>
    <cellStyle name="Total 2 2 2 2 2 2 6 4" xfId="17435" xr:uid="{00000000-0005-0000-0000-00001D730000}"/>
    <cellStyle name="Total 2 2 2 2 2 2 6 5" xfId="20467" xr:uid="{00000000-0005-0000-0000-00001E730000}"/>
    <cellStyle name="Total 2 2 2 2 2 2 7" xfId="5937" xr:uid="{00000000-0005-0000-0000-00001F730000}"/>
    <cellStyle name="Total 2 2 2 2 2 2 7 2" xfId="10678" xr:uid="{00000000-0005-0000-0000-000020730000}"/>
    <cellStyle name="Total 2 2 2 2 2 2 7 3" xfId="16673" xr:uid="{00000000-0005-0000-0000-000021730000}"/>
    <cellStyle name="Total 2 2 2 2 2 2 7 4" xfId="19455" xr:uid="{00000000-0005-0000-0000-000022730000}"/>
    <cellStyle name="Total 2 2 2 2 2 2 8" xfId="7645" xr:uid="{00000000-0005-0000-0000-000023730000}"/>
    <cellStyle name="Total 2 2 2 2 2 2 8 2" xfId="11666" xr:uid="{00000000-0005-0000-0000-000024730000}"/>
    <cellStyle name="Total 2 2 2 2 2 2 8 3" xfId="17965" xr:uid="{00000000-0005-0000-0000-000025730000}"/>
    <cellStyle name="Total 2 2 2 2 2 2 8 4" xfId="21163" xr:uid="{00000000-0005-0000-0000-000026730000}"/>
    <cellStyle name="Total 2 2 2 2 2 2 9" xfId="5033" xr:uid="{00000000-0005-0000-0000-000027730000}"/>
    <cellStyle name="Total 2 2 2 2 2 2 9 2" xfId="15988" xr:uid="{00000000-0005-0000-0000-000028730000}"/>
    <cellStyle name="Total 2 2 2 2 2 2 9 3" xfId="12986" xr:uid="{00000000-0005-0000-0000-000029730000}"/>
    <cellStyle name="Total 2 2 2 2 2 3" xfId="3071" xr:uid="{00000000-0005-0000-0000-00002A730000}"/>
    <cellStyle name="Total 2 2 2 2 2 3 2" xfId="3458" xr:uid="{00000000-0005-0000-0000-00002B730000}"/>
    <cellStyle name="Total 2 2 2 2 2 3 2 2" xfId="7865" xr:uid="{00000000-0005-0000-0000-00002C730000}"/>
    <cellStyle name="Total 2 2 2 2 2 3 2 2 2" xfId="18123" xr:uid="{00000000-0005-0000-0000-00002D730000}"/>
    <cellStyle name="Total 2 2 2 2 2 3 2 2 3" xfId="21383" xr:uid="{00000000-0005-0000-0000-00002E730000}"/>
    <cellStyle name="Total 2 2 2 2 2 3 2 3" xfId="9563" xr:uid="{00000000-0005-0000-0000-00002F730000}"/>
    <cellStyle name="Total 2 2 2 2 2 3 2 4" xfId="14819" xr:uid="{00000000-0005-0000-0000-000030730000}"/>
    <cellStyle name="Total 2 2 2 2 2 3 2 5" xfId="17524" xr:uid="{00000000-0005-0000-0000-000031730000}"/>
    <cellStyle name="Total 2 2 2 2 2 3 3" xfId="3841" xr:uid="{00000000-0005-0000-0000-000032730000}"/>
    <cellStyle name="Total 2 2 2 2 2 3 3 2" xfId="15095" xr:uid="{00000000-0005-0000-0000-000033730000}"/>
    <cellStyle name="Total 2 2 2 2 2 3 3 3" xfId="14184" xr:uid="{00000000-0005-0000-0000-000034730000}"/>
    <cellStyle name="Total 2 2 2 2 2 3 4" xfId="4224" xr:uid="{00000000-0005-0000-0000-000035730000}"/>
    <cellStyle name="Total 2 2 2 2 2 3 4 2" xfId="15370" xr:uid="{00000000-0005-0000-0000-000036730000}"/>
    <cellStyle name="Total 2 2 2 2 2 3 4 3" xfId="13781" xr:uid="{00000000-0005-0000-0000-000037730000}"/>
    <cellStyle name="Total 2 2 2 2 2 3 5" xfId="4606" xr:uid="{00000000-0005-0000-0000-000038730000}"/>
    <cellStyle name="Total 2 2 2 2 2 3 5 2" xfId="15644" xr:uid="{00000000-0005-0000-0000-000039730000}"/>
    <cellStyle name="Total 2 2 2 2 2 3 5 3" xfId="13399" xr:uid="{00000000-0005-0000-0000-00003A730000}"/>
    <cellStyle name="Total 2 2 2 2 2 3 6" xfId="6157" xr:uid="{00000000-0005-0000-0000-00003B730000}"/>
    <cellStyle name="Total 2 2 2 2 2 3 6 2" xfId="16831" xr:uid="{00000000-0005-0000-0000-00003C730000}"/>
    <cellStyle name="Total 2 2 2 2 2 3 6 3" xfId="19675" xr:uid="{00000000-0005-0000-0000-00003D730000}"/>
    <cellStyle name="Total 2 2 2 2 2 3 7" xfId="9211" xr:uid="{00000000-0005-0000-0000-00003E730000}"/>
    <cellStyle name="Total 2 2 2 2 2 3 8" xfId="14539" xr:uid="{00000000-0005-0000-0000-00003F730000}"/>
    <cellStyle name="Total 2 2 2 2 2 3 9" xfId="14730" xr:uid="{00000000-0005-0000-0000-000040730000}"/>
    <cellStyle name="Total 2 2 2 2 2 4" xfId="2843" xr:uid="{00000000-0005-0000-0000-000041730000}"/>
    <cellStyle name="Total 2 2 2 2 2 4 2" xfId="7805" xr:uid="{00000000-0005-0000-0000-000042730000}"/>
    <cellStyle name="Total 2 2 2 2 2 4 2 2" xfId="11819" xr:uid="{00000000-0005-0000-0000-000043730000}"/>
    <cellStyle name="Total 2 2 2 2 2 4 2 3" xfId="18070" xr:uid="{00000000-0005-0000-0000-000044730000}"/>
    <cellStyle name="Total 2 2 2 2 2 4 2 4" xfId="21323" xr:uid="{00000000-0005-0000-0000-000045730000}"/>
    <cellStyle name="Total 2 2 2 2 2 4 3" xfId="6097" xr:uid="{00000000-0005-0000-0000-000046730000}"/>
    <cellStyle name="Total 2 2 2 2 2 4 3 2" xfId="16778" xr:uid="{00000000-0005-0000-0000-000047730000}"/>
    <cellStyle name="Total 2 2 2 2 2 4 3 3" xfId="19615" xr:uid="{00000000-0005-0000-0000-000048730000}"/>
    <cellStyle name="Total 2 2 2 2 2 4 4" xfId="8996" xr:uid="{00000000-0005-0000-0000-000049730000}"/>
    <cellStyle name="Total 2 2 2 2 2 4 5" xfId="14383" xr:uid="{00000000-0005-0000-0000-00004A730000}"/>
    <cellStyle name="Total 2 2 2 2 2 4 6" xfId="16741" xr:uid="{00000000-0005-0000-0000-00004B730000}"/>
    <cellStyle name="Total 2 2 2 2 2 5" xfId="6375" xr:uid="{00000000-0005-0000-0000-00004C730000}"/>
    <cellStyle name="Total 2 2 2 2 2 5 2" xfId="8083" xr:uid="{00000000-0005-0000-0000-00004D730000}"/>
    <cellStyle name="Total 2 2 2 2 2 5 2 2" xfId="12051" xr:uid="{00000000-0005-0000-0000-00004E730000}"/>
    <cellStyle name="Total 2 2 2 2 2 5 2 3" xfId="18289" xr:uid="{00000000-0005-0000-0000-00004F730000}"/>
    <cellStyle name="Total 2 2 2 2 2 5 2 4" xfId="21601" xr:uid="{00000000-0005-0000-0000-000050730000}"/>
    <cellStyle name="Total 2 2 2 2 2 5 3" xfId="10893" xr:uid="{00000000-0005-0000-0000-000051730000}"/>
    <cellStyle name="Total 2 2 2 2 2 5 4" xfId="16998" xr:uid="{00000000-0005-0000-0000-000052730000}"/>
    <cellStyle name="Total 2 2 2 2 2 5 5" xfId="19893" xr:uid="{00000000-0005-0000-0000-000053730000}"/>
    <cellStyle name="Total 2 2 2 2 2 6" xfId="6607" xr:uid="{00000000-0005-0000-0000-000054730000}"/>
    <cellStyle name="Total 2 2 2 2 2 6 2" xfId="8315" xr:uid="{00000000-0005-0000-0000-000055730000}"/>
    <cellStyle name="Total 2 2 2 2 2 6 2 2" xfId="12283" xr:uid="{00000000-0005-0000-0000-000056730000}"/>
    <cellStyle name="Total 2 2 2 2 2 6 2 3" xfId="18460" xr:uid="{00000000-0005-0000-0000-000057730000}"/>
    <cellStyle name="Total 2 2 2 2 2 6 2 4" xfId="21833" xr:uid="{00000000-0005-0000-0000-000058730000}"/>
    <cellStyle name="Total 2 2 2 2 2 6 3" xfId="10933" xr:uid="{00000000-0005-0000-0000-000059730000}"/>
    <cellStyle name="Total 2 2 2 2 2 6 4" xfId="17169" xr:uid="{00000000-0005-0000-0000-00005A730000}"/>
    <cellStyle name="Total 2 2 2 2 2 6 5" xfId="20125" xr:uid="{00000000-0005-0000-0000-00005B730000}"/>
    <cellStyle name="Total 2 2 2 2 2 7" xfId="6839" xr:uid="{00000000-0005-0000-0000-00005C730000}"/>
    <cellStyle name="Total 2 2 2 2 2 7 2" xfId="8547" xr:uid="{00000000-0005-0000-0000-00005D730000}"/>
    <cellStyle name="Total 2 2 2 2 2 7 2 2" xfId="12515" xr:uid="{00000000-0005-0000-0000-00005E730000}"/>
    <cellStyle name="Total 2 2 2 2 2 7 2 3" xfId="18631" xr:uid="{00000000-0005-0000-0000-00005F730000}"/>
    <cellStyle name="Total 2 2 2 2 2 7 2 4" xfId="22065" xr:uid="{00000000-0005-0000-0000-000060730000}"/>
    <cellStyle name="Total 2 2 2 2 2 7 3" xfId="10973" xr:uid="{00000000-0005-0000-0000-000061730000}"/>
    <cellStyle name="Total 2 2 2 2 2 7 4" xfId="17339" xr:uid="{00000000-0005-0000-0000-000062730000}"/>
    <cellStyle name="Total 2 2 2 2 2 7 5" xfId="20357" xr:uid="{00000000-0005-0000-0000-000063730000}"/>
    <cellStyle name="Total 2 2 2 2 2 8" xfId="5803" xr:uid="{00000000-0005-0000-0000-000064730000}"/>
    <cellStyle name="Total 2 2 2 2 2 8 2" xfId="10568" xr:uid="{00000000-0005-0000-0000-000065730000}"/>
    <cellStyle name="Total 2 2 2 2 2 8 3" xfId="16568" xr:uid="{00000000-0005-0000-0000-000066730000}"/>
    <cellStyle name="Total 2 2 2 2 2 8 4" xfId="19321" xr:uid="{00000000-0005-0000-0000-000067730000}"/>
    <cellStyle name="Total 2 2 2 2 2 9" xfId="7511" xr:uid="{00000000-0005-0000-0000-000068730000}"/>
    <cellStyle name="Total 2 2 2 2 2 9 2" xfId="11554" xr:uid="{00000000-0005-0000-0000-000069730000}"/>
    <cellStyle name="Total 2 2 2 2 2 9 3" xfId="17860" xr:uid="{00000000-0005-0000-0000-00006A730000}"/>
    <cellStyle name="Total 2 2 2 2 2 9 4" xfId="21029" xr:uid="{00000000-0005-0000-0000-00006B730000}"/>
    <cellStyle name="Total 2 2 2 2 3" xfId="3191" xr:uid="{00000000-0005-0000-0000-00006C730000}"/>
    <cellStyle name="Total 2 2 2 2 3 10" xfId="9321" xr:uid="{00000000-0005-0000-0000-00006D730000}"/>
    <cellStyle name="Total 2 2 2 2 3 11" xfId="14636" xr:uid="{00000000-0005-0000-0000-00006E730000}"/>
    <cellStyle name="Total 2 2 2 2 3 12" xfId="16713" xr:uid="{00000000-0005-0000-0000-00006F730000}"/>
    <cellStyle name="Total 2 2 2 2 3 2" xfId="3578" xr:uid="{00000000-0005-0000-0000-000070730000}"/>
    <cellStyle name="Total 2 2 2 2 3 2 2" xfId="7269" xr:uid="{00000000-0005-0000-0000-000071730000}"/>
    <cellStyle name="Total 2 2 2 2 3 2 2 2" xfId="11374" xr:uid="{00000000-0005-0000-0000-000072730000}"/>
    <cellStyle name="Total 2 2 2 2 3 2 2 3" xfId="17668" xr:uid="{00000000-0005-0000-0000-000073730000}"/>
    <cellStyle name="Total 2 2 2 2 3 2 2 4" xfId="20787" xr:uid="{00000000-0005-0000-0000-000074730000}"/>
    <cellStyle name="Total 2 2 2 2 3 2 3" xfId="5560" xr:uid="{00000000-0005-0000-0000-000075730000}"/>
    <cellStyle name="Total 2 2 2 2 3 2 3 2" xfId="16377" xr:uid="{00000000-0005-0000-0000-000076730000}"/>
    <cellStyle name="Total 2 2 2 2 3 2 3 3" xfId="19078" xr:uid="{00000000-0005-0000-0000-000077730000}"/>
    <cellStyle name="Total 2 2 2 2 3 2 4" xfId="9670" xr:uid="{00000000-0005-0000-0000-000078730000}"/>
    <cellStyle name="Total 2 2 2 2 3 2 5" xfId="14916" xr:uid="{00000000-0005-0000-0000-000079730000}"/>
    <cellStyle name="Total 2 2 2 2 3 2 6" xfId="17747" xr:uid="{00000000-0005-0000-0000-00007A730000}"/>
    <cellStyle name="Total 2 2 2 2 3 3" xfId="3961" xr:uid="{00000000-0005-0000-0000-00007B730000}"/>
    <cellStyle name="Total 2 2 2 2 3 3 2" xfId="7196" xr:uid="{00000000-0005-0000-0000-00007C730000}"/>
    <cellStyle name="Total 2 2 2 2 3 3 2 2" xfId="11322" xr:uid="{00000000-0005-0000-0000-00007D730000}"/>
    <cellStyle name="Total 2 2 2 2 3 3 2 3" xfId="17602" xr:uid="{00000000-0005-0000-0000-00007E730000}"/>
    <cellStyle name="Total 2 2 2 2 3 3 2 4" xfId="20714" xr:uid="{00000000-0005-0000-0000-00007F730000}"/>
    <cellStyle name="Total 2 2 2 2 3 3 3" xfId="5487" xr:uid="{00000000-0005-0000-0000-000080730000}"/>
    <cellStyle name="Total 2 2 2 2 3 3 3 2" xfId="16311" xr:uid="{00000000-0005-0000-0000-000081730000}"/>
    <cellStyle name="Total 2 2 2 2 3 3 3 3" xfId="19005" xr:uid="{00000000-0005-0000-0000-000082730000}"/>
    <cellStyle name="Total 2 2 2 2 3 3 4" xfId="9884" xr:uid="{00000000-0005-0000-0000-000083730000}"/>
    <cellStyle name="Total 2 2 2 2 3 3 5" xfId="15192" xr:uid="{00000000-0005-0000-0000-000084730000}"/>
    <cellStyle name="Total 2 2 2 2 3 3 6" xfId="14030" xr:uid="{00000000-0005-0000-0000-000085730000}"/>
    <cellStyle name="Total 2 2 2 2 3 4" xfId="4344" xr:uid="{00000000-0005-0000-0000-000086730000}"/>
    <cellStyle name="Total 2 2 2 2 3 4 2" xfId="8149" xr:uid="{00000000-0005-0000-0000-000087730000}"/>
    <cellStyle name="Total 2 2 2 2 3 4 2 2" xfId="12117" xr:uid="{00000000-0005-0000-0000-000088730000}"/>
    <cellStyle name="Total 2 2 2 2 3 4 2 3" xfId="18350" xr:uid="{00000000-0005-0000-0000-000089730000}"/>
    <cellStyle name="Total 2 2 2 2 3 4 2 4" xfId="21667" xr:uid="{00000000-0005-0000-0000-00008A730000}"/>
    <cellStyle name="Total 2 2 2 2 3 4 3" xfId="6441" xr:uid="{00000000-0005-0000-0000-00008B730000}"/>
    <cellStyle name="Total 2 2 2 2 3 4 3 2" xfId="17059" xr:uid="{00000000-0005-0000-0000-00008C730000}"/>
    <cellStyle name="Total 2 2 2 2 3 4 3 3" xfId="19959" xr:uid="{00000000-0005-0000-0000-00008D730000}"/>
    <cellStyle name="Total 2 2 2 2 3 4 4" xfId="10062" xr:uid="{00000000-0005-0000-0000-00008E730000}"/>
    <cellStyle name="Total 2 2 2 2 3 4 5" xfId="15467" xr:uid="{00000000-0005-0000-0000-00008F730000}"/>
    <cellStyle name="Total 2 2 2 2 3 4 6" xfId="13661" xr:uid="{00000000-0005-0000-0000-000090730000}"/>
    <cellStyle name="Total 2 2 2 2 3 5" xfId="4726" xr:uid="{00000000-0005-0000-0000-000091730000}"/>
    <cellStyle name="Total 2 2 2 2 3 5 2" xfId="8381" xr:uid="{00000000-0005-0000-0000-000092730000}"/>
    <cellStyle name="Total 2 2 2 2 3 5 2 2" xfId="12349" xr:uid="{00000000-0005-0000-0000-000093730000}"/>
    <cellStyle name="Total 2 2 2 2 3 5 2 3" xfId="18521" xr:uid="{00000000-0005-0000-0000-000094730000}"/>
    <cellStyle name="Total 2 2 2 2 3 5 2 4" xfId="21899" xr:uid="{00000000-0005-0000-0000-000095730000}"/>
    <cellStyle name="Total 2 2 2 2 3 5 3" xfId="6673" xr:uid="{00000000-0005-0000-0000-000096730000}"/>
    <cellStyle name="Total 2 2 2 2 3 5 3 2" xfId="17230" xr:uid="{00000000-0005-0000-0000-000097730000}"/>
    <cellStyle name="Total 2 2 2 2 3 5 3 3" xfId="20191" xr:uid="{00000000-0005-0000-0000-000098730000}"/>
    <cellStyle name="Total 2 2 2 2 3 5 4" xfId="10239" xr:uid="{00000000-0005-0000-0000-000099730000}"/>
    <cellStyle name="Total 2 2 2 2 3 5 5" xfId="15741" xr:uid="{00000000-0005-0000-0000-00009A730000}"/>
    <cellStyle name="Total 2 2 2 2 3 5 6" xfId="13279" xr:uid="{00000000-0005-0000-0000-00009B730000}"/>
    <cellStyle name="Total 2 2 2 2 3 6" xfId="6905" xr:uid="{00000000-0005-0000-0000-00009C730000}"/>
    <cellStyle name="Total 2 2 2 2 3 6 2" xfId="8613" xr:uid="{00000000-0005-0000-0000-00009D730000}"/>
    <cellStyle name="Total 2 2 2 2 3 6 2 2" xfId="12581" xr:uid="{00000000-0005-0000-0000-00009E730000}"/>
    <cellStyle name="Total 2 2 2 2 3 6 2 3" xfId="18692" xr:uid="{00000000-0005-0000-0000-00009F730000}"/>
    <cellStyle name="Total 2 2 2 2 3 6 2 4" xfId="22131" xr:uid="{00000000-0005-0000-0000-0000A0730000}"/>
    <cellStyle name="Total 2 2 2 2 3 6 3" xfId="11039" xr:uid="{00000000-0005-0000-0000-0000A1730000}"/>
    <cellStyle name="Total 2 2 2 2 3 6 4" xfId="17400" xr:uid="{00000000-0005-0000-0000-0000A2730000}"/>
    <cellStyle name="Total 2 2 2 2 3 6 5" xfId="20423" xr:uid="{00000000-0005-0000-0000-0000A3730000}"/>
    <cellStyle name="Total 2 2 2 2 3 7" xfId="5893" xr:uid="{00000000-0005-0000-0000-0000A4730000}"/>
    <cellStyle name="Total 2 2 2 2 3 7 2" xfId="10634" xr:uid="{00000000-0005-0000-0000-0000A5730000}"/>
    <cellStyle name="Total 2 2 2 2 3 7 3" xfId="16638" xr:uid="{00000000-0005-0000-0000-0000A6730000}"/>
    <cellStyle name="Total 2 2 2 2 3 7 4" xfId="19411" xr:uid="{00000000-0005-0000-0000-0000A7730000}"/>
    <cellStyle name="Total 2 2 2 2 3 8" xfId="7601" xr:uid="{00000000-0005-0000-0000-0000A8730000}"/>
    <cellStyle name="Total 2 2 2 2 3 8 2" xfId="11622" xr:uid="{00000000-0005-0000-0000-0000A9730000}"/>
    <cellStyle name="Total 2 2 2 2 3 8 3" xfId="17930" xr:uid="{00000000-0005-0000-0000-0000AA730000}"/>
    <cellStyle name="Total 2 2 2 2 3 8 4" xfId="21119" xr:uid="{00000000-0005-0000-0000-0000AB730000}"/>
    <cellStyle name="Total 2 2 2 2 3 9" xfId="4988" xr:uid="{00000000-0005-0000-0000-0000AC730000}"/>
    <cellStyle name="Total 2 2 2 2 3 9 2" xfId="15953" xr:uid="{00000000-0005-0000-0000-0000AD730000}"/>
    <cellStyle name="Total 2 2 2 2 3 9 3" xfId="13031" xr:uid="{00000000-0005-0000-0000-0000AE730000}"/>
    <cellStyle name="Total 2 2 2 2 4" xfId="3041" xr:uid="{00000000-0005-0000-0000-0000AF730000}"/>
    <cellStyle name="Total 2 2 2 2 4 2" xfId="3428" xr:uid="{00000000-0005-0000-0000-0000B0730000}"/>
    <cellStyle name="Total 2 2 2 2 4 2 2" xfId="7779" xr:uid="{00000000-0005-0000-0000-0000B1730000}"/>
    <cellStyle name="Total 2 2 2 2 4 2 2 2" xfId="18049" xr:uid="{00000000-0005-0000-0000-0000B2730000}"/>
    <cellStyle name="Total 2 2 2 2 4 2 2 3" xfId="21297" xr:uid="{00000000-0005-0000-0000-0000B3730000}"/>
    <cellStyle name="Total 2 2 2 2 4 2 3" xfId="9540" xr:uid="{00000000-0005-0000-0000-0000B4730000}"/>
    <cellStyle name="Total 2 2 2 2 4 2 4" xfId="14795" xr:uid="{00000000-0005-0000-0000-0000B5730000}"/>
    <cellStyle name="Total 2 2 2 2 4 2 5" xfId="15934" xr:uid="{00000000-0005-0000-0000-0000B6730000}"/>
    <cellStyle name="Total 2 2 2 2 4 3" xfId="3811" xr:uid="{00000000-0005-0000-0000-0000B7730000}"/>
    <cellStyle name="Total 2 2 2 2 4 3 2" xfId="15071" xr:uid="{00000000-0005-0000-0000-0000B8730000}"/>
    <cellStyle name="Total 2 2 2 2 4 3 3" xfId="15027" xr:uid="{00000000-0005-0000-0000-0000B9730000}"/>
    <cellStyle name="Total 2 2 2 2 4 4" xfId="4194" xr:uid="{00000000-0005-0000-0000-0000BA730000}"/>
    <cellStyle name="Total 2 2 2 2 4 4 2" xfId="15346" xr:uid="{00000000-0005-0000-0000-0000BB730000}"/>
    <cellStyle name="Total 2 2 2 2 4 4 3" xfId="13811" xr:uid="{00000000-0005-0000-0000-0000BC730000}"/>
    <cellStyle name="Total 2 2 2 2 4 5" xfId="4576" xr:uid="{00000000-0005-0000-0000-0000BD730000}"/>
    <cellStyle name="Total 2 2 2 2 4 5 2" xfId="15620" xr:uid="{00000000-0005-0000-0000-0000BE730000}"/>
    <cellStyle name="Total 2 2 2 2 4 5 3" xfId="13429" xr:uid="{00000000-0005-0000-0000-0000BF730000}"/>
    <cellStyle name="Total 2 2 2 2 4 6" xfId="6071" xr:uid="{00000000-0005-0000-0000-0000C0730000}"/>
    <cellStyle name="Total 2 2 2 2 4 6 2" xfId="16757" xr:uid="{00000000-0005-0000-0000-0000C1730000}"/>
    <cellStyle name="Total 2 2 2 2 4 6 3" xfId="19589" xr:uid="{00000000-0005-0000-0000-0000C2730000}"/>
    <cellStyle name="Total 2 2 2 2 4 7" xfId="9181" xr:uid="{00000000-0005-0000-0000-0000C3730000}"/>
    <cellStyle name="Total 2 2 2 2 4 8" xfId="14515" xr:uid="{00000000-0005-0000-0000-0000C4730000}"/>
    <cellStyle name="Total 2 2 2 2 4 9" xfId="16890" xr:uid="{00000000-0005-0000-0000-0000C5730000}"/>
    <cellStyle name="Total 2 2 2 2 5" xfId="5286" xr:uid="{00000000-0005-0000-0000-0000C6730000}"/>
    <cellStyle name="Total 2 2 2 2 5 2" xfId="5081" xr:uid="{00000000-0005-0000-0000-0000C7730000}"/>
    <cellStyle name="Total 2 2 2 2 5 2 2" xfId="10332" xr:uid="{00000000-0005-0000-0000-0000C8730000}"/>
    <cellStyle name="Total 2 2 2 2 5 2 3" xfId="16019" xr:uid="{00000000-0005-0000-0000-0000C9730000}"/>
    <cellStyle name="Total 2 2 2 2 5 2 4" xfId="12954" xr:uid="{00000000-0005-0000-0000-0000CA730000}"/>
    <cellStyle name="Total 2 2 2 2 5 3" xfId="10411" xr:uid="{00000000-0005-0000-0000-0000CB730000}"/>
    <cellStyle name="Total 2 2 2 2 5 4" xfId="16164" xr:uid="{00000000-0005-0000-0000-0000CC730000}"/>
    <cellStyle name="Total 2 2 2 2 5 5" xfId="18804" xr:uid="{00000000-0005-0000-0000-0000CD730000}"/>
    <cellStyle name="Total 2 2 2 2 6" xfId="5453" xr:uid="{00000000-0005-0000-0000-0000CE730000}"/>
    <cellStyle name="Total 2 2 2 2 6 2" xfId="7162" xr:uid="{00000000-0005-0000-0000-0000CF730000}"/>
    <cellStyle name="Total 2 2 2 2 6 2 2" xfId="11292" xr:uid="{00000000-0005-0000-0000-0000D0730000}"/>
    <cellStyle name="Total 2 2 2 2 6 2 3" xfId="17575" xr:uid="{00000000-0005-0000-0000-0000D1730000}"/>
    <cellStyle name="Total 2 2 2 2 6 2 4" xfId="20680" xr:uid="{00000000-0005-0000-0000-0000D2730000}"/>
    <cellStyle name="Total 2 2 2 2 6 3" xfId="10466" xr:uid="{00000000-0005-0000-0000-0000D3730000}"/>
    <cellStyle name="Total 2 2 2 2 6 4" xfId="16285" xr:uid="{00000000-0005-0000-0000-0000D4730000}"/>
    <cellStyle name="Total 2 2 2 2 6 5" xfId="18971" xr:uid="{00000000-0005-0000-0000-0000D5730000}"/>
    <cellStyle name="Total 2 2 2 2 7" xfId="5418" xr:uid="{00000000-0005-0000-0000-0000D6730000}"/>
    <cellStyle name="Total 2 2 2 2 7 2" xfId="7127" xr:uid="{00000000-0005-0000-0000-0000D7730000}"/>
    <cellStyle name="Total 2 2 2 2 7 2 2" xfId="11261" xr:uid="{00000000-0005-0000-0000-0000D8730000}"/>
    <cellStyle name="Total 2 2 2 2 7 2 3" xfId="17547" xr:uid="{00000000-0005-0000-0000-0000D9730000}"/>
    <cellStyle name="Total 2 2 2 2 7 2 4" xfId="20645" xr:uid="{00000000-0005-0000-0000-0000DA730000}"/>
    <cellStyle name="Total 2 2 2 2 7 3" xfId="10435" xr:uid="{00000000-0005-0000-0000-0000DB730000}"/>
    <cellStyle name="Total 2 2 2 2 7 4" xfId="16257" xr:uid="{00000000-0005-0000-0000-0000DC730000}"/>
    <cellStyle name="Total 2 2 2 2 7 5" xfId="18936" xr:uid="{00000000-0005-0000-0000-0000DD730000}"/>
    <cellStyle name="Total 2 2 2 2 8" xfId="5458" xr:uid="{00000000-0005-0000-0000-0000DE730000}"/>
    <cellStyle name="Total 2 2 2 2 8 2" xfId="7167" xr:uid="{00000000-0005-0000-0000-0000DF730000}"/>
    <cellStyle name="Total 2 2 2 2 8 2 2" xfId="11297" xr:uid="{00000000-0005-0000-0000-0000E0730000}"/>
    <cellStyle name="Total 2 2 2 2 8 2 3" xfId="17579" xr:uid="{00000000-0005-0000-0000-0000E1730000}"/>
    <cellStyle name="Total 2 2 2 2 8 2 4" xfId="20685" xr:uid="{00000000-0005-0000-0000-0000E2730000}"/>
    <cellStyle name="Total 2 2 2 2 8 3" xfId="10468" xr:uid="{00000000-0005-0000-0000-0000E3730000}"/>
    <cellStyle name="Total 2 2 2 2 8 4" xfId="16289" xr:uid="{00000000-0005-0000-0000-0000E4730000}"/>
    <cellStyle name="Total 2 2 2 2 8 5" xfId="18976" xr:uid="{00000000-0005-0000-0000-0000E5730000}"/>
    <cellStyle name="Total 2 2 2 2 9" xfId="5768" xr:uid="{00000000-0005-0000-0000-0000E6730000}"/>
    <cellStyle name="Total 2 2 2 2 9 2" xfId="10544" xr:uid="{00000000-0005-0000-0000-0000E7730000}"/>
    <cellStyle name="Total 2 2 2 2 9 3" xfId="16545" xr:uid="{00000000-0005-0000-0000-0000E8730000}"/>
    <cellStyle name="Total 2 2 2 2 9 4" xfId="19286" xr:uid="{00000000-0005-0000-0000-0000E9730000}"/>
    <cellStyle name="Total 2 2 2 3" xfId="2680" xr:uid="{00000000-0005-0000-0000-0000EA730000}"/>
    <cellStyle name="Total 2 2 2 3 10" xfId="7525" xr:uid="{00000000-0005-0000-0000-0000EB730000}"/>
    <cellStyle name="Total 2 2 2 3 10 2" xfId="11565" xr:uid="{00000000-0005-0000-0000-0000EC730000}"/>
    <cellStyle name="Total 2 2 2 3 10 3" xfId="17872" xr:uid="{00000000-0005-0000-0000-0000ED730000}"/>
    <cellStyle name="Total 2 2 2 3 10 4" xfId="21043" xr:uid="{00000000-0005-0000-0000-0000EE730000}"/>
    <cellStyle name="Total 2 2 2 3 11" xfId="4928" xr:uid="{00000000-0005-0000-0000-0000EF730000}"/>
    <cellStyle name="Total 2 2 2 3 11 2" xfId="15898" xr:uid="{00000000-0005-0000-0000-0000F0730000}"/>
    <cellStyle name="Total 2 2 2 3 11 3" xfId="13091" xr:uid="{00000000-0005-0000-0000-0000F1730000}"/>
    <cellStyle name="Total 2 2 2 3 12" xfId="8836" xr:uid="{00000000-0005-0000-0000-0000F2730000}"/>
    <cellStyle name="Total 2 2 2 3 13" xfId="14253" xr:uid="{00000000-0005-0000-0000-0000F3730000}"/>
    <cellStyle name="Total 2 2 2 3 14" xfId="15495" xr:uid="{00000000-0005-0000-0000-0000F4730000}"/>
    <cellStyle name="Total 2 2 2 3 2" xfId="2738" xr:uid="{00000000-0005-0000-0000-0000F5730000}"/>
    <cellStyle name="Total 2 2 2 3 2 10" xfId="4950" xr:uid="{00000000-0005-0000-0000-0000F6730000}"/>
    <cellStyle name="Total 2 2 2 3 2 10 2" xfId="15920" xr:uid="{00000000-0005-0000-0000-0000F7730000}"/>
    <cellStyle name="Total 2 2 2 3 2 10 3" xfId="13069" xr:uid="{00000000-0005-0000-0000-0000F8730000}"/>
    <cellStyle name="Total 2 2 2 3 2 11" xfId="8893" xr:uid="{00000000-0005-0000-0000-0000F9730000}"/>
    <cellStyle name="Total 2 2 2 3 2 12" xfId="14297" xr:uid="{00000000-0005-0000-0000-0000FA730000}"/>
    <cellStyle name="Total 2 2 2 3 2 2" xfId="3228" xr:uid="{00000000-0005-0000-0000-0000FB730000}"/>
    <cellStyle name="Total 2 2 2 3 2 2 10" xfId="9358" xr:uid="{00000000-0005-0000-0000-0000FC730000}"/>
    <cellStyle name="Total 2 2 2 3 2 2 11" xfId="14662" xr:uid="{00000000-0005-0000-0000-0000FD730000}"/>
    <cellStyle name="Total 2 2 2 3 2 2 12" xfId="16254" xr:uid="{00000000-0005-0000-0000-0000FE730000}"/>
    <cellStyle name="Total 2 2 2 3 2 2 2" xfId="3615" xr:uid="{00000000-0005-0000-0000-0000FF730000}"/>
    <cellStyle name="Total 2 2 2 3 2 2 2 2" xfId="7976" xr:uid="{00000000-0005-0000-0000-000000740000}"/>
    <cellStyle name="Total 2 2 2 3 2 2 2 2 2" xfId="11952" xr:uid="{00000000-0005-0000-0000-000001740000}"/>
    <cellStyle name="Total 2 2 2 3 2 2 2 2 3" xfId="18202" xr:uid="{00000000-0005-0000-0000-000002740000}"/>
    <cellStyle name="Total 2 2 2 3 2 2 2 2 4" xfId="21494" xr:uid="{00000000-0005-0000-0000-000003740000}"/>
    <cellStyle name="Total 2 2 2 3 2 2 2 3" xfId="6268" xr:uid="{00000000-0005-0000-0000-000004740000}"/>
    <cellStyle name="Total 2 2 2 3 2 2 2 3 2" xfId="16910" xr:uid="{00000000-0005-0000-0000-000005740000}"/>
    <cellStyle name="Total 2 2 2 3 2 2 2 3 3" xfId="19786" xr:uid="{00000000-0005-0000-0000-000006740000}"/>
    <cellStyle name="Total 2 2 2 3 2 2 2 4" xfId="9707" xr:uid="{00000000-0005-0000-0000-000007740000}"/>
    <cellStyle name="Total 2 2 2 3 2 2 2 5" xfId="14942" xr:uid="{00000000-0005-0000-0000-000008740000}"/>
    <cellStyle name="Total 2 2 2 3 2 2 2 6" xfId="17142" xr:uid="{00000000-0005-0000-0000-000009740000}"/>
    <cellStyle name="Total 2 2 2 3 2 2 3" xfId="3998" xr:uid="{00000000-0005-0000-0000-00000A740000}"/>
    <cellStyle name="Total 2 2 2 3 2 2 3 2" xfId="7090" xr:uid="{00000000-0005-0000-0000-00000B740000}"/>
    <cellStyle name="Total 2 2 2 3 2 2 3 2 2" xfId="11224" xr:uid="{00000000-0005-0000-0000-00000C740000}"/>
    <cellStyle name="Total 2 2 2 3 2 2 3 2 3" xfId="17519" xr:uid="{00000000-0005-0000-0000-00000D740000}"/>
    <cellStyle name="Total 2 2 2 3 2 2 3 2 4" xfId="20608" xr:uid="{00000000-0005-0000-0000-00000E740000}"/>
    <cellStyle name="Total 2 2 2 3 2 2 3 3" xfId="5381" xr:uid="{00000000-0005-0000-0000-00000F740000}"/>
    <cellStyle name="Total 2 2 2 3 2 2 3 3 2" xfId="16229" xr:uid="{00000000-0005-0000-0000-000010740000}"/>
    <cellStyle name="Total 2 2 2 3 2 2 3 3 3" xfId="18899" xr:uid="{00000000-0005-0000-0000-000011740000}"/>
    <cellStyle name="Total 2 2 2 3 2 2 3 4" xfId="9917" xr:uid="{00000000-0005-0000-0000-000012740000}"/>
    <cellStyle name="Total 2 2 2 3 2 2 3 5" xfId="15218" xr:uid="{00000000-0005-0000-0000-000013740000}"/>
    <cellStyle name="Total 2 2 2 3 2 2 3 6" xfId="13993" xr:uid="{00000000-0005-0000-0000-000014740000}"/>
    <cellStyle name="Total 2 2 2 3 2 2 4" xfId="4381" xr:uid="{00000000-0005-0000-0000-000015740000}"/>
    <cellStyle name="Total 2 2 2 3 2 2 4 2" xfId="8283" xr:uid="{00000000-0005-0000-0000-000016740000}"/>
    <cellStyle name="Total 2 2 2 3 2 2 4 2 2" xfId="12251" xr:uid="{00000000-0005-0000-0000-000017740000}"/>
    <cellStyle name="Total 2 2 2 3 2 2 4 2 3" xfId="18435" xr:uid="{00000000-0005-0000-0000-000018740000}"/>
    <cellStyle name="Total 2 2 2 3 2 2 4 2 4" xfId="21801" xr:uid="{00000000-0005-0000-0000-000019740000}"/>
    <cellStyle name="Total 2 2 2 3 2 2 4 3" xfId="6575" xr:uid="{00000000-0005-0000-0000-00001A740000}"/>
    <cellStyle name="Total 2 2 2 3 2 2 4 3 2" xfId="17144" xr:uid="{00000000-0005-0000-0000-00001B740000}"/>
    <cellStyle name="Total 2 2 2 3 2 2 4 3 3" xfId="20093" xr:uid="{00000000-0005-0000-0000-00001C740000}"/>
    <cellStyle name="Total 2 2 2 3 2 2 4 4" xfId="10095" xr:uid="{00000000-0005-0000-0000-00001D740000}"/>
    <cellStyle name="Total 2 2 2 3 2 2 4 5" xfId="15493" xr:uid="{00000000-0005-0000-0000-00001E740000}"/>
    <cellStyle name="Total 2 2 2 3 2 2 4 6" xfId="13624" xr:uid="{00000000-0005-0000-0000-00001F740000}"/>
    <cellStyle name="Total 2 2 2 3 2 2 5" xfId="4763" xr:uid="{00000000-0005-0000-0000-000020740000}"/>
    <cellStyle name="Total 2 2 2 3 2 2 5 2" xfId="8515" xr:uid="{00000000-0005-0000-0000-000021740000}"/>
    <cellStyle name="Total 2 2 2 3 2 2 5 2 2" xfId="12483" xr:uid="{00000000-0005-0000-0000-000022740000}"/>
    <cellStyle name="Total 2 2 2 3 2 2 5 2 3" xfId="18606" xr:uid="{00000000-0005-0000-0000-000023740000}"/>
    <cellStyle name="Total 2 2 2 3 2 2 5 2 4" xfId="22033" xr:uid="{00000000-0005-0000-0000-000024740000}"/>
    <cellStyle name="Total 2 2 2 3 2 2 5 3" xfId="6807" xr:uid="{00000000-0005-0000-0000-000025740000}"/>
    <cellStyle name="Total 2 2 2 3 2 2 5 3 2" xfId="17314" xr:uid="{00000000-0005-0000-0000-000026740000}"/>
    <cellStyle name="Total 2 2 2 3 2 2 5 3 3" xfId="20325" xr:uid="{00000000-0005-0000-0000-000027740000}"/>
    <cellStyle name="Total 2 2 2 3 2 2 5 4" xfId="10272" xr:uid="{00000000-0005-0000-0000-000028740000}"/>
    <cellStyle name="Total 2 2 2 3 2 2 5 5" xfId="15766" xr:uid="{00000000-0005-0000-0000-000029740000}"/>
    <cellStyle name="Total 2 2 2 3 2 2 5 6" xfId="13242" xr:uid="{00000000-0005-0000-0000-00002A740000}"/>
    <cellStyle name="Total 2 2 2 3 2 2 6" xfId="7039" xr:uid="{00000000-0005-0000-0000-00002B740000}"/>
    <cellStyle name="Total 2 2 2 3 2 2 6 2" xfId="8747" xr:uid="{00000000-0005-0000-0000-00002C740000}"/>
    <cellStyle name="Total 2 2 2 3 2 2 6 2 2" xfId="12715" xr:uid="{00000000-0005-0000-0000-00002D740000}"/>
    <cellStyle name="Total 2 2 2 3 2 2 6 2 3" xfId="18778" xr:uid="{00000000-0005-0000-0000-00002E740000}"/>
    <cellStyle name="Total 2 2 2 3 2 2 6 2 4" xfId="22265" xr:uid="{00000000-0005-0000-0000-00002F740000}"/>
    <cellStyle name="Total 2 2 2 3 2 2 6 3" xfId="11173" xr:uid="{00000000-0005-0000-0000-000030740000}"/>
    <cellStyle name="Total 2 2 2 3 2 2 6 4" xfId="17485" xr:uid="{00000000-0005-0000-0000-000031740000}"/>
    <cellStyle name="Total 2 2 2 3 2 2 6 5" xfId="20557" xr:uid="{00000000-0005-0000-0000-000032740000}"/>
    <cellStyle name="Total 2 2 2 3 2 2 7" xfId="6027" xr:uid="{00000000-0005-0000-0000-000033740000}"/>
    <cellStyle name="Total 2 2 2 3 2 2 7 2" xfId="10768" xr:uid="{00000000-0005-0000-0000-000034740000}"/>
    <cellStyle name="Total 2 2 2 3 2 2 7 3" xfId="16724" xr:uid="{00000000-0005-0000-0000-000035740000}"/>
    <cellStyle name="Total 2 2 2 3 2 2 7 4" xfId="19545" xr:uid="{00000000-0005-0000-0000-000036740000}"/>
    <cellStyle name="Total 2 2 2 3 2 2 8" xfId="7735" xr:uid="{00000000-0005-0000-0000-000037740000}"/>
    <cellStyle name="Total 2 2 2 3 2 2 8 2" xfId="11756" xr:uid="{00000000-0005-0000-0000-000038740000}"/>
    <cellStyle name="Total 2 2 2 3 2 2 8 3" xfId="18016" xr:uid="{00000000-0005-0000-0000-000039740000}"/>
    <cellStyle name="Total 2 2 2 3 2 2 8 4" xfId="21253" xr:uid="{00000000-0005-0000-0000-00003A740000}"/>
    <cellStyle name="Total 2 2 2 3 2 2 9" xfId="5221" xr:uid="{00000000-0005-0000-0000-00003B740000}"/>
    <cellStyle name="Total 2 2 2 3 2 2 9 2" xfId="16112" xr:uid="{00000000-0005-0000-0000-00003C740000}"/>
    <cellStyle name="Total 2 2 2 3 2 2 9 3" xfId="12873" xr:uid="{00000000-0005-0000-0000-00003D740000}"/>
    <cellStyle name="Total 2 2 2 3 2 3" xfId="3285" xr:uid="{00000000-0005-0000-0000-00003E740000}"/>
    <cellStyle name="Total 2 2 2 3 2 3 2" xfId="3672" xr:uid="{00000000-0005-0000-0000-00003F740000}"/>
    <cellStyle name="Total 2 2 2 3 2 3 2 2" xfId="7250" xr:uid="{00000000-0005-0000-0000-000040740000}"/>
    <cellStyle name="Total 2 2 2 3 2 3 2 2 2" xfId="17651" xr:uid="{00000000-0005-0000-0000-000041740000}"/>
    <cellStyle name="Total 2 2 2 3 2 3 2 2 3" xfId="20768" xr:uid="{00000000-0005-0000-0000-000042740000}"/>
    <cellStyle name="Total 2 2 2 3 2 3 2 3" xfId="9753" xr:uid="{00000000-0005-0000-0000-000043740000}"/>
    <cellStyle name="Total 2 2 2 3 2 3 2 4" xfId="14984" xr:uid="{00000000-0005-0000-0000-000044740000}"/>
    <cellStyle name="Total 2 2 2 3 2 3 2 5" xfId="17989" xr:uid="{00000000-0005-0000-0000-000045740000}"/>
    <cellStyle name="Total 2 2 2 3 2 3 3" xfId="4055" xr:uid="{00000000-0005-0000-0000-000046740000}"/>
    <cellStyle name="Total 2 2 2 3 2 3 3 2" xfId="15259" xr:uid="{00000000-0005-0000-0000-000047740000}"/>
    <cellStyle name="Total 2 2 2 3 2 3 3 3" xfId="13936" xr:uid="{00000000-0005-0000-0000-000048740000}"/>
    <cellStyle name="Total 2 2 2 3 2 3 4" xfId="4438" xr:uid="{00000000-0005-0000-0000-000049740000}"/>
    <cellStyle name="Total 2 2 2 3 2 3 4 2" xfId="15535" xr:uid="{00000000-0005-0000-0000-00004A740000}"/>
    <cellStyle name="Total 2 2 2 3 2 3 4 3" xfId="13567" xr:uid="{00000000-0005-0000-0000-00004B740000}"/>
    <cellStyle name="Total 2 2 2 3 2 3 5" xfId="4820" xr:uid="{00000000-0005-0000-0000-00004C740000}"/>
    <cellStyle name="Total 2 2 2 3 2 3 5 2" xfId="15807" xr:uid="{00000000-0005-0000-0000-00004D740000}"/>
    <cellStyle name="Total 2 2 2 3 2 3 5 3" xfId="13186" xr:uid="{00000000-0005-0000-0000-00004E740000}"/>
    <cellStyle name="Total 2 2 2 3 2 3 6" xfId="5541" xr:uid="{00000000-0005-0000-0000-00004F740000}"/>
    <cellStyle name="Total 2 2 2 3 2 3 6 2" xfId="16360" xr:uid="{00000000-0005-0000-0000-000050740000}"/>
    <cellStyle name="Total 2 2 2 3 2 3 6 3" xfId="19059" xr:uid="{00000000-0005-0000-0000-000051740000}"/>
    <cellStyle name="Total 2 2 2 3 2 3 7" xfId="9415" xr:uid="{00000000-0005-0000-0000-000052740000}"/>
    <cellStyle name="Total 2 2 2 3 2 3 8" xfId="14704" xr:uid="{00000000-0005-0000-0000-000053740000}"/>
    <cellStyle name="Total 2 2 2 3 2 3 9" xfId="16464" xr:uid="{00000000-0005-0000-0000-000054740000}"/>
    <cellStyle name="Total 2 2 2 3 2 4" xfId="2903" xr:uid="{00000000-0005-0000-0000-000055740000}"/>
    <cellStyle name="Total 2 2 2 3 2 4 2" xfId="7197" xr:uid="{00000000-0005-0000-0000-000056740000}"/>
    <cellStyle name="Total 2 2 2 3 2 4 2 2" xfId="11323" xr:uid="{00000000-0005-0000-0000-000057740000}"/>
    <cellStyle name="Total 2 2 2 3 2 4 2 3" xfId="17603" xr:uid="{00000000-0005-0000-0000-000058740000}"/>
    <cellStyle name="Total 2 2 2 3 2 4 2 4" xfId="20715" xr:uid="{00000000-0005-0000-0000-000059740000}"/>
    <cellStyle name="Total 2 2 2 3 2 4 3" xfId="5488" xr:uid="{00000000-0005-0000-0000-00005A740000}"/>
    <cellStyle name="Total 2 2 2 3 2 4 3 2" xfId="16312" xr:uid="{00000000-0005-0000-0000-00005B740000}"/>
    <cellStyle name="Total 2 2 2 3 2 4 3 3" xfId="19006" xr:uid="{00000000-0005-0000-0000-00005C740000}"/>
    <cellStyle name="Total 2 2 2 3 2 4 4" xfId="9055" xr:uid="{00000000-0005-0000-0000-00005D740000}"/>
    <cellStyle name="Total 2 2 2 3 2 4 5" xfId="14430" xr:uid="{00000000-0005-0000-0000-00005E740000}"/>
    <cellStyle name="Total 2 2 2 3 2 4 6" xfId="15377" xr:uid="{00000000-0005-0000-0000-00005F740000}"/>
    <cellStyle name="Total 2 2 2 3 2 5" xfId="6408" xr:uid="{00000000-0005-0000-0000-000060740000}"/>
    <cellStyle name="Total 2 2 2 3 2 5 2" xfId="8116" xr:uid="{00000000-0005-0000-0000-000061740000}"/>
    <cellStyle name="Total 2 2 2 3 2 5 2 2" xfId="12084" xr:uid="{00000000-0005-0000-0000-000062740000}"/>
    <cellStyle name="Total 2 2 2 3 2 5 2 3" xfId="18322" xr:uid="{00000000-0005-0000-0000-000063740000}"/>
    <cellStyle name="Total 2 2 2 3 2 5 2 4" xfId="21634" xr:uid="{00000000-0005-0000-0000-000064740000}"/>
    <cellStyle name="Total 2 2 2 3 2 5 3" xfId="10926" xr:uid="{00000000-0005-0000-0000-000065740000}"/>
    <cellStyle name="Total 2 2 2 3 2 5 4" xfId="17031" xr:uid="{00000000-0005-0000-0000-000066740000}"/>
    <cellStyle name="Total 2 2 2 3 2 5 5" xfId="19926" xr:uid="{00000000-0005-0000-0000-000067740000}"/>
    <cellStyle name="Total 2 2 2 3 2 6" xfId="6640" xr:uid="{00000000-0005-0000-0000-000068740000}"/>
    <cellStyle name="Total 2 2 2 3 2 6 2" xfId="8348" xr:uid="{00000000-0005-0000-0000-000069740000}"/>
    <cellStyle name="Total 2 2 2 3 2 6 2 2" xfId="12316" xr:uid="{00000000-0005-0000-0000-00006A740000}"/>
    <cellStyle name="Total 2 2 2 3 2 6 2 3" xfId="18493" xr:uid="{00000000-0005-0000-0000-00006B740000}"/>
    <cellStyle name="Total 2 2 2 3 2 6 2 4" xfId="21866" xr:uid="{00000000-0005-0000-0000-00006C740000}"/>
    <cellStyle name="Total 2 2 2 3 2 6 3" xfId="10966" xr:uid="{00000000-0005-0000-0000-00006D740000}"/>
    <cellStyle name="Total 2 2 2 3 2 6 4" xfId="17202" xr:uid="{00000000-0005-0000-0000-00006E740000}"/>
    <cellStyle name="Total 2 2 2 3 2 6 5" xfId="20158" xr:uid="{00000000-0005-0000-0000-00006F740000}"/>
    <cellStyle name="Total 2 2 2 3 2 7" xfId="6872" xr:uid="{00000000-0005-0000-0000-000070740000}"/>
    <cellStyle name="Total 2 2 2 3 2 7 2" xfId="8580" xr:uid="{00000000-0005-0000-0000-000071740000}"/>
    <cellStyle name="Total 2 2 2 3 2 7 2 2" xfId="12548" xr:uid="{00000000-0005-0000-0000-000072740000}"/>
    <cellStyle name="Total 2 2 2 3 2 7 2 3" xfId="18664" xr:uid="{00000000-0005-0000-0000-000073740000}"/>
    <cellStyle name="Total 2 2 2 3 2 7 2 4" xfId="22098" xr:uid="{00000000-0005-0000-0000-000074740000}"/>
    <cellStyle name="Total 2 2 2 3 2 7 3" xfId="11006" xr:uid="{00000000-0005-0000-0000-000075740000}"/>
    <cellStyle name="Total 2 2 2 3 2 7 4" xfId="17372" xr:uid="{00000000-0005-0000-0000-000076740000}"/>
    <cellStyle name="Total 2 2 2 3 2 7 5" xfId="20390" xr:uid="{00000000-0005-0000-0000-000077740000}"/>
    <cellStyle name="Total 2 2 2 3 2 8" xfId="5856" xr:uid="{00000000-0005-0000-0000-000078740000}"/>
    <cellStyle name="Total 2 2 2 3 2 8 2" xfId="10601" xr:uid="{00000000-0005-0000-0000-000079740000}"/>
    <cellStyle name="Total 2 2 2 3 2 8 3" xfId="16609" xr:uid="{00000000-0005-0000-0000-00007A740000}"/>
    <cellStyle name="Total 2 2 2 3 2 8 4" xfId="19374" xr:uid="{00000000-0005-0000-0000-00007B740000}"/>
    <cellStyle name="Total 2 2 2 3 2 9" xfId="7564" xr:uid="{00000000-0005-0000-0000-00007C740000}"/>
    <cellStyle name="Total 2 2 2 3 2 9 2" xfId="11589" xr:uid="{00000000-0005-0000-0000-00007D740000}"/>
    <cellStyle name="Total 2 2 2 3 2 9 3" xfId="17901" xr:uid="{00000000-0005-0000-0000-00007E740000}"/>
    <cellStyle name="Total 2 2 2 3 2 9 4" xfId="21082" xr:uid="{00000000-0005-0000-0000-00007F740000}"/>
    <cellStyle name="Total 2 2 2 3 3" xfId="3171" xr:uid="{00000000-0005-0000-0000-000080740000}"/>
    <cellStyle name="Total 2 2 2 3 3 10" xfId="9301" xr:uid="{00000000-0005-0000-0000-000081740000}"/>
    <cellStyle name="Total 2 2 2 3 3 11" xfId="14620" xr:uid="{00000000-0005-0000-0000-000082740000}"/>
    <cellStyle name="Total 2 2 2 3 3 12" xfId="15297" xr:uid="{00000000-0005-0000-0000-000083740000}"/>
    <cellStyle name="Total 2 2 2 3 3 2" xfId="3558" xr:uid="{00000000-0005-0000-0000-000084740000}"/>
    <cellStyle name="Total 2 2 2 3 3 2 2" xfId="7273" xr:uid="{00000000-0005-0000-0000-000085740000}"/>
    <cellStyle name="Total 2 2 2 3 3 2 2 2" xfId="11378" xr:uid="{00000000-0005-0000-0000-000086740000}"/>
    <cellStyle name="Total 2 2 2 3 3 2 2 3" xfId="17672" xr:uid="{00000000-0005-0000-0000-000087740000}"/>
    <cellStyle name="Total 2 2 2 3 3 2 2 4" xfId="20791" xr:uid="{00000000-0005-0000-0000-000088740000}"/>
    <cellStyle name="Total 2 2 2 3 3 2 3" xfId="5564" xr:uid="{00000000-0005-0000-0000-000089740000}"/>
    <cellStyle name="Total 2 2 2 3 3 2 3 2" xfId="16381" xr:uid="{00000000-0005-0000-0000-00008A740000}"/>
    <cellStyle name="Total 2 2 2 3 3 2 3 3" xfId="19082" xr:uid="{00000000-0005-0000-0000-00008B740000}"/>
    <cellStyle name="Total 2 2 2 3 3 2 4" xfId="9650" xr:uid="{00000000-0005-0000-0000-00008C740000}"/>
    <cellStyle name="Total 2 2 2 3 3 2 5" xfId="14900" xr:uid="{00000000-0005-0000-0000-00008D740000}"/>
    <cellStyle name="Total 2 2 2 3 3 2 6" xfId="15630" xr:uid="{00000000-0005-0000-0000-00008E740000}"/>
    <cellStyle name="Total 2 2 2 3 3 3" xfId="3941" xr:uid="{00000000-0005-0000-0000-00008F740000}"/>
    <cellStyle name="Total 2 2 2 3 3 3 2" xfId="5166" xr:uid="{00000000-0005-0000-0000-000090740000}"/>
    <cellStyle name="Total 2 2 2 3 3 3 2 2" xfId="10387" xr:uid="{00000000-0005-0000-0000-000091740000}"/>
    <cellStyle name="Total 2 2 2 3 3 3 2 3" xfId="16082" xr:uid="{00000000-0005-0000-0000-000092740000}"/>
    <cellStyle name="Total 2 2 2 3 3 3 2 4" xfId="12916" xr:uid="{00000000-0005-0000-0000-000093740000}"/>
    <cellStyle name="Total 2 2 2 3 3 3 3" xfId="5337" xr:uid="{00000000-0005-0000-0000-000094740000}"/>
    <cellStyle name="Total 2 2 2 3 3 3 3 2" xfId="16205" xr:uid="{00000000-0005-0000-0000-000095740000}"/>
    <cellStyle name="Total 2 2 2 3 3 3 3 3" xfId="18855" xr:uid="{00000000-0005-0000-0000-000096740000}"/>
    <cellStyle name="Total 2 2 2 3 3 3 4" xfId="9864" xr:uid="{00000000-0005-0000-0000-000097740000}"/>
    <cellStyle name="Total 2 2 2 3 3 3 5" xfId="15176" xr:uid="{00000000-0005-0000-0000-000098740000}"/>
    <cellStyle name="Total 2 2 2 3 3 3 6" xfId="14050" xr:uid="{00000000-0005-0000-0000-000099740000}"/>
    <cellStyle name="Total 2 2 2 3 3 4" xfId="4324" xr:uid="{00000000-0005-0000-0000-00009A740000}"/>
    <cellStyle name="Total 2 2 2 3 3 4 2" xfId="8169" xr:uid="{00000000-0005-0000-0000-00009B740000}"/>
    <cellStyle name="Total 2 2 2 3 3 4 2 2" xfId="12137" xr:uid="{00000000-0005-0000-0000-00009C740000}"/>
    <cellStyle name="Total 2 2 2 3 3 4 2 3" xfId="18366" xr:uid="{00000000-0005-0000-0000-00009D740000}"/>
    <cellStyle name="Total 2 2 2 3 3 4 2 4" xfId="21687" xr:uid="{00000000-0005-0000-0000-00009E740000}"/>
    <cellStyle name="Total 2 2 2 3 3 4 3" xfId="6461" xr:uid="{00000000-0005-0000-0000-00009F740000}"/>
    <cellStyle name="Total 2 2 2 3 3 4 3 2" xfId="17075" xr:uid="{00000000-0005-0000-0000-0000A0740000}"/>
    <cellStyle name="Total 2 2 2 3 3 4 3 3" xfId="19979" xr:uid="{00000000-0005-0000-0000-0000A1740000}"/>
    <cellStyle name="Total 2 2 2 3 3 4 4" xfId="10042" xr:uid="{00000000-0005-0000-0000-0000A2740000}"/>
    <cellStyle name="Total 2 2 2 3 3 4 5" xfId="15451" xr:uid="{00000000-0005-0000-0000-0000A3740000}"/>
    <cellStyle name="Total 2 2 2 3 3 4 6" xfId="13681" xr:uid="{00000000-0005-0000-0000-0000A4740000}"/>
    <cellStyle name="Total 2 2 2 3 3 5" xfId="4706" xr:uid="{00000000-0005-0000-0000-0000A5740000}"/>
    <cellStyle name="Total 2 2 2 3 3 5 2" xfId="8401" xr:uid="{00000000-0005-0000-0000-0000A6740000}"/>
    <cellStyle name="Total 2 2 2 3 3 5 2 2" xfId="12369" xr:uid="{00000000-0005-0000-0000-0000A7740000}"/>
    <cellStyle name="Total 2 2 2 3 3 5 2 3" xfId="18537" xr:uid="{00000000-0005-0000-0000-0000A8740000}"/>
    <cellStyle name="Total 2 2 2 3 3 5 2 4" xfId="21919" xr:uid="{00000000-0005-0000-0000-0000A9740000}"/>
    <cellStyle name="Total 2 2 2 3 3 5 3" xfId="6693" xr:uid="{00000000-0005-0000-0000-0000AA740000}"/>
    <cellStyle name="Total 2 2 2 3 3 5 3 2" xfId="17246" xr:uid="{00000000-0005-0000-0000-0000AB740000}"/>
    <cellStyle name="Total 2 2 2 3 3 5 3 3" xfId="20211" xr:uid="{00000000-0005-0000-0000-0000AC740000}"/>
    <cellStyle name="Total 2 2 2 3 3 5 4" xfId="10219" xr:uid="{00000000-0005-0000-0000-0000AD740000}"/>
    <cellStyle name="Total 2 2 2 3 3 5 5" xfId="15725" xr:uid="{00000000-0005-0000-0000-0000AE740000}"/>
    <cellStyle name="Total 2 2 2 3 3 5 6" xfId="13299" xr:uid="{00000000-0005-0000-0000-0000AF740000}"/>
    <cellStyle name="Total 2 2 2 3 3 6" xfId="6925" xr:uid="{00000000-0005-0000-0000-0000B0740000}"/>
    <cellStyle name="Total 2 2 2 3 3 6 2" xfId="8633" xr:uid="{00000000-0005-0000-0000-0000B1740000}"/>
    <cellStyle name="Total 2 2 2 3 3 6 2 2" xfId="12601" xr:uid="{00000000-0005-0000-0000-0000B2740000}"/>
    <cellStyle name="Total 2 2 2 3 3 6 2 3" xfId="18708" xr:uid="{00000000-0005-0000-0000-0000B3740000}"/>
    <cellStyle name="Total 2 2 2 3 3 6 2 4" xfId="22151" xr:uid="{00000000-0005-0000-0000-0000B4740000}"/>
    <cellStyle name="Total 2 2 2 3 3 6 3" xfId="11059" xr:uid="{00000000-0005-0000-0000-0000B5740000}"/>
    <cellStyle name="Total 2 2 2 3 3 6 4" xfId="17416" xr:uid="{00000000-0005-0000-0000-0000B6740000}"/>
    <cellStyle name="Total 2 2 2 3 3 6 5" xfId="20443" xr:uid="{00000000-0005-0000-0000-0000B7740000}"/>
    <cellStyle name="Total 2 2 2 3 3 7" xfId="5913" xr:uid="{00000000-0005-0000-0000-0000B8740000}"/>
    <cellStyle name="Total 2 2 2 3 3 7 2" xfId="10654" xr:uid="{00000000-0005-0000-0000-0000B9740000}"/>
    <cellStyle name="Total 2 2 2 3 3 7 3" xfId="16654" xr:uid="{00000000-0005-0000-0000-0000BA740000}"/>
    <cellStyle name="Total 2 2 2 3 3 7 4" xfId="19431" xr:uid="{00000000-0005-0000-0000-0000BB740000}"/>
    <cellStyle name="Total 2 2 2 3 3 8" xfId="7621" xr:uid="{00000000-0005-0000-0000-0000BC740000}"/>
    <cellStyle name="Total 2 2 2 3 3 8 2" xfId="11642" xr:uid="{00000000-0005-0000-0000-0000BD740000}"/>
    <cellStyle name="Total 2 2 2 3 3 8 3" xfId="17946" xr:uid="{00000000-0005-0000-0000-0000BE740000}"/>
    <cellStyle name="Total 2 2 2 3 3 8 4" xfId="21139" xr:uid="{00000000-0005-0000-0000-0000BF740000}"/>
    <cellStyle name="Total 2 2 2 3 3 9" xfId="5009" xr:uid="{00000000-0005-0000-0000-0000C0740000}"/>
    <cellStyle name="Total 2 2 2 3 3 9 2" xfId="15969" xr:uid="{00000000-0005-0000-0000-0000C1740000}"/>
    <cellStyle name="Total 2 2 2 3 3 9 3" xfId="13010" xr:uid="{00000000-0005-0000-0000-0000C2740000}"/>
    <cellStyle name="Total 2 2 2 3 4" xfId="3051" xr:uid="{00000000-0005-0000-0000-0000C3740000}"/>
    <cellStyle name="Total 2 2 2 3 4 2" xfId="3438" xr:uid="{00000000-0005-0000-0000-0000C4740000}"/>
    <cellStyle name="Total 2 2 2 3 4 2 2" xfId="7801" xr:uid="{00000000-0005-0000-0000-0000C5740000}"/>
    <cellStyle name="Total 2 2 2 3 4 2 2 2" xfId="18067" xr:uid="{00000000-0005-0000-0000-0000C6740000}"/>
    <cellStyle name="Total 2 2 2 3 4 2 2 3" xfId="21319" xr:uid="{00000000-0005-0000-0000-0000C7740000}"/>
    <cellStyle name="Total 2 2 2 3 4 2 3" xfId="9548" xr:uid="{00000000-0005-0000-0000-0000C8740000}"/>
    <cellStyle name="Total 2 2 2 3 4 2 4" xfId="14803" xr:uid="{00000000-0005-0000-0000-0000C9740000}"/>
    <cellStyle name="Total 2 2 2 3 4 2 5" xfId="15430" xr:uid="{00000000-0005-0000-0000-0000CA740000}"/>
    <cellStyle name="Total 2 2 2 3 4 3" xfId="3821" xr:uid="{00000000-0005-0000-0000-0000CB740000}"/>
    <cellStyle name="Total 2 2 2 3 4 3 2" xfId="15079" xr:uid="{00000000-0005-0000-0000-0000CC740000}"/>
    <cellStyle name="Total 2 2 2 3 4 3 3" xfId="16068" xr:uid="{00000000-0005-0000-0000-0000CD740000}"/>
    <cellStyle name="Total 2 2 2 3 4 4" xfId="4204" xr:uid="{00000000-0005-0000-0000-0000CE740000}"/>
    <cellStyle name="Total 2 2 2 3 4 4 2" xfId="15354" xr:uid="{00000000-0005-0000-0000-0000CF740000}"/>
    <cellStyle name="Total 2 2 2 3 4 4 3" xfId="13801" xr:uid="{00000000-0005-0000-0000-0000D0740000}"/>
    <cellStyle name="Total 2 2 2 3 4 5" xfId="4586" xr:uid="{00000000-0005-0000-0000-0000D1740000}"/>
    <cellStyle name="Total 2 2 2 3 4 5 2" xfId="15628" xr:uid="{00000000-0005-0000-0000-0000D2740000}"/>
    <cellStyle name="Total 2 2 2 3 4 5 3" xfId="13419" xr:uid="{00000000-0005-0000-0000-0000D3740000}"/>
    <cellStyle name="Total 2 2 2 3 4 6" xfId="6093" xr:uid="{00000000-0005-0000-0000-0000D4740000}"/>
    <cellStyle name="Total 2 2 2 3 4 6 2" xfId="16775" xr:uid="{00000000-0005-0000-0000-0000D5740000}"/>
    <cellStyle name="Total 2 2 2 3 4 6 3" xfId="19611" xr:uid="{00000000-0005-0000-0000-0000D6740000}"/>
    <cellStyle name="Total 2 2 2 3 4 7" xfId="9191" xr:uid="{00000000-0005-0000-0000-0000D7740000}"/>
    <cellStyle name="Total 2 2 2 3 4 8" xfId="14523" xr:uid="{00000000-0005-0000-0000-0000D8740000}"/>
    <cellStyle name="Total 2 2 2 3 4 9" xfId="16857" xr:uid="{00000000-0005-0000-0000-0000D9740000}"/>
    <cellStyle name="Total 2 2 2 3 5" xfId="2880" xr:uid="{00000000-0005-0000-0000-0000DA740000}"/>
    <cellStyle name="Total 2 2 2 3 5 2" xfId="7184" xr:uid="{00000000-0005-0000-0000-0000DB740000}"/>
    <cellStyle name="Total 2 2 2 3 5 2 2" xfId="11313" xr:uid="{00000000-0005-0000-0000-0000DC740000}"/>
    <cellStyle name="Total 2 2 2 3 5 2 3" xfId="17594" xr:uid="{00000000-0005-0000-0000-0000DD740000}"/>
    <cellStyle name="Total 2 2 2 3 5 2 4" xfId="20702" xr:uid="{00000000-0005-0000-0000-0000DE740000}"/>
    <cellStyle name="Total 2 2 2 3 5 3" xfId="5475" xr:uid="{00000000-0005-0000-0000-0000DF740000}"/>
    <cellStyle name="Total 2 2 2 3 5 3 2" xfId="16304" xr:uid="{00000000-0005-0000-0000-0000E0740000}"/>
    <cellStyle name="Total 2 2 2 3 5 3 3" xfId="18993" xr:uid="{00000000-0005-0000-0000-0000E1740000}"/>
    <cellStyle name="Total 2 2 2 3 5 4" xfId="9032" xr:uid="{00000000-0005-0000-0000-0000E2740000}"/>
    <cellStyle name="Total 2 2 2 3 5 5" xfId="14414" xr:uid="{00000000-0005-0000-0000-0000E3740000}"/>
    <cellStyle name="Total 2 2 2 3 5 6" xfId="14272" xr:uid="{00000000-0005-0000-0000-0000E4740000}"/>
    <cellStyle name="Total 2 2 2 3 6" xfId="6386" xr:uid="{00000000-0005-0000-0000-0000E5740000}"/>
    <cellStyle name="Total 2 2 2 3 6 2" xfId="8094" xr:uid="{00000000-0005-0000-0000-0000E6740000}"/>
    <cellStyle name="Total 2 2 2 3 6 2 2" xfId="12062" xr:uid="{00000000-0005-0000-0000-0000E7740000}"/>
    <cellStyle name="Total 2 2 2 3 6 2 3" xfId="18300" xr:uid="{00000000-0005-0000-0000-0000E8740000}"/>
    <cellStyle name="Total 2 2 2 3 6 2 4" xfId="21612" xr:uid="{00000000-0005-0000-0000-0000E9740000}"/>
    <cellStyle name="Total 2 2 2 3 6 3" xfId="10904" xr:uid="{00000000-0005-0000-0000-0000EA740000}"/>
    <cellStyle name="Total 2 2 2 3 6 4" xfId="17009" xr:uid="{00000000-0005-0000-0000-0000EB740000}"/>
    <cellStyle name="Total 2 2 2 3 6 5" xfId="19904" xr:uid="{00000000-0005-0000-0000-0000EC740000}"/>
    <cellStyle name="Total 2 2 2 3 7" xfId="6618" xr:uid="{00000000-0005-0000-0000-0000ED740000}"/>
    <cellStyle name="Total 2 2 2 3 7 2" xfId="8326" xr:uid="{00000000-0005-0000-0000-0000EE740000}"/>
    <cellStyle name="Total 2 2 2 3 7 2 2" xfId="12294" xr:uid="{00000000-0005-0000-0000-0000EF740000}"/>
    <cellStyle name="Total 2 2 2 3 7 2 3" xfId="18471" xr:uid="{00000000-0005-0000-0000-0000F0740000}"/>
    <cellStyle name="Total 2 2 2 3 7 2 4" xfId="21844" xr:uid="{00000000-0005-0000-0000-0000F1740000}"/>
    <cellStyle name="Total 2 2 2 3 7 3" xfId="10944" xr:uid="{00000000-0005-0000-0000-0000F2740000}"/>
    <cellStyle name="Total 2 2 2 3 7 4" xfId="17180" xr:uid="{00000000-0005-0000-0000-0000F3740000}"/>
    <cellStyle name="Total 2 2 2 3 7 5" xfId="20136" xr:uid="{00000000-0005-0000-0000-0000F4740000}"/>
    <cellStyle name="Total 2 2 2 3 8" xfId="6850" xr:uid="{00000000-0005-0000-0000-0000F5740000}"/>
    <cellStyle name="Total 2 2 2 3 8 2" xfId="8558" xr:uid="{00000000-0005-0000-0000-0000F6740000}"/>
    <cellStyle name="Total 2 2 2 3 8 2 2" xfId="12526" xr:uid="{00000000-0005-0000-0000-0000F7740000}"/>
    <cellStyle name="Total 2 2 2 3 8 2 3" xfId="18642" xr:uid="{00000000-0005-0000-0000-0000F8740000}"/>
    <cellStyle name="Total 2 2 2 3 8 2 4" xfId="22076" xr:uid="{00000000-0005-0000-0000-0000F9740000}"/>
    <cellStyle name="Total 2 2 2 3 8 3" xfId="10984" xr:uid="{00000000-0005-0000-0000-0000FA740000}"/>
    <cellStyle name="Total 2 2 2 3 8 4" xfId="17350" xr:uid="{00000000-0005-0000-0000-0000FB740000}"/>
    <cellStyle name="Total 2 2 2 3 8 5" xfId="20368" xr:uid="{00000000-0005-0000-0000-0000FC740000}"/>
    <cellStyle name="Total 2 2 2 3 9" xfId="5817" xr:uid="{00000000-0005-0000-0000-0000FD740000}"/>
    <cellStyle name="Total 2 2 2 3 9 2" xfId="10579" xr:uid="{00000000-0005-0000-0000-0000FE740000}"/>
    <cellStyle name="Total 2 2 2 3 9 3" xfId="16580" xr:uid="{00000000-0005-0000-0000-0000FF740000}"/>
    <cellStyle name="Total 2 2 2 3 9 4" xfId="19335" xr:uid="{00000000-0005-0000-0000-000000750000}"/>
    <cellStyle name="Total 2 2 2 4" xfId="2820" xr:uid="{00000000-0005-0000-0000-000001750000}"/>
    <cellStyle name="Total 2 2 2 4 10" xfId="8973" xr:uid="{00000000-0005-0000-0000-000002750000}"/>
    <cellStyle name="Total 2 2 2 4 11" xfId="14363" xr:uid="{00000000-0005-0000-0000-000003750000}"/>
    <cellStyle name="Total 2 2 2 4 12" xfId="18572" xr:uid="{00000000-0005-0000-0000-000004750000}"/>
    <cellStyle name="Total 2 2 2 4 2" xfId="2771" xr:uid="{00000000-0005-0000-0000-000005750000}"/>
    <cellStyle name="Total 2 2 2 4 2 2" xfId="7356" xr:uid="{00000000-0005-0000-0000-000006750000}"/>
    <cellStyle name="Total 2 2 2 4 2 2 2" xfId="11442" xr:uid="{00000000-0005-0000-0000-000007750000}"/>
    <cellStyle name="Total 2 2 2 4 2 2 3" xfId="17743" xr:uid="{00000000-0005-0000-0000-000008750000}"/>
    <cellStyle name="Total 2 2 2 4 2 2 4" xfId="20874" xr:uid="{00000000-0005-0000-0000-000009750000}"/>
    <cellStyle name="Total 2 2 2 4 2 3" xfId="5647" xr:uid="{00000000-0005-0000-0000-00000A750000}"/>
    <cellStyle name="Total 2 2 2 4 2 3 2" xfId="16452" xr:uid="{00000000-0005-0000-0000-00000B750000}"/>
    <cellStyle name="Total 2 2 2 4 2 3 3" xfId="19165" xr:uid="{00000000-0005-0000-0000-00000C750000}"/>
    <cellStyle name="Total 2 2 2 4 2 4" xfId="8926" xr:uid="{00000000-0005-0000-0000-00000D750000}"/>
    <cellStyle name="Total 2 2 2 4 2 5" xfId="14321" xr:uid="{00000000-0005-0000-0000-00000E750000}"/>
    <cellStyle name="Total 2 2 2 4 2 6" xfId="17913" xr:uid="{00000000-0005-0000-0000-00000F750000}"/>
    <cellStyle name="Total 2 2 2 4 3" xfId="2806" xr:uid="{00000000-0005-0000-0000-000010750000}"/>
    <cellStyle name="Total 2 2 2 4 3 2" xfId="7391" xr:uid="{00000000-0005-0000-0000-000011750000}"/>
    <cellStyle name="Total 2 2 2 4 3 2 2" xfId="11475" xr:uid="{00000000-0005-0000-0000-000012750000}"/>
    <cellStyle name="Total 2 2 2 4 3 2 3" xfId="17770" xr:uid="{00000000-0005-0000-0000-000013750000}"/>
    <cellStyle name="Total 2 2 2 4 3 2 4" xfId="20909" xr:uid="{00000000-0005-0000-0000-000014750000}"/>
    <cellStyle name="Total 2 2 2 4 3 3" xfId="5682" xr:uid="{00000000-0005-0000-0000-000015750000}"/>
    <cellStyle name="Total 2 2 2 4 3 3 2" xfId="16479" xr:uid="{00000000-0005-0000-0000-000016750000}"/>
    <cellStyle name="Total 2 2 2 4 3 3 3" xfId="19200" xr:uid="{00000000-0005-0000-0000-000017750000}"/>
    <cellStyle name="Total 2 2 2 4 3 4" xfId="8961" xr:uid="{00000000-0005-0000-0000-000018750000}"/>
    <cellStyle name="Total 2 2 2 4 3 5" xfId="14350" xr:uid="{00000000-0005-0000-0000-000019750000}"/>
    <cellStyle name="Total 2 2 2 4 3 6" xfId="15420" xr:uid="{00000000-0005-0000-0000-00001A750000}"/>
    <cellStyle name="Total 2 2 2 4 4" xfId="2782" xr:uid="{00000000-0005-0000-0000-00001B750000}"/>
    <cellStyle name="Total 2 2 2 4 4 2" xfId="8147" xr:uid="{00000000-0005-0000-0000-00001C750000}"/>
    <cellStyle name="Total 2 2 2 4 4 2 2" xfId="12115" xr:uid="{00000000-0005-0000-0000-00001D750000}"/>
    <cellStyle name="Total 2 2 2 4 4 2 3" xfId="18349" xr:uid="{00000000-0005-0000-0000-00001E750000}"/>
    <cellStyle name="Total 2 2 2 4 4 2 4" xfId="21665" xr:uid="{00000000-0005-0000-0000-00001F750000}"/>
    <cellStyle name="Total 2 2 2 4 4 3" xfId="6439" xr:uid="{00000000-0005-0000-0000-000020750000}"/>
    <cellStyle name="Total 2 2 2 4 4 3 2" xfId="17058" xr:uid="{00000000-0005-0000-0000-000021750000}"/>
    <cellStyle name="Total 2 2 2 4 4 3 3" xfId="19957" xr:uid="{00000000-0005-0000-0000-000022750000}"/>
    <cellStyle name="Total 2 2 2 4 4 4" xfId="8937" xr:uid="{00000000-0005-0000-0000-000023750000}"/>
    <cellStyle name="Total 2 2 2 4 4 5" xfId="14330" xr:uid="{00000000-0005-0000-0000-000024750000}"/>
    <cellStyle name="Total 2 2 2 4 4 6" xfId="17615" xr:uid="{00000000-0005-0000-0000-000025750000}"/>
    <cellStyle name="Total 2 2 2 4 5" xfId="2789" xr:uid="{00000000-0005-0000-0000-000026750000}"/>
    <cellStyle name="Total 2 2 2 4 5 2" xfId="8379" xr:uid="{00000000-0005-0000-0000-000027750000}"/>
    <cellStyle name="Total 2 2 2 4 5 2 2" xfId="12347" xr:uid="{00000000-0005-0000-0000-000028750000}"/>
    <cellStyle name="Total 2 2 2 4 5 2 3" xfId="18520" xr:uid="{00000000-0005-0000-0000-000029750000}"/>
    <cellStyle name="Total 2 2 2 4 5 2 4" xfId="21897" xr:uid="{00000000-0005-0000-0000-00002A750000}"/>
    <cellStyle name="Total 2 2 2 4 5 3" xfId="6671" xr:uid="{00000000-0005-0000-0000-00002B750000}"/>
    <cellStyle name="Total 2 2 2 4 5 3 2" xfId="17229" xr:uid="{00000000-0005-0000-0000-00002C750000}"/>
    <cellStyle name="Total 2 2 2 4 5 3 3" xfId="20189" xr:uid="{00000000-0005-0000-0000-00002D750000}"/>
    <cellStyle name="Total 2 2 2 4 5 4" xfId="8944" xr:uid="{00000000-0005-0000-0000-00002E750000}"/>
    <cellStyle name="Total 2 2 2 4 5 5" xfId="14336" xr:uid="{00000000-0005-0000-0000-00002F750000}"/>
    <cellStyle name="Total 2 2 2 4 5 6" xfId="14382" xr:uid="{00000000-0005-0000-0000-000030750000}"/>
    <cellStyle name="Total 2 2 2 4 6" xfId="6903" xr:uid="{00000000-0005-0000-0000-000031750000}"/>
    <cellStyle name="Total 2 2 2 4 6 2" xfId="8611" xr:uid="{00000000-0005-0000-0000-000032750000}"/>
    <cellStyle name="Total 2 2 2 4 6 2 2" xfId="12579" xr:uid="{00000000-0005-0000-0000-000033750000}"/>
    <cellStyle name="Total 2 2 2 4 6 2 3" xfId="18691" xr:uid="{00000000-0005-0000-0000-000034750000}"/>
    <cellStyle name="Total 2 2 2 4 6 2 4" xfId="22129" xr:uid="{00000000-0005-0000-0000-000035750000}"/>
    <cellStyle name="Total 2 2 2 4 6 3" xfId="11037" xr:uid="{00000000-0005-0000-0000-000036750000}"/>
    <cellStyle name="Total 2 2 2 4 6 4" xfId="17399" xr:uid="{00000000-0005-0000-0000-000037750000}"/>
    <cellStyle name="Total 2 2 2 4 6 5" xfId="20421" xr:uid="{00000000-0005-0000-0000-000038750000}"/>
    <cellStyle name="Total 2 2 2 4 7" xfId="5891" xr:uid="{00000000-0005-0000-0000-000039750000}"/>
    <cellStyle name="Total 2 2 2 4 7 2" xfId="10632" xr:uid="{00000000-0005-0000-0000-00003A750000}"/>
    <cellStyle name="Total 2 2 2 4 7 3" xfId="16637" xr:uid="{00000000-0005-0000-0000-00003B750000}"/>
    <cellStyle name="Total 2 2 2 4 7 4" xfId="19409" xr:uid="{00000000-0005-0000-0000-00003C750000}"/>
    <cellStyle name="Total 2 2 2 4 8" xfId="7599" xr:uid="{00000000-0005-0000-0000-00003D750000}"/>
    <cellStyle name="Total 2 2 2 4 8 2" xfId="11620" xr:uid="{00000000-0005-0000-0000-00003E750000}"/>
    <cellStyle name="Total 2 2 2 4 8 3" xfId="17929" xr:uid="{00000000-0005-0000-0000-00003F750000}"/>
    <cellStyle name="Total 2 2 2 4 8 4" xfId="21117" xr:uid="{00000000-0005-0000-0000-000040750000}"/>
    <cellStyle name="Total 2 2 2 4 9" xfId="4984" xr:uid="{00000000-0005-0000-0000-000041750000}"/>
    <cellStyle name="Total 2 2 2 4 9 2" xfId="15950" xr:uid="{00000000-0005-0000-0000-000042750000}"/>
    <cellStyle name="Total 2 2 2 4 9 3" xfId="13035" xr:uid="{00000000-0005-0000-0000-000043750000}"/>
    <cellStyle name="Total 2 2 2 5" xfId="3104" xr:uid="{00000000-0005-0000-0000-000044750000}"/>
    <cellStyle name="Total 2 2 2 5 2" xfId="3491" xr:uid="{00000000-0005-0000-0000-000045750000}"/>
    <cellStyle name="Total 2 2 2 5 2 2" xfId="7419" xr:uid="{00000000-0005-0000-0000-000046750000}"/>
    <cellStyle name="Total 2 2 2 5 2 2 2" xfId="17790" xr:uid="{00000000-0005-0000-0000-000047750000}"/>
    <cellStyle name="Total 2 2 2 5 2 2 3" xfId="20937" xr:uid="{00000000-0005-0000-0000-000048750000}"/>
    <cellStyle name="Total 2 2 2 5 2 3" xfId="9584" xr:uid="{00000000-0005-0000-0000-000049750000}"/>
    <cellStyle name="Total 2 2 2 5 2 4" xfId="14846" xr:uid="{00000000-0005-0000-0000-00004A750000}"/>
    <cellStyle name="Total 2 2 2 5 2 5" xfId="16092" xr:uid="{00000000-0005-0000-0000-00004B750000}"/>
    <cellStyle name="Total 2 2 2 5 3" xfId="3874" xr:uid="{00000000-0005-0000-0000-00004C750000}"/>
    <cellStyle name="Total 2 2 2 5 3 2" xfId="15122" xr:uid="{00000000-0005-0000-0000-00004D750000}"/>
    <cellStyle name="Total 2 2 2 5 3 3" xfId="14164" xr:uid="{00000000-0005-0000-0000-00004E750000}"/>
    <cellStyle name="Total 2 2 2 5 4" xfId="4257" xr:uid="{00000000-0005-0000-0000-00004F750000}"/>
    <cellStyle name="Total 2 2 2 5 4 2" xfId="15397" xr:uid="{00000000-0005-0000-0000-000050750000}"/>
    <cellStyle name="Total 2 2 2 5 4 3" xfId="13748" xr:uid="{00000000-0005-0000-0000-000051750000}"/>
    <cellStyle name="Total 2 2 2 5 5" xfId="4639" xr:uid="{00000000-0005-0000-0000-000052750000}"/>
    <cellStyle name="Total 2 2 2 5 5 2" xfId="15671" xr:uid="{00000000-0005-0000-0000-000053750000}"/>
    <cellStyle name="Total 2 2 2 5 5 3" xfId="13366" xr:uid="{00000000-0005-0000-0000-000054750000}"/>
    <cellStyle name="Total 2 2 2 5 6" xfId="5710" xr:uid="{00000000-0005-0000-0000-000055750000}"/>
    <cellStyle name="Total 2 2 2 5 6 2" xfId="16499" xr:uid="{00000000-0005-0000-0000-000056750000}"/>
    <cellStyle name="Total 2 2 2 5 6 3" xfId="19228" xr:uid="{00000000-0005-0000-0000-000057750000}"/>
    <cellStyle name="Total 2 2 2 5 7" xfId="9235" xr:uid="{00000000-0005-0000-0000-000058750000}"/>
    <cellStyle name="Total 2 2 2 5 8" xfId="14566" xr:uid="{00000000-0005-0000-0000-000059750000}"/>
    <cellStyle name="Total 2 2 2 5 9" xfId="17245" xr:uid="{00000000-0005-0000-0000-00005A750000}"/>
    <cellStyle name="Total 2 2 2 6" xfId="3080" xr:uid="{00000000-0005-0000-0000-00005B750000}"/>
    <cellStyle name="Total 2 2 2 6 2" xfId="3467" xr:uid="{00000000-0005-0000-0000-00005C750000}"/>
    <cellStyle name="Total 2 2 2 6 2 2" xfId="7892" xr:uid="{00000000-0005-0000-0000-00005D750000}"/>
    <cellStyle name="Total 2 2 2 6 2 2 2" xfId="18147" xr:uid="{00000000-0005-0000-0000-00005E750000}"/>
    <cellStyle name="Total 2 2 2 6 2 2 3" xfId="21410" xr:uid="{00000000-0005-0000-0000-00005F750000}"/>
    <cellStyle name="Total 2 2 2 6 2 3" xfId="9569" xr:uid="{00000000-0005-0000-0000-000060750000}"/>
    <cellStyle name="Total 2 2 2 6 2 4" xfId="14824" xr:uid="{00000000-0005-0000-0000-000061750000}"/>
    <cellStyle name="Total 2 2 2 6 2 5" xfId="16593" xr:uid="{00000000-0005-0000-0000-000062750000}"/>
    <cellStyle name="Total 2 2 2 6 3" xfId="3850" xr:uid="{00000000-0005-0000-0000-000063750000}"/>
    <cellStyle name="Total 2 2 2 6 3 2" xfId="15100" xr:uid="{00000000-0005-0000-0000-000064750000}"/>
    <cellStyle name="Total 2 2 2 6 3 3" xfId="14204" xr:uid="{00000000-0005-0000-0000-000065750000}"/>
    <cellStyle name="Total 2 2 2 6 4" xfId="4233" xr:uid="{00000000-0005-0000-0000-000066750000}"/>
    <cellStyle name="Total 2 2 2 6 4 2" xfId="15375" xr:uid="{00000000-0005-0000-0000-000067750000}"/>
    <cellStyle name="Total 2 2 2 6 4 3" xfId="13772" xr:uid="{00000000-0005-0000-0000-000068750000}"/>
    <cellStyle name="Total 2 2 2 6 5" xfId="4615" xr:uid="{00000000-0005-0000-0000-000069750000}"/>
    <cellStyle name="Total 2 2 2 6 5 2" xfId="15649" xr:uid="{00000000-0005-0000-0000-00006A750000}"/>
    <cellStyle name="Total 2 2 2 6 5 3" xfId="13390" xr:uid="{00000000-0005-0000-0000-00006B750000}"/>
    <cellStyle name="Total 2 2 2 6 6" xfId="6184" xr:uid="{00000000-0005-0000-0000-00006C750000}"/>
    <cellStyle name="Total 2 2 2 6 6 2" xfId="16855" xr:uid="{00000000-0005-0000-0000-00006D750000}"/>
    <cellStyle name="Total 2 2 2 6 6 3" xfId="19702" xr:uid="{00000000-0005-0000-0000-00006E750000}"/>
    <cellStyle name="Total 2 2 2 6 7" xfId="9220" xr:uid="{00000000-0005-0000-0000-00006F750000}"/>
    <cellStyle name="Total 2 2 2 6 8" xfId="14544" xr:uid="{00000000-0005-0000-0000-000070750000}"/>
    <cellStyle name="Total 2 2 2 6 9" xfId="14337" xr:uid="{00000000-0005-0000-0000-000071750000}"/>
    <cellStyle name="Total 2 2 2 7" xfId="6330" xr:uid="{00000000-0005-0000-0000-000072750000}"/>
    <cellStyle name="Total 2 2 2 7 2" xfId="8038" xr:uid="{00000000-0005-0000-0000-000073750000}"/>
    <cellStyle name="Total 2 2 2 7 2 2" xfId="12010" xr:uid="{00000000-0005-0000-0000-000074750000}"/>
    <cellStyle name="Total 2 2 2 7 2 3" xfId="18251" xr:uid="{00000000-0005-0000-0000-000075750000}"/>
    <cellStyle name="Total 2 2 2 7 2 4" xfId="21556" xr:uid="{00000000-0005-0000-0000-000076750000}"/>
    <cellStyle name="Total 2 2 2 7 3" xfId="10867" xr:uid="{00000000-0005-0000-0000-000077750000}"/>
    <cellStyle name="Total 2 2 2 7 4" xfId="16960" xr:uid="{00000000-0005-0000-0000-000078750000}"/>
    <cellStyle name="Total 2 2 2 7 5" xfId="19848" xr:uid="{00000000-0005-0000-0000-000079750000}"/>
    <cellStyle name="Total 2 2 2 8" xfId="6344" xr:uid="{00000000-0005-0000-0000-00007A750000}"/>
    <cellStyle name="Total 2 2 2 8 2" xfId="8052" xr:uid="{00000000-0005-0000-0000-00007B750000}"/>
    <cellStyle name="Total 2 2 2 8 2 2" xfId="12023" xr:uid="{00000000-0005-0000-0000-00007C750000}"/>
    <cellStyle name="Total 2 2 2 8 2 3" xfId="18263" xr:uid="{00000000-0005-0000-0000-00007D750000}"/>
    <cellStyle name="Total 2 2 2 8 2 4" xfId="21570" xr:uid="{00000000-0005-0000-0000-00007E750000}"/>
    <cellStyle name="Total 2 2 2 8 3" xfId="10879" xr:uid="{00000000-0005-0000-0000-00007F750000}"/>
    <cellStyle name="Total 2 2 2 8 4" xfId="16972" xr:uid="{00000000-0005-0000-0000-000080750000}"/>
    <cellStyle name="Total 2 2 2 8 5" xfId="19862" xr:uid="{00000000-0005-0000-0000-000081750000}"/>
    <cellStyle name="Total 2 2 2 9" xfId="6188" xr:uid="{00000000-0005-0000-0000-000082750000}"/>
    <cellStyle name="Total 2 2 2 9 2" xfId="7896" xr:uid="{00000000-0005-0000-0000-000083750000}"/>
    <cellStyle name="Total 2 2 2 9 2 2" xfId="11883" xr:uid="{00000000-0005-0000-0000-000084750000}"/>
    <cellStyle name="Total 2 2 2 9 2 3" xfId="18151" xr:uid="{00000000-0005-0000-0000-000085750000}"/>
    <cellStyle name="Total 2 2 2 9 2 4" xfId="21414" xr:uid="{00000000-0005-0000-0000-000086750000}"/>
    <cellStyle name="Total 2 2 2 9 3" xfId="10840" xr:uid="{00000000-0005-0000-0000-000087750000}"/>
    <cellStyle name="Total 2 2 2 9 4" xfId="16859" xr:uid="{00000000-0005-0000-0000-000088750000}"/>
    <cellStyle name="Total 2 2 2 9 5" xfId="19706" xr:uid="{00000000-0005-0000-0000-000089750000}"/>
    <cellStyle name="Total 2 2 3" xfId="2699" xr:uid="{00000000-0005-0000-0000-00008A750000}"/>
    <cellStyle name="Total 2 2 3 10" xfId="5764" xr:uid="{00000000-0005-0000-0000-00008B750000}"/>
    <cellStyle name="Total 2 2 3 10 2" xfId="10541" xr:uid="{00000000-0005-0000-0000-00008C750000}"/>
    <cellStyle name="Total 2 2 3 10 3" xfId="16542" xr:uid="{00000000-0005-0000-0000-00008D750000}"/>
    <cellStyle name="Total 2 2 3 10 4" xfId="19282" xr:uid="{00000000-0005-0000-0000-00008E750000}"/>
    <cellStyle name="Total 2 2 3 11" xfId="7473" xr:uid="{00000000-0005-0000-0000-00008F750000}"/>
    <cellStyle name="Total 2 2 3 11 2" xfId="11528" xr:uid="{00000000-0005-0000-0000-000090750000}"/>
    <cellStyle name="Total 2 2 3 11 3" xfId="17833" xr:uid="{00000000-0005-0000-0000-000091750000}"/>
    <cellStyle name="Total 2 2 3 11 4" xfId="20991" xr:uid="{00000000-0005-0000-0000-000092750000}"/>
    <cellStyle name="Total 2 2 3 12" xfId="4891" xr:uid="{00000000-0005-0000-0000-000093750000}"/>
    <cellStyle name="Total 2 2 3 12 2" xfId="15866" xr:uid="{00000000-0005-0000-0000-000094750000}"/>
    <cellStyle name="Total 2 2 3 12 3" xfId="14157" xr:uid="{00000000-0005-0000-0000-000095750000}"/>
    <cellStyle name="Total 2 2 3 13" xfId="8854" xr:uid="{00000000-0005-0000-0000-000096750000}"/>
    <cellStyle name="Total 2 2 3 14" xfId="14270" xr:uid="{00000000-0005-0000-0000-000097750000}"/>
    <cellStyle name="Total 2 2 3 15" xfId="15023" xr:uid="{00000000-0005-0000-0000-000098750000}"/>
    <cellStyle name="Total 2 2 3 2" xfId="2756" xr:uid="{00000000-0005-0000-0000-000099750000}"/>
    <cellStyle name="Total 2 2 3 2 10" xfId="4940" xr:uid="{00000000-0005-0000-0000-00009A750000}"/>
    <cellStyle name="Total 2 2 3 2 10 2" xfId="15910" xr:uid="{00000000-0005-0000-0000-00009B750000}"/>
    <cellStyle name="Total 2 2 3 2 10 3" xfId="13079" xr:uid="{00000000-0005-0000-0000-00009C750000}"/>
    <cellStyle name="Total 2 2 3 2 11" xfId="8911" xr:uid="{00000000-0005-0000-0000-00009D750000}"/>
    <cellStyle name="Total 2 2 3 2 12" xfId="14313" xr:uid="{00000000-0005-0000-0000-00009E750000}"/>
    <cellStyle name="Total 2 2 3 2 2" xfId="3246" xr:uid="{00000000-0005-0000-0000-00009F750000}"/>
    <cellStyle name="Total 2 2 3 2 2 10" xfId="9376" xr:uid="{00000000-0005-0000-0000-0000A0750000}"/>
    <cellStyle name="Total 2 2 3 2 2 11" xfId="14678" xr:uid="{00000000-0005-0000-0000-0000A1750000}"/>
    <cellStyle name="Total 2 2 3 2 2 12" xfId="17910" xr:uid="{00000000-0005-0000-0000-0000A2750000}"/>
    <cellStyle name="Total 2 2 3 2 2 2" xfId="3633" xr:uid="{00000000-0005-0000-0000-0000A3750000}"/>
    <cellStyle name="Total 2 2 3 2 2 2 2" xfId="7994" xr:uid="{00000000-0005-0000-0000-0000A4750000}"/>
    <cellStyle name="Total 2 2 3 2 2 2 2 2" xfId="11970" xr:uid="{00000000-0005-0000-0000-0000A5750000}"/>
    <cellStyle name="Total 2 2 3 2 2 2 2 3" xfId="18217" xr:uid="{00000000-0005-0000-0000-0000A6750000}"/>
    <cellStyle name="Total 2 2 3 2 2 2 2 4" xfId="21512" xr:uid="{00000000-0005-0000-0000-0000A7750000}"/>
    <cellStyle name="Total 2 2 3 2 2 2 3" xfId="6286" xr:uid="{00000000-0005-0000-0000-0000A8750000}"/>
    <cellStyle name="Total 2 2 3 2 2 2 3 2" xfId="16926" xr:uid="{00000000-0005-0000-0000-0000A9750000}"/>
    <cellStyle name="Total 2 2 3 2 2 2 3 3" xfId="19804" xr:uid="{00000000-0005-0000-0000-0000AA750000}"/>
    <cellStyle name="Total 2 2 3 2 2 2 4" xfId="9725" xr:uid="{00000000-0005-0000-0000-0000AB750000}"/>
    <cellStyle name="Total 2 2 3 2 2 2 5" xfId="14958" xr:uid="{00000000-0005-0000-0000-0000AC750000}"/>
    <cellStyle name="Total 2 2 3 2 2 2 6" xfId="17120" xr:uid="{00000000-0005-0000-0000-0000AD750000}"/>
    <cellStyle name="Total 2 2 3 2 2 3" xfId="4016" xr:uid="{00000000-0005-0000-0000-0000AE750000}"/>
    <cellStyle name="Total 2 2 3 2 2 3 2" xfId="7071" xr:uid="{00000000-0005-0000-0000-0000AF750000}"/>
    <cellStyle name="Total 2 2 3 2 2 3 2 2" xfId="11205" xr:uid="{00000000-0005-0000-0000-0000B0750000}"/>
    <cellStyle name="Total 2 2 3 2 2 3 2 3" xfId="17508" xr:uid="{00000000-0005-0000-0000-0000B1750000}"/>
    <cellStyle name="Total 2 2 3 2 2 3 2 4" xfId="20589" xr:uid="{00000000-0005-0000-0000-0000B2750000}"/>
    <cellStyle name="Total 2 2 3 2 2 3 3" xfId="5362" xr:uid="{00000000-0005-0000-0000-0000B3750000}"/>
    <cellStyle name="Total 2 2 3 2 2 3 3 2" xfId="16218" xr:uid="{00000000-0005-0000-0000-0000B4750000}"/>
    <cellStyle name="Total 2 2 3 2 2 3 3 3" xfId="18880" xr:uid="{00000000-0005-0000-0000-0000B5750000}"/>
    <cellStyle name="Total 2 2 3 2 2 3 4" xfId="9935" xr:uid="{00000000-0005-0000-0000-0000B6750000}"/>
    <cellStyle name="Total 2 2 3 2 2 3 5" xfId="15233" xr:uid="{00000000-0005-0000-0000-0000B7750000}"/>
    <cellStyle name="Total 2 2 3 2 2 3 6" xfId="13975" xr:uid="{00000000-0005-0000-0000-0000B8750000}"/>
    <cellStyle name="Total 2 2 3 2 2 4" xfId="4399" xr:uid="{00000000-0005-0000-0000-0000B9750000}"/>
    <cellStyle name="Total 2 2 3 2 2 4 2" xfId="8301" xr:uid="{00000000-0005-0000-0000-0000BA750000}"/>
    <cellStyle name="Total 2 2 3 2 2 4 2 2" xfId="12269" xr:uid="{00000000-0005-0000-0000-0000BB750000}"/>
    <cellStyle name="Total 2 2 3 2 2 4 2 3" xfId="18451" xr:uid="{00000000-0005-0000-0000-0000BC750000}"/>
    <cellStyle name="Total 2 2 3 2 2 4 2 4" xfId="21819" xr:uid="{00000000-0005-0000-0000-0000BD750000}"/>
    <cellStyle name="Total 2 2 3 2 2 4 3" xfId="6593" xr:uid="{00000000-0005-0000-0000-0000BE750000}"/>
    <cellStyle name="Total 2 2 3 2 2 4 3 2" xfId="17160" xr:uid="{00000000-0005-0000-0000-0000BF750000}"/>
    <cellStyle name="Total 2 2 3 2 2 4 3 3" xfId="20111" xr:uid="{00000000-0005-0000-0000-0000C0750000}"/>
    <cellStyle name="Total 2 2 3 2 2 4 4" xfId="10113" xr:uid="{00000000-0005-0000-0000-0000C1750000}"/>
    <cellStyle name="Total 2 2 3 2 2 4 5" xfId="15509" xr:uid="{00000000-0005-0000-0000-0000C2750000}"/>
    <cellStyle name="Total 2 2 3 2 2 4 6" xfId="13606" xr:uid="{00000000-0005-0000-0000-0000C3750000}"/>
    <cellStyle name="Total 2 2 3 2 2 5" xfId="4781" xr:uid="{00000000-0005-0000-0000-0000C4750000}"/>
    <cellStyle name="Total 2 2 3 2 2 5 2" xfId="8533" xr:uid="{00000000-0005-0000-0000-0000C5750000}"/>
    <cellStyle name="Total 2 2 3 2 2 5 2 2" xfId="12501" xr:uid="{00000000-0005-0000-0000-0000C6750000}"/>
    <cellStyle name="Total 2 2 3 2 2 5 2 3" xfId="18622" xr:uid="{00000000-0005-0000-0000-0000C7750000}"/>
    <cellStyle name="Total 2 2 3 2 2 5 2 4" xfId="22051" xr:uid="{00000000-0005-0000-0000-0000C8750000}"/>
    <cellStyle name="Total 2 2 3 2 2 5 3" xfId="6825" xr:uid="{00000000-0005-0000-0000-0000C9750000}"/>
    <cellStyle name="Total 2 2 3 2 2 5 3 2" xfId="17330" xr:uid="{00000000-0005-0000-0000-0000CA750000}"/>
    <cellStyle name="Total 2 2 3 2 2 5 3 3" xfId="20343" xr:uid="{00000000-0005-0000-0000-0000CB750000}"/>
    <cellStyle name="Total 2 2 3 2 2 5 4" xfId="10290" xr:uid="{00000000-0005-0000-0000-0000CC750000}"/>
    <cellStyle name="Total 2 2 3 2 2 5 5" xfId="15781" xr:uid="{00000000-0005-0000-0000-0000CD750000}"/>
    <cellStyle name="Total 2 2 3 2 2 5 6" xfId="13224" xr:uid="{00000000-0005-0000-0000-0000CE750000}"/>
    <cellStyle name="Total 2 2 3 2 2 6" xfId="7057" xr:uid="{00000000-0005-0000-0000-0000CF750000}"/>
    <cellStyle name="Total 2 2 3 2 2 6 2" xfId="8765" xr:uid="{00000000-0005-0000-0000-0000D0750000}"/>
    <cellStyle name="Total 2 2 3 2 2 6 2 2" xfId="12733" xr:uid="{00000000-0005-0000-0000-0000D1750000}"/>
    <cellStyle name="Total 2 2 3 2 2 6 2 3" xfId="18794" xr:uid="{00000000-0005-0000-0000-0000D2750000}"/>
    <cellStyle name="Total 2 2 3 2 2 6 2 4" xfId="22283" xr:uid="{00000000-0005-0000-0000-0000D3750000}"/>
    <cellStyle name="Total 2 2 3 2 2 6 3" xfId="11191" xr:uid="{00000000-0005-0000-0000-0000D4750000}"/>
    <cellStyle name="Total 2 2 3 2 2 6 4" xfId="17501" xr:uid="{00000000-0005-0000-0000-0000D5750000}"/>
    <cellStyle name="Total 2 2 3 2 2 6 5" xfId="20575" xr:uid="{00000000-0005-0000-0000-0000D6750000}"/>
    <cellStyle name="Total 2 2 3 2 2 7" xfId="6045" xr:uid="{00000000-0005-0000-0000-0000D7750000}"/>
    <cellStyle name="Total 2 2 3 2 2 7 2" xfId="10786" xr:uid="{00000000-0005-0000-0000-0000D8750000}"/>
    <cellStyle name="Total 2 2 3 2 2 7 3" xfId="16740" xr:uid="{00000000-0005-0000-0000-0000D9750000}"/>
    <cellStyle name="Total 2 2 3 2 2 7 4" xfId="19563" xr:uid="{00000000-0005-0000-0000-0000DA750000}"/>
    <cellStyle name="Total 2 2 3 2 2 8" xfId="7753" xr:uid="{00000000-0005-0000-0000-0000DB750000}"/>
    <cellStyle name="Total 2 2 3 2 2 8 2" xfId="11774" xr:uid="{00000000-0005-0000-0000-0000DC750000}"/>
    <cellStyle name="Total 2 2 3 2 2 8 3" xfId="18032" xr:uid="{00000000-0005-0000-0000-0000DD750000}"/>
    <cellStyle name="Total 2 2 3 2 2 8 4" xfId="21271" xr:uid="{00000000-0005-0000-0000-0000DE750000}"/>
    <cellStyle name="Total 2 2 3 2 2 9" xfId="5239" xr:uid="{00000000-0005-0000-0000-0000DF750000}"/>
    <cellStyle name="Total 2 2 3 2 2 9 2" xfId="16128" xr:uid="{00000000-0005-0000-0000-0000E0750000}"/>
    <cellStyle name="Total 2 2 3 2 2 9 3" xfId="12855" xr:uid="{00000000-0005-0000-0000-0000E1750000}"/>
    <cellStyle name="Total 2 2 3 2 3" xfId="3303" xr:uid="{00000000-0005-0000-0000-0000E2750000}"/>
    <cellStyle name="Total 2 2 3 2 3 2" xfId="3690" xr:uid="{00000000-0005-0000-0000-0000E3750000}"/>
    <cellStyle name="Total 2 2 3 2 3 2 2" xfId="7248" xr:uid="{00000000-0005-0000-0000-0000E4750000}"/>
    <cellStyle name="Total 2 2 3 2 3 2 2 2" xfId="17649" xr:uid="{00000000-0005-0000-0000-0000E5750000}"/>
    <cellStyle name="Total 2 2 3 2 3 2 2 3" xfId="20766" xr:uid="{00000000-0005-0000-0000-0000E6750000}"/>
    <cellStyle name="Total 2 2 3 2 3 2 3" xfId="9765" xr:uid="{00000000-0005-0000-0000-0000E7750000}"/>
    <cellStyle name="Total 2 2 3 2 3 2 4" xfId="15000" xr:uid="{00000000-0005-0000-0000-0000E8750000}"/>
    <cellStyle name="Total 2 2 3 2 3 2 5" xfId="16547" xr:uid="{00000000-0005-0000-0000-0000E9750000}"/>
    <cellStyle name="Total 2 2 3 2 3 3" xfId="4073" xr:uid="{00000000-0005-0000-0000-0000EA750000}"/>
    <cellStyle name="Total 2 2 3 2 3 3 2" xfId="15275" xr:uid="{00000000-0005-0000-0000-0000EB750000}"/>
    <cellStyle name="Total 2 2 3 2 3 3 3" xfId="13918" xr:uid="{00000000-0005-0000-0000-0000EC750000}"/>
    <cellStyle name="Total 2 2 3 2 3 4" xfId="4456" xr:uid="{00000000-0005-0000-0000-0000ED750000}"/>
    <cellStyle name="Total 2 2 3 2 3 4 2" xfId="15550" xr:uid="{00000000-0005-0000-0000-0000EE750000}"/>
    <cellStyle name="Total 2 2 3 2 3 4 3" xfId="13549" xr:uid="{00000000-0005-0000-0000-0000EF750000}"/>
    <cellStyle name="Total 2 2 3 2 3 5" xfId="4838" xr:uid="{00000000-0005-0000-0000-0000F0750000}"/>
    <cellStyle name="Total 2 2 3 2 3 5 2" xfId="15822" xr:uid="{00000000-0005-0000-0000-0000F1750000}"/>
    <cellStyle name="Total 2 2 3 2 3 5 3" xfId="13168" xr:uid="{00000000-0005-0000-0000-0000F2750000}"/>
    <cellStyle name="Total 2 2 3 2 3 6" xfId="5539" xr:uid="{00000000-0005-0000-0000-0000F3750000}"/>
    <cellStyle name="Total 2 2 3 2 3 6 2" xfId="16358" xr:uid="{00000000-0005-0000-0000-0000F4750000}"/>
    <cellStyle name="Total 2 2 3 2 3 6 3" xfId="19057" xr:uid="{00000000-0005-0000-0000-0000F5750000}"/>
    <cellStyle name="Total 2 2 3 2 3 7" xfId="9433" xr:uid="{00000000-0005-0000-0000-0000F6750000}"/>
    <cellStyle name="Total 2 2 3 2 3 8" xfId="14720" xr:uid="{00000000-0005-0000-0000-0000F7750000}"/>
    <cellStyle name="Total 2 2 3 2 3 9" xfId="16471" xr:uid="{00000000-0005-0000-0000-0000F8750000}"/>
    <cellStyle name="Total 2 2 3 2 4" xfId="2921" xr:uid="{00000000-0005-0000-0000-0000F9750000}"/>
    <cellStyle name="Total 2 2 3 2 4 2" xfId="7085" xr:uid="{00000000-0005-0000-0000-0000FA750000}"/>
    <cellStyle name="Total 2 2 3 2 4 2 2" xfId="11219" xr:uid="{00000000-0005-0000-0000-0000FB750000}"/>
    <cellStyle name="Total 2 2 3 2 4 2 3" xfId="17516" xr:uid="{00000000-0005-0000-0000-0000FC750000}"/>
    <cellStyle name="Total 2 2 3 2 4 2 4" xfId="20603" xr:uid="{00000000-0005-0000-0000-0000FD750000}"/>
    <cellStyle name="Total 2 2 3 2 4 3" xfId="5376" xr:uid="{00000000-0005-0000-0000-0000FE750000}"/>
    <cellStyle name="Total 2 2 3 2 4 3 2" xfId="16226" xr:uid="{00000000-0005-0000-0000-0000FF750000}"/>
    <cellStyle name="Total 2 2 3 2 4 3 3" xfId="18894" xr:uid="{00000000-0005-0000-0000-000000760000}"/>
    <cellStyle name="Total 2 2 3 2 4 4" xfId="9073" xr:uid="{00000000-0005-0000-0000-000001760000}"/>
    <cellStyle name="Total 2 2 3 2 4 5" xfId="14445" xr:uid="{00000000-0005-0000-0000-000002760000}"/>
    <cellStyle name="Total 2 2 3 2 4 6" xfId="17934" xr:uid="{00000000-0005-0000-0000-000003760000}"/>
    <cellStyle name="Total 2 2 3 2 5" xfId="6398" xr:uid="{00000000-0005-0000-0000-000004760000}"/>
    <cellStyle name="Total 2 2 3 2 5 2" xfId="8106" xr:uid="{00000000-0005-0000-0000-000005760000}"/>
    <cellStyle name="Total 2 2 3 2 5 2 2" xfId="12074" xr:uid="{00000000-0005-0000-0000-000006760000}"/>
    <cellStyle name="Total 2 2 3 2 5 2 3" xfId="18312" xr:uid="{00000000-0005-0000-0000-000007760000}"/>
    <cellStyle name="Total 2 2 3 2 5 2 4" xfId="21624" xr:uid="{00000000-0005-0000-0000-000008760000}"/>
    <cellStyle name="Total 2 2 3 2 5 3" xfId="10916" xr:uid="{00000000-0005-0000-0000-000009760000}"/>
    <cellStyle name="Total 2 2 3 2 5 4" xfId="17021" xr:uid="{00000000-0005-0000-0000-00000A760000}"/>
    <cellStyle name="Total 2 2 3 2 5 5" xfId="19916" xr:uid="{00000000-0005-0000-0000-00000B760000}"/>
    <cellStyle name="Total 2 2 3 2 6" xfId="6630" xr:uid="{00000000-0005-0000-0000-00000C760000}"/>
    <cellStyle name="Total 2 2 3 2 6 2" xfId="8338" xr:uid="{00000000-0005-0000-0000-00000D760000}"/>
    <cellStyle name="Total 2 2 3 2 6 2 2" xfId="12306" xr:uid="{00000000-0005-0000-0000-00000E760000}"/>
    <cellStyle name="Total 2 2 3 2 6 2 3" xfId="18483" xr:uid="{00000000-0005-0000-0000-00000F760000}"/>
    <cellStyle name="Total 2 2 3 2 6 2 4" xfId="21856" xr:uid="{00000000-0005-0000-0000-000010760000}"/>
    <cellStyle name="Total 2 2 3 2 6 3" xfId="10956" xr:uid="{00000000-0005-0000-0000-000011760000}"/>
    <cellStyle name="Total 2 2 3 2 6 4" xfId="17192" xr:uid="{00000000-0005-0000-0000-000012760000}"/>
    <cellStyle name="Total 2 2 3 2 6 5" xfId="20148" xr:uid="{00000000-0005-0000-0000-000013760000}"/>
    <cellStyle name="Total 2 2 3 2 7" xfId="6862" xr:uid="{00000000-0005-0000-0000-000014760000}"/>
    <cellStyle name="Total 2 2 3 2 7 2" xfId="8570" xr:uid="{00000000-0005-0000-0000-000015760000}"/>
    <cellStyle name="Total 2 2 3 2 7 2 2" xfId="12538" xr:uid="{00000000-0005-0000-0000-000016760000}"/>
    <cellStyle name="Total 2 2 3 2 7 2 3" xfId="18654" xr:uid="{00000000-0005-0000-0000-000017760000}"/>
    <cellStyle name="Total 2 2 3 2 7 2 4" xfId="22088" xr:uid="{00000000-0005-0000-0000-000018760000}"/>
    <cellStyle name="Total 2 2 3 2 7 3" xfId="10996" xr:uid="{00000000-0005-0000-0000-000019760000}"/>
    <cellStyle name="Total 2 2 3 2 7 4" xfId="17362" xr:uid="{00000000-0005-0000-0000-00001A760000}"/>
    <cellStyle name="Total 2 2 3 2 7 5" xfId="20380" xr:uid="{00000000-0005-0000-0000-00001B760000}"/>
    <cellStyle name="Total 2 2 3 2 8" xfId="5835" xr:uid="{00000000-0005-0000-0000-00001C760000}"/>
    <cellStyle name="Total 2 2 3 2 8 2" xfId="10591" xr:uid="{00000000-0005-0000-0000-00001D760000}"/>
    <cellStyle name="Total 2 2 3 2 8 3" xfId="16595" xr:uid="{00000000-0005-0000-0000-00001E760000}"/>
    <cellStyle name="Total 2 2 3 2 8 4" xfId="19353" xr:uid="{00000000-0005-0000-0000-00001F760000}"/>
    <cellStyle name="Total 2 2 3 2 9" xfId="7543" xr:uid="{00000000-0005-0000-0000-000020760000}"/>
    <cellStyle name="Total 2 2 3 2 9 2" xfId="11577" xr:uid="{00000000-0005-0000-0000-000021760000}"/>
    <cellStyle name="Total 2 2 3 2 9 3" xfId="17887" xr:uid="{00000000-0005-0000-0000-000022760000}"/>
    <cellStyle name="Total 2 2 3 2 9 4" xfId="21061" xr:uid="{00000000-0005-0000-0000-000023760000}"/>
    <cellStyle name="Total 2 2 3 3" xfId="2652" xr:uid="{00000000-0005-0000-0000-000024760000}"/>
    <cellStyle name="Total 2 2 3 3 10" xfId="4916" xr:uid="{00000000-0005-0000-0000-000025760000}"/>
    <cellStyle name="Total 2 2 3 3 10 2" xfId="15886" xr:uid="{00000000-0005-0000-0000-000026760000}"/>
    <cellStyle name="Total 2 2 3 3 10 3" xfId="13103" xr:uid="{00000000-0005-0000-0000-000027760000}"/>
    <cellStyle name="Total 2 2 3 3 11" xfId="8809" xr:uid="{00000000-0005-0000-0000-000028760000}"/>
    <cellStyle name="Total 2 2 3 3 12" xfId="14229" xr:uid="{00000000-0005-0000-0000-000029760000}"/>
    <cellStyle name="Total 2 2 3 3 2" xfId="3144" xr:uid="{00000000-0005-0000-0000-00002A760000}"/>
    <cellStyle name="Total 2 2 3 3 2 10" xfId="9274" xr:uid="{00000000-0005-0000-0000-00002B760000}"/>
    <cellStyle name="Total 2 2 3 3 2 11" xfId="14597" xr:uid="{00000000-0005-0000-0000-00002C760000}"/>
    <cellStyle name="Total 2 2 3 3 2 12" xfId="18017" xr:uid="{00000000-0005-0000-0000-00002D760000}"/>
    <cellStyle name="Total 2 2 3 3 2 2" xfId="3531" xr:uid="{00000000-0005-0000-0000-00002E760000}"/>
    <cellStyle name="Total 2 2 3 3 2 2 2" xfId="7351" xr:uid="{00000000-0005-0000-0000-00002F760000}"/>
    <cellStyle name="Total 2 2 3 3 2 2 2 2" xfId="11437" xr:uid="{00000000-0005-0000-0000-000030760000}"/>
    <cellStyle name="Total 2 2 3 3 2 2 2 3" xfId="17739" xr:uid="{00000000-0005-0000-0000-000031760000}"/>
    <cellStyle name="Total 2 2 3 3 2 2 2 4" xfId="20869" xr:uid="{00000000-0005-0000-0000-000032760000}"/>
    <cellStyle name="Total 2 2 3 3 2 2 3" xfId="5642" xr:uid="{00000000-0005-0000-0000-000033760000}"/>
    <cellStyle name="Total 2 2 3 3 2 2 3 2" xfId="16448" xr:uid="{00000000-0005-0000-0000-000034760000}"/>
    <cellStyle name="Total 2 2 3 3 2 2 3 3" xfId="19160" xr:uid="{00000000-0005-0000-0000-000035760000}"/>
    <cellStyle name="Total 2 2 3 3 2 2 4" xfId="9623" xr:uid="{00000000-0005-0000-0000-000036760000}"/>
    <cellStyle name="Total 2 2 3 3 2 2 5" xfId="14877" xr:uid="{00000000-0005-0000-0000-000037760000}"/>
    <cellStyle name="Total 2 2 3 3 2 2 6" xfId="15554" xr:uid="{00000000-0005-0000-0000-000038760000}"/>
    <cellStyle name="Total 2 2 3 3 2 3" xfId="3914" xr:uid="{00000000-0005-0000-0000-000039760000}"/>
    <cellStyle name="Total 2 2 3 3 2 3 2" xfId="7185" xr:uid="{00000000-0005-0000-0000-00003A760000}"/>
    <cellStyle name="Total 2 2 3 3 2 3 2 2" xfId="11314" xr:uid="{00000000-0005-0000-0000-00003B760000}"/>
    <cellStyle name="Total 2 2 3 3 2 3 2 3" xfId="17595" xr:uid="{00000000-0005-0000-0000-00003C760000}"/>
    <cellStyle name="Total 2 2 3 3 2 3 2 4" xfId="20703" xr:uid="{00000000-0005-0000-0000-00003D760000}"/>
    <cellStyle name="Total 2 2 3 3 2 3 3" xfId="5476" xr:uid="{00000000-0005-0000-0000-00003E760000}"/>
    <cellStyle name="Total 2 2 3 3 2 3 3 2" xfId="16305" xr:uid="{00000000-0005-0000-0000-00003F760000}"/>
    <cellStyle name="Total 2 2 3 3 2 3 3 3" xfId="18994" xr:uid="{00000000-0005-0000-0000-000040760000}"/>
    <cellStyle name="Total 2 2 3 3 2 3 4" xfId="9837" xr:uid="{00000000-0005-0000-0000-000041760000}"/>
    <cellStyle name="Total 2 2 3 3 2 3 5" xfId="15153" xr:uid="{00000000-0005-0000-0000-000042760000}"/>
    <cellStyle name="Total 2 2 3 3 2 3 6" xfId="14077" xr:uid="{00000000-0005-0000-0000-000043760000}"/>
    <cellStyle name="Total 2 2 3 3 2 4" xfId="4297" xr:uid="{00000000-0005-0000-0000-000044760000}"/>
    <cellStyle name="Total 2 2 3 3 2 4 2" xfId="8134" xr:uid="{00000000-0005-0000-0000-000045760000}"/>
    <cellStyle name="Total 2 2 3 3 2 4 2 2" xfId="12102" xr:uid="{00000000-0005-0000-0000-000046760000}"/>
    <cellStyle name="Total 2 2 3 3 2 4 2 3" xfId="18338" xr:uid="{00000000-0005-0000-0000-000047760000}"/>
    <cellStyle name="Total 2 2 3 3 2 4 2 4" xfId="21652" xr:uid="{00000000-0005-0000-0000-000048760000}"/>
    <cellStyle name="Total 2 2 3 3 2 4 3" xfId="6426" xr:uid="{00000000-0005-0000-0000-000049760000}"/>
    <cellStyle name="Total 2 2 3 3 2 4 3 2" xfId="17047" xr:uid="{00000000-0005-0000-0000-00004A760000}"/>
    <cellStyle name="Total 2 2 3 3 2 4 3 3" xfId="19944" xr:uid="{00000000-0005-0000-0000-00004B760000}"/>
    <cellStyle name="Total 2 2 3 3 2 4 4" xfId="10015" xr:uid="{00000000-0005-0000-0000-00004C760000}"/>
    <cellStyle name="Total 2 2 3 3 2 4 5" xfId="15428" xr:uid="{00000000-0005-0000-0000-00004D760000}"/>
    <cellStyle name="Total 2 2 3 3 2 4 6" xfId="13708" xr:uid="{00000000-0005-0000-0000-00004E760000}"/>
    <cellStyle name="Total 2 2 3 3 2 5" xfId="4679" xr:uid="{00000000-0005-0000-0000-00004F760000}"/>
    <cellStyle name="Total 2 2 3 3 2 5 2" xfId="8366" xr:uid="{00000000-0005-0000-0000-000050760000}"/>
    <cellStyle name="Total 2 2 3 3 2 5 2 2" xfId="12334" xr:uid="{00000000-0005-0000-0000-000051760000}"/>
    <cellStyle name="Total 2 2 3 3 2 5 2 3" xfId="18509" xr:uid="{00000000-0005-0000-0000-000052760000}"/>
    <cellStyle name="Total 2 2 3 3 2 5 2 4" xfId="21884" xr:uid="{00000000-0005-0000-0000-000053760000}"/>
    <cellStyle name="Total 2 2 3 3 2 5 3" xfId="6658" xr:uid="{00000000-0005-0000-0000-000054760000}"/>
    <cellStyle name="Total 2 2 3 3 2 5 3 2" xfId="17218" xr:uid="{00000000-0005-0000-0000-000055760000}"/>
    <cellStyle name="Total 2 2 3 3 2 5 3 3" xfId="20176" xr:uid="{00000000-0005-0000-0000-000056760000}"/>
    <cellStyle name="Total 2 2 3 3 2 5 4" xfId="10192" xr:uid="{00000000-0005-0000-0000-000057760000}"/>
    <cellStyle name="Total 2 2 3 3 2 5 5" xfId="15702" xr:uid="{00000000-0005-0000-0000-000058760000}"/>
    <cellStyle name="Total 2 2 3 3 2 5 6" xfId="13326" xr:uid="{00000000-0005-0000-0000-000059760000}"/>
    <cellStyle name="Total 2 2 3 3 2 6" xfId="6890" xr:uid="{00000000-0005-0000-0000-00005A760000}"/>
    <cellStyle name="Total 2 2 3 3 2 6 2" xfId="8598" xr:uid="{00000000-0005-0000-0000-00005B760000}"/>
    <cellStyle name="Total 2 2 3 3 2 6 2 2" xfId="12566" xr:uid="{00000000-0005-0000-0000-00005C760000}"/>
    <cellStyle name="Total 2 2 3 3 2 6 2 3" xfId="18680" xr:uid="{00000000-0005-0000-0000-00005D760000}"/>
    <cellStyle name="Total 2 2 3 3 2 6 2 4" xfId="22116" xr:uid="{00000000-0005-0000-0000-00005E760000}"/>
    <cellStyle name="Total 2 2 3 3 2 6 3" xfId="11024" xr:uid="{00000000-0005-0000-0000-00005F760000}"/>
    <cellStyle name="Total 2 2 3 3 2 6 4" xfId="17388" xr:uid="{00000000-0005-0000-0000-000060760000}"/>
    <cellStyle name="Total 2 2 3 3 2 6 5" xfId="20408" xr:uid="{00000000-0005-0000-0000-000061760000}"/>
    <cellStyle name="Total 2 2 3 3 2 7" xfId="5878" xr:uid="{00000000-0005-0000-0000-000062760000}"/>
    <cellStyle name="Total 2 2 3 3 2 7 2" xfId="10619" xr:uid="{00000000-0005-0000-0000-000063760000}"/>
    <cellStyle name="Total 2 2 3 3 2 7 3" xfId="16626" xr:uid="{00000000-0005-0000-0000-000064760000}"/>
    <cellStyle name="Total 2 2 3 3 2 7 4" xfId="19396" xr:uid="{00000000-0005-0000-0000-000065760000}"/>
    <cellStyle name="Total 2 2 3 3 2 8" xfId="7586" xr:uid="{00000000-0005-0000-0000-000066760000}"/>
    <cellStyle name="Total 2 2 3 3 2 8 2" xfId="11607" xr:uid="{00000000-0005-0000-0000-000067760000}"/>
    <cellStyle name="Total 2 2 3 3 2 8 3" xfId="17918" xr:uid="{00000000-0005-0000-0000-000068760000}"/>
    <cellStyle name="Total 2 2 3 3 2 8 4" xfId="21104" xr:uid="{00000000-0005-0000-0000-000069760000}"/>
    <cellStyle name="Total 2 2 3 3 2 9" xfId="4968" xr:uid="{00000000-0005-0000-0000-00006A760000}"/>
    <cellStyle name="Total 2 2 3 3 2 9 2" xfId="15936" xr:uid="{00000000-0005-0000-0000-00006B760000}"/>
    <cellStyle name="Total 2 2 3 3 2 9 3" xfId="13051" xr:uid="{00000000-0005-0000-0000-00006C760000}"/>
    <cellStyle name="Total 2 2 3 3 3" xfId="3256" xr:uid="{00000000-0005-0000-0000-00006D760000}"/>
    <cellStyle name="Total 2 2 3 3 3 2" xfId="3643" xr:uid="{00000000-0005-0000-0000-00006E760000}"/>
    <cellStyle name="Total 2 2 3 3 3 2 2" xfId="5134" xr:uid="{00000000-0005-0000-0000-00006F760000}"/>
    <cellStyle name="Total 2 2 3 3 3 2 2 2" xfId="16063" xr:uid="{00000000-0005-0000-0000-000070760000}"/>
    <cellStyle name="Total 2 2 3 3 3 2 2 3" xfId="12787" xr:uid="{00000000-0005-0000-0000-000071760000}"/>
    <cellStyle name="Total 2 2 3 3 3 2 3" xfId="9734" xr:uid="{00000000-0005-0000-0000-000072760000}"/>
    <cellStyle name="Total 2 2 3 3 3 2 4" xfId="14962" xr:uid="{00000000-0005-0000-0000-000073760000}"/>
    <cellStyle name="Total 2 2 3 3 3 2 5" xfId="14295" xr:uid="{00000000-0005-0000-0000-000074760000}"/>
    <cellStyle name="Total 2 2 3 3 3 3" xfId="4026" xr:uid="{00000000-0005-0000-0000-000075760000}"/>
    <cellStyle name="Total 2 2 3 3 3 3 2" xfId="15237" xr:uid="{00000000-0005-0000-0000-000076760000}"/>
    <cellStyle name="Total 2 2 3 3 3 3 3" xfId="13965" xr:uid="{00000000-0005-0000-0000-000077760000}"/>
    <cellStyle name="Total 2 2 3 3 3 4" xfId="4409" xr:uid="{00000000-0005-0000-0000-000078760000}"/>
    <cellStyle name="Total 2 2 3 3 3 4 2" xfId="15513" xr:uid="{00000000-0005-0000-0000-000079760000}"/>
    <cellStyle name="Total 2 2 3 3 3 4 3" xfId="13596" xr:uid="{00000000-0005-0000-0000-00007A760000}"/>
    <cellStyle name="Total 2 2 3 3 3 5" xfId="4791" xr:uid="{00000000-0005-0000-0000-00007B760000}"/>
    <cellStyle name="Total 2 2 3 3 3 5 2" xfId="15785" xr:uid="{00000000-0005-0000-0000-00007C760000}"/>
    <cellStyle name="Total 2 2 3 3 3 5 3" xfId="13214" xr:uid="{00000000-0005-0000-0000-00007D760000}"/>
    <cellStyle name="Total 2 2 3 3 3 6" xfId="5268" xr:uid="{00000000-0005-0000-0000-00007E760000}"/>
    <cellStyle name="Total 2 2 3 3 3 6 2" xfId="16149" xr:uid="{00000000-0005-0000-0000-00007F760000}"/>
    <cellStyle name="Total 2 2 3 3 3 6 3" xfId="12755" xr:uid="{00000000-0005-0000-0000-000080760000}"/>
    <cellStyle name="Total 2 2 3 3 3 7" xfId="9386" xr:uid="{00000000-0005-0000-0000-000081760000}"/>
    <cellStyle name="Total 2 2 3 3 3 8" xfId="14682" xr:uid="{00000000-0005-0000-0000-000082760000}"/>
    <cellStyle name="Total 2 2 3 3 3 9" xfId="16937" xr:uid="{00000000-0005-0000-0000-000083760000}"/>
    <cellStyle name="Total 2 2 3 3 4" xfId="2852" xr:uid="{00000000-0005-0000-0000-000084760000}"/>
    <cellStyle name="Total 2 2 3 3 4 2" xfId="8033" xr:uid="{00000000-0005-0000-0000-000085760000}"/>
    <cellStyle name="Total 2 2 3 3 4 2 2" xfId="12006" xr:uid="{00000000-0005-0000-0000-000086760000}"/>
    <cellStyle name="Total 2 2 3 3 4 2 3" xfId="18246" xr:uid="{00000000-0005-0000-0000-000087760000}"/>
    <cellStyle name="Total 2 2 3 3 4 2 4" xfId="21551" xr:uid="{00000000-0005-0000-0000-000088760000}"/>
    <cellStyle name="Total 2 2 3 3 4 3" xfId="6325" xr:uid="{00000000-0005-0000-0000-000089760000}"/>
    <cellStyle name="Total 2 2 3 3 4 3 2" xfId="16955" xr:uid="{00000000-0005-0000-0000-00008A760000}"/>
    <cellStyle name="Total 2 2 3 3 4 3 3" xfId="19843" xr:uid="{00000000-0005-0000-0000-00008B760000}"/>
    <cellStyle name="Total 2 2 3 3 4 4" xfId="9005" xr:uid="{00000000-0005-0000-0000-00008C760000}"/>
    <cellStyle name="Total 2 2 3 3 4 5" xfId="14390" xr:uid="{00000000-0005-0000-0000-00008D760000}"/>
    <cellStyle name="Total 2 2 3 3 4 6" xfId="16217" xr:uid="{00000000-0005-0000-0000-00008E760000}"/>
    <cellStyle name="Total 2 2 3 3 5" xfId="6374" xr:uid="{00000000-0005-0000-0000-00008F760000}"/>
    <cellStyle name="Total 2 2 3 3 5 2" xfId="8082" xr:uid="{00000000-0005-0000-0000-000090760000}"/>
    <cellStyle name="Total 2 2 3 3 5 2 2" xfId="12050" xr:uid="{00000000-0005-0000-0000-000091760000}"/>
    <cellStyle name="Total 2 2 3 3 5 2 3" xfId="18288" xr:uid="{00000000-0005-0000-0000-000092760000}"/>
    <cellStyle name="Total 2 2 3 3 5 2 4" xfId="21600" xr:uid="{00000000-0005-0000-0000-000093760000}"/>
    <cellStyle name="Total 2 2 3 3 5 3" xfId="10892" xr:uid="{00000000-0005-0000-0000-000094760000}"/>
    <cellStyle name="Total 2 2 3 3 5 4" xfId="16997" xr:uid="{00000000-0005-0000-0000-000095760000}"/>
    <cellStyle name="Total 2 2 3 3 5 5" xfId="19892" xr:uid="{00000000-0005-0000-0000-000096760000}"/>
    <cellStyle name="Total 2 2 3 3 6" xfId="6606" xr:uid="{00000000-0005-0000-0000-000097760000}"/>
    <cellStyle name="Total 2 2 3 3 6 2" xfId="8314" xr:uid="{00000000-0005-0000-0000-000098760000}"/>
    <cellStyle name="Total 2 2 3 3 6 2 2" xfId="12282" xr:uid="{00000000-0005-0000-0000-000099760000}"/>
    <cellStyle name="Total 2 2 3 3 6 2 3" xfId="18459" xr:uid="{00000000-0005-0000-0000-00009A760000}"/>
    <cellStyle name="Total 2 2 3 3 6 2 4" xfId="21832" xr:uid="{00000000-0005-0000-0000-00009B760000}"/>
    <cellStyle name="Total 2 2 3 3 6 3" xfId="10932" xr:uid="{00000000-0005-0000-0000-00009C760000}"/>
    <cellStyle name="Total 2 2 3 3 6 4" xfId="17168" xr:uid="{00000000-0005-0000-0000-00009D760000}"/>
    <cellStyle name="Total 2 2 3 3 6 5" xfId="20124" xr:uid="{00000000-0005-0000-0000-00009E760000}"/>
    <cellStyle name="Total 2 2 3 3 7" xfId="6838" xr:uid="{00000000-0005-0000-0000-00009F760000}"/>
    <cellStyle name="Total 2 2 3 3 7 2" xfId="8546" xr:uid="{00000000-0005-0000-0000-0000A0760000}"/>
    <cellStyle name="Total 2 2 3 3 7 2 2" xfId="12514" xr:uid="{00000000-0005-0000-0000-0000A1760000}"/>
    <cellStyle name="Total 2 2 3 3 7 2 3" xfId="18630" xr:uid="{00000000-0005-0000-0000-0000A2760000}"/>
    <cellStyle name="Total 2 2 3 3 7 2 4" xfId="22064" xr:uid="{00000000-0005-0000-0000-0000A3760000}"/>
    <cellStyle name="Total 2 2 3 3 7 3" xfId="10972" xr:uid="{00000000-0005-0000-0000-0000A4760000}"/>
    <cellStyle name="Total 2 2 3 3 7 4" xfId="17338" xr:uid="{00000000-0005-0000-0000-0000A5760000}"/>
    <cellStyle name="Total 2 2 3 3 7 5" xfId="20356" xr:uid="{00000000-0005-0000-0000-0000A6760000}"/>
    <cellStyle name="Total 2 2 3 3 8" xfId="5800" xr:uid="{00000000-0005-0000-0000-0000A7760000}"/>
    <cellStyle name="Total 2 2 3 3 8 2" xfId="10567" xr:uid="{00000000-0005-0000-0000-0000A8760000}"/>
    <cellStyle name="Total 2 2 3 3 8 3" xfId="16566" xr:uid="{00000000-0005-0000-0000-0000A9760000}"/>
    <cellStyle name="Total 2 2 3 3 8 4" xfId="19318" xr:uid="{00000000-0005-0000-0000-0000AA760000}"/>
    <cellStyle name="Total 2 2 3 3 9" xfId="7508" xr:uid="{00000000-0005-0000-0000-0000AB760000}"/>
    <cellStyle name="Total 2 2 3 3 9 2" xfId="11553" xr:uid="{00000000-0005-0000-0000-0000AC760000}"/>
    <cellStyle name="Total 2 2 3 3 9 3" xfId="17858" xr:uid="{00000000-0005-0000-0000-0000AD760000}"/>
    <cellStyle name="Total 2 2 3 3 9 4" xfId="21026" xr:uid="{00000000-0005-0000-0000-0000AE760000}"/>
    <cellStyle name="Total 2 2 3 4" xfId="3189" xr:uid="{00000000-0005-0000-0000-0000AF760000}"/>
    <cellStyle name="Total 2 2 3 4 10" xfId="9319" xr:uid="{00000000-0005-0000-0000-0000B0760000}"/>
    <cellStyle name="Total 2 2 3 4 11" xfId="14635" xr:uid="{00000000-0005-0000-0000-0000B1760000}"/>
    <cellStyle name="Total 2 2 3 4 12" xfId="16101" xr:uid="{00000000-0005-0000-0000-0000B2760000}"/>
    <cellStyle name="Total 2 2 3 4 2" xfId="3576" xr:uid="{00000000-0005-0000-0000-0000B3760000}"/>
    <cellStyle name="Total 2 2 3 4 2 2" xfId="7358" xr:uid="{00000000-0005-0000-0000-0000B4760000}"/>
    <cellStyle name="Total 2 2 3 4 2 2 2" xfId="11444" xr:uid="{00000000-0005-0000-0000-0000B5760000}"/>
    <cellStyle name="Total 2 2 3 4 2 2 3" xfId="17744" xr:uid="{00000000-0005-0000-0000-0000B6760000}"/>
    <cellStyle name="Total 2 2 3 4 2 2 4" xfId="20876" xr:uid="{00000000-0005-0000-0000-0000B7760000}"/>
    <cellStyle name="Total 2 2 3 4 2 3" xfId="5649" xr:uid="{00000000-0005-0000-0000-0000B8760000}"/>
    <cellStyle name="Total 2 2 3 4 2 3 2" xfId="16453" xr:uid="{00000000-0005-0000-0000-0000B9760000}"/>
    <cellStyle name="Total 2 2 3 4 2 3 3" xfId="19167" xr:uid="{00000000-0005-0000-0000-0000BA760000}"/>
    <cellStyle name="Total 2 2 3 4 2 4" xfId="9668" xr:uid="{00000000-0005-0000-0000-0000BB760000}"/>
    <cellStyle name="Total 2 2 3 4 2 5" xfId="14915" xr:uid="{00000000-0005-0000-0000-0000BC760000}"/>
    <cellStyle name="Total 2 2 3 4 2 6" xfId="15174" xr:uid="{00000000-0005-0000-0000-0000BD760000}"/>
    <cellStyle name="Total 2 2 3 4 3" xfId="3959" xr:uid="{00000000-0005-0000-0000-0000BE760000}"/>
    <cellStyle name="Total 2 2 3 4 3 2" xfId="8066" xr:uid="{00000000-0005-0000-0000-0000BF760000}"/>
    <cellStyle name="Total 2 2 3 4 3 2 2" xfId="12036" xr:uid="{00000000-0005-0000-0000-0000C0760000}"/>
    <cellStyle name="Total 2 2 3 4 3 2 3" xfId="18273" xr:uid="{00000000-0005-0000-0000-0000C1760000}"/>
    <cellStyle name="Total 2 2 3 4 3 2 4" xfId="21584" xr:uid="{00000000-0005-0000-0000-0000C2760000}"/>
    <cellStyle name="Total 2 2 3 4 3 3" xfId="6358" xr:uid="{00000000-0005-0000-0000-0000C3760000}"/>
    <cellStyle name="Total 2 2 3 4 3 3 2" xfId="16982" xr:uid="{00000000-0005-0000-0000-0000C4760000}"/>
    <cellStyle name="Total 2 2 3 4 3 3 3" xfId="19876" xr:uid="{00000000-0005-0000-0000-0000C5760000}"/>
    <cellStyle name="Total 2 2 3 4 3 4" xfId="9882" xr:uid="{00000000-0005-0000-0000-0000C6760000}"/>
    <cellStyle name="Total 2 2 3 4 3 5" xfId="15191" xr:uid="{00000000-0005-0000-0000-0000C7760000}"/>
    <cellStyle name="Total 2 2 3 4 3 6" xfId="14032" xr:uid="{00000000-0005-0000-0000-0000C8760000}"/>
    <cellStyle name="Total 2 2 3 4 4" xfId="4342" xr:uid="{00000000-0005-0000-0000-0000C9760000}"/>
    <cellStyle name="Total 2 2 3 4 4 2" xfId="8151" xr:uid="{00000000-0005-0000-0000-0000CA760000}"/>
    <cellStyle name="Total 2 2 3 4 4 2 2" xfId="12119" xr:uid="{00000000-0005-0000-0000-0000CB760000}"/>
    <cellStyle name="Total 2 2 3 4 4 2 3" xfId="18351" xr:uid="{00000000-0005-0000-0000-0000CC760000}"/>
    <cellStyle name="Total 2 2 3 4 4 2 4" xfId="21669" xr:uid="{00000000-0005-0000-0000-0000CD760000}"/>
    <cellStyle name="Total 2 2 3 4 4 3" xfId="6443" xr:uid="{00000000-0005-0000-0000-0000CE760000}"/>
    <cellStyle name="Total 2 2 3 4 4 3 2" xfId="17060" xr:uid="{00000000-0005-0000-0000-0000CF760000}"/>
    <cellStyle name="Total 2 2 3 4 4 3 3" xfId="19961" xr:uid="{00000000-0005-0000-0000-0000D0760000}"/>
    <cellStyle name="Total 2 2 3 4 4 4" xfId="10060" xr:uid="{00000000-0005-0000-0000-0000D1760000}"/>
    <cellStyle name="Total 2 2 3 4 4 5" xfId="15466" xr:uid="{00000000-0005-0000-0000-0000D2760000}"/>
    <cellStyle name="Total 2 2 3 4 4 6" xfId="13663" xr:uid="{00000000-0005-0000-0000-0000D3760000}"/>
    <cellStyle name="Total 2 2 3 4 5" xfId="4724" xr:uid="{00000000-0005-0000-0000-0000D4760000}"/>
    <cellStyle name="Total 2 2 3 4 5 2" xfId="8383" xr:uid="{00000000-0005-0000-0000-0000D5760000}"/>
    <cellStyle name="Total 2 2 3 4 5 2 2" xfId="12351" xr:uid="{00000000-0005-0000-0000-0000D6760000}"/>
    <cellStyle name="Total 2 2 3 4 5 2 3" xfId="18522" xr:uid="{00000000-0005-0000-0000-0000D7760000}"/>
    <cellStyle name="Total 2 2 3 4 5 2 4" xfId="21901" xr:uid="{00000000-0005-0000-0000-0000D8760000}"/>
    <cellStyle name="Total 2 2 3 4 5 3" xfId="6675" xr:uid="{00000000-0005-0000-0000-0000D9760000}"/>
    <cellStyle name="Total 2 2 3 4 5 3 2" xfId="17231" xr:uid="{00000000-0005-0000-0000-0000DA760000}"/>
    <cellStyle name="Total 2 2 3 4 5 3 3" xfId="20193" xr:uid="{00000000-0005-0000-0000-0000DB760000}"/>
    <cellStyle name="Total 2 2 3 4 5 4" xfId="10237" xr:uid="{00000000-0005-0000-0000-0000DC760000}"/>
    <cellStyle name="Total 2 2 3 4 5 5" xfId="15740" xr:uid="{00000000-0005-0000-0000-0000DD760000}"/>
    <cellStyle name="Total 2 2 3 4 5 6" xfId="13281" xr:uid="{00000000-0005-0000-0000-0000DE760000}"/>
    <cellStyle name="Total 2 2 3 4 6" xfId="6907" xr:uid="{00000000-0005-0000-0000-0000DF760000}"/>
    <cellStyle name="Total 2 2 3 4 6 2" xfId="8615" xr:uid="{00000000-0005-0000-0000-0000E0760000}"/>
    <cellStyle name="Total 2 2 3 4 6 2 2" xfId="12583" xr:uid="{00000000-0005-0000-0000-0000E1760000}"/>
    <cellStyle name="Total 2 2 3 4 6 2 3" xfId="18693" xr:uid="{00000000-0005-0000-0000-0000E2760000}"/>
    <cellStyle name="Total 2 2 3 4 6 2 4" xfId="22133" xr:uid="{00000000-0005-0000-0000-0000E3760000}"/>
    <cellStyle name="Total 2 2 3 4 6 3" xfId="11041" xr:uid="{00000000-0005-0000-0000-0000E4760000}"/>
    <cellStyle name="Total 2 2 3 4 6 4" xfId="17401" xr:uid="{00000000-0005-0000-0000-0000E5760000}"/>
    <cellStyle name="Total 2 2 3 4 6 5" xfId="20425" xr:uid="{00000000-0005-0000-0000-0000E6760000}"/>
    <cellStyle name="Total 2 2 3 4 7" xfId="5895" xr:uid="{00000000-0005-0000-0000-0000E7760000}"/>
    <cellStyle name="Total 2 2 3 4 7 2" xfId="10636" xr:uid="{00000000-0005-0000-0000-0000E8760000}"/>
    <cellStyle name="Total 2 2 3 4 7 3" xfId="16639" xr:uid="{00000000-0005-0000-0000-0000E9760000}"/>
    <cellStyle name="Total 2 2 3 4 7 4" xfId="19413" xr:uid="{00000000-0005-0000-0000-0000EA760000}"/>
    <cellStyle name="Total 2 2 3 4 8" xfId="7603" xr:uid="{00000000-0005-0000-0000-0000EB760000}"/>
    <cellStyle name="Total 2 2 3 4 8 2" xfId="11624" xr:uid="{00000000-0005-0000-0000-0000EC760000}"/>
    <cellStyle name="Total 2 2 3 4 8 3" xfId="17931" xr:uid="{00000000-0005-0000-0000-0000ED760000}"/>
    <cellStyle name="Total 2 2 3 4 8 4" xfId="21121" xr:uid="{00000000-0005-0000-0000-0000EE760000}"/>
    <cellStyle name="Total 2 2 3 4 9" xfId="4990" xr:uid="{00000000-0005-0000-0000-0000EF760000}"/>
    <cellStyle name="Total 2 2 3 4 9 2" xfId="15954" xr:uid="{00000000-0005-0000-0000-0000F0760000}"/>
    <cellStyle name="Total 2 2 3 4 9 3" xfId="13029" xr:uid="{00000000-0005-0000-0000-0000F1760000}"/>
    <cellStyle name="Total 2 2 3 5" xfId="3019" xr:uid="{00000000-0005-0000-0000-0000F2760000}"/>
    <cellStyle name="Total 2 2 3 5 2" xfId="3406" xr:uid="{00000000-0005-0000-0000-0000F3760000}"/>
    <cellStyle name="Total 2 2 3 5 2 2" xfId="7874" xr:uid="{00000000-0005-0000-0000-0000F4760000}"/>
    <cellStyle name="Total 2 2 3 5 2 2 2" xfId="18131" xr:uid="{00000000-0005-0000-0000-0000F5760000}"/>
    <cellStyle name="Total 2 2 3 5 2 2 3" xfId="21392" xr:uid="{00000000-0005-0000-0000-0000F6760000}"/>
    <cellStyle name="Total 2 2 3 5 2 3" xfId="9525" xr:uid="{00000000-0005-0000-0000-0000F7760000}"/>
    <cellStyle name="Total 2 2 3 5 2 4" xfId="14777" xr:uid="{00000000-0005-0000-0000-0000F8760000}"/>
    <cellStyle name="Total 2 2 3 5 2 5" xfId="17457" xr:uid="{00000000-0005-0000-0000-0000F9760000}"/>
    <cellStyle name="Total 2 2 3 5 3" xfId="3789" xr:uid="{00000000-0005-0000-0000-0000FA760000}"/>
    <cellStyle name="Total 2 2 3 5 3 2" xfId="15053" xr:uid="{00000000-0005-0000-0000-0000FB760000}"/>
    <cellStyle name="Total 2 2 3 5 3 3" xfId="18453" xr:uid="{00000000-0005-0000-0000-0000FC760000}"/>
    <cellStyle name="Total 2 2 3 5 4" xfId="4172" xr:uid="{00000000-0005-0000-0000-0000FD760000}"/>
    <cellStyle name="Total 2 2 3 5 4 2" xfId="15328" xr:uid="{00000000-0005-0000-0000-0000FE760000}"/>
    <cellStyle name="Total 2 2 3 5 4 3" xfId="13833" xr:uid="{00000000-0005-0000-0000-0000FF760000}"/>
    <cellStyle name="Total 2 2 3 5 5" xfId="4554" xr:uid="{00000000-0005-0000-0000-000000770000}"/>
    <cellStyle name="Total 2 2 3 5 5 2" xfId="15602" xr:uid="{00000000-0005-0000-0000-000001770000}"/>
    <cellStyle name="Total 2 2 3 5 5 3" xfId="13451" xr:uid="{00000000-0005-0000-0000-000002770000}"/>
    <cellStyle name="Total 2 2 3 5 6" xfId="6166" xr:uid="{00000000-0005-0000-0000-000003770000}"/>
    <cellStyle name="Total 2 2 3 5 6 2" xfId="16839" xr:uid="{00000000-0005-0000-0000-000004770000}"/>
    <cellStyle name="Total 2 2 3 5 6 3" xfId="19684" xr:uid="{00000000-0005-0000-0000-000005770000}"/>
    <cellStyle name="Total 2 2 3 5 7" xfId="9162" xr:uid="{00000000-0005-0000-0000-000006770000}"/>
    <cellStyle name="Total 2 2 3 5 8" xfId="14497" xr:uid="{00000000-0005-0000-0000-000007770000}"/>
    <cellStyle name="Total 2 2 3 5 9" xfId="15506" xr:uid="{00000000-0005-0000-0000-000008770000}"/>
    <cellStyle name="Total 2 2 3 6" xfId="6355" xr:uid="{00000000-0005-0000-0000-000009770000}"/>
    <cellStyle name="Total 2 2 3 6 2" xfId="8063" xr:uid="{00000000-0005-0000-0000-00000A770000}"/>
    <cellStyle name="Total 2 2 3 6 2 2" xfId="12033" xr:uid="{00000000-0005-0000-0000-00000B770000}"/>
    <cellStyle name="Total 2 2 3 6 2 3" xfId="18270" xr:uid="{00000000-0005-0000-0000-00000C770000}"/>
    <cellStyle name="Total 2 2 3 6 2 4" xfId="21581" xr:uid="{00000000-0005-0000-0000-00000D770000}"/>
    <cellStyle name="Total 2 2 3 6 3" xfId="10886" xr:uid="{00000000-0005-0000-0000-00000E770000}"/>
    <cellStyle name="Total 2 2 3 6 4" xfId="16979" xr:uid="{00000000-0005-0000-0000-00000F770000}"/>
    <cellStyle name="Total 2 2 3 6 5" xfId="19873" xr:uid="{00000000-0005-0000-0000-000010770000}"/>
    <cellStyle name="Total 2 2 3 7" xfId="6110" xr:uid="{00000000-0005-0000-0000-000011770000}"/>
    <cellStyle name="Total 2 2 3 7 2" xfId="7818" xr:uid="{00000000-0005-0000-0000-000012770000}"/>
    <cellStyle name="Total 2 2 3 7 2 2" xfId="11828" xr:uid="{00000000-0005-0000-0000-000013770000}"/>
    <cellStyle name="Total 2 2 3 7 2 3" xfId="18083" xr:uid="{00000000-0005-0000-0000-000014770000}"/>
    <cellStyle name="Total 2 2 3 7 2 4" xfId="21336" xr:uid="{00000000-0005-0000-0000-000015770000}"/>
    <cellStyle name="Total 2 2 3 7 3" xfId="10809" xr:uid="{00000000-0005-0000-0000-000016770000}"/>
    <cellStyle name="Total 2 2 3 7 4" xfId="16791" xr:uid="{00000000-0005-0000-0000-000017770000}"/>
    <cellStyle name="Total 2 2 3 7 5" xfId="19628" xr:uid="{00000000-0005-0000-0000-000018770000}"/>
    <cellStyle name="Total 2 2 3 8" xfId="5416" xr:uid="{00000000-0005-0000-0000-000019770000}"/>
    <cellStyle name="Total 2 2 3 8 2" xfId="7125" xr:uid="{00000000-0005-0000-0000-00001A770000}"/>
    <cellStyle name="Total 2 2 3 8 2 2" xfId="11259" xr:uid="{00000000-0005-0000-0000-00001B770000}"/>
    <cellStyle name="Total 2 2 3 8 2 3" xfId="17545" xr:uid="{00000000-0005-0000-0000-00001C770000}"/>
    <cellStyle name="Total 2 2 3 8 2 4" xfId="20643" xr:uid="{00000000-0005-0000-0000-00001D770000}"/>
    <cellStyle name="Total 2 2 3 8 3" xfId="10433" xr:uid="{00000000-0005-0000-0000-00001E770000}"/>
    <cellStyle name="Total 2 2 3 8 4" xfId="16255" xr:uid="{00000000-0005-0000-0000-00001F770000}"/>
    <cellStyle name="Total 2 2 3 8 5" xfId="18934" xr:uid="{00000000-0005-0000-0000-000020770000}"/>
    <cellStyle name="Total 2 2 3 9" xfId="6342" xr:uid="{00000000-0005-0000-0000-000021770000}"/>
    <cellStyle name="Total 2 2 3 9 2" xfId="8050" xr:uid="{00000000-0005-0000-0000-000022770000}"/>
    <cellStyle name="Total 2 2 3 9 2 2" xfId="12021" xr:uid="{00000000-0005-0000-0000-000023770000}"/>
    <cellStyle name="Total 2 2 3 9 2 3" xfId="18261" xr:uid="{00000000-0005-0000-0000-000024770000}"/>
    <cellStyle name="Total 2 2 3 9 2 4" xfId="21568" xr:uid="{00000000-0005-0000-0000-000025770000}"/>
    <cellStyle name="Total 2 2 3 9 3" xfId="10877" xr:uid="{00000000-0005-0000-0000-000026770000}"/>
    <cellStyle name="Total 2 2 3 9 4" xfId="16970" xr:uid="{00000000-0005-0000-0000-000027770000}"/>
    <cellStyle name="Total 2 2 3 9 5" xfId="19860" xr:uid="{00000000-0005-0000-0000-000028770000}"/>
    <cellStyle name="Total 2 2 4" xfId="3093" xr:uid="{00000000-0005-0000-0000-000029770000}"/>
    <cellStyle name="Total 2 2 4 2" xfId="3480" xr:uid="{00000000-0005-0000-0000-00002A770000}"/>
    <cellStyle name="Total 2 2 4 2 2" xfId="8040" xr:uid="{00000000-0005-0000-0000-00002B770000}"/>
    <cellStyle name="Total 2 2 4 2 2 2" xfId="18253" xr:uid="{00000000-0005-0000-0000-00002C770000}"/>
    <cellStyle name="Total 2 2 4 2 2 3" xfId="21558" xr:uid="{00000000-0005-0000-0000-00002D770000}"/>
    <cellStyle name="Total 2 2 4 2 3" xfId="9575" xr:uid="{00000000-0005-0000-0000-00002E770000}"/>
    <cellStyle name="Total 2 2 4 2 4" xfId="14836" xr:uid="{00000000-0005-0000-0000-00002F770000}"/>
    <cellStyle name="Total 2 2 4 2 5" xfId="15779" xr:uid="{00000000-0005-0000-0000-000030770000}"/>
    <cellStyle name="Total 2 2 4 3" xfId="3863" xr:uid="{00000000-0005-0000-0000-000031770000}"/>
    <cellStyle name="Total 2 2 4 3 2" xfId="15112" xr:uid="{00000000-0005-0000-0000-000032770000}"/>
    <cellStyle name="Total 2 2 4 3 3" xfId="14199" xr:uid="{00000000-0005-0000-0000-000033770000}"/>
    <cellStyle name="Total 2 2 4 4" xfId="4246" xr:uid="{00000000-0005-0000-0000-000034770000}"/>
    <cellStyle name="Total 2 2 4 4 2" xfId="15387" xr:uid="{00000000-0005-0000-0000-000035770000}"/>
    <cellStyle name="Total 2 2 4 4 3" xfId="13759" xr:uid="{00000000-0005-0000-0000-000036770000}"/>
    <cellStyle name="Total 2 2 4 5" xfId="4628" xr:uid="{00000000-0005-0000-0000-000037770000}"/>
    <cellStyle name="Total 2 2 4 5 2" xfId="15661" xr:uid="{00000000-0005-0000-0000-000038770000}"/>
    <cellStyle name="Total 2 2 4 5 3" xfId="13377" xr:uid="{00000000-0005-0000-0000-000039770000}"/>
    <cellStyle name="Total 2 2 4 6" xfId="6332" xr:uid="{00000000-0005-0000-0000-00003A770000}"/>
    <cellStyle name="Total 2 2 4 6 2" xfId="16962" xr:uid="{00000000-0005-0000-0000-00003B770000}"/>
    <cellStyle name="Total 2 2 4 6 3" xfId="19850" xr:uid="{00000000-0005-0000-0000-00003C770000}"/>
    <cellStyle name="Total 2 2 4 7" xfId="9226" xr:uid="{00000000-0005-0000-0000-00003D770000}"/>
    <cellStyle name="Total 2 2 4 8" xfId="14556" xr:uid="{00000000-0005-0000-0000-00003E770000}"/>
    <cellStyle name="Total 2 2 4 9" xfId="16581" xr:uid="{00000000-0005-0000-0000-00003F770000}"/>
    <cellStyle name="Total 2 2 5" xfId="3092" xr:uid="{00000000-0005-0000-0000-000040770000}"/>
    <cellStyle name="Total 2 2 5 2" xfId="3479" xr:uid="{00000000-0005-0000-0000-000041770000}"/>
    <cellStyle name="Total 2 2 5 2 2" xfId="5092" xr:uid="{00000000-0005-0000-0000-000042770000}"/>
    <cellStyle name="Total 2 2 5 2 2 2" xfId="16028" xr:uid="{00000000-0005-0000-0000-000043770000}"/>
    <cellStyle name="Total 2 2 5 2 2 3" xfId="12805" xr:uid="{00000000-0005-0000-0000-000044770000}"/>
    <cellStyle name="Total 2 2 5 2 3" xfId="9574" xr:uid="{00000000-0005-0000-0000-000045770000}"/>
    <cellStyle name="Total 2 2 5 2 4" xfId="14835" xr:uid="{00000000-0005-0000-0000-000046770000}"/>
    <cellStyle name="Total 2 2 5 2 5" xfId="18620" xr:uid="{00000000-0005-0000-0000-000047770000}"/>
    <cellStyle name="Total 2 2 5 3" xfId="3862" xr:uid="{00000000-0005-0000-0000-000048770000}"/>
    <cellStyle name="Total 2 2 5 3 2" xfId="15111" xr:uid="{00000000-0005-0000-0000-000049770000}"/>
    <cellStyle name="Total 2 2 5 3 3" xfId="14200" xr:uid="{00000000-0005-0000-0000-00004A770000}"/>
    <cellStyle name="Total 2 2 5 4" xfId="4245" xr:uid="{00000000-0005-0000-0000-00004B770000}"/>
    <cellStyle name="Total 2 2 5 4 2" xfId="15386" xr:uid="{00000000-0005-0000-0000-00004C770000}"/>
    <cellStyle name="Total 2 2 5 4 3" xfId="13760" xr:uid="{00000000-0005-0000-0000-00004D770000}"/>
    <cellStyle name="Total 2 2 5 5" xfId="4627" xr:uid="{00000000-0005-0000-0000-00004E770000}"/>
    <cellStyle name="Total 2 2 5 5 2" xfId="15660" xr:uid="{00000000-0005-0000-0000-00004F770000}"/>
    <cellStyle name="Total 2 2 5 5 3" xfId="13378" xr:uid="{00000000-0005-0000-0000-000050770000}"/>
    <cellStyle name="Total 2 2 5 6" xfId="5325" xr:uid="{00000000-0005-0000-0000-000051770000}"/>
    <cellStyle name="Total 2 2 5 6 2" xfId="16196" xr:uid="{00000000-0005-0000-0000-000052770000}"/>
    <cellStyle name="Total 2 2 5 6 3" xfId="18843" xr:uid="{00000000-0005-0000-0000-000053770000}"/>
    <cellStyle name="Total 2 2 5 7" xfId="9225" xr:uid="{00000000-0005-0000-0000-000054770000}"/>
    <cellStyle name="Total 2 2 5 8" xfId="14555" xr:uid="{00000000-0005-0000-0000-000055770000}"/>
    <cellStyle name="Total 2 2 5 9" xfId="14415" xr:uid="{00000000-0005-0000-0000-000056770000}"/>
    <cellStyle name="Total 2 2 6" xfId="5419" xr:uid="{00000000-0005-0000-0000-000057770000}"/>
    <cellStyle name="Total 2 2 6 2" xfId="7128" xr:uid="{00000000-0005-0000-0000-000058770000}"/>
    <cellStyle name="Total 2 2 6 2 2" xfId="11262" xr:uid="{00000000-0005-0000-0000-000059770000}"/>
    <cellStyle name="Total 2 2 6 2 3" xfId="17548" xr:uid="{00000000-0005-0000-0000-00005A770000}"/>
    <cellStyle name="Total 2 2 6 2 4" xfId="20646" xr:uid="{00000000-0005-0000-0000-00005B770000}"/>
    <cellStyle name="Total 2 2 6 3" xfId="10436" xr:uid="{00000000-0005-0000-0000-00005C770000}"/>
    <cellStyle name="Total 2 2 6 4" xfId="16258" xr:uid="{00000000-0005-0000-0000-00005D770000}"/>
    <cellStyle name="Total 2 2 6 5" xfId="18937" xr:uid="{00000000-0005-0000-0000-00005E770000}"/>
    <cellStyle name="Total 2 2 7" xfId="22397" xr:uid="{00000000-0005-0000-0000-00005F770000}"/>
    <cellStyle name="Total 2 2 8" xfId="2161" xr:uid="{00000000-0005-0000-0000-000060770000}"/>
    <cellStyle name="Total 2 3" xfId="2021" xr:uid="{00000000-0005-0000-0000-000061770000}"/>
    <cellStyle name="Total 2 4" xfId="2022" xr:uid="{00000000-0005-0000-0000-000062770000}"/>
    <cellStyle name="Total 3" xfId="2023" xr:uid="{00000000-0005-0000-0000-000063770000}"/>
    <cellStyle name="Total 3 2" xfId="2618" xr:uid="{00000000-0005-0000-0000-000064770000}"/>
    <cellStyle name="Total 3 2 10" xfId="5259" xr:uid="{00000000-0005-0000-0000-000065770000}"/>
    <cellStyle name="Total 3 2 10 2" xfId="10399" xr:uid="{00000000-0005-0000-0000-000066770000}"/>
    <cellStyle name="Total 3 2 10 3" xfId="16141" xr:uid="{00000000-0005-0000-0000-000067770000}"/>
    <cellStyle name="Total 3 2 10 4" xfId="12835" xr:uid="{00000000-0005-0000-0000-000068770000}"/>
    <cellStyle name="Total 3 2 11" xfId="5043" xr:uid="{00000000-0005-0000-0000-000069770000}"/>
    <cellStyle name="Total 3 2 11 2" xfId="10305" xr:uid="{00000000-0005-0000-0000-00006A770000}"/>
    <cellStyle name="Total 3 2 11 3" xfId="15997" xr:uid="{00000000-0005-0000-0000-00006B770000}"/>
    <cellStyle name="Total 3 2 11 4" xfId="14105" xr:uid="{00000000-0005-0000-0000-00006C770000}"/>
    <cellStyle name="Total 3 2 12" xfId="4855" xr:uid="{00000000-0005-0000-0000-00006D770000}"/>
    <cellStyle name="Total 3 2 12 2" xfId="15832" xr:uid="{00000000-0005-0000-0000-00006E770000}"/>
    <cellStyle name="Total 3 2 12 3" xfId="13151" xr:uid="{00000000-0005-0000-0000-00006F770000}"/>
    <cellStyle name="Total 3 2 13" xfId="8781" xr:uid="{00000000-0005-0000-0000-000070770000}"/>
    <cellStyle name="Total 3 2 14" xfId="14146" xr:uid="{00000000-0005-0000-0000-000071770000}"/>
    <cellStyle name="Total 3 2 2" xfId="2707" xr:uid="{00000000-0005-0000-0000-000072770000}"/>
    <cellStyle name="Total 3 2 2 10" xfId="7483" xr:uid="{00000000-0005-0000-0000-000073770000}"/>
    <cellStyle name="Total 3 2 2 10 2" xfId="11537" xr:uid="{00000000-0005-0000-0000-000074770000}"/>
    <cellStyle name="Total 3 2 2 10 3" xfId="17841" xr:uid="{00000000-0005-0000-0000-000075770000}"/>
    <cellStyle name="Total 3 2 2 10 4" xfId="21001" xr:uid="{00000000-0005-0000-0000-000076770000}"/>
    <cellStyle name="Total 3 2 2 11" xfId="4900" xr:uid="{00000000-0005-0000-0000-000077770000}"/>
    <cellStyle name="Total 3 2 2 11 2" xfId="15873" xr:uid="{00000000-0005-0000-0000-000078770000}"/>
    <cellStyle name="Total 3 2 2 11 3" xfId="14109" xr:uid="{00000000-0005-0000-0000-000079770000}"/>
    <cellStyle name="Total 3 2 2 12" xfId="8862" xr:uid="{00000000-0005-0000-0000-00007A770000}"/>
    <cellStyle name="Total 3 2 2 13" xfId="14276" xr:uid="{00000000-0005-0000-0000-00007B770000}"/>
    <cellStyle name="Total 3 2 2 14" xfId="14417" xr:uid="{00000000-0005-0000-0000-00007C770000}"/>
    <cellStyle name="Total 3 2 2 2" xfId="2638" xr:uid="{00000000-0005-0000-0000-00007D770000}"/>
    <cellStyle name="Total 3 2 2 2 10" xfId="4877" xr:uid="{00000000-0005-0000-0000-00007E770000}"/>
    <cellStyle name="Total 3 2 2 2 10 2" xfId="15852" xr:uid="{00000000-0005-0000-0000-00007F770000}"/>
    <cellStyle name="Total 3 2 2 2 10 3" xfId="13129" xr:uid="{00000000-0005-0000-0000-000080770000}"/>
    <cellStyle name="Total 3 2 2 2 11" xfId="8795" xr:uid="{00000000-0005-0000-0000-000081770000}"/>
    <cellStyle name="Total 3 2 2 2 12" xfId="14217" xr:uid="{00000000-0005-0000-0000-000082770000}"/>
    <cellStyle name="Total 3 2 2 2 2" xfId="3130" xr:uid="{00000000-0005-0000-0000-000083770000}"/>
    <cellStyle name="Total 3 2 2 2 2 10" xfId="9260" xr:uid="{00000000-0005-0000-0000-000084770000}"/>
    <cellStyle name="Total 3 2 2 2 2 11" xfId="14585" xr:uid="{00000000-0005-0000-0000-000085770000}"/>
    <cellStyle name="Total 3 2 2 2 2 12" xfId="15013" xr:uid="{00000000-0005-0000-0000-000086770000}"/>
    <cellStyle name="Total 3 2 2 2 2 2" xfId="3517" xr:uid="{00000000-0005-0000-0000-000087770000}"/>
    <cellStyle name="Total 3 2 2 2 2 2 2" xfId="7288" xr:uid="{00000000-0005-0000-0000-000088770000}"/>
    <cellStyle name="Total 3 2 2 2 2 2 2 2" xfId="11393" xr:uid="{00000000-0005-0000-0000-000089770000}"/>
    <cellStyle name="Total 3 2 2 2 2 2 2 3" xfId="17686" xr:uid="{00000000-0005-0000-0000-00008A770000}"/>
    <cellStyle name="Total 3 2 2 2 2 2 2 4" xfId="20806" xr:uid="{00000000-0005-0000-0000-00008B770000}"/>
    <cellStyle name="Total 3 2 2 2 2 2 3" xfId="5579" xr:uid="{00000000-0005-0000-0000-00008C770000}"/>
    <cellStyle name="Total 3 2 2 2 2 2 3 2" xfId="16395" xr:uid="{00000000-0005-0000-0000-00008D770000}"/>
    <cellStyle name="Total 3 2 2 2 2 2 3 3" xfId="19097" xr:uid="{00000000-0005-0000-0000-00008E770000}"/>
    <cellStyle name="Total 3 2 2 2 2 2 4" xfId="9609" xr:uid="{00000000-0005-0000-0000-00008F770000}"/>
    <cellStyle name="Total 3 2 2 2 2 2 5" xfId="14865" xr:uid="{00000000-0005-0000-0000-000090770000}"/>
    <cellStyle name="Total 3 2 2 2 2 2 6" xfId="15648" xr:uid="{00000000-0005-0000-0000-000091770000}"/>
    <cellStyle name="Total 3 2 2 2 2 3" xfId="3900" xr:uid="{00000000-0005-0000-0000-000092770000}"/>
    <cellStyle name="Total 3 2 2 2 2 3 2" xfId="7109" xr:uid="{00000000-0005-0000-0000-000093770000}"/>
    <cellStyle name="Total 3 2 2 2 2 3 2 2" xfId="11243" xr:uid="{00000000-0005-0000-0000-000094770000}"/>
    <cellStyle name="Total 3 2 2 2 2 3 2 3" xfId="17529" xr:uid="{00000000-0005-0000-0000-000095770000}"/>
    <cellStyle name="Total 3 2 2 2 2 3 2 4" xfId="20627" xr:uid="{00000000-0005-0000-0000-000096770000}"/>
    <cellStyle name="Total 3 2 2 2 2 3 3" xfId="5400" xr:uid="{00000000-0005-0000-0000-000097770000}"/>
    <cellStyle name="Total 3 2 2 2 2 3 3 2" xfId="16239" xr:uid="{00000000-0005-0000-0000-000098770000}"/>
    <cellStyle name="Total 3 2 2 2 2 3 3 3" xfId="18918" xr:uid="{00000000-0005-0000-0000-000099770000}"/>
    <cellStyle name="Total 3 2 2 2 2 3 4" xfId="9823" xr:uid="{00000000-0005-0000-0000-00009A770000}"/>
    <cellStyle name="Total 3 2 2 2 2 3 5" xfId="15141" xr:uid="{00000000-0005-0000-0000-00009B770000}"/>
    <cellStyle name="Total 3 2 2 2 2 3 6" xfId="14088" xr:uid="{00000000-0005-0000-0000-00009C770000}"/>
    <cellStyle name="Total 3 2 2 2 2 4" xfId="4283" xr:uid="{00000000-0005-0000-0000-00009D770000}"/>
    <cellStyle name="Total 3 2 2 2 2 4 2" xfId="8198" xr:uid="{00000000-0005-0000-0000-00009E770000}"/>
    <cellStyle name="Total 3 2 2 2 2 4 2 2" xfId="12166" xr:uid="{00000000-0005-0000-0000-00009F770000}"/>
    <cellStyle name="Total 3 2 2 2 2 4 2 3" xfId="18390" xr:uid="{00000000-0005-0000-0000-0000A0770000}"/>
    <cellStyle name="Total 3 2 2 2 2 4 2 4" xfId="21716" xr:uid="{00000000-0005-0000-0000-0000A1770000}"/>
    <cellStyle name="Total 3 2 2 2 2 4 3" xfId="6490" xr:uid="{00000000-0005-0000-0000-0000A2770000}"/>
    <cellStyle name="Total 3 2 2 2 2 4 3 2" xfId="17099" xr:uid="{00000000-0005-0000-0000-0000A3770000}"/>
    <cellStyle name="Total 3 2 2 2 2 4 3 3" xfId="20008" xr:uid="{00000000-0005-0000-0000-0000A4770000}"/>
    <cellStyle name="Total 3 2 2 2 2 4 4" xfId="10001" xr:uid="{00000000-0005-0000-0000-0000A5770000}"/>
    <cellStyle name="Total 3 2 2 2 2 4 5" xfId="15416" xr:uid="{00000000-0005-0000-0000-0000A6770000}"/>
    <cellStyle name="Total 3 2 2 2 2 4 6" xfId="13722" xr:uid="{00000000-0005-0000-0000-0000A7770000}"/>
    <cellStyle name="Total 3 2 2 2 2 5" xfId="4665" xr:uid="{00000000-0005-0000-0000-0000A8770000}"/>
    <cellStyle name="Total 3 2 2 2 2 5 2" xfId="8430" xr:uid="{00000000-0005-0000-0000-0000A9770000}"/>
    <cellStyle name="Total 3 2 2 2 2 5 2 2" xfId="12398" xr:uid="{00000000-0005-0000-0000-0000AA770000}"/>
    <cellStyle name="Total 3 2 2 2 2 5 2 3" xfId="18561" xr:uid="{00000000-0005-0000-0000-0000AB770000}"/>
    <cellStyle name="Total 3 2 2 2 2 5 2 4" xfId="21948" xr:uid="{00000000-0005-0000-0000-0000AC770000}"/>
    <cellStyle name="Total 3 2 2 2 2 5 3" xfId="6722" xr:uid="{00000000-0005-0000-0000-0000AD770000}"/>
    <cellStyle name="Total 3 2 2 2 2 5 3 2" xfId="17270" xr:uid="{00000000-0005-0000-0000-0000AE770000}"/>
    <cellStyle name="Total 3 2 2 2 2 5 3 3" xfId="20240" xr:uid="{00000000-0005-0000-0000-0000AF770000}"/>
    <cellStyle name="Total 3 2 2 2 2 5 4" xfId="10178" xr:uid="{00000000-0005-0000-0000-0000B0770000}"/>
    <cellStyle name="Total 3 2 2 2 2 5 5" xfId="15690" xr:uid="{00000000-0005-0000-0000-0000B1770000}"/>
    <cellStyle name="Total 3 2 2 2 2 5 6" xfId="13340" xr:uid="{00000000-0005-0000-0000-0000B2770000}"/>
    <cellStyle name="Total 3 2 2 2 2 6" xfId="6954" xr:uid="{00000000-0005-0000-0000-0000B3770000}"/>
    <cellStyle name="Total 3 2 2 2 2 6 2" xfId="8662" xr:uid="{00000000-0005-0000-0000-0000B4770000}"/>
    <cellStyle name="Total 3 2 2 2 2 6 2 2" xfId="12630" xr:uid="{00000000-0005-0000-0000-0000B5770000}"/>
    <cellStyle name="Total 3 2 2 2 2 6 2 3" xfId="18732" xr:uid="{00000000-0005-0000-0000-0000B6770000}"/>
    <cellStyle name="Total 3 2 2 2 2 6 2 4" xfId="22180" xr:uid="{00000000-0005-0000-0000-0000B7770000}"/>
    <cellStyle name="Total 3 2 2 2 2 6 3" xfId="11088" xr:uid="{00000000-0005-0000-0000-0000B8770000}"/>
    <cellStyle name="Total 3 2 2 2 2 6 4" xfId="17440" xr:uid="{00000000-0005-0000-0000-0000B9770000}"/>
    <cellStyle name="Total 3 2 2 2 2 6 5" xfId="20472" xr:uid="{00000000-0005-0000-0000-0000BA770000}"/>
    <cellStyle name="Total 3 2 2 2 2 7" xfId="5942" xr:uid="{00000000-0005-0000-0000-0000BB770000}"/>
    <cellStyle name="Total 3 2 2 2 2 7 2" xfId="10683" xr:uid="{00000000-0005-0000-0000-0000BC770000}"/>
    <cellStyle name="Total 3 2 2 2 2 7 3" xfId="16678" xr:uid="{00000000-0005-0000-0000-0000BD770000}"/>
    <cellStyle name="Total 3 2 2 2 2 7 4" xfId="19460" xr:uid="{00000000-0005-0000-0000-0000BE770000}"/>
    <cellStyle name="Total 3 2 2 2 2 8" xfId="7650" xr:uid="{00000000-0005-0000-0000-0000BF770000}"/>
    <cellStyle name="Total 3 2 2 2 2 8 2" xfId="11671" xr:uid="{00000000-0005-0000-0000-0000C0770000}"/>
    <cellStyle name="Total 3 2 2 2 2 8 3" xfId="17970" xr:uid="{00000000-0005-0000-0000-0000C1770000}"/>
    <cellStyle name="Total 3 2 2 2 2 8 4" xfId="21168" xr:uid="{00000000-0005-0000-0000-0000C2770000}"/>
    <cellStyle name="Total 3 2 2 2 2 9" xfId="5038" xr:uid="{00000000-0005-0000-0000-0000C3770000}"/>
    <cellStyle name="Total 3 2 2 2 2 9 2" xfId="15993" xr:uid="{00000000-0005-0000-0000-0000C4770000}"/>
    <cellStyle name="Total 3 2 2 2 2 9 3" xfId="12981" xr:uid="{00000000-0005-0000-0000-0000C5770000}"/>
    <cellStyle name="Total 3 2 2 2 3" xfId="3074" xr:uid="{00000000-0005-0000-0000-0000C6770000}"/>
    <cellStyle name="Total 3 2 2 2 3 2" xfId="3461" xr:uid="{00000000-0005-0000-0000-0000C7770000}"/>
    <cellStyle name="Total 3 2 2 2 3 2 2" xfId="7239" xr:uid="{00000000-0005-0000-0000-0000C8770000}"/>
    <cellStyle name="Total 3 2 2 2 3 2 2 2" xfId="17642" xr:uid="{00000000-0005-0000-0000-0000C9770000}"/>
    <cellStyle name="Total 3 2 2 2 3 2 2 3" xfId="20757" xr:uid="{00000000-0005-0000-0000-0000CA770000}"/>
    <cellStyle name="Total 3 2 2 2 3 2 3" xfId="9564" xr:uid="{00000000-0005-0000-0000-0000CB770000}"/>
    <cellStyle name="Total 3 2 2 2 3 2 4" xfId="14822" xr:uid="{00000000-0005-0000-0000-0000CC770000}"/>
    <cellStyle name="Total 3 2 2 2 3 2 5" xfId="17800" xr:uid="{00000000-0005-0000-0000-0000CD770000}"/>
    <cellStyle name="Total 3 2 2 2 3 3" xfId="3844" xr:uid="{00000000-0005-0000-0000-0000CE770000}"/>
    <cellStyle name="Total 3 2 2 2 3 3 2" xfId="15098" xr:uid="{00000000-0005-0000-0000-0000CF770000}"/>
    <cellStyle name="Total 3 2 2 2 3 3 3" xfId="14181" xr:uid="{00000000-0005-0000-0000-0000D0770000}"/>
    <cellStyle name="Total 3 2 2 2 3 4" xfId="4227" xr:uid="{00000000-0005-0000-0000-0000D1770000}"/>
    <cellStyle name="Total 3 2 2 2 3 4 2" xfId="15373" xr:uid="{00000000-0005-0000-0000-0000D2770000}"/>
    <cellStyle name="Total 3 2 2 2 3 4 3" xfId="13778" xr:uid="{00000000-0005-0000-0000-0000D3770000}"/>
    <cellStyle name="Total 3 2 2 2 3 5" xfId="4609" xr:uid="{00000000-0005-0000-0000-0000D4770000}"/>
    <cellStyle name="Total 3 2 2 2 3 5 2" xfId="15647" xr:uid="{00000000-0005-0000-0000-0000D5770000}"/>
    <cellStyle name="Total 3 2 2 2 3 5 3" xfId="13396" xr:uid="{00000000-0005-0000-0000-0000D6770000}"/>
    <cellStyle name="Total 3 2 2 2 3 6" xfId="5530" xr:uid="{00000000-0005-0000-0000-0000D7770000}"/>
    <cellStyle name="Total 3 2 2 2 3 6 2" xfId="16351" xr:uid="{00000000-0005-0000-0000-0000D8770000}"/>
    <cellStyle name="Total 3 2 2 2 3 6 3" xfId="19048" xr:uid="{00000000-0005-0000-0000-0000D9770000}"/>
    <cellStyle name="Total 3 2 2 2 3 7" xfId="9214" xr:uid="{00000000-0005-0000-0000-0000DA770000}"/>
    <cellStyle name="Total 3 2 2 2 3 8" xfId="14542" xr:uid="{00000000-0005-0000-0000-0000DB770000}"/>
    <cellStyle name="Total 3 2 2 2 3 9" xfId="17976" xr:uid="{00000000-0005-0000-0000-0000DC770000}"/>
    <cellStyle name="Total 3 2 2 2 4" xfId="2838" xr:uid="{00000000-0005-0000-0000-0000DD770000}"/>
    <cellStyle name="Total 3 2 2 2 4 2" xfId="7880" xr:uid="{00000000-0005-0000-0000-0000DE770000}"/>
    <cellStyle name="Total 3 2 2 2 4 2 2" xfId="11871" xr:uid="{00000000-0005-0000-0000-0000DF770000}"/>
    <cellStyle name="Total 3 2 2 2 4 2 3" xfId="18136" xr:uid="{00000000-0005-0000-0000-0000E0770000}"/>
    <cellStyle name="Total 3 2 2 2 4 2 4" xfId="21398" xr:uid="{00000000-0005-0000-0000-0000E1770000}"/>
    <cellStyle name="Total 3 2 2 2 4 3" xfId="6172" xr:uid="{00000000-0005-0000-0000-0000E2770000}"/>
    <cellStyle name="Total 3 2 2 2 4 3 2" xfId="16844" xr:uid="{00000000-0005-0000-0000-0000E3770000}"/>
    <cellStyle name="Total 3 2 2 2 4 3 3" xfId="19690" xr:uid="{00000000-0005-0000-0000-0000E4770000}"/>
    <cellStyle name="Total 3 2 2 2 4 4" xfId="8991" xr:uid="{00000000-0005-0000-0000-0000E5770000}"/>
    <cellStyle name="Total 3 2 2 2 4 5" xfId="14378" xr:uid="{00000000-0005-0000-0000-0000E6770000}"/>
    <cellStyle name="Total 3 2 2 2 4 6" xfId="15276" xr:uid="{00000000-0005-0000-0000-0000E7770000}"/>
    <cellStyle name="Total 3 2 2 2 5" xfId="6206" xr:uid="{00000000-0005-0000-0000-0000E8770000}"/>
    <cellStyle name="Total 3 2 2 2 5 2" xfId="7914" xr:uid="{00000000-0005-0000-0000-0000E9770000}"/>
    <cellStyle name="Total 3 2 2 2 5 2 2" xfId="11892" xr:uid="{00000000-0005-0000-0000-0000EA770000}"/>
    <cellStyle name="Total 3 2 2 2 5 2 3" xfId="18166" xr:uid="{00000000-0005-0000-0000-0000EB770000}"/>
    <cellStyle name="Total 3 2 2 2 5 2 4" xfId="21432" xr:uid="{00000000-0005-0000-0000-0000EC770000}"/>
    <cellStyle name="Total 3 2 2 2 5 3" xfId="10846" xr:uid="{00000000-0005-0000-0000-0000ED770000}"/>
    <cellStyle name="Total 3 2 2 2 5 4" xfId="16874" xr:uid="{00000000-0005-0000-0000-0000EE770000}"/>
    <cellStyle name="Total 3 2 2 2 5 5" xfId="19724" xr:uid="{00000000-0005-0000-0000-0000EF770000}"/>
    <cellStyle name="Total 3 2 2 2 6" xfId="6189" xr:uid="{00000000-0005-0000-0000-0000F0770000}"/>
    <cellStyle name="Total 3 2 2 2 6 2" xfId="7897" xr:uid="{00000000-0005-0000-0000-0000F1770000}"/>
    <cellStyle name="Total 3 2 2 2 6 2 2" xfId="11884" xr:uid="{00000000-0005-0000-0000-0000F2770000}"/>
    <cellStyle name="Total 3 2 2 2 6 2 3" xfId="18152" xr:uid="{00000000-0005-0000-0000-0000F3770000}"/>
    <cellStyle name="Total 3 2 2 2 6 2 4" xfId="21415" xr:uid="{00000000-0005-0000-0000-0000F4770000}"/>
    <cellStyle name="Total 3 2 2 2 6 3" xfId="10841" xr:uid="{00000000-0005-0000-0000-0000F5770000}"/>
    <cellStyle name="Total 3 2 2 2 6 4" xfId="16860" xr:uid="{00000000-0005-0000-0000-0000F6770000}"/>
    <cellStyle name="Total 3 2 2 2 6 5" xfId="19707" xr:uid="{00000000-0005-0000-0000-0000F7770000}"/>
    <cellStyle name="Total 3 2 2 2 7" xfId="5514" xr:uid="{00000000-0005-0000-0000-0000F8770000}"/>
    <cellStyle name="Total 3 2 2 2 7 2" xfId="7223" xr:uid="{00000000-0005-0000-0000-0000F9770000}"/>
    <cellStyle name="Total 3 2 2 2 7 2 2" xfId="11348" xr:uid="{00000000-0005-0000-0000-0000FA770000}"/>
    <cellStyle name="Total 3 2 2 2 7 2 3" xfId="17626" xr:uid="{00000000-0005-0000-0000-0000FB770000}"/>
    <cellStyle name="Total 3 2 2 2 7 2 4" xfId="20741" xr:uid="{00000000-0005-0000-0000-0000FC770000}"/>
    <cellStyle name="Total 3 2 2 2 7 3" xfId="10488" xr:uid="{00000000-0005-0000-0000-0000FD770000}"/>
    <cellStyle name="Total 3 2 2 2 7 4" xfId="16335" xr:uid="{00000000-0005-0000-0000-0000FE770000}"/>
    <cellStyle name="Total 3 2 2 2 7 5" xfId="19032" xr:uid="{00000000-0005-0000-0000-0000FF770000}"/>
    <cellStyle name="Total 3 2 2 2 8" xfId="5745" xr:uid="{00000000-0005-0000-0000-000000780000}"/>
    <cellStyle name="Total 3 2 2 2 8 2" xfId="10527" xr:uid="{00000000-0005-0000-0000-000001780000}"/>
    <cellStyle name="Total 3 2 2 2 8 3" xfId="16526" xr:uid="{00000000-0005-0000-0000-000002780000}"/>
    <cellStyle name="Total 3 2 2 2 8 4" xfId="19263" xr:uid="{00000000-0005-0000-0000-000003780000}"/>
    <cellStyle name="Total 3 2 2 2 9" xfId="7454" xr:uid="{00000000-0005-0000-0000-000004780000}"/>
    <cellStyle name="Total 3 2 2 2 9 2" xfId="11514" xr:uid="{00000000-0005-0000-0000-000005780000}"/>
    <cellStyle name="Total 3 2 2 2 9 3" xfId="17817" xr:uid="{00000000-0005-0000-0000-000006780000}"/>
    <cellStyle name="Total 3 2 2 2 9 4" xfId="20972" xr:uid="{00000000-0005-0000-0000-000007780000}"/>
    <cellStyle name="Total 3 2 2 3" xfId="3197" xr:uid="{00000000-0005-0000-0000-000008780000}"/>
    <cellStyle name="Total 3 2 2 3 10" xfId="9327" xr:uid="{00000000-0005-0000-0000-000009780000}"/>
    <cellStyle name="Total 3 2 2 3 11" xfId="14641" xr:uid="{00000000-0005-0000-0000-00000A780000}"/>
    <cellStyle name="Total 3 2 2 3 12" xfId="17133" xr:uid="{00000000-0005-0000-0000-00000B780000}"/>
    <cellStyle name="Total 3 2 2 3 2" xfId="3584" xr:uid="{00000000-0005-0000-0000-00000C780000}"/>
    <cellStyle name="Total 3 2 2 3 2 2" xfId="7257" xr:uid="{00000000-0005-0000-0000-00000D780000}"/>
    <cellStyle name="Total 3 2 2 3 2 2 2" xfId="11362" xr:uid="{00000000-0005-0000-0000-00000E780000}"/>
    <cellStyle name="Total 3 2 2 3 2 2 3" xfId="17657" xr:uid="{00000000-0005-0000-0000-00000F780000}"/>
    <cellStyle name="Total 3 2 2 3 2 2 4" xfId="20775" xr:uid="{00000000-0005-0000-0000-000010780000}"/>
    <cellStyle name="Total 3 2 2 3 2 3" xfId="5548" xr:uid="{00000000-0005-0000-0000-000011780000}"/>
    <cellStyle name="Total 3 2 2 3 2 3 2" xfId="16366" xr:uid="{00000000-0005-0000-0000-000012780000}"/>
    <cellStyle name="Total 3 2 2 3 2 3 3" xfId="19066" xr:uid="{00000000-0005-0000-0000-000013780000}"/>
    <cellStyle name="Total 3 2 2 3 2 4" xfId="9676" xr:uid="{00000000-0005-0000-0000-000014780000}"/>
    <cellStyle name="Total 3 2 2 3 2 5" xfId="14921" xr:uid="{00000000-0005-0000-0000-000015780000}"/>
    <cellStyle name="Total 3 2 2 3 2 6" xfId="18746" xr:uid="{00000000-0005-0000-0000-000016780000}"/>
    <cellStyle name="Total 3 2 2 3 3" xfId="3967" xr:uid="{00000000-0005-0000-0000-000017780000}"/>
    <cellStyle name="Total 3 2 2 3 3 2" xfId="8075" xr:uid="{00000000-0005-0000-0000-000018780000}"/>
    <cellStyle name="Total 3 2 2 3 3 2 2" xfId="12045" xr:uid="{00000000-0005-0000-0000-000019780000}"/>
    <cellStyle name="Total 3 2 2 3 3 2 3" xfId="18281" xr:uid="{00000000-0005-0000-0000-00001A780000}"/>
    <cellStyle name="Total 3 2 2 3 3 2 4" xfId="21593" xr:uid="{00000000-0005-0000-0000-00001B780000}"/>
    <cellStyle name="Total 3 2 2 3 3 3" xfId="6367" xr:uid="{00000000-0005-0000-0000-00001C780000}"/>
    <cellStyle name="Total 3 2 2 3 3 3 2" xfId="16990" xr:uid="{00000000-0005-0000-0000-00001D780000}"/>
    <cellStyle name="Total 3 2 2 3 3 3 3" xfId="19885" xr:uid="{00000000-0005-0000-0000-00001E780000}"/>
    <cellStyle name="Total 3 2 2 3 3 4" xfId="9887" xr:uid="{00000000-0005-0000-0000-00001F780000}"/>
    <cellStyle name="Total 3 2 2 3 3 5" xfId="15197" xr:uid="{00000000-0005-0000-0000-000020780000}"/>
    <cellStyle name="Total 3 2 2 3 3 6" xfId="14024" xr:uid="{00000000-0005-0000-0000-000021780000}"/>
    <cellStyle name="Total 3 2 2 3 4" xfId="4350" xr:uid="{00000000-0005-0000-0000-000022780000}"/>
    <cellStyle name="Total 3 2 2 3 4 2" xfId="8125" xr:uid="{00000000-0005-0000-0000-000023780000}"/>
    <cellStyle name="Total 3 2 2 3 4 2 2" xfId="12093" xr:uid="{00000000-0005-0000-0000-000024780000}"/>
    <cellStyle name="Total 3 2 2 3 4 2 3" xfId="18329" xr:uid="{00000000-0005-0000-0000-000025780000}"/>
    <cellStyle name="Total 3 2 2 3 4 2 4" xfId="21643" xr:uid="{00000000-0005-0000-0000-000026780000}"/>
    <cellStyle name="Total 3 2 2 3 4 3" xfId="6417" xr:uid="{00000000-0005-0000-0000-000027780000}"/>
    <cellStyle name="Total 3 2 2 3 4 3 2" xfId="17038" xr:uid="{00000000-0005-0000-0000-000028780000}"/>
    <cellStyle name="Total 3 2 2 3 4 3 3" xfId="19935" xr:uid="{00000000-0005-0000-0000-000029780000}"/>
    <cellStyle name="Total 3 2 2 3 4 4" xfId="10065" xr:uid="{00000000-0005-0000-0000-00002A780000}"/>
    <cellStyle name="Total 3 2 2 3 4 5" xfId="15472" xr:uid="{00000000-0005-0000-0000-00002B780000}"/>
    <cellStyle name="Total 3 2 2 3 4 6" xfId="13655" xr:uid="{00000000-0005-0000-0000-00002C780000}"/>
    <cellStyle name="Total 3 2 2 3 5" xfId="4732" xr:uid="{00000000-0005-0000-0000-00002D780000}"/>
    <cellStyle name="Total 3 2 2 3 5 2" xfId="8357" xr:uid="{00000000-0005-0000-0000-00002E780000}"/>
    <cellStyle name="Total 3 2 2 3 5 2 2" xfId="12325" xr:uid="{00000000-0005-0000-0000-00002F780000}"/>
    <cellStyle name="Total 3 2 2 3 5 2 3" xfId="18500" xr:uid="{00000000-0005-0000-0000-000030780000}"/>
    <cellStyle name="Total 3 2 2 3 5 2 4" xfId="21875" xr:uid="{00000000-0005-0000-0000-000031780000}"/>
    <cellStyle name="Total 3 2 2 3 5 3" xfId="6649" xr:uid="{00000000-0005-0000-0000-000032780000}"/>
    <cellStyle name="Total 3 2 2 3 5 3 2" xfId="17209" xr:uid="{00000000-0005-0000-0000-000033780000}"/>
    <cellStyle name="Total 3 2 2 3 5 3 3" xfId="20167" xr:uid="{00000000-0005-0000-0000-000034780000}"/>
    <cellStyle name="Total 3 2 2 3 5 4" xfId="10242" xr:uid="{00000000-0005-0000-0000-000035780000}"/>
    <cellStyle name="Total 3 2 2 3 5 5" xfId="15745" xr:uid="{00000000-0005-0000-0000-000036780000}"/>
    <cellStyle name="Total 3 2 2 3 5 6" xfId="13273" xr:uid="{00000000-0005-0000-0000-000037780000}"/>
    <cellStyle name="Total 3 2 2 3 6" xfId="6881" xr:uid="{00000000-0005-0000-0000-000038780000}"/>
    <cellStyle name="Total 3 2 2 3 6 2" xfId="8589" xr:uid="{00000000-0005-0000-0000-000039780000}"/>
    <cellStyle name="Total 3 2 2 3 6 2 2" xfId="12557" xr:uid="{00000000-0005-0000-0000-00003A780000}"/>
    <cellStyle name="Total 3 2 2 3 6 2 3" xfId="18671" xr:uid="{00000000-0005-0000-0000-00003B780000}"/>
    <cellStyle name="Total 3 2 2 3 6 2 4" xfId="22107" xr:uid="{00000000-0005-0000-0000-00003C780000}"/>
    <cellStyle name="Total 3 2 2 3 6 3" xfId="11015" xr:uid="{00000000-0005-0000-0000-00003D780000}"/>
    <cellStyle name="Total 3 2 2 3 6 4" xfId="17379" xr:uid="{00000000-0005-0000-0000-00003E780000}"/>
    <cellStyle name="Total 3 2 2 3 6 5" xfId="20399" xr:uid="{00000000-0005-0000-0000-00003F780000}"/>
    <cellStyle name="Total 3 2 2 3 7" xfId="5869" xr:uid="{00000000-0005-0000-0000-000040780000}"/>
    <cellStyle name="Total 3 2 2 3 7 2" xfId="10610" xr:uid="{00000000-0005-0000-0000-000041780000}"/>
    <cellStyle name="Total 3 2 2 3 7 3" xfId="16617" xr:uid="{00000000-0005-0000-0000-000042780000}"/>
    <cellStyle name="Total 3 2 2 3 7 4" xfId="19387" xr:uid="{00000000-0005-0000-0000-000043780000}"/>
    <cellStyle name="Total 3 2 2 3 8" xfId="7577" xr:uid="{00000000-0005-0000-0000-000044780000}"/>
    <cellStyle name="Total 3 2 2 3 8 2" xfId="11598" xr:uid="{00000000-0005-0000-0000-000045780000}"/>
    <cellStyle name="Total 3 2 2 3 8 3" xfId="17909" xr:uid="{00000000-0005-0000-0000-000046780000}"/>
    <cellStyle name="Total 3 2 2 3 8 4" xfId="21095" xr:uid="{00000000-0005-0000-0000-000047780000}"/>
    <cellStyle name="Total 3 2 2 3 9" xfId="4959" xr:uid="{00000000-0005-0000-0000-000048780000}"/>
    <cellStyle name="Total 3 2 2 3 9 2" xfId="15927" xr:uid="{00000000-0005-0000-0000-000049780000}"/>
    <cellStyle name="Total 3 2 2 3 9 3" xfId="13060" xr:uid="{00000000-0005-0000-0000-00004A780000}"/>
    <cellStyle name="Total 3 2 2 4" xfId="3021" xr:uid="{00000000-0005-0000-0000-00004B780000}"/>
    <cellStyle name="Total 3 2 2 4 2" xfId="3408" xr:uid="{00000000-0005-0000-0000-00004C780000}"/>
    <cellStyle name="Total 3 2 2 4 2 2" xfId="7845" xr:uid="{00000000-0005-0000-0000-00004D780000}"/>
    <cellStyle name="Total 3 2 2 4 2 2 2" xfId="18104" xr:uid="{00000000-0005-0000-0000-00004E780000}"/>
    <cellStyle name="Total 3 2 2 4 2 2 3" xfId="21363" xr:uid="{00000000-0005-0000-0000-00004F780000}"/>
    <cellStyle name="Total 3 2 2 4 2 3" xfId="9526" xr:uid="{00000000-0005-0000-0000-000050780000}"/>
    <cellStyle name="Total 3 2 2 4 2 4" xfId="14779" xr:uid="{00000000-0005-0000-0000-000051780000}"/>
    <cellStyle name="Total 3 2 2 4 2 5" xfId="18579" xr:uid="{00000000-0005-0000-0000-000052780000}"/>
    <cellStyle name="Total 3 2 2 4 3" xfId="3791" xr:uid="{00000000-0005-0000-0000-000053780000}"/>
    <cellStyle name="Total 3 2 2 4 3 2" xfId="15055" xr:uid="{00000000-0005-0000-0000-000054780000}"/>
    <cellStyle name="Total 3 2 2 4 3 3" xfId="16216" xr:uid="{00000000-0005-0000-0000-000055780000}"/>
    <cellStyle name="Total 3 2 2 4 4" xfId="4174" xr:uid="{00000000-0005-0000-0000-000056780000}"/>
    <cellStyle name="Total 3 2 2 4 4 2" xfId="15330" xr:uid="{00000000-0005-0000-0000-000057780000}"/>
    <cellStyle name="Total 3 2 2 4 4 3" xfId="13831" xr:uid="{00000000-0005-0000-0000-000058780000}"/>
    <cellStyle name="Total 3 2 2 4 5" xfId="4556" xr:uid="{00000000-0005-0000-0000-000059780000}"/>
    <cellStyle name="Total 3 2 2 4 5 2" xfId="15604" xr:uid="{00000000-0005-0000-0000-00005A780000}"/>
    <cellStyle name="Total 3 2 2 4 5 3" xfId="13449" xr:uid="{00000000-0005-0000-0000-00005B780000}"/>
    <cellStyle name="Total 3 2 2 4 6" xfId="6137" xr:uid="{00000000-0005-0000-0000-00005C780000}"/>
    <cellStyle name="Total 3 2 2 4 6 2" xfId="16812" xr:uid="{00000000-0005-0000-0000-00005D780000}"/>
    <cellStyle name="Total 3 2 2 4 6 3" xfId="19655" xr:uid="{00000000-0005-0000-0000-00005E780000}"/>
    <cellStyle name="Total 3 2 2 4 7" xfId="9163" xr:uid="{00000000-0005-0000-0000-00005F780000}"/>
    <cellStyle name="Total 3 2 2 4 8" xfId="14499" xr:uid="{00000000-0005-0000-0000-000060780000}"/>
    <cellStyle name="Total 3 2 2 4 9" xfId="15952" xr:uid="{00000000-0005-0000-0000-000061780000}"/>
    <cellStyle name="Total 3 2 2 5" xfId="6331" xr:uid="{00000000-0005-0000-0000-000062780000}"/>
    <cellStyle name="Total 3 2 2 5 2" xfId="8039" xr:uid="{00000000-0005-0000-0000-000063780000}"/>
    <cellStyle name="Total 3 2 2 5 2 2" xfId="12011" xr:uid="{00000000-0005-0000-0000-000064780000}"/>
    <cellStyle name="Total 3 2 2 5 2 3" xfId="18252" xr:uid="{00000000-0005-0000-0000-000065780000}"/>
    <cellStyle name="Total 3 2 2 5 2 4" xfId="21557" xr:uid="{00000000-0005-0000-0000-000066780000}"/>
    <cellStyle name="Total 3 2 2 5 3" xfId="10868" xr:uid="{00000000-0005-0000-0000-000067780000}"/>
    <cellStyle name="Total 3 2 2 5 4" xfId="16961" xr:uid="{00000000-0005-0000-0000-000068780000}"/>
    <cellStyle name="Total 3 2 2 5 5" xfId="19849" xr:uid="{00000000-0005-0000-0000-000069780000}"/>
    <cellStyle name="Total 3 2 2 6" xfId="6203" xr:uid="{00000000-0005-0000-0000-00006A780000}"/>
    <cellStyle name="Total 3 2 2 6 2" xfId="7911" xr:uid="{00000000-0005-0000-0000-00006B780000}"/>
    <cellStyle name="Total 3 2 2 6 2 2" xfId="11890" xr:uid="{00000000-0005-0000-0000-00006C780000}"/>
    <cellStyle name="Total 3 2 2 6 2 3" xfId="18165" xr:uid="{00000000-0005-0000-0000-00006D780000}"/>
    <cellStyle name="Total 3 2 2 6 2 4" xfId="21429" xr:uid="{00000000-0005-0000-0000-00006E780000}"/>
    <cellStyle name="Total 3 2 2 6 3" xfId="10845" xr:uid="{00000000-0005-0000-0000-00006F780000}"/>
    <cellStyle name="Total 3 2 2 6 4" xfId="16873" xr:uid="{00000000-0005-0000-0000-000070780000}"/>
    <cellStyle name="Total 3 2 2 6 5" xfId="19721" xr:uid="{00000000-0005-0000-0000-000071780000}"/>
    <cellStyle name="Total 3 2 2 7" xfId="6058" xr:uid="{00000000-0005-0000-0000-000072780000}"/>
    <cellStyle name="Total 3 2 2 7 2" xfId="7766" xr:uid="{00000000-0005-0000-0000-000073780000}"/>
    <cellStyle name="Total 3 2 2 7 2 2" xfId="11787" xr:uid="{00000000-0005-0000-0000-000074780000}"/>
    <cellStyle name="Total 3 2 2 7 2 3" xfId="18040" xr:uid="{00000000-0005-0000-0000-000075780000}"/>
    <cellStyle name="Total 3 2 2 7 2 4" xfId="21284" xr:uid="{00000000-0005-0000-0000-000076780000}"/>
    <cellStyle name="Total 3 2 2 7 3" xfId="10797" xr:uid="{00000000-0005-0000-0000-000077780000}"/>
    <cellStyle name="Total 3 2 2 7 4" xfId="16748" xr:uid="{00000000-0005-0000-0000-000078780000}"/>
    <cellStyle name="Total 3 2 2 7 5" xfId="19576" xr:uid="{00000000-0005-0000-0000-000079780000}"/>
    <cellStyle name="Total 3 2 2 8" xfId="5428" xr:uid="{00000000-0005-0000-0000-00007A780000}"/>
    <cellStyle name="Total 3 2 2 8 2" xfId="7137" xr:uid="{00000000-0005-0000-0000-00007B780000}"/>
    <cellStyle name="Total 3 2 2 8 2 2" xfId="11271" xr:uid="{00000000-0005-0000-0000-00007C780000}"/>
    <cellStyle name="Total 3 2 2 8 2 3" xfId="17555" xr:uid="{00000000-0005-0000-0000-00007D780000}"/>
    <cellStyle name="Total 3 2 2 8 2 4" xfId="20655" xr:uid="{00000000-0005-0000-0000-00007E780000}"/>
    <cellStyle name="Total 3 2 2 8 3" xfId="10445" xr:uid="{00000000-0005-0000-0000-00007F780000}"/>
    <cellStyle name="Total 3 2 2 8 4" xfId="16265" xr:uid="{00000000-0005-0000-0000-000080780000}"/>
    <cellStyle name="Total 3 2 2 8 5" xfId="18946" xr:uid="{00000000-0005-0000-0000-000081780000}"/>
    <cellStyle name="Total 3 2 2 9" xfId="5774" xr:uid="{00000000-0005-0000-0000-000082780000}"/>
    <cellStyle name="Total 3 2 2 9 2" xfId="10550" xr:uid="{00000000-0005-0000-0000-000083780000}"/>
    <cellStyle name="Total 3 2 2 9 3" xfId="16549" xr:uid="{00000000-0005-0000-0000-000084780000}"/>
    <cellStyle name="Total 3 2 2 9 4" xfId="19292" xr:uid="{00000000-0005-0000-0000-000085780000}"/>
    <cellStyle name="Total 3 2 3" xfId="2675" xr:uid="{00000000-0005-0000-0000-000086780000}"/>
    <cellStyle name="Total 3 2 3 10" xfId="7521" xr:uid="{00000000-0005-0000-0000-000087780000}"/>
    <cellStyle name="Total 3 2 3 10 2" xfId="11562" xr:uid="{00000000-0005-0000-0000-000088780000}"/>
    <cellStyle name="Total 3 2 3 10 3" xfId="17868" xr:uid="{00000000-0005-0000-0000-000089780000}"/>
    <cellStyle name="Total 3 2 3 10 4" xfId="21039" xr:uid="{00000000-0005-0000-0000-00008A780000}"/>
    <cellStyle name="Total 3 2 3 11" xfId="4925" xr:uid="{00000000-0005-0000-0000-00008B780000}"/>
    <cellStyle name="Total 3 2 3 11 2" xfId="15895" xr:uid="{00000000-0005-0000-0000-00008C780000}"/>
    <cellStyle name="Total 3 2 3 11 3" xfId="13094" xr:uid="{00000000-0005-0000-0000-00008D780000}"/>
    <cellStyle name="Total 3 2 3 12" xfId="8832" xr:uid="{00000000-0005-0000-0000-00008E780000}"/>
    <cellStyle name="Total 3 2 3 13" xfId="14248" xr:uid="{00000000-0005-0000-0000-00008F780000}"/>
    <cellStyle name="Total 3 2 3 14" xfId="17316" xr:uid="{00000000-0005-0000-0000-000090780000}"/>
    <cellStyle name="Total 3 2 3 2" xfId="2734" xr:uid="{00000000-0005-0000-0000-000091780000}"/>
    <cellStyle name="Total 3 2 3 2 10" xfId="4947" xr:uid="{00000000-0005-0000-0000-000092780000}"/>
    <cellStyle name="Total 3 2 3 2 10 2" xfId="15917" xr:uid="{00000000-0005-0000-0000-000093780000}"/>
    <cellStyle name="Total 3 2 3 2 10 3" xfId="13072" xr:uid="{00000000-0005-0000-0000-000094780000}"/>
    <cellStyle name="Total 3 2 3 2 11" xfId="8889" xr:uid="{00000000-0005-0000-0000-000095780000}"/>
    <cellStyle name="Total 3 2 3 2 12" xfId="14293" xr:uid="{00000000-0005-0000-0000-000096780000}"/>
    <cellStyle name="Total 3 2 3 2 2" xfId="3224" xr:uid="{00000000-0005-0000-0000-000097780000}"/>
    <cellStyle name="Total 3 2 3 2 2 10" xfId="9354" xr:uid="{00000000-0005-0000-0000-000098780000}"/>
    <cellStyle name="Total 3 2 3 2 2 11" xfId="14658" xr:uid="{00000000-0005-0000-0000-000099780000}"/>
    <cellStyle name="Total 3 2 3 2 2 12" xfId="14464" xr:uid="{00000000-0005-0000-0000-00009A780000}"/>
    <cellStyle name="Total 3 2 3 2 2 2" xfId="3611" xr:uid="{00000000-0005-0000-0000-00009B780000}"/>
    <cellStyle name="Total 3 2 3 2 2 2 2" xfId="7972" xr:uid="{00000000-0005-0000-0000-00009C780000}"/>
    <cellStyle name="Total 3 2 3 2 2 2 2 2" xfId="11948" xr:uid="{00000000-0005-0000-0000-00009D780000}"/>
    <cellStyle name="Total 3 2 3 2 2 2 2 3" xfId="18198" xr:uid="{00000000-0005-0000-0000-00009E780000}"/>
    <cellStyle name="Total 3 2 3 2 2 2 2 4" xfId="21490" xr:uid="{00000000-0005-0000-0000-00009F780000}"/>
    <cellStyle name="Total 3 2 3 2 2 2 3" xfId="6264" xr:uid="{00000000-0005-0000-0000-0000A0780000}"/>
    <cellStyle name="Total 3 2 3 2 2 2 3 2" xfId="16906" xr:uid="{00000000-0005-0000-0000-0000A1780000}"/>
    <cellStyle name="Total 3 2 3 2 2 2 3 3" xfId="19782" xr:uid="{00000000-0005-0000-0000-0000A2780000}"/>
    <cellStyle name="Total 3 2 3 2 2 2 4" xfId="9703" xr:uid="{00000000-0005-0000-0000-0000A3780000}"/>
    <cellStyle name="Total 3 2 3 2 2 2 5" xfId="14938" xr:uid="{00000000-0005-0000-0000-0000A4780000}"/>
    <cellStyle name="Total 3 2 3 2 2 2 6" xfId="17483" xr:uid="{00000000-0005-0000-0000-0000A5780000}"/>
    <cellStyle name="Total 3 2 3 2 2 3" xfId="3994" xr:uid="{00000000-0005-0000-0000-0000A6780000}"/>
    <cellStyle name="Total 3 2 3 2 2 3 2" xfId="7811" xr:uid="{00000000-0005-0000-0000-0000A7780000}"/>
    <cellStyle name="Total 3 2 3 2 2 3 2 2" xfId="11823" xr:uid="{00000000-0005-0000-0000-0000A8780000}"/>
    <cellStyle name="Total 3 2 3 2 2 3 2 3" xfId="18076" xr:uid="{00000000-0005-0000-0000-0000A9780000}"/>
    <cellStyle name="Total 3 2 3 2 2 3 2 4" xfId="21329" xr:uid="{00000000-0005-0000-0000-0000AA780000}"/>
    <cellStyle name="Total 3 2 3 2 2 3 3" xfId="6103" xr:uid="{00000000-0005-0000-0000-0000AB780000}"/>
    <cellStyle name="Total 3 2 3 2 2 3 3 2" xfId="16784" xr:uid="{00000000-0005-0000-0000-0000AC780000}"/>
    <cellStyle name="Total 3 2 3 2 2 3 3 3" xfId="19621" xr:uid="{00000000-0005-0000-0000-0000AD780000}"/>
    <cellStyle name="Total 3 2 3 2 2 3 4" xfId="9913" xr:uid="{00000000-0005-0000-0000-0000AE780000}"/>
    <cellStyle name="Total 3 2 3 2 2 3 5" xfId="15214" xr:uid="{00000000-0005-0000-0000-0000AF780000}"/>
    <cellStyle name="Total 3 2 3 2 2 3 6" xfId="13997" xr:uid="{00000000-0005-0000-0000-0000B0780000}"/>
    <cellStyle name="Total 3 2 3 2 2 4" xfId="4377" xr:uid="{00000000-0005-0000-0000-0000B1780000}"/>
    <cellStyle name="Total 3 2 3 2 2 4 2" xfId="8279" xr:uid="{00000000-0005-0000-0000-0000B2780000}"/>
    <cellStyle name="Total 3 2 3 2 2 4 2 2" xfId="12247" xr:uid="{00000000-0005-0000-0000-0000B3780000}"/>
    <cellStyle name="Total 3 2 3 2 2 4 2 3" xfId="18431" xr:uid="{00000000-0005-0000-0000-0000B4780000}"/>
    <cellStyle name="Total 3 2 3 2 2 4 2 4" xfId="21797" xr:uid="{00000000-0005-0000-0000-0000B5780000}"/>
    <cellStyle name="Total 3 2 3 2 2 4 3" xfId="6571" xr:uid="{00000000-0005-0000-0000-0000B6780000}"/>
    <cellStyle name="Total 3 2 3 2 2 4 3 2" xfId="17140" xr:uid="{00000000-0005-0000-0000-0000B7780000}"/>
    <cellStyle name="Total 3 2 3 2 2 4 3 3" xfId="20089" xr:uid="{00000000-0005-0000-0000-0000B8780000}"/>
    <cellStyle name="Total 3 2 3 2 2 4 4" xfId="10091" xr:uid="{00000000-0005-0000-0000-0000B9780000}"/>
    <cellStyle name="Total 3 2 3 2 2 4 5" xfId="15489" xr:uid="{00000000-0005-0000-0000-0000BA780000}"/>
    <cellStyle name="Total 3 2 3 2 2 4 6" xfId="13628" xr:uid="{00000000-0005-0000-0000-0000BB780000}"/>
    <cellStyle name="Total 3 2 3 2 2 5" xfId="4759" xr:uid="{00000000-0005-0000-0000-0000BC780000}"/>
    <cellStyle name="Total 3 2 3 2 2 5 2" xfId="8511" xr:uid="{00000000-0005-0000-0000-0000BD780000}"/>
    <cellStyle name="Total 3 2 3 2 2 5 2 2" xfId="12479" xr:uid="{00000000-0005-0000-0000-0000BE780000}"/>
    <cellStyle name="Total 3 2 3 2 2 5 2 3" xfId="18602" xr:uid="{00000000-0005-0000-0000-0000BF780000}"/>
    <cellStyle name="Total 3 2 3 2 2 5 2 4" xfId="22029" xr:uid="{00000000-0005-0000-0000-0000C0780000}"/>
    <cellStyle name="Total 3 2 3 2 2 5 3" xfId="6803" xr:uid="{00000000-0005-0000-0000-0000C1780000}"/>
    <cellStyle name="Total 3 2 3 2 2 5 3 2" xfId="17310" xr:uid="{00000000-0005-0000-0000-0000C2780000}"/>
    <cellStyle name="Total 3 2 3 2 2 5 3 3" xfId="20321" xr:uid="{00000000-0005-0000-0000-0000C3780000}"/>
    <cellStyle name="Total 3 2 3 2 2 5 4" xfId="10268" xr:uid="{00000000-0005-0000-0000-0000C4780000}"/>
    <cellStyle name="Total 3 2 3 2 2 5 5" xfId="15762" xr:uid="{00000000-0005-0000-0000-0000C5780000}"/>
    <cellStyle name="Total 3 2 3 2 2 5 6" xfId="13246" xr:uid="{00000000-0005-0000-0000-0000C6780000}"/>
    <cellStyle name="Total 3 2 3 2 2 6" xfId="7035" xr:uid="{00000000-0005-0000-0000-0000C7780000}"/>
    <cellStyle name="Total 3 2 3 2 2 6 2" xfId="8743" xr:uid="{00000000-0005-0000-0000-0000C8780000}"/>
    <cellStyle name="Total 3 2 3 2 2 6 2 2" xfId="12711" xr:uid="{00000000-0005-0000-0000-0000C9780000}"/>
    <cellStyle name="Total 3 2 3 2 2 6 2 3" xfId="18774" xr:uid="{00000000-0005-0000-0000-0000CA780000}"/>
    <cellStyle name="Total 3 2 3 2 2 6 2 4" xfId="22261" xr:uid="{00000000-0005-0000-0000-0000CB780000}"/>
    <cellStyle name="Total 3 2 3 2 2 6 3" xfId="11169" xr:uid="{00000000-0005-0000-0000-0000CC780000}"/>
    <cellStyle name="Total 3 2 3 2 2 6 4" xfId="17481" xr:uid="{00000000-0005-0000-0000-0000CD780000}"/>
    <cellStyle name="Total 3 2 3 2 2 6 5" xfId="20553" xr:uid="{00000000-0005-0000-0000-0000CE780000}"/>
    <cellStyle name="Total 3 2 3 2 2 7" xfId="6023" xr:uid="{00000000-0005-0000-0000-0000CF780000}"/>
    <cellStyle name="Total 3 2 3 2 2 7 2" xfId="10764" xr:uid="{00000000-0005-0000-0000-0000D0780000}"/>
    <cellStyle name="Total 3 2 3 2 2 7 3" xfId="16720" xr:uid="{00000000-0005-0000-0000-0000D1780000}"/>
    <cellStyle name="Total 3 2 3 2 2 7 4" xfId="19541" xr:uid="{00000000-0005-0000-0000-0000D2780000}"/>
    <cellStyle name="Total 3 2 3 2 2 8" xfId="7731" xr:uid="{00000000-0005-0000-0000-0000D3780000}"/>
    <cellStyle name="Total 3 2 3 2 2 8 2" xfId="11752" xr:uid="{00000000-0005-0000-0000-0000D4780000}"/>
    <cellStyle name="Total 3 2 3 2 2 8 3" xfId="18012" xr:uid="{00000000-0005-0000-0000-0000D5780000}"/>
    <cellStyle name="Total 3 2 3 2 2 8 4" xfId="21249" xr:uid="{00000000-0005-0000-0000-0000D6780000}"/>
    <cellStyle name="Total 3 2 3 2 2 9" xfId="5217" xr:uid="{00000000-0005-0000-0000-0000D7780000}"/>
    <cellStyle name="Total 3 2 3 2 2 9 2" xfId="16108" xr:uid="{00000000-0005-0000-0000-0000D8780000}"/>
    <cellStyle name="Total 3 2 3 2 2 9 3" xfId="12758" xr:uid="{00000000-0005-0000-0000-0000D9780000}"/>
    <cellStyle name="Total 3 2 3 2 3" xfId="3281" xr:uid="{00000000-0005-0000-0000-0000DA780000}"/>
    <cellStyle name="Total 3 2 3 2 3 2" xfId="3668" xr:uid="{00000000-0005-0000-0000-0000DB780000}"/>
    <cellStyle name="Total 3 2 3 2 3 2 2" xfId="7397" xr:uid="{00000000-0005-0000-0000-0000DC780000}"/>
    <cellStyle name="Total 3 2 3 2 3 2 2 2" xfId="17775" xr:uid="{00000000-0005-0000-0000-0000DD780000}"/>
    <cellStyle name="Total 3 2 3 2 3 2 2 3" xfId="20915" xr:uid="{00000000-0005-0000-0000-0000DE780000}"/>
    <cellStyle name="Total 3 2 3 2 3 2 3" xfId="9750" xr:uid="{00000000-0005-0000-0000-0000DF780000}"/>
    <cellStyle name="Total 3 2 3 2 3 2 4" xfId="14980" xr:uid="{00000000-0005-0000-0000-0000E0780000}"/>
    <cellStyle name="Total 3 2 3 2 3 2 5" xfId="18190" xr:uid="{00000000-0005-0000-0000-0000E1780000}"/>
    <cellStyle name="Total 3 2 3 2 3 3" xfId="4051" xr:uid="{00000000-0005-0000-0000-0000E2780000}"/>
    <cellStyle name="Total 3 2 3 2 3 3 2" xfId="15255" xr:uid="{00000000-0005-0000-0000-0000E3780000}"/>
    <cellStyle name="Total 3 2 3 2 3 3 3" xfId="13940" xr:uid="{00000000-0005-0000-0000-0000E4780000}"/>
    <cellStyle name="Total 3 2 3 2 3 4" xfId="4434" xr:uid="{00000000-0005-0000-0000-0000E5780000}"/>
    <cellStyle name="Total 3 2 3 2 3 4 2" xfId="15531" xr:uid="{00000000-0005-0000-0000-0000E6780000}"/>
    <cellStyle name="Total 3 2 3 2 3 4 3" xfId="13571" xr:uid="{00000000-0005-0000-0000-0000E7780000}"/>
    <cellStyle name="Total 3 2 3 2 3 5" xfId="4816" xr:uid="{00000000-0005-0000-0000-0000E8780000}"/>
    <cellStyle name="Total 3 2 3 2 3 5 2" xfId="15803" xr:uid="{00000000-0005-0000-0000-0000E9780000}"/>
    <cellStyle name="Total 3 2 3 2 3 5 3" xfId="13190" xr:uid="{00000000-0005-0000-0000-0000EA780000}"/>
    <cellStyle name="Total 3 2 3 2 3 6" xfId="5688" xr:uid="{00000000-0005-0000-0000-0000EB780000}"/>
    <cellStyle name="Total 3 2 3 2 3 6 2" xfId="16484" xr:uid="{00000000-0005-0000-0000-0000EC780000}"/>
    <cellStyle name="Total 3 2 3 2 3 6 3" xfId="19206" xr:uid="{00000000-0005-0000-0000-0000ED780000}"/>
    <cellStyle name="Total 3 2 3 2 3 7" xfId="9411" xr:uid="{00000000-0005-0000-0000-0000EE780000}"/>
    <cellStyle name="Total 3 2 3 2 3 8" xfId="14700" xr:uid="{00000000-0005-0000-0000-0000EF780000}"/>
    <cellStyle name="Total 3 2 3 2 3 9" xfId="15417" xr:uid="{00000000-0005-0000-0000-0000F0780000}"/>
    <cellStyle name="Total 3 2 3 2 4" xfId="2899" xr:uid="{00000000-0005-0000-0000-0000F1780000}"/>
    <cellStyle name="Total 3 2 3 2 4 2" xfId="7438" xr:uid="{00000000-0005-0000-0000-0000F2780000}"/>
    <cellStyle name="Total 3 2 3 2 4 2 2" xfId="11499" xr:uid="{00000000-0005-0000-0000-0000F3780000}"/>
    <cellStyle name="Total 3 2 3 2 4 2 3" xfId="17803" xr:uid="{00000000-0005-0000-0000-0000F4780000}"/>
    <cellStyle name="Total 3 2 3 2 4 2 4" xfId="20956" xr:uid="{00000000-0005-0000-0000-0000F5780000}"/>
    <cellStyle name="Total 3 2 3 2 4 3" xfId="5729" xr:uid="{00000000-0005-0000-0000-0000F6780000}"/>
    <cellStyle name="Total 3 2 3 2 4 3 2" xfId="16512" xr:uid="{00000000-0005-0000-0000-0000F7780000}"/>
    <cellStyle name="Total 3 2 3 2 4 3 3" xfId="19247" xr:uid="{00000000-0005-0000-0000-0000F8780000}"/>
    <cellStyle name="Total 3 2 3 2 4 4" xfId="9051" xr:uid="{00000000-0005-0000-0000-0000F9780000}"/>
    <cellStyle name="Total 3 2 3 2 4 5" xfId="14426" xr:uid="{00000000-0005-0000-0000-0000FA780000}"/>
    <cellStyle name="Total 3 2 3 2 4 6" xfId="15030" xr:uid="{00000000-0005-0000-0000-0000FB780000}"/>
    <cellStyle name="Total 3 2 3 2 5" xfId="6405" xr:uid="{00000000-0005-0000-0000-0000FC780000}"/>
    <cellStyle name="Total 3 2 3 2 5 2" xfId="8113" xr:uid="{00000000-0005-0000-0000-0000FD780000}"/>
    <cellStyle name="Total 3 2 3 2 5 2 2" xfId="12081" xr:uid="{00000000-0005-0000-0000-0000FE780000}"/>
    <cellStyle name="Total 3 2 3 2 5 2 3" xfId="18319" xr:uid="{00000000-0005-0000-0000-0000FF780000}"/>
    <cellStyle name="Total 3 2 3 2 5 2 4" xfId="21631" xr:uid="{00000000-0005-0000-0000-000000790000}"/>
    <cellStyle name="Total 3 2 3 2 5 3" xfId="10923" xr:uid="{00000000-0005-0000-0000-000001790000}"/>
    <cellStyle name="Total 3 2 3 2 5 4" xfId="17028" xr:uid="{00000000-0005-0000-0000-000002790000}"/>
    <cellStyle name="Total 3 2 3 2 5 5" xfId="19923" xr:uid="{00000000-0005-0000-0000-000003790000}"/>
    <cellStyle name="Total 3 2 3 2 6" xfId="6637" xr:uid="{00000000-0005-0000-0000-000004790000}"/>
    <cellStyle name="Total 3 2 3 2 6 2" xfId="8345" xr:uid="{00000000-0005-0000-0000-000005790000}"/>
    <cellStyle name="Total 3 2 3 2 6 2 2" xfId="12313" xr:uid="{00000000-0005-0000-0000-000006790000}"/>
    <cellStyle name="Total 3 2 3 2 6 2 3" xfId="18490" xr:uid="{00000000-0005-0000-0000-000007790000}"/>
    <cellStyle name="Total 3 2 3 2 6 2 4" xfId="21863" xr:uid="{00000000-0005-0000-0000-000008790000}"/>
    <cellStyle name="Total 3 2 3 2 6 3" xfId="10963" xr:uid="{00000000-0005-0000-0000-000009790000}"/>
    <cellStyle name="Total 3 2 3 2 6 4" xfId="17199" xr:uid="{00000000-0005-0000-0000-00000A790000}"/>
    <cellStyle name="Total 3 2 3 2 6 5" xfId="20155" xr:uid="{00000000-0005-0000-0000-00000B790000}"/>
    <cellStyle name="Total 3 2 3 2 7" xfId="6869" xr:uid="{00000000-0005-0000-0000-00000C790000}"/>
    <cellStyle name="Total 3 2 3 2 7 2" xfId="8577" xr:uid="{00000000-0005-0000-0000-00000D790000}"/>
    <cellStyle name="Total 3 2 3 2 7 2 2" xfId="12545" xr:uid="{00000000-0005-0000-0000-00000E790000}"/>
    <cellStyle name="Total 3 2 3 2 7 2 3" xfId="18661" xr:uid="{00000000-0005-0000-0000-00000F790000}"/>
    <cellStyle name="Total 3 2 3 2 7 2 4" xfId="22095" xr:uid="{00000000-0005-0000-0000-000010790000}"/>
    <cellStyle name="Total 3 2 3 2 7 3" xfId="11003" xr:uid="{00000000-0005-0000-0000-000011790000}"/>
    <cellStyle name="Total 3 2 3 2 7 4" xfId="17369" xr:uid="{00000000-0005-0000-0000-000012790000}"/>
    <cellStyle name="Total 3 2 3 2 7 5" xfId="20387" xr:uid="{00000000-0005-0000-0000-000013790000}"/>
    <cellStyle name="Total 3 2 3 2 8" xfId="5852" xr:uid="{00000000-0005-0000-0000-000014790000}"/>
    <cellStyle name="Total 3 2 3 2 8 2" xfId="10598" xr:uid="{00000000-0005-0000-0000-000015790000}"/>
    <cellStyle name="Total 3 2 3 2 8 3" xfId="16605" xr:uid="{00000000-0005-0000-0000-000016790000}"/>
    <cellStyle name="Total 3 2 3 2 8 4" xfId="19370" xr:uid="{00000000-0005-0000-0000-000017790000}"/>
    <cellStyle name="Total 3 2 3 2 9" xfId="7560" xr:uid="{00000000-0005-0000-0000-000018790000}"/>
    <cellStyle name="Total 3 2 3 2 9 2" xfId="11586" xr:uid="{00000000-0005-0000-0000-000019790000}"/>
    <cellStyle name="Total 3 2 3 2 9 3" xfId="17897" xr:uid="{00000000-0005-0000-0000-00001A790000}"/>
    <cellStyle name="Total 3 2 3 2 9 4" xfId="21078" xr:uid="{00000000-0005-0000-0000-00001B790000}"/>
    <cellStyle name="Total 3 2 3 3" xfId="3167" xr:uid="{00000000-0005-0000-0000-00001C790000}"/>
    <cellStyle name="Total 3 2 3 3 10" xfId="9297" xr:uid="{00000000-0005-0000-0000-00001D790000}"/>
    <cellStyle name="Total 3 2 3 3 11" xfId="14616" xr:uid="{00000000-0005-0000-0000-00001E790000}"/>
    <cellStyle name="Total 3 2 3 3 12" xfId="18583" xr:uid="{00000000-0005-0000-0000-00001F790000}"/>
    <cellStyle name="Total 3 2 3 3 2" xfId="3554" xr:uid="{00000000-0005-0000-0000-000020790000}"/>
    <cellStyle name="Total 3 2 3 3 2 2" xfId="7275" xr:uid="{00000000-0005-0000-0000-000021790000}"/>
    <cellStyle name="Total 3 2 3 3 2 2 2" xfId="11380" xr:uid="{00000000-0005-0000-0000-000022790000}"/>
    <cellStyle name="Total 3 2 3 3 2 2 3" xfId="17674" xr:uid="{00000000-0005-0000-0000-000023790000}"/>
    <cellStyle name="Total 3 2 3 3 2 2 4" xfId="20793" xr:uid="{00000000-0005-0000-0000-000024790000}"/>
    <cellStyle name="Total 3 2 3 3 2 3" xfId="5566" xr:uid="{00000000-0005-0000-0000-000025790000}"/>
    <cellStyle name="Total 3 2 3 3 2 3 2" xfId="16383" xr:uid="{00000000-0005-0000-0000-000026790000}"/>
    <cellStyle name="Total 3 2 3 3 2 3 3" xfId="19084" xr:uid="{00000000-0005-0000-0000-000027790000}"/>
    <cellStyle name="Total 3 2 3 3 2 4" xfId="9646" xr:uid="{00000000-0005-0000-0000-000028790000}"/>
    <cellStyle name="Total 3 2 3 3 2 5" xfId="14896" xr:uid="{00000000-0005-0000-0000-000029790000}"/>
    <cellStyle name="Total 3 2 3 3 2 6" xfId="14365" xr:uid="{00000000-0005-0000-0000-00002A790000}"/>
    <cellStyle name="Total 3 2 3 3 3" xfId="3937" xr:uid="{00000000-0005-0000-0000-00002B790000}"/>
    <cellStyle name="Total 3 2 3 3 3 2" xfId="7116" xr:uid="{00000000-0005-0000-0000-00002C790000}"/>
    <cellStyle name="Total 3 2 3 3 3 2 2" xfId="11250" xr:uid="{00000000-0005-0000-0000-00002D790000}"/>
    <cellStyle name="Total 3 2 3 3 3 2 3" xfId="17536" xr:uid="{00000000-0005-0000-0000-00002E790000}"/>
    <cellStyle name="Total 3 2 3 3 3 2 4" xfId="20634" xr:uid="{00000000-0005-0000-0000-00002F790000}"/>
    <cellStyle name="Total 3 2 3 3 3 3" xfId="5407" xr:uid="{00000000-0005-0000-0000-000030790000}"/>
    <cellStyle name="Total 3 2 3 3 3 3 2" xfId="16246" xr:uid="{00000000-0005-0000-0000-000031790000}"/>
    <cellStyle name="Total 3 2 3 3 3 3 3" xfId="18925" xr:uid="{00000000-0005-0000-0000-000032790000}"/>
    <cellStyle name="Total 3 2 3 3 3 4" xfId="9860" xr:uid="{00000000-0005-0000-0000-000033790000}"/>
    <cellStyle name="Total 3 2 3 3 3 5" xfId="15172" xr:uid="{00000000-0005-0000-0000-000034790000}"/>
    <cellStyle name="Total 3 2 3 3 3 6" xfId="14054" xr:uid="{00000000-0005-0000-0000-000035790000}"/>
    <cellStyle name="Total 3 2 3 3 4" xfId="4320" xr:uid="{00000000-0005-0000-0000-000036790000}"/>
    <cellStyle name="Total 3 2 3 3 4 2" xfId="8173" xr:uid="{00000000-0005-0000-0000-000037790000}"/>
    <cellStyle name="Total 3 2 3 3 4 2 2" xfId="12141" xr:uid="{00000000-0005-0000-0000-000038790000}"/>
    <cellStyle name="Total 3 2 3 3 4 2 3" xfId="18370" xr:uid="{00000000-0005-0000-0000-000039790000}"/>
    <cellStyle name="Total 3 2 3 3 4 2 4" xfId="21691" xr:uid="{00000000-0005-0000-0000-00003A790000}"/>
    <cellStyle name="Total 3 2 3 3 4 3" xfId="6465" xr:uid="{00000000-0005-0000-0000-00003B790000}"/>
    <cellStyle name="Total 3 2 3 3 4 3 2" xfId="17079" xr:uid="{00000000-0005-0000-0000-00003C790000}"/>
    <cellStyle name="Total 3 2 3 3 4 3 3" xfId="19983" xr:uid="{00000000-0005-0000-0000-00003D790000}"/>
    <cellStyle name="Total 3 2 3 3 4 4" xfId="10038" xr:uid="{00000000-0005-0000-0000-00003E790000}"/>
    <cellStyle name="Total 3 2 3 3 4 5" xfId="15447" xr:uid="{00000000-0005-0000-0000-00003F790000}"/>
    <cellStyle name="Total 3 2 3 3 4 6" xfId="13685" xr:uid="{00000000-0005-0000-0000-000040790000}"/>
    <cellStyle name="Total 3 2 3 3 5" xfId="4702" xr:uid="{00000000-0005-0000-0000-000041790000}"/>
    <cellStyle name="Total 3 2 3 3 5 2" xfId="8405" xr:uid="{00000000-0005-0000-0000-000042790000}"/>
    <cellStyle name="Total 3 2 3 3 5 2 2" xfId="12373" xr:uid="{00000000-0005-0000-0000-000043790000}"/>
    <cellStyle name="Total 3 2 3 3 5 2 3" xfId="18541" xr:uid="{00000000-0005-0000-0000-000044790000}"/>
    <cellStyle name="Total 3 2 3 3 5 2 4" xfId="21923" xr:uid="{00000000-0005-0000-0000-000045790000}"/>
    <cellStyle name="Total 3 2 3 3 5 3" xfId="6697" xr:uid="{00000000-0005-0000-0000-000046790000}"/>
    <cellStyle name="Total 3 2 3 3 5 3 2" xfId="17250" xr:uid="{00000000-0005-0000-0000-000047790000}"/>
    <cellStyle name="Total 3 2 3 3 5 3 3" xfId="20215" xr:uid="{00000000-0005-0000-0000-000048790000}"/>
    <cellStyle name="Total 3 2 3 3 5 4" xfId="10215" xr:uid="{00000000-0005-0000-0000-000049790000}"/>
    <cellStyle name="Total 3 2 3 3 5 5" xfId="15721" xr:uid="{00000000-0005-0000-0000-00004A790000}"/>
    <cellStyle name="Total 3 2 3 3 5 6" xfId="13303" xr:uid="{00000000-0005-0000-0000-00004B790000}"/>
    <cellStyle name="Total 3 2 3 3 6" xfId="6929" xr:uid="{00000000-0005-0000-0000-00004C790000}"/>
    <cellStyle name="Total 3 2 3 3 6 2" xfId="8637" xr:uid="{00000000-0005-0000-0000-00004D790000}"/>
    <cellStyle name="Total 3 2 3 3 6 2 2" xfId="12605" xr:uid="{00000000-0005-0000-0000-00004E790000}"/>
    <cellStyle name="Total 3 2 3 3 6 2 3" xfId="18712" xr:uid="{00000000-0005-0000-0000-00004F790000}"/>
    <cellStyle name="Total 3 2 3 3 6 2 4" xfId="22155" xr:uid="{00000000-0005-0000-0000-000050790000}"/>
    <cellStyle name="Total 3 2 3 3 6 3" xfId="11063" xr:uid="{00000000-0005-0000-0000-000051790000}"/>
    <cellStyle name="Total 3 2 3 3 6 4" xfId="17420" xr:uid="{00000000-0005-0000-0000-000052790000}"/>
    <cellStyle name="Total 3 2 3 3 6 5" xfId="20447" xr:uid="{00000000-0005-0000-0000-000053790000}"/>
    <cellStyle name="Total 3 2 3 3 7" xfId="5917" xr:uid="{00000000-0005-0000-0000-000054790000}"/>
    <cellStyle name="Total 3 2 3 3 7 2" xfId="10658" xr:uid="{00000000-0005-0000-0000-000055790000}"/>
    <cellStyle name="Total 3 2 3 3 7 3" xfId="16658" xr:uid="{00000000-0005-0000-0000-000056790000}"/>
    <cellStyle name="Total 3 2 3 3 7 4" xfId="19435" xr:uid="{00000000-0005-0000-0000-000057790000}"/>
    <cellStyle name="Total 3 2 3 3 8" xfId="7625" xr:uid="{00000000-0005-0000-0000-000058790000}"/>
    <cellStyle name="Total 3 2 3 3 8 2" xfId="11646" xr:uid="{00000000-0005-0000-0000-000059790000}"/>
    <cellStyle name="Total 3 2 3 3 8 3" xfId="17950" xr:uid="{00000000-0005-0000-0000-00005A790000}"/>
    <cellStyle name="Total 3 2 3 3 8 4" xfId="21143" xr:uid="{00000000-0005-0000-0000-00005B790000}"/>
    <cellStyle name="Total 3 2 3 3 9" xfId="5013" xr:uid="{00000000-0005-0000-0000-00005C790000}"/>
    <cellStyle name="Total 3 2 3 3 9 2" xfId="15973" xr:uid="{00000000-0005-0000-0000-00005D790000}"/>
    <cellStyle name="Total 3 2 3 3 9 3" xfId="13006" xr:uid="{00000000-0005-0000-0000-00005E790000}"/>
    <cellStyle name="Total 3 2 3 4" xfId="3055" xr:uid="{00000000-0005-0000-0000-00005F790000}"/>
    <cellStyle name="Total 3 2 3 4 2" xfId="3442" xr:uid="{00000000-0005-0000-0000-000060790000}"/>
    <cellStyle name="Total 3 2 3 4 2 2" xfId="7826" xr:uid="{00000000-0005-0000-0000-000061790000}"/>
    <cellStyle name="Total 3 2 3 4 2 2 2" xfId="18090" xr:uid="{00000000-0005-0000-0000-000062790000}"/>
    <cellStyle name="Total 3 2 3 4 2 2 3" xfId="21344" xr:uid="{00000000-0005-0000-0000-000063790000}"/>
    <cellStyle name="Total 3 2 3 4 2 3" xfId="9551" xr:uid="{00000000-0005-0000-0000-000064790000}"/>
    <cellStyle name="Total 3 2 3 4 2 4" xfId="14807" xr:uid="{00000000-0005-0000-0000-000065790000}"/>
    <cellStyle name="Total 3 2 3 4 2 5" xfId="16369" xr:uid="{00000000-0005-0000-0000-000066790000}"/>
    <cellStyle name="Total 3 2 3 4 3" xfId="3825" xr:uid="{00000000-0005-0000-0000-000067790000}"/>
    <cellStyle name="Total 3 2 3 4 3 2" xfId="15083" xr:uid="{00000000-0005-0000-0000-000068790000}"/>
    <cellStyle name="Total 3 2 3 4 3 3" xfId="12825" xr:uid="{00000000-0005-0000-0000-000069790000}"/>
    <cellStyle name="Total 3 2 3 4 4" xfId="4208" xr:uid="{00000000-0005-0000-0000-00006A790000}"/>
    <cellStyle name="Total 3 2 3 4 4 2" xfId="15358" xr:uid="{00000000-0005-0000-0000-00006B790000}"/>
    <cellStyle name="Total 3 2 3 4 4 3" xfId="13797" xr:uid="{00000000-0005-0000-0000-00006C790000}"/>
    <cellStyle name="Total 3 2 3 4 5" xfId="4590" xr:uid="{00000000-0005-0000-0000-00006D790000}"/>
    <cellStyle name="Total 3 2 3 4 5 2" xfId="15632" xr:uid="{00000000-0005-0000-0000-00006E790000}"/>
    <cellStyle name="Total 3 2 3 4 5 3" xfId="13415" xr:uid="{00000000-0005-0000-0000-00006F790000}"/>
    <cellStyle name="Total 3 2 3 4 6" xfId="6118" xr:uid="{00000000-0005-0000-0000-000070790000}"/>
    <cellStyle name="Total 3 2 3 4 6 2" xfId="16798" xr:uid="{00000000-0005-0000-0000-000071790000}"/>
    <cellStyle name="Total 3 2 3 4 6 3" xfId="19636" xr:uid="{00000000-0005-0000-0000-000072790000}"/>
    <cellStyle name="Total 3 2 3 4 7" xfId="9195" xr:uid="{00000000-0005-0000-0000-000073790000}"/>
    <cellStyle name="Total 3 2 3 4 8" xfId="14527" xr:uid="{00000000-0005-0000-0000-000074790000}"/>
    <cellStyle name="Total 3 2 3 4 9" xfId="15113" xr:uid="{00000000-0005-0000-0000-000075790000}"/>
    <cellStyle name="Total 3 2 3 5" xfId="2875" xr:uid="{00000000-0005-0000-0000-000076790000}"/>
    <cellStyle name="Total 3 2 3 5 2" xfId="8070" xr:uid="{00000000-0005-0000-0000-000077790000}"/>
    <cellStyle name="Total 3 2 3 5 2 2" xfId="12040" xr:uid="{00000000-0005-0000-0000-000078790000}"/>
    <cellStyle name="Total 3 2 3 5 2 3" xfId="18276" xr:uid="{00000000-0005-0000-0000-000079790000}"/>
    <cellStyle name="Total 3 2 3 5 2 4" xfId="21588" xr:uid="{00000000-0005-0000-0000-00007A790000}"/>
    <cellStyle name="Total 3 2 3 5 3" xfId="6362" xr:uid="{00000000-0005-0000-0000-00007B790000}"/>
    <cellStyle name="Total 3 2 3 5 3 2" xfId="16985" xr:uid="{00000000-0005-0000-0000-00007C790000}"/>
    <cellStyle name="Total 3 2 3 5 3 3" xfId="19880" xr:uid="{00000000-0005-0000-0000-00007D790000}"/>
    <cellStyle name="Total 3 2 3 5 4" xfId="9028" xr:uid="{00000000-0005-0000-0000-00007E790000}"/>
    <cellStyle name="Total 3 2 3 5 5" xfId="14409" xr:uid="{00000000-0005-0000-0000-00007F790000}"/>
    <cellStyle name="Total 3 2 3 5 6" xfId="14750" xr:uid="{00000000-0005-0000-0000-000080790000}"/>
    <cellStyle name="Total 3 2 3 6" xfId="6383" xr:uid="{00000000-0005-0000-0000-000081790000}"/>
    <cellStyle name="Total 3 2 3 6 2" xfId="8091" xr:uid="{00000000-0005-0000-0000-000082790000}"/>
    <cellStyle name="Total 3 2 3 6 2 2" xfId="12059" xr:uid="{00000000-0005-0000-0000-000083790000}"/>
    <cellStyle name="Total 3 2 3 6 2 3" xfId="18297" xr:uid="{00000000-0005-0000-0000-000084790000}"/>
    <cellStyle name="Total 3 2 3 6 2 4" xfId="21609" xr:uid="{00000000-0005-0000-0000-000085790000}"/>
    <cellStyle name="Total 3 2 3 6 3" xfId="10901" xr:uid="{00000000-0005-0000-0000-000086790000}"/>
    <cellStyle name="Total 3 2 3 6 4" xfId="17006" xr:uid="{00000000-0005-0000-0000-000087790000}"/>
    <cellStyle name="Total 3 2 3 6 5" xfId="19901" xr:uid="{00000000-0005-0000-0000-000088790000}"/>
    <cellStyle name="Total 3 2 3 7" xfId="6615" xr:uid="{00000000-0005-0000-0000-000089790000}"/>
    <cellStyle name="Total 3 2 3 7 2" xfId="8323" xr:uid="{00000000-0005-0000-0000-00008A790000}"/>
    <cellStyle name="Total 3 2 3 7 2 2" xfId="12291" xr:uid="{00000000-0005-0000-0000-00008B790000}"/>
    <cellStyle name="Total 3 2 3 7 2 3" xfId="18468" xr:uid="{00000000-0005-0000-0000-00008C790000}"/>
    <cellStyle name="Total 3 2 3 7 2 4" xfId="21841" xr:uid="{00000000-0005-0000-0000-00008D790000}"/>
    <cellStyle name="Total 3 2 3 7 3" xfId="10941" xr:uid="{00000000-0005-0000-0000-00008E790000}"/>
    <cellStyle name="Total 3 2 3 7 4" xfId="17177" xr:uid="{00000000-0005-0000-0000-00008F790000}"/>
    <cellStyle name="Total 3 2 3 7 5" xfId="20133" xr:uid="{00000000-0005-0000-0000-000090790000}"/>
    <cellStyle name="Total 3 2 3 8" xfId="6847" xr:uid="{00000000-0005-0000-0000-000091790000}"/>
    <cellStyle name="Total 3 2 3 8 2" xfId="8555" xr:uid="{00000000-0005-0000-0000-000092790000}"/>
    <cellStyle name="Total 3 2 3 8 2 2" xfId="12523" xr:uid="{00000000-0005-0000-0000-000093790000}"/>
    <cellStyle name="Total 3 2 3 8 2 3" xfId="18639" xr:uid="{00000000-0005-0000-0000-000094790000}"/>
    <cellStyle name="Total 3 2 3 8 2 4" xfId="22073" xr:uid="{00000000-0005-0000-0000-000095790000}"/>
    <cellStyle name="Total 3 2 3 8 3" xfId="10981" xr:uid="{00000000-0005-0000-0000-000096790000}"/>
    <cellStyle name="Total 3 2 3 8 4" xfId="17347" xr:uid="{00000000-0005-0000-0000-000097790000}"/>
    <cellStyle name="Total 3 2 3 8 5" xfId="20365" xr:uid="{00000000-0005-0000-0000-000098790000}"/>
    <cellStyle name="Total 3 2 3 9" xfId="5813" xr:uid="{00000000-0005-0000-0000-000099790000}"/>
    <cellStyle name="Total 3 2 3 9 2" xfId="10576" xr:uid="{00000000-0005-0000-0000-00009A790000}"/>
    <cellStyle name="Total 3 2 3 9 3" xfId="16576" xr:uid="{00000000-0005-0000-0000-00009B790000}"/>
    <cellStyle name="Total 3 2 3 9 4" xfId="19331" xr:uid="{00000000-0005-0000-0000-00009C790000}"/>
    <cellStyle name="Total 3 2 4" xfId="2825" xr:uid="{00000000-0005-0000-0000-00009D790000}"/>
    <cellStyle name="Total 3 2 4 10" xfId="8978" xr:uid="{00000000-0005-0000-0000-00009E790000}"/>
    <cellStyle name="Total 3 2 4 11" xfId="14367" xr:uid="{00000000-0005-0000-0000-00009F790000}"/>
    <cellStyle name="Total 3 2 4 12" xfId="16235" xr:uid="{00000000-0005-0000-0000-0000A0790000}"/>
    <cellStyle name="Total 3 2 4 2" xfId="2777" xr:uid="{00000000-0005-0000-0000-0000A1790000}"/>
    <cellStyle name="Total 3 2 4 2 2" xfId="7377" xr:uid="{00000000-0005-0000-0000-0000A2790000}"/>
    <cellStyle name="Total 3 2 4 2 2 2" xfId="11463" xr:uid="{00000000-0005-0000-0000-0000A3790000}"/>
    <cellStyle name="Total 3 2 4 2 2 3" xfId="17758" xr:uid="{00000000-0005-0000-0000-0000A4790000}"/>
    <cellStyle name="Total 3 2 4 2 2 4" xfId="20895" xr:uid="{00000000-0005-0000-0000-0000A5790000}"/>
    <cellStyle name="Total 3 2 4 2 3" xfId="5668" xr:uid="{00000000-0005-0000-0000-0000A6790000}"/>
    <cellStyle name="Total 3 2 4 2 3 2" xfId="16467" xr:uid="{00000000-0005-0000-0000-0000A7790000}"/>
    <cellStyle name="Total 3 2 4 2 3 3" xfId="19186" xr:uid="{00000000-0005-0000-0000-0000A8790000}"/>
    <cellStyle name="Total 3 2 4 2 4" xfId="8932" xr:uid="{00000000-0005-0000-0000-0000A9790000}"/>
    <cellStyle name="Total 3 2 4 2 5" xfId="14326" xr:uid="{00000000-0005-0000-0000-0000AA790000}"/>
    <cellStyle name="Total 3 2 4 2 6" xfId="15565" xr:uid="{00000000-0005-0000-0000-0000AB790000}"/>
    <cellStyle name="Total 3 2 4 3" xfId="2797" xr:uid="{00000000-0005-0000-0000-0000AC790000}"/>
    <cellStyle name="Total 3 2 4 3 2" xfId="7106" xr:uid="{00000000-0005-0000-0000-0000AD790000}"/>
    <cellStyle name="Total 3 2 4 3 2 2" xfId="11240" xr:uid="{00000000-0005-0000-0000-0000AE790000}"/>
    <cellStyle name="Total 3 2 4 3 2 3" xfId="17528" xr:uid="{00000000-0005-0000-0000-0000AF790000}"/>
    <cellStyle name="Total 3 2 4 3 2 4" xfId="20624" xr:uid="{00000000-0005-0000-0000-0000B0790000}"/>
    <cellStyle name="Total 3 2 4 3 3" xfId="5397" xr:uid="{00000000-0005-0000-0000-0000B1790000}"/>
    <cellStyle name="Total 3 2 4 3 3 2" xfId="16238" xr:uid="{00000000-0005-0000-0000-0000B2790000}"/>
    <cellStyle name="Total 3 2 4 3 3 3" xfId="18915" xr:uid="{00000000-0005-0000-0000-0000B3790000}"/>
    <cellStyle name="Total 3 2 4 3 4" xfId="8952" xr:uid="{00000000-0005-0000-0000-0000B4790000}"/>
    <cellStyle name="Total 3 2 4 3 5" xfId="14343" xr:uid="{00000000-0005-0000-0000-0000B5790000}"/>
    <cellStyle name="Total 3 2 4 3 6" xfId="17966" xr:uid="{00000000-0005-0000-0000-0000B6790000}"/>
    <cellStyle name="Total 3 2 4 4" xfId="2814" xr:uid="{00000000-0005-0000-0000-0000B7790000}"/>
    <cellStyle name="Total 3 2 4 4 2" xfId="8205" xr:uid="{00000000-0005-0000-0000-0000B8790000}"/>
    <cellStyle name="Total 3 2 4 4 2 2" xfId="12173" xr:uid="{00000000-0005-0000-0000-0000B9790000}"/>
    <cellStyle name="Total 3 2 4 4 2 3" xfId="18395" xr:uid="{00000000-0005-0000-0000-0000BA790000}"/>
    <cellStyle name="Total 3 2 4 4 2 4" xfId="21723" xr:uid="{00000000-0005-0000-0000-0000BB790000}"/>
    <cellStyle name="Total 3 2 4 4 3" xfId="6497" xr:uid="{00000000-0005-0000-0000-0000BC790000}"/>
    <cellStyle name="Total 3 2 4 4 3 2" xfId="17104" xr:uid="{00000000-0005-0000-0000-0000BD790000}"/>
    <cellStyle name="Total 3 2 4 4 3 3" xfId="20015" xr:uid="{00000000-0005-0000-0000-0000BE790000}"/>
    <cellStyle name="Total 3 2 4 4 4" xfId="8969" xr:uid="{00000000-0005-0000-0000-0000BF790000}"/>
    <cellStyle name="Total 3 2 4 4 5" xfId="14357" xr:uid="{00000000-0005-0000-0000-0000C0790000}"/>
    <cellStyle name="Total 3 2 4 4 6" xfId="16074" xr:uid="{00000000-0005-0000-0000-0000C1790000}"/>
    <cellStyle name="Total 3 2 4 5" xfId="2787" xr:uid="{00000000-0005-0000-0000-0000C2790000}"/>
    <cellStyle name="Total 3 2 4 5 2" xfId="8437" xr:uid="{00000000-0005-0000-0000-0000C3790000}"/>
    <cellStyle name="Total 3 2 4 5 2 2" xfId="12405" xr:uid="{00000000-0005-0000-0000-0000C4790000}"/>
    <cellStyle name="Total 3 2 4 5 2 3" xfId="18566" xr:uid="{00000000-0005-0000-0000-0000C5790000}"/>
    <cellStyle name="Total 3 2 4 5 2 4" xfId="21955" xr:uid="{00000000-0005-0000-0000-0000C6790000}"/>
    <cellStyle name="Total 3 2 4 5 3" xfId="6729" xr:uid="{00000000-0005-0000-0000-0000C7790000}"/>
    <cellStyle name="Total 3 2 4 5 3 2" xfId="17275" xr:uid="{00000000-0005-0000-0000-0000C8790000}"/>
    <cellStyle name="Total 3 2 4 5 3 3" xfId="20247" xr:uid="{00000000-0005-0000-0000-0000C9790000}"/>
    <cellStyle name="Total 3 2 4 5 4" xfId="8942" xr:uid="{00000000-0005-0000-0000-0000CA790000}"/>
    <cellStyle name="Total 3 2 4 5 5" xfId="14334" xr:uid="{00000000-0005-0000-0000-0000CB790000}"/>
    <cellStyle name="Total 3 2 4 5 6" xfId="14460" xr:uid="{00000000-0005-0000-0000-0000CC790000}"/>
    <cellStyle name="Total 3 2 4 6" xfId="6961" xr:uid="{00000000-0005-0000-0000-0000CD790000}"/>
    <cellStyle name="Total 3 2 4 6 2" xfId="8669" xr:uid="{00000000-0005-0000-0000-0000CE790000}"/>
    <cellStyle name="Total 3 2 4 6 2 2" xfId="12637" xr:uid="{00000000-0005-0000-0000-0000CF790000}"/>
    <cellStyle name="Total 3 2 4 6 2 3" xfId="18737" xr:uid="{00000000-0005-0000-0000-0000D0790000}"/>
    <cellStyle name="Total 3 2 4 6 2 4" xfId="22187" xr:uid="{00000000-0005-0000-0000-0000D1790000}"/>
    <cellStyle name="Total 3 2 4 6 3" xfId="11095" xr:uid="{00000000-0005-0000-0000-0000D2790000}"/>
    <cellStyle name="Total 3 2 4 6 4" xfId="17445" xr:uid="{00000000-0005-0000-0000-0000D3790000}"/>
    <cellStyle name="Total 3 2 4 6 5" xfId="20479" xr:uid="{00000000-0005-0000-0000-0000D4790000}"/>
    <cellStyle name="Total 3 2 4 7" xfId="5949" xr:uid="{00000000-0005-0000-0000-0000D5790000}"/>
    <cellStyle name="Total 3 2 4 7 2" xfId="10690" xr:uid="{00000000-0005-0000-0000-0000D6790000}"/>
    <cellStyle name="Total 3 2 4 7 3" xfId="16683" xr:uid="{00000000-0005-0000-0000-0000D7790000}"/>
    <cellStyle name="Total 3 2 4 7 4" xfId="19467" xr:uid="{00000000-0005-0000-0000-0000D8790000}"/>
    <cellStyle name="Total 3 2 4 8" xfId="7657" xr:uid="{00000000-0005-0000-0000-0000D9790000}"/>
    <cellStyle name="Total 3 2 4 8 2" xfId="11678" xr:uid="{00000000-0005-0000-0000-0000DA790000}"/>
    <cellStyle name="Total 3 2 4 8 3" xfId="17975" xr:uid="{00000000-0005-0000-0000-0000DB790000}"/>
    <cellStyle name="Total 3 2 4 8 4" xfId="21175" xr:uid="{00000000-0005-0000-0000-0000DC790000}"/>
    <cellStyle name="Total 3 2 4 9" xfId="5050" xr:uid="{00000000-0005-0000-0000-0000DD790000}"/>
    <cellStyle name="Total 3 2 4 9 2" xfId="16002" xr:uid="{00000000-0005-0000-0000-0000DE790000}"/>
    <cellStyle name="Total 3 2 4 9 3" xfId="12971" xr:uid="{00000000-0005-0000-0000-0000DF790000}"/>
    <cellStyle name="Total 3 2 5" xfId="3110" xr:uid="{00000000-0005-0000-0000-0000E0790000}"/>
    <cellStyle name="Total 3 2 5 2" xfId="3497" xr:uid="{00000000-0005-0000-0000-0000E1790000}"/>
    <cellStyle name="Total 3 2 5 2 2" xfId="7415" xr:uid="{00000000-0005-0000-0000-0000E2790000}"/>
    <cellStyle name="Total 3 2 5 2 2 2" xfId="17786" xr:uid="{00000000-0005-0000-0000-0000E3790000}"/>
    <cellStyle name="Total 3 2 5 2 2 3" xfId="20933" xr:uid="{00000000-0005-0000-0000-0000E4790000}"/>
    <cellStyle name="Total 3 2 5 2 3" xfId="9590" xr:uid="{00000000-0005-0000-0000-0000E5790000}"/>
    <cellStyle name="Total 3 2 5 2 4" xfId="14850" xr:uid="{00000000-0005-0000-0000-0000E6790000}"/>
    <cellStyle name="Total 3 2 5 2 5" xfId="18587" xr:uid="{00000000-0005-0000-0000-0000E7790000}"/>
    <cellStyle name="Total 3 2 5 3" xfId="3880" xr:uid="{00000000-0005-0000-0000-0000E8790000}"/>
    <cellStyle name="Total 3 2 5 3 2" xfId="15126" xr:uid="{00000000-0005-0000-0000-0000E9790000}"/>
    <cellStyle name="Total 3 2 5 3 3" xfId="14140" xr:uid="{00000000-0005-0000-0000-0000EA790000}"/>
    <cellStyle name="Total 3 2 5 4" xfId="4263" xr:uid="{00000000-0005-0000-0000-0000EB790000}"/>
    <cellStyle name="Total 3 2 5 4 2" xfId="15401" xr:uid="{00000000-0005-0000-0000-0000EC790000}"/>
    <cellStyle name="Total 3 2 5 4 3" xfId="13742" xr:uid="{00000000-0005-0000-0000-0000ED790000}"/>
    <cellStyle name="Total 3 2 5 5" xfId="4645" xr:uid="{00000000-0005-0000-0000-0000EE790000}"/>
    <cellStyle name="Total 3 2 5 5 2" xfId="15675" xr:uid="{00000000-0005-0000-0000-0000EF790000}"/>
    <cellStyle name="Total 3 2 5 5 3" xfId="13360" xr:uid="{00000000-0005-0000-0000-0000F0790000}"/>
    <cellStyle name="Total 3 2 5 6" xfId="5706" xr:uid="{00000000-0005-0000-0000-0000F1790000}"/>
    <cellStyle name="Total 3 2 5 6 2" xfId="16495" xr:uid="{00000000-0005-0000-0000-0000F2790000}"/>
    <cellStyle name="Total 3 2 5 6 3" xfId="19224" xr:uid="{00000000-0005-0000-0000-0000F3790000}"/>
    <cellStyle name="Total 3 2 5 7" xfId="9241" xr:uid="{00000000-0005-0000-0000-0000F4790000}"/>
    <cellStyle name="Total 3 2 5 8" xfId="14570" xr:uid="{00000000-0005-0000-0000-0000F5790000}"/>
    <cellStyle name="Total 3 2 5 9" xfId="16783" xr:uid="{00000000-0005-0000-0000-0000F6790000}"/>
    <cellStyle name="Total 3 2 6" xfId="3003" xr:uid="{00000000-0005-0000-0000-0000F7790000}"/>
    <cellStyle name="Total 3 2 6 2" xfId="3390" xr:uid="{00000000-0005-0000-0000-0000F8790000}"/>
    <cellStyle name="Total 3 2 6 2 2" xfId="7900" xr:uid="{00000000-0005-0000-0000-0000F9790000}"/>
    <cellStyle name="Total 3 2 6 2 2 2" xfId="18154" xr:uid="{00000000-0005-0000-0000-0000FA790000}"/>
    <cellStyle name="Total 3 2 6 2 2 3" xfId="21418" xr:uid="{00000000-0005-0000-0000-0000FB790000}"/>
    <cellStyle name="Total 3 2 6 2 3" xfId="9514" xr:uid="{00000000-0005-0000-0000-0000FC790000}"/>
    <cellStyle name="Total 3 2 6 2 4" xfId="14767" xr:uid="{00000000-0005-0000-0000-0000FD790000}"/>
    <cellStyle name="Total 3 2 6 2 5" xfId="18524" xr:uid="{00000000-0005-0000-0000-0000FE790000}"/>
    <cellStyle name="Total 3 2 6 3" xfId="3773" xr:uid="{00000000-0005-0000-0000-0000FF790000}"/>
    <cellStyle name="Total 3 2 6 3 2" xfId="15043" xr:uid="{00000000-0005-0000-0000-0000007A0000}"/>
    <cellStyle name="Total 3 2 6 3 3" xfId="14447" xr:uid="{00000000-0005-0000-0000-0000017A0000}"/>
    <cellStyle name="Total 3 2 6 4" xfId="4156" xr:uid="{00000000-0005-0000-0000-0000027A0000}"/>
    <cellStyle name="Total 3 2 6 4 2" xfId="15318" xr:uid="{00000000-0005-0000-0000-0000037A0000}"/>
    <cellStyle name="Total 3 2 6 4 3" xfId="14250" xr:uid="{00000000-0005-0000-0000-0000047A0000}"/>
    <cellStyle name="Total 3 2 6 5" xfId="4538" xr:uid="{00000000-0005-0000-0000-0000057A0000}"/>
    <cellStyle name="Total 3 2 6 5 2" xfId="15592" xr:uid="{00000000-0005-0000-0000-0000067A0000}"/>
    <cellStyle name="Total 3 2 6 5 3" xfId="13467" xr:uid="{00000000-0005-0000-0000-0000077A0000}"/>
    <cellStyle name="Total 3 2 6 6" xfId="6192" xr:uid="{00000000-0005-0000-0000-0000087A0000}"/>
    <cellStyle name="Total 3 2 6 6 2" xfId="16862" xr:uid="{00000000-0005-0000-0000-0000097A0000}"/>
    <cellStyle name="Total 3 2 6 6 3" xfId="19710" xr:uid="{00000000-0005-0000-0000-00000A7A0000}"/>
    <cellStyle name="Total 3 2 6 7" xfId="9150" xr:uid="{00000000-0005-0000-0000-00000B7A0000}"/>
    <cellStyle name="Total 3 2 6 8" xfId="14487" xr:uid="{00000000-0005-0000-0000-00000C7A0000}"/>
    <cellStyle name="Total 3 2 6 9" xfId="16592" xr:uid="{00000000-0005-0000-0000-00000D7A0000}"/>
    <cellStyle name="Total 3 2 7" xfId="5434" xr:uid="{00000000-0005-0000-0000-00000E7A0000}"/>
    <cellStyle name="Total 3 2 7 2" xfId="7143" xr:uid="{00000000-0005-0000-0000-00000F7A0000}"/>
    <cellStyle name="Total 3 2 7 2 2" xfId="11276" xr:uid="{00000000-0005-0000-0000-0000107A0000}"/>
    <cellStyle name="Total 3 2 7 2 3" xfId="17558" xr:uid="{00000000-0005-0000-0000-0000117A0000}"/>
    <cellStyle name="Total 3 2 7 2 4" xfId="20661" xr:uid="{00000000-0005-0000-0000-0000127A0000}"/>
    <cellStyle name="Total 3 2 7 3" xfId="10450" xr:uid="{00000000-0005-0000-0000-0000137A0000}"/>
    <cellStyle name="Total 3 2 7 4" xfId="16268" xr:uid="{00000000-0005-0000-0000-0000147A0000}"/>
    <cellStyle name="Total 3 2 7 5" xfId="18952" xr:uid="{00000000-0005-0000-0000-0000157A0000}"/>
    <cellStyle name="Total 3 2 8" xfId="5713" xr:uid="{00000000-0005-0000-0000-0000167A0000}"/>
    <cellStyle name="Total 3 2 8 2" xfId="7422" xr:uid="{00000000-0005-0000-0000-0000177A0000}"/>
    <cellStyle name="Total 3 2 8 2 2" xfId="11485" xr:uid="{00000000-0005-0000-0000-0000187A0000}"/>
    <cellStyle name="Total 3 2 8 2 3" xfId="17792" xr:uid="{00000000-0005-0000-0000-0000197A0000}"/>
    <cellStyle name="Total 3 2 8 2 4" xfId="20940" xr:uid="{00000000-0005-0000-0000-00001A7A0000}"/>
    <cellStyle name="Total 3 2 8 3" xfId="10510" xr:uid="{00000000-0005-0000-0000-00001B7A0000}"/>
    <cellStyle name="Total 3 2 8 4" xfId="16501" xr:uid="{00000000-0005-0000-0000-00001C7A0000}"/>
    <cellStyle name="Total 3 2 8 5" xfId="19231" xr:uid="{00000000-0005-0000-0000-00001D7A0000}"/>
    <cellStyle name="Total 3 2 9" xfId="5494" xr:uid="{00000000-0005-0000-0000-00001E7A0000}"/>
    <cellStyle name="Total 3 2 9 2" xfId="7203" xr:uid="{00000000-0005-0000-0000-00001F7A0000}"/>
    <cellStyle name="Total 3 2 9 2 2" xfId="11329" xr:uid="{00000000-0005-0000-0000-0000207A0000}"/>
    <cellStyle name="Total 3 2 9 2 3" xfId="17609" xr:uid="{00000000-0005-0000-0000-0000217A0000}"/>
    <cellStyle name="Total 3 2 9 2 4" xfId="20721" xr:uid="{00000000-0005-0000-0000-0000227A0000}"/>
    <cellStyle name="Total 3 2 9 3" xfId="10477" xr:uid="{00000000-0005-0000-0000-0000237A0000}"/>
    <cellStyle name="Total 3 2 9 4" xfId="16318" xr:uid="{00000000-0005-0000-0000-0000247A0000}"/>
    <cellStyle name="Total 3 2 9 5" xfId="19012" xr:uid="{00000000-0005-0000-0000-0000257A0000}"/>
    <cellStyle name="Total 3 3" xfId="2693" xr:uid="{00000000-0005-0000-0000-0000267A0000}"/>
    <cellStyle name="Total 3 3 10" xfId="5740" xr:uid="{00000000-0005-0000-0000-0000277A0000}"/>
    <cellStyle name="Total 3 3 10 2" xfId="10522" xr:uid="{00000000-0005-0000-0000-0000287A0000}"/>
    <cellStyle name="Total 3 3 10 3" xfId="16521" xr:uid="{00000000-0005-0000-0000-0000297A0000}"/>
    <cellStyle name="Total 3 3 10 4" xfId="19258" xr:uid="{00000000-0005-0000-0000-00002A7A0000}"/>
    <cellStyle name="Total 3 3 11" xfId="7449" xr:uid="{00000000-0005-0000-0000-00002B7A0000}"/>
    <cellStyle name="Total 3 3 11 2" xfId="11509" xr:uid="{00000000-0005-0000-0000-00002C7A0000}"/>
    <cellStyle name="Total 3 3 11 3" xfId="17812" xr:uid="{00000000-0005-0000-0000-00002D7A0000}"/>
    <cellStyle name="Total 3 3 11 4" xfId="20967" xr:uid="{00000000-0005-0000-0000-00002E7A0000}"/>
    <cellStyle name="Total 3 3 12" xfId="4872" xr:uid="{00000000-0005-0000-0000-00002F7A0000}"/>
    <cellStyle name="Total 3 3 12 2" xfId="15847" xr:uid="{00000000-0005-0000-0000-0000307A0000}"/>
    <cellStyle name="Total 3 3 12 3" xfId="13134" xr:uid="{00000000-0005-0000-0000-0000317A0000}"/>
    <cellStyle name="Total 3 3 13" xfId="8848" xr:uid="{00000000-0005-0000-0000-0000327A0000}"/>
    <cellStyle name="Total 3 3 14" xfId="14264" xr:uid="{00000000-0005-0000-0000-0000337A0000}"/>
    <cellStyle name="Total 3 3 15" xfId="15572" xr:uid="{00000000-0005-0000-0000-0000347A0000}"/>
    <cellStyle name="Total 3 3 2" xfId="2750" xr:uid="{00000000-0005-0000-0000-0000357A0000}"/>
    <cellStyle name="Total 3 3 2 10" xfId="4936" xr:uid="{00000000-0005-0000-0000-0000367A0000}"/>
    <cellStyle name="Total 3 3 2 10 2" xfId="15906" xr:uid="{00000000-0005-0000-0000-0000377A0000}"/>
    <cellStyle name="Total 3 3 2 10 3" xfId="13083" xr:uid="{00000000-0005-0000-0000-0000387A0000}"/>
    <cellStyle name="Total 3 3 2 11" xfId="8905" xr:uid="{00000000-0005-0000-0000-0000397A0000}"/>
    <cellStyle name="Total 3 3 2 12" xfId="14307" xr:uid="{00000000-0005-0000-0000-00003A7A0000}"/>
    <cellStyle name="Total 3 3 2 2" xfId="3240" xr:uid="{00000000-0005-0000-0000-00003B7A0000}"/>
    <cellStyle name="Total 3 3 2 2 10" xfId="9370" xr:uid="{00000000-0005-0000-0000-00003C7A0000}"/>
    <cellStyle name="Total 3 3 2 2 11" xfId="14672" xr:uid="{00000000-0005-0000-0000-00003D7A0000}"/>
    <cellStyle name="Total 3 3 2 2 12" xfId="15471" xr:uid="{00000000-0005-0000-0000-00003E7A0000}"/>
    <cellStyle name="Total 3 3 2 2 2" xfId="3627" xr:uid="{00000000-0005-0000-0000-00003F7A0000}"/>
    <cellStyle name="Total 3 3 2 2 2 2" xfId="7988" xr:uid="{00000000-0005-0000-0000-0000407A0000}"/>
    <cellStyle name="Total 3 3 2 2 2 2 2" xfId="11964" xr:uid="{00000000-0005-0000-0000-0000417A0000}"/>
    <cellStyle name="Total 3 3 2 2 2 2 3" xfId="18211" xr:uid="{00000000-0005-0000-0000-0000427A0000}"/>
    <cellStyle name="Total 3 3 2 2 2 2 4" xfId="21506" xr:uid="{00000000-0005-0000-0000-0000437A0000}"/>
    <cellStyle name="Total 3 3 2 2 2 3" xfId="6280" xr:uid="{00000000-0005-0000-0000-0000447A0000}"/>
    <cellStyle name="Total 3 3 2 2 2 3 2" xfId="16920" xr:uid="{00000000-0005-0000-0000-0000457A0000}"/>
    <cellStyle name="Total 3 3 2 2 2 3 3" xfId="19798" xr:uid="{00000000-0005-0000-0000-0000467A0000}"/>
    <cellStyle name="Total 3 3 2 2 2 4" xfId="9719" xr:uid="{00000000-0005-0000-0000-0000477A0000}"/>
    <cellStyle name="Total 3 3 2 2 2 5" xfId="14952" xr:uid="{00000000-0005-0000-0000-0000487A0000}"/>
    <cellStyle name="Total 3 3 2 2 2 6" xfId="16699" xr:uid="{00000000-0005-0000-0000-0000497A0000}"/>
    <cellStyle name="Total 3 3 2 2 3" xfId="4010" xr:uid="{00000000-0005-0000-0000-00004A7A0000}"/>
    <cellStyle name="Total 3 3 2 2 3 2" xfId="7326" xr:uid="{00000000-0005-0000-0000-00004B7A0000}"/>
    <cellStyle name="Total 3 3 2 2 3 2 2" xfId="11416" xr:uid="{00000000-0005-0000-0000-00004C7A0000}"/>
    <cellStyle name="Total 3 3 2 2 3 2 3" xfId="17716" xr:uid="{00000000-0005-0000-0000-00004D7A0000}"/>
    <cellStyle name="Total 3 3 2 2 3 2 4" xfId="20844" xr:uid="{00000000-0005-0000-0000-00004E7A0000}"/>
    <cellStyle name="Total 3 3 2 2 3 3" xfId="5617" xr:uid="{00000000-0005-0000-0000-00004F7A0000}"/>
    <cellStyle name="Total 3 3 2 2 3 3 2" xfId="16425" xr:uid="{00000000-0005-0000-0000-0000507A0000}"/>
    <cellStyle name="Total 3 3 2 2 3 3 3" xfId="19135" xr:uid="{00000000-0005-0000-0000-0000517A0000}"/>
    <cellStyle name="Total 3 3 2 2 3 4" xfId="9929" xr:uid="{00000000-0005-0000-0000-0000527A0000}"/>
    <cellStyle name="Total 3 3 2 2 3 5" xfId="15227" xr:uid="{00000000-0005-0000-0000-0000537A0000}"/>
    <cellStyle name="Total 3 3 2 2 3 6" xfId="13981" xr:uid="{00000000-0005-0000-0000-0000547A0000}"/>
    <cellStyle name="Total 3 3 2 2 4" xfId="4393" xr:uid="{00000000-0005-0000-0000-0000557A0000}"/>
    <cellStyle name="Total 3 3 2 2 4 2" xfId="8295" xr:uid="{00000000-0005-0000-0000-0000567A0000}"/>
    <cellStyle name="Total 3 3 2 2 4 2 2" xfId="12263" xr:uid="{00000000-0005-0000-0000-0000577A0000}"/>
    <cellStyle name="Total 3 3 2 2 4 2 3" xfId="18445" xr:uid="{00000000-0005-0000-0000-0000587A0000}"/>
    <cellStyle name="Total 3 3 2 2 4 2 4" xfId="21813" xr:uid="{00000000-0005-0000-0000-0000597A0000}"/>
    <cellStyle name="Total 3 3 2 2 4 3" xfId="6587" xr:uid="{00000000-0005-0000-0000-00005A7A0000}"/>
    <cellStyle name="Total 3 3 2 2 4 3 2" xfId="17154" xr:uid="{00000000-0005-0000-0000-00005B7A0000}"/>
    <cellStyle name="Total 3 3 2 2 4 3 3" xfId="20105" xr:uid="{00000000-0005-0000-0000-00005C7A0000}"/>
    <cellStyle name="Total 3 3 2 2 4 4" xfId="10107" xr:uid="{00000000-0005-0000-0000-00005D7A0000}"/>
    <cellStyle name="Total 3 3 2 2 4 5" xfId="15503" xr:uid="{00000000-0005-0000-0000-00005E7A0000}"/>
    <cellStyle name="Total 3 3 2 2 4 6" xfId="13612" xr:uid="{00000000-0005-0000-0000-00005F7A0000}"/>
    <cellStyle name="Total 3 3 2 2 5" xfId="4775" xr:uid="{00000000-0005-0000-0000-0000607A0000}"/>
    <cellStyle name="Total 3 3 2 2 5 2" xfId="8527" xr:uid="{00000000-0005-0000-0000-0000617A0000}"/>
    <cellStyle name="Total 3 3 2 2 5 2 2" xfId="12495" xr:uid="{00000000-0005-0000-0000-0000627A0000}"/>
    <cellStyle name="Total 3 3 2 2 5 2 3" xfId="18616" xr:uid="{00000000-0005-0000-0000-0000637A0000}"/>
    <cellStyle name="Total 3 3 2 2 5 2 4" xfId="22045" xr:uid="{00000000-0005-0000-0000-0000647A0000}"/>
    <cellStyle name="Total 3 3 2 2 5 3" xfId="6819" xr:uid="{00000000-0005-0000-0000-0000657A0000}"/>
    <cellStyle name="Total 3 3 2 2 5 3 2" xfId="17324" xr:uid="{00000000-0005-0000-0000-0000667A0000}"/>
    <cellStyle name="Total 3 3 2 2 5 3 3" xfId="20337" xr:uid="{00000000-0005-0000-0000-0000677A0000}"/>
    <cellStyle name="Total 3 3 2 2 5 4" xfId="10284" xr:uid="{00000000-0005-0000-0000-0000687A0000}"/>
    <cellStyle name="Total 3 3 2 2 5 5" xfId="15775" xr:uid="{00000000-0005-0000-0000-0000697A0000}"/>
    <cellStyle name="Total 3 3 2 2 5 6" xfId="13230" xr:uid="{00000000-0005-0000-0000-00006A7A0000}"/>
    <cellStyle name="Total 3 3 2 2 6" xfId="7051" xr:uid="{00000000-0005-0000-0000-00006B7A0000}"/>
    <cellStyle name="Total 3 3 2 2 6 2" xfId="8759" xr:uid="{00000000-0005-0000-0000-00006C7A0000}"/>
    <cellStyle name="Total 3 3 2 2 6 2 2" xfId="12727" xr:uid="{00000000-0005-0000-0000-00006D7A0000}"/>
    <cellStyle name="Total 3 3 2 2 6 2 3" xfId="18788" xr:uid="{00000000-0005-0000-0000-00006E7A0000}"/>
    <cellStyle name="Total 3 3 2 2 6 2 4" xfId="22277" xr:uid="{00000000-0005-0000-0000-00006F7A0000}"/>
    <cellStyle name="Total 3 3 2 2 6 3" xfId="11185" xr:uid="{00000000-0005-0000-0000-0000707A0000}"/>
    <cellStyle name="Total 3 3 2 2 6 4" xfId="17495" xr:uid="{00000000-0005-0000-0000-0000717A0000}"/>
    <cellStyle name="Total 3 3 2 2 6 5" xfId="20569" xr:uid="{00000000-0005-0000-0000-0000727A0000}"/>
    <cellStyle name="Total 3 3 2 2 7" xfId="6039" xr:uid="{00000000-0005-0000-0000-0000737A0000}"/>
    <cellStyle name="Total 3 3 2 2 7 2" xfId="10780" xr:uid="{00000000-0005-0000-0000-0000747A0000}"/>
    <cellStyle name="Total 3 3 2 2 7 3" xfId="16734" xr:uid="{00000000-0005-0000-0000-0000757A0000}"/>
    <cellStyle name="Total 3 3 2 2 7 4" xfId="19557" xr:uid="{00000000-0005-0000-0000-0000767A0000}"/>
    <cellStyle name="Total 3 3 2 2 8" xfId="7747" xr:uid="{00000000-0005-0000-0000-0000777A0000}"/>
    <cellStyle name="Total 3 3 2 2 8 2" xfId="11768" xr:uid="{00000000-0005-0000-0000-0000787A0000}"/>
    <cellStyle name="Total 3 3 2 2 8 3" xfId="18026" xr:uid="{00000000-0005-0000-0000-0000797A0000}"/>
    <cellStyle name="Total 3 3 2 2 8 4" xfId="21265" xr:uid="{00000000-0005-0000-0000-00007A7A0000}"/>
    <cellStyle name="Total 3 3 2 2 9" xfId="5233" xr:uid="{00000000-0005-0000-0000-00007B7A0000}"/>
    <cellStyle name="Total 3 3 2 2 9 2" xfId="16122" xr:uid="{00000000-0005-0000-0000-00007C7A0000}"/>
    <cellStyle name="Total 3 3 2 2 9 3" xfId="12861" xr:uid="{00000000-0005-0000-0000-00007D7A0000}"/>
    <cellStyle name="Total 3 3 2 3" xfId="3297" xr:uid="{00000000-0005-0000-0000-00007E7A0000}"/>
    <cellStyle name="Total 3 3 2 3 2" xfId="3684" xr:uid="{00000000-0005-0000-0000-00007F7A0000}"/>
    <cellStyle name="Total 3 3 2 3 2 2" xfId="7309" xr:uid="{00000000-0005-0000-0000-0000807A0000}"/>
    <cellStyle name="Total 3 3 2 3 2 2 2" xfId="17702" xr:uid="{00000000-0005-0000-0000-0000817A0000}"/>
    <cellStyle name="Total 3 3 2 3 2 2 3" xfId="20827" xr:uid="{00000000-0005-0000-0000-0000827A0000}"/>
    <cellStyle name="Total 3 3 2 3 2 3" xfId="9761" xr:uid="{00000000-0005-0000-0000-0000837A0000}"/>
    <cellStyle name="Total 3 3 2 3 2 4" xfId="14994" xr:uid="{00000000-0005-0000-0000-0000847A0000}"/>
    <cellStyle name="Total 3 3 2 3 2 5" xfId="15019" xr:uid="{00000000-0005-0000-0000-0000857A0000}"/>
    <cellStyle name="Total 3 3 2 3 3" xfId="4067" xr:uid="{00000000-0005-0000-0000-0000867A0000}"/>
    <cellStyle name="Total 3 3 2 3 3 2" xfId="15269" xr:uid="{00000000-0005-0000-0000-0000877A0000}"/>
    <cellStyle name="Total 3 3 2 3 3 3" xfId="13924" xr:uid="{00000000-0005-0000-0000-0000887A0000}"/>
    <cellStyle name="Total 3 3 2 3 4" xfId="4450" xr:uid="{00000000-0005-0000-0000-0000897A0000}"/>
    <cellStyle name="Total 3 3 2 3 4 2" xfId="15544" xr:uid="{00000000-0005-0000-0000-00008A7A0000}"/>
    <cellStyle name="Total 3 3 2 3 4 3" xfId="13555" xr:uid="{00000000-0005-0000-0000-00008B7A0000}"/>
    <cellStyle name="Total 3 3 2 3 5" xfId="4832" xr:uid="{00000000-0005-0000-0000-00008C7A0000}"/>
    <cellStyle name="Total 3 3 2 3 5 2" xfId="15816" xr:uid="{00000000-0005-0000-0000-00008D7A0000}"/>
    <cellStyle name="Total 3 3 2 3 5 3" xfId="13174" xr:uid="{00000000-0005-0000-0000-00008E7A0000}"/>
    <cellStyle name="Total 3 3 2 3 6" xfId="5600" xr:uid="{00000000-0005-0000-0000-00008F7A0000}"/>
    <cellStyle name="Total 3 3 2 3 6 2" xfId="16411" xr:uid="{00000000-0005-0000-0000-0000907A0000}"/>
    <cellStyle name="Total 3 3 2 3 6 3" xfId="19118" xr:uid="{00000000-0005-0000-0000-0000917A0000}"/>
    <cellStyle name="Total 3 3 2 3 7" xfId="9427" xr:uid="{00000000-0005-0000-0000-0000927A0000}"/>
    <cellStyle name="Total 3 3 2 3 8" xfId="14714" xr:uid="{00000000-0005-0000-0000-0000937A0000}"/>
    <cellStyle name="Total 3 3 2 3 9" xfId="17108" xr:uid="{00000000-0005-0000-0000-0000947A0000}"/>
    <cellStyle name="Total 3 3 2 4" xfId="2915" xr:uid="{00000000-0005-0000-0000-0000957A0000}"/>
    <cellStyle name="Total 3 3 2 4 2" xfId="5067" xr:uid="{00000000-0005-0000-0000-0000967A0000}"/>
    <cellStyle name="Total 3 3 2 4 2 2" xfId="10319" xr:uid="{00000000-0005-0000-0000-0000977A0000}"/>
    <cellStyle name="Total 3 3 2 4 2 3" xfId="16010" xr:uid="{00000000-0005-0000-0000-0000987A0000}"/>
    <cellStyle name="Total 3 3 2 4 2 4" xfId="12810" xr:uid="{00000000-0005-0000-0000-0000997A0000}"/>
    <cellStyle name="Total 3 3 2 4 3" xfId="5348" xr:uid="{00000000-0005-0000-0000-00009A7A0000}"/>
    <cellStyle name="Total 3 3 2 4 3 2" xfId="16213" xr:uid="{00000000-0005-0000-0000-00009B7A0000}"/>
    <cellStyle name="Total 3 3 2 4 3 3" xfId="18866" xr:uid="{00000000-0005-0000-0000-00009C7A0000}"/>
    <cellStyle name="Total 3 3 2 4 4" xfId="9067" xr:uid="{00000000-0005-0000-0000-00009D7A0000}"/>
    <cellStyle name="Total 3 3 2 4 5" xfId="14439" xr:uid="{00000000-0005-0000-0000-00009E7A0000}"/>
    <cellStyle name="Total 3 3 2 4 6" xfId="15347" xr:uid="{00000000-0005-0000-0000-00009F7A0000}"/>
    <cellStyle name="Total 3 3 2 5" xfId="6394" xr:uid="{00000000-0005-0000-0000-0000A07A0000}"/>
    <cellStyle name="Total 3 3 2 5 2" xfId="8102" xr:uid="{00000000-0005-0000-0000-0000A17A0000}"/>
    <cellStyle name="Total 3 3 2 5 2 2" xfId="12070" xr:uid="{00000000-0005-0000-0000-0000A27A0000}"/>
    <cellStyle name="Total 3 3 2 5 2 3" xfId="18308" xr:uid="{00000000-0005-0000-0000-0000A37A0000}"/>
    <cellStyle name="Total 3 3 2 5 2 4" xfId="21620" xr:uid="{00000000-0005-0000-0000-0000A47A0000}"/>
    <cellStyle name="Total 3 3 2 5 3" xfId="10912" xr:uid="{00000000-0005-0000-0000-0000A57A0000}"/>
    <cellStyle name="Total 3 3 2 5 4" xfId="17017" xr:uid="{00000000-0005-0000-0000-0000A67A0000}"/>
    <cellStyle name="Total 3 3 2 5 5" xfId="19912" xr:uid="{00000000-0005-0000-0000-0000A77A0000}"/>
    <cellStyle name="Total 3 3 2 6" xfId="6626" xr:uid="{00000000-0005-0000-0000-0000A87A0000}"/>
    <cellStyle name="Total 3 3 2 6 2" xfId="8334" xr:uid="{00000000-0005-0000-0000-0000A97A0000}"/>
    <cellStyle name="Total 3 3 2 6 2 2" xfId="12302" xr:uid="{00000000-0005-0000-0000-0000AA7A0000}"/>
    <cellStyle name="Total 3 3 2 6 2 3" xfId="18479" xr:uid="{00000000-0005-0000-0000-0000AB7A0000}"/>
    <cellStyle name="Total 3 3 2 6 2 4" xfId="21852" xr:uid="{00000000-0005-0000-0000-0000AC7A0000}"/>
    <cellStyle name="Total 3 3 2 6 3" xfId="10952" xr:uid="{00000000-0005-0000-0000-0000AD7A0000}"/>
    <cellStyle name="Total 3 3 2 6 4" xfId="17188" xr:uid="{00000000-0005-0000-0000-0000AE7A0000}"/>
    <cellStyle name="Total 3 3 2 6 5" xfId="20144" xr:uid="{00000000-0005-0000-0000-0000AF7A0000}"/>
    <cellStyle name="Total 3 3 2 7" xfId="6858" xr:uid="{00000000-0005-0000-0000-0000B07A0000}"/>
    <cellStyle name="Total 3 3 2 7 2" xfId="8566" xr:uid="{00000000-0005-0000-0000-0000B17A0000}"/>
    <cellStyle name="Total 3 3 2 7 2 2" xfId="12534" xr:uid="{00000000-0005-0000-0000-0000B27A0000}"/>
    <cellStyle name="Total 3 3 2 7 2 3" xfId="18650" xr:uid="{00000000-0005-0000-0000-0000B37A0000}"/>
    <cellStyle name="Total 3 3 2 7 2 4" xfId="22084" xr:uid="{00000000-0005-0000-0000-0000B47A0000}"/>
    <cellStyle name="Total 3 3 2 7 3" xfId="10992" xr:uid="{00000000-0005-0000-0000-0000B57A0000}"/>
    <cellStyle name="Total 3 3 2 7 4" xfId="17358" xr:uid="{00000000-0005-0000-0000-0000B67A0000}"/>
    <cellStyle name="Total 3 3 2 7 5" xfId="20376" xr:uid="{00000000-0005-0000-0000-0000B77A0000}"/>
    <cellStyle name="Total 3 3 2 8" xfId="5829" xr:uid="{00000000-0005-0000-0000-0000B87A0000}"/>
    <cellStyle name="Total 3 3 2 8 2" xfId="10587" xr:uid="{00000000-0005-0000-0000-0000B97A0000}"/>
    <cellStyle name="Total 3 3 2 8 3" xfId="16589" xr:uid="{00000000-0005-0000-0000-0000BA7A0000}"/>
    <cellStyle name="Total 3 3 2 8 4" xfId="19347" xr:uid="{00000000-0005-0000-0000-0000BB7A0000}"/>
    <cellStyle name="Total 3 3 2 9" xfId="7537" xr:uid="{00000000-0005-0000-0000-0000BC7A0000}"/>
    <cellStyle name="Total 3 3 2 9 2" xfId="11573" xr:uid="{00000000-0005-0000-0000-0000BD7A0000}"/>
    <cellStyle name="Total 3 3 2 9 3" xfId="17881" xr:uid="{00000000-0005-0000-0000-0000BE7A0000}"/>
    <cellStyle name="Total 3 3 2 9 4" xfId="21055" xr:uid="{00000000-0005-0000-0000-0000BF7A0000}"/>
    <cellStyle name="Total 3 3 3" xfId="2658" xr:uid="{00000000-0005-0000-0000-0000C07A0000}"/>
    <cellStyle name="Total 3 3 3 10" xfId="4913" xr:uid="{00000000-0005-0000-0000-0000C17A0000}"/>
    <cellStyle name="Total 3 3 3 10 2" xfId="15883" xr:uid="{00000000-0005-0000-0000-0000C27A0000}"/>
    <cellStyle name="Total 3 3 3 10 3" xfId="13106" xr:uid="{00000000-0005-0000-0000-0000C37A0000}"/>
    <cellStyle name="Total 3 3 3 11" xfId="8815" xr:uid="{00000000-0005-0000-0000-0000C47A0000}"/>
    <cellStyle name="Total 3 3 3 12" xfId="14235" xr:uid="{00000000-0005-0000-0000-0000C57A0000}"/>
    <cellStyle name="Total 3 3 3 2" xfId="3150" xr:uid="{00000000-0005-0000-0000-0000C67A0000}"/>
    <cellStyle name="Total 3 3 3 2 10" xfId="9280" xr:uid="{00000000-0005-0000-0000-0000C77A0000}"/>
    <cellStyle name="Total 3 3 3 2 11" xfId="14603" xr:uid="{00000000-0005-0000-0000-0000C87A0000}"/>
    <cellStyle name="Total 3 3 3 2 12" xfId="15767" xr:uid="{00000000-0005-0000-0000-0000C97A0000}"/>
    <cellStyle name="Total 3 3 3 2 2" xfId="3537" xr:uid="{00000000-0005-0000-0000-0000CA7A0000}"/>
    <cellStyle name="Total 3 3 3 2 2 2" xfId="7284" xr:uid="{00000000-0005-0000-0000-0000CB7A0000}"/>
    <cellStyle name="Total 3 3 3 2 2 2 2" xfId="11389" xr:uid="{00000000-0005-0000-0000-0000CC7A0000}"/>
    <cellStyle name="Total 3 3 3 2 2 2 3" xfId="17682" xr:uid="{00000000-0005-0000-0000-0000CD7A0000}"/>
    <cellStyle name="Total 3 3 3 2 2 2 4" xfId="20802" xr:uid="{00000000-0005-0000-0000-0000CE7A0000}"/>
    <cellStyle name="Total 3 3 3 2 2 3" xfId="5575" xr:uid="{00000000-0005-0000-0000-0000CF7A0000}"/>
    <cellStyle name="Total 3 3 3 2 2 3 2" xfId="16391" xr:uid="{00000000-0005-0000-0000-0000D07A0000}"/>
    <cellStyle name="Total 3 3 3 2 2 3 3" xfId="19093" xr:uid="{00000000-0005-0000-0000-0000D17A0000}"/>
    <cellStyle name="Total 3 3 3 2 2 4" xfId="9629" xr:uid="{00000000-0005-0000-0000-0000D27A0000}"/>
    <cellStyle name="Total 3 3 3 2 2 5" xfId="14883" xr:uid="{00000000-0005-0000-0000-0000D37A0000}"/>
    <cellStyle name="Total 3 3 3 2 2 6" xfId="16004" xr:uid="{00000000-0005-0000-0000-0000D47A0000}"/>
    <cellStyle name="Total 3 3 3 2 3" xfId="3920" xr:uid="{00000000-0005-0000-0000-0000D57A0000}"/>
    <cellStyle name="Total 3 3 3 2 3 2" xfId="7113" xr:uid="{00000000-0005-0000-0000-0000D67A0000}"/>
    <cellStyle name="Total 3 3 3 2 3 2 2" xfId="11247" xr:uid="{00000000-0005-0000-0000-0000D77A0000}"/>
    <cellStyle name="Total 3 3 3 2 3 2 3" xfId="17533" xr:uid="{00000000-0005-0000-0000-0000D87A0000}"/>
    <cellStyle name="Total 3 3 3 2 3 2 4" xfId="20631" xr:uid="{00000000-0005-0000-0000-0000D97A0000}"/>
    <cellStyle name="Total 3 3 3 2 3 3" xfId="5404" xr:uid="{00000000-0005-0000-0000-0000DA7A0000}"/>
    <cellStyle name="Total 3 3 3 2 3 3 2" xfId="16243" xr:uid="{00000000-0005-0000-0000-0000DB7A0000}"/>
    <cellStyle name="Total 3 3 3 2 3 3 3" xfId="18922" xr:uid="{00000000-0005-0000-0000-0000DC7A0000}"/>
    <cellStyle name="Total 3 3 3 2 3 4" xfId="9843" xr:uid="{00000000-0005-0000-0000-0000DD7A0000}"/>
    <cellStyle name="Total 3 3 3 2 3 5" xfId="15159" xr:uid="{00000000-0005-0000-0000-0000DE7A0000}"/>
    <cellStyle name="Total 3 3 3 2 3 6" xfId="14071" xr:uid="{00000000-0005-0000-0000-0000DF7A0000}"/>
    <cellStyle name="Total 3 3 3 2 4" xfId="4303" xr:uid="{00000000-0005-0000-0000-0000E07A0000}"/>
    <cellStyle name="Total 3 3 3 2 4 2" xfId="8190" xr:uid="{00000000-0005-0000-0000-0000E17A0000}"/>
    <cellStyle name="Total 3 3 3 2 4 2 2" xfId="12158" xr:uid="{00000000-0005-0000-0000-0000E27A0000}"/>
    <cellStyle name="Total 3 3 3 2 4 2 3" xfId="18383" xr:uid="{00000000-0005-0000-0000-0000E37A0000}"/>
    <cellStyle name="Total 3 3 3 2 4 2 4" xfId="21708" xr:uid="{00000000-0005-0000-0000-0000E47A0000}"/>
    <cellStyle name="Total 3 3 3 2 4 3" xfId="6482" xr:uid="{00000000-0005-0000-0000-0000E57A0000}"/>
    <cellStyle name="Total 3 3 3 2 4 3 2" xfId="17092" xr:uid="{00000000-0005-0000-0000-0000E67A0000}"/>
    <cellStyle name="Total 3 3 3 2 4 3 3" xfId="20000" xr:uid="{00000000-0005-0000-0000-0000E77A0000}"/>
    <cellStyle name="Total 3 3 3 2 4 4" xfId="10021" xr:uid="{00000000-0005-0000-0000-0000E87A0000}"/>
    <cellStyle name="Total 3 3 3 2 4 5" xfId="15434" xr:uid="{00000000-0005-0000-0000-0000E97A0000}"/>
    <cellStyle name="Total 3 3 3 2 4 6" xfId="13702" xr:uid="{00000000-0005-0000-0000-0000EA7A0000}"/>
    <cellStyle name="Total 3 3 3 2 5" xfId="4685" xr:uid="{00000000-0005-0000-0000-0000EB7A0000}"/>
    <cellStyle name="Total 3 3 3 2 5 2" xfId="8422" xr:uid="{00000000-0005-0000-0000-0000EC7A0000}"/>
    <cellStyle name="Total 3 3 3 2 5 2 2" xfId="12390" xr:uid="{00000000-0005-0000-0000-0000ED7A0000}"/>
    <cellStyle name="Total 3 3 3 2 5 2 3" xfId="18554" xr:uid="{00000000-0005-0000-0000-0000EE7A0000}"/>
    <cellStyle name="Total 3 3 3 2 5 2 4" xfId="21940" xr:uid="{00000000-0005-0000-0000-0000EF7A0000}"/>
    <cellStyle name="Total 3 3 3 2 5 3" xfId="6714" xr:uid="{00000000-0005-0000-0000-0000F07A0000}"/>
    <cellStyle name="Total 3 3 3 2 5 3 2" xfId="17263" xr:uid="{00000000-0005-0000-0000-0000F17A0000}"/>
    <cellStyle name="Total 3 3 3 2 5 3 3" xfId="20232" xr:uid="{00000000-0005-0000-0000-0000F27A0000}"/>
    <cellStyle name="Total 3 3 3 2 5 4" xfId="10198" xr:uid="{00000000-0005-0000-0000-0000F37A0000}"/>
    <cellStyle name="Total 3 3 3 2 5 5" xfId="15708" xr:uid="{00000000-0005-0000-0000-0000F47A0000}"/>
    <cellStyle name="Total 3 3 3 2 5 6" xfId="13320" xr:uid="{00000000-0005-0000-0000-0000F57A0000}"/>
    <cellStyle name="Total 3 3 3 2 6" xfId="6946" xr:uid="{00000000-0005-0000-0000-0000F67A0000}"/>
    <cellStyle name="Total 3 3 3 2 6 2" xfId="8654" xr:uid="{00000000-0005-0000-0000-0000F77A0000}"/>
    <cellStyle name="Total 3 3 3 2 6 2 2" xfId="12622" xr:uid="{00000000-0005-0000-0000-0000F87A0000}"/>
    <cellStyle name="Total 3 3 3 2 6 2 3" xfId="18725" xr:uid="{00000000-0005-0000-0000-0000F97A0000}"/>
    <cellStyle name="Total 3 3 3 2 6 2 4" xfId="22172" xr:uid="{00000000-0005-0000-0000-0000FA7A0000}"/>
    <cellStyle name="Total 3 3 3 2 6 3" xfId="11080" xr:uid="{00000000-0005-0000-0000-0000FB7A0000}"/>
    <cellStyle name="Total 3 3 3 2 6 4" xfId="17433" xr:uid="{00000000-0005-0000-0000-0000FC7A0000}"/>
    <cellStyle name="Total 3 3 3 2 6 5" xfId="20464" xr:uid="{00000000-0005-0000-0000-0000FD7A0000}"/>
    <cellStyle name="Total 3 3 3 2 7" xfId="5934" xr:uid="{00000000-0005-0000-0000-0000FE7A0000}"/>
    <cellStyle name="Total 3 3 3 2 7 2" xfId="10675" xr:uid="{00000000-0005-0000-0000-0000FF7A0000}"/>
    <cellStyle name="Total 3 3 3 2 7 3" xfId="16671" xr:uid="{00000000-0005-0000-0000-0000007B0000}"/>
    <cellStyle name="Total 3 3 3 2 7 4" xfId="19452" xr:uid="{00000000-0005-0000-0000-0000017B0000}"/>
    <cellStyle name="Total 3 3 3 2 8" xfId="7642" xr:uid="{00000000-0005-0000-0000-0000027B0000}"/>
    <cellStyle name="Total 3 3 3 2 8 2" xfId="11663" xr:uid="{00000000-0005-0000-0000-0000037B0000}"/>
    <cellStyle name="Total 3 3 3 2 8 3" xfId="17963" xr:uid="{00000000-0005-0000-0000-0000047B0000}"/>
    <cellStyle name="Total 3 3 3 2 8 4" xfId="21160" xr:uid="{00000000-0005-0000-0000-0000057B0000}"/>
    <cellStyle name="Total 3 3 3 2 9" xfId="5030" xr:uid="{00000000-0005-0000-0000-0000067B0000}"/>
    <cellStyle name="Total 3 3 3 2 9 2" xfId="15986" xr:uid="{00000000-0005-0000-0000-0000077B0000}"/>
    <cellStyle name="Total 3 3 3 2 9 3" xfId="12989" xr:uid="{00000000-0005-0000-0000-0000087B0000}"/>
    <cellStyle name="Total 3 3 3 3" xfId="3070" xr:uid="{00000000-0005-0000-0000-0000097B0000}"/>
    <cellStyle name="Total 3 3 3 3 2" xfId="3457" xr:uid="{00000000-0005-0000-0000-00000A7B0000}"/>
    <cellStyle name="Total 3 3 3 3 2 2" xfId="7904" xr:uid="{00000000-0005-0000-0000-00000B7B0000}"/>
    <cellStyle name="Total 3 3 3 3 2 2 2" xfId="18158" xr:uid="{00000000-0005-0000-0000-00000C7B0000}"/>
    <cellStyle name="Total 3 3 3 3 2 2 3" xfId="21422" xr:uid="{00000000-0005-0000-0000-00000D7B0000}"/>
    <cellStyle name="Total 3 3 3 3 2 3" xfId="9562" xr:uid="{00000000-0005-0000-0000-00000E7B0000}"/>
    <cellStyle name="Total 3 3 3 3 2 4" xfId="14818" xr:uid="{00000000-0005-0000-0000-00000F7B0000}"/>
    <cellStyle name="Total 3 3 3 3 2 5" xfId="16234" xr:uid="{00000000-0005-0000-0000-0000107B0000}"/>
    <cellStyle name="Total 3 3 3 3 3" xfId="3840" xr:uid="{00000000-0005-0000-0000-0000117B0000}"/>
    <cellStyle name="Total 3 3 3 3 3 2" xfId="15094" xr:uid="{00000000-0005-0000-0000-0000127B0000}"/>
    <cellStyle name="Total 3 3 3 3 3 3" xfId="14185" xr:uid="{00000000-0005-0000-0000-0000137B0000}"/>
    <cellStyle name="Total 3 3 3 3 4" xfId="4223" xr:uid="{00000000-0005-0000-0000-0000147B0000}"/>
    <cellStyle name="Total 3 3 3 3 4 2" xfId="15369" xr:uid="{00000000-0005-0000-0000-0000157B0000}"/>
    <cellStyle name="Total 3 3 3 3 4 3" xfId="13782" xr:uid="{00000000-0005-0000-0000-0000167B0000}"/>
    <cellStyle name="Total 3 3 3 3 5" xfId="4605" xr:uid="{00000000-0005-0000-0000-0000177B0000}"/>
    <cellStyle name="Total 3 3 3 3 5 2" xfId="15643" xr:uid="{00000000-0005-0000-0000-0000187B0000}"/>
    <cellStyle name="Total 3 3 3 3 5 3" xfId="13400" xr:uid="{00000000-0005-0000-0000-0000197B0000}"/>
    <cellStyle name="Total 3 3 3 3 6" xfId="6196" xr:uid="{00000000-0005-0000-0000-00001A7B0000}"/>
    <cellStyle name="Total 3 3 3 3 6 2" xfId="16866" xr:uid="{00000000-0005-0000-0000-00001B7B0000}"/>
    <cellStyle name="Total 3 3 3 3 6 3" xfId="19714" xr:uid="{00000000-0005-0000-0000-00001C7B0000}"/>
    <cellStyle name="Total 3 3 3 3 7" xfId="9210" xr:uid="{00000000-0005-0000-0000-00001D7B0000}"/>
    <cellStyle name="Total 3 3 3 3 8" xfId="14538" xr:uid="{00000000-0005-0000-0000-00001E7B0000}"/>
    <cellStyle name="Total 3 3 3 3 9" xfId="17791" xr:uid="{00000000-0005-0000-0000-00001F7B0000}"/>
    <cellStyle name="Total 3 3 3 4" xfId="2858" xr:uid="{00000000-0005-0000-0000-0000207B0000}"/>
    <cellStyle name="Total 3 3 3 4 2" xfId="8057" xr:uid="{00000000-0005-0000-0000-0000217B0000}"/>
    <cellStyle name="Total 3 3 3 4 2 2" xfId="12027" xr:uid="{00000000-0005-0000-0000-0000227B0000}"/>
    <cellStyle name="Total 3 3 3 4 2 3" xfId="18266" xr:uid="{00000000-0005-0000-0000-0000237B0000}"/>
    <cellStyle name="Total 3 3 3 4 2 4" xfId="21575" xr:uid="{00000000-0005-0000-0000-0000247B0000}"/>
    <cellStyle name="Total 3 3 3 4 3" xfId="6349" xr:uid="{00000000-0005-0000-0000-0000257B0000}"/>
    <cellStyle name="Total 3 3 3 4 3 2" xfId="16975" xr:uid="{00000000-0005-0000-0000-0000267B0000}"/>
    <cellStyle name="Total 3 3 3 4 3 3" xfId="19867" xr:uid="{00000000-0005-0000-0000-0000277B0000}"/>
    <cellStyle name="Total 3 3 3 4 4" xfId="9011" xr:uid="{00000000-0005-0000-0000-0000287B0000}"/>
    <cellStyle name="Total 3 3 3 4 5" xfId="14396" xr:uid="{00000000-0005-0000-0000-0000297B0000}"/>
    <cellStyle name="Total 3 3 3 4 6" xfId="14679" xr:uid="{00000000-0005-0000-0000-00002A7B0000}"/>
    <cellStyle name="Total 3 3 3 5" xfId="6371" xr:uid="{00000000-0005-0000-0000-00002B7B0000}"/>
    <cellStyle name="Total 3 3 3 5 2" xfId="8079" xr:uid="{00000000-0005-0000-0000-00002C7B0000}"/>
    <cellStyle name="Total 3 3 3 5 2 2" xfId="12047" xr:uid="{00000000-0005-0000-0000-00002D7B0000}"/>
    <cellStyle name="Total 3 3 3 5 2 3" xfId="18285" xr:uid="{00000000-0005-0000-0000-00002E7B0000}"/>
    <cellStyle name="Total 3 3 3 5 2 4" xfId="21597" xr:uid="{00000000-0005-0000-0000-00002F7B0000}"/>
    <cellStyle name="Total 3 3 3 5 3" xfId="10889" xr:uid="{00000000-0005-0000-0000-0000307B0000}"/>
    <cellStyle name="Total 3 3 3 5 4" xfId="16994" xr:uid="{00000000-0005-0000-0000-0000317B0000}"/>
    <cellStyle name="Total 3 3 3 5 5" xfId="19889" xr:uid="{00000000-0005-0000-0000-0000327B0000}"/>
    <cellStyle name="Total 3 3 3 6" xfId="6603" xr:uid="{00000000-0005-0000-0000-0000337B0000}"/>
    <cellStyle name="Total 3 3 3 6 2" xfId="8311" xr:uid="{00000000-0005-0000-0000-0000347B0000}"/>
    <cellStyle name="Total 3 3 3 6 2 2" xfId="12279" xr:uid="{00000000-0005-0000-0000-0000357B0000}"/>
    <cellStyle name="Total 3 3 3 6 2 3" xfId="18456" xr:uid="{00000000-0005-0000-0000-0000367B0000}"/>
    <cellStyle name="Total 3 3 3 6 2 4" xfId="21829" xr:uid="{00000000-0005-0000-0000-0000377B0000}"/>
    <cellStyle name="Total 3 3 3 6 3" xfId="10929" xr:uid="{00000000-0005-0000-0000-0000387B0000}"/>
    <cellStyle name="Total 3 3 3 6 4" xfId="17165" xr:uid="{00000000-0005-0000-0000-0000397B0000}"/>
    <cellStyle name="Total 3 3 3 6 5" xfId="20121" xr:uid="{00000000-0005-0000-0000-00003A7B0000}"/>
    <cellStyle name="Total 3 3 3 7" xfId="6835" xr:uid="{00000000-0005-0000-0000-00003B7B0000}"/>
    <cellStyle name="Total 3 3 3 7 2" xfId="8543" xr:uid="{00000000-0005-0000-0000-00003C7B0000}"/>
    <cellStyle name="Total 3 3 3 7 2 2" xfId="12511" xr:uid="{00000000-0005-0000-0000-00003D7B0000}"/>
    <cellStyle name="Total 3 3 3 7 2 3" xfId="18627" xr:uid="{00000000-0005-0000-0000-00003E7B0000}"/>
    <cellStyle name="Total 3 3 3 7 2 4" xfId="22061" xr:uid="{00000000-0005-0000-0000-00003F7B0000}"/>
    <cellStyle name="Total 3 3 3 7 3" xfId="10969" xr:uid="{00000000-0005-0000-0000-0000407B0000}"/>
    <cellStyle name="Total 3 3 3 7 4" xfId="17335" xr:uid="{00000000-0005-0000-0000-0000417B0000}"/>
    <cellStyle name="Total 3 3 3 7 5" xfId="20353" xr:uid="{00000000-0005-0000-0000-0000427B0000}"/>
    <cellStyle name="Total 3 3 3 8" xfId="5796" xr:uid="{00000000-0005-0000-0000-0000437B0000}"/>
    <cellStyle name="Total 3 3 3 8 2" xfId="10564" xr:uid="{00000000-0005-0000-0000-0000447B0000}"/>
    <cellStyle name="Total 3 3 3 8 3" xfId="16563" xr:uid="{00000000-0005-0000-0000-0000457B0000}"/>
    <cellStyle name="Total 3 3 3 8 4" xfId="19314" xr:uid="{00000000-0005-0000-0000-0000467B0000}"/>
    <cellStyle name="Total 3 3 3 9" xfId="7504" xr:uid="{00000000-0005-0000-0000-0000477B0000}"/>
    <cellStyle name="Total 3 3 3 9 2" xfId="11550" xr:uid="{00000000-0005-0000-0000-0000487B0000}"/>
    <cellStyle name="Total 3 3 3 9 3" xfId="17855" xr:uid="{00000000-0005-0000-0000-0000497B0000}"/>
    <cellStyle name="Total 3 3 3 9 4" xfId="21022" xr:uid="{00000000-0005-0000-0000-00004A7B0000}"/>
    <cellStyle name="Total 3 3 4" xfId="3183" xr:uid="{00000000-0005-0000-0000-00004B7B0000}"/>
    <cellStyle name="Total 3 3 4 10" xfId="9313" xr:uid="{00000000-0005-0000-0000-00004C7B0000}"/>
    <cellStyle name="Total 3 3 4 11" xfId="14629" xr:uid="{00000000-0005-0000-0000-00004D7B0000}"/>
    <cellStyle name="Total 3 3 4 12" xfId="16560" xr:uid="{00000000-0005-0000-0000-00004E7B0000}"/>
    <cellStyle name="Total 3 3 4 2" xfId="3570" xr:uid="{00000000-0005-0000-0000-00004F7B0000}"/>
    <cellStyle name="Total 3 3 4 2 2" xfId="7434" xr:uid="{00000000-0005-0000-0000-0000507B0000}"/>
    <cellStyle name="Total 3 3 4 2 2 2" xfId="11495" xr:uid="{00000000-0005-0000-0000-0000517B0000}"/>
    <cellStyle name="Total 3 3 4 2 2 3" xfId="17799" xr:uid="{00000000-0005-0000-0000-0000527B0000}"/>
    <cellStyle name="Total 3 3 4 2 2 4" xfId="20952" xr:uid="{00000000-0005-0000-0000-0000537B0000}"/>
    <cellStyle name="Total 3 3 4 2 3" xfId="5725" xr:uid="{00000000-0005-0000-0000-0000547B0000}"/>
    <cellStyle name="Total 3 3 4 2 3 2" xfId="16508" xr:uid="{00000000-0005-0000-0000-0000557B0000}"/>
    <cellStyle name="Total 3 3 4 2 3 3" xfId="19243" xr:uid="{00000000-0005-0000-0000-0000567B0000}"/>
    <cellStyle name="Total 3 3 4 2 4" xfId="9662" xr:uid="{00000000-0005-0000-0000-0000577B0000}"/>
    <cellStyle name="Total 3 3 4 2 5" xfId="14909" xr:uid="{00000000-0005-0000-0000-0000587B0000}"/>
    <cellStyle name="Total 3 3 4 2 6" xfId="15723" xr:uid="{00000000-0005-0000-0000-0000597B0000}"/>
    <cellStyle name="Total 3 3 4 3" xfId="3953" xr:uid="{00000000-0005-0000-0000-00005A7B0000}"/>
    <cellStyle name="Total 3 3 4 3 2" xfId="8007" xr:uid="{00000000-0005-0000-0000-00005B7B0000}"/>
    <cellStyle name="Total 3 3 4 3 2 2" xfId="11983" xr:uid="{00000000-0005-0000-0000-00005C7B0000}"/>
    <cellStyle name="Total 3 3 4 3 2 3" xfId="18224" xr:uid="{00000000-0005-0000-0000-00005D7B0000}"/>
    <cellStyle name="Total 3 3 4 3 2 4" xfId="21525" xr:uid="{00000000-0005-0000-0000-00005E7B0000}"/>
    <cellStyle name="Total 3 3 4 3 3" xfId="6299" xr:uid="{00000000-0005-0000-0000-00005F7B0000}"/>
    <cellStyle name="Total 3 3 4 3 3 2" xfId="16933" xr:uid="{00000000-0005-0000-0000-0000607B0000}"/>
    <cellStyle name="Total 3 3 4 3 3 3" xfId="19817" xr:uid="{00000000-0005-0000-0000-0000617B0000}"/>
    <cellStyle name="Total 3 3 4 3 4" xfId="9876" xr:uid="{00000000-0005-0000-0000-0000627B0000}"/>
    <cellStyle name="Total 3 3 4 3 5" xfId="15185" xr:uid="{00000000-0005-0000-0000-0000637B0000}"/>
    <cellStyle name="Total 3 3 4 3 6" xfId="14038" xr:uid="{00000000-0005-0000-0000-0000647B0000}"/>
    <cellStyle name="Total 3 3 4 4" xfId="4336" xr:uid="{00000000-0005-0000-0000-0000657B0000}"/>
    <cellStyle name="Total 3 3 4 4 2" xfId="8157" xr:uid="{00000000-0005-0000-0000-0000667B0000}"/>
    <cellStyle name="Total 3 3 4 4 2 2" xfId="12125" xr:uid="{00000000-0005-0000-0000-0000677B0000}"/>
    <cellStyle name="Total 3 3 4 4 2 3" xfId="18357" xr:uid="{00000000-0005-0000-0000-0000687B0000}"/>
    <cellStyle name="Total 3 3 4 4 2 4" xfId="21675" xr:uid="{00000000-0005-0000-0000-0000697B0000}"/>
    <cellStyle name="Total 3 3 4 4 3" xfId="6449" xr:uid="{00000000-0005-0000-0000-00006A7B0000}"/>
    <cellStyle name="Total 3 3 4 4 3 2" xfId="17066" xr:uid="{00000000-0005-0000-0000-00006B7B0000}"/>
    <cellStyle name="Total 3 3 4 4 3 3" xfId="19967" xr:uid="{00000000-0005-0000-0000-00006C7B0000}"/>
    <cellStyle name="Total 3 3 4 4 4" xfId="10054" xr:uid="{00000000-0005-0000-0000-00006D7B0000}"/>
    <cellStyle name="Total 3 3 4 4 5" xfId="15460" xr:uid="{00000000-0005-0000-0000-00006E7B0000}"/>
    <cellStyle name="Total 3 3 4 4 6" xfId="13669" xr:uid="{00000000-0005-0000-0000-00006F7B0000}"/>
    <cellStyle name="Total 3 3 4 5" xfId="4718" xr:uid="{00000000-0005-0000-0000-0000707B0000}"/>
    <cellStyle name="Total 3 3 4 5 2" xfId="8389" xr:uid="{00000000-0005-0000-0000-0000717B0000}"/>
    <cellStyle name="Total 3 3 4 5 2 2" xfId="12357" xr:uid="{00000000-0005-0000-0000-0000727B0000}"/>
    <cellStyle name="Total 3 3 4 5 2 3" xfId="18528" xr:uid="{00000000-0005-0000-0000-0000737B0000}"/>
    <cellStyle name="Total 3 3 4 5 2 4" xfId="21907" xr:uid="{00000000-0005-0000-0000-0000747B0000}"/>
    <cellStyle name="Total 3 3 4 5 3" xfId="6681" xr:uid="{00000000-0005-0000-0000-0000757B0000}"/>
    <cellStyle name="Total 3 3 4 5 3 2" xfId="17237" xr:uid="{00000000-0005-0000-0000-0000767B0000}"/>
    <cellStyle name="Total 3 3 4 5 3 3" xfId="20199" xr:uid="{00000000-0005-0000-0000-0000777B0000}"/>
    <cellStyle name="Total 3 3 4 5 4" xfId="10231" xr:uid="{00000000-0005-0000-0000-0000787B0000}"/>
    <cellStyle name="Total 3 3 4 5 5" xfId="15734" xr:uid="{00000000-0005-0000-0000-0000797B0000}"/>
    <cellStyle name="Total 3 3 4 5 6" xfId="13287" xr:uid="{00000000-0005-0000-0000-00007A7B0000}"/>
    <cellStyle name="Total 3 3 4 6" xfId="6913" xr:uid="{00000000-0005-0000-0000-00007B7B0000}"/>
    <cellStyle name="Total 3 3 4 6 2" xfId="8621" xr:uid="{00000000-0005-0000-0000-00007C7B0000}"/>
    <cellStyle name="Total 3 3 4 6 2 2" xfId="12589" xr:uid="{00000000-0005-0000-0000-00007D7B0000}"/>
    <cellStyle name="Total 3 3 4 6 2 3" xfId="18699" xr:uid="{00000000-0005-0000-0000-00007E7B0000}"/>
    <cellStyle name="Total 3 3 4 6 2 4" xfId="22139" xr:uid="{00000000-0005-0000-0000-00007F7B0000}"/>
    <cellStyle name="Total 3 3 4 6 3" xfId="11047" xr:uid="{00000000-0005-0000-0000-0000807B0000}"/>
    <cellStyle name="Total 3 3 4 6 4" xfId="17407" xr:uid="{00000000-0005-0000-0000-0000817B0000}"/>
    <cellStyle name="Total 3 3 4 6 5" xfId="20431" xr:uid="{00000000-0005-0000-0000-0000827B0000}"/>
    <cellStyle name="Total 3 3 4 7" xfId="5901" xr:uid="{00000000-0005-0000-0000-0000837B0000}"/>
    <cellStyle name="Total 3 3 4 7 2" xfId="10642" xr:uid="{00000000-0005-0000-0000-0000847B0000}"/>
    <cellStyle name="Total 3 3 4 7 3" xfId="16645" xr:uid="{00000000-0005-0000-0000-0000857B0000}"/>
    <cellStyle name="Total 3 3 4 7 4" xfId="19419" xr:uid="{00000000-0005-0000-0000-0000867B0000}"/>
    <cellStyle name="Total 3 3 4 8" xfId="7609" xr:uid="{00000000-0005-0000-0000-0000877B0000}"/>
    <cellStyle name="Total 3 3 4 8 2" xfId="11630" xr:uid="{00000000-0005-0000-0000-0000887B0000}"/>
    <cellStyle name="Total 3 3 4 8 3" xfId="17937" xr:uid="{00000000-0005-0000-0000-0000897B0000}"/>
    <cellStyle name="Total 3 3 4 8 4" xfId="21127" xr:uid="{00000000-0005-0000-0000-00008A7B0000}"/>
    <cellStyle name="Total 3 3 4 9" xfId="4996" xr:uid="{00000000-0005-0000-0000-00008B7B0000}"/>
    <cellStyle name="Total 3 3 4 9 2" xfId="15960" xr:uid="{00000000-0005-0000-0000-00008C7B0000}"/>
    <cellStyle name="Total 3 3 4 9 3" xfId="13023" xr:uid="{00000000-0005-0000-0000-00008D7B0000}"/>
    <cellStyle name="Total 3 3 5" xfId="2998" xr:uid="{00000000-0005-0000-0000-00008E7B0000}"/>
    <cellStyle name="Total 3 3 5 2" xfId="3385" xr:uid="{00000000-0005-0000-0000-00008F7B0000}"/>
    <cellStyle name="Total 3 3 5 2 2" xfId="7234" xr:uid="{00000000-0005-0000-0000-0000907B0000}"/>
    <cellStyle name="Total 3 3 5 2 2 2" xfId="17637" xr:uid="{00000000-0005-0000-0000-0000917B0000}"/>
    <cellStyle name="Total 3 3 5 2 2 3" xfId="20752" xr:uid="{00000000-0005-0000-0000-0000927B0000}"/>
    <cellStyle name="Total 3 3 5 2 3" xfId="9511" xr:uid="{00000000-0005-0000-0000-0000937B0000}"/>
    <cellStyle name="Total 3 3 5 2 4" xfId="14762" xr:uid="{00000000-0005-0000-0000-0000947B0000}"/>
    <cellStyle name="Total 3 3 5 2 5" xfId="17933" xr:uid="{00000000-0005-0000-0000-0000957B0000}"/>
    <cellStyle name="Total 3 3 5 3" xfId="3768" xr:uid="{00000000-0005-0000-0000-0000967B0000}"/>
    <cellStyle name="Total 3 3 5 3 2" xfId="15038" xr:uid="{00000000-0005-0000-0000-0000977B0000}"/>
    <cellStyle name="Total 3 3 5 3 3" xfId="17761" xr:uid="{00000000-0005-0000-0000-0000987B0000}"/>
    <cellStyle name="Total 3 3 5 4" xfId="4151" xr:uid="{00000000-0005-0000-0000-0000997B0000}"/>
    <cellStyle name="Total 3 3 5 4 2" xfId="15313" xr:uid="{00000000-0005-0000-0000-00009A7B0000}"/>
    <cellStyle name="Total 3 3 5 4 3" xfId="13849" xr:uid="{00000000-0005-0000-0000-00009B7B0000}"/>
    <cellStyle name="Total 3 3 5 5" xfId="4533" xr:uid="{00000000-0005-0000-0000-00009C7B0000}"/>
    <cellStyle name="Total 3 3 5 5 2" xfId="15587" xr:uid="{00000000-0005-0000-0000-00009D7B0000}"/>
    <cellStyle name="Total 3 3 5 5 3" xfId="13472" xr:uid="{00000000-0005-0000-0000-00009E7B0000}"/>
    <cellStyle name="Total 3 3 5 6" xfId="5525" xr:uid="{00000000-0005-0000-0000-00009F7B0000}"/>
    <cellStyle name="Total 3 3 5 6 2" xfId="16346" xr:uid="{00000000-0005-0000-0000-0000A07B0000}"/>
    <cellStyle name="Total 3 3 5 6 3" xfId="19043" xr:uid="{00000000-0005-0000-0000-0000A17B0000}"/>
    <cellStyle name="Total 3 3 5 7" xfId="9146" xr:uid="{00000000-0005-0000-0000-0000A27B0000}"/>
    <cellStyle name="Total 3 3 5 8" xfId="14482" xr:uid="{00000000-0005-0000-0000-0000A37B0000}"/>
    <cellStyle name="Total 3 3 5 9" xfId="14735" xr:uid="{00000000-0005-0000-0000-0000A47B0000}"/>
    <cellStyle name="Total 3 3 6" xfId="6154" xr:uid="{00000000-0005-0000-0000-0000A57B0000}"/>
    <cellStyle name="Total 3 3 6 2" xfId="7862" xr:uid="{00000000-0005-0000-0000-0000A67B0000}"/>
    <cellStyle name="Total 3 3 6 2 2" xfId="11860" xr:uid="{00000000-0005-0000-0000-0000A77B0000}"/>
    <cellStyle name="Total 3 3 6 2 3" xfId="18120" xr:uid="{00000000-0005-0000-0000-0000A87B0000}"/>
    <cellStyle name="Total 3 3 6 2 4" xfId="21380" xr:uid="{00000000-0005-0000-0000-0000A97B0000}"/>
    <cellStyle name="Total 3 3 6 3" xfId="10826" xr:uid="{00000000-0005-0000-0000-0000AA7B0000}"/>
    <cellStyle name="Total 3 3 6 4" xfId="16828" xr:uid="{00000000-0005-0000-0000-0000AB7B0000}"/>
    <cellStyle name="Total 3 3 6 5" xfId="19672" xr:uid="{00000000-0005-0000-0000-0000AC7B0000}"/>
    <cellStyle name="Total 3 3 7" xfId="5445" xr:uid="{00000000-0005-0000-0000-0000AD7B0000}"/>
    <cellStyle name="Total 3 3 7 2" xfId="7154" xr:uid="{00000000-0005-0000-0000-0000AE7B0000}"/>
    <cellStyle name="Total 3 3 7 2 2" xfId="11285" xr:uid="{00000000-0005-0000-0000-0000AF7B0000}"/>
    <cellStyle name="Total 3 3 7 2 3" xfId="17568" xr:uid="{00000000-0005-0000-0000-0000B07B0000}"/>
    <cellStyle name="Total 3 3 7 2 4" xfId="20672" xr:uid="{00000000-0005-0000-0000-0000B17B0000}"/>
    <cellStyle name="Total 3 3 7 3" xfId="10459" xr:uid="{00000000-0005-0000-0000-0000B27B0000}"/>
    <cellStyle name="Total 3 3 7 4" xfId="16278" xr:uid="{00000000-0005-0000-0000-0000B37B0000}"/>
    <cellStyle name="Total 3 3 7 5" xfId="18963" xr:uid="{00000000-0005-0000-0000-0000B47B0000}"/>
    <cellStyle name="Total 3 3 8" xfId="6109" xr:uid="{00000000-0005-0000-0000-0000B57B0000}"/>
    <cellStyle name="Total 3 3 8 2" xfId="7817" xr:uid="{00000000-0005-0000-0000-0000B67B0000}"/>
    <cellStyle name="Total 3 3 8 2 2" xfId="11827" xr:uid="{00000000-0005-0000-0000-0000B77B0000}"/>
    <cellStyle name="Total 3 3 8 2 3" xfId="18082" xr:uid="{00000000-0005-0000-0000-0000B87B0000}"/>
    <cellStyle name="Total 3 3 8 2 4" xfId="21335" xr:uid="{00000000-0005-0000-0000-0000B97B0000}"/>
    <cellStyle name="Total 3 3 8 3" xfId="10808" xr:uid="{00000000-0005-0000-0000-0000BA7B0000}"/>
    <cellStyle name="Total 3 3 8 4" xfId="16790" xr:uid="{00000000-0005-0000-0000-0000BB7B0000}"/>
    <cellStyle name="Total 3 3 8 5" xfId="19627" xr:uid="{00000000-0005-0000-0000-0000BC7B0000}"/>
    <cellStyle name="Total 3 3 9" xfId="5507" xr:uid="{00000000-0005-0000-0000-0000BD7B0000}"/>
    <cellStyle name="Total 3 3 9 2" xfId="7216" xr:uid="{00000000-0005-0000-0000-0000BE7B0000}"/>
    <cellStyle name="Total 3 3 9 2 2" xfId="11342" xr:uid="{00000000-0005-0000-0000-0000BF7B0000}"/>
    <cellStyle name="Total 3 3 9 2 3" xfId="17619" xr:uid="{00000000-0005-0000-0000-0000C07B0000}"/>
    <cellStyle name="Total 3 3 9 2 4" xfId="20734" xr:uid="{00000000-0005-0000-0000-0000C17B0000}"/>
    <cellStyle name="Total 3 3 9 3" xfId="10482" xr:uid="{00000000-0005-0000-0000-0000C27B0000}"/>
    <cellStyle name="Total 3 3 9 4" xfId="16328" xr:uid="{00000000-0005-0000-0000-0000C37B0000}"/>
    <cellStyle name="Total 3 3 9 5" xfId="19025" xr:uid="{00000000-0005-0000-0000-0000C47B0000}"/>
    <cellStyle name="Total 3 4" xfId="3012" xr:uid="{00000000-0005-0000-0000-0000C57B0000}"/>
    <cellStyle name="Total 3 4 2" xfId="3399" xr:uid="{00000000-0005-0000-0000-0000C67B0000}"/>
    <cellStyle name="Total 3 4 2 2" xfId="7161" xr:uid="{00000000-0005-0000-0000-0000C77B0000}"/>
    <cellStyle name="Total 3 4 2 2 2" xfId="17574" xr:uid="{00000000-0005-0000-0000-0000C87B0000}"/>
    <cellStyle name="Total 3 4 2 2 3" xfId="20679" xr:uid="{00000000-0005-0000-0000-0000C97B0000}"/>
    <cellStyle name="Total 3 4 2 3" xfId="9519" xr:uid="{00000000-0005-0000-0000-0000CA7B0000}"/>
    <cellStyle name="Total 3 4 2 4" xfId="14773" xr:uid="{00000000-0005-0000-0000-0000CB7B0000}"/>
    <cellStyle name="Total 3 4 2 5" xfId="17670" xr:uid="{00000000-0005-0000-0000-0000CC7B0000}"/>
    <cellStyle name="Total 3 4 3" xfId="3782" xr:uid="{00000000-0005-0000-0000-0000CD7B0000}"/>
    <cellStyle name="Total 3 4 3 2" xfId="15049" xr:uid="{00000000-0005-0000-0000-0000CE7B0000}"/>
    <cellStyle name="Total 3 4 3 3" xfId="16742" xr:uid="{00000000-0005-0000-0000-0000CF7B0000}"/>
    <cellStyle name="Total 3 4 4" xfId="4165" xr:uid="{00000000-0005-0000-0000-0000D07B0000}"/>
    <cellStyle name="Total 3 4 4 2" xfId="15324" xr:uid="{00000000-0005-0000-0000-0000D17B0000}"/>
    <cellStyle name="Total 3 4 4 3" xfId="13840" xr:uid="{00000000-0005-0000-0000-0000D27B0000}"/>
    <cellStyle name="Total 3 4 5" xfId="4547" xr:uid="{00000000-0005-0000-0000-0000D37B0000}"/>
    <cellStyle name="Total 3 4 5 2" xfId="15598" xr:uid="{00000000-0005-0000-0000-0000D47B0000}"/>
    <cellStyle name="Total 3 4 5 3" xfId="13458" xr:uid="{00000000-0005-0000-0000-0000D57B0000}"/>
    <cellStyle name="Total 3 4 6" xfId="5452" xr:uid="{00000000-0005-0000-0000-0000D67B0000}"/>
    <cellStyle name="Total 3 4 6 2" xfId="16284" xr:uid="{00000000-0005-0000-0000-0000D77B0000}"/>
    <cellStyle name="Total 3 4 6 3" xfId="18970" xr:uid="{00000000-0005-0000-0000-0000D87B0000}"/>
    <cellStyle name="Total 3 4 7" xfId="9155" xr:uid="{00000000-0005-0000-0000-0000D97B0000}"/>
    <cellStyle name="Total 3 4 8" xfId="14493" xr:uid="{00000000-0005-0000-0000-0000DA7B0000}"/>
    <cellStyle name="Total 3 4 9" xfId="18791" xr:uid="{00000000-0005-0000-0000-0000DB7B0000}"/>
    <cellStyle name="Total 3 5" xfId="3126" xr:uid="{00000000-0005-0000-0000-0000DC7B0000}"/>
    <cellStyle name="Total 3 5 2" xfId="3513" xr:uid="{00000000-0005-0000-0000-0000DD7B0000}"/>
    <cellStyle name="Total 3 5 2 2" xfId="7147" xr:uid="{00000000-0005-0000-0000-0000DE7B0000}"/>
    <cellStyle name="Total 3 5 2 2 2" xfId="17562" xr:uid="{00000000-0005-0000-0000-0000DF7B0000}"/>
    <cellStyle name="Total 3 5 2 2 3" xfId="20665" xr:uid="{00000000-0005-0000-0000-0000E07B0000}"/>
    <cellStyle name="Total 3 5 2 3" xfId="9605" xr:uid="{00000000-0005-0000-0000-0000E17B0000}"/>
    <cellStyle name="Total 3 5 2 4" xfId="14862" xr:uid="{00000000-0005-0000-0000-0000E27B0000}"/>
    <cellStyle name="Total 3 5 2 5" xfId="14268" xr:uid="{00000000-0005-0000-0000-0000E37B0000}"/>
    <cellStyle name="Total 3 5 3" xfId="3896" xr:uid="{00000000-0005-0000-0000-0000E47B0000}"/>
    <cellStyle name="Total 3 5 3 2" xfId="15138" xr:uid="{00000000-0005-0000-0000-0000E57B0000}"/>
    <cellStyle name="Total 3 5 3 3" xfId="14169" xr:uid="{00000000-0005-0000-0000-0000E67B0000}"/>
    <cellStyle name="Total 3 5 4" xfId="4279" xr:uid="{00000000-0005-0000-0000-0000E77B0000}"/>
    <cellStyle name="Total 3 5 4 2" xfId="15413" xr:uid="{00000000-0005-0000-0000-0000E87B0000}"/>
    <cellStyle name="Total 3 5 4 3" xfId="13726" xr:uid="{00000000-0005-0000-0000-0000E97B0000}"/>
    <cellStyle name="Total 3 5 5" xfId="4661" xr:uid="{00000000-0005-0000-0000-0000EA7B0000}"/>
    <cellStyle name="Total 3 5 5 2" xfId="15687" xr:uid="{00000000-0005-0000-0000-0000EB7B0000}"/>
    <cellStyle name="Total 3 5 5 3" xfId="13344" xr:uid="{00000000-0005-0000-0000-0000EC7B0000}"/>
    <cellStyle name="Total 3 5 6" xfId="5438" xr:uid="{00000000-0005-0000-0000-0000ED7B0000}"/>
    <cellStyle name="Total 3 5 6 2" xfId="16272" xr:uid="{00000000-0005-0000-0000-0000EE7B0000}"/>
    <cellStyle name="Total 3 5 6 3" xfId="18956" xr:uid="{00000000-0005-0000-0000-0000EF7B0000}"/>
    <cellStyle name="Total 3 5 7" xfId="9256" xr:uid="{00000000-0005-0000-0000-0000F07B0000}"/>
    <cellStyle name="Total 3 5 8" xfId="14582" xr:uid="{00000000-0005-0000-0000-0000F17B0000}"/>
    <cellStyle name="Total 3 5 9" xfId="18405" xr:uid="{00000000-0005-0000-0000-0000F27B0000}"/>
    <cellStyle name="Total 3 6" xfId="6354" xr:uid="{00000000-0005-0000-0000-0000F37B0000}"/>
    <cellStyle name="Total 3 6 2" xfId="8062" xr:uid="{00000000-0005-0000-0000-0000F47B0000}"/>
    <cellStyle name="Total 3 6 2 2" xfId="12032" xr:uid="{00000000-0005-0000-0000-0000F57B0000}"/>
    <cellStyle name="Total 3 6 2 3" xfId="18269" xr:uid="{00000000-0005-0000-0000-0000F67B0000}"/>
    <cellStyle name="Total 3 6 2 4" xfId="21580" xr:uid="{00000000-0005-0000-0000-0000F77B0000}"/>
    <cellStyle name="Total 3 6 3" xfId="10885" xr:uid="{00000000-0005-0000-0000-0000F87B0000}"/>
    <cellStyle name="Total 3 6 4" xfId="16978" xr:uid="{00000000-0005-0000-0000-0000F97B0000}"/>
    <cellStyle name="Total 3 6 5" xfId="19872" xr:uid="{00000000-0005-0000-0000-0000FA7B0000}"/>
    <cellStyle name="Total 3 7" xfId="22388" xr:uid="{00000000-0005-0000-0000-0000FB7B0000}"/>
    <cellStyle name="Total 3 8" xfId="2073" xr:uid="{00000000-0005-0000-0000-0000FC7B0000}"/>
    <cellStyle name="Verificar Célula" xfId="2024" xr:uid="{00000000-0005-0000-0000-0000FD7B0000}"/>
    <cellStyle name="Vírgula" xfId="1" builtinId="3" customBuiltin="1"/>
    <cellStyle name="Vírgula 10" xfId="22864" xr:uid="{00000000-0005-0000-0000-0000FE7B0000}"/>
    <cellStyle name="Vírgula 10 10" xfId="32214" xr:uid="{00000000-0005-0000-0000-0000FF7B0000}"/>
    <cellStyle name="Vírgula 10 10 2" xfId="32215" xr:uid="{00000000-0005-0000-0000-0000007C0000}"/>
    <cellStyle name="Vírgula 10 10 3" xfId="32216" xr:uid="{00000000-0005-0000-0000-0000017C0000}"/>
    <cellStyle name="Vírgula 10 10 4" xfId="32217" xr:uid="{00000000-0005-0000-0000-0000027C0000}"/>
    <cellStyle name="Vírgula 10 11" xfId="32218" xr:uid="{00000000-0005-0000-0000-0000037C0000}"/>
    <cellStyle name="Vírgula 10 11 2" xfId="32219" xr:uid="{00000000-0005-0000-0000-0000047C0000}"/>
    <cellStyle name="Vírgula 10 11 3" xfId="32220" xr:uid="{00000000-0005-0000-0000-0000057C0000}"/>
    <cellStyle name="Vírgula 10 11 4" xfId="32221" xr:uid="{00000000-0005-0000-0000-0000067C0000}"/>
    <cellStyle name="Vírgula 10 12" xfId="32222" xr:uid="{00000000-0005-0000-0000-0000077C0000}"/>
    <cellStyle name="Vírgula 10 12 2" xfId="32223" xr:uid="{00000000-0005-0000-0000-0000087C0000}"/>
    <cellStyle name="Vírgula 10 12 3" xfId="32224" xr:uid="{00000000-0005-0000-0000-0000097C0000}"/>
    <cellStyle name="Vírgula 10 13" xfId="32225" xr:uid="{00000000-0005-0000-0000-00000A7C0000}"/>
    <cellStyle name="Vírgula 10 13 2" xfId="32226" xr:uid="{00000000-0005-0000-0000-00000B7C0000}"/>
    <cellStyle name="Vírgula 10 14" xfId="32227" xr:uid="{00000000-0005-0000-0000-00000C7C0000}"/>
    <cellStyle name="Vírgula 10 15" xfId="32228" xr:uid="{00000000-0005-0000-0000-00000D7C0000}"/>
    <cellStyle name="Vírgula 10 2" xfId="23751" xr:uid="{00000000-0005-0000-0000-00000E7C0000}"/>
    <cellStyle name="Vírgula 10 2 10" xfId="32229" xr:uid="{00000000-0005-0000-0000-00000F7C0000}"/>
    <cellStyle name="Vírgula 10 2 10 2" xfId="32230" xr:uid="{00000000-0005-0000-0000-0000107C0000}"/>
    <cellStyle name="Vírgula 10 2 10 3" xfId="32231" xr:uid="{00000000-0005-0000-0000-0000117C0000}"/>
    <cellStyle name="Vírgula 10 2 10 4" xfId="32232" xr:uid="{00000000-0005-0000-0000-0000127C0000}"/>
    <cellStyle name="Vírgula 10 2 11" xfId="32233" xr:uid="{00000000-0005-0000-0000-0000137C0000}"/>
    <cellStyle name="Vírgula 10 2 11 2" xfId="32234" xr:uid="{00000000-0005-0000-0000-0000147C0000}"/>
    <cellStyle name="Vírgula 10 2 11 3" xfId="32235" xr:uid="{00000000-0005-0000-0000-0000157C0000}"/>
    <cellStyle name="Vírgula 10 2 12" xfId="32236" xr:uid="{00000000-0005-0000-0000-0000167C0000}"/>
    <cellStyle name="Vírgula 10 2 12 2" xfId="32237" xr:uid="{00000000-0005-0000-0000-0000177C0000}"/>
    <cellStyle name="Vírgula 10 2 13" xfId="32238" xr:uid="{00000000-0005-0000-0000-0000187C0000}"/>
    <cellStyle name="Vírgula 10 2 14" xfId="32239" xr:uid="{00000000-0005-0000-0000-0000197C0000}"/>
    <cellStyle name="Vírgula 10 2 2" xfId="25527" xr:uid="{00000000-0005-0000-0000-00001A7C0000}"/>
    <cellStyle name="Vírgula 10 2 2 2" xfId="32240" xr:uid="{00000000-0005-0000-0000-00001B7C0000}"/>
    <cellStyle name="Vírgula 10 2 2 2 2" xfId="32241" xr:uid="{00000000-0005-0000-0000-00001C7C0000}"/>
    <cellStyle name="Vírgula 10 2 2 2 2 2" xfId="32242" xr:uid="{00000000-0005-0000-0000-00001D7C0000}"/>
    <cellStyle name="Vírgula 10 2 2 2 2 2 2" xfId="32243" xr:uid="{00000000-0005-0000-0000-00001E7C0000}"/>
    <cellStyle name="Vírgula 10 2 2 2 2 2 3" xfId="32244" xr:uid="{00000000-0005-0000-0000-00001F7C0000}"/>
    <cellStyle name="Vírgula 10 2 2 2 2 2 4" xfId="32245" xr:uid="{00000000-0005-0000-0000-0000207C0000}"/>
    <cellStyle name="Vírgula 10 2 2 2 2 3" xfId="32246" xr:uid="{00000000-0005-0000-0000-0000217C0000}"/>
    <cellStyle name="Vírgula 10 2 2 2 2 4" xfId="32247" xr:uid="{00000000-0005-0000-0000-0000227C0000}"/>
    <cellStyle name="Vírgula 10 2 2 2 2 5" xfId="32248" xr:uid="{00000000-0005-0000-0000-0000237C0000}"/>
    <cellStyle name="Vírgula 10 2 2 2 3" xfId="32249" xr:uid="{00000000-0005-0000-0000-0000247C0000}"/>
    <cellStyle name="Vírgula 10 2 2 2 3 2" xfId="32250" xr:uid="{00000000-0005-0000-0000-0000257C0000}"/>
    <cellStyle name="Vírgula 10 2 2 2 3 3" xfId="32251" xr:uid="{00000000-0005-0000-0000-0000267C0000}"/>
    <cellStyle name="Vírgula 10 2 2 2 3 4" xfId="32252" xr:uid="{00000000-0005-0000-0000-0000277C0000}"/>
    <cellStyle name="Vírgula 10 2 2 2 4" xfId="32253" xr:uid="{00000000-0005-0000-0000-0000287C0000}"/>
    <cellStyle name="Vírgula 10 2 2 2 5" xfId="32254" xr:uid="{00000000-0005-0000-0000-0000297C0000}"/>
    <cellStyle name="Vírgula 10 2 2 2 6" xfId="32255" xr:uid="{00000000-0005-0000-0000-00002A7C0000}"/>
    <cellStyle name="Vírgula 10 2 2 3" xfId="32256" xr:uid="{00000000-0005-0000-0000-00002B7C0000}"/>
    <cellStyle name="Vírgula 10 2 2 3 2" xfId="32257" xr:uid="{00000000-0005-0000-0000-00002C7C0000}"/>
    <cellStyle name="Vírgula 10 2 2 3 2 2" xfId="32258" xr:uid="{00000000-0005-0000-0000-00002D7C0000}"/>
    <cellStyle name="Vírgula 10 2 2 3 2 3" xfId="32259" xr:uid="{00000000-0005-0000-0000-00002E7C0000}"/>
    <cellStyle name="Vírgula 10 2 2 3 2 4" xfId="32260" xr:uid="{00000000-0005-0000-0000-00002F7C0000}"/>
    <cellStyle name="Vírgula 10 2 2 3 3" xfId="32261" xr:uid="{00000000-0005-0000-0000-0000307C0000}"/>
    <cellStyle name="Vírgula 10 2 2 3 4" xfId="32262" xr:uid="{00000000-0005-0000-0000-0000317C0000}"/>
    <cellStyle name="Vírgula 10 2 2 3 5" xfId="32263" xr:uid="{00000000-0005-0000-0000-0000327C0000}"/>
    <cellStyle name="Vírgula 10 2 2 4" xfId="32264" xr:uid="{00000000-0005-0000-0000-0000337C0000}"/>
    <cellStyle name="Vírgula 10 2 2 4 2" xfId="32265" xr:uid="{00000000-0005-0000-0000-0000347C0000}"/>
    <cellStyle name="Vírgula 10 2 2 4 3" xfId="32266" xr:uid="{00000000-0005-0000-0000-0000357C0000}"/>
    <cellStyle name="Vírgula 10 2 2 4 4" xfId="32267" xr:uid="{00000000-0005-0000-0000-0000367C0000}"/>
    <cellStyle name="Vírgula 10 2 2 5" xfId="32268" xr:uid="{00000000-0005-0000-0000-0000377C0000}"/>
    <cellStyle name="Vírgula 10 2 2 5 2" xfId="32269" xr:uid="{00000000-0005-0000-0000-0000387C0000}"/>
    <cellStyle name="Vírgula 10 2 2 5 3" xfId="32270" xr:uid="{00000000-0005-0000-0000-0000397C0000}"/>
    <cellStyle name="Vírgula 10 2 2 5 4" xfId="32271" xr:uid="{00000000-0005-0000-0000-00003A7C0000}"/>
    <cellStyle name="Vírgula 10 2 2 6" xfId="32272" xr:uid="{00000000-0005-0000-0000-00003B7C0000}"/>
    <cellStyle name="Vírgula 10 2 2 6 2" xfId="32273" xr:uid="{00000000-0005-0000-0000-00003C7C0000}"/>
    <cellStyle name="Vírgula 10 2 2 6 3" xfId="32274" xr:uid="{00000000-0005-0000-0000-00003D7C0000}"/>
    <cellStyle name="Vírgula 10 2 2 7" xfId="32275" xr:uid="{00000000-0005-0000-0000-00003E7C0000}"/>
    <cellStyle name="Vírgula 10 2 2 8" xfId="32276" xr:uid="{00000000-0005-0000-0000-00003F7C0000}"/>
    <cellStyle name="Vírgula 10 2 2 9" xfId="32277" xr:uid="{00000000-0005-0000-0000-0000407C0000}"/>
    <cellStyle name="Vírgula 10 2 3" xfId="32278" xr:uid="{00000000-0005-0000-0000-0000417C0000}"/>
    <cellStyle name="Vírgula 10 2 3 2" xfId="32279" xr:uid="{00000000-0005-0000-0000-0000427C0000}"/>
    <cellStyle name="Vírgula 10 2 3 2 2" xfId="32280" xr:uid="{00000000-0005-0000-0000-0000437C0000}"/>
    <cellStyle name="Vírgula 10 2 3 2 2 2" xfId="32281" xr:uid="{00000000-0005-0000-0000-0000447C0000}"/>
    <cellStyle name="Vírgula 10 2 3 2 2 2 2" xfId="32282" xr:uid="{00000000-0005-0000-0000-0000457C0000}"/>
    <cellStyle name="Vírgula 10 2 3 2 2 2 3" xfId="32283" xr:uid="{00000000-0005-0000-0000-0000467C0000}"/>
    <cellStyle name="Vírgula 10 2 3 2 2 2 4" xfId="32284" xr:uid="{00000000-0005-0000-0000-0000477C0000}"/>
    <cellStyle name="Vírgula 10 2 3 2 2 3" xfId="32285" xr:uid="{00000000-0005-0000-0000-0000487C0000}"/>
    <cellStyle name="Vírgula 10 2 3 2 2 4" xfId="32286" xr:uid="{00000000-0005-0000-0000-0000497C0000}"/>
    <cellStyle name="Vírgula 10 2 3 2 2 5" xfId="32287" xr:uid="{00000000-0005-0000-0000-00004A7C0000}"/>
    <cellStyle name="Vírgula 10 2 3 2 3" xfId="32288" xr:uid="{00000000-0005-0000-0000-00004B7C0000}"/>
    <cellStyle name="Vírgula 10 2 3 2 3 2" xfId="32289" xr:uid="{00000000-0005-0000-0000-00004C7C0000}"/>
    <cellStyle name="Vírgula 10 2 3 2 3 3" xfId="32290" xr:uid="{00000000-0005-0000-0000-00004D7C0000}"/>
    <cellStyle name="Vírgula 10 2 3 2 3 4" xfId="32291" xr:uid="{00000000-0005-0000-0000-00004E7C0000}"/>
    <cellStyle name="Vírgula 10 2 3 2 4" xfId="32292" xr:uid="{00000000-0005-0000-0000-00004F7C0000}"/>
    <cellStyle name="Vírgula 10 2 3 2 5" xfId="32293" xr:uid="{00000000-0005-0000-0000-0000507C0000}"/>
    <cellStyle name="Vírgula 10 2 3 2 6" xfId="32294" xr:uid="{00000000-0005-0000-0000-0000517C0000}"/>
    <cellStyle name="Vírgula 10 2 3 3" xfId="32295" xr:uid="{00000000-0005-0000-0000-0000527C0000}"/>
    <cellStyle name="Vírgula 10 2 3 3 2" xfId="32296" xr:uid="{00000000-0005-0000-0000-0000537C0000}"/>
    <cellStyle name="Vírgula 10 2 3 3 2 2" xfId="32297" xr:uid="{00000000-0005-0000-0000-0000547C0000}"/>
    <cellStyle name="Vírgula 10 2 3 3 2 3" xfId="32298" xr:uid="{00000000-0005-0000-0000-0000557C0000}"/>
    <cellStyle name="Vírgula 10 2 3 3 2 4" xfId="32299" xr:uid="{00000000-0005-0000-0000-0000567C0000}"/>
    <cellStyle name="Vírgula 10 2 3 3 3" xfId="32300" xr:uid="{00000000-0005-0000-0000-0000577C0000}"/>
    <cellStyle name="Vírgula 10 2 3 3 4" xfId="32301" xr:uid="{00000000-0005-0000-0000-0000587C0000}"/>
    <cellStyle name="Vírgula 10 2 3 3 5" xfId="32302" xr:uid="{00000000-0005-0000-0000-0000597C0000}"/>
    <cellStyle name="Vírgula 10 2 3 4" xfId="32303" xr:uid="{00000000-0005-0000-0000-00005A7C0000}"/>
    <cellStyle name="Vírgula 10 2 3 4 2" xfId="32304" xr:uid="{00000000-0005-0000-0000-00005B7C0000}"/>
    <cellStyle name="Vírgula 10 2 3 4 3" xfId="32305" xr:uid="{00000000-0005-0000-0000-00005C7C0000}"/>
    <cellStyle name="Vírgula 10 2 3 4 4" xfId="32306" xr:uid="{00000000-0005-0000-0000-00005D7C0000}"/>
    <cellStyle name="Vírgula 10 2 3 5" xfId="32307" xr:uid="{00000000-0005-0000-0000-00005E7C0000}"/>
    <cellStyle name="Vírgula 10 2 3 5 2" xfId="32308" xr:uid="{00000000-0005-0000-0000-00005F7C0000}"/>
    <cellStyle name="Vírgula 10 2 3 5 3" xfId="32309" xr:uid="{00000000-0005-0000-0000-0000607C0000}"/>
    <cellStyle name="Vírgula 10 2 3 5 4" xfId="32310" xr:uid="{00000000-0005-0000-0000-0000617C0000}"/>
    <cellStyle name="Vírgula 10 2 3 6" xfId="32311" xr:uid="{00000000-0005-0000-0000-0000627C0000}"/>
    <cellStyle name="Vírgula 10 2 3 6 2" xfId="32312" xr:uid="{00000000-0005-0000-0000-0000637C0000}"/>
    <cellStyle name="Vírgula 10 2 3 6 3" xfId="32313" xr:uid="{00000000-0005-0000-0000-0000647C0000}"/>
    <cellStyle name="Vírgula 10 2 3 7" xfId="32314" xr:uid="{00000000-0005-0000-0000-0000657C0000}"/>
    <cellStyle name="Vírgula 10 2 3 8" xfId="32315" xr:uid="{00000000-0005-0000-0000-0000667C0000}"/>
    <cellStyle name="Vírgula 10 2 3 9" xfId="32316" xr:uid="{00000000-0005-0000-0000-0000677C0000}"/>
    <cellStyle name="Vírgula 10 2 4" xfId="32317" xr:uid="{00000000-0005-0000-0000-0000687C0000}"/>
    <cellStyle name="Vírgula 10 2 4 2" xfId="32318" xr:uid="{00000000-0005-0000-0000-0000697C0000}"/>
    <cellStyle name="Vírgula 10 2 4 2 2" xfId="32319" xr:uid="{00000000-0005-0000-0000-00006A7C0000}"/>
    <cellStyle name="Vírgula 10 2 4 2 2 2" xfId="32320" xr:uid="{00000000-0005-0000-0000-00006B7C0000}"/>
    <cellStyle name="Vírgula 10 2 4 2 2 3" xfId="32321" xr:uid="{00000000-0005-0000-0000-00006C7C0000}"/>
    <cellStyle name="Vírgula 10 2 4 2 2 4" xfId="32322" xr:uid="{00000000-0005-0000-0000-00006D7C0000}"/>
    <cellStyle name="Vírgula 10 2 4 2 3" xfId="32323" xr:uid="{00000000-0005-0000-0000-00006E7C0000}"/>
    <cellStyle name="Vírgula 10 2 4 2 4" xfId="32324" xr:uid="{00000000-0005-0000-0000-00006F7C0000}"/>
    <cellStyle name="Vírgula 10 2 4 2 5" xfId="32325" xr:uid="{00000000-0005-0000-0000-0000707C0000}"/>
    <cellStyle name="Vírgula 10 2 4 3" xfId="32326" xr:uid="{00000000-0005-0000-0000-0000717C0000}"/>
    <cellStyle name="Vírgula 10 2 4 3 2" xfId="32327" xr:uid="{00000000-0005-0000-0000-0000727C0000}"/>
    <cellStyle name="Vírgula 10 2 4 3 3" xfId="32328" xr:uid="{00000000-0005-0000-0000-0000737C0000}"/>
    <cellStyle name="Vírgula 10 2 4 3 4" xfId="32329" xr:uid="{00000000-0005-0000-0000-0000747C0000}"/>
    <cellStyle name="Vírgula 10 2 4 4" xfId="32330" xr:uid="{00000000-0005-0000-0000-0000757C0000}"/>
    <cellStyle name="Vírgula 10 2 4 5" xfId="32331" xr:uid="{00000000-0005-0000-0000-0000767C0000}"/>
    <cellStyle name="Vírgula 10 2 4 6" xfId="32332" xr:uid="{00000000-0005-0000-0000-0000777C0000}"/>
    <cellStyle name="Vírgula 10 2 5" xfId="32333" xr:uid="{00000000-0005-0000-0000-0000787C0000}"/>
    <cellStyle name="Vírgula 10 2 5 2" xfId="32334" xr:uid="{00000000-0005-0000-0000-0000797C0000}"/>
    <cellStyle name="Vírgula 10 2 5 2 2" xfId="32335" xr:uid="{00000000-0005-0000-0000-00007A7C0000}"/>
    <cellStyle name="Vírgula 10 2 5 2 2 2" xfId="32336" xr:uid="{00000000-0005-0000-0000-00007B7C0000}"/>
    <cellStyle name="Vírgula 10 2 5 2 2 3" xfId="32337" xr:uid="{00000000-0005-0000-0000-00007C7C0000}"/>
    <cellStyle name="Vírgula 10 2 5 2 2 4" xfId="32338" xr:uid="{00000000-0005-0000-0000-00007D7C0000}"/>
    <cellStyle name="Vírgula 10 2 5 2 3" xfId="32339" xr:uid="{00000000-0005-0000-0000-00007E7C0000}"/>
    <cellStyle name="Vírgula 10 2 5 2 4" xfId="32340" xr:uid="{00000000-0005-0000-0000-00007F7C0000}"/>
    <cellStyle name="Vírgula 10 2 5 2 5" xfId="32341" xr:uid="{00000000-0005-0000-0000-0000807C0000}"/>
    <cellStyle name="Vírgula 10 2 5 3" xfId="32342" xr:uid="{00000000-0005-0000-0000-0000817C0000}"/>
    <cellStyle name="Vírgula 10 2 5 3 2" xfId="32343" xr:uid="{00000000-0005-0000-0000-0000827C0000}"/>
    <cellStyle name="Vírgula 10 2 5 3 3" xfId="32344" xr:uid="{00000000-0005-0000-0000-0000837C0000}"/>
    <cellStyle name="Vírgula 10 2 5 3 4" xfId="32345" xr:uid="{00000000-0005-0000-0000-0000847C0000}"/>
    <cellStyle name="Vírgula 10 2 5 4" xfId="32346" xr:uid="{00000000-0005-0000-0000-0000857C0000}"/>
    <cellStyle name="Vírgula 10 2 5 5" xfId="32347" xr:uid="{00000000-0005-0000-0000-0000867C0000}"/>
    <cellStyle name="Vírgula 10 2 5 6" xfId="32348" xr:uid="{00000000-0005-0000-0000-0000877C0000}"/>
    <cellStyle name="Vírgula 10 2 6" xfId="32349" xr:uid="{00000000-0005-0000-0000-0000887C0000}"/>
    <cellStyle name="Vírgula 10 2 6 2" xfId="32350" xr:uid="{00000000-0005-0000-0000-0000897C0000}"/>
    <cellStyle name="Vírgula 10 2 6 2 2" xfId="32351" xr:uid="{00000000-0005-0000-0000-00008A7C0000}"/>
    <cellStyle name="Vírgula 10 2 6 2 2 2" xfId="32352" xr:uid="{00000000-0005-0000-0000-00008B7C0000}"/>
    <cellStyle name="Vírgula 10 2 6 2 2 3" xfId="32353" xr:uid="{00000000-0005-0000-0000-00008C7C0000}"/>
    <cellStyle name="Vírgula 10 2 6 2 2 4" xfId="32354" xr:uid="{00000000-0005-0000-0000-00008D7C0000}"/>
    <cellStyle name="Vírgula 10 2 6 2 3" xfId="32355" xr:uid="{00000000-0005-0000-0000-00008E7C0000}"/>
    <cellStyle name="Vírgula 10 2 6 2 4" xfId="32356" xr:uid="{00000000-0005-0000-0000-00008F7C0000}"/>
    <cellStyle name="Vírgula 10 2 6 2 5" xfId="32357" xr:uid="{00000000-0005-0000-0000-0000907C0000}"/>
    <cellStyle name="Vírgula 10 2 6 3" xfId="32358" xr:uid="{00000000-0005-0000-0000-0000917C0000}"/>
    <cellStyle name="Vírgula 10 2 6 3 2" xfId="32359" xr:uid="{00000000-0005-0000-0000-0000927C0000}"/>
    <cellStyle name="Vírgula 10 2 6 3 3" xfId="32360" xr:uid="{00000000-0005-0000-0000-0000937C0000}"/>
    <cellStyle name="Vírgula 10 2 6 3 4" xfId="32361" xr:uid="{00000000-0005-0000-0000-0000947C0000}"/>
    <cellStyle name="Vírgula 10 2 6 4" xfId="32362" xr:uid="{00000000-0005-0000-0000-0000957C0000}"/>
    <cellStyle name="Vírgula 10 2 6 5" xfId="32363" xr:uid="{00000000-0005-0000-0000-0000967C0000}"/>
    <cellStyle name="Vírgula 10 2 6 6" xfId="32364" xr:uid="{00000000-0005-0000-0000-0000977C0000}"/>
    <cellStyle name="Vírgula 10 2 7" xfId="32365" xr:uid="{00000000-0005-0000-0000-0000987C0000}"/>
    <cellStyle name="Vírgula 10 2 7 2" xfId="32366" xr:uid="{00000000-0005-0000-0000-0000997C0000}"/>
    <cellStyle name="Vírgula 10 2 7 2 2" xfId="32367" xr:uid="{00000000-0005-0000-0000-00009A7C0000}"/>
    <cellStyle name="Vírgula 10 2 7 2 3" xfId="32368" xr:uid="{00000000-0005-0000-0000-00009B7C0000}"/>
    <cellStyle name="Vírgula 10 2 7 2 4" xfId="32369" xr:uid="{00000000-0005-0000-0000-00009C7C0000}"/>
    <cellStyle name="Vírgula 10 2 7 3" xfId="32370" xr:uid="{00000000-0005-0000-0000-00009D7C0000}"/>
    <cellStyle name="Vírgula 10 2 7 4" xfId="32371" xr:uid="{00000000-0005-0000-0000-00009E7C0000}"/>
    <cellStyle name="Vírgula 10 2 7 5" xfId="32372" xr:uid="{00000000-0005-0000-0000-00009F7C0000}"/>
    <cellStyle name="Vírgula 10 2 8" xfId="32373" xr:uid="{00000000-0005-0000-0000-0000A07C0000}"/>
    <cellStyle name="Vírgula 10 2 8 2" xfId="32374" xr:uid="{00000000-0005-0000-0000-0000A17C0000}"/>
    <cellStyle name="Vírgula 10 2 8 3" xfId="32375" xr:uid="{00000000-0005-0000-0000-0000A27C0000}"/>
    <cellStyle name="Vírgula 10 2 8 4" xfId="32376" xr:uid="{00000000-0005-0000-0000-0000A37C0000}"/>
    <cellStyle name="Vírgula 10 2 9" xfId="32377" xr:uid="{00000000-0005-0000-0000-0000A47C0000}"/>
    <cellStyle name="Vírgula 10 2 9 2" xfId="32378" xr:uid="{00000000-0005-0000-0000-0000A57C0000}"/>
    <cellStyle name="Vírgula 10 2 9 3" xfId="32379" xr:uid="{00000000-0005-0000-0000-0000A67C0000}"/>
    <cellStyle name="Vírgula 10 2 9 4" xfId="32380" xr:uid="{00000000-0005-0000-0000-0000A77C0000}"/>
    <cellStyle name="Vírgula 10 3" xfId="24639" xr:uid="{00000000-0005-0000-0000-0000A87C0000}"/>
    <cellStyle name="Vírgula 10 3 2" xfId="32381" xr:uid="{00000000-0005-0000-0000-0000A97C0000}"/>
    <cellStyle name="Vírgula 10 3 2 2" xfId="32382" xr:uid="{00000000-0005-0000-0000-0000AA7C0000}"/>
    <cellStyle name="Vírgula 10 3 2 2 2" xfId="32383" xr:uid="{00000000-0005-0000-0000-0000AB7C0000}"/>
    <cellStyle name="Vírgula 10 3 2 2 2 2" xfId="32384" xr:uid="{00000000-0005-0000-0000-0000AC7C0000}"/>
    <cellStyle name="Vírgula 10 3 2 2 2 3" xfId="32385" xr:uid="{00000000-0005-0000-0000-0000AD7C0000}"/>
    <cellStyle name="Vírgula 10 3 2 2 2 4" xfId="32386" xr:uid="{00000000-0005-0000-0000-0000AE7C0000}"/>
    <cellStyle name="Vírgula 10 3 2 2 3" xfId="32387" xr:uid="{00000000-0005-0000-0000-0000AF7C0000}"/>
    <cellStyle name="Vírgula 10 3 2 2 4" xfId="32388" xr:uid="{00000000-0005-0000-0000-0000B07C0000}"/>
    <cellStyle name="Vírgula 10 3 2 2 5" xfId="32389" xr:uid="{00000000-0005-0000-0000-0000B17C0000}"/>
    <cellStyle name="Vírgula 10 3 2 3" xfId="32390" xr:uid="{00000000-0005-0000-0000-0000B27C0000}"/>
    <cellStyle name="Vírgula 10 3 2 3 2" xfId="32391" xr:uid="{00000000-0005-0000-0000-0000B37C0000}"/>
    <cellStyle name="Vírgula 10 3 2 3 3" xfId="32392" xr:uid="{00000000-0005-0000-0000-0000B47C0000}"/>
    <cellStyle name="Vírgula 10 3 2 3 4" xfId="32393" xr:uid="{00000000-0005-0000-0000-0000B57C0000}"/>
    <cellStyle name="Vírgula 10 3 2 4" xfId="32394" xr:uid="{00000000-0005-0000-0000-0000B67C0000}"/>
    <cellStyle name="Vírgula 10 3 2 5" xfId="32395" xr:uid="{00000000-0005-0000-0000-0000B77C0000}"/>
    <cellStyle name="Vírgula 10 3 2 6" xfId="32396" xr:uid="{00000000-0005-0000-0000-0000B87C0000}"/>
    <cellStyle name="Vírgula 10 3 3" xfId="32397" xr:uid="{00000000-0005-0000-0000-0000B97C0000}"/>
    <cellStyle name="Vírgula 10 3 3 2" xfId="32398" xr:uid="{00000000-0005-0000-0000-0000BA7C0000}"/>
    <cellStyle name="Vírgula 10 3 3 2 2" xfId="32399" xr:uid="{00000000-0005-0000-0000-0000BB7C0000}"/>
    <cellStyle name="Vírgula 10 3 3 2 3" xfId="32400" xr:uid="{00000000-0005-0000-0000-0000BC7C0000}"/>
    <cellStyle name="Vírgula 10 3 3 2 4" xfId="32401" xr:uid="{00000000-0005-0000-0000-0000BD7C0000}"/>
    <cellStyle name="Vírgula 10 3 3 3" xfId="32402" xr:uid="{00000000-0005-0000-0000-0000BE7C0000}"/>
    <cellStyle name="Vírgula 10 3 3 4" xfId="32403" xr:uid="{00000000-0005-0000-0000-0000BF7C0000}"/>
    <cellStyle name="Vírgula 10 3 3 5" xfId="32404" xr:uid="{00000000-0005-0000-0000-0000C07C0000}"/>
    <cellStyle name="Vírgula 10 3 4" xfId="32405" xr:uid="{00000000-0005-0000-0000-0000C17C0000}"/>
    <cellStyle name="Vírgula 10 3 4 2" xfId="32406" xr:uid="{00000000-0005-0000-0000-0000C27C0000}"/>
    <cellStyle name="Vírgula 10 3 4 3" xfId="32407" xr:uid="{00000000-0005-0000-0000-0000C37C0000}"/>
    <cellStyle name="Vírgula 10 3 4 4" xfId="32408" xr:uid="{00000000-0005-0000-0000-0000C47C0000}"/>
    <cellStyle name="Vírgula 10 3 5" xfId="32409" xr:uid="{00000000-0005-0000-0000-0000C57C0000}"/>
    <cellStyle name="Vírgula 10 3 5 2" xfId="32410" xr:uid="{00000000-0005-0000-0000-0000C67C0000}"/>
    <cellStyle name="Vírgula 10 3 5 3" xfId="32411" xr:uid="{00000000-0005-0000-0000-0000C77C0000}"/>
    <cellStyle name="Vírgula 10 3 5 4" xfId="32412" xr:uid="{00000000-0005-0000-0000-0000C87C0000}"/>
    <cellStyle name="Vírgula 10 3 6" xfId="32413" xr:uid="{00000000-0005-0000-0000-0000C97C0000}"/>
    <cellStyle name="Vírgula 10 3 6 2" xfId="32414" xr:uid="{00000000-0005-0000-0000-0000CA7C0000}"/>
    <cellStyle name="Vírgula 10 3 6 3" xfId="32415" xr:uid="{00000000-0005-0000-0000-0000CB7C0000}"/>
    <cellStyle name="Vírgula 10 3 7" xfId="32416" xr:uid="{00000000-0005-0000-0000-0000CC7C0000}"/>
    <cellStyle name="Vírgula 10 3 8" xfId="32417" xr:uid="{00000000-0005-0000-0000-0000CD7C0000}"/>
    <cellStyle name="Vírgula 10 3 9" xfId="32418" xr:uid="{00000000-0005-0000-0000-0000CE7C0000}"/>
    <cellStyle name="Vírgula 10 4" xfId="26659" xr:uid="{00000000-0005-0000-0000-0000CF7C0000}"/>
    <cellStyle name="Vírgula 10 4 2" xfId="32419" xr:uid="{00000000-0005-0000-0000-0000D07C0000}"/>
    <cellStyle name="Vírgula 10 4 2 2" xfId="32420" xr:uid="{00000000-0005-0000-0000-0000D17C0000}"/>
    <cellStyle name="Vírgula 10 4 2 2 2" xfId="32421" xr:uid="{00000000-0005-0000-0000-0000D27C0000}"/>
    <cellStyle name="Vírgula 10 4 2 2 2 2" xfId="32422" xr:uid="{00000000-0005-0000-0000-0000D37C0000}"/>
    <cellStyle name="Vírgula 10 4 2 2 2 3" xfId="32423" xr:uid="{00000000-0005-0000-0000-0000D47C0000}"/>
    <cellStyle name="Vírgula 10 4 2 2 2 4" xfId="32424" xr:uid="{00000000-0005-0000-0000-0000D57C0000}"/>
    <cellStyle name="Vírgula 10 4 2 2 3" xfId="32425" xr:uid="{00000000-0005-0000-0000-0000D67C0000}"/>
    <cellStyle name="Vírgula 10 4 2 2 4" xfId="32426" xr:uid="{00000000-0005-0000-0000-0000D77C0000}"/>
    <cellStyle name="Vírgula 10 4 2 2 5" xfId="32427" xr:uid="{00000000-0005-0000-0000-0000D87C0000}"/>
    <cellStyle name="Vírgula 10 4 2 3" xfId="32428" xr:uid="{00000000-0005-0000-0000-0000D97C0000}"/>
    <cellStyle name="Vírgula 10 4 2 3 2" xfId="32429" xr:uid="{00000000-0005-0000-0000-0000DA7C0000}"/>
    <cellStyle name="Vírgula 10 4 2 3 3" xfId="32430" xr:uid="{00000000-0005-0000-0000-0000DB7C0000}"/>
    <cellStyle name="Vírgula 10 4 2 3 4" xfId="32431" xr:uid="{00000000-0005-0000-0000-0000DC7C0000}"/>
    <cellStyle name="Vírgula 10 4 2 4" xfId="32432" xr:uid="{00000000-0005-0000-0000-0000DD7C0000}"/>
    <cellStyle name="Vírgula 10 4 2 5" xfId="32433" xr:uid="{00000000-0005-0000-0000-0000DE7C0000}"/>
    <cellStyle name="Vírgula 10 4 2 6" xfId="32434" xr:uid="{00000000-0005-0000-0000-0000DF7C0000}"/>
    <cellStyle name="Vírgula 10 4 3" xfId="32435" xr:uid="{00000000-0005-0000-0000-0000E07C0000}"/>
    <cellStyle name="Vírgula 10 4 3 2" xfId="32436" xr:uid="{00000000-0005-0000-0000-0000E17C0000}"/>
    <cellStyle name="Vírgula 10 4 3 2 2" xfId="32437" xr:uid="{00000000-0005-0000-0000-0000E27C0000}"/>
    <cellStyle name="Vírgula 10 4 3 2 3" xfId="32438" xr:uid="{00000000-0005-0000-0000-0000E37C0000}"/>
    <cellStyle name="Vírgula 10 4 3 2 4" xfId="32439" xr:uid="{00000000-0005-0000-0000-0000E47C0000}"/>
    <cellStyle name="Vírgula 10 4 3 3" xfId="32440" xr:uid="{00000000-0005-0000-0000-0000E57C0000}"/>
    <cellStyle name="Vírgula 10 4 3 4" xfId="32441" xr:uid="{00000000-0005-0000-0000-0000E67C0000}"/>
    <cellStyle name="Vírgula 10 4 3 5" xfId="32442" xr:uid="{00000000-0005-0000-0000-0000E77C0000}"/>
    <cellStyle name="Vírgula 10 4 4" xfId="32443" xr:uid="{00000000-0005-0000-0000-0000E87C0000}"/>
    <cellStyle name="Vírgula 10 4 4 2" xfId="32444" xr:uid="{00000000-0005-0000-0000-0000E97C0000}"/>
    <cellStyle name="Vírgula 10 4 4 3" xfId="32445" xr:uid="{00000000-0005-0000-0000-0000EA7C0000}"/>
    <cellStyle name="Vírgula 10 4 4 4" xfId="32446" xr:uid="{00000000-0005-0000-0000-0000EB7C0000}"/>
    <cellStyle name="Vírgula 10 4 5" xfId="32447" xr:uid="{00000000-0005-0000-0000-0000EC7C0000}"/>
    <cellStyle name="Vírgula 10 4 5 2" xfId="32448" xr:uid="{00000000-0005-0000-0000-0000ED7C0000}"/>
    <cellStyle name="Vírgula 10 4 5 3" xfId="32449" xr:uid="{00000000-0005-0000-0000-0000EE7C0000}"/>
    <cellStyle name="Vírgula 10 4 5 4" xfId="32450" xr:uid="{00000000-0005-0000-0000-0000EF7C0000}"/>
    <cellStyle name="Vírgula 10 4 6" xfId="32451" xr:uid="{00000000-0005-0000-0000-0000F07C0000}"/>
    <cellStyle name="Vírgula 10 4 6 2" xfId="32452" xr:uid="{00000000-0005-0000-0000-0000F17C0000}"/>
    <cellStyle name="Vírgula 10 4 6 3" xfId="32453" xr:uid="{00000000-0005-0000-0000-0000F27C0000}"/>
    <cellStyle name="Vírgula 10 4 7" xfId="32454" xr:uid="{00000000-0005-0000-0000-0000F37C0000}"/>
    <cellStyle name="Vírgula 10 4 8" xfId="32455" xr:uid="{00000000-0005-0000-0000-0000F47C0000}"/>
    <cellStyle name="Vírgula 10 4 9" xfId="32456" xr:uid="{00000000-0005-0000-0000-0000F57C0000}"/>
    <cellStyle name="Vírgula 10 5" xfId="32457" xr:uid="{00000000-0005-0000-0000-0000F67C0000}"/>
    <cellStyle name="Vírgula 10 5 2" xfId="32458" xr:uid="{00000000-0005-0000-0000-0000F77C0000}"/>
    <cellStyle name="Vírgula 10 5 2 2" xfId="32459" xr:uid="{00000000-0005-0000-0000-0000F87C0000}"/>
    <cellStyle name="Vírgula 10 5 2 2 2" xfId="32460" xr:uid="{00000000-0005-0000-0000-0000F97C0000}"/>
    <cellStyle name="Vírgula 10 5 2 2 3" xfId="32461" xr:uid="{00000000-0005-0000-0000-0000FA7C0000}"/>
    <cellStyle name="Vírgula 10 5 2 2 4" xfId="32462" xr:uid="{00000000-0005-0000-0000-0000FB7C0000}"/>
    <cellStyle name="Vírgula 10 5 2 3" xfId="32463" xr:uid="{00000000-0005-0000-0000-0000FC7C0000}"/>
    <cellStyle name="Vírgula 10 5 2 4" xfId="32464" xr:uid="{00000000-0005-0000-0000-0000FD7C0000}"/>
    <cellStyle name="Vírgula 10 5 2 5" xfId="32465" xr:uid="{00000000-0005-0000-0000-0000FE7C0000}"/>
    <cellStyle name="Vírgula 10 5 3" xfId="32466" xr:uid="{00000000-0005-0000-0000-0000FF7C0000}"/>
    <cellStyle name="Vírgula 10 5 3 2" xfId="32467" xr:uid="{00000000-0005-0000-0000-0000007D0000}"/>
    <cellStyle name="Vírgula 10 5 3 3" xfId="32468" xr:uid="{00000000-0005-0000-0000-0000017D0000}"/>
    <cellStyle name="Vírgula 10 5 3 4" xfId="32469" xr:uid="{00000000-0005-0000-0000-0000027D0000}"/>
    <cellStyle name="Vírgula 10 5 4" xfId="32470" xr:uid="{00000000-0005-0000-0000-0000037D0000}"/>
    <cellStyle name="Vírgula 10 5 5" xfId="32471" xr:uid="{00000000-0005-0000-0000-0000047D0000}"/>
    <cellStyle name="Vírgula 10 5 6" xfId="32472" xr:uid="{00000000-0005-0000-0000-0000057D0000}"/>
    <cellStyle name="Vírgula 10 6" xfId="32473" xr:uid="{00000000-0005-0000-0000-0000067D0000}"/>
    <cellStyle name="Vírgula 10 6 2" xfId="32474" xr:uid="{00000000-0005-0000-0000-0000077D0000}"/>
    <cellStyle name="Vírgula 10 6 2 2" xfId="32475" xr:uid="{00000000-0005-0000-0000-0000087D0000}"/>
    <cellStyle name="Vírgula 10 6 2 2 2" xfId="32476" xr:uid="{00000000-0005-0000-0000-0000097D0000}"/>
    <cellStyle name="Vírgula 10 6 2 2 3" xfId="32477" xr:uid="{00000000-0005-0000-0000-00000A7D0000}"/>
    <cellStyle name="Vírgula 10 6 2 2 4" xfId="32478" xr:uid="{00000000-0005-0000-0000-00000B7D0000}"/>
    <cellStyle name="Vírgula 10 6 2 3" xfId="32479" xr:uid="{00000000-0005-0000-0000-00000C7D0000}"/>
    <cellStyle name="Vírgula 10 6 2 4" xfId="32480" xr:uid="{00000000-0005-0000-0000-00000D7D0000}"/>
    <cellStyle name="Vírgula 10 6 2 5" xfId="32481" xr:uid="{00000000-0005-0000-0000-00000E7D0000}"/>
    <cellStyle name="Vírgula 10 6 3" xfId="32482" xr:uid="{00000000-0005-0000-0000-00000F7D0000}"/>
    <cellStyle name="Vírgula 10 6 3 2" xfId="32483" xr:uid="{00000000-0005-0000-0000-0000107D0000}"/>
    <cellStyle name="Vírgula 10 6 3 3" xfId="32484" xr:uid="{00000000-0005-0000-0000-0000117D0000}"/>
    <cellStyle name="Vírgula 10 6 3 4" xfId="32485" xr:uid="{00000000-0005-0000-0000-0000127D0000}"/>
    <cellStyle name="Vírgula 10 6 4" xfId="32486" xr:uid="{00000000-0005-0000-0000-0000137D0000}"/>
    <cellStyle name="Vírgula 10 6 5" xfId="32487" xr:uid="{00000000-0005-0000-0000-0000147D0000}"/>
    <cellStyle name="Vírgula 10 6 6" xfId="32488" xr:uid="{00000000-0005-0000-0000-0000157D0000}"/>
    <cellStyle name="Vírgula 10 7" xfId="32489" xr:uid="{00000000-0005-0000-0000-0000167D0000}"/>
    <cellStyle name="Vírgula 10 7 2" xfId="32490" xr:uid="{00000000-0005-0000-0000-0000177D0000}"/>
    <cellStyle name="Vírgula 10 7 2 2" xfId="32491" xr:uid="{00000000-0005-0000-0000-0000187D0000}"/>
    <cellStyle name="Vírgula 10 7 2 2 2" xfId="32492" xr:uid="{00000000-0005-0000-0000-0000197D0000}"/>
    <cellStyle name="Vírgula 10 7 2 2 3" xfId="32493" xr:uid="{00000000-0005-0000-0000-00001A7D0000}"/>
    <cellStyle name="Vírgula 10 7 2 2 4" xfId="32494" xr:uid="{00000000-0005-0000-0000-00001B7D0000}"/>
    <cellStyle name="Vírgula 10 7 2 3" xfId="32495" xr:uid="{00000000-0005-0000-0000-00001C7D0000}"/>
    <cellStyle name="Vírgula 10 7 2 4" xfId="32496" xr:uid="{00000000-0005-0000-0000-00001D7D0000}"/>
    <cellStyle name="Vírgula 10 7 2 5" xfId="32497" xr:uid="{00000000-0005-0000-0000-00001E7D0000}"/>
    <cellStyle name="Vírgula 10 7 3" xfId="32498" xr:uid="{00000000-0005-0000-0000-00001F7D0000}"/>
    <cellStyle name="Vírgula 10 7 3 2" xfId="32499" xr:uid="{00000000-0005-0000-0000-0000207D0000}"/>
    <cellStyle name="Vírgula 10 7 3 3" xfId="32500" xr:uid="{00000000-0005-0000-0000-0000217D0000}"/>
    <cellStyle name="Vírgula 10 7 3 4" xfId="32501" xr:uid="{00000000-0005-0000-0000-0000227D0000}"/>
    <cellStyle name="Vírgula 10 7 4" xfId="32502" xr:uid="{00000000-0005-0000-0000-0000237D0000}"/>
    <cellStyle name="Vírgula 10 7 5" xfId="32503" xr:uid="{00000000-0005-0000-0000-0000247D0000}"/>
    <cellStyle name="Vírgula 10 7 6" xfId="32504" xr:uid="{00000000-0005-0000-0000-0000257D0000}"/>
    <cellStyle name="Vírgula 10 8" xfId="32505" xr:uid="{00000000-0005-0000-0000-0000267D0000}"/>
    <cellStyle name="Vírgula 10 8 2" xfId="32506" xr:uid="{00000000-0005-0000-0000-0000277D0000}"/>
    <cellStyle name="Vírgula 10 8 2 2" xfId="32507" xr:uid="{00000000-0005-0000-0000-0000287D0000}"/>
    <cellStyle name="Vírgula 10 8 2 3" xfId="32508" xr:uid="{00000000-0005-0000-0000-0000297D0000}"/>
    <cellStyle name="Vírgula 10 8 2 4" xfId="32509" xr:uid="{00000000-0005-0000-0000-00002A7D0000}"/>
    <cellStyle name="Vírgula 10 8 3" xfId="32510" xr:uid="{00000000-0005-0000-0000-00002B7D0000}"/>
    <cellStyle name="Vírgula 10 8 4" xfId="32511" xr:uid="{00000000-0005-0000-0000-00002C7D0000}"/>
    <cellStyle name="Vírgula 10 8 5" xfId="32512" xr:uid="{00000000-0005-0000-0000-00002D7D0000}"/>
    <cellStyle name="Vírgula 10 9" xfId="32513" xr:uid="{00000000-0005-0000-0000-00002E7D0000}"/>
    <cellStyle name="Vírgula 10 9 2" xfId="32514" xr:uid="{00000000-0005-0000-0000-00002F7D0000}"/>
    <cellStyle name="Vírgula 10 9 3" xfId="32515" xr:uid="{00000000-0005-0000-0000-0000307D0000}"/>
    <cellStyle name="Vírgula 10 9 4" xfId="32516" xr:uid="{00000000-0005-0000-0000-0000317D0000}"/>
    <cellStyle name="Vírgula 11" xfId="23248" xr:uid="{00000000-0005-0000-0000-0000327D0000}"/>
    <cellStyle name="Vírgula 11 2" xfId="25024" xr:uid="{00000000-0005-0000-0000-0000337D0000}"/>
    <cellStyle name="Vírgula 11 2 2" xfId="32517" xr:uid="{00000000-0005-0000-0000-0000347D0000}"/>
    <cellStyle name="Vírgula 11 3" xfId="32518" xr:uid="{00000000-0005-0000-0000-0000357D0000}"/>
    <cellStyle name="Vírgula 11 4" xfId="32519" xr:uid="{00000000-0005-0000-0000-0000367D0000}"/>
    <cellStyle name="Vírgula 12" xfId="24136" xr:uid="{00000000-0005-0000-0000-0000377D0000}"/>
    <cellStyle name="Vírgula 12 10" xfId="32520" xr:uid="{00000000-0005-0000-0000-0000387D0000}"/>
    <cellStyle name="Vírgula 12 10 2" xfId="32521" xr:uid="{00000000-0005-0000-0000-0000397D0000}"/>
    <cellStyle name="Vírgula 12 10 3" xfId="32522" xr:uid="{00000000-0005-0000-0000-00003A7D0000}"/>
    <cellStyle name="Vírgula 12 10 4" xfId="32523" xr:uid="{00000000-0005-0000-0000-00003B7D0000}"/>
    <cellStyle name="Vírgula 12 11" xfId="32524" xr:uid="{00000000-0005-0000-0000-00003C7D0000}"/>
    <cellStyle name="Vírgula 12 11 2" xfId="32525" xr:uid="{00000000-0005-0000-0000-00003D7D0000}"/>
    <cellStyle name="Vírgula 12 11 3" xfId="32526" xr:uid="{00000000-0005-0000-0000-00003E7D0000}"/>
    <cellStyle name="Vírgula 12 12" xfId="32527" xr:uid="{00000000-0005-0000-0000-00003F7D0000}"/>
    <cellStyle name="Vírgula 12 12 2" xfId="32528" xr:uid="{00000000-0005-0000-0000-0000407D0000}"/>
    <cellStyle name="Vírgula 12 13" xfId="32529" xr:uid="{00000000-0005-0000-0000-0000417D0000}"/>
    <cellStyle name="Vírgula 12 14" xfId="32530" xr:uid="{00000000-0005-0000-0000-0000427D0000}"/>
    <cellStyle name="Vírgula 12 2" xfId="32531" xr:uid="{00000000-0005-0000-0000-0000437D0000}"/>
    <cellStyle name="Vírgula 12 2 2" xfId="32532" xr:uid="{00000000-0005-0000-0000-0000447D0000}"/>
    <cellStyle name="Vírgula 12 2 2 2" xfId="32533" xr:uid="{00000000-0005-0000-0000-0000457D0000}"/>
    <cellStyle name="Vírgula 12 2 2 2 2" xfId="32534" xr:uid="{00000000-0005-0000-0000-0000467D0000}"/>
    <cellStyle name="Vírgula 12 2 2 2 2 2" xfId="32535" xr:uid="{00000000-0005-0000-0000-0000477D0000}"/>
    <cellStyle name="Vírgula 12 2 2 2 2 3" xfId="32536" xr:uid="{00000000-0005-0000-0000-0000487D0000}"/>
    <cellStyle name="Vírgula 12 2 2 2 2 4" xfId="32537" xr:uid="{00000000-0005-0000-0000-0000497D0000}"/>
    <cellStyle name="Vírgula 12 2 2 2 3" xfId="32538" xr:uid="{00000000-0005-0000-0000-00004A7D0000}"/>
    <cellStyle name="Vírgula 12 2 2 2 4" xfId="32539" xr:uid="{00000000-0005-0000-0000-00004B7D0000}"/>
    <cellStyle name="Vírgula 12 2 2 2 5" xfId="32540" xr:uid="{00000000-0005-0000-0000-00004C7D0000}"/>
    <cellStyle name="Vírgula 12 2 2 3" xfId="32541" xr:uid="{00000000-0005-0000-0000-00004D7D0000}"/>
    <cellStyle name="Vírgula 12 2 2 3 2" xfId="32542" xr:uid="{00000000-0005-0000-0000-00004E7D0000}"/>
    <cellStyle name="Vírgula 12 2 2 3 3" xfId="32543" xr:uid="{00000000-0005-0000-0000-00004F7D0000}"/>
    <cellStyle name="Vírgula 12 2 2 3 4" xfId="32544" xr:uid="{00000000-0005-0000-0000-0000507D0000}"/>
    <cellStyle name="Vírgula 12 2 2 4" xfId="32545" xr:uid="{00000000-0005-0000-0000-0000517D0000}"/>
    <cellStyle name="Vírgula 12 2 2 5" xfId="32546" xr:uid="{00000000-0005-0000-0000-0000527D0000}"/>
    <cellStyle name="Vírgula 12 2 2 6" xfId="32547" xr:uid="{00000000-0005-0000-0000-0000537D0000}"/>
    <cellStyle name="Vírgula 12 2 3" xfId="32548" xr:uid="{00000000-0005-0000-0000-0000547D0000}"/>
    <cellStyle name="Vírgula 12 2 3 2" xfId="32549" xr:uid="{00000000-0005-0000-0000-0000557D0000}"/>
    <cellStyle name="Vírgula 12 2 3 2 2" xfId="32550" xr:uid="{00000000-0005-0000-0000-0000567D0000}"/>
    <cellStyle name="Vírgula 12 2 3 2 3" xfId="32551" xr:uid="{00000000-0005-0000-0000-0000577D0000}"/>
    <cellStyle name="Vírgula 12 2 3 2 4" xfId="32552" xr:uid="{00000000-0005-0000-0000-0000587D0000}"/>
    <cellStyle name="Vírgula 12 2 3 3" xfId="32553" xr:uid="{00000000-0005-0000-0000-0000597D0000}"/>
    <cellStyle name="Vírgula 12 2 3 4" xfId="32554" xr:uid="{00000000-0005-0000-0000-00005A7D0000}"/>
    <cellStyle name="Vírgula 12 2 3 5" xfId="32555" xr:uid="{00000000-0005-0000-0000-00005B7D0000}"/>
    <cellStyle name="Vírgula 12 2 4" xfId="32556" xr:uid="{00000000-0005-0000-0000-00005C7D0000}"/>
    <cellStyle name="Vírgula 12 2 4 2" xfId="32557" xr:uid="{00000000-0005-0000-0000-00005D7D0000}"/>
    <cellStyle name="Vírgula 12 2 4 3" xfId="32558" xr:uid="{00000000-0005-0000-0000-00005E7D0000}"/>
    <cellStyle name="Vírgula 12 2 4 4" xfId="32559" xr:uid="{00000000-0005-0000-0000-00005F7D0000}"/>
    <cellStyle name="Vírgula 12 2 5" xfId="32560" xr:uid="{00000000-0005-0000-0000-0000607D0000}"/>
    <cellStyle name="Vírgula 12 2 5 2" xfId="32561" xr:uid="{00000000-0005-0000-0000-0000617D0000}"/>
    <cellStyle name="Vírgula 12 2 5 3" xfId="32562" xr:uid="{00000000-0005-0000-0000-0000627D0000}"/>
    <cellStyle name="Vírgula 12 2 5 4" xfId="32563" xr:uid="{00000000-0005-0000-0000-0000637D0000}"/>
    <cellStyle name="Vírgula 12 2 6" xfId="32564" xr:uid="{00000000-0005-0000-0000-0000647D0000}"/>
    <cellStyle name="Vírgula 12 2 6 2" xfId="32565" xr:uid="{00000000-0005-0000-0000-0000657D0000}"/>
    <cellStyle name="Vírgula 12 2 6 3" xfId="32566" xr:uid="{00000000-0005-0000-0000-0000667D0000}"/>
    <cellStyle name="Vírgula 12 2 7" xfId="32567" xr:uid="{00000000-0005-0000-0000-0000677D0000}"/>
    <cellStyle name="Vírgula 12 2 8" xfId="32568" xr:uid="{00000000-0005-0000-0000-0000687D0000}"/>
    <cellStyle name="Vírgula 12 2 9" xfId="32569" xr:uid="{00000000-0005-0000-0000-0000697D0000}"/>
    <cellStyle name="Vírgula 12 3" xfId="32570" xr:uid="{00000000-0005-0000-0000-00006A7D0000}"/>
    <cellStyle name="Vírgula 12 3 2" xfId="32571" xr:uid="{00000000-0005-0000-0000-00006B7D0000}"/>
    <cellStyle name="Vírgula 12 3 2 2" xfId="32572" xr:uid="{00000000-0005-0000-0000-00006C7D0000}"/>
    <cellStyle name="Vírgula 12 3 2 2 2" xfId="32573" xr:uid="{00000000-0005-0000-0000-00006D7D0000}"/>
    <cellStyle name="Vírgula 12 3 2 2 2 2" xfId="32574" xr:uid="{00000000-0005-0000-0000-00006E7D0000}"/>
    <cellStyle name="Vírgula 12 3 2 2 2 3" xfId="32575" xr:uid="{00000000-0005-0000-0000-00006F7D0000}"/>
    <cellStyle name="Vírgula 12 3 2 2 2 4" xfId="32576" xr:uid="{00000000-0005-0000-0000-0000707D0000}"/>
    <cellStyle name="Vírgula 12 3 2 2 3" xfId="32577" xr:uid="{00000000-0005-0000-0000-0000717D0000}"/>
    <cellStyle name="Vírgula 12 3 2 2 4" xfId="32578" xr:uid="{00000000-0005-0000-0000-0000727D0000}"/>
    <cellStyle name="Vírgula 12 3 2 2 5" xfId="32579" xr:uid="{00000000-0005-0000-0000-0000737D0000}"/>
    <cellStyle name="Vírgula 12 3 2 3" xfId="32580" xr:uid="{00000000-0005-0000-0000-0000747D0000}"/>
    <cellStyle name="Vírgula 12 3 2 3 2" xfId="32581" xr:uid="{00000000-0005-0000-0000-0000757D0000}"/>
    <cellStyle name="Vírgula 12 3 2 3 3" xfId="32582" xr:uid="{00000000-0005-0000-0000-0000767D0000}"/>
    <cellStyle name="Vírgula 12 3 2 3 4" xfId="32583" xr:uid="{00000000-0005-0000-0000-0000777D0000}"/>
    <cellStyle name="Vírgula 12 3 2 4" xfId="32584" xr:uid="{00000000-0005-0000-0000-0000787D0000}"/>
    <cellStyle name="Vírgula 12 3 2 5" xfId="32585" xr:uid="{00000000-0005-0000-0000-0000797D0000}"/>
    <cellStyle name="Vírgula 12 3 2 6" xfId="32586" xr:uid="{00000000-0005-0000-0000-00007A7D0000}"/>
    <cellStyle name="Vírgula 12 3 3" xfId="32587" xr:uid="{00000000-0005-0000-0000-00007B7D0000}"/>
    <cellStyle name="Vírgula 12 3 3 2" xfId="32588" xr:uid="{00000000-0005-0000-0000-00007C7D0000}"/>
    <cellStyle name="Vírgula 12 3 3 2 2" xfId="32589" xr:uid="{00000000-0005-0000-0000-00007D7D0000}"/>
    <cellStyle name="Vírgula 12 3 3 2 3" xfId="32590" xr:uid="{00000000-0005-0000-0000-00007E7D0000}"/>
    <cellStyle name="Vírgula 12 3 3 2 4" xfId="32591" xr:uid="{00000000-0005-0000-0000-00007F7D0000}"/>
    <cellStyle name="Vírgula 12 3 3 3" xfId="32592" xr:uid="{00000000-0005-0000-0000-0000807D0000}"/>
    <cellStyle name="Vírgula 12 3 3 4" xfId="32593" xr:uid="{00000000-0005-0000-0000-0000817D0000}"/>
    <cellStyle name="Vírgula 12 3 3 5" xfId="32594" xr:uid="{00000000-0005-0000-0000-0000827D0000}"/>
    <cellStyle name="Vírgula 12 3 4" xfId="32595" xr:uid="{00000000-0005-0000-0000-0000837D0000}"/>
    <cellStyle name="Vírgula 12 3 4 2" xfId="32596" xr:uid="{00000000-0005-0000-0000-0000847D0000}"/>
    <cellStyle name="Vírgula 12 3 4 3" xfId="32597" xr:uid="{00000000-0005-0000-0000-0000857D0000}"/>
    <cellStyle name="Vírgula 12 3 4 4" xfId="32598" xr:uid="{00000000-0005-0000-0000-0000867D0000}"/>
    <cellStyle name="Vírgula 12 3 5" xfId="32599" xr:uid="{00000000-0005-0000-0000-0000877D0000}"/>
    <cellStyle name="Vírgula 12 3 5 2" xfId="32600" xr:uid="{00000000-0005-0000-0000-0000887D0000}"/>
    <cellStyle name="Vírgula 12 3 5 3" xfId="32601" xr:uid="{00000000-0005-0000-0000-0000897D0000}"/>
    <cellStyle name="Vírgula 12 3 5 4" xfId="32602" xr:uid="{00000000-0005-0000-0000-00008A7D0000}"/>
    <cellStyle name="Vírgula 12 3 6" xfId="32603" xr:uid="{00000000-0005-0000-0000-00008B7D0000}"/>
    <cellStyle name="Vírgula 12 3 6 2" xfId="32604" xr:uid="{00000000-0005-0000-0000-00008C7D0000}"/>
    <cellStyle name="Vírgula 12 3 6 3" xfId="32605" xr:uid="{00000000-0005-0000-0000-00008D7D0000}"/>
    <cellStyle name="Vírgula 12 3 7" xfId="32606" xr:uid="{00000000-0005-0000-0000-00008E7D0000}"/>
    <cellStyle name="Vírgula 12 3 8" xfId="32607" xr:uid="{00000000-0005-0000-0000-00008F7D0000}"/>
    <cellStyle name="Vírgula 12 3 9" xfId="32608" xr:uid="{00000000-0005-0000-0000-0000907D0000}"/>
    <cellStyle name="Vírgula 12 4" xfId="32609" xr:uid="{00000000-0005-0000-0000-0000917D0000}"/>
    <cellStyle name="Vírgula 12 4 2" xfId="32610" xr:uid="{00000000-0005-0000-0000-0000927D0000}"/>
    <cellStyle name="Vírgula 12 4 2 2" xfId="32611" xr:uid="{00000000-0005-0000-0000-0000937D0000}"/>
    <cellStyle name="Vírgula 12 4 2 2 2" xfId="32612" xr:uid="{00000000-0005-0000-0000-0000947D0000}"/>
    <cellStyle name="Vírgula 12 4 2 2 3" xfId="32613" xr:uid="{00000000-0005-0000-0000-0000957D0000}"/>
    <cellStyle name="Vírgula 12 4 2 2 4" xfId="32614" xr:uid="{00000000-0005-0000-0000-0000967D0000}"/>
    <cellStyle name="Vírgula 12 4 2 3" xfId="32615" xr:uid="{00000000-0005-0000-0000-0000977D0000}"/>
    <cellStyle name="Vírgula 12 4 2 4" xfId="32616" xr:uid="{00000000-0005-0000-0000-0000987D0000}"/>
    <cellStyle name="Vírgula 12 4 2 5" xfId="32617" xr:uid="{00000000-0005-0000-0000-0000997D0000}"/>
    <cellStyle name="Vírgula 12 4 3" xfId="32618" xr:uid="{00000000-0005-0000-0000-00009A7D0000}"/>
    <cellStyle name="Vírgula 12 4 3 2" xfId="32619" xr:uid="{00000000-0005-0000-0000-00009B7D0000}"/>
    <cellStyle name="Vírgula 12 4 3 3" xfId="32620" xr:uid="{00000000-0005-0000-0000-00009C7D0000}"/>
    <cellStyle name="Vírgula 12 4 3 4" xfId="32621" xr:uid="{00000000-0005-0000-0000-00009D7D0000}"/>
    <cellStyle name="Vírgula 12 4 4" xfId="32622" xr:uid="{00000000-0005-0000-0000-00009E7D0000}"/>
    <cellStyle name="Vírgula 12 4 5" xfId="32623" xr:uid="{00000000-0005-0000-0000-00009F7D0000}"/>
    <cellStyle name="Vírgula 12 4 6" xfId="32624" xr:uid="{00000000-0005-0000-0000-0000A07D0000}"/>
    <cellStyle name="Vírgula 12 5" xfId="32625" xr:uid="{00000000-0005-0000-0000-0000A17D0000}"/>
    <cellStyle name="Vírgula 12 5 2" xfId="32626" xr:uid="{00000000-0005-0000-0000-0000A27D0000}"/>
    <cellStyle name="Vírgula 12 5 2 2" xfId="32627" xr:uid="{00000000-0005-0000-0000-0000A37D0000}"/>
    <cellStyle name="Vírgula 12 5 2 2 2" xfId="32628" xr:uid="{00000000-0005-0000-0000-0000A47D0000}"/>
    <cellStyle name="Vírgula 12 5 2 2 3" xfId="32629" xr:uid="{00000000-0005-0000-0000-0000A57D0000}"/>
    <cellStyle name="Vírgula 12 5 2 2 4" xfId="32630" xr:uid="{00000000-0005-0000-0000-0000A67D0000}"/>
    <cellStyle name="Vírgula 12 5 2 3" xfId="32631" xr:uid="{00000000-0005-0000-0000-0000A77D0000}"/>
    <cellStyle name="Vírgula 12 5 2 4" xfId="32632" xr:uid="{00000000-0005-0000-0000-0000A87D0000}"/>
    <cellStyle name="Vírgula 12 5 2 5" xfId="32633" xr:uid="{00000000-0005-0000-0000-0000A97D0000}"/>
    <cellStyle name="Vírgula 12 5 3" xfId="32634" xr:uid="{00000000-0005-0000-0000-0000AA7D0000}"/>
    <cellStyle name="Vírgula 12 5 3 2" xfId="32635" xr:uid="{00000000-0005-0000-0000-0000AB7D0000}"/>
    <cellStyle name="Vírgula 12 5 3 3" xfId="32636" xr:uid="{00000000-0005-0000-0000-0000AC7D0000}"/>
    <cellStyle name="Vírgula 12 5 3 4" xfId="32637" xr:uid="{00000000-0005-0000-0000-0000AD7D0000}"/>
    <cellStyle name="Vírgula 12 5 4" xfId="32638" xr:uid="{00000000-0005-0000-0000-0000AE7D0000}"/>
    <cellStyle name="Vírgula 12 5 5" xfId="32639" xr:uid="{00000000-0005-0000-0000-0000AF7D0000}"/>
    <cellStyle name="Vírgula 12 5 6" xfId="32640" xr:uid="{00000000-0005-0000-0000-0000B07D0000}"/>
    <cellStyle name="Vírgula 12 6" xfId="32641" xr:uid="{00000000-0005-0000-0000-0000B17D0000}"/>
    <cellStyle name="Vírgula 12 6 2" xfId="32642" xr:uid="{00000000-0005-0000-0000-0000B27D0000}"/>
    <cellStyle name="Vírgula 12 6 2 2" xfId="32643" xr:uid="{00000000-0005-0000-0000-0000B37D0000}"/>
    <cellStyle name="Vírgula 12 6 2 2 2" xfId="32644" xr:uid="{00000000-0005-0000-0000-0000B47D0000}"/>
    <cellStyle name="Vírgula 12 6 2 2 3" xfId="32645" xr:uid="{00000000-0005-0000-0000-0000B57D0000}"/>
    <cellStyle name="Vírgula 12 6 2 2 4" xfId="32646" xr:uid="{00000000-0005-0000-0000-0000B67D0000}"/>
    <cellStyle name="Vírgula 12 6 2 3" xfId="32647" xr:uid="{00000000-0005-0000-0000-0000B77D0000}"/>
    <cellStyle name="Vírgula 12 6 2 4" xfId="32648" xr:uid="{00000000-0005-0000-0000-0000B87D0000}"/>
    <cellStyle name="Vírgula 12 6 2 5" xfId="32649" xr:uid="{00000000-0005-0000-0000-0000B97D0000}"/>
    <cellStyle name="Vírgula 12 6 3" xfId="32650" xr:uid="{00000000-0005-0000-0000-0000BA7D0000}"/>
    <cellStyle name="Vírgula 12 6 3 2" xfId="32651" xr:uid="{00000000-0005-0000-0000-0000BB7D0000}"/>
    <cellStyle name="Vírgula 12 6 3 3" xfId="32652" xr:uid="{00000000-0005-0000-0000-0000BC7D0000}"/>
    <cellStyle name="Vírgula 12 6 3 4" xfId="32653" xr:uid="{00000000-0005-0000-0000-0000BD7D0000}"/>
    <cellStyle name="Vírgula 12 6 4" xfId="32654" xr:uid="{00000000-0005-0000-0000-0000BE7D0000}"/>
    <cellStyle name="Vírgula 12 6 5" xfId="32655" xr:uid="{00000000-0005-0000-0000-0000BF7D0000}"/>
    <cellStyle name="Vírgula 12 6 6" xfId="32656" xr:uid="{00000000-0005-0000-0000-0000C07D0000}"/>
    <cellStyle name="Vírgula 12 7" xfId="32657" xr:uid="{00000000-0005-0000-0000-0000C17D0000}"/>
    <cellStyle name="Vírgula 12 7 2" xfId="32658" xr:uid="{00000000-0005-0000-0000-0000C27D0000}"/>
    <cellStyle name="Vírgula 12 7 2 2" xfId="32659" xr:uid="{00000000-0005-0000-0000-0000C37D0000}"/>
    <cellStyle name="Vírgula 12 7 2 3" xfId="32660" xr:uid="{00000000-0005-0000-0000-0000C47D0000}"/>
    <cellStyle name="Vírgula 12 7 2 4" xfId="32661" xr:uid="{00000000-0005-0000-0000-0000C57D0000}"/>
    <cellStyle name="Vírgula 12 7 3" xfId="32662" xr:uid="{00000000-0005-0000-0000-0000C67D0000}"/>
    <cellStyle name="Vírgula 12 7 4" xfId="32663" xr:uid="{00000000-0005-0000-0000-0000C77D0000}"/>
    <cellStyle name="Vírgula 12 7 5" xfId="32664" xr:uid="{00000000-0005-0000-0000-0000C87D0000}"/>
    <cellStyle name="Vírgula 12 8" xfId="32665" xr:uid="{00000000-0005-0000-0000-0000C97D0000}"/>
    <cellStyle name="Vírgula 12 8 2" xfId="32666" xr:uid="{00000000-0005-0000-0000-0000CA7D0000}"/>
    <cellStyle name="Vírgula 12 8 3" xfId="32667" xr:uid="{00000000-0005-0000-0000-0000CB7D0000}"/>
    <cellStyle name="Vírgula 12 8 4" xfId="32668" xr:uid="{00000000-0005-0000-0000-0000CC7D0000}"/>
    <cellStyle name="Vírgula 12 9" xfId="32669" xr:uid="{00000000-0005-0000-0000-0000CD7D0000}"/>
    <cellStyle name="Vírgula 12 9 2" xfId="32670" xr:uid="{00000000-0005-0000-0000-0000CE7D0000}"/>
    <cellStyle name="Vírgula 12 9 3" xfId="32671" xr:uid="{00000000-0005-0000-0000-0000CF7D0000}"/>
    <cellStyle name="Vírgula 12 9 4" xfId="32672" xr:uid="{00000000-0005-0000-0000-0000D07D0000}"/>
    <cellStyle name="Vírgula 13" xfId="2308" xr:uid="{00000000-0005-0000-0000-0000D17D0000}"/>
    <cellStyle name="Vírgula 13 2" xfId="26675" xr:uid="{00000000-0005-0000-0000-0000D27D0000}"/>
    <cellStyle name="Vírgula 14" xfId="25912" xr:uid="{00000000-0005-0000-0000-0000D37D0000}"/>
    <cellStyle name="Vírgula 14 2" xfId="32673" xr:uid="{00000000-0005-0000-0000-0000D47D0000}"/>
    <cellStyle name="Vírgula 14 3" xfId="33837" xr:uid="{00000000-0005-0000-0000-0000D57D0000}"/>
    <cellStyle name="Vírgula 15" xfId="2162" xr:uid="{00000000-0005-0000-0000-0000D67D0000}"/>
    <cellStyle name="Vírgula 16" xfId="26205" xr:uid="{00000000-0005-0000-0000-0000D77D0000}"/>
    <cellStyle name="Vírgula 17" xfId="26674" xr:uid="{00000000-0005-0000-0000-0000D87D0000}"/>
    <cellStyle name="Vírgula 2" xfId="59" xr:uid="{00000000-0005-0000-0000-0000D97D0000}"/>
    <cellStyle name="Vírgula 2 2" xfId="2025" xr:uid="{00000000-0005-0000-0000-0000DA7D0000}"/>
    <cellStyle name="Vírgula 2 2 2" xfId="2026" xr:uid="{00000000-0005-0000-0000-0000DB7D0000}"/>
    <cellStyle name="Vírgula 2 2 2 10" xfId="26424" xr:uid="{00000000-0005-0000-0000-0000DC7D0000}"/>
    <cellStyle name="Vírgula 2 2 2 2" xfId="22560" xr:uid="{00000000-0005-0000-0000-0000DD7D0000}"/>
    <cellStyle name="Vírgula 2 2 2 2 2" xfId="23116" xr:uid="{00000000-0005-0000-0000-0000DE7D0000}"/>
    <cellStyle name="Vírgula 2 2 2 2 2 2" xfId="24003" xr:uid="{00000000-0005-0000-0000-0000DF7D0000}"/>
    <cellStyle name="Vírgula 2 2 2 2 2 2 2" xfId="25779" xr:uid="{00000000-0005-0000-0000-0000E07D0000}"/>
    <cellStyle name="Vírgula 2 2 2 2 2 3" xfId="24891" xr:uid="{00000000-0005-0000-0000-0000E17D0000}"/>
    <cellStyle name="Vírgula 2 2 2 2 3" xfId="23500" xr:uid="{00000000-0005-0000-0000-0000E27D0000}"/>
    <cellStyle name="Vírgula 2 2 2 2 3 2" xfId="25276" xr:uid="{00000000-0005-0000-0000-0000E37D0000}"/>
    <cellStyle name="Vírgula 2 2 2 2 4" xfId="24388" xr:uid="{00000000-0005-0000-0000-0000E47D0000}"/>
    <cellStyle name="Vírgula 2 2 2 2 5" xfId="26185" xr:uid="{00000000-0005-0000-0000-0000E57D0000}"/>
    <cellStyle name="Vírgula 2 2 2 2 6" xfId="26555" xr:uid="{00000000-0005-0000-0000-0000E67D0000}"/>
    <cellStyle name="Vírgula 2 2 2 3" xfId="22857" xr:uid="{00000000-0005-0000-0000-0000E77D0000}"/>
    <cellStyle name="Vírgula 2 2 2 3 2" xfId="23744" xr:uid="{00000000-0005-0000-0000-0000E87D0000}"/>
    <cellStyle name="Vírgula 2 2 2 3 2 2" xfId="25520" xr:uid="{00000000-0005-0000-0000-0000E97D0000}"/>
    <cellStyle name="Vírgula 2 2 2 3 3" xfId="24632" xr:uid="{00000000-0005-0000-0000-0000EA7D0000}"/>
    <cellStyle name="Vírgula 2 2 2 4" xfId="22976" xr:uid="{00000000-0005-0000-0000-0000EB7D0000}"/>
    <cellStyle name="Vírgula 2 2 2 4 2" xfId="23863" xr:uid="{00000000-0005-0000-0000-0000EC7D0000}"/>
    <cellStyle name="Vírgula 2 2 2 4 2 2" xfId="25639" xr:uid="{00000000-0005-0000-0000-0000ED7D0000}"/>
    <cellStyle name="Vírgula 2 2 2 4 3" xfId="24751" xr:uid="{00000000-0005-0000-0000-0000EE7D0000}"/>
    <cellStyle name="Vírgula 2 2 2 5" xfId="23360" xr:uid="{00000000-0005-0000-0000-0000EF7D0000}"/>
    <cellStyle name="Vírgula 2 2 2 5 2" xfId="25136" xr:uid="{00000000-0005-0000-0000-0000F07D0000}"/>
    <cellStyle name="Vírgula 2 2 2 6" xfId="24248" xr:uid="{00000000-0005-0000-0000-0000F17D0000}"/>
    <cellStyle name="Vírgula 2 2 2 7" xfId="2433" xr:uid="{00000000-0005-0000-0000-0000F27D0000}"/>
    <cellStyle name="Vírgula 2 2 2 8" xfId="26019" xr:uid="{00000000-0005-0000-0000-0000F37D0000}"/>
    <cellStyle name="Vírgula 2 2 2 9" xfId="2290" xr:uid="{00000000-0005-0000-0000-0000F47D0000}"/>
    <cellStyle name="Vírgula 2 2 3" xfId="32674" xr:uid="{00000000-0005-0000-0000-0000F57D0000}"/>
    <cellStyle name="Vírgula 2 2 4" xfId="32675" xr:uid="{00000000-0005-0000-0000-0000F67D0000}"/>
    <cellStyle name="Vírgula 2 2 4 2" xfId="32676" xr:uid="{00000000-0005-0000-0000-0000F77D0000}"/>
    <cellStyle name="Vírgula 2 2 4 3" xfId="32677" xr:uid="{00000000-0005-0000-0000-0000F87D0000}"/>
    <cellStyle name="Vírgula 2 2 4 4" xfId="32678" xr:uid="{00000000-0005-0000-0000-0000F97D0000}"/>
    <cellStyle name="Vírgula 2 3" xfId="2027" xr:uid="{00000000-0005-0000-0000-0000FA7D0000}"/>
    <cellStyle name="Vírgula 2 3 10" xfId="2289" xr:uid="{00000000-0005-0000-0000-0000FB7D0000}"/>
    <cellStyle name="Vírgula 2 3 11" xfId="26425" xr:uid="{00000000-0005-0000-0000-0000FC7D0000}"/>
    <cellStyle name="Vírgula 2 3 2" xfId="2028" xr:uid="{00000000-0005-0000-0000-0000FD7D0000}"/>
    <cellStyle name="Vírgula 2 3 2 2" xfId="22571" xr:uid="{00000000-0005-0000-0000-0000FE7D0000}"/>
    <cellStyle name="Vírgula 2 3 2 2 2" xfId="23127" xr:uid="{00000000-0005-0000-0000-0000FF7D0000}"/>
    <cellStyle name="Vírgula 2 3 2 2 2 2" xfId="24014" xr:uid="{00000000-0005-0000-0000-0000007E0000}"/>
    <cellStyle name="Vírgula 2 3 2 2 2 2 2" xfId="25790" xr:uid="{00000000-0005-0000-0000-0000017E0000}"/>
    <cellStyle name="Vírgula 2 3 2 2 2 3" xfId="24902" xr:uid="{00000000-0005-0000-0000-0000027E0000}"/>
    <cellStyle name="Vírgula 2 3 2 2 3" xfId="23511" xr:uid="{00000000-0005-0000-0000-0000037E0000}"/>
    <cellStyle name="Vírgula 2 3 2 2 3 2" xfId="25287" xr:uid="{00000000-0005-0000-0000-0000047E0000}"/>
    <cellStyle name="Vírgula 2 3 2 2 4" xfId="24399" xr:uid="{00000000-0005-0000-0000-0000057E0000}"/>
    <cellStyle name="Vírgula 2 3 2 3" xfId="26186" xr:uid="{00000000-0005-0000-0000-0000067E0000}"/>
    <cellStyle name="Vírgula 2 3 2 4" xfId="2460" xr:uid="{00000000-0005-0000-0000-0000077E0000}"/>
    <cellStyle name="Vírgula 2 3 2 5" xfId="26556" xr:uid="{00000000-0005-0000-0000-0000087E0000}"/>
    <cellStyle name="Vírgula 2 3 3" xfId="22559" xr:uid="{00000000-0005-0000-0000-0000097E0000}"/>
    <cellStyle name="Vírgula 2 3 3 2" xfId="23115" xr:uid="{00000000-0005-0000-0000-00000A7E0000}"/>
    <cellStyle name="Vírgula 2 3 3 2 2" xfId="24002" xr:uid="{00000000-0005-0000-0000-00000B7E0000}"/>
    <cellStyle name="Vírgula 2 3 3 2 2 2" xfId="25778" xr:uid="{00000000-0005-0000-0000-00000C7E0000}"/>
    <cellStyle name="Vírgula 2 3 3 2 3" xfId="24890" xr:uid="{00000000-0005-0000-0000-00000D7E0000}"/>
    <cellStyle name="Vírgula 2 3 3 3" xfId="23499" xr:uid="{00000000-0005-0000-0000-00000E7E0000}"/>
    <cellStyle name="Vírgula 2 3 3 3 2" xfId="25275" xr:uid="{00000000-0005-0000-0000-00000F7E0000}"/>
    <cellStyle name="Vírgula 2 3 3 4" xfId="24387" xr:uid="{00000000-0005-0000-0000-0000107E0000}"/>
    <cellStyle name="Vírgula 2 3 4" xfId="22856" xr:uid="{00000000-0005-0000-0000-0000117E0000}"/>
    <cellStyle name="Vírgula 2 3 4 2" xfId="23743" xr:uid="{00000000-0005-0000-0000-0000127E0000}"/>
    <cellStyle name="Vírgula 2 3 4 2 2" xfId="25519" xr:uid="{00000000-0005-0000-0000-0000137E0000}"/>
    <cellStyle name="Vírgula 2 3 4 3" xfId="24631" xr:uid="{00000000-0005-0000-0000-0000147E0000}"/>
    <cellStyle name="Vírgula 2 3 5" xfId="22975" xr:uid="{00000000-0005-0000-0000-0000157E0000}"/>
    <cellStyle name="Vírgula 2 3 5 2" xfId="23862" xr:uid="{00000000-0005-0000-0000-0000167E0000}"/>
    <cellStyle name="Vírgula 2 3 5 2 2" xfId="25638" xr:uid="{00000000-0005-0000-0000-0000177E0000}"/>
    <cellStyle name="Vírgula 2 3 5 3" xfId="24750" xr:uid="{00000000-0005-0000-0000-0000187E0000}"/>
    <cellStyle name="Vírgula 2 3 6" xfId="23359" xr:uid="{00000000-0005-0000-0000-0000197E0000}"/>
    <cellStyle name="Vírgula 2 3 6 2" xfId="25135" xr:uid="{00000000-0005-0000-0000-00001A7E0000}"/>
    <cellStyle name="Vírgula 2 3 7" xfId="24247" xr:uid="{00000000-0005-0000-0000-00001B7E0000}"/>
    <cellStyle name="Vírgula 2 3 8" xfId="2432" xr:uid="{00000000-0005-0000-0000-00001C7E0000}"/>
    <cellStyle name="Vírgula 2 3 9" xfId="26020" xr:uid="{00000000-0005-0000-0000-00001D7E0000}"/>
    <cellStyle name="Vírgula 2 4" xfId="2029" xr:uid="{00000000-0005-0000-0000-00001E7E0000}"/>
    <cellStyle name="Vírgula 2 4 2" xfId="2030" xr:uid="{00000000-0005-0000-0000-00001F7E0000}"/>
    <cellStyle name="Vírgula 2 4 2 2" xfId="2584" xr:uid="{00000000-0005-0000-0000-0000207E0000}"/>
    <cellStyle name="Vírgula 2 4 2 2 2" xfId="22436" xr:uid="{00000000-0005-0000-0000-0000217E0000}"/>
    <cellStyle name="Vírgula 2 4 2 2 2 2" xfId="22710" xr:uid="{00000000-0005-0000-0000-0000227E0000}"/>
    <cellStyle name="Vírgula 2 4 2 2 2 2 2" xfId="23243" xr:uid="{00000000-0005-0000-0000-0000237E0000}"/>
    <cellStyle name="Vírgula 2 4 2 2 2 2 2 2" xfId="24130" xr:uid="{00000000-0005-0000-0000-0000247E0000}"/>
    <cellStyle name="Vírgula 2 4 2 2 2 2 2 2 2" xfId="25906" xr:uid="{00000000-0005-0000-0000-0000257E0000}"/>
    <cellStyle name="Vírgula 2 4 2 2 2 2 2 3" xfId="25018" xr:uid="{00000000-0005-0000-0000-0000267E0000}"/>
    <cellStyle name="Vírgula 2 4 2 2 2 2 3" xfId="23627" xr:uid="{00000000-0005-0000-0000-0000277E0000}"/>
    <cellStyle name="Vírgula 2 4 2 2 2 2 3 2" xfId="25403" xr:uid="{00000000-0005-0000-0000-0000287E0000}"/>
    <cellStyle name="Vírgula 2 4 2 2 2 2 4" xfId="24515" xr:uid="{00000000-0005-0000-0000-0000297E0000}"/>
    <cellStyle name="Vírgula 2 4 2 2 3" xfId="22623" xr:uid="{00000000-0005-0000-0000-00002A7E0000}"/>
    <cellStyle name="Vírgula 2 4 2 2 3 2" xfId="23179" xr:uid="{00000000-0005-0000-0000-00002B7E0000}"/>
    <cellStyle name="Vírgula 2 4 2 2 3 2 2" xfId="24066" xr:uid="{00000000-0005-0000-0000-00002C7E0000}"/>
    <cellStyle name="Vírgula 2 4 2 2 3 2 2 2" xfId="25842" xr:uid="{00000000-0005-0000-0000-00002D7E0000}"/>
    <cellStyle name="Vírgula 2 4 2 2 3 2 3" xfId="24954" xr:uid="{00000000-0005-0000-0000-00002E7E0000}"/>
    <cellStyle name="Vírgula 2 4 2 2 3 3" xfId="23563" xr:uid="{00000000-0005-0000-0000-00002F7E0000}"/>
    <cellStyle name="Vírgula 2 4 2 2 3 3 2" xfId="25339" xr:uid="{00000000-0005-0000-0000-0000307E0000}"/>
    <cellStyle name="Vírgula 2 4 2 2 3 4" xfId="24451" xr:uid="{00000000-0005-0000-0000-0000317E0000}"/>
    <cellStyle name="Vírgula 2 4 2 3" xfId="22592" xr:uid="{00000000-0005-0000-0000-0000327E0000}"/>
    <cellStyle name="Vírgula 2 4 2 3 2" xfId="23148" xr:uid="{00000000-0005-0000-0000-0000337E0000}"/>
    <cellStyle name="Vírgula 2 4 2 3 2 2" xfId="24035" xr:uid="{00000000-0005-0000-0000-0000347E0000}"/>
    <cellStyle name="Vírgula 2 4 2 3 2 2 2" xfId="25811" xr:uid="{00000000-0005-0000-0000-0000357E0000}"/>
    <cellStyle name="Vírgula 2 4 2 3 2 3" xfId="24923" xr:uid="{00000000-0005-0000-0000-0000367E0000}"/>
    <cellStyle name="Vírgula 2 4 2 3 3" xfId="23532" xr:uid="{00000000-0005-0000-0000-0000377E0000}"/>
    <cellStyle name="Vírgula 2 4 2 3 3 2" xfId="25308" xr:uid="{00000000-0005-0000-0000-0000387E0000}"/>
    <cellStyle name="Vírgula 2 4 2 3 4" xfId="24420" xr:uid="{00000000-0005-0000-0000-0000397E0000}"/>
    <cellStyle name="Vírgula 2 4 2 4" xfId="2484" xr:uid="{00000000-0005-0000-0000-00003A7E0000}"/>
    <cellStyle name="Vírgula 2 4 3" xfId="22307" xr:uid="{00000000-0005-0000-0000-00003B7E0000}"/>
    <cellStyle name="Vírgula 2 4 3 2" xfId="22323" xr:uid="{00000000-0005-0000-0000-00003C7E0000}"/>
    <cellStyle name="Vírgula 2 4 3 2 2" xfId="22652" xr:uid="{00000000-0005-0000-0000-00003D7E0000}"/>
    <cellStyle name="Vírgula 2 4 3 2 2 2" xfId="23208" xr:uid="{00000000-0005-0000-0000-00003E7E0000}"/>
    <cellStyle name="Vírgula 2 4 3 2 2 2 2" xfId="24095" xr:uid="{00000000-0005-0000-0000-00003F7E0000}"/>
    <cellStyle name="Vírgula 2 4 3 2 2 2 2 2" xfId="25871" xr:uid="{00000000-0005-0000-0000-0000407E0000}"/>
    <cellStyle name="Vírgula 2 4 3 2 2 2 3" xfId="24983" xr:uid="{00000000-0005-0000-0000-0000417E0000}"/>
    <cellStyle name="Vírgula 2 4 3 2 2 3" xfId="23592" xr:uid="{00000000-0005-0000-0000-0000427E0000}"/>
    <cellStyle name="Vírgula 2 4 3 2 2 3 2" xfId="25368" xr:uid="{00000000-0005-0000-0000-0000437E0000}"/>
    <cellStyle name="Vírgula 2 4 3 2 2 4" xfId="24480" xr:uid="{00000000-0005-0000-0000-0000447E0000}"/>
    <cellStyle name="Vírgula 2 4 3 3" xfId="22345" xr:uid="{00000000-0005-0000-0000-0000457E0000}"/>
    <cellStyle name="Vírgula 2 4 3 3 2" xfId="22383" xr:uid="{00000000-0005-0000-0000-0000467E0000}"/>
    <cellStyle name="Vírgula 2 4 3 3 2 2" xfId="22674" xr:uid="{00000000-0005-0000-0000-0000477E0000}"/>
    <cellStyle name="Vírgula 2 4 3 3 2 2 2" xfId="23230" xr:uid="{00000000-0005-0000-0000-0000487E0000}"/>
    <cellStyle name="Vírgula 2 4 3 3 2 2 2 2" xfId="24117" xr:uid="{00000000-0005-0000-0000-0000497E0000}"/>
    <cellStyle name="Vírgula 2 4 3 3 2 2 2 2 2" xfId="25893" xr:uid="{00000000-0005-0000-0000-00004A7E0000}"/>
    <cellStyle name="Vírgula 2 4 3 3 2 2 2 3" xfId="25005" xr:uid="{00000000-0005-0000-0000-00004B7E0000}"/>
    <cellStyle name="Vírgula 2 4 3 3 2 2 3" xfId="23614" xr:uid="{00000000-0005-0000-0000-00004C7E0000}"/>
    <cellStyle name="Vírgula 2 4 3 3 2 2 3 2" xfId="25390" xr:uid="{00000000-0005-0000-0000-00004D7E0000}"/>
    <cellStyle name="Vírgula 2 4 3 3 2 2 4" xfId="24502" xr:uid="{00000000-0005-0000-0000-00004E7E0000}"/>
    <cellStyle name="Vírgula 2 4 3 3 3" xfId="22422" xr:uid="{00000000-0005-0000-0000-00004F7E0000}"/>
    <cellStyle name="Vírgula 2 4 3 3 3 2" xfId="22696" xr:uid="{00000000-0005-0000-0000-0000507E0000}"/>
    <cellStyle name="Vírgula 2 4 3 3 3 2 2" xfId="23238" xr:uid="{00000000-0005-0000-0000-0000517E0000}"/>
    <cellStyle name="Vírgula 2 4 3 3 3 2 2 2" xfId="24125" xr:uid="{00000000-0005-0000-0000-0000527E0000}"/>
    <cellStyle name="Vírgula 2 4 3 3 3 2 2 2 2" xfId="25901" xr:uid="{00000000-0005-0000-0000-0000537E0000}"/>
    <cellStyle name="Vírgula 2 4 3 3 3 2 2 3" xfId="25013" xr:uid="{00000000-0005-0000-0000-0000547E0000}"/>
    <cellStyle name="Vírgula 2 4 3 3 3 2 3" xfId="23622" xr:uid="{00000000-0005-0000-0000-0000557E0000}"/>
    <cellStyle name="Vírgula 2 4 3 3 3 2 3 2" xfId="25398" xr:uid="{00000000-0005-0000-0000-0000567E0000}"/>
    <cellStyle name="Vírgula 2 4 3 3 3 2 4" xfId="24510" xr:uid="{00000000-0005-0000-0000-0000577E0000}"/>
    <cellStyle name="Vírgula 2 4 3 3 4" xfId="22660" xr:uid="{00000000-0005-0000-0000-0000587E0000}"/>
    <cellStyle name="Vírgula 2 4 3 3 4 2" xfId="23216" xr:uid="{00000000-0005-0000-0000-0000597E0000}"/>
    <cellStyle name="Vírgula 2 4 3 3 4 2 2" xfId="24103" xr:uid="{00000000-0005-0000-0000-00005A7E0000}"/>
    <cellStyle name="Vírgula 2 4 3 3 4 2 2 2" xfId="25879" xr:uid="{00000000-0005-0000-0000-00005B7E0000}"/>
    <cellStyle name="Vírgula 2 4 3 3 4 2 3" xfId="24991" xr:uid="{00000000-0005-0000-0000-00005C7E0000}"/>
    <cellStyle name="Vírgula 2 4 3 3 4 3" xfId="23600" xr:uid="{00000000-0005-0000-0000-00005D7E0000}"/>
    <cellStyle name="Vírgula 2 4 3 3 4 3 2" xfId="25376" xr:uid="{00000000-0005-0000-0000-00005E7E0000}"/>
    <cellStyle name="Vírgula 2 4 3 3 4 4" xfId="24488" xr:uid="{00000000-0005-0000-0000-00005F7E0000}"/>
    <cellStyle name="Vírgula 2 4 3 4" xfId="22361" xr:uid="{00000000-0005-0000-0000-0000607E0000}"/>
    <cellStyle name="Vírgula 2 4 3 4 2" xfId="22666" xr:uid="{00000000-0005-0000-0000-0000617E0000}"/>
    <cellStyle name="Vírgula 2 4 3 4 2 2" xfId="23222" xr:uid="{00000000-0005-0000-0000-0000627E0000}"/>
    <cellStyle name="Vírgula 2 4 3 4 2 2 2" xfId="24109" xr:uid="{00000000-0005-0000-0000-0000637E0000}"/>
    <cellStyle name="Vírgula 2 4 3 4 2 2 2 2" xfId="25885" xr:uid="{00000000-0005-0000-0000-0000647E0000}"/>
    <cellStyle name="Vírgula 2 4 3 4 2 2 3" xfId="24997" xr:uid="{00000000-0005-0000-0000-0000657E0000}"/>
    <cellStyle name="Vírgula 2 4 3 4 2 3" xfId="23606" xr:uid="{00000000-0005-0000-0000-0000667E0000}"/>
    <cellStyle name="Vírgula 2 4 3 4 2 3 2" xfId="25382" xr:uid="{00000000-0005-0000-0000-0000677E0000}"/>
    <cellStyle name="Vírgula 2 4 3 4 2 4" xfId="24494" xr:uid="{00000000-0005-0000-0000-0000687E0000}"/>
    <cellStyle name="Vírgula 2 4 3 5" xfId="22646" xr:uid="{00000000-0005-0000-0000-0000697E0000}"/>
    <cellStyle name="Vírgula 2 4 3 5 2" xfId="23202" xr:uid="{00000000-0005-0000-0000-00006A7E0000}"/>
    <cellStyle name="Vírgula 2 4 3 5 2 2" xfId="24089" xr:uid="{00000000-0005-0000-0000-00006B7E0000}"/>
    <cellStyle name="Vírgula 2 4 3 5 2 2 2" xfId="25865" xr:uid="{00000000-0005-0000-0000-00006C7E0000}"/>
    <cellStyle name="Vírgula 2 4 3 5 2 3" xfId="24977" xr:uid="{00000000-0005-0000-0000-00006D7E0000}"/>
    <cellStyle name="Vírgula 2 4 3 5 3" xfId="23586" xr:uid="{00000000-0005-0000-0000-00006E7E0000}"/>
    <cellStyle name="Vírgula 2 4 3 5 3 2" xfId="25362" xr:uid="{00000000-0005-0000-0000-00006F7E0000}"/>
    <cellStyle name="Vírgula 2 4 3 5 4" xfId="24474" xr:uid="{00000000-0005-0000-0000-0000707E0000}"/>
    <cellStyle name="Vírgula 2 4 4" xfId="22563" xr:uid="{00000000-0005-0000-0000-0000717E0000}"/>
    <cellStyle name="Vírgula 2 4 4 2" xfId="23119" xr:uid="{00000000-0005-0000-0000-0000727E0000}"/>
    <cellStyle name="Vírgula 2 4 4 2 2" xfId="24006" xr:uid="{00000000-0005-0000-0000-0000737E0000}"/>
    <cellStyle name="Vírgula 2 4 4 2 2 2" xfId="25782" xr:uid="{00000000-0005-0000-0000-0000747E0000}"/>
    <cellStyle name="Vírgula 2 4 4 2 3" xfId="24894" xr:uid="{00000000-0005-0000-0000-0000757E0000}"/>
    <cellStyle name="Vírgula 2 4 4 3" xfId="23503" xr:uid="{00000000-0005-0000-0000-0000767E0000}"/>
    <cellStyle name="Vírgula 2 4 4 3 2" xfId="25279" xr:uid="{00000000-0005-0000-0000-0000777E0000}"/>
    <cellStyle name="Vírgula 2 4 4 4" xfId="24391" xr:uid="{00000000-0005-0000-0000-0000787E0000}"/>
    <cellStyle name="Vírgula 2 4 5" xfId="2436" xr:uid="{00000000-0005-0000-0000-0000797E0000}"/>
    <cellStyle name="Vírgula 2 4 6" xfId="26047" xr:uid="{00000000-0005-0000-0000-00007A7E0000}"/>
    <cellStyle name="Vírgula 2 4 7" xfId="2293" xr:uid="{00000000-0005-0000-0000-00007B7E0000}"/>
    <cellStyle name="Vírgula 2 5" xfId="32679" xr:uid="{00000000-0005-0000-0000-00007C7E0000}"/>
    <cellStyle name="Vírgula 2 6" xfId="32680" xr:uid="{00000000-0005-0000-0000-00007D7E0000}"/>
    <cellStyle name="Vírgula 2 6 2" xfId="32681" xr:uid="{00000000-0005-0000-0000-00007E7E0000}"/>
    <cellStyle name="Vírgula 2 6 3" xfId="32682" xr:uid="{00000000-0005-0000-0000-00007F7E0000}"/>
    <cellStyle name="Vírgula 2 6 4" xfId="32683" xr:uid="{00000000-0005-0000-0000-0000807E0000}"/>
    <cellStyle name="Vírgula 3" xfId="60" xr:uid="{00000000-0005-0000-0000-0000817E0000}"/>
    <cellStyle name="Vírgula 3 2" xfId="2031" xr:uid="{00000000-0005-0000-0000-0000827E0000}"/>
    <cellStyle name="Vírgula 3 2 2" xfId="2032" xr:uid="{00000000-0005-0000-0000-0000837E0000}"/>
    <cellStyle name="Vírgula 3 2 2 10" xfId="26025" xr:uid="{00000000-0005-0000-0000-0000847E0000}"/>
    <cellStyle name="Vírgula 3 2 2 11" xfId="2291" xr:uid="{00000000-0005-0000-0000-0000857E0000}"/>
    <cellStyle name="Vírgula 3 2 2 12" xfId="26430" xr:uid="{00000000-0005-0000-0000-0000867E0000}"/>
    <cellStyle name="Vírgula 3 2 2 2" xfId="2634" xr:uid="{00000000-0005-0000-0000-0000877E0000}"/>
    <cellStyle name="Vírgula 3 2 2 2 2" xfId="22638" xr:uid="{00000000-0005-0000-0000-0000887E0000}"/>
    <cellStyle name="Vírgula 3 2 2 2 2 2" xfId="23194" xr:uid="{00000000-0005-0000-0000-0000897E0000}"/>
    <cellStyle name="Vírgula 3 2 2 2 2 2 2" xfId="24081" xr:uid="{00000000-0005-0000-0000-00008A7E0000}"/>
    <cellStyle name="Vírgula 3 2 2 2 2 2 2 2" xfId="25857" xr:uid="{00000000-0005-0000-0000-00008B7E0000}"/>
    <cellStyle name="Vírgula 3 2 2 2 2 2 3" xfId="24969" xr:uid="{00000000-0005-0000-0000-00008C7E0000}"/>
    <cellStyle name="Vírgula 3 2 2 2 2 3" xfId="23578" xr:uid="{00000000-0005-0000-0000-00008D7E0000}"/>
    <cellStyle name="Vírgula 3 2 2 2 2 3 2" xfId="25354" xr:uid="{00000000-0005-0000-0000-00008E7E0000}"/>
    <cellStyle name="Vírgula 3 2 2 2 2 4" xfId="24466" xr:uid="{00000000-0005-0000-0000-00008F7E0000}"/>
    <cellStyle name="Vírgula 3 2 2 2 3" xfId="22992" xr:uid="{00000000-0005-0000-0000-0000907E0000}"/>
    <cellStyle name="Vírgula 3 2 2 2 3 2" xfId="23879" xr:uid="{00000000-0005-0000-0000-0000917E0000}"/>
    <cellStyle name="Vírgula 3 2 2 2 3 2 2" xfId="25655" xr:uid="{00000000-0005-0000-0000-0000927E0000}"/>
    <cellStyle name="Vírgula 3 2 2 2 3 3" xfId="24767" xr:uid="{00000000-0005-0000-0000-0000937E0000}"/>
    <cellStyle name="Vírgula 3 2 2 2 4" xfId="23376" xr:uid="{00000000-0005-0000-0000-0000947E0000}"/>
    <cellStyle name="Vírgula 3 2 2 2 4 2" xfId="25152" xr:uid="{00000000-0005-0000-0000-0000957E0000}"/>
    <cellStyle name="Vírgula 3 2 2 2 5" xfId="24264" xr:uid="{00000000-0005-0000-0000-0000967E0000}"/>
    <cellStyle name="Vírgula 3 2 2 3" xfId="2609" xr:uid="{00000000-0005-0000-0000-0000977E0000}"/>
    <cellStyle name="Vírgula 3 2 2 3 2" xfId="22630" xr:uid="{00000000-0005-0000-0000-0000987E0000}"/>
    <cellStyle name="Vírgula 3 2 2 3 2 2" xfId="23186" xr:uid="{00000000-0005-0000-0000-0000997E0000}"/>
    <cellStyle name="Vírgula 3 2 2 3 2 2 2" xfId="24073" xr:uid="{00000000-0005-0000-0000-00009A7E0000}"/>
    <cellStyle name="Vírgula 3 2 2 3 2 2 2 2" xfId="25849" xr:uid="{00000000-0005-0000-0000-00009B7E0000}"/>
    <cellStyle name="Vírgula 3 2 2 3 2 2 3" xfId="24961" xr:uid="{00000000-0005-0000-0000-00009C7E0000}"/>
    <cellStyle name="Vírgula 3 2 2 3 2 3" xfId="23570" xr:uid="{00000000-0005-0000-0000-00009D7E0000}"/>
    <cellStyle name="Vírgula 3 2 2 3 2 3 2" xfId="25346" xr:uid="{00000000-0005-0000-0000-00009E7E0000}"/>
    <cellStyle name="Vírgula 3 2 2 3 2 4" xfId="24458" xr:uid="{00000000-0005-0000-0000-00009F7E0000}"/>
    <cellStyle name="Vírgula 3 2 2 4" xfId="22561" xr:uid="{00000000-0005-0000-0000-0000A07E0000}"/>
    <cellStyle name="Vírgula 3 2 2 4 2" xfId="23117" xr:uid="{00000000-0005-0000-0000-0000A17E0000}"/>
    <cellStyle name="Vírgula 3 2 2 4 2 2" xfId="24004" xr:uid="{00000000-0005-0000-0000-0000A27E0000}"/>
    <cellStyle name="Vírgula 3 2 2 4 2 2 2" xfId="25780" xr:uid="{00000000-0005-0000-0000-0000A37E0000}"/>
    <cellStyle name="Vírgula 3 2 2 4 2 3" xfId="24892" xr:uid="{00000000-0005-0000-0000-0000A47E0000}"/>
    <cellStyle name="Vírgula 3 2 2 4 3" xfId="23501" xr:uid="{00000000-0005-0000-0000-0000A57E0000}"/>
    <cellStyle name="Vírgula 3 2 2 4 3 2" xfId="25277" xr:uid="{00000000-0005-0000-0000-0000A67E0000}"/>
    <cellStyle name="Vírgula 3 2 2 4 4" xfId="24389" xr:uid="{00000000-0005-0000-0000-0000A77E0000}"/>
    <cellStyle name="Vírgula 3 2 2 5" xfId="22858" xr:uid="{00000000-0005-0000-0000-0000A87E0000}"/>
    <cellStyle name="Vírgula 3 2 2 5 2" xfId="23745" xr:uid="{00000000-0005-0000-0000-0000A97E0000}"/>
    <cellStyle name="Vírgula 3 2 2 5 2 2" xfId="25521" xr:uid="{00000000-0005-0000-0000-0000AA7E0000}"/>
    <cellStyle name="Vírgula 3 2 2 5 3" xfId="24633" xr:uid="{00000000-0005-0000-0000-0000AB7E0000}"/>
    <cellStyle name="Vírgula 3 2 2 6" xfId="22977" xr:uid="{00000000-0005-0000-0000-0000AC7E0000}"/>
    <cellStyle name="Vírgula 3 2 2 6 2" xfId="23864" xr:uid="{00000000-0005-0000-0000-0000AD7E0000}"/>
    <cellStyle name="Vírgula 3 2 2 6 2 2" xfId="25640" xr:uid="{00000000-0005-0000-0000-0000AE7E0000}"/>
    <cellStyle name="Vírgula 3 2 2 6 3" xfId="24752" xr:uid="{00000000-0005-0000-0000-0000AF7E0000}"/>
    <cellStyle name="Vírgula 3 2 2 7" xfId="23361" xr:uid="{00000000-0005-0000-0000-0000B07E0000}"/>
    <cellStyle name="Vírgula 3 2 2 7 2" xfId="25137" xr:uid="{00000000-0005-0000-0000-0000B17E0000}"/>
    <cellStyle name="Vírgula 3 2 2 8" xfId="24249" xr:uid="{00000000-0005-0000-0000-0000B27E0000}"/>
    <cellStyle name="Vírgula 3 2 2 9" xfId="2434" xr:uid="{00000000-0005-0000-0000-0000B37E0000}"/>
    <cellStyle name="Vírgula 3 2 3" xfId="2033" xr:uid="{00000000-0005-0000-0000-0000B47E0000}"/>
    <cellStyle name="Vírgula 3 2 3 2" xfId="22613" xr:uid="{00000000-0005-0000-0000-0000B57E0000}"/>
    <cellStyle name="Vírgula 3 2 3 2 2" xfId="23169" xr:uid="{00000000-0005-0000-0000-0000B67E0000}"/>
    <cellStyle name="Vírgula 3 2 3 2 2 2" xfId="24056" xr:uid="{00000000-0005-0000-0000-0000B77E0000}"/>
    <cellStyle name="Vírgula 3 2 3 2 2 2 2" xfId="25832" xr:uid="{00000000-0005-0000-0000-0000B87E0000}"/>
    <cellStyle name="Vírgula 3 2 3 2 2 3" xfId="24944" xr:uid="{00000000-0005-0000-0000-0000B97E0000}"/>
    <cellStyle name="Vírgula 3 2 3 2 3" xfId="23553" xr:uid="{00000000-0005-0000-0000-0000BA7E0000}"/>
    <cellStyle name="Vírgula 3 2 3 2 3 2" xfId="25329" xr:uid="{00000000-0005-0000-0000-0000BB7E0000}"/>
    <cellStyle name="Vírgula 3 2 3 2 4" xfId="24441" xr:uid="{00000000-0005-0000-0000-0000BC7E0000}"/>
    <cellStyle name="Vírgula 3 2 3 3" xfId="2564" xr:uid="{00000000-0005-0000-0000-0000BD7E0000}"/>
    <cellStyle name="Vírgula 3 2 4" xfId="32684" xr:uid="{00000000-0005-0000-0000-0000BE7E0000}"/>
    <cellStyle name="Vírgula 3 3" xfId="2034" xr:uid="{00000000-0005-0000-0000-0000BF7E0000}"/>
    <cellStyle name="Vírgula 3 3 2" xfId="2035" xr:uid="{00000000-0005-0000-0000-0000C07E0000}"/>
    <cellStyle name="Vírgula 3 3 2 2" xfId="22566" xr:uid="{00000000-0005-0000-0000-0000C17E0000}"/>
    <cellStyle name="Vírgula 3 3 2 2 2" xfId="23122" xr:uid="{00000000-0005-0000-0000-0000C27E0000}"/>
    <cellStyle name="Vírgula 3 3 2 2 2 2" xfId="24009" xr:uid="{00000000-0005-0000-0000-0000C37E0000}"/>
    <cellStyle name="Vírgula 3 3 2 2 2 2 2" xfId="25785" xr:uid="{00000000-0005-0000-0000-0000C47E0000}"/>
    <cellStyle name="Vírgula 3 3 2 2 2 3" xfId="24897" xr:uid="{00000000-0005-0000-0000-0000C57E0000}"/>
    <cellStyle name="Vírgula 3 3 2 2 3" xfId="23506" xr:uid="{00000000-0005-0000-0000-0000C67E0000}"/>
    <cellStyle name="Vírgula 3 3 2 2 3 2" xfId="25282" xr:uid="{00000000-0005-0000-0000-0000C77E0000}"/>
    <cellStyle name="Vírgula 3 3 2 2 4" xfId="24394" xr:uid="{00000000-0005-0000-0000-0000C87E0000}"/>
    <cellStyle name="Vírgula 3 3 2 3" xfId="2439" xr:uid="{00000000-0005-0000-0000-0000C97E0000}"/>
    <cellStyle name="Vírgula 3 3 2 4" xfId="2296" xr:uid="{00000000-0005-0000-0000-0000CA7E0000}"/>
    <cellStyle name="Vírgula 3 3 3" xfId="22449" xr:uid="{00000000-0005-0000-0000-0000CB7E0000}"/>
    <cellStyle name="Vírgula 3 3 3 2" xfId="23005" xr:uid="{00000000-0005-0000-0000-0000CC7E0000}"/>
    <cellStyle name="Vírgula 3 3 3 2 2" xfId="23892" xr:uid="{00000000-0005-0000-0000-0000CD7E0000}"/>
    <cellStyle name="Vírgula 3 3 3 2 2 2" xfId="25668" xr:uid="{00000000-0005-0000-0000-0000CE7E0000}"/>
    <cellStyle name="Vírgula 3 3 3 2 3" xfId="24780" xr:uid="{00000000-0005-0000-0000-0000CF7E0000}"/>
    <cellStyle name="Vírgula 3 3 3 3" xfId="23389" xr:uid="{00000000-0005-0000-0000-0000D07E0000}"/>
    <cellStyle name="Vírgula 3 3 3 3 2" xfId="25165" xr:uid="{00000000-0005-0000-0000-0000D17E0000}"/>
    <cellStyle name="Vírgula 3 3 3 4" xfId="24277" xr:uid="{00000000-0005-0000-0000-0000D27E0000}"/>
    <cellStyle name="Vírgula 3 3 4" xfId="2321" xr:uid="{00000000-0005-0000-0000-0000D37E0000}"/>
    <cellStyle name="Vírgula 3 3 5" xfId="2175" xr:uid="{00000000-0005-0000-0000-0000D47E0000}"/>
    <cellStyle name="Vírgula 3 4" xfId="2036" xr:uid="{00000000-0005-0000-0000-0000D57E0000}"/>
    <cellStyle name="Vírgula 3 4 2" xfId="22579" xr:uid="{00000000-0005-0000-0000-0000D67E0000}"/>
    <cellStyle name="Vírgula 3 4 2 2" xfId="23135" xr:uid="{00000000-0005-0000-0000-0000D77E0000}"/>
    <cellStyle name="Vírgula 3 4 2 2 2" xfId="24022" xr:uid="{00000000-0005-0000-0000-0000D87E0000}"/>
    <cellStyle name="Vírgula 3 4 2 2 2 2" xfId="25798" xr:uid="{00000000-0005-0000-0000-0000D97E0000}"/>
    <cellStyle name="Vírgula 3 4 2 2 3" xfId="24910" xr:uid="{00000000-0005-0000-0000-0000DA7E0000}"/>
    <cellStyle name="Vírgula 3 4 2 3" xfId="23519" xr:uid="{00000000-0005-0000-0000-0000DB7E0000}"/>
    <cellStyle name="Vírgula 3 4 2 3 2" xfId="25295" xr:uid="{00000000-0005-0000-0000-0000DC7E0000}"/>
    <cellStyle name="Vírgula 3 4 2 4" xfId="24407" xr:uid="{00000000-0005-0000-0000-0000DD7E0000}"/>
    <cellStyle name="Vírgula 3 4 3" xfId="2468" xr:uid="{00000000-0005-0000-0000-0000DE7E0000}"/>
    <cellStyle name="Vírgula 3 5" xfId="2682" xr:uid="{00000000-0005-0000-0000-0000DF7E0000}"/>
    <cellStyle name="Vírgula 3 5 2" xfId="22639" xr:uid="{00000000-0005-0000-0000-0000E07E0000}"/>
    <cellStyle name="Vírgula 3 5 2 2" xfId="23195" xr:uid="{00000000-0005-0000-0000-0000E17E0000}"/>
    <cellStyle name="Vírgula 3 5 2 2 2" xfId="24082" xr:uid="{00000000-0005-0000-0000-0000E27E0000}"/>
    <cellStyle name="Vírgula 3 5 2 2 2 2" xfId="25858" xr:uid="{00000000-0005-0000-0000-0000E37E0000}"/>
    <cellStyle name="Vírgula 3 5 2 2 3" xfId="24970" xr:uid="{00000000-0005-0000-0000-0000E47E0000}"/>
    <cellStyle name="Vírgula 3 5 2 3" xfId="23579" xr:uid="{00000000-0005-0000-0000-0000E57E0000}"/>
    <cellStyle name="Vírgula 3 5 2 3 2" xfId="25355" xr:uid="{00000000-0005-0000-0000-0000E67E0000}"/>
    <cellStyle name="Vírgula 3 5 2 4" xfId="24467" xr:uid="{00000000-0005-0000-0000-0000E77E0000}"/>
    <cellStyle name="Vírgula 3 6" xfId="32685" xr:uid="{00000000-0005-0000-0000-0000E87E0000}"/>
    <cellStyle name="Vírgula 4" xfId="2037" xr:uid="{00000000-0005-0000-0000-0000E97E0000}"/>
    <cellStyle name="Vírgula 4 10" xfId="26321" xr:uid="{00000000-0005-0000-0000-0000EA7E0000}"/>
    <cellStyle name="Vírgula 4 2" xfId="22445" xr:uid="{00000000-0005-0000-0000-0000EB7E0000}"/>
    <cellStyle name="Vírgula 4 2 2" xfId="23001" xr:uid="{00000000-0005-0000-0000-0000EC7E0000}"/>
    <cellStyle name="Vírgula 4 2 2 2" xfId="23888" xr:uid="{00000000-0005-0000-0000-0000ED7E0000}"/>
    <cellStyle name="Vírgula 4 2 2 2 2" xfId="25664" xr:uid="{00000000-0005-0000-0000-0000EE7E0000}"/>
    <cellStyle name="Vírgula 4 2 2 3" xfId="24776" xr:uid="{00000000-0005-0000-0000-0000EF7E0000}"/>
    <cellStyle name="Vírgula 4 2 3" xfId="23385" xr:uid="{00000000-0005-0000-0000-0000F07E0000}"/>
    <cellStyle name="Vírgula 4 2 3 2" xfId="25161" xr:uid="{00000000-0005-0000-0000-0000F17E0000}"/>
    <cellStyle name="Vírgula 4 2 4" xfId="24273" xr:uid="{00000000-0005-0000-0000-0000F27E0000}"/>
    <cellStyle name="Vírgula 4 2 5" xfId="26188" xr:uid="{00000000-0005-0000-0000-0000F37E0000}"/>
    <cellStyle name="Vírgula 4 2 6" xfId="26558" xr:uid="{00000000-0005-0000-0000-0000F47E0000}"/>
    <cellStyle name="Vírgula 4 3" xfId="22749" xr:uid="{00000000-0005-0000-0000-0000F57E0000}"/>
    <cellStyle name="Vírgula 4 3 2" xfId="23636" xr:uid="{00000000-0005-0000-0000-0000F67E0000}"/>
    <cellStyle name="Vírgula 4 3 2 2" xfId="25412" xr:uid="{00000000-0005-0000-0000-0000F77E0000}"/>
    <cellStyle name="Vírgula 4 3 3" xfId="24524" xr:uid="{00000000-0005-0000-0000-0000F87E0000}"/>
    <cellStyle name="Vírgula 4 3 4" xfId="26187" xr:uid="{00000000-0005-0000-0000-0000F97E0000}"/>
    <cellStyle name="Vírgula 4 3 5" xfId="26557" xr:uid="{00000000-0005-0000-0000-0000FA7E0000}"/>
    <cellStyle name="Vírgula 4 4" xfId="22868" xr:uid="{00000000-0005-0000-0000-0000FB7E0000}"/>
    <cellStyle name="Vírgula 4 4 2" xfId="23755" xr:uid="{00000000-0005-0000-0000-0000FC7E0000}"/>
    <cellStyle name="Vírgula 4 4 2 2" xfId="25531" xr:uid="{00000000-0005-0000-0000-0000FD7E0000}"/>
    <cellStyle name="Vírgula 4 4 3" xfId="24643" xr:uid="{00000000-0005-0000-0000-0000FE7E0000}"/>
    <cellStyle name="Vírgula 4 4 4" xfId="26665" xr:uid="{00000000-0005-0000-0000-0000FF7E0000}"/>
    <cellStyle name="Vírgula 4 5" xfId="23252" xr:uid="{00000000-0005-0000-0000-0000007F0000}"/>
    <cellStyle name="Vírgula 4 5 2" xfId="25028" xr:uid="{00000000-0005-0000-0000-0000017F0000}"/>
    <cellStyle name="Vírgula 4 6" xfId="24140" xr:uid="{00000000-0005-0000-0000-0000027F0000}"/>
    <cellStyle name="Vírgula 4 7" xfId="2316" xr:uid="{00000000-0005-0000-0000-0000037F0000}"/>
    <cellStyle name="Vírgula 4 8" xfId="25916" xr:uid="{00000000-0005-0000-0000-0000047F0000}"/>
    <cellStyle name="Vírgula 4 9" xfId="2171" xr:uid="{00000000-0005-0000-0000-0000057F0000}"/>
    <cellStyle name="Vírgula 5" xfId="2038" xr:uid="{00000000-0005-0000-0000-0000067F0000}"/>
    <cellStyle name="Vírgula 5 2" xfId="2039" xr:uid="{00000000-0005-0000-0000-0000077F0000}"/>
    <cellStyle name="Vírgula 5 2 2" xfId="2525" xr:uid="{00000000-0005-0000-0000-0000087F0000}"/>
    <cellStyle name="Vírgula 5 2 2 2" xfId="22608" xr:uid="{00000000-0005-0000-0000-0000097F0000}"/>
    <cellStyle name="Vírgula 5 2 2 2 2" xfId="23164" xr:uid="{00000000-0005-0000-0000-00000A7F0000}"/>
    <cellStyle name="Vírgula 5 2 2 2 2 2" xfId="24051" xr:uid="{00000000-0005-0000-0000-00000B7F0000}"/>
    <cellStyle name="Vírgula 5 2 2 2 2 2 2" xfId="25827" xr:uid="{00000000-0005-0000-0000-00000C7F0000}"/>
    <cellStyle name="Vírgula 5 2 2 2 2 3" xfId="24939" xr:uid="{00000000-0005-0000-0000-00000D7F0000}"/>
    <cellStyle name="Vírgula 5 2 2 2 3" xfId="23548" xr:uid="{00000000-0005-0000-0000-00000E7F0000}"/>
    <cellStyle name="Vírgula 5 2 2 2 3 2" xfId="25324" xr:uid="{00000000-0005-0000-0000-00000F7F0000}"/>
    <cellStyle name="Vírgula 5 2 2 2 4" xfId="24436" xr:uid="{00000000-0005-0000-0000-0000107F0000}"/>
    <cellStyle name="Vírgula 5 2 2 3" xfId="26190" xr:uid="{00000000-0005-0000-0000-0000117F0000}"/>
    <cellStyle name="Vírgula 5 2 2 4" xfId="26560" xr:uid="{00000000-0005-0000-0000-0000127F0000}"/>
    <cellStyle name="Vírgula 5 2 3" xfId="22576" xr:uid="{00000000-0005-0000-0000-0000137F0000}"/>
    <cellStyle name="Vírgula 5 2 3 2" xfId="23132" xr:uid="{00000000-0005-0000-0000-0000147F0000}"/>
    <cellStyle name="Vírgula 5 2 3 2 2" xfId="24019" xr:uid="{00000000-0005-0000-0000-0000157F0000}"/>
    <cellStyle name="Vírgula 5 2 3 2 2 2" xfId="25795" xr:uid="{00000000-0005-0000-0000-0000167F0000}"/>
    <cellStyle name="Vírgula 5 2 3 2 3" xfId="24907" xr:uid="{00000000-0005-0000-0000-0000177F0000}"/>
    <cellStyle name="Vírgula 5 2 3 3" xfId="23516" xr:uid="{00000000-0005-0000-0000-0000187F0000}"/>
    <cellStyle name="Vírgula 5 2 3 3 2" xfId="25292" xr:uid="{00000000-0005-0000-0000-0000197F0000}"/>
    <cellStyle name="Vírgula 5 2 3 4" xfId="24404" xr:uid="{00000000-0005-0000-0000-00001A7F0000}"/>
    <cellStyle name="Vírgula 5 2 4" xfId="22983" xr:uid="{00000000-0005-0000-0000-00001B7F0000}"/>
    <cellStyle name="Vírgula 5 2 4 2" xfId="23870" xr:uid="{00000000-0005-0000-0000-00001C7F0000}"/>
    <cellStyle name="Vírgula 5 2 4 2 2" xfId="25646" xr:uid="{00000000-0005-0000-0000-00001D7F0000}"/>
    <cellStyle name="Vírgula 5 2 4 3" xfId="24758" xr:uid="{00000000-0005-0000-0000-00001E7F0000}"/>
    <cellStyle name="Vírgula 5 2 5" xfId="23367" xr:uid="{00000000-0005-0000-0000-00001F7F0000}"/>
    <cellStyle name="Vírgula 5 2 5 2" xfId="25143" xr:uid="{00000000-0005-0000-0000-0000207F0000}"/>
    <cellStyle name="Vírgula 5 2 6" xfId="24255" xr:uid="{00000000-0005-0000-0000-0000217F0000}"/>
    <cellStyle name="Vírgula 5 2 7" xfId="2465" xr:uid="{00000000-0005-0000-0000-0000227F0000}"/>
    <cellStyle name="Vírgula 5 3" xfId="2040" xr:uid="{00000000-0005-0000-0000-0000237F0000}"/>
    <cellStyle name="Vírgula 5 3 2" xfId="22609" xr:uid="{00000000-0005-0000-0000-0000247F0000}"/>
    <cellStyle name="Vírgula 5 3 2 2" xfId="23165" xr:uid="{00000000-0005-0000-0000-0000257F0000}"/>
    <cellStyle name="Vírgula 5 3 2 2 2" xfId="24052" xr:uid="{00000000-0005-0000-0000-0000267F0000}"/>
    <cellStyle name="Vírgula 5 3 2 2 2 2" xfId="25828" xr:uid="{00000000-0005-0000-0000-0000277F0000}"/>
    <cellStyle name="Vírgula 5 3 2 2 3" xfId="24940" xr:uid="{00000000-0005-0000-0000-0000287F0000}"/>
    <cellStyle name="Vírgula 5 3 2 3" xfId="23549" xr:uid="{00000000-0005-0000-0000-0000297F0000}"/>
    <cellStyle name="Vírgula 5 3 2 3 2" xfId="25325" xr:uid="{00000000-0005-0000-0000-00002A7F0000}"/>
    <cellStyle name="Vírgula 5 3 2 4" xfId="24437" xr:uid="{00000000-0005-0000-0000-00002B7F0000}"/>
    <cellStyle name="Vírgula 5 3 2 5" xfId="26667" xr:uid="{00000000-0005-0000-0000-00002C7F0000}"/>
    <cellStyle name="Vírgula 5 3 3" xfId="22986" xr:uid="{00000000-0005-0000-0000-00002D7F0000}"/>
    <cellStyle name="Vírgula 5 3 3 2" xfId="23873" xr:uid="{00000000-0005-0000-0000-00002E7F0000}"/>
    <cellStyle name="Vírgula 5 3 3 2 2" xfId="25649" xr:uid="{00000000-0005-0000-0000-00002F7F0000}"/>
    <cellStyle name="Vírgula 5 3 3 3" xfId="24761" xr:uid="{00000000-0005-0000-0000-0000307F0000}"/>
    <cellStyle name="Vírgula 5 3 4" xfId="23370" xr:uid="{00000000-0005-0000-0000-0000317F0000}"/>
    <cellStyle name="Vírgula 5 3 4 2" xfId="25146" xr:uid="{00000000-0005-0000-0000-0000327F0000}"/>
    <cellStyle name="Vírgula 5 3 5" xfId="24258" xr:uid="{00000000-0005-0000-0000-0000337F0000}"/>
    <cellStyle name="Vírgula 5 3 6" xfId="26029" xr:uid="{00000000-0005-0000-0000-0000347F0000}"/>
    <cellStyle name="Vírgula 5 3 7" xfId="2526" xr:uid="{00000000-0005-0000-0000-0000357F0000}"/>
    <cellStyle name="Vírgula 5 3 8" xfId="26434" xr:uid="{00000000-0005-0000-0000-0000367F0000}"/>
    <cellStyle name="Vírgula 5 4" xfId="2315" xr:uid="{00000000-0005-0000-0000-0000377F0000}"/>
    <cellStyle name="Vírgula 5 4 2" xfId="26189" xr:uid="{00000000-0005-0000-0000-0000387F0000}"/>
    <cellStyle name="Vírgula 5 4 3" xfId="26559" xr:uid="{00000000-0005-0000-0000-0000397F0000}"/>
    <cellStyle name="Vírgula 5 5" xfId="2170" xr:uid="{00000000-0005-0000-0000-00003A7F0000}"/>
    <cellStyle name="Vírgula 5 5 2" xfId="26664" xr:uid="{00000000-0005-0000-0000-00003B7F0000}"/>
    <cellStyle name="Vírgula 5 6" xfId="26320" xr:uid="{00000000-0005-0000-0000-00003C7F0000}"/>
    <cellStyle name="Vírgula 6" xfId="2041" xr:uid="{00000000-0005-0000-0000-00003D7F0000}"/>
    <cellStyle name="Vírgula 6 2" xfId="2042" xr:uid="{00000000-0005-0000-0000-00003E7F0000}"/>
    <cellStyle name="Vírgula 6 2 2" xfId="22450" xr:uid="{00000000-0005-0000-0000-00003F7F0000}"/>
    <cellStyle name="Vírgula 6 2 2 2" xfId="23006" xr:uid="{00000000-0005-0000-0000-0000407F0000}"/>
    <cellStyle name="Vírgula 6 2 2 2 2" xfId="23893" xr:uid="{00000000-0005-0000-0000-0000417F0000}"/>
    <cellStyle name="Vírgula 6 2 2 2 2 2" xfId="25669" xr:uid="{00000000-0005-0000-0000-0000427F0000}"/>
    <cellStyle name="Vírgula 6 2 2 2 3" xfId="24781" xr:uid="{00000000-0005-0000-0000-0000437F0000}"/>
    <cellStyle name="Vírgula 6 2 2 3" xfId="23390" xr:uid="{00000000-0005-0000-0000-0000447F0000}"/>
    <cellStyle name="Vírgula 6 2 2 3 2" xfId="25166" xr:uid="{00000000-0005-0000-0000-0000457F0000}"/>
    <cellStyle name="Vírgula 6 2 2 4" xfId="24278" xr:uid="{00000000-0005-0000-0000-0000467F0000}"/>
    <cellStyle name="Vírgula 6 2 2 5" xfId="26191" xr:uid="{00000000-0005-0000-0000-0000477F0000}"/>
    <cellStyle name="Vírgula 6 2 2 6" xfId="26561" xr:uid="{00000000-0005-0000-0000-0000487F0000}"/>
    <cellStyle name="Vírgula 6 2 3" xfId="2322" xr:uid="{00000000-0005-0000-0000-0000497F0000}"/>
    <cellStyle name="Vírgula 6 2 4" xfId="2176" xr:uid="{00000000-0005-0000-0000-00004A7F0000}"/>
    <cellStyle name="Vírgula 6 3" xfId="2043" xr:uid="{00000000-0005-0000-0000-00004B7F0000}"/>
    <cellStyle name="Vírgula 6 3 2" xfId="2524" xr:uid="{00000000-0005-0000-0000-00004C7F0000}"/>
    <cellStyle name="Vírgula 6 3 2 2" xfId="22607" xr:uid="{00000000-0005-0000-0000-00004D7F0000}"/>
    <cellStyle name="Vírgula 6 3 2 2 2" xfId="23163" xr:uid="{00000000-0005-0000-0000-00004E7F0000}"/>
    <cellStyle name="Vírgula 6 3 2 2 2 2" xfId="24050" xr:uid="{00000000-0005-0000-0000-00004F7F0000}"/>
    <cellStyle name="Vírgula 6 3 2 2 2 2 2" xfId="25826" xr:uid="{00000000-0005-0000-0000-0000507F0000}"/>
    <cellStyle name="Vírgula 6 3 2 2 2 3" xfId="24938" xr:uid="{00000000-0005-0000-0000-0000517F0000}"/>
    <cellStyle name="Vírgula 6 3 2 2 3" xfId="23547" xr:uid="{00000000-0005-0000-0000-0000527F0000}"/>
    <cellStyle name="Vírgula 6 3 2 2 3 2" xfId="25323" xr:uid="{00000000-0005-0000-0000-0000537F0000}"/>
    <cellStyle name="Vírgula 6 3 2 2 4" xfId="24435" xr:uid="{00000000-0005-0000-0000-0000547F0000}"/>
    <cellStyle name="Vírgula 6 3 2 3" xfId="26192" xr:uid="{00000000-0005-0000-0000-0000557F0000}"/>
    <cellStyle name="Vírgula 6 3 2 4" xfId="26562" xr:uid="{00000000-0005-0000-0000-0000567F0000}"/>
    <cellStyle name="Vírgula 6 3 3" xfId="22577" xr:uid="{00000000-0005-0000-0000-0000577F0000}"/>
    <cellStyle name="Vírgula 6 3 3 2" xfId="23133" xr:uid="{00000000-0005-0000-0000-0000587F0000}"/>
    <cellStyle name="Vírgula 6 3 3 2 2" xfId="24020" xr:uid="{00000000-0005-0000-0000-0000597F0000}"/>
    <cellStyle name="Vírgula 6 3 3 2 2 2" xfId="25796" xr:uid="{00000000-0005-0000-0000-00005A7F0000}"/>
    <cellStyle name="Vírgula 6 3 3 2 3" xfId="24908" xr:uid="{00000000-0005-0000-0000-00005B7F0000}"/>
    <cellStyle name="Vírgula 6 3 3 3" xfId="23517" xr:uid="{00000000-0005-0000-0000-00005C7F0000}"/>
    <cellStyle name="Vírgula 6 3 3 3 2" xfId="25293" xr:uid="{00000000-0005-0000-0000-00005D7F0000}"/>
    <cellStyle name="Vírgula 6 3 3 4" xfId="24405" xr:uid="{00000000-0005-0000-0000-00005E7F0000}"/>
    <cellStyle name="Vírgula 6 3 4" xfId="22984" xr:uid="{00000000-0005-0000-0000-00005F7F0000}"/>
    <cellStyle name="Vírgula 6 3 4 2" xfId="23871" xr:uid="{00000000-0005-0000-0000-0000607F0000}"/>
    <cellStyle name="Vírgula 6 3 4 2 2" xfId="25647" xr:uid="{00000000-0005-0000-0000-0000617F0000}"/>
    <cellStyle name="Vírgula 6 3 4 3" xfId="24759" xr:uid="{00000000-0005-0000-0000-0000627F0000}"/>
    <cellStyle name="Vírgula 6 3 5" xfId="23368" xr:uid="{00000000-0005-0000-0000-0000637F0000}"/>
    <cellStyle name="Vírgula 6 3 5 2" xfId="25144" xr:uid="{00000000-0005-0000-0000-0000647F0000}"/>
    <cellStyle name="Vírgula 6 3 6" xfId="24256" xr:uid="{00000000-0005-0000-0000-0000657F0000}"/>
    <cellStyle name="Vírgula 6 3 7" xfId="2466" xr:uid="{00000000-0005-0000-0000-0000667F0000}"/>
    <cellStyle name="Vírgula 6 4" xfId="2044" xr:uid="{00000000-0005-0000-0000-0000677F0000}"/>
    <cellStyle name="Vírgula 6 4 2" xfId="22610" xr:uid="{00000000-0005-0000-0000-0000687F0000}"/>
    <cellStyle name="Vírgula 6 4 2 2" xfId="23166" xr:uid="{00000000-0005-0000-0000-0000697F0000}"/>
    <cellStyle name="Vírgula 6 4 2 2 2" xfId="24053" xr:uid="{00000000-0005-0000-0000-00006A7F0000}"/>
    <cellStyle name="Vírgula 6 4 2 2 2 2" xfId="25829" xr:uid="{00000000-0005-0000-0000-00006B7F0000}"/>
    <cellStyle name="Vírgula 6 4 2 2 3" xfId="24941" xr:uid="{00000000-0005-0000-0000-00006C7F0000}"/>
    <cellStyle name="Vírgula 6 4 2 3" xfId="23550" xr:uid="{00000000-0005-0000-0000-00006D7F0000}"/>
    <cellStyle name="Vírgula 6 4 2 3 2" xfId="25326" xr:uid="{00000000-0005-0000-0000-00006E7F0000}"/>
    <cellStyle name="Vírgula 6 4 2 4" xfId="24438" xr:uid="{00000000-0005-0000-0000-00006F7F0000}"/>
    <cellStyle name="Vírgula 6 4 3" xfId="22987" xr:uid="{00000000-0005-0000-0000-0000707F0000}"/>
    <cellStyle name="Vírgula 6 4 3 2" xfId="23874" xr:uid="{00000000-0005-0000-0000-0000717F0000}"/>
    <cellStyle name="Vírgula 6 4 3 2 2" xfId="25650" xr:uid="{00000000-0005-0000-0000-0000727F0000}"/>
    <cellStyle name="Vírgula 6 4 3 3" xfId="24762" xr:uid="{00000000-0005-0000-0000-0000737F0000}"/>
    <cellStyle name="Vírgula 6 4 4" xfId="23371" xr:uid="{00000000-0005-0000-0000-0000747F0000}"/>
    <cellStyle name="Vírgula 6 4 4 2" xfId="25147" xr:uid="{00000000-0005-0000-0000-0000757F0000}"/>
    <cellStyle name="Vírgula 6 4 5" xfId="24259" xr:uid="{00000000-0005-0000-0000-0000767F0000}"/>
    <cellStyle name="Vírgula 6 4 6" xfId="26030" xr:uid="{00000000-0005-0000-0000-0000777F0000}"/>
    <cellStyle name="Vírgula 6 4 7" xfId="2527" xr:uid="{00000000-0005-0000-0000-0000787F0000}"/>
    <cellStyle name="Vírgula 6 4 8" xfId="26435" xr:uid="{00000000-0005-0000-0000-0000797F0000}"/>
    <cellStyle name="Vírgula 6 5" xfId="2317" xr:uid="{00000000-0005-0000-0000-00007A7F0000}"/>
    <cellStyle name="Vírgula 6 6" xfId="32686" xr:uid="{00000000-0005-0000-0000-00007B7F0000}"/>
    <cellStyle name="Vírgula 7" xfId="2045" xr:uid="{00000000-0005-0000-0000-00007C7F0000}"/>
    <cellStyle name="Vírgula 7 10" xfId="32687" xr:uid="{00000000-0005-0000-0000-00007D7F0000}"/>
    <cellStyle name="Vírgula 7 10 2" xfId="32688" xr:uid="{00000000-0005-0000-0000-00007E7F0000}"/>
    <cellStyle name="Vírgula 7 10 2 2" xfId="32689" xr:uid="{00000000-0005-0000-0000-00007F7F0000}"/>
    <cellStyle name="Vírgula 7 10 2 3" xfId="32690" xr:uid="{00000000-0005-0000-0000-0000807F0000}"/>
    <cellStyle name="Vírgula 7 10 2 4" xfId="32691" xr:uid="{00000000-0005-0000-0000-0000817F0000}"/>
    <cellStyle name="Vírgula 7 10 3" xfId="32692" xr:uid="{00000000-0005-0000-0000-0000827F0000}"/>
    <cellStyle name="Vírgula 7 10 4" xfId="32693" xr:uid="{00000000-0005-0000-0000-0000837F0000}"/>
    <cellStyle name="Vírgula 7 10 5" xfId="32694" xr:uid="{00000000-0005-0000-0000-0000847F0000}"/>
    <cellStyle name="Vírgula 7 11" xfId="32695" xr:uid="{00000000-0005-0000-0000-0000857F0000}"/>
    <cellStyle name="Vírgula 7 11 2" xfId="32696" xr:uid="{00000000-0005-0000-0000-0000867F0000}"/>
    <cellStyle name="Vírgula 7 11 3" xfId="32697" xr:uid="{00000000-0005-0000-0000-0000877F0000}"/>
    <cellStyle name="Vírgula 7 11 4" xfId="32698" xr:uid="{00000000-0005-0000-0000-0000887F0000}"/>
    <cellStyle name="Vírgula 7 12" xfId="32699" xr:uid="{00000000-0005-0000-0000-0000897F0000}"/>
    <cellStyle name="Vírgula 7 12 2" xfId="32700" xr:uid="{00000000-0005-0000-0000-00008A7F0000}"/>
    <cellStyle name="Vírgula 7 12 3" xfId="32701" xr:uid="{00000000-0005-0000-0000-00008B7F0000}"/>
    <cellStyle name="Vírgula 7 12 4" xfId="32702" xr:uid="{00000000-0005-0000-0000-00008C7F0000}"/>
    <cellStyle name="Vírgula 7 13" xfId="32703" xr:uid="{00000000-0005-0000-0000-00008D7F0000}"/>
    <cellStyle name="Vírgula 7 13 2" xfId="32704" xr:uid="{00000000-0005-0000-0000-00008E7F0000}"/>
    <cellStyle name="Vírgula 7 13 3" xfId="32705" xr:uid="{00000000-0005-0000-0000-00008F7F0000}"/>
    <cellStyle name="Vírgula 7 13 4" xfId="32706" xr:uid="{00000000-0005-0000-0000-0000907F0000}"/>
    <cellStyle name="Vírgula 7 14" xfId="32707" xr:uid="{00000000-0005-0000-0000-0000917F0000}"/>
    <cellStyle name="Vírgula 7 14 2" xfId="32708" xr:uid="{00000000-0005-0000-0000-0000927F0000}"/>
    <cellStyle name="Vírgula 7 14 3" xfId="32709" xr:uid="{00000000-0005-0000-0000-0000937F0000}"/>
    <cellStyle name="Vírgula 7 15" xfId="32710" xr:uid="{00000000-0005-0000-0000-0000947F0000}"/>
    <cellStyle name="Vírgula 7 15 2" xfId="32711" xr:uid="{00000000-0005-0000-0000-0000957F0000}"/>
    <cellStyle name="Vírgula 7 16" xfId="32712" xr:uid="{00000000-0005-0000-0000-0000967F0000}"/>
    <cellStyle name="Vírgula 7 17" xfId="32713" xr:uid="{00000000-0005-0000-0000-0000977F0000}"/>
    <cellStyle name="Vírgula 7 2" xfId="2046" xr:uid="{00000000-0005-0000-0000-0000987F0000}"/>
    <cellStyle name="Vírgula 7 2 10" xfId="32714" xr:uid="{00000000-0005-0000-0000-0000997F0000}"/>
    <cellStyle name="Vírgula 7 2 10 2" xfId="32715" xr:uid="{00000000-0005-0000-0000-00009A7F0000}"/>
    <cellStyle name="Vírgula 7 2 10 3" xfId="32716" xr:uid="{00000000-0005-0000-0000-00009B7F0000}"/>
    <cellStyle name="Vírgula 7 2 10 4" xfId="32717" xr:uid="{00000000-0005-0000-0000-00009C7F0000}"/>
    <cellStyle name="Vírgula 7 2 11" xfId="32718" xr:uid="{00000000-0005-0000-0000-00009D7F0000}"/>
    <cellStyle name="Vírgula 7 2 11 2" xfId="32719" xr:uid="{00000000-0005-0000-0000-00009E7F0000}"/>
    <cellStyle name="Vírgula 7 2 11 3" xfId="32720" xr:uid="{00000000-0005-0000-0000-00009F7F0000}"/>
    <cellStyle name="Vírgula 7 2 12" xfId="32721" xr:uid="{00000000-0005-0000-0000-0000A07F0000}"/>
    <cellStyle name="Vírgula 7 2 12 2" xfId="32722" xr:uid="{00000000-0005-0000-0000-0000A17F0000}"/>
    <cellStyle name="Vírgula 7 2 13" xfId="32723" xr:uid="{00000000-0005-0000-0000-0000A27F0000}"/>
    <cellStyle name="Vírgula 7 2 14" xfId="32724" xr:uid="{00000000-0005-0000-0000-0000A37F0000}"/>
    <cellStyle name="Vírgula 7 2 2" xfId="22565" xr:uid="{00000000-0005-0000-0000-0000A47F0000}"/>
    <cellStyle name="Vírgula 7 2 2 2" xfId="23121" xr:uid="{00000000-0005-0000-0000-0000A57F0000}"/>
    <cellStyle name="Vírgula 7 2 2 2 2" xfId="24008" xr:uid="{00000000-0005-0000-0000-0000A67F0000}"/>
    <cellStyle name="Vírgula 7 2 2 2 2 2" xfId="25784" xr:uid="{00000000-0005-0000-0000-0000A77F0000}"/>
    <cellStyle name="Vírgula 7 2 2 2 2 2 2" xfId="32725" xr:uid="{00000000-0005-0000-0000-0000A87F0000}"/>
    <cellStyle name="Vírgula 7 2 2 2 2 2 3" xfId="32726" xr:uid="{00000000-0005-0000-0000-0000A97F0000}"/>
    <cellStyle name="Vírgula 7 2 2 2 2 2 4" xfId="32727" xr:uid="{00000000-0005-0000-0000-0000AA7F0000}"/>
    <cellStyle name="Vírgula 7 2 2 2 2 3" xfId="32728" xr:uid="{00000000-0005-0000-0000-0000AB7F0000}"/>
    <cellStyle name="Vírgula 7 2 2 2 2 4" xfId="32729" xr:uid="{00000000-0005-0000-0000-0000AC7F0000}"/>
    <cellStyle name="Vírgula 7 2 2 2 2 5" xfId="32730" xr:uid="{00000000-0005-0000-0000-0000AD7F0000}"/>
    <cellStyle name="Vírgula 7 2 2 2 3" xfId="24896" xr:uid="{00000000-0005-0000-0000-0000AE7F0000}"/>
    <cellStyle name="Vírgula 7 2 2 2 3 2" xfId="32731" xr:uid="{00000000-0005-0000-0000-0000AF7F0000}"/>
    <cellStyle name="Vírgula 7 2 2 2 3 3" xfId="32732" xr:uid="{00000000-0005-0000-0000-0000B07F0000}"/>
    <cellStyle name="Vírgula 7 2 2 2 3 4" xfId="32733" xr:uid="{00000000-0005-0000-0000-0000B17F0000}"/>
    <cellStyle name="Vírgula 7 2 2 2 4" xfId="32734" xr:uid="{00000000-0005-0000-0000-0000B27F0000}"/>
    <cellStyle name="Vírgula 7 2 2 2 5" xfId="32735" xr:uid="{00000000-0005-0000-0000-0000B37F0000}"/>
    <cellStyle name="Vírgula 7 2 2 2 6" xfId="32736" xr:uid="{00000000-0005-0000-0000-0000B47F0000}"/>
    <cellStyle name="Vírgula 7 2 2 3" xfId="23505" xr:uid="{00000000-0005-0000-0000-0000B57F0000}"/>
    <cellStyle name="Vírgula 7 2 2 3 2" xfId="25281" xr:uid="{00000000-0005-0000-0000-0000B67F0000}"/>
    <cellStyle name="Vírgula 7 2 2 3 2 2" xfId="32737" xr:uid="{00000000-0005-0000-0000-0000B77F0000}"/>
    <cellStyle name="Vírgula 7 2 2 3 2 3" xfId="32738" xr:uid="{00000000-0005-0000-0000-0000B87F0000}"/>
    <cellStyle name="Vírgula 7 2 2 3 2 4" xfId="32739" xr:uid="{00000000-0005-0000-0000-0000B97F0000}"/>
    <cellStyle name="Vírgula 7 2 2 3 3" xfId="32740" xr:uid="{00000000-0005-0000-0000-0000BA7F0000}"/>
    <cellStyle name="Vírgula 7 2 2 3 4" xfId="32741" xr:uid="{00000000-0005-0000-0000-0000BB7F0000}"/>
    <cellStyle name="Vírgula 7 2 2 3 5" xfId="32742" xr:uid="{00000000-0005-0000-0000-0000BC7F0000}"/>
    <cellStyle name="Vírgula 7 2 2 4" xfId="24393" xr:uid="{00000000-0005-0000-0000-0000BD7F0000}"/>
    <cellStyle name="Vírgula 7 2 2 4 2" xfId="32743" xr:uid="{00000000-0005-0000-0000-0000BE7F0000}"/>
    <cellStyle name="Vírgula 7 2 2 4 3" xfId="32744" xr:uid="{00000000-0005-0000-0000-0000BF7F0000}"/>
    <cellStyle name="Vírgula 7 2 2 4 4" xfId="32745" xr:uid="{00000000-0005-0000-0000-0000C07F0000}"/>
    <cellStyle name="Vírgula 7 2 2 5" xfId="32746" xr:uid="{00000000-0005-0000-0000-0000C17F0000}"/>
    <cellStyle name="Vírgula 7 2 2 5 2" xfId="32747" xr:uid="{00000000-0005-0000-0000-0000C27F0000}"/>
    <cellStyle name="Vírgula 7 2 2 5 3" xfId="32748" xr:uid="{00000000-0005-0000-0000-0000C37F0000}"/>
    <cellStyle name="Vírgula 7 2 2 5 4" xfId="32749" xr:uid="{00000000-0005-0000-0000-0000C47F0000}"/>
    <cellStyle name="Vírgula 7 2 2 6" xfId="32750" xr:uid="{00000000-0005-0000-0000-0000C57F0000}"/>
    <cellStyle name="Vírgula 7 2 2 6 2" xfId="32751" xr:uid="{00000000-0005-0000-0000-0000C67F0000}"/>
    <cellStyle name="Vírgula 7 2 2 6 3" xfId="32752" xr:uid="{00000000-0005-0000-0000-0000C77F0000}"/>
    <cellStyle name="Vírgula 7 2 2 7" xfId="32753" xr:uid="{00000000-0005-0000-0000-0000C87F0000}"/>
    <cellStyle name="Vírgula 7 2 2 8" xfId="32754" xr:uid="{00000000-0005-0000-0000-0000C97F0000}"/>
    <cellStyle name="Vírgula 7 2 2 9" xfId="32755" xr:uid="{00000000-0005-0000-0000-0000CA7F0000}"/>
    <cellStyle name="Vírgula 7 2 3" xfId="2438" xr:uid="{00000000-0005-0000-0000-0000CB7F0000}"/>
    <cellStyle name="Vírgula 7 2 3 2" xfId="32756" xr:uid="{00000000-0005-0000-0000-0000CC7F0000}"/>
    <cellStyle name="Vírgula 7 2 3 2 2" xfId="32757" xr:uid="{00000000-0005-0000-0000-0000CD7F0000}"/>
    <cellStyle name="Vírgula 7 2 3 2 2 2" xfId="32758" xr:uid="{00000000-0005-0000-0000-0000CE7F0000}"/>
    <cellStyle name="Vírgula 7 2 3 2 2 2 2" xfId="32759" xr:uid="{00000000-0005-0000-0000-0000CF7F0000}"/>
    <cellStyle name="Vírgula 7 2 3 2 2 2 3" xfId="32760" xr:uid="{00000000-0005-0000-0000-0000D07F0000}"/>
    <cellStyle name="Vírgula 7 2 3 2 2 2 4" xfId="32761" xr:uid="{00000000-0005-0000-0000-0000D17F0000}"/>
    <cellStyle name="Vírgula 7 2 3 2 2 3" xfId="32762" xr:uid="{00000000-0005-0000-0000-0000D27F0000}"/>
    <cellStyle name="Vírgula 7 2 3 2 2 4" xfId="32763" xr:uid="{00000000-0005-0000-0000-0000D37F0000}"/>
    <cellStyle name="Vírgula 7 2 3 2 2 5" xfId="32764" xr:uid="{00000000-0005-0000-0000-0000D47F0000}"/>
    <cellStyle name="Vírgula 7 2 3 2 3" xfId="32765" xr:uid="{00000000-0005-0000-0000-0000D57F0000}"/>
    <cellStyle name="Vírgula 7 2 3 2 3 2" xfId="32766" xr:uid="{00000000-0005-0000-0000-0000D67F0000}"/>
    <cellStyle name="Vírgula 7 2 3 2 3 3" xfId="32767" xr:uid="{00000000-0005-0000-0000-0000D77F0000}"/>
    <cellStyle name="Vírgula 7 2 3 2 3 4" xfId="32768" xr:uid="{00000000-0005-0000-0000-0000D87F0000}"/>
    <cellStyle name="Vírgula 7 2 3 2 4" xfId="32769" xr:uid="{00000000-0005-0000-0000-0000D97F0000}"/>
    <cellStyle name="Vírgula 7 2 3 2 5" xfId="32770" xr:uid="{00000000-0005-0000-0000-0000DA7F0000}"/>
    <cellStyle name="Vírgula 7 2 3 2 6" xfId="32771" xr:uid="{00000000-0005-0000-0000-0000DB7F0000}"/>
    <cellStyle name="Vírgula 7 2 3 3" xfId="32772" xr:uid="{00000000-0005-0000-0000-0000DC7F0000}"/>
    <cellStyle name="Vírgula 7 2 3 3 2" xfId="32773" xr:uid="{00000000-0005-0000-0000-0000DD7F0000}"/>
    <cellStyle name="Vírgula 7 2 3 3 2 2" xfId="32774" xr:uid="{00000000-0005-0000-0000-0000DE7F0000}"/>
    <cellStyle name="Vírgula 7 2 3 3 2 3" xfId="32775" xr:uid="{00000000-0005-0000-0000-0000DF7F0000}"/>
    <cellStyle name="Vírgula 7 2 3 3 2 4" xfId="32776" xr:uid="{00000000-0005-0000-0000-0000E07F0000}"/>
    <cellStyle name="Vírgula 7 2 3 3 3" xfId="32777" xr:uid="{00000000-0005-0000-0000-0000E17F0000}"/>
    <cellStyle name="Vírgula 7 2 3 3 4" xfId="32778" xr:uid="{00000000-0005-0000-0000-0000E27F0000}"/>
    <cellStyle name="Vírgula 7 2 3 3 5" xfId="32779" xr:uid="{00000000-0005-0000-0000-0000E37F0000}"/>
    <cellStyle name="Vírgula 7 2 3 4" xfId="32780" xr:uid="{00000000-0005-0000-0000-0000E47F0000}"/>
    <cellStyle name="Vírgula 7 2 3 4 2" xfId="32781" xr:uid="{00000000-0005-0000-0000-0000E57F0000}"/>
    <cellStyle name="Vírgula 7 2 3 4 3" xfId="32782" xr:uid="{00000000-0005-0000-0000-0000E67F0000}"/>
    <cellStyle name="Vírgula 7 2 3 4 4" xfId="32783" xr:uid="{00000000-0005-0000-0000-0000E77F0000}"/>
    <cellStyle name="Vírgula 7 2 3 5" xfId="32784" xr:uid="{00000000-0005-0000-0000-0000E87F0000}"/>
    <cellStyle name="Vírgula 7 2 3 5 2" xfId="32785" xr:uid="{00000000-0005-0000-0000-0000E97F0000}"/>
    <cellStyle name="Vírgula 7 2 3 5 3" xfId="32786" xr:uid="{00000000-0005-0000-0000-0000EA7F0000}"/>
    <cellStyle name="Vírgula 7 2 3 5 4" xfId="32787" xr:uid="{00000000-0005-0000-0000-0000EB7F0000}"/>
    <cellStyle name="Vírgula 7 2 3 6" xfId="32788" xr:uid="{00000000-0005-0000-0000-0000EC7F0000}"/>
    <cellStyle name="Vírgula 7 2 3 6 2" xfId="32789" xr:uid="{00000000-0005-0000-0000-0000ED7F0000}"/>
    <cellStyle name="Vírgula 7 2 3 6 3" xfId="32790" xr:uid="{00000000-0005-0000-0000-0000EE7F0000}"/>
    <cellStyle name="Vírgula 7 2 3 7" xfId="32791" xr:uid="{00000000-0005-0000-0000-0000EF7F0000}"/>
    <cellStyle name="Vírgula 7 2 3 8" xfId="32792" xr:uid="{00000000-0005-0000-0000-0000F07F0000}"/>
    <cellStyle name="Vírgula 7 2 3 9" xfId="32793" xr:uid="{00000000-0005-0000-0000-0000F17F0000}"/>
    <cellStyle name="Vírgula 7 2 4" xfId="26193" xr:uid="{00000000-0005-0000-0000-0000F27F0000}"/>
    <cellStyle name="Vírgula 7 2 4 2" xfId="32794" xr:uid="{00000000-0005-0000-0000-0000F37F0000}"/>
    <cellStyle name="Vírgula 7 2 4 2 2" xfId="32795" xr:uid="{00000000-0005-0000-0000-0000F47F0000}"/>
    <cellStyle name="Vírgula 7 2 4 2 2 2" xfId="32796" xr:uid="{00000000-0005-0000-0000-0000F57F0000}"/>
    <cellStyle name="Vírgula 7 2 4 2 2 3" xfId="32797" xr:uid="{00000000-0005-0000-0000-0000F67F0000}"/>
    <cellStyle name="Vírgula 7 2 4 2 2 4" xfId="32798" xr:uid="{00000000-0005-0000-0000-0000F77F0000}"/>
    <cellStyle name="Vírgula 7 2 4 2 3" xfId="32799" xr:uid="{00000000-0005-0000-0000-0000F87F0000}"/>
    <cellStyle name="Vírgula 7 2 4 2 4" xfId="32800" xr:uid="{00000000-0005-0000-0000-0000F97F0000}"/>
    <cellStyle name="Vírgula 7 2 4 2 5" xfId="32801" xr:uid="{00000000-0005-0000-0000-0000FA7F0000}"/>
    <cellStyle name="Vírgula 7 2 4 3" xfId="32802" xr:uid="{00000000-0005-0000-0000-0000FB7F0000}"/>
    <cellStyle name="Vírgula 7 2 4 3 2" xfId="32803" xr:uid="{00000000-0005-0000-0000-0000FC7F0000}"/>
    <cellStyle name="Vírgula 7 2 4 3 3" xfId="32804" xr:uid="{00000000-0005-0000-0000-0000FD7F0000}"/>
    <cellStyle name="Vírgula 7 2 4 3 4" xfId="32805" xr:uid="{00000000-0005-0000-0000-0000FE7F0000}"/>
    <cellStyle name="Vírgula 7 2 4 4" xfId="32806" xr:uid="{00000000-0005-0000-0000-0000FF7F0000}"/>
    <cellStyle name="Vírgula 7 2 4 5" xfId="32807" xr:uid="{00000000-0005-0000-0000-000000800000}"/>
    <cellStyle name="Vírgula 7 2 4 6" xfId="32808" xr:uid="{00000000-0005-0000-0000-000001800000}"/>
    <cellStyle name="Vírgula 7 2 5" xfId="2295" xr:uid="{00000000-0005-0000-0000-000002800000}"/>
    <cellStyle name="Vírgula 7 2 5 2" xfId="32809" xr:uid="{00000000-0005-0000-0000-000003800000}"/>
    <cellStyle name="Vírgula 7 2 5 2 2" xfId="32810" xr:uid="{00000000-0005-0000-0000-000004800000}"/>
    <cellStyle name="Vírgula 7 2 5 2 2 2" xfId="32811" xr:uid="{00000000-0005-0000-0000-000005800000}"/>
    <cellStyle name="Vírgula 7 2 5 2 2 3" xfId="32812" xr:uid="{00000000-0005-0000-0000-000006800000}"/>
    <cellStyle name="Vírgula 7 2 5 2 2 4" xfId="32813" xr:uid="{00000000-0005-0000-0000-000007800000}"/>
    <cellStyle name="Vírgula 7 2 5 2 3" xfId="32814" xr:uid="{00000000-0005-0000-0000-000008800000}"/>
    <cellStyle name="Vírgula 7 2 5 2 4" xfId="32815" xr:uid="{00000000-0005-0000-0000-000009800000}"/>
    <cellStyle name="Vírgula 7 2 5 2 5" xfId="32816" xr:uid="{00000000-0005-0000-0000-00000A800000}"/>
    <cellStyle name="Vírgula 7 2 5 3" xfId="32817" xr:uid="{00000000-0005-0000-0000-00000B800000}"/>
    <cellStyle name="Vírgula 7 2 5 3 2" xfId="32818" xr:uid="{00000000-0005-0000-0000-00000C800000}"/>
    <cellStyle name="Vírgula 7 2 5 3 3" xfId="32819" xr:uid="{00000000-0005-0000-0000-00000D800000}"/>
    <cellStyle name="Vírgula 7 2 5 3 4" xfId="32820" xr:uid="{00000000-0005-0000-0000-00000E800000}"/>
    <cellStyle name="Vírgula 7 2 5 4" xfId="32821" xr:uid="{00000000-0005-0000-0000-00000F800000}"/>
    <cellStyle name="Vírgula 7 2 5 5" xfId="32822" xr:uid="{00000000-0005-0000-0000-000010800000}"/>
    <cellStyle name="Vírgula 7 2 5 6" xfId="32823" xr:uid="{00000000-0005-0000-0000-000011800000}"/>
    <cellStyle name="Vírgula 7 2 6" xfId="26563" xr:uid="{00000000-0005-0000-0000-000012800000}"/>
    <cellStyle name="Vírgula 7 2 6 2" xfId="32824" xr:uid="{00000000-0005-0000-0000-000013800000}"/>
    <cellStyle name="Vírgula 7 2 6 2 2" xfId="32825" xr:uid="{00000000-0005-0000-0000-000014800000}"/>
    <cellStyle name="Vírgula 7 2 6 2 2 2" xfId="32826" xr:uid="{00000000-0005-0000-0000-000015800000}"/>
    <cellStyle name="Vírgula 7 2 6 2 2 3" xfId="32827" xr:uid="{00000000-0005-0000-0000-000016800000}"/>
    <cellStyle name="Vírgula 7 2 6 2 2 4" xfId="32828" xr:uid="{00000000-0005-0000-0000-000017800000}"/>
    <cellStyle name="Vírgula 7 2 6 2 3" xfId="32829" xr:uid="{00000000-0005-0000-0000-000018800000}"/>
    <cellStyle name="Vírgula 7 2 6 2 4" xfId="32830" xr:uid="{00000000-0005-0000-0000-000019800000}"/>
    <cellStyle name="Vírgula 7 2 6 2 5" xfId="32831" xr:uid="{00000000-0005-0000-0000-00001A800000}"/>
    <cellStyle name="Vírgula 7 2 6 3" xfId="32832" xr:uid="{00000000-0005-0000-0000-00001B800000}"/>
    <cellStyle name="Vírgula 7 2 6 3 2" xfId="32833" xr:uid="{00000000-0005-0000-0000-00001C800000}"/>
    <cellStyle name="Vírgula 7 2 6 3 3" xfId="32834" xr:uid="{00000000-0005-0000-0000-00001D800000}"/>
    <cellStyle name="Vírgula 7 2 6 3 4" xfId="32835" xr:uid="{00000000-0005-0000-0000-00001E800000}"/>
    <cellStyle name="Vírgula 7 2 6 4" xfId="32836" xr:uid="{00000000-0005-0000-0000-00001F800000}"/>
    <cellStyle name="Vírgula 7 2 6 5" xfId="32837" xr:uid="{00000000-0005-0000-0000-000020800000}"/>
    <cellStyle name="Vírgula 7 2 6 6" xfId="32838" xr:uid="{00000000-0005-0000-0000-000021800000}"/>
    <cellStyle name="Vírgula 7 2 7" xfId="32839" xr:uid="{00000000-0005-0000-0000-000022800000}"/>
    <cellStyle name="Vírgula 7 2 7 2" xfId="32840" xr:uid="{00000000-0005-0000-0000-000023800000}"/>
    <cellStyle name="Vírgula 7 2 7 2 2" xfId="32841" xr:uid="{00000000-0005-0000-0000-000024800000}"/>
    <cellStyle name="Vírgula 7 2 7 2 3" xfId="32842" xr:uid="{00000000-0005-0000-0000-000025800000}"/>
    <cellStyle name="Vírgula 7 2 7 2 4" xfId="32843" xr:uid="{00000000-0005-0000-0000-000026800000}"/>
    <cellStyle name="Vírgula 7 2 7 3" xfId="32844" xr:uid="{00000000-0005-0000-0000-000027800000}"/>
    <cellStyle name="Vírgula 7 2 7 4" xfId="32845" xr:uid="{00000000-0005-0000-0000-000028800000}"/>
    <cellStyle name="Vírgula 7 2 7 5" xfId="32846" xr:uid="{00000000-0005-0000-0000-000029800000}"/>
    <cellStyle name="Vírgula 7 2 8" xfId="32847" xr:uid="{00000000-0005-0000-0000-00002A800000}"/>
    <cellStyle name="Vírgula 7 2 8 2" xfId="32848" xr:uid="{00000000-0005-0000-0000-00002B800000}"/>
    <cellStyle name="Vírgula 7 2 8 3" xfId="32849" xr:uid="{00000000-0005-0000-0000-00002C800000}"/>
    <cellStyle name="Vírgula 7 2 8 4" xfId="32850" xr:uid="{00000000-0005-0000-0000-00002D800000}"/>
    <cellStyle name="Vírgula 7 2 9" xfId="32851" xr:uid="{00000000-0005-0000-0000-00002E800000}"/>
    <cellStyle name="Vírgula 7 2 9 2" xfId="32852" xr:uid="{00000000-0005-0000-0000-00002F800000}"/>
    <cellStyle name="Vírgula 7 2 9 3" xfId="32853" xr:uid="{00000000-0005-0000-0000-000030800000}"/>
    <cellStyle name="Vírgula 7 2 9 4" xfId="32854" xr:uid="{00000000-0005-0000-0000-000031800000}"/>
    <cellStyle name="Vírgula 7 3" xfId="2047" xr:uid="{00000000-0005-0000-0000-000032800000}"/>
    <cellStyle name="Vírgula 7 3 10" xfId="32855" xr:uid="{00000000-0005-0000-0000-000033800000}"/>
    <cellStyle name="Vírgula 7 3 10 2" xfId="32856" xr:uid="{00000000-0005-0000-0000-000034800000}"/>
    <cellStyle name="Vírgula 7 3 10 3" xfId="32857" xr:uid="{00000000-0005-0000-0000-000035800000}"/>
    <cellStyle name="Vírgula 7 3 10 4" xfId="32858" xr:uid="{00000000-0005-0000-0000-000036800000}"/>
    <cellStyle name="Vírgula 7 3 11" xfId="32859" xr:uid="{00000000-0005-0000-0000-000037800000}"/>
    <cellStyle name="Vírgula 7 3 11 2" xfId="32860" xr:uid="{00000000-0005-0000-0000-000038800000}"/>
    <cellStyle name="Vírgula 7 3 11 3" xfId="32861" xr:uid="{00000000-0005-0000-0000-000039800000}"/>
    <cellStyle name="Vírgula 7 3 12" xfId="32862" xr:uid="{00000000-0005-0000-0000-00003A800000}"/>
    <cellStyle name="Vírgula 7 3 12 2" xfId="32863" xr:uid="{00000000-0005-0000-0000-00003B800000}"/>
    <cellStyle name="Vírgula 7 3 13" xfId="32864" xr:uid="{00000000-0005-0000-0000-00003C800000}"/>
    <cellStyle name="Vírgula 7 3 14" xfId="32865" xr:uid="{00000000-0005-0000-0000-00003D800000}"/>
    <cellStyle name="Vírgula 7 3 2" xfId="22572" xr:uid="{00000000-0005-0000-0000-00003E800000}"/>
    <cellStyle name="Vírgula 7 3 2 2" xfId="23128" xr:uid="{00000000-0005-0000-0000-00003F800000}"/>
    <cellStyle name="Vírgula 7 3 2 2 2" xfId="24015" xr:uid="{00000000-0005-0000-0000-000040800000}"/>
    <cellStyle name="Vírgula 7 3 2 2 2 2" xfId="25791" xr:uid="{00000000-0005-0000-0000-000041800000}"/>
    <cellStyle name="Vírgula 7 3 2 2 2 2 2" xfId="32866" xr:uid="{00000000-0005-0000-0000-000042800000}"/>
    <cellStyle name="Vírgula 7 3 2 2 2 2 3" xfId="32867" xr:uid="{00000000-0005-0000-0000-000043800000}"/>
    <cellStyle name="Vírgula 7 3 2 2 2 2 4" xfId="32868" xr:uid="{00000000-0005-0000-0000-000044800000}"/>
    <cellStyle name="Vírgula 7 3 2 2 2 3" xfId="32869" xr:uid="{00000000-0005-0000-0000-000045800000}"/>
    <cellStyle name="Vírgula 7 3 2 2 2 4" xfId="32870" xr:uid="{00000000-0005-0000-0000-000046800000}"/>
    <cellStyle name="Vírgula 7 3 2 2 2 5" xfId="32871" xr:uid="{00000000-0005-0000-0000-000047800000}"/>
    <cellStyle name="Vírgula 7 3 2 2 3" xfId="24903" xr:uid="{00000000-0005-0000-0000-000048800000}"/>
    <cellStyle name="Vírgula 7 3 2 2 3 2" xfId="32872" xr:uid="{00000000-0005-0000-0000-000049800000}"/>
    <cellStyle name="Vírgula 7 3 2 2 3 3" xfId="32873" xr:uid="{00000000-0005-0000-0000-00004A800000}"/>
    <cellStyle name="Vírgula 7 3 2 2 3 4" xfId="32874" xr:uid="{00000000-0005-0000-0000-00004B800000}"/>
    <cellStyle name="Vírgula 7 3 2 2 4" xfId="32875" xr:uid="{00000000-0005-0000-0000-00004C800000}"/>
    <cellStyle name="Vírgula 7 3 2 2 5" xfId="32876" xr:uid="{00000000-0005-0000-0000-00004D800000}"/>
    <cellStyle name="Vírgula 7 3 2 2 6" xfId="32877" xr:uid="{00000000-0005-0000-0000-00004E800000}"/>
    <cellStyle name="Vírgula 7 3 2 3" xfId="23512" xr:uid="{00000000-0005-0000-0000-00004F800000}"/>
    <cellStyle name="Vírgula 7 3 2 3 2" xfId="25288" xr:uid="{00000000-0005-0000-0000-000050800000}"/>
    <cellStyle name="Vírgula 7 3 2 3 2 2" xfId="32878" xr:uid="{00000000-0005-0000-0000-000051800000}"/>
    <cellStyle name="Vírgula 7 3 2 3 2 3" xfId="32879" xr:uid="{00000000-0005-0000-0000-000052800000}"/>
    <cellStyle name="Vírgula 7 3 2 3 2 4" xfId="32880" xr:uid="{00000000-0005-0000-0000-000053800000}"/>
    <cellStyle name="Vírgula 7 3 2 3 3" xfId="32881" xr:uid="{00000000-0005-0000-0000-000054800000}"/>
    <cellStyle name="Vírgula 7 3 2 3 4" xfId="32882" xr:uid="{00000000-0005-0000-0000-000055800000}"/>
    <cellStyle name="Vírgula 7 3 2 3 5" xfId="32883" xr:uid="{00000000-0005-0000-0000-000056800000}"/>
    <cellStyle name="Vírgula 7 3 2 4" xfId="24400" xr:uid="{00000000-0005-0000-0000-000057800000}"/>
    <cellStyle name="Vírgula 7 3 2 4 2" xfId="32884" xr:uid="{00000000-0005-0000-0000-000058800000}"/>
    <cellStyle name="Vírgula 7 3 2 4 3" xfId="32885" xr:uid="{00000000-0005-0000-0000-000059800000}"/>
    <cellStyle name="Vírgula 7 3 2 4 4" xfId="32886" xr:uid="{00000000-0005-0000-0000-00005A800000}"/>
    <cellStyle name="Vírgula 7 3 2 5" xfId="32887" xr:uid="{00000000-0005-0000-0000-00005B800000}"/>
    <cellStyle name="Vírgula 7 3 2 5 2" xfId="32888" xr:uid="{00000000-0005-0000-0000-00005C800000}"/>
    <cellStyle name="Vírgula 7 3 2 5 3" xfId="32889" xr:uid="{00000000-0005-0000-0000-00005D800000}"/>
    <cellStyle name="Vírgula 7 3 2 5 4" xfId="32890" xr:uid="{00000000-0005-0000-0000-00005E800000}"/>
    <cellStyle name="Vírgula 7 3 2 6" xfId="32891" xr:uid="{00000000-0005-0000-0000-00005F800000}"/>
    <cellStyle name="Vírgula 7 3 2 6 2" xfId="32892" xr:uid="{00000000-0005-0000-0000-000060800000}"/>
    <cellStyle name="Vírgula 7 3 2 6 3" xfId="32893" xr:uid="{00000000-0005-0000-0000-000061800000}"/>
    <cellStyle name="Vírgula 7 3 2 7" xfId="32894" xr:uid="{00000000-0005-0000-0000-000062800000}"/>
    <cellStyle name="Vírgula 7 3 2 8" xfId="32895" xr:uid="{00000000-0005-0000-0000-000063800000}"/>
    <cellStyle name="Vírgula 7 3 2 9" xfId="32896" xr:uid="{00000000-0005-0000-0000-000064800000}"/>
    <cellStyle name="Vírgula 7 3 3" xfId="22979" xr:uid="{00000000-0005-0000-0000-000065800000}"/>
    <cellStyle name="Vírgula 7 3 3 2" xfId="23866" xr:uid="{00000000-0005-0000-0000-000066800000}"/>
    <cellStyle name="Vírgula 7 3 3 2 2" xfId="25642" xr:uid="{00000000-0005-0000-0000-000067800000}"/>
    <cellStyle name="Vírgula 7 3 3 2 2 2" xfId="32897" xr:uid="{00000000-0005-0000-0000-000068800000}"/>
    <cellStyle name="Vírgula 7 3 3 2 2 2 2" xfId="32898" xr:uid="{00000000-0005-0000-0000-000069800000}"/>
    <cellStyle name="Vírgula 7 3 3 2 2 2 3" xfId="32899" xr:uid="{00000000-0005-0000-0000-00006A800000}"/>
    <cellStyle name="Vírgula 7 3 3 2 2 2 4" xfId="32900" xr:uid="{00000000-0005-0000-0000-00006B800000}"/>
    <cellStyle name="Vírgula 7 3 3 2 2 3" xfId="32901" xr:uid="{00000000-0005-0000-0000-00006C800000}"/>
    <cellStyle name="Vírgula 7 3 3 2 2 4" xfId="32902" xr:uid="{00000000-0005-0000-0000-00006D800000}"/>
    <cellStyle name="Vírgula 7 3 3 2 2 5" xfId="32903" xr:uid="{00000000-0005-0000-0000-00006E800000}"/>
    <cellStyle name="Vírgula 7 3 3 2 3" xfId="32904" xr:uid="{00000000-0005-0000-0000-00006F800000}"/>
    <cellStyle name="Vírgula 7 3 3 2 3 2" xfId="32905" xr:uid="{00000000-0005-0000-0000-000070800000}"/>
    <cellStyle name="Vírgula 7 3 3 2 3 3" xfId="32906" xr:uid="{00000000-0005-0000-0000-000071800000}"/>
    <cellStyle name="Vírgula 7 3 3 2 3 4" xfId="32907" xr:uid="{00000000-0005-0000-0000-000072800000}"/>
    <cellStyle name="Vírgula 7 3 3 2 4" xfId="32908" xr:uid="{00000000-0005-0000-0000-000073800000}"/>
    <cellStyle name="Vírgula 7 3 3 2 5" xfId="32909" xr:uid="{00000000-0005-0000-0000-000074800000}"/>
    <cellStyle name="Vírgula 7 3 3 2 6" xfId="32910" xr:uid="{00000000-0005-0000-0000-000075800000}"/>
    <cellStyle name="Vírgula 7 3 3 3" xfId="24754" xr:uid="{00000000-0005-0000-0000-000076800000}"/>
    <cellStyle name="Vírgula 7 3 3 3 2" xfId="32911" xr:uid="{00000000-0005-0000-0000-000077800000}"/>
    <cellStyle name="Vírgula 7 3 3 3 2 2" xfId="32912" xr:uid="{00000000-0005-0000-0000-000078800000}"/>
    <cellStyle name="Vírgula 7 3 3 3 2 3" xfId="32913" xr:uid="{00000000-0005-0000-0000-000079800000}"/>
    <cellStyle name="Vírgula 7 3 3 3 2 4" xfId="32914" xr:uid="{00000000-0005-0000-0000-00007A800000}"/>
    <cellStyle name="Vírgula 7 3 3 3 3" xfId="32915" xr:uid="{00000000-0005-0000-0000-00007B800000}"/>
    <cellStyle name="Vírgula 7 3 3 3 4" xfId="32916" xr:uid="{00000000-0005-0000-0000-00007C800000}"/>
    <cellStyle name="Vírgula 7 3 3 3 5" xfId="32917" xr:uid="{00000000-0005-0000-0000-00007D800000}"/>
    <cellStyle name="Vírgula 7 3 3 4" xfId="32918" xr:uid="{00000000-0005-0000-0000-00007E800000}"/>
    <cellStyle name="Vírgula 7 3 3 4 2" xfId="32919" xr:uid="{00000000-0005-0000-0000-00007F800000}"/>
    <cellStyle name="Vírgula 7 3 3 4 3" xfId="32920" xr:uid="{00000000-0005-0000-0000-000080800000}"/>
    <cellStyle name="Vírgula 7 3 3 4 4" xfId="32921" xr:uid="{00000000-0005-0000-0000-000081800000}"/>
    <cellStyle name="Vírgula 7 3 3 5" xfId="32922" xr:uid="{00000000-0005-0000-0000-000082800000}"/>
    <cellStyle name="Vírgula 7 3 3 5 2" xfId="32923" xr:uid="{00000000-0005-0000-0000-000083800000}"/>
    <cellStyle name="Vírgula 7 3 3 5 3" xfId="32924" xr:uid="{00000000-0005-0000-0000-000084800000}"/>
    <cellStyle name="Vírgula 7 3 3 5 4" xfId="32925" xr:uid="{00000000-0005-0000-0000-000085800000}"/>
    <cellStyle name="Vírgula 7 3 3 6" xfId="32926" xr:uid="{00000000-0005-0000-0000-000086800000}"/>
    <cellStyle name="Vírgula 7 3 3 6 2" xfId="32927" xr:uid="{00000000-0005-0000-0000-000087800000}"/>
    <cellStyle name="Vírgula 7 3 3 6 3" xfId="32928" xr:uid="{00000000-0005-0000-0000-000088800000}"/>
    <cellStyle name="Vírgula 7 3 3 7" xfId="32929" xr:uid="{00000000-0005-0000-0000-000089800000}"/>
    <cellStyle name="Vírgula 7 3 3 8" xfId="32930" xr:uid="{00000000-0005-0000-0000-00008A800000}"/>
    <cellStyle name="Vírgula 7 3 3 9" xfId="32931" xr:uid="{00000000-0005-0000-0000-00008B800000}"/>
    <cellStyle name="Vírgula 7 3 4" xfId="23363" xr:uid="{00000000-0005-0000-0000-00008C800000}"/>
    <cellStyle name="Vírgula 7 3 4 2" xfId="25139" xr:uid="{00000000-0005-0000-0000-00008D800000}"/>
    <cellStyle name="Vírgula 7 3 4 2 2" xfId="32932" xr:uid="{00000000-0005-0000-0000-00008E800000}"/>
    <cellStyle name="Vírgula 7 3 4 2 2 2" xfId="32933" xr:uid="{00000000-0005-0000-0000-00008F800000}"/>
    <cellStyle name="Vírgula 7 3 4 2 2 3" xfId="32934" xr:uid="{00000000-0005-0000-0000-000090800000}"/>
    <cellStyle name="Vírgula 7 3 4 2 2 4" xfId="32935" xr:uid="{00000000-0005-0000-0000-000091800000}"/>
    <cellStyle name="Vírgula 7 3 4 2 3" xfId="32936" xr:uid="{00000000-0005-0000-0000-000092800000}"/>
    <cellStyle name="Vírgula 7 3 4 2 4" xfId="32937" xr:uid="{00000000-0005-0000-0000-000093800000}"/>
    <cellStyle name="Vírgula 7 3 4 2 5" xfId="32938" xr:uid="{00000000-0005-0000-0000-000094800000}"/>
    <cellStyle name="Vírgula 7 3 4 3" xfId="32939" xr:uid="{00000000-0005-0000-0000-000095800000}"/>
    <cellStyle name="Vírgula 7 3 4 3 2" xfId="32940" xr:uid="{00000000-0005-0000-0000-000096800000}"/>
    <cellStyle name="Vírgula 7 3 4 3 3" xfId="32941" xr:uid="{00000000-0005-0000-0000-000097800000}"/>
    <cellStyle name="Vírgula 7 3 4 3 4" xfId="32942" xr:uid="{00000000-0005-0000-0000-000098800000}"/>
    <cellStyle name="Vírgula 7 3 4 4" xfId="32943" xr:uid="{00000000-0005-0000-0000-000099800000}"/>
    <cellStyle name="Vírgula 7 3 4 5" xfId="32944" xr:uid="{00000000-0005-0000-0000-00009A800000}"/>
    <cellStyle name="Vírgula 7 3 4 6" xfId="32945" xr:uid="{00000000-0005-0000-0000-00009B800000}"/>
    <cellStyle name="Vírgula 7 3 5" xfId="24251" xr:uid="{00000000-0005-0000-0000-00009C800000}"/>
    <cellStyle name="Vírgula 7 3 5 2" xfId="32946" xr:uid="{00000000-0005-0000-0000-00009D800000}"/>
    <cellStyle name="Vírgula 7 3 5 2 2" xfId="32947" xr:uid="{00000000-0005-0000-0000-00009E800000}"/>
    <cellStyle name="Vírgula 7 3 5 2 2 2" xfId="32948" xr:uid="{00000000-0005-0000-0000-00009F800000}"/>
    <cellStyle name="Vírgula 7 3 5 2 2 3" xfId="32949" xr:uid="{00000000-0005-0000-0000-0000A0800000}"/>
    <cellStyle name="Vírgula 7 3 5 2 2 4" xfId="32950" xr:uid="{00000000-0005-0000-0000-0000A1800000}"/>
    <cellStyle name="Vírgula 7 3 5 2 3" xfId="32951" xr:uid="{00000000-0005-0000-0000-0000A2800000}"/>
    <cellStyle name="Vírgula 7 3 5 2 4" xfId="32952" xr:uid="{00000000-0005-0000-0000-0000A3800000}"/>
    <cellStyle name="Vírgula 7 3 5 2 5" xfId="32953" xr:uid="{00000000-0005-0000-0000-0000A4800000}"/>
    <cellStyle name="Vírgula 7 3 5 3" xfId="32954" xr:uid="{00000000-0005-0000-0000-0000A5800000}"/>
    <cellStyle name="Vírgula 7 3 5 3 2" xfId="32955" xr:uid="{00000000-0005-0000-0000-0000A6800000}"/>
    <cellStyle name="Vírgula 7 3 5 3 3" xfId="32956" xr:uid="{00000000-0005-0000-0000-0000A7800000}"/>
    <cellStyle name="Vírgula 7 3 5 3 4" xfId="32957" xr:uid="{00000000-0005-0000-0000-0000A8800000}"/>
    <cellStyle name="Vírgula 7 3 5 4" xfId="32958" xr:uid="{00000000-0005-0000-0000-0000A9800000}"/>
    <cellStyle name="Vírgula 7 3 5 5" xfId="32959" xr:uid="{00000000-0005-0000-0000-0000AA800000}"/>
    <cellStyle name="Vírgula 7 3 5 6" xfId="32960" xr:uid="{00000000-0005-0000-0000-0000AB800000}"/>
    <cellStyle name="Vírgula 7 3 6" xfId="2461" xr:uid="{00000000-0005-0000-0000-0000AC800000}"/>
    <cellStyle name="Vírgula 7 3 6 2" xfId="32961" xr:uid="{00000000-0005-0000-0000-0000AD800000}"/>
    <cellStyle name="Vírgula 7 3 6 2 2" xfId="32962" xr:uid="{00000000-0005-0000-0000-0000AE800000}"/>
    <cellStyle name="Vírgula 7 3 6 2 2 2" xfId="32963" xr:uid="{00000000-0005-0000-0000-0000AF800000}"/>
    <cellStyle name="Vírgula 7 3 6 2 2 3" xfId="32964" xr:uid="{00000000-0005-0000-0000-0000B0800000}"/>
    <cellStyle name="Vírgula 7 3 6 2 2 4" xfId="32965" xr:uid="{00000000-0005-0000-0000-0000B1800000}"/>
    <cellStyle name="Vírgula 7 3 6 2 3" xfId="32966" xr:uid="{00000000-0005-0000-0000-0000B2800000}"/>
    <cellStyle name="Vírgula 7 3 6 2 4" xfId="32967" xr:uid="{00000000-0005-0000-0000-0000B3800000}"/>
    <cellStyle name="Vírgula 7 3 6 2 5" xfId="32968" xr:uid="{00000000-0005-0000-0000-0000B4800000}"/>
    <cellStyle name="Vírgula 7 3 6 3" xfId="32969" xr:uid="{00000000-0005-0000-0000-0000B5800000}"/>
    <cellStyle name="Vírgula 7 3 6 3 2" xfId="32970" xr:uid="{00000000-0005-0000-0000-0000B6800000}"/>
    <cellStyle name="Vírgula 7 3 6 3 3" xfId="32971" xr:uid="{00000000-0005-0000-0000-0000B7800000}"/>
    <cellStyle name="Vírgula 7 3 6 3 4" xfId="32972" xr:uid="{00000000-0005-0000-0000-0000B8800000}"/>
    <cellStyle name="Vírgula 7 3 6 4" xfId="32973" xr:uid="{00000000-0005-0000-0000-0000B9800000}"/>
    <cellStyle name="Vírgula 7 3 6 5" xfId="32974" xr:uid="{00000000-0005-0000-0000-0000BA800000}"/>
    <cellStyle name="Vírgula 7 3 6 6" xfId="32975" xr:uid="{00000000-0005-0000-0000-0000BB800000}"/>
    <cellStyle name="Vírgula 7 3 7" xfId="26670" xr:uid="{00000000-0005-0000-0000-0000BC800000}"/>
    <cellStyle name="Vírgula 7 3 7 2" xfId="32976" xr:uid="{00000000-0005-0000-0000-0000BD800000}"/>
    <cellStyle name="Vírgula 7 3 7 2 2" xfId="32977" xr:uid="{00000000-0005-0000-0000-0000BE800000}"/>
    <cellStyle name="Vírgula 7 3 7 2 3" xfId="32978" xr:uid="{00000000-0005-0000-0000-0000BF800000}"/>
    <cellStyle name="Vírgula 7 3 7 2 4" xfId="32979" xr:uid="{00000000-0005-0000-0000-0000C0800000}"/>
    <cellStyle name="Vírgula 7 3 7 3" xfId="32980" xr:uid="{00000000-0005-0000-0000-0000C1800000}"/>
    <cellStyle name="Vírgula 7 3 7 4" xfId="32981" xr:uid="{00000000-0005-0000-0000-0000C2800000}"/>
    <cellStyle name="Vírgula 7 3 7 5" xfId="32982" xr:uid="{00000000-0005-0000-0000-0000C3800000}"/>
    <cellStyle name="Vírgula 7 3 8" xfId="32983" xr:uid="{00000000-0005-0000-0000-0000C4800000}"/>
    <cellStyle name="Vírgula 7 3 8 2" xfId="32984" xr:uid="{00000000-0005-0000-0000-0000C5800000}"/>
    <cellStyle name="Vírgula 7 3 8 3" xfId="32985" xr:uid="{00000000-0005-0000-0000-0000C6800000}"/>
    <cellStyle name="Vírgula 7 3 8 4" xfId="32986" xr:uid="{00000000-0005-0000-0000-0000C7800000}"/>
    <cellStyle name="Vírgula 7 3 9" xfId="32987" xr:uid="{00000000-0005-0000-0000-0000C8800000}"/>
    <cellStyle name="Vírgula 7 3 9 2" xfId="32988" xr:uid="{00000000-0005-0000-0000-0000C9800000}"/>
    <cellStyle name="Vírgula 7 3 9 3" xfId="32989" xr:uid="{00000000-0005-0000-0000-0000CA800000}"/>
    <cellStyle name="Vírgula 7 3 9 4" xfId="32990" xr:uid="{00000000-0005-0000-0000-0000CB800000}"/>
    <cellStyle name="Vírgula 7 4" xfId="22448" xr:uid="{00000000-0005-0000-0000-0000CC800000}"/>
    <cellStyle name="Vírgula 7 4 10" xfId="32991" xr:uid="{00000000-0005-0000-0000-0000CD800000}"/>
    <cellStyle name="Vírgula 7 4 10 2" xfId="32992" xr:uid="{00000000-0005-0000-0000-0000CE800000}"/>
    <cellStyle name="Vírgula 7 4 10 3" xfId="32993" xr:uid="{00000000-0005-0000-0000-0000CF800000}"/>
    <cellStyle name="Vírgula 7 4 11" xfId="32994" xr:uid="{00000000-0005-0000-0000-0000D0800000}"/>
    <cellStyle name="Vírgula 7 4 12" xfId="32995" xr:uid="{00000000-0005-0000-0000-0000D1800000}"/>
    <cellStyle name="Vírgula 7 4 13" xfId="32996" xr:uid="{00000000-0005-0000-0000-0000D2800000}"/>
    <cellStyle name="Vírgula 7 4 2" xfId="23004" xr:uid="{00000000-0005-0000-0000-0000D3800000}"/>
    <cellStyle name="Vírgula 7 4 2 10" xfId="32997" xr:uid="{00000000-0005-0000-0000-0000D4800000}"/>
    <cellStyle name="Vírgula 7 4 2 11" xfId="32998" xr:uid="{00000000-0005-0000-0000-0000D5800000}"/>
    <cellStyle name="Vírgula 7 4 2 2" xfId="23891" xr:uid="{00000000-0005-0000-0000-0000D6800000}"/>
    <cellStyle name="Vírgula 7 4 2 2 10" xfId="32999" xr:uid="{00000000-0005-0000-0000-0000D7800000}"/>
    <cellStyle name="Vírgula 7 4 2 2 2" xfId="25667" xr:uid="{00000000-0005-0000-0000-0000D8800000}"/>
    <cellStyle name="Vírgula 7 4 2 2 2 2" xfId="33000" xr:uid="{00000000-0005-0000-0000-0000D9800000}"/>
    <cellStyle name="Vírgula 7 4 2 2 2 2 2" xfId="33001" xr:uid="{00000000-0005-0000-0000-0000DA800000}"/>
    <cellStyle name="Vírgula 7 4 2 2 2 2 2 2" xfId="33002" xr:uid="{00000000-0005-0000-0000-0000DB800000}"/>
    <cellStyle name="Vírgula 7 4 2 2 2 2 2 3" xfId="33003" xr:uid="{00000000-0005-0000-0000-0000DC800000}"/>
    <cellStyle name="Vírgula 7 4 2 2 2 2 2 4" xfId="33004" xr:uid="{00000000-0005-0000-0000-0000DD800000}"/>
    <cellStyle name="Vírgula 7 4 2 2 2 2 3" xfId="33005" xr:uid="{00000000-0005-0000-0000-0000DE800000}"/>
    <cellStyle name="Vírgula 7 4 2 2 2 2 4" xfId="33006" xr:uid="{00000000-0005-0000-0000-0000DF800000}"/>
    <cellStyle name="Vírgula 7 4 2 2 2 2 5" xfId="33007" xr:uid="{00000000-0005-0000-0000-0000E0800000}"/>
    <cellStyle name="Vírgula 7 4 2 2 2 3" xfId="33008" xr:uid="{00000000-0005-0000-0000-0000E1800000}"/>
    <cellStyle name="Vírgula 7 4 2 2 2 3 2" xfId="33009" xr:uid="{00000000-0005-0000-0000-0000E2800000}"/>
    <cellStyle name="Vírgula 7 4 2 2 2 3 3" xfId="33010" xr:uid="{00000000-0005-0000-0000-0000E3800000}"/>
    <cellStyle name="Vírgula 7 4 2 2 2 3 4" xfId="33011" xr:uid="{00000000-0005-0000-0000-0000E4800000}"/>
    <cellStyle name="Vírgula 7 4 2 2 2 4" xfId="33012" xr:uid="{00000000-0005-0000-0000-0000E5800000}"/>
    <cellStyle name="Vírgula 7 4 2 2 2 5" xfId="33013" xr:uid="{00000000-0005-0000-0000-0000E6800000}"/>
    <cellStyle name="Vírgula 7 4 2 2 2 6" xfId="33014" xr:uid="{00000000-0005-0000-0000-0000E7800000}"/>
    <cellStyle name="Vírgula 7 4 2 2 3" xfId="33015" xr:uid="{00000000-0005-0000-0000-0000E8800000}"/>
    <cellStyle name="Vírgula 7 4 2 2 3 2" xfId="33016" xr:uid="{00000000-0005-0000-0000-0000E9800000}"/>
    <cellStyle name="Vírgula 7 4 2 2 3 2 2" xfId="33017" xr:uid="{00000000-0005-0000-0000-0000EA800000}"/>
    <cellStyle name="Vírgula 7 4 2 2 3 2 2 2" xfId="33018" xr:uid="{00000000-0005-0000-0000-0000EB800000}"/>
    <cellStyle name="Vírgula 7 4 2 2 3 2 2 3" xfId="33019" xr:uid="{00000000-0005-0000-0000-0000EC800000}"/>
    <cellStyle name="Vírgula 7 4 2 2 3 2 2 4" xfId="33020" xr:uid="{00000000-0005-0000-0000-0000ED800000}"/>
    <cellStyle name="Vírgula 7 4 2 2 3 2 3" xfId="33021" xr:uid="{00000000-0005-0000-0000-0000EE800000}"/>
    <cellStyle name="Vírgula 7 4 2 2 3 2 4" xfId="33022" xr:uid="{00000000-0005-0000-0000-0000EF800000}"/>
    <cellStyle name="Vírgula 7 4 2 2 3 2 5" xfId="33023" xr:uid="{00000000-0005-0000-0000-0000F0800000}"/>
    <cellStyle name="Vírgula 7 4 2 2 3 3" xfId="33024" xr:uid="{00000000-0005-0000-0000-0000F1800000}"/>
    <cellStyle name="Vírgula 7 4 2 2 3 3 2" xfId="33025" xr:uid="{00000000-0005-0000-0000-0000F2800000}"/>
    <cellStyle name="Vírgula 7 4 2 2 3 3 3" xfId="33026" xr:uid="{00000000-0005-0000-0000-0000F3800000}"/>
    <cellStyle name="Vírgula 7 4 2 2 3 3 4" xfId="33027" xr:uid="{00000000-0005-0000-0000-0000F4800000}"/>
    <cellStyle name="Vírgula 7 4 2 2 3 4" xfId="33028" xr:uid="{00000000-0005-0000-0000-0000F5800000}"/>
    <cellStyle name="Vírgula 7 4 2 2 3 5" xfId="33029" xr:uid="{00000000-0005-0000-0000-0000F6800000}"/>
    <cellStyle name="Vírgula 7 4 2 2 3 6" xfId="33030" xr:uid="{00000000-0005-0000-0000-0000F7800000}"/>
    <cellStyle name="Vírgula 7 4 2 2 4" xfId="33031" xr:uid="{00000000-0005-0000-0000-0000F8800000}"/>
    <cellStyle name="Vírgula 7 4 2 2 4 2" xfId="33032" xr:uid="{00000000-0005-0000-0000-0000F9800000}"/>
    <cellStyle name="Vírgula 7 4 2 2 4 2 2" xfId="33033" xr:uid="{00000000-0005-0000-0000-0000FA800000}"/>
    <cellStyle name="Vírgula 7 4 2 2 4 2 3" xfId="33034" xr:uid="{00000000-0005-0000-0000-0000FB800000}"/>
    <cellStyle name="Vírgula 7 4 2 2 4 2 4" xfId="33035" xr:uid="{00000000-0005-0000-0000-0000FC800000}"/>
    <cellStyle name="Vírgula 7 4 2 2 4 3" xfId="33036" xr:uid="{00000000-0005-0000-0000-0000FD800000}"/>
    <cellStyle name="Vírgula 7 4 2 2 4 4" xfId="33037" xr:uid="{00000000-0005-0000-0000-0000FE800000}"/>
    <cellStyle name="Vírgula 7 4 2 2 4 5" xfId="33038" xr:uid="{00000000-0005-0000-0000-0000FF800000}"/>
    <cellStyle name="Vírgula 7 4 2 2 5" xfId="33039" xr:uid="{00000000-0005-0000-0000-000000810000}"/>
    <cellStyle name="Vírgula 7 4 2 2 5 2" xfId="33040" xr:uid="{00000000-0005-0000-0000-000001810000}"/>
    <cellStyle name="Vírgula 7 4 2 2 5 3" xfId="33041" xr:uid="{00000000-0005-0000-0000-000002810000}"/>
    <cellStyle name="Vírgula 7 4 2 2 5 4" xfId="33042" xr:uid="{00000000-0005-0000-0000-000003810000}"/>
    <cellStyle name="Vírgula 7 4 2 2 6" xfId="33043" xr:uid="{00000000-0005-0000-0000-000004810000}"/>
    <cellStyle name="Vírgula 7 4 2 2 6 2" xfId="33044" xr:uid="{00000000-0005-0000-0000-000005810000}"/>
    <cellStyle name="Vírgula 7 4 2 2 6 3" xfId="33045" xr:uid="{00000000-0005-0000-0000-000006810000}"/>
    <cellStyle name="Vírgula 7 4 2 2 6 4" xfId="33046" xr:uid="{00000000-0005-0000-0000-000007810000}"/>
    <cellStyle name="Vírgula 7 4 2 2 7" xfId="33047" xr:uid="{00000000-0005-0000-0000-000008810000}"/>
    <cellStyle name="Vírgula 7 4 2 2 7 2" xfId="33048" xr:uid="{00000000-0005-0000-0000-000009810000}"/>
    <cellStyle name="Vírgula 7 4 2 2 7 3" xfId="33049" xr:uid="{00000000-0005-0000-0000-00000A810000}"/>
    <cellStyle name="Vírgula 7 4 2 2 8" xfId="33050" xr:uid="{00000000-0005-0000-0000-00000B810000}"/>
    <cellStyle name="Vírgula 7 4 2 2 9" xfId="33051" xr:uid="{00000000-0005-0000-0000-00000C810000}"/>
    <cellStyle name="Vírgula 7 4 2 3" xfId="24779" xr:uid="{00000000-0005-0000-0000-00000D810000}"/>
    <cellStyle name="Vírgula 7 4 2 3 2" xfId="33052" xr:uid="{00000000-0005-0000-0000-00000E810000}"/>
    <cellStyle name="Vírgula 7 4 2 3 2 2" xfId="33053" xr:uid="{00000000-0005-0000-0000-00000F810000}"/>
    <cellStyle name="Vírgula 7 4 2 3 2 2 2" xfId="33054" xr:uid="{00000000-0005-0000-0000-000010810000}"/>
    <cellStyle name="Vírgula 7 4 2 3 2 2 3" xfId="33055" xr:uid="{00000000-0005-0000-0000-000011810000}"/>
    <cellStyle name="Vírgula 7 4 2 3 2 2 4" xfId="33056" xr:uid="{00000000-0005-0000-0000-000012810000}"/>
    <cellStyle name="Vírgula 7 4 2 3 2 3" xfId="33057" xr:uid="{00000000-0005-0000-0000-000013810000}"/>
    <cellStyle name="Vírgula 7 4 2 3 2 4" xfId="33058" xr:uid="{00000000-0005-0000-0000-000014810000}"/>
    <cellStyle name="Vírgula 7 4 2 3 2 5" xfId="33059" xr:uid="{00000000-0005-0000-0000-000015810000}"/>
    <cellStyle name="Vírgula 7 4 2 3 3" xfId="33060" xr:uid="{00000000-0005-0000-0000-000016810000}"/>
    <cellStyle name="Vírgula 7 4 2 3 3 2" xfId="33061" xr:uid="{00000000-0005-0000-0000-000017810000}"/>
    <cellStyle name="Vírgula 7 4 2 3 3 3" xfId="33062" xr:uid="{00000000-0005-0000-0000-000018810000}"/>
    <cellStyle name="Vírgula 7 4 2 3 3 4" xfId="33063" xr:uid="{00000000-0005-0000-0000-000019810000}"/>
    <cellStyle name="Vírgula 7 4 2 3 4" xfId="33064" xr:uid="{00000000-0005-0000-0000-00001A810000}"/>
    <cellStyle name="Vírgula 7 4 2 3 5" xfId="33065" xr:uid="{00000000-0005-0000-0000-00001B810000}"/>
    <cellStyle name="Vírgula 7 4 2 3 6" xfId="33066" xr:uid="{00000000-0005-0000-0000-00001C810000}"/>
    <cellStyle name="Vírgula 7 4 2 4" xfId="33067" xr:uid="{00000000-0005-0000-0000-00001D810000}"/>
    <cellStyle name="Vírgula 7 4 2 4 2" xfId="33068" xr:uid="{00000000-0005-0000-0000-00001E810000}"/>
    <cellStyle name="Vírgula 7 4 2 4 2 2" xfId="33069" xr:uid="{00000000-0005-0000-0000-00001F810000}"/>
    <cellStyle name="Vírgula 7 4 2 4 2 2 2" xfId="33070" xr:uid="{00000000-0005-0000-0000-000020810000}"/>
    <cellStyle name="Vírgula 7 4 2 4 2 2 3" xfId="33071" xr:uid="{00000000-0005-0000-0000-000021810000}"/>
    <cellStyle name="Vírgula 7 4 2 4 2 2 4" xfId="33072" xr:uid="{00000000-0005-0000-0000-000022810000}"/>
    <cellStyle name="Vírgula 7 4 2 4 2 3" xfId="33073" xr:uid="{00000000-0005-0000-0000-000023810000}"/>
    <cellStyle name="Vírgula 7 4 2 4 2 4" xfId="33074" xr:uid="{00000000-0005-0000-0000-000024810000}"/>
    <cellStyle name="Vírgula 7 4 2 4 2 5" xfId="33075" xr:uid="{00000000-0005-0000-0000-000025810000}"/>
    <cellStyle name="Vírgula 7 4 2 4 3" xfId="33076" xr:uid="{00000000-0005-0000-0000-000026810000}"/>
    <cellStyle name="Vírgula 7 4 2 4 3 2" xfId="33077" xr:uid="{00000000-0005-0000-0000-000027810000}"/>
    <cellStyle name="Vírgula 7 4 2 4 3 3" xfId="33078" xr:uid="{00000000-0005-0000-0000-000028810000}"/>
    <cellStyle name="Vírgula 7 4 2 4 3 4" xfId="33079" xr:uid="{00000000-0005-0000-0000-000029810000}"/>
    <cellStyle name="Vírgula 7 4 2 4 4" xfId="33080" xr:uid="{00000000-0005-0000-0000-00002A810000}"/>
    <cellStyle name="Vírgula 7 4 2 4 5" xfId="33081" xr:uid="{00000000-0005-0000-0000-00002B810000}"/>
    <cellStyle name="Vírgula 7 4 2 4 6" xfId="33082" xr:uid="{00000000-0005-0000-0000-00002C810000}"/>
    <cellStyle name="Vírgula 7 4 2 5" xfId="33083" xr:uid="{00000000-0005-0000-0000-00002D810000}"/>
    <cellStyle name="Vírgula 7 4 2 5 2" xfId="33084" xr:uid="{00000000-0005-0000-0000-00002E810000}"/>
    <cellStyle name="Vírgula 7 4 2 5 2 2" xfId="33085" xr:uid="{00000000-0005-0000-0000-00002F810000}"/>
    <cellStyle name="Vírgula 7 4 2 5 2 3" xfId="33086" xr:uid="{00000000-0005-0000-0000-000030810000}"/>
    <cellStyle name="Vírgula 7 4 2 5 2 4" xfId="33087" xr:uid="{00000000-0005-0000-0000-000031810000}"/>
    <cellStyle name="Vírgula 7 4 2 5 3" xfId="33088" xr:uid="{00000000-0005-0000-0000-000032810000}"/>
    <cellStyle name="Vírgula 7 4 2 5 4" xfId="33089" xr:uid="{00000000-0005-0000-0000-000033810000}"/>
    <cellStyle name="Vírgula 7 4 2 5 5" xfId="33090" xr:uid="{00000000-0005-0000-0000-000034810000}"/>
    <cellStyle name="Vírgula 7 4 2 6" xfId="33091" xr:uid="{00000000-0005-0000-0000-000035810000}"/>
    <cellStyle name="Vírgula 7 4 2 6 2" xfId="33092" xr:uid="{00000000-0005-0000-0000-000036810000}"/>
    <cellStyle name="Vírgula 7 4 2 6 3" xfId="33093" xr:uid="{00000000-0005-0000-0000-000037810000}"/>
    <cellStyle name="Vírgula 7 4 2 6 4" xfId="33094" xr:uid="{00000000-0005-0000-0000-000038810000}"/>
    <cellStyle name="Vírgula 7 4 2 7" xfId="33095" xr:uid="{00000000-0005-0000-0000-000039810000}"/>
    <cellStyle name="Vírgula 7 4 2 7 2" xfId="33096" xr:uid="{00000000-0005-0000-0000-00003A810000}"/>
    <cellStyle name="Vírgula 7 4 2 7 3" xfId="33097" xr:uid="{00000000-0005-0000-0000-00003B810000}"/>
    <cellStyle name="Vírgula 7 4 2 7 4" xfId="33098" xr:uid="{00000000-0005-0000-0000-00003C810000}"/>
    <cellStyle name="Vírgula 7 4 2 8" xfId="33099" xr:uid="{00000000-0005-0000-0000-00003D810000}"/>
    <cellStyle name="Vírgula 7 4 2 8 2" xfId="33100" xr:uid="{00000000-0005-0000-0000-00003E810000}"/>
    <cellStyle name="Vírgula 7 4 2 8 3" xfId="33101" xr:uid="{00000000-0005-0000-0000-00003F810000}"/>
    <cellStyle name="Vírgula 7 4 2 9" xfId="33102" xr:uid="{00000000-0005-0000-0000-000040810000}"/>
    <cellStyle name="Vírgula 7 4 3" xfId="23388" xr:uid="{00000000-0005-0000-0000-000041810000}"/>
    <cellStyle name="Vírgula 7 4 3 2" xfId="25164" xr:uid="{00000000-0005-0000-0000-000042810000}"/>
    <cellStyle name="Vírgula 7 4 3 2 2" xfId="33103" xr:uid="{00000000-0005-0000-0000-000043810000}"/>
    <cellStyle name="Vírgula 7 4 3 2 2 2" xfId="33104" xr:uid="{00000000-0005-0000-0000-000044810000}"/>
    <cellStyle name="Vírgula 7 4 3 2 2 2 2" xfId="33105" xr:uid="{00000000-0005-0000-0000-000045810000}"/>
    <cellStyle name="Vírgula 7 4 3 2 2 2 3" xfId="33106" xr:uid="{00000000-0005-0000-0000-000046810000}"/>
    <cellStyle name="Vírgula 7 4 3 2 2 2 4" xfId="33107" xr:uid="{00000000-0005-0000-0000-000047810000}"/>
    <cellStyle name="Vírgula 7 4 3 2 2 3" xfId="33108" xr:uid="{00000000-0005-0000-0000-000048810000}"/>
    <cellStyle name="Vírgula 7 4 3 2 2 4" xfId="33109" xr:uid="{00000000-0005-0000-0000-000049810000}"/>
    <cellStyle name="Vírgula 7 4 3 2 2 5" xfId="33110" xr:uid="{00000000-0005-0000-0000-00004A810000}"/>
    <cellStyle name="Vírgula 7 4 3 2 3" xfId="33111" xr:uid="{00000000-0005-0000-0000-00004B810000}"/>
    <cellStyle name="Vírgula 7 4 3 2 3 2" xfId="33112" xr:uid="{00000000-0005-0000-0000-00004C810000}"/>
    <cellStyle name="Vírgula 7 4 3 2 3 3" xfId="33113" xr:uid="{00000000-0005-0000-0000-00004D810000}"/>
    <cellStyle name="Vírgula 7 4 3 2 3 4" xfId="33114" xr:uid="{00000000-0005-0000-0000-00004E810000}"/>
    <cellStyle name="Vírgula 7 4 3 2 4" xfId="33115" xr:uid="{00000000-0005-0000-0000-00004F810000}"/>
    <cellStyle name="Vírgula 7 4 3 2 5" xfId="33116" xr:uid="{00000000-0005-0000-0000-000050810000}"/>
    <cellStyle name="Vírgula 7 4 3 2 6" xfId="33117" xr:uid="{00000000-0005-0000-0000-000051810000}"/>
    <cellStyle name="Vírgula 7 4 3 3" xfId="33118" xr:uid="{00000000-0005-0000-0000-000052810000}"/>
    <cellStyle name="Vírgula 7 4 3 3 2" xfId="33119" xr:uid="{00000000-0005-0000-0000-000053810000}"/>
    <cellStyle name="Vírgula 7 4 3 3 2 2" xfId="33120" xr:uid="{00000000-0005-0000-0000-000054810000}"/>
    <cellStyle name="Vírgula 7 4 3 3 2 3" xfId="33121" xr:uid="{00000000-0005-0000-0000-000055810000}"/>
    <cellStyle name="Vírgula 7 4 3 3 2 4" xfId="33122" xr:uid="{00000000-0005-0000-0000-000056810000}"/>
    <cellStyle name="Vírgula 7 4 3 3 3" xfId="33123" xr:uid="{00000000-0005-0000-0000-000057810000}"/>
    <cellStyle name="Vírgula 7 4 3 3 4" xfId="33124" xr:uid="{00000000-0005-0000-0000-000058810000}"/>
    <cellStyle name="Vírgula 7 4 3 3 5" xfId="33125" xr:uid="{00000000-0005-0000-0000-000059810000}"/>
    <cellStyle name="Vírgula 7 4 3 4" xfId="33126" xr:uid="{00000000-0005-0000-0000-00005A810000}"/>
    <cellStyle name="Vírgula 7 4 3 4 2" xfId="33127" xr:uid="{00000000-0005-0000-0000-00005B810000}"/>
    <cellStyle name="Vírgula 7 4 3 4 3" xfId="33128" xr:uid="{00000000-0005-0000-0000-00005C810000}"/>
    <cellStyle name="Vírgula 7 4 3 4 4" xfId="33129" xr:uid="{00000000-0005-0000-0000-00005D810000}"/>
    <cellStyle name="Vírgula 7 4 3 5" xfId="33130" xr:uid="{00000000-0005-0000-0000-00005E810000}"/>
    <cellStyle name="Vírgula 7 4 3 5 2" xfId="33131" xr:uid="{00000000-0005-0000-0000-00005F810000}"/>
    <cellStyle name="Vírgula 7 4 3 5 3" xfId="33132" xr:uid="{00000000-0005-0000-0000-000060810000}"/>
    <cellStyle name="Vírgula 7 4 3 5 4" xfId="33133" xr:uid="{00000000-0005-0000-0000-000061810000}"/>
    <cellStyle name="Vírgula 7 4 3 6" xfId="33134" xr:uid="{00000000-0005-0000-0000-000062810000}"/>
    <cellStyle name="Vírgula 7 4 3 6 2" xfId="33135" xr:uid="{00000000-0005-0000-0000-000063810000}"/>
    <cellStyle name="Vírgula 7 4 3 6 3" xfId="33136" xr:uid="{00000000-0005-0000-0000-000064810000}"/>
    <cellStyle name="Vírgula 7 4 3 7" xfId="33137" xr:uid="{00000000-0005-0000-0000-000065810000}"/>
    <cellStyle name="Vírgula 7 4 3 8" xfId="33138" xr:uid="{00000000-0005-0000-0000-000066810000}"/>
    <cellStyle name="Vírgula 7 4 3 9" xfId="33139" xr:uid="{00000000-0005-0000-0000-000067810000}"/>
    <cellStyle name="Vírgula 7 4 4" xfId="24276" xr:uid="{00000000-0005-0000-0000-000068810000}"/>
    <cellStyle name="Vírgula 7 4 4 2" xfId="33140" xr:uid="{00000000-0005-0000-0000-000069810000}"/>
    <cellStyle name="Vírgula 7 4 4 2 2" xfId="33141" xr:uid="{00000000-0005-0000-0000-00006A810000}"/>
    <cellStyle name="Vírgula 7 4 4 2 2 2" xfId="33142" xr:uid="{00000000-0005-0000-0000-00006B810000}"/>
    <cellStyle name="Vírgula 7 4 4 2 2 3" xfId="33143" xr:uid="{00000000-0005-0000-0000-00006C810000}"/>
    <cellStyle name="Vírgula 7 4 4 2 2 4" xfId="33144" xr:uid="{00000000-0005-0000-0000-00006D810000}"/>
    <cellStyle name="Vírgula 7 4 4 2 3" xfId="33145" xr:uid="{00000000-0005-0000-0000-00006E810000}"/>
    <cellStyle name="Vírgula 7 4 4 2 4" xfId="33146" xr:uid="{00000000-0005-0000-0000-00006F810000}"/>
    <cellStyle name="Vírgula 7 4 4 2 5" xfId="33147" xr:uid="{00000000-0005-0000-0000-000070810000}"/>
    <cellStyle name="Vírgula 7 4 4 3" xfId="33148" xr:uid="{00000000-0005-0000-0000-000071810000}"/>
    <cellStyle name="Vírgula 7 4 4 3 2" xfId="33149" xr:uid="{00000000-0005-0000-0000-000072810000}"/>
    <cellStyle name="Vírgula 7 4 4 3 3" xfId="33150" xr:uid="{00000000-0005-0000-0000-000073810000}"/>
    <cellStyle name="Vírgula 7 4 4 3 4" xfId="33151" xr:uid="{00000000-0005-0000-0000-000074810000}"/>
    <cellStyle name="Vírgula 7 4 4 4" xfId="33152" xr:uid="{00000000-0005-0000-0000-000075810000}"/>
    <cellStyle name="Vírgula 7 4 4 5" xfId="33153" xr:uid="{00000000-0005-0000-0000-000076810000}"/>
    <cellStyle name="Vírgula 7 4 4 6" xfId="33154" xr:uid="{00000000-0005-0000-0000-000077810000}"/>
    <cellStyle name="Vírgula 7 4 5" xfId="33155" xr:uid="{00000000-0005-0000-0000-000078810000}"/>
    <cellStyle name="Vírgula 7 4 5 2" xfId="33156" xr:uid="{00000000-0005-0000-0000-000079810000}"/>
    <cellStyle name="Vírgula 7 4 5 2 2" xfId="33157" xr:uid="{00000000-0005-0000-0000-00007A810000}"/>
    <cellStyle name="Vírgula 7 4 5 2 2 2" xfId="33158" xr:uid="{00000000-0005-0000-0000-00007B810000}"/>
    <cellStyle name="Vírgula 7 4 5 2 2 3" xfId="33159" xr:uid="{00000000-0005-0000-0000-00007C810000}"/>
    <cellStyle name="Vírgula 7 4 5 2 2 4" xfId="33160" xr:uid="{00000000-0005-0000-0000-00007D810000}"/>
    <cellStyle name="Vírgula 7 4 5 2 3" xfId="33161" xr:uid="{00000000-0005-0000-0000-00007E810000}"/>
    <cellStyle name="Vírgula 7 4 5 2 4" xfId="33162" xr:uid="{00000000-0005-0000-0000-00007F810000}"/>
    <cellStyle name="Vírgula 7 4 5 2 5" xfId="33163" xr:uid="{00000000-0005-0000-0000-000080810000}"/>
    <cellStyle name="Vírgula 7 4 5 3" xfId="33164" xr:uid="{00000000-0005-0000-0000-000081810000}"/>
    <cellStyle name="Vírgula 7 4 5 3 2" xfId="33165" xr:uid="{00000000-0005-0000-0000-000082810000}"/>
    <cellStyle name="Vírgula 7 4 5 3 3" xfId="33166" xr:uid="{00000000-0005-0000-0000-000083810000}"/>
    <cellStyle name="Vírgula 7 4 5 3 4" xfId="33167" xr:uid="{00000000-0005-0000-0000-000084810000}"/>
    <cellStyle name="Vírgula 7 4 5 4" xfId="33168" xr:uid="{00000000-0005-0000-0000-000085810000}"/>
    <cellStyle name="Vírgula 7 4 5 5" xfId="33169" xr:uid="{00000000-0005-0000-0000-000086810000}"/>
    <cellStyle name="Vírgula 7 4 5 6" xfId="33170" xr:uid="{00000000-0005-0000-0000-000087810000}"/>
    <cellStyle name="Vírgula 7 4 6" xfId="33171" xr:uid="{00000000-0005-0000-0000-000088810000}"/>
    <cellStyle name="Vírgula 7 4 6 2" xfId="33172" xr:uid="{00000000-0005-0000-0000-000089810000}"/>
    <cellStyle name="Vírgula 7 4 6 2 2" xfId="33173" xr:uid="{00000000-0005-0000-0000-00008A810000}"/>
    <cellStyle name="Vírgula 7 4 6 2 2 2" xfId="33174" xr:uid="{00000000-0005-0000-0000-00008B810000}"/>
    <cellStyle name="Vírgula 7 4 6 2 2 3" xfId="33175" xr:uid="{00000000-0005-0000-0000-00008C810000}"/>
    <cellStyle name="Vírgula 7 4 6 2 2 4" xfId="33176" xr:uid="{00000000-0005-0000-0000-00008D810000}"/>
    <cellStyle name="Vírgula 7 4 6 2 3" xfId="33177" xr:uid="{00000000-0005-0000-0000-00008E810000}"/>
    <cellStyle name="Vírgula 7 4 6 2 4" xfId="33178" xr:uid="{00000000-0005-0000-0000-00008F810000}"/>
    <cellStyle name="Vírgula 7 4 6 2 5" xfId="33179" xr:uid="{00000000-0005-0000-0000-000090810000}"/>
    <cellStyle name="Vírgula 7 4 6 3" xfId="33180" xr:uid="{00000000-0005-0000-0000-000091810000}"/>
    <cellStyle name="Vírgula 7 4 6 3 2" xfId="33181" xr:uid="{00000000-0005-0000-0000-000092810000}"/>
    <cellStyle name="Vírgula 7 4 6 3 3" xfId="33182" xr:uid="{00000000-0005-0000-0000-000093810000}"/>
    <cellStyle name="Vírgula 7 4 6 3 4" xfId="33183" xr:uid="{00000000-0005-0000-0000-000094810000}"/>
    <cellStyle name="Vírgula 7 4 6 4" xfId="33184" xr:uid="{00000000-0005-0000-0000-000095810000}"/>
    <cellStyle name="Vírgula 7 4 6 5" xfId="33185" xr:uid="{00000000-0005-0000-0000-000096810000}"/>
    <cellStyle name="Vírgula 7 4 6 6" xfId="33186" xr:uid="{00000000-0005-0000-0000-000097810000}"/>
    <cellStyle name="Vírgula 7 4 7" xfId="33187" xr:uid="{00000000-0005-0000-0000-000098810000}"/>
    <cellStyle name="Vírgula 7 4 7 2" xfId="33188" xr:uid="{00000000-0005-0000-0000-000099810000}"/>
    <cellStyle name="Vírgula 7 4 7 2 2" xfId="33189" xr:uid="{00000000-0005-0000-0000-00009A810000}"/>
    <cellStyle name="Vírgula 7 4 7 2 3" xfId="33190" xr:uid="{00000000-0005-0000-0000-00009B810000}"/>
    <cellStyle name="Vírgula 7 4 7 2 4" xfId="33191" xr:uid="{00000000-0005-0000-0000-00009C810000}"/>
    <cellStyle name="Vírgula 7 4 7 3" xfId="33192" xr:uid="{00000000-0005-0000-0000-00009D810000}"/>
    <cellStyle name="Vírgula 7 4 7 4" xfId="33193" xr:uid="{00000000-0005-0000-0000-00009E810000}"/>
    <cellStyle name="Vírgula 7 4 7 5" xfId="33194" xr:uid="{00000000-0005-0000-0000-00009F810000}"/>
    <cellStyle name="Vírgula 7 4 8" xfId="33195" xr:uid="{00000000-0005-0000-0000-0000A0810000}"/>
    <cellStyle name="Vírgula 7 4 8 2" xfId="33196" xr:uid="{00000000-0005-0000-0000-0000A1810000}"/>
    <cellStyle name="Vírgula 7 4 8 3" xfId="33197" xr:uid="{00000000-0005-0000-0000-0000A2810000}"/>
    <cellStyle name="Vírgula 7 4 8 4" xfId="33198" xr:uid="{00000000-0005-0000-0000-0000A3810000}"/>
    <cellStyle name="Vírgula 7 4 9" xfId="33199" xr:uid="{00000000-0005-0000-0000-0000A4810000}"/>
    <cellStyle name="Vírgula 7 4 9 2" xfId="33200" xr:uid="{00000000-0005-0000-0000-0000A5810000}"/>
    <cellStyle name="Vírgula 7 4 9 3" xfId="33201" xr:uid="{00000000-0005-0000-0000-0000A6810000}"/>
    <cellStyle name="Vírgula 7 4 9 4" xfId="33202" xr:uid="{00000000-0005-0000-0000-0000A7810000}"/>
    <cellStyle name="Vírgula 7 5" xfId="2320" xr:uid="{00000000-0005-0000-0000-0000A8810000}"/>
    <cellStyle name="Vírgula 7 5 10" xfId="33203" xr:uid="{00000000-0005-0000-0000-0000A9810000}"/>
    <cellStyle name="Vírgula 7 5 11" xfId="33204" xr:uid="{00000000-0005-0000-0000-0000AA810000}"/>
    <cellStyle name="Vírgula 7 5 2" xfId="33205" xr:uid="{00000000-0005-0000-0000-0000AB810000}"/>
    <cellStyle name="Vírgula 7 5 2 2" xfId="33206" xr:uid="{00000000-0005-0000-0000-0000AC810000}"/>
    <cellStyle name="Vírgula 7 5 2 2 2" xfId="33207" xr:uid="{00000000-0005-0000-0000-0000AD810000}"/>
    <cellStyle name="Vírgula 7 5 2 2 2 2" xfId="33208" xr:uid="{00000000-0005-0000-0000-0000AE810000}"/>
    <cellStyle name="Vírgula 7 5 2 2 2 2 2" xfId="33209" xr:uid="{00000000-0005-0000-0000-0000AF810000}"/>
    <cellStyle name="Vírgula 7 5 2 2 2 2 3" xfId="33210" xr:uid="{00000000-0005-0000-0000-0000B0810000}"/>
    <cellStyle name="Vírgula 7 5 2 2 2 2 4" xfId="33211" xr:uid="{00000000-0005-0000-0000-0000B1810000}"/>
    <cellStyle name="Vírgula 7 5 2 2 2 3" xfId="33212" xr:uid="{00000000-0005-0000-0000-0000B2810000}"/>
    <cellStyle name="Vírgula 7 5 2 2 2 4" xfId="33213" xr:uid="{00000000-0005-0000-0000-0000B3810000}"/>
    <cellStyle name="Vírgula 7 5 2 2 2 5" xfId="33214" xr:uid="{00000000-0005-0000-0000-0000B4810000}"/>
    <cellStyle name="Vírgula 7 5 2 2 3" xfId="33215" xr:uid="{00000000-0005-0000-0000-0000B5810000}"/>
    <cellStyle name="Vírgula 7 5 2 2 3 2" xfId="33216" xr:uid="{00000000-0005-0000-0000-0000B6810000}"/>
    <cellStyle name="Vírgula 7 5 2 2 3 3" xfId="33217" xr:uid="{00000000-0005-0000-0000-0000B7810000}"/>
    <cellStyle name="Vírgula 7 5 2 2 3 4" xfId="33218" xr:uid="{00000000-0005-0000-0000-0000B8810000}"/>
    <cellStyle name="Vírgula 7 5 2 2 4" xfId="33219" xr:uid="{00000000-0005-0000-0000-0000B9810000}"/>
    <cellStyle name="Vírgula 7 5 2 2 5" xfId="33220" xr:uid="{00000000-0005-0000-0000-0000BA810000}"/>
    <cellStyle name="Vírgula 7 5 2 2 6" xfId="33221" xr:uid="{00000000-0005-0000-0000-0000BB810000}"/>
    <cellStyle name="Vírgula 7 5 2 3" xfId="33222" xr:uid="{00000000-0005-0000-0000-0000BC810000}"/>
    <cellStyle name="Vírgula 7 5 2 3 2" xfId="33223" xr:uid="{00000000-0005-0000-0000-0000BD810000}"/>
    <cellStyle name="Vírgula 7 5 2 3 2 2" xfId="33224" xr:uid="{00000000-0005-0000-0000-0000BE810000}"/>
    <cellStyle name="Vírgula 7 5 2 3 2 3" xfId="33225" xr:uid="{00000000-0005-0000-0000-0000BF810000}"/>
    <cellStyle name="Vírgula 7 5 2 3 2 4" xfId="33226" xr:uid="{00000000-0005-0000-0000-0000C0810000}"/>
    <cellStyle name="Vírgula 7 5 2 3 3" xfId="33227" xr:uid="{00000000-0005-0000-0000-0000C1810000}"/>
    <cellStyle name="Vírgula 7 5 2 3 4" xfId="33228" xr:uid="{00000000-0005-0000-0000-0000C2810000}"/>
    <cellStyle name="Vírgula 7 5 2 3 5" xfId="33229" xr:uid="{00000000-0005-0000-0000-0000C3810000}"/>
    <cellStyle name="Vírgula 7 5 2 4" xfId="33230" xr:uid="{00000000-0005-0000-0000-0000C4810000}"/>
    <cellStyle name="Vírgula 7 5 2 4 2" xfId="33231" xr:uid="{00000000-0005-0000-0000-0000C5810000}"/>
    <cellStyle name="Vírgula 7 5 2 4 3" xfId="33232" xr:uid="{00000000-0005-0000-0000-0000C6810000}"/>
    <cellStyle name="Vírgula 7 5 2 4 4" xfId="33233" xr:uid="{00000000-0005-0000-0000-0000C7810000}"/>
    <cellStyle name="Vírgula 7 5 2 5" xfId="33234" xr:uid="{00000000-0005-0000-0000-0000C8810000}"/>
    <cellStyle name="Vírgula 7 5 2 5 2" xfId="33235" xr:uid="{00000000-0005-0000-0000-0000C9810000}"/>
    <cellStyle name="Vírgula 7 5 2 5 3" xfId="33236" xr:uid="{00000000-0005-0000-0000-0000CA810000}"/>
    <cellStyle name="Vírgula 7 5 2 5 4" xfId="33237" xr:uid="{00000000-0005-0000-0000-0000CB810000}"/>
    <cellStyle name="Vírgula 7 5 2 6" xfId="33238" xr:uid="{00000000-0005-0000-0000-0000CC810000}"/>
    <cellStyle name="Vírgula 7 5 2 6 2" xfId="33239" xr:uid="{00000000-0005-0000-0000-0000CD810000}"/>
    <cellStyle name="Vírgula 7 5 2 6 3" xfId="33240" xr:uid="{00000000-0005-0000-0000-0000CE810000}"/>
    <cellStyle name="Vírgula 7 5 2 7" xfId="33241" xr:uid="{00000000-0005-0000-0000-0000CF810000}"/>
    <cellStyle name="Vírgula 7 5 2 8" xfId="33242" xr:uid="{00000000-0005-0000-0000-0000D0810000}"/>
    <cellStyle name="Vírgula 7 5 2 9" xfId="33243" xr:uid="{00000000-0005-0000-0000-0000D1810000}"/>
    <cellStyle name="Vírgula 7 5 3" xfId="33244" xr:uid="{00000000-0005-0000-0000-0000D2810000}"/>
    <cellStyle name="Vírgula 7 5 3 2" xfId="33245" xr:uid="{00000000-0005-0000-0000-0000D3810000}"/>
    <cellStyle name="Vírgula 7 5 3 2 2" xfId="33246" xr:uid="{00000000-0005-0000-0000-0000D4810000}"/>
    <cellStyle name="Vírgula 7 5 3 2 2 2" xfId="33247" xr:uid="{00000000-0005-0000-0000-0000D5810000}"/>
    <cellStyle name="Vírgula 7 5 3 2 2 3" xfId="33248" xr:uid="{00000000-0005-0000-0000-0000D6810000}"/>
    <cellStyle name="Vírgula 7 5 3 2 2 4" xfId="33249" xr:uid="{00000000-0005-0000-0000-0000D7810000}"/>
    <cellStyle name="Vírgula 7 5 3 2 3" xfId="33250" xr:uid="{00000000-0005-0000-0000-0000D8810000}"/>
    <cellStyle name="Vírgula 7 5 3 2 4" xfId="33251" xr:uid="{00000000-0005-0000-0000-0000D9810000}"/>
    <cellStyle name="Vírgula 7 5 3 2 5" xfId="33252" xr:uid="{00000000-0005-0000-0000-0000DA810000}"/>
    <cellStyle name="Vírgula 7 5 3 3" xfId="33253" xr:uid="{00000000-0005-0000-0000-0000DB810000}"/>
    <cellStyle name="Vírgula 7 5 3 3 2" xfId="33254" xr:uid="{00000000-0005-0000-0000-0000DC810000}"/>
    <cellStyle name="Vírgula 7 5 3 3 3" xfId="33255" xr:uid="{00000000-0005-0000-0000-0000DD810000}"/>
    <cellStyle name="Vírgula 7 5 3 3 4" xfId="33256" xr:uid="{00000000-0005-0000-0000-0000DE810000}"/>
    <cellStyle name="Vírgula 7 5 3 4" xfId="33257" xr:uid="{00000000-0005-0000-0000-0000DF810000}"/>
    <cellStyle name="Vírgula 7 5 3 5" xfId="33258" xr:uid="{00000000-0005-0000-0000-0000E0810000}"/>
    <cellStyle name="Vírgula 7 5 3 6" xfId="33259" xr:uid="{00000000-0005-0000-0000-0000E1810000}"/>
    <cellStyle name="Vírgula 7 5 4" xfId="33260" xr:uid="{00000000-0005-0000-0000-0000E2810000}"/>
    <cellStyle name="Vírgula 7 5 4 2" xfId="33261" xr:uid="{00000000-0005-0000-0000-0000E3810000}"/>
    <cellStyle name="Vírgula 7 5 4 2 2" xfId="33262" xr:uid="{00000000-0005-0000-0000-0000E4810000}"/>
    <cellStyle name="Vírgula 7 5 4 2 2 2" xfId="33263" xr:uid="{00000000-0005-0000-0000-0000E5810000}"/>
    <cellStyle name="Vírgula 7 5 4 2 2 3" xfId="33264" xr:uid="{00000000-0005-0000-0000-0000E6810000}"/>
    <cellStyle name="Vírgula 7 5 4 2 2 4" xfId="33265" xr:uid="{00000000-0005-0000-0000-0000E7810000}"/>
    <cellStyle name="Vírgula 7 5 4 2 3" xfId="33266" xr:uid="{00000000-0005-0000-0000-0000E8810000}"/>
    <cellStyle name="Vírgula 7 5 4 2 4" xfId="33267" xr:uid="{00000000-0005-0000-0000-0000E9810000}"/>
    <cellStyle name="Vírgula 7 5 4 2 5" xfId="33268" xr:uid="{00000000-0005-0000-0000-0000EA810000}"/>
    <cellStyle name="Vírgula 7 5 4 3" xfId="33269" xr:uid="{00000000-0005-0000-0000-0000EB810000}"/>
    <cellStyle name="Vírgula 7 5 4 3 2" xfId="33270" xr:uid="{00000000-0005-0000-0000-0000EC810000}"/>
    <cellStyle name="Vírgula 7 5 4 3 3" xfId="33271" xr:uid="{00000000-0005-0000-0000-0000ED810000}"/>
    <cellStyle name="Vírgula 7 5 4 3 4" xfId="33272" xr:uid="{00000000-0005-0000-0000-0000EE810000}"/>
    <cellStyle name="Vírgula 7 5 4 4" xfId="33273" xr:uid="{00000000-0005-0000-0000-0000EF810000}"/>
    <cellStyle name="Vírgula 7 5 4 5" xfId="33274" xr:uid="{00000000-0005-0000-0000-0000F0810000}"/>
    <cellStyle name="Vírgula 7 5 4 6" xfId="33275" xr:uid="{00000000-0005-0000-0000-0000F1810000}"/>
    <cellStyle name="Vírgula 7 5 5" xfId="33276" xr:uid="{00000000-0005-0000-0000-0000F2810000}"/>
    <cellStyle name="Vírgula 7 5 5 2" xfId="33277" xr:uid="{00000000-0005-0000-0000-0000F3810000}"/>
    <cellStyle name="Vírgula 7 5 5 2 2" xfId="33278" xr:uid="{00000000-0005-0000-0000-0000F4810000}"/>
    <cellStyle name="Vírgula 7 5 5 2 3" xfId="33279" xr:uid="{00000000-0005-0000-0000-0000F5810000}"/>
    <cellStyle name="Vírgula 7 5 5 2 4" xfId="33280" xr:uid="{00000000-0005-0000-0000-0000F6810000}"/>
    <cellStyle name="Vírgula 7 5 5 3" xfId="33281" xr:uid="{00000000-0005-0000-0000-0000F7810000}"/>
    <cellStyle name="Vírgula 7 5 5 4" xfId="33282" xr:uid="{00000000-0005-0000-0000-0000F8810000}"/>
    <cellStyle name="Vírgula 7 5 5 5" xfId="33283" xr:uid="{00000000-0005-0000-0000-0000F9810000}"/>
    <cellStyle name="Vírgula 7 5 6" xfId="33284" xr:uid="{00000000-0005-0000-0000-0000FA810000}"/>
    <cellStyle name="Vírgula 7 5 6 2" xfId="33285" xr:uid="{00000000-0005-0000-0000-0000FB810000}"/>
    <cellStyle name="Vírgula 7 5 6 3" xfId="33286" xr:uid="{00000000-0005-0000-0000-0000FC810000}"/>
    <cellStyle name="Vírgula 7 5 6 4" xfId="33287" xr:uid="{00000000-0005-0000-0000-0000FD810000}"/>
    <cellStyle name="Vírgula 7 5 7" xfId="33288" xr:uid="{00000000-0005-0000-0000-0000FE810000}"/>
    <cellStyle name="Vírgula 7 5 7 2" xfId="33289" xr:uid="{00000000-0005-0000-0000-0000FF810000}"/>
    <cellStyle name="Vírgula 7 5 7 3" xfId="33290" xr:uid="{00000000-0005-0000-0000-000000820000}"/>
    <cellStyle name="Vírgula 7 5 7 4" xfId="33291" xr:uid="{00000000-0005-0000-0000-000001820000}"/>
    <cellStyle name="Vírgula 7 5 8" xfId="33292" xr:uid="{00000000-0005-0000-0000-000002820000}"/>
    <cellStyle name="Vírgula 7 5 8 2" xfId="33293" xr:uid="{00000000-0005-0000-0000-000003820000}"/>
    <cellStyle name="Vírgula 7 5 8 3" xfId="33294" xr:uid="{00000000-0005-0000-0000-000004820000}"/>
    <cellStyle name="Vírgula 7 5 9" xfId="33295" xr:uid="{00000000-0005-0000-0000-000005820000}"/>
    <cellStyle name="Vírgula 7 6" xfId="26049" xr:uid="{00000000-0005-0000-0000-000006820000}"/>
    <cellStyle name="Vírgula 7 6 2" xfId="33296" xr:uid="{00000000-0005-0000-0000-000007820000}"/>
    <cellStyle name="Vírgula 7 6 2 2" xfId="33297" xr:uid="{00000000-0005-0000-0000-000008820000}"/>
    <cellStyle name="Vírgula 7 6 2 2 2" xfId="33298" xr:uid="{00000000-0005-0000-0000-000009820000}"/>
    <cellStyle name="Vírgula 7 6 2 2 2 2" xfId="33299" xr:uid="{00000000-0005-0000-0000-00000A820000}"/>
    <cellStyle name="Vírgula 7 6 2 2 2 3" xfId="33300" xr:uid="{00000000-0005-0000-0000-00000B820000}"/>
    <cellStyle name="Vírgula 7 6 2 2 2 4" xfId="33301" xr:uid="{00000000-0005-0000-0000-00000C820000}"/>
    <cellStyle name="Vírgula 7 6 2 2 3" xfId="33302" xr:uid="{00000000-0005-0000-0000-00000D820000}"/>
    <cellStyle name="Vírgula 7 6 2 2 4" xfId="33303" xr:uid="{00000000-0005-0000-0000-00000E820000}"/>
    <cellStyle name="Vírgula 7 6 2 2 5" xfId="33304" xr:uid="{00000000-0005-0000-0000-00000F820000}"/>
    <cellStyle name="Vírgula 7 6 2 3" xfId="33305" xr:uid="{00000000-0005-0000-0000-000010820000}"/>
    <cellStyle name="Vírgula 7 6 2 3 2" xfId="33306" xr:uid="{00000000-0005-0000-0000-000011820000}"/>
    <cellStyle name="Vírgula 7 6 2 3 3" xfId="33307" xr:uid="{00000000-0005-0000-0000-000012820000}"/>
    <cellStyle name="Vírgula 7 6 2 3 4" xfId="33308" xr:uid="{00000000-0005-0000-0000-000013820000}"/>
    <cellStyle name="Vírgula 7 6 2 4" xfId="33309" xr:uid="{00000000-0005-0000-0000-000014820000}"/>
    <cellStyle name="Vírgula 7 6 2 5" xfId="33310" xr:uid="{00000000-0005-0000-0000-000015820000}"/>
    <cellStyle name="Vírgula 7 6 2 6" xfId="33311" xr:uid="{00000000-0005-0000-0000-000016820000}"/>
    <cellStyle name="Vírgula 7 6 3" xfId="33312" xr:uid="{00000000-0005-0000-0000-000017820000}"/>
    <cellStyle name="Vírgula 7 6 3 2" xfId="33313" xr:uid="{00000000-0005-0000-0000-000018820000}"/>
    <cellStyle name="Vírgula 7 6 3 2 2" xfId="33314" xr:uid="{00000000-0005-0000-0000-000019820000}"/>
    <cellStyle name="Vírgula 7 6 3 2 3" xfId="33315" xr:uid="{00000000-0005-0000-0000-00001A820000}"/>
    <cellStyle name="Vírgula 7 6 3 2 4" xfId="33316" xr:uid="{00000000-0005-0000-0000-00001B820000}"/>
    <cellStyle name="Vírgula 7 6 3 3" xfId="33317" xr:uid="{00000000-0005-0000-0000-00001C820000}"/>
    <cellStyle name="Vírgula 7 6 3 4" xfId="33318" xr:uid="{00000000-0005-0000-0000-00001D820000}"/>
    <cellStyle name="Vírgula 7 6 3 5" xfId="33319" xr:uid="{00000000-0005-0000-0000-00001E820000}"/>
    <cellStyle name="Vírgula 7 6 4" xfId="33320" xr:uid="{00000000-0005-0000-0000-00001F820000}"/>
    <cellStyle name="Vírgula 7 6 4 2" xfId="33321" xr:uid="{00000000-0005-0000-0000-000020820000}"/>
    <cellStyle name="Vírgula 7 6 4 3" xfId="33322" xr:uid="{00000000-0005-0000-0000-000021820000}"/>
    <cellStyle name="Vírgula 7 6 4 4" xfId="33323" xr:uid="{00000000-0005-0000-0000-000022820000}"/>
    <cellStyle name="Vírgula 7 6 5" xfId="33324" xr:uid="{00000000-0005-0000-0000-000023820000}"/>
    <cellStyle name="Vírgula 7 6 5 2" xfId="33325" xr:uid="{00000000-0005-0000-0000-000024820000}"/>
    <cellStyle name="Vírgula 7 6 5 3" xfId="33326" xr:uid="{00000000-0005-0000-0000-000025820000}"/>
    <cellStyle name="Vírgula 7 6 5 4" xfId="33327" xr:uid="{00000000-0005-0000-0000-000026820000}"/>
    <cellStyle name="Vírgula 7 6 6" xfId="33328" xr:uid="{00000000-0005-0000-0000-000027820000}"/>
    <cellStyle name="Vírgula 7 6 6 2" xfId="33329" xr:uid="{00000000-0005-0000-0000-000028820000}"/>
    <cellStyle name="Vírgula 7 6 6 3" xfId="33330" xr:uid="{00000000-0005-0000-0000-000029820000}"/>
    <cellStyle name="Vírgula 7 6 7" xfId="33331" xr:uid="{00000000-0005-0000-0000-00002A820000}"/>
    <cellStyle name="Vírgula 7 6 8" xfId="33332" xr:uid="{00000000-0005-0000-0000-00002B820000}"/>
    <cellStyle name="Vírgula 7 6 9" xfId="33333" xr:uid="{00000000-0005-0000-0000-00002C820000}"/>
    <cellStyle name="Vírgula 7 7" xfId="2174" xr:uid="{00000000-0005-0000-0000-00002D820000}"/>
    <cellStyle name="Vírgula 7 7 2" xfId="33334" xr:uid="{00000000-0005-0000-0000-00002E820000}"/>
    <cellStyle name="Vírgula 7 7 2 2" xfId="33335" xr:uid="{00000000-0005-0000-0000-00002F820000}"/>
    <cellStyle name="Vírgula 7 7 2 2 2" xfId="33336" xr:uid="{00000000-0005-0000-0000-000030820000}"/>
    <cellStyle name="Vírgula 7 7 2 2 3" xfId="33337" xr:uid="{00000000-0005-0000-0000-000031820000}"/>
    <cellStyle name="Vírgula 7 7 2 2 4" xfId="33338" xr:uid="{00000000-0005-0000-0000-000032820000}"/>
    <cellStyle name="Vírgula 7 7 2 3" xfId="33339" xr:uid="{00000000-0005-0000-0000-000033820000}"/>
    <cellStyle name="Vírgula 7 7 2 4" xfId="33340" xr:uid="{00000000-0005-0000-0000-000034820000}"/>
    <cellStyle name="Vírgula 7 7 2 5" xfId="33341" xr:uid="{00000000-0005-0000-0000-000035820000}"/>
    <cellStyle name="Vírgula 7 7 3" xfId="33342" xr:uid="{00000000-0005-0000-0000-000036820000}"/>
    <cellStyle name="Vírgula 7 7 3 2" xfId="33343" xr:uid="{00000000-0005-0000-0000-000037820000}"/>
    <cellStyle name="Vírgula 7 7 3 3" xfId="33344" xr:uid="{00000000-0005-0000-0000-000038820000}"/>
    <cellStyle name="Vírgula 7 7 3 4" xfId="33345" xr:uid="{00000000-0005-0000-0000-000039820000}"/>
    <cellStyle name="Vírgula 7 7 4" xfId="33346" xr:uid="{00000000-0005-0000-0000-00003A820000}"/>
    <cellStyle name="Vírgula 7 7 5" xfId="33347" xr:uid="{00000000-0005-0000-0000-00003B820000}"/>
    <cellStyle name="Vírgula 7 7 6" xfId="33348" xr:uid="{00000000-0005-0000-0000-00003C820000}"/>
    <cellStyle name="Vírgula 7 8" xfId="26439" xr:uid="{00000000-0005-0000-0000-00003D820000}"/>
    <cellStyle name="Vírgula 7 8 2" xfId="33349" xr:uid="{00000000-0005-0000-0000-00003E820000}"/>
    <cellStyle name="Vírgula 7 8 2 2" xfId="33350" xr:uid="{00000000-0005-0000-0000-00003F820000}"/>
    <cellStyle name="Vírgula 7 8 2 2 2" xfId="33351" xr:uid="{00000000-0005-0000-0000-000040820000}"/>
    <cellStyle name="Vírgula 7 8 2 2 3" xfId="33352" xr:uid="{00000000-0005-0000-0000-000041820000}"/>
    <cellStyle name="Vírgula 7 8 2 2 4" xfId="33353" xr:uid="{00000000-0005-0000-0000-000042820000}"/>
    <cellStyle name="Vírgula 7 8 2 3" xfId="33354" xr:uid="{00000000-0005-0000-0000-000043820000}"/>
    <cellStyle name="Vírgula 7 8 2 4" xfId="33355" xr:uid="{00000000-0005-0000-0000-000044820000}"/>
    <cellStyle name="Vírgula 7 8 2 5" xfId="33356" xr:uid="{00000000-0005-0000-0000-000045820000}"/>
    <cellStyle name="Vírgula 7 8 3" xfId="33357" xr:uid="{00000000-0005-0000-0000-000046820000}"/>
    <cellStyle name="Vírgula 7 8 3 2" xfId="33358" xr:uid="{00000000-0005-0000-0000-000047820000}"/>
    <cellStyle name="Vírgula 7 8 3 3" xfId="33359" xr:uid="{00000000-0005-0000-0000-000048820000}"/>
    <cellStyle name="Vírgula 7 8 3 4" xfId="33360" xr:uid="{00000000-0005-0000-0000-000049820000}"/>
    <cellStyle name="Vírgula 7 8 4" xfId="33361" xr:uid="{00000000-0005-0000-0000-00004A820000}"/>
    <cellStyle name="Vírgula 7 8 5" xfId="33362" xr:uid="{00000000-0005-0000-0000-00004B820000}"/>
    <cellStyle name="Vírgula 7 8 6" xfId="33363" xr:uid="{00000000-0005-0000-0000-00004C820000}"/>
    <cellStyle name="Vírgula 7 9" xfId="33364" xr:uid="{00000000-0005-0000-0000-00004D820000}"/>
    <cellStyle name="Vírgula 7 9 2" xfId="33365" xr:uid="{00000000-0005-0000-0000-00004E820000}"/>
    <cellStyle name="Vírgula 7 9 2 2" xfId="33366" xr:uid="{00000000-0005-0000-0000-00004F820000}"/>
    <cellStyle name="Vírgula 7 9 2 2 2" xfId="33367" xr:uid="{00000000-0005-0000-0000-000050820000}"/>
    <cellStyle name="Vírgula 7 9 2 2 3" xfId="33368" xr:uid="{00000000-0005-0000-0000-000051820000}"/>
    <cellStyle name="Vírgula 7 9 2 2 4" xfId="33369" xr:uid="{00000000-0005-0000-0000-000052820000}"/>
    <cellStyle name="Vírgula 7 9 2 3" xfId="33370" xr:uid="{00000000-0005-0000-0000-000053820000}"/>
    <cellStyle name="Vírgula 7 9 2 4" xfId="33371" xr:uid="{00000000-0005-0000-0000-000054820000}"/>
    <cellStyle name="Vírgula 7 9 2 5" xfId="33372" xr:uid="{00000000-0005-0000-0000-000055820000}"/>
    <cellStyle name="Vírgula 7 9 3" xfId="33373" xr:uid="{00000000-0005-0000-0000-000056820000}"/>
    <cellStyle name="Vírgula 7 9 3 2" xfId="33374" xr:uid="{00000000-0005-0000-0000-000057820000}"/>
    <cellStyle name="Vírgula 7 9 3 3" xfId="33375" xr:uid="{00000000-0005-0000-0000-000058820000}"/>
    <cellStyle name="Vírgula 7 9 3 4" xfId="33376" xr:uid="{00000000-0005-0000-0000-000059820000}"/>
    <cellStyle name="Vírgula 7 9 4" xfId="33377" xr:uid="{00000000-0005-0000-0000-00005A820000}"/>
    <cellStyle name="Vírgula 7 9 5" xfId="33378" xr:uid="{00000000-0005-0000-0000-00005B820000}"/>
    <cellStyle name="Vírgula 7 9 6" xfId="33379" xr:uid="{00000000-0005-0000-0000-00005C820000}"/>
    <cellStyle name="Vírgula 8" xfId="22441" xr:uid="{00000000-0005-0000-0000-00005D820000}"/>
    <cellStyle name="Vírgula 8 10" xfId="33380" xr:uid="{00000000-0005-0000-0000-00005E820000}"/>
    <cellStyle name="Vírgula 8 10 2" xfId="33381" xr:uid="{00000000-0005-0000-0000-00005F820000}"/>
    <cellStyle name="Vírgula 8 10 3" xfId="33382" xr:uid="{00000000-0005-0000-0000-000060820000}"/>
    <cellStyle name="Vírgula 8 10 4" xfId="33383" xr:uid="{00000000-0005-0000-0000-000061820000}"/>
    <cellStyle name="Vírgula 8 11" xfId="33384" xr:uid="{00000000-0005-0000-0000-000062820000}"/>
    <cellStyle name="Vírgula 8 11 2" xfId="33385" xr:uid="{00000000-0005-0000-0000-000063820000}"/>
    <cellStyle name="Vírgula 8 11 3" xfId="33386" xr:uid="{00000000-0005-0000-0000-000064820000}"/>
    <cellStyle name="Vírgula 8 11 4" xfId="33387" xr:uid="{00000000-0005-0000-0000-000065820000}"/>
    <cellStyle name="Vírgula 8 12" xfId="33388" xr:uid="{00000000-0005-0000-0000-000066820000}"/>
    <cellStyle name="Vírgula 8 12 2" xfId="33389" xr:uid="{00000000-0005-0000-0000-000067820000}"/>
    <cellStyle name="Vírgula 8 12 3" xfId="33390" xr:uid="{00000000-0005-0000-0000-000068820000}"/>
    <cellStyle name="Vírgula 8 12 4" xfId="33391" xr:uid="{00000000-0005-0000-0000-000069820000}"/>
    <cellStyle name="Vírgula 8 13" xfId="33392" xr:uid="{00000000-0005-0000-0000-00006A820000}"/>
    <cellStyle name="Vírgula 8 13 2" xfId="33393" xr:uid="{00000000-0005-0000-0000-00006B820000}"/>
    <cellStyle name="Vírgula 8 13 3" xfId="33394" xr:uid="{00000000-0005-0000-0000-00006C820000}"/>
    <cellStyle name="Vírgula 8 14" xfId="33395" xr:uid="{00000000-0005-0000-0000-00006D820000}"/>
    <cellStyle name="Vírgula 8 14 2" xfId="33396" xr:uid="{00000000-0005-0000-0000-00006E820000}"/>
    <cellStyle name="Vírgula 8 15" xfId="33397" xr:uid="{00000000-0005-0000-0000-00006F820000}"/>
    <cellStyle name="Vírgula 8 16" xfId="33398" xr:uid="{00000000-0005-0000-0000-000070820000}"/>
    <cellStyle name="Vírgula 8 2" xfId="22997" xr:uid="{00000000-0005-0000-0000-000071820000}"/>
    <cellStyle name="Vírgula 8 2 10" xfId="33399" xr:uid="{00000000-0005-0000-0000-000072820000}"/>
    <cellStyle name="Vírgula 8 2 10 2" xfId="33400" xr:uid="{00000000-0005-0000-0000-000073820000}"/>
    <cellStyle name="Vírgula 8 2 10 3" xfId="33401" xr:uid="{00000000-0005-0000-0000-000074820000}"/>
    <cellStyle name="Vírgula 8 2 10 4" xfId="33402" xr:uid="{00000000-0005-0000-0000-000075820000}"/>
    <cellStyle name="Vírgula 8 2 11" xfId="33403" xr:uid="{00000000-0005-0000-0000-000076820000}"/>
    <cellStyle name="Vírgula 8 2 11 2" xfId="33404" xr:uid="{00000000-0005-0000-0000-000077820000}"/>
    <cellStyle name="Vírgula 8 2 11 3" xfId="33405" xr:uid="{00000000-0005-0000-0000-000078820000}"/>
    <cellStyle name="Vírgula 8 2 12" xfId="33406" xr:uid="{00000000-0005-0000-0000-000079820000}"/>
    <cellStyle name="Vírgula 8 2 12 2" xfId="33407" xr:uid="{00000000-0005-0000-0000-00007A820000}"/>
    <cellStyle name="Vírgula 8 2 13" xfId="33408" xr:uid="{00000000-0005-0000-0000-00007B820000}"/>
    <cellStyle name="Vírgula 8 2 14" xfId="33409" xr:uid="{00000000-0005-0000-0000-00007C820000}"/>
    <cellStyle name="Vírgula 8 2 2" xfId="23884" xr:uid="{00000000-0005-0000-0000-00007D820000}"/>
    <cellStyle name="Vírgula 8 2 2 2" xfId="25660" xr:uid="{00000000-0005-0000-0000-00007E820000}"/>
    <cellStyle name="Vírgula 8 2 2 2 2" xfId="33410" xr:uid="{00000000-0005-0000-0000-00007F820000}"/>
    <cellStyle name="Vírgula 8 2 2 2 2 2" xfId="33411" xr:uid="{00000000-0005-0000-0000-000080820000}"/>
    <cellStyle name="Vírgula 8 2 2 2 2 2 2" xfId="33412" xr:uid="{00000000-0005-0000-0000-000081820000}"/>
    <cellStyle name="Vírgula 8 2 2 2 2 2 3" xfId="33413" xr:uid="{00000000-0005-0000-0000-000082820000}"/>
    <cellStyle name="Vírgula 8 2 2 2 2 2 4" xfId="33414" xr:uid="{00000000-0005-0000-0000-000083820000}"/>
    <cellStyle name="Vírgula 8 2 2 2 2 3" xfId="33415" xr:uid="{00000000-0005-0000-0000-000084820000}"/>
    <cellStyle name="Vírgula 8 2 2 2 2 4" xfId="33416" xr:uid="{00000000-0005-0000-0000-000085820000}"/>
    <cellStyle name="Vírgula 8 2 2 2 2 5" xfId="33417" xr:uid="{00000000-0005-0000-0000-000086820000}"/>
    <cellStyle name="Vírgula 8 2 2 2 3" xfId="33418" xr:uid="{00000000-0005-0000-0000-000087820000}"/>
    <cellStyle name="Vírgula 8 2 2 2 3 2" xfId="33419" xr:uid="{00000000-0005-0000-0000-000088820000}"/>
    <cellStyle name="Vírgula 8 2 2 2 3 3" xfId="33420" xr:uid="{00000000-0005-0000-0000-000089820000}"/>
    <cellStyle name="Vírgula 8 2 2 2 3 4" xfId="33421" xr:uid="{00000000-0005-0000-0000-00008A820000}"/>
    <cellStyle name="Vírgula 8 2 2 2 4" xfId="33422" xr:uid="{00000000-0005-0000-0000-00008B820000}"/>
    <cellStyle name="Vírgula 8 2 2 2 5" xfId="33423" xr:uid="{00000000-0005-0000-0000-00008C820000}"/>
    <cellStyle name="Vírgula 8 2 2 2 6" xfId="33424" xr:uid="{00000000-0005-0000-0000-00008D820000}"/>
    <cellStyle name="Vírgula 8 2 2 3" xfId="33425" xr:uid="{00000000-0005-0000-0000-00008E820000}"/>
    <cellStyle name="Vírgula 8 2 2 3 2" xfId="33426" xr:uid="{00000000-0005-0000-0000-00008F820000}"/>
    <cellStyle name="Vírgula 8 2 2 3 2 2" xfId="33427" xr:uid="{00000000-0005-0000-0000-000090820000}"/>
    <cellStyle name="Vírgula 8 2 2 3 2 3" xfId="33428" xr:uid="{00000000-0005-0000-0000-000091820000}"/>
    <cellStyle name="Vírgula 8 2 2 3 2 4" xfId="33429" xr:uid="{00000000-0005-0000-0000-000092820000}"/>
    <cellStyle name="Vírgula 8 2 2 3 3" xfId="33430" xr:uid="{00000000-0005-0000-0000-000093820000}"/>
    <cellStyle name="Vírgula 8 2 2 3 4" xfId="33431" xr:uid="{00000000-0005-0000-0000-000094820000}"/>
    <cellStyle name="Vírgula 8 2 2 3 5" xfId="33432" xr:uid="{00000000-0005-0000-0000-000095820000}"/>
    <cellStyle name="Vírgula 8 2 2 4" xfId="33433" xr:uid="{00000000-0005-0000-0000-000096820000}"/>
    <cellStyle name="Vírgula 8 2 2 4 2" xfId="33434" xr:uid="{00000000-0005-0000-0000-000097820000}"/>
    <cellStyle name="Vírgula 8 2 2 4 3" xfId="33435" xr:uid="{00000000-0005-0000-0000-000098820000}"/>
    <cellStyle name="Vírgula 8 2 2 4 4" xfId="33436" xr:uid="{00000000-0005-0000-0000-000099820000}"/>
    <cellStyle name="Vírgula 8 2 2 5" xfId="33437" xr:uid="{00000000-0005-0000-0000-00009A820000}"/>
    <cellStyle name="Vírgula 8 2 2 5 2" xfId="33438" xr:uid="{00000000-0005-0000-0000-00009B820000}"/>
    <cellStyle name="Vírgula 8 2 2 5 3" xfId="33439" xr:uid="{00000000-0005-0000-0000-00009C820000}"/>
    <cellStyle name="Vírgula 8 2 2 5 4" xfId="33440" xr:uid="{00000000-0005-0000-0000-00009D820000}"/>
    <cellStyle name="Vírgula 8 2 2 6" xfId="33441" xr:uid="{00000000-0005-0000-0000-00009E820000}"/>
    <cellStyle name="Vírgula 8 2 2 6 2" xfId="33442" xr:uid="{00000000-0005-0000-0000-00009F820000}"/>
    <cellStyle name="Vírgula 8 2 2 6 3" xfId="33443" xr:uid="{00000000-0005-0000-0000-0000A0820000}"/>
    <cellStyle name="Vírgula 8 2 2 7" xfId="33444" xr:uid="{00000000-0005-0000-0000-0000A1820000}"/>
    <cellStyle name="Vírgula 8 2 2 8" xfId="33445" xr:uid="{00000000-0005-0000-0000-0000A2820000}"/>
    <cellStyle name="Vírgula 8 2 2 9" xfId="33446" xr:uid="{00000000-0005-0000-0000-0000A3820000}"/>
    <cellStyle name="Vírgula 8 2 3" xfId="24772" xr:uid="{00000000-0005-0000-0000-0000A4820000}"/>
    <cellStyle name="Vírgula 8 2 3 2" xfId="33447" xr:uid="{00000000-0005-0000-0000-0000A5820000}"/>
    <cellStyle name="Vírgula 8 2 3 2 2" xfId="33448" xr:uid="{00000000-0005-0000-0000-0000A6820000}"/>
    <cellStyle name="Vírgula 8 2 3 2 2 2" xfId="33449" xr:uid="{00000000-0005-0000-0000-0000A7820000}"/>
    <cellStyle name="Vírgula 8 2 3 2 2 2 2" xfId="33450" xr:uid="{00000000-0005-0000-0000-0000A8820000}"/>
    <cellStyle name="Vírgula 8 2 3 2 2 2 3" xfId="33451" xr:uid="{00000000-0005-0000-0000-0000A9820000}"/>
    <cellStyle name="Vírgula 8 2 3 2 2 2 4" xfId="33452" xr:uid="{00000000-0005-0000-0000-0000AA820000}"/>
    <cellStyle name="Vírgula 8 2 3 2 2 3" xfId="33453" xr:uid="{00000000-0005-0000-0000-0000AB820000}"/>
    <cellStyle name="Vírgula 8 2 3 2 2 4" xfId="33454" xr:uid="{00000000-0005-0000-0000-0000AC820000}"/>
    <cellStyle name="Vírgula 8 2 3 2 2 5" xfId="33455" xr:uid="{00000000-0005-0000-0000-0000AD820000}"/>
    <cellStyle name="Vírgula 8 2 3 2 3" xfId="33456" xr:uid="{00000000-0005-0000-0000-0000AE820000}"/>
    <cellStyle name="Vírgula 8 2 3 2 3 2" xfId="33457" xr:uid="{00000000-0005-0000-0000-0000AF820000}"/>
    <cellStyle name="Vírgula 8 2 3 2 3 3" xfId="33458" xr:uid="{00000000-0005-0000-0000-0000B0820000}"/>
    <cellStyle name="Vírgula 8 2 3 2 3 4" xfId="33459" xr:uid="{00000000-0005-0000-0000-0000B1820000}"/>
    <cellStyle name="Vírgula 8 2 3 2 4" xfId="33460" xr:uid="{00000000-0005-0000-0000-0000B2820000}"/>
    <cellStyle name="Vírgula 8 2 3 2 5" xfId="33461" xr:uid="{00000000-0005-0000-0000-0000B3820000}"/>
    <cellStyle name="Vírgula 8 2 3 2 6" xfId="33462" xr:uid="{00000000-0005-0000-0000-0000B4820000}"/>
    <cellStyle name="Vírgula 8 2 3 3" xfId="33463" xr:uid="{00000000-0005-0000-0000-0000B5820000}"/>
    <cellStyle name="Vírgula 8 2 3 3 2" xfId="33464" xr:uid="{00000000-0005-0000-0000-0000B6820000}"/>
    <cellStyle name="Vírgula 8 2 3 3 2 2" xfId="33465" xr:uid="{00000000-0005-0000-0000-0000B7820000}"/>
    <cellStyle name="Vírgula 8 2 3 3 2 3" xfId="33466" xr:uid="{00000000-0005-0000-0000-0000B8820000}"/>
    <cellStyle name="Vírgula 8 2 3 3 2 4" xfId="33467" xr:uid="{00000000-0005-0000-0000-0000B9820000}"/>
    <cellStyle name="Vírgula 8 2 3 3 3" xfId="33468" xr:uid="{00000000-0005-0000-0000-0000BA820000}"/>
    <cellStyle name="Vírgula 8 2 3 3 4" xfId="33469" xr:uid="{00000000-0005-0000-0000-0000BB820000}"/>
    <cellStyle name="Vírgula 8 2 3 3 5" xfId="33470" xr:uid="{00000000-0005-0000-0000-0000BC820000}"/>
    <cellStyle name="Vírgula 8 2 3 4" xfId="33471" xr:uid="{00000000-0005-0000-0000-0000BD820000}"/>
    <cellStyle name="Vírgula 8 2 3 4 2" xfId="33472" xr:uid="{00000000-0005-0000-0000-0000BE820000}"/>
    <cellStyle name="Vírgula 8 2 3 4 3" xfId="33473" xr:uid="{00000000-0005-0000-0000-0000BF820000}"/>
    <cellStyle name="Vírgula 8 2 3 4 4" xfId="33474" xr:uid="{00000000-0005-0000-0000-0000C0820000}"/>
    <cellStyle name="Vírgula 8 2 3 5" xfId="33475" xr:uid="{00000000-0005-0000-0000-0000C1820000}"/>
    <cellStyle name="Vírgula 8 2 3 5 2" xfId="33476" xr:uid="{00000000-0005-0000-0000-0000C2820000}"/>
    <cellStyle name="Vírgula 8 2 3 5 3" xfId="33477" xr:uid="{00000000-0005-0000-0000-0000C3820000}"/>
    <cellStyle name="Vírgula 8 2 3 5 4" xfId="33478" xr:uid="{00000000-0005-0000-0000-0000C4820000}"/>
    <cellStyle name="Vírgula 8 2 3 6" xfId="33479" xr:uid="{00000000-0005-0000-0000-0000C5820000}"/>
    <cellStyle name="Vírgula 8 2 3 6 2" xfId="33480" xr:uid="{00000000-0005-0000-0000-0000C6820000}"/>
    <cellStyle name="Vírgula 8 2 3 6 3" xfId="33481" xr:uid="{00000000-0005-0000-0000-0000C7820000}"/>
    <cellStyle name="Vírgula 8 2 3 7" xfId="33482" xr:uid="{00000000-0005-0000-0000-0000C8820000}"/>
    <cellStyle name="Vírgula 8 2 3 8" xfId="33483" xr:uid="{00000000-0005-0000-0000-0000C9820000}"/>
    <cellStyle name="Vírgula 8 2 3 9" xfId="33484" xr:uid="{00000000-0005-0000-0000-0000CA820000}"/>
    <cellStyle name="Vírgula 8 2 4" xfId="33485" xr:uid="{00000000-0005-0000-0000-0000CB820000}"/>
    <cellStyle name="Vírgula 8 2 4 2" xfId="33486" xr:uid="{00000000-0005-0000-0000-0000CC820000}"/>
    <cellStyle name="Vírgula 8 2 4 2 2" xfId="33487" xr:uid="{00000000-0005-0000-0000-0000CD820000}"/>
    <cellStyle name="Vírgula 8 2 4 2 2 2" xfId="33488" xr:uid="{00000000-0005-0000-0000-0000CE820000}"/>
    <cellStyle name="Vírgula 8 2 4 2 2 3" xfId="33489" xr:uid="{00000000-0005-0000-0000-0000CF820000}"/>
    <cellStyle name="Vírgula 8 2 4 2 2 4" xfId="33490" xr:uid="{00000000-0005-0000-0000-0000D0820000}"/>
    <cellStyle name="Vírgula 8 2 4 2 3" xfId="33491" xr:uid="{00000000-0005-0000-0000-0000D1820000}"/>
    <cellStyle name="Vírgula 8 2 4 2 4" xfId="33492" xr:uid="{00000000-0005-0000-0000-0000D2820000}"/>
    <cellStyle name="Vírgula 8 2 4 2 5" xfId="33493" xr:uid="{00000000-0005-0000-0000-0000D3820000}"/>
    <cellStyle name="Vírgula 8 2 4 3" xfId="33494" xr:uid="{00000000-0005-0000-0000-0000D4820000}"/>
    <cellStyle name="Vírgula 8 2 4 3 2" xfId="33495" xr:uid="{00000000-0005-0000-0000-0000D5820000}"/>
    <cellStyle name="Vírgula 8 2 4 3 3" xfId="33496" xr:uid="{00000000-0005-0000-0000-0000D6820000}"/>
    <cellStyle name="Vírgula 8 2 4 3 4" xfId="33497" xr:uid="{00000000-0005-0000-0000-0000D7820000}"/>
    <cellStyle name="Vírgula 8 2 4 4" xfId="33498" xr:uid="{00000000-0005-0000-0000-0000D8820000}"/>
    <cellStyle name="Vírgula 8 2 4 5" xfId="33499" xr:uid="{00000000-0005-0000-0000-0000D9820000}"/>
    <cellStyle name="Vírgula 8 2 4 6" xfId="33500" xr:uid="{00000000-0005-0000-0000-0000DA820000}"/>
    <cellStyle name="Vírgula 8 2 5" xfId="33501" xr:uid="{00000000-0005-0000-0000-0000DB820000}"/>
    <cellStyle name="Vírgula 8 2 5 2" xfId="33502" xr:uid="{00000000-0005-0000-0000-0000DC820000}"/>
    <cellStyle name="Vírgula 8 2 5 2 2" xfId="33503" xr:uid="{00000000-0005-0000-0000-0000DD820000}"/>
    <cellStyle name="Vírgula 8 2 5 2 2 2" xfId="33504" xr:uid="{00000000-0005-0000-0000-0000DE820000}"/>
    <cellStyle name="Vírgula 8 2 5 2 2 3" xfId="33505" xr:uid="{00000000-0005-0000-0000-0000DF820000}"/>
    <cellStyle name="Vírgula 8 2 5 2 2 4" xfId="33506" xr:uid="{00000000-0005-0000-0000-0000E0820000}"/>
    <cellStyle name="Vírgula 8 2 5 2 3" xfId="33507" xr:uid="{00000000-0005-0000-0000-0000E1820000}"/>
    <cellStyle name="Vírgula 8 2 5 2 4" xfId="33508" xr:uid="{00000000-0005-0000-0000-0000E2820000}"/>
    <cellStyle name="Vírgula 8 2 5 2 5" xfId="33509" xr:uid="{00000000-0005-0000-0000-0000E3820000}"/>
    <cellStyle name="Vírgula 8 2 5 3" xfId="33510" xr:uid="{00000000-0005-0000-0000-0000E4820000}"/>
    <cellStyle name="Vírgula 8 2 5 3 2" xfId="33511" xr:uid="{00000000-0005-0000-0000-0000E5820000}"/>
    <cellStyle name="Vírgula 8 2 5 3 3" xfId="33512" xr:uid="{00000000-0005-0000-0000-0000E6820000}"/>
    <cellStyle name="Vírgula 8 2 5 3 4" xfId="33513" xr:uid="{00000000-0005-0000-0000-0000E7820000}"/>
    <cellStyle name="Vírgula 8 2 5 4" xfId="33514" xr:uid="{00000000-0005-0000-0000-0000E8820000}"/>
    <cellStyle name="Vírgula 8 2 5 5" xfId="33515" xr:uid="{00000000-0005-0000-0000-0000E9820000}"/>
    <cellStyle name="Vírgula 8 2 5 6" xfId="33516" xr:uid="{00000000-0005-0000-0000-0000EA820000}"/>
    <cellStyle name="Vírgula 8 2 6" xfId="33517" xr:uid="{00000000-0005-0000-0000-0000EB820000}"/>
    <cellStyle name="Vírgula 8 2 6 2" xfId="33518" xr:uid="{00000000-0005-0000-0000-0000EC820000}"/>
    <cellStyle name="Vírgula 8 2 6 2 2" xfId="33519" xr:uid="{00000000-0005-0000-0000-0000ED820000}"/>
    <cellStyle name="Vírgula 8 2 6 2 2 2" xfId="33520" xr:uid="{00000000-0005-0000-0000-0000EE820000}"/>
    <cellStyle name="Vírgula 8 2 6 2 2 3" xfId="33521" xr:uid="{00000000-0005-0000-0000-0000EF820000}"/>
    <cellStyle name="Vírgula 8 2 6 2 2 4" xfId="33522" xr:uid="{00000000-0005-0000-0000-0000F0820000}"/>
    <cellStyle name="Vírgula 8 2 6 2 3" xfId="33523" xr:uid="{00000000-0005-0000-0000-0000F1820000}"/>
    <cellStyle name="Vírgula 8 2 6 2 4" xfId="33524" xr:uid="{00000000-0005-0000-0000-0000F2820000}"/>
    <cellStyle name="Vírgula 8 2 6 2 5" xfId="33525" xr:uid="{00000000-0005-0000-0000-0000F3820000}"/>
    <cellStyle name="Vírgula 8 2 6 3" xfId="33526" xr:uid="{00000000-0005-0000-0000-0000F4820000}"/>
    <cellStyle name="Vírgula 8 2 6 3 2" xfId="33527" xr:uid="{00000000-0005-0000-0000-0000F5820000}"/>
    <cellStyle name="Vírgula 8 2 6 3 3" xfId="33528" xr:uid="{00000000-0005-0000-0000-0000F6820000}"/>
    <cellStyle name="Vírgula 8 2 6 3 4" xfId="33529" xr:uid="{00000000-0005-0000-0000-0000F7820000}"/>
    <cellStyle name="Vírgula 8 2 6 4" xfId="33530" xr:uid="{00000000-0005-0000-0000-0000F8820000}"/>
    <cellStyle name="Vírgula 8 2 6 5" xfId="33531" xr:uid="{00000000-0005-0000-0000-0000F9820000}"/>
    <cellStyle name="Vírgula 8 2 6 6" xfId="33532" xr:uid="{00000000-0005-0000-0000-0000FA820000}"/>
    <cellStyle name="Vírgula 8 2 7" xfId="33533" xr:uid="{00000000-0005-0000-0000-0000FB820000}"/>
    <cellStyle name="Vírgula 8 2 7 2" xfId="33534" xr:uid="{00000000-0005-0000-0000-0000FC820000}"/>
    <cellStyle name="Vírgula 8 2 7 2 2" xfId="33535" xr:uid="{00000000-0005-0000-0000-0000FD820000}"/>
    <cellStyle name="Vírgula 8 2 7 2 3" xfId="33536" xr:uid="{00000000-0005-0000-0000-0000FE820000}"/>
    <cellStyle name="Vírgula 8 2 7 2 4" xfId="33537" xr:uid="{00000000-0005-0000-0000-0000FF820000}"/>
    <cellStyle name="Vírgula 8 2 7 3" xfId="33538" xr:uid="{00000000-0005-0000-0000-000000830000}"/>
    <cellStyle name="Vírgula 8 2 7 4" xfId="33539" xr:uid="{00000000-0005-0000-0000-000001830000}"/>
    <cellStyle name="Vírgula 8 2 7 5" xfId="33540" xr:uid="{00000000-0005-0000-0000-000002830000}"/>
    <cellStyle name="Vírgula 8 2 8" xfId="33541" xr:uid="{00000000-0005-0000-0000-000003830000}"/>
    <cellStyle name="Vírgula 8 2 8 2" xfId="33542" xr:uid="{00000000-0005-0000-0000-000004830000}"/>
    <cellStyle name="Vírgula 8 2 8 3" xfId="33543" xr:uid="{00000000-0005-0000-0000-000005830000}"/>
    <cellStyle name="Vírgula 8 2 8 4" xfId="33544" xr:uid="{00000000-0005-0000-0000-000006830000}"/>
    <cellStyle name="Vírgula 8 2 9" xfId="33545" xr:uid="{00000000-0005-0000-0000-000007830000}"/>
    <cellStyle name="Vírgula 8 2 9 2" xfId="33546" xr:uid="{00000000-0005-0000-0000-000008830000}"/>
    <cellStyle name="Vírgula 8 2 9 3" xfId="33547" xr:uid="{00000000-0005-0000-0000-000009830000}"/>
    <cellStyle name="Vírgula 8 2 9 4" xfId="33548" xr:uid="{00000000-0005-0000-0000-00000A830000}"/>
    <cellStyle name="Vírgula 8 3" xfId="23381" xr:uid="{00000000-0005-0000-0000-00000B830000}"/>
    <cellStyle name="Vírgula 8 3 10" xfId="33549" xr:uid="{00000000-0005-0000-0000-00000C830000}"/>
    <cellStyle name="Vírgula 8 3 10 2" xfId="33550" xr:uid="{00000000-0005-0000-0000-00000D830000}"/>
    <cellStyle name="Vírgula 8 3 10 3" xfId="33551" xr:uid="{00000000-0005-0000-0000-00000E830000}"/>
    <cellStyle name="Vírgula 8 3 10 4" xfId="33552" xr:uid="{00000000-0005-0000-0000-00000F830000}"/>
    <cellStyle name="Vírgula 8 3 11" xfId="33553" xr:uid="{00000000-0005-0000-0000-000010830000}"/>
    <cellStyle name="Vírgula 8 3 11 2" xfId="33554" xr:uid="{00000000-0005-0000-0000-000011830000}"/>
    <cellStyle name="Vírgula 8 3 11 3" xfId="33555" xr:uid="{00000000-0005-0000-0000-000012830000}"/>
    <cellStyle name="Vírgula 8 3 12" xfId="33556" xr:uid="{00000000-0005-0000-0000-000013830000}"/>
    <cellStyle name="Vírgula 8 3 12 2" xfId="33557" xr:uid="{00000000-0005-0000-0000-000014830000}"/>
    <cellStyle name="Vírgula 8 3 13" xfId="33558" xr:uid="{00000000-0005-0000-0000-000015830000}"/>
    <cellStyle name="Vírgula 8 3 14" xfId="33559" xr:uid="{00000000-0005-0000-0000-000016830000}"/>
    <cellStyle name="Vírgula 8 3 2" xfId="25157" xr:uid="{00000000-0005-0000-0000-000017830000}"/>
    <cellStyle name="Vírgula 8 3 2 2" xfId="33560" xr:uid="{00000000-0005-0000-0000-000018830000}"/>
    <cellStyle name="Vírgula 8 3 2 2 2" xfId="33561" xr:uid="{00000000-0005-0000-0000-000019830000}"/>
    <cellStyle name="Vírgula 8 3 2 2 2 2" xfId="33562" xr:uid="{00000000-0005-0000-0000-00001A830000}"/>
    <cellStyle name="Vírgula 8 3 2 2 2 2 2" xfId="33563" xr:uid="{00000000-0005-0000-0000-00001B830000}"/>
    <cellStyle name="Vírgula 8 3 2 2 2 2 3" xfId="33564" xr:uid="{00000000-0005-0000-0000-00001C830000}"/>
    <cellStyle name="Vírgula 8 3 2 2 2 2 4" xfId="33565" xr:uid="{00000000-0005-0000-0000-00001D830000}"/>
    <cellStyle name="Vírgula 8 3 2 2 2 3" xfId="33566" xr:uid="{00000000-0005-0000-0000-00001E830000}"/>
    <cellStyle name="Vírgula 8 3 2 2 2 4" xfId="33567" xr:uid="{00000000-0005-0000-0000-00001F830000}"/>
    <cellStyle name="Vírgula 8 3 2 2 2 5" xfId="33568" xr:uid="{00000000-0005-0000-0000-000020830000}"/>
    <cellStyle name="Vírgula 8 3 2 2 3" xfId="33569" xr:uid="{00000000-0005-0000-0000-000021830000}"/>
    <cellStyle name="Vírgula 8 3 2 2 3 2" xfId="33570" xr:uid="{00000000-0005-0000-0000-000022830000}"/>
    <cellStyle name="Vírgula 8 3 2 2 3 3" xfId="33571" xr:uid="{00000000-0005-0000-0000-000023830000}"/>
    <cellStyle name="Vírgula 8 3 2 2 3 4" xfId="33572" xr:uid="{00000000-0005-0000-0000-000024830000}"/>
    <cellStyle name="Vírgula 8 3 2 2 4" xfId="33573" xr:uid="{00000000-0005-0000-0000-000025830000}"/>
    <cellStyle name="Vírgula 8 3 2 2 5" xfId="33574" xr:uid="{00000000-0005-0000-0000-000026830000}"/>
    <cellStyle name="Vírgula 8 3 2 2 6" xfId="33575" xr:uid="{00000000-0005-0000-0000-000027830000}"/>
    <cellStyle name="Vírgula 8 3 2 3" xfId="33576" xr:uid="{00000000-0005-0000-0000-000028830000}"/>
    <cellStyle name="Vírgula 8 3 2 3 2" xfId="33577" xr:uid="{00000000-0005-0000-0000-000029830000}"/>
    <cellStyle name="Vírgula 8 3 2 3 2 2" xfId="33578" xr:uid="{00000000-0005-0000-0000-00002A830000}"/>
    <cellStyle name="Vírgula 8 3 2 3 2 3" xfId="33579" xr:uid="{00000000-0005-0000-0000-00002B830000}"/>
    <cellStyle name="Vírgula 8 3 2 3 2 4" xfId="33580" xr:uid="{00000000-0005-0000-0000-00002C830000}"/>
    <cellStyle name="Vírgula 8 3 2 3 3" xfId="33581" xr:uid="{00000000-0005-0000-0000-00002D830000}"/>
    <cellStyle name="Vírgula 8 3 2 3 4" xfId="33582" xr:uid="{00000000-0005-0000-0000-00002E830000}"/>
    <cellStyle name="Vírgula 8 3 2 3 5" xfId="33583" xr:uid="{00000000-0005-0000-0000-00002F830000}"/>
    <cellStyle name="Vírgula 8 3 2 4" xfId="33584" xr:uid="{00000000-0005-0000-0000-000030830000}"/>
    <cellStyle name="Vírgula 8 3 2 4 2" xfId="33585" xr:uid="{00000000-0005-0000-0000-000031830000}"/>
    <cellStyle name="Vírgula 8 3 2 4 3" xfId="33586" xr:uid="{00000000-0005-0000-0000-000032830000}"/>
    <cellStyle name="Vírgula 8 3 2 4 4" xfId="33587" xr:uid="{00000000-0005-0000-0000-000033830000}"/>
    <cellStyle name="Vírgula 8 3 2 5" xfId="33588" xr:uid="{00000000-0005-0000-0000-000034830000}"/>
    <cellStyle name="Vírgula 8 3 2 5 2" xfId="33589" xr:uid="{00000000-0005-0000-0000-000035830000}"/>
    <cellStyle name="Vírgula 8 3 2 5 3" xfId="33590" xr:uid="{00000000-0005-0000-0000-000036830000}"/>
    <cellStyle name="Vírgula 8 3 2 5 4" xfId="33591" xr:uid="{00000000-0005-0000-0000-000037830000}"/>
    <cellStyle name="Vírgula 8 3 2 6" xfId="33592" xr:uid="{00000000-0005-0000-0000-000038830000}"/>
    <cellStyle name="Vírgula 8 3 2 6 2" xfId="33593" xr:uid="{00000000-0005-0000-0000-000039830000}"/>
    <cellStyle name="Vírgula 8 3 2 6 3" xfId="33594" xr:uid="{00000000-0005-0000-0000-00003A830000}"/>
    <cellStyle name="Vírgula 8 3 2 7" xfId="33595" xr:uid="{00000000-0005-0000-0000-00003B830000}"/>
    <cellStyle name="Vírgula 8 3 2 8" xfId="33596" xr:uid="{00000000-0005-0000-0000-00003C830000}"/>
    <cellStyle name="Vírgula 8 3 2 9" xfId="33597" xr:uid="{00000000-0005-0000-0000-00003D830000}"/>
    <cellStyle name="Vírgula 8 3 3" xfId="33598" xr:uid="{00000000-0005-0000-0000-00003E830000}"/>
    <cellStyle name="Vírgula 8 3 3 2" xfId="33599" xr:uid="{00000000-0005-0000-0000-00003F830000}"/>
    <cellStyle name="Vírgula 8 3 3 2 2" xfId="33600" xr:uid="{00000000-0005-0000-0000-000040830000}"/>
    <cellStyle name="Vírgula 8 3 3 2 2 2" xfId="33601" xr:uid="{00000000-0005-0000-0000-000041830000}"/>
    <cellStyle name="Vírgula 8 3 3 2 2 2 2" xfId="33602" xr:uid="{00000000-0005-0000-0000-000042830000}"/>
    <cellStyle name="Vírgula 8 3 3 2 2 2 3" xfId="33603" xr:uid="{00000000-0005-0000-0000-000043830000}"/>
    <cellStyle name="Vírgula 8 3 3 2 2 2 4" xfId="33604" xr:uid="{00000000-0005-0000-0000-000044830000}"/>
    <cellStyle name="Vírgula 8 3 3 2 2 3" xfId="33605" xr:uid="{00000000-0005-0000-0000-000045830000}"/>
    <cellStyle name="Vírgula 8 3 3 2 2 4" xfId="33606" xr:uid="{00000000-0005-0000-0000-000046830000}"/>
    <cellStyle name="Vírgula 8 3 3 2 2 5" xfId="33607" xr:uid="{00000000-0005-0000-0000-000047830000}"/>
    <cellStyle name="Vírgula 8 3 3 2 3" xfId="33608" xr:uid="{00000000-0005-0000-0000-000048830000}"/>
    <cellStyle name="Vírgula 8 3 3 2 3 2" xfId="33609" xr:uid="{00000000-0005-0000-0000-000049830000}"/>
    <cellStyle name="Vírgula 8 3 3 2 3 3" xfId="33610" xr:uid="{00000000-0005-0000-0000-00004A830000}"/>
    <cellStyle name="Vírgula 8 3 3 2 3 4" xfId="33611" xr:uid="{00000000-0005-0000-0000-00004B830000}"/>
    <cellStyle name="Vírgula 8 3 3 2 4" xfId="33612" xr:uid="{00000000-0005-0000-0000-00004C830000}"/>
    <cellStyle name="Vírgula 8 3 3 2 5" xfId="33613" xr:uid="{00000000-0005-0000-0000-00004D830000}"/>
    <cellStyle name="Vírgula 8 3 3 2 6" xfId="33614" xr:uid="{00000000-0005-0000-0000-00004E830000}"/>
    <cellStyle name="Vírgula 8 3 3 3" xfId="33615" xr:uid="{00000000-0005-0000-0000-00004F830000}"/>
    <cellStyle name="Vírgula 8 3 3 3 2" xfId="33616" xr:uid="{00000000-0005-0000-0000-000050830000}"/>
    <cellStyle name="Vírgula 8 3 3 3 2 2" xfId="33617" xr:uid="{00000000-0005-0000-0000-000051830000}"/>
    <cellStyle name="Vírgula 8 3 3 3 2 3" xfId="33618" xr:uid="{00000000-0005-0000-0000-000052830000}"/>
    <cellStyle name="Vírgula 8 3 3 3 2 4" xfId="33619" xr:uid="{00000000-0005-0000-0000-000053830000}"/>
    <cellStyle name="Vírgula 8 3 3 3 3" xfId="33620" xr:uid="{00000000-0005-0000-0000-000054830000}"/>
    <cellStyle name="Vírgula 8 3 3 3 4" xfId="33621" xr:uid="{00000000-0005-0000-0000-000055830000}"/>
    <cellStyle name="Vírgula 8 3 3 3 5" xfId="33622" xr:uid="{00000000-0005-0000-0000-000056830000}"/>
    <cellStyle name="Vírgula 8 3 3 4" xfId="33623" xr:uid="{00000000-0005-0000-0000-000057830000}"/>
    <cellStyle name="Vírgula 8 3 3 4 2" xfId="33624" xr:uid="{00000000-0005-0000-0000-000058830000}"/>
    <cellStyle name="Vírgula 8 3 3 4 3" xfId="33625" xr:uid="{00000000-0005-0000-0000-000059830000}"/>
    <cellStyle name="Vírgula 8 3 3 4 4" xfId="33626" xr:uid="{00000000-0005-0000-0000-00005A830000}"/>
    <cellStyle name="Vírgula 8 3 3 5" xfId="33627" xr:uid="{00000000-0005-0000-0000-00005B830000}"/>
    <cellStyle name="Vírgula 8 3 3 5 2" xfId="33628" xr:uid="{00000000-0005-0000-0000-00005C830000}"/>
    <cellStyle name="Vírgula 8 3 3 5 3" xfId="33629" xr:uid="{00000000-0005-0000-0000-00005D830000}"/>
    <cellStyle name="Vírgula 8 3 3 5 4" xfId="33630" xr:uid="{00000000-0005-0000-0000-00005E830000}"/>
    <cellStyle name="Vírgula 8 3 3 6" xfId="33631" xr:uid="{00000000-0005-0000-0000-00005F830000}"/>
    <cellStyle name="Vírgula 8 3 3 6 2" xfId="33632" xr:uid="{00000000-0005-0000-0000-000060830000}"/>
    <cellStyle name="Vírgula 8 3 3 6 3" xfId="33633" xr:uid="{00000000-0005-0000-0000-000061830000}"/>
    <cellStyle name="Vírgula 8 3 3 7" xfId="33634" xr:uid="{00000000-0005-0000-0000-000062830000}"/>
    <cellStyle name="Vírgula 8 3 3 8" xfId="33635" xr:uid="{00000000-0005-0000-0000-000063830000}"/>
    <cellStyle name="Vírgula 8 3 3 9" xfId="33636" xr:uid="{00000000-0005-0000-0000-000064830000}"/>
    <cellStyle name="Vírgula 8 3 4" xfId="33637" xr:uid="{00000000-0005-0000-0000-000065830000}"/>
    <cellStyle name="Vírgula 8 3 4 2" xfId="33638" xr:uid="{00000000-0005-0000-0000-000066830000}"/>
    <cellStyle name="Vírgula 8 3 4 2 2" xfId="33639" xr:uid="{00000000-0005-0000-0000-000067830000}"/>
    <cellStyle name="Vírgula 8 3 4 2 2 2" xfId="33640" xr:uid="{00000000-0005-0000-0000-000068830000}"/>
    <cellStyle name="Vírgula 8 3 4 2 2 3" xfId="33641" xr:uid="{00000000-0005-0000-0000-000069830000}"/>
    <cellStyle name="Vírgula 8 3 4 2 2 4" xfId="33642" xr:uid="{00000000-0005-0000-0000-00006A830000}"/>
    <cellStyle name="Vírgula 8 3 4 2 3" xfId="33643" xr:uid="{00000000-0005-0000-0000-00006B830000}"/>
    <cellStyle name="Vírgula 8 3 4 2 4" xfId="33644" xr:uid="{00000000-0005-0000-0000-00006C830000}"/>
    <cellStyle name="Vírgula 8 3 4 2 5" xfId="33645" xr:uid="{00000000-0005-0000-0000-00006D830000}"/>
    <cellStyle name="Vírgula 8 3 4 3" xfId="33646" xr:uid="{00000000-0005-0000-0000-00006E830000}"/>
    <cellStyle name="Vírgula 8 3 4 3 2" xfId="33647" xr:uid="{00000000-0005-0000-0000-00006F830000}"/>
    <cellStyle name="Vírgula 8 3 4 3 3" xfId="33648" xr:uid="{00000000-0005-0000-0000-000070830000}"/>
    <cellStyle name="Vírgula 8 3 4 3 4" xfId="33649" xr:uid="{00000000-0005-0000-0000-000071830000}"/>
    <cellStyle name="Vírgula 8 3 4 4" xfId="33650" xr:uid="{00000000-0005-0000-0000-000072830000}"/>
    <cellStyle name="Vírgula 8 3 4 5" xfId="33651" xr:uid="{00000000-0005-0000-0000-000073830000}"/>
    <cellStyle name="Vírgula 8 3 4 6" xfId="33652" xr:uid="{00000000-0005-0000-0000-000074830000}"/>
    <cellStyle name="Vírgula 8 3 5" xfId="33653" xr:uid="{00000000-0005-0000-0000-000075830000}"/>
    <cellStyle name="Vírgula 8 3 5 2" xfId="33654" xr:uid="{00000000-0005-0000-0000-000076830000}"/>
    <cellStyle name="Vírgula 8 3 5 2 2" xfId="33655" xr:uid="{00000000-0005-0000-0000-000077830000}"/>
    <cellStyle name="Vírgula 8 3 5 2 2 2" xfId="33656" xr:uid="{00000000-0005-0000-0000-000078830000}"/>
    <cellStyle name="Vírgula 8 3 5 2 2 3" xfId="33657" xr:uid="{00000000-0005-0000-0000-000079830000}"/>
    <cellStyle name="Vírgula 8 3 5 2 2 4" xfId="33658" xr:uid="{00000000-0005-0000-0000-00007A830000}"/>
    <cellStyle name="Vírgula 8 3 5 2 3" xfId="33659" xr:uid="{00000000-0005-0000-0000-00007B830000}"/>
    <cellStyle name="Vírgula 8 3 5 2 4" xfId="33660" xr:uid="{00000000-0005-0000-0000-00007C830000}"/>
    <cellStyle name="Vírgula 8 3 5 2 5" xfId="33661" xr:uid="{00000000-0005-0000-0000-00007D830000}"/>
    <cellStyle name="Vírgula 8 3 5 3" xfId="33662" xr:uid="{00000000-0005-0000-0000-00007E830000}"/>
    <cellStyle name="Vírgula 8 3 5 3 2" xfId="33663" xr:uid="{00000000-0005-0000-0000-00007F830000}"/>
    <cellStyle name="Vírgula 8 3 5 3 3" xfId="33664" xr:uid="{00000000-0005-0000-0000-000080830000}"/>
    <cellStyle name="Vírgula 8 3 5 3 4" xfId="33665" xr:uid="{00000000-0005-0000-0000-000081830000}"/>
    <cellStyle name="Vírgula 8 3 5 4" xfId="33666" xr:uid="{00000000-0005-0000-0000-000082830000}"/>
    <cellStyle name="Vírgula 8 3 5 5" xfId="33667" xr:uid="{00000000-0005-0000-0000-000083830000}"/>
    <cellStyle name="Vírgula 8 3 5 6" xfId="33668" xr:uid="{00000000-0005-0000-0000-000084830000}"/>
    <cellStyle name="Vírgula 8 3 6" xfId="33669" xr:uid="{00000000-0005-0000-0000-000085830000}"/>
    <cellStyle name="Vírgula 8 3 6 2" xfId="33670" xr:uid="{00000000-0005-0000-0000-000086830000}"/>
    <cellStyle name="Vírgula 8 3 6 2 2" xfId="33671" xr:uid="{00000000-0005-0000-0000-000087830000}"/>
    <cellStyle name="Vírgula 8 3 6 2 2 2" xfId="33672" xr:uid="{00000000-0005-0000-0000-000088830000}"/>
    <cellStyle name="Vírgula 8 3 6 2 2 3" xfId="33673" xr:uid="{00000000-0005-0000-0000-000089830000}"/>
    <cellStyle name="Vírgula 8 3 6 2 2 4" xfId="33674" xr:uid="{00000000-0005-0000-0000-00008A830000}"/>
    <cellStyle name="Vírgula 8 3 6 2 3" xfId="33675" xr:uid="{00000000-0005-0000-0000-00008B830000}"/>
    <cellStyle name="Vírgula 8 3 6 2 4" xfId="33676" xr:uid="{00000000-0005-0000-0000-00008C830000}"/>
    <cellStyle name="Vírgula 8 3 6 2 5" xfId="33677" xr:uid="{00000000-0005-0000-0000-00008D830000}"/>
    <cellStyle name="Vírgula 8 3 6 3" xfId="33678" xr:uid="{00000000-0005-0000-0000-00008E830000}"/>
    <cellStyle name="Vírgula 8 3 6 3 2" xfId="33679" xr:uid="{00000000-0005-0000-0000-00008F830000}"/>
    <cellStyle name="Vírgula 8 3 6 3 3" xfId="33680" xr:uid="{00000000-0005-0000-0000-000090830000}"/>
    <cellStyle name="Vírgula 8 3 6 3 4" xfId="33681" xr:uid="{00000000-0005-0000-0000-000091830000}"/>
    <cellStyle name="Vírgula 8 3 6 4" xfId="33682" xr:uid="{00000000-0005-0000-0000-000092830000}"/>
    <cellStyle name="Vírgula 8 3 6 5" xfId="33683" xr:uid="{00000000-0005-0000-0000-000093830000}"/>
    <cellStyle name="Vírgula 8 3 6 6" xfId="33684" xr:uid="{00000000-0005-0000-0000-000094830000}"/>
    <cellStyle name="Vírgula 8 3 7" xfId="33685" xr:uid="{00000000-0005-0000-0000-000095830000}"/>
    <cellStyle name="Vírgula 8 3 7 2" xfId="33686" xr:uid="{00000000-0005-0000-0000-000096830000}"/>
    <cellStyle name="Vírgula 8 3 7 2 2" xfId="33687" xr:uid="{00000000-0005-0000-0000-000097830000}"/>
    <cellStyle name="Vírgula 8 3 7 2 3" xfId="33688" xr:uid="{00000000-0005-0000-0000-000098830000}"/>
    <cellStyle name="Vírgula 8 3 7 2 4" xfId="33689" xr:uid="{00000000-0005-0000-0000-000099830000}"/>
    <cellStyle name="Vírgula 8 3 7 3" xfId="33690" xr:uid="{00000000-0005-0000-0000-00009A830000}"/>
    <cellStyle name="Vírgula 8 3 7 4" xfId="33691" xr:uid="{00000000-0005-0000-0000-00009B830000}"/>
    <cellStyle name="Vírgula 8 3 7 5" xfId="33692" xr:uid="{00000000-0005-0000-0000-00009C830000}"/>
    <cellStyle name="Vírgula 8 3 8" xfId="33693" xr:uid="{00000000-0005-0000-0000-00009D830000}"/>
    <cellStyle name="Vírgula 8 3 8 2" xfId="33694" xr:uid="{00000000-0005-0000-0000-00009E830000}"/>
    <cellStyle name="Vírgula 8 3 8 3" xfId="33695" xr:uid="{00000000-0005-0000-0000-00009F830000}"/>
    <cellStyle name="Vírgula 8 3 8 4" xfId="33696" xr:uid="{00000000-0005-0000-0000-0000A0830000}"/>
    <cellStyle name="Vírgula 8 3 9" xfId="33697" xr:uid="{00000000-0005-0000-0000-0000A1830000}"/>
    <cellStyle name="Vírgula 8 3 9 2" xfId="33698" xr:uid="{00000000-0005-0000-0000-0000A2830000}"/>
    <cellStyle name="Vírgula 8 3 9 3" xfId="33699" xr:uid="{00000000-0005-0000-0000-0000A3830000}"/>
    <cellStyle name="Vírgula 8 3 9 4" xfId="33700" xr:uid="{00000000-0005-0000-0000-0000A4830000}"/>
    <cellStyle name="Vírgula 8 4" xfId="24269" xr:uid="{00000000-0005-0000-0000-0000A5830000}"/>
    <cellStyle name="Vírgula 8 4 2" xfId="33701" xr:uid="{00000000-0005-0000-0000-0000A6830000}"/>
    <cellStyle name="Vírgula 8 4 2 2" xfId="33702" xr:uid="{00000000-0005-0000-0000-0000A7830000}"/>
    <cellStyle name="Vírgula 8 4 2 2 2" xfId="33703" xr:uid="{00000000-0005-0000-0000-0000A8830000}"/>
    <cellStyle name="Vírgula 8 4 2 2 2 2" xfId="33704" xr:uid="{00000000-0005-0000-0000-0000A9830000}"/>
    <cellStyle name="Vírgula 8 4 2 2 2 3" xfId="33705" xr:uid="{00000000-0005-0000-0000-0000AA830000}"/>
    <cellStyle name="Vírgula 8 4 2 2 2 4" xfId="33706" xr:uid="{00000000-0005-0000-0000-0000AB830000}"/>
    <cellStyle name="Vírgula 8 4 2 2 3" xfId="33707" xr:uid="{00000000-0005-0000-0000-0000AC830000}"/>
    <cellStyle name="Vírgula 8 4 2 2 4" xfId="33708" xr:uid="{00000000-0005-0000-0000-0000AD830000}"/>
    <cellStyle name="Vírgula 8 4 2 2 5" xfId="33709" xr:uid="{00000000-0005-0000-0000-0000AE830000}"/>
    <cellStyle name="Vírgula 8 4 2 3" xfId="33710" xr:uid="{00000000-0005-0000-0000-0000AF830000}"/>
    <cellStyle name="Vírgula 8 4 2 3 2" xfId="33711" xr:uid="{00000000-0005-0000-0000-0000B0830000}"/>
    <cellStyle name="Vírgula 8 4 2 3 3" xfId="33712" xr:uid="{00000000-0005-0000-0000-0000B1830000}"/>
    <cellStyle name="Vírgula 8 4 2 3 4" xfId="33713" xr:uid="{00000000-0005-0000-0000-0000B2830000}"/>
    <cellStyle name="Vírgula 8 4 2 4" xfId="33714" xr:uid="{00000000-0005-0000-0000-0000B3830000}"/>
    <cellStyle name="Vírgula 8 4 2 5" xfId="33715" xr:uid="{00000000-0005-0000-0000-0000B4830000}"/>
    <cellStyle name="Vírgula 8 4 2 6" xfId="33716" xr:uid="{00000000-0005-0000-0000-0000B5830000}"/>
    <cellStyle name="Vírgula 8 4 3" xfId="33717" xr:uid="{00000000-0005-0000-0000-0000B6830000}"/>
    <cellStyle name="Vírgula 8 4 3 2" xfId="33718" xr:uid="{00000000-0005-0000-0000-0000B7830000}"/>
    <cellStyle name="Vírgula 8 4 3 2 2" xfId="33719" xr:uid="{00000000-0005-0000-0000-0000B8830000}"/>
    <cellStyle name="Vírgula 8 4 3 2 3" xfId="33720" xr:uid="{00000000-0005-0000-0000-0000B9830000}"/>
    <cellStyle name="Vírgula 8 4 3 2 4" xfId="33721" xr:uid="{00000000-0005-0000-0000-0000BA830000}"/>
    <cellStyle name="Vírgula 8 4 3 3" xfId="33722" xr:uid="{00000000-0005-0000-0000-0000BB830000}"/>
    <cellStyle name="Vírgula 8 4 3 4" xfId="33723" xr:uid="{00000000-0005-0000-0000-0000BC830000}"/>
    <cellStyle name="Vírgula 8 4 3 5" xfId="33724" xr:uid="{00000000-0005-0000-0000-0000BD830000}"/>
    <cellStyle name="Vírgula 8 4 4" xfId="33725" xr:uid="{00000000-0005-0000-0000-0000BE830000}"/>
    <cellStyle name="Vírgula 8 4 4 2" xfId="33726" xr:uid="{00000000-0005-0000-0000-0000BF830000}"/>
    <cellStyle name="Vírgula 8 4 4 3" xfId="33727" xr:uid="{00000000-0005-0000-0000-0000C0830000}"/>
    <cellStyle name="Vírgula 8 4 4 4" xfId="33728" xr:uid="{00000000-0005-0000-0000-0000C1830000}"/>
    <cellStyle name="Vírgula 8 4 5" xfId="33729" xr:uid="{00000000-0005-0000-0000-0000C2830000}"/>
    <cellStyle name="Vírgula 8 4 5 2" xfId="33730" xr:uid="{00000000-0005-0000-0000-0000C3830000}"/>
    <cellStyle name="Vírgula 8 4 5 3" xfId="33731" xr:uid="{00000000-0005-0000-0000-0000C4830000}"/>
    <cellStyle name="Vírgula 8 4 5 4" xfId="33732" xr:uid="{00000000-0005-0000-0000-0000C5830000}"/>
    <cellStyle name="Vírgula 8 4 6" xfId="33733" xr:uid="{00000000-0005-0000-0000-0000C6830000}"/>
    <cellStyle name="Vírgula 8 4 6 2" xfId="33734" xr:uid="{00000000-0005-0000-0000-0000C7830000}"/>
    <cellStyle name="Vírgula 8 4 6 3" xfId="33735" xr:uid="{00000000-0005-0000-0000-0000C8830000}"/>
    <cellStyle name="Vírgula 8 4 7" xfId="33736" xr:uid="{00000000-0005-0000-0000-0000C9830000}"/>
    <cellStyle name="Vírgula 8 4 8" xfId="33737" xr:uid="{00000000-0005-0000-0000-0000CA830000}"/>
    <cellStyle name="Vírgula 8 4 9" xfId="33738" xr:uid="{00000000-0005-0000-0000-0000CB830000}"/>
    <cellStyle name="Vírgula 8 5" xfId="26184" xr:uid="{00000000-0005-0000-0000-0000CC830000}"/>
    <cellStyle name="Vírgula 8 5 2" xfId="33739" xr:uid="{00000000-0005-0000-0000-0000CD830000}"/>
    <cellStyle name="Vírgula 8 5 2 2" xfId="33740" xr:uid="{00000000-0005-0000-0000-0000CE830000}"/>
    <cellStyle name="Vírgula 8 5 2 2 2" xfId="33741" xr:uid="{00000000-0005-0000-0000-0000CF830000}"/>
    <cellStyle name="Vírgula 8 5 2 2 2 2" xfId="33742" xr:uid="{00000000-0005-0000-0000-0000D0830000}"/>
    <cellStyle name="Vírgula 8 5 2 2 2 3" xfId="33743" xr:uid="{00000000-0005-0000-0000-0000D1830000}"/>
    <cellStyle name="Vírgula 8 5 2 2 2 4" xfId="33744" xr:uid="{00000000-0005-0000-0000-0000D2830000}"/>
    <cellStyle name="Vírgula 8 5 2 2 3" xfId="33745" xr:uid="{00000000-0005-0000-0000-0000D3830000}"/>
    <cellStyle name="Vírgula 8 5 2 2 4" xfId="33746" xr:uid="{00000000-0005-0000-0000-0000D4830000}"/>
    <cellStyle name="Vírgula 8 5 2 2 5" xfId="33747" xr:uid="{00000000-0005-0000-0000-0000D5830000}"/>
    <cellStyle name="Vírgula 8 5 2 3" xfId="33748" xr:uid="{00000000-0005-0000-0000-0000D6830000}"/>
    <cellStyle name="Vírgula 8 5 2 3 2" xfId="33749" xr:uid="{00000000-0005-0000-0000-0000D7830000}"/>
    <cellStyle name="Vírgula 8 5 2 3 3" xfId="33750" xr:uid="{00000000-0005-0000-0000-0000D8830000}"/>
    <cellStyle name="Vírgula 8 5 2 3 4" xfId="33751" xr:uid="{00000000-0005-0000-0000-0000D9830000}"/>
    <cellStyle name="Vírgula 8 5 2 4" xfId="33752" xr:uid="{00000000-0005-0000-0000-0000DA830000}"/>
    <cellStyle name="Vírgula 8 5 2 5" xfId="33753" xr:uid="{00000000-0005-0000-0000-0000DB830000}"/>
    <cellStyle name="Vírgula 8 5 2 6" xfId="33754" xr:uid="{00000000-0005-0000-0000-0000DC830000}"/>
    <cellStyle name="Vírgula 8 5 3" xfId="33755" xr:uid="{00000000-0005-0000-0000-0000DD830000}"/>
    <cellStyle name="Vírgula 8 5 3 2" xfId="33756" xr:uid="{00000000-0005-0000-0000-0000DE830000}"/>
    <cellStyle name="Vírgula 8 5 3 2 2" xfId="33757" xr:uid="{00000000-0005-0000-0000-0000DF830000}"/>
    <cellStyle name="Vírgula 8 5 3 2 3" xfId="33758" xr:uid="{00000000-0005-0000-0000-0000E0830000}"/>
    <cellStyle name="Vírgula 8 5 3 2 4" xfId="33759" xr:uid="{00000000-0005-0000-0000-0000E1830000}"/>
    <cellStyle name="Vírgula 8 5 3 3" xfId="33760" xr:uid="{00000000-0005-0000-0000-0000E2830000}"/>
    <cellStyle name="Vírgula 8 5 3 4" xfId="33761" xr:uid="{00000000-0005-0000-0000-0000E3830000}"/>
    <cellStyle name="Vírgula 8 5 3 5" xfId="33762" xr:uid="{00000000-0005-0000-0000-0000E4830000}"/>
    <cellStyle name="Vírgula 8 5 4" xfId="33763" xr:uid="{00000000-0005-0000-0000-0000E5830000}"/>
    <cellStyle name="Vírgula 8 5 4 2" xfId="33764" xr:uid="{00000000-0005-0000-0000-0000E6830000}"/>
    <cellStyle name="Vírgula 8 5 4 3" xfId="33765" xr:uid="{00000000-0005-0000-0000-0000E7830000}"/>
    <cellStyle name="Vírgula 8 5 4 4" xfId="33766" xr:uid="{00000000-0005-0000-0000-0000E8830000}"/>
    <cellStyle name="Vírgula 8 5 5" xfId="33767" xr:uid="{00000000-0005-0000-0000-0000E9830000}"/>
    <cellStyle name="Vírgula 8 5 5 2" xfId="33768" xr:uid="{00000000-0005-0000-0000-0000EA830000}"/>
    <cellStyle name="Vírgula 8 5 5 3" xfId="33769" xr:uid="{00000000-0005-0000-0000-0000EB830000}"/>
    <cellStyle name="Vírgula 8 5 5 4" xfId="33770" xr:uid="{00000000-0005-0000-0000-0000EC830000}"/>
    <cellStyle name="Vírgula 8 5 6" xfId="33771" xr:uid="{00000000-0005-0000-0000-0000ED830000}"/>
    <cellStyle name="Vírgula 8 5 6 2" xfId="33772" xr:uid="{00000000-0005-0000-0000-0000EE830000}"/>
    <cellStyle name="Vírgula 8 5 6 3" xfId="33773" xr:uid="{00000000-0005-0000-0000-0000EF830000}"/>
    <cellStyle name="Vírgula 8 5 7" xfId="33774" xr:uid="{00000000-0005-0000-0000-0000F0830000}"/>
    <cellStyle name="Vírgula 8 5 8" xfId="33775" xr:uid="{00000000-0005-0000-0000-0000F1830000}"/>
    <cellStyle name="Vírgula 8 5 9" xfId="33776" xr:uid="{00000000-0005-0000-0000-0000F2830000}"/>
    <cellStyle name="Vírgula 8 6" xfId="26554" xr:uid="{00000000-0005-0000-0000-0000F3830000}"/>
    <cellStyle name="Vírgula 8 6 2" xfId="33777" xr:uid="{00000000-0005-0000-0000-0000F4830000}"/>
    <cellStyle name="Vírgula 8 6 2 2" xfId="33778" xr:uid="{00000000-0005-0000-0000-0000F5830000}"/>
    <cellStyle name="Vírgula 8 6 2 2 2" xfId="33779" xr:uid="{00000000-0005-0000-0000-0000F6830000}"/>
    <cellStyle name="Vírgula 8 6 2 2 3" xfId="33780" xr:uid="{00000000-0005-0000-0000-0000F7830000}"/>
    <cellStyle name="Vírgula 8 6 2 2 4" xfId="33781" xr:uid="{00000000-0005-0000-0000-0000F8830000}"/>
    <cellStyle name="Vírgula 8 6 2 3" xfId="33782" xr:uid="{00000000-0005-0000-0000-0000F9830000}"/>
    <cellStyle name="Vírgula 8 6 2 4" xfId="33783" xr:uid="{00000000-0005-0000-0000-0000FA830000}"/>
    <cellStyle name="Vírgula 8 6 2 5" xfId="33784" xr:uid="{00000000-0005-0000-0000-0000FB830000}"/>
    <cellStyle name="Vírgula 8 6 3" xfId="33785" xr:uid="{00000000-0005-0000-0000-0000FC830000}"/>
    <cellStyle name="Vírgula 8 6 3 2" xfId="33786" xr:uid="{00000000-0005-0000-0000-0000FD830000}"/>
    <cellStyle name="Vírgula 8 6 3 3" xfId="33787" xr:uid="{00000000-0005-0000-0000-0000FE830000}"/>
    <cellStyle name="Vírgula 8 6 3 4" xfId="33788" xr:uid="{00000000-0005-0000-0000-0000FF830000}"/>
    <cellStyle name="Vírgula 8 6 4" xfId="33789" xr:uid="{00000000-0005-0000-0000-000000840000}"/>
    <cellStyle name="Vírgula 8 6 5" xfId="33790" xr:uid="{00000000-0005-0000-0000-000001840000}"/>
    <cellStyle name="Vírgula 8 6 6" xfId="33791" xr:uid="{00000000-0005-0000-0000-000002840000}"/>
    <cellStyle name="Vírgula 8 7" xfId="33792" xr:uid="{00000000-0005-0000-0000-000003840000}"/>
    <cellStyle name="Vírgula 8 7 2" xfId="33793" xr:uid="{00000000-0005-0000-0000-000004840000}"/>
    <cellStyle name="Vírgula 8 7 2 2" xfId="33794" xr:uid="{00000000-0005-0000-0000-000005840000}"/>
    <cellStyle name="Vírgula 8 7 2 2 2" xfId="33795" xr:uid="{00000000-0005-0000-0000-000006840000}"/>
    <cellStyle name="Vírgula 8 7 2 2 3" xfId="33796" xr:uid="{00000000-0005-0000-0000-000007840000}"/>
    <cellStyle name="Vírgula 8 7 2 2 4" xfId="33797" xr:uid="{00000000-0005-0000-0000-000008840000}"/>
    <cellStyle name="Vírgula 8 7 2 3" xfId="33798" xr:uid="{00000000-0005-0000-0000-000009840000}"/>
    <cellStyle name="Vírgula 8 7 2 4" xfId="33799" xr:uid="{00000000-0005-0000-0000-00000A840000}"/>
    <cellStyle name="Vírgula 8 7 2 5" xfId="33800" xr:uid="{00000000-0005-0000-0000-00000B840000}"/>
    <cellStyle name="Vírgula 8 7 3" xfId="33801" xr:uid="{00000000-0005-0000-0000-00000C840000}"/>
    <cellStyle name="Vírgula 8 7 3 2" xfId="33802" xr:uid="{00000000-0005-0000-0000-00000D840000}"/>
    <cellStyle name="Vírgula 8 7 3 3" xfId="33803" xr:uid="{00000000-0005-0000-0000-00000E840000}"/>
    <cellStyle name="Vírgula 8 7 3 4" xfId="33804" xr:uid="{00000000-0005-0000-0000-00000F840000}"/>
    <cellStyle name="Vírgula 8 7 4" xfId="33805" xr:uid="{00000000-0005-0000-0000-000010840000}"/>
    <cellStyle name="Vírgula 8 7 5" xfId="33806" xr:uid="{00000000-0005-0000-0000-000011840000}"/>
    <cellStyle name="Vírgula 8 7 6" xfId="33807" xr:uid="{00000000-0005-0000-0000-000012840000}"/>
    <cellStyle name="Vírgula 8 8" xfId="33808" xr:uid="{00000000-0005-0000-0000-000013840000}"/>
    <cellStyle name="Vírgula 8 8 2" xfId="33809" xr:uid="{00000000-0005-0000-0000-000014840000}"/>
    <cellStyle name="Vírgula 8 8 2 2" xfId="33810" xr:uid="{00000000-0005-0000-0000-000015840000}"/>
    <cellStyle name="Vírgula 8 8 2 2 2" xfId="33811" xr:uid="{00000000-0005-0000-0000-000016840000}"/>
    <cellStyle name="Vírgula 8 8 2 2 3" xfId="33812" xr:uid="{00000000-0005-0000-0000-000017840000}"/>
    <cellStyle name="Vírgula 8 8 2 2 4" xfId="33813" xr:uid="{00000000-0005-0000-0000-000018840000}"/>
    <cellStyle name="Vírgula 8 8 2 3" xfId="33814" xr:uid="{00000000-0005-0000-0000-000019840000}"/>
    <cellStyle name="Vírgula 8 8 2 4" xfId="33815" xr:uid="{00000000-0005-0000-0000-00001A840000}"/>
    <cellStyle name="Vírgula 8 8 2 5" xfId="33816" xr:uid="{00000000-0005-0000-0000-00001B840000}"/>
    <cellStyle name="Vírgula 8 8 3" xfId="33817" xr:uid="{00000000-0005-0000-0000-00001C840000}"/>
    <cellStyle name="Vírgula 8 8 3 2" xfId="33818" xr:uid="{00000000-0005-0000-0000-00001D840000}"/>
    <cellStyle name="Vírgula 8 8 3 3" xfId="33819" xr:uid="{00000000-0005-0000-0000-00001E840000}"/>
    <cellStyle name="Vírgula 8 8 3 4" xfId="33820" xr:uid="{00000000-0005-0000-0000-00001F840000}"/>
    <cellStyle name="Vírgula 8 8 4" xfId="33821" xr:uid="{00000000-0005-0000-0000-000020840000}"/>
    <cellStyle name="Vírgula 8 8 5" xfId="33822" xr:uid="{00000000-0005-0000-0000-000021840000}"/>
    <cellStyle name="Vírgula 8 8 6" xfId="33823" xr:uid="{00000000-0005-0000-0000-000022840000}"/>
    <cellStyle name="Vírgula 8 9" xfId="33824" xr:uid="{00000000-0005-0000-0000-000023840000}"/>
    <cellStyle name="Vírgula 8 9 2" xfId="33825" xr:uid="{00000000-0005-0000-0000-000024840000}"/>
    <cellStyle name="Vírgula 8 9 2 2" xfId="33826" xr:uid="{00000000-0005-0000-0000-000025840000}"/>
    <cellStyle name="Vírgula 8 9 2 3" xfId="33827" xr:uid="{00000000-0005-0000-0000-000026840000}"/>
    <cellStyle name="Vírgula 8 9 2 4" xfId="33828" xr:uid="{00000000-0005-0000-0000-000027840000}"/>
    <cellStyle name="Vírgula 8 9 3" xfId="33829" xr:uid="{00000000-0005-0000-0000-000028840000}"/>
    <cellStyle name="Vírgula 8 9 4" xfId="33830" xr:uid="{00000000-0005-0000-0000-000029840000}"/>
    <cellStyle name="Vírgula 8 9 5" xfId="33831" xr:uid="{00000000-0005-0000-0000-00002A840000}"/>
    <cellStyle name="Vírgula 9" xfId="22745" xr:uid="{00000000-0005-0000-0000-00002B840000}"/>
    <cellStyle name="Vírgula 9 2" xfId="23632" xr:uid="{00000000-0005-0000-0000-00002C840000}"/>
    <cellStyle name="Vírgula 9 2 2" xfId="25408" xr:uid="{00000000-0005-0000-0000-00002D840000}"/>
    <cellStyle name="Vírgula 9 3" xfId="24520" xr:uid="{00000000-0005-0000-0000-00002E840000}"/>
    <cellStyle name="Vírgula 9 4" xfId="26313" xr:uid="{00000000-0005-0000-0000-00002F840000}"/>
    <cellStyle name="Warning Text" xfId="2048" xr:uid="{00000000-0005-0000-0000-000030840000}"/>
  </cellStyles>
  <dxfs count="0"/>
  <tableStyles count="0" defaultTableStyle="TableStyleMedium9" defaultPivotStyle="PivotStyleLight16"/>
  <colors>
    <mruColors>
      <color rgb="FFFFFFCC"/>
      <color rgb="FFFFFF99"/>
      <color rgb="FFFFCCFF"/>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10.xml"/><Relationship Id="rId21" Type="http://schemas.openxmlformats.org/officeDocument/2006/relationships/worksheet" Target="worksheets/sheet21.xml"/><Relationship Id="rId34" Type="http://schemas.openxmlformats.org/officeDocument/2006/relationships/externalLink" Target="externalLinks/externalLink5.xml"/><Relationship Id="rId42"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3.xml"/><Relationship Id="rId37" Type="http://schemas.openxmlformats.org/officeDocument/2006/relationships/externalLink" Target="externalLinks/externalLink8.xml"/><Relationship Id="rId40" Type="http://schemas.openxmlformats.org/officeDocument/2006/relationships/externalLink" Target="externalLinks/externalLink11.xml"/><Relationship Id="rId45"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7.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2.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35" Type="http://schemas.openxmlformats.org/officeDocument/2006/relationships/externalLink" Target="externalLinks/externalLink6.xml"/><Relationship Id="rId43"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4.xml"/><Relationship Id="rId38" Type="http://schemas.openxmlformats.org/officeDocument/2006/relationships/externalLink" Target="externalLinks/externalLink9.xml"/><Relationship Id="rId46"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externalLink" Target="externalLinks/externalLink1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5.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6.png"/><Relationship Id="rId1" Type="http://schemas.openxmlformats.org/officeDocument/2006/relationships/image" Target="../media/image5.png"/><Relationship Id="rId4"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7.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7.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7.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7.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7.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7.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7.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7.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7.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editAs="absolute">
    <xdr:from>
      <xdr:col>2</xdr:col>
      <xdr:colOff>302337</xdr:colOff>
      <xdr:row>6</xdr:row>
      <xdr:rowOff>54419</xdr:rowOff>
    </xdr:from>
    <xdr:to>
      <xdr:col>4</xdr:col>
      <xdr:colOff>482605</xdr:colOff>
      <xdr:row>11</xdr:row>
      <xdr:rowOff>74915</xdr:rowOff>
    </xdr:to>
    <xdr:pic>
      <xdr:nvPicPr>
        <xdr:cNvPr id="2" name="Imagem 1">
          <a:extLst>
            <a:ext uri="{FF2B5EF4-FFF2-40B4-BE49-F238E27FC236}">
              <a16:creationId xmlns:a16="http://schemas.microsoft.com/office/drawing/2014/main" id="{00000000-0008-0000-0600-000002000000}"/>
            </a:ext>
          </a:extLst>
        </xdr:cNvPr>
        <xdr:cNvPicPr>
          <a:picLocks noChangeAspect="1"/>
        </xdr:cNvPicPr>
      </xdr:nvPicPr>
      <xdr:blipFill rotWithShape="1">
        <a:blip xmlns:r="http://schemas.openxmlformats.org/officeDocument/2006/relationships" r:embed="rId1" cstate="print"/>
        <a:srcRect l="10177" t="35288" r="63871" b="18219"/>
        <a:stretch/>
      </xdr:blipFill>
      <xdr:spPr>
        <a:xfrm>
          <a:off x="1569162" y="1587944"/>
          <a:ext cx="1399468" cy="1201596"/>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twoCellAnchor editAs="absolute">
    <xdr:from>
      <xdr:col>5</xdr:col>
      <xdr:colOff>561961</xdr:colOff>
      <xdr:row>6</xdr:row>
      <xdr:rowOff>73061</xdr:rowOff>
    </xdr:from>
    <xdr:to>
      <xdr:col>10</xdr:col>
      <xdr:colOff>464549</xdr:colOff>
      <xdr:row>10</xdr:row>
      <xdr:rowOff>110232</xdr:rowOff>
    </xdr:to>
    <xdr:pic>
      <xdr:nvPicPr>
        <xdr:cNvPr id="3" name="Imagem 2">
          <a:extLst>
            <a:ext uri="{FF2B5EF4-FFF2-40B4-BE49-F238E27FC236}">
              <a16:creationId xmlns:a16="http://schemas.microsoft.com/office/drawing/2014/main" id="{00000000-0008-0000-0600-000003000000}"/>
            </a:ext>
          </a:extLst>
        </xdr:cNvPr>
        <xdr:cNvPicPr>
          <a:picLocks noChangeAspect="1"/>
        </xdr:cNvPicPr>
      </xdr:nvPicPr>
      <xdr:blipFill rotWithShape="1">
        <a:blip xmlns:r="http://schemas.openxmlformats.org/officeDocument/2006/relationships" r:embed="rId1" cstate="print"/>
        <a:srcRect l="34060" t="39636" r="15656" b="28254"/>
        <a:stretch/>
      </xdr:blipFill>
      <xdr:spPr>
        <a:xfrm>
          <a:off x="3657586" y="1606586"/>
          <a:ext cx="2950588" cy="1056346"/>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twoCellAnchor editAs="absolute">
    <xdr:from>
      <xdr:col>12</xdr:col>
      <xdr:colOff>23130</xdr:colOff>
      <xdr:row>6</xdr:row>
      <xdr:rowOff>50586</xdr:rowOff>
    </xdr:from>
    <xdr:to>
      <xdr:col>18</xdr:col>
      <xdr:colOff>406685</xdr:colOff>
      <xdr:row>16</xdr:row>
      <xdr:rowOff>139130</xdr:rowOff>
    </xdr:to>
    <xdr:pic>
      <xdr:nvPicPr>
        <xdr:cNvPr id="4" name="Imagem 3">
          <a:extLst>
            <a:ext uri="{FF2B5EF4-FFF2-40B4-BE49-F238E27FC236}">
              <a16:creationId xmlns:a16="http://schemas.microsoft.com/office/drawing/2014/main" id="{00000000-0008-0000-0600-000004000000}"/>
            </a:ext>
          </a:extLst>
        </xdr:cNvPr>
        <xdr:cNvPicPr>
          <a:picLocks noChangeAspect="1"/>
        </xdr:cNvPicPr>
      </xdr:nvPicPr>
      <xdr:blipFill rotWithShape="1">
        <a:blip xmlns:r="http://schemas.openxmlformats.org/officeDocument/2006/relationships" r:embed="rId2" cstate="print"/>
        <a:srcRect l="25795" t="40689" r="26941" b="21809"/>
        <a:stretch/>
      </xdr:blipFill>
      <xdr:spPr>
        <a:xfrm>
          <a:off x="7386276" y="1570305"/>
          <a:ext cx="4118639" cy="2089864"/>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twoCellAnchor>
    <xdr:from>
      <xdr:col>0</xdr:col>
      <xdr:colOff>609600</xdr:colOff>
      <xdr:row>0</xdr:row>
      <xdr:rowOff>57150</xdr:rowOff>
    </xdr:from>
    <xdr:to>
      <xdr:col>2</xdr:col>
      <xdr:colOff>257175</xdr:colOff>
      <xdr:row>2</xdr:row>
      <xdr:rowOff>238125</xdr:rowOff>
    </xdr:to>
    <xdr:pic>
      <xdr:nvPicPr>
        <xdr:cNvPr id="5" name="Picture 1324">
          <a:extLst>
            <a:ext uri="{FF2B5EF4-FFF2-40B4-BE49-F238E27FC236}">
              <a16:creationId xmlns:a16="http://schemas.microsoft.com/office/drawing/2014/main" id="{00000000-0008-0000-0600-00000500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609600" y="57150"/>
          <a:ext cx="914400" cy="7429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209552</xdr:colOff>
      <xdr:row>5</xdr:row>
      <xdr:rowOff>36873</xdr:rowOff>
    </xdr:from>
    <xdr:to>
      <xdr:col>9</xdr:col>
      <xdr:colOff>197644</xdr:colOff>
      <xdr:row>10</xdr:row>
      <xdr:rowOff>76200</xdr:rowOff>
    </xdr:to>
    <xdr:pic>
      <xdr:nvPicPr>
        <xdr:cNvPr id="2" name="Imagem 1">
          <a:extLst>
            <a:ext uri="{FF2B5EF4-FFF2-40B4-BE49-F238E27FC236}">
              <a16:creationId xmlns:a16="http://schemas.microsoft.com/office/drawing/2014/main" id="{00000000-0008-0000-0700-000002000000}"/>
            </a:ext>
          </a:extLst>
        </xdr:cNvPr>
        <xdr:cNvPicPr>
          <a:picLocks noChangeAspect="1"/>
        </xdr:cNvPicPr>
      </xdr:nvPicPr>
      <xdr:blipFill rotWithShape="1">
        <a:blip xmlns:r="http://schemas.openxmlformats.org/officeDocument/2006/relationships" r:embed="rId1" cstate="print"/>
        <a:srcRect l="24967" t="45580" r="23563" b="29807"/>
        <a:stretch/>
      </xdr:blipFill>
      <xdr:spPr>
        <a:xfrm>
          <a:off x="819152" y="1417998"/>
          <a:ext cx="4083842" cy="848952"/>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twoCellAnchor editAs="oneCell">
    <xdr:from>
      <xdr:col>8</xdr:col>
      <xdr:colOff>743747</xdr:colOff>
      <xdr:row>56</xdr:row>
      <xdr:rowOff>152569</xdr:rowOff>
    </xdr:from>
    <xdr:to>
      <xdr:col>12</xdr:col>
      <xdr:colOff>583409</xdr:colOff>
      <xdr:row>60</xdr:row>
      <xdr:rowOff>143035</xdr:rowOff>
    </xdr:to>
    <xdr:pic>
      <xdr:nvPicPr>
        <xdr:cNvPr id="3" name="Imagem 2">
          <a:extLst>
            <a:ext uri="{FF2B5EF4-FFF2-40B4-BE49-F238E27FC236}">
              <a16:creationId xmlns:a16="http://schemas.microsoft.com/office/drawing/2014/main" id="{00000000-0008-0000-0700-000003000000}"/>
            </a:ext>
          </a:extLst>
        </xdr:cNvPr>
        <xdr:cNvPicPr>
          <a:picLocks noChangeAspect="1"/>
        </xdr:cNvPicPr>
      </xdr:nvPicPr>
      <xdr:blipFill rotWithShape="1">
        <a:blip xmlns:r="http://schemas.openxmlformats.org/officeDocument/2006/relationships" r:embed="rId2" cstate="print"/>
        <a:srcRect l="11568" t="73707" r="24149" b="4936"/>
        <a:stretch/>
      </xdr:blipFill>
      <xdr:spPr>
        <a:xfrm>
          <a:off x="4625185" y="10403850"/>
          <a:ext cx="2816224" cy="657216"/>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twoCellAnchor>
    <xdr:from>
      <xdr:col>1</xdr:col>
      <xdr:colOff>592931</xdr:colOff>
      <xdr:row>0</xdr:row>
      <xdr:rowOff>145257</xdr:rowOff>
    </xdr:from>
    <xdr:to>
      <xdr:col>4</xdr:col>
      <xdr:colOff>261938</xdr:colOff>
      <xdr:row>2</xdr:row>
      <xdr:rowOff>383382</xdr:rowOff>
    </xdr:to>
    <xdr:pic>
      <xdr:nvPicPr>
        <xdr:cNvPr id="4" name="Picture 1436">
          <a:extLst>
            <a:ext uri="{FF2B5EF4-FFF2-40B4-BE49-F238E27FC236}">
              <a16:creationId xmlns:a16="http://schemas.microsoft.com/office/drawing/2014/main" id="{00000000-0008-0000-0700-00000400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200150" y="145257"/>
          <a:ext cx="1109663" cy="797719"/>
        </a:xfrm>
        <a:prstGeom prst="rect">
          <a:avLst/>
        </a:prstGeom>
        <a:noFill/>
        <a:ln w="9525">
          <a:noFill/>
          <a:miter lim="800000"/>
          <a:headEnd/>
          <a:tailEnd/>
        </a:ln>
      </xdr:spPr>
    </xdr:pic>
    <xdr:clientData/>
  </xdr:twoCellAnchor>
  <xdr:twoCellAnchor editAs="oneCell">
    <xdr:from>
      <xdr:col>1</xdr:col>
      <xdr:colOff>334168</xdr:colOff>
      <xdr:row>57</xdr:row>
      <xdr:rowOff>14455</xdr:rowOff>
    </xdr:from>
    <xdr:to>
      <xdr:col>8</xdr:col>
      <xdr:colOff>485774</xdr:colOff>
      <xdr:row>61</xdr:row>
      <xdr:rowOff>4921</xdr:rowOff>
    </xdr:to>
    <xdr:pic>
      <xdr:nvPicPr>
        <xdr:cNvPr id="5" name="Imagem 4">
          <a:extLst>
            <a:ext uri="{FF2B5EF4-FFF2-40B4-BE49-F238E27FC236}">
              <a16:creationId xmlns:a16="http://schemas.microsoft.com/office/drawing/2014/main" id="{00000000-0008-0000-0700-000005000000}"/>
            </a:ext>
          </a:extLst>
        </xdr:cNvPr>
        <xdr:cNvPicPr>
          <a:picLocks noChangeAspect="1"/>
        </xdr:cNvPicPr>
      </xdr:nvPicPr>
      <xdr:blipFill rotWithShape="1">
        <a:blip xmlns:r="http://schemas.openxmlformats.org/officeDocument/2006/relationships" r:embed="rId2" cstate="print"/>
        <a:srcRect l="11568" t="73707" r="24149" b="4936"/>
        <a:stretch/>
      </xdr:blipFill>
      <xdr:spPr>
        <a:xfrm>
          <a:off x="941387" y="10432424"/>
          <a:ext cx="3425825" cy="657216"/>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oneCellAnchor>
    <xdr:from>
      <xdr:col>1</xdr:col>
      <xdr:colOff>250031</xdr:colOff>
      <xdr:row>49</xdr:row>
      <xdr:rowOff>142875</xdr:rowOff>
    </xdr:from>
    <xdr:ext cx="5203031" cy="609600"/>
    <xdr:sp macro="" textlink="">
      <xdr:nvSpPr>
        <xdr:cNvPr id="6" name="CaixaDeTexto 5">
          <a:extLst>
            <a:ext uri="{FF2B5EF4-FFF2-40B4-BE49-F238E27FC236}">
              <a16:creationId xmlns:a16="http://schemas.microsoft.com/office/drawing/2014/main" id="{00000000-0008-0000-0700-000006000000}"/>
            </a:ext>
          </a:extLst>
        </xdr:cNvPr>
        <xdr:cNvSpPr txBox="1"/>
      </xdr:nvSpPr>
      <xdr:spPr>
        <a:xfrm>
          <a:off x="857250" y="9203531"/>
          <a:ext cx="5203031" cy="609600"/>
        </a:xfrm>
        <a:prstGeom prst="rect">
          <a:avLst/>
        </a:prstGeom>
      </xdr:spPr>
      <xdr:style>
        <a:lnRef idx="2">
          <a:schemeClr val="dk1"/>
        </a:lnRef>
        <a:fillRef idx="1">
          <a:schemeClr val="lt1"/>
        </a:fillRef>
        <a:effectRef idx="0">
          <a:schemeClr val="dk1"/>
        </a:effectRef>
        <a:fontRef idx="minor">
          <a:schemeClr val="dk1"/>
        </a:fontRef>
      </xdr:style>
      <xdr:txBody>
        <a:bodyPr vertOverflow="clip" wrap="square" rtlCol="0" anchor="t">
          <a:noAutofit/>
        </a:bodyPr>
        <a:lstStyle/>
        <a:p>
          <a:r>
            <a:rPr lang="pt-BR" sz="1400" b="1"/>
            <a:t>OBS: </a:t>
          </a:r>
          <a:r>
            <a:rPr lang="pt-BR" sz="1400" b="1" baseline="0"/>
            <a:t> AS VIGAS NÃO PODEM ULTRAPASSAR 3 METROS DE COMPRIMENTO.  </a:t>
          </a:r>
          <a:endParaRPr lang="pt-BR" sz="1400" b="1"/>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2</xdr:col>
      <xdr:colOff>443375</xdr:colOff>
      <xdr:row>7</xdr:row>
      <xdr:rowOff>161228</xdr:rowOff>
    </xdr:from>
    <xdr:to>
      <xdr:col>8</xdr:col>
      <xdr:colOff>158441</xdr:colOff>
      <xdr:row>13</xdr:row>
      <xdr:rowOff>104079</xdr:rowOff>
    </xdr:to>
    <xdr:pic>
      <xdr:nvPicPr>
        <xdr:cNvPr id="2" name="Imagem 1">
          <a:extLst>
            <a:ext uri="{FF2B5EF4-FFF2-40B4-BE49-F238E27FC236}">
              <a16:creationId xmlns:a16="http://schemas.microsoft.com/office/drawing/2014/main" id="{00000000-0008-0000-0800-000002000000}"/>
            </a:ext>
          </a:extLst>
        </xdr:cNvPr>
        <xdr:cNvPicPr>
          <a:picLocks noChangeAspect="1"/>
        </xdr:cNvPicPr>
      </xdr:nvPicPr>
      <xdr:blipFill rotWithShape="1">
        <a:blip xmlns:r="http://schemas.openxmlformats.org/officeDocument/2006/relationships" r:embed="rId1" cstate="print"/>
        <a:srcRect l="11568" t="27737" r="13386" b="28637"/>
        <a:stretch/>
      </xdr:blipFill>
      <xdr:spPr>
        <a:xfrm>
          <a:off x="1662575" y="1856678"/>
          <a:ext cx="3839391" cy="914401"/>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twoCellAnchor editAs="oneCell">
    <xdr:from>
      <xdr:col>9</xdr:col>
      <xdr:colOff>292876</xdr:colOff>
      <xdr:row>6</xdr:row>
      <xdr:rowOff>61177</xdr:rowOff>
    </xdr:from>
    <xdr:to>
      <xdr:col>14</xdr:col>
      <xdr:colOff>480200</xdr:colOff>
      <xdr:row>13</xdr:row>
      <xdr:rowOff>150730</xdr:rowOff>
    </xdr:to>
    <xdr:pic>
      <xdr:nvPicPr>
        <xdr:cNvPr id="3" name="Imagem 2">
          <a:extLst>
            <a:ext uri="{FF2B5EF4-FFF2-40B4-BE49-F238E27FC236}">
              <a16:creationId xmlns:a16="http://schemas.microsoft.com/office/drawing/2014/main" id="{00000000-0008-0000-0800-000003000000}"/>
            </a:ext>
          </a:extLst>
        </xdr:cNvPr>
        <xdr:cNvPicPr>
          <a:picLocks noChangeAspect="1"/>
        </xdr:cNvPicPr>
      </xdr:nvPicPr>
      <xdr:blipFill rotWithShape="1">
        <a:blip xmlns:r="http://schemas.openxmlformats.org/officeDocument/2006/relationships" r:embed="rId2" cstate="print"/>
        <a:srcRect l="25113" t="41021" r="53289" b="44003"/>
        <a:stretch/>
      </xdr:blipFill>
      <xdr:spPr>
        <a:xfrm>
          <a:off x="6398401" y="1594702"/>
          <a:ext cx="3235324" cy="1223028"/>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twoCellAnchor editAs="oneCell">
    <xdr:from>
      <xdr:col>10</xdr:col>
      <xdr:colOff>152402</xdr:colOff>
      <xdr:row>68</xdr:row>
      <xdr:rowOff>0</xdr:rowOff>
    </xdr:from>
    <xdr:to>
      <xdr:col>16</xdr:col>
      <xdr:colOff>684406</xdr:colOff>
      <xdr:row>79</xdr:row>
      <xdr:rowOff>26880</xdr:rowOff>
    </xdr:to>
    <xdr:pic>
      <xdr:nvPicPr>
        <xdr:cNvPr id="4" name="Imagem 3">
          <a:extLst>
            <a:ext uri="{FF2B5EF4-FFF2-40B4-BE49-F238E27FC236}">
              <a16:creationId xmlns:a16="http://schemas.microsoft.com/office/drawing/2014/main" id="{00000000-0008-0000-0800-000004000000}"/>
            </a:ext>
          </a:extLst>
        </xdr:cNvPr>
        <xdr:cNvPicPr>
          <a:picLocks noChangeAspect="1"/>
        </xdr:cNvPicPr>
      </xdr:nvPicPr>
      <xdr:blipFill rotWithShape="1">
        <a:blip xmlns:r="http://schemas.openxmlformats.org/officeDocument/2006/relationships" r:embed="rId3" cstate="print"/>
        <a:srcRect l="25795" t="40689" r="26941" b="21809"/>
        <a:stretch/>
      </xdr:blipFill>
      <xdr:spPr>
        <a:xfrm>
          <a:off x="6867527" y="7753350"/>
          <a:ext cx="4189604" cy="1808055"/>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twoCellAnchor>
    <xdr:from>
      <xdr:col>2</xdr:col>
      <xdr:colOff>209550</xdr:colOff>
      <xdr:row>0</xdr:row>
      <xdr:rowOff>76200</xdr:rowOff>
    </xdr:from>
    <xdr:to>
      <xdr:col>3</xdr:col>
      <xdr:colOff>266700</xdr:colOff>
      <xdr:row>3</xdr:row>
      <xdr:rowOff>114300</xdr:rowOff>
    </xdr:to>
    <xdr:pic>
      <xdr:nvPicPr>
        <xdr:cNvPr id="5" name="Picture 1333">
          <a:extLst>
            <a:ext uri="{FF2B5EF4-FFF2-40B4-BE49-F238E27FC236}">
              <a16:creationId xmlns:a16="http://schemas.microsoft.com/office/drawing/2014/main" id="{00000000-0008-0000-0800-00000500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1428750" y="76200"/>
          <a:ext cx="1133475" cy="100965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356349</xdr:colOff>
      <xdr:row>0</xdr:row>
      <xdr:rowOff>47626</xdr:rowOff>
    </xdr:from>
    <xdr:to>
      <xdr:col>1</xdr:col>
      <xdr:colOff>383023</xdr:colOff>
      <xdr:row>2</xdr:row>
      <xdr:rowOff>104776</xdr:rowOff>
    </xdr:to>
    <xdr:pic>
      <xdr:nvPicPr>
        <xdr:cNvPr id="2" name="Imagem 1">
          <a:extLst>
            <a:ext uri="{FF2B5EF4-FFF2-40B4-BE49-F238E27FC236}">
              <a16:creationId xmlns:a16="http://schemas.microsoft.com/office/drawing/2014/main" id="{00000000-0008-0000-0D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6349" y="47626"/>
          <a:ext cx="864874"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52</xdr:row>
      <xdr:rowOff>0</xdr:rowOff>
    </xdr:from>
    <xdr:to>
      <xdr:col>4</xdr:col>
      <xdr:colOff>779199</xdr:colOff>
      <xdr:row>52</xdr:row>
      <xdr:rowOff>0</xdr:rowOff>
    </xdr:to>
    <xdr:sp macro="" textlink="">
      <xdr:nvSpPr>
        <xdr:cNvPr id="2" name="Shape 2">
          <a:extLst>
            <a:ext uri="{FF2B5EF4-FFF2-40B4-BE49-F238E27FC236}">
              <a16:creationId xmlns:a16="http://schemas.microsoft.com/office/drawing/2014/main" id="{00000000-0008-0000-0F00-000002000000}"/>
            </a:ext>
          </a:extLst>
        </xdr:cNvPr>
        <xdr:cNvSpPr/>
      </xdr:nvSpPr>
      <xdr:spPr>
        <a:xfrm>
          <a:off x="0" y="8134350"/>
          <a:ext cx="6922824" cy="0"/>
        </a:xfrm>
        <a:custGeom>
          <a:avLst/>
          <a:gdLst/>
          <a:ahLst/>
          <a:cxnLst/>
          <a:rect l="0" t="0" r="0" b="0"/>
          <a:pathLst>
            <a:path w="6642100">
              <a:moveTo>
                <a:pt x="6642100" y="0"/>
              </a:moveTo>
              <a:lnTo>
                <a:pt x="0" y="0"/>
              </a:lnTo>
            </a:path>
          </a:pathLst>
        </a:custGeom>
        <a:ln w="3175">
          <a:solidFill>
            <a:srgbClr val="000000"/>
          </a:solidFill>
        </a:ln>
      </xdr:spPr>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79131</xdr:colOff>
      <xdr:row>0</xdr:row>
      <xdr:rowOff>54953</xdr:rowOff>
    </xdr:from>
    <xdr:to>
      <xdr:col>0</xdr:col>
      <xdr:colOff>410308</xdr:colOff>
      <xdr:row>2</xdr:row>
      <xdr:rowOff>9525</xdr:rowOff>
    </xdr:to>
    <xdr:pic>
      <xdr:nvPicPr>
        <xdr:cNvPr id="2" name="Imagem 1">
          <a:extLst>
            <a:ext uri="{FF2B5EF4-FFF2-40B4-BE49-F238E27FC236}">
              <a16:creationId xmlns:a16="http://schemas.microsoft.com/office/drawing/2014/main" id="{00000000-0008-0000-1B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131" y="54953"/>
          <a:ext cx="331177" cy="335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Users\fabiano\Downloads\10039\ca_arqs\eletrica\e0104500.doc"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J:\Users\fabiano\Downloads\10039\ca_arqs\eletrica\e0104500.doc"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o-m11\publico\WINDOWS\TEMP\B5348E-LM001_R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pu-a\01-md-2005\EQUIP\MAQUINAS\I020118.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K:\ANDAMENTO\MARECHAL%20FLORIANO\PLANILHA_MULTIPLA_2_v05\C&#243;pia%20de%20PLANILHA%20M&#218;LTIPLA%202.5%20luiza%20gfsg%20sdgdsgfdsg.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emob-22\c$\SEMOB%20GERAL\SEMOB%202007\FRANCIELLEN\CAMPO%20DE%20FUTEBol%20SOCIETY.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Marcia\Receita%20Federal%20-%20RJ\Preg&#227;o%203-2013%20-%20Ag.%20Modelo%20B%20Pirai%20e%20Resende\EDITAL%201-2013-%20ADAPTACAO%20PROJETO%20BASICO%20-%20AGENCIA%20MODELO\ANEXO%20V%20-%20PLANILHA%20DE%20OR&#199;AMENTO%20E%20CRONOGRAM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J:\Marcia\Receita%20Federal%20-%20RJ\Preg&#227;o%203-2013%20-%20Ag.%20Modelo%20B%20Pirai%20e%20Resende\EDITAL%201-2013-%20ADAPTACAO%20PROJETO%20BASICO%20-%20AGENCIA%20MODELO\ANEXO%20V%20-%20PLANILHA%20DE%20OR&#199;AMENTO%20E%20CRONOGRAMA.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JUSTI&#199;A%20FEDERAL\Predio%20Sede%20%20Vitoria%20ES%20-%202009\Justi&#231;a%20Federal%201&#170;%20Instancia\PLANILHA%20OR&#199;AMENTARIA\Or&#231;amento\JFES_Planilha_Orc_Rev02-.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J:\JUSTI&#199;A%20FEDERAL\Predio%20Sede%20%20Vitoria%20ES%20-%202009\Justi&#231;a%20Federal%201&#170;%20Instancia\PLANILHA%20OR&#199;AMENTARIA\Or&#231;amento\JFES_Planilha_Orc_Rev0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Documentos\paulo.rodrigues\Desktop\GER&#202;NCIA%20DE%20OR&#199;AMENTO\04-RECURSO%20PR&#211;PRIO\67-SECRETARIA%20DE%20SA&#218;DE\US%20INDUSTRIAL\PLANILHA%20UBS%20INDUSTRIAL_SABRINA%20MODIFICADA.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K:\ANDAMENTO\MARECHAL%20FLORIANO\PLANILHA_MULTIPLA_2_v05\PLANILHA%20M&#218;LTIPLA%202.5%20luiz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ERGÊNCIA"/>
      <sheetName val="CAPA"/>
      <sheetName val="Controle"/>
      <sheetName val="LOJAS"/>
      <sheetName val="CONDOMINOS"/>
      <sheetName val="QUADROS DE DISTRIBUIÇÃO"/>
      <sheetName val="BARRAMENTO BLINDADO"/>
      <sheetName val="TRANSFORMADORES"/>
      <sheetName val="GERAL ORIGINAL"/>
      <sheetName val="GERAL POR ITENS"/>
      <sheetName val="MOTORES"/>
      <sheetName val="ANTIGO COND"/>
      <sheetName val="ANTIGO GERAL"/>
      <sheetName val="H_MOT"/>
      <sheetName val="C_MOT"/>
    </sheetNames>
    <sheetDataSet>
      <sheetData sheetId="0" refreshError="1">
        <row r="2">
          <cell r="A2" t="str">
            <v>TABELA DE CARGAS – POR TRANSFORMADOR/PBT EM EMERGÊNCIA</v>
          </cell>
        </row>
        <row r="4">
          <cell r="A4" t="str">
            <v>TRANSFORMADOR 1.1 – PBT-1.1 EM EMERGÊNCIA</v>
          </cell>
        </row>
        <row r="6">
          <cell r="A6" t="str">
            <v>FINALIDADE</v>
          </cell>
          <cell r="B6" t="str">
            <v>POT. UNIT. (kW)</v>
          </cell>
          <cell r="C6" t="str">
            <v>POT. UNIT. (CV)</v>
          </cell>
          <cell r="D6" t="str">
            <v>T I P O</v>
          </cell>
          <cell r="E6" t="str">
            <v>POT-M (KW)</v>
          </cell>
          <cell r="F6" t="str">
            <v>FP- M</v>
          </cell>
          <cell r="G6" t="str">
            <v>QTDE.</v>
          </cell>
          <cell r="H6" t="str">
            <v>PÓLOS</v>
          </cell>
          <cell r="I6" t="str">
            <v>F.D.</v>
          </cell>
          <cell r="J6" t="str">
            <v>F.P.</v>
          </cell>
          <cell r="K6" t="str">
            <v>POT. INSTALADA (kW)</v>
          </cell>
          <cell r="L6" t="str">
            <v>POT. INSTALADA (kVA)</v>
          </cell>
          <cell r="M6" t="str">
            <v>POT. DEMANDADA (kW)</v>
          </cell>
          <cell r="N6" t="str">
            <v>POT. DEMANDADA (kVA)</v>
          </cell>
        </row>
        <row r="7">
          <cell r="A7" t="str">
            <v>BARRAMENTO BLINDADO BB1.1/1.3 – ILUMINAÇÃO HALL</v>
          </cell>
          <cell r="B7">
            <v>123.78</v>
          </cell>
          <cell r="E7" t="e">
            <v>#N/A</v>
          </cell>
          <cell r="F7" t="e">
            <v>#N/A</v>
          </cell>
          <cell r="G7">
            <v>1</v>
          </cell>
          <cell r="I7">
            <v>0.71596423332687886</v>
          </cell>
          <cell r="J7">
            <v>0.97999999999999976</v>
          </cell>
          <cell r="K7">
            <v>123.78</v>
          </cell>
          <cell r="L7">
            <v>126.30612244897962</v>
          </cell>
          <cell r="M7">
            <v>88.622052801201065</v>
          </cell>
          <cell r="N7">
            <v>90.430666123674584</v>
          </cell>
        </row>
        <row r="8">
          <cell r="A8" t="str">
            <v>QD-B1-3S</v>
          </cell>
          <cell r="B8">
            <v>140.32509426511928</v>
          </cell>
          <cell r="E8" t="e">
            <v>#N/A</v>
          </cell>
          <cell r="F8" t="e">
            <v>#N/A</v>
          </cell>
          <cell r="G8">
            <v>1</v>
          </cell>
          <cell r="I8">
            <v>1</v>
          </cell>
          <cell r="J8">
            <v>0.77296462798671983</v>
          </cell>
          <cell r="K8">
            <v>140.32509426511928</v>
          </cell>
          <cell r="L8">
            <v>181.54141752982022</v>
          </cell>
          <cell r="M8">
            <v>140.32509426511928</v>
          </cell>
          <cell r="N8">
            <v>181.54141752982022</v>
          </cell>
        </row>
        <row r="9">
          <cell r="A9" t="str">
            <v>NO BREAK</v>
          </cell>
          <cell r="B9">
            <v>30</v>
          </cell>
          <cell r="G9">
            <v>2</v>
          </cell>
          <cell r="I9">
            <v>0.5</v>
          </cell>
          <cell r="J9">
            <v>1</v>
          </cell>
          <cell r="K9">
            <v>60</v>
          </cell>
          <cell r="L9">
            <v>60</v>
          </cell>
          <cell r="M9">
            <v>30</v>
          </cell>
          <cell r="N9">
            <v>30</v>
          </cell>
        </row>
        <row r="10">
          <cell r="A10" t="str">
            <v>TOTAL</v>
          </cell>
          <cell r="I10">
            <v>0.79896043489677604</v>
          </cell>
          <cell r="J10">
            <v>0.85752015197356957</v>
          </cell>
          <cell r="K10">
            <v>324.10509426511931</v>
          </cell>
          <cell r="L10">
            <v>367.84753997879983</v>
          </cell>
          <cell r="M10">
            <v>258.94714706632033</v>
          </cell>
          <cell r="N10">
            <v>301.97208365349479</v>
          </cell>
        </row>
        <row r="12">
          <cell r="A12" t="str">
            <v>RESUMO GERAL:</v>
          </cell>
          <cell r="B12" t="str">
            <v>kW</v>
          </cell>
          <cell r="C12" t="str">
            <v>kVA</v>
          </cell>
        </row>
        <row r="13">
          <cell r="A13" t="str">
            <v>DEMANDAS</v>
          </cell>
          <cell r="B13">
            <v>258.94714706632033</v>
          </cell>
          <cell r="C13">
            <v>301.97208365349479</v>
          </cell>
        </row>
        <row r="14">
          <cell r="A14" t="str">
            <v>RESERVA     (%)</v>
          </cell>
          <cell r="B14">
            <v>0.2</v>
          </cell>
        </row>
        <row r="15">
          <cell r="A15" t="str">
            <v>FATOR DE SIMULTANEIDADE</v>
          </cell>
          <cell r="B15">
            <v>1</v>
          </cell>
        </row>
        <row r="17">
          <cell r="A17" t="str">
            <v xml:space="preserve">DEMANDA FINAL </v>
          </cell>
          <cell r="B17">
            <v>310.73657647958436</v>
          </cell>
          <cell r="C17">
            <v>362.36650038419373</v>
          </cell>
        </row>
        <row r="19">
          <cell r="A19" t="str">
            <v>TENSÃO (V)</v>
          </cell>
          <cell r="B19">
            <v>380</v>
          </cell>
          <cell r="C19" t="str">
            <v>V</v>
          </cell>
        </row>
        <row r="20">
          <cell r="A20" t="str">
            <v>CORRENTE (A)</v>
          </cell>
          <cell r="B20">
            <v>550.55893826872864</v>
          </cell>
          <cell r="C20" t="str">
            <v>A</v>
          </cell>
        </row>
        <row r="21">
          <cell r="A21" t="str">
            <v>DISJUNTOR GERAL</v>
          </cell>
          <cell r="B21">
            <v>2500</v>
          </cell>
          <cell r="C21" t="str">
            <v>A</v>
          </cell>
        </row>
        <row r="23">
          <cell r="A23" t="str">
            <v>TRANSFORMADOR DE 1500KVA</v>
          </cell>
        </row>
        <row r="27">
          <cell r="A27" t="str">
            <v>TRANSFORMADOR 1.2 – PBT-1.2 EM EMERGÊNCIA</v>
          </cell>
        </row>
        <row r="29">
          <cell r="A29" t="str">
            <v>FINALIDADE</v>
          </cell>
          <cell r="B29" t="str">
            <v>POT. UNIT. (kW)</v>
          </cell>
          <cell r="C29" t="str">
            <v>POT. UNIT. (CV)</v>
          </cell>
          <cell r="D29" t="str">
            <v>T I P O</v>
          </cell>
          <cell r="E29" t="str">
            <v>POT-M (KW)</v>
          </cell>
          <cell r="F29" t="str">
            <v>FP- M</v>
          </cell>
          <cell r="G29" t="str">
            <v>QTDE.</v>
          </cell>
          <cell r="H29" t="str">
            <v>PÓLOS</v>
          </cell>
          <cell r="I29" t="str">
            <v>F.D.</v>
          </cell>
          <cell r="J29" t="str">
            <v>F.P.</v>
          </cell>
          <cell r="K29" t="str">
            <v>POT. INSTALADA (kW)</v>
          </cell>
          <cell r="L29" t="str">
            <v>POT. INSTALADA (kVA)</v>
          </cell>
          <cell r="M29" t="str">
            <v>POT. DEMANDADA (kW)</v>
          </cell>
          <cell r="N29" t="str">
            <v>POT. DEMANDADA (kVA)</v>
          </cell>
        </row>
        <row r="30">
          <cell r="A30" t="str">
            <v>ELEVADORES SUBSOLO</v>
          </cell>
          <cell r="B30">
            <v>20</v>
          </cell>
          <cell r="E30" t="e">
            <v>#N/A</v>
          </cell>
          <cell r="F30" t="e">
            <v>#N/A</v>
          </cell>
          <cell r="G30">
            <v>2</v>
          </cell>
          <cell r="I30">
            <v>0</v>
          </cell>
          <cell r="J30">
            <v>0.8</v>
          </cell>
          <cell r="K30">
            <v>40</v>
          </cell>
          <cell r="L30">
            <v>50</v>
          </cell>
          <cell r="M30">
            <v>0</v>
          </cell>
          <cell r="N30">
            <v>0</v>
          </cell>
        </row>
        <row r="31">
          <cell r="A31" t="str">
            <v>ILUMINAÇÃO E COMANDO ELEVADORES SUBSOLO</v>
          </cell>
          <cell r="B31">
            <v>1.3</v>
          </cell>
          <cell r="E31" t="e">
            <v>#N/A</v>
          </cell>
          <cell r="F31" t="e">
            <v>#N/A</v>
          </cell>
          <cell r="G31">
            <v>1</v>
          </cell>
          <cell r="I31">
            <v>0.74</v>
          </cell>
          <cell r="J31">
            <v>0.8</v>
          </cell>
          <cell r="K31">
            <v>1.3</v>
          </cell>
          <cell r="L31">
            <v>1.625</v>
          </cell>
          <cell r="M31">
            <v>0.96199999999999997</v>
          </cell>
          <cell r="N31">
            <v>1.2024999999999999</v>
          </cell>
        </row>
        <row r="32">
          <cell r="A32" t="str">
            <v>ELEVADORES GARAGEM</v>
          </cell>
          <cell r="B32">
            <v>20</v>
          </cell>
          <cell r="E32" t="e">
            <v>#N/A</v>
          </cell>
          <cell r="F32" t="e">
            <v>#N/A</v>
          </cell>
          <cell r="G32">
            <v>2</v>
          </cell>
          <cell r="I32">
            <v>0.74</v>
          </cell>
          <cell r="J32">
            <v>0.8</v>
          </cell>
          <cell r="K32">
            <v>40</v>
          </cell>
          <cell r="L32">
            <v>50</v>
          </cell>
          <cell r="M32">
            <v>29.6</v>
          </cell>
          <cell r="N32">
            <v>37</v>
          </cell>
        </row>
        <row r="33">
          <cell r="A33" t="str">
            <v>ILUMINAÇÃO E COMANDO ELEVADORES GARAGEM</v>
          </cell>
          <cell r="B33">
            <v>1.3</v>
          </cell>
          <cell r="E33" t="e">
            <v>#N/A</v>
          </cell>
          <cell r="F33" t="e">
            <v>#N/A</v>
          </cell>
          <cell r="G33">
            <v>1</v>
          </cell>
          <cell r="I33">
            <v>0</v>
          </cell>
          <cell r="J33">
            <v>0.8</v>
          </cell>
          <cell r="K33">
            <v>1.3</v>
          </cell>
          <cell r="L33">
            <v>1.625</v>
          </cell>
          <cell r="M33">
            <v>0</v>
          </cell>
          <cell r="N33">
            <v>0</v>
          </cell>
        </row>
        <row r="34">
          <cell r="A34" t="str">
            <v>ELEVADORES ZONA BAIXA</v>
          </cell>
          <cell r="B34">
            <v>50</v>
          </cell>
          <cell r="E34" t="e">
            <v>#N/A</v>
          </cell>
          <cell r="F34" t="e">
            <v>#N/A</v>
          </cell>
          <cell r="G34">
            <v>8</v>
          </cell>
          <cell r="I34">
            <v>0.125</v>
          </cell>
          <cell r="J34">
            <v>0.8</v>
          </cell>
          <cell r="K34">
            <v>400</v>
          </cell>
          <cell r="L34">
            <v>500</v>
          </cell>
          <cell r="M34">
            <v>50</v>
          </cell>
          <cell r="N34">
            <v>62.5</v>
          </cell>
        </row>
        <row r="35">
          <cell r="A35" t="str">
            <v>ILUMINAÇÃO E COMANDO ELEVADORES ZONA BAIXA</v>
          </cell>
          <cell r="B35">
            <v>3</v>
          </cell>
          <cell r="E35" t="e">
            <v>#N/A</v>
          </cell>
          <cell r="F35" t="e">
            <v>#N/A</v>
          </cell>
          <cell r="G35">
            <v>1</v>
          </cell>
          <cell r="I35">
            <v>0.1</v>
          </cell>
          <cell r="J35">
            <v>0.8</v>
          </cell>
          <cell r="K35">
            <v>3</v>
          </cell>
          <cell r="L35">
            <v>3.75</v>
          </cell>
          <cell r="M35">
            <v>0.30000000000000004</v>
          </cell>
          <cell r="N35">
            <v>0.375</v>
          </cell>
        </row>
        <row r="36">
          <cell r="A36" t="str">
            <v>QD-B1-3S-AC</v>
          </cell>
          <cell r="B36">
            <v>140.32509426511928</v>
          </cell>
          <cell r="E36" t="e">
            <v>#N/A</v>
          </cell>
          <cell r="F36" t="e">
            <v>#N/A</v>
          </cell>
          <cell r="G36">
            <v>1</v>
          </cell>
          <cell r="I36">
            <v>0</v>
          </cell>
          <cell r="J36">
            <v>0.77296462798671983</v>
          </cell>
          <cell r="K36">
            <v>140.32509426511928</v>
          </cell>
          <cell r="L36">
            <v>181.54141752982022</v>
          </cell>
          <cell r="M36">
            <v>0</v>
          </cell>
          <cell r="N36">
            <v>0</v>
          </cell>
        </row>
        <row r="37">
          <cell r="A37" t="str">
            <v>VENTILAÇÃO</v>
          </cell>
          <cell r="B37">
            <v>0.56488549618320616</v>
          </cell>
          <cell r="C37">
            <v>0.5</v>
          </cell>
          <cell r="D37" t="str">
            <v>C</v>
          </cell>
          <cell r="E37">
            <v>0.56488549618320616</v>
          </cell>
          <cell r="F37">
            <v>0.73</v>
          </cell>
          <cell r="G37">
            <v>1</v>
          </cell>
          <cell r="I37">
            <v>0</v>
          </cell>
          <cell r="J37">
            <v>0.73</v>
          </cell>
          <cell r="K37">
            <v>0.56488549618320616</v>
          </cell>
          <cell r="L37">
            <v>0.77381574819617283</v>
          </cell>
          <cell r="M37">
            <v>0</v>
          </cell>
          <cell r="N37">
            <v>0</v>
          </cell>
        </row>
        <row r="38">
          <cell r="A38" t="str">
            <v>VENTILAÇÃO</v>
          </cell>
          <cell r="B38">
            <v>0.80291970802919721</v>
          </cell>
          <cell r="C38">
            <v>0.75</v>
          </cell>
          <cell r="D38" t="str">
            <v>C</v>
          </cell>
          <cell r="E38">
            <v>0.80291970802919721</v>
          </cell>
          <cell r="F38">
            <v>0.77</v>
          </cell>
          <cell r="G38">
            <v>1</v>
          </cell>
          <cell r="I38">
            <v>0</v>
          </cell>
          <cell r="J38">
            <v>0.77</v>
          </cell>
          <cell r="K38">
            <v>0.80291970802919721</v>
          </cell>
          <cell r="L38">
            <v>1.0427528675703859</v>
          </cell>
          <cell r="M38">
            <v>0</v>
          </cell>
          <cell r="N38">
            <v>0</v>
          </cell>
        </row>
        <row r="39">
          <cell r="A39" t="str">
            <v>VENTILAÇÃO</v>
          </cell>
          <cell r="B39">
            <v>1.8987341772151898</v>
          </cell>
          <cell r="C39">
            <v>2</v>
          </cell>
          <cell r="D39" t="str">
            <v>C</v>
          </cell>
          <cell r="E39">
            <v>1.8987341772151898</v>
          </cell>
          <cell r="F39">
            <v>0.82</v>
          </cell>
          <cell r="G39">
            <v>1</v>
          </cell>
          <cell r="I39">
            <v>0</v>
          </cell>
          <cell r="J39">
            <v>0.82</v>
          </cell>
          <cell r="K39">
            <v>1.8987341772151898</v>
          </cell>
          <cell r="L39">
            <v>2.3155294844087684</v>
          </cell>
          <cell r="M39">
            <v>0</v>
          </cell>
          <cell r="N39">
            <v>0</v>
          </cell>
        </row>
        <row r="40">
          <cell r="A40" t="str">
            <v>FANCOIL</v>
          </cell>
          <cell r="B40">
            <v>6.3805104408352662</v>
          </cell>
          <cell r="C40">
            <v>7.5</v>
          </cell>
          <cell r="D40" t="str">
            <v>C</v>
          </cell>
          <cell r="E40">
            <v>6.3805104408352662</v>
          </cell>
          <cell r="F40">
            <v>0.8</v>
          </cell>
          <cell r="G40">
            <v>2</v>
          </cell>
          <cell r="I40">
            <v>0</v>
          </cell>
          <cell r="J40">
            <v>0.8</v>
          </cell>
          <cell r="K40">
            <v>12.761020881670532</v>
          </cell>
          <cell r="L40">
            <v>15.951276102088165</v>
          </cell>
          <cell r="M40">
            <v>0</v>
          </cell>
          <cell r="N40">
            <v>0</v>
          </cell>
        </row>
        <row r="41">
          <cell r="A41" t="str">
            <v>UNIDADE CONDENSADORA</v>
          </cell>
          <cell r="B41">
            <v>43.4</v>
          </cell>
          <cell r="G41">
            <v>1</v>
          </cell>
          <cell r="I41">
            <v>0</v>
          </cell>
          <cell r="J41">
            <v>0.8</v>
          </cell>
          <cell r="K41">
            <v>43.4</v>
          </cell>
          <cell r="L41">
            <v>54.249999999999993</v>
          </cell>
          <cell r="M41">
            <v>0</v>
          </cell>
          <cell r="N41">
            <v>0</v>
          </cell>
        </row>
        <row r="42">
          <cell r="A42" t="str">
            <v>FANCOIL ESCRITÓRIOS</v>
          </cell>
          <cell r="B42">
            <v>8.6705202312138727</v>
          </cell>
          <cell r="C42">
            <v>10</v>
          </cell>
          <cell r="D42" t="str">
            <v>C</v>
          </cell>
          <cell r="E42">
            <v>8.6705202312138727</v>
          </cell>
          <cell r="F42">
            <v>0.85</v>
          </cell>
          <cell r="G42">
            <v>32</v>
          </cell>
          <cell r="I42">
            <v>0</v>
          </cell>
          <cell r="J42">
            <v>0.85</v>
          </cell>
          <cell r="K42">
            <v>277.45664739884393</v>
          </cell>
          <cell r="L42">
            <v>326.41958517511051</v>
          </cell>
          <cell r="M42">
            <v>0</v>
          </cell>
          <cell r="N42">
            <v>0</v>
          </cell>
        </row>
        <row r="43">
          <cell r="A43" t="str">
            <v>ILUMINAÇÃO, TOMADAS E AR CONDICIONADO FAST FOOD</v>
          </cell>
          <cell r="B43">
            <v>258.76900000000001</v>
          </cell>
          <cell r="G43">
            <v>1</v>
          </cell>
          <cell r="I43">
            <v>0</v>
          </cell>
          <cell r="J43">
            <v>0.9</v>
          </cell>
          <cell r="K43">
            <v>258.76900000000001</v>
          </cell>
          <cell r="L43">
            <v>287.52111111111111</v>
          </cell>
          <cell r="M43">
            <v>0</v>
          </cell>
          <cell r="N43">
            <v>0</v>
          </cell>
        </row>
        <row r="44">
          <cell r="A44" t="str">
            <v>BOMBA DE RECALQUE DE ÁGUA FRIA</v>
          </cell>
          <cell r="B44">
            <v>20.670391061452513</v>
          </cell>
          <cell r="C44">
            <v>25</v>
          </cell>
          <cell r="D44" t="str">
            <v>H</v>
          </cell>
          <cell r="E44">
            <v>20.670391061452513</v>
          </cell>
          <cell r="F44">
            <v>0.85</v>
          </cell>
          <cell r="G44">
            <v>2</v>
          </cell>
          <cell r="I44">
            <v>0</v>
          </cell>
          <cell r="J44">
            <v>0.85</v>
          </cell>
          <cell r="K44">
            <v>41.340782122905026</v>
          </cell>
          <cell r="L44">
            <v>48.636214262241211</v>
          </cell>
          <cell r="M44">
            <v>0</v>
          </cell>
          <cell r="N44">
            <v>0</v>
          </cell>
        </row>
        <row r="45">
          <cell r="A45" t="str">
            <v>BOMBA DE RECALQUE DE ÁGUAS PLUVIAIS</v>
          </cell>
          <cell r="B45">
            <v>8.6705202312138727</v>
          </cell>
          <cell r="C45">
            <v>10</v>
          </cell>
          <cell r="D45" t="str">
            <v>H</v>
          </cell>
          <cell r="E45">
            <v>8.6705202312138727</v>
          </cell>
          <cell r="F45">
            <v>0.85</v>
          </cell>
          <cell r="G45">
            <v>6</v>
          </cell>
          <cell r="I45">
            <v>0</v>
          </cell>
          <cell r="J45">
            <v>0.85</v>
          </cell>
          <cell r="K45">
            <v>52.02312138728324</v>
          </cell>
          <cell r="L45">
            <v>61.203672220333225</v>
          </cell>
          <cell r="M45">
            <v>0</v>
          </cell>
          <cell r="N45">
            <v>0</v>
          </cell>
        </row>
        <row r="46">
          <cell r="A46" t="str">
            <v>BOMBA DE RECALQUE DE ESGOTO</v>
          </cell>
          <cell r="B46">
            <v>8.6705202312138727</v>
          </cell>
          <cell r="C46">
            <v>10</v>
          </cell>
          <cell r="D46" t="str">
            <v>H</v>
          </cell>
          <cell r="E46">
            <v>8.6705202312138727</v>
          </cell>
          <cell r="F46">
            <v>0.85</v>
          </cell>
          <cell r="G46">
            <v>6</v>
          </cell>
          <cell r="I46">
            <v>0</v>
          </cell>
          <cell r="J46">
            <v>0.85</v>
          </cell>
          <cell r="K46">
            <v>52.02312138728324</v>
          </cell>
          <cell r="L46">
            <v>61.203672220333225</v>
          </cell>
          <cell r="M46">
            <v>0</v>
          </cell>
          <cell r="N46">
            <v>0</v>
          </cell>
        </row>
        <row r="47">
          <cell r="A47" t="str">
            <v>BOMBA DE RECALQUE DE REUSO</v>
          </cell>
          <cell r="B47">
            <v>1.0135135135135136</v>
          </cell>
          <cell r="C47">
            <v>1</v>
          </cell>
          <cell r="D47" t="str">
            <v>H</v>
          </cell>
          <cell r="E47">
            <v>1.0135135135135136</v>
          </cell>
          <cell r="F47">
            <v>0.78</v>
          </cell>
          <cell r="G47">
            <v>2</v>
          </cell>
          <cell r="I47">
            <v>0</v>
          </cell>
          <cell r="J47">
            <v>0.78</v>
          </cell>
          <cell r="K47">
            <v>2.0270270270270272</v>
          </cell>
          <cell r="L47">
            <v>2.5987525987525988</v>
          </cell>
          <cell r="M47">
            <v>0</v>
          </cell>
          <cell r="N47">
            <v>0</v>
          </cell>
        </row>
        <row r="48">
          <cell r="A48" t="str">
            <v>BOMBA DE RECALQUE DO POÇO DE RETARDO</v>
          </cell>
          <cell r="B48">
            <v>1.0135135135135136</v>
          </cell>
          <cell r="C48">
            <v>1</v>
          </cell>
          <cell r="D48" t="str">
            <v>H</v>
          </cell>
          <cell r="E48">
            <v>1.0135135135135136</v>
          </cell>
          <cell r="F48">
            <v>0.78</v>
          </cell>
          <cell r="G48">
            <v>2</v>
          </cell>
          <cell r="I48">
            <v>0</v>
          </cell>
          <cell r="J48">
            <v>0.78</v>
          </cell>
          <cell r="K48">
            <v>2.0270270270270272</v>
          </cell>
          <cell r="L48">
            <v>2.5987525987525988</v>
          </cell>
          <cell r="M48">
            <v>0</v>
          </cell>
          <cell r="N48">
            <v>0</v>
          </cell>
        </row>
        <row r="49">
          <cell r="A49" t="str">
            <v>ESCADA ROLANTE</v>
          </cell>
          <cell r="B49">
            <v>10</v>
          </cell>
          <cell r="G49">
            <v>2</v>
          </cell>
          <cell r="I49">
            <v>0</v>
          </cell>
          <cell r="J49">
            <v>0.8</v>
          </cell>
          <cell r="K49">
            <v>20</v>
          </cell>
          <cell r="L49">
            <v>25</v>
          </cell>
          <cell r="M49">
            <v>0</v>
          </cell>
          <cell r="N49">
            <v>0</v>
          </cell>
        </row>
        <row r="50">
          <cell r="A50" t="str">
            <v>TOTAL</v>
          </cell>
          <cell r="I50">
            <v>5.8131468987100983E-2</v>
          </cell>
          <cell r="J50">
            <v>0.79999999999999993</v>
          </cell>
          <cell r="K50">
            <v>1391.0193808785871</v>
          </cell>
          <cell r="L50">
            <v>1678.056551918718</v>
          </cell>
          <cell r="M50">
            <v>80.861999999999995</v>
          </cell>
          <cell r="N50">
            <v>101.0775</v>
          </cell>
        </row>
        <row r="52">
          <cell r="I52" t="str">
            <v>COM O PAINEL DE SEGURANÇA EM FUNCIONAMENTO</v>
          </cell>
        </row>
        <row r="53">
          <cell r="A53" t="str">
            <v>RESUMO GERAL:</v>
          </cell>
          <cell r="B53" t="str">
            <v>kW</v>
          </cell>
          <cell r="C53" t="str">
            <v>kVA</v>
          </cell>
          <cell r="I53" t="str">
            <v>kW</v>
          </cell>
          <cell r="J53" t="str">
            <v>kVA</v>
          </cell>
        </row>
        <row r="54">
          <cell r="A54" t="str">
            <v>DEMANDAS</v>
          </cell>
          <cell r="B54">
            <v>80.861999999999995</v>
          </cell>
          <cell r="C54">
            <v>101.0775</v>
          </cell>
          <cell r="I54">
            <v>442.08736295026449</v>
          </cell>
          <cell r="J54">
            <v>529.01118759655708</v>
          </cell>
        </row>
        <row r="55">
          <cell r="A55" t="str">
            <v>RESERVA     (%)</v>
          </cell>
          <cell r="B55">
            <v>0.2</v>
          </cell>
          <cell r="I55">
            <v>0</v>
          </cell>
        </row>
        <row r="56">
          <cell r="A56" t="str">
            <v>FATOR DE SIMULTANEIDADE</v>
          </cell>
          <cell r="B56">
            <v>1</v>
          </cell>
          <cell r="I56">
            <v>1</v>
          </cell>
        </row>
        <row r="58">
          <cell r="A58" t="str">
            <v xml:space="preserve">DEMANDA FINAL </v>
          </cell>
          <cell r="B58">
            <v>97.034399999999991</v>
          </cell>
          <cell r="C58">
            <v>121.29299999999999</v>
          </cell>
          <cell r="I58">
            <v>442.08736295026449</v>
          </cell>
          <cell r="J58">
            <v>529.01118759655708</v>
          </cell>
        </row>
        <row r="60">
          <cell r="A60" t="str">
            <v>TENSÃO (V)</v>
          </cell>
          <cell r="B60">
            <v>380</v>
          </cell>
          <cell r="C60" t="str">
            <v>V</v>
          </cell>
          <cell r="I60">
            <v>380</v>
          </cell>
          <cell r="J60" t="str">
            <v>V</v>
          </cell>
        </row>
        <row r="61">
          <cell r="A61" t="str">
            <v>CORRENTE (A)</v>
          </cell>
          <cell r="B61">
            <v>184.28564789688755</v>
          </cell>
          <cell r="C61" t="str">
            <v>A</v>
          </cell>
          <cell r="I61">
            <v>803.74934621893647</v>
          </cell>
          <cell r="J61" t="str">
            <v>A</v>
          </cell>
        </row>
        <row r="62">
          <cell r="A62" t="str">
            <v>DISJUNTOR GERAL</v>
          </cell>
          <cell r="B62">
            <v>2500</v>
          </cell>
          <cell r="C62" t="str">
            <v>A</v>
          </cell>
          <cell r="I62">
            <v>2500</v>
          </cell>
          <cell r="J62" t="str">
            <v>A</v>
          </cell>
        </row>
        <row r="64">
          <cell r="A64" t="str">
            <v>TRANSFORMADOR DE 1500KVA</v>
          </cell>
        </row>
        <row r="69">
          <cell r="A69" t="str">
            <v>PBT-SEG EM EMERGÊNCIA</v>
          </cell>
        </row>
        <row r="71">
          <cell r="A71" t="str">
            <v>EM REGIME NORMAL</v>
          </cell>
        </row>
        <row r="72">
          <cell r="A72" t="str">
            <v>FINALIDADE</v>
          </cell>
          <cell r="B72" t="str">
            <v>POT. UNIT. (kW)</v>
          </cell>
          <cell r="C72" t="str">
            <v>POT. UNIT. (CV)</v>
          </cell>
          <cell r="D72" t="str">
            <v>T I P O</v>
          </cell>
          <cell r="E72" t="str">
            <v>POT-M (KW)</v>
          </cell>
          <cell r="F72" t="str">
            <v>FP- M</v>
          </cell>
          <cell r="G72" t="str">
            <v>QTDE.</v>
          </cell>
          <cell r="H72" t="str">
            <v>PÓLOS</v>
          </cell>
          <cell r="I72" t="str">
            <v>F.D.</v>
          </cell>
          <cell r="J72" t="str">
            <v>F.P.</v>
          </cell>
          <cell r="K72" t="str">
            <v>POT. INSTALADA (kW)</v>
          </cell>
          <cell r="L72" t="str">
            <v>POT. INSTALADA (kVA)</v>
          </cell>
          <cell r="M72" t="str">
            <v>POT. DEMANDADA (kW)</v>
          </cell>
          <cell r="N72" t="str">
            <v>POT. DEMANDADA (kVA)</v>
          </cell>
        </row>
        <row r="73">
          <cell r="A73" t="str">
            <v>ELEVADOR DE SEGUANÇA</v>
          </cell>
          <cell r="B73">
            <v>35</v>
          </cell>
          <cell r="E73" t="e">
            <v>#N/A</v>
          </cell>
          <cell r="F73" t="e">
            <v>#N/A</v>
          </cell>
          <cell r="G73">
            <v>1</v>
          </cell>
          <cell r="I73">
            <v>1</v>
          </cell>
          <cell r="J73">
            <v>0.8</v>
          </cell>
          <cell r="K73">
            <v>35</v>
          </cell>
          <cell r="L73">
            <v>43.75</v>
          </cell>
          <cell r="M73">
            <v>35</v>
          </cell>
          <cell r="N73">
            <v>43.75</v>
          </cell>
        </row>
        <row r="74">
          <cell r="A74" t="str">
            <v>ILUMINAÇÃO E COMANDO ELEVADORE DE SEGURANÇA</v>
          </cell>
          <cell r="B74">
            <v>3</v>
          </cell>
          <cell r="E74" t="e">
            <v>#N/A</v>
          </cell>
          <cell r="F74" t="e">
            <v>#N/A</v>
          </cell>
          <cell r="G74">
            <v>1</v>
          </cell>
          <cell r="I74">
            <v>1</v>
          </cell>
          <cell r="J74">
            <v>0.8</v>
          </cell>
          <cell r="K74">
            <v>3</v>
          </cell>
          <cell r="L74">
            <v>3.75</v>
          </cell>
          <cell r="M74">
            <v>3</v>
          </cell>
          <cell r="N74">
            <v>3.75</v>
          </cell>
        </row>
        <row r="75">
          <cell r="A75" t="str">
            <v>PRESSURIZAÇÃO ESCADA 5SS</v>
          </cell>
          <cell r="B75">
            <v>6.3805104408352662</v>
          </cell>
          <cell r="C75">
            <v>7.5</v>
          </cell>
          <cell r="D75" t="str">
            <v>C</v>
          </cell>
          <cell r="E75">
            <v>6.3805104408352662</v>
          </cell>
          <cell r="F75">
            <v>0.8</v>
          </cell>
          <cell r="G75">
            <v>4</v>
          </cell>
          <cell r="I75">
            <v>0</v>
          </cell>
          <cell r="J75">
            <v>0.8</v>
          </cell>
          <cell r="K75">
            <v>25.522041763341065</v>
          </cell>
          <cell r="L75">
            <v>31.902552204176331</v>
          </cell>
          <cell r="M75">
            <v>0</v>
          </cell>
          <cell r="N75">
            <v>0</v>
          </cell>
        </row>
        <row r="76">
          <cell r="A76" t="str">
            <v>PRESSURIZAÇÃO ESCADA 3SS</v>
          </cell>
          <cell r="B76">
            <v>8.6705202312138727</v>
          </cell>
          <cell r="C76">
            <v>10</v>
          </cell>
          <cell r="D76" t="str">
            <v>C</v>
          </cell>
          <cell r="E76">
            <v>8.6705202312138727</v>
          </cell>
          <cell r="F76">
            <v>0.85</v>
          </cell>
          <cell r="G76">
            <v>2</v>
          </cell>
          <cell r="I76">
            <v>0</v>
          </cell>
          <cell r="J76">
            <v>0.85</v>
          </cell>
          <cell r="K76">
            <v>17.341040462427745</v>
          </cell>
          <cell r="L76">
            <v>20.401224073444407</v>
          </cell>
          <cell r="M76">
            <v>0</v>
          </cell>
          <cell r="N76">
            <v>0</v>
          </cell>
        </row>
        <row r="77">
          <cell r="A77" t="str">
            <v>PRESSURIZAÇÃO ESCADA 1SS</v>
          </cell>
          <cell r="B77">
            <v>16.930022573363431</v>
          </cell>
          <cell r="C77">
            <v>20</v>
          </cell>
          <cell r="D77" t="str">
            <v>C</v>
          </cell>
          <cell r="E77">
            <v>16.930022573363431</v>
          </cell>
          <cell r="F77">
            <v>0.84</v>
          </cell>
          <cell r="G77">
            <v>5</v>
          </cell>
          <cell r="I77">
            <v>0</v>
          </cell>
          <cell r="J77">
            <v>0.84</v>
          </cell>
          <cell r="K77">
            <v>84.650112866817153</v>
          </cell>
          <cell r="L77">
            <v>100.77394388906805</v>
          </cell>
          <cell r="M77">
            <v>0</v>
          </cell>
          <cell r="N77">
            <v>0</v>
          </cell>
        </row>
        <row r="78">
          <cell r="A78" t="str">
            <v>EXAUSTÃO DE FUMAÇA</v>
          </cell>
          <cell r="B78">
            <v>16.930022573363431</v>
          </cell>
          <cell r="C78">
            <v>20</v>
          </cell>
          <cell r="D78" t="str">
            <v>C</v>
          </cell>
          <cell r="E78">
            <v>16.930022573363431</v>
          </cell>
          <cell r="F78">
            <v>0.84</v>
          </cell>
          <cell r="G78">
            <v>2</v>
          </cell>
          <cell r="I78">
            <v>0</v>
          </cell>
          <cell r="J78">
            <v>0.84</v>
          </cell>
          <cell r="K78">
            <v>33.860045146726861</v>
          </cell>
          <cell r="L78">
            <v>40.309577555627214</v>
          </cell>
          <cell r="M78">
            <v>0</v>
          </cell>
          <cell r="N78">
            <v>0</v>
          </cell>
        </row>
        <row r="79">
          <cell r="A79" t="str">
            <v>ELEVADOR DE SEGUANÇA</v>
          </cell>
          <cell r="B79">
            <v>35</v>
          </cell>
          <cell r="E79" t="e">
            <v>#N/A</v>
          </cell>
          <cell r="F79" t="e">
            <v>#N/A</v>
          </cell>
          <cell r="G79">
            <v>1</v>
          </cell>
          <cell r="I79">
            <v>1</v>
          </cell>
          <cell r="J79">
            <v>0.8</v>
          </cell>
          <cell r="K79">
            <v>35</v>
          </cell>
          <cell r="L79">
            <v>43.75</v>
          </cell>
          <cell r="M79">
            <v>35</v>
          </cell>
          <cell r="N79">
            <v>43.75</v>
          </cell>
        </row>
        <row r="80">
          <cell r="A80" t="str">
            <v>ILUMINAÇÃO E COMANDO ELEVADORE DE SEGURANÇA</v>
          </cell>
          <cell r="B80">
            <v>3</v>
          </cell>
          <cell r="E80" t="e">
            <v>#N/A</v>
          </cell>
          <cell r="F80" t="e">
            <v>#N/A</v>
          </cell>
          <cell r="G80">
            <v>1</v>
          </cell>
          <cell r="I80">
            <v>1</v>
          </cell>
          <cell r="J80">
            <v>0.8</v>
          </cell>
          <cell r="K80">
            <v>3</v>
          </cell>
          <cell r="L80">
            <v>3.75</v>
          </cell>
          <cell r="M80">
            <v>3</v>
          </cell>
          <cell r="N80">
            <v>3.75</v>
          </cell>
        </row>
        <row r="81">
          <cell r="A81" t="str">
            <v>PRESSURIZAÇÃO ESCADA 5SS</v>
          </cell>
          <cell r="B81">
            <v>6.3805104408352662</v>
          </cell>
          <cell r="C81">
            <v>7.5</v>
          </cell>
          <cell r="D81" t="str">
            <v>C</v>
          </cell>
          <cell r="E81">
            <v>6.3805104408352662</v>
          </cell>
          <cell r="F81">
            <v>0.8</v>
          </cell>
          <cell r="G81">
            <v>4</v>
          </cell>
          <cell r="I81">
            <v>0</v>
          </cell>
          <cell r="J81">
            <v>0.8</v>
          </cell>
          <cell r="K81">
            <v>25.522041763341065</v>
          </cell>
          <cell r="L81">
            <v>31.902552204176331</v>
          </cell>
          <cell r="M81">
            <v>0</v>
          </cell>
          <cell r="N81">
            <v>0</v>
          </cell>
        </row>
        <row r="82">
          <cell r="A82" t="str">
            <v>PRESSURIZAÇÃO ESCADA 3SS</v>
          </cell>
          <cell r="B82">
            <v>8.6705202312138727</v>
          </cell>
          <cell r="C82">
            <v>10</v>
          </cell>
          <cell r="D82" t="str">
            <v>C</v>
          </cell>
          <cell r="E82">
            <v>8.6705202312138727</v>
          </cell>
          <cell r="F82">
            <v>0.85</v>
          </cell>
          <cell r="G82">
            <v>2</v>
          </cell>
          <cell r="I82">
            <v>0</v>
          </cell>
          <cell r="J82">
            <v>0.85</v>
          </cell>
          <cell r="K82">
            <v>17.341040462427745</v>
          </cell>
          <cell r="L82">
            <v>20.401224073444407</v>
          </cell>
          <cell r="M82">
            <v>0</v>
          </cell>
          <cell r="N82">
            <v>0</v>
          </cell>
        </row>
        <row r="83">
          <cell r="A83" t="str">
            <v>PRESSURIZAÇÃO ESCADA 1SS</v>
          </cell>
          <cell r="B83">
            <v>16.930022573363431</v>
          </cell>
          <cell r="C83">
            <v>20</v>
          </cell>
          <cell r="D83" t="str">
            <v>C</v>
          </cell>
          <cell r="E83">
            <v>16.930022573363431</v>
          </cell>
          <cell r="F83">
            <v>0.84</v>
          </cell>
          <cell r="G83">
            <v>5</v>
          </cell>
          <cell r="I83">
            <v>0</v>
          </cell>
          <cell r="J83">
            <v>0.84</v>
          </cell>
          <cell r="K83">
            <v>84.650112866817153</v>
          </cell>
          <cell r="L83">
            <v>100.77394388906805</v>
          </cell>
          <cell r="M83">
            <v>0</v>
          </cell>
          <cell r="N83">
            <v>0</v>
          </cell>
        </row>
        <row r="84">
          <cell r="A84" t="str">
            <v>EXAUSTÃO DE FUMAÇA</v>
          </cell>
          <cell r="B84">
            <v>16.930022573363431</v>
          </cell>
          <cell r="C84">
            <v>20</v>
          </cell>
          <cell r="D84" t="str">
            <v>C</v>
          </cell>
          <cell r="E84">
            <v>16.930022573363431</v>
          </cell>
          <cell r="F84">
            <v>0.84</v>
          </cell>
          <cell r="G84">
            <v>2</v>
          </cell>
          <cell r="I84">
            <v>0</v>
          </cell>
          <cell r="J84">
            <v>0.84</v>
          </cell>
          <cell r="K84">
            <v>33.860045146726861</v>
          </cell>
          <cell r="L84">
            <v>40.309577555627214</v>
          </cell>
          <cell r="M84">
            <v>0</v>
          </cell>
          <cell r="N84">
            <v>0</v>
          </cell>
        </row>
        <row r="85">
          <cell r="A85" t="str">
            <v>BOMBA DE RECALQUE DE ÓLEO DIESEL</v>
          </cell>
          <cell r="B85">
            <v>2.7500000000000004</v>
          </cell>
          <cell r="C85">
            <v>3</v>
          </cell>
          <cell r="D85" t="str">
            <v>H</v>
          </cell>
          <cell r="E85">
            <v>2.7500000000000004</v>
          </cell>
          <cell r="F85">
            <v>0.77</v>
          </cell>
          <cell r="G85">
            <v>2</v>
          </cell>
          <cell r="I85">
            <v>0.5</v>
          </cell>
          <cell r="J85">
            <v>0.77</v>
          </cell>
          <cell r="K85">
            <v>5.5000000000000009</v>
          </cell>
          <cell r="L85">
            <v>7.1428571428571441</v>
          </cell>
          <cell r="M85">
            <v>2.7500000000000004</v>
          </cell>
          <cell r="N85">
            <v>3.5714285714285721</v>
          </cell>
        </row>
        <row r="86">
          <cell r="A86" t="str">
            <v>ILUMINAÇÃO E TOMADAS GERADOR</v>
          </cell>
          <cell r="B86">
            <v>11.67</v>
          </cell>
          <cell r="E86" t="e">
            <v>#N/A</v>
          </cell>
          <cell r="F86" t="e">
            <v>#N/A</v>
          </cell>
          <cell r="G86">
            <v>1</v>
          </cell>
          <cell r="I86">
            <v>0.9</v>
          </cell>
          <cell r="J86">
            <v>0.94</v>
          </cell>
          <cell r="K86">
            <v>11.67</v>
          </cell>
          <cell r="L86">
            <v>12.414893617021278</v>
          </cell>
          <cell r="M86">
            <v>10.503</v>
          </cell>
          <cell r="N86">
            <v>11.17340425531915</v>
          </cell>
        </row>
        <row r="87">
          <cell r="A87" t="str">
            <v>BOMBA DE INCÊNDIO JOCKEY</v>
          </cell>
          <cell r="B87">
            <v>4.3632075471698117</v>
          </cell>
          <cell r="C87">
            <v>5</v>
          </cell>
          <cell r="D87" t="str">
            <v>H</v>
          </cell>
          <cell r="E87">
            <v>4.3632075471698117</v>
          </cell>
          <cell r="F87">
            <v>0.83</v>
          </cell>
          <cell r="G87">
            <v>1</v>
          </cell>
          <cell r="I87">
            <v>1</v>
          </cell>
          <cell r="J87">
            <v>0.83</v>
          </cell>
          <cell r="K87">
            <v>4.3632075471698117</v>
          </cell>
          <cell r="L87">
            <v>5.2568765628551954</v>
          </cell>
          <cell r="M87">
            <v>4.3632075471698117</v>
          </cell>
          <cell r="N87">
            <v>5.2568765628551954</v>
          </cell>
        </row>
        <row r="88">
          <cell r="A88" t="str">
            <v>BOMBA DE INCÊNDIO PRINCIPAL</v>
          </cell>
          <cell r="B88">
            <v>119.56521739130434</v>
          </cell>
          <cell r="C88">
            <v>150</v>
          </cell>
          <cell r="D88" t="str">
            <v>H</v>
          </cell>
          <cell r="E88">
            <v>119.56521739130434</v>
          </cell>
          <cell r="F88">
            <v>0.86</v>
          </cell>
          <cell r="G88">
            <v>1</v>
          </cell>
          <cell r="I88">
            <v>0</v>
          </cell>
          <cell r="J88">
            <v>0.86</v>
          </cell>
          <cell r="K88">
            <v>119.56521739130434</v>
          </cell>
          <cell r="L88">
            <v>139.02932254802832</v>
          </cell>
          <cell r="M88">
            <v>0</v>
          </cell>
          <cell r="N88">
            <v>0</v>
          </cell>
        </row>
        <row r="89">
          <cell r="A89" t="str">
            <v>RETIFICADOR SUBESTAÇÃO</v>
          </cell>
          <cell r="B89">
            <v>10</v>
          </cell>
          <cell r="G89">
            <v>1</v>
          </cell>
          <cell r="I89">
            <v>1</v>
          </cell>
          <cell r="J89">
            <v>0.8</v>
          </cell>
          <cell r="K89">
            <v>10</v>
          </cell>
          <cell r="L89">
            <v>12.5</v>
          </cell>
          <cell r="M89">
            <v>10</v>
          </cell>
          <cell r="N89">
            <v>12.5</v>
          </cell>
        </row>
        <row r="90">
          <cell r="A90" t="str">
            <v>TOTAL</v>
          </cell>
          <cell r="I90">
            <v>0.18844624461614121</v>
          </cell>
          <cell r="J90">
            <v>0.81266524224042402</v>
          </cell>
          <cell r="K90">
            <v>549.84490541709977</v>
          </cell>
          <cell r="L90">
            <v>658.11854531539404</v>
          </cell>
          <cell r="M90">
            <v>103.61620754716981</v>
          </cell>
          <cell r="N90">
            <v>127.50170938960292</v>
          </cell>
        </row>
        <row r="92">
          <cell r="A92" t="str">
            <v>RESUMO GERAL:</v>
          </cell>
          <cell r="B92" t="str">
            <v>kW</v>
          </cell>
          <cell r="C92" t="str">
            <v>kVA</v>
          </cell>
        </row>
        <row r="93">
          <cell r="A93" t="str">
            <v>DEMANDAS</v>
          </cell>
          <cell r="B93">
            <v>103.61620754716981</v>
          </cell>
          <cell r="C93">
            <v>127.50170938960292</v>
          </cell>
        </row>
        <row r="94">
          <cell r="A94" t="str">
            <v>RESERVA     (%)</v>
          </cell>
          <cell r="B94">
            <v>0.2</v>
          </cell>
        </row>
        <row r="95">
          <cell r="A95" t="str">
            <v>FATOR DE SIMULTANEIDADE</v>
          </cell>
          <cell r="B95">
            <v>1</v>
          </cell>
        </row>
        <row r="97">
          <cell r="A97" t="str">
            <v xml:space="preserve">DEMANDA FINAL </v>
          </cell>
          <cell r="B97">
            <v>124.33944905660377</v>
          </cell>
          <cell r="C97">
            <v>153.00205126752351</v>
          </cell>
        </row>
        <row r="99">
          <cell r="A99" t="str">
            <v>TENSÃO (V)</v>
          </cell>
          <cell r="B99">
            <v>380</v>
          </cell>
          <cell r="C99" t="str">
            <v>V</v>
          </cell>
        </row>
        <row r="100">
          <cell r="A100" t="str">
            <v>CORRENTE (A)</v>
          </cell>
          <cell r="B100">
            <v>232.46256706807799</v>
          </cell>
          <cell r="C100" t="str">
            <v>A</v>
          </cell>
        </row>
        <row r="101">
          <cell r="A101" t="str">
            <v>DISJUNTOR GERAL</v>
          </cell>
          <cell r="B101">
            <v>1250</v>
          </cell>
          <cell r="C101" t="str">
            <v>A</v>
          </cell>
        </row>
        <row r="104">
          <cell r="A104" t="str">
            <v>EM FUNCIONAMENTO</v>
          </cell>
        </row>
        <row r="105">
          <cell r="A105" t="str">
            <v>FINALIDADE</v>
          </cell>
          <cell r="B105" t="str">
            <v>POT. UNIT. (kW)</v>
          </cell>
          <cell r="C105" t="str">
            <v>POT. UNIT. (CV)</v>
          </cell>
          <cell r="D105" t="str">
            <v>T I P O</v>
          </cell>
          <cell r="E105" t="str">
            <v>POT-M (KW)</v>
          </cell>
          <cell r="F105" t="str">
            <v>FP- M</v>
          </cell>
          <cell r="G105" t="str">
            <v>QTDE.</v>
          </cell>
          <cell r="H105" t="str">
            <v>PÓLOS</v>
          </cell>
          <cell r="I105" t="str">
            <v>F.D.</v>
          </cell>
          <cell r="J105" t="str">
            <v>F.P.</v>
          </cell>
          <cell r="K105" t="str">
            <v>POT. INSTALADA (kW)</v>
          </cell>
          <cell r="L105" t="str">
            <v>POT. INSTALADA (kVA)</v>
          </cell>
          <cell r="M105" t="str">
            <v>POT. DEMANDADA (kW)</v>
          </cell>
          <cell r="N105" t="str">
            <v>POT. DEMANDADA (kVA)</v>
          </cell>
        </row>
        <row r="106">
          <cell r="A106" t="str">
            <v>ELEVADOR DE SEGUANÇA</v>
          </cell>
          <cell r="B106">
            <v>35</v>
          </cell>
          <cell r="E106" t="e">
            <v>#N/A</v>
          </cell>
          <cell r="F106" t="e">
            <v>#N/A</v>
          </cell>
          <cell r="G106">
            <v>1</v>
          </cell>
          <cell r="I106">
            <v>1</v>
          </cell>
          <cell r="J106">
            <v>0.8</v>
          </cell>
          <cell r="K106">
            <v>35</v>
          </cell>
          <cell r="L106">
            <v>43.75</v>
          </cell>
          <cell r="M106">
            <v>35</v>
          </cell>
          <cell r="N106">
            <v>43.75</v>
          </cell>
        </row>
        <row r="107">
          <cell r="A107" t="str">
            <v>ILUMINAÇÃO E COMANDO ELEVADORE DE SEGURANÇA</v>
          </cell>
          <cell r="B107">
            <v>3</v>
          </cell>
          <cell r="E107" t="e">
            <v>#N/A</v>
          </cell>
          <cell r="F107" t="e">
            <v>#N/A</v>
          </cell>
          <cell r="G107">
            <v>1</v>
          </cell>
          <cell r="I107">
            <v>1</v>
          </cell>
          <cell r="J107">
            <v>0.8</v>
          </cell>
          <cell r="K107">
            <v>3</v>
          </cell>
          <cell r="L107">
            <v>3.75</v>
          </cell>
          <cell r="M107">
            <v>3</v>
          </cell>
          <cell r="N107">
            <v>3.75</v>
          </cell>
        </row>
        <row r="108">
          <cell r="A108" t="str">
            <v>PRESSURIZAÇÃO ESCADA 5SS</v>
          </cell>
          <cell r="B108">
            <v>6.3805104408352662</v>
          </cell>
          <cell r="C108">
            <v>7.5</v>
          </cell>
          <cell r="D108" t="str">
            <v>C</v>
          </cell>
          <cell r="E108">
            <v>6.3805104408352662</v>
          </cell>
          <cell r="F108">
            <v>0.8</v>
          </cell>
          <cell r="G108">
            <v>4</v>
          </cell>
          <cell r="I108">
            <v>0.5</v>
          </cell>
          <cell r="J108">
            <v>0.8</v>
          </cell>
          <cell r="K108">
            <v>25.522041763341065</v>
          </cell>
          <cell r="L108">
            <v>31.902552204176331</v>
          </cell>
          <cell r="M108">
            <v>12.761020881670532</v>
          </cell>
          <cell r="N108">
            <v>15.951276102088165</v>
          </cell>
        </row>
        <row r="109">
          <cell r="A109" t="str">
            <v>PRESSURIZAÇÃO ESCADA 3SS</v>
          </cell>
          <cell r="B109">
            <v>8.6705202312138727</v>
          </cell>
          <cell r="C109">
            <v>10</v>
          </cell>
          <cell r="D109" t="str">
            <v>C</v>
          </cell>
          <cell r="E109">
            <v>8.6705202312138727</v>
          </cell>
          <cell r="F109">
            <v>0.85</v>
          </cell>
          <cell r="G109">
            <v>2</v>
          </cell>
          <cell r="I109">
            <v>0.5</v>
          </cell>
          <cell r="J109">
            <v>0.85</v>
          </cell>
          <cell r="K109">
            <v>17.341040462427745</v>
          </cell>
          <cell r="L109">
            <v>20.401224073444407</v>
          </cell>
          <cell r="M109">
            <v>8.6705202312138727</v>
          </cell>
          <cell r="N109">
            <v>10.200612036722204</v>
          </cell>
        </row>
        <row r="110">
          <cell r="A110" t="str">
            <v>PRESSURIZAÇÃO ESCADA 1SS</v>
          </cell>
          <cell r="B110">
            <v>16.930022573363431</v>
          </cell>
          <cell r="C110">
            <v>20</v>
          </cell>
          <cell r="D110" t="str">
            <v>C</v>
          </cell>
          <cell r="E110">
            <v>16.930022573363431</v>
          </cell>
          <cell r="F110">
            <v>0.84</v>
          </cell>
          <cell r="G110">
            <v>5</v>
          </cell>
          <cell r="I110">
            <v>0.8</v>
          </cell>
          <cell r="J110">
            <v>0.84</v>
          </cell>
          <cell r="K110">
            <v>84.650112866817153</v>
          </cell>
          <cell r="L110">
            <v>100.77394388906805</v>
          </cell>
          <cell r="M110">
            <v>67.720090293453723</v>
          </cell>
          <cell r="N110">
            <v>80.619155111254443</v>
          </cell>
        </row>
        <row r="111">
          <cell r="A111" t="str">
            <v>EXAUSTÃO DE FUMAÇA</v>
          </cell>
          <cell r="B111">
            <v>16.930022573363431</v>
          </cell>
          <cell r="C111">
            <v>20</v>
          </cell>
          <cell r="D111" t="str">
            <v>C</v>
          </cell>
          <cell r="E111">
            <v>16.930022573363431</v>
          </cell>
          <cell r="F111">
            <v>0.84</v>
          </cell>
          <cell r="G111">
            <v>2</v>
          </cell>
          <cell r="I111">
            <v>1</v>
          </cell>
          <cell r="J111">
            <v>0.84</v>
          </cell>
          <cell r="K111">
            <v>33.860045146726861</v>
          </cell>
          <cell r="L111">
            <v>40.309577555627214</v>
          </cell>
          <cell r="M111">
            <v>33.860045146726861</v>
          </cell>
          <cell r="N111">
            <v>40.309577555627214</v>
          </cell>
        </row>
        <row r="112">
          <cell r="A112" t="str">
            <v>ELEVADOR DE SEGUANÇA</v>
          </cell>
          <cell r="B112">
            <v>35</v>
          </cell>
          <cell r="E112" t="e">
            <v>#N/A</v>
          </cell>
          <cell r="F112" t="e">
            <v>#N/A</v>
          </cell>
          <cell r="G112">
            <v>1</v>
          </cell>
          <cell r="I112">
            <v>1</v>
          </cell>
          <cell r="J112">
            <v>0.8</v>
          </cell>
          <cell r="K112">
            <v>35</v>
          </cell>
          <cell r="L112">
            <v>43.75</v>
          </cell>
          <cell r="M112">
            <v>35</v>
          </cell>
          <cell r="N112">
            <v>43.75</v>
          </cell>
        </row>
        <row r="113">
          <cell r="A113" t="str">
            <v>ILUMINAÇÃO E COMANDO ELEVADORE DE SEGURANÇA</v>
          </cell>
          <cell r="B113">
            <v>3</v>
          </cell>
          <cell r="E113" t="e">
            <v>#N/A</v>
          </cell>
          <cell r="F113" t="e">
            <v>#N/A</v>
          </cell>
          <cell r="G113">
            <v>1</v>
          </cell>
          <cell r="I113">
            <v>1</v>
          </cell>
          <cell r="J113">
            <v>0.8</v>
          </cell>
          <cell r="K113">
            <v>3</v>
          </cell>
          <cell r="L113">
            <v>3.75</v>
          </cell>
          <cell r="M113">
            <v>3</v>
          </cell>
          <cell r="N113">
            <v>3.75</v>
          </cell>
        </row>
        <row r="114">
          <cell r="A114" t="str">
            <v>PRESSURIZAÇÃO ESCADA 5SS</v>
          </cell>
          <cell r="B114">
            <v>6.3805104408352662</v>
          </cell>
          <cell r="C114">
            <v>7.5</v>
          </cell>
          <cell r="D114" t="str">
            <v>C</v>
          </cell>
          <cell r="E114">
            <v>6.3805104408352662</v>
          </cell>
          <cell r="F114">
            <v>0.8</v>
          </cell>
          <cell r="G114">
            <v>4</v>
          </cell>
          <cell r="I114">
            <v>0.5</v>
          </cell>
          <cell r="J114">
            <v>0.8</v>
          </cell>
          <cell r="K114">
            <v>25.522041763341065</v>
          </cell>
          <cell r="L114">
            <v>31.902552204176331</v>
          </cell>
          <cell r="M114">
            <v>12.761020881670532</v>
          </cell>
          <cell r="N114">
            <v>15.951276102088165</v>
          </cell>
        </row>
        <row r="115">
          <cell r="A115" t="str">
            <v>PRESSURIZAÇÃO ESCADA 3SS</v>
          </cell>
          <cell r="B115">
            <v>8.6705202312138727</v>
          </cell>
          <cell r="C115">
            <v>10</v>
          </cell>
          <cell r="D115" t="str">
            <v>C</v>
          </cell>
          <cell r="E115">
            <v>8.6705202312138727</v>
          </cell>
          <cell r="F115">
            <v>0.85</v>
          </cell>
          <cell r="G115">
            <v>2</v>
          </cell>
          <cell r="I115">
            <v>0.5</v>
          </cell>
          <cell r="J115">
            <v>0.85</v>
          </cell>
          <cell r="K115">
            <v>17.341040462427745</v>
          </cell>
          <cell r="L115">
            <v>20.401224073444407</v>
          </cell>
          <cell r="M115">
            <v>8.6705202312138727</v>
          </cell>
          <cell r="N115">
            <v>10.200612036722204</v>
          </cell>
        </row>
        <row r="116">
          <cell r="A116" t="str">
            <v>PRESSURIZAÇÃO ESCADA 1SS</v>
          </cell>
          <cell r="B116">
            <v>16.930022573363431</v>
          </cell>
          <cell r="C116">
            <v>20</v>
          </cell>
          <cell r="D116" t="str">
            <v>C</v>
          </cell>
          <cell r="E116">
            <v>16.930022573363431</v>
          </cell>
          <cell r="F116">
            <v>0.84</v>
          </cell>
          <cell r="G116">
            <v>5</v>
          </cell>
          <cell r="I116">
            <v>0.8</v>
          </cell>
          <cell r="J116">
            <v>0.84</v>
          </cell>
          <cell r="K116">
            <v>84.650112866817153</v>
          </cell>
          <cell r="L116">
            <v>100.77394388906805</v>
          </cell>
          <cell r="M116">
            <v>67.720090293453723</v>
          </cell>
          <cell r="N116">
            <v>80.619155111254443</v>
          </cell>
        </row>
        <row r="117">
          <cell r="A117" t="str">
            <v>EXAUSTÃO DE FUMAÇA</v>
          </cell>
          <cell r="B117">
            <v>16.930022573363431</v>
          </cell>
          <cell r="C117">
            <v>20</v>
          </cell>
          <cell r="D117" t="str">
            <v>C</v>
          </cell>
          <cell r="E117">
            <v>16.930022573363431</v>
          </cell>
          <cell r="F117">
            <v>0.84</v>
          </cell>
          <cell r="G117">
            <v>2</v>
          </cell>
          <cell r="I117">
            <v>1</v>
          </cell>
          <cell r="J117">
            <v>0.84</v>
          </cell>
          <cell r="K117">
            <v>33.860045146726861</v>
          </cell>
          <cell r="L117">
            <v>40.309577555627214</v>
          </cell>
          <cell r="M117">
            <v>33.860045146726861</v>
          </cell>
          <cell r="N117">
            <v>40.309577555627214</v>
          </cell>
        </row>
        <row r="118">
          <cell r="A118" t="str">
            <v>BOMBA DE RECALQUE DE ÓLEO DIESEL</v>
          </cell>
          <cell r="B118">
            <v>2.7500000000000004</v>
          </cell>
          <cell r="C118">
            <v>3</v>
          </cell>
          <cell r="D118" t="str">
            <v>H</v>
          </cell>
          <cell r="E118">
            <v>2.7500000000000004</v>
          </cell>
          <cell r="F118">
            <v>0.77</v>
          </cell>
          <cell r="G118">
            <v>2</v>
          </cell>
          <cell r="I118">
            <v>0.5</v>
          </cell>
          <cell r="J118">
            <v>0.77</v>
          </cell>
          <cell r="K118">
            <v>5.5000000000000009</v>
          </cell>
          <cell r="L118">
            <v>7.1428571428571441</v>
          </cell>
          <cell r="M118">
            <v>2.7500000000000004</v>
          </cell>
          <cell r="N118">
            <v>3.5714285714285721</v>
          </cell>
        </row>
        <row r="119">
          <cell r="A119" t="str">
            <v>ILUMINAÇÃO E TOMADAS GERADOR</v>
          </cell>
          <cell r="B119">
            <v>11.67</v>
          </cell>
          <cell r="G119">
            <v>1</v>
          </cell>
          <cell r="I119">
            <v>0.9</v>
          </cell>
          <cell r="J119">
            <v>0.94</v>
          </cell>
          <cell r="K119">
            <v>11.67</v>
          </cell>
          <cell r="L119">
            <v>12.414893617021278</v>
          </cell>
          <cell r="M119">
            <v>10.503</v>
          </cell>
          <cell r="N119">
            <v>11.17340425531915</v>
          </cell>
        </row>
        <row r="120">
          <cell r="A120" t="str">
            <v>BOMBA DE INCÊNDIO JOCKEY</v>
          </cell>
          <cell r="B120">
            <v>6.3805104408352662</v>
          </cell>
          <cell r="C120">
            <v>7.5</v>
          </cell>
          <cell r="D120" t="str">
            <v>H</v>
          </cell>
          <cell r="E120">
            <v>6.3805104408352662</v>
          </cell>
          <cell r="F120">
            <v>0.8</v>
          </cell>
          <cell r="G120">
            <v>1</v>
          </cell>
          <cell r="I120">
            <v>0</v>
          </cell>
          <cell r="J120">
            <v>0.8</v>
          </cell>
          <cell r="K120">
            <v>6.3805104408352662</v>
          </cell>
          <cell r="L120">
            <v>7.9756380510440827</v>
          </cell>
          <cell r="M120">
            <v>0</v>
          </cell>
          <cell r="N120">
            <v>0</v>
          </cell>
        </row>
        <row r="121">
          <cell r="A121" t="str">
            <v>BOMBA DE INCÊNDIO PRINCIPAL</v>
          </cell>
          <cell r="B121">
            <v>119.56521739130434</v>
          </cell>
          <cell r="C121">
            <v>150</v>
          </cell>
          <cell r="D121" t="str">
            <v>H</v>
          </cell>
          <cell r="E121">
            <v>119.56521739130434</v>
          </cell>
          <cell r="F121">
            <v>0.86</v>
          </cell>
          <cell r="G121">
            <v>1</v>
          </cell>
          <cell r="I121">
            <v>1</v>
          </cell>
          <cell r="J121">
            <v>0.86</v>
          </cell>
          <cell r="K121">
            <v>119.56521739130434</v>
          </cell>
          <cell r="L121">
            <v>139.02932254802832</v>
          </cell>
          <cell r="M121">
            <v>119.56521739130434</v>
          </cell>
          <cell r="N121">
            <v>139.02932254802832</v>
          </cell>
        </row>
        <row r="122">
          <cell r="A122" t="str">
            <v>RETIFICADOR SUBESTAÇÃO</v>
          </cell>
          <cell r="B122">
            <v>10</v>
          </cell>
          <cell r="G122">
            <v>1</v>
          </cell>
          <cell r="I122">
            <v>1</v>
          </cell>
          <cell r="J122">
            <v>0.8</v>
          </cell>
          <cell r="K122">
            <v>10</v>
          </cell>
          <cell r="L122">
            <v>12.5</v>
          </cell>
          <cell r="M122">
            <v>10</v>
          </cell>
          <cell r="N122">
            <v>12.5</v>
          </cell>
        </row>
        <row r="123">
          <cell r="A123" t="str">
            <v>TOTAL</v>
          </cell>
          <cell r="I123">
            <v>0.84231455515010045</v>
          </cell>
          <cell r="J123">
            <v>0.83689583526671951</v>
          </cell>
          <cell r="K123">
            <v>551.86220831076525</v>
          </cell>
          <cell r="L123">
            <v>660.83730680358292</v>
          </cell>
          <cell r="M123">
            <v>464.8415704974343</v>
          </cell>
          <cell r="N123">
            <v>555.43539698615996</v>
          </cell>
        </row>
        <row r="125">
          <cell r="A125" t="str">
            <v>RESUMO GERAL:</v>
          </cell>
          <cell r="B125" t="str">
            <v>kW</v>
          </cell>
          <cell r="C125" t="str">
            <v>kVA</v>
          </cell>
        </row>
        <row r="126">
          <cell r="A126" t="str">
            <v>DEMANDAS</v>
          </cell>
          <cell r="B126">
            <v>464.8415704974343</v>
          </cell>
          <cell r="C126">
            <v>555.43539698615996</v>
          </cell>
        </row>
        <row r="127">
          <cell r="A127" t="str">
            <v>RESERVA     (%)</v>
          </cell>
          <cell r="B127">
            <v>0.2</v>
          </cell>
        </row>
        <row r="128">
          <cell r="A128" t="str">
            <v>FATOR DE SIMULTANEIDADE</v>
          </cell>
          <cell r="B128">
            <v>1</v>
          </cell>
        </row>
        <row r="130">
          <cell r="A130" t="str">
            <v xml:space="preserve">DEMANDA FINAL </v>
          </cell>
          <cell r="B130">
            <v>557.80988459692117</v>
          </cell>
          <cell r="C130">
            <v>666.5224763833919</v>
          </cell>
        </row>
        <row r="131">
          <cell r="J131" t="str">
            <v>CORRENTE DE PARTIDA (PIOR CASO)</v>
          </cell>
        </row>
        <row r="132">
          <cell r="A132" t="str">
            <v>TENSÃO (V)</v>
          </cell>
          <cell r="B132">
            <v>380</v>
          </cell>
          <cell r="C132" t="str">
            <v>V</v>
          </cell>
          <cell r="J132">
            <v>1223.676134633914</v>
          </cell>
          <cell r="K132" t="str">
            <v>A</v>
          </cell>
        </row>
        <row r="133">
          <cell r="A133" t="str">
            <v>CORRENTE (A)</v>
          </cell>
          <cell r="B133">
            <v>1012.676134633914</v>
          </cell>
          <cell r="C133" t="str">
            <v>A</v>
          </cell>
        </row>
        <row r="134">
          <cell r="A134" t="str">
            <v>DISJUNTOR GERAL</v>
          </cell>
          <cell r="B134">
            <v>1250</v>
          </cell>
          <cell r="C134" t="str">
            <v>A</v>
          </cell>
          <cell r="I134" t="str">
            <v>Ip/In</v>
          </cell>
          <cell r="J134">
            <v>0.97894090770713116</v>
          </cell>
          <cell r="K134" t="str">
            <v>A</v>
          </cell>
        </row>
        <row r="136">
          <cell r="A136" t="str">
            <v>TRANSFORMADOR DE 750KVA</v>
          </cell>
        </row>
        <row r="139">
          <cell r="A139" t="str">
            <v>TRANSFORMADOR 2.1 – PBT-2.1 EM EMERGÊNCIA</v>
          </cell>
        </row>
        <row r="141">
          <cell r="A141" t="str">
            <v>FINALIDADE</v>
          </cell>
          <cell r="B141" t="str">
            <v>POT. UNIT. (kW)</v>
          </cell>
          <cell r="C141" t="str">
            <v>POT. UNIT. (CV)</v>
          </cell>
          <cell r="D141" t="str">
            <v>T I P O</v>
          </cell>
          <cell r="E141" t="str">
            <v>POT-M (KW)</v>
          </cell>
          <cell r="F141" t="str">
            <v>FP- M</v>
          </cell>
          <cell r="G141" t="str">
            <v>QTDE.</v>
          </cell>
          <cell r="H141" t="str">
            <v>PÓLOS</v>
          </cell>
          <cell r="I141" t="str">
            <v>F.D.</v>
          </cell>
          <cell r="J141" t="str">
            <v>F.P.</v>
          </cell>
          <cell r="K141" t="str">
            <v>POT. INSTALADA (kW)</v>
          </cell>
          <cell r="L141" t="str">
            <v>POT. INSTALADA (kVA)</v>
          </cell>
          <cell r="M141" t="str">
            <v>POT. DEMANDADA (kW)</v>
          </cell>
          <cell r="N141" t="str">
            <v>POT. DEMANDADA (kVA)</v>
          </cell>
        </row>
        <row r="142">
          <cell r="A142" t="str">
            <v>ILUMINAÇÃO HELIPONTO</v>
          </cell>
          <cell r="B142">
            <v>10</v>
          </cell>
          <cell r="E142" t="e">
            <v>#N/A</v>
          </cell>
          <cell r="F142" t="e">
            <v>#N/A</v>
          </cell>
          <cell r="G142">
            <v>1</v>
          </cell>
          <cell r="I142">
            <v>1</v>
          </cell>
          <cell r="J142">
            <v>0.9</v>
          </cell>
          <cell r="K142">
            <v>10</v>
          </cell>
          <cell r="L142">
            <v>11.111111111111111</v>
          </cell>
          <cell r="M142">
            <v>10</v>
          </cell>
          <cell r="N142">
            <v>11.111111111111111</v>
          </cell>
        </row>
        <row r="143">
          <cell r="A143" t="str">
            <v>ELEVADORE HELIPONTO</v>
          </cell>
          <cell r="B143">
            <v>12</v>
          </cell>
          <cell r="E143" t="e">
            <v>#N/A</v>
          </cell>
          <cell r="F143" t="e">
            <v>#N/A</v>
          </cell>
          <cell r="G143">
            <v>2</v>
          </cell>
          <cell r="I143">
            <v>1</v>
          </cell>
          <cell r="J143">
            <v>0.9</v>
          </cell>
          <cell r="K143">
            <v>24</v>
          </cell>
          <cell r="L143">
            <v>26.666666666666664</v>
          </cell>
          <cell r="M143">
            <v>24</v>
          </cell>
          <cell r="N143">
            <v>26.666666666666664</v>
          </cell>
        </row>
        <row r="144">
          <cell r="A144" t="str">
            <v>ILUMINAÇÃO E COMANDO ELEVADORE HELIPONTO</v>
          </cell>
          <cell r="B144">
            <v>1.3</v>
          </cell>
          <cell r="E144" t="e">
            <v>#N/A</v>
          </cell>
          <cell r="F144" t="e">
            <v>#N/A</v>
          </cell>
          <cell r="G144">
            <v>1</v>
          </cell>
          <cell r="I144">
            <v>1</v>
          </cell>
          <cell r="J144">
            <v>0.8</v>
          </cell>
          <cell r="K144">
            <v>1.3</v>
          </cell>
          <cell r="L144">
            <v>1.625</v>
          </cell>
          <cell r="M144">
            <v>1.3</v>
          </cell>
          <cell r="N144">
            <v>1.625</v>
          </cell>
        </row>
        <row r="145">
          <cell r="A145" t="str">
            <v>ELEVADORES ZONA ALTA</v>
          </cell>
          <cell r="B145">
            <v>70</v>
          </cell>
          <cell r="E145" t="e">
            <v>#N/A</v>
          </cell>
          <cell r="F145" t="e">
            <v>#N/A</v>
          </cell>
          <cell r="G145">
            <v>8</v>
          </cell>
          <cell r="I145">
            <v>0.13</v>
          </cell>
          <cell r="J145">
            <v>0.8</v>
          </cell>
          <cell r="K145">
            <v>560</v>
          </cell>
          <cell r="L145">
            <v>700</v>
          </cell>
          <cell r="M145">
            <v>72.8</v>
          </cell>
          <cell r="N145">
            <v>91</v>
          </cell>
        </row>
        <row r="146">
          <cell r="A146" t="str">
            <v>ILUMINAÇÃO E COMANDO ELEVADORES ZONA ALTA</v>
          </cell>
          <cell r="B146">
            <v>3</v>
          </cell>
          <cell r="E146" t="e">
            <v>#N/A</v>
          </cell>
          <cell r="F146" t="e">
            <v>#N/A</v>
          </cell>
          <cell r="G146">
            <v>1</v>
          </cell>
          <cell r="I146">
            <v>0.13</v>
          </cell>
          <cell r="J146">
            <v>0.8</v>
          </cell>
          <cell r="K146">
            <v>3</v>
          </cell>
          <cell r="L146">
            <v>3.75</v>
          </cell>
          <cell r="M146">
            <v>0.39</v>
          </cell>
          <cell r="N146">
            <v>0.48750000000000004</v>
          </cell>
        </row>
        <row r="147">
          <cell r="A147" t="str">
            <v>VENTILAÇÃO</v>
          </cell>
          <cell r="B147">
            <v>83.25</v>
          </cell>
          <cell r="G147">
            <v>1</v>
          </cell>
          <cell r="I147">
            <v>0</v>
          </cell>
          <cell r="J147">
            <v>0.8</v>
          </cell>
          <cell r="K147">
            <v>83.25</v>
          </cell>
          <cell r="L147">
            <v>104.0625</v>
          </cell>
          <cell r="M147">
            <v>0</v>
          </cell>
          <cell r="N147">
            <v>0</v>
          </cell>
        </row>
        <row r="148">
          <cell r="A148" t="str">
            <v>BOMBAS DA CENTRAL DE ÁGUA GELADA</v>
          </cell>
          <cell r="B148">
            <v>535</v>
          </cell>
          <cell r="G148">
            <v>1</v>
          </cell>
          <cell r="I148">
            <v>0</v>
          </cell>
          <cell r="J148">
            <v>1.8</v>
          </cell>
          <cell r="K148">
            <v>535</v>
          </cell>
          <cell r="L148">
            <v>297.22222222222223</v>
          </cell>
          <cell r="M148">
            <v>0</v>
          </cell>
          <cell r="N148">
            <v>0</v>
          </cell>
        </row>
        <row r="153">
          <cell r="A153" t="str">
            <v>TOTAL</v>
          </cell>
          <cell r="I153">
            <v>8.9178414368501088E-2</v>
          </cell>
          <cell r="J153">
            <v>0.82886217251514727</v>
          </cell>
          <cell r="K153">
            <v>1216.55</v>
          </cell>
          <cell r="L153">
            <v>1144.4375</v>
          </cell>
          <cell r="M153">
            <v>108.49</v>
          </cell>
          <cell r="N153">
            <v>130.89027777777778</v>
          </cell>
        </row>
        <row r="155">
          <cell r="A155" t="str">
            <v>RESUMO GERAL:</v>
          </cell>
          <cell r="B155" t="str">
            <v>kW</v>
          </cell>
          <cell r="C155" t="str">
            <v>kVA</v>
          </cell>
        </row>
        <row r="156">
          <cell r="A156" t="str">
            <v>DEMANDAS</v>
          </cell>
          <cell r="B156">
            <v>108.49</v>
          </cell>
          <cell r="C156">
            <v>130.89027777777778</v>
          </cell>
        </row>
        <row r="157">
          <cell r="A157" t="str">
            <v>RESERVA     (%)</v>
          </cell>
          <cell r="B157">
            <v>0.2</v>
          </cell>
        </row>
        <row r="158">
          <cell r="A158" t="str">
            <v>FATOR DE SIMULTANEIDADE</v>
          </cell>
          <cell r="B158">
            <v>1</v>
          </cell>
        </row>
        <row r="160">
          <cell r="A160" t="str">
            <v xml:space="preserve">DEMANDA FINAL </v>
          </cell>
          <cell r="B160">
            <v>130.18799999999999</v>
          </cell>
          <cell r="C160">
            <v>157.06833333333333</v>
          </cell>
        </row>
        <row r="162">
          <cell r="A162" t="str">
            <v>TENSÃO (V)</v>
          </cell>
          <cell r="B162">
            <v>380</v>
          </cell>
          <cell r="C162" t="str">
            <v>V</v>
          </cell>
        </row>
        <row r="163">
          <cell r="A163" t="str">
            <v>CORRENTE (A)</v>
          </cell>
          <cell r="B163">
            <v>238.64064350306808</v>
          </cell>
          <cell r="C163" t="str">
            <v>A</v>
          </cell>
        </row>
        <row r="164">
          <cell r="A164" t="str">
            <v>DISJUNTOR GERAL</v>
          </cell>
          <cell r="B164">
            <v>2500</v>
          </cell>
          <cell r="C164" t="str">
            <v>A</v>
          </cell>
        </row>
        <row r="166">
          <cell r="A166" t="str">
            <v>TRANSFORMADOR DE 1500KVA</v>
          </cell>
        </row>
        <row r="170">
          <cell r="A170" t="str">
            <v>TRANSFORMADOR 2.2 – PBT-2.2 EM EMERGÊNCIA</v>
          </cell>
        </row>
        <row r="172">
          <cell r="A172" t="str">
            <v>FINALIDADE</v>
          </cell>
          <cell r="B172" t="str">
            <v>POT. UNIT. (kW)</v>
          </cell>
          <cell r="C172" t="str">
            <v>POT. UNIT. (CV)</v>
          </cell>
          <cell r="D172" t="str">
            <v>T I P O</v>
          </cell>
          <cell r="E172" t="str">
            <v>POT-M (KW)</v>
          </cell>
          <cell r="F172" t="str">
            <v>FP- M</v>
          </cell>
          <cell r="G172" t="str">
            <v>QTDE.</v>
          </cell>
          <cell r="H172" t="str">
            <v>PÓLOS</v>
          </cell>
          <cell r="I172" t="str">
            <v>F.D.</v>
          </cell>
          <cell r="J172" t="str">
            <v>F.P.</v>
          </cell>
          <cell r="K172" t="str">
            <v>POT. INSTALADA (kW)</v>
          </cell>
          <cell r="L172" t="str">
            <v>POT. INSTALADA (kVA)</v>
          </cell>
          <cell r="M172" t="str">
            <v>POT. DEMANDADA (kW)</v>
          </cell>
          <cell r="N172" t="str">
            <v>POT. DEMANDADA (kVA)</v>
          </cell>
        </row>
        <row r="173">
          <cell r="A173" t="str">
            <v>BARRAMENTO BLINDADO BB2.1/2.3 ESCRITÓRIOS</v>
          </cell>
          <cell r="B173">
            <v>96.05</v>
          </cell>
          <cell r="E173" t="e">
            <v>#N/A</v>
          </cell>
          <cell r="F173" t="e">
            <v>#N/A</v>
          </cell>
          <cell r="G173">
            <v>1</v>
          </cell>
          <cell r="I173">
            <v>1</v>
          </cell>
          <cell r="J173">
            <v>0.98</v>
          </cell>
          <cell r="K173">
            <v>96.05</v>
          </cell>
          <cell r="L173">
            <v>98.010204081632651</v>
          </cell>
          <cell r="M173">
            <v>96.05</v>
          </cell>
          <cell r="N173">
            <v>98.010204081632651</v>
          </cell>
        </row>
        <row r="174">
          <cell r="A174" t="str">
            <v>BARRAMENTO BLINDADO 2.2/2.4 FANCOIL ESCRITÓRIOS</v>
          </cell>
          <cell r="B174">
            <v>8.5227272727272734</v>
          </cell>
          <cell r="C174">
            <v>10</v>
          </cell>
          <cell r="D174" t="str">
            <v>C</v>
          </cell>
          <cell r="E174">
            <v>8.5227272727272734</v>
          </cell>
          <cell r="F174">
            <v>0.77</v>
          </cell>
          <cell r="G174">
            <v>34</v>
          </cell>
          <cell r="I174">
            <v>0</v>
          </cell>
          <cell r="J174">
            <v>0.77</v>
          </cell>
          <cell r="K174">
            <v>289.77272727272731</v>
          </cell>
          <cell r="L174">
            <v>376.32821723730819</v>
          </cell>
          <cell r="M174">
            <v>0</v>
          </cell>
          <cell r="N174">
            <v>0</v>
          </cell>
        </row>
        <row r="175">
          <cell r="A175" t="str">
            <v>TOTAL</v>
          </cell>
          <cell r="I175">
            <v>0.24894852793911473</v>
          </cell>
          <cell r="J175">
            <v>0.98</v>
          </cell>
          <cell r="K175">
            <v>385.82272727272732</v>
          </cell>
          <cell r="L175">
            <v>474.33842131894085</v>
          </cell>
          <cell r="M175">
            <v>96.05</v>
          </cell>
          <cell r="N175">
            <v>98.010204081632651</v>
          </cell>
        </row>
        <row r="178">
          <cell r="A178" t="str">
            <v>RESUMO GERAL:</v>
          </cell>
          <cell r="B178" t="str">
            <v>kW</v>
          </cell>
          <cell r="C178" t="str">
            <v>kVA</v>
          </cell>
        </row>
        <row r="179">
          <cell r="A179" t="str">
            <v>DEMANDAS</v>
          </cell>
          <cell r="B179">
            <v>96.05</v>
          </cell>
          <cell r="C179">
            <v>98.010204081632651</v>
          </cell>
        </row>
        <row r="180">
          <cell r="A180" t="str">
            <v>RESERVA     (%)</v>
          </cell>
          <cell r="B180">
            <v>0.2</v>
          </cell>
        </row>
        <row r="181">
          <cell r="A181" t="str">
            <v>FATOR DE SIMULTANEIDADE</v>
          </cell>
          <cell r="B181">
            <v>1</v>
          </cell>
        </row>
        <row r="183">
          <cell r="A183" t="str">
            <v xml:space="preserve">DEMANDA FINAL </v>
          </cell>
          <cell r="B183">
            <v>115.25999999999999</v>
          </cell>
          <cell r="C183">
            <v>117.61224489795917</v>
          </cell>
        </row>
        <row r="185">
          <cell r="A185" t="str">
            <v>TENSÃO (V)</v>
          </cell>
          <cell r="B185">
            <v>380</v>
          </cell>
          <cell r="C185" t="str">
            <v>V</v>
          </cell>
        </row>
        <row r="186">
          <cell r="A186" t="str">
            <v>CORRENTE (A)</v>
          </cell>
          <cell r="B186">
            <v>178.69331908377086</v>
          </cell>
          <cell r="C186" t="str">
            <v>A</v>
          </cell>
        </row>
        <row r="187">
          <cell r="A187" t="str">
            <v>DISJUNTOR GERAL</v>
          </cell>
          <cell r="B187">
            <v>2500</v>
          </cell>
          <cell r="C187" t="str">
            <v>A</v>
          </cell>
        </row>
        <row r="189">
          <cell r="A189" t="str">
            <v>TRANSFORMADOR DE 1500KVA</v>
          </cell>
        </row>
        <row r="192">
          <cell r="A192" t="str">
            <v>TRANSFORMADOR 2.3 – PBT-2.3</v>
          </cell>
        </row>
        <row r="194">
          <cell r="A194" t="str">
            <v>FINALIDADE</v>
          </cell>
          <cell r="B194" t="str">
            <v>POT. UNIT. (kW)</v>
          </cell>
          <cell r="C194" t="str">
            <v>POT. UNIT. (CV)</v>
          </cell>
          <cell r="D194" t="str">
            <v>T I P O</v>
          </cell>
          <cell r="E194" t="str">
            <v>POT-M (KW)</v>
          </cell>
          <cell r="F194" t="str">
            <v>FP- M</v>
          </cell>
          <cell r="G194" t="str">
            <v>QTDE.</v>
          </cell>
          <cell r="H194" t="str">
            <v>PÓLOS</v>
          </cell>
          <cell r="I194" t="str">
            <v>F.D.</v>
          </cell>
          <cell r="J194" t="str">
            <v>F.P.</v>
          </cell>
          <cell r="K194" t="str">
            <v>POT. INSTALADA (kW)</v>
          </cell>
          <cell r="L194" t="str">
            <v>POT. INSTALADA (kVA)</v>
          </cell>
          <cell r="M194" t="str">
            <v>POT. DEMANDADA (kW)</v>
          </cell>
          <cell r="N194" t="str">
            <v>POT. DEMANDADA (kVA)</v>
          </cell>
        </row>
        <row r="195">
          <cell r="A195" t="str">
            <v>CHILER</v>
          </cell>
          <cell r="B195">
            <v>500</v>
          </cell>
          <cell r="E195" t="e">
            <v>#N/A</v>
          </cell>
          <cell r="F195" t="e">
            <v>#N/A</v>
          </cell>
          <cell r="G195">
            <v>2</v>
          </cell>
          <cell r="I195">
            <v>9.9999999999999995E-7</v>
          </cell>
          <cell r="J195">
            <v>0.9</v>
          </cell>
          <cell r="K195">
            <v>1000</v>
          </cell>
          <cell r="L195">
            <v>1111.1111111111111</v>
          </cell>
          <cell r="M195">
            <v>1E-3</v>
          </cell>
          <cell r="N195">
            <v>1.1111111111111111E-3</v>
          </cell>
        </row>
        <row r="196">
          <cell r="A196" t="str">
            <v>CHILER</v>
          </cell>
          <cell r="B196">
            <v>310</v>
          </cell>
          <cell r="E196" t="e">
            <v>#N/A</v>
          </cell>
          <cell r="F196" t="e">
            <v>#N/A</v>
          </cell>
          <cell r="G196">
            <v>1</v>
          </cell>
          <cell r="I196">
            <v>9.9999999999999995E-7</v>
          </cell>
          <cell r="J196">
            <v>0.9</v>
          </cell>
          <cell r="K196">
            <v>310</v>
          </cell>
          <cell r="L196">
            <v>344.44444444444446</v>
          </cell>
          <cell r="M196">
            <v>3.1E-4</v>
          </cell>
          <cell r="N196">
            <v>3.4444444444444442E-4</v>
          </cell>
        </row>
        <row r="197">
          <cell r="A197" t="str">
            <v>TOTAL</v>
          </cell>
          <cell r="I197">
            <v>9.9999999999999995E-7</v>
          </cell>
          <cell r="J197">
            <v>0.9</v>
          </cell>
          <cell r="K197">
            <v>1310</v>
          </cell>
          <cell r="L197">
            <v>1455.5555555555557</v>
          </cell>
          <cell r="M197">
            <v>1.31E-3</v>
          </cell>
          <cell r="N197">
            <v>1.4555555555555554E-3</v>
          </cell>
        </row>
        <row r="200">
          <cell r="A200" t="str">
            <v>RESUMO GERAL:</v>
          </cell>
          <cell r="B200" t="str">
            <v>kW</v>
          </cell>
          <cell r="C200" t="str">
            <v>kVA</v>
          </cell>
        </row>
        <row r="201">
          <cell r="A201" t="str">
            <v>DEMANDAS</v>
          </cell>
          <cell r="B201">
            <v>1.31E-3</v>
          </cell>
          <cell r="C201">
            <v>1.4555555555555554E-3</v>
          </cell>
        </row>
        <row r="202">
          <cell r="A202" t="str">
            <v>RESERVA     (%)</v>
          </cell>
          <cell r="B202">
            <v>0.2</v>
          </cell>
        </row>
        <row r="203">
          <cell r="A203" t="str">
            <v>FATOR DE SIMULTANEIDADE</v>
          </cell>
          <cell r="B203">
            <v>1</v>
          </cell>
        </row>
        <row r="205">
          <cell r="A205" t="str">
            <v xml:space="preserve">DEMANDA FINAL </v>
          </cell>
          <cell r="B205">
            <v>1.5719999999999998E-3</v>
          </cell>
          <cell r="C205">
            <v>1.7466666666666665E-3</v>
          </cell>
        </row>
        <row r="207">
          <cell r="A207" t="str">
            <v>TENSÃO (V)</v>
          </cell>
          <cell r="B207">
            <v>380</v>
          </cell>
          <cell r="C207" t="str">
            <v>V</v>
          </cell>
        </row>
        <row r="208">
          <cell r="A208" t="str">
            <v>CORRENTE (A)</v>
          </cell>
          <cell r="B208">
            <v>2.6537854478540695E-3</v>
          </cell>
          <cell r="C208" t="str">
            <v>A</v>
          </cell>
        </row>
        <row r="209">
          <cell r="A209" t="str">
            <v>DISJUNTOR GERAL</v>
          </cell>
          <cell r="B209">
            <v>2500</v>
          </cell>
          <cell r="C209" t="str">
            <v>A</v>
          </cell>
        </row>
        <row r="211">
          <cell r="A211" t="str">
            <v>TRANSFORMADOR DE 1500KVA</v>
          </cell>
        </row>
        <row r="215">
          <cell r="A215" t="str">
            <v>DEMANDA TOTAL DO GERADOR EM EMERGÊNCIA – 1º FASE</v>
          </cell>
        </row>
        <row r="217">
          <cell r="A217" t="str">
            <v>FINALIDADE</v>
          </cell>
          <cell r="B217" t="str">
            <v>POT. UNIT. (kW)</v>
          </cell>
          <cell r="C217" t="str">
            <v>POT. UNIT. (CV)</v>
          </cell>
          <cell r="D217" t="str">
            <v>T I P O</v>
          </cell>
          <cell r="E217" t="str">
            <v>POT-M (KW)</v>
          </cell>
          <cell r="F217" t="str">
            <v>FP- M</v>
          </cell>
          <cell r="G217" t="str">
            <v>QTDE.</v>
          </cell>
          <cell r="H217" t="str">
            <v>PÓLOS</v>
          </cell>
          <cell r="I217" t="str">
            <v>F.D.</v>
          </cell>
          <cell r="J217" t="str">
            <v>F.P.</v>
          </cell>
          <cell r="K217" t="str">
            <v>POT. INSTALADA (kW)</v>
          </cell>
          <cell r="L217" t="str">
            <v>POT. INSTALADA (kVA)</v>
          </cell>
          <cell r="M217" t="str">
            <v>POT. DEMANDADA (kW)</v>
          </cell>
          <cell r="N217" t="str">
            <v>POT. DEMANDADA (kVA)</v>
          </cell>
        </row>
        <row r="218">
          <cell r="A218" t="str">
            <v>TRANSFORMADOR 1.1  PBT-1.1</v>
          </cell>
          <cell r="B218">
            <v>324.10509426511931</v>
          </cell>
          <cell r="E218" t="e">
            <v>#N/A</v>
          </cell>
          <cell r="F218" t="e">
            <v>#N/A</v>
          </cell>
          <cell r="G218">
            <v>1</v>
          </cell>
          <cell r="I218">
            <v>0.79896043489677604</v>
          </cell>
          <cell r="J218">
            <v>0.85752015197356957</v>
          </cell>
          <cell r="K218">
            <v>324.10509426511931</v>
          </cell>
          <cell r="L218">
            <v>377.95624221681129</v>
          </cell>
          <cell r="M218">
            <v>258.94714706632033</v>
          </cell>
          <cell r="N218">
            <v>301.97208365349479</v>
          </cell>
        </row>
        <row r="219">
          <cell r="A219" t="str">
            <v>TRANSFORMADOR 1.2  PBT-1.2</v>
          </cell>
          <cell r="B219">
            <v>1391.0193808785871</v>
          </cell>
          <cell r="E219" t="e">
            <v>#N/A</v>
          </cell>
          <cell r="F219" t="e">
            <v>#N/A</v>
          </cell>
          <cell r="G219">
            <v>1</v>
          </cell>
          <cell r="I219">
            <v>5.8131468987100983E-2</v>
          </cell>
          <cell r="J219">
            <v>0.79999999999999993</v>
          </cell>
          <cell r="K219">
            <v>1391.0193808785871</v>
          </cell>
          <cell r="L219">
            <v>1738.7742260982341</v>
          </cell>
          <cell r="M219">
            <v>80.861999999999995</v>
          </cell>
          <cell r="N219">
            <v>101.0775</v>
          </cell>
        </row>
        <row r="220">
          <cell r="A220" t="str">
            <v>TRANSFORMADOR 2.1  PBT-2.1</v>
          </cell>
          <cell r="B220">
            <v>1216.55</v>
          </cell>
          <cell r="E220" t="e">
            <v>#N/A</v>
          </cell>
          <cell r="F220" t="e">
            <v>#N/A</v>
          </cell>
          <cell r="G220">
            <v>1</v>
          </cell>
          <cell r="I220">
            <v>8.9178414368501088E-2</v>
          </cell>
          <cell r="J220">
            <v>0.82886217251514727</v>
          </cell>
          <cell r="K220">
            <v>1216.55</v>
          </cell>
          <cell r="L220">
            <v>1467.7349749336856</v>
          </cell>
          <cell r="M220">
            <v>108.49</v>
          </cell>
          <cell r="N220">
            <v>130.89027777777778</v>
          </cell>
        </row>
        <row r="221">
          <cell r="A221" t="str">
            <v>TRANSFORMADOR 2.2  PBT-2.2</v>
          </cell>
          <cell r="B221">
            <v>385.82272727272732</v>
          </cell>
          <cell r="E221" t="e">
            <v>#N/A</v>
          </cell>
          <cell r="F221" t="e">
            <v>#N/A</v>
          </cell>
          <cell r="G221">
            <v>1</v>
          </cell>
          <cell r="I221">
            <v>0.24894852793911473</v>
          </cell>
          <cell r="J221">
            <v>0.98</v>
          </cell>
          <cell r="K221">
            <v>385.82272727272732</v>
          </cell>
          <cell r="L221">
            <v>393.6966604823748</v>
          </cell>
          <cell r="M221">
            <v>96.05</v>
          </cell>
          <cell r="N221">
            <v>98.010204081632651</v>
          </cell>
        </row>
        <row r="222">
          <cell r="A222" t="str">
            <v>TRANSFORMADOR 2.3  PBT-2.3</v>
          </cell>
          <cell r="B222">
            <v>1310</v>
          </cell>
          <cell r="E222" t="e">
            <v>#N/A</v>
          </cell>
          <cell r="F222" t="e">
            <v>#N/A</v>
          </cell>
          <cell r="G222">
            <v>1</v>
          </cell>
          <cell r="I222">
            <v>9.9999999999999995E-7</v>
          </cell>
          <cell r="J222">
            <v>0.9</v>
          </cell>
          <cell r="K222">
            <v>1310</v>
          </cell>
          <cell r="L222">
            <v>1455.5555555555554</v>
          </cell>
          <cell r="M222">
            <v>1.31E-3</v>
          </cell>
          <cell r="N222">
            <v>1.4555555555555554E-3</v>
          </cell>
        </row>
        <row r="223">
          <cell r="A223" t="str">
            <v>TRANSFORMADOR CM1.1 PBT-SEG</v>
          </cell>
          <cell r="B223">
            <v>551.86220831076525</v>
          </cell>
          <cell r="E223" t="e">
            <v>#N/A</v>
          </cell>
          <cell r="F223" t="e">
            <v>#N/A</v>
          </cell>
          <cell r="G223">
            <v>1</v>
          </cell>
          <cell r="I223">
            <v>0.84231455515010045</v>
          </cell>
          <cell r="J223">
            <v>0.83689583526671951</v>
          </cell>
          <cell r="K223">
            <v>551.86220831076525</v>
          </cell>
          <cell r="L223">
            <v>659.41564655401373</v>
          </cell>
          <cell r="M223">
            <v>464.8415704974343</v>
          </cell>
          <cell r="N223">
            <v>555.43539698615996</v>
          </cell>
        </row>
        <row r="224">
          <cell r="A224" t="str">
            <v>TOTAL</v>
          </cell>
          <cell r="I224">
            <v>0.19484881189623038</v>
          </cell>
          <cell r="J224">
            <v>0.84992685384910982</v>
          </cell>
          <cell r="K224">
            <v>5179.3594107271983</v>
          </cell>
          <cell r="L224">
            <v>6093.1333058406753</v>
          </cell>
          <cell r="M224">
            <v>1009.1920275637546</v>
          </cell>
          <cell r="N224">
            <v>1187.3869180546208</v>
          </cell>
        </row>
        <row r="227">
          <cell r="A227" t="str">
            <v>RESUMO GERAL:</v>
          </cell>
          <cell r="B227" t="str">
            <v>kW</v>
          </cell>
          <cell r="C227" t="str">
            <v>kVA</v>
          </cell>
        </row>
        <row r="228">
          <cell r="A228" t="str">
            <v>DEMANDAS</v>
          </cell>
          <cell r="B228">
            <v>1009.1920275637546</v>
          </cell>
          <cell r="C228">
            <v>1187.3869180546208</v>
          </cell>
        </row>
        <row r="229">
          <cell r="A229" t="str">
            <v>RESERVA     (%)</v>
          </cell>
          <cell r="B229">
            <v>0.2</v>
          </cell>
        </row>
        <row r="230">
          <cell r="A230" t="str">
            <v>FATOR DE SIMULTANEIDADE</v>
          </cell>
          <cell r="B230">
            <v>1</v>
          </cell>
        </row>
        <row r="232">
          <cell r="A232" t="str">
            <v xml:space="preserve">DEMANDA FINAL </v>
          </cell>
          <cell r="B232">
            <v>1211.0304330765055</v>
          </cell>
          <cell r="C232">
            <v>1424.8643016655449</v>
          </cell>
        </row>
        <row r="234">
          <cell r="A234" t="str">
            <v>TENSÃO (V)</v>
          </cell>
          <cell r="B234">
            <v>380</v>
          </cell>
          <cell r="C234" t="str">
            <v>V</v>
          </cell>
        </row>
        <row r="235">
          <cell r="A235" t="str">
            <v>CORRENTE (A)</v>
          </cell>
          <cell r="B235">
            <v>2164.8573371718176</v>
          </cell>
          <cell r="C235" t="str">
            <v>A</v>
          </cell>
        </row>
        <row r="236">
          <cell r="A236" t="str">
            <v>DISJUNTOR GERAL</v>
          </cell>
          <cell r="B236">
            <v>1250</v>
          </cell>
          <cell r="C236" t="str">
            <v>A</v>
          </cell>
        </row>
        <row r="238">
          <cell r="A238" t="str">
            <v>ADOTADO GERADOR DE 1165/1040KVA</v>
          </cell>
        </row>
        <row r="243">
          <cell r="A243" t="str">
            <v>TABELA DE EMERGÊNICA GERAL – 1º FASE</v>
          </cell>
        </row>
        <row r="245">
          <cell r="A245" t="str">
            <v>FINALIDADE</v>
          </cell>
          <cell r="B245" t="str">
            <v>POT. UNIT. (kW)</v>
          </cell>
          <cell r="C245" t="str">
            <v>POT. UNIT. (CV)</v>
          </cell>
          <cell r="D245" t="str">
            <v>T I P O</v>
          </cell>
          <cell r="E245" t="str">
            <v>POT-M (KW)</v>
          </cell>
          <cell r="F245" t="str">
            <v>FP- M</v>
          </cell>
          <cell r="G245" t="str">
            <v>QTDE.</v>
          </cell>
          <cell r="H245" t="str">
            <v>PÓLOS</v>
          </cell>
          <cell r="I245" t="str">
            <v>F.D.</v>
          </cell>
          <cell r="J245" t="str">
            <v>F.P.</v>
          </cell>
          <cell r="K245" t="str">
            <v>POT. INSTALADA (kW)</v>
          </cell>
          <cell r="L245" t="str">
            <v>POT. INSTALADA (kVA)</v>
          </cell>
          <cell r="M245" t="str">
            <v>POT. DEMANDADA (kW)</v>
          </cell>
          <cell r="N245" t="str">
            <v>POT. DEMANDADA (kVA)</v>
          </cell>
        </row>
        <row r="246">
          <cell r="A246" t="str">
            <v>BARRAMENTO BLINDADO BB1.1/1.3 – ILUMINAÇÃO HALL</v>
          </cell>
          <cell r="B246">
            <v>123.78</v>
          </cell>
          <cell r="E246" t="e">
            <v>#N/A</v>
          </cell>
          <cell r="F246" t="e">
            <v>#N/A</v>
          </cell>
          <cell r="G246">
            <v>1</v>
          </cell>
          <cell r="I246">
            <v>0.72387274236801691</v>
          </cell>
          <cell r="J246">
            <v>0.98</v>
          </cell>
          <cell r="K246">
            <v>123.78</v>
          </cell>
          <cell r="L246">
            <v>126.30612244897959</v>
          </cell>
          <cell r="M246">
            <v>89.600968050313128</v>
          </cell>
          <cell r="N246">
            <v>91.4295592350134</v>
          </cell>
        </row>
        <row r="247">
          <cell r="A247" t="str">
            <v>QD-B1-3S</v>
          </cell>
          <cell r="B247">
            <v>140.32509426511928</v>
          </cell>
          <cell r="E247" t="e">
            <v>#N/A</v>
          </cell>
          <cell r="F247" t="e">
            <v>#N/A</v>
          </cell>
          <cell r="G247">
            <v>1</v>
          </cell>
          <cell r="I247">
            <v>1</v>
          </cell>
          <cell r="J247">
            <v>0.77296462798671983</v>
          </cell>
          <cell r="K247">
            <v>140.32509426511928</v>
          </cell>
          <cell r="L247">
            <v>181.54141752982022</v>
          </cell>
          <cell r="M247">
            <v>140.32509426511928</v>
          </cell>
          <cell r="N247">
            <v>181.54141752982022</v>
          </cell>
        </row>
        <row r="248">
          <cell r="A248" t="str">
            <v>NO BREAK</v>
          </cell>
          <cell r="B248">
            <v>30</v>
          </cell>
          <cell r="G248">
            <v>2</v>
          </cell>
          <cell r="I248">
            <v>0.5</v>
          </cell>
          <cell r="J248">
            <v>1</v>
          </cell>
          <cell r="K248">
            <v>60</v>
          </cell>
          <cell r="L248">
            <v>60</v>
          </cell>
          <cell r="M248">
            <v>30</v>
          </cell>
          <cell r="N248">
            <v>30</v>
          </cell>
        </row>
        <row r="249">
          <cell r="A249" t="str">
            <v>ILUMINAÇÃO E COMANDO ELEVADORES SUBSOLO</v>
          </cell>
          <cell r="B249">
            <v>1.3</v>
          </cell>
          <cell r="E249" t="e">
            <v>#N/A</v>
          </cell>
          <cell r="F249" t="e">
            <v>#N/A</v>
          </cell>
          <cell r="G249">
            <v>1</v>
          </cell>
          <cell r="I249">
            <v>0.74</v>
          </cell>
          <cell r="J249">
            <v>0.8</v>
          </cell>
          <cell r="K249">
            <v>1.3</v>
          </cell>
          <cell r="L249">
            <v>1.625</v>
          </cell>
          <cell r="M249">
            <v>0.96199999999999997</v>
          </cell>
          <cell r="N249">
            <v>1.2024999999999999</v>
          </cell>
        </row>
        <row r="250">
          <cell r="A250" t="str">
            <v>ELEVADORES GARAGEM</v>
          </cell>
          <cell r="B250">
            <v>20</v>
          </cell>
          <cell r="E250" t="e">
            <v>#N/A</v>
          </cell>
          <cell r="F250" t="e">
            <v>#N/A</v>
          </cell>
          <cell r="G250">
            <v>2</v>
          </cell>
          <cell r="I250">
            <v>0.74</v>
          </cell>
          <cell r="J250">
            <v>0.8</v>
          </cell>
          <cell r="K250">
            <v>40</v>
          </cell>
          <cell r="L250">
            <v>50</v>
          </cell>
          <cell r="M250">
            <v>29.6</v>
          </cell>
          <cell r="N250">
            <v>37</v>
          </cell>
        </row>
        <row r="251">
          <cell r="A251" t="str">
            <v>ELEVADORES ZONA BAIXA</v>
          </cell>
          <cell r="B251">
            <v>50</v>
          </cell>
          <cell r="E251" t="e">
            <v>#N/A</v>
          </cell>
          <cell r="F251" t="e">
            <v>#N/A</v>
          </cell>
          <cell r="G251">
            <v>8</v>
          </cell>
          <cell r="I251">
            <v>0.125</v>
          </cell>
          <cell r="J251">
            <v>0.8</v>
          </cell>
          <cell r="K251">
            <v>400</v>
          </cell>
          <cell r="L251">
            <v>500</v>
          </cell>
          <cell r="M251">
            <v>50</v>
          </cell>
          <cell r="N251">
            <v>62.5</v>
          </cell>
        </row>
        <row r="252">
          <cell r="A252" t="str">
            <v>ILUMINAÇÃO E COMANDO ELEVADORES ZONA BAIXA</v>
          </cell>
          <cell r="B252">
            <v>3</v>
          </cell>
          <cell r="E252" t="e">
            <v>#N/A</v>
          </cell>
          <cell r="F252" t="e">
            <v>#N/A</v>
          </cell>
          <cell r="G252">
            <v>1</v>
          </cell>
          <cell r="I252">
            <v>0.1</v>
          </cell>
          <cell r="J252">
            <v>0.8</v>
          </cell>
          <cell r="K252">
            <v>3</v>
          </cell>
          <cell r="L252">
            <v>3.75</v>
          </cell>
          <cell r="M252">
            <v>0.3</v>
          </cell>
          <cell r="N252">
            <v>0.375</v>
          </cell>
        </row>
        <row r="253">
          <cell r="A253" t="str">
            <v>ELEVADOR DE SEGUANÇA</v>
          </cell>
          <cell r="B253">
            <v>35</v>
          </cell>
          <cell r="E253" t="e">
            <v>#N/A</v>
          </cell>
          <cell r="F253" t="e">
            <v>#N/A</v>
          </cell>
          <cell r="G253">
            <v>1</v>
          </cell>
          <cell r="I253">
            <v>1</v>
          </cell>
          <cell r="J253">
            <v>0.8</v>
          </cell>
          <cell r="K253">
            <v>35</v>
          </cell>
          <cell r="L253">
            <v>43.75</v>
          </cell>
          <cell r="M253">
            <v>35</v>
          </cell>
          <cell r="N253">
            <v>43.75</v>
          </cell>
        </row>
        <row r="254">
          <cell r="A254" t="str">
            <v>ILUMINAÇÃO E COMANDO ELEVADORE DE SEGURANÇA</v>
          </cell>
          <cell r="B254">
            <v>3</v>
          </cell>
          <cell r="E254" t="e">
            <v>#N/A</v>
          </cell>
          <cell r="F254" t="e">
            <v>#N/A</v>
          </cell>
          <cell r="G254">
            <v>1</v>
          </cell>
          <cell r="I254">
            <v>1</v>
          </cell>
          <cell r="J254">
            <v>0.8</v>
          </cell>
          <cell r="K254">
            <v>3</v>
          </cell>
          <cell r="L254">
            <v>3.75</v>
          </cell>
          <cell r="M254">
            <v>3</v>
          </cell>
          <cell r="N254">
            <v>3.75</v>
          </cell>
        </row>
        <row r="255">
          <cell r="A255" t="str">
            <v>PRESSURIZAÇÃO ESCADA 5SS</v>
          </cell>
          <cell r="B255">
            <v>6.3805104408352662</v>
          </cell>
          <cell r="C255">
            <v>7.5</v>
          </cell>
          <cell r="D255" t="str">
            <v>C</v>
          </cell>
          <cell r="E255">
            <v>6.3805104408352662</v>
          </cell>
          <cell r="F255">
            <v>0.8</v>
          </cell>
          <cell r="G255">
            <v>4</v>
          </cell>
          <cell r="I255">
            <v>0.5</v>
          </cell>
          <cell r="J255">
            <v>0.8</v>
          </cell>
          <cell r="K255">
            <v>25.522041763341065</v>
          </cell>
          <cell r="L255">
            <v>31.902552204176331</v>
          </cell>
          <cell r="M255">
            <v>12.761020881670532</v>
          </cell>
          <cell r="N255">
            <v>15.951276102088165</v>
          </cell>
        </row>
        <row r="256">
          <cell r="A256" t="str">
            <v>PRESSURIZAÇÃO ESCADA 3SS</v>
          </cell>
          <cell r="B256">
            <v>8.6705202312138727</v>
          </cell>
          <cell r="C256">
            <v>10</v>
          </cell>
          <cell r="D256" t="str">
            <v>C</v>
          </cell>
          <cell r="E256">
            <v>8.6705202312138727</v>
          </cell>
          <cell r="F256">
            <v>0.85</v>
          </cell>
          <cell r="G256">
            <v>2</v>
          </cell>
          <cell r="I256">
            <v>0.5</v>
          </cell>
          <cell r="J256">
            <v>0.85</v>
          </cell>
          <cell r="K256">
            <v>17.341040462427745</v>
          </cell>
          <cell r="L256">
            <v>20.401224073444407</v>
          </cell>
          <cell r="M256">
            <v>8.6705202312138727</v>
          </cell>
          <cell r="N256">
            <v>10.200612036722204</v>
          </cell>
        </row>
        <row r="257">
          <cell r="A257" t="str">
            <v>PRESSURIZAÇÃO ESCADA 1SS</v>
          </cell>
          <cell r="B257">
            <v>16.930022573363431</v>
          </cell>
          <cell r="C257">
            <v>20</v>
          </cell>
          <cell r="D257" t="str">
            <v>C</v>
          </cell>
          <cell r="E257">
            <v>16.930022573363431</v>
          </cell>
          <cell r="F257">
            <v>0.84</v>
          </cell>
          <cell r="G257">
            <v>5</v>
          </cell>
          <cell r="I257">
            <v>0.8</v>
          </cell>
          <cell r="J257">
            <v>0.84</v>
          </cell>
          <cell r="K257">
            <v>84.650112866817153</v>
          </cell>
          <cell r="L257">
            <v>100.77394388906805</v>
          </cell>
          <cell r="M257">
            <v>67.720090293453723</v>
          </cell>
          <cell r="N257">
            <v>80.619155111254443</v>
          </cell>
        </row>
        <row r="258">
          <cell r="A258" t="str">
            <v>EXAUSTÃO DE FUMAÇA</v>
          </cell>
          <cell r="B258">
            <v>16.930022573363431</v>
          </cell>
          <cell r="C258">
            <v>20</v>
          </cell>
          <cell r="D258" t="str">
            <v>C</v>
          </cell>
          <cell r="E258">
            <v>16.930022573363431</v>
          </cell>
          <cell r="F258">
            <v>0.84</v>
          </cell>
          <cell r="G258">
            <v>2</v>
          </cell>
          <cell r="I258">
            <v>1</v>
          </cell>
          <cell r="J258">
            <v>0.84</v>
          </cell>
          <cell r="K258">
            <v>33.860045146726861</v>
          </cell>
          <cell r="L258">
            <v>40.309577555627214</v>
          </cell>
          <cell r="M258">
            <v>33.860045146726861</v>
          </cell>
          <cell r="N258">
            <v>40.309577555627214</v>
          </cell>
        </row>
        <row r="259">
          <cell r="A259" t="str">
            <v>ELEVADOR DE SEGUANÇA</v>
          </cell>
          <cell r="B259">
            <v>35</v>
          </cell>
          <cell r="E259" t="e">
            <v>#N/A</v>
          </cell>
          <cell r="F259" t="e">
            <v>#N/A</v>
          </cell>
          <cell r="G259">
            <v>1</v>
          </cell>
          <cell r="I259">
            <v>1</v>
          </cell>
          <cell r="J259">
            <v>0.8</v>
          </cell>
          <cell r="K259">
            <v>35</v>
          </cell>
          <cell r="L259">
            <v>43.75</v>
          </cell>
          <cell r="M259">
            <v>35</v>
          </cell>
          <cell r="N259">
            <v>43.75</v>
          </cell>
        </row>
        <row r="260">
          <cell r="A260" t="str">
            <v>ILUMINAÇÃO E COMANDO ELEVADORE DE SEGURANÇA</v>
          </cell>
          <cell r="B260">
            <v>3</v>
          </cell>
          <cell r="E260" t="e">
            <v>#N/A</v>
          </cell>
          <cell r="F260" t="e">
            <v>#N/A</v>
          </cell>
          <cell r="G260">
            <v>1</v>
          </cell>
          <cell r="I260">
            <v>1</v>
          </cell>
          <cell r="J260">
            <v>0.8</v>
          </cell>
          <cell r="K260">
            <v>3</v>
          </cell>
          <cell r="L260">
            <v>3.75</v>
          </cell>
          <cell r="M260">
            <v>3</v>
          </cell>
          <cell r="N260">
            <v>3.75</v>
          </cell>
        </row>
        <row r="261">
          <cell r="A261" t="str">
            <v>PRESSURIZAÇÃO ESCADA 5SS</v>
          </cell>
          <cell r="B261">
            <v>6.3805104408352662</v>
          </cell>
          <cell r="C261">
            <v>7.5</v>
          </cell>
          <cell r="D261" t="str">
            <v>C</v>
          </cell>
          <cell r="E261">
            <v>6.3805104408352662</v>
          </cell>
          <cell r="F261">
            <v>0.8</v>
          </cell>
          <cell r="G261">
            <v>4</v>
          </cell>
          <cell r="I261">
            <v>0.5</v>
          </cell>
          <cell r="J261">
            <v>0.8</v>
          </cell>
          <cell r="K261">
            <v>25.522041763341065</v>
          </cell>
          <cell r="L261">
            <v>31.902552204176331</v>
          </cell>
          <cell r="M261">
            <v>12.761020881670532</v>
          </cell>
          <cell r="N261">
            <v>15.951276102088165</v>
          </cell>
        </row>
        <row r="262">
          <cell r="A262" t="str">
            <v>PRESSURIZAÇÃO ESCADA 3SS</v>
          </cell>
          <cell r="B262">
            <v>8.6705202312138727</v>
          </cell>
          <cell r="C262">
            <v>10</v>
          </cell>
          <cell r="D262" t="str">
            <v>C</v>
          </cell>
          <cell r="E262">
            <v>8.6705202312138727</v>
          </cell>
          <cell r="F262">
            <v>0.85</v>
          </cell>
          <cell r="G262">
            <v>2</v>
          </cell>
          <cell r="I262">
            <v>0.5</v>
          </cell>
          <cell r="J262">
            <v>0.85</v>
          </cell>
          <cell r="K262">
            <v>17.341040462427745</v>
          </cell>
          <cell r="L262">
            <v>20.401224073444407</v>
          </cell>
          <cell r="M262">
            <v>8.6705202312138727</v>
          </cell>
          <cell r="N262">
            <v>10.200612036722204</v>
          </cell>
        </row>
        <row r="263">
          <cell r="A263" t="str">
            <v>PRESSURIZAÇÃO ESCADA 1SS</v>
          </cell>
          <cell r="B263">
            <v>16.930022573363431</v>
          </cell>
          <cell r="C263">
            <v>20</v>
          </cell>
          <cell r="D263" t="str">
            <v>C</v>
          </cell>
          <cell r="E263">
            <v>16.930022573363431</v>
          </cell>
          <cell r="F263">
            <v>0.84</v>
          </cell>
          <cell r="G263">
            <v>5</v>
          </cell>
          <cell r="I263">
            <v>0.8</v>
          </cell>
          <cell r="J263">
            <v>0.84</v>
          </cell>
          <cell r="K263">
            <v>84.650112866817153</v>
          </cell>
          <cell r="L263">
            <v>100.77394388906805</v>
          </cell>
          <cell r="M263">
            <v>67.720090293453723</v>
          </cell>
          <cell r="N263">
            <v>80.619155111254443</v>
          </cell>
        </row>
        <row r="264">
          <cell r="A264" t="str">
            <v>EXAUSTÃO DE FUMAÇA</v>
          </cell>
          <cell r="B264">
            <v>16.930022573363431</v>
          </cell>
          <cell r="C264">
            <v>20</v>
          </cell>
          <cell r="D264" t="str">
            <v>C</v>
          </cell>
          <cell r="E264">
            <v>16.930022573363431</v>
          </cell>
          <cell r="F264">
            <v>0.84</v>
          </cell>
          <cell r="G264">
            <v>2</v>
          </cell>
          <cell r="I264">
            <v>1</v>
          </cell>
          <cell r="J264">
            <v>0.84</v>
          </cell>
          <cell r="K264">
            <v>33.860045146726861</v>
          </cell>
          <cell r="L264">
            <v>40.309577555627214</v>
          </cell>
          <cell r="M264">
            <v>33.860045146726861</v>
          </cell>
          <cell r="N264">
            <v>40.309577555627214</v>
          </cell>
        </row>
        <row r="265">
          <cell r="A265" t="str">
            <v>BOMBA DE RECALQUE DE ÓLEO DIESEL</v>
          </cell>
          <cell r="B265">
            <v>2.75</v>
          </cell>
          <cell r="C265">
            <v>3</v>
          </cell>
          <cell r="D265" t="str">
            <v>H</v>
          </cell>
          <cell r="E265">
            <v>2.75</v>
          </cell>
          <cell r="F265">
            <v>0.77</v>
          </cell>
          <cell r="G265">
            <v>2</v>
          </cell>
          <cell r="I265">
            <v>0.5</v>
          </cell>
          <cell r="J265">
            <v>0.77</v>
          </cell>
          <cell r="K265">
            <v>5.5</v>
          </cell>
          <cell r="L265">
            <v>7.1428571428571441</v>
          </cell>
          <cell r="M265">
            <v>2.75</v>
          </cell>
          <cell r="N265">
            <v>3.5714285714285721</v>
          </cell>
        </row>
        <row r="266">
          <cell r="A266" t="str">
            <v>ILUMINAÇÃO E TOMADAS GERADOR</v>
          </cell>
          <cell r="B266">
            <v>11.67</v>
          </cell>
          <cell r="G266">
            <v>1</v>
          </cell>
          <cell r="I266">
            <v>0.9</v>
          </cell>
          <cell r="J266">
            <v>0.94</v>
          </cell>
          <cell r="K266">
            <v>11.67</v>
          </cell>
          <cell r="L266">
            <v>12.414893617021276</v>
          </cell>
          <cell r="M266">
            <v>10.503</v>
          </cell>
          <cell r="N266">
            <v>11.173404255319149</v>
          </cell>
        </row>
        <row r="267">
          <cell r="A267" t="str">
            <v>BOMBA DE INCÊNDIO PRINCIPAL</v>
          </cell>
          <cell r="B267">
            <v>119.56521739130434</v>
          </cell>
          <cell r="C267">
            <v>150</v>
          </cell>
          <cell r="D267" t="str">
            <v>H</v>
          </cell>
          <cell r="E267">
            <v>119.56521739130434</v>
          </cell>
          <cell r="F267">
            <v>0.86</v>
          </cell>
          <cell r="G267">
            <v>1</v>
          </cell>
          <cell r="I267">
            <v>1</v>
          </cell>
          <cell r="J267">
            <v>0.86</v>
          </cell>
          <cell r="K267">
            <v>119.56521739130434</v>
          </cell>
          <cell r="L267">
            <v>139.02932254802832</v>
          </cell>
          <cell r="M267">
            <v>119.56521739130434</v>
          </cell>
          <cell r="N267">
            <v>139.02932254802832</v>
          </cell>
        </row>
        <row r="268">
          <cell r="A268" t="str">
            <v>RETIFICADOR SUBESTAÇÃO</v>
          </cell>
          <cell r="B268">
            <v>10</v>
          </cell>
          <cell r="G268">
            <v>1</v>
          </cell>
          <cell r="I268">
            <v>1</v>
          </cell>
          <cell r="J268">
            <v>0.8</v>
          </cell>
          <cell r="K268">
            <v>10</v>
          </cell>
          <cell r="L268">
            <v>12.5</v>
          </cell>
          <cell r="M268">
            <v>10</v>
          </cell>
          <cell r="N268">
            <v>12.5</v>
          </cell>
        </row>
        <row r="269">
          <cell r="A269" t="str">
            <v>ILUMINAÇÃO HELIPONTO</v>
          </cell>
          <cell r="B269">
            <v>10</v>
          </cell>
          <cell r="E269" t="e">
            <v>#N/A</v>
          </cell>
          <cell r="F269" t="e">
            <v>#N/A</v>
          </cell>
          <cell r="G269">
            <v>1</v>
          </cell>
          <cell r="I269">
            <v>1</v>
          </cell>
          <cell r="J269">
            <v>0.9</v>
          </cell>
          <cell r="K269">
            <v>10</v>
          </cell>
          <cell r="L269">
            <v>11.111111111111111</v>
          </cell>
          <cell r="M269">
            <v>10</v>
          </cell>
          <cell r="N269">
            <v>11.111111111111111</v>
          </cell>
        </row>
        <row r="270">
          <cell r="A270" t="str">
            <v>ELEVADORE HELIPONTO</v>
          </cell>
          <cell r="B270">
            <v>12</v>
          </cell>
          <cell r="E270" t="e">
            <v>#N/A</v>
          </cell>
          <cell r="F270" t="e">
            <v>#N/A</v>
          </cell>
          <cell r="G270">
            <v>2</v>
          </cell>
          <cell r="I270">
            <v>1</v>
          </cell>
          <cell r="J270">
            <v>0.9</v>
          </cell>
          <cell r="K270">
            <v>24</v>
          </cell>
          <cell r="L270">
            <v>26.666666666666664</v>
          </cell>
          <cell r="M270">
            <v>24</v>
          </cell>
          <cell r="N270">
            <v>26.666666666666664</v>
          </cell>
        </row>
        <row r="271">
          <cell r="A271" t="str">
            <v>ILUMINAÇÃO E COMANDO ELEVADORE HELIPONTO</v>
          </cell>
          <cell r="B271">
            <v>1.3</v>
          </cell>
          <cell r="E271" t="e">
            <v>#N/A</v>
          </cell>
          <cell r="F271" t="e">
            <v>#N/A</v>
          </cell>
          <cell r="G271">
            <v>1</v>
          </cell>
          <cell r="I271">
            <v>1</v>
          </cell>
          <cell r="J271">
            <v>0.8</v>
          </cell>
          <cell r="K271">
            <v>1.3</v>
          </cell>
          <cell r="L271">
            <v>1.625</v>
          </cell>
          <cell r="M271">
            <v>1.3</v>
          </cell>
          <cell r="N271">
            <v>1.625</v>
          </cell>
        </row>
        <row r="272">
          <cell r="A272" t="str">
            <v>ELEVADORES ZONA ALTA</v>
          </cell>
          <cell r="B272">
            <v>70</v>
          </cell>
          <cell r="E272" t="e">
            <v>#N/A</v>
          </cell>
          <cell r="F272" t="e">
            <v>#N/A</v>
          </cell>
          <cell r="G272">
            <v>8</v>
          </cell>
          <cell r="I272">
            <v>0.13</v>
          </cell>
          <cell r="J272">
            <v>0.8</v>
          </cell>
          <cell r="K272">
            <v>560</v>
          </cell>
          <cell r="L272">
            <v>700</v>
          </cell>
          <cell r="M272">
            <v>72.8</v>
          </cell>
          <cell r="N272">
            <v>91</v>
          </cell>
        </row>
        <row r="273">
          <cell r="A273" t="str">
            <v>ILUMINAÇÃO E COMANDO ELEVADORES ZONA ALTA</v>
          </cell>
          <cell r="B273">
            <v>3</v>
          </cell>
          <cell r="E273" t="e">
            <v>#N/A</v>
          </cell>
          <cell r="F273" t="e">
            <v>#N/A</v>
          </cell>
          <cell r="G273">
            <v>1</v>
          </cell>
          <cell r="I273">
            <v>0.13</v>
          </cell>
          <cell r="J273">
            <v>0.8</v>
          </cell>
          <cell r="K273">
            <v>3</v>
          </cell>
          <cell r="L273">
            <v>3.75</v>
          </cell>
          <cell r="M273">
            <v>0.39</v>
          </cell>
          <cell r="N273">
            <v>0.48749999999999999</v>
          </cell>
        </row>
        <row r="274">
          <cell r="A274" t="str">
            <v>BARRAMENTO BLINDADO BB2.1/2.3 ESCRITÓRIOS</v>
          </cell>
          <cell r="B274">
            <v>96.05</v>
          </cell>
          <cell r="E274" t="e">
            <v>#N/A</v>
          </cell>
          <cell r="F274" t="e">
            <v>#N/A</v>
          </cell>
          <cell r="G274">
            <v>1</v>
          </cell>
          <cell r="I274">
            <v>1</v>
          </cell>
          <cell r="J274">
            <v>0.98</v>
          </cell>
          <cell r="K274">
            <v>96.05</v>
          </cell>
          <cell r="L274">
            <v>98.010204081632637</v>
          </cell>
          <cell r="M274">
            <v>96.05</v>
          </cell>
          <cell r="N274">
            <v>98.010204081632637</v>
          </cell>
        </row>
        <row r="275">
          <cell r="A275" t="str">
            <v>TOTAL</v>
          </cell>
          <cell r="I275">
            <v>0.50301320878545841</v>
          </cell>
          <cell r="J275">
            <v>0.850036125133944</v>
          </cell>
          <cell r="K275">
            <v>2008.2367921350492</v>
          </cell>
          <cell r="L275">
            <v>2417.2471905907491</v>
          </cell>
          <cell r="M275">
            <v>1010.1696328128667</v>
          </cell>
          <cell r="N275">
            <v>1188.3843556104039</v>
          </cell>
        </row>
        <row r="278">
          <cell r="A278" t="str">
            <v>RESUMO GERAL:</v>
          </cell>
          <cell r="B278" t="str">
            <v>kW</v>
          </cell>
          <cell r="C278" t="str">
            <v>kVA</v>
          </cell>
        </row>
        <row r="279">
          <cell r="A279" t="str">
            <v>DEMANDAS</v>
          </cell>
          <cell r="B279">
            <v>1010.1696328128667</v>
          </cell>
          <cell r="C279">
            <v>1188.3843556104039</v>
          </cell>
        </row>
        <row r="280">
          <cell r="A280" t="str">
            <v>RESERVA     (%)</v>
          </cell>
          <cell r="B280">
            <v>0</v>
          </cell>
        </row>
        <row r="281">
          <cell r="A281" t="str">
            <v>FATOR DE SIMULTANEIDADE</v>
          </cell>
          <cell r="B281">
            <v>0.8</v>
          </cell>
        </row>
        <row r="283">
          <cell r="A283" t="str">
            <v xml:space="preserve">DEMANDA FINAL </v>
          </cell>
          <cell r="B283">
            <v>808.13570625029342</v>
          </cell>
          <cell r="C283">
            <v>950.70748448832319</v>
          </cell>
        </row>
        <row r="285">
          <cell r="A285" t="str">
            <v>TENSÃO (V)</v>
          </cell>
          <cell r="B285">
            <v>380</v>
          </cell>
          <cell r="C285" t="str">
            <v>V</v>
          </cell>
        </row>
        <row r="286">
          <cell r="A286" t="str">
            <v>CORRENTE (A)</v>
          </cell>
          <cell r="B286">
            <v>1444.4505844471721</v>
          </cell>
          <cell r="C286" t="str">
            <v>A</v>
          </cell>
        </row>
        <row r="287">
          <cell r="A287" t="str">
            <v>DISJUNTOR GERAL</v>
          </cell>
          <cell r="B287">
            <v>1250</v>
          </cell>
          <cell r="C287" t="str">
            <v>A</v>
          </cell>
        </row>
        <row r="289">
          <cell r="A289" t="str">
            <v>ADOTADO GERADOR DE 1040KVA/830KW</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ERGÊNCIA"/>
      <sheetName val="CAPA"/>
      <sheetName val="Controle"/>
      <sheetName val="LOJAS"/>
      <sheetName val="CONDOMINOS"/>
      <sheetName val="QUADROS DE DISTRIBUIÇÃO"/>
      <sheetName val="BARRAMENTO BLINDADO"/>
      <sheetName val="TRANSFORMADORES"/>
      <sheetName val="GERAL ORIGINAL"/>
      <sheetName val="GERAL POR ITENS"/>
      <sheetName val="MOTORES"/>
      <sheetName val="ANTIGO COND"/>
      <sheetName val="ANTIGO GERAL"/>
      <sheetName val="H_MOT"/>
      <sheetName val="C_MOT"/>
    </sheetNames>
    <sheetDataSet>
      <sheetData sheetId="0" refreshError="1">
        <row r="2">
          <cell r="A2" t="str">
            <v>TABELA DE CARGAS – POR TRANSFORMADOR/PBT EM EMERGÊNCIA</v>
          </cell>
        </row>
        <row r="4">
          <cell r="A4" t="str">
            <v>TRANSFORMADOR 1.1 – PBT-1.1 EM EMERGÊNCIA</v>
          </cell>
        </row>
        <row r="6">
          <cell r="A6" t="str">
            <v>FINALIDADE</v>
          </cell>
          <cell r="B6" t="str">
            <v>POT. UNIT. (kW)</v>
          </cell>
          <cell r="C6" t="str">
            <v>POT. UNIT. (CV)</v>
          </cell>
          <cell r="D6" t="str">
            <v>T I P O</v>
          </cell>
          <cell r="E6" t="str">
            <v>POT-M (KW)</v>
          </cell>
          <cell r="F6" t="str">
            <v>FP- M</v>
          </cell>
          <cell r="G6" t="str">
            <v>QTDE.</v>
          </cell>
          <cell r="H6" t="str">
            <v>PÓLOS</v>
          </cell>
          <cell r="I6" t="str">
            <v>F.D.</v>
          </cell>
          <cell r="J6" t="str">
            <v>F.P.</v>
          </cell>
          <cell r="K6" t="str">
            <v>POT. INSTALADA (kW)</v>
          </cell>
          <cell r="L6" t="str">
            <v>POT. INSTALADA (kVA)</v>
          </cell>
          <cell r="M6" t="str">
            <v>POT. DEMANDADA (kW)</v>
          </cell>
          <cell r="N6" t="str">
            <v>POT. DEMANDADA (kVA)</v>
          </cell>
        </row>
        <row r="7">
          <cell r="A7" t="str">
            <v>BARRAMENTO BLINDADO BB1.1/1.3 – ILUMINAÇÃO HALL</v>
          </cell>
          <cell r="B7">
            <v>123.78</v>
          </cell>
          <cell r="E7" t="e">
            <v>#N/A</v>
          </cell>
          <cell r="F7" t="e">
            <v>#N/A</v>
          </cell>
          <cell r="G7">
            <v>1</v>
          </cell>
          <cell r="I7">
            <v>0.71596423332687886</v>
          </cell>
          <cell r="J7">
            <v>0.97999999999999976</v>
          </cell>
          <cell r="K7">
            <v>123.78</v>
          </cell>
          <cell r="L7">
            <v>126.30612244897962</v>
          </cell>
          <cell r="M7">
            <v>88.622052801201065</v>
          </cell>
          <cell r="N7">
            <v>90.430666123674584</v>
          </cell>
        </row>
        <row r="8">
          <cell r="A8" t="str">
            <v>QD-B1-3S</v>
          </cell>
          <cell r="B8">
            <v>140.32509426511928</v>
          </cell>
          <cell r="E8" t="e">
            <v>#N/A</v>
          </cell>
          <cell r="F8" t="e">
            <v>#N/A</v>
          </cell>
          <cell r="G8">
            <v>1</v>
          </cell>
          <cell r="I8">
            <v>1</v>
          </cell>
          <cell r="J8">
            <v>0.77296462798671983</v>
          </cell>
          <cell r="K8">
            <v>140.32509426511928</v>
          </cell>
          <cell r="L8">
            <v>181.54141752982022</v>
          </cell>
          <cell r="M8">
            <v>140.32509426511928</v>
          </cell>
          <cell r="N8">
            <v>181.54141752982022</v>
          </cell>
        </row>
        <row r="9">
          <cell r="A9" t="str">
            <v>NO BREAK</v>
          </cell>
          <cell r="B9">
            <v>30</v>
          </cell>
          <cell r="G9">
            <v>2</v>
          </cell>
          <cell r="I9">
            <v>0.5</v>
          </cell>
          <cell r="J9">
            <v>1</v>
          </cell>
          <cell r="K9">
            <v>60</v>
          </cell>
          <cell r="L9">
            <v>60</v>
          </cell>
          <cell r="M9">
            <v>30</v>
          </cell>
          <cell r="N9">
            <v>30</v>
          </cell>
        </row>
        <row r="10">
          <cell r="A10" t="str">
            <v>TOTAL</v>
          </cell>
          <cell r="I10">
            <v>0.79896043489677604</v>
          </cell>
          <cell r="J10">
            <v>0.85752015197356957</v>
          </cell>
          <cell r="K10">
            <v>324.10509426511931</v>
          </cell>
          <cell r="L10">
            <v>367.84753997879983</v>
          </cell>
          <cell r="M10">
            <v>258.94714706632033</v>
          </cell>
          <cell r="N10">
            <v>301.97208365349479</v>
          </cell>
        </row>
        <row r="12">
          <cell r="A12" t="str">
            <v>RESUMO GERAL:</v>
          </cell>
          <cell r="B12" t="str">
            <v>kW</v>
          </cell>
          <cell r="C12" t="str">
            <v>kVA</v>
          </cell>
        </row>
        <row r="13">
          <cell r="A13" t="str">
            <v>DEMANDAS</v>
          </cell>
          <cell r="B13">
            <v>258.94714706632033</v>
          </cell>
          <cell r="C13">
            <v>301.97208365349479</v>
          </cell>
        </row>
        <row r="14">
          <cell r="A14" t="str">
            <v>RESERVA     (%)</v>
          </cell>
          <cell r="B14">
            <v>0.2</v>
          </cell>
        </row>
        <row r="15">
          <cell r="A15" t="str">
            <v>FATOR DE SIMULTANEIDADE</v>
          </cell>
          <cell r="B15">
            <v>1</v>
          </cell>
        </row>
        <row r="17">
          <cell r="A17" t="str">
            <v xml:space="preserve">DEMANDA FINAL </v>
          </cell>
          <cell r="B17">
            <v>310.73657647958436</v>
          </cell>
          <cell r="C17">
            <v>362.36650038419373</v>
          </cell>
        </row>
        <row r="19">
          <cell r="A19" t="str">
            <v>TENSÃO (V)</v>
          </cell>
          <cell r="B19">
            <v>380</v>
          </cell>
          <cell r="C19" t="str">
            <v>V</v>
          </cell>
        </row>
        <row r="20">
          <cell r="A20" t="str">
            <v>CORRENTE (A)</v>
          </cell>
          <cell r="B20">
            <v>550.55893826872864</v>
          </cell>
          <cell r="C20" t="str">
            <v>A</v>
          </cell>
        </row>
        <row r="21">
          <cell r="A21" t="str">
            <v>DISJUNTOR GERAL</v>
          </cell>
          <cell r="B21">
            <v>2500</v>
          </cell>
          <cell r="C21" t="str">
            <v>A</v>
          </cell>
        </row>
        <row r="23">
          <cell r="A23" t="str">
            <v>TRANSFORMADOR DE 1500KVA</v>
          </cell>
        </row>
        <row r="27">
          <cell r="A27" t="str">
            <v>TRANSFORMADOR 1.2 – PBT-1.2 EM EMERGÊNCIA</v>
          </cell>
        </row>
        <row r="29">
          <cell r="A29" t="str">
            <v>FINALIDADE</v>
          </cell>
          <cell r="B29" t="str">
            <v>POT. UNIT. (kW)</v>
          </cell>
          <cell r="C29" t="str">
            <v>POT. UNIT. (CV)</v>
          </cell>
          <cell r="D29" t="str">
            <v>T I P O</v>
          </cell>
          <cell r="E29" t="str">
            <v>POT-M (KW)</v>
          </cell>
          <cell r="F29" t="str">
            <v>FP- M</v>
          </cell>
          <cell r="G29" t="str">
            <v>QTDE.</v>
          </cell>
          <cell r="H29" t="str">
            <v>PÓLOS</v>
          </cell>
          <cell r="I29" t="str">
            <v>F.D.</v>
          </cell>
          <cell r="J29" t="str">
            <v>F.P.</v>
          </cell>
          <cell r="K29" t="str">
            <v>POT. INSTALADA (kW)</v>
          </cell>
          <cell r="L29" t="str">
            <v>POT. INSTALADA (kVA)</v>
          </cell>
          <cell r="M29" t="str">
            <v>POT. DEMANDADA (kW)</v>
          </cell>
          <cell r="N29" t="str">
            <v>POT. DEMANDADA (kVA)</v>
          </cell>
        </row>
        <row r="30">
          <cell r="A30" t="str">
            <v>ELEVADORES SUBSOLO</v>
          </cell>
          <cell r="B30">
            <v>20</v>
          </cell>
          <cell r="E30" t="e">
            <v>#N/A</v>
          </cell>
          <cell r="F30" t="e">
            <v>#N/A</v>
          </cell>
          <cell r="G30">
            <v>2</v>
          </cell>
          <cell r="I30">
            <v>0</v>
          </cell>
          <cell r="J30">
            <v>0.8</v>
          </cell>
          <cell r="K30">
            <v>40</v>
          </cell>
          <cell r="L30">
            <v>50</v>
          </cell>
          <cell r="M30">
            <v>0</v>
          </cell>
          <cell r="N30">
            <v>0</v>
          </cell>
        </row>
        <row r="31">
          <cell r="A31" t="str">
            <v>ILUMINAÇÃO E COMANDO ELEVADORES SUBSOLO</v>
          </cell>
          <cell r="B31">
            <v>1.3</v>
          </cell>
          <cell r="E31" t="e">
            <v>#N/A</v>
          </cell>
          <cell r="F31" t="e">
            <v>#N/A</v>
          </cell>
          <cell r="G31">
            <v>1</v>
          </cell>
          <cell r="I31">
            <v>0.74</v>
          </cell>
          <cell r="J31">
            <v>0.8</v>
          </cell>
          <cell r="K31">
            <v>1.3</v>
          </cell>
          <cell r="L31">
            <v>1.625</v>
          </cell>
          <cell r="M31">
            <v>0.96199999999999997</v>
          </cell>
          <cell r="N31">
            <v>1.2024999999999999</v>
          </cell>
        </row>
        <row r="32">
          <cell r="A32" t="str">
            <v>ELEVADORES GARAGEM</v>
          </cell>
          <cell r="B32">
            <v>20</v>
          </cell>
          <cell r="E32" t="e">
            <v>#N/A</v>
          </cell>
          <cell r="F32" t="e">
            <v>#N/A</v>
          </cell>
          <cell r="G32">
            <v>2</v>
          </cell>
          <cell r="I32">
            <v>0.74</v>
          </cell>
          <cell r="J32">
            <v>0.8</v>
          </cell>
          <cell r="K32">
            <v>40</v>
          </cell>
          <cell r="L32">
            <v>50</v>
          </cell>
          <cell r="M32">
            <v>29.6</v>
          </cell>
          <cell r="N32">
            <v>37</v>
          </cell>
        </row>
        <row r="33">
          <cell r="A33" t="str">
            <v>ILUMINAÇÃO E COMANDO ELEVADORES GARAGEM</v>
          </cell>
          <cell r="B33">
            <v>1.3</v>
          </cell>
          <cell r="E33" t="e">
            <v>#N/A</v>
          </cell>
          <cell r="F33" t="e">
            <v>#N/A</v>
          </cell>
          <cell r="G33">
            <v>1</v>
          </cell>
          <cell r="I33">
            <v>0</v>
          </cell>
          <cell r="J33">
            <v>0.8</v>
          </cell>
          <cell r="K33">
            <v>1.3</v>
          </cell>
          <cell r="L33">
            <v>1.625</v>
          </cell>
          <cell r="M33">
            <v>0</v>
          </cell>
          <cell r="N33">
            <v>0</v>
          </cell>
        </row>
        <row r="34">
          <cell r="A34" t="str">
            <v>ELEVADORES ZONA BAIXA</v>
          </cell>
          <cell r="B34">
            <v>50</v>
          </cell>
          <cell r="E34" t="e">
            <v>#N/A</v>
          </cell>
          <cell r="F34" t="e">
            <v>#N/A</v>
          </cell>
          <cell r="G34">
            <v>8</v>
          </cell>
          <cell r="I34">
            <v>0.125</v>
          </cell>
          <cell r="J34">
            <v>0.8</v>
          </cell>
          <cell r="K34">
            <v>400</v>
          </cell>
          <cell r="L34">
            <v>500</v>
          </cell>
          <cell r="M34">
            <v>50</v>
          </cell>
          <cell r="N34">
            <v>62.5</v>
          </cell>
        </row>
        <row r="35">
          <cell r="A35" t="str">
            <v>ILUMINAÇÃO E COMANDO ELEVADORES ZONA BAIXA</v>
          </cell>
          <cell r="B35">
            <v>3</v>
          </cell>
          <cell r="E35" t="e">
            <v>#N/A</v>
          </cell>
          <cell r="F35" t="e">
            <v>#N/A</v>
          </cell>
          <cell r="G35">
            <v>1</v>
          </cell>
          <cell r="I35">
            <v>0.1</v>
          </cell>
          <cell r="J35">
            <v>0.8</v>
          </cell>
          <cell r="K35">
            <v>3</v>
          </cell>
          <cell r="L35">
            <v>3.75</v>
          </cell>
          <cell r="M35">
            <v>0.30000000000000004</v>
          </cell>
          <cell r="N35">
            <v>0.375</v>
          </cell>
        </row>
        <row r="36">
          <cell r="A36" t="str">
            <v>QD-B1-3S-AC</v>
          </cell>
          <cell r="B36">
            <v>140.32509426511928</v>
          </cell>
          <cell r="E36" t="e">
            <v>#N/A</v>
          </cell>
          <cell r="F36" t="e">
            <v>#N/A</v>
          </cell>
          <cell r="G36">
            <v>1</v>
          </cell>
          <cell r="I36">
            <v>0</v>
          </cell>
          <cell r="J36">
            <v>0.77296462798671983</v>
          </cell>
          <cell r="K36">
            <v>140.32509426511928</v>
          </cell>
          <cell r="L36">
            <v>181.54141752982022</v>
          </cell>
          <cell r="M36">
            <v>0</v>
          </cell>
          <cell r="N36">
            <v>0</v>
          </cell>
        </row>
        <row r="37">
          <cell r="A37" t="str">
            <v>VENTILAÇÃO</v>
          </cell>
          <cell r="B37">
            <v>0.56488549618320616</v>
          </cell>
          <cell r="C37">
            <v>0.5</v>
          </cell>
          <cell r="D37" t="str">
            <v>C</v>
          </cell>
          <cell r="E37">
            <v>0.56488549618320616</v>
          </cell>
          <cell r="F37">
            <v>0.73</v>
          </cell>
          <cell r="G37">
            <v>1</v>
          </cell>
          <cell r="I37">
            <v>0</v>
          </cell>
          <cell r="J37">
            <v>0.73</v>
          </cell>
          <cell r="K37">
            <v>0.56488549618320616</v>
          </cell>
          <cell r="L37">
            <v>0.77381574819617283</v>
          </cell>
          <cell r="M37">
            <v>0</v>
          </cell>
          <cell r="N37">
            <v>0</v>
          </cell>
        </row>
        <row r="38">
          <cell r="A38" t="str">
            <v>VENTILAÇÃO</v>
          </cell>
          <cell r="B38">
            <v>0.80291970802919721</v>
          </cell>
          <cell r="C38">
            <v>0.75</v>
          </cell>
          <cell r="D38" t="str">
            <v>C</v>
          </cell>
          <cell r="E38">
            <v>0.80291970802919721</v>
          </cell>
          <cell r="F38">
            <v>0.77</v>
          </cell>
          <cell r="G38">
            <v>1</v>
          </cell>
          <cell r="I38">
            <v>0</v>
          </cell>
          <cell r="J38">
            <v>0.77</v>
          </cell>
          <cell r="K38">
            <v>0.80291970802919721</v>
          </cell>
          <cell r="L38">
            <v>1.0427528675703859</v>
          </cell>
          <cell r="M38">
            <v>0</v>
          </cell>
          <cell r="N38">
            <v>0</v>
          </cell>
        </row>
        <row r="39">
          <cell r="A39" t="str">
            <v>VENTILAÇÃO</v>
          </cell>
          <cell r="B39">
            <v>1.8987341772151898</v>
          </cell>
          <cell r="C39">
            <v>2</v>
          </cell>
          <cell r="D39" t="str">
            <v>C</v>
          </cell>
          <cell r="E39">
            <v>1.8987341772151898</v>
          </cell>
          <cell r="F39">
            <v>0.82</v>
          </cell>
          <cell r="G39">
            <v>1</v>
          </cell>
          <cell r="I39">
            <v>0</v>
          </cell>
          <cell r="J39">
            <v>0.82</v>
          </cell>
          <cell r="K39">
            <v>1.8987341772151898</v>
          </cell>
          <cell r="L39">
            <v>2.3155294844087684</v>
          </cell>
          <cell r="M39">
            <v>0</v>
          </cell>
          <cell r="N39">
            <v>0</v>
          </cell>
        </row>
        <row r="40">
          <cell r="A40" t="str">
            <v>FANCOIL</v>
          </cell>
          <cell r="B40">
            <v>6.3805104408352662</v>
          </cell>
          <cell r="C40">
            <v>7.5</v>
          </cell>
          <cell r="D40" t="str">
            <v>C</v>
          </cell>
          <cell r="E40">
            <v>6.3805104408352662</v>
          </cell>
          <cell r="F40">
            <v>0.8</v>
          </cell>
          <cell r="G40">
            <v>2</v>
          </cell>
          <cell r="I40">
            <v>0</v>
          </cell>
          <cell r="J40">
            <v>0.8</v>
          </cell>
          <cell r="K40">
            <v>12.761020881670532</v>
          </cell>
          <cell r="L40">
            <v>15.951276102088165</v>
          </cell>
          <cell r="M40">
            <v>0</v>
          </cell>
          <cell r="N40">
            <v>0</v>
          </cell>
        </row>
        <row r="41">
          <cell r="A41" t="str">
            <v>UNIDADE CONDENSADORA</v>
          </cell>
          <cell r="B41">
            <v>43.4</v>
          </cell>
          <cell r="G41">
            <v>1</v>
          </cell>
          <cell r="I41">
            <v>0</v>
          </cell>
          <cell r="J41">
            <v>0.8</v>
          </cell>
          <cell r="K41">
            <v>43.4</v>
          </cell>
          <cell r="L41">
            <v>54.249999999999993</v>
          </cell>
          <cell r="M41">
            <v>0</v>
          </cell>
          <cell r="N41">
            <v>0</v>
          </cell>
        </row>
        <row r="42">
          <cell r="A42" t="str">
            <v>FANCOIL ESCRITÓRIOS</v>
          </cell>
          <cell r="B42">
            <v>8.6705202312138727</v>
          </cell>
          <cell r="C42">
            <v>10</v>
          </cell>
          <cell r="D42" t="str">
            <v>C</v>
          </cell>
          <cell r="E42">
            <v>8.6705202312138727</v>
          </cell>
          <cell r="F42">
            <v>0.85</v>
          </cell>
          <cell r="G42">
            <v>32</v>
          </cell>
          <cell r="I42">
            <v>0</v>
          </cell>
          <cell r="J42">
            <v>0.85</v>
          </cell>
          <cell r="K42">
            <v>277.45664739884393</v>
          </cell>
          <cell r="L42">
            <v>326.41958517511051</v>
          </cell>
          <cell r="M42">
            <v>0</v>
          </cell>
          <cell r="N42">
            <v>0</v>
          </cell>
        </row>
        <row r="43">
          <cell r="A43" t="str">
            <v>ILUMINAÇÃO, TOMADAS E AR CONDICIONADO FAST FOOD</v>
          </cell>
          <cell r="B43">
            <v>258.76900000000001</v>
          </cell>
          <cell r="G43">
            <v>1</v>
          </cell>
          <cell r="I43">
            <v>0</v>
          </cell>
          <cell r="J43">
            <v>0.9</v>
          </cell>
          <cell r="K43">
            <v>258.76900000000001</v>
          </cell>
          <cell r="L43">
            <v>287.52111111111111</v>
          </cell>
          <cell r="M43">
            <v>0</v>
          </cell>
          <cell r="N43">
            <v>0</v>
          </cell>
        </row>
        <row r="44">
          <cell r="A44" t="str">
            <v>BOMBA DE RECALQUE DE ÁGUA FRIA</v>
          </cell>
          <cell r="B44">
            <v>20.670391061452513</v>
          </cell>
          <cell r="C44">
            <v>25</v>
          </cell>
          <cell r="D44" t="str">
            <v>H</v>
          </cell>
          <cell r="E44">
            <v>20.670391061452513</v>
          </cell>
          <cell r="F44">
            <v>0.85</v>
          </cell>
          <cell r="G44">
            <v>2</v>
          </cell>
          <cell r="I44">
            <v>0</v>
          </cell>
          <cell r="J44">
            <v>0.85</v>
          </cell>
          <cell r="K44">
            <v>41.340782122905026</v>
          </cell>
          <cell r="L44">
            <v>48.636214262241211</v>
          </cell>
          <cell r="M44">
            <v>0</v>
          </cell>
          <cell r="N44">
            <v>0</v>
          </cell>
        </row>
        <row r="45">
          <cell r="A45" t="str">
            <v>BOMBA DE RECALQUE DE ÁGUAS PLUVIAIS</v>
          </cell>
          <cell r="B45">
            <v>8.6705202312138727</v>
          </cell>
          <cell r="C45">
            <v>10</v>
          </cell>
          <cell r="D45" t="str">
            <v>H</v>
          </cell>
          <cell r="E45">
            <v>8.6705202312138727</v>
          </cell>
          <cell r="F45">
            <v>0.85</v>
          </cell>
          <cell r="G45">
            <v>6</v>
          </cell>
          <cell r="I45">
            <v>0</v>
          </cell>
          <cell r="J45">
            <v>0.85</v>
          </cell>
          <cell r="K45">
            <v>52.02312138728324</v>
          </cell>
          <cell r="L45">
            <v>61.203672220333225</v>
          </cell>
          <cell r="M45">
            <v>0</v>
          </cell>
          <cell r="N45">
            <v>0</v>
          </cell>
        </row>
        <row r="46">
          <cell r="A46" t="str">
            <v>BOMBA DE RECALQUE DE ESGOTO</v>
          </cell>
          <cell r="B46">
            <v>8.6705202312138727</v>
          </cell>
          <cell r="C46">
            <v>10</v>
          </cell>
          <cell r="D46" t="str">
            <v>H</v>
          </cell>
          <cell r="E46">
            <v>8.6705202312138727</v>
          </cell>
          <cell r="F46">
            <v>0.85</v>
          </cell>
          <cell r="G46">
            <v>6</v>
          </cell>
          <cell r="I46">
            <v>0</v>
          </cell>
          <cell r="J46">
            <v>0.85</v>
          </cell>
          <cell r="K46">
            <v>52.02312138728324</v>
          </cell>
          <cell r="L46">
            <v>61.203672220333225</v>
          </cell>
          <cell r="M46">
            <v>0</v>
          </cell>
          <cell r="N46">
            <v>0</v>
          </cell>
        </row>
        <row r="47">
          <cell r="A47" t="str">
            <v>BOMBA DE RECALQUE DE REUSO</v>
          </cell>
          <cell r="B47">
            <v>1.0135135135135136</v>
          </cell>
          <cell r="C47">
            <v>1</v>
          </cell>
          <cell r="D47" t="str">
            <v>H</v>
          </cell>
          <cell r="E47">
            <v>1.0135135135135136</v>
          </cell>
          <cell r="F47">
            <v>0.78</v>
          </cell>
          <cell r="G47">
            <v>2</v>
          </cell>
          <cell r="I47">
            <v>0</v>
          </cell>
          <cell r="J47">
            <v>0.78</v>
          </cell>
          <cell r="K47">
            <v>2.0270270270270272</v>
          </cell>
          <cell r="L47">
            <v>2.5987525987525988</v>
          </cell>
          <cell r="M47">
            <v>0</v>
          </cell>
          <cell r="N47">
            <v>0</v>
          </cell>
        </row>
        <row r="48">
          <cell r="A48" t="str">
            <v>BOMBA DE RECALQUE DO POÇO DE RETARDO</v>
          </cell>
          <cell r="B48">
            <v>1.0135135135135136</v>
          </cell>
          <cell r="C48">
            <v>1</v>
          </cell>
          <cell r="D48" t="str">
            <v>H</v>
          </cell>
          <cell r="E48">
            <v>1.0135135135135136</v>
          </cell>
          <cell r="F48">
            <v>0.78</v>
          </cell>
          <cell r="G48">
            <v>2</v>
          </cell>
          <cell r="I48">
            <v>0</v>
          </cell>
          <cell r="J48">
            <v>0.78</v>
          </cell>
          <cell r="K48">
            <v>2.0270270270270272</v>
          </cell>
          <cell r="L48">
            <v>2.5987525987525988</v>
          </cell>
          <cell r="M48">
            <v>0</v>
          </cell>
          <cell r="N48">
            <v>0</v>
          </cell>
        </row>
        <row r="49">
          <cell r="A49" t="str">
            <v>ESCADA ROLANTE</v>
          </cell>
          <cell r="B49">
            <v>10</v>
          </cell>
          <cell r="G49">
            <v>2</v>
          </cell>
          <cell r="I49">
            <v>0</v>
          </cell>
          <cell r="J49">
            <v>0.8</v>
          </cell>
          <cell r="K49">
            <v>20</v>
          </cell>
          <cell r="L49">
            <v>25</v>
          </cell>
          <cell r="M49">
            <v>0</v>
          </cell>
          <cell r="N49">
            <v>0</v>
          </cell>
        </row>
        <row r="50">
          <cell r="A50" t="str">
            <v>TOTAL</v>
          </cell>
          <cell r="I50">
            <v>5.8131468987100983E-2</v>
          </cell>
          <cell r="J50">
            <v>0.79999999999999993</v>
          </cell>
          <cell r="K50">
            <v>1391.0193808785871</v>
          </cell>
          <cell r="L50">
            <v>1678.056551918718</v>
          </cell>
          <cell r="M50">
            <v>80.861999999999995</v>
          </cell>
          <cell r="N50">
            <v>101.0775</v>
          </cell>
        </row>
        <row r="52">
          <cell r="I52" t="str">
            <v>COM O PAINEL DE SEGURANÇA EM FUNCIONAMENTO</v>
          </cell>
        </row>
        <row r="53">
          <cell r="A53" t="str">
            <v>RESUMO GERAL:</v>
          </cell>
          <cell r="B53" t="str">
            <v>kW</v>
          </cell>
          <cell r="C53" t="str">
            <v>kVA</v>
          </cell>
          <cell r="I53" t="str">
            <v>kW</v>
          </cell>
          <cell r="J53" t="str">
            <v>kVA</v>
          </cell>
        </row>
        <row r="54">
          <cell r="A54" t="str">
            <v>DEMANDAS</v>
          </cell>
          <cell r="B54">
            <v>80.861999999999995</v>
          </cell>
          <cell r="C54">
            <v>101.0775</v>
          </cell>
          <cell r="I54">
            <v>442.08736295026449</v>
          </cell>
          <cell r="J54">
            <v>529.01118759655708</v>
          </cell>
        </row>
        <row r="55">
          <cell r="A55" t="str">
            <v>RESERVA     (%)</v>
          </cell>
          <cell r="B55">
            <v>0.2</v>
          </cell>
          <cell r="I55">
            <v>0</v>
          </cell>
        </row>
        <row r="56">
          <cell r="A56" t="str">
            <v>FATOR DE SIMULTANEIDADE</v>
          </cell>
          <cell r="B56">
            <v>1</v>
          </cell>
          <cell r="I56">
            <v>1</v>
          </cell>
        </row>
        <row r="58">
          <cell r="A58" t="str">
            <v xml:space="preserve">DEMANDA FINAL </v>
          </cell>
          <cell r="B58">
            <v>97.034399999999991</v>
          </cell>
          <cell r="C58">
            <v>121.29299999999999</v>
          </cell>
          <cell r="I58">
            <v>442.08736295026449</v>
          </cell>
          <cell r="J58">
            <v>529.01118759655708</v>
          </cell>
        </row>
        <row r="60">
          <cell r="A60" t="str">
            <v>TENSÃO (V)</v>
          </cell>
          <cell r="B60">
            <v>380</v>
          </cell>
          <cell r="C60" t="str">
            <v>V</v>
          </cell>
          <cell r="I60">
            <v>380</v>
          </cell>
          <cell r="J60" t="str">
            <v>V</v>
          </cell>
        </row>
        <row r="61">
          <cell r="A61" t="str">
            <v>CORRENTE (A)</v>
          </cell>
          <cell r="B61">
            <v>184.28564789688755</v>
          </cell>
          <cell r="C61" t="str">
            <v>A</v>
          </cell>
          <cell r="I61">
            <v>803.74934621893647</v>
          </cell>
          <cell r="J61" t="str">
            <v>A</v>
          </cell>
        </row>
        <row r="62">
          <cell r="A62" t="str">
            <v>DISJUNTOR GERAL</v>
          </cell>
          <cell r="B62">
            <v>2500</v>
          </cell>
          <cell r="C62" t="str">
            <v>A</v>
          </cell>
          <cell r="I62">
            <v>2500</v>
          </cell>
          <cell r="J62" t="str">
            <v>A</v>
          </cell>
        </row>
        <row r="64">
          <cell r="A64" t="str">
            <v>TRANSFORMADOR DE 1500KVA</v>
          </cell>
        </row>
        <row r="69">
          <cell r="A69" t="str">
            <v>PBT-SEG EM EMERGÊNCIA</v>
          </cell>
        </row>
        <row r="71">
          <cell r="A71" t="str">
            <v>EM REGIME NORMAL</v>
          </cell>
        </row>
        <row r="72">
          <cell r="A72" t="str">
            <v>FINALIDADE</v>
          </cell>
          <cell r="B72" t="str">
            <v>POT. UNIT. (kW)</v>
          </cell>
          <cell r="C72" t="str">
            <v>POT. UNIT. (CV)</v>
          </cell>
          <cell r="D72" t="str">
            <v>T I P O</v>
          </cell>
          <cell r="E72" t="str">
            <v>POT-M (KW)</v>
          </cell>
          <cell r="F72" t="str">
            <v>FP- M</v>
          </cell>
          <cell r="G72" t="str">
            <v>QTDE.</v>
          </cell>
          <cell r="H72" t="str">
            <v>PÓLOS</v>
          </cell>
          <cell r="I72" t="str">
            <v>F.D.</v>
          </cell>
          <cell r="J72" t="str">
            <v>F.P.</v>
          </cell>
          <cell r="K72" t="str">
            <v>POT. INSTALADA (kW)</v>
          </cell>
          <cell r="L72" t="str">
            <v>POT. INSTALADA (kVA)</v>
          </cell>
          <cell r="M72" t="str">
            <v>POT. DEMANDADA (kW)</v>
          </cell>
          <cell r="N72" t="str">
            <v>POT. DEMANDADA (kVA)</v>
          </cell>
        </row>
        <row r="73">
          <cell r="A73" t="str">
            <v>ELEVADOR DE SEGUANÇA</v>
          </cell>
          <cell r="B73">
            <v>35</v>
          </cell>
          <cell r="E73" t="e">
            <v>#N/A</v>
          </cell>
          <cell r="F73" t="e">
            <v>#N/A</v>
          </cell>
          <cell r="G73">
            <v>1</v>
          </cell>
          <cell r="I73">
            <v>1</v>
          </cell>
          <cell r="J73">
            <v>0.8</v>
          </cell>
          <cell r="K73">
            <v>35</v>
          </cell>
          <cell r="L73">
            <v>43.75</v>
          </cell>
          <cell r="M73">
            <v>35</v>
          </cell>
          <cell r="N73">
            <v>43.75</v>
          </cell>
        </row>
        <row r="74">
          <cell r="A74" t="str">
            <v>ILUMINAÇÃO E COMANDO ELEVADORE DE SEGURANÇA</v>
          </cell>
          <cell r="B74">
            <v>3</v>
          </cell>
          <cell r="E74" t="e">
            <v>#N/A</v>
          </cell>
          <cell r="F74" t="e">
            <v>#N/A</v>
          </cell>
          <cell r="G74">
            <v>1</v>
          </cell>
          <cell r="I74">
            <v>1</v>
          </cell>
          <cell r="J74">
            <v>0.8</v>
          </cell>
          <cell r="K74">
            <v>3</v>
          </cell>
          <cell r="L74">
            <v>3.75</v>
          </cell>
          <cell r="M74">
            <v>3</v>
          </cell>
          <cell r="N74">
            <v>3.75</v>
          </cell>
        </row>
        <row r="75">
          <cell r="A75" t="str">
            <v>PRESSURIZAÇÃO ESCADA 5SS</v>
          </cell>
          <cell r="B75">
            <v>6.3805104408352662</v>
          </cell>
          <cell r="C75">
            <v>7.5</v>
          </cell>
          <cell r="D75" t="str">
            <v>C</v>
          </cell>
          <cell r="E75">
            <v>6.3805104408352662</v>
          </cell>
          <cell r="F75">
            <v>0.8</v>
          </cell>
          <cell r="G75">
            <v>4</v>
          </cell>
          <cell r="I75">
            <v>0</v>
          </cell>
          <cell r="J75">
            <v>0.8</v>
          </cell>
          <cell r="K75">
            <v>25.522041763341065</v>
          </cell>
          <cell r="L75">
            <v>31.902552204176331</v>
          </cell>
          <cell r="M75">
            <v>0</v>
          </cell>
          <cell r="N75">
            <v>0</v>
          </cell>
        </row>
        <row r="76">
          <cell r="A76" t="str">
            <v>PRESSURIZAÇÃO ESCADA 3SS</v>
          </cell>
          <cell r="B76">
            <v>8.6705202312138727</v>
          </cell>
          <cell r="C76">
            <v>10</v>
          </cell>
          <cell r="D76" t="str">
            <v>C</v>
          </cell>
          <cell r="E76">
            <v>8.6705202312138727</v>
          </cell>
          <cell r="F76">
            <v>0.85</v>
          </cell>
          <cell r="G76">
            <v>2</v>
          </cell>
          <cell r="I76">
            <v>0</v>
          </cell>
          <cell r="J76">
            <v>0.85</v>
          </cell>
          <cell r="K76">
            <v>17.341040462427745</v>
          </cell>
          <cell r="L76">
            <v>20.401224073444407</v>
          </cell>
          <cell r="M76">
            <v>0</v>
          </cell>
          <cell r="N76">
            <v>0</v>
          </cell>
        </row>
        <row r="77">
          <cell r="A77" t="str">
            <v>PRESSURIZAÇÃO ESCADA 1SS</v>
          </cell>
          <cell r="B77">
            <v>16.930022573363431</v>
          </cell>
          <cell r="C77">
            <v>20</v>
          </cell>
          <cell r="D77" t="str">
            <v>C</v>
          </cell>
          <cell r="E77">
            <v>16.930022573363431</v>
          </cell>
          <cell r="F77">
            <v>0.84</v>
          </cell>
          <cell r="G77">
            <v>5</v>
          </cell>
          <cell r="I77">
            <v>0</v>
          </cell>
          <cell r="J77">
            <v>0.84</v>
          </cell>
          <cell r="K77">
            <v>84.650112866817153</v>
          </cell>
          <cell r="L77">
            <v>100.77394388906805</v>
          </cell>
          <cell r="M77">
            <v>0</v>
          </cell>
          <cell r="N77">
            <v>0</v>
          </cell>
        </row>
        <row r="78">
          <cell r="A78" t="str">
            <v>EXAUSTÃO DE FUMAÇA</v>
          </cell>
          <cell r="B78">
            <v>16.930022573363431</v>
          </cell>
          <cell r="C78">
            <v>20</v>
          </cell>
          <cell r="D78" t="str">
            <v>C</v>
          </cell>
          <cell r="E78">
            <v>16.930022573363431</v>
          </cell>
          <cell r="F78">
            <v>0.84</v>
          </cell>
          <cell r="G78">
            <v>2</v>
          </cell>
          <cell r="I78">
            <v>0</v>
          </cell>
          <cell r="J78">
            <v>0.84</v>
          </cell>
          <cell r="K78">
            <v>33.860045146726861</v>
          </cell>
          <cell r="L78">
            <v>40.309577555627214</v>
          </cell>
          <cell r="M78">
            <v>0</v>
          </cell>
          <cell r="N78">
            <v>0</v>
          </cell>
        </row>
        <row r="79">
          <cell r="A79" t="str">
            <v>ELEVADOR DE SEGUANÇA</v>
          </cell>
          <cell r="B79">
            <v>35</v>
          </cell>
          <cell r="E79" t="e">
            <v>#N/A</v>
          </cell>
          <cell r="F79" t="e">
            <v>#N/A</v>
          </cell>
          <cell r="G79">
            <v>1</v>
          </cell>
          <cell r="I79">
            <v>1</v>
          </cell>
          <cell r="J79">
            <v>0.8</v>
          </cell>
          <cell r="K79">
            <v>35</v>
          </cell>
          <cell r="L79">
            <v>43.75</v>
          </cell>
          <cell r="M79">
            <v>35</v>
          </cell>
          <cell r="N79">
            <v>43.75</v>
          </cell>
        </row>
        <row r="80">
          <cell r="A80" t="str">
            <v>ILUMINAÇÃO E COMANDO ELEVADORE DE SEGURANÇA</v>
          </cell>
          <cell r="B80">
            <v>3</v>
          </cell>
          <cell r="E80" t="e">
            <v>#N/A</v>
          </cell>
          <cell r="F80" t="e">
            <v>#N/A</v>
          </cell>
          <cell r="G80">
            <v>1</v>
          </cell>
          <cell r="I80">
            <v>1</v>
          </cell>
          <cell r="J80">
            <v>0.8</v>
          </cell>
          <cell r="K80">
            <v>3</v>
          </cell>
          <cell r="L80">
            <v>3.75</v>
          </cell>
          <cell r="M80">
            <v>3</v>
          </cell>
          <cell r="N80">
            <v>3.75</v>
          </cell>
        </row>
        <row r="81">
          <cell r="A81" t="str">
            <v>PRESSURIZAÇÃO ESCADA 5SS</v>
          </cell>
          <cell r="B81">
            <v>6.3805104408352662</v>
          </cell>
          <cell r="C81">
            <v>7.5</v>
          </cell>
          <cell r="D81" t="str">
            <v>C</v>
          </cell>
          <cell r="E81">
            <v>6.3805104408352662</v>
          </cell>
          <cell r="F81">
            <v>0.8</v>
          </cell>
          <cell r="G81">
            <v>4</v>
          </cell>
          <cell r="I81">
            <v>0</v>
          </cell>
          <cell r="J81">
            <v>0.8</v>
          </cell>
          <cell r="K81">
            <v>25.522041763341065</v>
          </cell>
          <cell r="L81">
            <v>31.902552204176331</v>
          </cell>
          <cell r="M81">
            <v>0</v>
          </cell>
          <cell r="N81">
            <v>0</v>
          </cell>
        </row>
        <row r="82">
          <cell r="A82" t="str">
            <v>PRESSURIZAÇÃO ESCADA 3SS</v>
          </cell>
          <cell r="B82">
            <v>8.6705202312138727</v>
          </cell>
          <cell r="C82">
            <v>10</v>
          </cell>
          <cell r="D82" t="str">
            <v>C</v>
          </cell>
          <cell r="E82">
            <v>8.6705202312138727</v>
          </cell>
          <cell r="F82">
            <v>0.85</v>
          </cell>
          <cell r="G82">
            <v>2</v>
          </cell>
          <cell r="I82">
            <v>0</v>
          </cell>
          <cell r="J82">
            <v>0.85</v>
          </cell>
          <cell r="K82">
            <v>17.341040462427745</v>
          </cell>
          <cell r="L82">
            <v>20.401224073444407</v>
          </cell>
          <cell r="M82">
            <v>0</v>
          </cell>
          <cell r="N82">
            <v>0</v>
          </cell>
        </row>
        <row r="83">
          <cell r="A83" t="str">
            <v>PRESSURIZAÇÃO ESCADA 1SS</v>
          </cell>
          <cell r="B83">
            <v>16.930022573363431</v>
          </cell>
          <cell r="C83">
            <v>20</v>
          </cell>
          <cell r="D83" t="str">
            <v>C</v>
          </cell>
          <cell r="E83">
            <v>16.930022573363431</v>
          </cell>
          <cell r="F83">
            <v>0.84</v>
          </cell>
          <cell r="G83">
            <v>5</v>
          </cell>
          <cell r="I83">
            <v>0</v>
          </cell>
          <cell r="J83">
            <v>0.84</v>
          </cell>
          <cell r="K83">
            <v>84.650112866817153</v>
          </cell>
          <cell r="L83">
            <v>100.77394388906805</v>
          </cell>
          <cell r="M83">
            <v>0</v>
          </cell>
          <cell r="N83">
            <v>0</v>
          </cell>
        </row>
        <row r="84">
          <cell r="A84" t="str">
            <v>EXAUSTÃO DE FUMAÇA</v>
          </cell>
          <cell r="B84">
            <v>16.930022573363431</v>
          </cell>
          <cell r="C84">
            <v>20</v>
          </cell>
          <cell r="D84" t="str">
            <v>C</v>
          </cell>
          <cell r="E84">
            <v>16.930022573363431</v>
          </cell>
          <cell r="F84">
            <v>0.84</v>
          </cell>
          <cell r="G84">
            <v>2</v>
          </cell>
          <cell r="I84">
            <v>0</v>
          </cell>
          <cell r="J84">
            <v>0.84</v>
          </cell>
          <cell r="K84">
            <v>33.860045146726861</v>
          </cell>
          <cell r="L84">
            <v>40.309577555627214</v>
          </cell>
          <cell r="M84">
            <v>0</v>
          </cell>
          <cell r="N84">
            <v>0</v>
          </cell>
        </row>
        <row r="85">
          <cell r="A85" t="str">
            <v>BOMBA DE RECALQUE DE ÓLEO DIESEL</v>
          </cell>
          <cell r="B85">
            <v>2.7500000000000004</v>
          </cell>
          <cell r="C85">
            <v>3</v>
          </cell>
          <cell r="D85" t="str">
            <v>H</v>
          </cell>
          <cell r="E85">
            <v>2.7500000000000004</v>
          </cell>
          <cell r="F85">
            <v>0.77</v>
          </cell>
          <cell r="G85">
            <v>2</v>
          </cell>
          <cell r="I85">
            <v>0.5</v>
          </cell>
          <cell r="J85">
            <v>0.77</v>
          </cell>
          <cell r="K85">
            <v>5.5000000000000009</v>
          </cell>
          <cell r="L85">
            <v>7.1428571428571441</v>
          </cell>
          <cell r="M85">
            <v>2.7500000000000004</v>
          </cell>
          <cell r="N85">
            <v>3.5714285714285721</v>
          </cell>
        </row>
        <row r="86">
          <cell r="A86" t="str">
            <v>ILUMINAÇÃO E TOMADAS GERADOR</v>
          </cell>
          <cell r="B86">
            <v>11.67</v>
          </cell>
          <cell r="E86" t="e">
            <v>#N/A</v>
          </cell>
          <cell r="F86" t="e">
            <v>#N/A</v>
          </cell>
          <cell r="G86">
            <v>1</v>
          </cell>
          <cell r="I86">
            <v>0.9</v>
          </cell>
          <cell r="J86">
            <v>0.94</v>
          </cell>
          <cell r="K86">
            <v>11.67</v>
          </cell>
          <cell r="L86">
            <v>12.414893617021278</v>
          </cell>
          <cell r="M86">
            <v>10.503</v>
          </cell>
          <cell r="N86">
            <v>11.17340425531915</v>
          </cell>
        </row>
        <row r="87">
          <cell r="A87" t="str">
            <v>BOMBA DE INCÊNDIO JOCKEY</v>
          </cell>
          <cell r="B87">
            <v>4.3632075471698117</v>
          </cell>
          <cell r="C87">
            <v>5</v>
          </cell>
          <cell r="D87" t="str">
            <v>H</v>
          </cell>
          <cell r="E87">
            <v>4.3632075471698117</v>
          </cell>
          <cell r="F87">
            <v>0.83</v>
          </cell>
          <cell r="G87">
            <v>1</v>
          </cell>
          <cell r="I87">
            <v>1</v>
          </cell>
          <cell r="J87">
            <v>0.83</v>
          </cell>
          <cell r="K87">
            <v>4.3632075471698117</v>
          </cell>
          <cell r="L87">
            <v>5.2568765628551954</v>
          </cell>
          <cell r="M87">
            <v>4.3632075471698117</v>
          </cell>
          <cell r="N87">
            <v>5.2568765628551954</v>
          </cell>
        </row>
        <row r="88">
          <cell r="A88" t="str">
            <v>BOMBA DE INCÊNDIO PRINCIPAL</v>
          </cell>
          <cell r="B88">
            <v>119.56521739130434</v>
          </cell>
          <cell r="C88">
            <v>150</v>
          </cell>
          <cell r="D88" t="str">
            <v>H</v>
          </cell>
          <cell r="E88">
            <v>119.56521739130434</v>
          </cell>
          <cell r="F88">
            <v>0.86</v>
          </cell>
          <cell r="G88">
            <v>1</v>
          </cell>
          <cell r="I88">
            <v>0</v>
          </cell>
          <cell r="J88">
            <v>0.86</v>
          </cell>
          <cell r="K88">
            <v>119.56521739130434</v>
          </cell>
          <cell r="L88">
            <v>139.02932254802832</v>
          </cell>
          <cell r="M88">
            <v>0</v>
          </cell>
          <cell r="N88">
            <v>0</v>
          </cell>
        </row>
        <row r="89">
          <cell r="A89" t="str">
            <v>RETIFICADOR SUBESTAÇÃO</v>
          </cell>
          <cell r="B89">
            <v>10</v>
          </cell>
          <cell r="G89">
            <v>1</v>
          </cell>
          <cell r="I89">
            <v>1</v>
          </cell>
          <cell r="J89">
            <v>0.8</v>
          </cell>
          <cell r="K89">
            <v>10</v>
          </cell>
          <cell r="L89">
            <v>12.5</v>
          </cell>
          <cell r="M89">
            <v>10</v>
          </cell>
          <cell r="N89">
            <v>12.5</v>
          </cell>
        </row>
        <row r="90">
          <cell r="A90" t="str">
            <v>TOTAL</v>
          </cell>
          <cell r="I90">
            <v>0.18844624461614121</v>
          </cell>
          <cell r="J90">
            <v>0.81266524224042402</v>
          </cell>
          <cell r="K90">
            <v>549.84490541709977</v>
          </cell>
          <cell r="L90">
            <v>658.11854531539404</v>
          </cell>
          <cell r="M90">
            <v>103.61620754716981</v>
          </cell>
          <cell r="N90">
            <v>127.50170938960292</v>
          </cell>
        </row>
        <row r="92">
          <cell r="A92" t="str">
            <v>RESUMO GERAL:</v>
          </cell>
          <cell r="B92" t="str">
            <v>kW</v>
          </cell>
          <cell r="C92" t="str">
            <v>kVA</v>
          </cell>
        </row>
        <row r="93">
          <cell r="A93" t="str">
            <v>DEMANDAS</v>
          </cell>
          <cell r="B93">
            <v>103.61620754716981</v>
          </cell>
          <cell r="C93">
            <v>127.50170938960292</v>
          </cell>
        </row>
        <row r="94">
          <cell r="A94" t="str">
            <v>RESERVA     (%)</v>
          </cell>
          <cell r="B94">
            <v>0.2</v>
          </cell>
        </row>
        <row r="95">
          <cell r="A95" t="str">
            <v>FATOR DE SIMULTANEIDADE</v>
          </cell>
          <cell r="B95">
            <v>1</v>
          </cell>
        </row>
        <row r="97">
          <cell r="A97" t="str">
            <v xml:space="preserve">DEMANDA FINAL </v>
          </cell>
          <cell r="B97">
            <v>124.33944905660377</v>
          </cell>
          <cell r="C97">
            <v>153.00205126752351</v>
          </cell>
        </row>
        <row r="99">
          <cell r="A99" t="str">
            <v>TENSÃO (V)</v>
          </cell>
          <cell r="B99">
            <v>380</v>
          </cell>
          <cell r="C99" t="str">
            <v>V</v>
          </cell>
        </row>
        <row r="100">
          <cell r="A100" t="str">
            <v>CORRENTE (A)</v>
          </cell>
          <cell r="B100">
            <v>232.46256706807799</v>
          </cell>
          <cell r="C100" t="str">
            <v>A</v>
          </cell>
        </row>
        <row r="101">
          <cell r="A101" t="str">
            <v>DISJUNTOR GERAL</v>
          </cell>
          <cell r="B101">
            <v>1250</v>
          </cell>
          <cell r="C101" t="str">
            <v>A</v>
          </cell>
        </row>
        <row r="104">
          <cell r="A104" t="str">
            <v>EM FUNCIONAMENTO</v>
          </cell>
        </row>
        <row r="105">
          <cell r="A105" t="str">
            <v>FINALIDADE</v>
          </cell>
          <cell r="B105" t="str">
            <v>POT. UNIT. (kW)</v>
          </cell>
          <cell r="C105" t="str">
            <v>POT. UNIT. (CV)</v>
          </cell>
          <cell r="D105" t="str">
            <v>T I P O</v>
          </cell>
          <cell r="E105" t="str">
            <v>POT-M (KW)</v>
          </cell>
          <cell r="F105" t="str">
            <v>FP- M</v>
          </cell>
          <cell r="G105" t="str">
            <v>QTDE.</v>
          </cell>
          <cell r="H105" t="str">
            <v>PÓLOS</v>
          </cell>
          <cell r="I105" t="str">
            <v>F.D.</v>
          </cell>
          <cell r="J105" t="str">
            <v>F.P.</v>
          </cell>
          <cell r="K105" t="str">
            <v>POT. INSTALADA (kW)</v>
          </cell>
          <cell r="L105" t="str">
            <v>POT. INSTALADA (kVA)</v>
          </cell>
          <cell r="M105" t="str">
            <v>POT. DEMANDADA (kW)</v>
          </cell>
          <cell r="N105" t="str">
            <v>POT. DEMANDADA (kVA)</v>
          </cell>
        </row>
        <row r="106">
          <cell r="A106" t="str">
            <v>ELEVADOR DE SEGUANÇA</v>
          </cell>
          <cell r="B106">
            <v>35</v>
          </cell>
          <cell r="E106" t="e">
            <v>#N/A</v>
          </cell>
          <cell r="F106" t="e">
            <v>#N/A</v>
          </cell>
          <cell r="G106">
            <v>1</v>
          </cell>
          <cell r="I106">
            <v>1</v>
          </cell>
          <cell r="J106">
            <v>0.8</v>
          </cell>
          <cell r="K106">
            <v>35</v>
          </cell>
          <cell r="L106">
            <v>43.75</v>
          </cell>
          <cell r="M106">
            <v>35</v>
          </cell>
          <cell r="N106">
            <v>43.75</v>
          </cell>
        </row>
        <row r="107">
          <cell r="A107" t="str">
            <v>ILUMINAÇÃO E COMANDO ELEVADORE DE SEGURANÇA</v>
          </cell>
          <cell r="B107">
            <v>3</v>
          </cell>
          <cell r="E107" t="e">
            <v>#N/A</v>
          </cell>
          <cell r="F107" t="e">
            <v>#N/A</v>
          </cell>
          <cell r="G107">
            <v>1</v>
          </cell>
          <cell r="I107">
            <v>1</v>
          </cell>
          <cell r="J107">
            <v>0.8</v>
          </cell>
          <cell r="K107">
            <v>3</v>
          </cell>
          <cell r="L107">
            <v>3.75</v>
          </cell>
          <cell r="M107">
            <v>3</v>
          </cell>
          <cell r="N107">
            <v>3.75</v>
          </cell>
        </row>
        <row r="108">
          <cell r="A108" t="str">
            <v>PRESSURIZAÇÃO ESCADA 5SS</v>
          </cell>
          <cell r="B108">
            <v>6.3805104408352662</v>
          </cell>
          <cell r="C108">
            <v>7.5</v>
          </cell>
          <cell r="D108" t="str">
            <v>C</v>
          </cell>
          <cell r="E108">
            <v>6.3805104408352662</v>
          </cell>
          <cell r="F108">
            <v>0.8</v>
          </cell>
          <cell r="G108">
            <v>4</v>
          </cell>
          <cell r="I108">
            <v>0.5</v>
          </cell>
          <cell r="J108">
            <v>0.8</v>
          </cell>
          <cell r="K108">
            <v>25.522041763341065</v>
          </cell>
          <cell r="L108">
            <v>31.902552204176331</v>
          </cell>
          <cell r="M108">
            <v>12.761020881670532</v>
          </cell>
          <cell r="N108">
            <v>15.951276102088165</v>
          </cell>
        </row>
        <row r="109">
          <cell r="A109" t="str">
            <v>PRESSURIZAÇÃO ESCADA 3SS</v>
          </cell>
          <cell r="B109">
            <v>8.6705202312138727</v>
          </cell>
          <cell r="C109">
            <v>10</v>
          </cell>
          <cell r="D109" t="str">
            <v>C</v>
          </cell>
          <cell r="E109">
            <v>8.6705202312138727</v>
          </cell>
          <cell r="F109">
            <v>0.85</v>
          </cell>
          <cell r="G109">
            <v>2</v>
          </cell>
          <cell r="I109">
            <v>0.5</v>
          </cell>
          <cell r="J109">
            <v>0.85</v>
          </cell>
          <cell r="K109">
            <v>17.341040462427745</v>
          </cell>
          <cell r="L109">
            <v>20.401224073444407</v>
          </cell>
          <cell r="M109">
            <v>8.6705202312138727</v>
          </cell>
          <cell r="N109">
            <v>10.200612036722204</v>
          </cell>
        </row>
        <row r="110">
          <cell r="A110" t="str">
            <v>PRESSURIZAÇÃO ESCADA 1SS</v>
          </cell>
          <cell r="B110">
            <v>16.930022573363431</v>
          </cell>
          <cell r="C110">
            <v>20</v>
          </cell>
          <cell r="D110" t="str">
            <v>C</v>
          </cell>
          <cell r="E110">
            <v>16.930022573363431</v>
          </cell>
          <cell r="F110">
            <v>0.84</v>
          </cell>
          <cell r="G110">
            <v>5</v>
          </cell>
          <cell r="I110">
            <v>0.8</v>
          </cell>
          <cell r="J110">
            <v>0.84</v>
          </cell>
          <cell r="K110">
            <v>84.650112866817153</v>
          </cell>
          <cell r="L110">
            <v>100.77394388906805</v>
          </cell>
          <cell r="M110">
            <v>67.720090293453723</v>
          </cell>
          <cell r="N110">
            <v>80.619155111254443</v>
          </cell>
        </row>
        <row r="111">
          <cell r="A111" t="str">
            <v>EXAUSTÃO DE FUMAÇA</v>
          </cell>
          <cell r="B111">
            <v>16.930022573363431</v>
          </cell>
          <cell r="C111">
            <v>20</v>
          </cell>
          <cell r="D111" t="str">
            <v>C</v>
          </cell>
          <cell r="E111">
            <v>16.930022573363431</v>
          </cell>
          <cell r="F111">
            <v>0.84</v>
          </cell>
          <cell r="G111">
            <v>2</v>
          </cell>
          <cell r="I111">
            <v>1</v>
          </cell>
          <cell r="J111">
            <v>0.84</v>
          </cell>
          <cell r="K111">
            <v>33.860045146726861</v>
          </cell>
          <cell r="L111">
            <v>40.309577555627214</v>
          </cell>
          <cell r="M111">
            <v>33.860045146726861</v>
          </cell>
          <cell r="N111">
            <v>40.309577555627214</v>
          </cell>
        </row>
        <row r="112">
          <cell r="A112" t="str">
            <v>ELEVADOR DE SEGUANÇA</v>
          </cell>
          <cell r="B112">
            <v>35</v>
          </cell>
          <cell r="E112" t="e">
            <v>#N/A</v>
          </cell>
          <cell r="F112" t="e">
            <v>#N/A</v>
          </cell>
          <cell r="G112">
            <v>1</v>
          </cell>
          <cell r="I112">
            <v>1</v>
          </cell>
          <cell r="J112">
            <v>0.8</v>
          </cell>
          <cell r="K112">
            <v>35</v>
          </cell>
          <cell r="L112">
            <v>43.75</v>
          </cell>
          <cell r="M112">
            <v>35</v>
          </cell>
          <cell r="N112">
            <v>43.75</v>
          </cell>
        </row>
        <row r="113">
          <cell r="A113" t="str">
            <v>ILUMINAÇÃO E COMANDO ELEVADORE DE SEGURANÇA</v>
          </cell>
          <cell r="B113">
            <v>3</v>
          </cell>
          <cell r="E113" t="e">
            <v>#N/A</v>
          </cell>
          <cell r="F113" t="e">
            <v>#N/A</v>
          </cell>
          <cell r="G113">
            <v>1</v>
          </cell>
          <cell r="I113">
            <v>1</v>
          </cell>
          <cell r="J113">
            <v>0.8</v>
          </cell>
          <cell r="K113">
            <v>3</v>
          </cell>
          <cell r="L113">
            <v>3.75</v>
          </cell>
          <cell r="M113">
            <v>3</v>
          </cell>
          <cell r="N113">
            <v>3.75</v>
          </cell>
        </row>
        <row r="114">
          <cell r="A114" t="str">
            <v>PRESSURIZAÇÃO ESCADA 5SS</v>
          </cell>
          <cell r="B114">
            <v>6.3805104408352662</v>
          </cell>
          <cell r="C114">
            <v>7.5</v>
          </cell>
          <cell r="D114" t="str">
            <v>C</v>
          </cell>
          <cell r="E114">
            <v>6.3805104408352662</v>
          </cell>
          <cell r="F114">
            <v>0.8</v>
          </cell>
          <cell r="G114">
            <v>4</v>
          </cell>
          <cell r="I114">
            <v>0.5</v>
          </cell>
          <cell r="J114">
            <v>0.8</v>
          </cell>
          <cell r="K114">
            <v>25.522041763341065</v>
          </cell>
          <cell r="L114">
            <v>31.902552204176331</v>
          </cell>
          <cell r="M114">
            <v>12.761020881670532</v>
          </cell>
          <cell r="N114">
            <v>15.951276102088165</v>
          </cell>
        </row>
        <row r="115">
          <cell r="A115" t="str">
            <v>PRESSURIZAÇÃO ESCADA 3SS</v>
          </cell>
          <cell r="B115">
            <v>8.6705202312138727</v>
          </cell>
          <cell r="C115">
            <v>10</v>
          </cell>
          <cell r="D115" t="str">
            <v>C</v>
          </cell>
          <cell r="E115">
            <v>8.6705202312138727</v>
          </cell>
          <cell r="F115">
            <v>0.85</v>
          </cell>
          <cell r="G115">
            <v>2</v>
          </cell>
          <cell r="I115">
            <v>0.5</v>
          </cell>
          <cell r="J115">
            <v>0.85</v>
          </cell>
          <cell r="K115">
            <v>17.341040462427745</v>
          </cell>
          <cell r="L115">
            <v>20.401224073444407</v>
          </cell>
          <cell r="M115">
            <v>8.6705202312138727</v>
          </cell>
          <cell r="N115">
            <v>10.200612036722204</v>
          </cell>
        </row>
        <row r="116">
          <cell r="A116" t="str">
            <v>PRESSURIZAÇÃO ESCADA 1SS</v>
          </cell>
          <cell r="B116">
            <v>16.930022573363431</v>
          </cell>
          <cell r="C116">
            <v>20</v>
          </cell>
          <cell r="D116" t="str">
            <v>C</v>
          </cell>
          <cell r="E116">
            <v>16.930022573363431</v>
          </cell>
          <cell r="F116">
            <v>0.84</v>
          </cell>
          <cell r="G116">
            <v>5</v>
          </cell>
          <cell r="I116">
            <v>0.8</v>
          </cell>
          <cell r="J116">
            <v>0.84</v>
          </cell>
          <cell r="K116">
            <v>84.650112866817153</v>
          </cell>
          <cell r="L116">
            <v>100.77394388906805</v>
          </cell>
          <cell r="M116">
            <v>67.720090293453723</v>
          </cell>
          <cell r="N116">
            <v>80.619155111254443</v>
          </cell>
        </row>
        <row r="117">
          <cell r="A117" t="str">
            <v>EXAUSTÃO DE FUMAÇA</v>
          </cell>
          <cell r="B117">
            <v>16.930022573363431</v>
          </cell>
          <cell r="C117">
            <v>20</v>
          </cell>
          <cell r="D117" t="str">
            <v>C</v>
          </cell>
          <cell r="E117">
            <v>16.930022573363431</v>
          </cell>
          <cell r="F117">
            <v>0.84</v>
          </cell>
          <cell r="G117">
            <v>2</v>
          </cell>
          <cell r="I117">
            <v>1</v>
          </cell>
          <cell r="J117">
            <v>0.84</v>
          </cell>
          <cell r="K117">
            <v>33.860045146726861</v>
          </cell>
          <cell r="L117">
            <v>40.309577555627214</v>
          </cell>
          <cell r="M117">
            <v>33.860045146726861</v>
          </cell>
          <cell r="N117">
            <v>40.309577555627214</v>
          </cell>
        </row>
        <row r="118">
          <cell r="A118" t="str">
            <v>BOMBA DE RECALQUE DE ÓLEO DIESEL</v>
          </cell>
          <cell r="B118">
            <v>2.7500000000000004</v>
          </cell>
          <cell r="C118">
            <v>3</v>
          </cell>
          <cell r="D118" t="str">
            <v>H</v>
          </cell>
          <cell r="E118">
            <v>2.7500000000000004</v>
          </cell>
          <cell r="F118">
            <v>0.77</v>
          </cell>
          <cell r="G118">
            <v>2</v>
          </cell>
          <cell r="I118">
            <v>0.5</v>
          </cell>
          <cell r="J118">
            <v>0.77</v>
          </cell>
          <cell r="K118">
            <v>5.5000000000000009</v>
          </cell>
          <cell r="L118">
            <v>7.1428571428571441</v>
          </cell>
          <cell r="M118">
            <v>2.7500000000000004</v>
          </cell>
          <cell r="N118">
            <v>3.5714285714285721</v>
          </cell>
        </row>
        <row r="119">
          <cell r="A119" t="str">
            <v>ILUMINAÇÃO E TOMADAS GERADOR</v>
          </cell>
          <cell r="B119">
            <v>11.67</v>
          </cell>
          <cell r="G119">
            <v>1</v>
          </cell>
          <cell r="I119">
            <v>0.9</v>
          </cell>
          <cell r="J119">
            <v>0.94</v>
          </cell>
          <cell r="K119">
            <v>11.67</v>
          </cell>
          <cell r="L119">
            <v>12.414893617021278</v>
          </cell>
          <cell r="M119">
            <v>10.503</v>
          </cell>
          <cell r="N119">
            <v>11.17340425531915</v>
          </cell>
        </row>
        <row r="120">
          <cell r="A120" t="str">
            <v>BOMBA DE INCÊNDIO JOCKEY</v>
          </cell>
          <cell r="B120">
            <v>6.3805104408352662</v>
          </cell>
          <cell r="C120">
            <v>7.5</v>
          </cell>
          <cell r="D120" t="str">
            <v>H</v>
          </cell>
          <cell r="E120">
            <v>6.3805104408352662</v>
          </cell>
          <cell r="F120">
            <v>0.8</v>
          </cell>
          <cell r="G120">
            <v>1</v>
          </cell>
          <cell r="I120">
            <v>0</v>
          </cell>
          <cell r="J120">
            <v>0.8</v>
          </cell>
          <cell r="K120">
            <v>6.3805104408352662</v>
          </cell>
          <cell r="L120">
            <v>7.9756380510440827</v>
          </cell>
          <cell r="M120">
            <v>0</v>
          </cell>
          <cell r="N120">
            <v>0</v>
          </cell>
        </row>
        <row r="121">
          <cell r="A121" t="str">
            <v>BOMBA DE INCÊNDIO PRINCIPAL</v>
          </cell>
          <cell r="B121">
            <v>119.56521739130434</v>
          </cell>
          <cell r="C121">
            <v>150</v>
          </cell>
          <cell r="D121" t="str">
            <v>H</v>
          </cell>
          <cell r="E121">
            <v>119.56521739130434</v>
          </cell>
          <cell r="F121">
            <v>0.86</v>
          </cell>
          <cell r="G121">
            <v>1</v>
          </cell>
          <cell r="I121">
            <v>1</v>
          </cell>
          <cell r="J121">
            <v>0.86</v>
          </cell>
          <cell r="K121">
            <v>119.56521739130434</v>
          </cell>
          <cell r="L121">
            <v>139.02932254802832</v>
          </cell>
          <cell r="M121">
            <v>119.56521739130434</v>
          </cell>
          <cell r="N121">
            <v>139.02932254802832</v>
          </cell>
        </row>
        <row r="122">
          <cell r="A122" t="str">
            <v>RETIFICADOR SUBESTAÇÃO</v>
          </cell>
          <cell r="B122">
            <v>10</v>
          </cell>
          <cell r="G122">
            <v>1</v>
          </cell>
          <cell r="I122">
            <v>1</v>
          </cell>
          <cell r="J122">
            <v>0.8</v>
          </cell>
          <cell r="K122">
            <v>10</v>
          </cell>
          <cell r="L122">
            <v>12.5</v>
          </cell>
          <cell r="M122">
            <v>10</v>
          </cell>
          <cell r="N122">
            <v>12.5</v>
          </cell>
        </row>
        <row r="123">
          <cell r="A123" t="str">
            <v>TOTAL</v>
          </cell>
          <cell r="I123">
            <v>0.84231455515010045</v>
          </cell>
          <cell r="J123">
            <v>0.83689583526671951</v>
          </cell>
          <cell r="K123">
            <v>551.86220831076525</v>
          </cell>
          <cell r="L123">
            <v>660.83730680358292</v>
          </cell>
          <cell r="M123">
            <v>464.8415704974343</v>
          </cell>
          <cell r="N123">
            <v>555.43539698615996</v>
          </cell>
        </row>
        <row r="125">
          <cell r="A125" t="str">
            <v>RESUMO GERAL:</v>
          </cell>
          <cell r="B125" t="str">
            <v>kW</v>
          </cell>
          <cell r="C125" t="str">
            <v>kVA</v>
          </cell>
        </row>
        <row r="126">
          <cell r="A126" t="str">
            <v>DEMANDAS</v>
          </cell>
          <cell r="B126">
            <v>464.8415704974343</v>
          </cell>
          <cell r="C126">
            <v>555.43539698615996</v>
          </cell>
        </row>
        <row r="127">
          <cell r="A127" t="str">
            <v>RESERVA     (%)</v>
          </cell>
          <cell r="B127">
            <v>0.2</v>
          </cell>
        </row>
        <row r="128">
          <cell r="A128" t="str">
            <v>FATOR DE SIMULTANEIDADE</v>
          </cell>
          <cell r="B128">
            <v>1</v>
          </cell>
        </row>
        <row r="130">
          <cell r="A130" t="str">
            <v xml:space="preserve">DEMANDA FINAL </v>
          </cell>
          <cell r="B130">
            <v>557.80988459692117</v>
          </cell>
          <cell r="C130">
            <v>666.5224763833919</v>
          </cell>
        </row>
        <row r="131">
          <cell r="J131" t="str">
            <v>CORRENTE DE PARTIDA (PIOR CASO)</v>
          </cell>
        </row>
        <row r="132">
          <cell r="A132" t="str">
            <v>TENSÃO (V)</v>
          </cell>
          <cell r="B132">
            <v>380</v>
          </cell>
          <cell r="C132" t="str">
            <v>V</v>
          </cell>
          <cell r="J132">
            <v>1223.676134633914</v>
          </cell>
          <cell r="K132" t="str">
            <v>A</v>
          </cell>
        </row>
        <row r="133">
          <cell r="A133" t="str">
            <v>CORRENTE (A)</v>
          </cell>
          <cell r="B133">
            <v>1012.676134633914</v>
          </cell>
          <cell r="C133" t="str">
            <v>A</v>
          </cell>
        </row>
        <row r="134">
          <cell r="A134" t="str">
            <v>DISJUNTOR GERAL</v>
          </cell>
          <cell r="B134">
            <v>1250</v>
          </cell>
          <cell r="C134" t="str">
            <v>A</v>
          </cell>
          <cell r="I134" t="str">
            <v>Ip/In</v>
          </cell>
          <cell r="J134">
            <v>0.97894090770713116</v>
          </cell>
          <cell r="K134" t="str">
            <v>A</v>
          </cell>
        </row>
        <row r="136">
          <cell r="A136" t="str">
            <v>TRANSFORMADOR DE 750KVA</v>
          </cell>
        </row>
        <row r="139">
          <cell r="A139" t="str">
            <v>TRANSFORMADOR 2.1 – PBT-2.1 EM EMERGÊNCIA</v>
          </cell>
        </row>
        <row r="141">
          <cell r="A141" t="str">
            <v>FINALIDADE</v>
          </cell>
          <cell r="B141" t="str">
            <v>POT. UNIT. (kW)</v>
          </cell>
          <cell r="C141" t="str">
            <v>POT. UNIT. (CV)</v>
          </cell>
          <cell r="D141" t="str">
            <v>T I P O</v>
          </cell>
          <cell r="E141" t="str">
            <v>POT-M (KW)</v>
          </cell>
          <cell r="F141" t="str">
            <v>FP- M</v>
          </cell>
          <cell r="G141" t="str">
            <v>QTDE.</v>
          </cell>
          <cell r="H141" t="str">
            <v>PÓLOS</v>
          </cell>
          <cell r="I141" t="str">
            <v>F.D.</v>
          </cell>
          <cell r="J141" t="str">
            <v>F.P.</v>
          </cell>
          <cell r="K141" t="str">
            <v>POT. INSTALADA (kW)</v>
          </cell>
          <cell r="L141" t="str">
            <v>POT. INSTALADA (kVA)</v>
          </cell>
          <cell r="M141" t="str">
            <v>POT. DEMANDADA (kW)</v>
          </cell>
          <cell r="N141" t="str">
            <v>POT. DEMANDADA (kVA)</v>
          </cell>
        </row>
        <row r="142">
          <cell r="A142" t="str">
            <v>ILUMINAÇÃO HELIPONTO</v>
          </cell>
          <cell r="B142">
            <v>10</v>
          </cell>
          <cell r="E142" t="e">
            <v>#N/A</v>
          </cell>
          <cell r="F142" t="e">
            <v>#N/A</v>
          </cell>
          <cell r="G142">
            <v>1</v>
          </cell>
          <cell r="I142">
            <v>1</v>
          </cell>
          <cell r="J142">
            <v>0.9</v>
          </cell>
          <cell r="K142">
            <v>10</v>
          </cell>
          <cell r="L142">
            <v>11.111111111111111</v>
          </cell>
          <cell r="M142">
            <v>10</v>
          </cell>
          <cell r="N142">
            <v>11.111111111111111</v>
          </cell>
        </row>
        <row r="143">
          <cell r="A143" t="str">
            <v>ELEVADORE HELIPONTO</v>
          </cell>
          <cell r="B143">
            <v>12</v>
          </cell>
          <cell r="E143" t="e">
            <v>#N/A</v>
          </cell>
          <cell r="F143" t="e">
            <v>#N/A</v>
          </cell>
          <cell r="G143">
            <v>2</v>
          </cell>
          <cell r="I143">
            <v>1</v>
          </cell>
          <cell r="J143">
            <v>0.9</v>
          </cell>
          <cell r="K143">
            <v>24</v>
          </cell>
          <cell r="L143">
            <v>26.666666666666664</v>
          </cell>
          <cell r="M143">
            <v>24</v>
          </cell>
          <cell r="N143">
            <v>26.666666666666664</v>
          </cell>
        </row>
        <row r="144">
          <cell r="A144" t="str">
            <v>ILUMINAÇÃO E COMANDO ELEVADORE HELIPONTO</v>
          </cell>
          <cell r="B144">
            <v>1.3</v>
          </cell>
          <cell r="E144" t="e">
            <v>#N/A</v>
          </cell>
          <cell r="F144" t="e">
            <v>#N/A</v>
          </cell>
          <cell r="G144">
            <v>1</v>
          </cell>
          <cell r="I144">
            <v>1</v>
          </cell>
          <cell r="J144">
            <v>0.8</v>
          </cell>
          <cell r="K144">
            <v>1.3</v>
          </cell>
          <cell r="L144">
            <v>1.625</v>
          </cell>
          <cell r="M144">
            <v>1.3</v>
          </cell>
          <cell r="N144">
            <v>1.625</v>
          </cell>
        </row>
        <row r="145">
          <cell r="A145" t="str">
            <v>ELEVADORES ZONA ALTA</v>
          </cell>
          <cell r="B145">
            <v>70</v>
          </cell>
          <cell r="E145" t="e">
            <v>#N/A</v>
          </cell>
          <cell r="F145" t="e">
            <v>#N/A</v>
          </cell>
          <cell r="G145">
            <v>8</v>
          </cell>
          <cell r="I145">
            <v>0.13</v>
          </cell>
          <cell r="J145">
            <v>0.8</v>
          </cell>
          <cell r="K145">
            <v>560</v>
          </cell>
          <cell r="L145">
            <v>700</v>
          </cell>
          <cell r="M145">
            <v>72.8</v>
          </cell>
          <cell r="N145">
            <v>91</v>
          </cell>
        </row>
        <row r="146">
          <cell r="A146" t="str">
            <v>ILUMINAÇÃO E COMANDO ELEVADORES ZONA ALTA</v>
          </cell>
          <cell r="B146">
            <v>3</v>
          </cell>
          <cell r="E146" t="e">
            <v>#N/A</v>
          </cell>
          <cell r="F146" t="e">
            <v>#N/A</v>
          </cell>
          <cell r="G146">
            <v>1</v>
          </cell>
          <cell r="I146">
            <v>0.13</v>
          </cell>
          <cell r="J146">
            <v>0.8</v>
          </cell>
          <cell r="K146">
            <v>3</v>
          </cell>
          <cell r="L146">
            <v>3.75</v>
          </cell>
          <cell r="M146">
            <v>0.39</v>
          </cell>
          <cell r="N146">
            <v>0.48750000000000004</v>
          </cell>
        </row>
        <row r="147">
          <cell r="A147" t="str">
            <v>VENTILAÇÃO</v>
          </cell>
          <cell r="B147">
            <v>83.25</v>
          </cell>
          <cell r="G147">
            <v>1</v>
          </cell>
          <cell r="I147">
            <v>0</v>
          </cell>
          <cell r="J147">
            <v>0.8</v>
          </cell>
          <cell r="K147">
            <v>83.25</v>
          </cell>
          <cell r="L147">
            <v>104.0625</v>
          </cell>
          <cell r="M147">
            <v>0</v>
          </cell>
          <cell r="N147">
            <v>0</v>
          </cell>
        </row>
        <row r="148">
          <cell r="A148" t="str">
            <v>BOMBAS DA CENTRAL DE ÁGUA GELADA</v>
          </cell>
          <cell r="B148">
            <v>535</v>
          </cell>
          <cell r="G148">
            <v>1</v>
          </cell>
          <cell r="I148">
            <v>0</v>
          </cell>
          <cell r="J148">
            <v>1.8</v>
          </cell>
          <cell r="K148">
            <v>535</v>
          </cell>
          <cell r="L148">
            <v>297.22222222222223</v>
          </cell>
          <cell r="M148">
            <v>0</v>
          </cell>
          <cell r="N148">
            <v>0</v>
          </cell>
        </row>
        <row r="153">
          <cell r="A153" t="str">
            <v>TOTAL</v>
          </cell>
          <cell r="I153">
            <v>8.9178414368501088E-2</v>
          </cell>
          <cell r="J153">
            <v>0.82886217251514727</v>
          </cell>
          <cell r="K153">
            <v>1216.55</v>
          </cell>
          <cell r="L153">
            <v>1144.4375</v>
          </cell>
          <cell r="M153">
            <v>108.49</v>
          </cell>
          <cell r="N153">
            <v>130.89027777777778</v>
          </cell>
        </row>
        <row r="155">
          <cell r="A155" t="str">
            <v>RESUMO GERAL:</v>
          </cell>
          <cell r="B155" t="str">
            <v>kW</v>
          </cell>
          <cell r="C155" t="str">
            <v>kVA</v>
          </cell>
        </row>
        <row r="156">
          <cell r="A156" t="str">
            <v>DEMANDAS</v>
          </cell>
          <cell r="B156">
            <v>108.49</v>
          </cell>
          <cell r="C156">
            <v>130.89027777777778</v>
          </cell>
        </row>
        <row r="157">
          <cell r="A157" t="str">
            <v>RESERVA     (%)</v>
          </cell>
          <cell r="B157">
            <v>0.2</v>
          </cell>
        </row>
        <row r="158">
          <cell r="A158" t="str">
            <v>FATOR DE SIMULTANEIDADE</v>
          </cell>
          <cell r="B158">
            <v>1</v>
          </cell>
        </row>
        <row r="160">
          <cell r="A160" t="str">
            <v xml:space="preserve">DEMANDA FINAL </v>
          </cell>
          <cell r="B160">
            <v>130.18799999999999</v>
          </cell>
          <cell r="C160">
            <v>157.06833333333333</v>
          </cell>
        </row>
        <row r="162">
          <cell r="A162" t="str">
            <v>TENSÃO (V)</v>
          </cell>
          <cell r="B162">
            <v>380</v>
          </cell>
          <cell r="C162" t="str">
            <v>V</v>
          </cell>
        </row>
        <row r="163">
          <cell r="A163" t="str">
            <v>CORRENTE (A)</v>
          </cell>
          <cell r="B163">
            <v>238.64064350306808</v>
          </cell>
          <cell r="C163" t="str">
            <v>A</v>
          </cell>
        </row>
        <row r="164">
          <cell r="A164" t="str">
            <v>DISJUNTOR GERAL</v>
          </cell>
          <cell r="B164">
            <v>2500</v>
          </cell>
          <cell r="C164" t="str">
            <v>A</v>
          </cell>
        </row>
        <row r="166">
          <cell r="A166" t="str">
            <v>TRANSFORMADOR DE 1500KVA</v>
          </cell>
        </row>
        <row r="170">
          <cell r="A170" t="str">
            <v>TRANSFORMADOR 2.2 – PBT-2.2 EM EMERGÊNCIA</v>
          </cell>
        </row>
        <row r="172">
          <cell r="A172" t="str">
            <v>FINALIDADE</v>
          </cell>
          <cell r="B172" t="str">
            <v>POT. UNIT. (kW)</v>
          </cell>
          <cell r="C172" t="str">
            <v>POT. UNIT. (CV)</v>
          </cell>
          <cell r="D172" t="str">
            <v>T I P O</v>
          </cell>
          <cell r="E172" t="str">
            <v>POT-M (KW)</v>
          </cell>
          <cell r="F172" t="str">
            <v>FP- M</v>
          </cell>
          <cell r="G172" t="str">
            <v>QTDE.</v>
          </cell>
          <cell r="H172" t="str">
            <v>PÓLOS</v>
          </cell>
          <cell r="I172" t="str">
            <v>F.D.</v>
          </cell>
          <cell r="J172" t="str">
            <v>F.P.</v>
          </cell>
          <cell r="K172" t="str">
            <v>POT. INSTALADA (kW)</v>
          </cell>
          <cell r="L172" t="str">
            <v>POT. INSTALADA (kVA)</v>
          </cell>
          <cell r="M172" t="str">
            <v>POT. DEMANDADA (kW)</v>
          </cell>
          <cell r="N172" t="str">
            <v>POT. DEMANDADA (kVA)</v>
          </cell>
        </row>
        <row r="173">
          <cell r="A173" t="str">
            <v>BARRAMENTO BLINDADO BB2.1/2.3 ESCRITÓRIOS</v>
          </cell>
          <cell r="B173">
            <v>96.05</v>
          </cell>
          <cell r="E173" t="e">
            <v>#N/A</v>
          </cell>
          <cell r="F173" t="e">
            <v>#N/A</v>
          </cell>
          <cell r="G173">
            <v>1</v>
          </cell>
          <cell r="I173">
            <v>1</v>
          </cell>
          <cell r="J173">
            <v>0.98</v>
          </cell>
          <cell r="K173">
            <v>96.05</v>
          </cell>
          <cell r="L173">
            <v>98.010204081632651</v>
          </cell>
          <cell r="M173">
            <v>96.05</v>
          </cell>
          <cell r="N173">
            <v>98.010204081632651</v>
          </cell>
        </row>
        <row r="174">
          <cell r="A174" t="str">
            <v>BARRAMENTO BLINDADO 2.2/2.4 FANCOIL ESCRITÓRIOS</v>
          </cell>
          <cell r="B174">
            <v>8.5227272727272734</v>
          </cell>
          <cell r="C174">
            <v>10</v>
          </cell>
          <cell r="D174" t="str">
            <v>C</v>
          </cell>
          <cell r="E174">
            <v>8.5227272727272734</v>
          </cell>
          <cell r="F174">
            <v>0.77</v>
          </cell>
          <cell r="G174">
            <v>34</v>
          </cell>
          <cell r="I174">
            <v>0</v>
          </cell>
          <cell r="J174">
            <v>0.77</v>
          </cell>
          <cell r="K174">
            <v>289.77272727272731</v>
          </cell>
          <cell r="L174">
            <v>376.32821723730819</v>
          </cell>
          <cell r="M174">
            <v>0</v>
          </cell>
          <cell r="N174">
            <v>0</v>
          </cell>
        </row>
        <row r="175">
          <cell r="A175" t="str">
            <v>TOTAL</v>
          </cell>
          <cell r="I175">
            <v>0.24894852793911473</v>
          </cell>
          <cell r="J175">
            <v>0.98</v>
          </cell>
          <cell r="K175">
            <v>385.82272727272732</v>
          </cell>
          <cell r="L175">
            <v>474.33842131894085</v>
          </cell>
          <cell r="M175">
            <v>96.05</v>
          </cell>
          <cell r="N175">
            <v>98.010204081632651</v>
          </cell>
        </row>
        <row r="178">
          <cell r="A178" t="str">
            <v>RESUMO GERAL:</v>
          </cell>
          <cell r="B178" t="str">
            <v>kW</v>
          </cell>
          <cell r="C178" t="str">
            <v>kVA</v>
          </cell>
        </row>
        <row r="179">
          <cell r="A179" t="str">
            <v>DEMANDAS</v>
          </cell>
          <cell r="B179">
            <v>96.05</v>
          </cell>
          <cell r="C179">
            <v>98.010204081632651</v>
          </cell>
        </row>
        <row r="180">
          <cell r="A180" t="str">
            <v>RESERVA     (%)</v>
          </cell>
          <cell r="B180">
            <v>0.2</v>
          </cell>
        </row>
        <row r="181">
          <cell r="A181" t="str">
            <v>FATOR DE SIMULTANEIDADE</v>
          </cell>
          <cell r="B181">
            <v>1</v>
          </cell>
        </row>
        <row r="183">
          <cell r="A183" t="str">
            <v xml:space="preserve">DEMANDA FINAL </v>
          </cell>
          <cell r="B183">
            <v>115.25999999999999</v>
          </cell>
          <cell r="C183">
            <v>117.61224489795917</v>
          </cell>
        </row>
        <row r="185">
          <cell r="A185" t="str">
            <v>TENSÃO (V)</v>
          </cell>
          <cell r="B185">
            <v>380</v>
          </cell>
          <cell r="C185" t="str">
            <v>V</v>
          </cell>
        </row>
        <row r="186">
          <cell r="A186" t="str">
            <v>CORRENTE (A)</v>
          </cell>
          <cell r="B186">
            <v>178.69331908377086</v>
          </cell>
          <cell r="C186" t="str">
            <v>A</v>
          </cell>
        </row>
        <row r="187">
          <cell r="A187" t="str">
            <v>DISJUNTOR GERAL</v>
          </cell>
          <cell r="B187">
            <v>2500</v>
          </cell>
          <cell r="C187" t="str">
            <v>A</v>
          </cell>
        </row>
        <row r="189">
          <cell r="A189" t="str">
            <v>TRANSFORMADOR DE 1500KVA</v>
          </cell>
        </row>
        <row r="192">
          <cell r="A192" t="str">
            <v>TRANSFORMADOR 2.3 – PBT-2.3</v>
          </cell>
        </row>
        <row r="194">
          <cell r="A194" t="str">
            <v>FINALIDADE</v>
          </cell>
          <cell r="B194" t="str">
            <v>POT. UNIT. (kW)</v>
          </cell>
          <cell r="C194" t="str">
            <v>POT. UNIT. (CV)</v>
          </cell>
          <cell r="D194" t="str">
            <v>T I P O</v>
          </cell>
          <cell r="E194" t="str">
            <v>POT-M (KW)</v>
          </cell>
          <cell r="F194" t="str">
            <v>FP- M</v>
          </cell>
          <cell r="G194" t="str">
            <v>QTDE.</v>
          </cell>
          <cell r="H194" t="str">
            <v>PÓLOS</v>
          </cell>
          <cell r="I194" t="str">
            <v>F.D.</v>
          </cell>
          <cell r="J194" t="str">
            <v>F.P.</v>
          </cell>
          <cell r="K194" t="str">
            <v>POT. INSTALADA (kW)</v>
          </cell>
          <cell r="L194" t="str">
            <v>POT. INSTALADA (kVA)</v>
          </cell>
          <cell r="M194" t="str">
            <v>POT. DEMANDADA (kW)</v>
          </cell>
          <cell r="N194" t="str">
            <v>POT. DEMANDADA (kVA)</v>
          </cell>
        </row>
        <row r="195">
          <cell r="A195" t="str">
            <v>CHILER</v>
          </cell>
          <cell r="B195">
            <v>500</v>
          </cell>
          <cell r="E195" t="e">
            <v>#N/A</v>
          </cell>
          <cell r="F195" t="e">
            <v>#N/A</v>
          </cell>
          <cell r="G195">
            <v>2</v>
          </cell>
          <cell r="I195">
            <v>9.9999999999999995E-7</v>
          </cell>
          <cell r="J195">
            <v>0.9</v>
          </cell>
          <cell r="K195">
            <v>1000</v>
          </cell>
          <cell r="L195">
            <v>1111.1111111111111</v>
          </cell>
          <cell r="M195">
            <v>1E-3</v>
          </cell>
          <cell r="N195">
            <v>1.1111111111111111E-3</v>
          </cell>
        </row>
        <row r="196">
          <cell r="A196" t="str">
            <v>CHILER</v>
          </cell>
          <cell r="B196">
            <v>310</v>
          </cell>
          <cell r="E196" t="e">
            <v>#N/A</v>
          </cell>
          <cell r="F196" t="e">
            <v>#N/A</v>
          </cell>
          <cell r="G196">
            <v>1</v>
          </cell>
          <cell r="I196">
            <v>9.9999999999999995E-7</v>
          </cell>
          <cell r="J196">
            <v>0.9</v>
          </cell>
          <cell r="K196">
            <v>310</v>
          </cell>
          <cell r="L196">
            <v>344.44444444444446</v>
          </cell>
          <cell r="M196">
            <v>3.1E-4</v>
          </cell>
          <cell r="N196">
            <v>3.4444444444444442E-4</v>
          </cell>
        </row>
        <row r="197">
          <cell r="A197" t="str">
            <v>TOTAL</v>
          </cell>
          <cell r="I197">
            <v>9.9999999999999995E-7</v>
          </cell>
          <cell r="J197">
            <v>0.9</v>
          </cell>
          <cell r="K197">
            <v>1310</v>
          </cell>
          <cell r="L197">
            <v>1455.5555555555557</v>
          </cell>
          <cell r="M197">
            <v>1.31E-3</v>
          </cell>
          <cell r="N197">
            <v>1.4555555555555554E-3</v>
          </cell>
        </row>
        <row r="200">
          <cell r="A200" t="str">
            <v>RESUMO GERAL:</v>
          </cell>
          <cell r="B200" t="str">
            <v>kW</v>
          </cell>
          <cell r="C200" t="str">
            <v>kVA</v>
          </cell>
        </row>
        <row r="201">
          <cell r="A201" t="str">
            <v>DEMANDAS</v>
          </cell>
          <cell r="B201">
            <v>1.31E-3</v>
          </cell>
          <cell r="C201">
            <v>1.4555555555555554E-3</v>
          </cell>
        </row>
        <row r="202">
          <cell r="A202" t="str">
            <v>RESERVA     (%)</v>
          </cell>
          <cell r="B202">
            <v>0.2</v>
          </cell>
        </row>
        <row r="203">
          <cell r="A203" t="str">
            <v>FATOR DE SIMULTANEIDADE</v>
          </cell>
          <cell r="B203">
            <v>1</v>
          </cell>
        </row>
        <row r="205">
          <cell r="A205" t="str">
            <v xml:space="preserve">DEMANDA FINAL </v>
          </cell>
          <cell r="B205">
            <v>1.5719999999999998E-3</v>
          </cell>
          <cell r="C205">
            <v>1.7466666666666665E-3</v>
          </cell>
        </row>
        <row r="207">
          <cell r="A207" t="str">
            <v>TENSÃO (V)</v>
          </cell>
          <cell r="B207">
            <v>380</v>
          </cell>
          <cell r="C207" t="str">
            <v>V</v>
          </cell>
        </row>
        <row r="208">
          <cell r="A208" t="str">
            <v>CORRENTE (A)</v>
          </cell>
          <cell r="B208">
            <v>2.6537854478540695E-3</v>
          </cell>
          <cell r="C208" t="str">
            <v>A</v>
          </cell>
        </row>
        <row r="209">
          <cell r="A209" t="str">
            <v>DISJUNTOR GERAL</v>
          </cell>
          <cell r="B209">
            <v>2500</v>
          </cell>
          <cell r="C209" t="str">
            <v>A</v>
          </cell>
        </row>
        <row r="211">
          <cell r="A211" t="str">
            <v>TRANSFORMADOR DE 1500KVA</v>
          </cell>
        </row>
        <row r="215">
          <cell r="A215" t="str">
            <v>DEMANDA TOTAL DO GERADOR EM EMERGÊNCIA – 1º FASE</v>
          </cell>
        </row>
        <row r="217">
          <cell r="A217" t="str">
            <v>FINALIDADE</v>
          </cell>
          <cell r="B217" t="str">
            <v>POT. UNIT. (kW)</v>
          </cell>
          <cell r="C217" t="str">
            <v>POT. UNIT. (CV)</v>
          </cell>
          <cell r="D217" t="str">
            <v>T I P O</v>
          </cell>
          <cell r="E217" t="str">
            <v>POT-M (KW)</v>
          </cell>
          <cell r="F217" t="str">
            <v>FP- M</v>
          </cell>
          <cell r="G217" t="str">
            <v>QTDE.</v>
          </cell>
          <cell r="H217" t="str">
            <v>PÓLOS</v>
          </cell>
          <cell r="I217" t="str">
            <v>F.D.</v>
          </cell>
          <cell r="J217" t="str">
            <v>F.P.</v>
          </cell>
          <cell r="K217" t="str">
            <v>POT. INSTALADA (kW)</v>
          </cell>
          <cell r="L217" t="str">
            <v>POT. INSTALADA (kVA)</v>
          </cell>
          <cell r="M217" t="str">
            <v>POT. DEMANDADA (kW)</v>
          </cell>
          <cell r="N217" t="str">
            <v>POT. DEMANDADA (kVA)</v>
          </cell>
        </row>
        <row r="218">
          <cell r="A218" t="str">
            <v>TRANSFORMADOR 1.1  PBT-1.1</v>
          </cell>
          <cell r="B218">
            <v>324.10509426511931</v>
          </cell>
          <cell r="E218" t="e">
            <v>#N/A</v>
          </cell>
          <cell r="F218" t="e">
            <v>#N/A</v>
          </cell>
          <cell r="G218">
            <v>1</v>
          </cell>
          <cell r="I218">
            <v>0.79896043489677604</v>
          </cell>
          <cell r="J218">
            <v>0.85752015197356957</v>
          </cell>
          <cell r="K218">
            <v>324.10509426511931</v>
          </cell>
          <cell r="L218">
            <v>377.95624221681129</v>
          </cell>
          <cell r="M218">
            <v>258.94714706632033</v>
          </cell>
          <cell r="N218">
            <v>301.97208365349479</v>
          </cell>
        </row>
        <row r="219">
          <cell r="A219" t="str">
            <v>TRANSFORMADOR 1.2  PBT-1.2</v>
          </cell>
          <cell r="B219">
            <v>1391.0193808785871</v>
          </cell>
          <cell r="E219" t="e">
            <v>#N/A</v>
          </cell>
          <cell r="F219" t="e">
            <v>#N/A</v>
          </cell>
          <cell r="G219">
            <v>1</v>
          </cell>
          <cell r="I219">
            <v>5.8131468987100983E-2</v>
          </cell>
          <cell r="J219">
            <v>0.79999999999999993</v>
          </cell>
          <cell r="K219">
            <v>1391.0193808785871</v>
          </cell>
          <cell r="L219">
            <v>1738.7742260982341</v>
          </cell>
          <cell r="M219">
            <v>80.861999999999995</v>
          </cell>
          <cell r="N219">
            <v>101.0775</v>
          </cell>
        </row>
        <row r="220">
          <cell r="A220" t="str">
            <v>TRANSFORMADOR 2.1  PBT-2.1</v>
          </cell>
          <cell r="B220">
            <v>1216.55</v>
          </cell>
          <cell r="E220" t="e">
            <v>#N/A</v>
          </cell>
          <cell r="F220" t="e">
            <v>#N/A</v>
          </cell>
          <cell r="G220">
            <v>1</v>
          </cell>
          <cell r="I220">
            <v>8.9178414368501088E-2</v>
          </cell>
          <cell r="J220">
            <v>0.82886217251514727</v>
          </cell>
          <cell r="K220">
            <v>1216.55</v>
          </cell>
          <cell r="L220">
            <v>1467.7349749336856</v>
          </cell>
          <cell r="M220">
            <v>108.49</v>
          </cell>
          <cell r="N220">
            <v>130.89027777777778</v>
          </cell>
        </row>
        <row r="221">
          <cell r="A221" t="str">
            <v>TRANSFORMADOR 2.2  PBT-2.2</v>
          </cell>
          <cell r="B221">
            <v>385.82272727272732</v>
          </cell>
          <cell r="E221" t="e">
            <v>#N/A</v>
          </cell>
          <cell r="F221" t="e">
            <v>#N/A</v>
          </cell>
          <cell r="G221">
            <v>1</v>
          </cell>
          <cell r="I221">
            <v>0.24894852793911473</v>
          </cell>
          <cell r="J221">
            <v>0.98</v>
          </cell>
          <cell r="K221">
            <v>385.82272727272732</v>
          </cell>
          <cell r="L221">
            <v>393.6966604823748</v>
          </cell>
          <cell r="M221">
            <v>96.05</v>
          </cell>
          <cell r="N221">
            <v>98.010204081632651</v>
          </cell>
        </row>
        <row r="222">
          <cell r="A222" t="str">
            <v>TRANSFORMADOR 2.3  PBT-2.3</v>
          </cell>
          <cell r="B222">
            <v>1310</v>
          </cell>
          <cell r="E222" t="e">
            <v>#N/A</v>
          </cell>
          <cell r="F222" t="e">
            <v>#N/A</v>
          </cell>
          <cell r="G222">
            <v>1</v>
          </cell>
          <cell r="I222">
            <v>9.9999999999999995E-7</v>
          </cell>
          <cell r="J222">
            <v>0.9</v>
          </cell>
          <cell r="K222">
            <v>1310</v>
          </cell>
          <cell r="L222">
            <v>1455.5555555555554</v>
          </cell>
          <cell r="M222">
            <v>1.31E-3</v>
          </cell>
          <cell r="N222">
            <v>1.4555555555555554E-3</v>
          </cell>
        </row>
        <row r="223">
          <cell r="A223" t="str">
            <v>TRANSFORMADOR CM1.1 PBT-SEG</v>
          </cell>
          <cell r="B223">
            <v>551.86220831076525</v>
          </cell>
          <cell r="E223" t="e">
            <v>#N/A</v>
          </cell>
          <cell r="F223" t="e">
            <v>#N/A</v>
          </cell>
          <cell r="G223">
            <v>1</v>
          </cell>
          <cell r="I223">
            <v>0.84231455515010045</v>
          </cell>
          <cell r="J223">
            <v>0.83689583526671951</v>
          </cell>
          <cell r="K223">
            <v>551.86220831076525</v>
          </cell>
          <cell r="L223">
            <v>659.41564655401373</v>
          </cell>
          <cell r="M223">
            <v>464.8415704974343</v>
          </cell>
          <cell r="N223">
            <v>555.43539698615996</v>
          </cell>
        </row>
        <row r="224">
          <cell r="A224" t="str">
            <v>TOTAL</v>
          </cell>
          <cell r="I224">
            <v>0.19484881189623038</v>
          </cell>
          <cell r="J224">
            <v>0.84992685384910982</v>
          </cell>
          <cell r="K224">
            <v>5179.3594107271983</v>
          </cell>
          <cell r="L224">
            <v>6093.1333058406753</v>
          </cell>
          <cell r="M224">
            <v>1009.1920275637546</v>
          </cell>
          <cell r="N224">
            <v>1187.3869180546208</v>
          </cell>
        </row>
        <row r="227">
          <cell r="A227" t="str">
            <v>RESUMO GERAL:</v>
          </cell>
          <cell r="B227" t="str">
            <v>kW</v>
          </cell>
          <cell r="C227" t="str">
            <v>kVA</v>
          </cell>
        </row>
        <row r="228">
          <cell r="A228" t="str">
            <v>DEMANDAS</v>
          </cell>
          <cell r="B228">
            <v>1009.1920275637546</v>
          </cell>
          <cell r="C228">
            <v>1187.3869180546208</v>
          </cell>
        </row>
        <row r="229">
          <cell r="A229" t="str">
            <v>RESERVA     (%)</v>
          </cell>
          <cell r="B229">
            <v>0.2</v>
          </cell>
        </row>
        <row r="230">
          <cell r="A230" t="str">
            <v>FATOR DE SIMULTANEIDADE</v>
          </cell>
          <cell r="B230">
            <v>1</v>
          </cell>
        </row>
        <row r="232">
          <cell r="A232" t="str">
            <v xml:space="preserve">DEMANDA FINAL </v>
          </cell>
          <cell r="B232">
            <v>1211.0304330765055</v>
          </cell>
          <cell r="C232">
            <v>1424.8643016655449</v>
          </cell>
        </row>
        <row r="234">
          <cell r="A234" t="str">
            <v>TENSÃO (V)</v>
          </cell>
          <cell r="B234">
            <v>380</v>
          </cell>
          <cell r="C234" t="str">
            <v>V</v>
          </cell>
        </row>
        <row r="235">
          <cell r="A235" t="str">
            <v>CORRENTE (A)</v>
          </cell>
          <cell r="B235">
            <v>2164.8573371718176</v>
          </cell>
          <cell r="C235" t="str">
            <v>A</v>
          </cell>
        </row>
        <row r="236">
          <cell r="A236" t="str">
            <v>DISJUNTOR GERAL</v>
          </cell>
          <cell r="B236">
            <v>1250</v>
          </cell>
          <cell r="C236" t="str">
            <v>A</v>
          </cell>
        </row>
        <row r="238">
          <cell r="A238" t="str">
            <v>ADOTADO GERADOR DE 1165/1040KVA</v>
          </cell>
        </row>
        <row r="243">
          <cell r="A243" t="str">
            <v>TABELA DE EMERGÊNICA GERAL – 1º FASE</v>
          </cell>
        </row>
        <row r="245">
          <cell r="A245" t="str">
            <v>FINALIDADE</v>
          </cell>
          <cell r="B245" t="str">
            <v>POT. UNIT. (kW)</v>
          </cell>
          <cell r="C245" t="str">
            <v>POT. UNIT. (CV)</v>
          </cell>
          <cell r="D245" t="str">
            <v>T I P O</v>
          </cell>
          <cell r="E245" t="str">
            <v>POT-M (KW)</v>
          </cell>
          <cell r="F245" t="str">
            <v>FP- M</v>
          </cell>
          <cell r="G245" t="str">
            <v>QTDE.</v>
          </cell>
          <cell r="H245" t="str">
            <v>PÓLOS</v>
          </cell>
          <cell r="I245" t="str">
            <v>F.D.</v>
          </cell>
          <cell r="J245" t="str">
            <v>F.P.</v>
          </cell>
          <cell r="K245" t="str">
            <v>POT. INSTALADA (kW)</v>
          </cell>
          <cell r="L245" t="str">
            <v>POT. INSTALADA (kVA)</v>
          </cell>
          <cell r="M245" t="str">
            <v>POT. DEMANDADA (kW)</v>
          </cell>
          <cell r="N245" t="str">
            <v>POT. DEMANDADA (kVA)</v>
          </cell>
        </row>
        <row r="246">
          <cell r="A246" t="str">
            <v>BARRAMENTO BLINDADO BB1.1/1.3 – ILUMINAÇÃO HALL</v>
          </cell>
          <cell r="B246">
            <v>123.78</v>
          </cell>
          <cell r="E246" t="e">
            <v>#N/A</v>
          </cell>
          <cell r="F246" t="e">
            <v>#N/A</v>
          </cell>
          <cell r="G246">
            <v>1</v>
          </cell>
          <cell r="I246">
            <v>0.72387274236801691</v>
          </cell>
          <cell r="J246">
            <v>0.98</v>
          </cell>
          <cell r="K246">
            <v>123.78</v>
          </cell>
          <cell r="L246">
            <v>126.30612244897959</v>
          </cell>
          <cell r="M246">
            <v>89.600968050313128</v>
          </cell>
          <cell r="N246">
            <v>91.4295592350134</v>
          </cell>
        </row>
        <row r="247">
          <cell r="A247" t="str">
            <v>QD-B1-3S</v>
          </cell>
          <cell r="B247">
            <v>140.32509426511928</v>
          </cell>
          <cell r="E247" t="e">
            <v>#N/A</v>
          </cell>
          <cell r="F247" t="e">
            <v>#N/A</v>
          </cell>
          <cell r="G247">
            <v>1</v>
          </cell>
          <cell r="I247">
            <v>1</v>
          </cell>
          <cell r="J247">
            <v>0.77296462798671983</v>
          </cell>
          <cell r="K247">
            <v>140.32509426511928</v>
          </cell>
          <cell r="L247">
            <v>181.54141752982022</v>
          </cell>
          <cell r="M247">
            <v>140.32509426511928</v>
          </cell>
          <cell r="N247">
            <v>181.54141752982022</v>
          </cell>
        </row>
        <row r="248">
          <cell r="A248" t="str">
            <v>NO BREAK</v>
          </cell>
          <cell r="B248">
            <v>30</v>
          </cell>
          <cell r="G248">
            <v>2</v>
          </cell>
          <cell r="I248">
            <v>0.5</v>
          </cell>
          <cell r="J248">
            <v>1</v>
          </cell>
          <cell r="K248">
            <v>60</v>
          </cell>
          <cell r="L248">
            <v>60</v>
          </cell>
          <cell r="M248">
            <v>30</v>
          </cell>
          <cell r="N248">
            <v>30</v>
          </cell>
        </row>
        <row r="249">
          <cell r="A249" t="str">
            <v>ILUMINAÇÃO E COMANDO ELEVADORES SUBSOLO</v>
          </cell>
          <cell r="B249">
            <v>1.3</v>
          </cell>
          <cell r="E249" t="e">
            <v>#N/A</v>
          </cell>
          <cell r="F249" t="e">
            <v>#N/A</v>
          </cell>
          <cell r="G249">
            <v>1</v>
          </cell>
          <cell r="I249">
            <v>0.74</v>
          </cell>
          <cell r="J249">
            <v>0.8</v>
          </cell>
          <cell r="K249">
            <v>1.3</v>
          </cell>
          <cell r="L249">
            <v>1.625</v>
          </cell>
          <cell r="M249">
            <v>0.96199999999999997</v>
          </cell>
          <cell r="N249">
            <v>1.2024999999999999</v>
          </cell>
        </row>
        <row r="250">
          <cell r="A250" t="str">
            <v>ELEVADORES GARAGEM</v>
          </cell>
          <cell r="B250">
            <v>20</v>
          </cell>
          <cell r="E250" t="e">
            <v>#N/A</v>
          </cell>
          <cell r="F250" t="e">
            <v>#N/A</v>
          </cell>
          <cell r="G250">
            <v>2</v>
          </cell>
          <cell r="I250">
            <v>0.74</v>
          </cell>
          <cell r="J250">
            <v>0.8</v>
          </cell>
          <cell r="K250">
            <v>40</v>
          </cell>
          <cell r="L250">
            <v>50</v>
          </cell>
          <cell r="M250">
            <v>29.6</v>
          </cell>
          <cell r="N250">
            <v>37</v>
          </cell>
        </row>
        <row r="251">
          <cell r="A251" t="str">
            <v>ELEVADORES ZONA BAIXA</v>
          </cell>
          <cell r="B251">
            <v>50</v>
          </cell>
          <cell r="E251" t="e">
            <v>#N/A</v>
          </cell>
          <cell r="F251" t="e">
            <v>#N/A</v>
          </cell>
          <cell r="G251">
            <v>8</v>
          </cell>
          <cell r="I251">
            <v>0.125</v>
          </cell>
          <cell r="J251">
            <v>0.8</v>
          </cell>
          <cell r="K251">
            <v>400</v>
          </cell>
          <cell r="L251">
            <v>500</v>
          </cell>
          <cell r="M251">
            <v>50</v>
          </cell>
          <cell r="N251">
            <v>62.5</v>
          </cell>
        </row>
        <row r="252">
          <cell r="A252" t="str">
            <v>ILUMINAÇÃO E COMANDO ELEVADORES ZONA BAIXA</v>
          </cell>
          <cell r="B252">
            <v>3</v>
          </cell>
          <cell r="E252" t="e">
            <v>#N/A</v>
          </cell>
          <cell r="F252" t="e">
            <v>#N/A</v>
          </cell>
          <cell r="G252">
            <v>1</v>
          </cell>
          <cell r="I252">
            <v>0.1</v>
          </cell>
          <cell r="J252">
            <v>0.8</v>
          </cell>
          <cell r="K252">
            <v>3</v>
          </cell>
          <cell r="L252">
            <v>3.75</v>
          </cell>
          <cell r="M252">
            <v>0.3</v>
          </cell>
          <cell r="N252">
            <v>0.375</v>
          </cell>
        </row>
        <row r="253">
          <cell r="A253" t="str">
            <v>ELEVADOR DE SEGUANÇA</v>
          </cell>
          <cell r="B253">
            <v>35</v>
          </cell>
          <cell r="E253" t="e">
            <v>#N/A</v>
          </cell>
          <cell r="F253" t="e">
            <v>#N/A</v>
          </cell>
          <cell r="G253">
            <v>1</v>
          </cell>
          <cell r="I253">
            <v>1</v>
          </cell>
          <cell r="J253">
            <v>0.8</v>
          </cell>
          <cell r="K253">
            <v>35</v>
          </cell>
          <cell r="L253">
            <v>43.75</v>
          </cell>
          <cell r="M253">
            <v>35</v>
          </cell>
          <cell r="N253">
            <v>43.75</v>
          </cell>
        </row>
        <row r="254">
          <cell r="A254" t="str">
            <v>ILUMINAÇÃO E COMANDO ELEVADORE DE SEGURANÇA</v>
          </cell>
          <cell r="B254">
            <v>3</v>
          </cell>
          <cell r="E254" t="e">
            <v>#N/A</v>
          </cell>
          <cell r="F254" t="e">
            <v>#N/A</v>
          </cell>
          <cell r="G254">
            <v>1</v>
          </cell>
          <cell r="I254">
            <v>1</v>
          </cell>
          <cell r="J254">
            <v>0.8</v>
          </cell>
          <cell r="K254">
            <v>3</v>
          </cell>
          <cell r="L254">
            <v>3.75</v>
          </cell>
          <cell r="M254">
            <v>3</v>
          </cell>
          <cell r="N254">
            <v>3.75</v>
          </cell>
        </row>
        <row r="255">
          <cell r="A255" t="str">
            <v>PRESSURIZAÇÃO ESCADA 5SS</v>
          </cell>
          <cell r="B255">
            <v>6.3805104408352662</v>
          </cell>
          <cell r="C255">
            <v>7.5</v>
          </cell>
          <cell r="D255" t="str">
            <v>C</v>
          </cell>
          <cell r="E255">
            <v>6.3805104408352662</v>
          </cell>
          <cell r="F255">
            <v>0.8</v>
          </cell>
          <cell r="G255">
            <v>4</v>
          </cell>
          <cell r="I255">
            <v>0.5</v>
          </cell>
          <cell r="J255">
            <v>0.8</v>
          </cell>
          <cell r="K255">
            <v>25.522041763341065</v>
          </cell>
          <cell r="L255">
            <v>31.902552204176331</v>
          </cell>
          <cell r="M255">
            <v>12.761020881670532</v>
          </cell>
          <cell r="N255">
            <v>15.951276102088165</v>
          </cell>
        </row>
        <row r="256">
          <cell r="A256" t="str">
            <v>PRESSURIZAÇÃO ESCADA 3SS</v>
          </cell>
          <cell r="B256">
            <v>8.6705202312138727</v>
          </cell>
          <cell r="C256">
            <v>10</v>
          </cell>
          <cell r="D256" t="str">
            <v>C</v>
          </cell>
          <cell r="E256">
            <v>8.6705202312138727</v>
          </cell>
          <cell r="F256">
            <v>0.85</v>
          </cell>
          <cell r="G256">
            <v>2</v>
          </cell>
          <cell r="I256">
            <v>0.5</v>
          </cell>
          <cell r="J256">
            <v>0.85</v>
          </cell>
          <cell r="K256">
            <v>17.341040462427745</v>
          </cell>
          <cell r="L256">
            <v>20.401224073444407</v>
          </cell>
          <cell r="M256">
            <v>8.6705202312138727</v>
          </cell>
          <cell r="N256">
            <v>10.200612036722204</v>
          </cell>
        </row>
        <row r="257">
          <cell r="A257" t="str">
            <v>PRESSURIZAÇÃO ESCADA 1SS</v>
          </cell>
          <cell r="B257">
            <v>16.930022573363431</v>
          </cell>
          <cell r="C257">
            <v>20</v>
          </cell>
          <cell r="D257" t="str">
            <v>C</v>
          </cell>
          <cell r="E257">
            <v>16.930022573363431</v>
          </cell>
          <cell r="F257">
            <v>0.84</v>
          </cell>
          <cell r="G257">
            <v>5</v>
          </cell>
          <cell r="I257">
            <v>0.8</v>
          </cell>
          <cell r="J257">
            <v>0.84</v>
          </cell>
          <cell r="K257">
            <v>84.650112866817153</v>
          </cell>
          <cell r="L257">
            <v>100.77394388906805</v>
          </cell>
          <cell r="M257">
            <v>67.720090293453723</v>
          </cell>
          <cell r="N257">
            <v>80.619155111254443</v>
          </cell>
        </row>
        <row r="258">
          <cell r="A258" t="str">
            <v>EXAUSTÃO DE FUMAÇA</v>
          </cell>
          <cell r="B258">
            <v>16.930022573363431</v>
          </cell>
          <cell r="C258">
            <v>20</v>
          </cell>
          <cell r="D258" t="str">
            <v>C</v>
          </cell>
          <cell r="E258">
            <v>16.930022573363431</v>
          </cell>
          <cell r="F258">
            <v>0.84</v>
          </cell>
          <cell r="G258">
            <v>2</v>
          </cell>
          <cell r="I258">
            <v>1</v>
          </cell>
          <cell r="J258">
            <v>0.84</v>
          </cell>
          <cell r="K258">
            <v>33.860045146726861</v>
          </cell>
          <cell r="L258">
            <v>40.309577555627214</v>
          </cell>
          <cell r="M258">
            <v>33.860045146726861</v>
          </cell>
          <cell r="N258">
            <v>40.309577555627214</v>
          </cell>
        </row>
        <row r="259">
          <cell r="A259" t="str">
            <v>ELEVADOR DE SEGUANÇA</v>
          </cell>
          <cell r="B259">
            <v>35</v>
          </cell>
          <cell r="E259" t="e">
            <v>#N/A</v>
          </cell>
          <cell r="F259" t="e">
            <v>#N/A</v>
          </cell>
          <cell r="G259">
            <v>1</v>
          </cell>
          <cell r="I259">
            <v>1</v>
          </cell>
          <cell r="J259">
            <v>0.8</v>
          </cell>
          <cell r="K259">
            <v>35</v>
          </cell>
          <cell r="L259">
            <v>43.75</v>
          </cell>
          <cell r="M259">
            <v>35</v>
          </cell>
          <cell r="N259">
            <v>43.75</v>
          </cell>
        </row>
        <row r="260">
          <cell r="A260" t="str">
            <v>ILUMINAÇÃO E COMANDO ELEVADORE DE SEGURANÇA</v>
          </cell>
          <cell r="B260">
            <v>3</v>
          </cell>
          <cell r="E260" t="e">
            <v>#N/A</v>
          </cell>
          <cell r="F260" t="e">
            <v>#N/A</v>
          </cell>
          <cell r="G260">
            <v>1</v>
          </cell>
          <cell r="I260">
            <v>1</v>
          </cell>
          <cell r="J260">
            <v>0.8</v>
          </cell>
          <cell r="K260">
            <v>3</v>
          </cell>
          <cell r="L260">
            <v>3.75</v>
          </cell>
          <cell r="M260">
            <v>3</v>
          </cell>
          <cell r="N260">
            <v>3.75</v>
          </cell>
        </row>
        <row r="261">
          <cell r="A261" t="str">
            <v>PRESSURIZAÇÃO ESCADA 5SS</v>
          </cell>
          <cell r="B261">
            <v>6.3805104408352662</v>
          </cell>
          <cell r="C261">
            <v>7.5</v>
          </cell>
          <cell r="D261" t="str">
            <v>C</v>
          </cell>
          <cell r="E261">
            <v>6.3805104408352662</v>
          </cell>
          <cell r="F261">
            <v>0.8</v>
          </cell>
          <cell r="G261">
            <v>4</v>
          </cell>
          <cell r="I261">
            <v>0.5</v>
          </cell>
          <cell r="J261">
            <v>0.8</v>
          </cell>
          <cell r="K261">
            <v>25.522041763341065</v>
          </cell>
          <cell r="L261">
            <v>31.902552204176331</v>
          </cell>
          <cell r="M261">
            <v>12.761020881670532</v>
          </cell>
          <cell r="N261">
            <v>15.951276102088165</v>
          </cell>
        </row>
        <row r="262">
          <cell r="A262" t="str">
            <v>PRESSURIZAÇÃO ESCADA 3SS</v>
          </cell>
          <cell r="B262">
            <v>8.6705202312138727</v>
          </cell>
          <cell r="C262">
            <v>10</v>
          </cell>
          <cell r="D262" t="str">
            <v>C</v>
          </cell>
          <cell r="E262">
            <v>8.6705202312138727</v>
          </cell>
          <cell r="F262">
            <v>0.85</v>
          </cell>
          <cell r="G262">
            <v>2</v>
          </cell>
          <cell r="I262">
            <v>0.5</v>
          </cell>
          <cell r="J262">
            <v>0.85</v>
          </cell>
          <cell r="K262">
            <v>17.341040462427745</v>
          </cell>
          <cell r="L262">
            <v>20.401224073444407</v>
          </cell>
          <cell r="M262">
            <v>8.6705202312138727</v>
          </cell>
          <cell r="N262">
            <v>10.200612036722204</v>
          </cell>
        </row>
        <row r="263">
          <cell r="A263" t="str">
            <v>PRESSURIZAÇÃO ESCADA 1SS</v>
          </cell>
          <cell r="B263">
            <v>16.930022573363431</v>
          </cell>
          <cell r="C263">
            <v>20</v>
          </cell>
          <cell r="D263" t="str">
            <v>C</v>
          </cell>
          <cell r="E263">
            <v>16.930022573363431</v>
          </cell>
          <cell r="F263">
            <v>0.84</v>
          </cell>
          <cell r="G263">
            <v>5</v>
          </cell>
          <cell r="I263">
            <v>0.8</v>
          </cell>
          <cell r="J263">
            <v>0.84</v>
          </cell>
          <cell r="K263">
            <v>84.650112866817153</v>
          </cell>
          <cell r="L263">
            <v>100.77394388906805</v>
          </cell>
          <cell r="M263">
            <v>67.720090293453723</v>
          </cell>
          <cell r="N263">
            <v>80.619155111254443</v>
          </cell>
        </row>
        <row r="264">
          <cell r="A264" t="str">
            <v>EXAUSTÃO DE FUMAÇA</v>
          </cell>
          <cell r="B264">
            <v>16.930022573363431</v>
          </cell>
          <cell r="C264">
            <v>20</v>
          </cell>
          <cell r="D264" t="str">
            <v>C</v>
          </cell>
          <cell r="E264">
            <v>16.930022573363431</v>
          </cell>
          <cell r="F264">
            <v>0.84</v>
          </cell>
          <cell r="G264">
            <v>2</v>
          </cell>
          <cell r="I264">
            <v>1</v>
          </cell>
          <cell r="J264">
            <v>0.84</v>
          </cell>
          <cell r="K264">
            <v>33.860045146726861</v>
          </cell>
          <cell r="L264">
            <v>40.309577555627214</v>
          </cell>
          <cell r="M264">
            <v>33.860045146726861</v>
          </cell>
          <cell r="N264">
            <v>40.309577555627214</v>
          </cell>
        </row>
        <row r="265">
          <cell r="A265" t="str">
            <v>BOMBA DE RECALQUE DE ÓLEO DIESEL</v>
          </cell>
          <cell r="B265">
            <v>2.75</v>
          </cell>
          <cell r="C265">
            <v>3</v>
          </cell>
          <cell r="D265" t="str">
            <v>H</v>
          </cell>
          <cell r="E265">
            <v>2.75</v>
          </cell>
          <cell r="F265">
            <v>0.77</v>
          </cell>
          <cell r="G265">
            <v>2</v>
          </cell>
          <cell r="I265">
            <v>0.5</v>
          </cell>
          <cell r="J265">
            <v>0.77</v>
          </cell>
          <cell r="K265">
            <v>5.5</v>
          </cell>
          <cell r="L265">
            <v>7.1428571428571441</v>
          </cell>
          <cell r="M265">
            <v>2.75</v>
          </cell>
          <cell r="N265">
            <v>3.5714285714285721</v>
          </cell>
        </row>
        <row r="266">
          <cell r="A266" t="str">
            <v>ILUMINAÇÃO E TOMADAS GERADOR</v>
          </cell>
          <cell r="B266">
            <v>11.67</v>
          </cell>
          <cell r="G266">
            <v>1</v>
          </cell>
          <cell r="I266">
            <v>0.9</v>
          </cell>
          <cell r="J266">
            <v>0.94</v>
          </cell>
          <cell r="K266">
            <v>11.67</v>
          </cell>
          <cell r="L266">
            <v>12.414893617021276</v>
          </cell>
          <cell r="M266">
            <v>10.503</v>
          </cell>
          <cell r="N266">
            <v>11.173404255319149</v>
          </cell>
        </row>
        <row r="267">
          <cell r="A267" t="str">
            <v>BOMBA DE INCÊNDIO PRINCIPAL</v>
          </cell>
          <cell r="B267">
            <v>119.56521739130434</v>
          </cell>
          <cell r="C267">
            <v>150</v>
          </cell>
          <cell r="D267" t="str">
            <v>H</v>
          </cell>
          <cell r="E267">
            <v>119.56521739130434</v>
          </cell>
          <cell r="F267">
            <v>0.86</v>
          </cell>
          <cell r="G267">
            <v>1</v>
          </cell>
          <cell r="I267">
            <v>1</v>
          </cell>
          <cell r="J267">
            <v>0.86</v>
          </cell>
          <cell r="K267">
            <v>119.56521739130434</v>
          </cell>
          <cell r="L267">
            <v>139.02932254802832</v>
          </cell>
          <cell r="M267">
            <v>119.56521739130434</v>
          </cell>
          <cell r="N267">
            <v>139.02932254802832</v>
          </cell>
        </row>
        <row r="268">
          <cell r="A268" t="str">
            <v>RETIFICADOR SUBESTAÇÃO</v>
          </cell>
          <cell r="B268">
            <v>10</v>
          </cell>
          <cell r="G268">
            <v>1</v>
          </cell>
          <cell r="I268">
            <v>1</v>
          </cell>
          <cell r="J268">
            <v>0.8</v>
          </cell>
          <cell r="K268">
            <v>10</v>
          </cell>
          <cell r="L268">
            <v>12.5</v>
          </cell>
          <cell r="M268">
            <v>10</v>
          </cell>
          <cell r="N268">
            <v>12.5</v>
          </cell>
        </row>
        <row r="269">
          <cell r="A269" t="str">
            <v>ILUMINAÇÃO HELIPONTO</v>
          </cell>
          <cell r="B269">
            <v>10</v>
          </cell>
          <cell r="E269" t="e">
            <v>#N/A</v>
          </cell>
          <cell r="F269" t="e">
            <v>#N/A</v>
          </cell>
          <cell r="G269">
            <v>1</v>
          </cell>
          <cell r="I269">
            <v>1</v>
          </cell>
          <cell r="J269">
            <v>0.9</v>
          </cell>
          <cell r="K269">
            <v>10</v>
          </cell>
          <cell r="L269">
            <v>11.111111111111111</v>
          </cell>
          <cell r="M269">
            <v>10</v>
          </cell>
          <cell r="N269">
            <v>11.111111111111111</v>
          </cell>
        </row>
        <row r="270">
          <cell r="A270" t="str">
            <v>ELEVADORE HELIPONTO</v>
          </cell>
          <cell r="B270">
            <v>12</v>
          </cell>
          <cell r="E270" t="e">
            <v>#N/A</v>
          </cell>
          <cell r="F270" t="e">
            <v>#N/A</v>
          </cell>
          <cell r="G270">
            <v>2</v>
          </cell>
          <cell r="I270">
            <v>1</v>
          </cell>
          <cell r="J270">
            <v>0.9</v>
          </cell>
          <cell r="K270">
            <v>24</v>
          </cell>
          <cell r="L270">
            <v>26.666666666666664</v>
          </cell>
          <cell r="M270">
            <v>24</v>
          </cell>
          <cell r="N270">
            <v>26.666666666666664</v>
          </cell>
        </row>
        <row r="271">
          <cell r="A271" t="str">
            <v>ILUMINAÇÃO E COMANDO ELEVADORE HELIPONTO</v>
          </cell>
          <cell r="B271">
            <v>1.3</v>
          </cell>
          <cell r="E271" t="e">
            <v>#N/A</v>
          </cell>
          <cell r="F271" t="e">
            <v>#N/A</v>
          </cell>
          <cell r="G271">
            <v>1</v>
          </cell>
          <cell r="I271">
            <v>1</v>
          </cell>
          <cell r="J271">
            <v>0.8</v>
          </cell>
          <cell r="K271">
            <v>1.3</v>
          </cell>
          <cell r="L271">
            <v>1.625</v>
          </cell>
          <cell r="M271">
            <v>1.3</v>
          </cell>
          <cell r="N271">
            <v>1.625</v>
          </cell>
        </row>
        <row r="272">
          <cell r="A272" t="str">
            <v>ELEVADORES ZONA ALTA</v>
          </cell>
          <cell r="B272">
            <v>70</v>
          </cell>
          <cell r="E272" t="e">
            <v>#N/A</v>
          </cell>
          <cell r="F272" t="e">
            <v>#N/A</v>
          </cell>
          <cell r="G272">
            <v>8</v>
          </cell>
          <cell r="I272">
            <v>0.13</v>
          </cell>
          <cell r="J272">
            <v>0.8</v>
          </cell>
          <cell r="K272">
            <v>560</v>
          </cell>
          <cell r="L272">
            <v>700</v>
          </cell>
          <cell r="M272">
            <v>72.8</v>
          </cell>
          <cell r="N272">
            <v>91</v>
          </cell>
        </row>
        <row r="273">
          <cell r="A273" t="str">
            <v>ILUMINAÇÃO E COMANDO ELEVADORES ZONA ALTA</v>
          </cell>
          <cell r="B273">
            <v>3</v>
          </cell>
          <cell r="E273" t="e">
            <v>#N/A</v>
          </cell>
          <cell r="F273" t="e">
            <v>#N/A</v>
          </cell>
          <cell r="G273">
            <v>1</v>
          </cell>
          <cell r="I273">
            <v>0.13</v>
          </cell>
          <cell r="J273">
            <v>0.8</v>
          </cell>
          <cell r="K273">
            <v>3</v>
          </cell>
          <cell r="L273">
            <v>3.75</v>
          </cell>
          <cell r="M273">
            <v>0.39</v>
          </cell>
          <cell r="N273">
            <v>0.48749999999999999</v>
          </cell>
        </row>
        <row r="274">
          <cell r="A274" t="str">
            <v>BARRAMENTO BLINDADO BB2.1/2.3 ESCRITÓRIOS</v>
          </cell>
          <cell r="B274">
            <v>96.05</v>
          </cell>
          <cell r="E274" t="e">
            <v>#N/A</v>
          </cell>
          <cell r="F274" t="e">
            <v>#N/A</v>
          </cell>
          <cell r="G274">
            <v>1</v>
          </cell>
          <cell r="I274">
            <v>1</v>
          </cell>
          <cell r="J274">
            <v>0.98</v>
          </cell>
          <cell r="K274">
            <v>96.05</v>
          </cell>
          <cell r="L274">
            <v>98.010204081632637</v>
          </cell>
          <cell r="M274">
            <v>96.05</v>
          </cell>
          <cell r="N274">
            <v>98.010204081632637</v>
          </cell>
        </row>
        <row r="275">
          <cell r="A275" t="str">
            <v>TOTAL</v>
          </cell>
          <cell r="I275">
            <v>0.50301320878545841</v>
          </cell>
          <cell r="J275">
            <v>0.850036125133944</v>
          </cell>
          <cell r="K275">
            <v>2008.2367921350492</v>
          </cell>
          <cell r="L275">
            <v>2417.2471905907491</v>
          </cell>
          <cell r="M275">
            <v>1010.1696328128667</v>
          </cell>
          <cell r="N275">
            <v>1188.3843556104039</v>
          </cell>
        </row>
        <row r="278">
          <cell r="A278" t="str">
            <v>RESUMO GERAL:</v>
          </cell>
          <cell r="B278" t="str">
            <v>kW</v>
          </cell>
          <cell r="C278" t="str">
            <v>kVA</v>
          </cell>
        </row>
        <row r="279">
          <cell r="A279" t="str">
            <v>DEMANDAS</v>
          </cell>
          <cell r="B279">
            <v>1010.1696328128667</v>
          </cell>
          <cell r="C279">
            <v>1188.3843556104039</v>
          </cell>
        </row>
        <row r="280">
          <cell r="A280" t="str">
            <v>RESERVA     (%)</v>
          </cell>
          <cell r="B280">
            <v>0</v>
          </cell>
        </row>
        <row r="281">
          <cell r="A281" t="str">
            <v>FATOR DE SIMULTANEIDADE</v>
          </cell>
          <cell r="B281">
            <v>0.8</v>
          </cell>
        </row>
        <row r="283">
          <cell r="A283" t="str">
            <v xml:space="preserve">DEMANDA FINAL </v>
          </cell>
          <cell r="B283">
            <v>808.13570625029342</v>
          </cell>
          <cell r="C283">
            <v>950.70748448832319</v>
          </cell>
        </row>
        <row r="285">
          <cell r="A285" t="str">
            <v>TENSÃO (V)</v>
          </cell>
          <cell r="B285">
            <v>380</v>
          </cell>
          <cell r="C285" t="str">
            <v>V</v>
          </cell>
        </row>
        <row r="286">
          <cell r="A286" t="str">
            <v>CORRENTE (A)</v>
          </cell>
          <cell r="B286">
            <v>1444.4505844471721</v>
          </cell>
          <cell r="C286" t="str">
            <v>A</v>
          </cell>
        </row>
        <row r="287">
          <cell r="A287" t="str">
            <v>DISJUNTOR GERAL</v>
          </cell>
          <cell r="B287">
            <v>1250</v>
          </cell>
          <cell r="C287" t="str">
            <v>A</v>
          </cell>
        </row>
        <row r="289">
          <cell r="A289" t="str">
            <v>ADOTADO GERADOR DE 1040KVA/830KW</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sheetName val="ELET&amp;AC"/>
      <sheetName val="Cabos"/>
      <sheetName val="ATERR"/>
      <sheetName val="ILUM"/>
      <sheetName val="Memoria"/>
      <sheetName val="Paineis"/>
      <sheetName val="Lista Cabos Compras"/>
      <sheetName val="Lista Cabos Compras (Apoio)"/>
      <sheetName val="Lista Materiais"/>
      <sheetName val="DADOS"/>
      <sheetName val="Anexos"/>
      <sheetName val="Capa  LISTA CAB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
      <sheetName val="CAPA -1"/>
    </sheetNames>
    <sheetDataSet>
      <sheetData sheetId="0" refreshError="1"/>
      <sheetData sheetId="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al"/>
      <sheetName val="Novo!"/>
      <sheetName val="Dados"/>
      <sheetName val="BDI"/>
      <sheetName val="Orçamento"/>
      <sheetName val="Memória"/>
      <sheetName val="Comp"/>
      <sheetName val="Cot"/>
      <sheetName val="CronoFF"/>
      <sheetName val="QCI"/>
      <sheetName val="Memorial Descritivo"/>
      <sheetName val="Licitação"/>
      <sheetName val="CronoFF-L"/>
      <sheetName val="QCI-L"/>
      <sheetName val="BM"/>
      <sheetName val="RRE"/>
      <sheetName val="OFÍCIO"/>
      <sheetName val="C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1"/>
      <sheetName val="1ª Med. "/>
      <sheetName val="2ª Med."/>
    </sheetNames>
    <sheetDataSet>
      <sheetData sheetId="0">
        <row r="2">
          <cell r="A2">
            <v>1</v>
          </cell>
          <cell r="B2" t="str">
            <v xml:space="preserve">SERVIÇOS PRELIMINARES </v>
          </cell>
          <cell r="C2" t="str">
            <v/>
          </cell>
          <cell r="D2" t="str">
            <v/>
          </cell>
        </row>
        <row r="3">
          <cell r="A3">
            <v>102</v>
          </cell>
          <cell r="B3" t="str">
            <v xml:space="preserve">DEMOLIÇÕES E RETIRADAS </v>
          </cell>
          <cell r="C3" t="str">
            <v/>
          </cell>
          <cell r="D3" t="str">
            <v/>
          </cell>
        </row>
        <row r="4">
          <cell r="A4">
            <v>10201</v>
          </cell>
          <cell r="B4" t="str">
            <v xml:space="preserve">Demolição de piso cimentado inclusive lastro de concreto </v>
          </cell>
          <cell r="C4" t="str">
            <v xml:space="preserve">m2 </v>
          </cell>
          <cell r="D4">
            <v>9.9499999999999993</v>
          </cell>
        </row>
        <row r="5">
          <cell r="A5">
            <v>10202</v>
          </cell>
          <cell r="B5" t="str">
            <v xml:space="preserve">Demolição de piso revestido com cerâmica </v>
          </cell>
          <cell r="C5" t="str">
            <v xml:space="preserve">m2 </v>
          </cell>
          <cell r="D5">
            <v>5.35</v>
          </cell>
        </row>
        <row r="6">
          <cell r="A6">
            <v>10203</v>
          </cell>
          <cell r="B6" t="str">
            <v xml:space="preserve">Demolição de piso revestido com cerâmica inclusive lastro de concreto </v>
          </cell>
          <cell r="C6" t="str">
            <v xml:space="preserve">m2 </v>
          </cell>
          <cell r="D6">
            <v>10.71</v>
          </cell>
        </row>
        <row r="7">
          <cell r="A7">
            <v>10204</v>
          </cell>
          <cell r="B7" t="str">
            <v xml:space="preserve">Demolição de piso revestido com tacos de madeira </v>
          </cell>
          <cell r="C7" t="str">
            <v xml:space="preserve">m2 </v>
          </cell>
          <cell r="D7">
            <v>7.65</v>
          </cell>
        </row>
        <row r="8">
          <cell r="A8">
            <v>10205</v>
          </cell>
          <cell r="B8" t="str">
            <v xml:space="preserve">Demolição de piso de tábuas </v>
          </cell>
          <cell r="C8" t="str">
            <v xml:space="preserve">m2 </v>
          </cell>
          <cell r="D8">
            <v>6.9</v>
          </cell>
        </row>
        <row r="9">
          <cell r="A9">
            <v>10206</v>
          </cell>
          <cell r="B9" t="str">
            <v xml:space="preserve">Demolição de revestimento com azulejos </v>
          </cell>
          <cell r="C9" t="str">
            <v xml:space="preserve">m2 </v>
          </cell>
          <cell r="D9">
            <v>19.14</v>
          </cell>
        </row>
        <row r="10">
          <cell r="A10">
            <v>10207</v>
          </cell>
          <cell r="B10" t="str">
            <v xml:space="preserve">Demolição de revestimento com lambris de madeira </v>
          </cell>
          <cell r="C10" t="str">
            <v xml:space="preserve">m2 </v>
          </cell>
          <cell r="D10">
            <v>19.14</v>
          </cell>
        </row>
        <row r="11">
          <cell r="A11">
            <v>10208</v>
          </cell>
          <cell r="B11" t="str">
            <v xml:space="preserve">Retirada de revestimento antigo em reboco </v>
          </cell>
          <cell r="C11" t="str">
            <v xml:space="preserve">m2 </v>
          </cell>
          <cell r="D11">
            <v>3.83</v>
          </cell>
        </row>
        <row r="12">
          <cell r="A12">
            <v>10209</v>
          </cell>
          <cell r="B12" t="str">
            <v xml:space="preserve">Demolição de alvenaria </v>
          </cell>
          <cell r="C12" t="str">
            <v xml:space="preserve">m3 </v>
          </cell>
          <cell r="D12">
            <v>22.96</v>
          </cell>
        </row>
        <row r="13">
          <cell r="A13">
            <v>10210</v>
          </cell>
          <cell r="B13" t="str">
            <v xml:space="preserve">Demolição manual de concreto simples (EMOP 05.001.001) </v>
          </cell>
          <cell r="C13" t="str">
            <v xml:space="preserve">m3 </v>
          </cell>
          <cell r="D13">
            <v>107.81</v>
          </cell>
        </row>
        <row r="14">
          <cell r="A14">
            <v>10211</v>
          </cell>
          <cell r="B14" t="str">
            <v xml:space="preserve">Demolição de concreto armado, com utilização de rompedor pneumático </v>
          </cell>
          <cell r="C14" t="str">
            <v xml:space="preserve">m3 </v>
          </cell>
          <cell r="D14">
            <v>462.6</v>
          </cell>
        </row>
        <row r="15">
          <cell r="A15">
            <v>10212</v>
          </cell>
          <cell r="B15" t="str">
            <v xml:space="preserve">Retirada manual de pavimento em paralelepípedos, incluindo empilhamento para reaproveitamento </v>
          </cell>
          <cell r="C15" t="str">
            <v xml:space="preserve">m2 </v>
          </cell>
          <cell r="D15">
            <v>4.5999999999999996</v>
          </cell>
        </row>
        <row r="16">
          <cell r="A16">
            <v>10213</v>
          </cell>
          <cell r="B16" t="str">
            <v xml:space="preserve">Retirada manual de blocos pré-moldados de concreto (Blokret), inclusive empilhamento para reaproveitamento </v>
          </cell>
          <cell r="C16" t="str">
            <v xml:space="preserve">m2 </v>
          </cell>
          <cell r="D16">
            <v>5.35</v>
          </cell>
        </row>
        <row r="17">
          <cell r="A17">
            <v>10214</v>
          </cell>
          <cell r="B17" t="str">
            <v xml:space="preserve">Retirada de portas e janelas de madeira, inclusive batentes </v>
          </cell>
          <cell r="C17" t="str">
            <v xml:space="preserve">m2 </v>
          </cell>
          <cell r="D17">
            <v>6.12</v>
          </cell>
        </row>
        <row r="18">
          <cell r="A18">
            <v>10215</v>
          </cell>
          <cell r="B18" t="str">
            <v xml:space="preserve">Retirada de esquadrias metálicas </v>
          </cell>
          <cell r="C18" t="str">
            <v xml:space="preserve">m2 </v>
          </cell>
          <cell r="D18">
            <v>3.83</v>
          </cell>
        </row>
        <row r="19">
          <cell r="A19">
            <v>10216</v>
          </cell>
          <cell r="B19" t="str">
            <v xml:space="preserve">Retirada de meio-fio de concreto </v>
          </cell>
          <cell r="C19" t="str">
            <v xml:space="preserve">m </v>
          </cell>
          <cell r="D19">
            <v>3.83</v>
          </cell>
        </row>
        <row r="20">
          <cell r="A20">
            <v>10217</v>
          </cell>
          <cell r="B20" t="str">
            <v xml:space="preserve">Remoção de pintura antiga a cal </v>
          </cell>
          <cell r="C20" t="str">
            <v xml:space="preserve">m2 </v>
          </cell>
          <cell r="D20">
            <v>1.34</v>
          </cell>
        </row>
        <row r="21">
          <cell r="A21">
            <v>10218</v>
          </cell>
          <cell r="B21" t="str">
            <v xml:space="preserve">Remoção de pintura antiga a óleo ou esmalte </v>
          </cell>
          <cell r="C21" t="str">
            <v xml:space="preserve">m2 </v>
          </cell>
          <cell r="D21">
            <v>5.15</v>
          </cell>
        </row>
        <row r="22">
          <cell r="A22">
            <v>10219</v>
          </cell>
          <cell r="B22" t="str">
            <v xml:space="preserve">Demolição manual de concreto armado (EMOP 05.001.033) </v>
          </cell>
          <cell r="C22" t="str">
            <v xml:space="preserve">m3 </v>
          </cell>
          <cell r="D22">
            <v>126.87</v>
          </cell>
        </row>
        <row r="23">
          <cell r="A23">
            <v>10220</v>
          </cell>
          <cell r="B23" t="str">
            <v xml:space="preserve">Demolição de piso cimentado, exclusive lastro de concreto </v>
          </cell>
          <cell r="C23" t="str">
            <v xml:space="preserve">m2 </v>
          </cell>
          <cell r="D23">
            <v>4.71</v>
          </cell>
        </row>
        <row r="24">
          <cell r="A24">
            <v>10221</v>
          </cell>
          <cell r="B24" t="str">
            <v xml:space="preserve">Retirada de bandeira de porta </v>
          </cell>
          <cell r="C24" t="str">
            <v xml:space="preserve">und </v>
          </cell>
          <cell r="D24">
            <v>11.7</v>
          </cell>
        </row>
        <row r="25">
          <cell r="A25">
            <v>10222</v>
          </cell>
          <cell r="B25" t="str">
            <v xml:space="preserve">Demolição de elementos vazados cerâmicos ou de concreto </v>
          </cell>
          <cell r="C25" t="str">
            <v xml:space="preserve">m2 </v>
          </cell>
          <cell r="D25">
            <v>8.4700000000000006</v>
          </cell>
        </row>
        <row r="26">
          <cell r="A26">
            <v>10223</v>
          </cell>
          <cell r="B26" t="str">
            <v xml:space="preserve">Retirada de aparelhos sanitários </v>
          </cell>
          <cell r="C26" t="str">
            <v xml:space="preserve">und </v>
          </cell>
          <cell r="D26">
            <v>8.77</v>
          </cell>
        </row>
        <row r="27">
          <cell r="A27">
            <v>10224</v>
          </cell>
          <cell r="B27" t="str">
            <v xml:space="preserve">Retirada de grades, gradis, alambrados, cercas e portões </v>
          </cell>
          <cell r="C27" t="str">
            <v xml:space="preserve">m2 </v>
          </cell>
          <cell r="D27">
            <v>6.73</v>
          </cell>
        </row>
        <row r="28">
          <cell r="A28">
            <v>10225</v>
          </cell>
          <cell r="B28" t="str">
            <v xml:space="preserve">Retirada de bancada de pia </v>
          </cell>
          <cell r="C28" t="str">
            <v xml:space="preserve">m2 </v>
          </cell>
          <cell r="D28">
            <v>9.5500000000000007</v>
          </cell>
        </row>
        <row r="29">
          <cell r="A29">
            <v>10226</v>
          </cell>
          <cell r="B29" t="str">
            <v xml:space="preserve">Retirada de tanque de cimento </v>
          </cell>
          <cell r="C29" t="str">
            <v xml:space="preserve">und </v>
          </cell>
          <cell r="D29">
            <v>9.5500000000000007</v>
          </cell>
        </row>
        <row r="30">
          <cell r="A30">
            <v>10227</v>
          </cell>
          <cell r="B30" t="str">
            <v xml:space="preserve">Retirada de caixa d'água de fibrocimento, inclusive tubulação de ligação </v>
          </cell>
          <cell r="C30" t="str">
            <v xml:space="preserve">und </v>
          </cell>
          <cell r="D30">
            <v>17.54</v>
          </cell>
        </row>
        <row r="31">
          <cell r="A31">
            <v>10228</v>
          </cell>
          <cell r="B31" t="str">
            <v xml:space="preserve">Demolição de forro de madeira, sem reaproveitamento </v>
          </cell>
          <cell r="C31" t="str">
            <v xml:space="preserve">m2 </v>
          </cell>
          <cell r="D31">
            <v>2.61</v>
          </cell>
        </row>
        <row r="32">
          <cell r="A32">
            <v>10229</v>
          </cell>
          <cell r="B32" t="str">
            <v xml:space="preserve">Retirada de poste de aço de 4 a 6 m </v>
          </cell>
          <cell r="C32" t="str">
            <v xml:space="preserve">und </v>
          </cell>
          <cell r="D32">
            <v>15.64</v>
          </cell>
        </row>
        <row r="33">
          <cell r="A33">
            <v>10230</v>
          </cell>
          <cell r="B33" t="str">
            <v xml:space="preserve">Retirada de pintura antiga a base de PVA </v>
          </cell>
          <cell r="C33" t="str">
            <v xml:space="preserve">m2 </v>
          </cell>
          <cell r="D33">
            <v>2.4300000000000002</v>
          </cell>
        </row>
        <row r="34">
          <cell r="A34">
            <v>10234</v>
          </cell>
          <cell r="B34" t="str">
            <v xml:space="preserve">Demolição de laje pré-moldada de concreto </v>
          </cell>
          <cell r="C34" t="str">
            <v xml:space="preserve">m2 </v>
          </cell>
          <cell r="D34">
            <v>9.9499999999999993</v>
          </cell>
        </row>
        <row r="35">
          <cell r="A35">
            <v>10238</v>
          </cell>
          <cell r="B35" t="str">
            <v xml:space="preserve">Apicoamento de superfície com revestimento em argamassa </v>
          </cell>
          <cell r="C35" t="str">
            <v xml:space="preserve">m2 </v>
          </cell>
          <cell r="D35">
            <v>3.83</v>
          </cell>
        </row>
        <row r="36">
          <cell r="A36">
            <v>10239</v>
          </cell>
          <cell r="B36" t="str">
            <v xml:space="preserve">Retirada de divisórias com reaproveitamento </v>
          </cell>
          <cell r="C36" t="str">
            <v xml:space="preserve">m2 </v>
          </cell>
          <cell r="D36">
            <v>14.94</v>
          </cell>
        </row>
        <row r="37">
          <cell r="A37">
            <v>10240</v>
          </cell>
          <cell r="B37" t="str">
            <v xml:space="preserve">Retirada de pontos elétricos ( luminárias, interruptores e tomadas) </v>
          </cell>
          <cell r="C37" t="str">
            <v xml:space="preserve">und </v>
          </cell>
          <cell r="D37">
            <v>4.6500000000000004</v>
          </cell>
        </row>
        <row r="38">
          <cell r="A38">
            <v>10242</v>
          </cell>
          <cell r="B38" t="str">
            <v xml:space="preserve">Retirada de vidros quebrados </v>
          </cell>
          <cell r="C38" t="str">
            <v xml:space="preserve">m2 </v>
          </cell>
          <cell r="D38">
            <v>1.34</v>
          </cell>
        </row>
        <row r="39">
          <cell r="A39">
            <v>10244</v>
          </cell>
          <cell r="B39" t="str">
            <v xml:space="preserve">Retirada de rodapé em argamassa de cimento e areia </v>
          </cell>
          <cell r="C39" t="str">
            <v xml:space="preserve">m </v>
          </cell>
          <cell r="D39">
            <v>5.52</v>
          </cell>
        </row>
        <row r="40">
          <cell r="A40">
            <v>10246</v>
          </cell>
          <cell r="B40" t="str">
            <v xml:space="preserve">Lixamento de parede com pintura antiga PVA para recebimento de nova camada de tinta </v>
          </cell>
          <cell r="C40" t="str">
            <v xml:space="preserve">m2 </v>
          </cell>
          <cell r="D40">
            <v>1.42</v>
          </cell>
        </row>
        <row r="41">
          <cell r="A41">
            <v>10253</v>
          </cell>
          <cell r="B41" t="str">
            <v xml:space="preserve">Remoção de engradamento de madeira de cobertura para reaproveitamento </v>
          </cell>
          <cell r="C41" t="str">
            <v xml:space="preserve">m2 </v>
          </cell>
          <cell r="D41">
            <v>11.29</v>
          </cell>
        </row>
        <row r="42">
          <cell r="A42">
            <v>10254</v>
          </cell>
          <cell r="B42" t="str">
            <v xml:space="preserve">Remoção de telhas cerâmicas, tipo francesa, inclusive cumeeira </v>
          </cell>
          <cell r="C42" t="str">
            <v xml:space="preserve">m2 </v>
          </cell>
          <cell r="D42">
            <v>3.72</v>
          </cell>
        </row>
        <row r="43">
          <cell r="A43">
            <v>10255</v>
          </cell>
          <cell r="B43" t="str">
            <v xml:space="preserve">Remoção de telhas cerâmicas tipo colonial, inclusive cumeeiras </v>
          </cell>
          <cell r="C43" t="str">
            <v xml:space="preserve">m2 </v>
          </cell>
          <cell r="D43">
            <v>9.2200000000000006</v>
          </cell>
        </row>
        <row r="44">
          <cell r="A44">
            <v>10256</v>
          </cell>
          <cell r="B44" t="str">
            <v xml:space="preserve">Remoção de telha ondulada de fibrocimento, inclusive cumeeira </v>
          </cell>
          <cell r="C44" t="str">
            <v xml:space="preserve">m2 </v>
          </cell>
          <cell r="D44">
            <v>2.93</v>
          </cell>
        </row>
        <row r="45">
          <cell r="A45">
            <v>10259</v>
          </cell>
          <cell r="B45" t="str">
            <v xml:space="preserve">Retirada de rodapé de madeira ou cerâmica </v>
          </cell>
          <cell r="C45" t="str">
            <v xml:space="preserve">m </v>
          </cell>
          <cell r="D45">
            <v>0.88</v>
          </cell>
        </row>
        <row r="46">
          <cell r="A46">
            <v>10264</v>
          </cell>
          <cell r="B46" t="str">
            <v xml:space="preserve">Demolição de piso granilite </v>
          </cell>
          <cell r="C46" t="str">
            <v xml:space="preserve">m2 </v>
          </cell>
          <cell r="D46">
            <v>10.61</v>
          </cell>
        </row>
        <row r="47">
          <cell r="A47">
            <v>10269</v>
          </cell>
          <cell r="B47" t="str">
            <v xml:space="preserve">Demolição mecânica de edificações existentes </v>
          </cell>
          <cell r="C47" t="str">
            <v xml:space="preserve">h </v>
          </cell>
          <cell r="D47">
            <v>133.44</v>
          </cell>
        </row>
        <row r="48">
          <cell r="A48">
            <v>10271</v>
          </cell>
          <cell r="B48" t="str">
            <v xml:space="preserve">Retirada de caixas/quadros elétricos </v>
          </cell>
          <cell r="C48" t="str">
            <v xml:space="preserve">und </v>
          </cell>
          <cell r="D48">
            <v>6.04</v>
          </cell>
        </row>
        <row r="49">
          <cell r="A49">
            <v>10279</v>
          </cell>
          <cell r="B49" t="str">
            <v xml:space="preserve">Retirada de quadro de giz (1.29 x 3.95m) </v>
          </cell>
          <cell r="C49" t="str">
            <v xml:space="preserve">und </v>
          </cell>
          <cell r="D49">
            <v>8.9</v>
          </cell>
        </row>
        <row r="50">
          <cell r="A50">
            <v>10280</v>
          </cell>
          <cell r="B50" t="str">
            <v xml:space="preserve">Remoção de cobertura em telha metálica, exclusive estrutura </v>
          </cell>
          <cell r="C50" t="str">
            <v xml:space="preserve">m2 </v>
          </cell>
          <cell r="D50">
            <v>3.35</v>
          </cell>
        </row>
        <row r="51">
          <cell r="A51">
            <v>10286</v>
          </cell>
          <cell r="B51" t="str">
            <v xml:space="preserve">Demolição de divisória de granito </v>
          </cell>
          <cell r="C51" t="str">
            <v xml:space="preserve">m2 </v>
          </cell>
          <cell r="D51">
            <v>5.66</v>
          </cell>
        </row>
        <row r="52">
          <cell r="A52">
            <v>10292</v>
          </cell>
          <cell r="B52" t="str">
            <v xml:space="preserve">Retirada de alizar de madeira </v>
          </cell>
          <cell r="C52" t="str">
            <v xml:space="preserve">m </v>
          </cell>
          <cell r="D52">
            <v>0.23</v>
          </cell>
        </row>
        <row r="53">
          <cell r="A53">
            <v>10293</v>
          </cell>
          <cell r="B53" t="str">
            <v xml:space="preserve">Retirada de caixa de ar refrigerado, em concreto </v>
          </cell>
          <cell r="C53" t="str">
            <v xml:space="preserve">und </v>
          </cell>
          <cell r="D53">
            <v>9.9700000000000006</v>
          </cell>
        </row>
        <row r="54">
          <cell r="A54">
            <v>103</v>
          </cell>
          <cell r="B54" t="str">
            <v xml:space="preserve">DEMOLIÇÕES E RETIRADAS </v>
          </cell>
          <cell r="C54" t="str">
            <v/>
          </cell>
          <cell r="D54" t="str">
            <v/>
          </cell>
        </row>
        <row r="55">
          <cell r="A55">
            <v>10315</v>
          </cell>
          <cell r="B55" t="str">
            <v xml:space="preserve">Retirada de cobertura em telhas Canalete 49 </v>
          </cell>
          <cell r="C55" t="str">
            <v xml:space="preserve">m2 </v>
          </cell>
          <cell r="D55">
            <v>4.4000000000000004</v>
          </cell>
        </row>
        <row r="56">
          <cell r="A56">
            <v>10317</v>
          </cell>
          <cell r="B56" t="str">
            <v xml:space="preserve">Demolição de alvenaria, com reaproveitamento </v>
          </cell>
          <cell r="C56" t="str">
            <v xml:space="preserve">m2 </v>
          </cell>
          <cell r="D56">
            <v>45.94</v>
          </cell>
        </row>
        <row r="57">
          <cell r="A57">
            <v>10318</v>
          </cell>
          <cell r="B57" t="str">
            <v xml:space="preserve">Remoção de forro em eucatex, sem aproveitamento do material </v>
          </cell>
          <cell r="C57" t="str">
            <v xml:space="preserve">m2 </v>
          </cell>
          <cell r="D57">
            <v>5.44</v>
          </cell>
        </row>
        <row r="58">
          <cell r="A58">
            <v>10319</v>
          </cell>
          <cell r="B58" t="str">
            <v xml:space="preserve">Remoção de pintura antiga a base de óleo ou esmalte sobre esquadrias </v>
          </cell>
          <cell r="C58" t="str">
            <v xml:space="preserve">m2 </v>
          </cell>
          <cell r="D58">
            <v>7.5</v>
          </cell>
        </row>
        <row r="59">
          <cell r="A59">
            <v>10320</v>
          </cell>
          <cell r="B59" t="str">
            <v xml:space="preserve">Remoção de revestimento de pisos com forração têxtil </v>
          </cell>
          <cell r="C59" t="str">
            <v xml:space="preserve">m2 </v>
          </cell>
          <cell r="D59">
            <v>0.77</v>
          </cell>
        </row>
        <row r="60">
          <cell r="A60">
            <v>10322</v>
          </cell>
          <cell r="B60" t="str">
            <v xml:space="preserve">Retirada de divisória em madeirit, com uma face </v>
          </cell>
          <cell r="C60" t="str">
            <v xml:space="preserve">m2 </v>
          </cell>
          <cell r="D60">
            <v>8.69</v>
          </cell>
        </row>
        <row r="61">
          <cell r="A61">
            <v>10323</v>
          </cell>
          <cell r="B61" t="str">
            <v xml:space="preserve">Retirada de torneiras e registros </v>
          </cell>
          <cell r="C61" t="str">
            <v xml:space="preserve">und </v>
          </cell>
          <cell r="D61">
            <v>4.6500000000000004</v>
          </cell>
        </row>
        <row r="62">
          <cell r="A62">
            <v>10324</v>
          </cell>
          <cell r="B62" t="str">
            <v xml:space="preserve">Retirada de cobertura em telha canalete 90 </v>
          </cell>
          <cell r="C62" t="str">
            <v xml:space="preserve">m2 </v>
          </cell>
          <cell r="D62">
            <v>3.38</v>
          </cell>
        </row>
        <row r="63">
          <cell r="A63">
            <v>10325</v>
          </cell>
          <cell r="B63" t="str">
            <v xml:space="preserve">Demolição de estrutura de madeira para telhado </v>
          </cell>
          <cell r="C63" t="str">
            <v xml:space="preserve">m2 </v>
          </cell>
          <cell r="D63">
            <v>11.29</v>
          </cell>
        </row>
        <row r="64">
          <cell r="A64">
            <v>10326</v>
          </cell>
          <cell r="B64" t="str">
            <v xml:space="preserve">Retirada de estrutura em madeira do telhado </v>
          </cell>
          <cell r="C64" t="str">
            <v xml:space="preserve">m2 </v>
          </cell>
          <cell r="D64">
            <v>11.29</v>
          </cell>
        </row>
        <row r="65">
          <cell r="A65">
            <v>10327</v>
          </cell>
          <cell r="B65" t="str">
            <v xml:space="preserve">Retirada de marco de madeira </v>
          </cell>
          <cell r="C65" t="str">
            <v xml:space="preserve">m </v>
          </cell>
          <cell r="D65">
            <v>0.96</v>
          </cell>
        </row>
        <row r="66">
          <cell r="A66">
            <v>10328</v>
          </cell>
          <cell r="B66" t="str">
            <v xml:space="preserve">Demolição de quadro de giz na parede, inclusive requadro </v>
          </cell>
          <cell r="C66" t="str">
            <v xml:space="preserve">m2 </v>
          </cell>
          <cell r="D66">
            <v>8.1</v>
          </cell>
        </row>
        <row r="67">
          <cell r="A67">
            <v>10329</v>
          </cell>
          <cell r="B67" t="str">
            <v xml:space="preserve">Retirada de disjuntor </v>
          </cell>
          <cell r="C67" t="str">
            <v xml:space="preserve">und </v>
          </cell>
          <cell r="D67">
            <v>8.67</v>
          </cell>
        </row>
        <row r="68">
          <cell r="A68">
            <v>10330</v>
          </cell>
          <cell r="B68" t="str">
            <v xml:space="preserve">Preparo de superfície de alvenaria em "tijolinho", para recebimento de revestimento em argamassa, com remoção de pintura antiga e aplicação de escova de aço </v>
          </cell>
          <cell r="C68" t="str">
            <v xml:space="preserve">m2 </v>
          </cell>
          <cell r="D68">
            <v>5.0599999999999996</v>
          </cell>
        </row>
        <row r="69">
          <cell r="A69">
            <v>10331</v>
          </cell>
          <cell r="B69" t="str">
            <v xml:space="preserve">Demolição de piso, soleira, peitoris e escadas em mármore ou granito, exclusive regularização </v>
          </cell>
          <cell r="C69" t="str">
            <v xml:space="preserve">m2 </v>
          </cell>
          <cell r="D69">
            <v>4.0999999999999996</v>
          </cell>
        </row>
        <row r="70">
          <cell r="A70">
            <v>10332</v>
          </cell>
          <cell r="B70" t="str">
            <v xml:space="preserve">Retirada de roda parede em madeira </v>
          </cell>
          <cell r="C70" t="str">
            <v xml:space="preserve">m </v>
          </cell>
          <cell r="D70">
            <v>1.42</v>
          </cell>
        </row>
        <row r="71">
          <cell r="A71">
            <v>10333</v>
          </cell>
          <cell r="B71" t="str">
            <v xml:space="preserve">Retirada de piso de borracha </v>
          </cell>
          <cell r="C71" t="str">
            <v xml:space="preserve">m2 </v>
          </cell>
          <cell r="D71">
            <v>3.21</v>
          </cell>
        </row>
        <row r="72">
          <cell r="A72">
            <v>10334</v>
          </cell>
          <cell r="B72" t="str">
            <v xml:space="preserve">Demolição de edificação existente (hora de máquina - pá carregadeira) </v>
          </cell>
          <cell r="C72" t="str">
            <v xml:space="preserve">h </v>
          </cell>
          <cell r="D72">
            <v>133.44</v>
          </cell>
        </row>
        <row r="73">
          <cell r="A73">
            <v>104</v>
          </cell>
          <cell r="B73" t="str">
            <v xml:space="preserve">LIMPEZA DO TERRENO </v>
          </cell>
          <cell r="C73" t="str">
            <v/>
          </cell>
          <cell r="D73" t="str">
            <v/>
          </cell>
        </row>
        <row r="74">
          <cell r="A74">
            <v>10401</v>
          </cell>
          <cell r="B74" t="str">
            <v xml:space="preserve">Corte de capoeira fina, a foice (manual) </v>
          </cell>
          <cell r="C74" t="str">
            <v xml:space="preserve">m2 </v>
          </cell>
          <cell r="D74">
            <v>0.52</v>
          </cell>
        </row>
        <row r="75">
          <cell r="A75">
            <v>10402</v>
          </cell>
          <cell r="B75" t="str">
            <v xml:space="preserve">Raspagem e limpeza do terreno (manual) </v>
          </cell>
          <cell r="C75" t="str">
            <v xml:space="preserve">m2 </v>
          </cell>
          <cell r="D75">
            <v>1.69</v>
          </cell>
        </row>
        <row r="76">
          <cell r="A76">
            <v>10403</v>
          </cell>
          <cell r="B76" t="str">
            <v xml:space="preserve">Corte e destocamento de árvores com diâmetro de até 15cm </v>
          </cell>
          <cell r="C76" t="str">
            <v xml:space="preserve">und </v>
          </cell>
          <cell r="D76">
            <v>20.21</v>
          </cell>
        </row>
        <row r="77">
          <cell r="A77">
            <v>10404</v>
          </cell>
          <cell r="B77" t="str">
            <v xml:space="preserve">Corte e destocamento de árvores com diâmetro superior a 30 cm </v>
          </cell>
          <cell r="C77" t="str">
            <v xml:space="preserve">und </v>
          </cell>
          <cell r="D77">
            <v>50.27</v>
          </cell>
        </row>
        <row r="78">
          <cell r="A78">
            <v>105</v>
          </cell>
          <cell r="B78" t="str">
            <v xml:space="preserve">LOCAÇÃO </v>
          </cell>
          <cell r="C78" t="str">
            <v/>
          </cell>
          <cell r="D78" t="str">
            <v/>
          </cell>
        </row>
        <row r="79">
          <cell r="A79">
            <v>10501</v>
          </cell>
          <cell r="B79" t="str">
            <v xml:space="preserve">Locação de obra com gabarito de madeira </v>
          </cell>
          <cell r="C79" t="str">
            <v xml:space="preserve">m2 </v>
          </cell>
          <cell r="D79">
            <v>6.07</v>
          </cell>
        </row>
        <row r="80">
          <cell r="A80">
            <v>10512</v>
          </cell>
          <cell r="B80" t="str">
            <v xml:space="preserve">Equipe topográfica para serviços simples de locação e nivelamento (incluindo equipamento, transporte e profissionais nivel médio) </v>
          </cell>
          <cell r="C80" t="str">
            <v xml:space="preserve">mês </v>
          </cell>
          <cell r="D80">
            <v>8597.81</v>
          </cell>
        </row>
        <row r="81">
          <cell r="A81">
            <v>106</v>
          </cell>
          <cell r="B81" t="str">
            <v xml:space="preserve">ARGAMASSAS </v>
          </cell>
          <cell r="C81" t="str">
            <v/>
          </cell>
          <cell r="D81" t="str">
            <v/>
          </cell>
        </row>
        <row r="82">
          <cell r="A82">
            <v>10601</v>
          </cell>
          <cell r="B82" t="str">
            <v xml:space="preserve">Preparo de argamassa de cimento e areia sem peneirar no traço 1:3, incl. fornecimento </v>
          </cell>
          <cell r="C82" t="str">
            <v xml:space="preserve">m3 </v>
          </cell>
          <cell r="D82">
            <v>345.82</v>
          </cell>
        </row>
        <row r="83">
          <cell r="A83">
            <v>10602</v>
          </cell>
          <cell r="B83" t="str">
            <v xml:space="preserve">Preparo de argamassa de cimento e areia sem peneirar no traço 1:4, incl. fornecimento </v>
          </cell>
          <cell r="C83" t="str">
            <v xml:space="preserve">m3 </v>
          </cell>
          <cell r="D83">
            <v>294.70999999999998</v>
          </cell>
        </row>
        <row r="84">
          <cell r="A84">
            <v>10603</v>
          </cell>
          <cell r="B84" t="str">
            <v xml:space="preserve">Preparo de argamassa de cimento e areia sem peneirar no traço 1:2, com aditivo impermeabilizante, incl. fornecimento </v>
          </cell>
          <cell r="C84" t="str">
            <v xml:space="preserve">m3 </v>
          </cell>
          <cell r="D84">
            <v>469.72</v>
          </cell>
        </row>
        <row r="85">
          <cell r="A85">
            <v>10604</v>
          </cell>
          <cell r="B85" t="str">
            <v xml:space="preserve">Preparo de argamassa de cimento e areia sem peneirar no traço 1:3, com aditivo impermeabilizante, incl. fornecimento </v>
          </cell>
          <cell r="C85" t="str">
            <v xml:space="preserve">m3 </v>
          </cell>
          <cell r="D85">
            <v>412.12</v>
          </cell>
        </row>
        <row r="86">
          <cell r="A86">
            <v>10605</v>
          </cell>
          <cell r="B86" t="str">
            <v xml:space="preserve">Preparo de argamassa mista de cimento, saibro e areia sem peneirar no traço 1:1:5,5, incl. fornecimento </v>
          </cell>
          <cell r="C86" t="str">
            <v xml:space="preserve">m3 </v>
          </cell>
          <cell r="D86">
            <v>212.48</v>
          </cell>
        </row>
        <row r="87">
          <cell r="A87">
            <v>10606</v>
          </cell>
          <cell r="B87" t="str">
            <v xml:space="preserve">Preparo de argamassa mista de cimento, cal hidratada e areia sem peneirar no traço 1:2:8, incl. fornecimento </v>
          </cell>
          <cell r="C87" t="str">
            <v xml:space="preserve">m3 </v>
          </cell>
          <cell r="D87">
            <v>317.58</v>
          </cell>
        </row>
        <row r="88">
          <cell r="A88">
            <v>10607</v>
          </cell>
          <cell r="B88" t="str">
            <v xml:space="preserve">Preparo de argamassa mista de cimento, cal hidratada e areia sem peneirar no traço 1:0,5:8, incl. fornecimento </v>
          </cell>
          <cell r="C88" t="str">
            <v xml:space="preserve">m3 </v>
          </cell>
          <cell r="D88">
            <v>234.39</v>
          </cell>
        </row>
        <row r="89">
          <cell r="A89">
            <v>10608</v>
          </cell>
          <cell r="B89" t="str">
            <v xml:space="preserve">Preparo de argamassa mista de cimento, cal hidratada e areia sem peneirar no traço 1:0,5:6, incl. fornecimento </v>
          </cell>
          <cell r="C89" t="str">
            <v xml:space="preserve">m3 </v>
          </cell>
          <cell r="D89">
            <v>263.70999999999998</v>
          </cell>
        </row>
        <row r="90">
          <cell r="A90">
            <v>2</v>
          </cell>
          <cell r="B90" t="str">
            <v xml:space="preserve">INSTALAÇÃO DO CANTEIRO DE OBRAS </v>
          </cell>
          <cell r="C90" t="str">
            <v/>
          </cell>
          <cell r="D90" t="str">
            <v/>
          </cell>
        </row>
        <row r="91">
          <cell r="A91">
            <v>203</v>
          </cell>
          <cell r="B91" t="str">
            <v xml:space="preserve">TAPUMES, BARRACÕES E COBERTURAS </v>
          </cell>
          <cell r="C91" t="str">
            <v/>
          </cell>
          <cell r="D91" t="str">
            <v/>
          </cell>
        </row>
        <row r="92">
          <cell r="A92">
            <v>20301</v>
          </cell>
          <cell r="B92" t="str">
            <v xml:space="preserve">Tapume de tábua de madeira 2.5x30.0 cm com matajuntas de ripa 5x1 cm, dispondo de abertura e portão, com 2.20 m de altura </v>
          </cell>
          <cell r="C92" t="str">
            <v xml:space="preserve">m </v>
          </cell>
          <cell r="D92">
            <v>179.01</v>
          </cell>
        </row>
        <row r="93">
          <cell r="A93">
            <v>20302</v>
          </cell>
          <cell r="B93" t="str">
            <v xml:space="preserve">Tapume de chapa de compensado resinado esp. 6 mm, 2.20 x 1.10 m dispondo de abertura e portão, com 2.20 m de altura </v>
          </cell>
          <cell r="C93" t="str">
            <v xml:space="preserve">m </v>
          </cell>
          <cell r="D93">
            <v>103.69</v>
          </cell>
        </row>
        <row r="94">
          <cell r="A94">
            <v>20305</v>
          </cell>
          <cell r="B94" t="str">
            <v xml:space="preserve">Placa de obra nas dimensões de 2.0 x 4.0 m, PADRÃO IOPES </v>
          </cell>
          <cell r="C94" t="str">
            <v xml:space="preserve">m2 </v>
          </cell>
          <cell r="D94">
            <v>159.51</v>
          </cell>
        </row>
        <row r="95">
          <cell r="A95">
            <v>20307</v>
          </cell>
          <cell r="B95" t="str">
            <v xml:space="preserve">Tapume de chapa de compensado resinado esp. 6 mm, 2.20 x 1.10 m dispondo de abertura e portão, com 2.20 m de altura , inclusive pintura </v>
          </cell>
          <cell r="C95" t="str">
            <v xml:space="preserve">m </v>
          </cell>
          <cell r="D95">
            <v>128.86000000000001</v>
          </cell>
        </row>
        <row r="96">
          <cell r="A96">
            <v>20339</v>
          </cell>
          <cell r="B96" t="str">
            <v xml:space="preserve">Locação de andaime metálico para trabalho em fachada de edifíco (aluguel de 1 m² por 1 mês) inclusive frete, montagem e desmontagem </v>
          </cell>
          <cell r="C96" t="str">
            <v xml:space="preserve">und </v>
          </cell>
          <cell r="D96">
            <v>6.62</v>
          </cell>
        </row>
        <row r="97">
          <cell r="A97">
            <v>20346</v>
          </cell>
          <cell r="B97" t="str">
            <v xml:space="preserve">Locação de andaime metálico para fachada - tipo torre (aluguel mensal) </v>
          </cell>
          <cell r="C97" t="str">
            <v xml:space="preserve">m </v>
          </cell>
          <cell r="D97">
            <v>10.69</v>
          </cell>
        </row>
        <row r="98">
          <cell r="A98">
            <v>20347</v>
          </cell>
          <cell r="B98" t="str">
            <v xml:space="preserve">Construção e demolição de andaime externo de madeira para execução de alvenaria em prédios com até 4 pavimentos, madeira reaproveitada 6 vezez por m2 de alvenaria total </v>
          </cell>
          <cell r="C98" t="str">
            <v xml:space="preserve">m2 </v>
          </cell>
          <cell r="D98">
            <v>25.97</v>
          </cell>
        </row>
        <row r="99">
          <cell r="A99">
            <v>207</v>
          </cell>
          <cell r="B99" t="str">
            <v xml:space="preserve">INSTALAÇÃO DO CANTEIRO DE OBRAS (UTILIZAÇÃO 1 VEZ), PROJETO PADRÃO LABOR - NR.18 </v>
          </cell>
          <cell r="C99" t="str">
            <v/>
          </cell>
          <cell r="D99" t="str">
            <v/>
          </cell>
        </row>
        <row r="100">
          <cell r="A100">
            <v>20701</v>
          </cell>
          <cell r="B100" t="str">
            <v xml:space="preserve">Barracão para escritório com sanitário área de 14.50 m2, de chapa de compens. 12mm e pontalete 8x8cm, piso cimentado e cobertura de telha de fibroc. 6mm, incl. ponto de luz e cx. de inspeção, conf. projeto (1 utilização) </v>
          </cell>
          <cell r="C100" t="str">
            <v xml:space="preserve">m2 </v>
          </cell>
          <cell r="D100">
            <v>392.27</v>
          </cell>
        </row>
        <row r="101">
          <cell r="A101">
            <v>20702</v>
          </cell>
          <cell r="B101" t="str">
            <v xml:space="preserve">Barracão para almoxarifado área de 10.90m2, de chapa de compensado de 12mm e pontalete 8x8cm, piso cimentado e cobertura de telhas de fibrocimento de 6mm, incl. ponto de luz, conf. projeto (1 utilização) </v>
          </cell>
          <cell r="C101" t="str">
            <v xml:space="preserve">m2 </v>
          </cell>
          <cell r="D101">
            <v>288.72000000000003</v>
          </cell>
        </row>
        <row r="102">
          <cell r="A102">
            <v>20703</v>
          </cell>
          <cell r="B102" t="str">
            <v xml:space="preserve">Barracão para depósito de cimento área de 10.90m2, de chapa de compensado 12mm e pontaletes 8x8cm, piso cimentado e cobertura de telhas de fibrocimento de 6mm, inclusive ponto de luz, conf. projeto (1 utilização) </v>
          </cell>
          <cell r="C102" t="str">
            <v xml:space="preserve">m2 </v>
          </cell>
          <cell r="D102">
            <v>256.33</v>
          </cell>
        </row>
        <row r="103">
          <cell r="A103">
            <v>20704</v>
          </cell>
          <cell r="B103" t="str">
            <v xml:space="preserve">Refeitório com paredes de chapa de compens. 12mm e pontaletes 8x8cm, piso ciment. e cob. de telhas fibroc. 6mm, incl. ponto de luz e cx. de inspeção (cons. 1.21 m2/func./turno), conf. projeto (1 utilização) </v>
          </cell>
          <cell r="C103" t="str">
            <v xml:space="preserve">m2 </v>
          </cell>
          <cell r="D103">
            <v>242.37</v>
          </cell>
        </row>
        <row r="104">
          <cell r="A104">
            <v>20705</v>
          </cell>
          <cell r="B104" t="str">
            <v xml:space="preserve">Unidade de sanitário e vestiário p/ até 20 func. área de 18.15m2, paredes de chapa compens. 12mm e pontalete 8x8cm, piso cimentado, cobert. telha fibroc. 6mm, incl. instalação de luz e cx. de inspeção, conf. projeto (1 utilização) </v>
          </cell>
          <cell r="C104" t="str">
            <v xml:space="preserve">und </v>
          </cell>
          <cell r="D104">
            <v>7579.33</v>
          </cell>
        </row>
        <row r="105">
          <cell r="A105">
            <v>20706</v>
          </cell>
          <cell r="B105" t="str">
            <v xml:space="preserve">Unidade de sanitário e vestiário de 20 a 40 func. área 25.40m2, paredes de chapa compens. 12mm e pontalete 8x8cm, piso cimentado, cobert. telha fibroc. 6mm, incl. inst. de luz e cx. de inspeção, conf. projeto (1 utilização) </v>
          </cell>
          <cell r="C105" t="str">
            <v xml:space="preserve">und </v>
          </cell>
          <cell r="D105">
            <v>11261.27</v>
          </cell>
        </row>
        <row r="106">
          <cell r="A106">
            <v>20707</v>
          </cell>
          <cell r="B106" t="str">
            <v xml:space="preserve">Unidade de sanitário e vestiário de 40 a 60 func. área 33.90m2, paredes de chapa compens. 12mm e pontalete 8x8cm, piso cimentado, cobert. telha fibroc. 6mm, incl. inst. de luz e cx. de inspeção, conf. projeto (1 utilização) </v>
          </cell>
          <cell r="C106" t="str">
            <v xml:space="preserve">und </v>
          </cell>
          <cell r="D106">
            <v>14098.05</v>
          </cell>
        </row>
        <row r="107">
          <cell r="A107">
            <v>20708</v>
          </cell>
          <cell r="B107" t="str">
            <v xml:space="preserve">Galpão para serraria e carpintaria área 12.00m2, em peça de madeira 8x8cm e contraventamento de 5x7cm, cobertura de telha de fibroc. de 6mm, inclusive ponto e cabo de alimentação da máquina, conf. projeto (1 utilização) </v>
          </cell>
          <cell r="C107" t="str">
            <v xml:space="preserve">m2 </v>
          </cell>
          <cell r="D107">
            <v>117.72</v>
          </cell>
        </row>
        <row r="108">
          <cell r="A108">
            <v>20709</v>
          </cell>
          <cell r="B108" t="str">
            <v xml:space="preserve">Galpão para corte e armação com área de 6.00m2, em peças de madeira 8x8cm e contraventamento de 5x7cm, cobertura de telhas de fibroc. de 6mm, inclusive ponto e cabo de alimentação da máquina, conf. projeto (1 utilização) </v>
          </cell>
          <cell r="C108" t="str">
            <v xml:space="preserve">m2 </v>
          </cell>
          <cell r="D108">
            <v>151.91999999999999</v>
          </cell>
        </row>
        <row r="109">
          <cell r="A109">
            <v>20710</v>
          </cell>
          <cell r="B109" t="str">
            <v xml:space="preserve">Reservatório de fibra de vidro de 500L, incl. suporte em madeira de 7x12cm e 5x7cm, elevado de 4m, conf. projeto (1 utilização) </v>
          </cell>
          <cell r="C109" t="str">
            <v xml:space="preserve">und </v>
          </cell>
          <cell r="D109">
            <v>789.66</v>
          </cell>
        </row>
        <row r="110">
          <cell r="A110">
            <v>20711</v>
          </cell>
          <cell r="B110" t="str">
            <v xml:space="preserve">Reservatório de fibra de vidro de 1000 L, incl. suporte em madeira de 7x12cm e 8x7cm, elevado de 4m, conf. projeto (1 utilização) </v>
          </cell>
          <cell r="C110" t="str">
            <v xml:space="preserve">und </v>
          </cell>
          <cell r="D110">
            <v>966.46</v>
          </cell>
        </row>
        <row r="111">
          <cell r="A111">
            <v>20712</v>
          </cell>
          <cell r="B111" t="str">
            <v xml:space="preserve">Rede de água com padrão de entrada d'água diâm. 3/4", conf. espec. CESAN, incl. tubos e conexões para alimentação, distribuição, extravasor e limpeza, cons. o padrão a 25m, conf. projeto (1 utilização) </v>
          </cell>
          <cell r="C111" t="str">
            <v xml:space="preserve">m </v>
          </cell>
          <cell r="D111">
            <v>22.77</v>
          </cell>
        </row>
        <row r="112">
          <cell r="A112">
            <v>20713</v>
          </cell>
          <cell r="B112" t="str">
            <v xml:space="preserve">Rede de luz, incl. padrão entrada de energia trifás., cabo de ligação até barracões, quadro de distrib., disj. e chave de força (quando necessário), cons. 20m entre padrão entrada e QDG, conf. projeto (1 utilização) </v>
          </cell>
          <cell r="C112" t="str">
            <v xml:space="preserve">m </v>
          </cell>
          <cell r="D112">
            <v>286.49</v>
          </cell>
        </row>
        <row r="113">
          <cell r="A113">
            <v>20714</v>
          </cell>
          <cell r="B113" t="str">
            <v xml:space="preserve">Rede de esgoto, contendo fossa e filtro, inclusive tubos e conexões de ligação entre caixas, considerando distância de 25m, conforme projeto (1 utilização) </v>
          </cell>
          <cell r="C113" t="str">
            <v xml:space="preserve">m </v>
          </cell>
          <cell r="D113">
            <v>170.87</v>
          </cell>
        </row>
        <row r="114">
          <cell r="A114">
            <v>208</v>
          </cell>
          <cell r="B114" t="str">
            <v xml:space="preserve">INSTALAÇÃO DO CANTEIRO DE OBRAS (UTILIZAÇÃO 2 VEZES), PROJETO PADRÃO LABOR - NR.18 </v>
          </cell>
          <cell r="C114" t="str">
            <v/>
          </cell>
          <cell r="D114" t="str">
            <v/>
          </cell>
        </row>
        <row r="115">
          <cell r="A115">
            <v>20801</v>
          </cell>
          <cell r="B115" t="str">
            <v xml:space="preserve">Barracão para escritório com sanitário área 14.50m2, de chapa de compens. 12mm e pontalete 8x8cm, piso cimentado e cobertura de telha de fibroc. 6mm, incl. ponto de luz e cx. de inspeção, conf. projeto (2 utilizações) </v>
          </cell>
          <cell r="C115" t="str">
            <v xml:space="preserve">m2 </v>
          </cell>
          <cell r="D115">
            <v>290.27</v>
          </cell>
        </row>
        <row r="116">
          <cell r="A116">
            <v>20802</v>
          </cell>
          <cell r="B116" t="str">
            <v xml:space="preserve">Barracão para almoxarifado área de 10.90m2, de chapa de compensado 12mm e pontaletes 8x8cm, piso cimentado e cobertura de telha de fibrocimento de 6mm, inclusive ponto de luz, conf. projeto (2 utilizações) </v>
          </cell>
          <cell r="C116" t="str">
            <v xml:space="preserve">m2 </v>
          </cell>
          <cell r="D116">
            <v>215.37</v>
          </cell>
        </row>
        <row r="117">
          <cell r="A117">
            <v>20803</v>
          </cell>
          <cell r="B117" t="str">
            <v xml:space="preserve">Barracão para depósito de cimento área de 10.90m2, de chapa de compensado 12mm e pontaletes 8x8cm, piso cimentado e cobertura de telhas de fibrocimento de 6mm, inclusive ponto de luz, conf. projeto (2 utilizações) </v>
          </cell>
          <cell r="C117" t="str">
            <v xml:space="preserve">m2 </v>
          </cell>
          <cell r="D117">
            <v>191.19</v>
          </cell>
        </row>
        <row r="118">
          <cell r="A118">
            <v>20804</v>
          </cell>
          <cell r="B118" t="str">
            <v xml:space="preserve">Refeitório com paredes de chapa de compens. 12mm e pontaletes 8x8cm, piso ciment. e cobert. de telhas fibroc. 6mm, incl. ponto de luz e cx. de inspeção (cons. 1.21m2/func./turno), conf. projeto (2 utilização) </v>
          </cell>
          <cell r="C118" t="str">
            <v xml:space="preserve">m2 </v>
          </cell>
          <cell r="D118">
            <v>190.96</v>
          </cell>
        </row>
        <row r="119">
          <cell r="A119">
            <v>20805</v>
          </cell>
          <cell r="B119" t="str">
            <v xml:space="preserve">Unidade de sanitário e vestiário para até 20 func. área 18.15m2, paredes de chapa compens. 12mm e pontalete 8x8cm, piso cimentado, cobert. telha fibroc. 6mm, incl. inst. de luz e cx. de inspeção, conf. projeto (2 utilizações) </v>
          </cell>
          <cell r="C119" t="str">
            <v xml:space="preserve">und </v>
          </cell>
          <cell r="D119">
            <v>5801.05</v>
          </cell>
        </row>
        <row r="120">
          <cell r="A120">
            <v>20806</v>
          </cell>
          <cell r="B120" t="str">
            <v xml:space="preserve">Unidade de sanitário e vestiário de 20 a 40 func. área 25.40m2, paredes de chapa compens. 12mm e pontalete 8x8cm, piso cimentado, cobert. telha fibroc. 6mm, incl. inst. de luz e cx. de inspeção, conf. projeto (2 utilizações) </v>
          </cell>
          <cell r="C120" t="str">
            <v xml:space="preserve">und </v>
          </cell>
          <cell r="D120">
            <v>8663.82</v>
          </cell>
        </row>
        <row r="121">
          <cell r="A121">
            <v>20807</v>
          </cell>
          <cell r="B121" t="str">
            <v xml:space="preserve">Unidade de sanitário e vestiário de 40 a 60 func. área 33.90m2, paredes de chapa compens. 12mm e pontalete 8x8cm, piso cimentado, cobert. telha fibroc. 6mm, incl. inst. de luz e cx. de inspeção, conf. projeto (2 utilizações) </v>
          </cell>
          <cell r="C121" t="str">
            <v xml:space="preserve">und </v>
          </cell>
          <cell r="D121">
            <v>10838.78</v>
          </cell>
        </row>
        <row r="122">
          <cell r="A122">
            <v>20808</v>
          </cell>
          <cell r="B122" t="str">
            <v xml:space="preserve">Galpão para serraria e carpintaria área 12.00m2, em peças de madeira 8x8cm e contraventamento de 5x7cm, cobertura de telhas de fibroc. de 6mm, inclusive ponto e cabo de alimentação da máquina, conf. projeto (2 utilizações) </v>
          </cell>
          <cell r="C122" t="str">
            <v xml:space="preserve">m2 </v>
          </cell>
          <cell r="D122">
            <v>77.81</v>
          </cell>
        </row>
        <row r="123">
          <cell r="A123">
            <v>20809</v>
          </cell>
          <cell r="B123" t="str">
            <v xml:space="preserve">Galpão para corte e armação com área de 6.00m2, de peças de madeira 8x8cm e contraventamento de 5x7cm, cobertura de telhas de fibroc. de 6mm, inclusive ponto e cabo de alimentação da máquina, conf. projeto (2 utilizações) </v>
          </cell>
          <cell r="C123" t="str">
            <v xml:space="preserve">m2 </v>
          </cell>
          <cell r="D123">
            <v>102.82</v>
          </cell>
        </row>
        <row r="124">
          <cell r="A124">
            <v>20810</v>
          </cell>
          <cell r="B124" t="str">
            <v xml:space="preserve">Reservatório de fibra de vidro de 500 L, incl. suporte em madeira de 7x12cm e 5x7cm, elevado de 4m, conforme projeto (2 utilizações) </v>
          </cell>
          <cell r="C124" t="str">
            <v xml:space="preserve">und </v>
          </cell>
          <cell r="D124">
            <v>486.02</v>
          </cell>
        </row>
        <row r="125">
          <cell r="A125">
            <v>20811</v>
          </cell>
          <cell r="B125" t="str">
            <v xml:space="preserve">Reservatório de fibra de vidro de 1000 L, inclusive suporte em madeira de 7x12cm e 5x7cm, elevado de 4m, conforme projeto (2 utilizações) </v>
          </cell>
          <cell r="C125" t="str">
            <v xml:space="preserve">und </v>
          </cell>
          <cell r="D125">
            <v>582.91</v>
          </cell>
        </row>
        <row r="126">
          <cell r="A126">
            <v>20812</v>
          </cell>
          <cell r="B126" t="str">
            <v xml:space="preserve">Rede de água, com padrão de entrada d'água diâm. 3/4", conf. espec. CESAN, incl. tubos e conexões para alimentação, distribuição, extravasor e limpeza, cons. o padrão a 25m, conf. projeto (2 utilizações) </v>
          </cell>
          <cell r="C126" t="str">
            <v xml:space="preserve">m </v>
          </cell>
          <cell r="D126">
            <v>15.71</v>
          </cell>
        </row>
        <row r="127">
          <cell r="A127">
            <v>209</v>
          </cell>
          <cell r="B127" t="str">
            <v xml:space="preserve">INSTALAÇÃO DO CANTEIRO DE OBRAS (UTILIZAÇÃO 3 VEZES), PROJETO PADRÃO LABOR - NR.18 </v>
          </cell>
          <cell r="C127" t="str">
            <v/>
          </cell>
          <cell r="D127" t="str">
            <v/>
          </cell>
        </row>
        <row r="128">
          <cell r="A128">
            <v>20901</v>
          </cell>
          <cell r="B128" t="str">
            <v xml:space="preserve">Barracão para escritório com sanitário área de 14.50m2, de chapa de compens. 12mm e pontalete 8x8cm, piso cimentado e cobertura de telha de fibroc. 6mm, incl. ponto de luz e cx. de inspeção, conf. projeto (3 utilizações) </v>
          </cell>
          <cell r="C128" t="str">
            <v xml:space="preserve">m2 </v>
          </cell>
          <cell r="D128">
            <v>268.95</v>
          </cell>
        </row>
        <row r="129">
          <cell r="A129">
            <v>20902</v>
          </cell>
          <cell r="B129" t="str">
            <v xml:space="preserve">Barracão para almoxarifado área de 10.90m2, de chapa de compensado 12mm e pontaletes 8x8cm, piso cimentado e cobertura de telhas de fibrocimento de 6mm, incl. ponto de luz, conf. projeto (3 utilizações) </v>
          </cell>
          <cell r="C129" t="str">
            <v xml:space="preserve">m2 </v>
          </cell>
          <cell r="D129">
            <v>205.36</v>
          </cell>
        </row>
        <row r="130">
          <cell r="A130">
            <v>20903</v>
          </cell>
          <cell r="B130" t="str">
            <v xml:space="preserve">Barracão para depósito de cimento área de 10.90m2, de chapa de compensado 12mm e pontaletes 8x8cm, piso cimentado e cobertura de telhas de fibrocimento de 6mm, incl. ponto de luz, conf. projeto (3 utilizações) </v>
          </cell>
          <cell r="C130" t="str">
            <v xml:space="preserve">m2 </v>
          </cell>
          <cell r="D130">
            <v>183.05</v>
          </cell>
        </row>
        <row r="131">
          <cell r="A131">
            <v>20904</v>
          </cell>
          <cell r="B131" t="str">
            <v xml:space="preserve">Refeitório com paredes de chapa de compens. 12mm e pontaletes 8x8cm, piso ciment. e cobert.de telhas fibroc. 6mm, incl. ponto de luz e cx. de inspeção (cons. 1.21 m2/func/turno), conf. projeto (3 utilizações) </v>
          </cell>
          <cell r="C131" t="str">
            <v xml:space="preserve">m2 </v>
          </cell>
          <cell r="D131">
            <v>169.64</v>
          </cell>
        </row>
        <row r="132">
          <cell r="A132">
            <v>20905</v>
          </cell>
          <cell r="B132" t="str">
            <v xml:space="preserve">Unidade de sanitário e vestiário para até 20 func. área 18.15m2, paredes de chapa compens. 12mm e pontaletes 8x8cm, piso cimentado, cobert. telha fibroc. 6mm, incl. inst. de luz e cx.de inspeção, conf. projeto (3 utilizações) </v>
          </cell>
          <cell r="C132" t="str">
            <v xml:space="preserve">und </v>
          </cell>
          <cell r="D132">
            <v>5531.01</v>
          </cell>
        </row>
        <row r="133">
          <cell r="A133">
            <v>20906</v>
          </cell>
          <cell r="B133" t="str">
            <v xml:space="preserve">Unidade de sanitário e vestiário de 20 a 40 func. área 25.40m2, paredes de chapa compens. 12mm e pontaletes 8x8cm, piso cimentado, cobert. telha fibroc. 6mm, incl. inst. de luz e cx. de inspeção, conf. projeto (3 utilizações) </v>
          </cell>
          <cell r="C133" t="str">
            <v xml:space="preserve">und </v>
          </cell>
          <cell r="D133">
            <v>8235.1</v>
          </cell>
        </row>
        <row r="134">
          <cell r="A134">
            <v>20907</v>
          </cell>
          <cell r="B134" t="str">
            <v xml:space="preserve">Unidade de sanitário e vestiário de 40 a 60 func. área 33.90m2, paredes de chapa compens/. 12mm e pontaletes 8x8cm, piso cimentado, cobert. telha fibroc. 6mm, incl. inst. de luz e cx. de inspeção, conf. projeto (3 utilizações) </v>
          </cell>
          <cell r="C134" t="str">
            <v xml:space="preserve">und </v>
          </cell>
          <cell r="D134">
            <v>10274.25</v>
          </cell>
        </row>
        <row r="135">
          <cell r="A135">
            <v>20908</v>
          </cell>
          <cell r="B135" t="str">
            <v xml:space="preserve">Galpão para serraria e carpintaria área 12.00m2, de peças de madeira 8x8cm e contraventamento de 5x7cm, cobertura de telhas de fibroc. de 6mm, inclusive ponto e cabo de alimentação da máquina, conf. projeto (3 utilizações) </v>
          </cell>
          <cell r="C135" t="str">
            <v xml:space="preserve">m2 </v>
          </cell>
          <cell r="D135">
            <v>69.400000000000006</v>
          </cell>
        </row>
        <row r="136">
          <cell r="A136">
            <v>20909</v>
          </cell>
          <cell r="B136" t="str">
            <v xml:space="preserve">Galpão para corte e armação com área de 6.00m2, de peças de madeira 8x8cm e contraventamento de 5x7cm, cobertura de telha de fibroc. 6mm, inclusive ponto e cabo de alimentação da máquina, conf. projeto (3 utilizações) </v>
          </cell>
          <cell r="C136" t="str">
            <v xml:space="preserve">m2 </v>
          </cell>
          <cell r="D136">
            <v>91.92</v>
          </cell>
        </row>
        <row r="137">
          <cell r="A137">
            <v>20910</v>
          </cell>
          <cell r="B137" t="str">
            <v xml:space="preserve">Reservatório de fibra de vidro de 500 L, incl. suporte em madeira de 7x12cm e 5x7cm, elevado de 4m, conf. projeto (3 utilizações) </v>
          </cell>
          <cell r="C137" t="str">
            <v xml:space="preserve">und </v>
          </cell>
          <cell r="D137">
            <v>445.04</v>
          </cell>
        </row>
        <row r="138">
          <cell r="A138">
            <v>20911</v>
          </cell>
          <cell r="B138" t="str">
            <v xml:space="preserve">Reservatório de fibra de vidro de 1000 L, incl. suporte em madeira de 7x12cm e 5x7cm, elevado de 4m, conf. projeto (3 utilizações) </v>
          </cell>
          <cell r="C138" t="str">
            <v xml:space="preserve">und </v>
          </cell>
          <cell r="D138">
            <v>522.41999999999996</v>
          </cell>
        </row>
        <row r="139">
          <cell r="A139">
            <v>20912</v>
          </cell>
          <cell r="B139" t="str">
            <v xml:space="preserve">Rede de água, com padrão de entrada d'água diâm. 3/4", conf. espec. CESAN, incl. tubos e conexões para alimentação, distribuição, extravasor e limpeza, cons. o padrão a 25m, conf. projeto (3 utilizações) </v>
          </cell>
          <cell r="C139" t="str">
            <v xml:space="preserve">m </v>
          </cell>
          <cell r="D139">
            <v>13.35</v>
          </cell>
        </row>
        <row r="140">
          <cell r="A140">
            <v>20913</v>
          </cell>
          <cell r="B140" t="str">
            <v xml:space="preserve">Rede de luz, incl. padrão entrada de energia trifás., cabo de ligação até barracões, quadro de distrib., disj. e chave de força (quando necessário), cons. 20m entre padrão entrada e QDG, conf. projeto (3 utilizações) </v>
          </cell>
          <cell r="C140" t="str">
            <v xml:space="preserve">m </v>
          </cell>
          <cell r="D140">
            <v>158.66</v>
          </cell>
        </row>
        <row r="141">
          <cell r="A141">
            <v>3</v>
          </cell>
          <cell r="B141" t="str">
            <v xml:space="preserve">MOVIMENTO DE TERRA </v>
          </cell>
          <cell r="C141" t="str">
            <v/>
          </cell>
          <cell r="D141" t="str">
            <v/>
          </cell>
        </row>
        <row r="142">
          <cell r="A142">
            <v>301</v>
          </cell>
          <cell r="B142" t="str">
            <v xml:space="preserve">ESCAVAÇÕES </v>
          </cell>
          <cell r="C142" t="str">
            <v/>
          </cell>
          <cell r="D142" t="str">
            <v/>
          </cell>
        </row>
        <row r="143">
          <cell r="A143">
            <v>30101</v>
          </cell>
          <cell r="B143" t="str">
            <v xml:space="preserve">Escavação manual em material de 1a. categoria, até 1.50 m de profundidade </v>
          </cell>
          <cell r="C143" t="str">
            <v xml:space="preserve">m3 </v>
          </cell>
          <cell r="D143">
            <v>21.9</v>
          </cell>
        </row>
        <row r="144">
          <cell r="A144">
            <v>30102</v>
          </cell>
          <cell r="B144" t="str">
            <v xml:space="preserve">Escavação manual em material de 2a. categoria, até 1.50 m de profundidade </v>
          </cell>
          <cell r="C144" t="str">
            <v xml:space="preserve">m3 </v>
          </cell>
          <cell r="D144">
            <v>37.06</v>
          </cell>
        </row>
        <row r="145">
          <cell r="A145">
            <v>30103</v>
          </cell>
          <cell r="B145" t="str">
            <v xml:space="preserve">Escavação mecânica em material de 1a. categoria </v>
          </cell>
          <cell r="C145" t="str">
            <v xml:space="preserve">m3 </v>
          </cell>
          <cell r="D145">
            <v>9.25</v>
          </cell>
        </row>
        <row r="146">
          <cell r="A146">
            <v>30104</v>
          </cell>
          <cell r="B146" t="str">
            <v xml:space="preserve">Escavação mecânica em material de 2a. categoria </v>
          </cell>
          <cell r="C146" t="str">
            <v xml:space="preserve">m3 </v>
          </cell>
          <cell r="D146">
            <v>12.93</v>
          </cell>
        </row>
        <row r="147">
          <cell r="A147">
            <v>30111</v>
          </cell>
          <cell r="B147" t="str">
            <v xml:space="preserve">Escavação manual em rocha, com uso de explosivos e perfuração manual, até 2.00 m de profundidade, em área urbana </v>
          </cell>
          <cell r="C147" t="str">
            <v xml:space="preserve">m3 </v>
          </cell>
          <cell r="D147">
            <v>164.94</v>
          </cell>
        </row>
        <row r="148">
          <cell r="A148">
            <v>30116</v>
          </cell>
          <cell r="B148" t="str">
            <v xml:space="preserve">Escavação manual em rocha, com uso de explosivo e perfuração manual, até 2.00 m de profundidade, em área urbana, serviço terceirizado </v>
          </cell>
          <cell r="C148" t="str">
            <v xml:space="preserve">m3 </v>
          </cell>
          <cell r="D148">
            <v>102.4</v>
          </cell>
        </row>
        <row r="149">
          <cell r="A149">
            <v>30119</v>
          </cell>
          <cell r="B149" t="str">
            <v xml:space="preserve">Apiloamento do fundo de vala com maço de 30 a 60kg </v>
          </cell>
          <cell r="C149" t="str">
            <v xml:space="preserve">m2 </v>
          </cell>
          <cell r="D149">
            <v>11.46</v>
          </cell>
        </row>
        <row r="150">
          <cell r="A150">
            <v>302</v>
          </cell>
          <cell r="B150" t="str">
            <v xml:space="preserve">REATERRO E COMPACTAÇÃO </v>
          </cell>
          <cell r="C150" t="str">
            <v/>
          </cell>
          <cell r="D150" t="str">
            <v/>
          </cell>
        </row>
        <row r="151">
          <cell r="A151">
            <v>30201</v>
          </cell>
          <cell r="B151" t="str">
            <v xml:space="preserve">Reaterro apiloado de cavas de fundação, em camadas de 20 cm </v>
          </cell>
          <cell r="C151" t="str">
            <v xml:space="preserve">m3 </v>
          </cell>
          <cell r="D151">
            <v>23.58</v>
          </cell>
        </row>
        <row r="152">
          <cell r="A152">
            <v>30202</v>
          </cell>
          <cell r="B152" t="str">
            <v xml:space="preserve">Material para aterro (fornecimento) </v>
          </cell>
          <cell r="C152" t="str">
            <v xml:space="preserve">m3 </v>
          </cell>
          <cell r="D152">
            <v>69.180000000000007</v>
          </cell>
        </row>
        <row r="153">
          <cell r="A153">
            <v>30203</v>
          </cell>
          <cell r="B153" t="str">
            <v xml:space="preserve">Lastro de brita 3 e 4, apiloado manualmente </v>
          </cell>
          <cell r="C153" t="str">
            <v xml:space="preserve">m3 </v>
          </cell>
          <cell r="D153">
            <v>84.04</v>
          </cell>
        </row>
        <row r="154">
          <cell r="A154">
            <v>30204</v>
          </cell>
          <cell r="B154" t="str">
            <v xml:space="preserve">Lastro de areia </v>
          </cell>
          <cell r="C154" t="str">
            <v xml:space="preserve">m3 </v>
          </cell>
          <cell r="D154">
            <v>92.76</v>
          </cell>
        </row>
        <row r="155">
          <cell r="A155">
            <v>30206</v>
          </cell>
          <cell r="B155" t="str">
            <v xml:space="preserve">Aterro para regularização do terreno em areia, inclusive adensamento hidráulico e fornecimento do material (máximo de 100m3) </v>
          </cell>
          <cell r="C155" t="str">
            <v xml:space="preserve">m3 </v>
          </cell>
          <cell r="D155">
            <v>63.99</v>
          </cell>
        </row>
        <row r="156">
          <cell r="A156">
            <v>30208</v>
          </cell>
          <cell r="B156" t="str">
            <v xml:space="preserve">Aterro para regularização do terreno em argila, inclusive adensamento manual e fornecimento do material (máximo de 100m3) </v>
          </cell>
          <cell r="C156" t="str">
            <v xml:space="preserve">m3 </v>
          </cell>
          <cell r="D156">
            <v>61.94</v>
          </cell>
        </row>
        <row r="157">
          <cell r="A157">
            <v>30211</v>
          </cell>
          <cell r="B157" t="str">
            <v xml:space="preserve">Reaterro de valas, exclusive compactação </v>
          </cell>
          <cell r="C157" t="str">
            <v xml:space="preserve">m3 </v>
          </cell>
          <cell r="D157">
            <v>3.03</v>
          </cell>
        </row>
        <row r="158">
          <cell r="A158">
            <v>303</v>
          </cell>
          <cell r="B158" t="str">
            <v xml:space="preserve">TRANSPORTES </v>
          </cell>
          <cell r="C158" t="str">
            <v/>
          </cell>
          <cell r="D158" t="str">
            <v/>
          </cell>
        </row>
        <row r="159">
          <cell r="A159">
            <v>30304</v>
          </cell>
          <cell r="B159" t="str">
            <v xml:space="preserve">Índice de preço para remoção de entulho decorrente da execução de obras, incluindo aluguel da caçamba, carga, descarga e transporte </v>
          </cell>
          <cell r="C159" t="str">
            <v xml:space="preserve">m3 </v>
          </cell>
          <cell r="D159">
            <v>24.73</v>
          </cell>
        </row>
        <row r="160">
          <cell r="A160">
            <v>30305</v>
          </cell>
          <cell r="B160" t="str">
            <v xml:space="preserve">Transporte de material encosta acima, serviço inteiramente manual, a 10m de distância, considerados ao longo da encosta, inclusive carga e descarga (txdam) </v>
          </cell>
          <cell r="C160" t="str">
            <v xml:space="preserve">und </v>
          </cell>
          <cell r="D160">
            <v>14.36</v>
          </cell>
        </row>
        <row r="161">
          <cell r="A161">
            <v>30306</v>
          </cell>
          <cell r="B161" t="str">
            <v xml:space="preserve">Transporte de material encosta abaixo, serviço inteiramente manual, a 10m de distância, considerados ao longo da encosta, inclusive carga e descarga (txdam) </v>
          </cell>
          <cell r="C161" t="str">
            <v xml:space="preserve">und </v>
          </cell>
          <cell r="D161">
            <v>6.94</v>
          </cell>
        </row>
        <row r="162">
          <cell r="A162">
            <v>4</v>
          </cell>
          <cell r="B162" t="str">
            <v xml:space="preserve">ESTRUTURAS </v>
          </cell>
          <cell r="C162" t="str">
            <v/>
          </cell>
          <cell r="D162" t="str">
            <v/>
          </cell>
        </row>
        <row r="163">
          <cell r="A163">
            <v>402</v>
          </cell>
          <cell r="B163" t="str">
            <v xml:space="preserve">INFRA-ESTRUTURA (FUNDAÇÃO) </v>
          </cell>
          <cell r="C163" t="str">
            <v/>
          </cell>
          <cell r="D163" t="str">
            <v/>
          </cell>
        </row>
        <row r="164">
          <cell r="A164">
            <v>40202</v>
          </cell>
          <cell r="B164" t="str">
            <v xml:space="preserve">Fornecimento, preparo e aplicação de concreto ciclópico Fck=15MPa com 30% de pedra de mão </v>
          </cell>
          <cell r="C164" t="str">
            <v xml:space="preserve">m3 </v>
          </cell>
          <cell r="D164">
            <v>321.48</v>
          </cell>
        </row>
        <row r="165">
          <cell r="A165">
            <v>40206</v>
          </cell>
          <cell r="B165" t="str">
            <v xml:space="preserve">Forma de tábua de madeira de 2.5 x 30.0 cm para fundações, levando-se em conta a utilização 5 vezes (incluido o material, corte, montagem, escoramento e desfôrma) </v>
          </cell>
          <cell r="C165" t="str">
            <v xml:space="preserve">m2 </v>
          </cell>
          <cell r="D165">
            <v>40.68</v>
          </cell>
        </row>
        <row r="166">
          <cell r="A166">
            <v>40224</v>
          </cell>
          <cell r="B166" t="str">
            <v xml:space="preserve">Fornecimento, preparo e aplicação de concreto Fck = 30 MPa (com brita 1 e 2) - (5% de perdas já incluído no custo) </v>
          </cell>
          <cell r="C166" t="str">
            <v xml:space="preserve">m3 </v>
          </cell>
          <cell r="D166">
            <v>393.01</v>
          </cell>
        </row>
        <row r="167">
          <cell r="A167">
            <v>40226</v>
          </cell>
          <cell r="B167" t="str">
            <v xml:space="preserve">Fornecimento, preparo e aplicação de concreto ciclópico 15 MPa com 30% de adição de pedra de mão </v>
          </cell>
          <cell r="C167" t="str">
            <v xml:space="preserve">m3 </v>
          </cell>
          <cell r="D167">
            <v>285.73</v>
          </cell>
        </row>
        <row r="168">
          <cell r="A168">
            <v>40231</v>
          </cell>
          <cell r="B168" t="str">
            <v xml:space="preserve">Fornecimento, preparo e aplicação de concreto magro com consumo mínimo de cimento de 250 kg/m3 (brita 1 e 2) - (5% de perdas já incluído no custo) </v>
          </cell>
          <cell r="C168" t="str">
            <v xml:space="preserve">m3 </v>
          </cell>
          <cell r="D168">
            <v>323.05</v>
          </cell>
        </row>
        <row r="169">
          <cell r="A169">
            <v>40232</v>
          </cell>
          <cell r="B169" t="str">
            <v xml:space="preserve">Fornecimento, preparo e aplicação de concreto Fck=15 MPa (brita 1) - (5% de perdas já incluído no custo) </v>
          </cell>
          <cell r="C169" t="str">
            <v xml:space="preserve">m3 </v>
          </cell>
          <cell r="D169">
            <v>345.23</v>
          </cell>
        </row>
        <row r="170">
          <cell r="A170">
            <v>40233</v>
          </cell>
          <cell r="B170" t="str">
            <v xml:space="preserve">Fornecimento, preparo e aplicação de concreto Fck=15 MPa (brita 1 e 2) - (5% de perdas já incluído no custo) </v>
          </cell>
          <cell r="C170" t="str">
            <v xml:space="preserve">m3 </v>
          </cell>
          <cell r="D170">
            <v>340.76</v>
          </cell>
        </row>
        <row r="171">
          <cell r="A171">
            <v>40234</v>
          </cell>
          <cell r="B171" t="str">
            <v xml:space="preserve">Fornecimento, preparo e aplicação de concreto Fck=20 MPa (brita 1) - (5% de perdas já incluído no custo) </v>
          </cell>
          <cell r="C171" t="str">
            <v xml:space="preserve">m3 </v>
          </cell>
          <cell r="D171">
            <v>362.73</v>
          </cell>
        </row>
        <row r="172">
          <cell r="A172">
            <v>40235</v>
          </cell>
          <cell r="B172" t="str">
            <v xml:space="preserve">Fornecimento, preparo e aplicação de concreto Fck=20 MPa (brita 1 e 2) - (5% de perdas já incluído no custo) </v>
          </cell>
          <cell r="C172" t="str">
            <v xml:space="preserve">m3 </v>
          </cell>
          <cell r="D172">
            <v>358.13</v>
          </cell>
        </row>
        <row r="173">
          <cell r="A173">
            <v>40236</v>
          </cell>
          <cell r="B173" t="str">
            <v xml:space="preserve">Fornecimento, preparo e aplicação de concreto Fck=25 MPa (brita 1) - (5% de perdas já incluído no custo) </v>
          </cell>
          <cell r="C173" t="str">
            <v xml:space="preserve">m3 </v>
          </cell>
          <cell r="D173">
            <v>383.71</v>
          </cell>
        </row>
        <row r="174">
          <cell r="A174">
            <v>40237</v>
          </cell>
          <cell r="B174" t="str">
            <v xml:space="preserve">Fornecimento, preparo e aplicação de concreto Fck=25 MPa (brita 1 e 2) - (5% de perdas já incluído no custo) </v>
          </cell>
          <cell r="C174" t="str">
            <v xml:space="preserve">m3 </v>
          </cell>
          <cell r="D174">
            <v>377.2</v>
          </cell>
        </row>
        <row r="175">
          <cell r="A175">
            <v>40238</v>
          </cell>
          <cell r="B175" t="str">
            <v xml:space="preserve">Forma de chapa compensada resinada 12mm, levando-se em conta a utilização 3 vezes (incluido o material, corte, montagem, escoramento e desfôrma) </v>
          </cell>
          <cell r="C175" t="str">
            <v xml:space="preserve">m2 </v>
          </cell>
          <cell r="D175">
            <v>40.74</v>
          </cell>
        </row>
        <row r="176">
          <cell r="A176">
            <v>40239</v>
          </cell>
          <cell r="B176" t="str">
            <v xml:space="preserve">Fornecimento e aplicação de concreto USINADO Fck=20 MPa - considerando lançamento MANUAL para INFRA-ESTRUTURA (5% de perdas já incluído no custo) </v>
          </cell>
          <cell r="C176" t="str">
            <v xml:space="preserve">m3 </v>
          </cell>
          <cell r="D176">
            <v>365.11</v>
          </cell>
        </row>
        <row r="177">
          <cell r="A177">
            <v>40240</v>
          </cell>
          <cell r="B177" t="str">
            <v xml:space="preserve">Fornecimento e aplicação de concreto USINADO Fck=25 MPa - considerando lançamento MANUAL para INFRA-ESTRUTURA (5% de perdas já incluído no custo) </v>
          </cell>
          <cell r="C177" t="str">
            <v xml:space="preserve">m3 </v>
          </cell>
          <cell r="D177">
            <v>375.14</v>
          </cell>
        </row>
        <row r="178">
          <cell r="A178">
            <v>40241</v>
          </cell>
          <cell r="B178" t="str">
            <v xml:space="preserve">Forn. e aplicação de concr. USINADO Fck maior ou igual a 30 MPa p/galerias c/consumo mínimo de 424 kg de cimento por m3 de concr. e fator água/cimento 0.45-cons. lançamento MANUAL p/ INFRA-ESTR. (5% de perdas já incluído no custo) </v>
          </cell>
          <cell r="C178" t="str">
            <v xml:space="preserve">m3 </v>
          </cell>
          <cell r="D178">
            <v>426.94</v>
          </cell>
        </row>
        <row r="179">
          <cell r="A179">
            <v>40243</v>
          </cell>
          <cell r="B179" t="str">
            <v xml:space="preserve">Fornecimento, dobragem e colocação em forma, de armadura CA-50 A média, diâmetro de 6.3 a 10.0 mm </v>
          </cell>
          <cell r="C179" t="str">
            <v xml:space="preserve">kg </v>
          </cell>
          <cell r="D179">
            <v>7.55</v>
          </cell>
        </row>
        <row r="180">
          <cell r="A180">
            <v>40245</v>
          </cell>
          <cell r="B180" t="str">
            <v xml:space="preserve">Fornecimento, dobragem e colocação em fôrma, de armadura CA-50 A grossa diâmetro de 12.5 a 25.0 mm (1/2 a 1") </v>
          </cell>
          <cell r="C180" t="str">
            <v xml:space="preserve">kg </v>
          </cell>
          <cell r="D180">
            <v>6.86</v>
          </cell>
        </row>
        <row r="181">
          <cell r="A181">
            <v>40246</v>
          </cell>
          <cell r="B181" t="str">
            <v xml:space="preserve">Fornecimento, dobragem e colocação em fôrma, de armadura CA-60 B fina, diâmetro de 4.0 a 7.0mm </v>
          </cell>
          <cell r="C181" t="str">
            <v xml:space="preserve">kg </v>
          </cell>
          <cell r="D181">
            <v>7.18</v>
          </cell>
        </row>
        <row r="182">
          <cell r="A182">
            <v>40249</v>
          </cell>
          <cell r="B182" t="str">
            <v xml:space="preserve">Forma de tábua de madeira de 2.5x30.0cm, levando-se em conta utilização 1 vez (incluindo o material, corte, montagem, escoramento e desforma) </v>
          </cell>
          <cell r="C182" t="str">
            <v xml:space="preserve">m2 </v>
          </cell>
          <cell r="D182">
            <v>80.63</v>
          </cell>
        </row>
        <row r="183">
          <cell r="A183">
            <v>40250</v>
          </cell>
          <cell r="B183" t="str">
            <v xml:space="preserve">Forma de tábua de madeira de 2.5x30.0cm, levando-se em conta utilização 3 vezes (incluindo o material, corte, montagem, escoramento e desforma) </v>
          </cell>
          <cell r="C183" t="str">
            <v xml:space="preserve">m2 </v>
          </cell>
          <cell r="D183">
            <v>54.12</v>
          </cell>
        </row>
        <row r="184">
          <cell r="A184">
            <v>403</v>
          </cell>
          <cell r="B184" t="str">
            <v xml:space="preserve">SUPER-ESTRUTURA </v>
          </cell>
          <cell r="C184" t="str">
            <v/>
          </cell>
          <cell r="D184" t="str">
            <v/>
          </cell>
        </row>
        <row r="185">
          <cell r="A185">
            <v>40304</v>
          </cell>
          <cell r="B185" t="str">
            <v xml:space="preserve">Fôrma chapas de madeira compensada resinada, de 12 mm de espessura, levando-se em conta a utilização 3 vezes, reforçadas com sarrafos de madeira de 2.5 x 10.0 cm (incl. material, montagem, escoramento com pontalete 8x8cm e desf.) </v>
          </cell>
          <cell r="C185" t="str">
            <v xml:space="preserve">m2 </v>
          </cell>
          <cell r="D185">
            <v>76.97</v>
          </cell>
        </row>
        <row r="186">
          <cell r="A186">
            <v>40315</v>
          </cell>
          <cell r="B186" t="str">
            <v xml:space="preserve">Fornecimento, preparo e aplicação de concreto Fck = 30 MPa (com brita 1 e 2) - (5% de perdas já incluído no custo) </v>
          </cell>
          <cell r="C186" t="str">
            <v xml:space="preserve">m3 </v>
          </cell>
          <cell r="D186">
            <v>436.07</v>
          </cell>
        </row>
        <row r="187">
          <cell r="A187">
            <v>40319</v>
          </cell>
          <cell r="B187" t="str">
            <v xml:space="preserve">Fornecimento, preparo e aplicação de concreto Fck=15 MPa (brita 1) - (5% de perdas já incluído no custo) </v>
          </cell>
          <cell r="C187" t="str">
            <v xml:space="preserve">m3 </v>
          </cell>
          <cell r="D187">
            <v>388.29</v>
          </cell>
        </row>
        <row r="188">
          <cell r="A188">
            <v>40320</v>
          </cell>
          <cell r="B188" t="str">
            <v xml:space="preserve">Fornecimento, preparo e aplicação de concreto Fck=15 MPa (brita 1 e 2) - (5% de perdas já incluído no custo) </v>
          </cell>
          <cell r="C188" t="str">
            <v xml:space="preserve">m3 </v>
          </cell>
          <cell r="D188">
            <v>383.82</v>
          </cell>
        </row>
        <row r="189">
          <cell r="A189">
            <v>40321</v>
          </cell>
          <cell r="B189" t="str">
            <v xml:space="preserve">Fornecimento, preparo e aplicação de concreto Fck=20 MPa (brita 1) - (5% de perdas já incluído no custo) </v>
          </cell>
          <cell r="C189" t="str">
            <v xml:space="preserve">m3 </v>
          </cell>
          <cell r="D189">
            <v>405.79</v>
          </cell>
        </row>
        <row r="190">
          <cell r="A190">
            <v>40322</v>
          </cell>
          <cell r="B190" t="str">
            <v xml:space="preserve">Fornecimento, preparo e aplicação de concreto Fck=20 MPa (brita 1 e 2) - (5% de perdas já incluído no custo) </v>
          </cell>
          <cell r="C190" t="str">
            <v xml:space="preserve">m3 </v>
          </cell>
          <cell r="D190">
            <v>401.19</v>
          </cell>
        </row>
        <row r="191">
          <cell r="A191">
            <v>40323</v>
          </cell>
          <cell r="B191" t="str">
            <v xml:space="preserve">Fornecimento, preparo e aplicação de concreto Fck=25 MPa (brita 1) - (5% de perdas já incluído no custo) </v>
          </cell>
          <cell r="C191" t="str">
            <v xml:space="preserve">m3 </v>
          </cell>
          <cell r="D191">
            <v>426.76</v>
          </cell>
        </row>
        <row r="192">
          <cell r="A192">
            <v>40324</v>
          </cell>
          <cell r="B192" t="str">
            <v xml:space="preserve">Fornecimento, preparo e aplicação de concreto Fck=25 MPa (brita 1 e 2) - (5% de perdas já incluído no custo) </v>
          </cell>
          <cell r="C192" t="str">
            <v xml:space="preserve">m3 </v>
          </cell>
          <cell r="D192">
            <v>420.26</v>
          </cell>
        </row>
        <row r="193">
          <cell r="A193">
            <v>40328</v>
          </cell>
          <cell r="B193" t="str">
            <v xml:space="preserve">Fornecimento, dobragem e colocação em fôrma, de armadura CA-50 A média, diâmetro de 6.3 a 10.0 mm </v>
          </cell>
          <cell r="C193" t="str">
            <v xml:space="preserve">kg </v>
          </cell>
          <cell r="D193">
            <v>7.55</v>
          </cell>
        </row>
        <row r="194">
          <cell r="A194">
            <v>40329</v>
          </cell>
          <cell r="B194" t="str">
            <v xml:space="preserve">Fornecimento e aplicação de concreto USINADO Fck=20 MPa - considerando BOMBEAMENTO (5% de perdas já incluído no custo) (6% de taxa p/concr.bombeavel) </v>
          </cell>
          <cell r="C194" t="str">
            <v xml:space="preserve">m3 </v>
          </cell>
          <cell r="D194">
            <v>363.11</v>
          </cell>
        </row>
        <row r="195">
          <cell r="A195">
            <v>40330</v>
          </cell>
          <cell r="B195" t="str">
            <v xml:space="preserve">Fornecimento e aplicação de concreto USINADO Fck=25 MPa - considerando BOMBEAMENTO (5% de perdas já incluído no custo) (6% de taxa p/concr.bombeavel) </v>
          </cell>
          <cell r="C195" t="str">
            <v xml:space="preserve">m3 </v>
          </cell>
          <cell r="D195">
            <v>373.72</v>
          </cell>
        </row>
        <row r="196">
          <cell r="A196">
            <v>40332</v>
          </cell>
          <cell r="B196" t="str">
            <v xml:space="preserve">Fornecimento, dobragem e colocação em fôrma, de armadura CA-50 A grossa, diâmetro de 12.5 a 25.0mm </v>
          </cell>
          <cell r="C196" t="str">
            <v xml:space="preserve">kg </v>
          </cell>
          <cell r="D196">
            <v>6.86</v>
          </cell>
        </row>
        <row r="197">
          <cell r="A197">
            <v>40333</v>
          </cell>
          <cell r="B197" t="str">
            <v xml:space="preserve">Fornecimento, dobragem e colocação em forma, de armadura CA-60 B fina, diâmetro de 4.0 a 7.0mm </v>
          </cell>
          <cell r="C197" t="str">
            <v xml:space="preserve">kg </v>
          </cell>
          <cell r="D197">
            <v>7.18</v>
          </cell>
        </row>
        <row r="198">
          <cell r="A198">
            <v>40336</v>
          </cell>
          <cell r="B198" t="str">
            <v xml:space="preserve">Forma de tábua de madeira de 2.5 x 30.0cm, levando-se em conta utilização 2 vezes </v>
          </cell>
          <cell r="C198" t="str">
            <v xml:space="preserve">m2 </v>
          </cell>
          <cell r="D198">
            <v>94.64</v>
          </cell>
        </row>
        <row r="199">
          <cell r="A199">
            <v>40337</v>
          </cell>
          <cell r="B199" t="str">
            <v xml:space="preserve">Fôrma em chapa de madeira compensada plastificada 12mm para estrutura em geral, 5 reaproveitamentos, reforçada com sarrafos de madeira 2.5x10cm (incl material, corte, montagem, escoras em eucalipto e desforma) </v>
          </cell>
          <cell r="C199" t="str">
            <v xml:space="preserve">m2 </v>
          </cell>
          <cell r="D199">
            <v>55.18</v>
          </cell>
        </row>
        <row r="200">
          <cell r="A200">
            <v>40339</v>
          </cell>
          <cell r="B200" t="str">
            <v xml:space="preserve">Forma de chapas madeira compensada resinada, esp. 12mm, levando-se em conta a utilização 3 vezes, reforçadas com sarrafos de madeira de 2.5 x 10.0cm (incl material, corte, montagem, escoras em eucalipto e desforma) </v>
          </cell>
          <cell r="C200" t="str">
            <v xml:space="preserve">m2 </v>
          </cell>
          <cell r="D200">
            <v>63.53</v>
          </cell>
        </row>
        <row r="201">
          <cell r="A201">
            <v>404</v>
          </cell>
          <cell r="B201" t="str">
            <v xml:space="preserve">ESTRUTURAS DE CONCRETO APARENTE </v>
          </cell>
          <cell r="C201" t="str">
            <v/>
          </cell>
          <cell r="D201" t="str">
            <v/>
          </cell>
        </row>
        <row r="202">
          <cell r="A202">
            <v>40405</v>
          </cell>
          <cell r="B202" t="str">
            <v xml:space="preserve">Forma com chapa compensada plastificada esp. 12mm, utilização 5 vezes </v>
          </cell>
          <cell r="C202" t="str">
            <v xml:space="preserve">m2 </v>
          </cell>
          <cell r="D202">
            <v>64.650000000000006</v>
          </cell>
        </row>
        <row r="203">
          <cell r="A203">
            <v>406</v>
          </cell>
          <cell r="B203" t="str">
            <v xml:space="preserve">LAJES PRÉ-MOLDADAS </v>
          </cell>
          <cell r="C203" t="str">
            <v/>
          </cell>
          <cell r="D203" t="str">
            <v/>
          </cell>
        </row>
        <row r="204">
          <cell r="A204">
            <v>40601</v>
          </cell>
          <cell r="B204" t="str">
            <v xml:space="preserve">Laje pré-moldada para forro simples revestido, vão até 3.5m, capeamento 2cm, esp. 10cm, Fck = 150Kg/cm2 </v>
          </cell>
          <cell r="C204" t="str">
            <v xml:space="preserve">m2 </v>
          </cell>
          <cell r="D204">
            <v>62.11</v>
          </cell>
        </row>
        <row r="205">
          <cell r="A205">
            <v>40602</v>
          </cell>
          <cell r="B205" t="str">
            <v xml:space="preserve">Laje pré-moldada, sobrecarga 300 Kg/m2, vão de 3.5m a 4.3m, capeamento 4cm, esp. 12cm, Fck = 150 Kg/cm2 </v>
          </cell>
          <cell r="C205" t="str">
            <v xml:space="preserve">m2 </v>
          </cell>
          <cell r="D205">
            <v>74.87</v>
          </cell>
        </row>
        <row r="206">
          <cell r="A206">
            <v>40603</v>
          </cell>
          <cell r="B206" t="str">
            <v xml:space="preserve">Laje pré-moldada, sobrecarga 300 Kg/m2, vão de 5.0m a 5.7m, capeamento 4cm, esp. 16cm, Fck = 150 Kg/cm2 </v>
          </cell>
          <cell r="C206" t="str">
            <v xml:space="preserve">m2 </v>
          </cell>
          <cell r="D206">
            <v>98.21</v>
          </cell>
        </row>
        <row r="207">
          <cell r="A207">
            <v>40604</v>
          </cell>
          <cell r="B207" t="str">
            <v xml:space="preserve">Laje pré-moldada, sobrecarga 300 Kg/m2, vão de 5.7m a 6.8m, capeamento 4cm, esp. 20cm, Fck = 150 Kg/cm2 </v>
          </cell>
          <cell r="C207" t="str">
            <v xml:space="preserve">m2 </v>
          </cell>
          <cell r="D207">
            <v>113.95</v>
          </cell>
        </row>
        <row r="208">
          <cell r="A208">
            <v>408</v>
          </cell>
          <cell r="B208" t="str">
            <v xml:space="preserve">RECUPERAÇÃO DE ESTRUTURAS </v>
          </cell>
          <cell r="C208" t="str">
            <v/>
          </cell>
          <cell r="D208" t="str">
            <v/>
          </cell>
        </row>
        <row r="209">
          <cell r="A209">
            <v>40801</v>
          </cell>
          <cell r="B209" t="str">
            <v xml:space="preserve">Remoção cuidadosa do concreto afetado, através de escarificação </v>
          </cell>
          <cell r="C209" t="str">
            <v xml:space="preserve">m3 </v>
          </cell>
          <cell r="D209">
            <v>1141.9100000000001</v>
          </cell>
        </row>
        <row r="210">
          <cell r="A210">
            <v>40802</v>
          </cell>
          <cell r="B210" t="str">
            <v xml:space="preserve">Remoção cuidadosa do concreto afetado, através de escarificação (considerando esp. escarificada de 5cm) </v>
          </cell>
          <cell r="C210" t="str">
            <v xml:space="preserve">m2 </v>
          </cell>
          <cell r="D210">
            <v>57.09</v>
          </cell>
        </row>
        <row r="211">
          <cell r="A211">
            <v>40803</v>
          </cell>
          <cell r="B211" t="str">
            <v xml:space="preserve">Apicoamento de concreto </v>
          </cell>
          <cell r="C211" t="str">
            <v xml:space="preserve">m2 </v>
          </cell>
          <cell r="D211">
            <v>25.69</v>
          </cell>
        </row>
        <row r="212">
          <cell r="A212">
            <v>40806</v>
          </cell>
          <cell r="B212" t="str">
            <v xml:space="preserve">Limpeza de aço com lixamento e escovamento com escova de aço, até a completa remoção de partículas soltas, materiais indesejáveis e corrosão </v>
          </cell>
          <cell r="C212" t="str">
            <v xml:space="preserve">m2 </v>
          </cell>
          <cell r="D212">
            <v>10.11</v>
          </cell>
        </row>
        <row r="213">
          <cell r="A213">
            <v>40807</v>
          </cell>
          <cell r="B213" t="str">
            <v xml:space="preserve">Aplicação de Sika Top 108 Armatec ou equivalente, nas ferragens a serem recuperadas </v>
          </cell>
          <cell r="C213" t="str">
            <v xml:space="preserve">m2 </v>
          </cell>
          <cell r="D213">
            <v>45.56</v>
          </cell>
        </row>
        <row r="214">
          <cell r="A214">
            <v>40808</v>
          </cell>
          <cell r="B214" t="str">
            <v xml:space="preserve">Retirada de ferragem corroída </v>
          </cell>
          <cell r="C214" t="str">
            <v xml:space="preserve">kg </v>
          </cell>
          <cell r="D214">
            <v>2.04</v>
          </cell>
        </row>
        <row r="215">
          <cell r="A215">
            <v>40809</v>
          </cell>
          <cell r="B215" t="str">
            <v xml:space="preserve">Recomposição de concreto danificado, com utilização de argamassa Sika Grout ou equivalente (considerando esp. 5cm) </v>
          </cell>
          <cell r="C215" t="str">
            <v xml:space="preserve">m2 </v>
          </cell>
          <cell r="D215">
            <v>212.92</v>
          </cell>
        </row>
        <row r="216">
          <cell r="A216">
            <v>40810</v>
          </cell>
          <cell r="B216" t="str">
            <v xml:space="preserve">Recomposição de concreto danificado, com utilização de argamassa Sika Grout ou equivalente </v>
          </cell>
          <cell r="C216" t="str">
            <v xml:space="preserve">m3 </v>
          </cell>
          <cell r="D216">
            <v>3950.72</v>
          </cell>
        </row>
        <row r="217">
          <cell r="A217">
            <v>40813</v>
          </cell>
          <cell r="B217" t="str">
            <v xml:space="preserve">Impermeabilização de estrutura com Sika Top 107 ou equivalente </v>
          </cell>
          <cell r="C217" t="str">
            <v xml:space="preserve">m2 </v>
          </cell>
          <cell r="D217">
            <v>42.34</v>
          </cell>
        </row>
        <row r="218">
          <cell r="A218">
            <v>40814</v>
          </cell>
          <cell r="B218" t="str">
            <v xml:space="preserve">Revestimento externo com argamassa corretiva tipo Sika Top 121 ou equivalente, esp. 5mm </v>
          </cell>
          <cell r="C218" t="str">
            <v xml:space="preserve">m2 </v>
          </cell>
          <cell r="D218">
            <v>94.07</v>
          </cell>
        </row>
        <row r="219">
          <cell r="A219">
            <v>40816</v>
          </cell>
          <cell r="B219" t="str">
            <v xml:space="preserve">Aplicação de Oxiprimer ou equivalente, nas ferragens a serem recuperadas </v>
          </cell>
          <cell r="C219" t="str">
            <v xml:space="preserve">m2 </v>
          </cell>
          <cell r="D219">
            <v>14.3</v>
          </cell>
        </row>
        <row r="220">
          <cell r="A220">
            <v>40817</v>
          </cell>
          <cell r="B220" t="str">
            <v xml:space="preserve">Fornecimento e lançamento de concreto para grouteamento com adição de pedrisco (50% em peso), utilizando Sikagrout ou produto equivalente, exclusive forma </v>
          </cell>
          <cell r="C220" t="str">
            <v xml:space="preserve">m3 </v>
          </cell>
          <cell r="D220">
            <v>1734.87</v>
          </cell>
        </row>
        <row r="221">
          <cell r="A221">
            <v>409</v>
          </cell>
          <cell r="B221" t="str">
            <v xml:space="preserve">MURO DE ARRIMO (Conc. ciclópico 15MPa c/ 30% de pedra de mão, c/ forn., preparo e aplicação de concreto, forma de tábua pinho-reap.5 vezes, exclusive escav. e reaterro) seções tipicas nas seguintes dimensões: </v>
          </cell>
          <cell r="C221" t="str">
            <v/>
          </cell>
          <cell r="D221" t="str">
            <v/>
          </cell>
        </row>
        <row r="222">
          <cell r="A222">
            <v>40901</v>
          </cell>
          <cell r="B222" t="str">
            <v xml:space="preserve">b=0.40m; B=0.70m e H=1.00m </v>
          </cell>
          <cell r="C222" t="str">
            <v xml:space="preserve">m </v>
          </cell>
          <cell r="D222">
            <v>292.33999999999997</v>
          </cell>
        </row>
        <row r="223">
          <cell r="A223">
            <v>40902</v>
          </cell>
          <cell r="B223" t="str">
            <v xml:space="preserve">b=0.40m; B=0.90m e H=1,50m </v>
          </cell>
          <cell r="C223" t="str">
            <v xml:space="preserve">m </v>
          </cell>
          <cell r="D223">
            <v>481.23</v>
          </cell>
        </row>
        <row r="224">
          <cell r="A224">
            <v>40903</v>
          </cell>
          <cell r="B224" t="str">
            <v xml:space="preserve">b=0.40m; B=1.05m e H=2.00m </v>
          </cell>
          <cell r="C224" t="str">
            <v xml:space="preserve">m </v>
          </cell>
          <cell r="D224">
            <v>691.29</v>
          </cell>
        </row>
        <row r="225">
          <cell r="A225">
            <v>40904</v>
          </cell>
          <cell r="B225" t="str">
            <v xml:space="preserve">b=0.40m; B=1.23 e H=2.50m </v>
          </cell>
          <cell r="C225" t="str">
            <v xml:space="preserve">m </v>
          </cell>
          <cell r="D225">
            <v>922.82</v>
          </cell>
        </row>
        <row r="226">
          <cell r="A226">
            <v>5</v>
          </cell>
          <cell r="B226" t="str">
            <v xml:space="preserve">PAREDES E PAINÉIS </v>
          </cell>
          <cell r="C226" t="str">
            <v/>
          </cell>
          <cell r="D226" t="str">
            <v/>
          </cell>
        </row>
        <row r="227">
          <cell r="A227">
            <v>501</v>
          </cell>
          <cell r="B227" t="str">
            <v xml:space="preserve">ALVENARIA DE VEDAÇÃO </v>
          </cell>
          <cell r="C227" t="str">
            <v/>
          </cell>
          <cell r="D227" t="str">
            <v/>
          </cell>
        </row>
        <row r="228">
          <cell r="A228">
            <v>50101</v>
          </cell>
          <cell r="B228" t="str">
            <v xml:space="preserve">(**)Alvenaria de blocos cerâmicos 10 furos 10x20x20cm, assentados com argamassa de cimento, barro e areia no traço 1:1:5.5, espessura das juntas 12mm e esp. das paredes, sem revestimento, 10 cm </v>
          </cell>
          <cell r="C228" t="str">
            <v xml:space="preserve">m2 </v>
          </cell>
          <cell r="D228">
            <v>30.64</v>
          </cell>
        </row>
        <row r="229">
          <cell r="A229">
            <v>50102</v>
          </cell>
          <cell r="B229" t="str">
            <v xml:space="preserve">(**)Alvenaria de blocos cerâmicos 10 furos 10x20x20cm, assentados com argamassa de cimento, barro e areia no traço 1:1:5.5, espessura das juntas 12mm e esp. das paredes, sem revestimento, 20 cm </v>
          </cell>
          <cell r="C229" t="str">
            <v xml:space="preserve">m2 </v>
          </cell>
          <cell r="D229">
            <v>53.98</v>
          </cell>
        </row>
        <row r="230">
          <cell r="A230">
            <v>50103</v>
          </cell>
          <cell r="B230" t="str">
            <v xml:space="preserve">(**)Alvenaria de blocos de concreto 9x19x39cm, c/ resist. mínimo a compres. 2.5 MPa, assent. c/ arg. de cimento, barro e areia no traço 1:1:5.5 esp. das juntas 10mm e esp. das paredes, s/ rev. 9cm </v>
          </cell>
          <cell r="C230" t="str">
            <v xml:space="preserve">m2 </v>
          </cell>
          <cell r="D230">
            <v>27.6</v>
          </cell>
        </row>
        <row r="231">
          <cell r="A231">
            <v>50104</v>
          </cell>
          <cell r="B231" t="str">
            <v xml:space="preserve">(**)Alvenaria de blocos de concreto 14x19x39cm, c/ resist. mínima a compressão 2.5MPa, assent. c/ arg. de cimento, barro e areia no traço 1:1:5.5 esp. das juntas 10mm e esp. paredes, s/ rev.,14cm </v>
          </cell>
          <cell r="C231" t="str">
            <v xml:space="preserve">m2 </v>
          </cell>
          <cell r="D231">
            <v>36.950000000000003</v>
          </cell>
        </row>
        <row r="232">
          <cell r="A232">
            <v>50105</v>
          </cell>
          <cell r="B232" t="str">
            <v xml:space="preserve">(**)Alvenaria de blocos de concreto 19x19x39cm, c/ resist. mínima compressão 2.5MPa, assentados c/ arg. de cimento, barro e areia no traço 1:1:5.5 esp.das juntas 10mm e esp. paredes, s/ rev., 19cm </v>
          </cell>
          <cell r="C232" t="str">
            <v xml:space="preserve">m2 </v>
          </cell>
          <cell r="D232">
            <v>44.48</v>
          </cell>
        </row>
        <row r="233">
          <cell r="A233">
            <v>50106</v>
          </cell>
          <cell r="B233" t="str">
            <v xml:space="preserve">(**)Alvenaria de tijolos cerâmicos maciços aparentes 8x12x24cm, assentados c/ argam. de cimento, barro e areia no traço 1:1:5.5, juntas de 10mm e esp. parede 12 cm, incl. limp. e rebaix.das juntas </v>
          </cell>
          <cell r="C233" t="str">
            <v xml:space="preserve">m2 </v>
          </cell>
          <cell r="D233">
            <v>78.72</v>
          </cell>
        </row>
        <row r="234">
          <cell r="A234">
            <v>50107</v>
          </cell>
          <cell r="B234" t="str">
            <v xml:space="preserve">(**)Alvenaria c/ cobogós cerâmicos 07x18x18cm assentados com argamassa de cimento , barro e areia no traço 1:1:5.5, esp. das juntas de 12mm e esp. das paredes 07cm </v>
          </cell>
          <cell r="C234" t="str">
            <v xml:space="preserve">m2 </v>
          </cell>
          <cell r="D234">
            <v>55.28</v>
          </cell>
        </row>
        <row r="235">
          <cell r="A235">
            <v>50111</v>
          </cell>
          <cell r="B235" t="str">
            <v xml:space="preserve">Cobogó de concreto tipo cruzeta 10x30x30 cm, assentados com argamassa de cimento e areia no traço 1:4, espessura das juntas 10mm e espessura da parede 10 cm </v>
          </cell>
          <cell r="C235" t="str">
            <v xml:space="preserve">m2 </v>
          </cell>
          <cell r="D235">
            <v>60.97</v>
          </cell>
        </row>
        <row r="236">
          <cell r="A236">
            <v>50112</v>
          </cell>
          <cell r="B236" t="str">
            <v xml:space="preserve">Cobogó de concreto 40 x 40 x 10 cm , assentados com argamassa de cimento e areia no traço 1:3, espessura das juntas 15 mm </v>
          </cell>
          <cell r="C236" t="str">
            <v xml:space="preserve">m2 </v>
          </cell>
          <cell r="D236">
            <v>64.06</v>
          </cell>
        </row>
        <row r="237">
          <cell r="A237">
            <v>50113</v>
          </cell>
          <cell r="B237" t="str">
            <v xml:space="preserve">Cobogó de concreto tipo cruzeta 15x30x30 cm, assentados com argamassa de cimento e areia no traço 1:4, espessura das juntas 10mm e espessura da parede 15 cm </v>
          </cell>
          <cell r="C237" t="str">
            <v xml:space="preserve">m2 </v>
          </cell>
          <cell r="D237">
            <v>72.95</v>
          </cell>
        </row>
        <row r="238">
          <cell r="A238">
            <v>50114</v>
          </cell>
          <cell r="B238" t="str">
            <v xml:space="preserve">Cobogó de concreto tipo cruzeta 20x30x30 cm, assentados com argamassa de cimento e areia no traço 1:4, espessura das juntas 10mm e espessura da parede 20 cm </v>
          </cell>
          <cell r="C238" t="str">
            <v xml:space="preserve">m2 </v>
          </cell>
          <cell r="D238">
            <v>91.38</v>
          </cell>
        </row>
        <row r="239">
          <cell r="A239">
            <v>50115</v>
          </cell>
          <cell r="B239" t="str">
            <v xml:space="preserve">Alvenaria em bloco de pedra argamassada com cimento e areia no traço 1:3 </v>
          </cell>
          <cell r="C239" t="str">
            <v xml:space="preserve">m3 </v>
          </cell>
          <cell r="D239">
            <v>242.12</v>
          </cell>
        </row>
        <row r="240">
          <cell r="A240">
            <v>50122</v>
          </cell>
          <cell r="B240" t="str">
            <v xml:space="preserve">Cobogó de concreto tipo cruzeta de 20 x 20 x 10 cm, assentado com argamassa de cimento, cal hidratada e areia no traço1:0,5:5, espessura das juntas de 10mm e espessura de parede 10cm </v>
          </cell>
          <cell r="C240" t="str">
            <v xml:space="preserve">m2 </v>
          </cell>
          <cell r="D240">
            <v>55.54</v>
          </cell>
        </row>
        <row r="241">
          <cell r="A241">
            <v>50129</v>
          </cell>
          <cell r="B241" t="str">
            <v xml:space="preserve">(**)Alv. blocos cerâmicos 10 furos 10x20x20cm, assentados c/arg. cimento, barro e areia traço 1:1:5.5, esp. juntas 12mm e esp. das paredes, s/revest., 10cm (bloco comprado na praça de Vitória, posto obra) </v>
          </cell>
          <cell r="C241" t="str">
            <v xml:space="preserve">m2 </v>
          </cell>
          <cell r="D241">
            <v>30.64</v>
          </cell>
        </row>
        <row r="242">
          <cell r="A242">
            <v>50130</v>
          </cell>
          <cell r="B242" t="str">
            <v xml:space="preserve">(**)Alv. blocos cerâmicos 10 furos 10x20x20cm, assentados c/arg. cimento, barro e areia traço 1:1:5.5, esp. juntas 12mm e esp. das paredes s/revest., 10cm (bloco comprado na fábrica, posto obra) </v>
          </cell>
          <cell r="C242" t="str">
            <v xml:space="preserve">m2 </v>
          </cell>
          <cell r="D242">
            <v>27.12</v>
          </cell>
        </row>
        <row r="243">
          <cell r="A243">
            <v>50131</v>
          </cell>
          <cell r="B243" t="str">
            <v xml:space="preserve">(**)Alv. blocos cerâmicos 10 furos 10x20x20cm, assentados c/arg. cimento, barro e areia traço 1:1:5.5, esp. juntas 12mm e esp. das paredes, s/revest., 20cm (bloco comprado na praça de Vitória, posto obra) </v>
          </cell>
          <cell r="C243" t="str">
            <v xml:space="preserve">m2 </v>
          </cell>
          <cell r="D243">
            <v>53.98</v>
          </cell>
        </row>
        <row r="244">
          <cell r="A244">
            <v>50132</v>
          </cell>
          <cell r="B244" t="str">
            <v xml:space="preserve">(**)Alv. blocos cerâmicos 10 furos 10x20x20cm, assentados c/arg. cimento, barro e areia traço 1:1:5.5, esp. juntas 12mm e esp. das paredes, s/revest. 20cm (bloco comprado na fábrica, posto obra) </v>
          </cell>
          <cell r="C244" t="str">
            <v xml:space="preserve">m2 </v>
          </cell>
          <cell r="D244">
            <v>47.36</v>
          </cell>
        </row>
        <row r="245">
          <cell r="A245">
            <v>50141</v>
          </cell>
          <cell r="B245" t="str">
            <v xml:space="preserve">Cobogó de concreto 50 x 50 x 7 cm, assentado com argamassa de cimento e areia no traço 1:3, espessura das juntas 15cm </v>
          </cell>
          <cell r="C245" t="str">
            <v xml:space="preserve">m2 </v>
          </cell>
          <cell r="D245">
            <v>57.48</v>
          </cell>
        </row>
        <row r="246">
          <cell r="A246">
            <v>502</v>
          </cell>
          <cell r="B246" t="str">
            <v xml:space="preserve">PLACAS E PAINÉIS DIVISÓRIOS </v>
          </cell>
          <cell r="C246" t="str">
            <v/>
          </cell>
          <cell r="D246" t="str">
            <v/>
          </cell>
        </row>
        <row r="247">
          <cell r="A247">
            <v>50201</v>
          </cell>
          <cell r="B247" t="str">
            <v xml:space="preserve">Divisória de granilite com 3 cm de espessura, assentada com argamassa de cimento e areia no traço 1:3 </v>
          </cell>
          <cell r="C247" t="str">
            <v xml:space="preserve">m2 </v>
          </cell>
          <cell r="D247">
            <v>123.12</v>
          </cell>
        </row>
        <row r="248">
          <cell r="A248">
            <v>50202</v>
          </cell>
          <cell r="B248" t="str">
            <v xml:space="preserve">Fornecimento e instalação de divisórias novas com acabamento de chapa de fibra de madeira, sistema de montagem simplificado, espessura de 35mm e miolo em colméia no padrão painel/painel </v>
          </cell>
          <cell r="C248" t="str">
            <v xml:space="preserve">m2 </v>
          </cell>
          <cell r="D248">
            <v>64.900000000000006</v>
          </cell>
        </row>
        <row r="249">
          <cell r="A249">
            <v>50203</v>
          </cell>
          <cell r="B249" t="str">
            <v xml:space="preserve">Fornecimento e instalação de porta para divisória de 80 X 210 cm incluindo dobradiças e fechadura interna </v>
          </cell>
          <cell r="C249" t="str">
            <v xml:space="preserve">und </v>
          </cell>
          <cell r="D249">
            <v>228.61</v>
          </cell>
        </row>
        <row r="250">
          <cell r="A250">
            <v>50205</v>
          </cell>
          <cell r="B250" t="str">
            <v xml:space="preserve">Divisória de granito cinza andorinha com 3 cm de espessura, assentada com argamassa de cimento e areia no traço 1:3, na cor cinza </v>
          </cell>
          <cell r="C250" t="str">
            <v xml:space="preserve">m2 </v>
          </cell>
          <cell r="D250">
            <v>282.56</v>
          </cell>
        </row>
        <row r="251">
          <cell r="A251">
            <v>50206</v>
          </cell>
          <cell r="B251" t="str">
            <v xml:space="preserve">Divisória de granito cinza andorinha com 3 cm de espessura, fixada com cantoneira de ferro cromado </v>
          </cell>
          <cell r="C251" t="str">
            <v xml:space="preserve">m2 </v>
          </cell>
          <cell r="D251">
            <v>266.76</v>
          </cell>
        </row>
        <row r="252">
          <cell r="A252">
            <v>50208</v>
          </cell>
          <cell r="B252" t="str">
            <v xml:space="preserve">Assentamento de divisória de mármore ou granito com 3 cm de espessura, empregando argamassa de cimento e areia no traço 1:3, exclusive fornecimento da divisória </v>
          </cell>
          <cell r="C252" t="str">
            <v xml:space="preserve">m2 </v>
          </cell>
          <cell r="D252">
            <v>56.82</v>
          </cell>
        </row>
        <row r="253">
          <cell r="A253">
            <v>50209</v>
          </cell>
          <cell r="B253" t="str">
            <v xml:space="preserve">Divisória em madeirit esp. 6mm, duas faces, com estrutura de madeira paraju de 4x5cm, incl. pintura pva sobre massa </v>
          </cell>
          <cell r="C253" t="str">
            <v xml:space="preserve">m2 </v>
          </cell>
          <cell r="D253">
            <v>101.02</v>
          </cell>
        </row>
        <row r="254">
          <cell r="A254">
            <v>50210</v>
          </cell>
          <cell r="B254" t="str">
            <v xml:space="preserve">Divisória em concreto armado aparente com espessura de 5cm </v>
          </cell>
          <cell r="C254" t="str">
            <v xml:space="preserve">m2 </v>
          </cell>
          <cell r="D254">
            <v>76.22</v>
          </cell>
        </row>
        <row r="255">
          <cell r="A255">
            <v>50211</v>
          </cell>
          <cell r="B255" t="str">
            <v xml:space="preserve">Divisória de mármore branco com 3 cm de espessura, assentada com argamassa de cimento e areia no traço 1:3 </v>
          </cell>
          <cell r="C255" t="str">
            <v xml:space="preserve">m2 </v>
          </cell>
          <cell r="D255">
            <v>270.22000000000003</v>
          </cell>
        </row>
        <row r="256">
          <cell r="A256">
            <v>503</v>
          </cell>
          <cell r="B256" t="str">
            <v xml:space="preserve">VERGAS/CONTRAVERGA </v>
          </cell>
          <cell r="C256" t="str">
            <v/>
          </cell>
          <cell r="D256" t="str">
            <v/>
          </cell>
        </row>
        <row r="257">
          <cell r="A257">
            <v>50301</v>
          </cell>
          <cell r="B257" t="str">
            <v xml:space="preserve">Verga/contraverga reta de concreto armado 10 x 5 cm, Fck = 15 MPa, inclusive forma, armação e desforma </v>
          </cell>
          <cell r="C257" t="str">
            <v xml:space="preserve">m </v>
          </cell>
          <cell r="D257">
            <v>5.49</v>
          </cell>
        </row>
        <row r="258">
          <cell r="A258">
            <v>50303</v>
          </cell>
          <cell r="B258" t="str">
            <v xml:space="preserve">Verga/contraverga curva de concreto armado 10 x 5 cm, Fck = 15 MPa, inclusive forma, armação e desforma </v>
          </cell>
          <cell r="C258" t="str">
            <v xml:space="preserve">m </v>
          </cell>
          <cell r="D258">
            <v>41.51</v>
          </cell>
        </row>
        <row r="259">
          <cell r="A259">
            <v>505</v>
          </cell>
          <cell r="B259" t="str">
            <v xml:space="preserve">ALVENARIA ESTRUTURAL </v>
          </cell>
          <cell r="C259" t="str">
            <v/>
          </cell>
          <cell r="D259" t="str">
            <v/>
          </cell>
        </row>
        <row r="260">
          <cell r="A260">
            <v>50501</v>
          </cell>
          <cell r="B260" t="str">
            <v xml:space="preserve">Alvenaria de blocos de concreto estrut. (14x19x39cm) cheios, c/ resist. mín. compr. 15MPa, assentados c/ arg. de cimento e areia no traço 1:4, esp. juntas 10mm e esp. da parede s/ revest. 14cm </v>
          </cell>
          <cell r="C260" t="str">
            <v xml:space="preserve">m2 </v>
          </cell>
          <cell r="D260">
            <v>59.72</v>
          </cell>
        </row>
        <row r="261">
          <cell r="A261">
            <v>50502</v>
          </cell>
          <cell r="B261" t="str">
            <v xml:space="preserve">Alvenaria de blocos de concreto estrut. (19x19x39cm) cheios, c/ resist. mín. compr. 15MPa, assentados c/ arg. cimento e areia no traço 1:4, esp. juntas de 10mm e esp. da parede s/ revest. 14cm </v>
          </cell>
          <cell r="C261" t="str">
            <v xml:space="preserve">m2 </v>
          </cell>
          <cell r="D261">
            <v>121.08</v>
          </cell>
        </row>
        <row r="262">
          <cell r="A262">
            <v>50503</v>
          </cell>
          <cell r="B262" t="str">
            <v xml:space="preserve">Alvenaria de blocos de concreto estrut. (9x19x39cm) cheios, com resistência mín. compr. 15MPa, assentados c/ arg. de cimento e areia no traço 1:4, esp. juntas 10mm e esp. da parede s/ revest. 9cm </v>
          </cell>
          <cell r="C262" t="str">
            <v xml:space="preserve">m2 </v>
          </cell>
          <cell r="D262">
            <v>42.32</v>
          </cell>
        </row>
        <row r="263">
          <cell r="A263">
            <v>506</v>
          </cell>
          <cell r="B263" t="str">
            <v xml:space="preserve">ALVENARIA DE VEDAÇÃO EMPREGANDO ARGAMASSA DE CIMENTO, CAL E AREIA </v>
          </cell>
          <cell r="C263" t="str">
            <v/>
          </cell>
          <cell r="D263" t="str">
            <v/>
          </cell>
        </row>
        <row r="264">
          <cell r="A264">
            <v>50601</v>
          </cell>
          <cell r="B264" t="str">
            <v xml:space="preserve">Alvenaria de blocos de concreto 9x19x39cm, c/ resist. mínimo a compres. 2.5 MPa, assent. c/ arg. de cimento, cal hidratada CH1 e areia no traço 1:0.5:8 esp. das juntas 10mm e esp. das paredes, s/ rev. 9cm </v>
          </cell>
          <cell r="C264" t="str">
            <v xml:space="preserve">m2 </v>
          </cell>
          <cell r="D264">
            <v>27.76</v>
          </cell>
        </row>
        <row r="265">
          <cell r="A265">
            <v>50602</v>
          </cell>
          <cell r="B265" t="str">
            <v xml:space="preserve">Alvenaria de blocos de concreto 14x19x39cm, c/ resist. mínimo a compres. 2.5 MPa, assent. c/ arg. de cimento, cal hidratada CH1 e areia no traço 1:0.5:8 esp. das juntas 10mm e esp. das paredes, s/ rev. 14cm </v>
          </cell>
          <cell r="C265" t="str">
            <v xml:space="preserve">m2 </v>
          </cell>
          <cell r="D265">
            <v>37.25</v>
          </cell>
        </row>
        <row r="266">
          <cell r="A266">
            <v>50603</v>
          </cell>
          <cell r="B266" t="str">
            <v xml:space="preserve">Alvenaria de blocos de concreto 19x19x39cm, c/ resist. mínimo a compres. 2.5 MPa, assent. c/ arg. de cimento, cal hidratada CH1 e areia no traço 1:0.5:8 esp. das juntas 10mm e esp. das paredes, s/ rev. 19cm </v>
          </cell>
          <cell r="C266" t="str">
            <v xml:space="preserve">m2 </v>
          </cell>
          <cell r="D266">
            <v>44.88</v>
          </cell>
        </row>
        <row r="267">
          <cell r="A267">
            <v>50604</v>
          </cell>
          <cell r="B267" t="str">
            <v xml:space="preserve">Alvenaria de tijolos cerâmicos maciços aparentes 8x12x24cm, assentados c/ argam. de cimento, cal hidratada CH1 e areia no traço 1:0.5:8, juntas de 10mm e esp. parede 12 cm, incl. limp. e rebaix.das juntas </v>
          </cell>
          <cell r="C267" t="str">
            <v xml:space="preserve">m2 </v>
          </cell>
          <cell r="D267">
            <v>79.540000000000006</v>
          </cell>
        </row>
        <row r="268">
          <cell r="A268">
            <v>50605</v>
          </cell>
          <cell r="B268" t="str">
            <v xml:space="preserve">Alvenaria de blocos cerâmicos 10 furos 10x20x20cm, assentados c/argamassa de cimento, cal hidratada CH1 e areia traço 1:0,5:8, juntas 12mm e esp. das paredes s/revestimento, 10cm (bloco comprado na praça de Vitória, posto obra) </v>
          </cell>
          <cell r="C268" t="str">
            <v xml:space="preserve">m2 </v>
          </cell>
          <cell r="D268">
            <v>30.9</v>
          </cell>
        </row>
        <row r="269">
          <cell r="A269">
            <v>50606</v>
          </cell>
          <cell r="B269" t="str">
            <v xml:space="preserve">Alvenaria de blocos cerâmicos 10 furos 10x20x20cm, assentados c/argamassa de cimento, cal hidratada CH1 e areia traço 1:0,5:8, esp. das juntas 12mm e esp. das paredes s/revestimento, 10cm (bloco comprado na fábrica, posto obra) </v>
          </cell>
          <cell r="C269" t="str">
            <v xml:space="preserve">m2 </v>
          </cell>
          <cell r="D269">
            <v>27.38</v>
          </cell>
        </row>
        <row r="270">
          <cell r="A270">
            <v>50607</v>
          </cell>
          <cell r="B270" t="str">
            <v xml:space="preserve">Alvenaria de blocos cerâmicos 10 furos 10x20x20cm, assentados c/argamassa de cimento, cal hidratada CH1 e areia traço 1:0.5:8, juntas 12mm e espessura das paredes, s/ revestimento, 20cm(bloco comprado praça de Vitória, posto obra) </v>
          </cell>
          <cell r="C270" t="str">
            <v xml:space="preserve">m2 </v>
          </cell>
          <cell r="D270">
            <v>54.72</v>
          </cell>
        </row>
        <row r="271">
          <cell r="A271">
            <v>50608</v>
          </cell>
          <cell r="B271" t="str">
            <v xml:space="preserve">Alvenaria de blocos cerâmicos 10 furos 10x20x20cm, assentados c/argamassa de cimento, cal hidratada CH1 e areia traço 1:0,5:8, juntas 12mm e espessura das paredes, s/revestimento, 20cm (bloco comprado fábrica,posto obra) </v>
          </cell>
          <cell r="C271" t="str">
            <v xml:space="preserve">m2 </v>
          </cell>
          <cell r="D271">
            <v>48.1</v>
          </cell>
        </row>
        <row r="272">
          <cell r="A272">
            <v>6</v>
          </cell>
          <cell r="B272" t="str">
            <v xml:space="preserve">ESQUADRIAS DE MADEIRA </v>
          </cell>
          <cell r="C272" t="str">
            <v/>
          </cell>
          <cell r="D272" t="str">
            <v/>
          </cell>
        </row>
        <row r="273">
          <cell r="A273">
            <v>601</v>
          </cell>
          <cell r="B273" t="str">
            <v xml:space="preserve">MARCOS E ALIZARES </v>
          </cell>
          <cell r="C273" t="str">
            <v/>
          </cell>
          <cell r="D273" t="str">
            <v/>
          </cell>
        </row>
        <row r="274">
          <cell r="A274">
            <v>60101</v>
          </cell>
          <cell r="B274" t="str">
            <v xml:space="preserve">Marco de madeira de lei tipo Paraju ou equivalente com 15 x 3 cm de batente, nas dimensões de 0.60 x 2.10 m </v>
          </cell>
          <cell r="C274" t="str">
            <v xml:space="preserve">und </v>
          </cell>
          <cell r="D274">
            <v>126.6</v>
          </cell>
        </row>
        <row r="275">
          <cell r="A275">
            <v>60102</v>
          </cell>
          <cell r="B275" t="str">
            <v xml:space="preserve">Marco de madeira de lei tipo Paraju ou equivalente com 15 x 3 cm de batente, nas dimensões de 0.70 x 2.10 m </v>
          </cell>
          <cell r="C275" t="str">
            <v xml:space="preserve">und </v>
          </cell>
          <cell r="D275">
            <v>126.6</v>
          </cell>
        </row>
        <row r="276">
          <cell r="A276">
            <v>60103</v>
          </cell>
          <cell r="B276" t="str">
            <v xml:space="preserve">Marco de madeira de lei tipo Paraju ou equivalente com 15 x 3 cm de batente, nas dimensões de 0.80 x 2.10 m </v>
          </cell>
          <cell r="C276" t="str">
            <v xml:space="preserve">und </v>
          </cell>
          <cell r="D276">
            <v>126.6</v>
          </cell>
        </row>
        <row r="277">
          <cell r="A277">
            <v>60107</v>
          </cell>
          <cell r="B277" t="str">
            <v xml:space="preserve">Alizar de madeira de lei tipo Paraju ou equivalente de 5 x 1.5 cm </v>
          </cell>
          <cell r="C277" t="str">
            <v xml:space="preserve">m </v>
          </cell>
          <cell r="D277">
            <v>5.67</v>
          </cell>
        </row>
        <row r="278">
          <cell r="A278">
            <v>60110</v>
          </cell>
          <cell r="B278" t="str">
            <v xml:space="preserve">Marco em madeira de lei tipo Paraju ou equivalente com 15 x 3 cm de batente </v>
          </cell>
          <cell r="C278" t="str">
            <v xml:space="preserve">m </v>
          </cell>
          <cell r="D278">
            <v>27.11</v>
          </cell>
        </row>
        <row r="279">
          <cell r="A279">
            <v>60111</v>
          </cell>
          <cell r="B279" t="str">
            <v xml:space="preserve">Marco de madeira de lei tipo Paraju ou equivalente com 7 x 3 cm de batente </v>
          </cell>
          <cell r="C279" t="str">
            <v xml:space="preserve">m </v>
          </cell>
          <cell r="D279">
            <v>19.149999999999999</v>
          </cell>
        </row>
        <row r="280">
          <cell r="A280">
            <v>60112</v>
          </cell>
          <cell r="B280" t="str">
            <v xml:space="preserve">Caixilho em madeira de lei de 9 x 3 cm para janela </v>
          </cell>
          <cell r="C280" t="str">
            <v xml:space="preserve">m </v>
          </cell>
          <cell r="D280">
            <v>22.75</v>
          </cell>
        </row>
        <row r="281">
          <cell r="A281">
            <v>60113</v>
          </cell>
          <cell r="B281" t="str">
            <v xml:space="preserve">Alizar em madeira de lei paraju ou equivalente 7 x 1.5 cm </v>
          </cell>
          <cell r="C281" t="str">
            <v xml:space="preserve">m </v>
          </cell>
          <cell r="D281">
            <v>7.74</v>
          </cell>
        </row>
        <row r="282">
          <cell r="A282">
            <v>611</v>
          </cell>
          <cell r="B282" t="str">
            <v xml:space="preserve">FERRAGENS </v>
          </cell>
          <cell r="C282" t="str">
            <v/>
          </cell>
          <cell r="D282" t="str">
            <v/>
          </cell>
        </row>
        <row r="283">
          <cell r="A283">
            <v>61101</v>
          </cell>
          <cell r="B283" t="str">
            <v xml:space="preserve">Targeta fio redondo 3" para travamento de portas </v>
          </cell>
          <cell r="C283" t="str">
            <v xml:space="preserve">und </v>
          </cell>
          <cell r="D283">
            <v>4.43</v>
          </cell>
        </row>
        <row r="284">
          <cell r="A284">
            <v>61102</v>
          </cell>
          <cell r="B284" t="str">
            <v xml:space="preserve">Fechadura com maçaneta tipo alavanca e chave tipo yale </v>
          </cell>
          <cell r="C284" t="str">
            <v xml:space="preserve">und </v>
          </cell>
          <cell r="D284">
            <v>63.36</v>
          </cell>
        </row>
        <row r="285">
          <cell r="A285">
            <v>61103</v>
          </cell>
          <cell r="B285" t="str">
            <v xml:space="preserve">Fechadura com maçaneta tipo alavanca e chave comum para porta interna </v>
          </cell>
          <cell r="C285" t="str">
            <v xml:space="preserve">und </v>
          </cell>
          <cell r="D285">
            <v>108.08</v>
          </cell>
        </row>
        <row r="286">
          <cell r="A286">
            <v>61104</v>
          </cell>
          <cell r="B286" t="str">
            <v xml:space="preserve">Fechadura tipo livre/ocupado </v>
          </cell>
          <cell r="C286" t="str">
            <v xml:space="preserve">und </v>
          </cell>
          <cell r="D286">
            <v>39.74</v>
          </cell>
        </row>
        <row r="287">
          <cell r="A287">
            <v>61105</v>
          </cell>
          <cell r="B287" t="str">
            <v xml:space="preserve">Targeta fio redondo 2" </v>
          </cell>
          <cell r="C287" t="str">
            <v xml:space="preserve">und </v>
          </cell>
          <cell r="D287">
            <v>4.07</v>
          </cell>
        </row>
        <row r="288">
          <cell r="A288">
            <v>61106</v>
          </cell>
          <cell r="B288" t="str">
            <v xml:space="preserve">Fechadura com maçaneta tipo bola e chave tipo yale </v>
          </cell>
          <cell r="C288" t="str">
            <v xml:space="preserve">und </v>
          </cell>
          <cell r="D288">
            <v>87.1</v>
          </cell>
        </row>
        <row r="289">
          <cell r="A289">
            <v>61107</v>
          </cell>
          <cell r="B289" t="str">
            <v xml:space="preserve">Fechadura de sobrepor, tipo caixão, com chave comum </v>
          </cell>
          <cell r="C289" t="str">
            <v xml:space="preserve">und </v>
          </cell>
          <cell r="D289">
            <v>31.01</v>
          </cell>
        </row>
        <row r="290">
          <cell r="A290">
            <v>61108</v>
          </cell>
          <cell r="B290" t="str">
            <v xml:space="preserve">Fechadura com maçaneta tipo alavanca e chave tipo banheiro </v>
          </cell>
          <cell r="C290" t="str">
            <v xml:space="preserve">und </v>
          </cell>
          <cell r="D290">
            <v>58.2</v>
          </cell>
        </row>
        <row r="291">
          <cell r="A291">
            <v>61109</v>
          </cell>
          <cell r="B291" t="str">
            <v xml:space="preserve">Dobradiça de ferro zincado de 3 x 2 1/2", incl. parafusos </v>
          </cell>
          <cell r="C291" t="str">
            <v xml:space="preserve">und </v>
          </cell>
          <cell r="D291">
            <v>9.48</v>
          </cell>
        </row>
        <row r="292">
          <cell r="A292">
            <v>61111</v>
          </cell>
          <cell r="B292" t="str">
            <v xml:space="preserve">Dobradiça de ferro zincado de 3 x 3 1/2", incl. parafusos </v>
          </cell>
          <cell r="C292" t="str">
            <v xml:space="preserve">und </v>
          </cell>
          <cell r="D292">
            <v>9.52</v>
          </cell>
        </row>
        <row r="293">
          <cell r="A293">
            <v>61112</v>
          </cell>
          <cell r="B293" t="str">
            <v xml:space="preserve">Dobradiça de latão cromado de 3 x 2 1/2", incl. parafusos </v>
          </cell>
          <cell r="C293" t="str">
            <v xml:space="preserve">und </v>
          </cell>
          <cell r="D293">
            <v>23.39</v>
          </cell>
        </row>
        <row r="294">
          <cell r="A294">
            <v>61113</v>
          </cell>
          <cell r="B294" t="str">
            <v xml:space="preserve">Dobradiça de ferro zincado de 2 x 2", incl. parafusos </v>
          </cell>
          <cell r="C294" t="str">
            <v xml:space="preserve">und </v>
          </cell>
          <cell r="D294">
            <v>7.54</v>
          </cell>
        </row>
        <row r="295">
          <cell r="A295">
            <v>61114</v>
          </cell>
          <cell r="B295" t="str">
            <v xml:space="preserve">Fechadura de sobrepor de ferro, com chave, para porta de armário </v>
          </cell>
          <cell r="C295" t="str">
            <v xml:space="preserve">und </v>
          </cell>
          <cell r="D295">
            <v>29.27</v>
          </cell>
        </row>
        <row r="296">
          <cell r="A296">
            <v>61115</v>
          </cell>
          <cell r="B296" t="str">
            <v xml:space="preserve">Conjunto de punho para janela de correr </v>
          </cell>
          <cell r="C296" t="str">
            <v xml:space="preserve">und </v>
          </cell>
          <cell r="D296">
            <v>25.82</v>
          </cell>
        </row>
        <row r="297">
          <cell r="A297">
            <v>61116</v>
          </cell>
          <cell r="B297" t="str">
            <v xml:space="preserve">Conjunto de ferragens para janela de correr, constando de 4 rodízios de latão com rolamentos para trilhos e 3m de trilho de alumínio (fornecimento sem colocação) </v>
          </cell>
          <cell r="C297" t="str">
            <v xml:space="preserve">und </v>
          </cell>
          <cell r="D297">
            <v>27.3</v>
          </cell>
        </row>
        <row r="298">
          <cell r="A298">
            <v>61117</v>
          </cell>
          <cell r="B298" t="str">
            <v xml:space="preserve">Cremona com vara de ferro para janela de abrir </v>
          </cell>
          <cell r="C298" t="str">
            <v xml:space="preserve">und </v>
          </cell>
          <cell r="D298">
            <v>54.05</v>
          </cell>
        </row>
        <row r="299">
          <cell r="A299">
            <v>61118</v>
          </cell>
          <cell r="B299" t="str">
            <v xml:space="preserve">Cadeado de 50mm com porta cadeado </v>
          </cell>
          <cell r="C299" t="str">
            <v xml:space="preserve">und </v>
          </cell>
          <cell r="D299">
            <v>42.01</v>
          </cell>
        </row>
        <row r="300">
          <cell r="A300">
            <v>61119</v>
          </cell>
          <cell r="B300" t="str">
            <v xml:space="preserve">Braço articulado de ferro galvanizado para esquadria tipo maxim-ar </v>
          </cell>
          <cell r="C300" t="str">
            <v xml:space="preserve">und </v>
          </cell>
          <cell r="D300">
            <v>39.24</v>
          </cell>
        </row>
        <row r="301">
          <cell r="A301">
            <v>61120</v>
          </cell>
          <cell r="B301" t="str">
            <v xml:space="preserve">Batente para janela de correr </v>
          </cell>
          <cell r="C301" t="str">
            <v xml:space="preserve">und </v>
          </cell>
          <cell r="D301">
            <v>4.71</v>
          </cell>
        </row>
        <row r="302">
          <cell r="A302">
            <v>61122</v>
          </cell>
          <cell r="B302" t="str">
            <v xml:space="preserve">Parafuso em latão com rosca soberba de 2,8x22mm, para dobradiças </v>
          </cell>
          <cell r="C302" t="str">
            <v xml:space="preserve">und </v>
          </cell>
          <cell r="D302">
            <v>0.54</v>
          </cell>
        </row>
        <row r="303">
          <cell r="A303">
            <v>61123</v>
          </cell>
          <cell r="B303" t="str">
            <v xml:space="preserve">Prendedor de porta, cromado, fixação com parafuso, no piso ou rodapé </v>
          </cell>
          <cell r="C303" t="str">
            <v xml:space="preserve">und </v>
          </cell>
          <cell r="D303">
            <v>16.72</v>
          </cell>
        </row>
        <row r="304">
          <cell r="A304">
            <v>61124</v>
          </cell>
          <cell r="B304" t="str">
            <v xml:space="preserve">Fecho em barra chata de 1/4" x 1 1/4" com 20cm de comprimento, para portão de ferro </v>
          </cell>
          <cell r="C304" t="str">
            <v xml:space="preserve">und </v>
          </cell>
          <cell r="D304">
            <v>3.83</v>
          </cell>
        </row>
        <row r="305">
          <cell r="A305">
            <v>612</v>
          </cell>
          <cell r="B305" t="str">
            <v xml:space="preserve">Porta em madeira de lei tipo angelim pedra ou equiv.c/enchimento em madeira 1a.qualidade,esp. 30 mm p/ pintura, inclusive alizares, dobradiças e fechadura int. em latão cromado LaFonte ou equiv., exclusive marco, nas dim.: </v>
          </cell>
          <cell r="C305" t="str">
            <v/>
          </cell>
          <cell r="D305" t="str">
            <v/>
          </cell>
        </row>
        <row r="306">
          <cell r="A306">
            <v>61201</v>
          </cell>
          <cell r="B306" t="str">
            <v xml:space="preserve">0.60 x 2.10 m </v>
          </cell>
          <cell r="C306" t="str">
            <v xml:space="preserve">und </v>
          </cell>
          <cell r="D306">
            <v>358.62</v>
          </cell>
        </row>
        <row r="307">
          <cell r="A307">
            <v>61202</v>
          </cell>
          <cell r="B307" t="str">
            <v xml:space="preserve">0.70 x 2.10 m </v>
          </cell>
          <cell r="C307" t="str">
            <v xml:space="preserve">und </v>
          </cell>
          <cell r="D307">
            <v>368.82</v>
          </cell>
        </row>
        <row r="308">
          <cell r="A308">
            <v>61203</v>
          </cell>
          <cell r="B308" t="str">
            <v xml:space="preserve">0.80 x 2.10 m </v>
          </cell>
          <cell r="C308" t="str">
            <v xml:space="preserve">und </v>
          </cell>
          <cell r="D308">
            <v>380.53</v>
          </cell>
        </row>
        <row r="309">
          <cell r="A309">
            <v>61204</v>
          </cell>
          <cell r="B309" t="str">
            <v xml:space="preserve">0.90 x 2.10 m </v>
          </cell>
          <cell r="C309" t="str">
            <v xml:space="preserve">und </v>
          </cell>
          <cell r="D309">
            <v>407.51</v>
          </cell>
        </row>
        <row r="310">
          <cell r="A310">
            <v>613</v>
          </cell>
          <cell r="B310" t="str">
            <v xml:space="preserve">Porta em madeira de lei tipo angelim pedra ou equiv.c/enchimento em madeira 1a.qualidade esp. 30mm p/ pintura, inclusive alizares, dobradiças e fechadura externa em latão cromado LaFonte ou equiv., exclusive marco, nas dim.: </v>
          </cell>
          <cell r="C310" t="str">
            <v/>
          </cell>
          <cell r="D310" t="str">
            <v/>
          </cell>
        </row>
        <row r="311">
          <cell r="A311">
            <v>61301</v>
          </cell>
          <cell r="B311" t="str">
            <v xml:space="preserve">0.60 x 2.10 m </v>
          </cell>
          <cell r="C311" t="str">
            <v xml:space="preserve">und </v>
          </cell>
          <cell r="D311">
            <v>384.2</v>
          </cell>
        </row>
        <row r="312">
          <cell r="A312">
            <v>61302</v>
          </cell>
          <cell r="B312" t="str">
            <v xml:space="preserve">0.70 x 2.10 m </v>
          </cell>
          <cell r="C312" t="str">
            <v xml:space="preserve">und </v>
          </cell>
          <cell r="D312">
            <v>394.41</v>
          </cell>
        </row>
        <row r="313">
          <cell r="A313">
            <v>61303</v>
          </cell>
          <cell r="B313" t="str">
            <v xml:space="preserve">0.80 x 2.10 m </v>
          </cell>
          <cell r="C313" t="str">
            <v xml:space="preserve">und </v>
          </cell>
          <cell r="D313">
            <v>406.12</v>
          </cell>
        </row>
        <row r="314">
          <cell r="A314">
            <v>61304</v>
          </cell>
          <cell r="B314" t="str">
            <v xml:space="preserve">0.90 x 2.10 m </v>
          </cell>
          <cell r="C314" t="str">
            <v xml:space="preserve">und </v>
          </cell>
          <cell r="D314">
            <v>433.1</v>
          </cell>
        </row>
        <row r="315">
          <cell r="A315">
            <v>614</v>
          </cell>
          <cell r="B315" t="str">
            <v xml:space="preserve">Porta em madeira de lei tipo paraju, esp. 30mm c/ acab. liso p/ pintura, incl. fechadura tipo "livre/ocupado" em latão cromado Lafonte ou equiv. e ferragens p/ fixação em granito, excl. marco, nas dimensões: </v>
          </cell>
          <cell r="C315" t="str">
            <v/>
          </cell>
          <cell r="D315" t="str">
            <v/>
          </cell>
        </row>
        <row r="316">
          <cell r="A316">
            <v>61401</v>
          </cell>
          <cell r="B316" t="str">
            <v xml:space="preserve">0.60 x 1.80 m </v>
          </cell>
          <cell r="C316" t="str">
            <v xml:space="preserve">und </v>
          </cell>
          <cell r="D316">
            <v>247.56</v>
          </cell>
        </row>
        <row r="317">
          <cell r="A317">
            <v>61402</v>
          </cell>
          <cell r="B317" t="str">
            <v xml:space="preserve">0.80 x 1.80 m </v>
          </cell>
          <cell r="C317" t="str">
            <v xml:space="preserve">und </v>
          </cell>
          <cell r="D317">
            <v>268.17</v>
          </cell>
        </row>
        <row r="318">
          <cell r="A318">
            <v>61403</v>
          </cell>
          <cell r="B318" t="str">
            <v xml:space="preserve">0.60 x 1.60 m </v>
          </cell>
          <cell r="C318" t="str">
            <v xml:space="preserve">und </v>
          </cell>
          <cell r="D318">
            <v>244.24</v>
          </cell>
        </row>
        <row r="319">
          <cell r="A319">
            <v>61404</v>
          </cell>
          <cell r="B319" t="str">
            <v xml:space="preserve">0.80 x 1.60 m </v>
          </cell>
          <cell r="C319" t="str">
            <v xml:space="preserve">und </v>
          </cell>
          <cell r="D319">
            <v>268.17</v>
          </cell>
        </row>
        <row r="320">
          <cell r="A320">
            <v>616</v>
          </cell>
          <cell r="B320" t="str">
            <v xml:space="preserve">Porta almofadada em madeira de lei, esp. 30mm para pintura, incl. dobradiças, excl. marco, alizar e fechadura, nas dimensões: </v>
          </cell>
          <cell r="C320" t="str">
            <v/>
          </cell>
          <cell r="D320" t="str">
            <v/>
          </cell>
        </row>
        <row r="321">
          <cell r="A321">
            <v>61601</v>
          </cell>
          <cell r="B321" t="str">
            <v xml:space="preserve">0.60 x 2.10 m </v>
          </cell>
          <cell r="C321" t="str">
            <v xml:space="preserve">und </v>
          </cell>
          <cell r="D321">
            <v>322.75</v>
          </cell>
        </row>
        <row r="322">
          <cell r="A322">
            <v>61602</v>
          </cell>
          <cell r="B322" t="str">
            <v xml:space="preserve">0.70 x 2.10 m </v>
          </cell>
          <cell r="C322" t="str">
            <v xml:space="preserve">und </v>
          </cell>
          <cell r="D322">
            <v>345.02</v>
          </cell>
        </row>
        <row r="323">
          <cell r="A323">
            <v>61603</v>
          </cell>
          <cell r="B323" t="str">
            <v xml:space="preserve">0.80 x 2.10 m </v>
          </cell>
          <cell r="C323" t="str">
            <v xml:space="preserve">und </v>
          </cell>
          <cell r="D323">
            <v>380.22</v>
          </cell>
        </row>
        <row r="324">
          <cell r="A324">
            <v>61604</v>
          </cell>
          <cell r="B324" t="str">
            <v xml:space="preserve">0.90 x 2.10 m </v>
          </cell>
          <cell r="C324" t="str">
            <v xml:space="preserve">und </v>
          </cell>
          <cell r="D324">
            <v>441.45</v>
          </cell>
        </row>
        <row r="325">
          <cell r="A325">
            <v>617</v>
          </cell>
          <cell r="B325" t="str">
            <v xml:space="preserve">Porta em veneziana, em madeira de lei, esp. 30mm, incl. dobradiças, excl. alizar, marco e fechadura, nas dimensões: </v>
          </cell>
          <cell r="C325" t="str">
            <v/>
          </cell>
          <cell r="D325" t="str">
            <v/>
          </cell>
        </row>
        <row r="326">
          <cell r="A326">
            <v>61701</v>
          </cell>
          <cell r="B326" t="str">
            <v xml:space="preserve">0.60 x 2.10 m </v>
          </cell>
          <cell r="C326" t="str">
            <v xml:space="preserve">und </v>
          </cell>
          <cell r="D326">
            <v>337.24</v>
          </cell>
        </row>
        <row r="327">
          <cell r="A327">
            <v>61702</v>
          </cell>
          <cell r="B327" t="str">
            <v xml:space="preserve">0.70 x 2.10 m </v>
          </cell>
          <cell r="C327" t="str">
            <v xml:space="preserve">und </v>
          </cell>
          <cell r="D327">
            <v>356.7</v>
          </cell>
        </row>
        <row r="328">
          <cell r="A328">
            <v>61703</v>
          </cell>
          <cell r="B328" t="str">
            <v xml:space="preserve">0.80 x 2.10 m </v>
          </cell>
          <cell r="C328" t="str">
            <v xml:space="preserve">und </v>
          </cell>
          <cell r="D328">
            <v>377.18</v>
          </cell>
        </row>
        <row r="329">
          <cell r="A329">
            <v>618</v>
          </cell>
          <cell r="B329" t="str">
            <v xml:space="preserve">Fornecimento e instalação de folha de porta em madeira de lei com enchimento em madeira de 1ª qualidade, esp. 30mm, para pintura, incl. dobradiças, excl. alizar, marco e fechadura, nas dimensões: </v>
          </cell>
          <cell r="C329" t="str">
            <v/>
          </cell>
          <cell r="D329" t="str">
            <v/>
          </cell>
        </row>
        <row r="330">
          <cell r="A330">
            <v>61801</v>
          </cell>
          <cell r="B330" t="str">
            <v xml:space="preserve">0.60 x 2.10 m </v>
          </cell>
          <cell r="C330" t="str">
            <v xml:space="preserve">und </v>
          </cell>
          <cell r="D330">
            <v>167.9</v>
          </cell>
        </row>
        <row r="331">
          <cell r="A331">
            <v>61802</v>
          </cell>
          <cell r="B331" t="str">
            <v xml:space="preserve">0.70 x 2.10 m </v>
          </cell>
          <cell r="C331" t="str">
            <v xml:space="preserve">und </v>
          </cell>
          <cell r="D331">
            <v>176.64</v>
          </cell>
        </row>
        <row r="332">
          <cell r="A332">
            <v>61803</v>
          </cell>
          <cell r="B332" t="str">
            <v xml:space="preserve">0.80 x 2.10 m </v>
          </cell>
          <cell r="C332" t="str">
            <v xml:space="preserve">und </v>
          </cell>
          <cell r="D332">
            <v>186.91</v>
          </cell>
        </row>
        <row r="333">
          <cell r="A333">
            <v>61804</v>
          </cell>
          <cell r="B333" t="str">
            <v xml:space="preserve">0.90 x 2.10 m </v>
          </cell>
          <cell r="C333" t="str">
            <v xml:space="preserve">und </v>
          </cell>
          <cell r="D333">
            <v>213.89</v>
          </cell>
        </row>
        <row r="334">
          <cell r="A334">
            <v>619</v>
          </cell>
          <cell r="B334" t="str">
            <v xml:space="preserve">Porta em madeira de lei com enchimento em madeira de 1ª qualidade, esp. 30mm, para pintura, com visor de vidro, incl. dobradiças, excl. marco, fechadura e alizar, nas dimensões: </v>
          </cell>
          <cell r="C334" t="str">
            <v/>
          </cell>
          <cell r="D334" t="str">
            <v/>
          </cell>
        </row>
        <row r="335">
          <cell r="A335">
            <v>61901</v>
          </cell>
          <cell r="B335" t="str">
            <v xml:space="preserve">0.70 x 2.10 m </v>
          </cell>
          <cell r="C335" t="str">
            <v xml:space="preserve">und </v>
          </cell>
          <cell r="D335">
            <v>301.98</v>
          </cell>
        </row>
        <row r="336">
          <cell r="A336">
            <v>61902</v>
          </cell>
          <cell r="B336" t="str">
            <v xml:space="preserve">0.80 x 2.10 m </v>
          </cell>
          <cell r="C336" t="str">
            <v xml:space="preserve">und </v>
          </cell>
          <cell r="D336">
            <v>343.39</v>
          </cell>
        </row>
        <row r="337">
          <cell r="A337">
            <v>61903</v>
          </cell>
          <cell r="B337" t="str">
            <v xml:space="preserve">0.90 x 2.10 m </v>
          </cell>
          <cell r="C337" t="str">
            <v xml:space="preserve">und </v>
          </cell>
          <cell r="D337">
            <v>359.58</v>
          </cell>
        </row>
        <row r="338">
          <cell r="A338">
            <v>621</v>
          </cell>
          <cell r="B338" t="str">
            <v xml:space="preserve">ESQUADRIAS DE MADEIRA (M2) </v>
          </cell>
          <cell r="C338" t="str">
            <v/>
          </cell>
          <cell r="D338" t="str">
            <v/>
          </cell>
        </row>
        <row r="339">
          <cell r="A339">
            <v>62101</v>
          </cell>
          <cell r="B339" t="str">
            <v xml:space="preserve">Janela de correr, 4 folhas, sendo 2 fixas, em madeira de lei para vidro </v>
          </cell>
          <cell r="C339" t="str">
            <v xml:space="preserve">m2 </v>
          </cell>
          <cell r="D339">
            <v>234.55</v>
          </cell>
        </row>
        <row r="340">
          <cell r="A340">
            <v>62102</v>
          </cell>
          <cell r="B340" t="str">
            <v xml:space="preserve">Janela de correr, 4 folhas, sendo 2 fixas, em madeira de lei para vidro, com bandeira fixa superior em veneziana </v>
          </cell>
          <cell r="C340" t="str">
            <v xml:space="preserve">m2 </v>
          </cell>
          <cell r="D340">
            <v>234.55</v>
          </cell>
        </row>
        <row r="341">
          <cell r="A341">
            <v>62103</v>
          </cell>
          <cell r="B341" t="str">
            <v xml:space="preserve">Janela de abrir, 2 folhas, em madeira de lei, para vidro </v>
          </cell>
          <cell r="C341" t="str">
            <v xml:space="preserve">m2 </v>
          </cell>
          <cell r="D341">
            <v>261.76</v>
          </cell>
        </row>
        <row r="342">
          <cell r="A342">
            <v>62104</v>
          </cell>
          <cell r="B342" t="str">
            <v xml:space="preserve">Báscula em madeira de lei para vidro </v>
          </cell>
          <cell r="C342" t="str">
            <v xml:space="preserve">m2 </v>
          </cell>
          <cell r="D342">
            <v>314.94</v>
          </cell>
        </row>
        <row r="343">
          <cell r="A343">
            <v>62105</v>
          </cell>
          <cell r="B343" t="str">
            <v xml:space="preserve">Porta para guichê em compensado </v>
          </cell>
          <cell r="C343" t="str">
            <v xml:space="preserve">m2 </v>
          </cell>
          <cell r="D343">
            <v>65.819999999999993</v>
          </cell>
        </row>
        <row r="344">
          <cell r="A344">
            <v>62106</v>
          </cell>
          <cell r="B344" t="str">
            <v xml:space="preserve">Janela de abrir, 2 folhas, em madeira de lei, metade em veneziana e metade para vidro </v>
          </cell>
          <cell r="C344" t="str">
            <v xml:space="preserve">m2 </v>
          </cell>
          <cell r="D344">
            <v>273.92</v>
          </cell>
        </row>
        <row r="345">
          <cell r="A345">
            <v>622</v>
          </cell>
          <cell r="B345" t="str">
            <v xml:space="preserve">REVISÕES E REPAROS </v>
          </cell>
          <cell r="C345" t="str">
            <v/>
          </cell>
          <cell r="D345" t="str">
            <v/>
          </cell>
        </row>
        <row r="346">
          <cell r="A346">
            <v>62201</v>
          </cell>
          <cell r="B346" t="str">
            <v xml:space="preserve">Substituição de fechadura com maçaneta tipo alavanca e chave yale </v>
          </cell>
          <cell r="C346" t="str">
            <v xml:space="preserve">und </v>
          </cell>
          <cell r="D346">
            <v>52.07</v>
          </cell>
        </row>
        <row r="347">
          <cell r="A347">
            <v>62202</v>
          </cell>
          <cell r="B347" t="str">
            <v xml:space="preserve">Substituição de fechadura com maçaneta tipo alavanca e chave tipo comum </v>
          </cell>
          <cell r="C347" t="str">
            <v xml:space="preserve">und </v>
          </cell>
          <cell r="D347">
            <v>96.79</v>
          </cell>
        </row>
        <row r="348">
          <cell r="A348">
            <v>62203</v>
          </cell>
          <cell r="B348" t="str">
            <v xml:space="preserve">Substituição de fechadura com maçaneta tipo bola e chave tipo yale </v>
          </cell>
          <cell r="C348" t="str">
            <v xml:space="preserve">und </v>
          </cell>
          <cell r="D348">
            <v>75.81</v>
          </cell>
        </row>
        <row r="349">
          <cell r="A349">
            <v>62204</v>
          </cell>
          <cell r="B349" t="str">
            <v xml:space="preserve">Recolocação de folha de porta em madeira de 1 folha, excl. ferragens, marcos e alizares </v>
          </cell>
          <cell r="C349" t="str">
            <v xml:space="preserve">und </v>
          </cell>
          <cell r="D349">
            <v>32.03</v>
          </cell>
        </row>
        <row r="350">
          <cell r="A350">
            <v>62205</v>
          </cell>
          <cell r="B350" t="str">
            <v xml:space="preserve">Substituição de targeta tipo livre/ocupado </v>
          </cell>
          <cell r="C350" t="str">
            <v xml:space="preserve">und </v>
          </cell>
          <cell r="D350">
            <v>34.119999999999997</v>
          </cell>
        </row>
        <row r="351">
          <cell r="A351">
            <v>62206</v>
          </cell>
          <cell r="B351" t="str">
            <v xml:space="preserve">Substituição de targeta de fio redondo 2" </v>
          </cell>
          <cell r="C351" t="str">
            <v xml:space="preserve">und </v>
          </cell>
          <cell r="D351">
            <v>4.07</v>
          </cell>
        </row>
        <row r="352">
          <cell r="A352">
            <v>62207</v>
          </cell>
          <cell r="B352" t="str">
            <v xml:space="preserve">Substituição de dobradiça 3"x2 1/2" </v>
          </cell>
          <cell r="C352" t="str">
            <v xml:space="preserve">und </v>
          </cell>
          <cell r="D352">
            <v>20.63</v>
          </cell>
        </row>
        <row r="353">
          <cell r="A353">
            <v>62208</v>
          </cell>
          <cell r="B353" t="str">
            <v xml:space="preserve">Reparo na porta com plaina, incl. retirada e recolocação de folha de porta </v>
          </cell>
          <cell r="C353" t="str">
            <v xml:space="preserve">und </v>
          </cell>
          <cell r="D353">
            <v>29.17</v>
          </cell>
        </row>
        <row r="354">
          <cell r="A354">
            <v>62209</v>
          </cell>
          <cell r="B354" t="str">
            <v xml:space="preserve">Reparo em janelas de correr em madeira, considerando substituição de até 15% de madeira, incl. retirada e recolocação da janela </v>
          </cell>
          <cell r="C354" t="str">
            <v xml:space="preserve">m2 </v>
          </cell>
          <cell r="D354">
            <v>93.03</v>
          </cell>
        </row>
        <row r="355">
          <cell r="A355">
            <v>62210</v>
          </cell>
          <cell r="B355" t="str">
            <v xml:space="preserve">Substituição de trilho para janela de correr </v>
          </cell>
          <cell r="C355" t="str">
            <v xml:space="preserve">m </v>
          </cell>
          <cell r="D355">
            <v>6.55</v>
          </cell>
        </row>
        <row r="356">
          <cell r="A356">
            <v>62211</v>
          </cell>
          <cell r="B356" t="str">
            <v xml:space="preserve">Recolocação de alizar em madeira, excl. alizar </v>
          </cell>
          <cell r="C356" t="str">
            <v xml:space="preserve">m </v>
          </cell>
          <cell r="D356">
            <v>1.22</v>
          </cell>
        </row>
        <row r="357">
          <cell r="A357">
            <v>62212</v>
          </cell>
          <cell r="B357" t="str">
            <v xml:space="preserve">Recolocação de marco em madeira, excl. marco </v>
          </cell>
          <cell r="C357" t="str">
            <v xml:space="preserve">m </v>
          </cell>
          <cell r="D357">
            <v>6.11</v>
          </cell>
        </row>
        <row r="358">
          <cell r="A358">
            <v>623</v>
          </cell>
          <cell r="B358" t="str">
            <v xml:space="preserve">Porta em madeira de lei com enchimento em madeira de 1ª qualidade, esp. 30mm, para pintura, incl. alizares, dobradiças, fechadura tipo "livre/ocupado" em latão cromado La Fonte ou equiv., excl. marco, nas dimensões: </v>
          </cell>
          <cell r="C358" t="str">
            <v/>
          </cell>
          <cell r="D358" t="str">
            <v/>
          </cell>
        </row>
        <row r="359">
          <cell r="A359">
            <v>62301</v>
          </cell>
          <cell r="B359" t="str">
            <v xml:space="preserve">0.60 x 1.60 m </v>
          </cell>
          <cell r="C359" t="str">
            <v xml:space="preserve">und </v>
          </cell>
          <cell r="D359">
            <v>290.57</v>
          </cell>
        </row>
        <row r="360">
          <cell r="A360">
            <v>62302</v>
          </cell>
          <cell r="B360" t="str">
            <v xml:space="preserve">0.80 x 1.60 </v>
          </cell>
          <cell r="C360" t="str">
            <v xml:space="preserve">und </v>
          </cell>
          <cell r="D360">
            <v>314.51</v>
          </cell>
        </row>
        <row r="361">
          <cell r="A361">
            <v>625</v>
          </cell>
          <cell r="B361" t="str">
            <v xml:space="preserve">Porta em madeira de lei tipo angelim pedra ou equiv.,esp. 35 mm, maciça c/ friso p/ verniz, padrão SEDU, com visor, inclusive alizares, dobradiças e fechadura de bola ext. em latão cromado LaFonte ou equiv., excl. marco, dimensões </v>
          </cell>
          <cell r="C361" t="str">
            <v/>
          </cell>
          <cell r="D361" t="str">
            <v/>
          </cell>
        </row>
        <row r="362">
          <cell r="A362">
            <v>62501</v>
          </cell>
          <cell r="B362" t="str">
            <v xml:space="preserve">0.60 x 2.10 m </v>
          </cell>
          <cell r="C362" t="str">
            <v xml:space="preserve">und </v>
          </cell>
          <cell r="D362">
            <v>673.04</v>
          </cell>
        </row>
        <row r="363">
          <cell r="A363">
            <v>62502</v>
          </cell>
          <cell r="B363" t="str">
            <v xml:space="preserve">0.70 x 2.10 m </v>
          </cell>
          <cell r="C363" t="str">
            <v xml:space="preserve">und </v>
          </cell>
          <cell r="D363">
            <v>711.59</v>
          </cell>
        </row>
        <row r="364">
          <cell r="A364">
            <v>62503</v>
          </cell>
          <cell r="B364" t="str">
            <v xml:space="preserve">0.80 x 2.10 m </v>
          </cell>
          <cell r="C364" t="str">
            <v xml:space="preserve">und </v>
          </cell>
          <cell r="D364">
            <v>828.71</v>
          </cell>
        </row>
        <row r="365">
          <cell r="A365">
            <v>62504</v>
          </cell>
          <cell r="B365" t="str">
            <v xml:space="preserve">0.90 x 2.10 m </v>
          </cell>
          <cell r="C365" t="str">
            <v xml:space="preserve">und </v>
          </cell>
          <cell r="D365">
            <v>862.95</v>
          </cell>
        </row>
        <row r="366">
          <cell r="A366">
            <v>62505</v>
          </cell>
          <cell r="B366" t="str">
            <v xml:space="preserve">1.60 x 2.10 m (duas folhas) </v>
          </cell>
          <cell r="C366" t="str">
            <v xml:space="preserve">und </v>
          </cell>
          <cell r="D366">
            <v>1473.89</v>
          </cell>
        </row>
        <row r="367">
          <cell r="A367">
            <v>626</v>
          </cell>
          <cell r="B367" t="str">
            <v xml:space="preserve">Porta em madeira de lei tipo angelim pedra ou equiv, esp 35mm, maciça c/ frizo p/ verniz, padrão SEDU, sem visor, inclusive alizares, fechadura ext de bola, em latão cromado LaFonte/equiv, exclusive marco nas dimensões: </v>
          </cell>
          <cell r="C367" t="str">
            <v/>
          </cell>
          <cell r="D367" t="str">
            <v/>
          </cell>
        </row>
        <row r="368">
          <cell r="A368">
            <v>62601</v>
          </cell>
          <cell r="B368" t="str">
            <v xml:space="preserve">0.60 x 2.10m </v>
          </cell>
          <cell r="C368" t="str">
            <v xml:space="preserve">und </v>
          </cell>
          <cell r="D368">
            <v>656.2</v>
          </cell>
        </row>
        <row r="369">
          <cell r="A369">
            <v>62602</v>
          </cell>
          <cell r="B369" t="str">
            <v xml:space="preserve">0.70 x 2.10 m </v>
          </cell>
          <cell r="C369" t="str">
            <v xml:space="preserve">und </v>
          </cell>
          <cell r="D369">
            <v>703.3</v>
          </cell>
        </row>
        <row r="370">
          <cell r="A370">
            <v>62603</v>
          </cell>
          <cell r="B370" t="str">
            <v xml:space="preserve">0.80 x 2.10 m </v>
          </cell>
          <cell r="C370" t="str">
            <v xml:space="preserve">und </v>
          </cell>
          <cell r="D370">
            <v>744.26</v>
          </cell>
        </row>
        <row r="371">
          <cell r="A371">
            <v>62604</v>
          </cell>
          <cell r="B371" t="str">
            <v xml:space="preserve">0.90 x 2.10 m </v>
          </cell>
          <cell r="C371" t="str">
            <v xml:space="preserve">und </v>
          </cell>
          <cell r="D371">
            <v>796.89</v>
          </cell>
        </row>
        <row r="372">
          <cell r="A372">
            <v>7</v>
          </cell>
          <cell r="B372" t="str">
            <v xml:space="preserve">ESQUADRIAS METÁLICAS </v>
          </cell>
          <cell r="C372" t="str">
            <v/>
          </cell>
          <cell r="D372" t="str">
            <v/>
          </cell>
        </row>
        <row r="373">
          <cell r="A373">
            <v>710</v>
          </cell>
          <cell r="B373" t="str">
            <v xml:space="preserve">Porta de segurança de ferro, em barra chata 1"x3/16" e cantoneira 1 1/4"x3/16", com chumbadores e fechadura de segurança Aliança ou equivalente, conforme projeto, nas seguintes dimensões: </v>
          </cell>
          <cell r="C373" t="str">
            <v/>
          </cell>
          <cell r="D373" t="str">
            <v/>
          </cell>
        </row>
        <row r="374">
          <cell r="A374">
            <v>71001</v>
          </cell>
          <cell r="B374" t="str">
            <v xml:space="preserve">0.80 x 2.10 m </v>
          </cell>
          <cell r="C374" t="str">
            <v xml:space="preserve">und </v>
          </cell>
          <cell r="D374">
            <v>470.87</v>
          </cell>
        </row>
        <row r="375">
          <cell r="A375">
            <v>71002</v>
          </cell>
          <cell r="B375" t="str">
            <v xml:space="preserve">0.60 x 2.10 m </v>
          </cell>
          <cell r="C375" t="str">
            <v xml:space="preserve">und </v>
          </cell>
          <cell r="D375">
            <v>418</v>
          </cell>
        </row>
        <row r="376">
          <cell r="A376">
            <v>711</v>
          </cell>
          <cell r="B376" t="str">
            <v xml:space="preserve">GRADES E PORTÕES </v>
          </cell>
          <cell r="C376" t="str">
            <v/>
          </cell>
          <cell r="D376" t="str">
            <v/>
          </cell>
        </row>
        <row r="377">
          <cell r="A377">
            <v>71101</v>
          </cell>
          <cell r="B377" t="str">
            <v xml:space="preserve">Tela de proteção de arame galvanizado 1/2" fio 12, c/ quadro em tubo de ferro galvanizado 1 1/2" e cantoneira de ferro 1/2" x 1/2" x1/8", conforme detalhe em projeto </v>
          </cell>
          <cell r="C377" t="str">
            <v xml:space="preserve">m2 </v>
          </cell>
          <cell r="D377">
            <v>338.62</v>
          </cell>
        </row>
        <row r="378">
          <cell r="A378">
            <v>71103</v>
          </cell>
          <cell r="B378" t="str">
            <v xml:space="preserve">Grade de tela tipo mosquiteiro de arame galvanizado, inclusive, requadro em "L" </v>
          </cell>
          <cell r="C378" t="str">
            <v xml:space="preserve">m2 </v>
          </cell>
          <cell r="D378">
            <v>64.47</v>
          </cell>
        </row>
        <row r="379">
          <cell r="A379">
            <v>71104</v>
          </cell>
          <cell r="B379" t="str">
            <v xml:space="preserve">Portão de ferro de abrir em barra chata, inclusive chumbamento </v>
          </cell>
          <cell r="C379" t="str">
            <v xml:space="preserve">m2 </v>
          </cell>
          <cell r="D379">
            <v>266.74</v>
          </cell>
        </row>
        <row r="380">
          <cell r="A380">
            <v>71105</v>
          </cell>
          <cell r="B380" t="str">
            <v xml:space="preserve">Grade de ferro em barra chata, inclusive chumbamento </v>
          </cell>
          <cell r="C380" t="str">
            <v xml:space="preserve">m2 </v>
          </cell>
          <cell r="D380">
            <v>140.29</v>
          </cell>
        </row>
        <row r="381">
          <cell r="A381">
            <v>71106</v>
          </cell>
          <cell r="B381" t="str">
            <v xml:space="preserve">Portão de ferro de correr em barra chata, inclusive chumbamento </v>
          </cell>
          <cell r="C381" t="str">
            <v xml:space="preserve">m2 </v>
          </cell>
          <cell r="D381">
            <v>288.27999999999997</v>
          </cell>
        </row>
        <row r="382">
          <cell r="A382">
            <v>71107</v>
          </cell>
          <cell r="B382" t="str">
            <v xml:space="preserve">Portão de ferro de abrir em barra chata, chapa e tubo, inclusive chumbamento </v>
          </cell>
          <cell r="C382" t="str">
            <v xml:space="preserve">m2 </v>
          </cell>
          <cell r="D382">
            <v>407.95</v>
          </cell>
        </row>
        <row r="383">
          <cell r="A383">
            <v>716</v>
          </cell>
          <cell r="B383" t="str">
            <v xml:space="preserve">Portas de enrolar </v>
          </cell>
          <cell r="C383" t="str">
            <v/>
          </cell>
          <cell r="D383" t="str">
            <v/>
          </cell>
        </row>
        <row r="384">
          <cell r="A384">
            <v>71601</v>
          </cell>
          <cell r="B384" t="str">
            <v xml:space="preserve">Porta de enrolar </v>
          </cell>
          <cell r="C384" t="str">
            <v xml:space="preserve">m2 </v>
          </cell>
          <cell r="D384">
            <v>262.33999999999997</v>
          </cell>
        </row>
        <row r="385">
          <cell r="A385">
            <v>717</v>
          </cell>
          <cell r="B385" t="str">
            <v xml:space="preserve">ESQUADRIAS METÁLICAS (M2) </v>
          </cell>
          <cell r="C385" t="str">
            <v/>
          </cell>
          <cell r="D385" t="str">
            <v/>
          </cell>
        </row>
        <row r="386">
          <cell r="A386">
            <v>71701</v>
          </cell>
          <cell r="B386" t="str">
            <v xml:space="preserve">Janela de correr para vidro em alumínio anodizado cor natural, linha 25, completa, incl. puxador com tranca, caixilho e contramarco </v>
          </cell>
          <cell r="C386" t="str">
            <v xml:space="preserve">m2 </v>
          </cell>
          <cell r="D386">
            <v>233.15</v>
          </cell>
        </row>
        <row r="387">
          <cell r="A387">
            <v>71702</v>
          </cell>
          <cell r="B387" t="str">
            <v xml:space="preserve">Báscula para vidro em alumínio anodizado cor natural, linha 25, completa, com tranca, caixilho e contramarco </v>
          </cell>
          <cell r="C387" t="str">
            <v xml:space="preserve">m2 </v>
          </cell>
          <cell r="D387">
            <v>284.02</v>
          </cell>
        </row>
        <row r="388">
          <cell r="A388">
            <v>71703</v>
          </cell>
          <cell r="B388" t="str">
            <v xml:space="preserve">Janela tipo maxim-ar para vidro em alumínio anodizado natural, linha 25, completa, incl. puxador com tranca, caixilho e contramarco </v>
          </cell>
          <cell r="C388" t="str">
            <v xml:space="preserve">m2 </v>
          </cell>
          <cell r="D388">
            <v>190.34</v>
          </cell>
        </row>
        <row r="389">
          <cell r="A389">
            <v>71704</v>
          </cell>
          <cell r="B389" t="str">
            <v xml:space="preserve">Porta de abrir tipo veneziana em alumínio anodizado, linha 25, completa, incl. puxador com tranca, caixilho e contramarco </v>
          </cell>
          <cell r="C389" t="str">
            <v xml:space="preserve">m2 </v>
          </cell>
          <cell r="D389">
            <v>392.19</v>
          </cell>
        </row>
        <row r="390">
          <cell r="A390">
            <v>71706</v>
          </cell>
          <cell r="B390" t="str">
            <v xml:space="preserve">Guichê/gradil em perfil L 1" e perfil "T" 3/4" em ferro, inclusive pintura em esmalte sintético, marca de referência SUVINIL </v>
          </cell>
          <cell r="C390" t="str">
            <v xml:space="preserve">m2 </v>
          </cell>
          <cell r="D390">
            <v>107.55</v>
          </cell>
        </row>
        <row r="391">
          <cell r="A391">
            <v>718</v>
          </cell>
          <cell r="B391" t="str">
            <v xml:space="preserve">REVISÕES E REPAROS </v>
          </cell>
          <cell r="C391" t="str">
            <v/>
          </cell>
          <cell r="D391" t="str">
            <v/>
          </cell>
        </row>
        <row r="392">
          <cell r="A392">
            <v>71801</v>
          </cell>
          <cell r="B392" t="str">
            <v xml:space="preserve">Escovamento com escova de aço em esquadrias de ferro </v>
          </cell>
          <cell r="C392" t="str">
            <v xml:space="preserve">m2 </v>
          </cell>
          <cell r="D392">
            <v>10.11</v>
          </cell>
        </row>
        <row r="393">
          <cell r="A393">
            <v>71802</v>
          </cell>
          <cell r="B393" t="str">
            <v xml:space="preserve">Recolocação de esquadrias de ferro com caixilho, tipo basculante ou fixo, sem fornecimento </v>
          </cell>
          <cell r="C393" t="str">
            <v xml:space="preserve">m2 </v>
          </cell>
          <cell r="D393">
            <v>31.8</v>
          </cell>
        </row>
        <row r="394">
          <cell r="A394">
            <v>71803</v>
          </cell>
          <cell r="B394" t="str">
            <v xml:space="preserve">Recolocação de esquadrias de ferro com caixilho, tipo de correr ou maxim-ar, sem fornecimento </v>
          </cell>
          <cell r="C394" t="str">
            <v xml:space="preserve">m2 </v>
          </cell>
          <cell r="D394">
            <v>52.31</v>
          </cell>
        </row>
        <row r="395">
          <cell r="A395">
            <v>71804</v>
          </cell>
          <cell r="B395" t="str">
            <v xml:space="preserve">Recolocação de grades com sistemas de parafusos e buchas para fixação em paredes de alvenaria ou concreto </v>
          </cell>
          <cell r="C395" t="str">
            <v xml:space="preserve">m2 </v>
          </cell>
          <cell r="D395">
            <v>26.04</v>
          </cell>
        </row>
        <row r="396">
          <cell r="A396">
            <v>8</v>
          </cell>
          <cell r="B396" t="str">
            <v xml:space="preserve">VIDROS E ESPELHOS </v>
          </cell>
          <cell r="C396" t="str">
            <v/>
          </cell>
          <cell r="D396" t="str">
            <v/>
          </cell>
        </row>
        <row r="397">
          <cell r="A397">
            <v>801</v>
          </cell>
          <cell r="B397" t="str">
            <v xml:space="preserve">VIDROS PARA ESQUADRIAS </v>
          </cell>
          <cell r="C397" t="str">
            <v/>
          </cell>
          <cell r="D397" t="str">
            <v/>
          </cell>
        </row>
        <row r="398">
          <cell r="A398">
            <v>80101</v>
          </cell>
          <cell r="B398" t="str">
            <v xml:space="preserve">Vidro plano transparente liso, com 3 mm de espessura </v>
          </cell>
          <cell r="C398" t="str">
            <v xml:space="preserve">m2 </v>
          </cell>
          <cell r="D398">
            <v>60.42</v>
          </cell>
        </row>
        <row r="399">
          <cell r="A399">
            <v>80102</v>
          </cell>
          <cell r="B399" t="str">
            <v xml:space="preserve">Vidro plano transparente liso, com 4 mm de espessura </v>
          </cell>
          <cell r="C399" t="str">
            <v xml:space="preserve">m2 </v>
          </cell>
          <cell r="D399">
            <v>75.23</v>
          </cell>
        </row>
        <row r="400">
          <cell r="A400">
            <v>80103</v>
          </cell>
          <cell r="B400" t="str">
            <v xml:space="preserve">Vidro fantasia mini-boreal, com 4 mm de espessura </v>
          </cell>
          <cell r="C400" t="str">
            <v xml:space="preserve">m2 </v>
          </cell>
          <cell r="D400">
            <v>52.97</v>
          </cell>
        </row>
        <row r="401">
          <cell r="A401">
            <v>80106</v>
          </cell>
          <cell r="B401" t="str">
            <v xml:space="preserve">Substituição de massa para vidro em esquadrias </v>
          </cell>
          <cell r="C401" t="str">
            <v xml:space="preserve">m2 </v>
          </cell>
          <cell r="D401">
            <v>9.23</v>
          </cell>
        </row>
        <row r="402">
          <cell r="A402">
            <v>80107</v>
          </cell>
          <cell r="B402" t="str">
            <v xml:space="preserve">Vidro aramado esp. 6mm, colocado </v>
          </cell>
          <cell r="C402" t="str">
            <v xml:space="preserve">m2 </v>
          </cell>
          <cell r="D402">
            <v>172.74</v>
          </cell>
        </row>
        <row r="403">
          <cell r="A403">
            <v>802</v>
          </cell>
          <cell r="B403" t="str">
            <v xml:space="preserve">ESPELHOS </v>
          </cell>
          <cell r="C403" t="str">
            <v/>
          </cell>
          <cell r="D403" t="str">
            <v/>
          </cell>
        </row>
        <row r="404">
          <cell r="A404">
            <v>80201</v>
          </cell>
          <cell r="B404" t="str">
            <v xml:space="preserve">Espelho para banheiros espessura 4 mm, incluindo chapa compensada 10 mm, moldura de alumínio em perfil L 3/4", fixado com parafusos cromados </v>
          </cell>
          <cell r="C404" t="str">
            <v xml:space="preserve">m2 </v>
          </cell>
          <cell r="D404">
            <v>276.83999999999997</v>
          </cell>
        </row>
        <row r="405">
          <cell r="A405">
            <v>80202</v>
          </cell>
          <cell r="B405" t="str">
            <v xml:space="preserve">Espelho espessura 4 mm, incluindo chapa compensada 6mm, moldura de peça de madeira 7x2.5cm fixada com parafuso e bucha conforme detalhe em projeto </v>
          </cell>
          <cell r="C405" t="str">
            <v xml:space="preserve">m2 </v>
          </cell>
          <cell r="D405">
            <v>345.31</v>
          </cell>
        </row>
        <row r="406">
          <cell r="A406">
            <v>80203</v>
          </cell>
          <cell r="B406" t="str">
            <v xml:space="preserve">Espelho prata esp. 4 mm sobre caixa de compensado colado revestido com fórmica e fixado com parafuso cromado e bucha, dim. 1,80 x 0,40m, conforme detalhe em projeto </v>
          </cell>
          <cell r="C406" t="str">
            <v xml:space="preserve">m2 </v>
          </cell>
          <cell r="D406">
            <v>340.74</v>
          </cell>
        </row>
        <row r="407">
          <cell r="A407">
            <v>9</v>
          </cell>
          <cell r="B407" t="str">
            <v xml:space="preserve">COBERTURA </v>
          </cell>
          <cell r="C407" t="str">
            <v/>
          </cell>
          <cell r="D407" t="str">
            <v/>
          </cell>
        </row>
        <row r="408">
          <cell r="A408">
            <v>901</v>
          </cell>
          <cell r="B408" t="str">
            <v xml:space="preserve">ESTRUTURA PARA TELHADO </v>
          </cell>
          <cell r="C408" t="str">
            <v/>
          </cell>
          <cell r="D408" t="str">
            <v/>
          </cell>
        </row>
        <row r="409">
          <cell r="A409">
            <v>90101</v>
          </cell>
          <cell r="B409" t="str">
            <v xml:space="preserve">Estrutura de madeira de lei tipo Paraju ou equivalente para telhado de telha cerâmica tipo capa e canal, com pontaletes, terças, caibros e ripas, inclusive tratamento com cupinicida, exclusive telhas </v>
          </cell>
          <cell r="C409" t="str">
            <v xml:space="preserve">m2 </v>
          </cell>
          <cell r="D409">
            <v>81.290000000000006</v>
          </cell>
        </row>
        <row r="410">
          <cell r="A410">
            <v>90102</v>
          </cell>
          <cell r="B410" t="str">
            <v xml:space="preserve">Estrutura de madeira de lei tipo Paraju ou equivalente para telhado de telha ondulada de fribrocimento esp.6mm, com pontaletes e caibros, inclusive tratamento com cupinicida, exclusive telhas </v>
          </cell>
          <cell r="C410" t="str">
            <v xml:space="preserve">m2 </v>
          </cell>
          <cell r="D410">
            <v>40.04</v>
          </cell>
        </row>
        <row r="411">
          <cell r="A411">
            <v>90103</v>
          </cell>
          <cell r="B411" t="str">
            <v xml:space="preserve">Estrutura de madeira de lei tipo Paraju ou equivalente para cobertura de telha de fibrocimento canalete 49/90, inclusive tratamento com cupinicida, exclusive telhas </v>
          </cell>
          <cell r="C411" t="str">
            <v xml:space="preserve">m2 </v>
          </cell>
          <cell r="D411">
            <v>33.97</v>
          </cell>
        </row>
        <row r="412">
          <cell r="A412">
            <v>90104</v>
          </cell>
          <cell r="B412" t="str">
            <v xml:space="preserve">Estrutura de madeira de lei tipo Paraju ou equivalente para telhado de telhas cerâmicas tipo capa e canal c/ tesouras, pilares, vigas, terças, caibros e ripas, incl. trat. c/cupinicida, exclusive telhas </v>
          </cell>
          <cell r="C412" t="str">
            <v xml:space="preserve">m2 </v>
          </cell>
          <cell r="D412">
            <v>142.11000000000001</v>
          </cell>
        </row>
        <row r="413">
          <cell r="A413">
            <v>90105</v>
          </cell>
          <cell r="B413" t="str">
            <v xml:space="preserve">Estrutura de madeira de lei Paraju ou equivalente para telhado de telha cerâmica tipo francesa, com pontaletes, terças, caibros e ripas, inclusive tratamento com cupinicida, exclusive telhas </v>
          </cell>
          <cell r="C413" t="str">
            <v xml:space="preserve">m2 </v>
          </cell>
          <cell r="D413">
            <v>96.56</v>
          </cell>
        </row>
        <row r="414">
          <cell r="A414">
            <v>90113</v>
          </cell>
          <cell r="B414" t="str">
            <v xml:space="preserve">Tesoura completa em paraju para vãos de 4m, fornecimento e colocação </v>
          </cell>
          <cell r="C414" t="str">
            <v xml:space="preserve">und </v>
          </cell>
          <cell r="D414">
            <v>342.85</v>
          </cell>
        </row>
        <row r="415">
          <cell r="A415">
            <v>90114</v>
          </cell>
          <cell r="B415" t="str">
            <v xml:space="preserve">Tesoura completa em paraju para vãos de 5m, fornecimento e colocação </v>
          </cell>
          <cell r="C415" t="str">
            <v xml:space="preserve">und </v>
          </cell>
          <cell r="D415">
            <v>418.21</v>
          </cell>
        </row>
        <row r="416">
          <cell r="A416">
            <v>90115</v>
          </cell>
          <cell r="B416" t="str">
            <v xml:space="preserve">Tesoura completa em paraju para vãos de 6m, fornecimento e colocação </v>
          </cell>
          <cell r="C416" t="str">
            <v xml:space="preserve">und </v>
          </cell>
          <cell r="D416">
            <v>550.34</v>
          </cell>
        </row>
        <row r="417">
          <cell r="A417">
            <v>90116</v>
          </cell>
          <cell r="B417" t="str">
            <v xml:space="preserve">Tesoura completa em paraju para vãos de 7m, fornecimento e colocação </v>
          </cell>
          <cell r="C417" t="str">
            <v xml:space="preserve">und </v>
          </cell>
          <cell r="D417">
            <v>650.04999999999995</v>
          </cell>
        </row>
        <row r="418">
          <cell r="A418">
            <v>90117</v>
          </cell>
          <cell r="B418" t="str">
            <v xml:space="preserve">Tesoura completa em paraju para vãos de 8m, fornecimento e colocação </v>
          </cell>
          <cell r="C418" t="str">
            <v xml:space="preserve">und </v>
          </cell>
          <cell r="D418">
            <v>1131.32</v>
          </cell>
        </row>
        <row r="419">
          <cell r="A419">
            <v>90118</v>
          </cell>
          <cell r="B419" t="str">
            <v xml:space="preserve">Pontaletes de 8x8cm em paraju, verticais e horizontais para coberturas de telha cerâmica </v>
          </cell>
          <cell r="C419" t="str">
            <v xml:space="preserve">m2 </v>
          </cell>
          <cell r="D419">
            <v>21.29</v>
          </cell>
        </row>
        <row r="420">
          <cell r="A420">
            <v>90119</v>
          </cell>
          <cell r="B420" t="str">
            <v xml:space="preserve">Pontaletes de 8x8cm em paraju, verticais e horizontais para cobertura de telhas onduladas de polietileno ou fibrocimento </v>
          </cell>
          <cell r="C420" t="str">
            <v xml:space="preserve">m2 </v>
          </cell>
          <cell r="D420">
            <v>18.34</v>
          </cell>
        </row>
        <row r="421">
          <cell r="A421">
            <v>90120</v>
          </cell>
          <cell r="B421" t="str">
            <v xml:space="preserve">Estrutura de madeira de lei tipo Paraju ou equivalente para telhado de telha ecológica tipo Onduline ou equivalente, com ripões e caibros, incl. tratamento com cupinicida, exclusive telhas </v>
          </cell>
          <cell r="C421" t="str">
            <v xml:space="preserve">m2 </v>
          </cell>
          <cell r="D421">
            <v>54.26</v>
          </cell>
        </row>
        <row r="422">
          <cell r="A422">
            <v>902</v>
          </cell>
          <cell r="B422" t="str">
            <v xml:space="preserve">TELHADO </v>
          </cell>
          <cell r="C422" t="str">
            <v/>
          </cell>
          <cell r="D422" t="str">
            <v/>
          </cell>
        </row>
        <row r="423">
          <cell r="A423">
            <v>90202</v>
          </cell>
          <cell r="B423" t="str">
            <v xml:space="preserve">Cobertura nova de telhas onduladas de fibrocimento 6.0mm, inclusive cumeeiras e acessórios de fixação </v>
          </cell>
          <cell r="C423" t="str">
            <v xml:space="preserve">m2 </v>
          </cell>
          <cell r="D423">
            <v>28.43</v>
          </cell>
        </row>
        <row r="424">
          <cell r="A424">
            <v>90204</v>
          </cell>
          <cell r="B424" t="str">
            <v xml:space="preserve">Cobertura nova de telhas de fibrocimento tipo canalete 49, inclusive cumeeiras e acessórios de fixação </v>
          </cell>
          <cell r="C424" t="str">
            <v xml:space="preserve">m2 </v>
          </cell>
          <cell r="D424">
            <v>85.85</v>
          </cell>
        </row>
        <row r="425">
          <cell r="A425">
            <v>90205</v>
          </cell>
          <cell r="B425" t="str">
            <v xml:space="preserve">Cobertura nova de telhas cerâmicas tipo francesa, inclusive cumeeira </v>
          </cell>
          <cell r="C425" t="str">
            <v xml:space="preserve">m2 </v>
          </cell>
          <cell r="D425">
            <v>26.55</v>
          </cell>
        </row>
        <row r="426">
          <cell r="A426">
            <v>90206</v>
          </cell>
          <cell r="B426" t="str">
            <v xml:space="preserve">Cobertura nova de telhas de alumínio trapezoidal, H = 8 cm, esp. 0.5mm, inclusive acessórios de fixação </v>
          </cell>
          <cell r="C426" t="str">
            <v xml:space="preserve">m2 </v>
          </cell>
          <cell r="D426">
            <v>39.96</v>
          </cell>
        </row>
        <row r="427">
          <cell r="A427">
            <v>90207</v>
          </cell>
          <cell r="B427" t="str">
            <v xml:space="preserve">Cobertura nova de telhas de fibrocimento tipo canalete 90, inclusive cumeeira e acessórios de fixação </v>
          </cell>
          <cell r="C427" t="str">
            <v xml:space="preserve">m2 </v>
          </cell>
          <cell r="D427">
            <v>75.92</v>
          </cell>
        </row>
        <row r="428">
          <cell r="A428">
            <v>90211</v>
          </cell>
          <cell r="B428" t="str">
            <v xml:space="preserve">Cobertura nova de telhas cerâmicas tipo capa e canal inclusive cumeeira (telhas compradas na praça de Vitória, posto obra) (área de projeção horizontal; incl. 35%) </v>
          </cell>
          <cell r="C428" t="str">
            <v xml:space="preserve">m2 </v>
          </cell>
          <cell r="D428">
            <v>57.52</v>
          </cell>
        </row>
        <row r="429">
          <cell r="A429">
            <v>90212</v>
          </cell>
          <cell r="B429" t="str">
            <v xml:space="preserve">Cobertura nova de telhas cerâmicas tipo capa e canal inclusive cumeeiras (telhas compradas na fábrica, posto obra) </v>
          </cell>
          <cell r="C429" t="str">
            <v xml:space="preserve">m2 </v>
          </cell>
          <cell r="D429">
            <v>49.23</v>
          </cell>
        </row>
        <row r="430">
          <cell r="A430">
            <v>90215</v>
          </cell>
          <cell r="B430" t="str">
            <v xml:space="preserve">Cumeeira para cobertura em telha cerâmica tipo capa e canal </v>
          </cell>
          <cell r="C430" t="str">
            <v xml:space="preserve">m </v>
          </cell>
          <cell r="D430">
            <v>17.84</v>
          </cell>
        </row>
        <row r="431">
          <cell r="A431">
            <v>90216</v>
          </cell>
          <cell r="B431" t="str">
            <v xml:space="preserve">Cumeeira para cobertura em telhas onduladas de fibrocimento 6.0mm </v>
          </cell>
          <cell r="C431" t="str">
            <v xml:space="preserve">m </v>
          </cell>
          <cell r="D431">
            <v>35.9</v>
          </cell>
        </row>
        <row r="432">
          <cell r="A432">
            <v>90217</v>
          </cell>
          <cell r="B432" t="str">
            <v xml:space="preserve">Cobertura nova de telhas ecológicas tipo Onduline ou equivalente, inclusive cumeeira e acessórios de fixação </v>
          </cell>
          <cell r="C432" t="str">
            <v xml:space="preserve">m2 </v>
          </cell>
          <cell r="D432">
            <v>39.64</v>
          </cell>
        </row>
        <row r="433">
          <cell r="A433">
            <v>90219</v>
          </cell>
          <cell r="B433" t="str">
            <v xml:space="preserve">Cobertura em telha ondulada de alumínio, esp. 0.5mm, inclusive acessórios de fixação </v>
          </cell>
          <cell r="C433" t="str">
            <v xml:space="preserve">m2 </v>
          </cell>
          <cell r="D433">
            <v>39.19</v>
          </cell>
        </row>
        <row r="434">
          <cell r="A434">
            <v>903</v>
          </cell>
          <cell r="B434" t="str">
            <v xml:space="preserve">RUFOS E CALHAS </v>
          </cell>
          <cell r="C434" t="str">
            <v/>
          </cell>
          <cell r="D434" t="str">
            <v/>
          </cell>
        </row>
        <row r="435">
          <cell r="A435">
            <v>90301</v>
          </cell>
          <cell r="B435" t="str">
            <v xml:space="preserve">Rufo de concreto armado Fck=15 MPa, nas dimensões de 30x5 cm, moldado "in loco" </v>
          </cell>
          <cell r="C435" t="str">
            <v xml:space="preserve">m </v>
          </cell>
          <cell r="D435">
            <v>61.77</v>
          </cell>
        </row>
        <row r="436">
          <cell r="A436">
            <v>90302</v>
          </cell>
          <cell r="B436" t="str">
            <v xml:space="preserve">Rufo de chapa metálica nº 26 com largura de 30 cm </v>
          </cell>
          <cell r="C436" t="str">
            <v xml:space="preserve">m </v>
          </cell>
          <cell r="D436">
            <v>21.15</v>
          </cell>
        </row>
        <row r="437">
          <cell r="A437">
            <v>90305</v>
          </cell>
          <cell r="B437" t="str">
            <v xml:space="preserve">Calha de concreto armado Fck=15 MPa em "U" nas dimensões de 38 x 56 cm conforme detalhes em projeto </v>
          </cell>
          <cell r="C437" t="str">
            <v xml:space="preserve">m </v>
          </cell>
          <cell r="D437">
            <v>146</v>
          </cell>
        </row>
        <row r="438">
          <cell r="A438">
            <v>90310</v>
          </cell>
          <cell r="B438" t="str">
            <v xml:space="preserve">Calha em PVC com largura de 40 cm </v>
          </cell>
          <cell r="C438" t="str">
            <v xml:space="preserve">m </v>
          </cell>
          <cell r="D438">
            <v>30.12</v>
          </cell>
        </row>
        <row r="439">
          <cell r="A439">
            <v>90311</v>
          </cell>
          <cell r="B439" t="str">
            <v xml:space="preserve">Calha em PVC com largura de 60 cm </v>
          </cell>
          <cell r="C439" t="str">
            <v xml:space="preserve">m </v>
          </cell>
          <cell r="D439">
            <v>35.97</v>
          </cell>
        </row>
        <row r="440">
          <cell r="A440">
            <v>90312</v>
          </cell>
          <cell r="B440" t="str">
            <v xml:space="preserve">Calha em chapa galvanizada com largura de 40 cm </v>
          </cell>
          <cell r="C440" t="str">
            <v xml:space="preserve">m </v>
          </cell>
          <cell r="D440">
            <v>120.13</v>
          </cell>
        </row>
        <row r="441">
          <cell r="A441">
            <v>90314</v>
          </cell>
          <cell r="B441" t="str">
            <v xml:space="preserve">Rufo de chapa de alumínio esp. 0.5mm, largura de 30cm </v>
          </cell>
          <cell r="C441" t="str">
            <v xml:space="preserve">m </v>
          </cell>
          <cell r="D441">
            <v>54.87</v>
          </cell>
        </row>
        <row r="442">
          <cell r="A442">
            <v>905</v>
          </cell>
          <cell r="B442" t="str">
            <v xml:space="preserve">REVISÕES E REPAROS </v>
          </cell>
          <cell r="C442" t="str">
            <v/>
          </cell>
          <cell r="D442" t="str">
            <v/>
          </cell>
        </row>
        <row r="443">
          <cell r="A443">
            <v>90501</v>
          </cell>
          <cell r="B443" t="str">
            <v xml:space="preserve">Recolocação de engradamento de madeira para telhado com telha cerâmica, com pontaletes, terças, caibros e ripas, exclusive fornecimento </v>
          </cell>
          <cell r="C443" t="str">
            <v xml:space="preserve">m2 </v>
          </cell>
          <cell r="D443">
            <v>25.77</v>
          </cell>
        </row>
        <row r="444">
          <cell r="A444">
            <v>90502</v>
          </cell>
          <cell r="B444" t="str">
            <v xml:space="preserve">Recolocação de estrutura de madeira para telhado com telha ondulada de fibrocimento ou telha ecológica tipo onduline, com pontaletes e caibros, exclusive fornecimento </v>
          </cell>
          <cell r="C444" t="str">
            <v xml:space="preserve">m2 </v>
          </cell>
          <cell r="D444">
            <v>8.83</v>
          </cell>
        </row>
        <row r="445">
          <cell r="A445">
            <v>90503</v>
          </cell>
          <cell r="B445" t="str">
            <v xml:space="preserve">Descupinização de estrutura de madeira de cobertura </v>
          </cell>
          <cell r="C445" t="str">
            <v xml:space="preserve">m2 </v>
          </cell>
          <cell r="D445">
            <v>2.75</v>
          </cell>
        </row>
        <row r="446">
          <cell r="A446">
            <v>90506</v>
          </cell>
          <cell r="B446" t="str">
            <v xml:space="preserve">Recolocação de telha ondulada de fibrocimento 6mm, excl. cumeeira </v>
          </cell>
          <cell r="C446" t="str">
            <v xml:space="preserve">m2 </v>
          </cell>
          <cell r="D446">
            <v>7.23</v>
          </cell>
        </row>
        <row r="447">
          <cell r="A447">
            <v>90507</v>
          </cell>
          <cell r="B447" t="str">
            <v xml:space="preserve">Recolocação de telha de fibrocimento tipo canalete 49, excl. cumeeira </v>
          </cell>
          <cell r="C447" t="str">
            <v xml:space="preserve">m2 </v>
          </cell>
          <cell r="D447">
            <v>24.28</v>
          </cell>
        </row>
        <row r="448">
          <cell r="A448">
            <v>90508</v>
          </cell>
          <cell r="B448" t="str">
            <v xml:space="preserve">Recolocação de telha de fibrocimento tipo canalete 90, excl. cumeeira </v>
          </cell>
          <cell r="C448" t="str">
            <v xml:space="preserve">m2 </v>
          </cell>
          <cell r="D448">
            <v>15.53</v>
          </cell>
        </row>
        <row r="449">
          <cell r="A449">
            <v>90509</v>
          </cell>
          <cell r="B449" t="str">
            <v xml:space="preserve">Remoção, lavagem com escova de aço e recolocação de telhas cerâmicas </v>
          </cell>
          <cell r="C449" t="str">
            <v xml:space="preserve">m2 </v>
          </cell>
          <cell r="D449">
            <v>36.43</v>
          </cell>
        </row>
        <row r="450">
          <cell r="A450">
            <v>90511</v>
          </cell>
          <cell r="B450" t="str">
            <v xml:space="preserve">Tratamento em estrutura de madeira com cupinicida </v>
          </cell>
          <cell r="C450" t="str">
            <v xml:space="preserve">m2 </v>
          </cell>
          <cell r="D450">
            <v>20.72</v>
          </cell>
        </row>
        <row r="451">
          <cell r="A451">
            <v>90512</v>
          </cell>
          <cell r="B451" t="str">
            <v xml:space="preserve">Limpeza de calhas e coletores (serviço realizado por servente) </v>
          </cell>
          <cell r="C451" t="str">
            <v xml:space="preserve">m3 </v>
          </cell>
          <cell r="D451">
            <v>9.27</v>
          </cell>
        </row>
        <row r="452">
          <cell r="A452">
            <v>10</v>
          </cell>
          <cell r="B452" t="str">
            <v xml:space="preserve">IMPERMEABILIZAÇÃO </v>
          </cell>
          <cell r="C452" t="str">
            <v/>
          </cell>
          <cell r="D452" t="str">
            <v/>
          </cell>
        </row>
        <row r="453">
          <cell r="A453">
            <v>1001</v>
          </cell>
          <cell r="B453" t="str">
            <v xml:space="preserve">IMPERMEABILIZAÇÃO DE CAIXAS DE ÁGUA </v>
          </cell>
          <cell r="C453" t="str">
            <v/>
          </cell>
          <cell r="D453" t="str">
            <v/>
          </cell>
        </row>
        <row r="454">
          <cell r="A454">
            <v>100102</v>
          </cell>
          <cell r="B454" t="str">
            <v xml:space="preserve">Impermeabilização nas seguintes etapas: chapisco traço 1:2 c/ sika 1 ou equivalente, revest. duplo c/ argamassa de cimento e areia traço 1:3 c/ sika 1 ou equivalente, em 2x15 mm e acab. argamassa 1:1 </v>
          </cell>
          <cell r="C454" t="str">
            <v xml:space="preserve">m2 </v>
          </cell>
          <cell r="D454">
            <v>37.11</v>
          </cell>
        </row>
        <row r="455">
          <cell r="A455">
            <v>100105</v>
          </cell>
          <cell r="B455" t="str">
            <v xml:space="preserve">Índice de imperm.c/ manta asfáltica atendendo NBR 9952, asfalto polimérico, esp.4mm reforç.c/ filme int.em polietileno, regul.base c/ arg.1:4 esp.mín.15mm, proteção mec. arg. 1:4 esp.20mm e juntas dilat. </v>
          </cell>
          <cell r="C455" t="str">
            <v xml:space="preserve">m2 </v>
          </cell>
          <cell r="D455">
            <v>66.239999999999995</v>
          </cell>
        </row>
        <row r="456">
          <cell r="A456">
            <v>1002</v>
          </cell>
          <cell r="B456" t="str">
            <v xml:space="preserve">IMPERMEABILIZAÇÃO CALHAS, LAJES DESCOBERTAS, BALDRAMES, PAREDES E JARDINEIRAS </v>
          </cell>
          <cell r="C456" t="str">
            <v/>
          </cell>
          <cell r="D456" t="str">
            <v/>
          </cell>
        </row>
        <row r="457">
          <cell r="A457">
            <v>100202</v>
          </cell>
          <cell r="B457" t="str">
            <v xml:space="preserve">Impermeabilização com argamassa de igol 2 - marca de referência Sika </v>
          </cell>
          <cell r="C457" t="str">
            <v xml:space="preserve">m2 </v>
          </cell>
          <cell r="D457">
            <v>27.81</v>
          </cell>
        </row>
        <row r="458">
          <cell r="A458">
            <v>100203</v>
          </cell>
          <cell r="B458" t="str">
            <v xml:space="preserve">Pintura impermeabilizante com igolflex ou equivalente a 3 demãos </v>
          </cell>
          <cell r="C458" t="str">
            <v xml:space="preserve">m2 </v>
          </cell>
          <cell r="D458">
            <v>23.74</v>
          </cell>
        </row>
        <row r="459">
          <cell r="A459">
            <v>100204</v>
          </cell>
          <cell r="B459" t="str">
            <v xml:space="preserve">Impermeabilização, empregando argamassa de cimento e areia sem peneirar no traço 1:3 com aditivo impermeabilizado tipo sika 1 ou equivalente, espessura de 2 cm </v>
          </cell>
          <cell r="C459" t="str">
            <v xml:space="preserve">m2 </v>
          </cell>
          <cell r="D459">
            <v>20.34</v>
          </cell>
        </row>
        <row r="460">
          <cell r="A460">
            <v>100208</v>
          </cell>
          <cell r="B460" t="str">
            <v xml:space="preserve">Índice de imperm.c/ manta asfáltica atendendo NBR 9952, asfalto polimerizado esp.3mm, reforç.c/ filme int. polietileno, regul. base c/ arg.1:4 esp.mín.15mm, proteção mec. arg.1:4 esp.20mm e juntas dilat. </v>
          </cell>
          <cell r="C460" t="str">
            <v xml:space="preserve">m2 </v>
          </cell>
          <cell r="D460">
            <v>62.4</v>
          </cell>
        </row>
        <row r="461">
          <cell r="A461">
            <v>1003</v>
          </cell>
          <cell r="B461" t="str">
            <v xml:space="preserve">IMPERMEABILIZAÇÃO DE FOSSAS E FILTROS </v>
          </cell>
          <cell r="C461" t="str">
            <v/>
          </cell>
          <cell r="D461" t="str">
            <v/>
          </cell>
        </row>
        <row r="462">
          <cell r="A462">
            <v>100301</v>
          </cell>
          <cell r="B462" t="str">
            <v xml:space="preserve">Impermeabilização nas seguintes etapas: chapisco traço 1:2 c/ sika 1 prop. 1:10 ou equiv., revest. duplo c/ argamassa de cimento e areia traço 1:3 c/ sika 1 prop. 1:12 ou equivalente, esp. 2x15 mm e acab. argamassa 1:2 </v>
          </cell>
          <cell r="C462" t="str">
            <v xml:space="preserve">m2 </v>
          </cell>
          <cell r="D462">
            <v>44.83</v>
          </cell>
        </row>
        <row r="463">
          <cell r="A463">
            <v>11</v>
          </cell>
          <cell r="B463" t="str">
            <v xml:space="preserve">TETOS E FORROS </v>
          </cell>
          <cell r="C463" t="str">
            <v/>
          </cell>
          <cell r="D463" t="str">
            <v/>
          </cell>
        </row>
        <row r="464">
          <cell r="A464">
            <v>1101</v>
          </cell>
          <cell r="B464" t="str">
            <v xml:space="preserve">REVESTIMENTO COM ARGAMASSA </v>
          </cell>
          <cell r="C464" t="str">
            <v/>
          </cell>
          <cell r="D464" t="str">
            <v/>
          </cell>
        </row>
        <row r="465">
          <cell r="A465">
            <v>110101</v>
          </cell>
          <cell r="B465" t="str">
            <v xml:space="preserve">Chapisco com argamassa de cimento e areia média ou grossa lavada no traço 1:3, espessura 5 mm </v>
          </cell>
          <cell r="C465" t="str">
            <v xml:space="preserve">m2 </v>
          </cell>
          <cell r="D465">
            <v>6.04</v>
          </cell>
        </row>
        <row r="466">
          <cell r="A466">
            <v>110105</v>
          </cell>
          <cell r="B466" t="str">
            <v xml:space="preserve">Reboco tipo paulista com argamassa de cimento, cal hidratada e areia fina lavada no traço 1:1:6 espessura de 25 mm </v>
          </cell>
          <cell r="C466" t="str">
            <v xml:space="preserve">m2 </v>
          </cell>
          <cell r="D466">
            <v>28.77</v>
          </cell>
        </row>
        <row r="467">
          <cell r="A467">
            <v>1102</v>
          </cell>
          <cell r="B467" t="str">
            <v xml:space="preserve">REBAIXAMENTOS </v>
          </cell>
          <cell r="C467" t="str">
            <v/>
          </cell>
          <cell r="D467" t="str">
            <v/>
          </cell>
        </row>
        <row r="468">
          <cell r="A468">
            <v>110201</v>
          </cell>
          <cell r="B468" t="str">
            <v xml:space="preserve">Forro de gesso acabamento tipo liso </v>
          </cell>
          <cell r="C468" t="str">
            <v xml:space="preserve">m2 </v>
          </cell>
          <cell r="D468">
            <v>26.34</v>
          </cell>
        </row>
        <row r="469">
          <cell r="A469">
            <v>110203</v>
          </cell>
          <cell r="B469" t="str">
            <v xml:space="preserve">Forro de gesso acabamento tipo bisotado </v>
          </cell>
          <cell r="C469" t="str">
            <v xml:space="preserve">m2 </v>
          </cell>
          <cell r="D469">
            <v>29.06</v>
          </cell>
        </row>
        <row r="470">
          <cell r="A470">
            <v>110207</v>
          </cell>
          <cell r="B470" t="str">
            <v xml:space="preserve">Forro com placas de isopor de 2cm, cobertas com compensado 4mm, apoiado sobre ripas de paraju de 10x2cm fixadas na estrutura do telhado </v>
          </cell>
          <cell r="C470" t="str">
            <v xml:space="preserve">m2 </v>
          </cell>
          <cell r="D470">
            <v>45.21</v>
          </cell>
        </row>
        <row r="471">
          <cell r="A471">
            <v>110208</v>
          </cell>
          <cell r="B471" t="str">
            <v xml:space="preserve">Forro em compensado 4mm apoiadas sobre ripas de paraju de 10x2cm aparelhadas fixadas na estrutura do telhado </v>
          </cell>
          <cell r="C471" t="str">
            <v xml:space="preserve">m2 </v>
          </cell>
          <cell r="D471">
            <v>28.62</v>
          </cell>
        </row>
        <row r="472">
          <cell r="A472">
            <v>110210</v>
          </cell>
          <cell r="B472" t="str">
            <v xml:space="preserve">Forro PVC branco L = 20 cm, frisado, colocado </v>
          </cell>
          <cell r="C472" t="str">
            <v xml:space="preserve">m2 </v>
          </cell>
          <cell r="D472">
            <v>44.75</v>
          </cell>
        </row>
        <row r="473">
          <cell r="A473">
            <v>1103</v>
          </cell>
          <cell r="B473" t="str">
            <v xml:space="preserve">REVESTIMENTO EMPREGANDO ARGAMASSA DE CIMENTO, CAL E AREIA </v>
          </cell>
          <cell r="C473" t="str">
            <v/>
          </cell>
          <cell r="D473" t="str">
            <v/>
          </cell>
        </row>
        <row r="474">
          <cell r="A474">
            <v>110301</v>
          </cell>
          <cell r="B474" t="str">
            <v xml:space="preserve">Emboço de argamassa de cimento, cal hidratada CH1 e areia lavada traço 1:0.5:6, espessura 20 mm </v>
          </cell>
          <cell r="C474" t="str">
            <v xml:space="preserve">m2 </v>
          </cell>
          <cell r="D474">
            <v>16.420000000000002</v>
          </cell>
        </row>
        <row r="475">
          <cell r="A475">
            <v>110302</v>
          </cell>
          <cell r="B475" t="str">
            <v xml:space="preserve">Reboco tipo paulista de argamassa de cimento, cal hidratada CH1 e areia lavada traço 1:0.5:6, espessura 25 mm </v>
          </cell>
          <cell r="C475" t="str">
            <v xml:space="preserve">m2 </v>
          </cell>
          <cell r="D475">
            <v>27.61</v>
          </cell>
        </row>
        <row r="476">
          <cell r="A476">
            <v>1104</v>
          </cell>
          <cell r="B476" t="str">
            <v xml:space="preserve">REVISÕES E REPAROS </v>
          </cell>
          <cell r="C476" t="str">
            <v/>
          </cell>
          <cell r="D476" t="str">
            <v/>
          </cell>
        </row>
        <row r="477">
          <cell r="A477">
            <v>110401</v>
          </cell>
          <cell r="B477" t="str">
            <v xml:space="preserve">Recolocação de forro de madeira, com aproveitamento do material </v>
          </cell>
          <cell r="C477" t="str">
            <v xml:space="preserve">m2 </v>
          </cell>
          <cell r="D477">
            <v>22.95</v>
          </cell>
        </row>
        <row r="478">
          <cell r="A478">
            <v>12</v>
          </cell>
          <cell r="B478" t="str">
            <v xml:space="preserve">REVESTIMENTO DE PAREDES </v>
          </cell>
          <cell r="C478" t="str">
            <v/>
          </cell>
          <cell r="D478" t="str">
            <v/>
          </cell>
        </row>
        <row r="479">
          <cell r="A479">
            <v>1201</v>
          </cell>
          <cell r="B479" t="str">
            <v xml:space="preserve">REVESTIMENTO COM ARGAMASSA </v>
          </cell>
          <cell r="C479" t="str">
            <v/>
          </cell>
          <cell r="D479" t="str">
            <v/>
          </cell>
        </row>
        <row r="480">
          <cell r="A480">
            <v>120101</v>
          </cell>
          <cell r="B480" t="str">
            <v xml:space="preserve">Chapisco de argamassa de cimento e areia média ou grossa lavada, no traço 1:3, espessura 5 mm </v>
          </cell>
          <cell r="C480" t="str">
            <v xml:space="preserve">m2 </v>
          </cell>
          <cell r="D480">
            <v>3.33</v>
          </cell>
        </row>
        <row r="481">
          <cell r="A481">
            <v>1202</v>
          </cell>
          <cell r="B481" t="str">
            <v xml:space="preserve">ACABAMENTOS </v>
          </cell>
          <cell r="C481" t="str">
            <v/>
          </cell>
          <cell r="D481" t="str">
            <v/>
          </cell>
        </row>
        <row r="482">
          <cell r="A482">
            <v>120201</v>
          </cell>
          <cell r="B482" t="str">
            <v xml:space="preserve">Azulejo branco 15 x 15 cm, juntas a prumo, assentado com argamassa de cimento colante, inclusive rejuntamento com cimento branco, marcas de referência Eliane, Cecrisa ou Portobello </v>
          </cell>
          <cell r="C482" t="str">
            <v xml:space="preserve">m2 </v>
          </cell>
          <cell r="D482">
            <v>32.58</v>
          </cell>
        </row>
        <row r="483">
          <cell r="A483">
            <v>120202</v>
          </cell>
          <cell r="B483" t="str">
            <v xml:space="preserve">Rejuntamento para azulejos, usando cimento branco, para juntas de no máximo 3 mm de espessura </v>
          </cell>
          <cell r="C483" t="str">
            <v xml:space="preserve">m2 </v>
          </cell>
          <cell r="D483">
            <v>4.1900000000000004</v>
          </cell>
        </row>
        <row r="484">
          <cell r="A484">
            <v>120205</v>
          </cell>
          <cell r="B484" t="str">
            <v xml:space="preserve">Roda-parede de madeira de lei tipo Paraju ou equivalente de 10.0x2.5cm, fixado com parafuso e bucha plástica n.8 </v>
          </cell>
          <cell r="C484" t="str">
            <v xml:space="preserve">m </v>
          </cell>
          <cell r="D484">
            <v>22.96</v>
          </cell>
        </row>
        <row r="485">
          <cell r="A485">
            <v>120207</v>
          </cell>
          <cell r="B485" t="str">
            <v xml:space="preserve">Roda-parede de madeira de lei tipo Paraju ou equivalente, de 20 X 1.5cm fixado com parafuso e bucha plástica no.7 </v>
          </cell>
          <cell r="C485" t="str">
            <v xml:space="preserve">m </v>
          </cell>
          <cell r="D485">
            <v>28.21</v>
          </cell>
        </row>
        <row r="486">
          <cell r="A486">
            <v>120208</v>
          </cell>
          <cell r="B486" t="str">
            <v xml:space="preserve">Acabamento de alumínio com perfil de canto para arremate das paredes </v>
          </cell>
          <cell r="C486" t="str">
            <v xml:space="preserve">m </v>
          </cell>
          <cell r="D486">
            <v>8.9700000000000006</v>
          </cell>
        </row>
        <row r="487">
          <cell r="A487">
            <v>120220</v>
          </cell>
          <cell r="B487" t="str">
            <v xml:space="preserve">Cerâmica 10 x 10 cm, marcas de referência Eliane, Cecrisa ou Portobello, nas cores branco ou areia, com rejunte esp. 0.5 cm, empregando argamassa colante </v>
          </cell>
          <cell r="C487" t="str">
            <v xml:space="preserve">m2 </v>
          </cell>
          <cell r="D487">
            <v>50.33</v>
          </cell>
        </row>
        <row r="488">
          <cell r="A488">
            <v>120221</v>
          </cell>
          <cell r="B488" t="str">
            <v xml:space="preserve">Pastilha cerâmica 5 x 5 cm, assentada com argamassa de cimento colante e rejunte pré-fabricado, marcas de referência Eliane, Cecrisa ou Portobello </v>
          </cell>
          <cell r="C488" t="str">
            <v xml:space="preserve">m2 </v>
          </cell>
          <cell r="D488">
            <v>121.14</v>
          </cell>
        </row>
        <row r="489">
          <cell r="A489">
            <v>120224</v>
          </cell>
          <cell r="B489" t="str">
            <v xml:space="preserve">Assentamento de revestimento cerâmico com cimento colante, excl. rejuntamento e cerâmica </v>
          </cell>
          <cell r="C489" t="str">
            <v xml:space="preserve">m2 </v>
          </cell>
          <cell r="D489">
            <v>7.4</v>
          </cell>
        </row>
        <row r="490">
          <cell r="A490">
            <v>120227</v>
          </cell>
          <cell r="B490" t="str">
            <v xml:space="preserve">Roda parede em granito cinza andorinha 7x2cm, com acabamento abaulado nos dois lados </v>
          </cell>
          <cell r="C490" t="str">
            <v xml:space="preserve">m </v>
          </cell>
          <cell r="D490">
            <v>28.67</v>
          </cell>
        </row>
        <row r="491">
          <cell r="A491">
            <v>1203</v>
          </cell>
          <cell r="B491" t="str">
            <v xml:space="preserve">REVESTIMENTO EMPREGANDO ARGAMASSA DE CIMENTO, CAL E AREIA </v>
          </cell>
          <cell r="C491" t="str">
            <v/>
          </cell>
          <cell r="D491" t="str">
            <v/>
          </cell>
        </row>
        <row r="492">
          <cell r="A492">
            <v>120301</v>
          </cell>
          <cell r="B492" t="str">
            <v xml:space="preserve">Emboço de argamassa de cimento, cal hidratada e areia média ou grossa lavada no traço 1:0.5:6, espessura 20 mm </v>
          </cell>
          <cell r="C492" t="str">
            <v xml:space="preserve">m2 </v>
          </cell>
          <cell r="D492">
            <v>14.82</v>
          </cell>
        </row>
        <row r="493">
          <cell r="A493">
            <v>120302</v>
          </cell>
          <cell r="B493" t="str">
            <v xml:space="preserve">Reboco de argamassa de cimento, cal hidratada e areia média ou grossa lavada no traço 1:0.5:6, espessura 5mm </v>
          </cell>
          <cell r="C493" t="str">
            <v xml:space="preserve">m2 </v>
          </cell>
          <cell r="D493">
            <v>9.82</v>
          </cell>
        </row>
        <row r="494">
          <cell r="A494">
            <v>120303</v>
          </cell>
          <cell r="B494" t="str">
            <v xml:space="preserve">Reboco tipo paulista de argamassa de cimento, cal hidratada CH1e areia média ou grossa lavada no traço 1:0.5:6, espessura 25 mm </v>
          </cell>
          <cell r="C494" t="str">
            <v xml:space="preserve">m2 </v>
          </cell>
          <cell r="D494">
            <v>24.68</v>
          </cell>
        </row>
        <row r="495">
          <cell r="A495">
            <v>120304</v>
          </cell>
          <cell r="B495" t="str">
            <v xml:space="preserve">Reboco de argamassa de cimento, cal hidratada CH1 e areia média ou grossa lavada no traço 1:0.5:6, com impermeabilizante para revestimentos (caixas, fossas, filtros, cisternas, etc...) </v>
          </cell>
          <cell r="C495" t="str">
            <v xml:space="preserve">m2 </v>
          </cell>
          <cell r="D495">
            <v>27.15</v>
          </cell>
        </row>
        <row r="496">
          <cell r="A496">
            <v>13</v>
          </cell>
          <cell r="B496" t="str">
            <v xml:space="preserve">PISOS INTERNOS E EXTERNOS </v>
          </cell>
          <cell r="C496" t="str">
            <v/>
          </cell>
          <cell r="D496" t="str">
            <v/>
          </cell>
        </row>
        <row r="497">
          <cell r="A497">
            <v>1301</v>
          </cell>
          <cell r="B497" t="str">
            <v xml:space="preserve">LASTRO DE CONTRAPISO </v>
          </cell>
          <cell r="C497" t="str">
            <v/>
          </cell>
          <cell r="D497" t="str">
            <v/>
          </cell>
        </row>
        <row r="498">
          <cell r="A498">
            <v>130103</v>
          </cell>
          <cell r="B498" t="str">
            <v xml:space="preserve">Regularização de base p/ revestimento cerâmico, com argamassa de cimento e areia no traço 1:5, na espessura 3cm </v>
          </cell>
          <cell r="C498" t="str">
            <v xml:space="preserve">m2 </v>
          </cell>
          <cell r="D498">
            <v>11.9</v>
          </cell>
        </row>
        <row r="499">
          <cell r="A499">
            <v>130104</v>
          </cell>
          <cell r="B499" t="str">
            <v xml:space="preserve">Regularização de base p/ revestimento cerâmico, com argamassa de cimento e areia no traço 1:5, espessura 5cm </v>
          </cell>
          <cell r="C499" t="str">
            <v xml:space="preserve">m2 </v>
          </cell>
          <cell r="D499">
            <v>18.760000000000002</v>
          </cell>
        </row>
        <row r="500">
          <cell r="A500">
            <v>130109</v>
          </cell>
          <cell r="B500" t="str">
            <v xml:space="preserve">Lastro regularizado e impermeabilizado de concreto não estrutural, espessura de 8 cm </v>
          </cell>
          <cell r="C500" t="str">
            <v xml:space="preserve">m2 </v>
          </cell>
          <cell r="D500">
            <v>36.450000000000003</v>
          </cell>
        </row>
        <row r="501">
          <cell r="A501">
            <v>130110</v>
          </cell>
          <cell r="B501" t="str">
            <v xml:space="preserve">Lastro regularizado de concreto não estrutural, espessura de 8 cm </v>
          </cell>
          <cell r="C501" t="str">
            <v xml:space="preserve">m2 </v>
          </cell>
          <cell r="D501">
            <v>31.16</v>
          </cell>
        </row>
        <row r="502">
          <cell r="A502">
            <v>130111</v>
          </cell>
          <cell r="B502" t="str">
            <v xml:space="preserve">Lastro impermeabilizado de concreto não estrutural, espessura de 6 cm </v>
          </cell>
          <cell r="C502" t="str">
            <v xml:space="preserve">m2 </v>
          </cell>
          <cell r="D502">
            <v>27.58</v>
          </cell>
        </row>
        <row r="503">
          <cell r="A503">
            <v>130112</v>
          </cell>
          <cell r="B503" t="str">
            <v xml:space="preserve">Lastro de concreto não estrutural, espessura de 6 cm </v>
          </cell>
          <cell r="C503" t="str">
            <v xml:space="preserve">m2 </v>
          </cell>
          <cell r="D503">
            <v>23.6</v>
          </cell>
        </row>
        <row r="504">
          <cell r="A504">
            <v>1302</v>
          </cell>
          <cell r="B504" t="str">
            <v xml:space="preserve">ACABAMENTOS </v>
          </cell>
          <cell r="C504" t="str">
            <v/>
          </cell>
          <cell r="D504" t="str">
            <v/>
          </cell>
        </row>
        <row r="505">
          <cell r="A505">
            <v>130202</v>
          </cell>
          <cell r="B505" t="str">
            <v xml:space="preserve">Piso cimentado liso com 1.5 cm de espessura, de argamassa de cimento e areia no traço 1:3 e juntas plásticas em quadros de 1 m </v>
          </cell>
          <cell r="C505" t="str">
            <v xml:space="preserve">m2 </v>
          </cell>
          <cell r="D505">
            <v>22.75</v>
          </cell>
        </row>
        <row r="506">
          <cell r="A506">
            <v>130205</v>
          </cell>
          <cell r="B506" t="str">
            <v xml:space="preserve">Piso de tábuas corridas de Peroba de 15cm sobre caibros de 5x6cm espaçados de 50cm, fixados com argamassa de cimento e areia no traço 1:5 </v>
          </cell>
          <cell r="C506" t="str">
            <v xml:space="preserve">m2 </v>
          </cell>
          <cell r="D506">
            <v>107.7</v>
          </cell>
        </row>
        <row r="507">
          <cell r="A507">
            <v>130208</v>
          </cell>
          <cell r="B507" t="str">
            <v xml:space="preserve">Junta plástica 17 x 3 mm, para pisos corridos, inclusive fornecimento e colocação </v>
          </cell>
          <cell r="C507" t="str">
            <v xml:space="preserve">m </v>
          </cell>
          <cell r="D507">
            <v>3.76</v>
          </cell>
        </row>
        <row r="508">
          <cell r="A508">
            <v>130209</v>
          </cell>
          <cell r="B508" t="str">
            <v xml:space="preserve">Piso de cimentado camurçado executado com argamassa de cimento e areia no traço 1:3, esp. 3.0cm </v>
          </cell>
          <cell r="C508" t="str">
            <v xml:space="preserve">m2 </v>
          </cell>
          <cell r="D508">
            <v>38.44</v>
          </cell>
        </row>
        <row r="509">
          <cell r="A509">
            <v>130210</v>
          </cell>
          <cell r="B509" t="str">
            <v xml:space="preserve">Piso cimentado liso com 1.5 cm de espessura, em argamassa de cimento e areia no traço 1:3 e juntas plásticas em quadros de 1 m colorido com corante tipo Xadrez ou equivalente </v>
          </cell>
          <cell r="C509" t="str">
            <v xml:space="preserve">m2 </v>
          </cell>
          <cell r="D509">
            <v>26.62</v>
          </cell>
        </row>
        <row r="510">
          <cell r="A510">
            <v>130217</v>
          </cell>
          <cell r="B510" t="str">
            <v xml:space="preserve">Piso de argamassa de alta resistência tipo granilite ou equivalente de qualidade comprovada, espessura de 10mm, com juntas plástica em quadros de 1 m, na cor natural c/ acabamento anti-derrapante inclusive regularização </v>
          </cell>
          <cell r="C510" t="str">
            <v xml:space="preserve">m2 </v>
          </cell>
          <cell r="D510">
            <v>51.25</v>
          </cell>
        </row>
        <row r="511">
          <cell r="A511">
            <v>130218</v>
          </cell>
          <cell r="B511" t="str">
            <v xml:space="preserve">Piso de argamassa de alta resistência tipo granilite ou equivalente de qualidade comprovada, espessura de 10mm, com juntas plástica em quadros de 1 m, na cor natural com acabamento polido inclusive regularização </v>
          </cell>
          <cell r="C511" t="str">
            <v xml:space="preserve">m2 </v>
          </cell>
          <cell r="D511">
            <v>55.26</v>
          </cell>
        </row>
        <row r="512">
          <cell r="A512">
            <v>130219</v>
          </cell>
          <cell r="B512" t="str">
            <v xml:space="preserve">Piso cerâmico 31 x 31cm, PEI 5, Cargo Plus Gray, marcas de referência Eliane, Cecrisa ou Portobello, assentado com argamassa de cimento colante, inclusive rejuntamento </v>
          </cell>
          <cell r="C512" t="str">
            <v xml:space="preserve">m2 </v>
          </cell>
          <cell r="D512">
            <v>51.37</v>
          </cell>
        </row>
        <row r="513">
          <cell r="A513">
            <v>130223</v>
          </cell>
          <cell r="B513" t="str">
            <v xml:space="preserve">Assentamento de piso cerâmico, com utilização de cimento colante, excl. rejuntamento e cerâmica </v>
          </cell>
          <cell r="C513" t="str">
            <v xml:space="preserve">m2 </v>
          </cell>
          <cell r="D513">
            <v>6.72</v>
          </cell>
        </row>
        <row r="514">
          <cell r="A514">
            <v>130225</v>
          </cell>
          <cell r="B514" t="str">
            <v xml:space="preserve">Rejuntamento de piso cerâmico, usando cimento branco, para juntas de no máximo 3mm de espessura </v>
          </cell>
          <cell r="C514" t="str">
            <v xml:space="preserve">m2 </v>
          </cell>
          <cell r="D514">
            <v>4.1900000000000004</v>
          </cell>
        </row>
        <row r="515">
          <cell r="A515">
            <v>130226</v>
          </cell>
          <cell r="B515" t="str">
            <v xml:space="preserve">Rejuntamento empregando argamassa para rejunte, esp. 5mm </v>
          </cell>
          <cell r="C515" t="str">
            <v xml:space="preserve">m2 </v>
          </cell>
          <cell r="D515">
            <v>5.82</v>
          </cell>
        </row>
        <row r="516">
          <cell r="A516">
            <v>1303</v>
          </cell>
          <cell r="B516" t="str">
            <v xml:space="preserve">DEGRAUS, RODAPÉS, SOLEIRAS E PEITORIS </v>
          </cell>
          <cell r="C516" t="str">
            <v/>
          </cell>
          <cell r="D516" t="str">
            <v/>
          </cell>
        </row>
        <row r="517">
          <cell r="A517">
            <v>130301</v>
          </cell>
          <cell r="B517" t="str">
            <v xml:space="preserve">Rodapé de argamassa de cimento e areia no traço 1:3, altura de 7 cm e espessura de 2 cm </v>
          </cell>
          <cell r="C517" t="str">
            <v xml:space="preserve">m </v>
          </cell>
          <cell r="D517">
            <v>5.79</v>
          </cell>
        </row>
        <row r="518">
          <cell r="A518">
            <v>130302</v>
          </cell>
          <cell r="B518" t="str">
            <v xml:space="preserve">Rodapé de argamassa de alta resistência tipo granilite ou equivalente de qualidade comprovada, altura de 7 cm e espessura de 10 mm </v>
          </cell>
          <cell r="C518" t="str">
            <v xml:space="preserve">m </v>
          </cell>
          <cell r="D518">
            <v>21.22</v>
          </cell>
        </row>
        <row r="519">
          <cell r="A519">
            <v>130303</v>
          </cell>
          <cell r="B519" t="str">
            <v xml:space="preserve">Rodapé de cerâmica vitrificada, assentado com argamassa de cimento cola h = 7.0 cm, inclusive rejuntamento </v>
          </cell>
          <cell r="C519" t="str">
            <v xml:space="preserve">m </v>
          </cell>
          <cell r="D519">
            <v>7.23</v>
          </cell>
        </row>
        <row r="520">
          <cell r="A520">
            <v>130304</v>
          </cell>
          <cell r="B520" t="str">
            <v xml:space="preserve">Rodapé de madeira de lei 7.0 x 1.5 cm, fixado c/ parafuso e bucha plástica no. 7 </v>
          </cell>
          <cell r="C520" t="str">
            <v xml:space="preserve">m </v>
          </cell>
          <cell r="D520">
            <v>13.52</v>
          </cell>
        </row>
        <row r="521">
          <cell r="A521">
            <v>130306</v>
          </cell>
          <cell r="B521" t="str">
            <v xml:space="preserve">Soleira de mármore branco comum, esp. 2cm e largura de 15cm </v>
          </cell>
          <cell r="C521" t="str">
            <v xml:space="preserve">m </v>
          </cell>
          <cell r="D521">
            <v>28.51</v>
          </cell>
        </row>
        <row r="522">
          <cell r="A522">
            <v>130307</v>
          </cell>
          <cell r="B522" t="str">
            <v xml:space="preserve">Peitoril de mármore branco com largura 40 cm e esp. 3cm </v>
          </cell>
          <cell r="C522" t="str">
            <v xml:space="preserve">m </v>
          </cell>
          <cell r="D522">
            <v>77.08</v>
          </cell>
        </row>
        <row r="523">
          <cell r="A523">
            <v>130308</v>
          </cell>
          <cell r="B523" t="str">
            <v xml:space="preserve">Soleira de granito esp. 2 cm e largura de 15 cm </v>
          </cell>
          <cell r="C523" t="str">
            <v xml:space="preserve">m </v>
          </cell>
          <cell r="D523">
            <v>31.91</v>
          </cell>
        </row>
        <row r="524">
          <cell r="A524">
            <v>130311</v>
          </cell>
          <cell r="B524" t="str">
            <v xml:space="preserve">Soleira de granito cinza, espessura 3 cm e largura de 3 cm, conforme detalhe em projeto </v>
          </cell>
          <cell r="C524" t="str">
            <v xml:space="preserve">m </v>
          </cell>
          <cell r="D524">
            <v>9.52</v>
          </cell>
        </row>
        <row r="525">
          <cell r="A525">
            <v>130313</v>
          </cell>
          <cell r="B525" t="str">
            <v xml:space="preserve">Soleira de granilite, largura de 15 cm </v>
          </cell>
          <cell r="C525" t="str">
            <v xml:space="preserve">m </v>
          </cell>
          <cell r="D525">
            <v>35.07</v>
          </cell>
        </row>
        <row r="526">
          <cell r="A526">
            <v>130315</v>
          </cell>
          <cell r="B526" t="str">
            <v xml:space="preserve">Rodapé de mármore ou granito, assentado com argamassa de cimento, cal hidratada CH1 e areia no traço 1:0,5:8, incl. rejuntamento com cimento branco, h=7cm </v>
          </cell>
          <cell r="C526" t="str">
            <v xml:space="preserve">m </v>
          </cell>
          <cell r="D526">
            <v>24.54</v>
          </cell>
        </row>
        <row r="527">
          <cell r="A527">
            <v>130317</v>
          </cell>
          <cell r="B527" t="str">
            <v xml:space="preserve">Peitoril de granito cinza polido, 15 cm, esp. 3cm </v>
          </cell>
          <cell r="C527" t="str">
            <v xml:space="preserve">m </v>
          </cell>
          <cell r="D527">
            <v>47.68</v>
          </cell>
        </row>
        <row r="528">
          <cell r="A528">
            <v>130320</v>
          </cell>
          <cell r="B528" t="str">
            <v xml:space="preserve">Rodapé em cerâmica, h = 7cm, assentado com argamassa de cimento, cal e areia, incl. rejuntamento com cimento branco </v>
          </cell>
          <cell r="C528" t="str">
            <v xml:space="preserve">m </v>
          </cell>
          <cell r="D528">
            <v>14.16</v>
          </cell>
        </row>
        <row r="529">
          <cell r="A529">
            <v>1304</v>
          </cell>
          <cell r="B529" t="str">
            <v xml:space="preserve">REVISÕES E REPAROS </v>
          </cell>
          <cell r="C529" t="str">
            <v/>
          </cell>
          <cell r="D529" t="str">
            <v/>
          </cell>
        </row>
        <row r="530">
          <cell r="A530">
            <v>130403</v>
          </cell>
          <cell r="B530" t="str">
            <v xml:space="preserve">Recomposição de piso cimentado, com argamassa de cimento e areia no traço 1:3, com 2cm de espessura, incl. lastro </v>
          </cell>
          <cell r="C530" t="str">
            <v xml:space="preserve">m2 </v>
          </cell>
          <cell r="D530">
            <v>59.08</v>
          </cell>
        </row>
        <row r="531">
          <cell r="A531">
            <v>130404</v>
          </cell>
          <cell r="B531" t="str">
            <v xml:space="preserve">Raspagem, calafetação e enceramento de piso de tacos comuns, com uma demão de cera </v>
          </cell>
          <cell r="C531" t="str">
            <v xml:space="preserve">m2 </v>
          </cell>
          <cell r="D531">
            <v>6.2</v>
          </cell>
        </row>
        <row r="532">
          <cell r="A532">
            <v>14</v>
          </cell>
          <cell r="B532" t="str">
            <v xml:space="preserve">INSTALAÇÕES HIDRO-SANITÁRIAS </v>
          </cell>
          <cell r="C532" t="str">
            <v/>
          </cell>
          <cell r="D532" t="str">
            <v/>
          </cell>
        </row>
        <row r="533">
          <cell r="A533">
            <v>1401</v>
          </cell>
          <cell r="B533" t="str">
            <v xml:space="preserve">SUMIDOUROS, FOSSAS SÉPTICAS E FILTROS ANAERÓBIOS </v>
          </cell>
          <cell r="C533" t="str">
            <v/>
          </cell>
          <cell r="D533" t="str">
            <v/>
          </cell>
        </row>
        <row r="534">
          <cell r="A534">
            <v>140102</v>
          </cell>
          <cell r="B534" t="str">
            <v xml:space="preserve">Fossa séptica de anéis pré-moldados de concreto, diâmetro 1.20 m, altura útil de 1.70m, completa, incluindo tampa c/visita de 60cm, concreto p/fundo esp.10 cm, e tubo para ligação ao filtro </v>
          </cell>
          <cell r="C534" t="str">
            <v xml:space="preserve">und </v>
          </cell>
          <cell r="D534">
            <v>788.26</v>
          </cell>
        </row>
        <row r="535">
          <cell r="A535">
            <v>140103</v>
          </cell>
          <cell r="B535" t="str">
            <v xml:space="preserve">Filtro anaeróbio de anéis pré-moldados de concreto, diâmetro de 1.20m, altura útil de 1.80m, completo, incl. tampa c/visita de 60 cm, concreto p/fundo esp.10cm e tubulação de saída de esgoto </v>
          </cell>
          <cell r="C535" t="str">
            <v xml:space="preserve">und </v>
          </cell>
          <cell r="D535">
            <v>1142.81</v>
          </cell>
        </row>
        <row r="536">
          <cell r="A536">
            <v>140108</v>
          </cell>
          <cell r="B536" t="str">
            <v xml:space="preserve">Fossa séptica de anéis pré-moldados de concreto, diâmetro 2.00 m, Hútil 2.0m completa, incluindo tampa c/visita de 60cm, concreto p/ fundo esp.10 cm, tubo de limpeza e escavação, conf. detalhe em projeto </v>
          </cell>
          <cell r="C536" t="str">
            <v xml:space="preserve">und </v>
          </cell>
          <cell r="D536">
            <v>2815.76</v>
          </cell>
        </row>
        <row r="537">
          <cell r="A537">
            <v>140109</v>
          </cell>
          <cell r="B537" t="str">
            <v xml:space="preserve">Filtro anaeróbio de anéis pré-moldados de concreto, diâm. 2.0m, Hútil 2.0m, compl., incl. tampa c/visita 60cm, concreto p/ fundo esp. 10cm, escavação, brita 4 e tubulação de saída esgoto 150mm, conf. proj. </v>
          </cell>
          <cell r="C537" t="str">
            <v xml:space="preserve">und </v>
          </cell>
          <cell r="D537">
            <v>2541.7199999999998</v>
          </cell>
        </row>
        <row r="538">
          <cell r="A538">
            <v>1402</v>
          </cell>
          <cell r="B538" t="str">
            <v xml:space="preserve">ENTRADA DE ÁGUA </v>
          </cell>
          <cell r="C538" t="str">
            <v/>
          </cell>
          <cell r="D538" t="str">
            <v/>
          </cell>
        </row>
        <row r="539">
          <cell r="A539">
            <v>140201</v>
          </cell>
          <cell r="B539" t="str">
            <v xml:space="preserve">Padrão de entrada d' água com cavalete de PVC diâmetro 3/4", conforme especificações da CESAN, inclusive torneira de pressão cromada, exclusive abrigo </v>
          </cell>
          <cell r="C539" t="str">
            <v xml:space="preserve">und </v>
          </cell>
          <cell r="D539">
            <v>201.91</v>
          </cell>
        </row>
        <row r="540">
          <cell r="A540">
            <v>140204</v>
          </cell>
          <cell r="B540" t="str">
            <v xml:space="preserve">Abrigo para cavalete de alv. de blocos cerâmicos 10x20x20cm dim.interna 50x30x45cm, c/tampa concreto armado esp.5cm, revest. int. e externo em reboco e lastro concreto esp.10cm, conf.proj.(utilizando arg. cimento, cal e areia) </v>
          </cell>
          <cell r="C540" t="str">
            <v xml:space="preserve">und </v>
          </cell>
          <cell r="D540">
            <v>102.12</v>
          </cell>
        </row>
        <row r="541">
          <cell r="A541">
            <v>140205</v>
          </cell>
          <cell r="B541" t="str">
            <v xml:space="preserve">Abrigo p/ cavalete de alv. de blocos cerâmicos 10x20x20cm dim. int. 75x50x40cm, c/ tampa conc. arm. esp. 5cm, revest. int. e ext. em reboco c/ arg. de cimento, cal hidratada CH1 e areia traço 1:0,5:6 e lastro de brita, conf. det. </v>
          </cell>
          <cell r="C541" t="str">
            <v xml:space="preserve">und </v>
          </cell>
          <cell r="D541">
            <v>92.42</v>
          </cell>
        </row>
        <row r="542">
          <cell r="A542">
            <v>140206</v>
          </cell>
          <cell r="B542" t="str">
            <v xml:space="preserve">Padrão de entrada d'água com cavalete de PVC diâmetro 1", conforme especificações da CESAN, exclusive abrigo </v>
          </cell>
          <cell r="C542" t="str">
            <v xml:space="preserve">und </v>
          </cell>
          <cell r="D542">
            <v>117.25</v>
          </cell>
        </row>
        <row r="543">
          <cell r="A543">
            <v>1406</v>
          </cell>
          <cell r="B543" t="str">
            <v xml:space="preserve">PRUMADAS HIDRO-SANITÁRIAS </v>
          </cell>
          <cell r="C543" t="str">
            <v/>
          </cell>
          <cell r="D543" t="str">
            <v/>
          </cell>
        </row>
        <row r="544">
          <cell r="A544">
            <v>140601</v>
          </cell>
          <cell r="B544" t="str">
            <v xml:space="preserve">Barrilete, inclusive tubulação, conexões e registros da limpeza, extravasor e suspiro </v>
          </cell>
          <cell r="C544" t="str">
            <v xml:space="preserve">und </v>
          </cell>
          <cell r="D544">
            <v>1552.83</v>
          </cell>
        </row>
        <row r="545">
          <cell r="A545">
            <v>140602</v>
          </cell>
          <cell r="B545" t="str">
            <v xml:space="preserve">Prumada de água fria </v>
          </cell>
          <cell r="C545" t="str">
            <v xml:space="preserve">und </v>
          </cell>
          <cell r="D545">
            <v>385.75</v>
          </cell>
        </row>
        <row r="546">
          <cell r="A546">
            <v>140603</v>
          </cell>
          <cell r="B546" t="str">
            <v xml:space="preserve">Tubo de queda, inclusive ventilação, diam 100mm </v>
          </cell>
          <cell r="C546" t="str">
            <v xml:space="preserve">und </v>
          </cell>
          <cell r="D546">
            <v>299.08</v>
          </cell>
        </row>
        <row r="547">
          <cell r="A547">
            <v>140604</v>
          </cell>
          <cell r="B547" t="str">
            <v xml:space="preserve">Prumada de água pluvial </v>
          </cell>
          <cell r="C547" t="str">
            <v xml:space="preserve">und </v>
          </cell>
          <cell r="D547">
            <v>388.15</v>
          </cell>
        </row>
        <row r="548">
          <cell r="A548">
            <v>140605</v>
          </cell>
          <cell r="B548" t="str">
            <v xml:space="preserve">Prumada de incêndio </v>
          </cell>
          <cell r="C548" t="str">
            <v xml:space="preserve">und </v>
          </cell>
          <cell r="D548">
            <v>3714.42</v>
          </cell>
        </row>
        <row r="549">
          <cell r="A549">
            <v>140606</v>
          </cell>
          <cell r="B549" t="str">
            <v xml:space="preserve">Tubo de queda, inclusive ventilação, diam 75mm </v>
          </cell>
          <cell r="C549" t="str">
            <v xml:space="preserve">und </v>
          </cell>
          <cell r="D549">
            <v>235.99</v>
          </cell>
        </row>
        <row r="550">
          <cell r="A550">
            <v>1407</v>
          </cell>
          <cell r="B550" t="str">
            <v xml:space="preserve">PONTOS HIDRO-SANITÁRIOS </v>
          </cell>
          <cell r="C550" t="str">
            <v/>
          </cell>
          <cell r="D550" t="str">
            <v/>
          </cell>
        </row>
        <row r="551">
          <cell r="A551">
            <v>140701</v>
          </cell>
          <cell r="B551" t="str">
            <v xml:space="preserve">Ponto de água fria (lavatório, tanque, pia de cozinha, etc...) </v>
          </cell>
          <cell r="C551" t="str">
            <v xml:space="preserve">pt </v>
          </cell>
          <cell r="D551">
            <v>45.24</v>
          </cell>
        </row>
        <row r="552">
          <cell r="A552">
            <v>140702</v>
          </cell>
          <cell r="B552" t="str">
            <v xml:space="preserve">Ponto com registro de pressão (chuveiro, caixa de descarga, etc...) </v>
          </cell>
          <cell r="C552" t="str">
            <v xml:space="preserve">pt </v>
          </cell>
          <cell r="D552">
            <v>120.78</v>
          </cell>
        </row>
        <row r="553">
          <cell r="A553">
            <v>140703</v>
          </cell>
          <cell r="B553" t="str">
            <v xml:space="preserve">Ponto de torneira de jardim (para praças) </v>
          </cell>
          <cell r="C553" t="str">
            <v xml:space="preserve">pt </v>
          </cell>
          <cell r="D553">
            <v>176.59</v>
          </cell>
        </row>
        <row r="554">
          <cell r="A554">
            <v>140704</v>
          </cell>
          <cell r="B554" t="str">
            <v xml:space="preserve">Ponto de válvula de descarga, inclusive válvula (sem acabamento) </v>
          </cell>
          <cell r="C554" t="str">
            <v xml:space="preserve">pt </v>
          </cell>
          <cell r="D554">
            <v>212.07</v>
          </cell>
        </row>
        <row r="555">
          <cell r="A555">
            <v>140705</v>
          </cell>
          <cell r="B555" t="str">
            <v xml:space="preserve">Ponto para esgoto primário (vaso sanitário) </v>
          </cell>
          <cell r="C555" t="str">
            <v xml:space="preserve">pt </v>
          </cell>
          <cell r="D555">
            <v>56.32</v>
          </cell>
        </row>
        <row r="556">
          <cell r="A556">
            <v>140706</v>
          </cell>
          <cell r="B556" t="str">
            <v xml:space="preserve">Ponto para esgoto secundário (pia, lavatório, mictório, tanque, bidê, etc...) </v>
          </cell>
          <cell r="C556" t="str">
            <v xml:space="preserve">pt </v>
          </cell>
          <cell r="D556">
            <v>41.11</v>
          </cell>
        </row>
        <row r="557">
          <cell r="A557">
            <v>140707</v>
          </cell>
          <cell r="B557" t="str">
            <v xml:space="preserve">Ponto para caixa sifonada, inclusive caixa sifonada pvc 150x150x50mm com grelha em pvc </v>
          </cell>
          <cell r="C557" t="str">
            <v xml:space="preserve">pt </v>
          </cell>
          <cell r="D557">
            <v>73.23</v>
          </cell>
        </row>
        <row r="558">
          <cell r="A558">
            <v>140708</v>
          </cell>
          <cell r="B558" t="str">
            <v xml:space="preserve">Ponto para ralo sifonado, inclusive ralo sifonado 100 x 40 mm c/ grelha em pvc </v>
          </cell>
          <cell r="C558" t="str">
            <v xml:space="preserve">pt </v>
          </cell>
          <cell r="D558">
            <v>40.130000000000003</v>
          </cell>
        </row>
        <row r="559">
          <cell r="A559">
            <v>140709</v>
          </cell>
          <cell r="B559" t="str">
            <v xml:space="preserve">Ponto para ralo seco, inclusive ralo pvc 10 cm com grelha em pvc </v>
          </cell>
          <cell r="C559" t="str">
            <v xml:space="preserve">pt </v>
          </cell>
          <cell r="D559">
            <v>39.35</v>
          </cell>
        </row>
        <row r="560">
          <cell r="A560">
            <v>1409</v>
          </cell>
          <cell r="B560" t="str">
            <v xml:space="preserve">TUBULAÇÃO DE LIGAÇÃO DE CAIXAS </v>
          </cell>
          <cell r="C560" t="str">
            <v/>
          </cell>
          <cell r="D560" t="str">
            <v/>
          </cell>
        </row>
        <row r="561">
          <cell r="A561">
            <v>140901</v>
          </cell>
          <cell r="B561" t="str">
            <v xml:space="preserve">Tubos de concreto simples C1, diâmetro 200 mm, com rejuntamento de argamassa de cimento, cal hidratada e areia no traço 1:2:6, incluindo escavação e berço, conf. normas e especificações. </v>
          </cell>
          <cell r="C561" t="str">
            <v xml:space="preserve">m </v>
          </cell>
          <cell r="D561">
            <v>48.79</v>
          </cell>
        </row>
        <row r="562">
          <cell r="A562">
            <v>140902</v>
          </cell>
          <cell r="B562" t="str">
            <v xml:space="preserve">Tubos de concreto simples C1, diâmetro 300 mm, com rejuntamento de argamassa de cimento, cal hidratada e areia no traço 1:2:6, incluindo escavação e berço, conforme normas e especificações. </v>
          </cell>
          <cell r="C562" t="str">
            <v xml:space="preserve">m </v>
          </cell>
          <cell r="D562">
            <v>64.13</v>
          </cell>
        </row>
        <row r="563">
          <cell r="A563">
            <v>140903</v>
          </cell>
          <cell r="B563" t="str">
            <v xml:space="preserve">Tubo PVC rígido para esgoto no diâmetro de 100mm incluindo escavação e aterro com areia </v>
          </cell>
          <cell r="C563" t="str">
            <v xml:space="preserve">m </v>
          </cell>
          <cell r="D563">
            <v>26.98</v>
          </cell>
        </row>
        <row r="564">
          <cell r="A564">
            <v>140904</v>
          </cell>
          <cell r="B564" t="str">
            <v xml:space="preserve">Tubo PVC rígido para esgoto no diâmetro de 150mm incluindo escavação e aterro com areia </v>
          </cell>
          <cell r="C564" t="str">
            <v xml:space="preserve">m </v>
          </cell>
          <cell r="D564">
            <v>42.8</v>
          </cell>
        </row>
        <row r="565">
          <cell r="A565">
            <v>140905</v>
          </cell>
          <cell r="B565" t="str">
            <v xml:space="preserve">Tubo PVC rígido para esgoto no diâmetro de 200mm incluindo escavação e aterro com areia </v>
          </cell>
          <cell r="C565" t="str">
            <v xml:space="preserve">m </v>
          </cell>
          <cell r="D565">
            <v>65.930000000000007</v>
          </cell>
        </row>
        <row r="566">
          <cell r="A566">
            <v>140906</v>
          </cell>
          <cell r="B566" t="str">
            <v xml:space="preserve">Tubo PVC rígido para esgoto no diâmetro de 75 mm incluindo escavação e aterro com areia </v>
          </cell>
          <cell r="C566" t="str">
            <v xml:space="preserve">m </v>
          </cell>
          <cell r="D566">
            <v>23.8</v>
          </cell>
        </row>
        <row r="567">
          <cell r="A567">
            <v>1411</v>
          </cell>
          <cell r="B567" t="str">
            <v xml:space="preserve">CAIXAS EMPREGANDO ARGAMASSA DE CIMENTO, CAL E AREIA </v>
          </cell>
          <cell r="C567" t="str">
            <v/>
          </cell>
          <cell r="D567" t="str">
            <v/>
          </cell>
        </row>
        <row r="568">
          <cell r="A568">
            <v>141101</v>
          </cell>
          <cell r="B568" t="str">
            <v xml:space="preserve">Caixas de inspeção de alv. blocos concreto 9x19x39cm, dim, 60x60cm e Hmáx = 1m, com tampa de conc. esp. 5cm, lastro de conc. esp. 10cm, revest intern. c/ chapisco e reboco impermeabilizado, incl. escavação, reaterro e enchimento </v>
          </cell>
          <cell r="C568" t="str">
            <v xml:space="preserve">und </v>
          </cell>
          <cell r="D568">
            <v>248.24</v>
          </cell>
        </row>
        <row r="569">
          <cell r="A569">
            <v>141102</v>
          </cell>
          <cell r="B569" t="str">
            <v xml:space="preserve">Caixa de areia de alvenaria de blocos de concreto 9x19x39cm, dim. 60x60cm e Hmáx=1m, c/ tampa em concreto esp. 5cm, lastro concreto esp. 10cm, revestida intern. c/ chapisco e reboco impermeabilizante, incl. escavação e reaterro </v>
          </cell>
          <cell r="C569" t="str">
            <v xml:space="preserve">und </v>
          </cell>
          <cell r="D569">
            <v>244.02</v>
          </cell>
        </row>
        <row r="570">
          <cell r="A570">
            <v>141103</v>
          </cell>
          <cell r="B570" t="str">
            <v xml:space="preserve">Caixa sifonada especial de alv. bloco conc.9x19x39cm, dim 60x60cm e Hmáx=1m, c/ tampa em concreto esp.5cm, lastro conc.esp.10cm, revest. intern. c/chap. e reb. impermeab. escav, reaterro e curva curta c/ visita e plug em pvc 100mm </v>
          </cell>
          <cell r="C570" t="str">
            <v xml:space="preserve">und </v>
          </cell>
          <cell r="D570">
            <v>273.98</v>
          </cell>
        </row>
        <row r="571">
          <cell r="A571">
            <v>141104</v>
          </cell>
          <cell r="B571" t="str">
            <v xml:space="preserve">Caixa de gordura de alv. bloco concreto 9x19x39cm, dim.60x60cm e Hmáx=1m, com tampa em concreto esp.5cm, lastro concreto esp.10cm, revestida intern. c/ chapisco e reboco impermeab, escavação, reaterro e parede interna em concreto </v>
          </cell>
          <cell r="C571" t="str">
            <v xml:space="preserve">und </v>
          </cell>
          <cell r="D571">
            <v>271.07</v>
          </cell>
        </row>
        <row r="572">
          <cell r="A572">
            <v>141105</v>
          </cell>
          <cell r="B572" t="str">
            <v xml:space="preserve">Caixa retentora de matéria sólida de alv. bloco conc.9x19x39cm, dim 60x60cm e Hmáx=1m, c/ tampa conc. esp.5cm, lastro conc. esp.10cm, revest. internamente c/ chap, reb. impermeab., escavação, reaterro e parede int. em concreto </v>
          </cell>
          <cell r="C572" t="str">
            <v xml:space="preserve">und </v>
          </cell>
          <cell r="D572">
            <v>257.42</v>
          </cell>
        </row>
        <row r="573">
          <cell r="A573">
            <v>141106</v>
          </cell>
          <cell r="B573" t="str">
            <v xml:space="preserve">Caixas de inspeção de alv. blocos concreto 9x19x39cm, dim.100x60cm e Hmáx = 1m, com tampa de conc. esp. 5cm, lastro de conc. esp. 10cm, revest intern. c/ chapisco e reboco impermeabilizado, incl. escavação, reaterro e enchimento </v>
          </cell>
          <cell r="C573" t="str">
            <v xml:space="preserve">und </v>
          </cell>
          <cell r="D573">
            <v>361.83</v>
          </cell>
        </row>
        <row r="574">
          <cell r="A574">
            <v>141107</v>
          </cell>
          <cell r="B574" t="str">
            <v xml:space="preserve">Caixa de gordura simples de alv. bloco concr.9x19x39cm, dim.80x60cm e Hmáx=1m, com tampa em concr.esp.5cm, lastro concr.esp.10cm, revestida intern. c/ chapisco e reboco impermeab, escavação, reaterro e parede interna em concr. </v>
          </cell>
          <cell r="C574" t="str">
            <v xml:space="preserve">und </v>
          </cell>
          <cell r="D574">
            <v>359.45</v>
          </cell>
        </row>
        <row r="575">
          <cell r="A575">
            <v>141108</v>
          </cell>
          <cell r="B575" t="str">
            <v xml:space="preserve">Caixa de gordura especial de alv. bloco concr. 9x19x39cm, dim.60x60cm e Hmáx=1m, com tampa em concr.esp.5cm, lastro concr.esp.10cm, revestida intern. c/ chapisco e reboco impermeab, escavação, reaterro e parede interna em concr. </v>
          </cell>
          <cell r="C575" t="str">
            <v xml:space="preserve">und </v>
          </cell>
          <cell r="D575">
            <v>523.48</v>
          </cell>
        </row>
        <row r="576">
          <cell r="A576">
            <v>141109</v>
          </cell>
          <cell r="B576" t="str">
            <v xml:space="preserve">Grelha largura 20 cm de ferro redondo de 1/2" a cada 3 cm, contorno com barra de ferro de 3/4" x 1/8" e caixilho de cantoneira de 1" x 3/16" </v>
          </cell>
          <cell r="C576" t="str">
            <v xml:space="preserve">m </v>
          </cell>
          <cell r="D576">
            <v>92.66</v>
          </cell>
        </row>
        <row r="577">
          <cell r="A577">
            <v>141110</v>
          </cell>
          <cell r="B577" t="str">
            <v xml:space="preserve">Caixa de inspeção em alv. bloco concreto 9x19x39cm, dim. 60x60cm e Hmáx=1m, c/ tampa de ferro fundido 40x40cm, lastro de concreto esp.10cm, revest. interno c/ chapisco e reboco impermeabiliz, incl. escavação, reaterro e enchimento </v>
          </cell>
          <cell r="C577" t="str">
            <v xml:space="preserve">und </v>
          </cell>
          <cell r="D577">
            <v>350.44</v>
          </cell>
        </row>
        <row r="578">
          <cell r="A578">
            <v>141111</v>
          </cell>
          <cell r="B578" t="str">
            <v xml:space="preserve">Caixa de areia em alv. de bloco de concreto 9x19x39, dim. 60x60cm e Hmáx=1m, c/ tampa em ferro fundido, lastro de concreto esp. 10cm, revest. int. c/ chapisco e reboco impermeabilizado, incl. escavação e reaterro </v>
          </cell>
          <cell r="C578" t="str">
            <v xml:space="preserve">und </v>
          </cell>
          <cell r="D578">
            <v>346.23</v>
          </cell>
        </row>
        <row r="579">
          <cell r="A579">
            <v>141112</v>
          </cell>
          <cell r="B579" t="str">
            <v xml:space="preserve">Caixa sifonada especial em alv. bloco concr. 9x19x39cm, dim. 60x60cm e Hmáx=1m. c/ tampa em ferro fundido, lastro conc. esp.10cm, revest. int. c/ chap. e reboco imperm., incl. esc, reaterro e curva curta c/ visita e plug pvc 100mm </v>
          </cell>
          <cell r="C579" t="str">
            <v xml:space="preserve">und </v>
          </cell>
          <cell r="D579">
            <v>376.19</v>
          </cell>
        </row>
        <row r="580">
          <cell r="A580">
            <v>141113</v>
          </cell>
          <cell r="B580" t="str">
            <v xml:space="preserve">Caixa de gordura em alv. bloco 9x19x39cm, dim. 60x60cm e Hmáx=10, c/ tampa de ferro fundido, lastro concr. esp. 10cm, revest. intern. c/ chapisco e reboco impermeab., escavação, reaterro e parede int. em concreto </v>
          </cell>
          <cell r="C580" t="str">
            <v xml:space="preserve">und </v>
          </cell>
          <cell r="D580">
            <v>373.24</v>
          </cell>
        </row>
        <row r="581">
          <cell r="A581">
            <v>141114</v>
          </cell>
          <cell r="B581" t="str">
            <v xml:space="preserve">Caixa retentora de mat. sólida em alv. bloco conc.9x19x39cm, dim.60x60cm e Hmáx=1m, c/ tampa de ferro fund., lastro conc. esp.10cm, revest. int. c/ chap. e reb. impermeab., esc. reaterro e parede int. em concreto </v>
          </cell>
          <cell r="C581" t="str">
            <v xml:space="preserve">und </v>
          </cell>
          <cell r="D581">
            <v>359.6</v>
          </cell>
        </row>
        <row r="582">
          <cell r="A582">
            <v>1412</v>
          </cell>
          <cell r="B582" t="str">
            <v xml:space="preserve">REDE DE ÁGUA FRIA - TUBOS METÁLICOS </v>
          </cell>
          <cell r="C582" t="str">
            <v/>
          </cell>
          <cell r="D582" t="str">
            <v/>
          </cell>
        </row>
        <row r="583">
          <cell r="A583">
            <v>141210</v>
          </cell>
          <cell r="B583" t="str">
            <v xml:space="preserve">Tubo de aço galvanizado, inclusive conexões, diâm. 15mm (1/2") </v>
          </cell>
          <cell r="C583" t="str">
            <v xml:space="preserve">m </v>
          </cell>
          <cell r="D583">
            <v>30.11</v>
          </cell>
        </row>
        <row r="584">
          <cell r="A584">
            <v>141211</v>
          </cell>
          <cell r="B584" t="str">
            <v xml:space="preserve">Tubo de aço galvanizado, inclusive conexões, diâm. 20mm (3/4") </v>
          </cell>
          <cell r="C584" t="str">
            <v xml:space="preserve">m </v>
          </cell>
          <cell r="D584">
            <v>37.11</v>
          </cell>
        </row>
        <row r="585">
          <cell r="A585">
            <v>141212</v>
          </cell>
          <cell r="B585" t="str">
            <v xml:space="preserve">Tubo de aço galvanizado, inclusive conexões, diâm. 25mm (1") </v>
          </cell>
          <cell r="C585" t="str">
            <v xml:space="preserve">m </v>
          </cell>
          <cell r="D585">
            <v>47.8</v>
          </cell>
        </row>
        <row r="586">
          <cell r="A586">
            <v>141213</v>
          </cell>
          <cell r="B586" t="str">
            <v xml:space="preserve">Tubo de aço galvanizado, inclusive conexões, diâm. 32mm (11/4") </v>
          </cell>
          <cell r="C586" t="str">
            <v xml:space="preserve">m </v>
          </cell>
          <cell r="D586">
            <v>56.14</v>
          </cell>
        </row>
        <row r="587">
          <cell r="A587">
            <v>141214</v>
          </cell>
          <cell r="B587" t="str">
            <v xml:space="preserve">Tubo de aço galvanizado, inclusive conexões, diâm. 40mm (11/2") </v>
          </cell>
          <cell r="C587" t="str">
            <v xml:space="preserve">m </v>
          </cell>
          <cell r="D587">
            <v>69.540000000000006</v>
          </cell>
        </row>
        <row r="588">
          <cell r="A588">
            <v>141215</v>
          </cell>
          <cell r="B588" t="str">
            <v xml:space="preserve">Tubo de aço galvanizado, inclusive conexões, diâm. 50mm (2") </v>
          </cell>
          <cell r="C588" t="str">
            <v xml:space="preserve">m </v>
          </cell>
          <cell r="D588">
            <v>85.22</v>
          </cell>
        </row>
        <row r="589">
          <cell r="A589">
            <v>141216</v>
          </cell>
          <cell r="B589" t="str">
            <v xml:space="preserve">Tubo de aço galvanizado, inclusive conexões, diâm. 65mm (21/2") </v>
          </cell>
          <cell r="C589" t="str">
            <v xml:space="preserve">m </v>
          </cell>
          <cell r="D589">
            <v>111.22</v>
          </cell>
        </row>
        <row r="590">
          <cell r="A590">
            <v>141217</v>
          </cell>
          <cell r="B590" t="str">
            <v xml:space="preserve">Tubo de aço galvanizado, inclusive conexões, diâm. 80mm (3") </v>
          </cell>
          <cell r="C590" t="str">
            <v xml:space="preserve">m </v>
          </cell>
          <cell r="D590">
            <v>122.61</v>
          </cell>
        </row>
        <row r="591">
          <cell r="A591">
            <v>141218</v>
          </cell>
          <cell r="B591" t="str">
            <v xml:space="preserve">Tubo de aço galvanizado, inclusive conexões, diâm. 100mm(4") </v>
          </cell>
          <cell r="C591" t="str">
            <v xml:space="preserve">m </v>
          </cell>
          <cell r="D591">
            <v>163.6</v>
          </cell>
        </row>
        <row r="592">
          <cell r="A592">
            <v>1414</v>
          </cell>
          <cell r="B592" t="str">
            <v xml:space="preserve">REDE DE ÁGUA FRIA - TUBOS SOLDÁVEIS DE PVC </v>
          </cell>
          <cell r="C592" t="str">
            <v/>
          </cell>
          <cell r="D592" t="str">
            <v/>
          </cell>
        </row>
        <row r="593">
          <cell r="A593">
            <v>141409</v>
          </cell>
          <cell r="B593" t="str">
            <v xml:space="preserve">Tubo de PVC rígido soldável marrom, diâm. 20mm (1/2"), inclusive conexões </v>
          </cell>
          <cell r="C593" t="str">
            <v xml:space="preserve">m </v>
          </cell>
          <cell r="D593">
            <v>9.0500000000000007</v>
          </cell>
        </row>
        <row r="594">
          <cell r="A594">
            <v>141410</v>
          </cell>
          <cell r="B594" t="str">
            <v xml:space="preserve">Tubo de PVC rígido soldável marrom, diâm. 25mm (3/4"), inclusive conexões </v>
          </cell>
          <cell r="C594" t="str">
            <v xml:space="preserve">m </v>
          </cell>
          <cell r="D594">
            <v>11.21</v>
          </cell>
        </row>
        <row r="595">
          <cell r="A595">
            <v>141411</v>
          </cell>
          <cell r="B595" t="str">
            <v xml:space="preserve">Tubo de PVC rigido soldável marrom, diâm. 32mm (1"), inclusive conexões </v>
          </cell>
          <cell r="C595" t="str">
            <v xml:space="preserve">m </v>
          </cell>
          <cell r="D595">
            <v>15.65</v>
          </cell>
        </row>
        <row r="596">
          <cell r="A596">
            <v>141412</v>
          </cell>
          <cell r="B596" t="str">
            <v xml:space="preserve">Tubo de PVC rígido soldável marrom, diâm. 40mm (11/4"), inclusive conexões </v>
          </cell>
          <cell r="C596" t="str">
            <v xml:space="preserve">m </v>
          </cell>
          <cell r="D596">
            <v>19.07</v>
          </cell>
        </row>
        <row r="597">
          <cell r="A597">
            <v>141413</v>
          </cell>
          <cell r="B597" t="str">
            <v xml:space="preserve">Tubo de PVC rígido soldável marrom, diâm. 50mm (11/2"), inclusive conexões </v>
          </cell>
          <cell r="C597" t="str">
            <v xml:space="preserve">m </v>
          </cell>
          <cell r="D597">
            <v>23.32</v>
          </cell>
        </row>
        <row r="598">
          <cell r="A598">
            <v>141415</v>
          </cell>
          <cell r="B598" t="str">
            <v xml:space="preserve">Tubo de PVC rígido soldável marrom, diâm. 75mm (21/2"), inclusive conexões </v>
          </cell>
          <cell r="C598" t="str">
            <v xml:space="preserve">m </v>
          </cell>
          <cell r="D598">
            <v>44.17</v>
          </cell>
        </row>
        <row r="599">
          <cell r="A599">
            <v>141416</v>
          </cell>
          <cell r="B599" t="str">
            <v xml:space="preserve">Tubo de PVC rígido soldável marrom, diâm. 85mm (3"), inclusive conexões </v>
          </cell>
          <cell r="C599" t="str">
            <v xml:space="preserve">m </v>
          </cell>
          <cell r="D599">
            <v>51.16</v>
          </cell>
        </row>
        <row r="600">
          <cell r="A600">
            <v>1415</v>
          </cell>
          <cell r="B600" t="str">
            <v xml:space="preserve">REDE DE ÁGUA FRIA - CONEXÕES SOLDÁVEIS DE PVC </v>
          </cell>
          <cell r="C600" t="str">
            <v/>
          </cell>
          <cell r="D600" t="str">
            <v/>
          </cell>
        </row>
        <row r="601">
          <cell r="A601">
            <v>141529</v>
          </cell>
          <cell r="B601" t="str">
            <v xml:space="preserve">Adaptador de PVC soldável para registro, diâmetro 32mm x 1" </v>
          </cell>
          <cell r="C601" t="str">
            <v xml:space="preserve">und </v>
          </cell>
          <cell r="D601">
            <v>3.92</v>
          </cell>
        </row>
        <row r="602">
          <cell r="A602">
            <v>1416</v>
          </cell>
          <cell r="B602" t="str">
            <v xml:space="preserve">REDE DE ÁGUA FRIA - TUBOS ROSCÁVEIS DE PVC </v>
          </cell>
          <cell r="C602" t="str">
            <v/>
          </cell>
          <cell r="D602" t="str">
            <v/>
          </cell>
        </row>
        <row r="603">
          <cell r="A603">
            <v>141608</v>
          </cell>
          <cell r="B603" t="str">
            <v xml:space="preserve">Tubo de PVC rígido roscável, diâm. 1/2" (20mm), inclusive conexões </v>
          </cell>
          <cell r="C603" t="str">
            <v xml:space="preserve">m </v>
          </cell>
          <cell r="D603">
            <v>13.5</v>
          </cell>
        </row>
        <row r="604">
          <cell r="A604">
            <v>141609</v>
          </cell>
          <cell r="B604" t="str">
            <v xml:space="preserve">Tubo de PVC rígido roscável, diâm. 3/4" (25mm), inclusive conexões </v>
          </cell>
          <cell r="C604" t="str">
            <v xml:space="preserve">m </v>
          </cell>
          <cell r="D604">
            <v>16.5</v>
          </cell>
        </row>
        <row r="605">
          <cell r="A605">
            <v>141610</v>
          </cell>
          <cell r="B605" t="str">
            <v xml:space="preserve">Tubo de PVC rígido roscável, diâm. 1" (32mm), inclusive conexões </v>
          </cell>
          <cell r="C605" t="str">
            <v xml:space="preserve">m </v>
          </cell>
          <cell r="D605">
            <v>23.49</v>
          </cell>
        </row>
        <row r="606">
          <cell r="A606">
            <v>141611</v>
          </cell>
          <cell r="B606" t="str">
            <v xml:space="preserve">Tubo de PVC rígido roscável, diâm. 11/4" (40mm), inclusive conexões </v>
          </cell>
          <cell r="C606" t="str">
            <v xml:space="preserve">m </v>
          </cell>
          <cell r="D606">
            <v>28.54</v>
          </cell>
        </row>
        <row r="607">
          <cell r="A607">
            <v>141612</v>
          </cell>
          <cell r="B607" t="str">
            <v xml:space="preserve">Tubo de PVC rígido roscável, diâm. 11/2" (50mm), inclusive conexões </v>
          </cell>
          <cell r="C607" t="str">
            <v xml:space="preserve">m </v>
          </cell>
          <cell r="D607">
            <v>33.729999999999997</v>
          </cell>
        </row>
        <row r="608">
          <cell r="A608">
            <v>141613</v>
          </cell>
          <cell r="B608" t="str">
            <v xml:space="preserve">Tubo de PVC rígido roscável, diâm. 2" (60mm), inclusive conexões </v>
          </cell>
          <cell r="C608" t="str">
            <v xml:space="preserve">m </v>
          </cell>
          <cell r="D608">
            <v>44.52</v>
          </cell>
        </row>
        <row r="609">
          <cell r="A609">
            <v>141614</v>
          </cell>
          <cell r="B609" t="str">
            <v xml:space="preserve">Tubo de PVC rígido roscável, diâm. 21/2" (75mm), inclusive conexões </v>
          </cell>
          <cell r="C609" t="str">
            <v xml:space="preserve">m </v>
          </cell>
          <cell r="D609">
            <v>65.930000000000007</v>
          </cell>
        </row>
        <row r="610">
          <cell r="A610">
            <v>1419</v>
          </cell>
          <cell r="B610" t="str">
            <v xml:space="preserve">REDE DE ESGOTO - TUBOS DE PVC </v>
          </cell>
          <cell r="C610" t="str">
            <v/>
          </cell>
          <cell r="D610" t="str">
            <v/>
          </cell>
        </row>
        <row r="611">
          <cell r="A611">
            <v>141906</v>
          </cell>
          <cell r="B611" t="str">
            <v xml:space="preserve">Tubo de PVC rígido soldável branco, para esgoto, diâmetro 40mm (1 1/2"), inclusive conexões </v>
          </cell>
          <cell r="C611" t="str">
            <v xml:space="preserve">m </v>
          </cell>
          <cell r="D611">
            <v>15.71</v>
          </cell>
        </row>
        <row r="612">
          <cell r="A612">
            <v>141907</v>
          </cell>
          <cell r="B612" t="str">
            <v xml:space="preserve">Tubo de PVC rígido soldável branco, para esgoto, diâmetro 50mm (2"), inclusive conexões </v>
          </cell>
          <cell r="C612" t="str">
            <v xml:space="preserve">m </v>
          </cell>
          <cell r="D612">
            <v>20.76</v>
          </cell>
        </row>
        <row r="613">
          <cell r="A613">
            <v>141908</v>
          </cell>
          <cell r="B613" t="str">
            <v xml:space="preserve">Tubo de PVC rígido soldável branco, para esgoto, diâmetro 75mm (3"), inclusive conexões </v>
          </cell>
          <cell r="C613" t="str">
            <v xml:space="preserve">m </v>
          </cell>
          <cell r="D613">
            <v>29.16</v>
          </cell>
        </row>
        <row r="614">
          <cell r="A614">
            <v>141909</v>
          </cell>
          <cell r="B614" t="str">
            <v xml:space="preserve">Tubo de PVC rígido soldável branco, para esgoto, diâmetro 100mm (4"), inclusive conexões </v>
          </cell>
          <cell r="C614" t="str">
            <v xml:space="preserve">m </v>
          </cell>
          <cell r="D614">
            <v>34.15</v>
          </cell>
        </row>
        <row r="615">
          <cell r="A615">
            <v>141910</v>
          </cell>
          <cell r="B615" t="str">
            <v xml:space="preserve">Tubo de PVC rígido soldável branco, para esgoto, diâmetro 150mm (6"), inclusive conexões </v>
          </cell>
          <cell r="C615" t="str">
            <v xml:space="preserve">m </v>
          </cell>
          <cell r="D615">
            <v>48.6</v>
          </cell>
        </row>
        <row r="616">
          <cell r="A616">
            <v>1421</v>
          </cell>
          <cell r="B616" t="str">
            <v xml:space="preserve">CAIXAS DE PVC / EQUIPAMENTOS </v>
          </cell>
          <cell r="C616" t="str">
            <v/>
          </cell>
          <cell r="D616" t="str">
            <v/>
          </cell>
        </row>
        <row r="617">
          <cell r="A617">
            <v>142101</v>
          </cell>
          <cell r="B617" t="str">
            <v xml:space="preserve">Revisão com substituição de peças danificadas para caixa de descarga de sobrepor de plástico, inclusive regulagem </v>
          </cell>
          <cell r="C617" t="str">
            <v xml:space="preserve">und </v>
          </cell>
          <cell r="D617">
            <v>95.45</v>
          </cell>
        </row>
        <row r="618">
          <cell r="A618">
            <v>142102</v>
          </cell>
          <cell r="B618" t="str">
            <v xml:space="preserve">Revisão com substituição de peças danificadas de caixa de descarga de embutir, incluindo obturador, bóia, botão, tampa interna e tampa externa em PVC branco </v>
          </cell>
          <cell r="C618" t="str">
            <v xml:space="preserve">und </v>
          </cell>
          <cell r="D618">
            <v>189.27</v>
          </cell>
        </row>
        <row r="619">
          <cell r="A619">
            <v>142103</v>
          </cell>
          <cell r="B619" t="str">
            <v xml:space="preserve">Reparo para válvula de descarga, completo </v>
          </cell>
          <cell r="C619" t="str">
            <v xml:space="preserve">und </v>
          </cell>
          <cell r="D619">
            <v>55.54</v>
          </cell>
        </row>
        <row r="620">
          <cell r="A620">
            <v>142104</v>
          </cell>
          <cell r="B620" t="str">
            <v xml:space="preserve">Sifão em PVC para pia de cozinha ou lavatório 1x11/2" </v>
          </cell>
          <cell r="C620" t="str">
            <v xml:space="preserve">und </v>
          </cell>
          <cell r="D620">
            <v>11.85</v>
          </cell>
        </row>
        <row r="621">
          <cell r="A621">
            <v>142105</v>
          </cell>
          <cell r="B621" t="str">
            <v xml:space="preserve">Sifão cromado para pia de cozinha ou lavatório de 1x11/2" </v>
          </cell>
          <cell r="C621" t="str">
            <v xml:space="preserve">und </v>
          </cell>
          <cell r="D621">
            <v>85.09</v>
          </cell>
        </row>
        <row r="622">
          <cell r="A622">
            <v>142106</v>
          </cell>
          <cell r="B622" t="str">
            <v xml:space="preserve">Sifão em PVC para tanque 2" </v>
          </cell>
          <cell r="C622" t="str">
            <v xml:space="preserve">und </v>
          </cell>
          <cell r="D622">
            <v>14.08</v>
          </cell>
        </row>
        <row r="623">
          <cell r="A623">
            <v>142107</v>
          </cell>
          <cell r="B623" t="str">
            <v xml:space="preserve">Ralo sifonado em PVC 100x100mm, com grelha PVC </v>
          </cell>
          <cell r="C623" t="str">
            <v xml:space="preserve">und </v>
          </cell>
          <cell r="D623">
            <v>25.73</v>
          </cell>
        </row>
        <row r="624">
          <cell r="A624">
            <v>142109</v>
          </cell>
          <cell r="B624" t="str">
            <v xml:space="preserve">Ralo seco em PVC 100x100mm, com grelha em PVC </v>
          </cell>
          <cell r="C624" t="str">
            <v xml:space="preserve">und </v>
          </cell>
          <cell r="D624">
            <v>25.16</v>
          </cell>
        </row>
        <row r="625">
          <cell r="A625">
            <v>142111</v>
          </cell>
          <cell r="B625" t="str">
            <v xml:space="preserve">Caixa sifonada em PVC, diâm. 150mm, com grelha e porta grelha quadrados, em aço inox </v>
          </cell>
          <cell r="C625" t="str">
            <v xml:space="preserve">und </v>
          </cell>
          <cell r="D625">
            <v>53.09</v>
          </cell>
        </row>
        <row r="626">
          <cell r="A626">
            <v>142112</v>
          </cell>
          <cell r="B626" t="str">
            <v xml:space="preserve">Caixa seca em PVC, diâm. 100mm, com grelha e porta grelha quadrados, em aço inox </v>
          </cell>
          <cell r="C626" t="str">
            <v xml:space="preserve">und </v>
          </cell>
          <cell r="D626">
            <v>30.63</v>
          </cell>
        </row>
        <row r="627">
          <cell r="A627">
            <v>142113</v>
          </cell>
          <cell r="B627" t="str">
            <v xml:space="preserve">Caixa de inspeção em PVC, diâm. 150mm, com tampa cega </v>
          </cell>
          <cell r="C627" t="str">
            <v xml:space="preserve">und </v>
          </cell>
          <cell r="D627">
            <v>42.01</v>
          </cell>
        </row>
        <row r="628">
          <cell r="A628">
            <v>142114</v>
          </cell>
          <cell r="B628" t="str">
            <v xml:space="preserve">Tampa para caixa sifonada, em PVC, de 150x150mm </v>
          </cell>
          <cell r="C628" t="str">
            <v xml:space="preserve">und </v>
          </cell>
          <cell r="D628">
            <v>3.33</v>
          </cell>
        </row>
        <row r="629">
          <cell r="A629">
            <v>142115</v>
          </cell>
          <cell r="B629" t="str">
            <v xml:space="preserve">Tampa para caixa sifonada, em aço inox, de 150x150mm </v>
          </cell>
          <cell r="C629" t="str">
            <v xml:space="preserve">und </v>
          </cell>
          <cell r="D629">
            <v>24.77</v>
          </cell>
        </row>
        <row r="630">
          <cell r="A630">
            <v>142116</v>
          </cell>
          <cell r="B630" t="str">
            <v xml:space="preserve">Tampa para ralo, em PVC, de 100x100mm </v>
          </cell>
          <cell r="C630" t="str">
            <v xml:space="preserve">und </v>
          </cell>
          <cell r="D630">
            <v>2.15</v>
          </cell>
        </row>
        <row r="631">
          <cell r="A631">
            <v>142117</v>
          </cell>
          <cell r="B631" t="str">
            <v xml:space="preserve">Tampa para ralo, em aço inox, de 100x100mm </v>
          </cell>
          <cell r="C631" t="str">
            <v xml:space="preserve">und </v>
          </cell>
          <cell r="D631">
            <v>15.17</v>
          </cell>
        </row>
        <row r="632">
          <cell r="A632">
            <v>142118</v>
          </cell>
          <cell r="B632" t="str">
            <v xml:space="preserve">Engate flexível de PVC para lavatório </v>
          </cell>
          <cell r="C632" t="str">
            <v xml:space="preserve">und </v>
          </cell>
          <cell r="D632">
            <v>7.45</v>
          </cell>
        </row>
        <row r="633">
          <cell r="A633">
            <v>142119</v>
          </cell>
          <cell r="B633" t="str">
            <v xml:space="preserve">Torneira de bóia de PVC, diâm. 3/4" (20mm) </v>
          </cell>
          <cell r="C633" t="str">
            <v xml:space="preserve">und </v>
          </cell>
          <cell r="D633">
            <v>42.16</v>
          </cell>
        </row>
        <row r="634">
          <cell r="A634">
            <v>142120</v>
          </cell>
          <cell r="B634" t="str">
            <v xml:space="preserve">Torneira de bóia de PVC, diâm. 1" (25mm) </v>
          </cell>
          <cell r="C634" t="str">
            <v xml:space="preserve">und </v>
          </cell>
          <cell r="D634">
            <v>57.52</v>
          </cell>
        </row>
        <row r="635">
          <cell r="A635">
            <v>142121</v>
          </cell>
          <cell r="B635" t="str">
            <v xml:space="preserve">Torneira de bóia de PVC, diâm. 11/4" (32mm) </v>
          </cell>
          <cell r="C635" t="str">
            <v xml:space="preserve">und </v>
          </cell>
          <cell r="D635">
            <v>88.78</v>
          </cell>
        </row>
        <row r="636">
          <cell r="A636">
            <v>142122</v>
          </cell>
          <cell r="B636" t="str">
            <v xml:space="preserve">Automático de bóia </v>
          </cell>
          <cell r="C636" t="str">
            <v xml:space="preserve">und </v>
          </cell>
          <cell r="D636">
            <v>61.24</v>
          </cell>
        </row>
        <row r="637">
          <cell r="A637">
            <v>142123</v>
          </cell>
          <cell r="B637" t="str">
            <v xml:space="preserve">Adaptador de PVC com flanges livres para caixa d'água de 20mmx1/2" </v>
          </cell>
          <cell r="C637" t="str">
            <v xml:space="preserve">und </v>
          </cell>
          <cell r="D637">
            <v>7.8</v>
          </cell>
        </row>
        <row r="638">
          <cell r="A638">
            <v>142124</v>
          </cell>
          <cell r="B638" t="str">
            <v xml:space="preserve">Adaptador de PVC com flanges livres para caixa d'água de 25mmx3/4" </v>
          </cell>
          <cell r="C638" t="str">
            <v xml:space="preserve">und </v>
          </cell>
          <cell r="D638">
            <v>9.16</v>
          </cell>
        </row>
        <row r="639">
          <cell r="A639">
            <v>142125</v>
          </cell>
          <cell r="B639" t="str">
            <v xml:space="preserve">Adaptador de PVC com flanges livres para caixa d'água de 32mmx1" </v>
          </cell>
          <cell r="C639" t="str">
            <v xml:space="preserve">und </v>
          </cell>
          <cell r="D639">
            <v>12.34</v>
          </cell>
        </row>
        <row r="640">
          <cell r="A640">
            <v>1422</v>
          </cell>
          <cell r="B640" t="str">
            <v xml:space="preserve">ABERTURA E FECHAMENTO DE RASGOS (inclusive preparo e aplicação de argamassa) </v>
          </cell>
          <cell r="C640" t="str">
            <v/>
          </cell>
          <cell r="D640" t="str">
            <v/>
          </cell>
        </row>
        <row r="641">
          <cell r="A641">
            <v>142201</v>
          </cell>
          <cell r="B641" t="str">
            <v xml:space="preserve">Abertura e fechamento de rasgos em alvenaria, para passagem de tubulações, diâm. 1/2" a 1" </v>
          </cell>
          <cell r="C641" t="str">
            <v xml:space="preserve">m </v>
          </cell>
          <cell r="D641">
            <v>5.12</v>
          </cell>
        </row>
        <row r="642">
          <cell r="A642">
            <v>142202</v>
          </cell>
          <cell r="B642" t="str">
            <v xml:space="preserve">Abertura e fechamento de rasgos em alvenaria, para passagem de tubulações, diâm. 11/4" a 2" </v>
          </cell>
          <cell r="C642" t="str">
            <v xml:space="preserve">m </v>
          </cell>
          <cell r="D642">
            <v>7.67</v>
          </cell>
        </row>
        <row r="643">
          <cell r="A643">
            <v>142203</v>
          </cell>
          <cell r="B643" t="str">
            <v xml:space="preserve">Abertura e fechamento de rasgos em alvenaria, para passagem de tubulações, diâm. 21/2 a 4" </v>
          </cell>
          <cell r="C643" t="str">
            <v xml:space="preserve">m </v>
          </cell>
          <cell r="D643">
            <v>11.56</v>
          </cell>
        </row>
        <row r="644">
          <cell r="A644">
            <v>142204</v>
          </cell>
          <cell r="B644" t="str">
            <v xml:space="preserve">Abertura e fechamento de rasgos em concreto, para passagem de tubulações, diâm. 1/2" a 1" </v>
          </cell>
          <cell r="C644" t="str">
            <v xml:space="preserve">m </v>
          </cell>
          <cell r="D644">
            <v>9.84</v>
          </cell>
        </row>
        <row r="645">
          <cell r="A645">
            <v>142205</v>
          </cell>
          <cell r="B645" t="str">
            <v xml:space="preserve">Abertura e fechamento de rasgos em concreto, para passagem de tubulações, diâm. 11/4" a 2" </v>
          </cell>
          <cell r="C645" t="str">
            <v xml:space="preserve">m </v>
          </cell>
          <cell r="D645">
            <v>15.01</v>
          </cell>
        </row>
        <row r="646">
          <cell r="A646">
            <v>142206</v>
          </cell>
          <cell r="B646" t="str">
            <v xml:space="preserve">Abertura e fechamento de rasgos em concreto, para passagem de tubulações, diâm. 2 1/2"a 4" </v>
          </cell>
          <cell r="C646" t="str">
            <v xml:space="preserve">m </v>
          </cell>
          <cell r="D646">
            <v>21.79</v>
          </cell>
        </row>
        <row r="647">
          <cell r="A647">
            <v>1423</v>
          </cell>
          <cell r="B647" t="str">
            <v xml:space="preserve">REVISÕES E REPAROS </v>
          </cell>
          <cell r="C647" t="str">
            <v/>
          </cell>
          <cell r="D647" t="str">
            <v/>
          </cell>
        </row>
        <row r="648">
          <cell r="A648">
            <v>142301</v>
          </cell>
          <cell r="B648" t="str">
            <v xml:space="preserve">Revisões e reparos em torneiras e registros </v>
          </cell>
          <cell r="C648" t="str">
            <v xml:space="preserve">und </v>
          </cell>
          <cell r="D648">
            <v>9.2799999999999994</v>
          </cell>
        </row>
        <row r="649">
          <cell r="A649">
            <v>142302</v>
          </cell>
          <cell r="B649" t="str">
            <v xml:space="preserve">Revisões e reparos em caixas de descarga </v>
          </cell>
          <cell r="C649" t="str">
            <v xml:space="preserve">und </v>
          </cell>
          <cell r="D649">
            <v>13</v>
          </cell>
        </row>
        <row r="650">
          <cell r="A650">
            <v>142303</v>
          </cell>
          <cell r="B650" t="str">
            <v xml:space="preserve">Revisões e reparos em torneiras de bóia </v>
          </cell>
          <cell r="C650" t="str">
            <v xml:space="preserve">und </v>
          </cell>
          <cell r="D650">
            <v>9.2799999999999994</v>
          </cell>
        </row>
        <row r="651">
          <cell r="A651">
            <v>142304</v>
          </cell>
          <cell r="B651" t="str">
            <v xml:space="preserve">Fornecimento de durepox para reparos (250g) </v>
          </cell>
          <cell r="C651" t="str">
            <v xml:space="preserve">und </v>
          </cell>
          <cell r="D651">
            <v>9.92</v>
          </cell>
        </row>
        <row r="652">
          <cell r="A652">
            <v>15</v>
          </cell>
          <cell r="B652" t="str">
            <v xml:space="preserve">INSTALAÇÕES ELÉTRICAS </v>
          </cell>
          <cell r="C652" t="str">
            <v/>
          </cell>
          <cell r="D652" t="str">
            <v/>
          </cell>
        </row>
        <row r="653">
          <cell r="A653">
            <v>1501</v>
          </cell>
          <cell r="B653" t="str">
            <v xml:space="preserve">PADRÃO DE ENTRADA </v>
          </cell>
          <cell r="C653" t="str">
            <v/>
          </cell>
          <cell r="D653" t="str">
            <v/>
          </cell>
        </row>
        <row r="654">
          <cell r="A654">
            <v>150103</v>
          </cell>
          <cell r="B654" t="str">
            <v xml:space="preserve">Derivação do ramal de entrada subterrânea em baixa tensão, trifásico </v>
          </cell>
          <cell r="C654" t="str">
            <v xml:space="preserve">und </v>
          </cell>
          <cell r="D654">
            <v>491.05</v>
          </cell>
        </row>
        <row r="655">
          <cell r="A655">
            <v>150106</v>
          </cell>
          <cell r="B655" t="str">
            <v xml:space="preserve">Derivação do ramal de entrada subterrânea em baixa tensão, trifásico, inclusive medidor </v>
          </cell>
          <cell r="C655" t="str">
            <v xml:space="preserve">und </v>
          </cell>
          <cell r="D655">
            <v>1996.71</v>
          </cell>
        </row>
        <row r="656">
          <cell r="A656">
            <v>150112</v>
          </cell>
          <cell r="B656" t="str">
            <v xml:space="preserve">Padrão de entrada de energia monofásica </v>
          </cell>
          <cell r="C656" t="str">
            <v xml:space="preserve">und </v>
          </cell>
          <cell r="D656">
            <v>1198.73</v>
          </cell>
        </row>
        <row r="657">
          <cell r="A657">
            <v>150113</v>
          </cell>
          <cell r="B657" t="str">
            <v xml:space="preserve">Padrão de entrada de energia elétrica bifásica </v>
          </cell>
          <cell r="C657" t="str">
            <v xml:space="preserve">und </v>
          </cell>
          <cell r="D657">
            <v>1343.24</v>
          </cell>
        </row>
        <row r="658">
          <cell r="A658">
            <v>150115</v>
          </cell>
          <cell r="B658" t="str">
            <v xml:space="preserve">Derivação ramal entrada, incl. mureta rev.c/ chap. e reb. c/ arg. de cimento, cal e areia traço 1:0,5:6, c/ quadros de medição, de transformador de corrente, chave geral tripolar, disjuntores, eletrodutos e cabos conf. det. </v>
          </cell>
          <cell r="C658" t="str">
            <v xml:space="preserve">und </v>
          </cell>
          <cell r="D658">
            <v>6788.02</v>
          </cell>
        </row>
        <row r="659">
          <cell r="A659">
            <v>150116</v>
          </cell>
          <cell r="B659" t="str">
            <v xml:space="preserve">Abrigo p/ quadro de distribuição de luz de alv. bloco conc. e laje em conc. impermeabilizada, dim.1.90x0.90x2.30m, c/ porta mad. em veneziana, incl. rev. c/ arg. cimento, cal hidratada CH1 e areia traço 1:0.5:6 e pintura </v>
          </cell>
          <cell r="C659" t="str">
            <v xml:space="preserve">und </v>
          </cell>
          <cell r="D659">
            <v>2310.84</v>
          </cell>
        </row>
        <row r="660">
          <cell r="A660">
            <v>1503</v>
          </cell>
          <cell r="B660" t="str">
            <v xml:space="preserve">QUADRO DE DISTRIBUIÇÃO </v>
          </cell>
          <cell r="C660" t="str">
            <v/>
          </cell>
          <cell r="D660" t="str">
            <v/>
          </cell>
        </row>
        <row r="661">
          <cell r="A661">
            <v>150302</v>
          </cell>
          <cell r="B661" t="str">
            <v xml:space="preserve">Quadro de distribuição para 06 circuitos, inclusive disjuntores monopolar </v>
          </cell>
          <cell r="C661" t="str">
            <v xml:space="preserve">und </v>
          </cell>
          <cell r="D661">
            <v>105.02</v>
          </cell>
        </row>
        <row r="662">
          <cell r="A662">
            <v>150306</v>
          </cell>
          <cell r="B662" t="str">
            <v xml:space="preserve">Quadro de distribuição de energia, de embutir, com 12 divisões modulares com barramento </v>
          </cell>
          <cell r="C662" t="str">
            <v xml:space="preserve">und </v>
          </cell>
          <cell r="D662">
            <v>178.7</v>
          </cell>
        </row>
        <row r="663">
          <cell r="A663">
            <v>150307</v>
          </cell>
          <cell r="B663" t="str">
            <v xml:space="preserve">Quadro de distribuição de energia, de embutir, com 18 divisões modulares, com barramento </v>
          </cell>
          <cell r="C663" t="str">
            <v xml:space="preserve">und </v>
          </cell>
          <cell r="D663">
            <v>215.69</v>
          </cell>
        </row>
        <row r="664">
          <cell r="A664">
            <v>150308</v>
          </cell>
          <cell r="B664" t="str">
            <v xml:space="preserve">Quadro de distribuição de energia, de embutir, com 24 divisões modulares, com barramento </v>
          </cell>
          <cell r="C664" t="str">
            <v xml:space="preserve">und </v>
          </cell>
          <cell r="D664">
            <v>260.75</v>
          </cell>
        </row>
        <row r="665">
          <cell r="A665">
            <v>150309</v>
          </cell>
          <cell r="B665" t="str">
            <v xml:space="preserve">Quadro de distribuição de energia, de embutir, com 32 divisões modulares, com barramento </v>
          </cell>
          <cell r="C665" t="str">
            <v xml:space="preserve">und </v>
          </cell>
          <cell r="D665">
            <v>296.58999999999997</v>
          </cell>
        </row>
        <row r="666">
          <cell r="A666">
            <v>150310</v>
          </cell>
          <cell r="B666" t="str">
            <v xml:space="preserve">Caixa de distribuição 20x20x15 cm </v>
          </cell>
          <cell r="C666" t="str">
            <v xml:space="preserve">und </v>
          </cell>
          <cell r="D666">
            <v>39.07</v>
          </cell>
        </row>
        <row r="667">
          <cell r="A667">
            <v>150311</v>
          </cell>
          <cell r="B667" t="str">
            <v xml:space="preserve">Quadro de distribuição de energia, de embutir, com 12 divisões modulares, sem barramento </v>
          </cell>
          <cell r="C667" t="str">
            <v xml:space="preserve">und </v>
          </cell>
          <cell r="D667">
            <v>71.37</v>
          </cell>
        </row>
        <row r="668">
          <cell r="A668">
            <v>150312</v>
          </cell>
          <cell r="B668" t="str">
            <v xml:space="preserve">Quadro de distribuição de energia, de embutir, com 3 divisões modulares, sem barramento </v>
          </cell>
          <cell r="C668" t="str">
            <v xml:space="preserve">und </v>
          </cell>
          <cell r="D668">
            <v>48.22</v>
          </cell>
        </row>
        <row r="669">
          <cell r="A669">
            <v>150313</v>
          </cell>
          <cell r="B669" t="str">
            <v xml:space="preserve">Quadro de distribuição de energia, de embutir, com 6 divisões modulares, sem barramento </v>
          </cell>
          <cell r="C669" t="str">
            <v xml:space="preserve">und </v>
          </cell>
          <cell r="D669">
            <v>54.07</v>
          </cell>
        </row>
        <row r="670">
          <cell r="A670">
            <v>1505</v>
          </cell>
          <cell r="B670" t="str">
            <v xml:space="preserve">PONTOS ELÉTRICOS </v>
          </cell>
          <cell r="C670" t="str">
            <v/>
          </cell>
          <cell r="D670" t="str">
            <v/>
          </cell>
        </row>
        <row r="671">
          <cell r="A671">
            <v>150501</v>
          </cell>
          <cell r="B671" t="str">
            <v xml:space="preserve">Ponto padrão de luz no teto - considerando eletroduto PVC rígido de 3/4" inclusive conexões (4.5m), fio isolado PVC de 2.5mm2 (11.0m) e caixa estampada 4x4" (1 und) </v>
          </cell>
          <cell r="C671" t="str">
            <v xml:space="preserve">pt </v>
          </cell>
          <cell r="D671">
            <v>78.64</v>
          </cell>
        </row>
        <row r="672">
          <cell r="A672">
            <v>150502</v>
          </cell>
          <cell r="B672" t="str">
            <v xml:space="preserve">Ponto padrão de luz na parede - considerando eletroduto PVC rígido de 3/4" inclusive conexões (3.3m), fio isolado PVC de 2.5mm2 (8.0m) e caixa estampada 4x4" (1 und) </v>
          </cell>
          <cell r="C672" t="str">
            <v xml:space="preserve">pt </v>
          </cell>
          <cell r="D672">
            <v>59.97</v>
          </cell>
        </row>
        <row r="673">
          <cell r="A673">
            <v>150503</v>
          </cell>
          <cell r="B673" t="str">
            <v xml:space="preserve">Ponto padrão de tomada simples 2 polos universal 10A/250V na parede - considerando eletroduto PVC rígido de 3/4" inclusive conexões (5.0m), fio isolado PVC de 2.5mm2 (12.0m) e caixa estampada 4x2" (1 und) </v>
          </cell>
          <cell r="C673" t="str">
            <v xml:space="preserve">pt </v>
          </cell>
          <cell r="D673">
            <v>82.74</v>
          </cell>
        </row>
        <row r="674">
          <cell r="A674">
            <v>150504</v>
          </cell>
          <cell r="B674" t="str">
            <v xml:space="preserve">Ponto padrão de tomada 2 polos mais terra - considerando eletroduto PVC rígido de 3/4" inclusive conexões (5.0m), fio isolado PVC de 2.5mm2 (8.0m), de 4.0mm2 (6.45m) e caixa estampada 4x2" (1 und) </v>
          </cell>
          <cell r="C674" t="str">
            <v xml:space="preserve">pt </v>
          </cell>
          <cell r="D674">
            <v>94.36</v>
          </cell>
        </row>
        <row r="675">
          <cell r="A675">
            <v>150505</v>
          </cell>
          <cell r="B675" t="str">
            <v xml:space="preserve">Ponto padrão de tomada para chuveiro elétrico - considerando eletroduto PVC rígido de 3/4" inclusive conexões (9.0m), fio isolado PVC de 6.0mm2 (22.0m) e caixa estampada 4x2" (1 und) </v>
          </cell>
          <cell r="C675" t="str">
            <v xml:space="preserve">pt </v>
          </cell>
          <cell r="D675">
            <v>179.29</v>
          </cell>
        </row>
        <row r="676">
          <cell r="A676">
            <v>150506</v>
          </cell>
          <cell r="B676" t="str">
            <v xml:space="preserve">Ponto padrão de tomada para ar refrigerado - considerando eletroduto PVC rígido de 3/4" inclusive conexões (6.0m), fio isolado PVC de 4.0mm2 (17.0m) e caixa estampada 4x2" (1 und) </v>
          </cell>
          <cell r="C676" t="str">
            <v xml:space="preserve">pt </v>
          </cell>
          <cell r="D676">
            <v>117.27</v>
          </cell>
        </row>
        <row r="677">
          <cell r="A677">
            <v>150507</v>
          </cell>
          <cell r="B677" t="str">
            <v xml:space="preserve">Ponto padrão de ventilador no teto - considerando eletroduto PVC rígido de 3/4" inclusive conexões (4.5m), fio isolado PVC de 2.5mm2 (11.0m) e caixa estampada 4x4" (1 und) </v>
          </cell>
          <cell r="C677" t="str">
            <v xml:space="preserve">pt </v>
          </cell>
          <cell r="D677">
            <v>78.64</v>
          </cell>
        </row>
        <row r="678">
          <cell r="A678">
            <v>150508</v>
          </cell>
          <cell r="B678" t="str">
            <v xml:space="preserve">Ponto padrão de interruptor de 1 tecla simples - considerando eletroduto PVC rígido de 3/4" inclusive conexões (3.3m), fio isolado PVC de 2.5mm2 (8.6m) e caixa estampada 4x2" (1 und) </v>
          </cell>
          <cell r="C678" t="str">
            <v xml:space="preserve">pt </v>
          </cell>
          <cell r="D678">
            <v>58.78</v>
          </cell>
        </row>
        <row r="679">
          <cell r="A679">
            <v>150509</v>
          </cell>
          <cell r="B679" t="str">
            <v xml:space="preserve">Ponto padrão de interruptor de 2 teclas simples - considerando eletroduto PVC rígido de 3/4" inclusive conexões (3.3m), fio isolado PVC de 2.5mm2 (17.2m) e caixa estampada 4x2" (1 und) </v>
          </cell>
          <cell r="C679" t="str">
            <v xml:space="preserve">pt </v>
          </cell>
          <cell r="D679">
            <v>84.2</v>
          </cell>
        </row>
        <row r="680">
          <cell r="A680">
            <v>150510</v>
          </cell>
          <cell r="B680" t="str">
            <v xml:space="preserve">Ponto padrão de interruptor de 1 tecla paralelo - considerando eletroduto PVC rígido de 3/4" inclusive conexões (8.5m), fio isolado PVC de 2.5mm2 (28.8m) e caixa estampada 4x2" (1 und) </v>
          </cell>
          <cell r="C680" t="str">
            <v xml:space="preserve">pt </v>
          </cell>
          <cell r="D680">
            <v>160.99</v>
          </cell>
        </row>
        <row r="681">
          <cell r="A681">
            <v>150511</v>
          </cell>
          <cell r="B681" t="str">
            <v xml:space="preserve">Ponto padrão de interruptor de 1 tecla simples e 1 tomada dois polos universal 10A/250V - considerando eletroduto PVC rígido de 3/4" inclusive conexões (4.5m), fio isolado PVC de 2.5mm2 (19.4m) e caixa estampada 4x2" (1 und) </v>
          </cell>
          <cell r="C681" t="str">
            <v xml:space="preserve">pt </v>
          </cell>
          <cell r="D681">
            <v>100.36</v>
          </cell>
        </row>
        <row r="682">
          <cell r="A682">
            <v>150512</v>
          </cell>
          <cell r="B682" t="str">
            <v xml:space="preserve">Ponto padrão de interruptor de 2 teclas simples e 1 tomada dois polos universal 10A/250V - considerando eletroduto PVC rígido de 3/4" inclusive conexões (4.5m), fio isolado PVC de 2.5mm2 (22.9m) e caixa estampada 4x2" (1 und) </v>
          </cell>
          <cell r="C682" t="str">
            <v xml:space="preserve">pt </v>
          </cell>
          <cell r="D682">
            <v>110.71</v>
          </cell>
        </row>
        <row r="683">
          <cell r="A683">
            <v>150513</v>
          </cell>
          <cell r="B683" t="str">
            <v xml:space="preserve">Ponto padrão de campainha - considerando eletroduto PVC rígido de 3/4" inclusive conexões (5.0m), fio isolado PVC de 2.5mm2 (12.0m) e caixa estampada 4x2" (1 und) </v>
          </cell>
          <cell r="C683" t="str">
            <v xml:space="preserve">pt </v>
          </cell>
          <cell r="D683">
            <v>90.43</v>
          </cell>
        </row>
        <row r="684">
          <cell r="A684">
            <v>150514</v>
          </cell>
          <cell r="B684" t="str">
            <v xml:space="preserve">Ponto padrão de poste para quadra de esportes - considerando eletroduto PVC rígido de 3/4" inclusive conexões (8.8m), fio isolado PVC de 4.0mm2 (53.2m) e cabo de cobre nú de 4mm2 (20.1m) </v>
          </cell>
          <cell r="C684" t="str">
            <v xml:space="preserve">pt </v>
          </cell>
          <cell r="D684">
            <v>344.88</v>
          </cell>
        </row>
        <row r="685">
          <cell r="A685">
            <v>150515</v>
          </cell>
          <cell r="B685" t="str">
            <v xml:space="preserve">Ponto padrão de poste para iluminação externa - considerando eletroduto PVC rígido de 3/4" inclusive conexões (7.7m), fio isolado PVC de 2.5mm2 (25.2m) </v>
          </cell>
          <cell r="C685" t="str">
            <v xml:space="preserve">pt </v>
          </cell>
          <cell r="D685">
            <v>139.46</v>
          </cell>
        </row>
        <row r="686">
          <cell r="A686">
            <v>150516</v>
          </cell>
          <cell r="B686" t="str">
            <v xml:space="preserve">Ponto padrão de interruptor para ventilador - considerando eletroduto PVC rígido de 3/4" inclusive conexões (2.1m), fio isolado PVC de 2.5mm2 (6.4m) e caixa estampada 4x2" (1 und) </v>
          </cell>
          <cell r="C686" t="str">
            <v xml:space="preserve">pt </v>
          </cell>
          <cell r="D686">
            <v>42.46</v>
          </cell>
        </row>
        <row r="687">
          <cell r="A687">
            <v>150517</v>
          </cell>
          <cell r="B687" t="str">
            <v xml:space="preserve">Ponto padrão de interruptor de 3 teclas simples - considerando eletroduto PVC rígido de 3/4" inclusive conexões (4.5m), fio isolado PVC de 2.5mm2 (25.8m) e caixa estampada 4x2" (1 und) </v>
          </cell>
          <cell r="C687" t="str">
            <v xml:space="preserve">pt </v>
          </cell>
          <cell r="D687">
            <v>119.44</v>
          </cell>
        </row>
        <row r="688">
          <cell r="A688">
            <v>150518</v>
          </cell>
          <cell r="B688" t="str">
            <v xml:space="preserve">Ponto para instalação de bombas d'água trifásica de 1/2cv, inclusive automático de bóia e quadro de comando de bombas, exclusive bombas </v>
          </cell>
          <cell r="C688" t="str">
            <v xml:space="preserve">pt </v>
          </cell>
          <cell r="D688">
            <v>1700.4</v>
          </cell>
        </row>
        <row r="689">
          <cell r="A689">
            <v>150520</v>
          </cell>
          <cell r="B689" t="str">
            <v xml:space="preserve">Ponto de tomada simples para piso 10A/250V </v>
          </cell>
          <cell r="C689" t="str">
            <v xml:space="preserve">pt </v>
          </cell>
          <cell r="D689">
            <v>82.74</v>
          </cell>
        </row>
        <row r="690">
          <cell r="A690">
            <v>150521</v>
          </cell>
          <cell r="B690" t="str">
            <v xml:space="preserve">Ponto de antena de TV </v>
          </cell>
          <cell r="C690" t="str">
            <v xml:space="preserve">pt </v>
          </cell>
          <cell r="D690">
            <v>32.380000000000003</v>
          </cell>
        </row>
        <row r="691">
          <cell r="A691">
            <v>1506</v>
          </cell>
          <cell r="B691" t="str">
            <v xml:space="preserve">CAIXAS DE PASSAGEM </v>
          </cell>
          <cell r="C691" t="str">
            <v/>
          </cell>
          <cell r="D691" t="str">
            <v/>
          </cell>
        </row>
        <row r="692">
          <cell r="A692">
            <v>150609</v>
          </cell>
          <cell r="B692" t="str">
            <v xml:space="preserve">Caixa para medidor polifásico com local para disjuntor </v>
          </cell>
          <cell r="C692" t="str">
            <v xml:space="preserve">und </v>
          </cell>
          <cell r="D692">
            <v>131.05000000000001</v>
          </cell>
        </row>
        <row r="693">
          <cell r="A693">
            <v>150612</v>
          </cell>
          <cell r="B693" t="str">
            <v xml:space="preserve">Caixa de passagem 4" x 4", com tampa parafusada </v>
          </cell>
          <cell r="C693" t="str">
            <v xml:space="preserve">und </v>
          </cell>
          <cell r="D693">
            <v>18.829999999999998</v>
          </cell>
        </row>
        <row r="694">
          <cell r="A694">
            <v>150623</v>
          </cell>
          <cell r="B694" t="str">
            <v xml:space="preserve">Caixa estampada 4x2" </v>
          </cell>
          <cell r="C694" t="str">
            <v xml:space="preserve">und </v>
          </cell>
          <cell r="D694">
            <v>4.75</v>
          </cell>
        </row>
        <row r="695">
          <cell r="A695">
            <v>150624</v>
          </cell>
          <cell r="B695" t="str">
            <v xml:space="preserve">Caixa estampada chapa 18 octogonal de 4x4x2"com fundo móvel </v>
          </cell>
          <cell r="C695" t="str">
            <v xml:space="preserve">und </v>
          </cell>
          <cell r="D695">
            <v>5.93</v>
          </cell>
        </row>
        <row r="696">
          <cell r="A696">
            <v>150625</v>
          </cell>
          <cell r="B696" t="str">
            <v xml:space="preserve">Caixa estampada chapa 18 sextavada de 3 x 3 x11/2" com fundo móvel </v>
          </cell>
          <cell r="C696" t="str">
            <v xml:space="preserve">und </v>
          </cell>
          <cell r="D696">
            <v>4.93</v>
          </cell>
        </row>
        <row r="697">
          <cell r="A697">
            <v>150626</v>
          </cell>
          <cell r="B697" t="str">
            <v xml:space="preserve">Caixa para medidor monofásico com local para disjuntor </v>
          </cell>
          <cell r="C697" t="str">
            <v xml:space="preserve">und </v>
          </cell>
          <cell r="D697">
            <v>78.680000000000007</v>
          </cell>
        </row>
        <row r="698">
          <cell r="A698">
            <v>150627</v>
          </cell>
          <cell r="B698" t="str">
            <v xml:space="preserve">Caixa de derivação para padrão </v>
          </cell>
          <cell r="C698" t="str">
            <v xml:space="preserve">und </v>
          </cell>
          <cell r="D698">
            <v>100.53</v>
          </cell>
        </row>
        <row r="699">
          <cell r="A699">
            <v>1507</v>
          </cell>
          <cell r="B699" t="str">
            <v xml:space="preserve">ENVELOPAMENTO DE ELETRODUTOS </v>
          </cell>
          <cell r="C699" t="str">
            <v/>
          </cell>
          <cell r="D699" t="str">
            <v/>
          </cell>
        </row>
        <row r="700">
          <cell r="A700">
            <v>150701</v>
          </cell>
          <cell r="B700" t="str">
            <v xml:space="preserve">Envelopamento de concreto simples com consumo mínimo de cimento de 250kg/m3, inclusive escavação para profundidade mínima do eletroduto de 50 cm, de 25 x 25 cm, para 1 eletroduto </v>
          </cell>
          <cell r="C700" t="str">
            <v xml:space="preserve">m </v>
          </cell>
          <cell r="D700">
            <v>26.34</v>
          </cell>
        </row>
        <row r="701">
          <cell r="A701">
            <v>150702</v>
          </cell>
          <cell r="B701" t="str">
            <v xml:space="preserve">Envelopamento de concreto simples com consumo mínimo de cimento de 250kg/m3, inclusive escavação para profundidade mínima do eletroduto de 50 cm, de 25 x 30 cm, para 2 eletrodutos </v>
          </cell>
          <cell r="C701" t="str">
            <v xml:space="preserve">m </v>
          </cell>
          <cell r="D701">
            <v>31.63</v>
          </cell>
        </row>
        <row r="702">
          <cell r="A702">
            <v>1508</v>
          </cell>
          <cell r="B702" t="str">
            <v xml:space="preserve">INSTALAÇÕES APARENTES </v>
          </cell>
          <cell r="C702" t="str">
            <v/>
          </cell>
          <cell r="D702" t="str">
            <v/>
          </cell>
        </row>
        <row r="703">
          <cell r="A703">
            <v>150801</v>
          </cell>
          <cell r="B703" t="str">
            <v xml:space="preserve">Eletroduto aparente de PVC rígido roscável diâmetro 3/4" </v>
          </cell>
          <cell r="C703" t="str">
            <v xml:space="preserve">m </v>
          </cell>
          <cell r="D703">
            <v>9.66</v>
          </cell>
        </row>
        <row r="704">
          <cell r="A704">
            <v>150802</v>
          </cell>
          <cell r="B704" t="str">
            <v xml:space="preserve">Caixa de ligação de alumínio sílico, tipo CONDULETES, no formato B, diâmetro 3/4" </v>
          </cell>
          <cell r="C704" t="str">
            <v xml:space="preserve">und </v>
          </cell>
          <cell r="D704">
            <v>9.91</v>
          </cell>
        </row>
        <row r="705">
          <cell r="A705">
            <v>150803</v>
          </cell>
          <cell r="B705" t="str">
            <v xml:space="preserve">Caixa de ligação de alumínio sílico, tipo CONDULETES, no formato T, diâmetro 3/4" </v>
          </cell>
          <cell r="C705" t="str">
            <v xml:space="preserve">und </v>
          </cell>
          <cell r="D705">
            <v>12.47</v>
          </cell>
        </row>
        <row r="706">
          <cell r="A706">
            <v>150804</v>
          </cell>
          <cell r="B706" t="str">
            <v xml:space="preserve">Caixa de ligação de alumínio sílico, tipo CONDULETES, no formato LR, diâmetro 3/4" </v>
          </cell>
          <cell r="C706" t="str">
            <v xml:space="preserve">und </v>
          </cell>
          <cell r="D706">
            <v>11.49</v>
          </cell>
        </row>
        <row r="707">
          <cell r="A707">
            <v>150805</v>
          </cell>
          <cell r="B707" t="str">
            <v xml:space="preserve">Caixa de ligação de alumínio sílico, tipo CONDULETES, no formato X, diâmetro 3/4" </v>
          </cell>
          <cell r="C707" t="str">
            <v xml:space="preserve">und </v>
          </cell>
          <cell r="D707">
            <v>12.52</v>
          </cell>
        </row>
        <row r="708">
          <cell r="A708">
            <v>150806</v>
          </cell>
          <cell r="B708" t="str">
            <v xml:space="preserve">Eletroduto aparente de PVC rígido roscável diâmetro 1" </v>
          </cell>
          <cell r="C708" t="str">
            <v xml:space="preserve">m </v>
          </cell>
          <cell r="D708">
            <v>13.27</v>
          </cell>
        </row>
        <row r="709">
          <cell r="A709">
            <v>150807</v>
          </cell>
          <cell r="B709" t="str">
            <v xml:space="preserve">Canaleta sistema X da Pial ou equivalente, inclusive conexões </v>
          </cell>
          <cell r="C709" t="str">
            <v xml:space="preserve">m </v>
          </cell>
          <cell r="D709">
            <v>7.56</v>
          </cell>
        </row>
        <row r="710">
          <cell r="A710">
            <v>1509</v>
          </cell>
          <cell r="B710" t="str">
            <v xml:space="preserve">COMPOSIÇÕES INTERMEDIÁRIAS P/ ELETRICA </v>
          </cell>
          <cell r="C710" t="str">
            <v/>
          </cell>
          <cell r="D710" t="str">
            <v/>
          </cell>
        </row>
        <row r="711">
          <cell r="A711">
            <v>150906</v>
          </cell>
          <cell r="B711" t="str">
            <v xml:space="preserve">Arame galvanizado 12 BWG (0.048 kg/m) </v>
          </cell>
          <cell r="C711" t="str">
            <v xml:space="preserve">m </v>
          </cell>
          <cell r="D711">
            <v>0.86</v>
          </cell>
        </row>
        <row r="712">
          <cell r="A712">
            <v>150910</v>
          </cell>
          <cell r="B712" t="str">
            <v xml:space="preserve">Cabeçote de alumínio de 3/4" </v>
          </cell>
          <cell r="C712" t="str">
            <v xml:space="preserve">und </v>
          </cell>
          <cell r="D712">
            <v>7.14</v>
          </cell>
        </row>
        <row r="713">
          <cell r="A713">
            <v>150916</v>
          </cell>
          <cell r="B713" t="str">
            <v xml:space="preserve">Canaleta sistema X Pial ou equivalente, inclusive conecções, 20x10x2200 mm, cod. 30801 </v>
          </cell>
          <cell r="C713" t="str">
            <v xml:space="preserve">und </v>
          </cell>
          <cell r="D713">
            <v>15.32</v>
          </cell>
        </row>
        <row r="714">
          <cell r="A714">
            <v>150918</v>
          </cell>
          <cell r="B714" t="str">
            <v xml:space="preserve">Fita isolante em rolo de 19mm x 20 m, número 33 Scoth ou equivalente </v>
          </cell>
          <cell r="C714" t="str">
            <v xml:space="preserve">und </v>
          </cell>
          <cell r="D714">
            <v>24.76</v>
          </cell>
        </row>
        <row r="715">
          <cell r="A715">
            <v>150932</v>
          </cell>
          <cell r="B715" t="str">
            <v xml:space="preserve">Receptáculo (bocal) de louça para lâmpada incandescente </v>
          </cell>
          <cell r="C715" t="str">
            <v xml:space="preserve">und </v>
          </cell>
          <cell r="D715">
            <v>3.43</v>
          </cell>
        </row>
        <row r="716">
          <cell r="A716">
            <v>150933</v>
          </cell>
          <cell r="B716" t="str">
            <v xml:space="preserve">Lâmpada incandescente de 100 W </v>
          </cell>
          <cell r="C716" t="str">
            <v xml:space="preserve">und </v>
          </cell>
          <cell r="D716">
            <v>1.87</v>
          </cell>
        </row>
        <row r="717">
          <cell r="A717">
            <v>150934</v>
          </cell>
          <cell r="B717" t="str">
            <v xml:space="preserve">Lâmpada fluorescente 40 W </v>
          </cell>
          <cell r="C717" t="str">
            <v xml:space="preserve">und </v>
          </cell>
          <cell r="D717">
            <v>5.56</v>
          </cell>
        </row>
        <row r="718">
          <cell r="A718">
            <v>150937</v>
          </cell>
          <cell r="B718" t="str">
            <v xml:space="preserve">Arame de aço 14 BWG para guia </v>
          </cell>
          <cell r="C718" t="str">
            <v xml:space="preserve">m </v>
          </cell>
          <cell r="D718">
            <v>2.0699999999999998</v>
          </cell>
        </row>
        <row r="719">
          <cell r="A719">
            <v>150955</v>
          </cell>
          <cell r="B719" t="str">
            <v xml:space="preserve">Terminal para ligação de cabo a barra de 6.0 mm2 </v>
          </cell>
          <cell r="C719" t="str">
            <v xml:space="preserve">und </v>
          </cell>
          <cell r="D719">
            <v>6.4</v>
          </cell>
        </row>
        <row r="720">
          <cell r="A720">
            <v>150956</v>
          </cell>
          <cell r="B720" t="str">
            <v xml:space="preserve">Terminal para ligação de cabo a barra de 10,0 mm2 </v>
          </cell>
          <cell r="C720" t="str">
            <v xml:space="preserve">und </v>
          </cell>
          <cell r="D720">
            <v>9.0399999999999991</v>
          </cell>
        </row>
        <row r="721">
          <cell r="A721">
            <v>150957</v>
          </cell>
          <cell r="B721" t="str">
            <v xml:space="preserve">Terminal para ligação de cabo a barra de 16,0 mm2 </v>
          </cell>
          <cell r="C721" t="str">
            <v xml:space="preserve">und </v>
          </cell>
          <cell r="D721">
            <v>9.31</v>
          </cell>
        </row>
        <row r="722">
          <cell r="A722">
            <v>150958</v>
          </cell>
          <cell r="B722" t="str">
            <v xml:space="preserve">Terminal para ligação de cabo a barra de 25,0 mm2 </v>
          </cell>
          <cell r="C722" t="str">
            <v xml:space="preserve">und </v>
          </cell>
          <cell r="D722">
            <v>9.6999999999999993</v>
          </cell>
        </row>
        <row r="723">
          <cell r="A723">
            <v>150959</v>
          </cell>
          <cell r="B723" t="str">
            <v xml:space="preserve">Terminal para ligação de cabo a barra de 35,0 mm2 </v>
          </cell>
          <cell r="C723" t="str">
            <v xml:space="preserve">und </v>
          </cell>
          <cell r="D723">
            <v>10.79</v>
          </cell>
        </row>
        <row r="724">
          <cell r="A724">
            <v>150960</v>
          </cell>
          <cell r="B724" t="str">
            <v xml:space="preserve">Terminal para ligação de cabo a barra de 50,0 mm2 </v>
          </cell>
          <cell r="C724" t="str">
            <v xml:space="preserve">und </v>
          </cell>
          <cell r="D724">
            <v>14.8</v>
          </cell>
        </row>
        <row r="725">
          <cell r="A725">
            <v>150961</v>
          </cell>
          <cell r="B725" t="str">
            <v xml:space="preserve">Terminal para ligação de cabo a barra de 4,0mm2 </v>
          </cell>
          <cell r="C725" t="str">
            <v xml:space="preserve">und </v>
          </cell>
          <cell r="D725">
            <v>5.76</v>
          </cell>
        </row>
        <row r="726">
          <cell r="A726">
            <v>150962</v>
          </cell>
          <cell r="B726" t="str">
            <v xml:space="preserve">Conector split bolt para cabo 4.0 mm2 </v>
          </cell>
          <cell r="C726" t="str">
            <v xml:space="preserve">und </v>
          </cell>
          <cell r="D726">
            <v>6</v>
          </cell>
        </row>
        <row r="727">
          <cell r="A727">
            <v>150963</v>
          </cell>
          <cell r="B727" t="str">
            <v xml:space="preserve">Conector split bolt para cabo 35,0 mm2 </v>
          </cell>
          <cell r="C727" t="str">
            <v xml:space="preserve">und </v>
          </cell>
          <cell r="D727">
            <v>9.51</v>
          </cell>
        </row>
        <row r="728">
          <cell r="A728">
            <v>150964</v>
          </cell>
          <cell r="B728" t="str">
            <v xml:space="preserve">Lâmpada fluorescente de 20W </v>
          </cell>
          <cell r="C728" t="str">
            <v xml:space="preserve">und </v>
          </cell>
          <cell r="D728">
            <v>5.56</v>
          </cell>
        </row>
        <row r="729">
          <cell r="A729">
            <v>150965</v>
          </cell>
          <cell r="B729" t="str">
            <v xml:space="preserve">Lâmpada incandescente de 60W </v>
          </cell>
          <cell r="C729" t="str">
            <v xml:space="preserve">und </v>
          </cell>
          <cell r="D729">
            <v>2.38</v>
          </cell>
        </row>
        <row r="730">
          <cell r="A730">
            <v>150966</v>
          </cell>
          <cell r="B730" t="str">
            <v xml:space="preserve">Lâmpada mista de 250W </v>
          </cell>
          <cell r="C730" t="str">
            <v xml:space="preserve">und </v>
          </cell>
          <cell r="D730">
            <v>18.440000000000001</v>
          </cell>
        </row>
        <row r="731">
          <cell r="A731">
            <v>150967</v>
          </cell>
          <cell r="B731" t="str">
            <v xml:space="preserve">Soquete para lâmpada fluorescente </v>
          </cell>
          <cell r="C731" t="str">
            <v xml:space="preserve">und </v>
          </cell>
          <cell r="D731">
            <v>2.94</v>
          </cell>
        </row>
        <row r="732">
          <cell r="A732">
            <v>150968</v>
          </cell>
          <cell r="B732" t="str">
            <v xml:space="preserve">Lâmpada fluorescente de 110W </v>
          </cell>
          <cell r="C732" t="str">
            <v xml:space="preserve">und </v>
          </cell>
          <cell r="D732">
            <v>17.79</v>
          </cell>
        </row>
        <row r="733">
          <cell r="A733">
            <v>150969</v>
          </cell>
          <cell r="B733" t="str">
            <v xml:space="preserve">Lâmpada mista de 500W </v>
          </cell>
          <cell r="C733" t="str">
            <v xml:space="preserve">und </v>
          </cell>
          <cell r="D733">
            <v>45.44</v>
          </cell>
        </row>
        <row r="734">
          <cell r="A734">
            <v>150970</v>
          </cell>
          <cell r="B734" t="str">
            <v xml:space="preserve">Reator para lâmpada fluorescente 1x20W, partida rápida </v>
          </cell>
          <cell r="C734" t="str">
            <v xml:space="preserve">und </v>
          </cell>
          <cell r="D734">
            <v>20.13</v>
          </cell>
        </row>
        <row r="735">
          <cell r="A735">
            <v>150971</v>
          </cell>
          <cell r="B735" t="str">
            <v xml:space="preserve">Reator para lâmpada fluorescente 2x20W, partida rápida </v>
          </cell>
          <cell r="C735" t="str">
            <v xml:space="preserve">und </v>
          </cell>
          <cell r="D735">
            <v>30.82</v>
          </cell>
        </row>
        <row r="736">
          <cell r="A736">
            <v>150972</v>
          </cell>
          <cell r="B736" t="str">
            <v xml:space="preserve">Reator para lâmpada fluorescente 1x40W, partida rápida </v>
          </cell>
          <cell r="C736" t="str">
            <v xml:space="preserve">und </v>
          </cell>
          <cell r="D736">
            <v>21.44</v>
          </cell>
        </row>
        <row r="737">
          <cell r="A737">
            <v>150973</v>
          </cell>
          <cell r="B737" t="str">
            <v xml:space="preserve">Reator para lâmpada fluorescente 2x40W, partida rápida </v>
          </cell>
          <cell r="C737" t="str">
            <v xml:space="preserve">und </v>
          </cell>
          <cell r="D737">
            <v>32.130000000000003</v>
          </cell>
        </row>
        <row r="738">
          <cell r="A738">
            <v>150974</v>
          </cell>
          <cell r="B738" t="str">
            <v xml:space="preserve">Starter para lâmpada fluorescente de 20W ou 40W </v>
          </cell>
          <cell r="C738" t="str">
            <v xml:space="preserve">und </v>
          </cell>
          <cell r="D738">
            <v>2.5499999999999998</v>
          </cell>
        </row>
        <row r="739">
          <cell r="A739">
            <v>150976</v>
          </cell>
          <cell r="B739" t="str">
            <v xml:space="preserve">Suspensão para luminária fluorescente </v>
          </cell>
          <cell r="C739" t="str">
            <v xml:space="preserve">und </v>
          </cell>
          <cell r="D739">
            <v>189.12</v>
          </cell>
        </row>
        <row r="740">
          <cell r="A740">
            <v>150977</v>
          </cell>
          <cell r="B740" t="str">
            <v xml:space="preserve">Braço ornamental para fixação de luminária tipo CP-A4-020 </v>
          </cell>
          <cell r="C740" t="str">
            <v xml:space="preserve">und </v>
          </cell>
          <cell r="D740">
            <v>145.44999999999999</v>
          </cell>
        </row>
        <row r="741">
          <cell r="A741">
            <v>1510</v>
          </cell>
          <cell r="B741" t="str">
            <v xml:space="preserve">CAIXAS DE PASSAGEM EMPREGANDO ARGAMASSA DE CIMENTO, CAL E AREIA </v>
          </cell>
          <cell r="C741" t="str">
            <v/>
          </cell>
          <cell r="D741" t="str">
            <v/>
          </cell>
        </row>
        <row r="742">
          <cell r="A742">
            <v>151001</v>
          </cell>
          <cell r="B742" t="str">
            <v xml:space="preserve">Caixa de passagem de alvenaria de blocos cerâmicos 10 furos 10x20x20cm dimensões de 25x25x25cm, com revestimento interno em chapisco e reboco, tampa de concreto esp.5cm e lastro de brita 5 cm </v>
          </cell>
          <cell r="C742" t="str">
            <v xml:space="preserve">und </v>
          </cell>
          <cell r="D742">
            <v>55.55</v>
          </cell>
        </row>
        <row r="743">
          <cell r="A743">
            <v>151003</v>
          </cell>
          <cell r="B743" t="str">
            <v xml:space="preserve">Caixa de passagem de alvenaria de blocos cerâmicos 10 furos 10x20x20cm, dimensão de 30x30x30cm, com revestimento interno em chapisco e reboco, tampa de concreto esp. 5cm e lastro de brita 5cm </v>
          </cell>
          <cell r="C743" t="str">
            <v xml:space="preserve">und </v>
          </cell>
          <cell r="D743">
            <v>56.1</v>
          </cell>
        </row>
        <row r="744">
          <cell r="A744">
            <v>151004</v>
          </cell>
          <cell r="B744" t="str">
            <v xml:space="preserve">Caixa de passagem de alvenaria de blocos cerâmicos 10 furos 10x20x20cm, dimensão de 50x50x50cm, com revestimento interno em chapisco e reboco, tampa de concreto esp. 5cm e lastro de brita 5cm </v>
          </cell>
          <cell r="C744" t="str">
            <v xml:space="preserve">und </v>
          </cell>
          <cell r="D744">
            <v>127.23</v>
          </cell>
        </row>
        <row r="745">
          <cell r="A745">
            <v>151015</v>
          </cell>
          <cell r="B745" t="str">
            <v xml:space="preserve">Caixa de inspeção de alvenaria de blocos cerâmicos 10 furos 10x20x20cm dimensões de 30x30x60cm, com revestimento interno em chapisco e reboco, tampa de concreto esp.5cm e lastro de brita 5 cm </v>
          </cell>
          <cell r="C745" t="str">
            <v xml:space="preserve">und </v>
          </cell>
          <cell r="D745">
            <v>99.16</v>
          </cell>
        </row>
        <row r="746">
          <cell r="A746">
            <v>1511</v>
          </cell>
          <cell r="B746" t="str">
            <v xml:space="preserve">ELETRODUTOS E CONEXÕES </v>
          </cell>
          <cell r="C746" t="str">
            <v/>
          </cell>
          <cell r="D746" t="str">
            <v/>
          </cell>
        </row>
        <row r="747">
          <cell r="A747">
            <v>151125</v>
          </cell>
          <cell r="B747" t="str">
            <v xml:space="preserve">Eletroduto de PVC rígido roscável, diâm. 1/2" (20mm), inclusive conexões </v>
          </cell>
          <cell r="C747" t="str">
            <v xml:space="preserve">m </v>
          </cell>
          <cell r="D747">
            <v>7.26</v>
          </cell>
        </row>
        <row r="748">
          <cell r="A748">
            <v>151126</v>
          </cell>
          <cell r="B748" t="str">
            <v xml:space="preserve">Eletroduto de PVC rígido roscável, diâm. 3/4" (25mm), inclusive conexões </v>
          </cell>
          <cell r="C748" t="str">
            <v xml:space="preserve">m </v>
          </cell>
          <cell r="D748">
            <v>8.18</v>
          </cell>
        </row>
        <row r="749">
          <cell r="A749">
            <v>151127</v>
          </cell>
          <cell r="B749" t="str">
            <v xml:space="preserve">Eletroduto de PVC rígido roscável, diâm. 1" (32mm), inclusive conexões </v>
          </cell>
          <cell r="C749" t="str">
            <v xml:space="preserve">m </v>
          </cell>
          <cell r="D749">
            <v>11.99</v>
          </cell>
        </row>
        <row r="750">
          <cell r="A750">
            <v>151128</v>
          </cell>
          <cell r="B750" t="str">
            <v xml:space="preserve">Eletroduto de PVC rígido roscável, diâm. 1 1/4" (40mm), inclusive conexões </v>
          </cell>
          <cell r="C750" t="str">
            <v xml:space="preserve">m </v>
          </cell>
          <cell r="D750">
            <v>14.26</v>
          </cell>
        </row>
        <row r="751">
          <cell r="A751">
            <v>151129</v>
          </cell>
          <cell r="B751" t="str">
            <v xml:space="preserve">Eletroduto de PVC rígido roscável, diâm. 1 1/2" (50mm), inclusive conexões </v>
          </cell>
          <cell r="C751" t="str">
            <v xml:space="preserve">m </v>
          </cell>
          <cell r="D751">
            <v>17.190000000000001</v>
          </cell>
        </row>
        <row r="752">
          <cell r="A752">
            <v>151130</v>
          </cell>
          <cell r="B752" t="str">
            <v xml:space="preserve">Eletroduto de PVC rígido roscável, diâm. 2" (60mm), inclusive conexões </v>
          </cell>
          <cell r="C752" t="str">
            <v xml:space="preserve">m </v>
          </cell>
          <cell r="D752">
            <v>20.51</v>
          </cell>
        </row>
        <row r="753">
          <cell r="A753">
            <v>151131</v>
          </cell>
          <cell r="B753" t="str">
            <v xml:space="preserve">Eletroduto de PVC rígido roscável, diâm. 3" (85mm), inclusive conexões </v>
          </cell>
          <cell r="C753" t="str">
            <v xml:space="preserve">m </v>
          </cell>
          <cell r="D753">
            <v>38.799999999999997</v>
          </cell>
        </row>
        <row r="754">
          <cell r="A754">
            <v>151132</v>
          </cell>
          <cell r="B754" t="str">
            <v xml:space="preserve">Eletroduto flexível corrugado 3/4" , marca de referência TIGRE </v>
          </cell>
          <cell r="C754" t="str">
            <v xml:space="preserve">m </v>
          </cell>
          <cell r="D754">
            <v>4.6100000000000003</v>
          </cell>
        </row>
        <row r="755">
          <cell r="A755">
            <v>151133</v>
          </cell>
          <cell r="B755" t="str">
            <v xml:space="preserve">Eletroduto flexível corrugado 1", marca de referência TIGRE </v>
          </cell>
          <cell r="C755" t="str">
            <v xml:space="preserve">m </v>
          </cell>
          <cell r="D755">
            <v>5.29</v>
          </cell>
        </row>
        <row r="756">
          <cell r="A756">
            <v>1513</v>
          </cell>
          <cell r="B756" t="str">
            <v xml:space="preserve">CHAVES E DISJUNTORES </v>
          </cell>
          <cell r="C756" t="str">
            <v/>
          </cell>
          <cell r="D756" t="str">
            <v/>
          </cell>
        </row>
        <row r="757">
          <cell r="A757">
            <v>151301</v>
          </cell>
          <cell r="B757" t="str">
            <v xml:space="preserve">Disjuntor monopolar 15 A </v>
          </cell>
          <cell r="C757" t="str">
            <v xml:space="preserve">und </v>
          </cell>
          <cell r="D757">
            <v>12.74</v>
          </cell>
        </row>
        <row r="758">
          <cell r="A758">
            <v>151302</v>
          </cell>
          <cell r="B758" t="str">
            <v xml:space="preserve">Disjuntor monopolar 20 A </v>
          </cell>
          <cell r="C758" t="str">
            <v xml:space="preserve">und </v>
          </cell>
          <cell r="D758">
            <v>12.74</v>
          </cell>
        </row>
        <row r="759">
          <cell r="A759">
            <v>151303</v>
          </cell>
          <cell r="B759" t="str">
            <v xml:space="preserve">Disjuntor monopolar 25 A </v>
          </cell>
          <cell r="C759" t="str">
            <v xml:space="preserve">und </v>
          </cell>
          <cell r="D759">
            <v>12.74</v>
          </cell>
        </row>
        <row r="760">
          <cell r="A760">
            <v>151304</v>
          </cell>
          <cell r="B760" t="str">
            <v xml:space="preserve">Disjuntor monopolar 35 A </v>
          </cell>
          <cell r="C760" t="str">
            <v xml:space="preserve">und </v>
          </cell>
          <cell r="D760">
            <v>15.68</v>
          </cell>
        </row>
        <row r="761">
          <cell r="A761">
            <v>151305</v>
          </cell>
          <cell r="B761" t="str">
            <v xml:space="preserve">Disjuntor monopolar 40 A </v>
          </cell>
          <cell r="C761" t="str">
            <v xml:space="preserve">und </v>
          </cell>
          <cell r="D761">
            <v>15.68</v>
          </cell>
        </row>
        <row r="762">
          <cell r="A762">
            <v>151306</v>
          </cell>
          <cell r="B762" t="str">
            <v xml:space="preserve">Disjuntor bipolar 15 A </v>
          </cell>
          <cell r="C762" t="str">
            <v xml:space="preserve">und </v>
          </cell>
          <cell r="D762">
            <v>49.86</v>
          </cell>
        </row>
        <row r="763">
          <cell r="A763">
            <v>151307</v>
          </cell>
          <cell r="B763" t="str">
            <v xml:space="preserve">Disjuntor bipolar 20 A </v>
          </cell>
          <cell r="C763" t="str">
            <v xml:space="preserve">und </v>
          </cell>
          <cell r="D763">
            <v>49.86</v>
          </cell>
        </row>
        <row r="764">
          <cell r="A764">
            <v>151308</v>
          </cell>
          <cell r="B764" t="str">
            <v xml:space="preserve">Disjuntor bipolar 50 A </v>
          </cell>
          <cell r="C764" t="str">
            <v xml:space="preserve">und </v>
          </cell>
          <cell r="D764">
            <v>49.86</v>
          </cell>
        </row>
        <row r="765">
          <cell r="A765">
            <v>151309</v>
          </cell>
          <cell r="B765" t="str">
            <v xml:space="preserve">Disjuntor tripolar 15 A </v>
          </cell>
          <cell r="C765" t="str">
            <v xml:space="preserve">und </v>
          </cell>
          <cell r="D765">
            <v>65.28</v>
          </cell>
        </row>
        <row r="766">
          <cell r="A766">
            <v>151310</v>
          </cell>
          <cell r="B766" t="str">
            <v xml:space="preserve">Disjuntor tripolar 40 A </v>
          </cell>
          <cell r="C766" t="str">
            <v xml:space="preserve">und </v>
          </cell>
          <cell r="D766">
            <v>65.28</v>
          </cell>
        </row>
        <row r="767">
          <cell r="A767">
            <v>151311</v>
          </cell>
          <cell r="B767" t="str">
            <v xml:space="preserve">Disjuntor tripolar 50 A </v>
          </cell>
          <cell r="C767" t="str">
            <v xml:space="preserve">und </v>
          </cell>
          <cell r="D767">
            <v>65.28</v>
          </cell>
        </row>
        <row r="768">
          <cell r="A768">
            <v>151312</v>
          </cell>
          <cell r="B768" t="str">
            <v xml:space="preserve">Disjuntor tripolar 125 A </v>
          </cell>
          <cell r="C768" t="str">
            <v xml:space="preserve">und </v>
          </cell>
          <cell r="D768">
            <v>249.6</v>
          </cell>
        </row>
        <row r="769">
          <cell r="A769">
            <v>151313</v>
          </cell>
          <cell r="B769" t="str">
            <v xml:space="preserve">Disjuntor termomagnético tripolar 90 A </v>
          </cell>
          <cell r="C769" t="str">
            <v xml:space="preserve">und </v>
          </cell>
          <cell r="D769">
            <v>117.18</v>
          </cell>
        </row>
        <row r="770">
          <cell r="A770">
            <v>151314</v>
          </cell>
          <cell r="B770" t="str">
            <v xml:space="preserve">Disjuntor termomagnético tripolar 100 A </v>
          </cell>
          <cell r="C770" t="str">
            <v xml:space="preserve">und </v>
          </cell>
          <cell r="D770">
            <v>117.18</v>
          </cell>
        </row>
        <row r="771">
          <cell r="A771">
            <v>151315</v>
          </cell>
          <cell r="B771" t="str">
            <v xml:space="preserve">Chave blindada 600V / 160A, com terminais para cabo 70 mm2 </v>
          </cell>
          <cell r="C771" t="str">
            <v xml:space="preserve">und </v>
          </cell>
          <cell r="D771">
            <v>1163.1600000000001</v>
          </cell>
        </row>
        <row r="772">
          <cell r="A772">
            <v>151316</v>
          </cell>
          <cell r="B772" t="str">
            <v xml:space="preserve">Disjuntor tripolar de 70A </v>
          </cell>
          <cell r="C772" t="str">
            <v xml:space="preserve">und </v>
          </cell>
          <cell r="D772">
            <v>96.76</v>
          </cell>
        </row>
        <row r="773">
          <cell r="A773">
            <v>1514</v>
          </cell>
          <cell r="B773" t="str">
            <v xml:space="preserve">FIOS E CABOS </v>
          </cell>
          <cell r="C773" t="str">
            <v/>
          </cell>
          <cell r="D773" t="str">
            <v/>
          </cell>
        </row>
        <row r="774">
          <cell r="A774">
            <v>151401</v>
          </cell>
          <cell r="B774" t="str">
            <v xml:space="preserve">Fio de cobre termoplástico, com isolamento para 750V, seção de 1.5 mm2 </v>
          </cell>
          <cell r="C774" t="str">
            <v xml:space="preserve">m </v>
          </cell>
          <cell r="D774">
            <v>2.44</v>
          </cell>
        </row>
        <row r="775">
          <cell r="A775">
            <v>151402</v>
          </cell>
          <cell r="B775" t="str">
            <v xml:space="preserve">Fio de cobre termoplástico, com isolamento para 750V, seção de 2.5 mm2 </v>
          </cell>
          <cell r="C775" t="str">
            <v xml:space="preserve">m </v>
          </cell>
          <cell r="D775">
            <v>2.96</v>
          </cell>
        </row>
        <row r="776">
          <cell r="A776">
            <v>151403</v>
          </cell>
          <cell r="B776" t="str">
            <v xml:space="preserve">Fio ou cabo de cobre termoplástico, com isolamento para 750V, seção de 4.0 mm2 </v>
          </cell>
          <cell r="C776" t="str">
            <v xml:space="preserve">m </v>
          </cell>
          <cell r="D776">
            <v>3.64</v>
          </cell>
        </row>
        <row r="777">
          <cell r="A777">
            <v>151404</v>
          </cell>
          <cell r="B777" t="str">
            <v xml:space="preserve">Fio ou cabo de cobre termoplástico, com isolamento para 750V, seção de 6.0 mm2 </v>
          </cell>
          <cell r="C777" t="str">
            <v xml:space="preserve">m </v>
          </cell>
          <cell r="D777">
            <v>4.5199999999999996</v>
          </cell>
        </row>
        <row r="778">
          <cell r="A778">
            <v>151405</v>
          </cell>
          <cell r="B778" t="str">
            <v xml:space="preserve">Fio ou cabo de cobre termoplástico, com isolamento para 750V, seção de 10.0 mm2 </v>
          </cell>
          <cell r="C778" t="str">
            <v xml:space="preserve">m </v>
          </cell>
          <cell r="D778">
            <v>6.45</v>
          </cell>
        </row>
        <row r="779">
          <cell r="A779">
            <v>151406</v>
          </cell>
          <cell r="B779" t="str">
            <v xml:space="preserve">Fio ou cabo de cobre termoplástico, com isolamento para 750V, seção de 16.0 mm2 </v>
          </cell>
          <cell r="C779" t="str">
            <v xml:space="preserve">m </v>
          </cell>
          <cell r="D779">
            <v>9.0500000000000007</v>
          </cell>
        </row>
        <row r="780">
          <cell r="A780">
            <v>151407</v>
          </cell>
          <cell r="B780" t="str">
            <v xml:space="preserve">Cabo de cobre termoplástico, com isolamento para 750V, seção de 25.0 mm2 </v>
          </cell>
          <cell r="C780" t="str">
            <v xml:space="preserve">m </v>
          </cell>
          <cell r="D780">
            <v>12.45</v>
          </cell>
        </row>
        <row r="781">
          <cell r="A781">
            <v>151413</v>
          </cell>
          <cell r="B781" t="str">
            <v xml:space="preserve">Cabo de cobre nú, seção de 25.0 mm2 </v>
          </cell>
          <cell r="C781" t="str">
            <v xml:space="preserve">m </v>
          </cell>
          <cell r="D781">
            <v>11.44</v>
          </cell>
        </row>
        <row r="782">
          <cell r="A782">
            <v>151414</v>
          </cell>
          <cell r="B782" t="str">
            <v xml:space="preserve">Fio de cobre nú, seção de 10.0 mm2 </v>
          </cell>
          <cell r="C782" t="str">
            <v xml:space="preserve">m </v>
          </cell>
          <cell r="D782">
            <v>6.17</v>
          </cell>
        </row>
        <row r="783">
          <cell r="A783">
            <v>151417</v>
          </cell>
          <cell r="B783" t="str">
            <v xml:space="preserve">Cabo de cobre termoplástico, com isolamento para 1000V, seção de 2.5 mm2 </v>
          </cell>
          <cell r="C783" t="str">
            <v xml:space="preserve">m </v>
          </cell>
          <cell r="D783">
            <v>3.33</v>
          </cell>
        </row>
        <row r="784">
          <cell r="A784">
            <v>151418</v>
          </cell>
          <cell r="B784" t="str">
            <v xml:space="preserve">Cabo de cobre termoplástico, com isolamento para 1000V, seção de 4.0 mm2 </v>
          </cell>
          <cell r="C784" t="str">
            <v xml:space="preserve">m </v>
          </cell>
          <cell r="D784">
            <v>3.87</v>
          </cell>
        </row>
        <row r="785">
          <cell r="A785">
            <v>151419</v>
          </cell>
          <cell r="B785" t="str">
            <v xml:space="preserve">Fio ou cabo de cobre termoplástico, com isolamento para 1000V, seção de 6.0 mm2 </v>
          </cell>
          <cell r="C785" t="str">
            <v xml:space="preserve">m </v>
          </cell>
          <cell r="D785">
            <v>4.68</v>
          </cell>
        </row>
        <row r="786">
          <cell r="A786">
            <v>151420</v>
          </cell>
          <cell r="B786" t="str">
            <v xml:space="preserve">Fio ou cabo de cobre termoplástico, com isolamento para 1000V, seção de 10.0 mm2 </v>
          </cell>
          <cell r="C786" t="str">
            <v xml:space="preserve">m </v>
          </cell>
          <cell r="D786">
            <v>7.01</v>
          </cell>
        </row>
        <row r="787">
          <cell r="A787">
            <v>151421</v>
          </cell>
          <cell r="B787" t="str">
            <v xml:space="preserve">Fio ou cabo de cobre termoplástico, com isolamento para 1000V, se ção de 16.0 mm2 </v>
          </cell>
          <cell r="C787" t="str">
            <v xml:space="preserve">m </v>
          </cell>
          <cell r="D787">
            <v>9.41</v>
          </cell>
        </row>
        <row r="788">
          <cell r="A788">
            <v>151422</v>
          </cell>
          <cell r="B788" t="str">
            <v xml:space="preserve">Cabo de cobre termoplástico, com isolamento para 1000V, seção de 25.0 mm2 </v>
          </cell>
          <cell r="C788" t="str">
            <v xml:space="preserve">m </v>
          </cell>
          <cell r="D788">
            <v>13.58</v>
          </cell>
        </row>
        <row r="789">
          <cell r="A789">
            <v>151423</v>
          </cell>
          <cell r="B789" t="str">
            <v xml:space="preserve">Cabo de cobre termoplástico, com isolamento para 1000V, seção de 35.0 mm2 </v>
          </cell>
          <cell r="C789" t="str">
            <v xml:space="preserve">m </v>
          </cell>
          <cell r="D789">
            <v>17.66</v>
          </cell>
        </row>
        <row r="790">
          <cell r="A790">
            <v>151424</v>
          </cell>
          <cell r="B790" t="str">
            <v xml:space="preserve">Fio ou cabo paralelo de cobre, com isolamento para 750V, seção de 2 x 2.5 mm2 </v>
          </cell>
          <cell r="C790" t="str">
            <v xml:space="preserve">m </v>
          </cell>
          <cell r="D790">
            <v>4.54</v>
          </cell>
        </row>
        <row r="791">
          <cell r="A791">
            <v>1515</v>
          </cell>
          <cell r="B791" t="str">
            <v xml:space="preserve">SERVIÇOS DIVERSOS </v>
          </cell>
          <cell r="C791" t="str">
            <v/>
          </cell>
          <cell r="D791" t="str">
            <v/>
          </cell>
        </row>
        <row r="792">
          <cell r="A792">
            <v>151503</v>
          </cell>
          <cell r="B792" t="str">
            <v xml:space="preserve">Cabeçote de aluminio de 1 1/4" </v>
          </cell>
          <cell r="C792" t="str">
            <v xml:space="preserve">und </v>
          </cell>
          <cell r="D792">
            <v>8.7899999999999991</v>
          </cell>
        </row>
        <row r="793">
          <cell r="A793">
            <v>151504</v>
          </cell>
          <cell r="B793" t="str">
            <v xml:space="preserve">Cabeçote de aluminio de 1 1/2" </v>
          </cell>
          <cell r="C793" t="str">
            <v xml:space="preserve">und </v>
          </cell>
          <cell r="D793">
            <v>9.2799999999999994</v>
          </cell>
        </row>
        <row r="794">
          <cell r="A794">
            <v>151506</v>
          </cell>
          <cell r="B794" t="str">
            <v xml:space="preserve">Haste de terra tipo COPPERWELD - 5/8" x 2.40m </v>
          </cell>
          <cell r="C794" t="str">
            <v xml:space="preserve">und </v>
          </cell>
          <cell r="D794">
            <v>65.89</v>
          </cell>
        </row>
        <row r="795">
          <cell r="A795">
            <v>151507</v>
          </cell>
          <cell r="B795" t="str">
            <v xml:space="preserve">Sapatilha </v>
          </cell>
          <cell r="C795" t="str">
            <v xml:space="preserve">und </v>
          </cell>
          <cell r="D795">
            <v>6.36</v>
          </cell>
        </row>
        <row r="796">
          <cell r="A796">
            <v>151508</v>
          </cell>
          <cell r="B796" t="str">
            <v xml:space="preserve">Bucha e arruela de aluminio fundido diâmetro 20mm (3/4") </v>
          </cell>
          <cell r="C796" t="str">
            <v xml:space="preserve">und </v>
          </cell>
          <cell r="D796">
            <v>0.81</v>
          </cell>
        </row>
        <row r="797">
          <cell r="A797">
            <v>151509</v>
          </cell>
          <cell r="B797" t="str">
            <v xml:space="preserve">Bucha e arruela de aluminio fundido diâmetro 25mm (1") </v>
          </cell>
          <cell r="C797" t="str">
            <v xml:space="preserve">und </v>
          </cell>
          <cell r="D797">
            <v>1.18</v>
          </cell>
        </row>
        <row r="798">
          <cell r="A798">
            <v>151510</v>
          </cell>
          <cell r="B798" t="str">
            <v xml:space="preserve">Bucha e arruela de aluminio fundido diâmetro 40mm (1 1/2") </v>
          </cell>
          <cell r="C798" t="str">
            <v xml:space="preserve">und </v>
          </cell>
          <cell r="D798">
            <v>2.4300000000000002</v>
          </cell>
        </row>
        <row r="799">
          <cell r="A799">
            <v>151511</v>
          </cell>
          <cell r="B799" t="str">
            <v xml:space="preserve">Bucha e arruela de aluminio fundido diâmetro 80mm (3") </v>
          </cell>
          <cell r="C799" t="str">
            <v xml:space="preserve">und </v>
          </cell>
          <cell r="D799">
            <v>8.6</v>
          </cell>
        </row>
        <row r="800">
          <cell r="A800">
            <v>151512</v>
          </cell>
          <cell r="B800" t="str">
            <v xml:space="preserve">Automático de bóia </v>
          </cell>
          <cell r="C800" t="str">
            <v xml:space="preserve">und </v>
          </cell>
          <cell r="D800">
            <v>61.24</v>
          </cell>
        </row>
        <row r="801">
          <cell r="A801">
            <v>151513</v>
          </cell>
          <cell r="B801" t="str">
            <v xml:space="preserve">Parafuso de máquina de ferro galvanizado diâmetro 16mm </v>
          </cell>
          <cell r="C801" t="str">
            <v xml:space="preserve">und </v>
          </cell>
          <cell r="D801">
            <v>7.22</v>
          </cell>
        </row>
        <row r="802">
          <cell r="A802">
            <v>1516</v>
          </cell>
          <cell r="B802" t="str">
            <v xml:space="preserve">ABERTURA E FECHAMENTO DE RASGOS (inclusive preparo e aplicação de argamassa) </v>
          </cell>
          <cell r="C802" t="str">
            <v/>
          </cell>
          <cell r="D802" t="str">
            <v/>
          </cell>
        </row>
        <row r="803">
          <cell r="A803">
            <v>151601</v>
          </cell>
          <cell r="B803" t="str">
            <v xml:space="preserve">Abertura e fechamento de rasgos em alvenaria, para passagem de eletrodutos diâm. 1/2" a 1" </v>
          </cell>
          <cell r="C803" t="str">
            <v xml:space="preserve">m </v>
          </cell>
          <cell r="D803">
            <v>5.13</v>
          </cell>
        </row>
        <row r="804">
          <cell r="A804">
            <v>151602</v>
          </cell>
          <cell r="B804" t="str">
            <v xml:space="preserve">Abertura e fechamento de rasgos em alvenaria, para passagem de eletroduto diâm. 11/4"a 2" </v>
          </cell>
          <cell r="C804" t="str">
            <v xml:space="preserve">m </v>
          </cell>
          <cell r="D804">
            <v>7.67</v>
          </cell>
        </row>
        <row r="805">
          <cell r="A805">
            <v>151603</v>
          </cell>
          <cell r="B805" t="str">
            <v xml:space="preserve">Abertura e fechamento de rasgos em alvenaria, para passagem de eletroduto diâm. 21/2" a 4" </v>
          </cell>
          <cell r="C805" t="str">
            <v xml:space="preserve">m </v>
          </cell>
          <cell r="D805">
            <v>11.56</v>
          </cell>
        </row>
        <row r="806">
          <cell r="A806">
            <v>151604</v>
          </cell>
          <cell r="B806" t="str">
            <v xml:space="preserve">Abertura e fechamento de rasgos em concreto, para passagem de eletroduto diâm. 1/2" a 1" </v>
          </cell>
          <cell r="C806" t="str">
            <v xml:space="preserve">m </v>
          </cell>
          <cell r="D806">
            <v>9.86</v>
          </cell>
        </row>
        <row r="807">
          <cell r="A807">
            <v>151605</v>
          </cell>
          <cell r="B807" t="str">
            <v xml:space="preserve">Abertura e fechamento de rasgos em concreto, para passagem de eletroduto diâm. 11/4" a 2" </v>
          </cell>
          <cell r="C807" t="str">
            <v xml:space="preserve">m </v>
          </cell>
          <cell r="D807">
            <v>15.01</v>
          </cell>
        </row>
        <row r="808">
          <cell r="A808">
            <v>151606</v>
          </cell>
          <cell r="B808" t="str">
            <v xml:space="preserve">Abertura e fechamento de rasgos em concreto, para passagem de eletroduto diâm. 21/2" a 4" </v>
          </cell>
          <cell r="C808" t="str">
            <v xml:space="preserve">m </v>
          </cell>
          <cell r="D808">
            <v>21.79</v>
          </cell>
        </row>
        <row r="809">
          <cell r="A809">
            <v>16</v>
          </cell>
          <cell r="B809" t="str">
            <v xml:space="preserve">OUTRAS INSTALAÇÕES </v>
          </cell>
          <cell r="C809" t="str">
            <v/>
          </cell>
          <cell r="D809" t="str">
            <v/>
          </cell>
        </row>
        <row r="810">
          <cell r="A810">
            <v>1601</v>
          </cell>
          <cell r="B810" t="str">
            <v xml:space="preserve">INSTALAÇÃO DE TELEFONE </v>
          </cell>
          <cell r="C810" t="str">
            <v/>
          </cell>
          <cell r="D810" t="str">
            <v/>
          </cell>
        </row>
        <row r="811">
          <cell r="A811">
            <v>160101</v>
          </cell>
          <cell r="B811" t="str">
            <v xml:space="preserve">Ponto de telefone </v>
          </cell>
          <cell r="C811" t="str">
            <v xml:space="preserve">pt </v>
          </cell>
          <cell r="D811">
            <v>257.77</v>
          </cell>
        </row>
        <row r="812">
          <cell r="A812">
            <v>160104</v>
          </cell>
          <cell r="B812" t="str">
            <v xml:space="preserve">Quadro de distribuição padrão TELEBRAS, 200 x 200 x 120 mm </v>
          </cell>
          <cell r="C812" t="str">
            <v xml:space="preserve">und </v>
          </cell>
          <cell r="D812">
            <v>58.37</v>
          </cell>
        </row>
        <row r="813">
          <cell r="A813">
            <v>160106</v>
          </cell>
          <cell r="B813" t="str">
            <v xml:space="preserve">Aterramento com haste de terra 5/8"x2.40m, cabo de cobre nú 6mm2 em caixa de concreto de dimensões internas de 30x30x30cm </v>
          </cell>
          <cell r="C813" t="str">
            <v xml:space="preserve">und </v>
          </cell>
          <cell r="D813">
            <v>166.5</v>
          </cell>
        </row>
        <row r="814">
          <cell r="A814">
            <v>160111</v>
          </cell>
          <cell r="B814" t="str">
            <v xml:space="preserve">Caixa para telefone padrão TELEMAR, dim. 1070 x 520 x 500 mm, com tampa de ferro tipo R2, assentada com argamassa de cimento, cal e areia </v>
          </cell>
          <cell r="C814" t="str">
            <v xml:space="preserve">und </v>
          </cell>
          <cell r="D814">
            <v>535.46</v>
          </cell>
        </row>
        <row r="815">
          <cell r="A815">
            <v>160120</v>
          </cell>
          <cell r="B815" t="str">
            <v xml:space="preserve">Tomada para telefone com conector RJ 11 </v>
          </cell>
          <cell r="C815" t="str">
            <v xml:space="preserve">und </v>
          </cell>
          <cell r="D815">
            <v>17.59</v>
          </cell>
        </row>
        <row r="816">
          <cell r="A816">
            <v>1602</v>
          </cell>
          <cell r="B816" t="str">
            <v xml:space="preserve">INSTALAÇÃO DE GÁS </v>
          </cell>
          <cell r="C816" t="str">
            <v/>
          </cell>
          <cell r="D816" t="str">
            <v/>
          </cell>
        </row>
        <row r="817">
          <cell r="A817">
            <v>160205</v>
          </cell>
          <cell r="B817" t="str">
            <v xml:space="preserve">Instalação completa de gás encanado, com 4 cilindros cheios, válvulas, registros, tubulações, etc., para uma distância média de 11m </v>
          </cell>
          <cell r="C817" t="str">
            <v xml:space="preserve">und </v>
          </cell>
          <cell r="D817">
            <v>3072</v>
          </cell>
        </row>
        <row r="818">
          <cell r="A818">
            <v>160206</v>
          </cell>
          <cell r="B818" t="str">
            <v xml:space="preserve">Instalação completa de gás encanado com 2 cilindros cheios, válvulas, registros, tubulações em cobre, etc, para uma distância média de 11m </v>
          </cell>
          <cell r="C818" t="str">
            <v xml:space="preserve">und </v>
          </cell>
          <cell r="D818">
            <v>2048</v>
          </cell>
        </row>
        <row r="819">
          <cell r="A819">
            <v>1603</v>
          </cell>
          <cell r="B819" t="str">
            <v xml:space="preserve">INSTALAÇÃO DE PÁRA-RAIO </v>
          </cell>
          <cell r="C819" t="str">
            <v/>
          </cell>
          <cell r="D819" t="str">
            <v/>
          </cell>
        </row>
        <row r="820">
          <cell r="A820">
            <v>160303</v>
          </cell>
          <cell r="B820" t="str">
            <v xml:space="preserve">Aterramento com haste terra 5/8" x 2.40, cabo de cobre nu 6mm2, inclusive caixa de concreto 30 x 30 cm </v>
          </cell>
          <cell r="C820" t="str">
            <v xml:space="preserve">und </v>
          </cell>
          <cell r="D820">
            <v>166.5</v>
          </cell>
        </row>
        <row r="821">
          <cell r="A821">
            <v>160304</v>
          </cell>
          <cell r="B821" t="str">
            <v xml:space="preserve">Pára-raios tipo franklim incluindo base de fixação, conjunto de contraventagem c/abraçadeira p/3 estais em tubo e demais acessórios c/exceção do cabo de cobre de descida e suportes isoladores </v>
          </cell>
          <cell r="C821" t="str">
            <v xml:space="preserve">und </v>
          </cell>
          <cell r="D821">
            <v>436.97</v>
          </cell>
        </row>
        <row r="822">
          <cell r="A822">
            <v>160305</v>
          </cell>
          <cell r="B822" t="str">
            <v xml:space="preserve">Condutor de cobre nú, seção de 35mm2, inclusive suportes isoladores e acessórios de fixação, conforme projeto </v>
          </cell>
          <cell r="C822" t="str">
            <v xml:space="preserve">m </v>
          </cell>
          <cell r="D822">
            <v>37.22</v>
          </cell>
        </row>
        <row r="823">
          <cell r="A823">
            <v>1606</v>
          </cell>
          <cell r="B823" t="str">
            <v xml:space="preserve">INSTALAÇÃO DE INCÊNDIO </v>
          </cell>
          <cell r="C823" t="str">
            <v/>
          </cell>
          <cell r="D823" t="str">
            <v/>
          </cell>
        </row>
        <row r="824">
          <cell r="A824">
            <v>160602</v>
          </cell>
          <cell r="B824" t="str">
            <v xml:space="preserve">Hidrante de parede, com abrigo em chapa, 60x90x17cm, com suporte e mangueira de 63mm, adaptador rosca fêmea e engate rápido, esguicho tipo agulheta, registro globo angular 45º/ 63mm </v>
          </cell>
          <cell r="C824" t="str">
            <v xml:space="preserve">und </v>
          </cell>
          <cell r="D824">
            <v>973.22</v>
          </cell>
        </row>
        <row r="825">
          <cell r="A825">
            <v>160603</v>
          </cell>
          <cell r="B825" t="str">
            <v xml:space="preserve">Hidrante de recalque no passeio em caixa metálica de 40x60x40cm, incl. registro globo angular 90º de 63mm, adaptador p/ engate rápido e tampa c/ corrente </v>
          </cell>
          <cell r="C825" t="str">
            <v xml:space="preserve">und </v>
          </cell>
          <cell r="D825">
            <v>410.19</v>
          </cell>
        </row>
        <row r="826">
          <cell r="A826">
            <v>160604</v>
          </cell>
          <cell r="B826" t="str">
            <v xml:space="preserve">Extintor de incêndio de água pressurizada 10L, inclusive suporte para fixação e placa sinalizadora </v>
          </cell>
          <cell r="C826" t="str">
            <v xml:space="preserve">und </v>
          </cell>
          <cell r="D826">
            <v>121.42</v>
          </cell>
        </row>
        <row r="827">
          <cell r="A827">
            <v>160606</v>
          </cell>
          <cell r="B827" t="str">
            <v xml:space="preserve">Extintor de incêndio de gás carbônico CO2-6 Kg, inclusive suporte para fixação e placa sinalizadora </v>
          </cell>
          <cell r="C827" t="str">
            <v xml:space="preserve">und </v>
          </cell>
          <cell r="D827">
            <v>441.66</v>
          </cell>
        </row>
        <row r="828">
          <cell r="A828">
            <v>160607</v>
          </cell>
          <cell r="B828" t="str">
            <v xml:space="preserve">Extintor de incêndio de pó químico seco 4 Kg, inclusive suporte para fixação e placa sinalizadora </v>
          </cell>
          <cell r="C828" t="str">
            <v xml:space="preserve">und </v>
          </cell>
          <cell r="D828">
            <v>119.1</v>
          </cell>
        </row>
        <row r="829">
          <cell r="A829">
            <v>160608</v>
          </cell>
          <cell r="B829" t="str">
            <v xml:space="preserve">Ponto para seta indicativa de saída, incl. seta em acrílico, com fonte alimentadora própria que assegure um funcionamento mínimo de 1h, para quando ocorrer falta de energia elétrica na rede pública, conforme projeto </v>
          </cell>
          <cell r="C829" t="str">
            <v xml:space="preserve">und </v>
          </cell>
          <cell r="D829">
            <v>179.47</v>
          </cell>
        </row>
        <row r="830">
          <cell r="A830">
            <v>160609</v>
          </cell>
          <cell r="B830" t="str">
            <v xml:space="preserve">Ponto para alarme de incêndio tipo bi-tonal, inclusive alarme com botões de acionamento em caixa lacrada c/tampa de vidro, contendo descrição suscinta de uso (OBS: dividir o valor pela quant. pontos, preço é da central + pontos) </v>
          </cell>
          <cell r="C830" t="str">
            <v xml:space="preserve">und </v>
          </cell>
          <cell r="D830">
            <v>120.19</v>
          </cell>
        </row>
        <row r="831">
          <cell r="A831">
            <v>160612</v>
          </cell>
          <cell r="B831" t="str">
            <v xml:space="preserve">Seta indicativa de saída tipo adesivo </v>
          </cell>
          <cell r="C831" t="str">
            <v xml:space="preserve">und </v>
          </cell>
          <cell r="D831">
            <v>3.85</v>
          </cell>
        </row>
        <row r="832">
          <cell r="A832">
            <v>160613</v>
          </cell>
          <cell r="B832" t="str">
            <v xml:space="preserve">Ponto para iluminação de emergência completo, inclusive bloco autônomo de iluminação 2x9W com tomada universal </v>
          </cell>
          <cell r="C832" t="str">
            <v xml:space="preserve">und </v>
          </cell>
          <cell r="D832">
            <v>175.21</v>
          </cell>
        </row>
        <row r="833">
          <cell r="A833">
            <v>1607</v>
          </cell>
          <cell r="B833" t="str">
            <v xml:space="preserve">DEPÓSITO DE GÁS </v>
          </cell>
          <cell r="C833" t="str">
            <v/>
          </cell>
          <cell r="D833" t="str">
            <v/>
          </cell>
        </row>
        <row r="834">
          <cell r="A834">
            <v>160702</v>
          </cell>
          <cell r="B834" t="str">
            <v xml:space="preserve">Chapisco com argamassa de cimento e areia média ou grossa sem peneirar no traço 1:3, espessura 5 mm </v>
          </cell>
          <cell r="C834" t="str">
            <v xml:space="preserve">m2 </v>
          </cell>
          <cell r="D834">
            <v>3.33</v>
          </cell>
        </row>
        <row r="835">
          <cell r="A835">
            <v>160704</v>
          </cell>
          <cell r="B835" t="str">
            <v xml:space="preserve">Fornecimento, preparo e aplicação de concreto armado Fck=15 MPa, inclusive forma, armação e desforma para lajes maciças </v>
          </cell>
          <cell r="C835" t="str">
            <v xml:space="preserve">m3 </v>
          </cell>
          <cell r="D835">
            <v>1474.5</v>
          </cell>
        </row>
        <row r="836">
          <cell r="A836">
            <v>160707</v>
          </cell>
          <cell r="B836" t="str">
            <v xml:space="preserve">Pintura com tinta látex PVA Suvinil, Coral ou Metalatex, inclusive selador em paredes internas e forros a três demãos </v>
          </cell>
          <cell r="C836" t="str">
            <v xml:space="preserve">m2 </v>
          </cell>
          <cell r="D836">
            <v>11.81</v>
          </cell>
        </row>
        <row r="837">
          <cell r="A837">
            <v>160708</v>
          </cell>
          <cell r="B837" t="str">
            <v xml:space="preserve">Pintura com tinta acrílica Suvinil, Coral ou Metalatex, inclusive selador acrílico, em paredes externas a três demãos </v>
          </cell>
          <cell r="C837" t="str">
            <v xml:space="preserve">m2 </v>
          </cell>
          <cell r="D837">
            <v>12.57</v>
          </cell>
        </row>
        <row r="838">
          <cell r="A838">
            <v>160709</v>
          </cell>
          <cell r="B838" t="str">
            <v xml:space="preserve">Estrado de madeira de lei tipo Paraju ou equivalente conforme detalhe em projeto </v>
          </cell>
          <cell r="C838" t="str">
            <v xml:space="preserve">m2 </v>
          </cell>
          <cell r="D838">
            <v>235.71</v>
          </cell>
        </row>
        <row r="839">
          <cell r="A839">
            <v>160710</v>
          </cell>
          <cell r="B839" t="str">
            <v xml:space="preserve">Alvenaria de blocos de concreto 9x19x39 c/ resist. min comp. 2.5MPa, assentado c/ argamassa de cimento, cal hidratada CH1 e areia traço 1:0,5:8, esp.juntas 10mm e esp. paredes, sem revestimento, 9cm </v>
          </cell>
          <cell r="C839" t="str">
            <v xml:space="preserve">m2 </v>
          </cell>
          <cell r="D839">
            <v>27.76</v>
          </cell>
        </row>
        <row r="840">
          <cell r="A840">
            <v>160711</v>
          </cell>
          <cell r="B840" t="str">
            <v xml:space="preserve">Reboco tipo paulista com argamassa de cimento, cal hidratada CH1 e areia no traço 1:0,5:6, espessura 25mm </v>
          </cell>
          <cell r="C840" t="str">
            <v xml:space="preserve">m2 </v>
          </cell>
          <cell r="D840">
            <v>24.68</v>
          </cell>
        </row>
        <row r="841">
          <cell r="A841">
            <v>160712</v>
          </cell>
          <cell r="B841" t="str">
            <v xml:space="preserve">Tela em arame galvanizado de 1"e fio 10 para ventilação de casa de gás, chumbada com argamassa de cimento, cal e areia </v>
          </cell>
          <cell r="C841" t="str">
            <v xml:space="preserve">m2 </v>
          </cell>
          <cell r="D841">
            <v>100.54</v>
          </cell>
        </row>
        <row r="842">
          <cell r="A842">
            <v>160713</v>
          </cell>
          <cell r="B842" t="str">
            <v xml:space="preserve">Porta de correr de chapa galvanizada nº 14 - pintura com esmalte sintetico acetinado sobre zarcão, com tela quebra chama em malha 2 a 5mm </v>
          </cell>
          <cell r="C842" t="str">
            <v xml:space="preserve">m2 </v>
          </cell>
          <cell r="D842">
            <v>238</v>
          </cell>
        </row>
        <row r="843">
          <cell r="A843">
            <v>160714</v>
          </cell>
          <cell r="B843" t="str">
            <v xml:space="preserve">Lastro regularizado e impermeabilizado de concreto não estrutural, esp. de 8cm </v>
          </cell>
          <cell r="C843" t="str">
            <v xml:space="preserve">m2 </v>
          </cell>
          <cell r="D843">
            <v>36.450000000000003</v>
          </cell>
        </row>
        <row r="844">
          <cell r="A844">
            <v>160715</v>
          </cell>
          <cell r="B844" t="str">
            <v xml:space="preserve">Indice de imperm.c/ manta asfáltica atendendo à norma 9952, asfalto polimerizado esp.3mm, reforçada com fio int. polietileno, reg. base com arg. 1:4 esp min 15mm, proteção mecânica arg. 1:4 esp. 20mm e juntas dilat. </v>
          </cell>
          <cell r="C844" t="str">
            <v xml:space="preserve">m2 </v>
          </cell>
          <cell r="D844">
            <v>62.4</v>
          </cell>
        </row>
        <row r="845">
          <cell r="A845">
            <v>160716</v>
          </cell>
          <cell r="B845" t="str">
            <v xml:space="preserve">Fornecimento, preparo e aplicação de concreto Fck = 15MPa (brita 1 e 2) - (5% de perdas) </v>
          </cell>
          <cell r="C845" t="str">
            <v xml:space="preserve">m3 </v>
          </cell>
          <cell r="D845">
            <v>340.76</v>
          </cell>
        </row>
        <row r="846">
          <cell r="A846">
            <v>160718</v>
          </cell>
          <cell r="B846" t="str">
            <v xml:space="preserve">Pintura com tinta esmalte sintético Suvinil, Coral ou Metalatex a duas demãos, inclusive fundo anti corrosivo a uma demão, em metal </v>
          </cell>
          <cell r="C846" t="str">
            <v xml:space="preserve">m2 </v>
          </cell>
          <cell r="D846">
            <v>10.76</v>
          </cell>
        </row>
        <row r="847">
          <cell r="A847">
            <v>1608</v>
          </cell>
          <cell r="B847" t="str">
            <v xml:space="preserve">INSTALAÇÃO DE REDE LÓGICA </v>
          </cell>
          <cell r="C847" t="str">
            <v/>
          </cell>
          <cell r="D847" t="str">
            <v/>
          </cell>
        </row>
        <row r="848">
          <cell r="A848">
            <v>160805</v>
          </cell>
          <cell r="B848" t="str">
            <v xml:space="preserve">Ponto para rede lógica em caixa de pvc amarela 4x2", com conector RJ-45 fêmea e caixa 4x4" PVC amarela </v>
          </cell>
          <cell r="C848" t="str">
            <v xml:space="preserve">und </v>
          </cell>
          <cell r="D848">
            <v>215.64</v>
          </cell>
        </row>
        <row r="849">
          <cell r="A849">
            <v>160806</v>
          </cell>
          <cell r="B849" t="str">
            <v xml:space="preserve">Espelho com conector RJ 45 fêmea </v>
          </cell>
          <cell r="C849" t="str">
            <v xml:space="preserve">und </v>
          </cell>
          <cell r="D849">
            <v>14.66</v>
          </cell>
        </row>
        <row r="850">
          <cell r="A850">
            <v>160807</v>
          </cell>
          <cell r="B850" t="str">
            <v xml:space="preserve">Conector RJ 45 macho </v>
          </cell>
          <cell r="C850" t="str">
            <v xml:space="preserve">und </v>
          </cell>
          <cell r="D850">
            <v>5.75</v>
          </cell>
        </row>
        <row r="851">
          <cell r="A851">
            <v>160808</v>
          </cell>
          <cell r="B851" t="str">
            <v xml:space="preserve">Cabo par trançado CAT 5 </v>
          </cell>
          <cell r="C851" t="str">
            <v xml:space="preserve">m </v>
          </cell>
          <cell r="D851">
            <v>4.25</v>
          </cell>
        </row>
        <row r="852">
          <cell r="A852">
            <v>17</v>
          </cell>
          <cell r="B852" t="str">
            <v xml:space="preserve">APARELHOS HIDRO-SANITÁRIOS </v>
          </cell>
          <cell r="C852" t="str">
            <v/>
          </cell>
          <cell r="D852" t="str">
            <v/>
          </cell>
        </row>
        <row r="853">
          <cell r="A853">
            <v>1701</v>
          </cell>
          <cell r="B853" t="str">
            <v xml:space="preserve">LOUÇAS </v>
          </cell>
          <cell r="C853" t="str">
            <v/>
          </cell>
          <cell r="D853" t="str">
            <v/>
          </cell>
        </row>
        <row r="854">
          <cell r="A854">
            <v>170101</v>
          </cell>
          <cell r="B854" t="str">
            <v xml:space="preserve">Lavatório de louça branca com coluna, marcas de referência Deca, Celite ou Ideal Standard, inclusive sifão, válvula e engates cromados, exclusive torneira </v>
          </cell>
          <cell r="C854" t="str">
            <v xml:space="preserve">und </v>
          </cell>
          <cell r="D854">
            <v>287.88</v>
          </cell>
        </row>
        <row r="855">
          <cell r="A855">
            <v>170107</v>
          </cell>
          <cell r="B855" t="str">
            <v xml:space="preserve">Mictório de louça branca, marcas de referência Deca, Celite ou Ideal Standard, inclusive válvula e engates cromados </v>
          </cell>
          <cell r="C855" t="str">
            <v xml:space="preserve">und </v>
          </cell>
          <cell r="D855">
            <v>271.12</v>
          </cell>
        </row>
        <row r="856">
          <cell r="A856">
            <v>170108</v>
          </cell>
          <cell r="B856" t="str">
            <v xml:space="preserve">Saboneteira de louça branca, 15x15cm, marcas de referência Deca, Celite ou Ideal Standard </v>
          </cell>
          <cell r="C856" t="str">
            <v xml:space="preserve">und </v>
          </cell>
          <cell r="D856">
            <v>34.659999999999997</v>
          </cell>
        </row>
        <row r="857">
          <cell r="A857">
            <v>170110</v>
          </cell>
          <cell r="B857" t="str">
            <v xml:space="preserve">Cabide de louça branca com 2 ganchos, marcas de referência Deca, Celite ou Ideal Standard </v>
          </cell>
          <cell r="C857" t="str">
            <v xml:space="preserve">und </v>
          </cell>
          <cell r="D857">
            <v>27.32</v>
          </cell>
        </row>
        <row r="858">
          <cell r="A858">
            <v>170111</v>
          </cell>
          <cell r="B858" t="str">
            <v xml:space="preserve">Papeleira de louça branca, 15x15cm, marcas de referência Deca, Celite ou Ideal Standard </v>
          </cell>
          <cell r="C858" t="str">
            <v xml:space="preserve">und </v>
          </cell>
          <cell r="D858">
            <v>33.54</v>
          </cell>
        </row>
        <row r="859">
          <cell r="A859">
            <v>170114</v>
          </cell>
          <cell r="B859" t="str">
            <v xml:space="preserve">Bacia sifonada infantil de louça branca, marcas de referência Deca, Celite ou Ideal Standard, inclusive tampa e acessórios </v>
          </cell>
          <cell r="C859" t="str">
            <v xml:space="preserve">und </v>
          </cell>
          <cell r="D859">
            <v>309.62</v>
          </cell>
        </row>
        <row r="860">
          <cell r="A860">
            <v>170115</v>
          </cell>
          <cell r="B860" t="str">
            <v xml:space="preserve">Cuba louça de embutir completa, marcas de referência Deca, Celite ou Ideal Standard, incl. válvula e sifão, exclusive torneira </v>
          </cell>
          <cell r="C860" t="str">
            <v xml:space="preserve">und </v>
          </cell>
          <cell r="D860">
            <v>179.87</v>
          </cell>
        </row>
        <row r="861">
          <cell r="A861">
            <v>170116</v>
          </cell>
          <cell r="B861" t="str">
            <v xml:space="preserve">Vaso sanitário padrão popular completo com acessórios para ligação, marcas de referência Deca, Celite ou Ideal Standard, inclusive assento plástico </v>
          </cell>
          <cell r="C861" t="str">
            <v xml:space="preserve">und </v>
          </cell>
          <cell r="D861">
            <v>211.51</v>
          </cell>
        </row>
        <row r="862">
          <cell r="A862">
            <v>170117</v>
          </cell>
          <cell r="B862" t="str">
            <v xml:space="preserve">Lavatório de louça branca, padrão popular, marcas de referência Deca, Celite ou Ideal Standard, inclusive acessórios em PVC, exceto torneira </v>
          </cell>
          <cell r="C862" t="str">
            <v xml:space="preserve">und </v>
          </cell>
          <cell r="D862">
            <v>93.29</v>
          </cell>
        </row>
        <row r="863">
          <cell r="A863">
            <v>170118</v>
          </cell>
          <cell r="B863" t="str">
            <v xml:space="preserve">Meia saboneteira de louça branca de 7,5 x 15 cm, marcas de referência Deca, Celite ou Ideal Standard </v>
          </cell>
          <cell r="C863" t="str">
            <v xml:space="preserve">und </v>
          </cell>
          <cell r="D863">
            <v>31.45</v>
          </cell>
        </row>
        <row r="864">
          <cell r="A864">
            <v>170119</v>
          </cell>
          <cell r="B864" t="str">
            <v xml:space="preserve">Cabide de louça branca com um gancho, marcas de referência Deca, Celite ou Ideal Standard </v>
          </cell>
          <cell r="C864" t="str">
            <v xml:space="preserve">und </v>
          </cell>
          <cell r="D864">
            <v>24.27</v>
          </cell>
        </row>
        <row r="865">
          <cell r="A865">
            <v>170120</v>
          </cell>
          <cell r="B865" t="str">
            <v xml:space="preserve">Lavatório com coluna padrão popular, marcas de referência Deca, Celite ou Ideal Standard, inclusive acessórios em PVC, exceto aparelho misturador </v>
          </cell>
          <cell r="C865" t="str">
            <v xml:space="preserve">und </v>
          </cell>
          <cell r="D865">
            <v>146.56</v>
          </cell>
        </row>
        <row r="866">
          <cell r="A866">
            <v>170121</v>
          </cell>
          <cell r="B866" t="str">
            <v xml:space="preserve">Recolocação de vaso sanitário, inclusive fornecimento de acessórios (parafusos de fixação anel de vedação, bolsa e tubo de ligação, etc), exclusive fornecimento do vaso e tampa </v>
          </cell>
          <cell r="C866" t="str">
            <v xml:space="preserve">und </v>
          </cell>
          <cell r="D866">
            <v>107.89</v>
          </cell>
        </row>
        <row r="867">
          <cell r="A867">
            <v>170122</v>
          </cell>
          <cell r="B867" t="str">
            <v xml:space="preserve">Recolocação de lavatório sanitário, com acessórios em metal cromado (engate, sifão, válvula) exclusive fornecimento do mesmo </v>
          </cell>
          <cell r="C867" t="str">
            <v xml:space="preserve">und </v>
          </cell>
          <cell r="D867">
            <v>165.49</v>
          </cell>
        </row>
        <row r="868">
          <cell r="A868">
            <v>170123</v>
          </cell>
          <cell r="B868" t="str">
            <v xml:space="preserve">Recolocação de lavatório sanitário, com acessórios em PVC (engate, sifão e válvula), exclusive fornecimento do mesmo </v>
          </cell>
          <cell r="C868" t="str">
            <v xml:space="preserve">und </v>
          </cell>
          <cell r="D868">
            <v>66.16</v>
          </cell>
        </row>
        <row r="869">
          <cell r="A869">
            <v>170124</v>
          </cell>
          <cell r="B869" t="str">
            <v xml:space="preserve">Lavatório de Canto ref. L101 DECA ou equivalente, inclusive válvula, sifão e engates cromados, exclusive torneira </v>
          </cell>
          <cell r="C869" t="str">
            <v xml:space="preserve">und </v>
          </cell>
          <cell r="D869">
            <v>241.82</v>
          </cell>
        </row>
        <row r="870">
          <cell r="A870">
            <v>1702</v>
          </cell>
          <cell r="B870" t="str">
            <v xml:space="preserve">BANCADAS </v>
          </cell>
          <cell r="C870" t="str">
            <v/>
          </cell>
          <cell r="D870" t="str">
            <v/>
          </cell>
        </row>
        <row r="871">
          <cell r="A871">
            <v>170205</v>
          </cell>
          <cell r="B871" t="str">
            <v xml:space="preserve">Bancada de mármore esp. 3cm </v>
          </cell>
          <cell r="C871" t="str">
            <v xml:space="preserve">m2 </v>
          </cell>
          <cell r="D871">
            <v>263.13</v>
          </cell>
        </row>
        <row r="872">
          <cell r="A872">
            <v>170220</v>
          </cell>
          <cell r="B872" t="str">
            <v xml:space="preserve">Bancada de granito com espessura de 2 cm </v>
          </cell>
          <cell r="C872" t="str">
            <v xml:space="preserve">m2 </v>
          </cell>
          <cell r="D872">
            <v>235.03</v>
          </cell>
        </row>
        <row r="873">
          <cell r="A873">
            <v>170221</v>
          </cell>
          <cell r="B873" t="str">
            <v xml:space="preserve">Laje armada espessura de 3cm p/ enchimento de fundo de bancada inox </v>
          </cell>
          <cell r="C873" t="str">
            <v xml:space="preserve">m2 </v>
          </cell>
          <cell r="D873">
            <v>12.65</v>
          </cell>
        </row>
        <row r="874">
          <cell r="A874">
            <v>170222</v>
          </cell>
          <cell r="B874" t="str">
            <v xml:space="preserve">Bancada e tanque para panelões em granito cinza andorinha, esp. 2cm, dim. 0.80x1.10m, base de concreto e apoio em alvenaria, frontão h=10cm, incl. válvula e sifão, exclusive torneira, conf. det. projeto </v>
          </cell>
          <cell r="C874" t="str">
            <v xml:space="preserve">und </v>
          </cell>
          <cell r="D874">
            <v>1138.53</v>
          </cell>
        </row>
        <row r="875">
          <cell r="A875">
            <v>1703</v>
          </cell>
          <cell r="B875" t="str">
            <v xml:space="preserve">TORNEIRAS, REGISTROS, VÁLVULAS E METAIS </v>
          </cell>
          <cell r="C875" t="str">
            <v/>
          </cell>
          <cell r="D875" t="str">
            <v/>
          </cell>
        </row>
        <row r="876">
          <cell r="A876">
            <v>170304</v>
          </cell>
          <cell r="B876" t="str">
            <v xml:space="preserve">Torneira pressão cromada diâm. 1/2" para lavatório, marcas de referência Fabrimar, Deca ou Docol </v>
          </cell>
          <cell r="C876" t="str">
            <v xml:space="preserve">und </v>
          </cell>
          <cell r="D876">
            <v>88.23</v>
          </cell>
        </row>
        <row r="877">
          <cell r="A877">
            <v>170306</v>
          </cell>
          <cell r="B877" t="str">
            <v xml:space="preserve">Torneira para tanque, marcas de referência Fabrimar, Deca ou Docol </v>
          </cell>
          <cell r="C877" t="str">
            <v xml:space="preserve">und </v>
          </cell>
          <cell r="D877">
            <v>66.64</v>
          </cell>
        </row>
        <row r="878">
          <cell r="A878">
            <v>170310</v>
          </cell>
          <cell r="B878" t="str">
            <v xml:space="preserve">Torneira pressão cromada diam. 3/4" para uso geral, marcas de referência Fabrimar, Deca ou Docol </v>
          </cell>
          <cell r="C878" t="str">
            <v xml:space="preserve">und </v>
          </cell>
          <cell r="D878">
            <v>80.599999999999994</v>
          </cell>
        </row>
        <row r="879">
          <cell r="A879">
            <v>170311</v>
          </cell>
          <cell r="B879" t="str">
            <v xml:space="preserve">Torneira pressão em PVC para pia diam. 1/2", marcas de referência Astra, Cipla ou Akros </v>
          </cell>
          <cell r="C879" t="str">
            <v xml:space="preserve">und </v>
          </cell>
          <cell r="D879">
            <v>18.920000000000002</v>
          </cell>
        </row>
        <row r="880">
          <cell r="A880">
            <v>170312</v>
          </cell>
          <cell r="B880" t="str">
            <v xml:space="preserve">Torneira de metal com borda roscável, marcas de referência Fabrimar, Deca ou Docol </v>
          </cell>
          <cell r="C880" t="str">
            <v xml:space="preserve">und </v>
          </cell>
          <cell r="D880">
            <v>40.72</v>
          </cell>
        </row>
        <row r="881">
          <cell r="A881">
            <v>170313</v>
          </cell>
          <cell r="B881" t="str">
            <v xml:space="preserve">Torneira pressão cromada, diam. 1/2" para tanque, marcas de referência Fabrimar, Deca ou Docol </v>
          </cell>
          <cell r="C881" t="str">
            <v xml:space="preserve">und </v>
          </cell>
          <cell r="D881">
            <v>82.05</v>
          </cell>
        </row>
        <row r="882">
          <cell r="A882">
            <v>170314</v>
          </cell>
          <cell r="B882" t="str">
            <v xml:space="preserve">Torneira de plástico para filtro de barro, marcas de referência Astra, Cipla ou Akros </v>
          </cell>
          <cell r="C882" t="str">
            <v xml:space="preserve">und </v>
          </cell>
          <cell r="D882">
            <v>3.67</v>
          </cell>
        </row>
        <row r="883">
          <cell r="A883">
            <v>170315</v>
          </cell>
          <cell r="B883" t="str">
            <v xml:space="preserve">Torneira pressão cromada diam. 1/2" para pia, marcas de referência Fabrimar, Deca ou Docol </v>
          </cell>
          <cell r="C883" t="str">
            <v xml:space="preserve">und </v>
          </cell>
          <cell r="D883">
            <v>95.22</v>
          </cell>
        </row>
        <row r="884">
          <cell r="A884">
            <v>170316</v>
          </cell>
          <cell r="B884" t="str">
            <v xml:space="preserve">Registro de pressão com canopla cromada diam. 15mm (1/2"), marcas de referência Fabrimar, Deca ou Docol </v>
          </cell>
          <cell r="C884" t="str">
            <v xml:space="preserve">und </v>
          </cell>
          <cell r="D884">
            <v>71.41</v>
          </cell>
        </row>
        <row r="885">
          <cell r="A885">
            <v>170317</v>
          </cell>
          <cell r="B885" t="str">
            <v xml:space="preserve">Registro de pressão com canopla cromada diam. 20mm (3/4"), marcas de referência Fabrimar, Deca ou Docol </v>
          </cell>
          <cell r="C885" t="str">
            <v xml:space="preserve">und </v>
          </cell>
          <cell r="D885">
            <v>76.19</v>
          </cell>
        </row>
        <row r="886">
          <cell r="A886">
            <v>170318</v>
          </cell>
          <cell r="B886" t="str">
            <v xml:space="preserve">Registro de pressão bruto, diam. 15mm (1/2") </v>
          </cell>
          <cell r="C886" t="str">
            <v xml:space="preserve">und </v>
          </cell>
          <cell r="D886">
            <v>37.68</v>
          </cell>
        </row>
        <row r="887">
          <cell r="A887">
            <v>170319</v>
          </cell>
          <cell r="B887" t="str">
            <v xml:space="preserve">Registro de gaveta bruto diam. 15mm (1/2") </v>
          </cell>
          <cell r="C887" t="str">
            <v xml:space="preserve">und </v>
          </cell>
          <cell r="D887">
            <v>30.5</v>
          </cell>
        </row>
        <row r="888">
          <cell r="A888">
            <v>170320</v>
          </cell>
          <cell r="B888" t="str">
            <v xml:space="preserve">Registro de gaveta bruto diam. 20mm (3/4") </v>
          </cell>
          <cell r="C888" t="str">
            <v xml:space="preserve">und </v>
          </cell>
          <cell r="D888">
            <v>32.46</v>
          </cell>
        </row>
        <row r="889">
          <cell r="A889">
            <v>170321</v>
          </cell>
          <cell r="B889" t="str">
            <v xml:space="preserve">Registro de gaveta bruto diam. 25mm (1") </v>
          </cell>
          <cell r="C889" t="str">
            <v xml:space="preserve">und </v>
          </cell>
          <cell r="D889">
            <v>45.58</v>
          </cell>
        </row>
        <row r="890">
          <cell r="A890">
            <v>170322</v>
          </cell>
          <cell r="B890" t="str">
            <v xml:space="preserve">Registro de gaveta bruto diam. 32mm (11/4") </v>
          </cell>
          <cell r="C890" t="str">
            <v xml:space="preserve">und </v>
          </cell>
          <cell r="D890">
            <v>65.16</v>
          </cell>
        </row>
        <row r="891">
          <cell r="A891">
            <v>170323</v>
          </cell>
          <cell r="B891" t="str">
            <v xml:space="preserve">Registro de gaveta bruto diam. 40mm (11/2") </v>
          </cell>
          <cell r="C891" t="str">
            <v xml:space="preserve">und </v>
          </cell>
          <cell r="D891">
            <v>77.239999999999995</v>
          </cell>
        </row>
        <row r="892">
          <cell r="A892">
            <v>170324</v>
          </cell>
          <cell r="B892" t="str">
            <v xml:space="preserve">Registro de gaveta bruto diam. 50mm (2") </v>
          </cell>
          <cell r="C892" t="str">
            <v xml:space="preserve">und </v>
          </cell>
          <cell r="D892">
            <v>115.75</v>
          </cell>
        </row>
        <row r="893">
          <cell r="A893">
            <v>170325</v>
          </cell>
          <cell r="B893" t="str">
            <v xml:space="preserve">Registro de gaveta bruto diam. 65mm (21/2") </v>
          </cell>
          <cell r="C893" t="str">
            <v xml:space="preserve">und </v>
          </cell>
          <cell r="D893">
            <v>241.84</v>
          </cell>
        </row>
        <row r="894">
          <cell r="A894">
            <v>170326</v>
          </cell>
          <cell r="B894" t="str">
            <v xml:space="preserve">Registro de gaveta bruto diam. 80mm (3") </v>
          </cell>
          <cell r="C894" t="str">
            <v xml:space="preserve">und </v>
          </cell>
          <cell r="D894">
            <v>366.53</v>
          </cell>
        </row>
        <row r="895">
          <cell r="A895">
            <v>170327</v>
          </cell>
          <cell r="B895" t="str">
            <v xml:space="preserve">Registro de gaveta com canopla cromada diam. 15mm (1/2"), marcas de referência Fabrimar, Deca ou Docol </v>
          </cell>
          <cell r="C895" t="str">
            <v xml:space="preserve">und </v>
          </cell>
          <cell r="D895">
            <v>71.41</v>
          </cell>
        </row>
        <row r="896">
          <cell r="A896">
            <v>170328</v>
          </cell>
          <cell r="B896" t="str">
            <v xml:space="preserve">Registro de gaveta com canopla cromada, diam. 20mm (3/4"), marcas de referência Fabrimar, Deca ou Docol </v>
          </cell>
          <cell r="C896" t="str">
            <v xml:space="preserve">und </v>
          </cell>
          <cell r="D896">
            <v>76.19</v>
          </cell>
        </row>
        <row r="897">
          <cell r="A897">
            <v>170329</v>
          </cell>
          <cell r="B897" t="str">
            <v xml:space="preserve">Registro de gaveta com canopla cromada diam. 25mm (1"), marcas de referência Fabrimar, Deca ou Docol </v>
          </cell>
          <cell r="C897" t="str">
            <v xml:space="preserve">und </v>
          </cell>
          <cell r="D897">
            <v>94.89</v>
          </cell>
        </row>
        <row r="898">
          <cell r="A898">
            <v>170330</v>
          </cell>
          <cell r="B898" t="str">
            <v xml:space="preserve">Registro de gaveta com canopla cromada diam 32mm (11/4"), marcas de referência Fabrimar, Deca ou Docol </v>
          </cell>
          <cell r="D898">
            <v>110.9</v>
          </cell>
        </row>
        <row r="899">
          <cell r="A899">
            <v>170331</v>
          </cell>
          <cell r="B899" t="str">
            <v xml:space="preserve">Registro de gaveta com canopla cromada, diam. 40mm (11/2"), marcas de referência Fabrimar, Deca ou Docol </v>
          </cell>
          <cell r="C899" t="str">
            <v xml:space="preserve">und </v>
          </cell>
          <cell r="D899">
            <v>129.34</v>
          </cell>
        </row>
        <row r="900">
          <cell r="A900">
            <v>170332</v>
          </cell>
          <cell r="B900" t="str">
            <v xml:space="preserve">Válvula de retenção horizontal ou vertical diam. 15mm (1/2") </v>
          </cell>
          <cell r="C900" t="str">
            <v xml:space="preserve">und </v>
          </cell>
          <cell r="D900">
            <v>42.1</v>
          </cell>
        </row>
        <row r="901">
          <cell r="A901">
            <v>170333</v>
          </cell>
          <cell r="B901" t="str">
            <v xml:space="preserve">Válvula de retenção horizontal ou vertical diam. 20mm (3/4") </v>
          </cell>
          <cell r="C901" t="str">
            <v xml:space="preserve">und </v>
          </cell>
          <cell r="D901">
            <v>45.91</v>
          </cell>
        </row>
        <row r="902">
          <cell r="A902">
            <v>170334</v>
          </cell>
          <cell r="B902" t="str">
            <v xml:space="preserve">Válvula de retenção horizontal ou vertical diam. 25mm (1") </v>
          </cell>
          <cell r="C902" t="str">
            <v xml:space="preserve">und </v>
          </cell>
          <cell r="D902">
            <v>59.57</v>
          </cell>
        </row>
        <row r="903">
          <cell r="A903">
            <v>170335</v>
          </cell>
          <cell r="B903" t="str">
            <v xml:space="preserve">Válvula de retenção horizontal ou vertical, diam. 32mm (11/4") </v>
          </cell>
          <cell r="C903" t="str">
            <v xml:space="preserve">und </v>
          </cell>
          <cell r="D903">
            <v>82.09</v>
          </cell>
        </row>
        <row r="904">
          <cell r="A904">
            <v>170336</v>
          </cell>
          <cell r="B904" t="str">
            <v xml:space="preserve">Válvula de retenção horizontal ou vertical diam. 40mm (11/2") </v>
          </cell>
          <cell r="C904" t="str">
            <v xml:space="preserve">und </v>
          </cell>
          <cell r="D904">
            <v>95.33</v>
          </cell>
        </row>
        <row r="905">
          <cell r="A905">
            <v>170337</v>
          </cell>
          <cell r="B905" t="str">
            <v xml:space="preserve">Válvula de retenção horizontal ou vertical diam. 50mm (2") </v>
          </cell>
          <cell r="C905" t="str">
            <v xml:space="preserve">und </v>
          </cell>
          <cell r="D905">
            <v>130.11000000000001</v>
          </cell>
        </row>
        <row r="906">
          <cell r="A906">
            <v>170338</v>
          </cell>
          <cell r="B906" t="str">
            <v xml:space="preserve">Válvula de retenção horizontal ou vertical diam. 65mm (21/2") </v>
          </cell>
          <cell r="C906" t="str">
            <v xml:space="preserve">und </v>
          </cell>
          <cell r="D906">
            <v>197.03</v>
          </cell>
        </row>
        <row r="907">
          <cell r="A907">
            <v>170339</v>
          </cell>
          <cell r="B907" t="str">
            <v xml:space="preserve">Válvula de retenção horizontal ou vertical, diam. 80mm (3") </v>
          </cell>
          <cell r="C907" t="str">
            <v xml:space="preserve">und </v>
          </cell>
          <cell r="D907">
            <v>251.58</v>
          </cell>
        </row>
        <row r="908">
          <cell r="A908">
            <v>170340</v>
          </cell>
          <cell r="B908" t="str">
            <v xml:space="preserve">Válvula de retenção de pé com crivo diam. 15mm (1/2") </v>
          </cell>
          <cell r="C908" t="str">
            <v xml:space="preserve">und </v>
          </cell>
          <cell r="D908">
            <v>32.450000000000003</v>
          </cell>
        </row>
        <row r="909">
          <cell r="A909">
            <v>170341</v>
          </cell>
          <cell r="B909" t="str">
            <v xml:space="preserve">Válvula de retenção de pé com crivo, diam. 20mm (3/4") </v>
          </cell>
          <cell r="C909" t="str">
            <v xml:space="preserve">und </v>
          </cell>
          <cell r="D909">
            <v>31.92</v>
          </cell>
        </row>
        <row r="910">
          <cell r="A910">
            <v>170342</v>
          </cell>
          <cell r="B910" t="str">
            <v xml:space="preserve">Válvula de retenção de pé com crivo diam. 25mm (1") </v>
          </cell>
          <cell r="C910" t="str">
            <v xml:space="preserve">und </v>
          </cell>
          <cell r="D910">
            <v>40.270000000000003</v>
          </cell>
        </row>
        <row r="911">
          <cell r="A911">
            <v>170343</v>
          </cell>
          <cell r="B911" t="str">
            <v xml:space="preserve">Válvula de retenção de pé com crivo diam. 32mm (11/4") </v>
          </cell>
          <cell r="C911" t="str">
            <v xml:space="preserve">und </v>
          </cell>
          <cell r="D911">
            <v>58.04</v>
          </cell>
        </row>
        <row r="912">
          <cell r="A912">
            <v>170344</v>
          </cell>
          <cell r="B912" t="str">
            <v xml:space="preserve">Válvula de fluxo diametro 3" </v>
          </cell>
          <cell r="C912" t="str">
            <v xml:space="preserve">und </v>
          </cell>
          <cell r="D912">
            <v>397.18</v>
          </cell>
        </row>
        <row r="913">
          <cell r="A913">
            <v>170345</v>
          </cell>
          <cell r="B913" t="str">
            <v xml:space="preserve">Válvula de descarga com canopla cromada de 32mm (11/4"), marcas de referência Fabrimar, Deca ou Docol </v>
          </cell>
          <cell r="C913" t="str">
            <v xml:space="preserve">und </v>
          </cell>
          <cell r="D913">
            <v>211.3</v>
          </cell>
        </row>
        <row r="914">
          <cell r="A914">
            <v>170346</v>
          </cell>
          <cell r="B914" t="str">
            <v xml:space="preserve">Válvula de descarga com canopla cromada de 40mm (11/2"), marcas de referência Fabrimar, Deca ou Docol </v>
          </cell>
          <cell r="C914" t="str">
            <v xml:space="preserve">und </v>
          </cell>
          <cell r="D914">
            <v>219.02</v>
          </cell>
        </row>
        <row r="915">
          <cell r="A915">
            <v>170347</v>
          </cell>
          <cell r="B915" t="str">
            <v xml:space="preserve">Válvula de PVC para lavatório, marcas de referência Astra, Cipla ou Akros </v>
          </cell>
          <cell r="C915" t="str">
            <v xml:space="preserve">und </v>
          </cell>
          <cell r="D915">
            <v>5.81</v>
          </cell>
        </row>
        <row r="916">
          <cell r="A916">
            <v>170348</v>
          </cell>
          <cell r="B916" t="str">
            <v xml:space="preserve">Válvula de PVC para tanque, marcas de referência Astra, Cipla ou Akros </v>
          </cell>
          <cell r="C916" t="str">
            <v xml:space="preserve">und </v>
          </cell>
          <cell r="D916">
            <v>6.82</v>
          </cell>
        </row>
        <row r="917">
          <cell r="A917">
            <v>170349</v>
          </cell>
          <cell r="B917" t="str">
            <v xml:space="preserve">Canopla para válvula de descarga, marcas de referência Fabrimar, Deca ou Docol </v>
          </cell>
          <cell r="C917" t="str">
            <v xml:space="preserve">und </v>
          </cell>
          <cell r="D917">
            <v>61.96</v>
          </cell>
        </row>
        <row r="918">
          <cell r="A918">
            <v>170350</v>
          </cell>
          <cell r="B918" t="str">
            <v xml:space="preserve">Parafuso de fixação para lavatório ou vaso, inclusive colocação </v>
          </cell>
          <cell r="C918" t="str">
            <v xml:space="preserve">und </v>
          </cell>
          <cell r="D918">
            <v>9.0399999999999991</v>
          </cell>
        </row>
        <row r="919">
          <cell r="A919">
            <v>1705</v>
          </cell>
          <cell r="B919" t="str">
            <v xml:space="preserve">OUTROS APARELHOS </v>
          </cell>
          <cell r="C919" t="str">
            <v/>
          </cell>
          <cell r="D919" t="str">
            <v/>
          </cell>
        </row>
        <row r="920">
          <cell r="A920">
            <v>170502</v>
          </cell>
          <cell r="B920" t="str">
            <v xml:space="preserve">Caixa de descarga plástica de sobrepor </v>
          </cell>
          <cell r="C920" t="str">
            <v xml:space="preserve">und </v>
          </cell>
          <cell r="D920">
            <v>86.92</v>
          </cell>
        </row>
        <row r="921">
          <cell r="A921">
            <v>170504</v>
          </cell>
          <cell r="B921" t="str">
            <v xml:space="preserve">Porta sabonete líquido com parafusos e buchas de fixação </v>
          </cell>
          <cell r="C921" t="str">
            <v xml:space="preserve">und </v>
          </cell>
          <cell r="D921">
            <v>38.99</v>
          </cell>
        </row>
        <row r="922">
          <cell r="A922">
            <v>170507</v>
          </cell>
          <cell r="B922" t="str">
            <v xml:space="preserve">Lavatório de aço inox, liga AISI 304, N° 18, marcas de referência Fisher, Metalpress ou Mekal, inclusive apoio de concreto, argamassa de apoio e assentamento, válvula e sifão cromados, exclusive torneira, conf. projeto </v>
          </cell>
          <cell r="C922" t="str">
            <v xml:space="preserve">m </v>
          </cell>
          <cell r="D922">
            <v>857.41</v>
          </cell>
        </row>
        <row r="923">
          <cell r="A923">
            <v>170508</v>
          </cell>
          <cell r="B923" t="str">
            <v xml:space="preserve">Escovário de aço inox, liga AISI 304, N° 18, marcas de referência Fischer, Metalpress ou Mekal, inclusive apoio de concreto, argamassa de apoio e assentamento, válvula e sifão cromados, exclusive torneira, conf. projeto </v>
          </cell>
          <cell r="C923" t="str">
            <v xml:space="preserve">m </v>
          </cell>
          <cell r="D923">
            <v>857.41</v>
          </cell>
        </row>
        <row r="924">
          <cell r="A924">
            <v>170509</v>
          </cell>
          <cell r="B924" t="str">
            <v xml:space="preserve">Tanque de aço inox nº 2, marcas de referência Fisher, Metalpress ou Mekal, inclusive válvula de metal e sifão </v>
          </cell>
          <cell r="C924" t="str">
            <v xml:space="preserve">und </v>
          </cell>
          <cell r="D924">
            <v>1047.74</v>
          </cell>
        </row>
        <row r="925">
          <cell r="A925">
            <v>170510</v>
          </cell>
          <cell r="B925" t="str">
            <v xml:space="preserve">Bebedouro de aço inox, marcas de referência Fisher, Metalpress ou Mekal, inclusive válvula, sifão cromado e torneiras, exclusive alvenaria, dim. 0.45x2.75 m, conforme detalhe em projeto </v>
          </cell>
          <cell r="C925" t="str">
            <v xml:space="preserve">und </v>
          </cell>
          <cell r="D925">
            <v>2558.7600000000002</v>
          </cell>
        </row>
        <row r="926">
          <cell r="A926">
            <v>170511</v>
          </cell>
          <cell r="B926" t="str">
            <v xml:space="preserve">Mictório coletivo de aço inox, liga AISI-304 n.18, marcas de referência Fisher, Metalpress ou Mekal, dimensões 1.80x0.30m, com tubo espargidor </v>
          </cell>
          <cell r="C926" t="str">
            <v xml:space="preserve">und </v>
          </cell>
          <cell r="D926">
            <v>1203.26</v>
          </cell>
        </row>
        <row r="927">
          <cell r="A927">
            <v>170512</v>
          </cell>
          <cell r="B927" t="str">
            <v xml:space="preserve">Cuba de aço inox n° 1, marcas de referência Fisher, Metalpress ou Mekal, inclusive válvula de metal 1 1/4" e sifão cromado 1 x 1/2", excl. torneira </v>
          </cell>
          <cell r="C927" t="str">
            <v xml:space="preserve">und </v>
          </cell>
          <cell r="D927">
            <v>230.81</v>
          </cell>
        </row>
        <row r="928">
          <cell r="A928">
            <v>170514</v>
          </cell>
          <cell r="B928" t="str">
            <v xml:space="preserve">Tanque simples de aço inox Fischer, mod. TQ1-S AISI 304, ou equivalente nas marcas Metalpress ou Mekal, inclusive válvula de metal 1 1/4" e sifão cromado 2", excl. torneira </v>
          </cell>
          <cell r="C928" t="str">
            <v xml:space="preserve">und </v>
          </cell>
          <cell r="D928">
            <v>1002.94</v>
          </cell>
        </row>
        <row r="929">
          <cell r="A929">
            <v>170515</v>
          </cell>
          <cell r="B929" t="str">
            <v xml:space="preserve">Cuba p/ panelões de aço inox 80x60x40 cm, marcas de referência Fisher, Metalpress ou Mekal, inclusive válvula metal 1 1/4" e sifão cromado 1 x 1 1/2", excl. torneira </v>
          </cell>
          <cell r="C929" t="str">
            <v xml:space="preserve">und </v>
          </cell>
          <cell r="D929">
            <v>1599.41</v>
          </cell>
        </row>
        <row r="930">
          <cell r="A930">
            <v>170516</v>
          </cell>
          <cell r="B930" t="str">
            <v xml:space="preserve">Tanque duplo de aço inox AISI 304, marcas de referência Fisher (mod TQI-D) Metalpress ou Mekal, inclusive válvulas de metal 1 1/4" e sifão cromado 2", excl. torneiras </v>
          </cell>
          <cell r="C930" t="str">
            <v xml:space="preserve">und </v>
          </cell>
          <cell r="D930">
            <v>1942.57</v>
          </cell>
        </row>
        <row r="931">
          <cell r="A931">
            <v>170519</v>
          </cell>
          <cell r="B931" t="str">
            <v xml:space="preserve">Ducha manual Acqua jet , linha Aquarius, com registro ref.C 2195, marcas de referência Fabrimar, Deca ou Docol </v>
          </cell>
          <cell r="C931" t="str">
            <v xml:space="preserve">und </v>
          </cell>
          <cell r="D931">
            <v>171.23</v>
          </cell>
        </row>
        <row r="932">
          <cell r="A932">
            <v>170523</v>
          </cell>
          <cell r="B932" t="str">
            <v xml:space="preserve">Porta toalha de papel em inox Deca, ref. 2076-C, Fabrimar ou Docol </v>
          </cell>
          <cell r="C932" t="str">
            <v xml:space="preserve">und </v>
          </cell>
          <cell r="D932">
            <v>173.12</v>
          </cell>
        </row>
        <row r="933">
          <cell r="A933">
            <v>170524</v>
          </cell>
          <cell r="B933" t="str">
            <v xml:space="preserve">Cabide simples de um gancho, linha Versailles, ref. 08, acabamento cromado, da Moldenox, Docol ou Deca </v>
          </cell>
          <cell r="C933" t="str">
            <v xml:space="preserve">und </v>
          </cell>
          <cell r="D933">
            <v>37.130000000000003</v>
          </cell>
        </row>
        <row r="934">
          <cell r="A934">
            <v>170528</v>
          </cell>
          <cell r="B934" t="str">
            <v xml:space="preserve">Reservatório de fibra de vidro de 5.000 L, inclusive peça de madeira 6 x 16 cm para apoio, exclusive flanges e torneira de bóia </v>
          </cell>
          <cell r="C934" t="str">
            <v xml:space="preserve">und </v>
          </cell>
          <cell r="D934">
            <v>1683.44</v>
          </cell>
        </row>
        <row r="935">
          <cell r="A935">
            <v>170530</v>
          </cell>
          <cell r="B935" t="str">
            <v xml:space="preserve">Cuba em aço inox nº 02, marcas de referência Fisher, Metalpress ou Mekal, inclusive válvula americana de metal de 11/4", excl. sifão </v>
          </cell>
          <cell r="C935" t="str">
            <v xml:space="preserve">und </v>
          </cell>
          <cell r="D935">
            <v>465.84</v>
          </cell>
        </row>
        <row r="936">
          <cell r="A936">
            <v>170532</v>
          </cell>
          <cell r="B936" t="str">
            <v xml:space="preserve">Bebedouro elétrico com capacidade para 80 litros </v>
          </cell>
          <cell r="C936" t="str">
            <v xml:space="preserve">und </v>
          </cell>
          <cell r="D936">
            <v>1002.74</v>
          </cell>
        </row>
        <row r="937">
          <cell r="A937">
            <v>170533</v>
          </cell>
          <cell r="B937" t="str">
            <v xml:space="preserve">Pia em aço inox com 01 cuba nº 1, dimensões de 0.60 x 1.50m, inclusive válvula tipo americana, exclusive sifão </v>
          </cell>
          <cell r="C937" t="str">
            <v xml:space="preserve">und </v>
          </cell>
          <cell r="D937">
            <v>1496.76</v>
          </cell>
        </row>
        <row r="938">
          <cell r="A938">
            <v>170534</v>
          </cell>
          <cell r="B938" t="str">
            <v xml:space="preserve">Pia em aço inox com 02 cubas nº 1, dimensões 0.60 x 2.50, inclusive válvula tipo americana, exclusive sifão </v>
          </cell>
          <cell r="C938" t="str">
            <v xml:space="preserve">und </v>
          </cell>
          <cell r="D938">
            <v>2335.62</v>
          </cell>
        </row>
        <row r="939">
          <cell r="A939">
            <v>170535</v>
          </cell>
          <cell r="B939" t="str">
            <v xml:space="preserve">Pia em aço inox com 01 cuba nº 1, dimensões de 0.60 x 1.80m, inclusive válvula americana, exclusive sifão </v>
          </cell>
          <cell r="C939" t="str">
            <v xml:space="preserve">und </v>
          </cell>
          <cell r="D939">
            <v>1673.95</v>
          </cell>
        </row>
        <row r="940">
          <cell r="A940">
            <v>170536</v>
          </cell>
          <cell r="B940" t="str">
            <v xml:space="preserve">Pia em aço inox com 02 cubas nº 2, dimensões de 0.60 x 2.10m, inclusive válvula americana, exclusive sifão </v>
          </cell>
          <cell r="C940" t="str">
            <v xml:space="preserve">und </v>
          </cell>
          <cell r="D940">
            <v>2126.34</v>
          </cell>
        </row>
        <row r="941">
          <cell r="A941">
            <v>170537</v>
          </cell>
          <cell r="B941" t="str">
            <v xml:space="preserve">Assento plástico para vaso sanitário, marcas de referência Deca, Celite ou Ideal Standard </v>
          </cell>
          <cell r="C941" t="str">
            <v xml:space="preserve">und </v>
          </cell>
          <cell r="D941">
            <v>21.64</v>
          </cell>
        </row>
        <row r="942">
          <cell r="A942">
            <v>170538</v>
          </cell>
          <cell r="B942" t="str">
            <v xml:space="preserve">Chuveiro frio de PVC, marcas de referência Atlas, Cipla ou Akros </v>
          </cell>
          <cell r="C942" t="str">
            <v xml:space="preserve">und </v>
          </cell>
          <cell r="D942">
            <v>12.24</v>
          </cell>
        </row>
        <row r="943">
          <cell r="A943">
            <v>170539</v>
          </cell>
          <cell r="B943" t="str">
            <v xml:space="preserve">Reservatorio de fibra de vidro 500l, inclusive peça de madeira 6x16cm para apoio, exclusive flanges e torneira de boia </v>
          </cell>
          <cell r="C943" t="str">
            <v xml:space="preserve">und </v>
          </cell>
          <cell r="D943">
            <v>339.62</v>
          </cell>
        </row>
        <row r="944">
          <cell r="A944">
            <v>170540</v>
          </cell>
          <cell r="B944" t="str">
            <v xml:space="preserve">Reservatorio de fibra de vidro 1000l, inclusive peça de madeira 6x16cm para apoio, exclusive flanges e torneira de boia </v>
          </cell>
          <cell r="C944" t="str">
            <v xml:space="preserve">und </v>
          </cell>
          <cell r="D944">
            <v>450.55</v>
          </cell>
        </row>
        <row r="945">
          <cell r="A945">
            <v>170541</v>
          </cell>
          <cell r="B945" t="str">
            <v xml:space="preserve">Filtro curto com vazão de 180 l/h, marca de referência Aqualar </v>
          </cell>
          <cell r="C945" t="str">
            <v xml:space="preserve">und </v>
          </cell>
          <cell r="D945">
            <v>127.68</v>
          </cell>
        </row>
        <row r="946">
          <cell r="A946">
            <v>170542</v>
          </cell>
          <cell r="B946" t="str">
            <v xml:space="preserve">Vela para filtro longo com vazão de 360 l/h, marca de referência Aqualar </v>
          </cell>
          <cell r="C946" t="str">
            <v xml:space="preserve">und </v>
          </cell>
          <cell r="D946">
            <v>43.01</v>
          </cell>
        </row>
        <row r="947">
          <cell r="A947">
            <v>170543</v>
          </cell>
          <cell r="B947" t="str">
            <v xml:space="preserve">Vela para filtro curto com vazão de 180 l/h, marca de referência Aqualar </v>
          </cell>
          <cell r="C947" t="str">
            <v xml:space="preserve">und </v>
          </cell>
          <cell r="D947">
            <v>0</v>
          </cell>
        </row>
        <row r="948">
          <cell r="A948">
            <v>170544</v>
          </cell>
          <cell r="B948" t="str">
            <v xml:space="preserve">Filtro longo com vazão de 300 l/h, marca de referência Aqualar </v>
          </cell>
          <cell r="C948" t="str">
            <v xml:space="preserve">und </v>
          </cell>
          <cell r="D948">
            <v>194.24</v>
          </cell>
        </row>
        <row r="949">
          <cell r="A949">
            <v>170545</v>
          </cell>
          <cell r="B949" t="str">
            <v xml:space="preserve">Mictório de aço inox, marcas de referência Fisher, Metalpress ou Mekal, com 30 cm de largura e comp. variável, inclusive válvula tipo americana, engate flexível cromado, válvula de descarga, sifão cromado e conjunto de fixação </v>
          </cell>
          <cell r="C949" t="str">
            <v xml:space="preserve">m </v>
          </cell>
          <cell r="D949">
            <v>806.07</v>
          </cell>
        </row>
        <row r="950">
          <cell r="A950">
            <v>170546</v>
          </cell>
          <cell r="B950" t="str">
            <v xml:space="preserve">Tanque em mármore sintético com 2 bojos, inclusive válvula e sifão em PVC </v>
          </cell>
          <cell r="C950" t="str">
            <v xml:space="preserve">und </v>
          </cell>
          <cell r="D950">
            <v>148.43</v>
          </cell>
        </row>
        <row r="951">
          <cell r="A951">
            <v>170547</v>
          </cell>
          <cell r="B951" t="str">
            <v xml:space="preserve">Reservatório de fibra de vidro 310l, inclusive peça de madeira 6 x 16 cm p/ apoio, exclusive flange e torneira de boia </v>
          </cell>
          <cell r="C951" t="str">
            <v xml:space="preserve">und </v>
          </cell>
          <cell r="D951">
            <v>295.27999999999997</v>
          </cell>
        </row>
        <row r="952">
          <cell r="A952">
            <v>170548</v>
          </cell>
          <cell r="B952" t="str">
            <v xml:space="preserve">Reservatório de fibra de vidro 1500l, inclusive peça 6x16cm para apoio, exclusive flanges e torneira de boia </v>
          </cell>
          <cell r="C952" t="str">
            <v xml:space="preserve">und </v>
          </cell>
          <cell r="D952">
            <v>630.34</v>
          </cell>
        </row>
        <row r="953">
          <cell r="A953">
            <v>170549</v>
          </cell>
          <cell r="B953" t="str">
            <v xml:space="preserve">Reservatório de fibra de vidro 3000 litros, inclusive peça de apoio de 6x16 cm, exclusive flanges e torneira de bóia </v>
          </cell>
          <cell r="C953" t="str">
            <v xml:space="preserve">und </v>
          </cell>
          <cell r="D953">
            <v>1075.92</v>
          </cell>
        </row>
        <row r="954">
          <cell r="A954">
            <v>170550</v>
          </cell>
          <cell r="B954" t="str">
            <v xml:space="preserve">Reservatório de fibra de vidro 2000L, inclusive peça de apoio 6x16 cm, exclusive flanges e torneira de bóia </v>
          </cell>
          <cell r="C954" t="str">
            <v xml:space="preserve">und </v>
          </cell>
          <cell r="D954">
            <v>792.29</v>
          </cell>
        </row>
        <row r="955">
          <cell r="A955">
            <v>170552</v>
          </cell>
          <cell r="B955" t="str">
            <v xml:space="preserve">Filtro industrial modelo RCA da Metalsinter ou equivalente, incl. tubulações e registros para sistema auto-limpante de reversão de fluxo, a ser instalado no bebedouro </v>
          </cell>
          <cell r="C955" t="str">
            <v xml:space="preserve">und </v>
          </cell>
          <cell r="D955">
            <v>1109.98</v>
          </cell>
        </row>
        <row r="956">
          <cell r="A956">
            <v>170553</v>
          </cell>
          <cell r="B956" t="str">
            <v xml:space="preserve">Filtro industrial de areia modelo FA 4000 da Metalsinter ou equiv. com capacidade para 4000l/h, inclusive tubulações e registros para sistema auto-limpante de reversão de fluxo, a ser instalado na saída da caixa d'agua </v>
          </cell>
          <cell r="C956" t="str">
            <v xml:space="preserve">und </v>
          </cell>
          <cell r="D956">
            <v>9808.76</v>
          </cell>
        </row>
        <row r="957">
          <cell r="A957">
            <v>170555</v>
          </cell>
          <cell r="B957" t="str">
            <v xml:space="preserve">Tanque de mármore sintético com um bojo, inclusive válvula e sifão em PVC </v>
          </cell>
          <cell r="C957" t="str">
            <v xml:space="preserve">und </v>
          </cell>
          <cell r="D957">
            <v>109.3</v>
          </cell>
        </row>
        <row r="958">
          <cell r="A958">
            <v>170557</v>
          </cell>
          <cell r="B958" t="str">
            <v xml:space="preserve">Bebedouro em aço inox coletivo, marcas de referência Fisher, Metalpress ou Mekal, inclusive base de apoio em concreto e fechamento em alvenaria revestida com azulejo, inclusive válvula e sifão, exclusive torneiras </v>
          </cell>
          <cell r="C958" t="str">
            <v xml:space="preserve">m </v>
          </cell>
          <cell r="D958">
            <v>1032.7</v>
          </cell>
        </row>
        <row r="959">
          <cell r="A959">
            <v>18</v>
          </cell>
          <cell r="B959" t="str">
            <v xml:space="preserve">APARELHOS ELÉTRICOS </v>
          </cell>
          <cell r="C959" t="str">
            <v/>
          </cell>
          <cell r="D959" t="str">
            <v/>
          </cell>
        </row>
        <row r="960">
          <cell r="A960">
            <v>1801</v>
          </cell>
          <cell r="B960" t="str">
            <v xml:space="preserve">LUMINÁRIAS </v>
          </cell>
          <cell r="C960" t="str">
            <v/>
          </cell>
          <cell r="D960" t="str">
            <v/>
          </cell>
        </row>
        <row r="961">
          <cell r="A961">
            <v>180101</v>
          </cell>
          <cell r="B961" t="str">
            <v xml:space="preserve">Luminária p/ duas lâmpadas fluorescentes 20W, completa, c/ reator duplo-127V partida rápida e alto fator de potência, soquete antivibratório e lâmpada fluorescente 20W-127V </v>
          </cell>
          <cell r="C961" t="str">
            <v xml:space="preserve">und </v>
          </cell>
          <cell r="D961">
            <v>62.73</v>
          </cell>
        </row>
        <row r="962">
          <cell r="A962">
            <v>180102</v>
          </cell>
          <cell r="B962" t="str">
            <v xml:space="preserve">Luminária p/ duas lâmpadas fluorescentes 40W, completa, c/ reator duplo-127V partida rápida e alto fator de potência, soquete antivibratório e lâmpada fluorescente 40W-127V </v>
          </cell>
          <cell r="C962" t="str">
            <v xml:space="preserve">und </v>
          </cell>
          <cell r="D962">
            <v>75.400000000000006</v>
          </cell>
        </row>
        <row r="963">
          <cell r="A963">
            <v>180103</v>
          </cell>
          <cell r="B963" t="str">
            <v xml:space="preserve">Luminária p/ quatro lâmpadas fluorescentes 20W, completa, c/ reatores duplos - 127V partida rápida e alto fator de potência, soquete antivibratório e lâmpada fluorescente 20W-127V </v>
          </cell>
          <cell r="C963" t="str">
            <v xml:space="preserve">und </v>
          </cell>
          <cell r="D963">
            <v>118.08</v>
          </cell>
        </row>
        <row r="964">
          <cell r="A964">
            <v>180104</v>
          </cell>
          <cell r="B964" t="str">
            <v xml:space="preserve">Luminária p/ quatro lâmpadas fluorescentes 40W, completa, c/reatores duplos-127V partida rápida e alto fator de potência, soquete antivibratório e lâmpada fluorescente 40W-127V </v>
          </cell>
          <cell r="C964" t="str">
            <v xml:space="preserve">und </v>
          </cell>
          <cell r="D964">
            <v>133.30000000000001</v>
          </cell>
        </row>
        <row r="965">
          <cell r="A965">
            <v>180105</v>
          </cell>
          <cell r="B965" t="str">
            <v xml:space="preserve">Plafonier com globo leitoso e lâmpada incandescente de 60W </v>
          </cell>
          <cell r="C965" t="str">
            <v xml:space="preserve">und </v>
          </cell>
          <cell r="D965">
            <v>32.549999999999997</v>
          </cell>
        </row>
        <row r="966">
          <cell r="A966">
            <v>180106</v>
          </cell>
          <cell r="B966" t="str">
            <v xml:space="preserve">Arandela com lâmpada incandescente de 60W </v>
          </cell>
          <cell r="C966" t="str">
            <v xml:space="preserve">und </v>
          </cell>
          <cell r="D966">
            <v>47.19</v>
          </cell>
        </row>
        <row r="967">
          <cell r="A967">
            <v>180107</v>
          </cell>
          <cell r="B967" t="str">
            <v xml:space="preserve">Luminária industrial a prova de tempo, 45 graus, modelo TB-45 Pelotas ou equivalente </v>
          </cell>
          <cell r="C967" t="str">
            <v xml:space="preserve">und </v>
          </cell>
          <cell r="D967">
            <v>152.41999999999999</v>
          </cell>
        </row>
        <row r="968">
          <cell r="A968">
            <v>180108</v>
          </cell>
          <cell r="B968" t="str">
            <v xml:space="preserve">Luminária para uma lâmpada fluorescente 20W, completa, c/ reator simples-127V partida rápida alto fator de potência, soquete antivibratório e lâmpada fluorescente 20W-127V </v>
          </cell>
          <cell r="C968" t="str">
            <v xml:space="preserve">und </v>
          </cell>
          <cell r="D968">
            <v>48.27</v>
          </cell>
        </row>
        <row r="969">
          <cell r="A969">
            <v>180109</v>
          </cell>
          <cell r="B969" t="str">
            <v xml:space="preserve">Luminária para uma lâmpada fluorescente 40W, completa, c/ reator simples-127V partida rápida alto fator de potência, soquete antivibratório e lâmpada fluorescente 40W-127V </v>
          </cell>
          <cell r="C969" t="str">
            <v xml:space="preserve">und </v>
          </cell>
          <cell r="D969">
            <v>52.3</v>
          </cell>
        </row>
        <row r="970">
          <cell r="A970">
            <v>180110</v>
          </cell>
          <cell r="B970" t="str">
            <v xml:space="preserve">Arandela com lâmpada incandescente de 100W </v>
          </cell>
          <cell r="C970" t="str">
            <v xml:space="preserve">und </v>
          </cell>
          <cell r="D970">
            <v>47.59</v>
          </cell>
        </row>
        <row r="971">
          <cell r="A971">
            <v>180111</v>
          </cell>
          <cell r="B971" t="str">
            <v xml:space="preserve">Luminária p/ duas lâmpadas fluorescentes 40W, c/ difusor, completa, c/ reator duplo-127V partida rápida e alto fator de potência, soquete antivibratório e lâmpadas fluorescentes 40W-127V </v>
          </cell>
          <cell r="C971" t="str">
            <v xml:space="preserve">und </v>
          </cell>
          <cell r="D971">
            <v>171.51</v>
          </cell>
        </row>
        <row r="972">
          <cell r="A972">
            <v>180113</v>
          </cell>
          <cell r="B972" t="str">
            <v xml:space="preserve">Luminária tipo côncavo de alumínio escovado para lâmpada mista de 250 W </v>
          </cell>
          <cell r="C972" t="str">
            <v xml:space="preserve">und </v>
          </cell>
          <cell r="D972">
            <v>182.63</v>
          </cell>
        </row>
        <row r="973">
          <cell r="A973">
            <v>180114</v>
          </cell>
          <cell r="B973" t="str">
            <v xml:space="preserve">Luminária p/ três lâmpadas fluorescentes 40W, completa, com reator duplo-127V partida rápida e alto fator de potência, soquete antivibratório e lâmpada fluorescente 40W-127V </v>
          </cell>
          <cell r="C973" t="str">
            <v xml:space="preserve">und </v>
          </cell>
          <cell r="D973">
            <v>101.39</v>
          </cell>
        </row>
        <row r="974">
          <cell r="A974">
            <v>180115</v>
          </cell>
          <cell r="B974" t="str">
            <v xml:space="preserve">Luminária tipo globo de plástico 9x4", inclusive plafonier </v>
          </cell>
          <cell r="C974" t="str">
            <v xml:space="preserve">und </v>
          </cell>
          <cell r="D974">
            <v>27.69</v>
          </cell>
        </row>
        <row r="975">
          <cell r="A975">
            <v>1802</v>
          </cell>
          <cell r="B975" t="str">
            <v xml:space="preserve">INTERRUPTORES E TOMADAS </v>
          </cell>
          <cell r="C975" t="str">
            <v/>
          </cell>
          <cell r="D975" t="str">
            <v/>
          </cell>
        </row>
        <row r="976">
          <cell r="A976">
            <v>180201</v>
          </cell>
          <cell r="B976" t="str">
            <v xml:space="preserve">Tomada simples 2 polos universal 10A/250V, com placa 4x2" </v>
          </cell>
          <cell r="C976" t="str">
            <v xml:space="preserve">und </v>
          </cell>
          <cell r="D976">
            <v>11.01</v>
          </cell>
        </row>
        <row r="977">
          <cell r="A977">
            <v>180202</v>
          </cell>
          <cell r="B977" t="str">
            <v xml:space="preserve">Tomada 2 polos mais terra 20A/250V, com placa 4x2" </v>
          </cell>
          <cell r="C977" t="str">
            <v xml:space="preserve">und </v>
          </cell>
          <cell r="D977">
            <v>14.57</v>
          </cell>
        </row>
        <row r="978">
          <cell r="A978">
            <v>180203</v>
          </cell>
          <cell r="B978" t="str">
            <v xml:space="preserve">Tomada para telefone quatro polos, padrão TELEBRAS, com placa 4x4" </v>
          </cell>
          <cell r="C978" t="str">
            <v xml:space="preserve">und </v>
          </cell>
          <cell r="D978">
            <v>18.27</v>
          </cell>
        </row>
        <row r="979">
          <cell r="A979">
            <v>180204</v>
          </cell>
          <cell r="B979" t="str">
            <v xml:space="preserve">Interruptor de uma tecla simples 10A/250V, com placa 4x2" </v>
          </cell>
          <cell r="C979" t="str">
            <v xml:space="preserve">und </v>
          </cell>
          <cell r="D979">
            <v>10.74</v>
          </cell>
        </row>
        <row r="980">
          <cell r="A980">
            <v>180205</v>
          </cell>
          <cell r="B980" t="str">
            <v xml:space="preserve">Interruptor de duas teclas simples 10A/250V, com placa 4x2" </v>
          </cell>
          <cell r="C980" t="str">
            <v xml:space="preserve">und </v>
          </cell>
          <cell r="D980">
            <v>16.77</v>
          </cell>
        </row>
        <row r="981">
          <cell r="A981">
            <v>180206</v>
          </cell>
          <cell r="B981" t="str">
            <v xml:space="preserve">Interruptor de uma tecla paralelo 10A/250V, com placa 4x2" </v>
          </cell>
          <cell r="C981" t="str">
            <v xml:space="preserve">und </v>
          </cell>
          <cell r="D981">
            <v>13.09</v>
          </cell>
        </row>
        <row r="982">
          <cell r="A982">
            <v>180207</v>
          </cell>
          <cell r="B982" t="str">
            <v xml:space="preserve">Interruptor de uma tecla simples 10A/250V e uma tomada 2 polos universal 10A/250V, com placa 4x2" </v>
          </cell>
          <cell r="C982" t="str">
            <v xml:space="preserve">und </v>
          </cell>
          <cell r="D982">
            <v>18.57</v>
          </cell>
        </row>
        <row r="983">
          <cell r="A983">
            <v>180208</v>
          </cell>
          <cell r="B983" t="str">
            <v xml:space="preserve">Interruptor de duas teclas simples 10A/250V e uma tomada 2 polos universal 10A/250V, com placa 4x2" </v>
          </cell>
          <cell r="C983" t="str">
            <v xml:space="preserve">und </v>
          </cell>
          <cell r="D983">
            <v>25.74</v>
          </cell>
        </row>
        <row r="984">
          <cell r="A984">
            <v>180209</v>
          </cell>
          <cell r="B984" t="str">
            <v xml:space="preserve">Interruptor pulsador de campainha 10A/250V, com placa 4x2" </v>
          </cell>
          <cell r="C984" t="str">
            <v xml:space="preserve">und </v>
          </cell>
          <cell r="D984">
            <v>11.49</v>
          </cell>
        </row>
        <row r="985">
          <cell r="A985">
            <v>180210</v>
          </cell>
          <cell r="B985" t="str">
            <v xml:space="preserve">Tomada de 3 polos 20A/250V, com placa 4x2" </v>
          </cell>
          <cell r="C985" t="str">
            <v xml:space="preserve">und </v>
          </cell>
          <cell r="D985">
            <v>14.54</v>
          </cell>
        </row>
        <row r="986">
          <cell r="A986">
            <v>180211</v>
          </cell>
          <cell r="B986" t="str">
            <v xml:space="preserve">Interruptor de três teclas simples 10 A/250 V e duas teclas simples 10A/250V, com placa 4x4" </v>
          </cell>
          <cell r="C986" t="str">
            <v xml:space="preserve">und </v>
          </cell>
          <cell r="D986">
            <v>41.24</v>
          </cell>
        </row>
        <row r="987">
          <cell r="A987">
            <v>180212</v>
          </cell>
          <cell r="B987" t="str">
            <v xml:space="preserve">Interruptor de três teclas simples 10A/250V, c/ placa 4x2" </v>
          </cell>
          <cell r="C987" t="str">
            <v xml:space="preserve">und </v>
          </cell>
          <cell r="D987">
            <v>25.18</v>
          </cell>
        </row>
        <row r="988">
          <cell r="A988">
            <v>180215</v>
          </cell>
          <cell r="B988" t="str">
            <v xml:space="preserve">Interruptor de 1 tecla externo 10A-250V </v>
          </cell>
          <cell r="C988" t="str">
            <v xml:space="preserve">und </v>
          </cell>
          <cell r="D988">
            <v>10.23</v>
          </cell>
        </row>
        <row r="989">
          <cell r="A989">
            <v>180216</v>
          </cell>
          <cell r="B989" t="str">
            <v xml:space="preserve">Tomada externa 2 polos 10A-250V </v>
          </cell>
          <cell r="D989">
            <v>9.8000000000000007</v>
          </cell>
        </row>
        <row r="990">
          <cell r="A990">
            <v>180217</v>
          </cell>
          <cell r="B990" t="str">
            <v xml:space="preserve">Espelho para caixa estampada 4 x 2" </v>
          </cell>
          <cell r="C990" t="str">
            <v xml:space="preserve">und </v>
          </cell>
          <cell r="D990">
            <v>2.56</v>
          </cell>
        </row>
        <row r="991">
          <cell r="A991">
            <v>180218</v>
          </cell>
          <cell r="B991" t="str">
            <v xml:space="preserve">Espelho para caixa estampada 4 x 4" </v>
          </cell>
          <cell r="C991" t="str">
            <v xml:space="preserve">und </v>
          </cell>
          <cell r="D991">
            <v>4.42</v>
          </cell>
        </row>
        <row r="992">
          <cell r="A992">
            <v>180219</v>
          </cell>
          <cell r="B992" t="str">
            <v xml:space="preserve">Tomada tripolar para piso, inclusive placa de acabamento </v>
          </cell>
          <cell r="C992" t="str">
            <v xml:space="preserve">und </v>
          </cell>
          <cell r="D992">
            <v>25.45</v>
          </cell>
        </row>
        <row r="993">
          <cell r="A993">
            <v>180220</v>
          </cell>
          <cell r="B993" t="str">
            <v xml:space="preserve">Tomada coaxial 75 ohms para TV </v>
          </cell>
          <cell r="C993" t="str">
            <v xml:space="preserve">und </v>
          </cell>
          <cell r="D993">
            <v>13.59</v>
          </cell>
        </row>
        <row r="994">
          <cell r="A994">
            <v>1803</v>
          </cell>
          <cell r="B994" t="str">
            <v xml:space="preserve">BOMBAS </v>
          </cell>
          <cell r="C994" t="str">
            <v/>
          </cell>
          <cell r="D994" t="str">
            <v/>
          </cell>
        </row>
        <row r="995">
          <cell r="A995">
            <v>180301</v>
          </cell>
          <cell r="B995" t="str">
            <v xml:space="preserve">Bomba centrífuga trifásica 5CV, mod. 616 Dancor ou equivalente </v>
          </cell>
          <cell r="C995" t="str">
            <v xml:space="preserve">und </v>
          </cell>
          <cell r="D995">
            <v>1924.81</v>
          </cell>
        </row>
        <row r="996">
          <cell r="A996">
            <v>180302</v>
          </cell>
          <cell r="B996" t="str">
            <v xml:space="preserve">Bomba centrífuga monofásica 1/2 CV </v>
          </cell>
          <cell r="C996" t="str">
            <v xml:space="preserve">und </v>
          </cell>
          <cell r="D996">
            <v>490.06</v>
          </cell>
        </row>
        <row r="997">
          <cell r="A997">
            <v>180303</v>
          </cell>
          <cell r="B997" t="str">
            <v xml:space="preserve">Bomba centrífuga monofásica 3/4 CV </v>
          </cell>
          <cell r="C997" t="str">
            <v xml:space="preserve">und </v>
          </cell>
          <cell r="D997">
            <v>862.44</v>
          </cell>
        </row>
        <row r="998">
          <cell r="A998">
            <v>180304</v>
          </cell>
          <cell r="B998" t="str">
            <v xml:space="preserve">Bomba centrífuga trifásica 2 CV </v>
          </cell>
          <cell r="C998" t="str">
            <v xml:space="preserve">und </v>
          </cell>
          <cell r="D998">
            <v>1127.4000000000001</v>
          </cell>
        </row>
        <row r="999">
          <cell r="A999">
            <v>180305</v>
          </cell>
          <cell r="B999" t="str">
            <v xml:space="preserve">Bomba elétrica centrífuga monofásica 1 CV </v>
          </cell>
          <cell r="C999" t="str">
            <v xml:space="preserve">und </v>
          </cell>
          <cell r="D999">
            <v>929.96</v>
          </cell>
        </row>
        <row r="1000">
          <cell r="A1000">
            <v>1804</v>
          </cell>
          <cell r="B1000" t="str">
            <v xml:space="preserve">POSTES </v>
          </cell>
          <cell r="C1000" t="str">
            <v/>
          </cell>
          <cell r="D1000" t="str">
            <v/>
          </cell>
        </row>
        <row r="1001">
          <cell r="A1001">
            <v>180405</v>
          </cell>
          <cell r="B1001" t="str">
            <v xml:space="preserve">Poste circular de concreto 11 m padrão ESCELSA, incl. luminária tipo 1 pétala mod. PHOENIX 400 SR c/1 lâmpada VS 400W, reator alto fator de potência 400W/220V e relé fotoelétrico, Tecnowatt ou equivalente </v>
          </cell>
          <cell r="C1001" t="str">
            <v xml:space="preserve">und </v>
          </cell>
          <cell r="D1001">
            <v>2143.7600000000002</v>
          </cell>
        </row>
        <row r="1002">
          <cell r="A1002">
            <v>1807</v>
          </cell>
          <cell r="B1002" t="str">
            <v xml:space="preserve">VENTILADORES </v>
          </cell>
          <cell r="C1002" t="str">
            <v/>
          </cell>
          <cell r="D1002" t="str">
            <v/>
          </cell>
        </row>
        <row r="1003">
          <cell r="A1003">
            <v>180701</v>
          </cell>
          <cell r="B1003" t="str">
            <v xml:space="preserve">Ventilador de teto conjugado com lâmpada </v>
          </cell>
          <cell r="C1003" t="str">
            <v xml:space="preserve">und </v>
          </cell>
          <cell r="D1003">
            <v>148.36000000000001</v>
          </cell>
        </row>
        <row r="1004">
          <cell r="A1004">
            <v>180702</v>
          </cell>
          <cell r="B1004" t="str">
            <v xml:space="preserve">Ventilador de teto com base em madeira de lei sem alojamento p/ luminária fornecido com comando para controle de velocidade, ventilação e reversão </v>
          </cell>
          <cell r="C1004" t="str">
            <v xml:space="preserve">und </v>
          </cell>
          <cell r="D1004">
            <v>120.27</v>
          </cell>
        </row>
        <row r="1005">
          <cell r="A1005">
            <v>1808</v>
          </cell>
          <cell r="B1005" t="str">
            <v xml:space="preserve">OUTROS APARELHOS </v>
          </cell>
          <cell r="C1005" t="str">
            <v/>
          </cell>
          <cell r="D1005" t="str">
            <v/>
          </cell>
        </row>
        <row r="1006">
          <cell r="A1006">
            <v>180803</v>
          </cell>
          <cell r="B1006" t="str">
            <v xml:space="preserve">Campainha tipo timbre Pial cod. 412.77 ou equivalente </v>
          </cell>
          <cell r="C1006" t="str">
            <v xml:space="preserve">und </v>
          </cell>
          <cell r="D1006">
            <v>33.86</v>
          </cell>
        </row>
        <row r="1007">
          <cell r="A1007">
            <v>180804</v>
          </cell>
          <cell r="B1007" t="str">
            <v xml:space="preserve">Campainha tipo prato Pial cod. 414.18 </v>
          </cell>
          <cell r="C1007" t="str">
            <v xml:space="preserve">und </v>
          </cell>
          <cell r="D1007">
            <v>188.19</v>
          </cell>
        </row>
        <row r="1008">
          <cell r="A1008">
            <v>180805</v>
          </cell>
          <cell r="B1008" t="str">
            <v xml:space="preserve">Coifa em chapa de aço galvanizado bitola 22 (0.7 mm), completa inclusive exaustor de 1/2 hp de potência, conforme detalhe em projeto </v>
          </cell>
          <cell r="C1008" t="str">
            <v xml:space="preserve">und </v>
          </cell>
          <cell r="D1008">
            <v>2131.1999999999998</v>
          </cell>
        </row>
        <row r="1009">
          <cell r="A1009">
            <v>180809</v>
          </cell>
          <cell r="B1009" t="str">
            <v xml:space="preserve">Chuveiro elétrico tipo ducha Lorenzetti ou Corona </v>
          </cell>
          <cell r="C1009" t="str">
            <v xml:space="preserve">und </v>
          </cell>
          <cell r="D1009">
            <v>47.27</v>
          </cell>
        </row>
        <row r="1010">
          <cell r="A1010">
            <v>19</v>
          </cell>
          <cell r="B1010" t="str">
            <v xml:space="preserve">PINTURA </v>
          </cell>
          <cell r="C1010" t="str">
            <v/>
          </cell>
          <cell r="D1010" t="str">
            <v/>
          </cell>
        </row>
        <row r="1011">
          <cell r="A1011">
            <v>1901</v>
          </cell>
          <cell r="B1011" t="str">
            <v xml:space="preserve">SOBRE PAREDES E FORROS </v>
          </cell>
          <cell r="C1011" t="str">
            <v/>
          </cell>
          <cell r="D1011" t="str">
            <v/>
          </cell>
        </row>
        <row r="1012">
          <cell r="A1012">
            <v>190101</v>
          </cell>
          <cell r="B1012" t="str">
            <v xml:space="preserve">Emassamento de paredes e forros, com duas demãos de massa à base de PVA, marcas de referência Suvinil, Coral ou Metalatex </v>
          </cell>
          <cell r="C1012" t="str">
            <v xml:space="preserve">m2 </v>
          </cell>
          <cell r="D1012">
            <v>7.42</v>
          </cell>
        </row>
        <row r="1013">
          <cell r="A1013">
            <v>190102</v>
          </cell>
          <cell r="B1013" t="str">
            <v xml:space="preserve">Emassamento de paredes e forros com duas demãos de massa à base de óleo, marcas de referência Suvinil, Coral ou Metalatex </v>
          </cell>
          <cell r="C1013" t="str">
            <v xml:space="preserve">m2 </v>
          </cell>
          <cell r="D1013">
            <v>13.21</v>
          </cell>
        </row>
        <row r="1014">
          <cell r="A1014">
            <v>190103</v>
          </cell>
          <cell r="B1014" t="str">
            <v xml:space="preserve">Emassamento de paredes e forros, com duas demãos de massa acrílica, marcas de referência Suvinil, Coral ou Metalatex </v>
          </cell>
          <cell r="C1014" t="str">
            <v xml:space="preserve">m2 </v>
          </cell>
          <cell r="D1014">
            <v>9.7200000000000006</v>
          </cell>
        </row>
        <row r="1015">
          <cell r="A1015">
            <v>190104</v>
          </cell>
          <cell r="B1015" t="str">
            <v xml:space="preserve">Pintura com tinta látex PVA, marcas de referência Suvinil, Coral ou Metalatex, inclusive selador em paredes e forros a três demãos </v>
          </cell>
          <cell r="C1015" t="str">
            <v xml:space="preserve">m2 </v>
          </cell>
          <cell r="D1015">
            <v>11.81</v>
          </cell>
        </row>
        <row r="1016">
          <cell r="A1016">
            <v>190105</v>
          </cell>
          <cell r="B1016" t="str">
            <v xml:space="preserve">Pintura com tinta esmalte sintético, marcas de referência Suvinil, Coral ou Metalatex, inclusive selador acrílico, em paredes a três demãos </v>
          </cell>
          <cell r="C1016" t="str">
            <v xml:space="preserve">m2 </v>
          </cell>
          <cell r="D1016">
            <v>13.62</v>
          </cell>
        </row>
        <row r="1017">
          <cell r="A1017">
            <v>190106</v>
          </cell>
          <cell r="B1017" t="str">
            <v xml:space="preserve">Pintura com tinta acrílica, marcas de referência Suvinil, Coral ou Metalatex, inclusive selador acrílico, em paredes e forros, a três demãos </v>
          </cell>
          <cell r="C1017" t="str">
            <v xml:space="preserve">m2 </v>
          </cell>
          <cell r="D1017">
            <v>12.57</v>
          </cell>
        </row>
        <row r="1018">
          <cell r="A1018">
            <v>190107</v>
          </cell>
          <cell r="B1018" t="str">
            <v xml:space="preserve">Pintura com nata de cimento sobre superfície áspera a três demãos </v>
          </cell>
          <cell r="C1018" t="str">
            <v xml:space="preserve">m2 </v>
          </cell>
          <cell r="D1018">
            <v>1.77</v>
          </cell>
        </row>
        <row r="1019">
          <cell r="A1019">
            <v>190108</v>
          </cell>
          <cell r="B1019" t="str">
            <v xml:space="preserve">Pintura a cal a três demãos, em paredes internas ou externas </v>
          </cell>
          <cell r="C1019" t="str">
            <v xml:space="preserve">m2 </v>
          </cell>
          <cell r="D1019">
            <v>6.45</v>
          </cell>
        </row>
        <row r="1020">
          <cell r="A1020">
            <v>190109</v>
          </cell>
          <cell r="B1020" t="str">
            <v xml:space="preserve">Pintura de letra em parede dim. 20x30cm com tinta látex acrílica, marcas de referência Suvinil, Coral ou Metalatex </v>
          </cell>
          <cell r="C1020" t="str">
            <v xml:space="preserve">und </v>
          </cell>
          <cell r="D1020">
            <v>12.1</v>
          </cell>
        </row>
        <row r="1021">
          <cell r="A1021">
            <v>190114</v>
          </cell>
          <cell r="B1021" t="str">
            <v xml:space="preserve">Selador acrílico a uma demão, marcas de referência Suvinil, Coral ou Metalatex </v>
          </cell>
          <cell r="C1021" t="str">
            <v xml:space="preserve">m2 </v>
          </cell>
          <cell r="D1021">
            <v>2.91</v>
          </cell>
        </row>
        <row r="1022">
          <cell r="A1022">
            <v>190115</v>
          </cell>
          <cell r="B1022" t="str">
            <v xml:space="preserve">Pintura com tinta látex PVA, marcas de referência Suvinil, Coral ou Metalatex, inclusive selador em paredes e forros a duas demãos </v>
          </cell>
          <cell r="C1022" t="str">
            <v xml:space="preserve">m2 </v>
          </cell>
          <cell r="D1022">
            <v>9.57</v>
          </cell>
        </row>
        <row r="1023">
          <cell r="A1023">
            <v>190116</v>
          </cell>
          <cell r="B1023" t="str">
            <v xml:space="preserve">Pintura com tinta esmalte sintético, marcas de referência Suvinil, Coral ou Metalatex, inclusive selador acrílico, em paredes, a duas demãos </v>
          </cell>
          <cell r="C1023" t="str">
            <v xml:space="preserve">m2 </v>
          </cell>
          <cell r="D1023">
            <v>10.97</v>
          </cell>
        </row>
        <row r="1024">
          <cell r="A1024">
            <v>190117</v>
          </cell>
          <cell r="B1024" t="str">
            <v xml:space="preserve">Pintura com tinta acrílica, marcas de referência Suvinil, Coral e Metalatex, inclusive selador acrílico, em paredes e forros, a duas demãos </v>
          </cell>
          <cell r="C1024" t="str">
            <v xml:space="preserve">m2 </v>
          </cell>
          <cell r="D1024">
            <v>10.119999999999999</v>
          </cell>
        </row>
        <row r="1025">
          <cell r="A1025">
            <v>190121</v>
          </cell>
          <cell r="B1025" t="str">
            <v xml:space="preserve">Líquido selador para tinta PVA, uma demão, marcas de referência Suvinil, Coral ou Metalatex </v>
          </cell>
          <cell r="C1025" t="str">
            <v xml:space="preserve">m2 </v>
          </cell>
          <cell r="D1025">
            <v>1.42</v>
          </cell>
        </row>
        <row r="1026">
          <cell r="A1026">
            <v>1902</v>
          </cell>
          <cell r="B1026" t="str">
            <v xml:space="preserve">SOBRE CONCRETO OU BLOCOS CERÂMICOS APARENTES </v>
          </cell>
          <cell r="C1026" t="str">
            <v/>
          </cell>
          <cell r="D1026" t="str">
            <v/>
          </cell>
        </row>
        <row r="1027">
          <cell r="A1027">
            <v>190201</v>
          </cell>
          <cell r="B1027" t="str">
            <v xml:space="preserve">Pintura com verniz acrílico , marcas de referência Suvinil, Coral ou Metalatex sobre concreto ou blocos aparentes, a duas demãos </v>
          </cell>
          <cell r="C1027" t="str">
            <v xml:space="preserve">m2 </v>
          </cell>
          <cell r="D1027">
            <v>5.44</v>
          </cell>
        </row>
        <row r="1028">
          <cell r="A1028">
            <v>190202</v>
          </cell>
          <cell r="B1028" t="str">
            <v xml:space="preserve">Pintura à base de silicone, marcas de referência Suvinil, Coral ou Metalatex, sobre paredes de blocos cerâmicos ou concreto a uma demão </v>
          </cell>
          <cell r="C1028" t="str">
            <v xml:space="preserve">m2 </v>
          </cell>
          <cell r="D1028">
            <v>7.78</v>
          </cell>
        </row>
        <row r="1029">
          <cell r="A1029">
            <v>190203</v>
          </cell>
          <cell r="B1029" t="str">
            <v xml:space="preserve">Pintura com tinta acrílica, marcas de referência Suvinil, Coral ou Metalatex, inclusive selador acrílico, sobre concreto ou blocos de concreto a três demãos </v>
          </cell>
          <cell r="C1029" t="str">
            <v xml:space="preserve">m2 </v>
          </cell>
          <cell r="D1029">
            <v>12.22</v>
          </cell>
        </row>
        <row r="1030">
          <cell r="A1030">
            <v>190204</v>
          </cell>
          <cell r="B1030" t="str">
            <v xml:space="preserve">Pintura com tinta acrílica, marcas de referência Suvinil, Coral ou Metalatex, inclusive selador acrílico, em cobogós de concreto a duas demãos </v>
          </cell>
          <cell r="C1030" t="str">
            <v xml:space="preserve">m2 </v>
          </cell>
          <cell r="D1030">
            <v>14.77</v>
          </cell>
        </row>
        <row r="1031">
          <cell r="A1031">
            <v>190205</v>
          </cell>
          <cell r="B1031" t="str">
            <v xml:space="preserve">Caiação de meio-fio a três demãos </v>
          </cell>
          <cell r="C1031" t="str">
            <v xml:space="preserve">m2 </v>
          </cell>
          <cell r="D1031">
            <v>5.22</v>
          </cell>
        </row>
        <row r="1032">
          <cell r="A1032">
            <v>190211</v>
          </cell>
          <cell r="B1032" t="str">
            <v xml:space="preserve">Pintura com tinta pva, sobre concreto ou bloco de concreto, a duas demãos, marcas de referência Suvinil, Coral ou Metalatex </v>
          </cell>
          <cell r="C1032" t="str">
            <v xml:space="preserve">m2 </v>
          </cell>
          <cell r="D1032">
            <v>9.57</v>
          </cell>
        </row>
        <row r="1033">
          <cell r="A1033">
            <v>1903</v>
          </cell>
          <cell r="B1033" t="str">
            <v xml:space="preserve">SOBRE MADEIRA </v>
          </cell>
          <cell r="C1033" t="str">
            <v/>
          </cell>
          <cell r="D1033" t="str">
            <v/>
          </cell>
        </row>
        <row r="1034">
          <cell r="A1034">
            <v>190301</v>
          </cell>
          <cell r="B1034" t="str">
            <v xml:space="preserve">Emassamento de esquadrias de madeira, com duas demãos de massa à base de óleo, marcas de referência Suvinil, Coral ou Metalatex </v>
          </cell>
          <cell r="C1034" t="str">
            <v xml:space="preserve">m2 </v>
          </cell>
          <cell r="D1034">
            <v>11.96</v>
          </cell>
        </row>
        <row r="1035">
          <cell r="A1035">
            <v>190302</v>
          </cell>
          <cell r="B1035" t="str">
            <v xml:space="preserve">Pintura com tinta esmalte sintético, marcas de referência Suvinil, Coral ou Metalatex, inclusive fundo branco nivelador, em madeira a duas demãos </v>
          </cell>
          <cell r="C1035" t="str">
            <v xml:space="preserve">m2 </v>
          </cell>
          <cell r="D1035">
            <v>11.85</v>
          </cell>
        </row>
        <row r="1036">
          <cell r="A1036">
            <v>190303</v>
          </cell>
          <cell r="B1036" t="str">
            <v xml:space="preserve">Pintura com verniz, marcas de referência Suvinil, Coral ou Metalatex em madeira a três demãos </v>
          </cell>
          <cell r="C1036" t="str">
            <v xml:space="preserve">m2 </v>
          </cell>
          <cell r="D1036">
            <v>11.07</v>
          </cell>
        </row>
        <row r="1037">
          <cell r="A1037">
            <v>190306</v>
          </cell>
          <cell r="B1037" t="str">
            <v xml:space="preserve">Pintura com verniz filtro solar fosco em madeira a três demãos, marcas de referência Suvinil, Coral ou Metalatex </v>
          </cell>
          <cell r="C1037" t="str">
            <v xml:space="preserve">m2 </v>
          </cell>
          <cell r="D1037">
            <v>11.46</v>
          </cell>
        </row>
        <row r="1038">
          <cell r="A1038">
            <v>1904</v>
          </cell>
          <cell r="B1038" t="str">
            <v xml:space="preserve">SOBRE METAL </v>
          </cell>
          <cell r="C1038" t="str">
            <v/>
          </cell>
          <cell r="D1038" t="str">
            <v/>
          </cell>
        </row>
        <row r="1039">
          <cell r="A1039">
            <v>190417</v>
          </cell>
          <cell r="B1039" t="str">
            <v xml:space="preserve">Pintura com tinta esmalte sintético, marcas de referência Suvinil, Coral ou Metalatex, a duas demãos, inclusive fundo anticorrosivo a uma demão em metal </v>
          </cell>
          <cell r="C1039" t="str">
            <v xml:space="preserve">m2 </v>
          </cell>
          <cell r="D1039">
            <v>10.76</v>
          </cell>
        </row>
        <row r="1040">
          <cell r="A1040">
            <v>1905</v>
          </cell>
          <cell r="B1040" t="str">
            <v xml:space="preserve">SOBRE ELEMENTOS ESPECIAIS </v>
          </cell>
          <cell r="C1040" t="str">
            <v/>
          </cell>
          <cell r="D1040" t="str">
            <v/>
          </cell>
        </row>
        <row r="1041">
          <cell r="A1041">
            <v>190501</v>
          </cell>
          <cell r="B1041" t="str">
            <v xml:space="preserve">Pintura de letras em chapas de ferro, dimensões 20x30cm, com tinta óleo ou esmalte, a duas demãos, marcas de referência Suvinil, Coral ou Metalatex </v>
          </cell>
          <cell r="C1041" t="str">
            <v xml:space="preserve">und </v>
          </cell>
          <cell r="D1041">
            <v>2.5</v>
          </cell>
        </row>
        <row r="1042">
          <cell r="A1042">
            <v>1906</v>
          </cell>
          <cell r="B1042" t="str">
            <v xml:space="preserve">SOBRE PISOS </v>
          </cell>
          <cell r="C1042" t="str">
            <v/>
          </cell>
          <cell r="D1042" t="str">
            <v/>
          </cell>
        </row>
        <row r="1043">
          <cell r="A1043">
            <v>190601</v>
          </cell>
          <cell r="B1043" t="str">
            <v xml:space="preserve">Pintura à base de epoxi , marcas de referência Suvinil, Coral ou Metalatex, em faixas com largura de 5 cm para demarcação de quadra de esportes </v>
          </cell>
          <cell r="C1043" t="str">
            <v xml:space="preserve">m </v>
          </cell>
          <cell r="D1043">
            <v>15.97</v>
          </cell>
        </row>
        <row r="1044">
          <cell r="A1044">
            <v>190602</v>
          </cell>
          <cell r="B1044" t="str">
            <v xml:space="preserve">Pintura com tinta à base de resinas acrílicas, marcas de referência Suvinil, Coral ou Metalatex, sobre piso de concreto, a duas demãos </v>
          </cell>
          <cell r="C1044" t="str">
            <v xml:space="preserve">m2 </v>
          </cell>
          <cell r="D1044">
            <v>17.72</v>
          </cell>
        </row>
        <row r="1045">
          <cell r="A1045">
            <v>190603</v>
          </cell>
          <cell r="B1045" t="str">
            <v xml:space="preserve">Pintura sobre pisos, marcas de referência Novacor, Coral ou Suvinil, a duas demãos </v>
          </cell>
          <cell r="C1045" t="str">
            <v xml:space="preserve">m2 </v>
          </cell>
          <cell r="D1045">
            <v>10.44</v>
          </cell>
        </row>
        <row r="1046">
          <cell r="A1046">
            <v>190604</v>
          </cell>
          <cell r="B1046" t="str">
            <v xml:space="preserve">Pintura à base de epoxi, marcas de referência Suvinil, Coral ou Metalatex, em faixas com largura de 8 cm, para demarcação de quadra de esportes </v>
          </cell>
          <cell r="C1046" t="str">
            <v xml:space="preserve">m </v>
          </cell>
          <cell r="D1046">
            <v>25.57</v>
          </cell>
        </row>
        <row r="1047">
          <cell r="A1047">
            <v>1907</v>
          </cell>
          <cell r="B1047" t="str">
            <v xml:space="preserve">REVISÕES E REPAROS </v>
          </cell>
          <cell r="C1047" t="str">
            <v/>
          </cell>
          <cell r="D1047" t="str">
            <v/>
          </cell>
        </row>
        <row r="1048">
          <cell r="A1048">
            <v>190703</v>
          </cell>
          <cell r="B1048" t="str">
            <v xml:space="preserve">Correção com massa rápida em esquadrias de ferro (onde houver imperfeições) </v>
          </cell>
          <cell r="C1048" t="str">
            <v xml:space="preserve">m2 </v>
          </cell>
          <cell r="D1048">
            <v>8.2899999999999991</v>
          </cell>
        </row>
        <row r="1049">
          <cell r="A1049">
            <v>20</v>
          </cell>
          <cell r="B1049" t="str">
            <v xml:space="preserve">SERVIÇOS COMPLEMENTARES EXTERNOS </v>
          </cell>
          <cell r="C1049" t="str">
            <v/>
          </cell>
          <cell r="D1049" t="str">
            <v/>
          </cell>
        </row>
        <row r="1050">
          <cell r="A1050">
            <v>2001</v>
          </cell>
          <cell r="B1050" t="str">
            <v xml:space="preserve">MUROS E FECHAMENTOS </v>
          </cell>
          <cell r="C1050" t="str">
            <v/>
          </cell>
          <cell r="D1050" t="str">
            <v/>
          </cell>
        </row>
        <row r="1051">
          <cell r="A1051">
            <v>200101</v>
          </cell>
          <cell r="B1051" t="str">
            <v xml:space="preserve">Alambrado c/ tela losangular de arame fio 12 malha 2" revest. em PVC com tubo de ferro galvanizado vertical de 2 1/2" e horizontal de 1" incl. portão, pintados com esmalte sobre fundo anticorrosivo </v>
          </cell>
          <cell r="C1051" t="str">
            <v xml:space="preserve">m2 </v>
          </cell>
          <cell r="D1051">
            <v>108.6</v>
          </cell>
        </row>
        <row r="1052">
          <cell r="A1052">
            <v>200104</v>
          </cell>
          <cell r="B1052" t="str">
            <v xml:space="preserve">Cerca de madeira com ripas de 7 x 2 cm, altura de 1.50 m e caibro de 8 x 8 cm em madeira de lei espaçados a cada 2.0 m </v>
          </cell>
          <cell r="C1052" t="str">
            <v xml:space="preserve">m </v>
          </cell>
          <cell r="D1052">
            <v>125.25</v>
          </cell>
        </row>
        <row r="1053">
          <cell r="A1053">
            <v>200105</v>
          </cell>
          <cell r="B1053" t="str">
            <v xml:space="preserve">Cerca com tela fio 16 malha losangular de 2", fixadas c/ grampos em pontaletes de madeira 8x8cm espaçados de 1.5m, com bases concretadas e com três fios tensores de arame galvanizado n.12 </v>
          </cell>
          <cell r="C1053" t="str">
            <v xml:space="preserve">m </v>
          </cell>
          <cell r="D1053">
            <v>76.33</v>
          </cell>
        </row>
        <row r="1054">
          <cell r="A1054">
            <v>200106</v>
          </cell>
          <cell r="B1054" t="str">
            <v xml:space="preserve">(**)Muro de alvenaria de bloco cerâmico, esp. 10cm, com pilares a cada 3 m, revestido com chapisco </v>
          </cell>
          <cell r="C1054" t="str">
            <v xml:space="preserve">m2 </v>
          </cell>
          <cell r="D1054">
            <v>80.540000000000006</v>
          </cell>
        </row>
        <row r="1055">
          <cell r="A1055">
            <v>200107</v>
          </cell>
          <cell r="B1055" t="str">
            <v xml:space="preserve">Cerca com cinco fios de arame liso n. 12 fixados com grampos em pontaletes de 8 x 8cm a cada 2.0 m e altura livre de 1.6 m </v>
          </cell>
          <cell r="C1055" t="str">
            <v xml:space="preserve">m </v>
          </cell>
          <cell r="D1055">
            <v>43.34</v>
          </cell>
        </row>
        <row r="1056">
          <cell r="A1056">
            <v>200108</v>
          </cell>
          <cell r="B1056" t="str">
            <v xml:space="preserve">Muro de arrimo de concreto ciclópico com aterro na parte posterior, inclusive forma de madeira e dreno de brita </v>
          </cell>
          <cell r="C1056" t="str">
            <v xml:space="preserve">m3 </v>
          </cell>
          <cell r="D1056">
            <v>572.75</v>
          </cell>
        </row>
        <row r="1057">
          <cell r="A1057">
            <v>200120</v>
          </cell>
          <cell r="B1057" t="str">
            <v xml:space="preserve">Cerca c/tela losang. arame fio 12 malha 2" revest. em PVC com mourão de concreto fixado em solo, altura de 2.30m, base de 15x15cm e topo de 11x11cm a cada 3m, c/3 fios tensores, incl. sapata de 40x40x50cm </v>
          </cell>
          <cell r="C1057" t="str">
            <v xml:space="preserve">m </v>
          </cell>
          <cell r="D1057">
            <v>107.7</v>
          </cell>
        </row>
        <row r="1058">
          <cell r="A1058">
            <v>200121</v>
          </cell>
          <cell r="B1058" t="str">
            <v xml:space="preserve">Cerca c/tela losang. arame fio 12 malha 2" revest. em PVC com mourão de concreto fixado em rocha, altura de 2.30m, base de 15x15cm e topo de 11x11cm a cada 3m, c/3 fios tensores, incl. chumbadores e bloco de 30x30x40cm </v>
          </cell>
          <cell r="C1058" t="str">
            <v xml:space="preserve">m </v>
          </cell>
          <cell r="D1058">
            <v>132.49</v>
          </cell>
        </row>
        <row r="1059">
          <cell r="A1059">
            <v>200124</v>
          </cell>
          <cell r="B1059" t="str">
            <v xml:space="preserve">Muro de alvenaria de blocos cerâmicos 10x20x20cm, c/ pilares a cada 2 m, esp. 10cm e h=2.5m, revestido com chapisco, reboco e pintura acrílica a 2 demãos, incl. pilares, cintas e sapatas, empregando arg. cimento cal e areia </v>
          </cell>
          <cell r="C1059" t="str">
            <v xml:space="preserve">m </v>
          </cell>
          <cell r="D1059">
            <v>449.56</v>
          </cell>
        </row>
        <row r="1060">
          <cell r="A1060">
            <v>200128</v>
          </cell>
          <cell r="B1060" t="str">
            <v xml:space="preserve">Alambrado sobre muro existente, executado em tela fio 12 malha 3", com 02 fios tensores, fixados em tubos de FG 11/2" colocados a cada 3m (h do alambrado =1,5m), inlcusive chumbamento no muro </v>
          </cell>
          <cell r="C1060" t="str">
            <v xml:space="preserve">m2 </v>
          </cell>
          <cell r="D1060">
            <v>126.6</v>
          </cell>
        </row>
        <row r="1061">
          <cell r="A1061">
            <v>200129</v>
          </cell>
          <cell r="B1061" t="str">
            <v xml:space="preserve">Cerca com mourão de concreto fixado em solo, altura 2.30m, base de 15x15cm e topo 11x11cm, com 10 fios de arame galvanizado liso nº 10 </v>
          </cell>
          <cell r="C1061" t="str">
            <v xml:space="preserve">m </v>
          </cell>
          <cell r="D1061">
            <v>49.55</v>
          </cell>
        </row>
        <row r="1062">
          <cell r="A1062">
            <v>200130</v>
          </cell>
          <cell r="B1062" t="str">
            <v xml:space="preserve">Gradil H = 1.90m padrão SEDU em tudo de FG 2" e barra chata de 11/2"x1/4", para fixação sobre mureta conforme projeto, exclusive a mureta. </v>
          </cell>
          <cell r="C1062" t="str">
            <v xml:space="preserve">m </v>
          </cell>
          <cell r="D1062">
            <v>393.19</v>
          </cell>
        </row>
        <row r="1063">
          <cell r="A1063">
            <v>200131</v>
          </cell>
          <cell r="B1063" t="str">
            <v xml:space="preserve">Gradil H = 1.90m padrão SEDU em tubo de FG 31/2" e barra chata de 2"x1/4" para fixação sobre mureta conforme projeto, exclusive a mureta. </v>
          </cell>
          <cell r="C1063" t="str">
            <v xml:space="preserve">m </v>
          </cell>
          <cell r="D1063">
            <v>726.87</v>
          </cell>
        </row>
        <row r="1064">
          <cell r="A1064">
            <v>2002</v>
          </cell>
          <cell r="B1064" t="str">
            <v xml:space="preserve">PAVIMENTAÇÃO </v>
          </cell>
          <cell r="C1064" t="str">
            <v/>
          </cell>
          <cell r="D1064" t="str">
            <v/>
          </cell>
        </row>
        <row r="1065">
          <cell r="A1065">
            <v>200202</v>
          </cell>
          <cell r="B1065" t="str">
            <v xml:space="preserve">Meio-fio de concreto pré-moldado com dimensões de 15x12x30x100 cm, rejuntados com argamassa de cimento e areia no traço 1:3 </v>
          </cell>
          <cell r="C1065" t="str">
            <v xml:space="preserve">m </v>
          </cell>
          <cell r="D1065">
            <v>27.35</v>
          </cell>
        </row>
        <row r="1066">
          <cell r="A1066">
            <v>200206</v>
          </cell>
          <cell r="B1066" t="str">
            <v xml:space="preserve">Blocos pré-moldados de concreto tipo pavi-s ou equivalente, espessura de 8 cm e resistência a compressão mínima de 35MPa, assentados sobre colchão de pó de pedra na espessura de 10 cm </v>
          </cell>
          <cell r="C1066" t="str">
            <v xml:space="preserve">m2 </v>
          </cell>
          <cell r="D1066">
            <v>47.63</v>
          </cell>
        </row>
        <row r="1067">
          <cell r="A1067">
            <v>200209</v>
          </cell>
          <cell r="B1067" t="str">
            <v xml:space="preserve">Passeio de cimentado camurçado com argamassa de cimento e areia no traço 1:3 esp. 1.5cm e lastro de concreto com 8cm de espessura, inclusive preparo de caixa </v>
          </cell>
          <cell r="C1067" t="str">
            <v xml:space="preserve">m2 </v>
          </cell>
          <cell r="D1067">
            <v>63.85</v>
          </cell>
        </row>
        <row r="1068">
          <cell r="A1068">
            <v>200214</v>
          </cell>
          <cell r="B1068" t="str">
            <v xml:space="preserve">Blocos pré-moldados de concreto tipo pavi-s ou equivalente, espessura 10 cm e resistência a compressão mínima de 35MPa, assentados sobre colchão de pó de pedra na espessura de 10 cm </v>
          </cell>
          <cell r="C1068" t="str">
            <v xml:space="preserve">m2 </v>
          </cell>
          <cell r="D1068">
            <v>58.87</v>
          </cell>
        </row>
        <row r="1069">
          <cell r="A1069">
            <v>200223</v>
          </cell>
          <cell r="B1069" t="str">
            <v xml:space="preserve">Execução de lastro de brita nº 02 sob passeios e ciclovias, incl. escavação </v>
          </cell>
          <cell r="C1069" t="str">
            <v xml:space="preserve">m3 </v>
          </cell>
          <cell r="D1069">
            <v>100.25</v>
          </cell>
        </row>
        <row r="1070">
          <cell r="A1070">
            <v>200229</v>
          </cell>
          <cell r="B1070" t="str">
            <v xml:space="preserve">Meio-fio de concreto moldado in-loco com formas de chapa compensada resinada 6mm, nas dimensões 10 x 30 cm, incl. escavação, reaterro e bota-fora </v>
          </cell>
          <cell r="C1070" t="str">
            <v xml:space="preserve">m </v>
          </cell>
          <cell r="D1070">
            <v>38.44</v>
          </cell>
        </row>
        <row r="1071">
          <cell r="A1071">
            <v>200237</v>
          </cell>
          <cell r="B1071" t="str">
            <v xml:space="preserve">Blocos pré-moldados de concreto tipo pavi-s ou equivalente, espessura de 6 cm e resistência a compressão mínima de 35MPa, assentados sobre colchão de pó de pedra na espessura de 10 cm </v>
          </cell>
          <cell r="C1071" t="str">
            <v xml:space="preserve">m2 </v>
          </cell>
          <cell r="D1071">
            <v>40.869999999999997</v>
          </cell>
        </row>
        <row r="1072">
          <cell r="A1072">
            <v>200240</v>
          </cell>
          <cell r="B1072" t="str">
            <v xml:space="preserve">Calçamento de pedra portuguesa, inclusive lastro de concreto com 8cm de espessura para regularização, assentado com cimento e areia </v>
          </cell>
          <cell r="C1072" t="str">
            <v xml:space="preserve">m2 </v>
          </cell>
          <cell r="D1072">
            <v>86.37</v>
          </cell>
        </row>
        <row r="1073">
          <cell r="A1073">
            <v>200243</v>
          </cell>
          <cell r="B1073" t="str">
            <v xml:space="preserve">Canaleta no piso em concreto simples com dimensões internas de 20 x 10 cm e grelha em ferro diam. 1/2" a cada 3 cm fixados em cantoneira de 3/4" x 1/8" apoiada sobre requadro em cantoneira de 1" x 3/16" </v>
          </cell>
          <cell r="C1073" t="str">
            <v xml:space="preserve">m </v>
          </cell>
          <cell r="D1073">
            <v>130.5</v>
          </cell>
        </row>
        <row r="1074">
          <cell r="A1074">
            <v>200244</v>
          </cell>
          <cell r="B1074" t="str">
            <v xml:space="preserve">Fornecimento e assentamento de blocos hexagonais de concreto h=6cm, sobre coxim de areia </v>
          </cell>
          <cell r="C1074" t="str">
            <v xml:space="preserve">m2 </v>
          </cell>
          <cell r="D1074">
            <v>40.67</v>
          </cell>
        </row>
        <row r="1075">
          <cell r="A1075">
            <v>200246</v>
          </cell>
          <cell r="B1075" t="str">
            <v xml:space="preserve">Fornecimento e assentamento de blocos hexagonais de concreto h=8cm, sobre coxim de areia </v>
          </cell>
          <cell r="C1075" t="str">
            <v xml:space="preserve">m2 </v>
          </cell>
          <cell r="D1075">
            <v>46.96</v>
          </cell>
        </row>
        <row r="1076">
          <cell r="A1076">
            <v>2003</v>
          </cell>
          <cell r="B1076" t="str">
            <v xml:space="preserve">PAISAGISMO </v>
          </cell>
          <cell r="C1076" t="str">
            <v/>
          </cell>
          <cell r="D1076" t="str">
            <v/>
          </cell>
        </row>
        <row r="1077">
          <cell r="A1077">
            <v>200303</v>
          </cell>
          <cell r="B1077" t="str">
            <v xml:space="preserve">Fornecimento de grama tipo esmeralda em placas com espessura de 0.06 m, exclusive plantio </v>
          </cell>
          <cell r="C1077" t="str">
            <v xml:space="preserve">m2 </v>
          </cell>
          <cell r="D1077">
            <v>6.53</v>
          </cell>
        </row>
        <row r="1078">
          <cell r="A1078">
            <v>200304</v>
          </cell>
          <cell r="B1078" t="str">
            <v xml:space="preserve">Manutenção para poda e limpeza de árvores e arbustos </v>
          </cell>
          <cell r="C1078" t="str">
            <v xml:space="preserve">m2 </v>
          </cell>
          <cell r="D1078">
            <v>0.01</v>
          </cell>
        </row>
        <row r="1079">
          <cell r="A1079">
            <v>200305</v>
          </cell>
          <cell r="B1079" t="str">
            <v xml:space="preserve">Fornecimento e espalhamento de areia média lavada </v>
          </cell>
          <cell r="C1079" t="str">
            <v xml:space="preserve">m3 </v>
          </cell>
          <cell r="D1079">
            <v>92.76</v>
          </cell>
        </row>
        <row r="1080">
          <cell r="A1080">
            <v>200306</v>
          </cell>
          <cell r="B1080" t="str">
            <v xml:space="preserve">Fornecimento e espalhamento de brita 1 ou 2 </v>
          </cell>
          <cell r="C1080" t="str">
            <v xml:space="preserve">m3 </v>
          </cell>
          <cell r="D1080">
            <v>80.37</v>
          </cell>
        </row>
        <row r="1081">
          <cell r="A1081">
            <v>200307</v>
          </cell>
          <cell r="B1081" t="str">
            <v xml:space="preserve">Fornecimento e espalhamento de terra vegetal </v>
          </cell>
          <cell r="C1081" t="str">
            <v xml:space="preserve">m3 </v>
          </cell>
          <cell r="D1081">
            <v>88.77</v>
          </cell>
        </row>
        <row r="1082">
          <cell r="A1082">
            <v>200323</v>
          </cell>
          <cell r="B1082" t="str">
            <v xml:space="preserve">Fornecimento e espalhamento de pó de pedra </v>
          </cell>
          <cell r="C1082" t="str">
            <v xml:space="preserve">m3 </v>
          </cell>
          <cell r="D1082">
            <v>63.14</v>
          </cell>
        </row>
        <row r="1083">
          <cell r="A1083">
            <v>200326</v>
          </cell>
          <cell r="B1083" t="str">
            <v xml:space="preserve">Fornecimento e plantio de grama em placas tipo esmeralda </v>
          </cell>
          <cell r="C1083" t="str">
            <v xml:space="preserve">m2 </v>
          </cell>
          <cell r="D1083">
            <v>12.2</v>
          </cell>
        </row>
        <row r="1084">
          <cell r="A1084">
            <v>2004</v>
          </cell>
          <cell r="B1084" t="str">
            <v xml:space="preserve">TRATAMENTO, CONSERVAÇÃO E LIMPEZA </v>
          </cell>
          <cell r="C1084" t="str">
            <v/>
          </cell>
          <cell r="D1084" t="str">
            <v/>
          </cell>
        </row>
        <row r="1085">
          <cell r="A1085">
            <v>200401</v>
          </cell>
          <cell r="B1085" t="str">
            <v xml:space="preserve">Limpeza geral da obra </v>
          </cell>
          <cell r="C1085" t="str">
            <v xml:space="preserve">m2 </v>
          </cell>
          <cell r="D1085">
            <v>4.71</v>
          </cell>
        </row>
        <row r="1086">
          <cell r="A1086">
            <v>200402</v>
          </cell>
          <cell r="B1086" t="str">
            <v xml:space="preserve">Limpeza geral de obras (quadras, praças e jardins) </v>
          </cell>
          <cell r="C1086" t="str">
            <v xml:space="preserve">m2 </v>
          </cell>
          <cell r="D1086">
            <v>0.47</v>
          </cell>
        </row>
        <row r="1087">
          <cell r="A1087">
            <v>200404</v>
          </cell>
          <cell r="B1087" t="str">
            <v xml:space="preserve">Limpeza de pisos e revestimentos cerâmicos </v>
          </cell>
          <cell r="C1087" t="str">
            <v xml:space="preserve">m2 </v>
          </cell>
          <cell r="D1087">
            <v>6.25</v>
          </cell>
        </row>
        <row r="1088">
          <cell r="A1088">
            <v>200405</v>
          </cell>
          <cell r="B1088" t="str">
            <v xml:space="preserve">Limpeza de aparelhos sanitários, exclusive metais </v>
          </cell>
          <cell r="C1088" t="str">
            <v xml:space="preserve">und </v>
          </cell>
          <cell r="D1088">
            <v>2.83</v>
          </cell>
        </row>
        <row r="1089">
          <cell r="A1089">
            <v>200406</v>
          </cell>
          <cell r="B1089" t="str">
            <v xml:space="preserve">Limpeza de metais sanitários </v>
          </cell>
          <cell r="C1089" t="str">
            <v xml:space="preserve">und </v>
          </cell>
          <cell r="D1089">
            <v>1.22</v>
          </cell>
        </row>
        <row r="1090">
          <cell r="A1090">
            <v>2005</v>
          </cell>
          <cell r="B1090" t="str">
            <v xml:space="preserve">DIVERSOS EXTERNOS </v>
          </cell>
          <cell r="C1090" t="str">
            <v/>
          </cell>
          <cell r="D1090" t="str">
            <v/>
          </cell>
        </row>
        <row r="1091">
          <cell r="A1091">
            <v>200501</v>
          </cell>
          <cell r="B1091" t="str">
            <v xml:space="preserve">Conjunto de 03 mastros, para bandeira, em ferro galvanizado, 2 com 7,50m de altura e 1 com 9,0m de altura, nos diâmetros de 4", 3" e 2", inclusive base de concreto, conf. detalhe de projeto </v>
          </cell>
          <cell r="C1091" t="str">
            <v xml:space="preserve">und </v>
          </cell>
          <cell r="D1091">
            <v>5452.26</v>
          </cell>
        </row>
        <row r="1092">
          <cell r="A1092">
            <v>200502</v>
          </cell>
          <cell r="B1092" t="str">
            <v xml:space="preserve">Letra de ferro batido com altura 10 cm, inclusive fundo protetor e pintura a óleo ou esmalte </v>
          </cell>
          <cell r="C1092" t="str">
            <v xml:space="preserve">und </v>
          </cell>
          <cell r="D1092">
            <v>36.65</v>
          </cell>
        </row>
        <row r="1093">
          <cell r="A1093">
            <v>200503</v>
          </cell>
          <cell r="B1093" t="str">
            <v xml:space="preserve">Letra de chapa de ferro galvanizado dim 20 x 30 cm, inclusive fundo protetor e pintura a esmalte sintético </v>
          </cell>
          <cell r="C1093" t="str">
            <v xml:space="preserve">und </v>
          </cell>
          <cell r="D1093">
            <v>82.28</v>
          </cell>
        </row>
        <row r="1094">
          <cell r="A1094">
            <v>200504</v>
          </cell>
          <cell r="B1094" t="str">
            <v xml:space="preserve">Letras de chapa de ferro galvanizado com altura 10cm, inclusive fundo protetor e pintura a óleo ou esmalte </v>
          </cell>
          <cell r="C1094" t="str">
            <v xml:space="preserve">und </v>
          </cell>
          <cell r="D1094">
            <v>32.06</v>
          </cell>
        </row>
        <row r="1095">
          <cell r="A1095">
            <v>200511</v>
          </cell>
          <cell r="B1095" t="str">
            <v xml:space="preserve">Banco de concreto aparente com tampo de 40x40x5 cm e base de 20x20x36 cm para mesa de jogos, conforme detalhe em projeto </v>
          </cell>
          <cell r="C1095" t="str">
            <v xml:space="preserve">und </v>
          </cell>
          <cell r="D1095">
            <v>92.84</v>
          </cell>
        </row>
        <row r="1096">
          <cell r="A1096">
            <v>200512</v>
          </cell>
          <cell r="B1096" t="str">
            <v xml:space="preserve">Mesa de concreto aparente com tampo de 60x60x5 cm, base de 30x30x75 cm e tabuleiro 40x40cm embutido no concreto, feito com pastilhas de mármore branco e granito preto de 5x5x2cm conf. projeto </v>
          </cell>
          <cell r="C1096" t="str">
            <v xml:space="preserve">und </v>
          </cell>
          <cell r="D1096">
            <v>317.12</v>
          </cell>
        </row>
        <row r="1097">
          <cell r="A1097">
            <v>200513</v>
          </cell>
          <cell r="B1097" t="str">
            <v xml:space="preserve">Escada tipo marinheiro de tubo de ferro 1" e 3/4", com h=4.20m, para acesso a caixa d'água, inclusive pintura em esmalte sintético, conforme detalhe em projeto </v>
          </cell>
          <cell r="C1097" t="str">
            <v xml:space="preserve">und </v>
          </cell>
          <cell r="D1097">
            <v>791.56</v>
          </cell>
        </row>
        <row r="1098">
          <cell r="A1098">
            <v>200517</v>
          </cell>
          <cell r="B1098" t="str">
            <v xml:space="preserve">Placa para inauguração de obra em alumínio fundido, dimensões 30 x 50 cm, inclusive assentamento </v>
          </cell>
          <cell r="C1098" t="str">
            <v xml:space="preserve">und </v>
          </cell>
          <cell r="D1098">
            <v>436.98</v>
          </cell>
        </row>
        <row r="1099">
          <cell r="A1099">
            <v>200549</v>
          </cell>
          <cell r="B1099" t="str">
            <v xml:space="preserve">Brises de chapa de cimento amianto, acabamento esmalte sintético acetinado branco, peça com dimensões 110x25cm (exclusive pintura) </v>
          </cell>
          <cell r="C1099" t="str">
            <v xml:space="preserve">und </v>
          </cell>
          <cell r="D1099">
            <v>42.3</v>
          </cell>
        </row>
        <row r="1100">
          <cell r="A1100">
            <v>200562</v>
          </cell>
          <cell r="B1100" t="str">
            <v xml:space="preserve">Caixa pré-moldada de concreto para aparelho de ar condicionado de 18.000 BTU </v>
          </cell>
          <cell r="C1100" t="str">
            <v xml:space="preserve">und </v>
          </cell>
          <cell r="D1100">
            <v>150.13999999999999</v>
          </cell>
        </row>
        <row r="1101">
          <cell r="A1101">
            <v>200563</v>
          </cell>
          <cell r="B1101" t="str">
            <v xml:space="preserve">Banco de concreto armado aparente com apoios de alvenaria assentada com argamassa de cimento, cal e areia, largura de 0,50m e espessura de 0,05m </v>
          </cell>
          <cell r="C1101" t="str">
            <v xml:space="preserve">m </v>
          </cell>
          <cell r="D1101">
            <v>83.94</v>
          </cell>
        </row>
        <row r="1102">
          <cell r="A1102">
            <v>200572</v>
          </cell>
          <cell r="B1102" t="str">
            <v xml:space="preserve">Poço c/ anéis pré-moldados diam. 1.5m e profundidade de 7m, inclusive fornecimento </v>
          </cell>
          <cell r="C1102" t="str">
            <v xml:space="preserve">und </v>
          </cell>
          <cell r="D1102">
            <v>1011.85</v>
          </cell>
        </row>
        <row r="1103">
          <cell r="A1103">
            <v>200573</v>
          </cell>
          <cell r="B1103" t="str">
            <v xml:space="preserve">Bicicletário em tubo de ferro galvanizado 1" e ferro liso 1/2", inclusive pintura, conforme projeto padrão SEDU </v>
          </cell>
          <cell r="C1103" t="str">
            <v xml:space="preserve">m </v>
          </cell>
          <cell r="D1103">
            <v>107.14</v>
          </cell>
        </row>
        <row r="1104">
          <cell r="A1104">
            <v>2007</v>
          </cell>
          <cell r="B1104" t="str">
            <v xml:space="preserve">QUADRA DE ESPORTES (Ver nota 9 da planilha) </v>
          </cell>
          <cell r="C1104" t="str">
            <v/>
          </cell>
          <cell r="D1104" t="str">
            <v/>
          </cell>
        </row>
        <row r="1105">
          <cell r="A1105">
            <v>200702</v>
          </cell>
          <cell r="B1105" t="str">
            <v xml:space="preserve">Piso quadra poliesportiva fck&gt;=25MPa, camada única e.10cm, c/ arm. mínima 1/3 da altura, acab. superf. c/ rotoalisador, juntas c/ corte serra diamantada preenchida c/ mastique, sobre base solo brita 30% esp.10cm e resina endur. </v>
          </cell>
          <cell r="C1105" t="str">
            <v xml:space="preserve">m2 </v>
          </cell>
          <cell r="D1105">
            <v>88.17</v>
          </cell>
        </row>
        <row r="1106">
          <cell r="A1106">
            <v>200703</v>
          </cell>
          <cell r="B1106" t="str">
            <v xml:space="preserve">Pintura à base de epoxi, marcas de referência Suvinil, Coral ou Novacor, em faixas com largura de 5cm, para demarcação de quadras de esportes </v>
          </cell>
          <cell r="C1106" t="str">
            <v xml:space="preserve">m </v>
          </cell>
          <cell r="D1106">
            <v>15.97</v>
          </cell>
        </row>
        <row r="1107">
          <cell r="A1107">
            <v>200704</v>
          </cell>
          <cell r="B1107" t="str">
            <v xml:space="preserve">Pintura com tinta à base de resinas acrílicas, marcas de referencia Suvinil, Coral ou Novacor, sobre piso de concreto a duas demãos </v>
          </cell>
          <cell r="C1107" t="str">
            <v xml:space="preserve">m2 </v>
          </cell>
          <cell r="D1107">
            <v>17.72</v>
          </cell>
        </row>
        <row r="1108">
          <cell r="A1108">
            <v>200705</v>
          </cell>
          <cell r="B1108" t="str">
            <v xml:space="preserve">Rede para voleibol com malha grossa, faixas de lona superior e inferior </v>
          </cell>
          <cell r="C1108" t="str">
            <v xml:space="preserve">und </v>
          </cell>
          <cell r="D1108">
            <v>66.94</v>
          </cell>
        </row>
        <row r="1109">
          <cell r="A1109">
            <v>200706</v>
          </cell>
          <cell r="B1109" t="str">
            <v xml:space="preserve">Suporte para tabela de basquete de concreto armado Fck = 15MPa, inclusive forma, armação, lançamento e desforma </v>
          </cell>
          <cell r="C1109" t="str">
            <v xml:space="preserve">und </v>
          </cell>
          <cell r="D1109">
            <v>2215.3200000000002</v>
          </cell>
        </row>
        <row r="1110">
          <cell r="A1110">
            <v>200707</v>
          </cell>
          <cell r="B1110" t="str">
            <v xml:space="preserve">Trave para futebol de salão de tubo de ferro galvanizado 3", com recuo, removível </v>
          </cell>
          <cell r="C1110" t="str">
            <v xml:space="preserve">und </v>
          </cell>
          <cell r="D1110">
            <v>961.6</v>
          </cell>
        </row>
        <row r="1111">
          <cell r="A1111">
            <v>200708</v>
          </cell>
          <cell r="B1111" t="str">
            <v xml:space="preserve">Poste de voleibol de tubo de ferro galvanizado 3"e parte móvel de 21/2", inclusive carretilha, furo com tubo de ferro galvanizado de 31/2"e tampão de furo </v>
          </cell>
          <cell r="C1111" t="str">
            <v xml:space="preserve">und </v>
          </cell>
          <cell r="D1111">
            <v>458.7</v>
          </cell>
        </row>
        <row r="1112">
          <cell r="A1112">
            <v>200709</v>
          </cell>
          <cell r="B1112" t="str">
            <v xml:space="preserve">Tabela de basquete de madeira, com aro, inclusive colocação </v>
          </cell>
          <cell r="C1112" t="str">
            <v xml:space="preserve">und </v>
          </cell>
          <cell r="D1112">
            <v>406.37</v>
          </cell>
        </row>
        <row r="1113">
          <cell r="A1113">
            <v>200710</v>
          </cell>
          <cell r="B1113" t="str">
            <v xml:space="preserve">Poste completo para iluminação de quadra poliesportiva com tres projetores circulares PL 400VM TECNOWATT ou equiv. e lâmpadas vapor de mercúrio 400W/220V PHILIPS ou equiv., inclusive cruzeta p/ fixação dos projetores </v>
          </cell>
          <cell r="C1113" t="str">
            <v xml:space="preserve">und </v>
          </cell>
          <cell r="D1113">
            <v>2097.42</v>
          </cell>
        </row>
        <row r="1114">
          <cell r="A1114">
            <v>200711</v>
          </cell>
          <cell r="B1114" t="str">
            <v xml:space="preserve">Alambrado com tela fio 12, malha de 1", tubos de ferro galvanizado verticais de 2" e tubos de ferro galvanizado horizontais de 1" soldados nas partes superior e inferior, inclusive portão </v>
          </cell>
          <cell r="C1114" t="str">
            <v xml:space="preserve">m2 </v>
          </cell>
          <cell r="D1114">
            <v>142.75</v>
          </cell>
        </row>
        <row r="1115">
          <cell r="A1115">
            <v>200713</v>
          </cell>
          <cell r="B1115" t="str">
            <v xml:space="preserve">Rede para futebol de salão </v>
          </cell>
          <cell r="C1115" t="str">
            <v xml:space="preserve">und </v>
          </cell>
          <cell r="D1115">
            <v>69.989999999999995</v>
          </cell>
        </row>
        <row r="1116">
          <cell r="A1116">
            <v>200714</v>
          </cell>
          <cell r="B1116" t="str">
            <v xml:space="preserve">Preparo, regularização e compactação do terreno (compactador manual) para execução de piso de quadra </v>
          </cell>
          <cell r="C1116" t="str">
            <v xml:space="preserve">m2 </v>
          </cell>
          <cell r="D1116">
            <v>6.6</v>
          </cell>
        </row>
        <row r="1117">
          <cell r="A1117">
            <v>200715</v>
          </cell>
          <cell r="B1117" t="str">
            <v xml:space="preserve">Mureta em alvenaria de blocos cerâmicos 10x20x20cmm, h=0.60cm, para fechamento de quadra, com pilaretes de travamento em concreto armado a cada 3m, inclusive chapisco </v>
          </cell>
          <cell r="C1117" t="str">
            <v xml:space="preserve">m2 </v>
          </cell>
          <cell r="D1117">
            <v>87.56</v>
          </cell>
        </row>
        <row r="1118">
          <cell r="A1118">
            <v>200716</v>
          </cell>
          <cell r="B1118" t="str">
            <v xml:space="preserve">Parede em alvenaria de bloco cerâmico 10x20x20cm, h=2m, para proteção de fundo de gol (quadra poliesportiva), com pilares em concreto armado a cada 3m para travamento, inclusive chapisco </v>
          </cell>
          <cell r="C1118" t="str">
            <v xml:space="preserve">m2 </v>
          </cell>
          <cell r="D1118">
            <v>72.55</v>
          </cell>
        </row>
        <row r="1119">
          <cell r="A1119">
            <v>200717</v>
          </cell>
          <cell r="B1119" t="str">
            <v xml:space="preserve">Goivete nas dimensões 2x1 executado sobre alvenaria chapiscada e rebocada </v>
          </cell>
          <cell r="C1119" t="str">
            <v xml:space="preserve">m </v>
          </cell>
          <cell r="D1119">
            <v>2.0699999999999998</v>
          </cell>
        </row>
        <row r="1120">
          <cell r="A1120">
            <v>200718</v>
          </cell>
          <cell r="B1120" t="str">
            <v xml:space="preserve">Ponto para 3 projetores em quadra poliesp. coberta, inclusive fios, eletrodutos tipo condulete aparente marca de ref. TIGRE e suporte para fixação em cantoneira, conf. projeto </v>
          </cell>
          <cell r="C1120" t="str">
            <v xml:space="preserve">und </v>
          </cell>
          <cell r="D1120">
            <v>487.24</v>
          </cell>
        </row>
        <row r="1121">
          <cell r="A1121">
            <v>200719</v>
          </cell>
          <cell r="B1121" t="str">
            <v xml:space="preserve">Estrut. metálica p/ quadra poliesp. coberta constituída por perfis formados a frio, aço estrutural ASTM A-570 G33 (terças) ASTM A-36 (demais perfis) c/ o sistema de tratamento e pintura conforme descrito em notas da planilha </v>
          </cell>
          <cell r="C1121" t="str">
            <v xml:space="preserve">Kg </v>
          </cell>
          <cell r="D1121">
            <v>13.88</v>
          </cell>
        </row>
        <row r="1122">
          <cell r="A1122">
            <v>200720</v>
          </cell>
          <cell r="B1122" t="str">
            <v xml:space="preserve">Forn e assent de telhas de liga de alumínio e zinco (galvalume), ondulada, esp. mínima 0.43mm, alt. mínima de onda 17mm, sobrep. lateral de uma onda e longit. 200mm c/ mínimo de 3 apoios, assent. c/ utiliz. de fitas anti-corrosiva </v>
          </cell>
          <cell r="C1122" t="str">
            <v xml:space="preserve">m2 </v>
          </cell>
          <cell r="D1122">
            <v>38.67</v>
          </cell>
        </row>
        <row r="1123">
          <cell r="A1123">
            <v>200721</v>
          </cell>
          <cell r="B1123" t="str">
            <v xml:space="preserve">Rede de proteção em nylon malha 5x5 cm para proteção de quadra de esportes </v>
          </cell>
          <cell r="C1123" t="str">
            <v xml:space="preserve">m2 </v>
          </cell>
          <cell r="D1123">
            <v>18.37</v>
          </cell>
        </row>
        <row r="1124">
          <cell r="A1124">
            <v>200722</v>
          </cell>
          <cell r="B1124" t="str">
            <v xml:space="preserve">Projetor marca de referência tecnowatt PL 400MA com lâmpada Vapor de Mercúrio 400w </v>
          </cell>
          <cell r="C1124" t="str">
            <v xml:space="preserve">und </v>
          </cell>
          <cell r="D1124">
            <v>223.88</v>
          </cell>
        </row>
        <row r="1125">
          <cell r="A1125">
            <v>200725</v>
          </cell>
          <cell r="B1125" t="str">
            <v xml:space="preserve">Pintura a base de epoxi, marcas de referência Suvinil, Coral ou Novacor em faixas largura de 8cm para demarcação de quadra de esportes </v>
          </cell>
          <cell r="C1125" t="str">
            <v xml:space="preserve">m </v>
          </cell>
          <cell r="D1125">
            <v>25.57</v>
          </cell>
        </row>
        <row r="1126">
          <cell r="A1126">
            <v>200726</v>
          </cell>
          <cell r="B1126" t="str">
            <v xml:space="preserve">Recuperação de piso de quadra com demolição parcial do concreto e aplicação de granilite, inclusive regularização </v>
          </cell>
          <cell r="C1126" t="str">
            <v xml:space="preserve">m2 </v>
          </cell>
          <cell r="D1126">
            <v>54.57</v>
          </cell>
        </row>
        <row r="1127">
          <cell r="A1127">
            <v>200728</v>
          </cell>
          <cell r="B1127" t="str">
            <v xml:space="preserve">Alambrado com tela losangular de arame fio 12, malha 2" revestido em PVC com tubo de ferro galvanizado vertical de 21/2" e horizontal de 1", inclusive portão, pintados com esmalte sobre fundo anti corrosivo </v>
          </cell>
          <cell r="C1127" t="str">
            <v xml:space="preserve">m2 </v>
          </cell>
          <cell r="D1127">
            <v>108.6</v>
          </cell>
        </row>
        <row r="1128">
          <cell r="A1128">
            <v>21</v>
          </cell>
          <cell r="B1128" t="str">
            <v xml:space="preserve">SERVIÇOS COMPLEMENTARES INTERNOS </v>
          </cell>
          <cell r="C1128" t="str">
            <v/>
          </cell>
          <cell r="D1128" t="str">
            <v/>
          </cell>
        </row>
        <row r="1129">
          <cell r="A1129">
            <v>2101</v>
          </cell>
          <cell r="B1129" t="str">
            <v xml:space="preserve">QUADROS DE GIZ / AVISO </v>
          </cell>
          <cell r="C1129" t="str">
            <v/>
          </cell>
          <cell r="D1129" t="str">
            <v/>
          </cell>
        </row>
        <row r="1130">
          <cell r="A1130">
            <v>210101</v>
          </cell>
          <cell r="B1130" t="str">
            <v xml:space="preserve">Correção de quadro de giz incluindo emassamento, lixamento e pintura </v>
          </cell>
          <cell r="C1130" t="str">
            <v xml:space="preserve">m2 </v>
          </cell>
          <cell r="D1130">
            <v>15.62</v>
          </cell>
        </row>
        <row r="1131">
          <cell r="A1131">
            <v>210102</v>
          </cell>
          <cell r="B1131" t="str">
            <v xml:space="preserve">Quadro de giz novo, completo, de fórmica tipo lousa escolar, inclusive pintura do requadro e porta giz </v>
          </cell>
          <cell r="C1131" t="str">
            <v xml:space="preserve">m2 </v>
          </cell>
          <cell r="D1131">
            <v>163.22999999999999</v>
          </cell>
        </row>
        <row r="1132">
          <cell r="A1132">
            <v>210104</v>
          </cell>
          <cell r="B1132" t="str">
            <v xml:space="preserve">Porta giz de madeira de lei de 6 x 3 cm </v>
          </cell>
          <cell r="C1132" t="str">
            <v xml:space="preserve">m </v>
          </cell>
          <cell r="D1132">
            <v>18.100000000000001</v>
          </cell>
        </row>
        <row r="1133">
          <cell r="A1133">
            <v>210105</v>
          </cell>
          <cell r="B1133" t="str">
            <v xml:space="preserve">Quadro de avisos de fórmica lisa brilhante </v>
          </cell>
          <cell r="C1133" t="str">
            <v xml:space="preserve">m2 </v>
          </cell>
          <cell r="D1133">
            <v>78.02</v>
          </cell>
        </row>
        <row r="1134">
          <cell r="A1134">
            <v>210107</v>
          </cell>
          <cell r="B1134" t="str">
            <v xml:space="preserve">Quadro de giz novo, completo, de laminado melamínico verde escolar, inclusive requadro de madeira 2.5 x 5.0 cm e porta giz, com dimensões de 3.95 x 1.29 m </v>
          </cell>
          <cell r="C1134" t="str">
            <v xml:space="preserve">und </v>
          </cell>
          <cell r="D1134">
            <v>1480.33</v>
          </cell>
        </row>
        <row r="1135">
          <cell r="A1135">
            <v>210108</v>
          </cell>
          <cell r="B1135" t="str">
            <v xml:space="preserve">Quadro de avisos de laminado melamínico cor grafite, inclusive requadro de madeira de 2.5 x 5.0 cm, com dimensões 1.29 x 1.29 m, conforme detahe em projeto </v>
          </cell>
          <cell r="C1135" t="str">
            <v xml:space="preserve">und </v>
          </cell>
          <cell r="D1135">
            <v>505.27</v>
          </cell>
        </row>
        <row r="1136">
          <cell r="A1136">
            <v>210109</v>
          </cell>
          <cell r="B1136" t="str">
            <v xml:space="preserve">Quadro mural de azulejo extra 15 x 15 cm e moldura de madeira de lei de 7.0 x 2.5 cm nas dimensões de 2.09 x 1.04 m </v>
          </cell>
          <cell r="C1136" t="str">
            <v xml:space="preserve">und </v>
          </cell>
          <cell r="D1136">
            <v>273.08</v>
          </cell>
        </row>
        <row r="1137">
          <cell r="A1137">
            <v>210112</v>
          </cell>
          <cell r="B1137" t="str">
            <v xml:space="preserve">Quadro de giz novo, completo, de argamassa de cimento, cal e areia, inclusive pintura </v>
          </cell>
          <cell r="C1137" t="str">
            <v xml:space="preserve">m2 </v>
          </cell>
          <cell r="D1137">
            <v>131</v>
          </cell>
        </row>
        <row r="1138">
          <cell r="A1138">
            <v>210113</v>
          </cell>
          <cell r="B1138" t="str">
            <v xml:space="preserve">Quadro branco para pincel em laminado melamínico brilhante, dim. 3.00 x 1.50 m, inclusive requadro de alumínio anodizado natural largura de 3cm </v>
          </cell>
          <cell r="C1138" t="str">
            <v xml:space="preserve">und </v>
          </cell>
          <cell r="D1138">
            <v>693.72</v>
          </cell>
        </row>
        <row r="1139">
          <cell r="A1139">
            <v>2102</v>
          </cell>
          <cell r="B1139" t="str">
            <v xml:space="preserve">ARMÁRIOS E PRATELEIRAS </v>
          </cell>
          <cell r="C1139" t="str">
            <v/>
          </cell>
          <cell r="D1139" t="str">
            <v/>
          </cell>
        </row>
        <row r="1140">
          <cell r="A1140">
            <v>210201</v>
          </cell>
          <cell r="B1140" t="str">
            <v xml:space="preserve">Prateleira de tábuas de 40cm de largura, de madeira de lei, fixadas na parede com cantoneiras </v>
          </cell>
          <cell r="C1140" t="str">
            <v xml:space="preserve">m </v>
          </cell>
          <cell r="D1140">
            <v>176.87</v>
          </cell>
        </row>
        <row r="1141">
          <cell r="A1141">
            <v>210203</v>
          </cell>
          <cell r="B1141" t="str">
            <v xml:space="preserve">Prateleira de tábuas de 30cm de largura, de madeira de lei, fixadas na parede com cantoneiras </v>
          </cell>
          <cell r="C1141" t="str">
            <v xml:space="preserve">m </v>
          </cell>
          <cell r="D1141">
            <v>160.93</v>
          </cell>
        </row>
        <row r="1142">
          <cell r="A1142">
            <v>210204</v>
          </cell>
          <cell r="B1142" t="str">
            <v xml:space="preserve">Prateleira de concreto armado aparente com espessura de 0.05 m </v>
          </cell>
          <cell r="C1142" t="str">
            <v xml:space="preserve">m2 </v>
          </cell>
          <cell r="D1142">
            <v>79.510000000000005</v>
          </cell>
        </row>
        <row r="1143">
          <cell r="A1143">
            <v>210205</v>
          </cell>
          <cell r="B1143" t="str">
            <v xml:space="preserve">Estrado de madeira no depósito conforme detalhe em projeto </v>
          </cell>
          <cell r="C1143" t="str">
            <v xml:space="preserve">m2 </v>
          </cell>
          <cell r="D1143">
            <v>235.71</v>
          </cell>
        </row>
        <row r="1144">
          <cell r="A1144">
            <v>210208</v>
          </cell>
          <cell r="B1144" t="str">
            <v xml:space="preserve">Prateleira de mármore branco com espessura de 0.03 m </v>
          </cell>
          <cell r="C1144" t="str">
            <v xml:space="preserve">m2 </v>
          </cell>
          <cell r="D1144">
            <v>263.13</v>
          </cell>
        </row>
        <row r="1145">
          <cell r="A1145">
            <v>210209</v>
          </cell>
          <cell r="B1145" t="str">
            <v xml:space="preserve">Prateleira de madeira compensada revestida com laminado fosco nas dimensões de 0.30 x 1.00 m e espessura de 2 cm, fixada na parede com cantoneira de ferro 4"x4"x3/8" </v>
          </cell>
          <cell r="C1145" t="str">
            <v xml:space="preserve">und </v>
          </cell>
          <cell r="D1145">
            <v>128.87</v>
          </cell>
        </row>
        <row r="1146">
          <cell r="A1146">
            <v>210210</v>
          </cell>
          <cell r="B1146" t="str">
            <v xml:space="preserve">Prateleiras em granito cinza andorinha, esp. 2cm </v>
          </cell>
          <cell r="C1146" t="str">
            <v xml:space="preserve">m2 </v>
          </cell>
          <cell r="D1146">
            <v>235.03</v>
          </cell>
        </row>
        <row r="1147">
          <cell r="A1147">
            <v>2103</v>
          </cell>
          <cell r="B1147" t="str">
            <v xml:space="preserve">DIVERSOS INTERNOS </v>
          </cell>
          <cell r="C1147" t="str">
            <v/>
          </cell>
          <cell r="D1147" t="str">
            <v/>
          </cell>
        </row>
        <row r="1148">
          <cell r="A1148">
            <v>210301</v>
          </cell>
          <cell r="B1148" t="str">
            <v xml:space="preserve">Guarda corpo de tubo de ferro galvanizado, diâm. 3" e 2", h=0.8 m inclusive pintura a óleo ou esmalte </v>
          </cell>
          <cell r="C1148" t="str">
            <v xml:space="preserve">m </v>
          </cell>
          <cell r="D1148">
            <v>174.16</v>
          </cell>
        </row>
        <row r="1149">
          <cell r="A1149">
            <v>210302</v>
          </cell>
          <cell r="B1149" t="str">
            <v xml:space="preserve">Corrimão de tubo de ferro galvanizado diâmetro 3" com chumbadores a cada 1.50m, inclusive pintura a óleo ou esmalte </v>
          </cell>
          <cell r="C1149" t="str">
            <v xml:space="preserve">m </v>
          </cell>
          <cell r="D1149">
            <v>64.37</v>
          </cell>
        </row>
        <row r="1150">
          <cell r="A1150">
            <v>210304</v>
          </cell>
          <cell r="B1150" t="str">
            <v xml:space="preserve">Banco de concreto armado aparente Fck=15 MPa, com apoios de concreto, largura de 45cm, espessura de 7cm e altura de 45cm </v>
          </cell>
          <cell r="C1150" t="str">
            <v xml:space="preserve">m </v>
          </cell>
          <cell r="D1150">
            <v>127.99</v>
          </cell>
        </row>
        <row r="1151">
          <cell r="A1151">
            <v>210315</v>
          </cell>
          <cell r="B1151" t="str">
            <v xml:space="preserve">Barra de apoio de ferro galvanizado, diâm. 3 cm, comprimento de 80 cm, para sanitário deficientes, inclusive pintura </v>
          </cell>
          <cell r="C1151" t="str">
            <v xml:space="preserve">und </v>
          </cell>
          <cell r="D1151">
            <v>169.15</v>
          </cell>
        </row>
        <row r="1152">
          <cell r="A1152">
            <v>210316</v>
          </cell>
          <cell r="B1152" t="str">
            <v xml:space="preserve">Alçapão de visita ao barrilete de chapa de madeira de lei medindo 60x60cm, inclusive dobradiça, marco, alizar e fechadura, emassamento e pintura </v>
          </cell>
          <cell r="C1152" t="str">
            <v xml:space="preserve">und </v>
          </cell>
          <cell r="D1152">
            <v>179.66</v>
          </cell>
        </row>
        <row r="1153">
          <cell r="A1153">
            <v>210321</v>
          </cell>
          <cell r="B1153" t="str">
            <v xml:space="preserve">Proteção para caixa de descarga em malha de ferro 3/4" fio 12, perfil "L" 1" e barra chata 3/4" x 1/8", conf. detalhe </v>
          </cell>
          <cell r="C1153" t="str">
            <v xml:space="preserve">und </v>
          </cell>
          <cell r="D1153">
            <v>73.8</v>
          </cell>
        </row>
        <row r="1154">
          <cell r="A1154">
            <v>210322</v>
          </cell>
          <cell r="B1154" t="str">
            <v xml:space="preserve">Corrimão em tubo de ferro galvanizado diam. 2" com chumbadores a cada 1.5m </v>
          </cell>
          <cell r="C1154" t="str">
            <v xml:space="preserve">m </v>
          </cell>
          <cell r="D1154">
            <v>80.930000000000007</v>
          </cell>
        </row>
        <row r="1155">
          <cell r="A1155">
            <v>22</v>
          </cell>
          <cell r="B1155" t="str">
            <v xml:space="preserve">APOIO </v>
          </cell>
          <cell r="C1155" t="str">
            <v/>
          </cell>
          <cell r="D1155" t="str">
            <v/>
          </cell>
        </row>
        <row r="1156">
          <cell r="A1156">
            <v>2208</v>
          </cell>
          <cell r="B1156" t="str">
            <v xml:space="preserve">Locação de veículo tipo Gol 1.000 a gasolina ou equivalente, com até 1 (um) ano de uso, em bom estado de conservação com: </v>
          </cell>
          <cell r="C1156" t="str">
            <v/>
          </cell>
          <cell r="D1156" t="str">
            <v/>
          </cell>
        </row>
        <row r="1157">
          <cell r="A1157">
            <v>220803</v>
          </cell>
          <cell r="B1157" t="str">
            <v xml:space="preserve">(Gol 1.000 - gasolina - preço LABOR) Seguro total, manutenção, combustível, eventuais taxas e emolumentos, bem como eventual substituição do veículo (se necessário), sem motorista, utilização até 2.000 (dois mil) km/mês </v>
          </cell>
          <cell r="C1157" t="str">
            <v xml:space="preserve">mês </v>
          </cell>
          <cell r="D1157">
            <v>2258.0700000000002</v>
          </cell>
        </row>
        <row r="1158">
          <cell r="A1158">
            <v>27</v>
          </cell>
          <cell r="B1158" t="str">
            <v xml:space="preserve">SERVIÇOS RODOVIÁRIOS - DRENAGEM E OBRAS DE ARTE CORRENTES </v>
          </cell>
          <cell r="C1158" t="str">
            <v/>
          </cell>
          <cell r="D1158" t="str">
            <v/>
          </cell>
        </row>
        <row r="1159">
          <cell r="A1159">
            <v>2712</v>
          </cell>
          <cell r="B1159" t="str">
            <v xml:space="preserve">ASSENTAMENTO DE TUBOS - INCLUINDO AQUISIÇÃO, CARGA, TRANSPORTE, DESCARGA, ASSENTAMENTO E REJUNTAMENTO COM ARGAMASSA CIMENTO, CAL HIDRATADA E AREIA NO TRAÇO 1:2:6, EXCLUSIVE ESCAVAÇÃO </v>
          </cell>
          <cell r="C1159" t="str">
            <v/>
          </cell>
          <cell r="D1159" t="str">
            <v/>
          </cell>
        </row>
        <row r="1160">
          <cell r="A1160">
            <v>271201</v>
          </cell>
          <cell r="B1160" t="str">
            <v xml:space="preserve">Sem armadura - para diâmetro de 0.20m </v>
          </cell>
          <cell r="C1160" t="str">
            <v xml:space="preserve">m </v>
          </cell>
          <cell r="D1160">
            <v>30.17</v>
          </cell>
        </row>
        <row r="1161">
          <cell r="A1161">
            <v>2715</v>
          </cell>
          <cell r="B1161" t="str">
            <v xml:space="preserve">CAIXAS RALO DIMENSÕES INTERNAS 0.28 X 0.88 X 0.80 M EXCLUSIVE GRELHA (ITEM 28.02.01), ESCAVAÇÃO E REATERRO </v>
          </cell>
          <cell r="C1161" t="str">
            <v/>
          </cell>
          <cell r="D1161" t="str">
            <v/>
          </cell>
        </row>
        <row r="1162">
          <cell r="A1162">
            <v>271502</v>
          </cell>
          <cell r="B1162" t="str">
            <v xml:space="preserve">Em concreto Fck=15MPa e paredes com espessura de 0.15m </v>
          </cell>
          <cell r="C1162" t="str">
            <v xml:space="preserve">und </v>
          </cell>
          <cell r="D1162">
            <v>380.89</v>
          </cell>
        </row>
        <row r="1163">
          <cell r="A1163">
            <v>28</v>
          </cell>
          <cell r="B1163" t="str">
            <v xml:space="preserve">SERVIÇOS RODOVIÁRIOS - SERVIÇOS COMPLEMENTARES (EVENTUAIS) </v>
          </cell>
          <cell r="C1163" t="str">
            <v/>
          </cell>
          <cell r="D1163" t="str">
            <v/>
          </cell>
        </row>
        <row r="1164">
          <cell r="A1164">
            <v>2802</v>
          </cell>
          <cell r="B1164" t="str">
            <v xml:space="preserve">DRENAGEM PLUVIAL </v>
          </cell>
          <cell r="C1164" t="str">
            <v/>
          </cell>
          <cell r="D1164" t="str">
            <v/>
          </cell>
        </row>
        <row r="1165">
          <cell r="A1165">
            <v>280216</v>
          </cell>
          <cell r="B1165" t="str">
            <v xml:space="preserve">Fornecimento e assentamento de grelha de ferro fundido com suporte articulado, para caixa ralo, dim. 0.30x0.90 m </v>
          </cell>
          <cell r="C1165" t="str">
            <v xml:space="preserve">und </v>
          </cell>
          <cell r="D1165">
            <v>274.7</v>
          </cell>
        </row>
        <row r="1166">
          <cell r="A1166">
            <v>31</v>
          </cell>
          <cell r="B1166" t="str">
            <v xml:space="preserve">SERVIÇOS GERAIS </v>
          </cell>
          <cell r="C1166" t="str">
            <v/>
          </cell>
          <cell r="D1166" t="str">
            <v/>
          </cell>
        </row>
        <row r="1167">
          <cell r="A1167">
            <v>3102</v>
          </cell>
          <cell r="B1167" t="str">
            <v xml:space="preserve">MÃO-DE-OBRA PARA REVISÕES E REPAROS </v>
          </cell>
          <cell r="C1167" t="str">
            <v/>
          </cell>
          <cell r="D1167" t="str">
            <v/>
          </cell>
        </row>
        <row r="1168">
          <cell r="A1168">
            <v>310201</v>
          </cell>
          <cell r="B1168" t="str">
            <v xml:space="preserve">Hora de pedreiro </v>
          </cell>
          <cell r="C1168" t="str">
            <v xml:space="preserve">h </v>
          </cell>
          <cell r="D1168">
            <v>9.18</v>
          </cell>
        </row>
        <row r="1169">
          <cell r="A1169">
            <v>310202</v>
          </cell>
          <cell r="B1169" t="str">
            <v xml:space="preserve">Hora do carpinteiro </v>
          </cell>
          <cell r="C1169" t="str">
            <v xml:space="preserve">h </v>
          </cell>
          <cell r="D1169">
            <v>9.18</v>
          </cell>
        </row>
        <row r="1170">
          <cell r="A1170">
            <v>310203</v>
          </cell>
          <cell r="B1170" t="str">
            <v xml:space="preserve">Hora do bombeiro </v>
          </cell>
          <cell r="C1170" t="str">
            <v xml:space="preserve">h </v>
          </cell>
          <cell r="D1170">
            <v>10.8</v>
          </cell>
        </row>
        <row r="1171">
          <cell r="A1171">
            <v>310204</v>
          </cell>
          <cell r="B1171" t="str">
            <v xml:space="preserve">Hora do eletricista </v>
          </cell>
          <cell r="C1171" t="str">
            <v xml:space="preserve">h </v>
          </cell>
          <cell r="D1171">
            <v>10.8</v>
          </cell>
        </row>
        <row r="1172">
          <cell r="A1172">
            <v>310205</v>
          </cell>
          <cell r="B1172" t="str">
            <v xml:space="preserve">Hora do pintor </v>
          </cell>
          <cell r="C1172" t="str">
            <v xml:space="preserve">h </v>
          </cell>
          <cell r="D1172">
            <v>10.8</v>
          </cell>
        </row>
        <row r="1173">
          <cell r="A1173">
            <v>310206</v>
          </cell>
          <cell r="B1173" t="str">
            <v xml:space="preserve">Hora do armador </v>
          </cell>
          <cell r="C1173" t="str">
            <v xml:space="preserve">h </v>
          </cell>
          <cell r="D1173">
            <v>9.18</v>
          </cell>
        </row>
        <row r="1174">
          <cell r="A1174">
            <v>310207</v>
          </cell>
          <cell r="B1174" t="str">
            <v xml:space="preserve">Hora do azulejista </v>
          </cell>
          <cell r="C1174" t="str">
            <v xml:space="preserve">h </v>
          </cell>
          <cell r="D1174">
            <v>9.18</v>
          </cell>
        </row>
        <row r="1175">
          <cell r="A1175">
            <v>310208</v>
          </cell>
          <cell r="B1175" t="str">
            <v xml:space="preserve">Hora do ajudante </v>
          </cell>
          <cell r="C1175" t="str">
            <v xml:space="preserve">h </v>
          </cell>
          <cell r="D1175">
            <v>7.77</v>
          </cell>
        </row>
        <row r="1176">
          <cell r="A1176">
            <v>310209</v>
          </cell>
          <cell r="B1176" t="str">
            <v xml:space="preserve">Hora do servente </v>
          </cell>
          <cell r="C1176" t="str">
            <v xml:space="preserve">h </v>
          </cell>
          <cell r="D1176">
            <v>6.73</v>
          </cell>
        </row>
        <row r="1177">
          <cell r="A1177">
            <v>310210</v>
          </cell>
          <cell r="B1177" t="str">
            <v xml:space="preserve">Engenheiro SENIOR (com leis sociais de 77,5%) </v>
          </cell>
          <cell r="C1177" t="str">
            <v xml:space="preserve">mês </v>
          </cell>
          <cell r="D1177">
            <v>13333.24</v>
          </cell>
        </row>
        <row r="1178">
          <cell r="A1178">
            <v>310211</v>
          </cell>
          <cell r="B1178" t="str">
            <v xml:space="preserve">Técnico de 2º grau - A - </v>
          </cell>
          <cell r="C1178" t="str">
            <v xml:space="preserve">mês </v>
          </cell>
          <cell r="D1178">
            <v>3408</v>
          </cell>
        </row>
        <row r="1179">
          <cell r="A1179">
            <v>310212</v>
          </cell>
          <cell r="B1179" t="str">
            <v xml:space="preserve">Programador </v>
          </cell>
          <cell r="C1179" t="str">
            <v xml:space="preserve">mês </v>
          </cell>
          <cell r="D1179">
            <v>5907.2</v>
          </cell>
        </row>
        <row r="1180">
          <cell r="A1180">
            <v>310213</v>
          </cell>
          <cell r="B1180" t="str">
            <v xml:space="preserve">Digitador </v>
          </cell>
          <cell r="C1180" t="str">
            <v xml:space="preserve">mês </v>
          </cell>
          <cell r="D1180">
            <v>1885.76</v>
          </cell>
        </row>
        <row r="1181">
          <cell r="A1181">
            <v>310214</v>
          </cell>
          <cell r="B1181" t="str">
            <v xml:space="preserve">Estagiário 4 horas - UFES (leis sociais = 5,0%) </v>
          </cell>
          <cell r="C1181" t="str">
            <v xml:space="preserve">mês </v>
          </cell>
          <cell r="D1181">
            <v>645.12</v>
          </cell>
        </row>
        <row r="1182">
          <cell r="A1182">
            <v>310215</v>
          </cell>
          <cell r="B1182" t="str">
            <v xml:space="preserve">Engenheiro JUNIOR (com leis sociais de 77,5%) </v>
          </cell>
          <cell r="C1182" t="str">
            <v xml:space="preserve">mês </v>
          </cell>
          <cell r="D1182">
            <v>9508.31</v>
          </cell>
        </row>
        <row r="1183">
          <cell r="A1183">
            <v>310216</v>
          </cell>
          <cell r="B1183" t="str">
            <v xml:space="preserve">Técnico de 2º grau - B - </v>
          </cell>
          <cell r="C1183" t="str">
            <v xml:space="preserve">mês </v>
          </cell>
          <cell r="D1183">
            <v>2953.6</v>
          </cell>
        </row>
        <row r="1184">
          <cell r="A1184">
            <v>310217</v>
          </cell>
          <cell r="B1184" t="str">
            <v xml:space="preserve">Técnico de 2º grau - C - </v>
          </cell>
          <cell r="C1184" t="str">
            <v xml:space="preserve">mês </v>
          </cell>
          <cell r="D1184">
            <v>2272</v>
          </cell>
        </row>
        <row r="1185">
          <cell r="A1185">
            <v>3103</v>
          </cell>
          <cell r="B1185" t="str">
            <v xml:space="preserve">TRANSPORTES </v>
          </cell>
          <cell r="C1185" t="str">
            <v/>
          </cell>
          <cell r="D1185" t="str">
            <v/>
          </cell>
        </row>
        <row r="1186">
          <cell r="A1186">
            <v>310301</v>
          </cell>
          <cell r="B1186" t="str">
            <v xml:space="preserve">Transporte horizontal de material de 1ª categoria ou entulho em carrinho de mão, inclusive carga a pá - Y = (1.8+0.23X)xSalário do servente c/ LS (R$/m3)-X = distância média de transp. em dam. (considerando 2dam) </v>
          </cell>
          <cell r="C1186" t="str">
            <v xml:space="preserve">m3 </v>
          </cell>
          <cell r="D1186">
            <v>15.35</v>
          </cell>
        </row>
        <row r="1187">
          <cell r="A1187">
            <v>3104</v>
          </cell>
          <cell r="B1187" t="str">
            <v xml:space="preserve">CARGA / DESCARGA </v>
          </cell>
          <cell r="C1187" t="str">
            <v/>
          </cell>
          <cell r="D1187" t="str">
            <v/>
          </cell>
        </row>
        <row r="1188">
          <cell r="A1188">
            <v>310401</v>
          </cell>
          <cell r="B1188" t="str">
            <v xml:space="preserve">Carregamento manual de entulho (peso específico = 1.3 t/m3) </v>
          </cell>
          <cell r="C1188" t="str">
            <v xml:space="preserve">m3 </v>
          </cell>
          <cell r="D1188">
            <v>4.95</v>
          </cell>
        </row>
        <row r="1189">
          <cell r="A1189">
            <v>310402</v>
          </cell>
          <cell r="B1189" t="str">
            <v xml:space="preserve">Carregamento manual de solo (peso específico = 1.3 t/m3) </v>
          </cell>
          <cell r="C1189" t="str">
            <v xml:space="preserve">m3 </v>
          </cell>
          <cell r="D1189">
            <v>4.25</v>
          </cell>
        </row>
        <row r="1190">
          <cell r="A1190">
            <v>310403</v>
          </cell>
          <cell r="B1190" t="str">
            <v xml:space="preserve">Carregamento manual de rocha (peso específico = 1.6 t/m3) </v>
          </cell>
          <cell r="C1190" t="str">
            <v xml:space="preserve">m3 </v>
          </cell>
          <cell r="D1190">
            <v>5.31</v>
          </cell>
        </row>
        <row r="1191">
          <cell r="A1191">
            <v>310404</v>
          </cell>
          <cell r="B1191" t="str">
            <v xml:space="preserve">Carregamento mecânico de entulho (peso específico = 1.3 t/m3) </v>
          </cell>
          <cell r="C1191" t="str">
            <v xml:space="preserve">m3 </v>
          </cell>
          <cell r="D1191">
            <v>1.66</v>
          </cell>
        </row>
        <row r="1192">
          <cell r="A1192">
            <v>310405</v>
          </cell>
          <cell r="B1192" t="str">
            <v xml:space="preserve">Carregamento mecânico de solo (peso específico = 1.3 t/m3) </v>
          </cell>
          <cell r="C1192" t="str">
            <v xml:space="preserve">m3 </v>
          </cell>
          <cell r="D1192">
            <v>1.4</v>
          </cell>
        </row>
        <row r="1193">
          <cell r="A1193">
            <v>310406</v>
          </cell>
          <cell r="B1193" t="str">
            <v xml:space="preserve">Carregamento mecânico de rocha (peso específico = 1.6 t/m3) </v>
          </cell>
          <cell r="C1193" t="str">
            <v xml:space="preserve">m3 </v>
          </cell>
          <cell r="D1193">
            <v>2.34</v>
          </cell>
        </row>
      </sheetData>
      <sheetData sheetId="1"/>
      <sheetData sheetId="2"/>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NORÁRIOS"/>
      <sheetName val="Plan1"/>
      <sheetName val="BDI"/>
      <sheetName val="ORÇAMENTO"/>
      <sheetName val="CRONOGRAMA"/>
    </sheetNames>
    <sheetDataSet>
      <sheetData sheetId="0" refreshError="1"/>
      <sheetData sheetId="1" refreshError="1">
        <row r="3">
          <cell r="E3" t="str">
            <v>Selecionar</v>
          </cell>
        </row>
        <row r="4">
          <cell r="E4" t="str">
            <v>Item 01</v>
          </cell>
        </row>
        <row r="5">
          <cell r="E5" t="str">
            <v>Item 02</v>
          </cell>
        </row>
      </sheetData>
      <sheetData sheetId="2" refreshError="1"/>
      <sheetData sheetId="3" refreshError="1"/>
      <sheetData sheetId="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NORÁRIOS"/>
      <sheetName val="Plan1"/>
      <sheetName val="BDI"/>
      <sheetName val="ORÇAMENTO"/>
      <sheetName val="CRONOGRAMA"/>
    </sheetNames>
    <sheetDataSet>
      <sheetData sheetId="0" refreshError="1"/>
      <sheetData sheetId="1" refreshError="1">
        <row r="3">
          <cell r="E3" t="str">
            <v>Selecionar</v>
          </cell>
        </row>
        <row r="4">
          <cell r="E4" t="str">
            <v>Item 01</v>
          </cell>
        </row>
        <row r="5">
          <cell r="E5" t="str">
            <v>Item 02</v>
          </cell>
        </row>
      </sheetData>
      <sheetData sheetId="2" refreshError="1"/>
      <sheetData sheetId="3" refreshError="1"/>
      <sheetData sheetId="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NOG"/>
      <sheetName val="resumo"/>
      <sheetName val="ORCAMENTO"/>
      <sheetName val="ADMI_25.01"/>
      <sheetName val="ITEM 25 - ADIMINS. LOCAL"/>
      <sheetName val="20.01-04-EL_SP_SON_SEG"/>
      <sheetName val="20.05 - HS"/>
      <sheetName val="20.06-INC"/>
      <sheetName val="20.07- GLP"/>
      <sheetName val="ITEM 22.01 SINALIZACAO"/>
    </sheetNames>
    <sheetDataSet>
      <sheetData sheetId="0" refreshError="1"/>
      <sheetData sheetId="1" refreshError="1"/>
      <sheetData sheetId="2" refreshError="1"/>
      <sheetData sheetId="3" refreshError="1">
        <row r="48">
          <cell r="G48">
            <v>306106.84999999998</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NOG"/>
      <sheetName val="resumo"/>
      <sheetName val="ORCAMENTO"/>
      <sheetName val="ADMI_25.01"/>
      <sheetName val="ITEM 25 - ADIMINS. LOCAL"/>
      <sheetName val="20.01-04-EL_SP_SON_SEG"/>
      <sheetName val="20.05 - HS"/>
      <sheetName val="20.06-INC"/>
      <sheetName val="20.07- GLP"/>
      <sheetName val="ITEM 22.01 SINALIZACAO"/>
    </sheetNames>
    <sheetDataSet>
      <sheetData sheetId="0" refreshError="1"/>
      <sheetData sheetId="1" refreshError="1"/>
      <sheetData sheetId="2" refreshError="1"/>
      <sheetData sheetId="3" refreshError="1">
        <row r="48">
          <cell r="G48">
            <v>306106.84999999998</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ilha"/>
      <sheetName val="CRONOGRAMA US INDUSTRIAL"/>
      <sheetName val="Memoria de calculo"/>
      <sheetName val="Cronograma"/>
      <sheetName val="SAPATAS-ANEXOI"/>
      <sheetName val="CINTAS E VIGAS-ANEXOII"/>
      <sheetName val="PILARES E PILARETES-ANEXOIII"/>
      <sheetName val="MEMORIA GERAL"/>
    </sheetNames>
    <sheetDataSet>
      <sheetData sheetId="0">
        <row r="3">
          <cell r="A3" t="str">
            <v>OBRA: Unidade de Saúde Industrial</v>
          </cell>
        </row>
      </sheetData>
      <sheetData sheetId="1"/>
      <sheetData sheetId="2"/>
      <sheetData sheetId="3"/>
      <sheetData sheetId="4"/>
      <sheetData sheetId="5">
        <row r="4">
          <cell r="D4" t="str">
            <v>OBRA: Unidade de Saúde Industrial</v>
          </cell>
        </row>
      </sheetData>
      <sheetData sheetId="6"/>
      <sheetData sheetId="7"/>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al"/>
      <sheetName val="Novo!"/>
      <sheetName val="Dados"/>
      <sheetName val="BDI"/>
      <sheetName val="Orçamento"/>
      <sheetName val="Memória"/>
      <sheetName val="Comp"/>
      <sheetName val="Cot"/>
      <sheetName val="CronoFF"/>
      <sheetName val="QCI"/>
      <sheetName val="Memorial Descritivo"/>
      <sheetName val="Licitação"/>
      <sheetName val="CronoFF-L"/>
      <sheetName val="QCI-L"/>
      <sheetName val="BM"/>
      <sheetName val="RRE"/>
      <sheetName val="OFÍCIO"/>
      <sheetName val="CC"/>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2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9"/>
  <sheetViews>
    <sheetView tabSelected="1" view="pageBreakPreview" topLeftCell="B5" zoomScaleSheetLayoutView="100" workbookViewId="0">
      <selection activeCell="C9" sqref="C9"/>
    </sheetView>
  </sheetViews>
  <sheetFormatPr defaultColWidth="9.109375" defaultRowHeight="15" customHeight="1"/>
  <cols>
    <col min="1" max="1" width="4.44140625" style="5" hidden="1" customWidth="1"/>
    <col min="2" max="2" width="10" style="6" customWidth="1"/>
    <col min="3" max="3" width="61.33203125" style="6" customWidth="1"/>
    <col min="4" max="4" width="15.44140625" style="6" customWidth="1"/>
    <col min="5" max="5" width="17" style="6" customWidth="1"/>
    <col min="6" max="6" width="4.6640625" style="5" customWidth="1"/>
    <col min="7" max="7" width="14.88671875" style="5" customWidth="1"/>
    <col min="8" max="8" width="11.6640625" style="5" bestFit="1" customWidth="1"/>
    <col min="9" max="10" width="9.109375" style="5"/>
    <col min="11" max="11" width="14.33203125" style="5" bestFit="1" customWidth="1"/>
    <col min="12" max="12" width="14.5546875" style="5" customWidth="1"/>
    <col min="13" max="16384" width="9.109375" style="5"/>
  </cols>
  <sheetData>
    <row r="1" spans="1:12" customFormat="1" ht="35.25" customHeight="1">
      <c r="A1" s="147"/>
      <c r="B1" s="667" t="s">
        <v>35887</v>
      </c>
      <c r="C1" s="668"/>
      <c r="D1" s="668"/>
      <c r="E1" s="669"/>
    </row>
    <row r="2" spans="1:12" customFormat="1" ht="35.25" customHeight="1">
      <c r="A2" s="148"/>
      <c r="B2" s="670"/>
      <c r="C2" s="671"/>
      <c r="D2" s="671"/>
      <c r="E2" s="672"/>
    </row>
    <row r="3" spans="1:12" customFormat="1" ht="14.4">
      <c r="A3" s="148"/>
      <c r="B3" s="675" t="s">
        <v>35888</v>
      </c>
      <c r="C3" s="676"/>
      <c r="D3" s="676" t="s">
        <v>23529</v>
      </c>
      <c r="E3" s="679"/>
      <c r="G3" s="5"/>
      <c r="H3" s="5"/>
      <c r="I3" s="5"/>
    </row>
    <row r="4" spans="1:12" customFormat="1" ht="40.5" customHeight="1">
      <c r="A4" s="148"/>
      <c r="B4" s="677"/>
      <c r="C4" s="678"/>
      <c r="D4" s="680" t="s">
        <v>35886</v>
      </c>
      <c r="E4" s="681"/>
      <c r="G4" s="5"/>
      <c r="H4" s="583">
        <f>D7+D8+D9+D10</f>
        <v>5735663.6617568415</v>
      </c>
      <c r="I4" s="5"/>
    </row>
    <row r="5" spans="1:12" customFormat="1" ht="24.75" customHeight="1">
      <c r="A5" s="148"/>
      <c r="B5" s="682" t="s">
        <v>18</v>
      </c>
      <c r="C5" s="683"/>
      <c r="D5" s="683"/>
      <c r="E5" s="684"/>
    </row>
    <row r="6" spans="1:12" ht="30" customHeight="1">
      <c r="A6" s="149"/>
      <c r="B6" s="145" t="s">
        <v>1</v>
      </c>
      <c r="C6" s="146" t="s">
        <v>2</v>
      </c>
      <c r="D6" s="166" t="s">
        <v>19</v>
      </c>
      <c r="E6" s="150" t="s">
        <v>5</v>
      </c>
      <c r="F6"/>
      <c r="G6"/>
      <c r="H6"/>
      <c r="I6"/>
      <c r="K6" s="155"/>
    </row>
    <row r="7" spans="1:12" ht="26.1" customHeight="1">
      <c r="A7" s="149"/>
      <c r="B7" s="111" t="s">
        <v>6</v>
      </c>
      <c r="C7" s="112" t="str">
        <f>UPPER(VLOOKUP($B7,GLOBAL!A:H,4,0))</f>
        <v>SERVIÇOS PRELIMINARES</v>
      </c>
      <c r="D7" s="167">
        <f>K7</f>
        <v>752352.15175684006</v>
      </c>
      <c r="E7" s="151">
        <f>D7/$D$25</f>
        <v>4.3989721439062428E-2</v>
      </c>
      <c r="F7"/>
      <c r="G7" t="s">
        <v>35</v>
      </c>
      <c r="H7"/>
      <c r="I7"/>
      <c r="K7" s="882">
        <f>GLOBAL!H44</f>
        <v>752352.15175684006</v>
      </c>
      <c r="L7" s="156">
        <f t="shared" ref="L7:L10" si="0">D7-K7</f>
        <v>0</v>
      </c>
    </row>
    <row r="8" spans="1:12" ht="26.1" customHeight="1">
      <c r="A8" s="149"/>
      <c r="B8" s="111" t="s">
        <v>7</v>
      </c>
      <c r="C8" s="112" t="str">
        <f>UPPER(VLOOKUP($B8,GLOBAL!A:H,4,0))</f>
        <v>MOVIMENTO DE TERRA</v>
      </c>
      <c r="D8" s="167">
        <f t="shared" ref="D8:D24" si="1">K8</f>
        <v>423072.55000000005</v>
      </c>
      <c r="E8" s="151">
        <f>D8/$D$25</f>
        <v>2.4736878308322871E-2</v>
      </c>
      <c r="F8"/>
      <c r="G8" t="s">
        <v>38</v>
      </c>
      <c r="H8"/>
      <c r="I8"/>
      <c r="K8" s="155">
        <f>GLOBAL!H57</f>
        <v>423072.55000000005</v>
      </c>
      <c r="L8" s="156">
        <f t="shared" si="0"/>
        <v>0</v>
      </c>
    </row>
    <row r="9" spans="1:12" ht="26.1" customHeight="1">
      <c r="A9" s="149">
        <v>2</v>
      </c>
      <c r="B9" s="111" t="s">
        <v>8</v>
      </c>
      <c r="C9" s="112" t="str">
        <f>UPPER(VLOOKUP($B9,GLOBAL!A:H,4,0))</f>
        <v>ESTRUTURAS</v>
      </c>
      <c r="D9" s="167">
        <f t="shared" si="1"/>
        <v>3617688.8100000005</v>
      </c>
      <c r="E9" s="151">
        <f>D9/$D$25</f>
        <v>0.21152477949786952</v>
      </c>
      <c r="F9"/>
      <c r="G9" t="s">
        <v>35839</v>
      </c>
      <c r="H9"/>
      <c r="I9"/>
      <c r="K9" s="155">
        <f>GLOBAL!H80</f>
        <v>3617688.8100000005</v>
      </c>
      <c r="L9" s="156">
        <f t="shared" si="0"/>
        <v>0</v>
      </c>
    </row>
    <row r="10" spans="1:12" ht="26.1" customHeight="1">
      <c r="A10" s="149"/>
      <c r="B10" s="111" t="s">
        <v>9</v>
      </c>
      <c r="C10" s="112" t="str">
        <f>UPPER(VLOOKUP($B10,GLOBAL!A:H,4,0))</f>
        <v>PAREDES E PAINÉIS</v>
      </c>
      <c r="D10" s="167">
        <f t="shared" si="1"/>
        <v>942550.14999999991</v>
      </c>
      <c r="E10" s="151">
        <f>D10/$D$25</f>
        <v>5.5110520311567039E-2</v>
      </c>
      <c r="F10"/>
      <c r="G10" t="s">
        <v>7984</v>
      </c>
      <c r="H10"/>
      <c r="I10"/>
      <c r="K10" s="155">
        <f>GLOBAL!H91</f>
        <v>942550.14999999991</v>
      </c>
      <c r="L10" s="156">
        <f t="shared" si="0"/>
        <v>0</v>
      </c>
    </row>
    <row r="11" spans="1:12" ht="26.1" customHeight="1">
      <c r="A11" s="149"/>
      <c r="B11" s="111" t="s">
        <v>10</v>
      </c>
      <c r="C11" s="112" t="str">
        <f>UPPER(VLOOKUP($B11,GLOBAL!A:H,4,0))</f>
        <v>ESQUADRIAS</v>
      </c>
      <c r="D11" s="167">
        <f t="shared" si="1"/>
        <v>2131051.86</v>
      </c>
      <c r="E11" s="151">
        <f>D11/$D$25</f>
        <v>0.12460172736223396</v>
      </c>
      <c r="F11"/>
      <c r="G11" t="s">
        <v>7985</v>
      </c>
      <c r="H11"/>
      <c r="I11"/>
      <c r="K11" s="155">
        <f>GLOBAL!H109</f>
        <v>2131051.86</v>
      </c>
      <c r="L11" s="156">
        <f t="shared" ref="L11:L18" si="2">D11-K11</f>
        <v>0</v>
      </c>
    </row>
    <row r="12" spans="1:12" ht="26.1" customHeight="1">
      <c r="A12" s="149"/>
      <c r="B12" s="111" t="s">
        <v>11</v>
      </c>
      <c r="C12" s="112" t="str">
        <f>UPPER(VLOOKUP($B12,GLOBAL!A:H,4,0))</f>
        <v>COBERTURA</v>
      </c>
      <c r="D12" s="167">
        <f t="shared" si="1"/>
        <v>735515.08999999985</v>
      </c>
      <c r="E12" s="151">
        <f>D12/$D$25</f>
        <v>4.3005265350505813E-2</v>
      </c>
      <c r="F12"/>
      <c r="G12" t="s">
        <v>35840</v>
      </c>
      <c r="H12"/>
      <c r="I12"/>
      <c r="K12" s="155">
        <f>GLOBAL!H123</f>
        <v>735515.08999999985</v>
      </c>
      <c r="L12" s="156">
        <f t="shared" si="2"/>
        <v>0</v>
      </c>
    </row>
    <row r="13" spans="1:12" ht="26.1" customHeight="1">
      <c r="A13" s="149">
        <v>2</v>
      </c>
      <c r="B13" s="111" t="s">
        <v>12</v>
      </c>
      <c r="C13" s="112" t="str">
        <f>UPPER(VLOOKUP($B13,GLOBAL!A:H,4,0))</f>
        <v>IMPERMEABILIZAÇÃO</v>
      </c>
      <c r="D13" s="167">
        <f t="shared" si="1"/>
        <v>49810.729999999996</v>
      </c>
      <c r="E13" s="151">
        <f>D13/$D$25</f>
        <v>2.912412933570677E-3</v>
      </c>
      <c r="F13"/>
      <c r="G13" t="s">
        <v>35841</v>
      </c>
      <c r="H13"/>
      <c r="I13"/>
      <c r="K13" s="155">
        <f>GLOBAL!H129</f>
        <v>49810.729999999996</v>
      </c>
      <c r="L13" s="156">
        <f t="shared" si="2"/>
        <v>0</v>
      </c>
    </row>
    <row r="14" spans="1:12" ht="26.1" customHeight="1">
      <c r="A14" s="149"/>
      <c r="B14" s="111" t="s">
        <v>9750</v>
      </c>
      <c r="C14" s="112" t="str">
        <f>UPPER(VLOOKUP($B14,GLOBAL!A:H,4,0))</f>
        <v>TETOS E FORROS</v>
      </c>
      <c r="D14" s="167">
        <f t="shared" si="1"/>
        <v>284878.05</v>
      </c>
      <c r="E14" s="151">
        <f>D14/$D$25</f>
        <v>1.665670262833719E-2</v>
      </c>
      <c r="F14"/>
      <c r="G14" t="s">
        <v>35842</v>
      </c>
      <c r="H14"/>
      <c r="I14"/>
      <c r="K14" s="155">
        <f>GLOBAL!H134</f>
        <v>284878.05</v>
      </c>
      <c r="L14" s="156">
        <f t="shared" si="2"/>
        <v>0</v>
      </c>
    </row>
    <row r="15" spans="1:12" ht="26.1" customHeight="1">
      <c r="A15" s="149"/>
      <c r="B15" s="111" t="s">
        <v>9751</v>
      </c>
      <c r="C15" s="112" t="str">
        <f>UPPER(VLOOKUP($B15,GLOBAL!A:H,4,0))</f>
        <v>REVESTIMENTOS DE PAREDE</v>
      </c>
      <c r="D15" s="167">
        <f t="shared" si="1"/>
        <v>638743.24</v>
      </c>
      <c r="E15" s="151">
        <f>D15/$D$25</f>
        <v>3.7347055010172291E-2</v>
      </c>
      <c r="F15"/>
      <c r="G15" t="s">
        <v>35843</v>
      </c>
      <c r="H15"/>
      <c r="I15"/>
      <c r="K15" s="155">
        <f>GLOBAL!H144</f>
        <v>638743.24</v>
      </c>
      <c r="L15" s="156">
        <f t="shared" si="2"/>
        <v>0</v>
      </c>
    </row>
    <row r="16" spans="1:12" ht="26.1" customHeight="1">
      <c r="A16" s="149"/>
      <c r="B16" s="111" t="s">
        <v>15756</v>
      </c>
      <c r="C16" s="112" t="str">
        <f>UPPER(VLOOKUP($B16,GLOBAL!A:H,4,0))</f>
        <v>PISOS INTERNOS E EXTERNOS</v>
      </c>
      <c r="D16" s="167">
        <f t="shared" si="1"/>
        <v>877584.21</v>
      </c>
      <c r="E16" s="151">
        <f>D16/$D$25</f>
        <v>5.1311988471186933E-2</v>
      </c>
      <c r="F16"/>
      <c r="G16" t="s">
        <v>35844</v>
      </c>
      <c r="H16"/>
      <c r="I16"/>
      <c r="K16" s="155">
        <f>GLOBAL!H156</f>
        <v>877584.21</v>
      </c>
      <c r="L16" s="156">
        <f t="shared" si="2"/>
        <v>0</v>
      </c>
    </row>
    <row r="17" spans="1:12" ht="26.1" customHeight="1">
      <c r="A17" s="149">
        <v>2</v>
      </c>
      <c r="B17" s="111" t="s">
        <v>15757</v>
      </c>
      <c r="C17" s="112" t="str">
        <f>UPPER(VLOOKUP($B17,GLOBAL!A:H,4,0))</f>
        <v>INSTALAÇÕES HIDROSSANITÁRIAS</v>
      </c>
      <c r="D17" s="167">
        <f t="shared" si="1"/>
        <v>602791.09000000008</v>
      </c>
      <c r="E17" s="151">
        <f>D17/$D$25</f>
        <v>3.5244947559635573E-2</v>
      </c>
      <c r="F17"/>
      <c r="G17" t="s">
        <v>35845</v>
      </c>
      <c r="H17"/>
      <c r="I17"/>
      <c r="K17" s="155">
        <f>GLOBAL!H208</f>
        <v>602791.09000000008</v>
      </c>
      <c r="L17" s="156">
        <f t="shared" si="2"/>
        <v>0</v>
      </c>
    </row>
    <row r="18" spans="1:12" ht="26.1" customHeight="1">
      <c r="A18" s="149"/>
      <c r="B18" s="111" t="s">
        <v>15758</v>
      </c>
      <c r="C18" s="112" t="str">
        <f>UPPER(VLOOKUP($B18,GLOBAL!A:H,4,0))</f>
        <v>INSTALAÇÕES ELÉTRICAS</v>
      </c>
      <c r="D18" s="167">
        <f t="shared" si="1"/>
        <v>2317824.5300000003</v>
      </c>
      <c r="E18" s="151">
        <f>D18/$D$25</f>
        <v>0.13552224869861126</v>
      </c>
      <c r="F18"/>
      <c r="G18" t="s">
        <v>35846</v>
      </c>
      <c r="H18"/>
      <c r="I18"/>
      <c r="K18" s="155">
        <f>GLOBAL!H277</f>
        <v>2317824.5300000003</v>
      </c>
      <c r="L18" s="156">
        <f t="shared" si="2"/>
        <v>0</v>
      </c>
    </row>
    <row r="19" spans="1:12" ht="26.1" customHeight="1">
      <c r="A19" s="149"/>
      <c r="B19" s="111" t="s">
        <v>23676</v>
      </c>
      <c r="C19" s="112" t="str">
        <f>UPPER(VLOOKUP($B19,GLOBAL!A:H,4,0))</f>
        <v>OUTRAS INSTALAÇÕES</v>
      </c>
      <c r="D19" s="167">
        <f t="shared" si="1"/>
        <v>787987.22</v>
      </c>
      <c r="E19" s="151">
        <f>D19/$D$25</f>
        <v>4.6073289249452934E-2</v>
      </c>
      <c r="F19"/>
      <c r="G19" t="s">
        <v>35847</v>
      </c>
      <c r="H19"/>
      <c r="I19"/>
      <c r="K19" s="155">
        <f>GLOBAL!H351</f>
        <v>787987.22</v>
      </c>
      <c r="L19" s="156">
        <f t="shared" ref="L19:L22" si="3">D19-K19</f>
        <v>0</v>
      </c>
    </row>
    <row r="20" spans="1:12" ht="26.1" customHeight="1">
      <c r="A20" s="149"/>
      <c r="B20" s="111" t="s">
        <v>23682</v>
      </c>
      <c r="C20" s="112" t="str">
        <f>UPPER(VLOOKUP($B20,GLOBAL!A:H,4,0))</f>
        <v>APARELHOS HIDRO-SANITÁRIOS</v>
      </c>
      <c r="D20" s="167">
        <f t="shared" si="1"/>
        <v>395284.72000000003</v>
      </c>
      <c r="E20" s="151">
        <f>D20/$D$25</f>
        <v>2.3112135296368151E-2</v>
      </c>
      <c r="F20"/>
      <c r="G20" t="s">
        <v>35848</v>
      </c>
      <c r="H20"/>
      <c r="I20"/>
      <c r="K20" s="155">
        <f>GLOBAL!H378</f>
        <v>395284.72000000003</v>
      </c>
      <c r="L20" s="156">
        <f t="shared" si="3"/>
        <v>0</v>
      </c>
    </row>
    <row r="21" spans="1:12" ht="26.1" customHeight="1">
      <c r="A21" s="149">
        <v>2</v>
      </c>
      <c r="B21" s="111" t="s">
        <v>23684</v>
      </c>
      <c r="C21" s="112" t="str">
        <f>UPPER(VLOOKUP($B21,GLOBAL!A:H,4,0))</f>
        <v>APARELHOS ELÉTRICOS</v>
      </c>
      <c r="D21" s="167">
        <f t="shared" si="1"/>
        <v>143955.66</v>
      </c>
      <c r="E21" s="151">
        <f>D21/$D$25</f>
        <v>8.417028339972191E-3</v>
      </c>
      <c r="F21"/>
      <c r="G21" t="s">
        <v>35849</v>
      </c>
      <c r="H21"/>
      <c r="I21"/>
      <c r="K21" s="155">
        <f>GLOBAL!H386</f>
        <v>143955.66</v>
      </c>
      <c r="L21" s="156">
        <f t="shared" si="3"/>
        <v>0</v>
      </c>
    </row>
    <row r="22" spans="1:12" ht="26.1" customHeight="1">
      <c r="A22" s="149"/>
      <c r="B22" s="111" t="s">
        <v>23686</v>
      </c>
      <c r="C22" s="112" t="str">
        <f>UPPER(VLOOKUP($B22,GLOBAL!A:H,4,0))</f>
        <v>PINTURA</v>
      </c>
      <c r="D22" s="167">
        <f t="shared" si="1"/>
        <v>378968.24</v>
      </c>
      <c r="E22" s="151">
        <f>D22/$D$25</f>
        <v>2.2158117409411919E-2</v>
      </c>
      <c r="F22"/>
      <c r="G22" t="s">
        <v>35850</v>
      </c>
      <c r="H22"/>
      <c r="I22"/>
      <c r="K22" s="155">
        <f>GLOBAL!H405</f>
        <v>378968.24</v>
      </c>
      <c r="L22" s="156">
        <f t="shared" si="3"/>
        <v>0</v>
      </c>
    </row>
    <row r="23" spans="1:12" ht="26.1" customHeight="1">
      <c r="A23" s="149"/>
      <c r="B23" s="111" t="s">
        <v>27028</v>
      </c>
      <c r="C23" s="112" t="str">
        <f>UPPER(VLOOKUP($B23,GLOBAL!A:H,4,0))</f>
        <v xml:space="preserve">SERVIÇOS COMPLEMENTARES EXTERNOS </v>
      </c>
      <c r="D23" s="167">
        <f t="shared" si="1"/>
        <v>1731020.6500000001</v>
      </c>
      <c r="E23" s="151">
        <f>D23/$D$25</f>
        <v>0.10121206674421196</v>
      </c>
      <c r="F23"/>
      <c r="G23" t="s">
        <v>35884</v>
      </c>
      <c r="H23"/>
      <c r="I23"/>
      <c r="K23" s="155">
        <f>GLOBAL!H431</f>
        <v>1731020.6500000001</v>
      </c>
      <c r="L23" s="156">
        <f t="shared" ref="L23" si="4">D23-K23</f>
        <v>0</v>
      </c>
    </row>
    <row r="24" spans="1:12" ht="26.1" customHeight="1">
      <c r="A24" s="149"/>
      <c r="B24" s="111" t="s">
        <v>27033</v>
      </c>
      <c r="C24" s="112" t="str">
        <f>UPPER(VLOOKUP($B24,GLOBAL!A:H,4,0))</f>
        <v>REVESTIMENTO EXTERNO</v>
      </c>
      <c r="D24" s="167">
        <f t="shared" si="1"/>
        <v>291828.89</v>
      </c>
      <c r="E24" s="151">
        <f>D24/$D$25</f>
        <v>1.706311538950693E-2</v>
      </c>
      <c r="F24"/>
      <c r="G24" t="s">
        <v>35885</v>
      </c>
      <c r="H24"/>
      <c r="I24"/>
      <c r="K24" s="155">
        <f>GLOBAL!H439</f>
        <v>291828.89</v>
      </c>
      <c r="L24" s="156">
        <f t="shared" ref="L24" si="5">D24-K24</f>
        <v>0</v>
      </c>
    </row>
    <row r="25" spans="1:12" ht="20.100000000000001" customHeight="1" thickBot="1">
      <c r="A25" s="152"/>
      <c r="B25" s="673" t="s">
        <v>1769</v>
      </c>
      <c r="C25" s="674"/>
      <c r="D25" s="580">
        <f>SUM(D7:D24)</f>
        <v>17102907.841756847</v>
      </c>
      <c r="E25" s="581">
        <f>SUM(E7:E24)</f>
        <v>0.99999999999999956</v>
      </c>
      <c r="K25" s="156"/>
    </row>
    <row r="26" spans="1:12" ht="15" customHeight="1">
      <c r="K26" s="156">
        <f>SUM(K7:K25)</f>
        <v>17102907.841756847</v>
      </c>
    </row>
    <row r="28" spans="1:12" ht="15" customHeight="1">
      <c r="D28" s="113">
        <v>901787.27000000014</v>
      </c>
      <c r="E28" s="161">
        <f>D28-D25</f>
        <v>-16201120.571756847</v>
      </c>
      <c r="G28" s="155">
        <f>D25*0.05</f>
        <v>855145.39208784234</v>
      </c>
    </row>
    <row r="29" spans="1:12" ht="15" customHeight="1">
      <c r="D29" s="6">
        <v>465</v>
      </c>
      <c r="G29" s="155">
        <f>G28/8</f>
        <v>106893.17401098029</v>
      </c>
      <c r="I29" s="5">
        <f>D25*0.04</f>
        <v>684116.31367027387</v>
      </c>
    </row>
    <row r="30" spans="1:12" ht="15" customHeight="1">
      <c r="D30" s="157">
        <f>D25/D29</f>
        <v>36780.446971520098</v>
      </c>
      <c r="K30" s="156">
        <f>D25/K26</f>
        <v>1</v>
      </c>
    </row>
    <row r="32" spans="1:12" ht="15" customHeight="1">
      <c r="D32" s="6">
        <v>3500</v>
      </c>
    </row>
    <row r="33" spans="4:8" ht="15" customHeight="1">
      <c r="D33" s="158">
        <f>D30/D32</f>
        <v>10.508699134720027</v>
      </c>
    </row>
    <row r="34" spans="4:8" ht="15" customHeight="1">
      <c r="D34" s="6">
        <v>910330.37</v>
      </c>
      <c r="E34" s="161">
        <f>D25-D34</f>
        <v>16192577.471756848</v>
      </c>
      <c r="F34" s="163"/>
    </row>
    <row r="38" spans="4:8" ht="15" customHeight="1">
      <c r="H38" s="583">
        <f>D8+D7</f>
        <v>1175424.7017568401</v>
      </c>
    </row>
    <row r="39" spans="4:8" ht="15" customHeight="1">
      <c r="D39" s="6">
        <v>261443.52999999997</v>
      </c>
    </row>
  </sheetData>
  <mergeCells count="7">
    <mergeCell ref="B1:E2"/>
    <mergeCell ref="B25:C25"/>
    <mergeCell ref="B3:C3"/>
    <mergeCell ref="B4:C4"/>
    <mergeCell ref="D3:E3"/>
    <mergeCell ref="D4:E4"/>
    <mergeCell ref="B5:E5"/>
  </mergeCells>
  <phoneticPr fontId="125" type="noConversion"/>
  <printOptions horizontalCentered="1"/>
  <pageMargins left="0.51181102362204722" right="0.51181102362204722" top="0.78740157480314965" bottom="0.78740157480314965" header="0.19685039370078741" footer="0.31496062992125984"/>
  <pageSetup paperSize="9" scale="82" orientation="portrait" r:id="rId1"/>
  <headerFooter>
    <oddFooter>&amp;C&amp;P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451"/>
  <sheetViews>
    <sheetView showGridLines="0" view="pageBreakPreview" zoomScale="115" zoomScaleSheetLayoutView="115" workbookViewId="0">
      <pane ySplit="5" topLeftCell="A437" activePane="bottomLeft" state="frozen"/>
      <selection pane="bottomLeft" activeCell="A446" sqref="A446:I446"/>
    </sheetView>
  </sheetViews>
  <sheetFormatPr defaultRowHeight="13.2"/>
  <cols>
    <col min="1" max="1" width="12.5546875" style="10" bestFit="1" customWidth="1"/>
    <col min="2" max="2" width="15.6640625" style="10" customWidth="1"/>
    <col min="3" max="3" width="15.6640625" style="8" customWidth="1"/>
    <col min="4" max="4" width="59.33203125" style="534" customWidth="1"/>
    <col min="5" max="5" width="7.44140625" style="10" bestFit="1" customWidth="1"/>
    <col min="6" max="6" width="10.44140625" style="604" customWidth="1"/>
    <col min="7" max="7" width="14.33203125" style="254" bestFit="1" customWidth="1"/>
    <col min="8" max="8" width="18" style="255" bestFit="1" customWidth="1"/>
    <col min="9" max="9" width="9.109375" style="7"/>
    <col min="10" max="10" width="16" style="7" bestFit="1" customWidth="1"/>
    <col min="11" max="11" width="26.6640625" style="7" bestFit="1" customWidth="1"/>
    <col min="12" max="235" width="9.109375" style="7"/>
    <col min="236" max="236" width="15.44140625" style="7" customWidth="1"/>
    <col min="237" max="237" width="58.109375" style="7" customWidth="1"/>
    <col min="238" max="238" width="8.33203125" style="7" customWidth="1"/>
    <col min="239" max="239" width="10.44140625" style="7" customWidth="1"/>
    <col min="240" max="240" width="14.6640625" style="7" bestFit="1" customWidth="1"/>
    <col min="241" max="241" width="18.88671875" style="7" bestFit="1" customWidth="1"/>
    <col min="242" max="242" width="16" style="7" bestFit="1" customWidth="1"/>
    <col min="243" max="243" width="14.44140625" style="7" customWidth="1"/>
    <col min="244" max="244" width="17" style="7" customWidth="1"/>
    <col min="245" max="262" width="15.6640625" style="7" customWidth="1"/>
    <col min="263" max="491" width="9.109375" style="7"/>
    <col min="492" max="492" width="15.44140625" style="7" customWidth="1"/>
    <col min="493" max="493" width="58.109375" style="7" customWidth="1"/>
    <col min="494" max="494" width="8.33203125" style="7" customWidth="1"/>
    <col min="495" max="495" width="10.44140625" style="7" customWidth="1"/>
    <col min="496" max="496" width="14.6640625" style="7" bestFit="1" customWidth="1"/>
    <col min="497" max="497" width="18.88671875" style="7" bestFit="1" customWidth="1"/>
    <col min="498" max="498" width="16" style="7" bestFit="1" customWidth="1"/>
    <col min="499" max="499" width="14.44140625" style="7" customWidth="1"/>
    <col min="500" max="500" width="17" style="7" customWidth="1"/>
    <col min="501" max="518" width="15.6640625" style="7" customWidth="1"/>
    <col min="519" max="747" width="9.109375" style="7"/>
    <col min="748" max="748" width="15.44140625" style="7" customWidth="1"/>
    <col min="749" max="749" width="58.109375" style="7" customWidth="1"/>
    <col min="750" max="750" width="8.33203125" style="7" customWidth="1"/>
    <col min="751" max="751" width="10.44140625" style="7" customWidth="1"/>
    <col min="752" max="752" width="14.6640625" style="7" bestFit="1" customWidth="1"/>
    <col min="753" max="753" width="18.88671875" style="7" bestFit="1" customWidth="1"/>
    <col min="754" max="754" width="16" style="7" bestFit="1" customWidth="1"/>
    <col min="755" max="755" width="14.44140625" style="7" customWidth="1"/>
    <col min="756" max="756" width="17" style="7" customWidth="1"/>
    <col min="757" max="774" width="15.6640625" style="7" customWidth="1"/>
    <col min="775" max="1003" width="9.109375" style="7"/>
    <col min="1004" max="1004" width="15.44140625" style="7" customWidth="1"/>
    <col min="1005" max="1005" width="58.109375" style="7" customWidth="1"/>
    <col min="1006" max="1006" width="8.33203125" style="7" customWidth="1"/>
    <col min="1007" max="1007" width="10.44140625" style="7" customWidth="1"/>
    <col min="1008" max="1008" width="14.6640625" style="7" bestFit="1" customWidth="1"/>
    <col min="1009" max="1009" width="18.88671875" style="7" bestFit="1" customWidth="1"/>
    <col min="1010" max="1010" width="16" style="7" bestFit="1" customWidth="1"/>
    <col min="1011" max="1011" width="14.44140625" style="7" customWidth="1"/>
    <col min="1012" max="1012" width="17" style="7" customWidth="1"/>
    <col min="1013" max="1030" width="15.6640625" style="7" customWidth="1"/>
    <col min="1031" max="1259" width="9.109375" style="7"/>
    <col min="1260" max="1260" width="15.44140625" style="7" customWidth="1"/>
    <col min="1261" max="1261" width="58.109375" style="7" customWidth="1"/>
    <col min="1262" max="1262" width="8.33203125" style="7" customWidth="1"/>
    <col min="1263" max="1263" width="10.44140625" style="7" customWidth="1"/>
    <col min="1264" max="1264" width="14.6640625" style="7" bestFit="1" customWidth="1"/>
    <col min="1265" max="1265" width="18.88671875" style="7" bestFit="1" customWidth="1"/>
    <col min="1266" max="1266" width="16" style="7" bestFit="1" customWidth="1"/>
    <col min="1267" max="1267" width="14.44140625" style="7" customWidth="1"/>
    <col min="1268" max="1268" width="17" style="7" customWidth="1"/>
    <col min="1269" max="1286" width="15.6640625" style="7" customWidth="1"/>
    <col min="1287" max="1515" width="9.109375" style="7"/>
    <col min="1516" max="1516" width="15.44140625" style="7" customWidth="1"/>
    <col min="1517" max="1517" width="58.109375" style="7" customWidth="1"/>
    <col min="1518" max="1518" width="8.33203125" style="7" customWidth="1"/>
    <col min="1519" max="1519" width="10.44140625" style="7" customWidth="1"/>
    <col min="1520" max="1520" width="14.6640625" style="7" bestFit="1" customWidth="1"/>
    <col min="1521" max="1521" width="18.88671875" style="7" bestFit="1" customWidth="1"/>
    <col min="1522" max="1522" width="16" style="7" bestFit="1" customWidth="1"/>
    <col min="1523" max="1523" width="14.44140625" style="7" customWidth="1"/>
    <col min="1524" max="1524" width="17" style="7" customWidth="1"/>
    <col min="1525" max="1542" width="15.6640625" style="7" customWidth="1"/>
    <col min="1543" max="1771" width="9.109375" style="7"/>
    <col min="1772" max="1772" width="15.44140625" style="7" customWidth="1"/>
    <col min="1773" max="1773" width="58.109375" style="7" customWidth="1"/>
    <col min="1774" max="1774" width="8.33203125" style="7" customWidth="1"/>
    <col min="1775" max="1775" width="10.44140625" style="7" customWidth="1"/>
    <col min="1776" max="1776" width="14.6640625" style="7" bestFit="1" customWidth="1"/>
    <col min="1777" max="1777" width="18.88671875" style="7" bestFit="1" customWidth="1"/>
    <col min="1778" max="1778" width="16" style="7" bestFit="1" customWidth="1"/>
    <col min="1779" max="1779" width="14.44140625" style="7" customWidth="1"/>
    <col min="1780" max="1780" width="17" style="7" customWidth="1"/>
    <col min="1781" max="1798" width="15.6640625" style="7" customWidth="1"/>
    <col min="1799" max="2027" width="9.109375" style="7"/>
    <col min="2028" max="2028" width="15.44140625" style="7" customWidth="1"/>
    <col min="2029" max="2029" width="58.109375" style="7" customWidth="1"/>
    <col min="2030" max="2030" width="8.33203125" style="7" customWidth="1"/>
    <col min="2031" max="2031" width="10.44140625" style="7" customWidth="1"/>
    <col min="2032" max="2032" width="14.6640625" style="7" bestFit="1" customWidth="1"/>
    <col min="2033" max="2033" width="18.88671875" style="7" bestFit="1" customWidth="1"/>
    <col min="2034" max="2034" width="16" style="7" bestFit="1" customWidth="1"/>
    <col min="2035" max="2035" width="14.44140625" style="7" customWidth="1"/>
    <col min="2036" max="2036" width="17" style="7" customWidth="1"/>
    <col min="2037" max="2054" width="15.6640625" style="7" customWidth="1"/>
    <col min="2055" max="2283" width="9.109375" style="7"/>
    <col min="2284" max="2284" width="15.44140625" style="7" customWidth="1"/>
    <col min="2285" max="2285" width="58.109375" style="7" customWidth="1"/>
    <col min="2286" max="2286" width="8.33203125" style="7" customWidth="1"/>
    <col min="2287" max="2287" width="10.44140625" style="7" customWidth="1"/>
    <col min="2288" max="2288" width="14.6640625" style="7" bestFit="1" customWidth="1"/>
    <col min="2289" max="2289" width="18.88671875" style="7" bestFit="1" customWidth="1"/>
    <col min="2290" max="2290" width="16" style="7" bestFit="1" customWidth="1"/>
    <col min="2291" max="2291" width="14.44140625" style="7" customWidth="1"/>
    <col min="2292" max="2292" width="17" style="7" customWidth="1"/>
    <col min="2293" max="2310" width="15.6640625" style="7" customWidth="1"/>
    <col min="2311" max="2539" width="9.109375" style="7"/>
    <col min="2540" max="2540" width="15.44140625" style="7" customWidth="1"/>
    <col min="2541" max="2541" width="58.109375" style="7" customWidth="1"/>
    <col min="2542" max="2542" width="8.33203125" style="7" customWidth="1"/>
    <col min="2543" max="2543" width="10.44140625" style="7" customWidth="1"/>
    <col min="2544" max="2544" width="14.6640625" style="7" bestFit="1" customWidth="1"/>
    <col min="2545" max="2545" width="18.88671875" style="7" bestFit="1" customWidth="1"/>
    <col min="2546" max="2546" width="16" style="7" bestFit="1" customWidth="1"/>
    <col min="2547" max="2547" width="14.44140625" style="7" customWidth="1"/>
    <col min="2548" max="2548" width="17" style="7" customWidth="1"/>
    <col min="2549" max="2566" width="15.6640625" style="7" customWidth="1"/>
    <col min="2567" max="2795" width="9.109375" style="7"/>
    <col min="2796" max="2796" width="15.44140625" style="7" customWidth="1"/>
    <col min="2797" max="2797" width="58.109375" style="7" customWidth="1"/>
    <col min="2798" max="2798" width="8.33203125" style="7" customWidth="1"/>
    <col min="2799" max="2799" width="10.44140625" style="7" customWidth="1"/>
    <col min="2800" max="2800" width="14.6640625" style="7" bestFit="1" customWidth="1"/>
    <col min="2801" max="2801" width="18.88671875" style="7" bestFit="1" customWidth="1"/>
    <col min="2802" max="2802" width="16" style="7" bestFit="1" customWidth="1"/>
    <col min="2803" max="2803" width="14.44140625" style="7" customWidth="1"/>
    <col min="2804" max="2804" width="17" style="7" customWidth="1"/>
    <col min="2805" max="2822" width="15.6640625" style="7" customWidth="1"/>
    <col min="2823" max="3051" width="9.109375" style="7"/>
    <col min="3052" max="3052" width="15.44140625" style="7" customWidth="1"/>
    <col min="3053" max="3053" width="58.109375" style="7" customWidth="1"/>
    <col min="3054" max="3054" width="8.33203125" style="7" customWidth="1"/>
    <col min="3055" max="3055" width="10.44140625" style="7" customWidth="1"/>
    <col min="3056" max="3056" width="14.6640625" style="7" bestFit="1" customWidth="1"/>
    <col min="3057" max="3057" width="18.88671875" style="7" bestFit="1" customWidth="1"/>
    <col min="3058" max="3058" width="16" style="7" bestFit="1" customWidth="1"/>
    <col min="3059" max="3059" width="14.44140625" style="7" customWidth="1"/>
    <col min="3060" max="3060" width="17" style="7" customWidth="1"/>
    <col min="3061" max="3078" width="15.6640625" style="7" customWidth="1"/>
    <col min="3079" max="3307" width="9.109375" style="7"/>
    <col min="3308" max="3308" width="15.44140625" style="7" customWidth="1"/>
    <col min="3309" max="3309" width="58.109375" style="7" customWidth="1"/>
    <col min="3310" max="3310" width="8.33203125" style="7" customWidth="1"/>
    <col min="3311" max="3311" width="10.44140625" style="7" customWidth="1"/>
    <col min="3312" max="3312" width="14.6640625" style="7" bestFit="1" customWidth="1"/>
    <col min="3313" max="3313" width="18.88671875" style="7" bestFit="1" customWidth="1"/>
    <col min="3314" max="3314" width="16" style="7" bestFit="1" customWidth="1"/>
    <col min="3315" max="3315" width="14.44140625" style="7" customWidth="1"/>
    <col min="3316" max="3316" width="17" style="7" customWidth="1"/>
    <col min="3317" max="3334" width="15.6640625" style="7" customWidth="1"/>
    <col min="3335" max="3563" width="9.109375" style="7"/>
    <col min="3564" max="3564" width="15.44140625" style="7" customWidth="1"/>
    <col min="3565" max="3565" width="58.109375" style="7" customWidth="1"/>
    <col min="3566" max="3566" width="8.33203125" style="7" customWidth="1"/>
    <col min="3567" max="3567" width="10.44140625" style="7" customWidth="1"/>
    <col min="3568" max="3568" width="14.6640625" style="7" bestFit="1" customWidth="1"/>
    <col min="3569" max="3569" width="18.88671875" style="7" bestFit="1" customWidth="1"/>
    <col min="3570" max="3570" width="16" style="7" bestFit="1" customWidth="1"/>
    <col min="3571" max="3571" width="14.44140625" style="7" customWidth="1"/>
    <col min="3572" max="3572" width="17" style="7" customWidth="1"/>
    <col min="3573" max="3590" width="15.6640625" style="7" customWidth="1"/>
    <col min="3591" max="3819" width="9.109375" style="7"/>
    <col min="3820" max="3820" width="15.44140625" style="7" customWidth="1"/>
    <col min="3821" max="3821" width="58.109375" style="7" customWidth="1"/>
    <col min="3822" max="3822" width="8.33203125" style="7" customWidth="1"/>
    <col min="3823" max="3823" width="10.44140625" style="7" customWidth="1"/>
    <col min="3824" max="3824" width="14.6640625" style="7" bestFit="1" customWidth="1"/>
    <col min="3825" max="3825" width="18.88671875" style="7" bestFit="1" customWidth="1"/>
    <col min="3826" max="3826" width="16" style="7" bestFit="1" customWidth="1"/>
    <col min="3827" max="3827" width="14.44140625" style="7" customWidth="1"/>
    <col min="3828" max="3828" width="17" style="7" customWidth="1"/>
    <col min="3829" max="3846" width="15.6640625" style="7" customWidth="1"/>
    <col min="3847" max="4075" width="9.109375" style="7"/>
    <col min="4076" max="4076" width="15.44140625" style="7" customWidth="1"/>
    <col min="4077" max="4077" width="58.109375" style="7" customWidth="1"/>
    <col min="4078" max="4078" width="8.33203125" style="7" customWidth="1"/>
    <col min="4079" max="4079" width="10.44140625" style="7" customWidth="1"/>
    <col min="4080" max="4080" width="14.6640625" style="7" bestFit="1" customWidth="1"/>
    <col min="4081" max="4081" width="18.88671875" style="7" bestFit="1" customWidth="1"/>
    <col min="4082" max="4082" width="16" style="7" bestFit="1" customWidth="1"/>
    <col min="4083" max="4083" width="14.44140625" style="7" customWidth="1"/>
    <col min="4084" max="4084" width="17" style="7" customWidth="1"/>
    <col min="4085" max="4102" width="15.6640625" style="7" customWidth="1"/>
    <col min="4103" max="4331" width="9.109375" style="7"/>
    <col min="4332" max="4332" width="15.44140625" style="7" customWidth="1"/>
    <col min="4333" max="4333" width="58.109375" style="7" customWidth="1"/>
    <col min="4334" max="4334" width="8.33203125" style="7" customWidth="1"/>
    <col min="4335" max="4335" width="10.44140625" style="7" customWidth="1"/>
    <col min="4336" max="4336" width="14.6640625" style="7" bestFit="1" customWidth="1"/>
    <col min="4337" max="4337" width="18.88671875" style="7" bestFit="1" customWidth="1"/>
    <col min="4338" max="4338" width="16" style="7" bestFit="1" customWidth="1"/>
    <col min="4339" max="4339" width="14.44140625" style="7" customWidth="1"/>
    <col min="4340" max="4340" width="17" style="7" customWidth="1"/>
    <col min="4341" max="4358" width="15.6640625" style="7" customWidth="1"/>
    <col min="4359" max="4587" width="9.109375" style="7"/>
    <col min="4588" max="4588" width="15.44140625" style="7" customWidth="1"/>
    <col min="4589" max="4589" width="58.109375" style="7" customWidth="1"/>
    <col min="4590" max="4590" width="8.33203125" style="7" customWidth="1"/>
    <col min="4591" max="4591" width="10.44140625" style="7" customWidth="1"/>
    <col min="4592" max="4592" width="14.6640625" style="7" bestFit="1" customWidth="1"/>
    <col min="4593" max="4593" width="18.88671875" style="7" bestFit="1" customWidth="1"/>
    <col min="4594" max="4594" width="16" style="7" bestFit="1" customWidth="1"/>
    <col min="4595" max="4595" width="14.44140625" style="7" customWidth="1"/>
    <col min="4596" max="4596" width="17" style="7" customWidth="1"/>
    <col min="4597" max="4614" width="15.6640625" style="7" customWidth="1"/>
    <col min="4615" max="4843" width="9.109375" style="7"/>
    <col min="4844" max="4844" width="15.44140625" style="7" customWidth="1"/>
    <col min="4845" max="4845" width="58.109375" style="7" customWidth="1"/>
    <col min="4846" max="4846" width="8.33203125" style="7" customWidth="1"/>
    <col min="4847" max="4847" width="10.44140625" style="7" customWidth="1"/>
    <col min="4848" max="4848" width="14.6640625" style="7" bestFit="1" customWidth="1"/>
    <col min="4849" max="4849" width="18.88671875" style="7" bestFit="1" customWidth="1"/>
    <col min="4850" max="4850" width="16" style="7" bestFit="1" customWidth="1"/>
    <col min="4851" max="4851" width="14.44140625" style="7" customWidth="1"/>
    <col min="4852" max="4852" width="17" style="7" customWidth="1"/>
    <col min="4853" max="4870" width="15.6640625" style="7" customWidth="1"/>
    <col min="4871" max="5099" width="9.109375" style="7"/>
    <col min="5100" max="5100" width="15.44140625" style="7" customWidth="1"/>
    <col min="5101" max="5101" width="58.109375" style="7" customWidth="1"/>
    <col min="5102" max="5102" width="8.33203125" style="7" customWidth="1"/>
    <col min="5103" max="5103" width="10.44140625" style="7" customWidth="1"/>
    <col min="5104" max="5104" width="14.6640625" style="7" bestFit="1" customWidth="1"/>
    <col min="5105" max="5105" width="18.88671875" style="7" bestFit="1" customWidth="1"/>
    <col min="5106" max="5106" width="16" style="7" bestFit="1" customWidth="1"/>
    <col min="5107" max="5107" width="14.44140625" style="7" customWidth="1"/>
    <col min="5108" max="5108" width="17" style="7" customWidth="1"/>
    <col min="5109" max="5126" width="15.6640625" style="7" customWidth="1"/>
    <col min="5127" max="5355" width="9.109375" style="7"/>
    <col min="5356" max="5356" width="15.44140625" style="7" customWidth="1"/>
    <col min="5357" max="5357" width="58.109375" style="7" customWidth="1"/>
    <col min="5358" max="5358" width="8.33203125" style="7" customWidth="1"/>
    <col min="5359" max="5359" width="10.44140625" style="7" customWidth="1"/>
    <col min="5360" max="5360" width="14.6640625" style="7" bestFit="1" customWidth="1"/>
    <col min="5361" max="5361" width="18.88671875" style="7" bestFit="1" customWidth="1"/>
    <col min="5362" max="5362" width="16" style="7" bestFit="1" customWidth="1"/>
    <col min="5363" max="5363" width="14.44140625" style="7" customWidth="1"/>
    <col min="5364" max="5364" width="17" style="7" customWidth="1"/>
    <col min="5365" max="5382" width="15.6640625" style="7" customWidth="1"/>
    <col min="5383" max="5611" width="9.109375" style="7"/>
    <col min="5612" max="5612" width="15.44140625" style="7" customWidth="1"/>
    <col min="5613" max="5613" width="58.109375" style="7" customWidth="1"/>
    <col min="5614" max="5614" width="8.33203125" style="7" customWidth="1"/>
    <col min="5615" max="5615" width="10.44140625" style="7" customWidth="1"/>
    <col min="5616" max="5616" width="14.6640625" style="7" bestFit="1" customWidth="1"/>
    <col min="5617" max="5617" width="18.88671875" style="7" bestFit="1" customWidth="1"/>
    <col min="5618" max="5618" width="16" style="7" bestFit="1" customWidth="1"/>
    <col min="5619" max="5619" width="14.44140625" style="7" customWidth="1"/>
    <col min="5620" max="5620" width="17" style="7" customWidth="1"/>
    <col min="5621" max="5638" width="15.6640625" style="7" customWidth="1"/>
    <col min="5639" max="5867" width="9.109375" style="7"/>
    <col min="5868" max="5868" width="15.44140625" style="7" customWidth="1"/>
    <col min="5869" max="5869" width="58.109375" style="7" customWidth="1"/>
    <col min="5870" max="5870" width="8.33203125" style="7" customWidth="1"/>
    <col min="5871" max="5871" width="10.44140625" style="7" customWidth="1"/>
    <col min="5872" max="5872" width="14.6640625" style="7" bestFit="1" customWidth="1"/>
    <col min="5873" max="5873" width="18.88671875" style="7" bestFit="1" customWidth="1"/>
    <col min="5874" max="5874" width="16" style="7" bestFit="1" customWidth="1"/>
    <col min="5875" max="5875" width="14.44140625" style="7" customWidth="1"/>
    <col min="5876" max="5876" width="17" style="7" customWidth="1"/>
    <col min="5877" max="5894" width="15.6640625" style="7" customWidth="1"/>
    <col min="5895" max="6123" width="9.109375" style="7"/>
    <col min="6124" max="6124" width="15.44140625" style="7" customWidth="1"/>
    <col min="6125" max="6125" width="58.109375" style="7" customWidth="1"/>
    <col min="6126" max="6126" width="8.33203125" style="7" customWidth="1"/>
    <col min="6127" max="6127" width="10.44140625" style="7" customWidth="1"/>
    <col min="6128" max="6128" width="14.6640625" style="7" bestFit="1" customWidth="1"/>
    <col min="6129" max="6129" width="18.88671875" style="7" bestFit="1" customWidth="1"/>
    <col min="6130" max="6130" width="16" style="7" bestFit="1" customWidth="1"/>
    <col min="6131" max="6131" width="14.44140625" style="7" customWidth="1"/>
    <col min="6132" max="6132" width="17" style="7" customWidth="1"/>
    <col min="6133" max="6150" width="15.6640625" style="7" customWidth="1"/>
    <col min="6151" max="6379" width="9.109375" style="7"/>
    <col min="6380" max="6380" width="15.44140625" style="7" customWidth="1"/>
    <col min="6381" max="6381" width="58.109375" style="7" customWidth="1"/>
    <col min="6382" max="6382" width="8.33203125" style="7" customWidth="1"/>
    <col min="6383" max="6383" width="10.44140625" style="7" customWidth="1"/>
    <col min="6384" max="6384" width="14.6640625" style="7" bestFit="1" customWidth="1"/>
    <col min="6385" max="6385" width="18.88671875" style="7" bestFit="1" customWidth="1"/>
    <col min="6386" max="6386" width="16" style="7" bestFit="1" customWidth="1"/>
    <col min="6387" max="6387" width="14.44140625" style="7" customWidth="1"/>
    <col min="6388" max="6388" width="17" style="7" customWidth="1"/>
    <col min="6389" max="6406" width="15.6640625" style="7" customWidth="1"/>
    <col min="6407" max="6635" width="9.109375" style="7"/>
    <col min="6636" max="6636" width="15.44140625" style="7" customWidth="1"/>
    <col min="6637" max="6637" width="58.109375" style="7" customWidth="1"/>
    <col min="6638" max="6638" width="8.33203125" style="7" customWidth="1"/>
    <col min="6639" max="6639" width="10.44140625" style="7" customWidth="1"/>
    <col min="6640" max="6640" width="14.6640625" style="7" bestFit="1" customWidth="1"/>
    <col min="6641" max="6641" width="18.88671875" style="7" bestFit="1" customWidth="1"/>
    <col min="6642" max="6642" width="16" style="7" bestFit="1" customWidth="1"/>
    <col min="6643" max="6643" width="14.44140625" style="7" customWidth="1"/>
    <col min="6644" max="6644" width="17" style="7" customWidth="1"/>
    <col min="6645" max="6662" width="15.6640625" style="7" customWidth="1"/>
    <col min="6663" max="6891" width="9.109375" style="7"/>
    <col min="6892" max="6892" width="15.44140625" style="7" customWidth="1"/>
    <col min="6893" max="6893" width="58.109375" style="7" customWidth="1"/>
    <col min="6894" max="6894" width="8.33203125" style="7" customWidth="1"/>
    <col min="6895" max="6895" width="10.44140625" style="7" customWidth="1"/>
    <col min="6896" max="6896" width="14.6640625" style="7" bestFit="1" customWidth="1"/>
    <col min="6897" max="6897" width="18.88671875" style="7" bestFit="1" customWidth="1"/>
    <col min="6898" max="6898" width="16" style="7" bestFit="1" customWidth="1"/>
    <col min="6899" max="6899" width="14.44140625" style="7" customWidth="1"/>
    <col min="6900" max="6900" width="17" style="7" customWidth="1"/>
    <col min="6901" max="6918" width="15.6640625" style="7" customWidth="1"/>
    <col min="6919" max="7147" width="9.109375" style="7"/>
    <col min="7148" max="7148" width="15.44140625" style="7" customWidth="1"/>
    <col min="7149" max="7149" width="58.109375" style="7" customWidth="1"/>
    <col min="7150" max="7150" width="8.33203125" style="7" customWidth="1"/>
    <col min="7151" max="7151" width="10.44140625" style="7" customWidth="1"/>
    <col min="7152" max="7152" width="14.6640625" style="7" bestFit="1" customWidth="1"/>
    <col min="7153" max="7153" width="18.88671875" style="7" bestFit="1" customWidth="1"/>
    <col min="7154" max="7154" width="16" style="7" bestFit="1" customWidth="1"/>
    <col min="7155" max="7155" width="14.44140625" style="7" customWidth="1"/>
    <col min="7156" max="7156" width="17" style="7" customWidth="1"/>
    <col min="7157" max="7174" width="15.6640625" style="7" customWidth="1"/>
    <col min="7175" max="7403" width="9.109375" style="7"/>
    <col min="7404" max="7404" width="15.44140625" style="7" customWidth="1"/>
    <col min="7405" max="7405" width="58.109375" style="7" customWidth="1"/>
    <col min="7406" max="7406" width="8.33203125" style="7" customWidth="1"/>
    <col min="7407" max="7407" width="10.44140625" style="7" customWidth="1"/>
    <col min="7408" max="7408" width="14.6640625" style="7" bestFit="1" customWidth="1"/>
    <col min="7409" max="7409" width="18.88671875" style="7" bestFit="1" customWidth="1"/>
    <col min="7410" max="7410" width="16" style="7" bestFit="1" customWidth="1"/>
    <col min="7411" max="7411" width="14.44140625" style="7" customWidth="1"/>
    <col min="7412" max="7412" width="17" style="7" customWidth="1"/>
    <col min="7413" max="7430" width="15.6640625" style="7" customWidth="1"/>
    <col min="7431" max="7659" width="9.109375" style="7"/>
    <col min="7660" max="7660" width="15.44140625" style="7" customWidth="1"/>
    <col min="7661" max="7661" width="58.109375" style="7" customWidth="1"/>
    <col min="7662" max="7662" width="8.33203125" style="7" customWidth="1"/>
    <col min="7663" max="7663" width="10.44140625" style="7" customWidth="1"/>
    <col min="7664" max="7664" width="14.6640625" style="7" bestFit="1" customWidth="1"/>
    <col min="7665" max="7665" width="18.88671875" style="7" bestFit="1" customWidth="1"/>
    <col min="7666" max="7666" width="16" style="7" bestFit="1" customWidth="1"/>
    <col min="7667" max="7667" width="14.44140625" style="7" customWidth="1"/>
    <col min="7668" max="7668" width="17" style="7" customWidth="1"/>
    <col min="7669" max="7686" width="15.6640625" style="7" customWidth="1"/>
    <col min="7687" max="7915" width="9.109375" style="7"/>
    <col min="7916" max="7916" width="15.44140625" style="7" customWidth="1"/>
    <col min="7917" max="7917" width="58.109375" style="7" customWidth="1"/>
    <col min="7918" max="7918" width="8.33203125" style="7" customWidth="1"/>
    <col min="7919" max="7919" width="10.44140625" style="7" customWidth="1"/>
    <col min="7920" max="7920" width="14.6640625" style="7" bestFit="1" customWidth="1"/>
    <col min="7921" max="7921" width="18.88671875" style="7" bestFit="1" customWidth="1"/>
    <col min="7922" max="7922" width="16" style="7" bestFit="1" customWidth="1"/>
    <col min="7923" max="7923" width="14.44140625" style="7" customWidth="1"/>
    <col min="7924" max="7924" width="17" style="7" customWidth="1"/>
    <col min="7925" max="7942" width="15.6640625" style="7" customWidth="1"/>
    <col min="7943" max="8171" width="9.109375" style="7"/>
    <col min="8172" max="8172" width="15.44140625" style="7" customWidth="1"/>
    <col min="8173" max="8173" width="58.109375" style="7" customWidth="1"/>
    <col min="8174" max="8174" width="8.33203125" style="7" customWidth="1"/>
    <col min="8175" max="8175" width="10.44140625" style="7" customWidth="1"/>
    <col min="8176" max="8176" width="14.6640625" style="7" bestFit="1" customWidth="1"/>
    <col min="8177" max="8177" width="18.88671875" style="7" bestFit="1" customWidth="1"/>
    <col min="8178" max="8178" width="16" style="7" bestFit="1" customWidth="1"/>
    <col min="8179" max="8179" width="14.44140625" style="7" customWidth="1"/>
    <col min="8180" max="8180" width="17" style="7" customWidth="1"/>
    <col min="8181" max="8198" width="15.6640625" style="7" customWidth="1"/>
    <col min="8199" max="8427" width="9.109375" style="7"/>
    <col min="8428" max="8428" width="15.44140625" style="7" customWidth="1"/>
    <col min="8429" max="8429" width="58.109375" style="7" customWidth="1"/>
    <col min="8430" max="8430" width="8.33203125" style="7" customWidth="1"/>
    <col min="8431" max="8431" width="10.44140625" style="7" customWidth="1"/>
    <col min="8432" max="8432" width="14.6640625" style="7" bestFit="1" customWidth="1"/>
    <col min="8433" max="8433" width="18.88671875" style="7" bestFit="1" customWidth="1"/>
    <col min="8434" max="8434" width="16" style="7" bestFit="1" customWidth="1"/>
    <col min="8435" max="8435" width="14.44140625" style="7" customWidth="1"/>
    <col min="8436" max="8436" width="17" style="7" customWidth="1"/>
    <col min="8437" max="8454" width="15.6640625" style="7" customWidth="1"/>
    <col min="8455" max="8683" width="9.109375" style="7"/>
    <col min="8684" max="8684" width="15.44140625" style="7" customWidth="1"/>
    <col min="8685" max="8685" width="58.109375" style="7" customWidth="1"/>
    <col min="8686" max="8686" width="8.33203125" style="7" customWidth="1"/>
    <col min="8687" max="8687" width="10.44140625" style="7" customWidth="1"/>
    <col min="8688" max="8688" width="14.6640625" style="7" bestFit="1" customWidth="1"/>
    <col min="8689" max="8689" width="18.88671875" style="7" bestFit="1" customWidth="1"/>
    <col min="8690" max="8690" width="16" style="7" bestFit="1" customWidth="1"/>
    <col min="8691" max="8691" width="14.44140625" style="7" customWidth="1"/>
    <col min="8692" max="8692" width="17" style="7" customWidth="1"/>
    <col min="8693" max="8710" width="15.6640625" style="7" customWidth="1"/>
    <col min="8711" max="8939" width="9.109375" style="7"/>
    <col min="8940" max="8940" width="15.44140625" style="7" customWidth="1"/>
    <col min="8941" max="8941" width="58.109375" style="7" customWidth="1"/>
    <col min="8942" max="8942" width="8.33203125" style="7" customWidth="1"/>
    <col min="8943" max="8943" width="10.44140625" style="7" customWidth="1"/>
    <col min="8944" max="8944" width="14.6640625" style="7" bestFit="1" customWidth="1"/>
    <col min="8945" max="8945" width="18.88671875" style="7" bestFit="1" customWidth="1"/>
    <col min="8946" max="8946" width="16" style="7" bestFit="1" customWidth="1"/>
    <col min="8947" max="8947" width="14.44140625" style="7" customWidth="1"/>
    <col min="8948" max="8948" width="17" style="7" customWidth="1"/>
    <col min="8949" max="8966" width="15.6640625" style="7" customWidth="1"/>
    <col min="8967" max="9195" width="9.109375" style="7"/>
    <col min="9196" max="9196" width="15.44140625" style="7" customWidth="1"/>
    <col min="9197" max="9197" width="58.109375" style="7" customWidth="1"/>
    <col min="9198" max="9198" width="8.33203125" style="7" customWidth="1"/>
    <col min="9199" max="9199" width="10.44140625" style="7" customWidth="1"/>
    <col min="9200" max="9200" width="14.6640625" style="7" bestFit="1" customWidth="1"/>
    <col min="9201" max="9201" width="18.88671875" style="7" bestFit="1" customWidth="1"/>
    <col min="9202" max="9202" width="16" style="7" bestFit="1" customWidth="1"/>
    <col min="9203" max="9203" width="14.44140625" style="7" customWidth="1"/>
    <col min="9204" max="9204" width="17" style="7" customWidth="1"/>
    <col min="9205" max="9222" width="15.6640625" style="7" customWidth="1"/>
    <col min="9223" max="9451" width="9.109375" style="7"/>
    <col min="9452" max="9452" width="15.44140625" style="7" customWidth="1"/>
    <col min="9453" max="9453" width="58.109375" style="7" customWidth="1"/>
    <col min="9454" max="9454" width="8.33203125" style="7" customWidth="1"/>
    <col min="9455" max="9455" width="10.44140625" style="7" customWidth="1"/>
    <col min="9456" max="9456" width="14.6640625" style="7" bestFit="1" customWidth="1"/>
    <col min="9457" max="9457" width="18.88671875" style="7" bestFit="1" customWidth="1"/>
    <col min="9458" max="9458" width="16" style="7" bestFit="1" customWidth="1"/>
    <col min="9459" max="9459" width="14.44140625" style="7" customWidth="1"/>
    <col min="9460" max="9460" width="17" style="7" customWidth="1"/>
    <col min="9461" max="9478" width="15.6640625" style="7" customWidth="1"/>
    <col min="9479" max="9707" width="9.109375" style="7"/>
    <col min="9708" max="9708" width="15.44140625" style="7" customWidth="1"/>
    <col min="9709" max="9709" width="58.109375" style="7" customWidth="1"/>
    <col min="9710" max="9710" width="8.33203125" style="7" customWidth="1"/>
    <col min="9711" max="9711" width="10.44140625" style="7" customWidth="1"/>
    <col min="9712" max="9712" width="14.6640625" style="7" bestFit="1" customWidth="1"/>
    <col min="9713" max="9713" width="18.88671875" style="7" bestFit="1" customWidth="1"/>
    <col min="9714" max="9714" width="16" style="7" bestFit="1" customWidth="1"/>
    <col min="9715" max="9715" width="14.44140625" style="7" customWidth="1"/>
    <col min="9716" max="9716" width="17" style="7" customWidth="1"/>
    <col min="9717" max="9734" width="15.6640625" style="7" customWidth="1"/>
    <col min="9735" max="9963" width="9.109375" style="7"/>
    <col min="9964" max="9964" width="15.44140625" style="7" customWidth="1"/>
    <col min="9965" max="9965" width="58.109375" style="7" customWidth="1"/>
    <col min="9966" max="9966" width="8.33203125" style="7" customWidth="1"/>
    <col min="9967" max="9967" width="10.44140625" style="7" customWidth="1"/>
    <col min="9968" max="9968" width="14.6640625" style="7" bestFit="1" customWidth="1"/>
    <col min="9969" max="9969" width="18.88671875" style="7" bestFit="1" customWidth="1"/>
    <col min="9970" max="9970" width="16" style="7" bestFit="1" customWidth="1"/>
    <col min="9971" max="9971" width="14.44140625" style="7" customWidth="1"/>
    <col min="9972" max="9972" width="17" style="7" customWidth="1"/>
    <col min="9973" max="9990" width="15.6640625" style="7" customWidth="1"/>
    <col min="9991" max="10219" width="9.109375" style="7"/>
    <col min="10220" max="10220" width="15.44140625" style="7" customWidth="1"/>
    <col min="10221" max="10221" width="58.109375" style="7" customWidth="1"/>
    <col min="10222" max="10222" width="8.33203125" style="7" customWidth="1"/>
    <col min="10223" max="10223" width="10.44140625" style="7" customWidth="1"/>
    <col min="10224" max="10224" width="14.6640625" style="7" bestFit="1" customWidth="1"/>
    <col min="10225" max="10225" width="18.88671875" style="7" bestFit="1" customWidth="1"/>
    <col min="10226" max="10226" width="16" style="7" bestFit="1" customWidth="1"/>
    <col min="10227" max="10227" width="14.44140625" style="7" customWidth="1"/>
    <col min="10228" max="10228" width="17" style="7" customWidth="1"/>
    <col min="10229" max="10246" width="15.6640625" style="7" customWidth="1"/>
    <col min="10247" max="10475" width="9.109375" style="7"/>
    <col min="10476" max="10476" width="15.44140625" style="7" customWidth="1"/>
    <col min="10477" max="10477" width="58.109375" style="7" customWidth="1"/>
    <col min="10478" max="10478" width="8.33203125" style="7" customWidth="1"/>
    <col min="10479" max="10479" width="10.44140625" style="7" customWidth="1"/>
    <col min="10480" max="10480" width="14.6640625" style="7" bestFit="1" customWidth="1"/>
    <col min="10481" max="10481" width="18.88671875" style="7" bestFit="1" customWidth="1"/>
    <col min="10482" max="10482" width="16" style="7" bestFit="1" customWidth="1"/>
    <col min="10483" max="10483" width="14.44140625" style="7" customWidth="1"/>
    <col min="10484" max="10484" width="17" style="7" customWidth="1"/>
    <col min="10485" max="10502" width="15.6640625" style="7" customWidth="1"/>
    <col min="10503" max="10731" width="9.109375" style="7"/>
    <col min="10732" max="10732" width="15.44140625" style="7" customWidth="1"/>
    <col min="10733" max="10733" width="58.109375" style="7" customWidth="1"/>
    <col min="10734" max="10734" width="8.33203125" style="7" customWidth="1"/>
    <col min="10735" max="10735" width="10.44140625" style="7" customWidth="1"/>
    <col min="10736" max="10736" width="14.6640625" style="7" bestFit="1" customWidth="1"/>
    <col min="10737" max="10737" width="18.88671875" style="7" bestFit="1" customWidth="1"/>
    <col min="10738" max="10738" width="16" style="7" bestFit="1" customWidth="1"/>
    <col min="10739" max="10739" width="14.44140625" style="7" customWidth="1"/>
    <col min="10740" max="10740" width="17" style="7" customWidth="1"/>
    <col min="10741" max="10758" width="15.6640625" style="7" customWidth="1"/>
    <col min="10759" max="10987" width="9.109375" style="7"/>
    <col min="10988" max="10988" width="15.44140625" style="7" customWidth="1"/>
    <col min="10989" max="10989" width="58.109375" style="7" customWidth="1"/>
    <col min="10990" max="10990" width="8.33203125" style="7" customWidth="1"/>
    <col min="10991" max="10991" width="10.44140625" style="7" customWidth="1"/>
    <col min="10992" max="10992" width="14.6640625" style="7" bestFit="1" customWidth="1"/>
    <col min="10993" max="10993" width="18.88671875" style="7" bestFit="1" customWidth="1"/>
    <col min="10994" max="10994" width="16" style="7" bestFit="1" customWidth="1"/>
    <col min="10995" max="10995" width="14.44140625" style="7" customWidth="1"/>
    <col min="10996" max="10996" width="17" style="7" customWidth="1"/>
    <col min="10997" max="11014" width="15.6640625" style="7" customWidth="1"/>
    <col min="11015" max="11243" width="9.109375" style="7"/>
    <col min="11244" max="11244" width="15.44140625" style="7" customWidth="1"/>
    <col min="11245" max="11245" width="58.109375" style="7" customWidth="1"/>
    <col min="11246" max="11246" width="8.33203125" style="7" customWidth="1"/>
    <col min="11247" max="11247" width="10.44140625" style="7" customWidth="1"/>
    <col min="11248" max="11248" width="14.6640625" style="7" bestFit="1" customWidth="1"/>
    <col min="11249" max="11249" width="18.88671875" style="7" bestFit="1" customWidth="1"/>
    <col min="11250" max="11250" width="16" style="7" bestFit="1" customWidth="1"/>
    <col min="11251" max="11251" width="14.44140625" style="7" customWidth="1"/>
    <col min="11252" max="11252" width="17" style="7" customWidth="1"/>
    <col min="11253" max="11270" width="15.6640625" style="7" customWidth="1"/>
    <col min="11271" max="11499" width="9.109375" style="7"/>
    <col min="11500" max="11500" width="15.44140625" style="7" customWidth="1"/>
    <col min="11501" max="11501" width="58.109375" style="7" customWidth="1"/>
    <col min="11502" max="11502" width="8.33203125" style="7" customWidth="1"/>
    <col min="11503" max="11503" width="10.44140625" style="7" customWidth="1"/>
    <col min="11504" max="11504" width="14.6640625" style="7" bestFit="1" customWidth="1"/>
    <col min="11505" max="11505" width="18.88671875" style="7" bestFit="1" customWidth="1"/>
    <col min="11506" max="11506" width="16" style="7" bestFit="1" customWidth="1"/>
    <col min="11507" max="11507" width="14.44140625" style="7" customWidth="1"/>
    <col min="11508" max="11508" width="17" style="7" customWidth="1"/>
    <col min="11509" max="11526" width="15.6640625" style="7" customWidth="1"/>
    <col min="11527" max="11755" width="9.109375" style="7"/>
    <col min="11756" max="11756" width="15.44140625" style="7" customWidth="1"/>
    <col min="11757" max="11757" width="58.109375" style="7" customWidth="1"/>
    <col min="11758" max="11758" width="8.33203125" style="7" customWidth="1"/>
    <col min="11759" max="11759" width="10.44140625" style="7" customWidth="1"/>
    <col min="11760" max="11760" width="14.6640625" style="7" bestFit="1" customWidth="1"/>
    <col min="11761" max="11761" width="18.88671875" style="7" bestFit="1" customWidth="1"/>
    <col min="11762" max="11762" width="16" style="7" bestFit="1" customWidth="1"/>
    <col min="11763" max="11763" width="14.44140625" style="7" customWidth="1"/>
    <col min="11764" max="11764" width="17" style="7" customWidth="1"/>
    <col min="11765" max="11782" width="15.6640625" style="7" customWidth="1"/>
    <col min="11783" max="12011" width="9.109375" style="7"/>
    <col min="12012" max="12012" width="15.44140625" style="7" customWidth="1"/>
    <col min="12013" max="12013" width="58.109375" style="7" customWidth="1"/>
    <col min="12014" max="12014" width="8.33203125" style="7" customWidth="1"/>
    <col min="12015" max="12015" width="10.44140625" style="7" customWidth="1"/>
    <col min="12016" max="12016" width="14.6640625" style="7" bestFit="1" customWidth="1"/>
    <col min="12017" max="12017" width="18.88671875" style="7" bestFit="1" customWidth="1"/>
    <col min="12018" max="12018" width="16" style="7" bestFit="1" customWidth="1"/>
    <col min="12019" max="12019" width="14.44140625" style="7" customWidth="1"/>
    <col min="12020" max="12020" width="17" style="7" customWidth="1"/>
    <col min="12021" max="12038" width="15.6640625" style="7" customWidth="1"/>
    <col min="12039" max="12267" width="9.109375" style="7"/>
    <col min="12268" max="12268" width="15.44140625" style="7" customWidth="1"/>
    <col min="12269" max="12269" width="58.109375" style="7" customWidth="1"/>
    <col min="12270" max="12270" width="8.33203125" style="7" customWidth="1"/>
    <col min="12271" max="12271" width="10.44140625" style="7" customWidth="1"/>
    <col min="12272" max="12272" width="14.6640625" style="7" bestFit="1" customWidth="1"/>
    <col min="12273" max="12273" width="18.88671875" style="7" bestFit="1" customWidth="1"/>
    <col min="12274" max="12274" width="16" style="7" bestFit="1" customWidth="1"/>
    <col min="12275" max="12275" width="14.44140625" style="7" customWidth="1"/>
    <col min="12276" max="12276" width="17" style="7" customWidth="1"/>
    <col min="12277" max="12294" width="15.6640625" style="7" customWidth="1"/>
    <col min="12295" max="12523" width="9.109375" style="7"/>
    <col min="12524" max="12524" width="15.44140625" style="7" customWidth="1"/>
    <col min="12525" max="12525" width="58.109375" style="7" customWidth="1"/>
    <col min="12526" max="12526" width="8.33203125" style="7" customWidth="1"/>
    <col min="12527" max="12527" width="10.44140625" style="7" customWidth="1"/>
    <col min="12528" max="12528" width="14.6640625" style="7" bestFit="1" customWidth="1"/>
    <col min="12529" max="12529" width="18.88671875" style="7" bestFit="1" customWidth="1"/>
    <col min="12530" max="12530" width="16" style="7" bestFit="1" customWidth="1"/>
    <col min="12531" max="12531" width="14.44140625" style="7" customWidth="1"/>
    <col min="12532" max="12532" width="17" style="7" customWidth="1"/>
    <col min="12533" max="12550" width="15.6640625" style="7" customWidth="1"/>
    <col min="12551" max="12779" width="9.109375" style="7"/>
    <col min="12780" max="12780" width="15.44140625" style="7" customWidth="1"/>
    <col min="12781" max="12781" width="58.109375" style="7" customWidth="1"/>
    <col min="12782" max="12782" width="8.33203125" style="7" customWidth="1"/>
    <col min="12783" max="12783" width="10.44140625" style="7" customWidth="1"/>
    <col min="12784" max="12784" width="14.6640625" style="7" bestFit="1" customWidth="1"/>
    <col min="12785" max="12785" width="18.88671875" style="7" bestFit="1" customWidth="1"/>
    <col min="12786" max="12786" width="16" style="7" bestFit="1" customWidth="1"/>
    <col min="12787" max="12787" width="14.44140625" style="7" customWidth="1"/>
    <col min="12788" max="12788" width="17" style="7" customWidth="1"/>
    <col min="12789" max="12806" width="15.6640625" style="7" customWidth="1"/>
    <col min="12807" max="13035" width="9.109375" style="7"/>
    <col min="13036" max="13036" width="15.44140625" style="7" customWidth="1"/>
    <col min="13037" max="13037" width="58.109375" style="7" customWidth="1"/>
    <col min="13038" max="13038" width="8.33203125" style="7" customWidth="1"/>
    <col min="13039" max="13039" width="10.44140625" style="7" customWidth="1"/>
    <col min="13040" max="13040" width="14.6640625" style="7" bestFit="1" customWidth="1"/>
    <col min="13041" max="13041" width="18.88671875" style="7" bestFit="1" customWidth="1"/>
    <col min="13042" max="13042" width="16" style="7" bestFit="1" customWidth="1"/>
    <col min="13043" max="13043" width="14.44140625" style="7" customWidth="1"/>
    <col min="13044" max="13044" width="17" style="7" customWidth="1"/>
    <col min="13045" max="13062" width="15.6640625" style="7" customWidth="1"/>
    <col min="13063" max="13291" width="9.109375" style="7"/>
    <col min="13292" max="13292" width="15.44140625" style="7" customWidth="1"/>
    <col min="13293" max="13293" width="58.109375" style="7" customWidth="1"/>
    <col min="13294" max="13294" width="8.33203125" style="7" customWidth="1"/>
    <col min="13295" max="13295" width="10.44140625" style="7" customWidth="1"/>
    <col min="13296" max="13296" width="14.6640625" style="7" bestFit="1" customWidth="1"/>
    <col min="13297" max="13297" width="18.88671875" style="7" bestFit="1" customWidth="1"/>
    <col min="13298" max="13298" width="16" style="7" bestFit="1" customWidth="1"/>
    <col min="13299" max="13299" width="14.44140625" style="7" customWidth="1"/>
    <col min="13300" max="13300" width="17" style="7" customWidth="1"/>
    <col min="13301" max="13318" width="15.6640625" style="7" customWidth="1"/>
    <col min="13319" max="13547" width="9.109375" style="7"/>
    <col min="13548" max="13548" width="15.44140625" style="7" customWidth="1"/>
    <col min="13549" max="13549" width="58.109375" style="7" customWidth="1"/>
    <col min="13550" max="13550" width="8.33203125" style="7" customWidth="1"/>
    <col min="13551" max="13551" width="10.44140625" style="7" customWidth="1"/>
    <col min="13552" max="13552" width="14.6640625" style="7" bestFit="1" customWidth="1"/>
    <col min="13553" max="13553" width="18.88671875" style="7" bestFit="1" customWidth="1"/>
    <col min="13554" max="13554" width="16" style="7" bestFit="1" customWidth="1"/>
    <col min="13555" max="13555" width="14.44140625" style="7" customWidth="1"/>
    <col min="13556" max="13556" width="17" style="7" customWidth="1"/>
    <col min="13557" max="13574" width="15.6640625" style="7" customWidth="1"/>
    <col min="13575" max="13803" width="9.109375" style="7"/>
    <col min="13804" max="13804" width="15.44140625" style="7" customWidth="1"/>
    <col min="13805" max="13805" width="58.109375" style="7" customWidth="1"/>
    <col min="13806" max="13806" width="8.33203125" style="7" customWidth="1"/>
    <col min="13807" max="13807" width="10.44140625" style="7" customWidth="1"/>
    <col min="13808" max="13808" width="14.6640625" style="7" bestFit="1" customWidth="1"/>
    <col min="13809" max="13809" width="18.88671875" style="7" bestFit="1" customWidth="1"/>
    <col min="13810" max="13810" width="16" style="7" bestFit="1" customWidth="1"/>
    <col min="13811" max="13811" width="14.44140625" style="7" customWidth="1"/>
    <col min="13812" max="13812" width="17" style="7" customWidth="1"/>
    <col min="13813" max="13830" width="15.6640625" style="7" customWidth="1"/>
    <col min="13831" max="14059" width="9.109375" style="7"/>
    <col min="14060" max="14060" width="15.44140625" style="7" customWidth="1"/>
    <col min="14061" max="14061" width="58.109375" style="7" customWidth="1"/>
    <col min="14062" max="14062" width="8.33203125" style="7" customWidth="1"/>
    <col min="14063" max="14063" width="10.44140625" style="7" customWidth="1"/>
    <col min="14064" max="14064" width="14.6640625" style="7" bestFit="1" customWidth="1"/>
    <col min="14065" max="14065" width="18.88671875" style="7" bestFit="1" customWidth="1"/>
    <col min="14066" max="14066" width="16" style="7" bestFit="1" customWidth="1"/>
    <col min="14067" max="14067" width="14.44140625" style="7" customWidth="1"/>
    <col min="14068" max="14068" width="17" style="7" customWidth="1"/>
    <col min="14069" max="14086" width="15.6640625" style="7" customWidth="1"/>
    <col min="14087" max="14315" width="9.109375" style="7"/>
    <col min="14316" max="14316" width="15.44140625" style="7" customWidth="1"/>
    <col min="14317" max="14317" width="58.109375" style="7" customWidth="1"/>
    <col min="14318" max="14318" width="8.33203125" style="7" customWidth="1"/>
    <col min="14319" max="14319" width="10.44140625" style="7" customWidth="1"/>
    <col min="14320" max="14320" width="14.6640625" style="7" bestFit="1" customWidth="1"/>
    <col min="14321" max="14321" width="18.88671875" style="7" bestFit="1" customWidth="1"/>
    <col min="14322" max="14322" width="16" style="7" bestFit="1" customWidth="1"/>
    <col min="14323" max="14323" width="14.44140625" style="7" customWidth="1"/>
    <col min="14324" max="14324" width="17" style="7" customWidth="1"/>
    <col min="14325" max="14342" width="15.6640625" style="7" customWidth="1"/>
    <col min="14343" max="14571" width="9.109375" style="7"/>
    <col min="14572" max="14572" width="15.44140625" style="7" customWidth="1"/>
    <col min="14573" max="14573" width="58.109375" style="7" customWidth="1"/>
    <col min="14574" max="14574" width="8.33203125" style="7" customWidth="1"/>
    <col min="14575" max="14575" width="10.44140625" style="7" customWidth="1"/>
    <col min="14576" max="14576" width="14.6640625" style="7" bestFit="1" customWidth="1"/>
    <col min="14577" max="14577" width="18.88671875" style="7" bestFit="1" customWidth="1"/>
    <col min="14578" max="14578" width="16" style="7" bestFit="1" customWidth="1"/>
    <col min="14579" max="14579" width="14.44140625" style="7" customWidth="1"/>
    <col min="14580" max="14580" width="17" style="7" customWidth="1"/>
    <col min="14581" max="14598" width="15.6640625" style="7" customWidth="1"/>
    <col min="14599" max="14827" width="9.109375" style="7"/>
    <col min="14828" max="14828" width="15.44140625" style="7" customWidth="1"/>
    <col min="14829" max="14829" width="58.109375" style="7" customWidth="1"/>
    <col min="14830" max="14830" width="8.33203125" style="7" customWidth="1"/>
    <col min="14831" max="14831" width="10.44140625" style="7" customWidth="1"/>
    <col min="14832" max="14832" width="14.6640625" style="7" bestFit="1" customWidth="1"/>
    <col min="14833" max="14833" width="18.88671875" style="7" bestFit="1" customWidth="1"/>
    <col min="14834" max="14834" width="16" style="7" bestFit="1" customWidth="1"/>
    <col min="14835" max="14835" width="14.44140625" style="7" customWidth="1"/>
    <col min="14836" max="14836" width="17" style="7" customWidth="1"/>
    <col min="14837" max="14854" width="15.6640625" style="7" customWidth="1"/>
    <col min="14855" max="15083" width="9.109375" style="7"/>
    <col min="15084" max="15084" width="15.44140625" style="7" customWidth="1"/>
    <col min="15085" max="15085" width="58.109375" style="7" customWidth="1"/>
    <col min="15086" max="15086" width="8.33203125" style="7" customWidth="1"/>
    <col min="15087" max="15087" width="10.44140625" style="7" customWidth="1"/>
    <col min="15088" max="15088" width="14.6640625" style="7" bestFit="1" customWidth="1"/>
    <col min="15089" max="15089" width="18.88671875" style="7" bestFit="1" customWidth="1"/>
    <col min="15090" max="15090" width="16" style="7" bestFit="1" customWidth="1"/>
    <col min="15091" max="15091" width="14.44140625" style="7" customWidth="1"/>
    <col min="15092" max="15092" width="17" style="7" customWidth="1"/>
    <col min="15093" max="15110" width="15.6640625" style="7" customWidth="1"/>
    <col min="15111" max="15339" width="9.109375" style="7"/>
    <col min="15340" max="15340" width="15.44140625" style="7" customWidth="1"/>
    <col min="15341" max="15341" width="58.109375" style="7" customWidth="1"/>
    <col min="15342" max="15342" width="8.33203125" style="7" customWidth="1"/>
    <col min="15343" max="15343" width="10.44140625" style="7" customWidth="1"/>
    <col min="15344" max="15344" width="14.6640625" style="7" bestFit="1" customWidth="1"/>
    <col min="15345" max="15345" width="18.88671875" style="7" bestFit="1" customWidth="1"/>
    <col min="15346" max="15346" width="16" style="7" bestFit="1" customWidth="1"/>
    <col min="15347" max="15347" width="14.44140625" style="7" customWidth="1"/>
    <col min="15348" max="15348" width="17" style="7" customWidth="1"/>
    <col min="15349" max="15366" width="15.6640625" style="7" customWidth="1"/>
    <col min="15367" max="15595" width="9.109375" style="7"/>
    <col min="15596" max="15596" width="15.44140625" style="7" customWidth="1"/>
    <col min="15597" max="15597" width="58.109375" style="7" customWidth="1"/>
    <col min="15598" max="15598" width="8.33203125" style="7" customWidth="1"/>
    <col min="15599" max="15599" width="10.44140625" style="7" customWidth="1"/>
    <col min="15600" max="15600" width="14.6640625" style="7" bestFit="1" customWidth="1"/>
    <col min="15601" max="15601" width="18.88671875" style="7" bestFit="1" customWidth="1"/>
    <col min="15602" max="15602" width="16" style="7" bestFit="1" customWidth="1"/>
    <col min="15603" max="15603" width="14.44140625" style="7" customWidth="1"/>
    <col min="15604" max="15604" width="17" style="7" customWidth="1"/>
    <col min="15605" max="15622" width="15.6640625" style="7" customWidth="1"/>
    <col min="15623" max="15851" width="9.109375" style="7"/>
    <col min="15852" max="15852" width="15.44140625" style="7" customWidth="1"/>
    <col min="15853" max="15853" width="58.109375" style="7" customWidth="1"/>
    <col min="15854" max="15854" width="8.33203125" style="7" customWidth="1"/>
    <col min="15855" max="15855" width="10.44140625" style="7" customWidth="1"/>
    <col min="15856" max="15856" width="14.6640625" style="7" bestFit="1" customWidth="1"/>
    <col min="15857" max="15857" width="18.88671875" style="7" bestFit="1" customWidth="1"/>
    <col min="15858" max="15858" width="16" style="7" bestFit="1" customWidth="1"/>
    <col min="15859" max="15859" width="14.44140625" style="7" customWidth="1"/>
    <col min="15860" max="15860" width="17" style="7" customWidth="1"/>
    <col min="15861" max="15878" width="15.6640625" style="7" customWidth="1"/>
    <col min="15879" max="16107" width="9.109375" style="7"/>
    <col min="16108" max="16108" width="15.44140625" style="7" customWidth="1"/>
    <col min="16109" max="16109" width="58.109375" style="7" customWidth="1"/>
    <col min="16110" max="16110" width="8.33203125" style="7" customWidth="1"/>
    <col min="16111" max="16111" width="10.44140625" style="7" customWidth="1"/>
    <col min="16112" max="16112" width="14.6640625" style="7" bestFit="1" customWidth="1"/>
    <col min="16113" max="16113" width="18.88671875" style="7" bestFit="1" customWidth="1"/>
    <col min="16114" max="16114" width="16" style="7" bestFit="1" customWidth="1"/>
    <col min="16115" max="16115" width="14.44140625" style="7" customWidth="1"/>
    <col min="16116" max="16116" width="17" style="7" customWidth="1"/>
    <col min="16117" max="16134" width="15.6640625" style="7" customWidth="1"/>
    <col min="16135" max="16384" width="9.109375" style="7"/>
  </cols>
  <sheetData>
    <row r="1" spans="1:13" ht="36.75" hidden="1" customHeight="1" thickTop="1">
      <c r="A1" s="688"/>
      <c r="B1" s="689"/>
      <c r="C1" s="689"/>
      <c r="D1" s="689"/>
      <c r="E1" s="689"/>
      <c r="F1" s="689"/>
      <c r="G1" s="689"/>
      <c r="H1" s="689"/>
      <c r="I1" s="690"/>
      <c r="M1" s="7" t="s">
        <v>26986</v>
      </c>
    </row>
    <row r="2" spans="1:13" ht="12.75" hidden="1" customHeight="1">
      <c r="A2" s="703"/>
      <c r="B2" s="704"/>
      <c r="C2" s="704"/>
      <c r="D2" s="704"/>
      <c r="E2" s="704"/>
      <c r="F2" s="705"/>
      <c r="G2" s="691" t="s">
        <v>23527</v>
      </c>
      <c r="H2" s="692"/>
      <c r="I2" s="693"/>
      <c r="K2" s="542">
        <v>0.33250000000000002</v>
      </c>
      <c r="M2" s="542">
        <v>0.15570000000000001</v>
      </c>
    </row>
    <row r="3" spans="1:13" ht="38.25" hidden="1" customHeight="1">
      <c r="A3" s="706"/>
      <c r="B3" s="707"/>
      <c r="C3" s="707"/>
      <c r="D3" s="707"/>
      <c r="E3" s="707"/>
      <c r="F3" s="708"/>
      <c r="G3" s="694" t="s">
        <v>27017</v>
      </c>
      <c r="H3" s="695"/>
      <c r="I3" s="696"/>
    </row>
    <row r="4" spans="1:13" customFormat="1" ht="24.75" customHeight="1">
      <c r="A4" s="697" t="s">
        <v>1795</v>
      </c>
      <c r="B4" s="698"/>
      <c r="C4" s="698"/>
      <c r="D4" s="698"/>
      <c r="E4" s="698"/>
      <c r="F4" s="698"/>
      <c r="G4" s="698"/>
      <c r="H4" s="698"/>
      <c r="I4" s="699"/>
      <c r="K4" s="70">
        <v>0.31009999999999999</v>
      </c>
      <c r="M4" s="635">
        <v>0.15570000000000001</v>
      </c>
    </row>
    <row r="5" spans="1:13" s="231" customFormat="1" ht="44.25" customHeight="1">
      <c r="A5" s="548" t="s">
        <v>1</v>
      </c>
      <c r="B5" s="549" t="s">
        <v>24</v>
      </c>
      <c r="C5" s="549" t="s">
        <v>25</v>
      </c>
      <c r="D5" s="549" t="s">
        <v>20</v>
      </c>
      <c r="E5" s="550" t="s">
        <v>21</v>
      </c>
      <c r="F5" s="596" t="s">
        <v>22</v>
      </c>
      <c r="G5" s="551" t="s">
        <v>2132</v>
      </c>
      <c r="H5" s="551" t="s">
        <v>23</v>
      </c>
      <c r="I5" s="552" t="s">
        <v>5</v>
      </c>
      <c r="K5" s="545"/>
    </row>
    <row r="6" spans="1:13" s="226" customFormat="1">
      <c r="A6" s="561" t="s">
        <v>6</v>
      </c>
      <c r="B6" s="562"/>
      <c r="C6" s="563"/>
      <c r="D6" s="564" t="s">
        <v>26</v>
      </c>
      <c r="E6" s="565"/>
      <c r="F6" s="597"/>
      <c r="G6" s="566"/>
      <c r="H6" s="567"/>
      <c r="I6" s="568"/>
      <c r="J6" s="518"/>
    </row>
    <row r="7" spans="1:13" s="536" customFormat="1">
      <c r="A7" s="553" t="s">
        <v>27</v>
      </c>
      <c r="B7" s="554"/>
      <c r="C7" s="555"/>
      <c r="D7" s="556" t="s">
        <v>1112</v>
      </c>
      <c r="E7" s="557"/>
      <c r="F7" s="598"/>
      <c r="G7" s="558"/>
      <c r="H7" s="559"/>
      <c r="I7" s="560"/>
      <c r="J7" s="535"/>
    </row>
    <row r="8" spans="1:13">
      <c r="A8" s="613" t="s">
        <v>28</v>
      </c>
      <c r="B8" s="337" t="s">
        <v>2879</v>
      </c>
      <c r="C8" s="337">
        <f>10401</f>
        <v>10401</v>
      </c>
      <c r="D8" s="539" t="str">
        <f>IF(B8="IOPES",VLOOKUP(C8,'LABOR-SERVIÇOS'!A:H,5,FALSE),IF(B8="SINAPI",VLOOKUP(C8,'SINAPI-SERVIÇOS'!A:D,2,FALSE),IF(LEFT(C8,3)="ARQ",VLOOKUP(VALUE(RIGHT(C8,3)),'ARQ-COMP'!B:J,4,FALSE),IF(LEFT(C8,3)="SCI",VLOOKUP(VALUE(RIGHT(C8,3)),'GAS-COMP'!#REF!,4,FALSE),IF(LEFT(C8,3)="SCE",VLOOKUP(VALUE(RIGHT(C8,3)),'SCE-COMP'!B:J,4,FALSE),IF(LEFT(C8,3)="EST",VLOOKUP(VALUE(RIGHT(C8,3)),'EST-COMP'!B:J,4,FALSE),IF(LEFT(C8,3)="HID",VLOOKUP(VALUE(RIGHT(C8,3)),'HID-COMP'!B:J,4,FALSE),IF(LEFT(C8,3)="INC",VLOOKUP(VALUE(RIGHT(C8,3)),'INC-COMP'!B:J,4,FALSE),IF(LEFT(C8,3)="ELE",VLOOKUP(VALUE(RIGHT(C8,3)),#REF!,4,FALSE),IF(LEFT(C8,3)="CAB",VLOOKUP(VALUE(RIGHT(C8,3)),#REF!,4,FALSE),IF(LEFT(C8,3)="SEG",VLOOKUP(VALUE(RIGHT(C8,3)),'SEG-COMP'!B:J,4,FALSE),IF(LEFT(C8,3)="CLI",VLOOKUP(VALUE(RIGHT(C8,3)),'CLI-COMP'!B:J,4,FALSE),IF(LEFT(C8,4)="IMPL",VLOOKUP(VALUE(RIGHT(C8,3)),'IMPL-COMP'!B:J,4,FALSE),IF(LEFT(C8,4)="SPDA",VLOOKUP(VALUE(RIGHT(C8,3)),'SPDA-COMP'!B:J,4,FALSE),IF(LEFT(C8,4)="SDAI",VLOOKUP(VALUE(RIGHT(C8,3)),'ADM-COMP'!B:J,4,FALSE),IF(LEFT(C8,5)="IMPER",VLOOKUP(VALUE(RIGHT(C8,3)),'IMPER-COMP'!B:J,4,FALSE),""))))))))))))))))</f>
        <v>CORTE DE CAPOEIRA FINA, A FOICE (MANUAL)</v>
      </c>
      <c r="E8" s="338" t="str">
        <f>IF(B8="IOPES",VLOOKUP(C8,'LABOR-SERVIÇOS'!A:H,6,FALSE),IF(B8="SINAPI",VLOOKUP(C8,'SINAPI-SERVIÇOS'!A:D,3,FALSE),IF(LEFT(C8,3)="ARQ",VLOOKUP(VALUE(RIGHT(C8,3)),'ARQ-COMP'!B:J,5,FALSE),IF(LEFT(C8,3)="SCI",VLOOKUP(VALUE(RIGHT(C8,3)),'GAS-COMP'!#REF!,5,FALSE),IF(LEFT(C8,3)="SCE",VLOOKUP(VALUE(RIGHT(C8,3)),'SCE-COMP'!B:J,5,FALSE),IF(LEFT(C8,3)="EST",VLOOKUP(VALUE(RIGHT(C8,3)),'EST-COMP'!B:J,5,FALSE),IF(LEFT(C8,3)="HID",VLOOKUP(VALUE(RIGHT(C8,3)),'HID-COMP'!B:J,5,FALSE),IF(LEFT(C8,3)="INC",VLOOKUP(VALUE(RIGHT(C8,3)),'INC-COMP'!B:J,5,FALSE),IF(LEFT(C8,3)="ELE",VLOOKUP(VALUE(RIGHT(C8,3)),#REF!,5,FALSE),IF(LEFT(C8,3)="CAB",VLOOKUP(VALUE(RIGHT(C8,3)),#REF!,5,FALSE),IF(LEFT(C8,3)="SEG",VLOOKUP(VALUE(RIGHT(C8,3)),'SEG-COMP'!B:J,5,FALSE),IF(LEFT(C8,3)="CLI",VLOOKUP(VALUE(RIGHT(C8,3)),'CLI-COMP'!B:J,5,FALSE),IF(LEFT(C8,4)="IMPL",VLOOKUP(VALUE(RIGHT(C8,3)),'IMPL-COMP'!B:J,5,FALSE),IF(LEFT(C8,4)="SPDA",VLOOKUP(VALUE(RIGHT(C8,3)),'SPDA-COMP'!B:J,5,FALSE),IF(LEFT(C8,4)="SDAI",VLOOKUP(VALUE(RIGHT(C8,3)),'ADM-COMP'!B:J,5,FALSE),IF(LEFT(C8,5)="IMPER",VLOOKUP(VALUE(RIGHT(C8,3)),'IMPER-COMP'!B:J,5,FALSE),""))))))))))))))))</f>
        <v>M2</v>
      </c>
      <c r="F8" s="599">
        <f>ROUND(VLOOKUP(A8,'MEM-LEVANT'!A6:I2475,9,FALSE),2)</f>
        <v>5355.9</v>
      </c>
      <c r="G8" s="339">
        <f>IF(B8="IOPES",VLOOKUP(C8,'LABOR-SERVIÇOS'!A:H,7,FALSE),IF(B8="SINAPI",VLOOKUP(C8,'SINAPI-SERVIÇOS'!A:H,8,FALSE),IF(LEFT(C8,3)="ARQ",VLOOKUP(VALUE(RIGHT(C8,3)),'ARQ-COMP'!B:J,9,FALSE),IF(LEFT(C8,3)="SCI",VLOOKUP(VALUE(RIGHT(C8,3)),'GAS-COMP'!#REF!,9,FALSE),IF(LEFT(C8,3)="SCE",VLOOKUP(VALUE(RIGHT(C8,3)),'SCE-COMP'!B:J,9,FALSE),IF(LEFT(C8,3)="EST",VLOOKUP(VALUE(RIGHT(C8,3)),'EST-COMP'!B:J,9,FALSE),IF(LEFT(C8,3)="HID",VLOOKUP(VALUE(RIGHT(C8,3)),'HID-COMP'!B:J,9,FALSE),IF(LEFT(C8,3)="INC",VLOOKUP(VALUE(RIGHT(C8,3)),'INC-COMP'!B:J,9,FALSE),IF(LEFT(C8,3)="ELE",VLOOKUP(VALUE(RIGHT(C8,3)),#REF!,9,FALSE),IF(LEFT(C8,3)="CAB",VLOOKUP(VALUE(RIGHT(C8,3)),#REF!,9,FALSE),IF(LEFT(C8,3)="SEG",VLOOKUP(VALUE(RIGHT(C8,3)),'SEG-COMP'!B:J,9,FALSE),IF(LEFT(C8,3)="CLI",VLOOKUP(VALUE(RIGHT(C8,3)),'CLI-COMP'!B:J,9,FALSE),IF(LEFT(C8,4)="IMPL",VLOOKUP(VALUE(RIGHT(C8,3)),'IMPL-COMP'!B:J,9,FALSE),IF(LEFT(C8,4)="SPDA",VLOOKUP(VALUE(RIGHT(C8,3)),'SPDA-COMP'!B:J,9,FALSE),IF(LEFT(C8,4)="SDAI",VLOOKUP(VALUE(RIGHT(C8,3)),'ADM-COMP'!B:J,9,FALSE),IF(LEFT(C8,5)="IMPER",VLOOKUP(VALUE(RIGHT(C8,3)),'IMPER-COMP'!B:J,9,FALSE),""))))))))))))))))</f>
        <v>2.0299999999999998</v>
      </c>
      <c r="H8" s="339">
        <f t="shared" ref="H8" si="0">ROUND(F8*G8,2)</f>
        <v>10872.48</v>
      </c>
      <c r="I8" s="374">
        <f>H8/$H$441</f>
        <v>6.3570944196137107E-4</v>
      </c>
      <c r="J8" s="314"/>
    </row>
    <row r="9" spans="1:13" ht="26.4">
      <c r="A9" s="613" t="s">
        <v>30</v>
      </c>
      <c r="B9" s="337" t="s">
        <v>2879</v>
      </c>
      <c r="C9" s="337">
        <f>10403</f>
        <v>10403</v>
      </c>
      <c r="D9" s="634" t="str">
        <f>IF(B9="IOPES",VLOOKUP(C9,'LABOR-SERVIÇOS'!A:H,5,FALSE),IF(B9="SINAPI",VLOOKUP(C9,'SINAPI-SERVIÇOS'!A:D,2,FALSE),IF(LEFT(C9,3)="ARQ",VLOOKUP(VALUE(RIGHT(C9,3)),'ARQ-COMP'!B:J,4,FALSE),IF(LEFT(C9,3)="SCI",VLOOKUP(VALUE(RIGHT(C9,3)),'GAS-COMP'!#REF!,4,FALSE),IF(LEFT(C9,3)="SCE",VLOOKUP(VALUE(RIGHT(C9,3)),'SCE-COMP'!B:J,4,FALSE),IF(LEFT(C9,3)="EST",VLOOKUP(VALUE(RIGHT(C9,3)),'EST-COMP'!B:J,4,FALSE),IF(LEFT(C9,3)="HID",VLOOKUP(VALUE(RIGHT(C9,3)),'HID-COMP'!B:J,4,FALSE),IF(LEFT(C9,3)="INC",VLOOKUP(VALUE(RIGHT(C9,3)),'INC-COMP'!B:J,4,FALSE),IF(LEFT(C9,3)="ELE",VLOOKUP(VALUE(RIGHT(C9,3)),#REF!,4,FALSE),IF(LEFT(C9,3)="CAB",VLOOKUP(VALUE(RIGHT(C9,3)),#REF!,4,FALSE),IF(LEFT(C9,3)="SEG",VLOOKUP(VALUE(RIGHT(C9,3)),'SEG-COMP'!B:J,4,FALSE),IF(LEFT(C9,3)="CLI",VLOOKUP(VALUE(RIGHT(C9,3)),'CLI-COMP'!B:J,4,FALSE),IF(LEFT(C9,4)="IMPL",VLOOKUP(VALUE(RIGHT(C9,3)),'IMPL-COMP'!B:J,4,FALSE),IF(LEFT(C9,4)="SPDA",VLOOKUP(VALUE(RIGHT(C9,3)),'SPDA-COMP'!B:J,4,FALSE),IF(LEFT(C9,4)="SDAI",VLOOKUP(VALUE(RIGHT(C9,3)),'ADM-COMP'!B:J,4,FALSE),IF(LEFT(C9,5)="IMPER",VLOOKUP(VALUE(RIGHT(C9,3)),'IMPER-COMP'!B:J,4,FALSE),""))))))))))))))))</f>
        <v>CORTE E DESTOCAMENTO DE ÁRVORES COM DIÂMETRO DE ATÉ 15 CM</v>
      </c>
      <c r="E9" s="338" t="str">
        <f>IF(B9="IOPES",VLOOKUP(C9,'LABOR-SERVIÇOS'!A:H,6,FALSE),IF(B9="SINAPI",VLOOKUP(C9,'SINAPI-SERVIÇOS'!A:D,3,FALSE),IF(LEFT(C9,3)="ARQ",VLOOKUP(VALUE(RIGHT(C9,3)),'ARQ-COMP'!B:J,5,FALSE),IF(LEFT(C9,3)="SCI",VLOOKUP(VALUE(RIGHT(C9,3)),'GAS-COMP'!#REF!,5,FALSE),IF(LEFT(C9,3)="SCE",VLOOKUP(VALUE(RIGHT(C9,3)),'SCE-COMP'!B:J,5,FALSE),IF(LEFT(C9,3)="EST",VLOOKUP(VALUE(RIGHT(C9,3)),'EST-COMP'!B:J,5,FALSE),IF(LEFT(C9,3)="HID",VLOOKUP(VALUE(RIGHT(C9,3)),'HID-COMP'!B:J,5,FALSE),IF(LEFT(C9,3)="INC",VLOOKUP(VALUE(RIGHT(C9,3)),'INC-COMP'!B:J,5,FALSE),IF(LEFT(C9,3)="ELE",VLOOKUP(VALUE(RIGHT(C9,3)),#REF!,5,FALSE),IF(LEFT(C9,3)="CAB",VLOOKUP(VALUE(RIGHT(C9,3)),#REF!,5,FALSE),IF(LEFT(C9,3)="SEG",VLOOKUP(VALUE(RIGHT(C9,3)),'SEG-COMP'!B:J,5,FALSE),IF(LEFT(C9,3)="CLI",VLOOKUP(VALUE(RIGHT(C9,3)),'CLI-COMP'!B:J,5,FALSE),IF(LEFT(C9,4)="IMPL",VLOOKUP(VALUE(RIGHT(C9,3)),'IMPL-COMP'!B:J,5,FALSE),IF(LEFT(C9,4)="SPDA",VLOOKUP(VALUE(RIGHT(C9,3)),'SPDA-COMP'!B:J,5,FALSE),IF(LEFT(C9,4)="SDAI",VLOOKUP(VALUE(RIGHT(C9,3)),'ADM-COMP'!B:J,5,FALSE),IF(LEFT(C9,5)="IMPER",VLOOKUP(VALUE(RIGHT(C9,3)),'IMPER-COMP'!B:J,5,FALSE),""))))))))))))))))</f>
        <v>UND</v>
      </c>
      <c r="F9" s="599">
        <f>ROUND(VLOOKUP(A9,'MEM-LEVANT'!A7:I2610,9,FALSE),2)</f>
        <v>5</v>
      </c>
      <c r="G9" s="339">
        <f>IF(B9="IOPES",VLOOKUP(C9,'LABOR-SERVIÇOS'!A:H,7,FALSE),IF(B9="SINAPI",VLOOKUP(C9,'SINAPI-SERVIÇOS'!A:H,8,FALSE),IF(LEFT(C9,3)="ARQ",VLOOKUP(VALUE(RIGHT(C9,3)),'ARQ-COMP'!B:J,9,FALSE),IF(LEFT(C9,3)="SCI",VLOOKUP(VALUE(RIGHT(C9,3)),'GAS-COMP'!#REF!,9,FALSE),IF(LEFT(C9,3)="SCE",VLOOKUP(VALUE(RIGHT(C9,3)),'SCE-COMP'!B:J,9,FALSE),IF(LEFT(C9,3)="EST",VLOOKUP(VALUE(RIGHT(C9,3)),'EST-COMP'!B:J,9,FALSE),IF(LEFT(C9,3)="HID",VLOOKUP(VALUE(RIGHT(C9,3)),'HID-COMP'!B:J,9,FALSE),IF(LEFT(C9,3)="INC",VLOOKUP(VALUE(RIGHT(C9,3)),'INC-COMP'!B:J,9,FALSE),IF(LEFT(C9,3)="ELE",VLOOKUP(VALUE(RIGHT(C9,3)),#REF!,9,FALSE),IF(LEFT(C9,3)="CAB",VLOOKUP(VALUE(RIGHT(C9,3)),#REF!,9,FALSE),IF(LEFT(C9,3)="SEG",VLOOKUP(VALUE(RIGHT(C9,3)),'SEG-COMP'!B:J,9,FALSE),IF(LEFT(C9,3)="CLI",VLOOKUP(VALUE(RIGHT(C9,3)),'CLI-COMP'!B:J,9,FALSE),IF(LEFT(C9,4)="IMPL",VLOOKUP(VALUE(RIGHT(C9,3)),'IMPL-COMP'!B:J,9,FALSE),IF(LEFT(C9,4)="SPDA",VLOOKUP(VALUE(RIGHT(C9,3)),'SPDA-COMP'!B:J,9,FALSE),IF(LEFT(C9,4)="SDAI",VLOOKUP(VALUE(RIGHT(C9,3)),'ADM-COMP'!B:J,9,FALSE),IF(LEFT(C9,5)="IMPER",VLOOKUP(VALUE(RIGHT(C9,3)),'IMPER-COMP'!B:J,9,FALSE),""))))))))))))))))</f>
        <v>78.67</v>
      </c>
      <c r="H9" s="339">
        <f t="shared" ref="H9" si="1">ROUND(F9*G9,2)</f>
        <v>393.35</v>
      </c>
      <c r="I9" s="374">
        <f>H9/$H$441</f>
        <v>2.2999013012257122E-5</v>
      </c>
      <c r="J9" s="314"/>
    </row>
    <row r="10" spans="1:13" ht="26.4">
      <c r="A10" s="613" t="s">
        <v>32</v>
      </c>
      <c r="B10" s="337" t="s">
        <v>2879</v>
      </c>
      <c r="C10" s="337">
        <f>10404</f>
        <v>10404</v>
      </c>
      <c r="D10" s="539" t="str">
        <f>IF(B10="IOPES",VLOOKUP(C10,'LABOR-SERVIÇOS'!A:H,5,FALSE),IF(B10="SINAPI",VLOOKUP(C10,'SINAPI-SERVIÇOS'!A:D,2,FALSE),IF(LEFT(C10,3)="ARQ",VLOOKUP(VALUE(RIGHT(C10,3)),'ARQ-COMP'!B:J,4,FALSE),IF(LEFT(C10,3)="SCI",VLOOKUP(VALUE(RIGHT(C10,3)),'GAS-COMP'!#REF!,4,FALSE),IF(LEFT(C10,3)="SCE",VLOOKUP(VALUE(RIGHT(C10,3)),'SCE-COMP'!B:J,4,FALSE),IF(LEFT(C10,3)="EST",VLOOKUP(VALUE(RIGHT(C10,3)),'EST-COMP'!B:J,4,FALSE),IF(LEFT(C10,3)="HID",VLOOKUP(VALUE(RIGHT(C10,3)),'HID-COMP'!B:J,4,FALSE),IF(LEFT(C10,3)="INC",VLOOKUP(VALUE(RIGHT(C10,3)),'INC-COMP'!B:J,4,FALSE),IF(LEFT(C10,3)="ELE",VLOOKUP(VALUE(RIGHT(C10,3)),#REF!,4,FALSE),IF(LEFT(C10,3)="CAB",VLOOKUP(VALUE(RIGHT(C10,3)),#REF!,4,FALSE),IF(LEFT(C10,3)="SEG",VLOOKUP(VALUE(RIGHT(C10,3)),'SEG-COMP'!B:J,4,FALSE),IF(LEFT(C10,3)="CLI",VLOOKUP(VALUE(RIGHT(C10,3)),'CLI-COMP'!B:J,4,FALSE),IF(LEFT(C10,4)="IMPL",VLOOKUP(VALUE(RIGHT(C10,3)),'IMPL-COMP'!B:J,4,FALSE),IF(LEFT(C10,4)="SPDA",VLOOKUP(VALUE(RIGHT(C10,3)),'SPDA-COMP'!B:J,4,FALSE),IF(LEFT(C10,4)="SDAI",VLOOKUP(VALUE(RIGHT(C10,3)),'ADM-COMP'!B:J,4,FALSE),IF(LEFT(C10,5)="IMPER",VLOOKUP(VALUE(RIGHT(C10,3)),'IMPER-COMP'!B:J,4,FALSE),""))))))))))))))))</f>
        <v>CORTE E DESTOCAMENTO DE ÁRVORES COM DIÂMETRO SUPERIOR A 30 CM</v>
      </c>
      <c r="E10" s="338" t="str">
        <f>IF(B10="IOPES",VLOOKUP(C10,'LABOR-SERVIÇOS'!A:H,6,FALSE),IF(B10="SINAPI",VLOOKUP(C10,'SINAPI-SERVIÇOS'!A:D,3,FALSE),IF(LEFT(C10,3)="ARQ",VLOOKUP(VALUE(RIGHT(C10,3)),'ARQ-COMP'!B:J,5,FALSE),IF(LEFT(C10,3)="SCI",VLOOKUP(VALUE(RIGHT(C10,3)),'GAS-COMP'!#REF!,5,FALSE),IF(LEFT(C10,3)="SCE",VLOOKUP(VALUE(RIGHT(C10,3)),'SCE-COMP'!B:J,5,FALSE),IF(LEFT(C10,3)="EST",VLOOKUP(VALUE(RIGHT(C10,3)),'EST-COMP'!B:J,5,FALSE),IF(LEFT(C10,3)="HID",VLOOKUP(VALUE(RIGHT(C10,3)),'HID-COMP'!B:J,5,FALSE),IF(LEFT(C10,3)="INC",VLOOKUP(VALUE(RIGHT(C10,3)),'INC-COMP'!B:J,5,FALSE),IF(LEFT(C10,3)="ELE",VLOOKUP(VALUE(RIGHT(C10,3)),#REF!,5,FALSE),IF(LEFT(C10,3)="CAB",VLOOKUP(VALUE(RIGHT(C10,3)),#REF!,5,FALSE),IF(LEFT(C10,3)="SEG",VLOOKUP(VALUE(RIGHT(C10,3)),'SEG-COMP'!B:J,5,FALSE),IF(LEFT(C10,3)="CLI",VLOOKUP(VALUE(RIGHT(C10,3)),'CLI-COMP'!B:J,5,FALSE),IF(LEFT(C10,4)="IMPL",VLOOKUP(VALUE(RIGHT(C10,3)),'IMPL-COMP'!B:J,5,FALSE),IF(LEFT(C10,4)="SPDA",VLOOKUP(VALUE(RIGHT(C10,3)),'SPDA-COMP'!B:J,5,FALSE),IF(LEFT(C10,4)="SDAI",VLOOKUP(VALUE(RIGHT(C10,3)),'ADM-COMP'!B:J,5,FALSE),IF(LEFT(C10,5)="IMPER",VLOOKUP(VALUE(RIGHT(C10,3)),'IMPER-COMP'!B:J,5,FALSE),""))))))))))))))))</f>
        <v>UND</v>
      </c>
      <c r="F10" s="599">
        <f>ROUND(VLOOKUP(A10,'MEM-LEVANT'!A8:I2611,9,FALSE),2)</f>
        <v>1</v>
      </c>
      <c r="G10" s="339">
        <f>IF(B10="IOPES",VLOOKUP(C10,'LABOR-SERVIÇOS'!A:H,7,FALSE),IF(B10="SINAPI",VLOOKUP(C10,'SINAPI-SERVIÇOS'!A:H,8,FALSE),IF(LEFT(C10,3)="ARQ",VLOOKUP(VALUE(RIGHT(C10,3)),'ARQ-COMP'!B:J,9,FALSE),IF(LEFT(C10,3)="SCI",VLOOKUP(VALUE(RIGHT(C10,3)),'GAS-COMP'!#REF!,9,FALSE),IF(LEFT(C10,3)="SCE",VLOOKUP(VALUE(RIGHT(C10,3)),'SCE-COMP'!B:J,9,FALSE),IF(LEFT(C10,3)="EST",VLOOKUP(VALUE(RIGHT(C10,3)),'EST-COMP'!B:J,9,FALSE),IF(LEFT(C10,3)="HID",VLOOKUP(VALUE(RIGHT(C10,3)),'HID-COMP'!B:J,9,FALSE),IF(LEFT(C10,3)="INC",VLOOKUP(VALUE(RIGHT(C10,3)),'INC-COMP'!B:J,9,FALSE),IF(LEFT(C10,3)="ELE",VLOOKUP(VALUE(RIGHT(C10,3)),#REF!,9,FALSE),IF(LEFT(C10,3)="CAB",VLOOKUP(VALUE(RIGHT(C10,3)),#REF!,9,FALSE),IF(LEFT(C10,3)="SEG",VLOOKUP(VALUE(RIGHT(C10,3)),'SEG-COMP'!B:J,9,FALSE),IF(LEFT(C10,3)="CLI",VLOOKUP(VALUE(RIGHT(C10,3)),'CLI-COMP'!B:J,9,FALSE),IF(LEFT(C10,4)="IMPL",VLOOKUP(VALUE(RIGHT(C10,3)),'IMPL-COMP'!B:J,9,FALSE),IF(LEFT(C10,4)="SPDA",VLOOKUP(VALUE(RIGHT(C10,3)),'SPDA-COMP'!B:J,9,FALSE),IF(LEFT(C10,4)="SDAI",VLOOKUP(VALUE(RIGHT(C10,3)),'ADM-COMP'!B:J,9,FALSE),IF(LEFT(C10,5)="IMPER",VLOOKUP(VALUE(RIGHT(C10,3)),'IMPER-COMP'!B:J,9,FALSE),""))))))))))))))))</f>
        <v>195.62</v>
      </c>
      <c r="H10" s="339">
        <f t="shared" ref="H10" si="2">ROUND(F10*G10,2)</f>
        <v>195.62</v>
      </c>
      <c r="I10" s="374">
        <f>H10/$H$441</f>
        <v>1.143782108925318E-5</v>
      </c>
      <c r="J10" s="314"/>
    </row>
    <row r="11" spans="1:13" ht="26.4">
      <c r="A11" s="613" t="s">
        <v>33</v>
      </c>
      <c r="B11" s="337" t="s">
        <v>29</v>
      </c>
      <c r="C11" s="540" t="s">
        <v>11680</v>
      </c>
      <c r="D11" s="539" t="str">
        <f>IF(B11="IOPES",VLOOKUP(C11,'LABOR-SERVIÇOS'!A:H,5,FALSE),IF(B11="SINAPI",VLOOKUP(C11,'SINAPI-SERVIÇOS'!A:D,2,FALSE),IF(LEFT(C11,3)="ARQ",VLOOKUP(VALUE(RIGHT(C11,3)),'ARQ-COMP'!B:J,4,FALSE),IF(LEFT(C11,3)="SCI",VLOOKUP(VALUE(RIGHT(C11,3)),'GAS-COMP'!#REF!,4,FALSE),IF(LEFT(C11,3)="SCE",VLOOKUP(VALUE(RIGHT(C11,3)),'SCE-COMP'!B:J,4,FALSE),IF(LEFT(C11,3)="EST",VLOOKUP(VALUE(RIGHT(C11,3)),'EST-COMP'!B:J,4,FALSE),IF(LEFT(C11,3)="HID",VLOOKUP(VALUE(RIGHT(C11,3)),'HID-COMP'!B:J,4,FALSE),IF(LEFT(C11,3)="INC",VLOOKUP(VALUE(RIGHT(C11,3)),'INC-COMP'!B:J,4,FALSE),IF(LEFT(C11,3)="ELE",VLOOKUP(VALUE(RIGHT(C11,3)),#REF!,4,FALSE),IF(LEFT(C11,3)="CAB",VLOOKUP(VALUE(RIGHT(C11,3)),#REF!,4,FALSE),IF(LEFT(C11,3)="SEG",VLOOKUP(VALUE(RIGHT(C11,3)),'SEG-COMP'!B:J,4,FALSE),IF(LEFT(C11,3)="CLI",VLOOKUP(VALUE(RIGHT(C11,3)),'CLI-COMP'!B:J,4,FALSE),IF(LEFT(C11,4)="IMPL",VLOOKUP(VALUE(RIGHT(C11,3)),'IMPL-COMP'!B:J,4,FALSE),IF(LEFT(C11,4)="SPDA",VLOOKUP(VALUE(RIGHT(C11,3)),'SPDA-COMP'!B:J,4,FALSE),IF(LEFT(C11,4)="SDAI",VLOOKUP(VALUE(RIGHT(C11,3)),'ADM-COMP'!B:J,4,FALSE),IF(LEFT(C11,5)="IMPER",VLOOKUP(VALUE(RIGHT(C11,3)),'IMPER-COMP'!B:J,4,FALSE),""))))))))))))))))</f>
        <v>REGULARIZAÇÃO DE SUPERFÍCIES COM MOTONIVELADORA. AF_09/2024</v>
      </c>
      <c r="E11" s="338" t="str">
        <f>IF(B11="IOPES",VLOOKUP(C11,'LABOR-SERVIÇOS'!A:H,6,FALSE),IF(B11="SINAPI",VLOOKUP(C11,'SINAPI-SERVIÇOS'!A:D,3,FALSE),IF(LEFT(C11,3)="ARQ",VLOOKUP(VALUE(RIGHT(C11,3)),'ARQ-COMP'!B:J,5,FALSE),IF(LEFT(C11,3)="SCI",VLOOKUP(VALUE(RIGHT(C11,3)),'GAS-COMP'!#REF!,5,FALSE),IF(LEFT(C11,3)="SCE",VLOOKUP(VALUE(RIGHT(C11,3)),'SCE-COMP'!B:J,5,FALSE),IF(LEFT(C11,3)="EST",VLOOKUP(VALUE(RIGHT(C11,3)),'EST-COMP'!B:J,5,FALSE),IF(LEFT(C11,3)="HID",VLOOKUP(VALUE(RIGHT(C11,3)),'HID-COMP'!B:J,5,FALSE),IF(LEFT(C11,3)="INC",VLOOKUP(VALUE(RIGHT(C11,3)),'INC-COMP'!B:J,5,FALSE),IF(LEFT(C11,3)="ELE",VLOOKUP(VALUE(RIGHT(C11,3)),#REF!,5,FALSE),IF(LEFT(C11,3)="CAB",VLOOKUP(VALUE(RIGHT(C11,3)),#REF!,5,FALSE),IF(LEFT(C11,3)="SEG",VLOOKUP(VALUE(RIGHT(C11,3)),'SEG-COMP'!B:J,5,FALSE),IF(LEFT(C11,3)="CLI",VLOOKUP(VALUE(RIGHT(C11,3)),'CLI-COMP'!B:J,5,FALSE),IF(LEFT(C11,4)="IMPL",VLOOKUP(VALUE(RIGHT(C11,3)),'IMPL-COMP'!B:J,5,FALSE),IF(LEFT(C11,4)="SPDA",VLOOKUP(VALUE(RIGHT(C11,3)),'SPDA-COMP'!B:J,5,FALSE),IF(LEFT(C11,4)="SDAI",VLOOKUP(VALUE(RIGHT(C11,3)),'ADM-COMP'!B:J,5,FALSE),IF(LEFT(C11,5)="IMPER",VLOOKUP(VALUE(RIGHT(C11,3)),'IMPER-COMP'!B:J,5,FALSE),""))))))))))))))))</f>
        <v>M2</v>
      </c>
      <c r="F11" s="599">
        <f>ROUND(VLOOKUP(A11,'MEM-LEVANT'!A9:I2612,9,FALSE),2)</f>
        <v>5355.9</v>
      </c>
      <c r="G11" s="339">
        <f>IF(B11="IOPES",VLOOKUP(C11,'LABOR-SERVIÇOS'!A:H,7,FALSE),IF(B11="SINAPI",VLOOKUP(C11,'SINAPI-SERVIÇOS'!A:H,8,FALSE),IF(LEFT(C11,3)="ARQ",VLOOKUP(VALUE(RIGHT(C11,3)),'ARQ-COMP'!B:J,9,FALSE),IF(LEFT(C11,3)="SCI",VLOOKUP(VALUE(RIGHT(C11,3)),'GAS-COMP'!#REF!,9,FALSE),IF(LEFT(C11,3)="SCE",VLOOKUP(VALUE(RIGHT(C11,3)),'SCE-COMP'!B:J,9,FALSE),IF(LEFT(C11,3)="EST",VLOOKUP(VALUE(RIGHT(C11,3)),'EST-COMP'!B:J,9,FALSE),IF(LEFT(C11,3)="HID",VLOOKUP(VALUE(RIGHT(C11,3)),'HID-COMP'!B:J,9,FALSE),IF(LEFT(C11,3)="INC",VLOOKUP(VALUE(RIGHT(C11,3)),'INC-COMP'!B:J,9,FALSE),IF(LEFT(C11,3)="ELE",VLOOKUP(VALUE(RIGHT(C11,3)),#REF!,9,FALSE),IF(LEFT(C11,3)="CAB",VLOOKUP(VALUE(RIGHT(C11,3)),#REF!,9,FALSE),IF(LEFT(C11,3)="SEG",VLOOKUP(VALUE(RIGHT(C11,3)),'SEG-COMP'!B:J,9,FALSE),IF(LEFT(C11,3)="CLI",VLOOKUP(VALUE(RIGHT(C11,3)),'CLI-COMP'!B:J,9,FALSE),IF(LEFT(C11,4)="IMPL",VLOOKUP(VALUE(RIGHT(C11,3)),'IMPL-COMP'!B:J,9,FALSE),IF(LEFT(C11,4)="SPDA",VLOOKUP(VALUE(RIGHT(C11,3)),'SPDA-COMP'!B:J,9,FALSE),IF(LEFT(C11,4)="SDAI",VLOOKUP(VALUE(RIGHT(C11,3)),'ADM-COMP'!B:J,9,FALSE),IF(LEFT(C11,5)="IMPER",VLOOKUP(VALUE(RIGHT(C11,3)),'IMPER-COMP'!B:J,9,FALSE),""))))))))))))))))</f>
        <v>2.59</v>
      </c>
      <c r="H11" s="339">
        <f t="shared" ref="H11" si="3">ROUND(F11*G11,2)</f>
        <v>13871.78</v>
      </c>
      <c r="I11" s="374">
        <f>H11/$H$441</f>
        <v>8.110772816147658E-4</v>
      </c>
      <c r="J11" s="314"/>
    </row>
    <row r="12" spans="1:13" s="536" customFormat="1">
      <c r="A12" s="553" t="s">
        <v>15127</v>
      </c>
      <c r="B12" s="554"/>
      <c r="C12" s="555"/>
      <c r="D12" s="556" t="s">
        <v>1117</v>
      </c>
      <c r="E12" s="557"/>
      <c r="F12" s="598"/>
      <c r="G12" s="558"/>
      <c r="H12" s="559"/>
      <c r="I12" s="560"/>
      <c r="J12" s="535"/>
    </row>
    <row r="13" spans="1:13" s="536" customFormat="1">
      <c r="A13" s="613" t="s">
        <v>15128</v>
      </c>
      <c r="B13" s="337" t="s">
        <v>2879</v>
      </c>
      <c r="C13" s="540">
        <f>10501</f>
        <v>10501</v>
      </c>
      <c r="D13" s="539" t="str">
        <f>IF(B13="IOPES",VLOOKUP(C13,'LABOR-SERVIÇOS'!A:H,5,FALSE),IF(B13="SINAPI",VLOOKUP(C13,'SINAPI-SERVIÇOS'!A:D,2,FALSE),IF(LEFT(C13,3)="ARQ",VLOOKUP(VALUE(RIGHT(C13,3)),'ARQ-COMP'!B:J,4,FALSE),IF(LEFT(C13,3)="SCI",VLOOKUP(VALUE(RIGHT(C13,3)),'GAS-COMP'!#REF!,4,FALSE),IF(LEFT(C13,3)="SCE",VLOOKUP(VALUE(RIGHT(C13,3)),'SCE-COMP'!B:J,4,FALSE),IF(LEFT(C13,3)="EST",VLOOKUP(VALUE(RIGHT(C13,3)),'EST-COMP'!B:J,4,FALSE),IF(LEFT(C13,3)="HID",VLOOKUP(VALUE(RIGHT(C13,3)),'HID-COMP'!B:J,4,FALSE),IF(LEFT(C13,3)="INC",VLOOKUP(VALUE(RIGHT(C13,3)),'INC-COMP'!B:J,4,FALSE),IF(LEFT(C13,3)="ELE",VLOOKUP(VALUE(RIGHT(C13,3)),#REF!,4,FALSE),IF(LEFT(C13,3)="CAB",VLOOKUP(VALUE(RIGHT(C13,3)),#REF!,4,FALSE),IF(LEFT(C13,3)="SEG",VLOOKUP(VALUE(RIGHT(C13,3)),'SEG-COMP'!B:J,4,FALSE),IF(LEFT(C13,3)="CLI",VLOOKUP(VALUE(RIGHT(C13,3)),'CLI-COMP'!B:J,4,FALSE),IF(LEFT(C13,4)="IMPL",VLOOKUP(VALUE(RIGHT(C13,3)),'IMPL-COMP'!B:J,4,FALSE),IF(LEFT(C13,4)="SPDA",VLOOKUP(VALUE(RIGHT(C13,3)),'SPDA-COMP'!B:J,4,FALSE),IF(LEFT(C13,4)="SDAI",VLOOKUP(VALUE(RIGHT(C13,3)),'ADM-COMP'!B:J,4,FALSE),IF(LEFT(C13,5)="IMPER",VLOOKUP(VALUE(RIGHT(C13,3)),'IMPER-COMP'!B:J,4,FALSE),""))))))))))))))))</f>
        <v>LOCAÇÃO DE OBRA COM GABARITO DE MADEIRA</v>
      </c>
      <c r="E13" s="338" t="str">
        <f>IF(B13="IOPES",VLOOKUP(C13,'LABOR-SERVIÇOS'!A:H,6,FALSE),IF(B13="SINAPI",VLOOKUP(C13,'SINAPI-SERVIÇOS'!A:D,3,FALSE),IF(LEFT(C13,3)="ARQ",VLOOKUP(VALUE(RIGHT(C13,3)),'ARQ-COMP'!B:J,5,FALSE),IF(LEFT(C13,3)="SCI",VLOOKUP(VALUE(RIGHT(C13,3)),'GAS-COMP'!#REF!,5,FALSE),IF(LEFT(C13,3)="SCE",VLOOKUP(VALUE(RIGHT(C13,3)),'SCE-COMP'!B:J,5,FALSE),IF(LEFT(C13,3)="EST",VLOOKUP(VALUE(RIGHT(C13,3)),'EST-COMP'!B:J,5,FALSE),IF(LEFT(C13,3)="HID",VLOOKUP(VALUE(RIGHT(C13,3)),'HID-COMP'!B:J,5,FALSE),IF(LEFT(C13,3)="INC",VLOOKUP(VALUE(RIGHT(C13,3)),'INC-COMP'!B:J,5,FALSE),IF(LEFT(C13,3)="ELE",VLOOKUP(VALUE(RIGHT(C13,3)),#REF!,5,FALSE),IF(LEFT(C13,3)="CAB",VLOOKUP(VALUE(RIGHT(C13,3)),#REF!,5,FALSE),IF(LEFT(C13,3)="SEG",VLOOKUP(VALUE(RIGHT(C13,3)),'SEG-COMP'!B:J,5,FALSE),IF(LEFT(C13,3)="CLI",VLOOKUP(VALUE(RIGHT(C13,3)),'CLI-COMP'!B:J,5,FALSE),IF(LEFT(C13,4)="IMPL",VLOOKUP(VALUE(RIGHT(C13,3)),'IMPL-COMP'!B:J,5,FALSE),IF(LEFT(C13,4)="SPDA",VLOOKUP(VALUE(RIGHT(C13,3)),'SPDA-COMP'!B:J,5,FALSE),IF(LEFT(C13,4)="SDAI",VLOOKUP(VALUE(RIGHT(C13,3)),'ADM-COMP'!B:J,5,FALSE),IF(LEFT(C13,5)="IMPER",VLOOKUP(VALUE(RIGHT(C13,3)),'IMPER-COMP'!B:J,5,FALSE),""))))))))))))))))</f>
        <v>M2</v>
      </c>
      <c r="F13" s="599">
        <f>ROUND(VLOOKUP(A13,'MEM-LEVANT'!A8:I2611,9,FALSE),2)</f>
        <v>1502.79</v>
      </c>
      <c r="G13" s="339">
        <f>IF(B13="IOPES",VLOOKUP(C13,'LABOR-SERVIÇOS'!A:H,7,FALSE),IF(B13="SINAPI",VLOOKUP(C13,'SINAPI-SERVIÇOS'!A:H,8,FALSE),IF(LEFT(C13,3)="ARQ",VLOOKUP(VALUE(RIGHT(C13,3)),'ARQ-COMP'!B:J,9,FALSE),IF(LEFT(C13,3)="SCI",VLOOKUP(VALUE(RIGHT(C13,3)),'GAS-COMP'!#REF!,9,FALSE),IF(LEFT(C13,3)="SCE",VLOOKUP(VALUE(RIGHT(C13,3)),'SCE-COMP'!B:J,9,FALSE),IF(LEFT(C13,3)="EST",VLOOKUP(VALUE(RIGHT(C13,3)),'EST-COMP'!B:J,9,FALSE),IF(LEFT(C13,3)="HID",VLOOKUP(VALUE(RIGHT(C13,3)),'HID-COMP'!B:J,9,FALSE),IF(LEFT(C13,3)="INC",VLOOKUP(VALUE(RIGHT(C13,3)),'INC-COMP'!B:J,9,FALSE),IF(LEFT(C13,3)="ELE",VLOOKUP(VALUE(RIGHT(C13,3)),#REF!,9,FALSE),IF(LEFT(C13,3)="CAB",VLOOKUP(VALUE(RIGHT(C13,3)),#REF!,9,FALSE),IF(LEFT(C13,3)="SEG",VLOOKUP(VALUE(RIGHT(C13,3)),'SEG-COMP'!B:J,9,FALSE),IF(LEFT(C13,3)="CLI",VLOOKUP(VALUE(RIGHT(C13,3)),'CLI-COMP'!B:J,9,FALSE),IF(LEFT(C13,4)="IMPL",VLOOKUP(VALUE(RIGHT(C13,3)),'IMPL-COMP'!B:J,9,FALSE),IF(LEFT(C13,4)="SPDA",VLOOKUP(VALUE(RIGHT(C13,3)),'SPDA-COMP'!B:J,9,FALSE),IF(LEFT(C13,4)="SDAI",VLOOKUP(VALUE(RIGHT(C13,3)),'ADM-COMP'!B:J,9,FALSE),IF(LEFT(C13,5)="IMPER",VLOOKUP(VALUE(RIGHT(C13,3)),'IMPER-COMP'!B:J,9,FALSE),""))))))))))))))))</f>
        <v>14.8</v>
      </c>
      <c r="H13" s="339">
        <f t="shared" ref="H13" si="4">ROUND(F13*G13,2)</f>
        <v>22241.29</v>
      </c>
      <c r="I13" s="374">
        <f>H13/$H$441</f>
        <v>1.3004390952571099E-3</v>
      </c>
      <c r="J13" s="535"/>
    </row>
    <row r="14" spans="1:13" ht="39.6">
      <c r="A14" s="613" t="s">
        <v>35253</v>
      </c>
      <c r="B14" s="337" t="s">
        <v>2879</v>
      </c>
      <c r="C14" s="540">
        <f>10512</f>
        <v>10512</v>
      </c>
      <c r="D14" s="539" t="str">
        <f>IF(B14="IOPES",VLOOKUP(C14,'LABOR-SERVIÇOS'!A:H,5,FALSE),IF(B14="SINAPI",VLOOKUP(C14,'SINAPI-SERVIÇOS'!A:D,2,FALSE),IF(LEFT(C14,3)="ARQ",VLOOKUP(VALUE(RIGHT(C14,3)),'ARQ-COMP'!B:J,4,FALSE),IF(LEFT(C14,3)="SCI",VLOOKUP(VALUE(RIGHT(C14,3)),'GAS-COMP'!#REF!,4,FALSE),IF(LEFT(C14,3)="SCE",VLOOKUP(VALUE(RIGHT(C14,3)),'SCE-COMP'!B:J,4,FALSE),IF(LEFT(C14,3)="EST",VLOOKUP(VALUE(RIGHT(C14,3)),'EST-COMP'!B:J,4,FALSE),IF(LEFT(C14,3)="HID",VLOOKUP(VALUE(RIGHT(C14,3)),'HID-COMP'!B:J,4,FALSE),IF(LEFT(C14,3)="INC",VLOOKUP(VALUE(RIGHT(C14,3)),'INC-COMP'!B:J,4,FALSE),IF(LEFT(C14,3)="ELE",VLOOKUP(VALUE(RIGHT(C14,3)),#REF!,4,FALSE),IF(LEFT(C14,3)="CAB",VLOOKUP(VALUE(RIGHT(C14,3)),#REF!,4,FALSE),IF(LEFT(C14,3)="SEG",VLOOKUP(VALUE(RIGHT(C14,3)),'SEG-COMP'!B:J,4,FALSE),IF(LEFT(C14,3)="CLI",VLOOKUP(VALUE(RIGHT(C14,3)),'CLI-COMP'!B:J,4,FALSE),IF(LEFT(C14,4)="IMPL",VLOOKUP(VALUE(RIGHT(C14,3)),'IMPL-COMP'!B:J,4,FALSE),IF(LEFT(C14,4)="SPDA",VLOOKUP(VALUE(RIGHT(C14,3)),'SPDA-COMP'!B:J,4,FALSE),IF(LEFT(C14,4)="SDAI",VLOOKUP(VALUE(RIGHT(C14,3)),'ADM-COMP'!B:J,4,FALSE),IF(LEFT(C14,5)="IMPER",VLOOKUP(VALUE(RIGHT(C14,3)),'IMPER-COMP'!B:J,4,FALSE),""))))))))))))))))</f>
        <v>EQUIPE TOPOGRÁFICA PARA SERVIÇOS SIMPLES DE LOCAÇÃO E NIVELAMENTO (INCLUINDO EQUIPAMENTO, TRANSPORTE E PROFISSIONAIS NIVEL MÉDIO)</v>
      </c>
      <c r="E14" s="338" t="str">
        <f>IF(B14="IOPES",VLOOKUP(C14,'LABOR-SERVIÇOS'!A:H,6,FALSE),IF(B14="SINAPI",VLOOKUP(C14,'SINAPI-SERVIÇOS'!A:D,3,FALSE),IF(LEFT(C14,3)="ARQ",VLOOKUP(VALUE(RIGHT(C14,3)),'ARQ-COMP'!B:J,5,FALSE),IF(LEFT(C14,3)="SCI",VLOOKUP(VALUE(RIGHT(C14,3)),'GAS-COMP'!#REF!,5,FALSE),IF(LEFT(C14,3)="SCE",VLOOKUP(VALUE(RIGHT(C14,3)),'SCE-COMP'!B:J,5,FALSE),IF(LEFT(C14,3)="EST",VLOOKUP(VALUE(RIGHT(C14,3)),'EST-COMP'!B:J,5,FALSE),IF(LEFT(C14,3)="HID",VLOOKUP(VALUE(RIGHT(C14,3)),'HID-COMP'!B:J,5,FALSE),IF(LEFT(C14,3)="INC",VLOOKUP(VALUE(RIGHT(C14,3)),'INC-COMP'!B:J,5,FALSE),IF(LEFT(C14,3)="ELE",VLOOKUP(VALUE(RIGHT(C14,3)),#REF!,5,FALSE),IF(LEFT(C14,3)="CAB",VLOOKUP(VALUE(RIGHT(C14,3)),#REF!,5,FALSE),IF(LEFT(C14,3)="SEG",VLOOKUP(VALUE(RIGHT(C14,3)),'SEG-COMP'!B:J,5,FALSE),IF(LEFT(C14,3)="CLI",VLOOKUP(VALUE(RIGHT(C14,3)),'CLI-COMP'!B:J,5,FALSE),IF(LEFT(C14,4)="IMPL",VLOOKUP(VALUE(RIGHT(C14,3)),'IMPL-COMP'!B:J,5,FALSE),IF(LEFT(C14,4)="SPDA",VLOOKUP(VALUE(RIGHT(C14,3)),'SPDA-COMP'!B:J,5,FALSE),IF(LEFT(C14,4)="SDAI",VLOOKUP(VALUE(RIGHT(C14,3)),'ADM-COMP'!B:J,5,FALSE),IF(LEFT(C14,5)="IMPER",VLOOKUP(VALUE(RIGHT(C14,3)),'IMPER-COMP'!B:J,5,FALSE),""))))))))))))))))</f>
        <v>MÊS</v>
      </c>
      <c r="F14" s="599">
        <f>ROUND(VLOOKUP(A14,'MEM-LEVANT'!A9:I2612,9,FALSE),2)</f>
        <v>0.35</v>
      </c>
      <c r="G14" s="339">
        <f>IF(B14="IOPES",VLOOKUP(C14,'LABOR-SERVIÇOS'!A:H,7,FALSE),IF(B14="SINAPI",VLOOKUP(C14,'SINAPI-SERVIÇOS'!A:H,8,FALSE),IF(LEFT(C14,3)="ARQ",VLOOKUP(VALUE(RIGHT(C14,3)),'ARQ-COMP'!B:J,9,FALSE),IF(LEFT(C14,3)="SCI",VLOOKUP(VALUE(RIGHT(C14,3)),'GAS-COMP'!#REF!,9,FALSE),IF(LEFT(C14,3)="SCE",VLOOKUP(VALUE(RIGHT(C14,3)),'SCE-COMP'!B:J,9,FALSE),IF(LEFT(C14,3)="EST",VLOOKUP(VALUE(RIGHT(C14,3)),'EST-COMP'!B:J,9,FALSE),IF(LEFT(C14,3)="HID",VLOOKUP(VALUE(RIGHT(C14,3)),'HID-COMP'!B:J,9,FALSE),IF(LEFT(C14,3)="INC",VLOOKUP(VALUE(RIGHT(C14,3)),'INC-COMP'!B:J,9,FALSE),IF(LEFT(C14,3)="ELE",VLOOKUP(VALUE(RIGHT(C14,3)),#REF!,9,FALSE),IF(LEFT(C14,3)="CAB",VLOOKUP(VALUE(RIGHT(C14,3)),#REF!,9,FALSE),IF(LEFT(C14,3)="SEG",VLOOKUP(VALUE(RIGHT(C14,3)),'SEG-COMP'!B:J,9,FALSE),IF(LEFT(C14,3)="CLI",VLOOKUP(VALUE(RIGHT(C14,3)),'CLI-COMP'!B:J,9,FALSE),IF(LEFT(C14,4)="IMPL",VLOOKUP(VALUE(RIGHT(C14,3)),'IMPL-COMP'!B:J,9,FALSE),IF(LEFT(C14,4)="SPDA",VLOOKUP(VALUE(RIGHT(C14,3)),'SPDA-COMP'!B:J,9,FALSE),IF(LEFT(C14,4)="SDAI",VLOOKUP(VALUE(RIGHT(C14,3)),'ADM-COMP'!B:J,9,FALSE),IF(LEFT(C14,5)="IMPER",VLOOKUP(VALUE(RIGHT(C14,3)),'IMPER-COMP'!B:J,9,FALSE),""))))))))))))))))</f>
        <v>31160.37</v>
      </c>
      <c r="H14" s="339">
        <f t="shared" ref="H14" si="5">ROUND(F14*G14,2)</f>
        <v>10906.13</v>
      </c>
      <c r="I14" s="374">
        <f>H14/$H$441</f>
        <v>6.3767694364654317E-4</v>
      </c>
      <c r="J14" s="314"/>
    </row>
    <row r="15" spans="1:13" s="536" customFormat="1">
      <c r="A15" s="553" t="s">
        <v>27067</v>
      </c>
      <c r="B15" s="554"/>
      <c r="C15" s="555"/>
      <c r="D15" s="556" t="s">
        <v>1120</v>
      </c>
      <c r="E15" s="557"/>
      <c r="F15" s="598"/>
      <c r="G15" s="558"/>
      <c r="H15" s="559"/>
      <c r="I15" s="560"/>
      <c r="J15" s="535"/>
    </row>
    <row r="16" spans="1:13">
      <c r="A16" s="613" t="s">
        <v>27068</v>
      </c>
      <c r="B16" s="337" t="s">
        <v>2879</v>
      </c>
      <c r="C16" s="337">
        <f>20305</f>
        <v>20305</v>
      </c>
      <c r="D16" s="634" t="str">
        <f>IF(B16="IOPES",VLOOKUP(C16,'LABOR-SERVIÇOS'!A:H,5,FALSE),IF(B16="SINAPI",VLOOKUP(C16,'SINAPI-SERVIÇOS'!A:D,2,FALSE),IF(LEFT(C16,3)="ARQ",VLOOKUP(VALUE(RIGHT(C16,3)),'ARQ-COMP'!B:J,4,FALSE),IF(LEFT(C16,3)="SCI",VLOOKUP(VALUE(RIGHT(C16,3)),'GAS-COMP'!#REF!,4,FALSE),IF(LEFT(C16,3)="SCE",VLOOKUP(VALUE(RIGHT(C16,3)),'SCE-COMP'!B:J,4,FALSE),IF(LEFT(C16,3)="EST",VLOOKUP(VALUE(RIGHT(C16,3)),'EST-COMP'!B:J,4,FALSE),IF(LEFT(C16,3)="HID",VLOOKUP(VALUE(RIGHT(C16,3)),'HID-COMP'!B:J,4,FALSE),IF(LEFT(C16,3)="INC",VLOOKUP(VALUE(RIGHT(C16,3)),'INC-COMP'!B:J,4,FALSE),IF(LEFT(C16,3)="ELE",VLOOKUP(VALUE(RIGHT(C16,3)),#REF!,4,FALSE),IF(LEFT(C16,3)="CAB",VLOOKUP(VALUE(RIGHT(C16,3)),#REF!,4,FALSE),IF(LEFT(C16,3)="SEG",VLOOKUP(VALUE(RIGHT(C16,3)),'SEG-COMP'!B:J,4,FALSE),IF(LEFT(C16,3)="CLI",VLOOKUP(VALUE(RIGHT(C16,3)),'CLI-COMP'!B:J,4,FALSE),IF(LEFT(C16,4)="IMPL",VLOOKUP(VALUE(RIGHT(C16,3)),'IMPL-COMP'!B:J,4,FALSE),IF(LEFT(C16,4)="SPDA",VLOOKUP(VALUE(RIGHT(C16,3)),'SPDA-COMP'!B:J,4,FALSE),IF(LEFT(C16,4)="SDAI",VLOOKUP(VALUE(RIGHT(C16,3)),'ADM-COMP'!B:J,4,FALSE),IF(LEFT(C16,5)="IMPER",VLOOKUP(VALUE(RIGHT(C16,3)),'IMPER-COMP'!B:J,4,FALSE),""))))))))))))))))</f>
        <v>PLACA DE OBRA NAS DIMENSÕES DE 2.0 X 4.0 M, PADRÃO DER</v>
      </c>
      <c r="E16" s="338" t="str">
        <f>IF(B16="IOPES",VLOOKUP(C16,'LABOR-SERVIÇOS'!A:H,6,FALSE),IF(B16="SINAPI",VLOOKUP(C16,'SINAPI-SERVIÇOS'!A:D,3,FALSE),IF(LEFT(C16,3)="ARQ",VLOOKUP(VALUE(RIGHT(C16,3)),'ARQ-COMP'!B:J,5,FALSE),IF(LEFT(C16,3)="SCI",VLOOKUP(VALUE(RIGHT(C16,3)),'GAS-COMP'!#REF!,5,FALSE),IF(LEFT(C16,3)="SCE",VLOOKUP(VALUE(RIGHT(C16,3)),'SCE-COMP'!B:J,5,FALSE),IF(LEFT(C16,3)="EST",VLOOKUP(VALUE(RIGHT(C16,3)),'EST-COMP'!B:J,5,FALSE),IF(LEFT(C16,3)="HID",VLOOKUP(VALUE(RIGHT(C16,3)),'HID-COMP'!B:J,5,FALSE),IF(LEFT(C16,3)="INC",VLOOKUP(VALUE(RIGHT(C16,3)),'INC-COMP'!B:J,5,FALSE),IF(LEFT(C16,3)="ELE",VLOOKUP(VALUE(RIGHT(C16,3)),#REF!,5,FALSE),IF(LEFT(C16,3)="CAB",VLOOKUP(VALUE(RIGHT(C16,3)),#REF!,5,FALSE),IF(LEFT(C16,3)="SEG",VLOOKUP(VALUE(RIGHT(C16,3)),'SEG-COMP'!B:J,5,FALSE),IF(LEFT(C16,3)="CLI",VLOOKUP(VALUE(RIGHT(C16,3)),'CLI-COMP'!B:J,5,FALSE),IF(LEFT(C16,4)="IMPL",VLOOKUP(VALUE(RIGHT(C16,3)),'IMPL-COMP'!B:J,5,FALSE),IF(LEFT(C16,4)="SPDA",VLOOKUP(VALUE(RIGHT(C16,3)),'SPDA-COMP'!B:J,5,FALSE),IF(LEFT(C16,4)="SDAI",VLOOKUP(VALUE(RIGHT(C16,3)),'ADM-COMP'!B:J,5,FALSE),IF(LEFT(C16,5)="IMPER",VLOOKUP(VALUE(RIGHT(C16,3)),'IMPER-COMP'!B:J,5,FALSE),""))))))))))))))))</f>
        <v>M2</v>
      </c>
      <c r="F16" s="599">
        <f>ROUND(VLOOKUP(A16,'MEM-LEVANT'!A11:I2614,9,FALSE),2)</f>
        <v>8</v>
      </c>
      <c r="G16" s="339">
        <f>IF(B16="IOPES",VLOOKUP(C16,'LABOR-SERVIÇOS'!A:H,7,FALSE),IF(B16="SINAPI",VLOOKUP(C16,'SINAPI-SERVIÇOS'!A:H,8,FALSE),IF(LEFT(C16,3)="ARQ",VLOOKUP(VALUE(RIGHT(C16,3)),'ARQ-COMP'!B:J,9,FALSE),IF(LEFT(C16,3)="SCI",VLOOKUP(VALUE(RIGHT(C16,3)),'GAS-COMP'!#REF!,9,FALSE),IF(LEFT(C16,3)="SCE",VLOOKUP(VALUE(RIGHT(C16,3)),'SCE-COMP'!B:J,9,FALSE),IF(LEFT(C16,3)="EST",VLOOKUP(VALUE(RIGHT(C16,3)),'EST-COMP'!B:J,9,FALSE),IF(LEFT(C16,3)="HID",VLOOKUP(VALUE(RIGHT(C16,3)),'HID-COMP'!B:J,9,FALSE),IF(LEFT(C16,3)="INC",VLOOKUP(VALUE(RIGHT(C16,3)),'INC-COMP'!B:J,9,FALSE),IF(LEFT(C16,3)="ELE",VLOOKUP(VALUE(RIGHT(C16,3)),#REF!,9,FALSE),IF(LEFT(C16,3)="CAB",VLOOKUP(VALUE(RIGHT(C16,3)),#REF!,9,FALSE),IF(LEFT(C16,3)="SEG",VLOOKUP(VALUE(RIGHT(C16,3)),'SEG-COMP'!B:J,9,FALSE),IF(LEFT(C16,3)="CLI",VLOOKUP(VALUE(RIGHT(C16,3)),'CLI-COMP'!B:J,9,FALSE),IF(LEFT(C16,4)="IMPL",VLOOKUP(VALUE(RIGHT(C16,3)),'IMPL-COMP'!B:J,9,FALSE),IF(LEFT(C16,4)="SPDA",VLOOKUP(VALUE(RIGHT(C16,3)),'SPDA-COMP'!B:J,9,FALSE),IF(LEFT(C16,4)="SDAI",VLOOKUP(VALUE(RIGHT(C16,3)),'ADM-COMP'!B:J,9,FALSE),IF(LEFT(C16,5)="IMPER",VLOOKUP(VALUE(RIGHT(C16,3)),'IMPER-COMP'!B:J,9,FALSE),""))))))))))))))))</f>
        <v>392.81</v>
      </c>
      <c r="H16" s="339">
        <f t="shared" ref="H16:H30" si="6">ROUND(F16*G16,2)</f>
        <v>3142.48</v>
      </c>
      <c r="I16" s="374">
        <f t="shared" ref="I16:I30" si="7">H16/$H$441</f>
        <v>1.8373951547160991E-4</v>
      </c>
      <c r="J16" s="314"/>
    </row>
    <row r="17" spans="1:10" ht="66">
      <c r="A17" s="613" t="s">
        <v>27377</v>
      </c>
      <c r="B17" s="337" t="s">
        <v>2879</v>
      </c>
      <c r="C17" s="540">
        <f>20350</f>
        <v>20350</v>
      </c>
      <c r="D17" s="634" t="str">
        <f>IF(B17="IOPES",VLOOKUP(C17,'LABOR-SERVIÇOS'!A:H,5,FALSE),IF(B17="SINAPI",VLOOKUP(C17,'SINAPI-SERVIÇOS'!A:D,2,FALSE),IF(LEFT(C17,3)="ARQ",VLOOKUP(VALUE(RIGHT(C17,3)),'ARQ-COMP'!B:J,4,FALSE),IF(LEFT(C17,3)="SCI",VLOOKUP(VALUE(RIGHT(C17,3)),'GAS-COMP'!#REF!,4,FALSE),IF(LEFT(C17,3)="SCE",VLOOKUP(VALUE(RIGHT(C17,3)),'SCE-COMP'!B:J,4,FALSE),IF(LEFT(C17,3)="EST",VLOOKUP(VALUE(RIGHT(C17,3)),'EST-COMP'!B:J,4,FALSE),IF(LEFT(C17,3)="HID",VLOOKUP(VALUE(RIGHT(C17,3)),'HID-COMP'!B:J,4,FALSE),IF(LEFT(C17,3)="INC",VLOOKUP(VALUE(RIGHT(C17,3)),'INC-COMP'!B:J,4,FALSE),IF(LEFT(C17,3)="ELE",VLOOKUP(VALUE(RIGHT(C17,3)),#REF!,4,FALSE),IF(LEFT(C17,3)="CAB",VLOOKUP(VALUE(RIGHT(C17,3)),#REF!,4,FALSE),IF(LEFT(C17,3)="SEG",VLOOKUP(VALUE(RIGHT(C17,3)),'SEG-COMP'!B:J,4,FALSE),IF(LEFT(C17,3)="CLI",VLOOKUP(VALUE(RIGHT(C17,3)),'CLI-COMP'!B:J,4,FALSE),IF(LEFT(C17,4)="IMPL",VLOOKUP(VALUE(RIGHT(C17,3)),'IMPL-COMP'!B:J,4,FALSE),IF(LEFT(C17,4)="SPDA",VLOOKUP(VALUE(RIGHT(C17,3)),'SPDA-COMP'!B:J,4,FALSE),IF(LEFT(C17,4)="SDAI",VLOOKUP(VALUE(RIGHT(C17,3)),'ADM-COMP'!B:J,4,FALSE),IF(LEFT(C17,5)="IMPER",VLOOKUP(VALUE(RIGHT(C17,3)),'IMPER-COMP'!B:J,4,FALSE),""))))))))))))))))</f>
        <v>TAPUME TELHA METÁLICA ONDULADA EM AÇO GALVALUME 0,50MM BRANCA H=2,20M, INCL. MONTAGEM ESTR. MAD. 8"X8", C/ADESIVO "DER-ES" 60X60CM A CADA 10M, INCL. FAIXAS PINT. ESMALTE SINT. CORES AZUL C/ H=30CM E ROSA C/ H=10CM (REAPROVEITAMENTO 2X)</v>
      </c>
      <c r="E17" s="338" t="str">
        <f>IF(B17="IOPES",VLOOKUP(C17,'LABOR-SERVIÇOS'!A:H,6,FALSE),IF(B17="SINAPI",VLOOKUP(C17,'SINAPI-SERVIÇOS'!A:D,3,FALSE),IF(LEFT(C17,3)="ARQ",VLOOKUP(VALUE(RIGHT(C17,3)),'ARQ-COMP'!B:J,5,FALSE),IF(LEFT(C17,3)="SCI",VLOOKUP(VALUE(RIGHT(C17,3)),'GAS-COMP'!#REF!,5,FALSE),IF(LEFT(C17,3)="SCE",VLOOKUP(VALUE(RIGHT(C17,3)),'SCE-COMP'!B:J,5,FALSE),IF(LEFT(C17,3)="EST",VLOOKUP(VALUE(RIGHT(C17,3)),'EST-COMP'!B:J,5,FALSE),IF(LEFT(C17,3)="HID",VLOOKUP(VALUE(RIGHT(C17,3)),'HID-COMP'!B:J,5,FALSE),IF(LEFT(C17,3)="INC",VLOOKUP(VALUE(RIGHT(C17,3)),'INC-COMP'!B:J,5,FALSE),IF(LEFT(C17,3)="ELE",VLOOKUP(VALUE(RIGHT(C17,3)),#REF!,5,FALSE),IF(LEFT(C17,3)="CAB",VLOOKUP(VALUE(RIGHT(C17,3)),#REF!,5,FALSE),IF(LEFT(C17,3)="SEG",VLOOKUP(VALUE(RIGHT(C17,3)),'SEG-COMP'!B:J,5,FALSE),IF(LEFT(C17,3)="CLI",VLOOKUP(VALUE(RIGHT(C17,3)),'CLI-COMP'!B:J,5,FALSE),IF(LEFT(C17,4)="IMPL",VLOOKUP(VALUE(RIGHT(C17,3)),'IMPL-COMP'!B:J,5,FALSE),IF(LEFT(C17,4)="SPDA",VLOOKUP(VALUE(RIGHT(C17,3)),'SPDA-COMP'!B:J,5,FALSE),IF(LEFT(C17,4)="SDAI",VLOOKUP(VALUE(RIGHT(C17,3)),'ADM-COMP'!B:J,5,FALSE),IF(LEFT(C17,5)="IMPER",VLOOKUP(VALUE(RIGHT(C17,3)),'IMPER-COMP'!B:J,5,FALSE),""))))))))))))))))</f>
        <v>M</v>
      </c>
      <c r="F17" s="599">
        <f>ROUND(VLOOKUP(A17,'MEM-LEVANT'!A12:I2615,9,FALSE),2)</f>
        <v>335</v>
      </c>
      <c r="G17" s="339">
        <f>IF(B17="IOPES",VLOOKUP(C17,'LABOR-SERVIÇOS'!A:H,7,FALSE),IF(B17="SINAPI",VLOOKUP(C17,'SINAPI-SERVIÇOS'!A:H,8,FALSE),IF(LEFT(C17,3)="ARQ",VLOOKUP(VALUE(RIGHT(C17,3)),'ARQ-COMP'!B:J,9,FALSE),IF(LEFT(C17,3)="SCI",VLOOKUP(VALUE(RIGHT(C17,3)),'GAS-COMP'!#REF!,9,FALSE),IF(LEFT(C17,3)="SCE",VLOOKUP(VALUE(RIGHT(C17,3)),'SCE-COMP'!B:J,9,FALSE),IF(LEFT(C17,3)="EST",VLOOKUP(VALUE(RIGHT(C17,3)),'EST-COMP'!B:J,9,FALSE),IF(LEFT(C17,3)="HID",VLOOKUP(VALUE(RIGHT(C17,3)),'HID-COMP'!B:J,9,FALSE),IF(LEFT(C17,3)="INC",VLOOKUP(VALUE(RIGHT(C17,3)),'INC-COMP'!B:J,9,FALSE),IF(LEFT(C17,3)="ELE",VLOOKUP(VALUE(RIGHT(C17,3)),#REF!,9,FALSE),IF(LEFT(C17,3)="CAB",VLOOKUP(VALUE(RIGHT(C17,3)),#REF!,9,FALSE),IF(LEFT(C17,3)="SEG",VLOOKUP(VALUE(RIGHT(C17,3)),'SEG-COMP'!B:J,9,FALSE),IF(LEFT(C17,3)="CLI",VLOOKUP(VALUE(RIGHT(C17,3)),'CLI-COMP'!B:J,9,FALSE),IF(LEFT(C17,4)="IMPL",VLOOKUP(VALUE(RIGHT(C17,3)),'IMPL-COMP'!B:J,9,FALSE),IF(LEFT(C17,4)="SPDA",VLOOKUP(VALUE(RIGHT(C17,3)),'SPDA-COMP'!B:J,9,FALSE),IF(LEFT(C17,4)="SDAI",VLOOKUP(VALUE(RIGHT(C17,3)),'ADM-COMP'!B:J,9,FALSE),IF(LEFT(C17,5)="IMPER",VLOOKUP(VALUE(RIGHT(C17,3)),'IMPER-COMP'!B:J,9,FALSE),""))))))))))))))))</f>
        <v>197.24</v>
      </c>
      <c r="H17" s="339">
        <f t="shared" si="6"/>
        <v>66075.399999999994</v>
      </c>
      <c r="I17" s="374">
        <f t="shared" si="7"/>
        <v>3.8634015110972264E-3</v>
      </c>
      <c r="J17" s="314"/>
    </row>
    <row r="18" spans="1:10" ht="39.6">
      <c r="A18" s="613" t="s">
        <v>27378</v>
      </c>
      <c r="B18" s="337" t="s">
        <v>2879</v>
      </c>
      <c r="C18" s="337">
        <f>20339</f>
        <v>20339</v>
      </c>
      <c r="D18" s="539" t="str">
        <f>IF(B18="IOPES",VLOOKUP(C18,'LABOR-SERVIÇOS'!A:H,5,FALSE),IF(B18="SINAPI",VLOOKUP(C18,'SINAPI-SERVIÇOS'!A:D,2,FALSE),IF(LEFT(C18,3)="ARQ",VLOOKUP(VALUE(RIGHT(C18,3)),'ARQ-COMP'!B:J,4,FALSE),IF(LEFT(C18,3)="SCI",VLOOKUP(VALUE(RIGHT(C18,3)),'GAS-COMP'!#REF!,4,FALSE),IF(LEFT(C18,3)="SCE",VLOOKUP(VALUE(RIGHT(C18,3)),'SCE-COMP'!B:J,4,FALSE),IF(LEFT(C18,3)="EST",VLOOKUP(VALUE(RIGHT(C18,3)),'EST-COMP'!B:J,4,FALSE),IF(LEFT(C18,3)="HID",VLOOKUP(VALUE(RIGHT(C18,3)),'HID-COMP'!B:J,4,FALSE),IF(LEFT(C18,3)="INC",VLOOKUP(VALUE(RIGHT(C18,3)),'INC-COMP'!B:J,4,FALSE),IF(LEFT(C18,3)="ELE",VLOOKUP(VALUE(RIGHT(C18,3)),#REF!,4,FALSE),IF(LEFT(C18,3)="CAB",VLOOKUP(VALUE(RIGHT(C18,3)),#REF!,4,FALSE),IF(LEFT(C18,3)="SEG",VLOOKUP(VALUE(RIGHT(C18,3)),'SEG-COMP'!B:J,4,FALSE),IF(LEFT(C18,3)="CLI",VLOOKUP(VALUE(RIGHT(C18,3)),'CLI-COMP'!B:J,4,FALSE),IF(LEFT(C18,4)="IMPL",VLOOKUP(VALUE(RIGHT(C18,3)),'IMPL-COMP'!B:J,4,FALSE),IF(LEFT(C18,4)="SPDA",VLOOKUP(VALUE(RIGHT(C18,3)),'SPDA-COMP'!B:J,4,FALSE),IF(LEFT(C18,4)="SDAI",VLOOKUP(VALUE(RIGHT(C18,3)),'ADM-COMP'!B:J,4,FALSE),IF(LEFT(C18,5)="IMPER",VLOOKUP(VALUE(RIGHT(C18,3)),'IMPER-COMP'!B:J,4,FALSE),""))))))))))))))))</f>
        <v>LOCAÇÃO DE ANDAIME METÁLICO PARA TRABALHO EM FACHADA DE EDIFÍCO (ALUGUEL DE 1 M² POR 1 MÊS) INCLUSIVE FRETE, MONTAGEM E DESMONTAGEM</v>
      </c>
      <c r="E18" s="338" t="str">
        <f>IF(B18="IOPES",VLOOKUP(C18,'LABOR-SERVIÇOS'!A:H,6,FALSE),IF(B18="SINAPI",VLOOKUP(C18,'SINAPI-SERVIÇOS'!A:D,3,FALSE),IF(LEFT(C18,3)="ARQ",VLOOKUP(VALUE(RIGHT(C18,3)),'ARQ-COMP'!B:J,5,FALSE),IF(LEFT(C18,3)="SCI",VLOOKUP(VALUE(RIGHT(C18,3)),'GAS-COMP'!#REF!,5,FALSE),IF(LEFT(C18,3)="SCE",VLOOKUP(VALUE(RIGHT(C18,3)),'SCE-COMP'!B:J,5,FALSE),IF(LEFT(C18,3)="EST",VLOOKUP(VALUE(RIGHT(C18,3)),'EST-COMP'!B:J,5,FALSE),IF(LEFT(C18,3)="HID",VLOOKUP(VALUE(RIGHT(C18,3)),'HID-COMP'!B:J,5,FALSE),IF(LEFT(C18,3)="INC",VLOOKUP(VALUE(RIGHT(C18,3)),'INC-COMP'!B:J,5,FALSE),IF(LEFT(C18,3)="ELE",VLOOKUP(VALUE(RIGHT(C18,3)),#REF!,5,FALSE),IF(LEFT(C18,3)="CAB",VLOOKUP(VALUE(RIGHT(C18,3)),#REF!,5,FALSE),IF(LEFT(C18,3)="SEG",VLOOKUP(VALUE(RIGHT(C18,3)),'SEG-COMP'!B:J,5,FALSE),IF(LEFT(C18,3)="CLI",VLOOKUP(VALUE(RIGHT(C18,3)),'CLI-COMP'!B:J,5,FALSE),IF(LEFT(C18,4)="IMPL",VLOOKUP(VALUE(RIGHT(C18,3)),'IMPL-COMP'!B:J,5,FALSE),IF(LEFT(C18,4)="SPDA",VLOOKUP(VALUE(RIGHT(C18,3)),'SPDA-COMP'!B:J,5,FALSE),IF(LEFT(C18,4)="SDAI",VLOOKUP(VALUE(RIGHT(C18,3)),'ADM-COMP'!B:J,5,FALSE),IF(LEFT(C18,5)="IMPER",VLOOKUP(VALUE(RIGHT(C18,3)),'IMPER-COMP'!B:J,5,FALSE),""))))))))))))))))</f>
        <v>M2</v>
      </c>
      <c r="F18" s="599">
        <f>ROUND(VLOOKUP(A18,'MEM-LEVANT'!A13:I2616,9,FALSE),2)</f>
        <v>3000</v>
      </c>
      <c r="G18" s="339">
        <f>IF(B18="IOPES",VLOOKUP(C18,'LABOR-SERVIÇOS'!A:H,7,FALSE),IF(B18="SINAPI",VLOOKUP(C18,'SINAPI-SERVIÇOS'!A:H,8,FALSE),IF(LEFT(C18,3)="ARQ",VLOOKUP(VALUE(RIGHT(C18,3)),'ARQ-COMP'!B:J,9,FALSE),IF(LEFT(C18,3)="SCI",VLOOKUP(VALUE(RIGHT(C18,3)),'GAS-COMP'!#REF!,9,FALSE),IF(LEFT(C18,3)="SCE",VLOOKUP(VALUE(RIGHT(C18,3)),'SCE-COMP'!B:J,9,FALSE),IF(LEFT(C18,3)="EST",VLOOKUP(VALUE(RIGHT(C18,3)),'EST-COMP'!B:J,9,FALSE),IF(LEFT(C18,3)="HID",VLOOKUP(VALUE(RIGHT(C18,3)),'HID-COMP'!B:J,9,FALSE),IF(LEFT(C18,3)="INC",VLOOKUP(VALUE(RIGHT(C18,3)),'INC-COMP'!B:J,9,FALSE),IF(LEFT(C18,3)="ELE",VLOOKUP(VALUE(RIGHT(C18,3)),#REF!,9,FALSE),IF(LEFT(C18,3)="CAB",VLOOKUP(VALUE(RIGHT(C18,3)),#REF!,9,FALSE),IF(LEFT(C18,3)="SEG",VLOOKUP(VALUE(RIGHT(C18,3)),'SEG-COMP'!B:J,9,FALSE),IF(LEFT(C18,3)="CLI",VLOOKUP(VALUE(RIGHT(C18,3)),'CLI-COMP'!B:J,9,FALSE),IF(LEFT(C18,4)="IMPL",VLOOKUP(VALUE(RIGHT(C18,3)),'IMPL-COMP'!B:J,9,FALSE),IF(LEFT(C18,4)="SPDA",VLOOKUP(VALUE(RIGHT(C18,3)),'SPDA-COMP'!B:J,9,FALSE),IF(LEFT(C18,4)="SDAI",VLOOKUP(VALUE(RIGHT(C18,3)),'ADM-COMP'!B:J,9,FALSE),IF(LEFT(C18,5)="IMPER",VLOOKUP(VALUE(RIGHT(C18,3)),'IMPER-COMP'!B:J,9,FALSE),""))))))))))))))))</f>
        <v>28.53</v>
      </c>
      <c r="H18" s="339">
        <f t="shared" si="6"/>
        <v>85590</v>
      </c>
      <c r="I18" s="374">
        <f t="shared" si="7"/>
        <v>5.004412161482362E-3</v>
      </c>
      <c r="J18" s="314"/>
    </row>
    <row r="19" spans="1:10" ht="66">
      <c r="A19" s="613" t="s">
        <v>27379</v>
      </c>
      <c r="B19" s="337" t="s">
        <v>2879</v>
      </c>
      <c r="C19" s="337">
        <v>20701</v>
      </c>
      <c r="D19" s="539" t="str">
        <f>IF(B19="IOPES",VLOOKUP(C19,'LABOR-SERVIÇOS'!A:H,5,FALSE),IF(B19="SINAPI",VLOOKUP(C19,'SINAPI-SERVIÇOS'!A:D,2,FALSE),IF(LEFT(C19,3)="ARQ",VLOOKUP(VALUE(RIGHT(C19,3)),'ARQ-COMP'!B:J,4,FALSE),IF(LEFT(C19,3)="SCI",VLOOKUP(VALUE(RIGHT(C19,3)),'GAS-COMP'!#REF!,4,FALSE),IF(LEFT(C19,3)="SCE",VLOOKUP(VALUE(RIGHT(C19,3)),'SCE-COMP'!B:J,4,FALSE),IF(LEFT(C19,3)="EST",VLOOKUP(VALUE(RIGHT(C19,3)),'EST-COMP'!B:J,4,FALSE),IF(LEFT(C19,3)="HID",VLOOKUP(VALUE(RIGHT(C19,3)),'HID-COMP'!B:J,4,FALSE),IF(LEFT(C19,3)="INC",VLOOKUP(VALUE(RIGHT(C19,3)),'INC-COMP'!B:J,4,FALSE),IF(LEFT(C19,3)="ELE",VLOOKUP(VALUE(RIGHT(C19,3)),#REF!,4,FALSE),IF(LEFT(C19,3)="CAB",VLOOKUP(VALUE(RIGHT(C19,3)),#REF!,4,FALSE),IF(LEFT(C19,3)="SEG",VLOOKUP(VALUE(RIGHT(C19,3)),'SEG-COMP'!B:J,4,FALSE),IF(LEFT(C19,3)="CLI",VLOOKUP(VALUE(RIGHT(C19,3)),'CLI-COMP'!B:J,4,FALSE),IF(LEFT(C19,4)="IMPL",VLOOKUP(VALUE(RIGHT(C19,3)),'IMPL-COMP'!B:J,4,FALSE),IF(LEFT(C19,4)="SPDA",VLOOKUP(VALUE(RIGHT(C19,3)),'SPDA-COMP'!B:J,4,FALSE),IF(LEFT(C19,4)="SDAI",VLOOKUP(VALUE(RIGHT(C19,3)),'ADM-COMP'!B:J,4,FALSE),IF(LEFT(C19,5)="IMPER",VLOOKUP(VALUE(RIGHT(C19,3)),'IMPER-COMP'!B:J,4,FALSE),""))))))))))))))))</f>
        <v>BARRACÃO PARA ESCRITÓRIO COM SANITÁRIO ÁREA DE 14.50 M2, DE CHAPA DE COMPENS. 12MM E PONTALETE 8X8CM, PISO CIMENTADO E COBERTURA DE TELHA DE FIBROC. 6MM, INCL. PONTO DE LUZ E CX. DE INSPEÇÃO, CONF. PROJETO (1 UTILIZAÇÃO)</v>
      </c>
      <c r="E19" s="338" t="str">
        <f>IF(B19="IOPES",VLOOKUP(C19,'LABOR-SERVIÇOS'!A:H,6,FALSE),IF(B19="SINAPI",VLOOKUP(C19,'SINAPI-SERVIÇOS'!A:D,3,FALSE),IF(LEFT(C19,3)="ARQ",VLOOKUP(VALUE(RIGHT(C19,3)),'ARQ-COMP'!B:J,5,FALSE),IF(LEFT(C19,3)="SCI",VLOOKUP(VALUE(RIGHT(C19,3)),'GAS-COMP'!#REF!,5,FALSE),IF(LEFT(C19,3)="SCE",VLOOKUP(VALUE(RIGHT(C19,3)),'SCE-COMP'!B:J,5,FALSE),IF(LEFT(C19,3)="EST",VLOOKUP(VALUE(RIGHT(C19,3)),'EST-COMP'!B:J,5,FALSE),IF(LEFT(C19,3)="HID",VLOOKUP(VALUE(RIGHT(C19,3)),'HID-COMP'!B:J,5,FALSE),IF(LEFT(C19,3)="INC",VLOOKUP(VALUE(RIGHT(C19,3)),'INC-COMP'!B:J,5,FALSE),IF(LEFT(C19,3)="ELE",VLOOKUP(VALUE(RIGHT(C19,3)),#REF!,5,FALSE),IF(LEFT(C19,3)="CAB",VLOOKUP(VALUE(RIGHT(C19,3)),#REF!,5,FALSE),IF(LEFT(C19,3)="SEG",VLOOKUP(VALUE(RIGHT(C19,3)),'SEG-COMP'!B:J,5,FALSE),IF(LEFT(C19,3)="CLI",VLOOKUP(VALUE(RIGHT(C19,3)),'CLI-COMP'!B:J,5,FALSE),IF(LEFT(C19,4)="IMPL",VLOOKUP(VALUE(RIGHT(C19,3)),'IMPL-COMP'!B:J,5,FALSE),IF(LEFT(C19,4)="SPDA",VLOOKUP(VALUE(RIGHT(C19,3)),'SPDA-COMP'!B:J,5,FALSE),IF(LEFT(C19,4)="SDAI",VLOOKUP(VALUE(RIGHT(C19,3)),'ADM-COMP'!B:J,5,FALSE),IF(LEFT(C19,5)="IMPER",VLOOKUP(VALUE(RIGHT(C19,3)),'IMPER-COMP'!B:J,5,FALSE),""))))))))))))))))</f>
        <v>M2</v>
      </c>
      <c r="F19" s="599">
        <f>ROUND(VLOOKUP(A19,'MEM-LEVANT'!A14:I2617,9,FALSE),2)</f>
        <v>14.5</v>
      </c>
      <c r="G19" s="339">
        <f>IF(B19="IOPES",VLOOKUP(C19,'LABOR-SERVIÇOS'!A:H,7,FALSE),IF(B19="SINAPI",VLOOKUP(C19,'SINAPI-SERVIÇOS'!A:H,8,FALSE),IF(LEFT(C19,3)="ARQ",VLOOKUP(VALUE(RIGHT(C19,3)),'ARQ-COMP'!B:J,9,FALSE),IF(LEFT(C19,3)="SCI",VLOOKUP(VALUE(RIGHT(C19,3)),'GAS-COMP'!#REF!,9,FALSE),IF(LEFT(C19,3)="SCE",VLOOKUP(VALUE(RIGHT(C19,3)),'SCE-COMP'!B:J,9,FALSE),IF(LEFT(C19,3)="EST",VLOOKUP(VALUE(RIGHT(C19,3)),'EST-COMP'!B:J,9,FALSE),IF(LEFT(C19,3)="HID",VLOOKUP(VALUE(RIGHT(C19,3)),'HID-COMP'!B:J,9,FALSE),IF(LEFT(C19,3)="INC",VLOOKUP(VALUE(RIGHT(C19,3)),'INC-COMP'!B:J,9,FALSE),IF(LEFT(C19,3)="ELE",VLOOKUP(VALUE(RIGHT(C19,3)),#REF!,9,FALSE),IF(LEFT(C19,3)="CAB",VLOOKUP(VALUE(RIGHT(C19,3)),#REF!,9,FALSE),IF(LEFT(C19,3)="SEG",VLOOKUP(VALUE(RIGHT(C19,3)),'SEG-COMP'!B:J,9,FALSE),IF(LEFT(C19,3)="CLI",VLOOKUP(VALUE(RIGHT(C19,3)),'CLI-COMP'!B:J,9,FALSE),IF(LEFT(C19,4)="IMPL",VLOOKUP(VALUE(RIGHT(C19,3)),'IMPL-COMP'!B:J,9,FALSE),IF(LEFT(C19,4)="SPDA",VLOOKUP(VALUE(RIGHT(C19,3)),'SPDA-COMP'!B:J,9,FALSE),IF(LEFT(C19,4)="SDAI",VLOOKUP(VALUE(RIGHT(C19,3)),'ADM-COMP'!B:J,9,FALSE),IF(LEFT(C19,5)="IMPER",VLOOKUP(VALUE(RIGHT(C19,3)),'IMPER-COMP'!B:J,9,FALSE),""))))))))))))))))</f>
        <v>1147.28</v>
      </c>
      <c r="H19" s="339">
        <f t="shared" si="6"/>
        <v>16635.560000000001</v>
      </c>
      <c r="I19" s="374">
        <f t="shared" si="7"/>
        <v>9.7267436355963929E-4</v>
      </c>
      <c r="J19" s="314"/>
    </row>
    <row r="20" spans="1:10" ht="22.5" customHeight="1">
      <c r="A20" s="613" t="s">
        <v>27380</v>
      </c>
      <c r="B20" s="337" t="s">
        <v>2879</v>
      </c>
      <c r="C20" s="337">
        <f>20344</f>
        <v>20344</v>
      </c>
      <c r="D20" s="539" t="str">
        <f>IF(B20="IOPES",VLOOKUP(C20,'LABOR-SERVIÇOS'!A:H,5,FALSE),IF(B20="SINAPI",VLOOKUP(C20,'SINAPI-SERVIÇOS'!A:D,2,FALSE),IF(LEFT(C20,3)="ARQ",VLOOKUP(VALUE(RIGHT(C20,3)),'ARQ-COMP'!B:J,4,FALSE),IF(LEFT(C20,3)="SCI",VLOOKUP(VALUE(RIGHT(C20,3)),'GAS-COMP'!#REF!,4,FALSE),IF(LEFT(C20,3)="SCE",VLOOKUP(VALUE(RIGHT(C20,3)),'SCE-COMP'!B:J,4,FALSE),IF(LEFT(C20,3)="EST",VLOOKUP(VALUE(RIGHT(C20,3)),'EST-COMP'!B:J,4,FALSE),IF(LEFT(C20,3)="HID",VLOOKUP(VALUE(RIGHT(C20,3)),'HID-COMP'!B:J,4,FALSE),IF(LEFT(C20,3)="INC",VLOOKUP(VALUE(RIGHT(C20,3)),'INC-COMP'!B:J,4,FALSE),IF(LEFT(C20,3)="ELE",VLOOKUP(VALUE(RIGHT(C20,3)),#REF!,4,FALSE),IF(LEFT(C20,3)="CAB",VLOOKUP(VALUE(RIGHT(C20,3)),#REF!,4,FALSE),IF(LEFT(C20,3)="SEG",VLOOKUP(VALUE(RIGHT(C20,3)),'SEG-COMP'!B:J,4,FALSE),IF(LEFT(C20,3)="CLI",VLOOKUP(VALUE(RIGHT(C20,3)),'CLI-COMP'!B:J,4,FALSE),IF(LEFT(C20,4)="IMPL",VLOOKUP(VALUE(RIGHT(C20,3)),'IMPL-COMP'!B:J,4,FALSE),IF(LEFT(C20,4)="SPDA",VLOOKUP(VALUE(RIGHT(C20,3)),'SPDA-COMP'!B:J,4,FALSE),IF(LEFT(C20,4)="SDAI",VLOOKUP(VALUE(RIGHT(C20,3)),'ADM-COMP'!B:J,4,FALSE),IF(LEFT(C20,5)="IMPER",VLOOKUP(VALUE(RIGHT(C20,3)),'IMPER-COMP'!B:J,4,FALSE),""))))))))))))))))</f>
        <v>MOBILIZAÇÃO E DESMOBILIZAÇÃO DE CONTEINER LOCADO PARA BARRACÃO DE OBRA</v>
      </c>
      <c r="E20" s="338" t="str">
        <f>IF(B20="IOPES",VLOOKUP(C20,'LABOR-SERVIÇOS'!A:H,6,FALSE),IF(B20="SINAPI",VLOOKUP(C20,'SINAPI-SERVIÇOS'!A:D,3,FALSE),IF(LEFT(C20,3)="ARQ",VLOOKUP(VALUE(RIGHT(C20,3)),'ARQ-COMP'!B:J,5,FALSE),IF(LEFT(C20,3)="SCI",VLOOKUP(VALUE(RIGHT(C20,3)),'GAS-COMP'!#REF!,5,FALSE),IF(LEFT(C20,3)="SCE",VLOOKUP(VALUE(RIGHT(C20,3)),'SCE-COMP'!B:J,5,FALSE),IF(LEFT(C20,3)="EST",VLOOKUP(VALUE(RIGHT(C20,3)),'EST-COMP'!B:J,5,FALSE),IF(LEFT(C20,3)="HID",VLOOKUP(VALUE(RIGHT(C20,3)),'HID-COMP'!B:J,5,FALSE),IF(LEFT(C20,3)="INC",VLOOKUP(VALUE(RIGHT(C20,3)),'INC-COMP'!B:J,5,FALSE),IF(LEFT(C20,3)="ELE",VLOOKUP(VALUE(RIGHT(C20,3)),#REF!,5,FALSE),IF(LEFT(C20,3)="CAB",VLOOKUP(VALUE(RIGHT(C20,3)),#REF!,5,FALSE),IF(LEFT(C20,3)="SEG",VLOOKUP(VALUE(RIGHT(C20,3)),'SEG-COMP'!B:J,5,FALSE),IF(LEFT(C20,3)="CLI",VLOOKUP(VALUE(RIGHT(C20,3)),'CLI-COMP'!B:J,5,FALSE),IF(LEFT(C20,4)="IMPL",VLOOKUP(VALUE(RIGHT(C20,3)),'IMPL-COMP'!B:J,5,FALSE),IF(LEFT(C20,4)="SPDA",VLOOKUP(VALUE(RIGHT(C20,3)),'SPDA-COMP'!B:J,5,FALSE),IF(LEFT(C20,4)="SDAI",VLOOKUP(VALUE(RIGHT(C20,3)),'ADM-COMP'!B:J,5,FALSE),IF(LEFT(C20,5)="IMPER",VLOOKUP(VALUE(RIGHT(C20,3)),'IMPER-COMP'!B:J,5,FALSE),""))))))))))))))))</f>
        <v>UND</v>
      </c>
      <c r="F20" s="599">
        <f>ROUND(VLOOKUP(A20,'MEM-LEVANT'!A15:I2618,9,FALSE),2)</f>
        <v>3</v>
      </c>
      <c r="G20" s="339">
        <f>IF(B20="IOPES",VLOOKUP(C20,'LABOR-SERVIÇOS'!A:H,7,FALSE),IF(B20="SINAPI",VLOOKUP(C20,'SINAPI-SERVIÇOS'!A:H,8,FALSE),IF(LEFT(C20,3)="ARQ",VLOOKUP(VALUE(RIGHT(C20,3)),'ARQ-COMP'!B:J,9,FALSE),IF(LEFT(C20,3)="SCI",VLOOKUP(VALUE(RIGHT(C20,3)),'GAS-COMP'!#REF!,9,FALSE),IF(LEFT(C20,3)="SCE",VLOOKUP(VALUE(RIGHT(C20,3)),'SCE-COMP'!B:J,9,FALSE),IF(LEFT(C20,3)="EST",VLOOKUP(VALUE(RIGHT(C20,3)),'EST-COMP'!B:J,9,FALSE),IF(LEFT(C20,3)="HID",VLOOKUP(VALUE(RIGHT(C20,3)),'HID-COMP'!B:J,9,FALSE),IF(LEFT(C20,3)="INC",VLOOKUP(VALUE(RIGHT(C20,3)),'INC-COMP'!B:J,9,FALSE),IF(LEFT(C20,3)="ELE",VLOOKUP(VALUE(RIGHT(C20,3)),#REF!,9,FALSE),IF(LEFT(C20,3)="CAB",VLOOKUP(VALUE(RIGHT(C20,3)),#REF!,9,FALSE),IF(LEFT(C20,3)="SEG",VLOOKUP(VALUE(RIGHT(C20,3)),'SEG-COMP'!B:J,9,FALSE),IF(LEFT(C20,3)="CLI",VLOOKUP(VALUE(RIGHT(C20,3)),'CLI-COMP'!B:J,9,FALSE),IF(LEFT(C20,4)="IMPL",VLOOKUP(VALUE(RIGHT(C20,3)),'IMPL-COMP'!B:J,9,FALSE),IF(LEFT(C20,4)="SPDA",VLOOKUP(VALUE(RIGHT(C20,3)),'SPDA-COMP'!B:J,9,FALSE),IF(LEFT(C20,4)="SDAI",VLOOKUP(VALUE(RIGHT(C20,3)),'ADM-COMP'!B:J,9,FALSE),IF(LEFT(C20,5)="IMPER",VLOOKUP(VALUE(RIGHT(C20,3)),'IMPER-COMP'!B:J,9,FALSE),""))))))))))))))))</f>
        <v>2220.84</v>
      </c>
      <c r="H20" s="339">
        <f t="shared" si="6"/>
        <v>6662.52</v>
      </c>
      <c r="I20" s="374">
        <f t="shared" si="7"/>
        <v>3.8955480913797718E-4</v>
      </c>
      <c r="J20" s="314"/>
    </row>
    <row r="21" spans="1:10" ht="66">
      <c r="A21" s="613" t="s">
        <v>27381</v>
      </c>
      <c r="B21" s="337" t="s">
        <v>2879</v>
      </c>
      <c r="C21" s="540">
        <f>20713</f>
        <v>20713</v>
      </c>
      <c r="D21" s="539" t="str">
        <f>IF(B21="IOPES",VLOOKUP(C21,'LABOR-SERVIÇOS'!A:H,5,FALSE),IF(B21="SINAPI",VLOOKUP(C21,'SINAPI-SERVIÇOS'!A:D,2,FALSE),IF(LEFT(C21,3)="ARQ",VLOOKUP(VALUE(RIGHT(C21,3)),'ARQ-COMP'!B:J,4,FALSE),IF(LEFT(C21,3)="SCI",VLOOKUP(VALUE(RIGHT(C21,3)),'GAS-COMP'!#REF!,4,FALSE),IF(LEFT(C21,3)="SCE",VLOOKUP(VALUE(RIGHT(C21,3)),'SCE-COMP'!B:J,4,FALSE),IF(LEFT(C21,3)="EST",VLOOKUP(VALUE(RIGHT(C21,3)),'EST-COMP'!B:J,4,FALSE),IF(LEFT(C21,3)="HID",VLOOKUP(VALUE(RIGHT(C21,3)),'HID-COMP'!B:J,4,FALSE),IF(LEFT(C21,3)="INC",VLOOKUP(VALUE(RIGHT(C21,3)),'INC-COMP'!B:J,4,FALSE),IF(LEFT(C21,3)="ELE",VLOOKUP(VALUE(RIGHT(C21,3)),#REF!,4,FALSE),IF(LEFT(C21,3)="CAB",VLOOKUP(VALUE(RIGHT(C21,3)),#REF!,4,FALSE),IF(LEFT(C21,3)="SEG",VLOOKUP(VALUE(RIGHT(C21,3)),'SEG-COMP'!B:J,4,FALSE),IF(LEFT(C21,3)="CLI",VLOOKUP(VALUE(RIGHT(C21,3)),'CLI-COMP'!B:J,4,FALSE),IF(LEFT(C21,4)="IMPL",VLOOKUP(VALUE(RIGHT(C21,3)),'IMPL-COMP'!B:J,4,FALSE),IF(LEFT(C21,4)="SPDA",VLOOKUP(VALUE(RIGHT(C21,3)),'SPDA-COMP'!B:J,4,FALSE),IF(LEFT(C21,4)="SDAI",VLOOKUP(VALUE(RIGHT(C21,3)),'ADM-COMP'!B:J,4,FALSE),IF(LEFT(C21,5)="IMPER",VLOOKUP(VALUE(RIGHT(C21,3)),'IMPER-COMP'!B:J,4,FALSE),""))))))))))))))))</f>
        <v>REDE DE LUZ, INCL. PADRÃO ENTRADA DE ENERGIA TRIFÁS., CABO DE LIGAÇÃO ATÉ BARRACÕES, QUADRO DE DISTRIB., DISJ. E CHAVE DE FORÇA (QUANDO NECESSÁRIO), CONS. 20M ENTRE PADRÃO ENTRADA E QDG, CONF. PROJETO (1 UTILIZAÇÃO)</v>
      </c>
      <c r="E21" s="338" t="str">
        <f>IF(B21="IOPES",VLOOKUP(C21,'LABOR-SERVIÇOS'!A:H,6,FALSE),IF(B21="SINAPI",VLOOKUP(C21,'SINAPI-SERVIÇOS'!A:D,3,FALSE),IF(LEFT(C21,3)="ARQ",VLOOKUP(VALUE(RIGHT(C21,3)),'ARQ-COMP'!B:J,5,FALSE),IF(LEFT(C21,3)="SCI",VLOOKUP(VALUE(RIGHT(C21,3)),'GAS-COMP'!#REF!,5,FALSE),IF(LEFT(C21,3)="SCE",VLOOKUP(VALUE(RIGHT(C21,3)),'SCE-COMP'!B:J,5,FALSE),IF(LEFT(C21,3)="EST",VLOOKUP(VALUE(RIGHT(C21,3)),'EST-COMP'!B:J,5,FALSE),IF(LEFT(C21,3)="HID",VLOOKUP(VALUE(RIGHT(C21,3)),'HID-COMP'!B:J,5,FALSE),IF(LEFT(C21,3)="INC",VLOOKUP(VALUE(RIGHT(C21,3)),'INC-COMP'!B:J,5,FALSE),IF(LEFT(C21,3)="ELE",VLOOKUP(VALUE(RIGHT(C21,3)),#REF!,5,FALSE),IF(LEFT(C21,3)="CAB",VLOOKUP(VALUE(RIGHT(C21,3)),#REF!,5,FALSE),IF(LEFT(C21,3)="SEG",VLOOKUP(VALUE(RIGHT(C21,3)),'SEG-COMP'!B:J,5,FALSE),IF(LEFT(C21,3)="CLI",VLOOKUP(VALUE(RIGHT(C21,3)),'CLI-COMP'!B:J,5,FALSE),IF(LEFT(C21,4)="IMPL",VLOOKUP(VALUE(RIGHT(C21,3)),'IMPL-COMP'!B:J,5,FALSE),IF(LEFT(C21,4)="SPDA",VLOOKUP(VALUE(RIGHT(C21,3)),'SPDA-COMP'!B:J,5,FALSE),IF(LEFT(C21,4)="SDAI",VLOOKUP(VALUE(RIGHT(C21,3)),'ADM-COMP'!B:J,5,FALSE),IF(LEFT(C21,5)="IMPER",VLOOKUP(VALUE(RIGHT(C21,3)),'IMPER-COMP'!B:J,5,FALSE),""))))))))))))))))</f>
        <v>M</v>
      </c>
      <c r="F21" s="599">
        <f>ROUND(VLOOKUP(A21,'MEM-LEVANT'!A18:I2621,9,FALSE),2)</f>
        <v>20</v>
      </c>
      <c r="G21" s="339">
        <f>IF(B21="IOPES",VLOOKUP(C21,'LABOR-SERVIÇOS'!A:H,7,FALSE),IF(B21="SINAPI",VLOOKUP(C21,'SINAPI-SERVIÇOS'!A:H,8,FALSE),IF(LEFT(C21,3)="ARQ",VLOOKUP(VALUE(RIGHT(C21,3)),'ARQ-COMP'!B:J,9,FALSE),IF(LEFT(C21,3)="SCI",VLOOKUP(VALUE(RIGHT(C21,3)),'GAS-COMP'!#REF!,9,FALSE),IF(LEFT(C21,3)="SCE",VLOOKUP(VALUE(RIGHT(C21,3)),'SCE-COMP'!B:J,9,FALSE),IF(LEFT(C21,3)="EST",VLOOKUP(VALUE(RIGHT(C21,3)),'EST-COMP'!B:J,9,FALSE),IF(LEFT(C21,3)="HID",VLOOKUP(VALUE(RIGHT(C21,3)),'HID-COMP'!B:J,9,FALSE),IF(LEFT(C21,3)="INC",VLOOKUP(VALUE(RIGHT(C21,3)),'INC-COMP'!B:J,9,FALSE),IF(LEFT(C21,3)="ELE",VLOOKUP(VALUE(RIGHT(C21,3)),#REF!,9,FALSE),IF(LEFT(C21,3)="CAB",VLOOKUP(VALUE(RIGHT(C21,3)),#REF!,9,FALSE),IF(LEFT(C21,3)="SEG",VLOOKUP(VALUE(RIGHT(C21,3)),'SEG-COMP'!B:J,9,FALSE),IF(LEFT(C21,3)="CLI",VLOOKUP(VALUE(RIGHT(C21,3)),'CLI-COMP'!B:J,9,FALSE),IF(LEFT(C21,4)="IMPL",VLOOKUP(VALUE(RIGHT(C21,3)),'IMPL-COMP'!B:J,9,FALSE),IF(LEFT(C21,4)="SPDA",VLOOKUP(VALUE(RIGHT(C21,3)),'SPDA-COMP'!B:J,9,FALSE),IF(LEFT(C21,4)="SDAI",VLOOKUP(VALUE(RIGHT(C21,3)),'ADM-COMP'!B:J,9,FALSE),IF(LEFT(C21,5)="IMPER",VLOOKUP(VALUE(RIGHT(C21,3)),'IMPER-COMP'!B:J,9,FALSE),""))))))))))))))))</f>
        <v>669.17</v>
      </c>
      <c r="H21" s="339">
        <f t="shared" si="6"/>
        <v>13383.4</v>
      </c>
      <c r="I21" s="374">
        <f t="shared" si="7"/>
        <v>7.8252190351656788E-4</v>
      </c>
      <c r="J21" s="314"/>
    </row>
    <row r="22" spans="1:10" ht="66">
      <c r="A22" s="613" t="s">
        <v>27382</v>
      </c>
      <c r="B22" s="877" t="s">
        <v>2879</v>
      </c>
      <c r="C22" s="877">
        <f>'LABOR-SERVIÇOS'!A129</f>
        <v>20804</v>
      </c>
      <c r="D22" s="878" t="str">
        <f>IF(B22="IOPES",VLOOKUP(C22,'LABOR-SERVIÇOS'!A:H,5,FALSE),IF(B22="SINAPI",VLOOKUP(C22,'SINAPI-SERVIÇOS'!A:D,2,FALSE),IF(LEFT(C22,3)="ARQ",VLOOKUP(VALUE(RIGHT(C22,3)),'ARQ-COMP'!B:J,4,FALSE),IF(LEFT(C22,3)="SCI",VLOOKUP(VALUE(RIGHT(C22,3)),'GAS-COMP'!#REF!,4,FALSE),IF(LEFT(C22,3)="SCE",VLOOKUP(VALUE(RIGHT(C22,3)),'SCE-COMP'!B:J,4,FALSE),IF(LEFT(C22,3)="EST",VLOOKUP(VALUE(RIGHT(C22,3)),'EST-COMP'!B:J,4,FALSE),IF(LEFT(C22,3)="HID",VLOOKUP(VALUE(RIGHT(C22,3)),'HID-COMP'!B:J,4,FALSE),IF(LEFT(C22,3)="INC",VLOOKUP(VALUE(RIGHT(C22,3)),'INC-COMP'!B:J,4,FALSE),IF(LEFT(C22,3)="ELE",VLOOKUP(VALUE(RIGHT(C22,3)),#REF!,4,FALSE),IF(LEFT(C22,3)="CAB",VLOOKUP(VALUE(RIGHT(C22,3)),#REF!,4,FALSE),IF(LEFT(C22,3)="SEG",VLOOKUP(VALUE(RIGHT(C22,3)),'SEG-COMP'!B:J,4,FALSE),IF(LEFT(C22,3)="CLI",VLOOKUP(VALUE(RIGHT(C22,3)),'CLI-COMP'!B:J,4,FALSE),IF(LEFT(C22,4)="IMPL",VLOOKUP(VALUE(RIGHT(C22,3)),'IMPL-COMP'!B:J,4,FALSE),IF(LEFT(C22,4)="SPDA",VLOOKUP(VALUE(RIGHT(C22,3)),'SPDA-COMP'!B:J,4,FALSE),IF(LEFT(C22,4)="SDAI",VLOOKUP(VALUE(RIGHT(C22,3)),'ADM-COMP'!B:J,4,FALSE),IF(LEFT(C22,5)="IMPER",VLOOKUP(VALUE(RIGHT(C22,3)),'IMPER-COMP'!B:J,4,FALSE),""))))))))))))))))</f>
        <v>REFEITÓRIO COM PAREDES DE CHAPA DE COMPENS. 12MM E PONTALETES 8X8CM, PISO CIMENT. E COBERT. DE TELHAS FIBROC. 6MM, INCL. PONTO DE LUZ E CX. DE INSPEÇÃO (CONS. 1.21M2/FUNC./TURNO), CONF. PROJETO (2 UTILIZAÇÃO)</v>
      </c>
      <c r="E22" s="879" t="str">
        <f>IF(B22="IOPES",VLOOKUP(C22,'LABOR-SERVIÇOS'!A:H,6,FALSE),IF(B22="SINAPI",VLOOKUP(C22,'SINAPI-SERVIÇOS'!A:D,3,FALSE),IF(LEFT(C22,3)="ARQ",VLOOKUP(VALUE(RIGHT(C22,3)),'ARQ-COMP'!B:J,5,FALSE),IF(LEFT(C22,3)="SCI",VLOOKUP(VALUE(RIGHT(C22,3)),'GAS-COMP'!#REF!,5,FALSE),IF(LEFT(C22,3)="SCE",VLOOKUP(VALUE(RIGHT(C22,3)),'SCE-COMP'!B:J,5,FALSE),IF(LEFT(C22,3)="EST",VLOOKUP(VALUE(RIGHT(C22,3)),'EST-COMP'!B:J,5,FALSE),IF(LEFT(C22,3)="HID",VLOOKUP(VALUE(RIGHT(C22,3)),'HID-COMP'!B:J,5,FALSE),IF(LEFT(C22,3)="INC",VLOOKUP(VALUE(RIGHT(C22,3)),'INC-COMP'!B:J,5,FALSE),IF(LEFT(C22,3)="ELE",VLOOKUP(VALUE(RIGHT(C22,3)),#REF!,5,FALSE),IF(LEFT(C22,3)="CAB",VLOOKUP(VALUE(RIGHT(C22,3)),#REF!,5,FALSE),IF(LEFT(C22,3)="SEG",VLOOKUP(VALUE(RIGHT(C22,3)),'SEG-COMP'!B:J,5,FALSE),IF(LEFT(C22,3)="CLI",VLOOKUP(VALUE(RIGHT(C22,3)),'CLI-COMP'!B:J,5,FALSE),IF(LEFT(C22,4)="IMPL",VLOOKUP(VALUE(RIGHT(C22,3)),'IMPL-COMP'!B:J,5,FALSE),IF(LEFT(C22,4)="SPDA",VLOOKUP(VALUE(RIGHT(C22,3)),'SPDA-COMP'!B:J,5,FALSE),IF(LEFT(C22,4)="SDAI",VLOOKUP(VALUE(RIGHT(C22,3)),'ADM-COMP'!B:J,5,FALSE),IF(LEFT(C22,5)="IMPER",VLOOKUP(VALUE(RIGHT(C22,3)),'IMPER-COMP'!B:J,5,FALSE),""))))))))))))))))</f>
        <v>M2</v>
      </c>
      <c r="F22" s="606">
        <f>ROUND(VLOOKUP(A22,'MEM-LEVANT'!A19:I2622,9,FALSE),2)</f>
        <v>36.299999999999997</v>
      </c>
      <c r="G22" s="339">
        <f>IF(B22="IOPES",VLOOKUP(C22,'LABOR-SERVIÇOS'!A:H,7,FALSE),IF(B22="SINAPI",VLOOKUP(C22,'SINAPI-SERVIÇOS'!A:H,8,FALSE),IF(LEFT(C22,3)="ARQ",VLOOKUP(VALUE(RIGHT(C22,3)),'ARQ-COMP'!B:J,9,FALSE),IF(LEFT(C22,3)="SCI",VLOOKUP(VALUE(RIGHT(C22,3)),'GAS-COMP'!#REF!,9,FALSE),IF(LEFT(C22,3)="SCE",VLOOKUP(VALUE(RIGHT(C22,3)),'SCE-COMP'!B:J,9,FALSE),IF(LEFT(C22,3)="EST",VLOOKUP(VALUE(RIGHT(C22,3)),'EST-COMP'!B:J,9,FALSE),IF(LEFT(C22,3)="HID",VLOOKUP(VALUE(RIGHT(C22,3)),'HID-COMP'!B:J,9,FALSE),IF(LEFT(C22,3)="INC",VLOOKUP(VALUE(RIGHT(C22,3)),'INC-COMP'!B:J,9,FALSE),IF(LEFT(C22,3)="ELE",VLOOKUP(VALUE(RIGHT(C22,3)),#REF!,9,FALSE),IF(LEFT(C22,3)="CAB",VLOOKUP(VALUE(RIGHT(C22,3)),#REF!,9,FALSE),IF(LEFT(C22,3)="SEG",VLOOKUP(VALUE(RIGHT(C22,3)),'SEG-COMP'!B:J,9,FALSE),IF(LEFT(C22,3)="CLI",VLOOKUP(VALUE(RIGHT(C22,3)),'CLI-COMP'!B:J,9,FALSE),IF(LEFT(C22,4)="IMPL",VLOOKUP(VALUE(RIGHT(C22,3)),'IMPL-COMP'!B:J,9,FALSE),IF(LEFT(C22,4)="SPDA",VLOOKUP(VALUE(RIGHT(C22,3)),'SPDA-COMP'!B:J,9,FALSE),IF(LEFT(C22,4)="SDAI",VLOOKUP(VALUE(RIGHT(C22,3)),'ADM-COMP'!B:J,9,FALSE),IF(LEFT(C22,5)="IMPER",VLOOKUP(VALUE(RIGHT(C22,3)),'IMPER-COMP'!B:J,9,FALSE),""))))))))))))))))</f>
        <v>535.37</v>
      </c>
      <c r="H22" s="339">
        <f t="shared" ref="H22:H29" si="8">ROUND(F22*G22,2)</f>
        <v>19433.93</v>
      </c>
      <c r="I22" s="374">
        <f t="shared" si="7"/>
        <v>1.1362939086037728E-3</v>
      </c>
      <c r="J22" s="314"/>
    </row>
    <row r="23" spans="1:10" ht="52.8">
      <c r="A23" s="613" t="s">
        <v>27383</v>
      </c>
      <c r="B23" s="337" t="s">
        <v>2879</v>
      </c>
      <c r="C23" s="337">
        <f>20354</f>
        <v>20354</v>
      </c>
      <c r="D23" s="539" t="str">
        <f>IF(B23="IOPES",VLOOKUP(C23,'LABOR-SERVIÇOS'!A:H,5,FALSE),IF(B23="SINAPI",VLOOKUP(C23,'SINAPI-SERVIÇOS'!A:D,2,FALSE),IF(LEFT(C23,3)="ARQ",VLOOKUP(VALUE(RIGHT(C23,3)),'ARQ-COMP'!B:J,4,FALSE),IF(LEFT(C23,3)="SCI",VLOOKUP(VALUE(RIGHT(C23,3)),'GAS-COMP'!#REF!,4,FALSE),IF(LEFT(C23,3)="SCE",VLOOKUP(VALUE(RIGHT(C23,3)),'SCE-COMP'!B:J,4,FALSE),IF(LEFT(C23,3)="EST",VLOOKUP(VALUE(RIGHT(C23,3)),'EST-COMP'!B:J,4,FALSE),IF(LEFT(C23,3)="HID",VLOOKUP(VALUE(RIGHT(C23,3)),'HID-COMP'!B:J,4,FALSE),IF(LEFT(C23,3)="INC",VLOOKUP(VALUE(RIGHT(C23,3)),'INC-COMP'!B:J,4,FALSE),IF(LEFT(C23,3)="ELE",VLOOKUP(VALUE(RIGHT(C23,3)),#REF!,4,FALSE),IF(LEFT(C23,3)="CAB",VLOOKUP(VALUE(RIGHT(C23,3)),#REF!,4,FALSE),IF(LEFT(C23,3)="SEG",VLOOKUP(VALUE(RIGHT(C23,3)),'SEG-COMP'!B:J,4,FALSE),IF(LEFT(C23,3)="CLI",VLOOKUP(VALUE(RIGHT(C23,3)),'CLI-COMP'!B:J,4,FALSE),IF(LEFT(C23,4)="IMPL",VLOOKUP(VALUE(RIGHT(C23,3)),'IMPL-COMP'!B:J,4,FALSE),IF(LEFT(C23,4)="SPDA",VLOOKUP(VALUE(RIGHT(C23,3)),'SPDA-COMP'!B:J,4,FALSE),IF(LEFT(C23,4)="SDAI",VLOOKUP(VALUE(RIGHT(C23,3)),'ADM-COMP'!B:J,4,FALSE),IF(LEFT(C23,5)="IMPER",VLOOKUP(VALUE(RIGHT(C23,3)),'IMPER-COMP'!B:J,4,FALSE),""))))))))))))))))</f>
        <v>ALUGUEL MENSAL CONTAINER PARA VESTIÁRIO, INCL. PORTA, VENEZIANAS DE CIRCULAÇÃO, 1 PT ILUMINAÇÃO, ISOLAMENTO TÉRMICO (TETO), PISO EM COMP. NAVAL PINTADO, CERT. NR18, INCL. LAUDO DESCONTAMINAÇÃO.</v>
      </c>
      <c r="E23" s="338" t="str">
        <f>IF(B23="IOPES",VLOOKUP(C23,'LABOR-SERVIÇOS'!A:H,6,FALSE),IF(B23="SINAPI",VLOOKUP(C23,'SINAPI-SERVIÇOS'!A:D,3,FALSE),IF(LEFT(C23,3)="ARQ",VLOOKUP(VALUE(RIGHT(C23,3)),'ARQ-COMP'!B:J,5,FALSE),IF(LEFT(C23,3)="SCI",VLOOKUP(VALUE(RIGHT(C23,3)),'GAS-COMP'!#REF!,5,FALSE),IF(LEFT(C23,3)="SCE",VLOOKUP(VALUE(RIGHT(C23,3)),'SCE-COMP'!B:J,5,FALSE),IF(LEFT(C23,3)="EST",VLOOKUP(VALUE(RIGHT(C23,3)),'EST-COMP'!B:J,5,FALSE),IF(LEFT(C23,3)="HID",VLOOKUP(VALUE(RIGHT(C23,3)),'HID-COMP'!B:J,5,FALSE),IF(LEFT(C23,3)="INC",VLOOKUP(VALUE(RIGHT(C23,3)),'INC-COMP'!B:J,5,FALSE),IF(LEFT(C23,3)="ELE",VLOOKUP(VALUE(RIGHT(C23,3)),#REF!,5,FALSE),IF(LEFT(C23,3)="CAB",VLOOKUP(VALUE(RIGHT(C23,3)),#REF!,5,FALSE),IF(LEFT(C23,3)="SEG",VLOOKUP(VALUE(RIGHT(C23,3)),'SEG-COMP'!B:J,5,FALSE),IF(LEFT(C23,3)="CLI",VLOOKUP(VALUE(RIGHT(C23,3)),'CLI-COMP'!B:J,5,FALSE),IF(LEFT(C23,4)="IMPL",VLOOKUP(VALUE(RIGHT(C23,3)),'IMPL-COMP'!B:J,5,FALSE),IF(LEFT(C23,4)="SPDA",VLOOKUP(VALUE(RIGHT(C23,3)),'SPDA-COMP'!B:J,5,FALSE),IF(LEFT(C23,4)="SDAI",VLOOKUP(VALUE(RIGHT(C23,3)),'ADM-COMP'!B:J,5,FALSE),IF(LEFT(C23,5)="IMPER",VLOOKUP(VALUE(RIGHT(C23,3)),'IMPER-COMP'!B:J,5,FALSE),""))))))))))))))))</f>
        <v>MS</v>
      </c>
      <c r="F23" s="599">
        <f>ROUND(VLOOKUP(A23,'MEM-LEVANT'!A17:I2620,9,FALSE),2)</f>
        <v>18</v>
      </c>
      <c r="G23" s="339">
        <f>IF(B23="IOPES",VLOOKUP(C23,'LABOR-SERVIÇOS'!A:H,7,FALSE),IF(B23="SINAPI",VLOOKUP(C23,'SINAPI-SERVIÇOS'!A:H,8,FALSE),IF(LEFT(C23,3)="ARQ",VLOOKUP(VALUE(RIGHT(C23,3)),'ARQ-COMP'!B:J,9,FALSE),IF(LEFT(C23,3)="SCI",VLOOKUP(VALUE(RIGHT(C23,3)),'GAS-COMP'!#REF!,9,FALSE),IF(LEFT(C23,3)="SCE",VLOOKUP(VALUE(RIGHT(C23,3)),'SCE-COMP'!B:J,9,FALSE),IF(LEFT(C23,3)="EST",VLOOKUP(VALUE(RIGHT(C23,3)),'EST-COMP'!B:J,9,FALSE),IF(LEFT(C23,3)="HID",VLOOKUP(VALUE(RIGHT(C23,3)),'HID-COMP'!B:J,9,FALSE),IF(LEFT(C23,3)="INC",VLOOKUP(VALUE(RIGHT(C23,3)),'INC-COMP'!B:J,9,FALSE),IF(LEFT(C23,3)="ELE",VLOOKUP(VALUE(RIGHT(C23,3)),#REF!,9,FALSE),IF(LEFT(C23,3)="CAB",VLOOKUP(VALUE(RIGHT(C23,3)),#REF!,9,FALSE),IF(LEFT(C23,3)="SEG",VLOOKUP(VALUE(RIGHT(C23,3)),'SEG-COMP'!B:J,9,FALSE),IF(LEFT(C23,3)="CLI",VLOOKUP(VALUE(RIGHT(C23,3)),'CLI-COMP'!B:J,9,FALSE),IF(LEFT(C23,4)="IMPL",VLOOKUP(VALUE(RIGHT(C23,3)),'IMPL-COMP'!B:J,9,FALSE),IF(LEFT(C23,4)="SPDA",VLOOKUP(VALUE(RIGHT(C23,3)),'SPDA-COMP'!B:J,9,FALSE),IF(LEFT(C23,4)="SDAI",VLOOKUP(VALUE(RIGHT(C23,3)),'ADM-COMP'!B:J,9,FALSE),IF(LEFT(C23,5)="IMPER",VLOOKUP(VALUE(RIGHT(C23,3)),'IMPER-COMP'!B:J,9,FALSE),""))))))))))))))))</f>
        <v>1025.03</v>
      </c>
      <c r="H23" s="339">
        <f t="shared" si="8"/>
        <v>18450.54</v>
      </c>
      <c r="I23" s="374">
        <f t="shared" si="7"/>
        <v>1.0787954990292882E-3</v>
      </c>
      <c r="J23" s="314"/>
    </row>
    <row r="24" spans="1:10" ht="66">
      <c r="A24" s="613" t="s">
        <v>27384</v>
      </c>
      <c r="B24" s="337" t="s">
        <v>2879</v>
      </c>
      <c r="C24" s="337">
        <f>20355</f>
        <v>20355</v>
      </c>
      <c r="D24" s="539" t="str">
        <f>IF(B24="IOPES",VLOOKUP(C24,'LABOR-SERVIÇOS'!A:H,5,FALSE),IF(B24="SINAPI",VLOOKUP(C24,'SINAPI-SERVIÇOS'!A:D,2,FALSE),IF(LEFT(C24,3)="ARQ",VLOOKUP(VALUE(RIGHT(C24,3)),'ARQ-COMP'!B:J,4,FALSE),IF(LEFT(C24,3)="SCI",VLOOKUP(VALUE(RIGHT(C24,3)),'GAS-COMP'!#REF!,4,FALSE),IF(LEFT(C24,3)="SCE",VLOOKUP(VALUE(RIGHT(C24,3)),'SCE-COMP'!B:J,4,FALSE),IF(LEFT(C24,3)="EST",VLOOKUP(VALUE(RIGHT(C24,3)),'EST-COMP'!B:J,4,FALSE),IF(LEFT(C24,3)="HID",VLOOKUP(VALUE(RIGHT(C24,3)),'HID-COMP'!B:J,4,FALSE),IF(LEFT(C24,3)="INC",VLOOKUP(VALUE(RIGHT(C24,3)),'INC-COMP'!B:J,4,FALSE),IF(LEFT(C24,3)="ELE",VLOOKUP(VALUE(RIGHT(C24,3)),#REF!,4,FALSE),IF(LEFT(C24,3)="CAB",VLOOKUP(VALUE(RIGHT(C24,3)),#REF!,4,FALSE),IF(LEFT(C24,3)="SEG",VLOOKUP(VALUE(RIGHT(C24,3)),'SEG-COMP'!B:J,4,FALSE),IF(LEFT(C24,3)="CLI",VLOOKUP(VALUE(RIGHT(C24,3)),'CLI-COMP'!B:J,4,FALSE),IF(LEFT(C24,4)="IMPL",VLOOKUP(VALUE(RIGHT(C24,3)),'IMPL-COMP'!B:J,4,FALSE),IF(LEFT(C24,4)="SPDA",VLOOKUP(VALUE(RIGHT(C24,3)),'SPDA-COMP'!B:J,4,FALSE),IF(LEFT(C24,4)="SDAI",VLOOKUP(VALUE(RIGHT(C24,3)),'ADM-COMP'!B:J,4,FALSE),IF(LEFT(C24,5)="IMPER",VLOOKUP(VALUE(RIGHT(C24,3)),'IMPER-COMP'!B:J,4,FALSE),""))))))))))))))))</f>
        <v>ALUGUEL MENSAL CONTAINER SANITÁRIO, INCL PORTA, BÁSC, 2 PTOS LUZ, 1 PTO ATERRAM., 3VASOS, 3LAVATÓRIOS, CALHA MICTÓRIO, 6 CHUVEIROS (1 ELETRICO), TORN.,REGISTROS, PISO COMP. NAVAL PINTADO, CERT NR18 E LAUDO DESCONTAMINAÇÃO</v>
      </c>
      <c r="E24" s="338" t="str">
        <f>IF(B24="IOPES",VLOOKUP(C24,'LABOR-SERVIÇOS'!A:H,6,FALSE),IF(B24="SINAPI",VLOOKUP(C24,'SINAPI-SERVIÇOS'!A:D,3,FALSE),IF(LEFT(C24,3)="ARQ",VLOOKUP(VALUE(RIGHT(C24,3)),'ARQ-COMP'!B:J,5,FALSE),IF(LEFT(C24,3)="SCI",VLOOKUP(VALUE(RIGHT(C24,3)),'GAS-COMP'!#REF!,5,FALSE),IF(LEFT(C24,3)="SCE",VLOOKUP(VALUE(RIGHT(C24,3)),'SCE-COMP'!B:J,5,FALSE),IF(LEFT(C24,3)="EST",VLOOKUP(VALUE(RIGHT(C24,3)),'EST-COMP'!B:J,5,FALSE),IF(LEFT(C24,3)="HID",VLOOKUP(VALUE(RIGHT(C24,3)),'HID-COMP'!B:J,5,FALSE),IF(LEFT(C24,3)="INC",VLOOKUP(VALUE(RIGHT(C24,3)),'INC-COMP'!B:J,5,FALSE),IF(LEFT(C24,3)="ELE",VLOOKUP(VALUE(RIGHT(C24,3)),#REF!,5,FALSE),IF(LEFT(C24,3)="CAB",VLOOKUP(VALUE(RIGHT(C24,3)),#REF!,5,FALSE),IF(LEFT(C24,3)="SEG",VLOOKUP(VALUE(RIGHT(C24,3)),'SEG-COMP'!B:J,5,FALSE),IF(LEFT(C24,3)="CLI",VLOOKUP(VALUE(RIGHT(C24,3)),'CLI-COMP'!B:J,5,FALSE),IF(LEFT(C24,4)="IMPL",VLOOKUP(VALUE(RIGHT(C24,3)),'IMPL-COMP'!B:J,5,FALSE),IF(LEFT(C24,4)="SPDA",VLOOKUP(VALUE(RIGHT(C24,3)),'SPDA-COMP'!B:J,5,FALSE),IF(LEFT(C24,4)="SDAI",VLOOKUP(VALUE(RIGHT(C24,3)),'ADM-COMP'!B:J,5,FALSE),IF(LEFT(C24,5)="IMPER",VLOOKUP(VALUE(RIGHT(C24,3)),'IMPER-COMP'!B:J,5,FALSE),""))))))))))))))))</f>
        <v>MS</v>
      </c>
      <c r="F24" s="599">
        <f>ROUND(VLOOKUP(A24,'MEM-LEVANT'!A18:I2621,9,FALSE),2)</f>
        <v>18</v>
      </c>
      <c r="G24" s="339">
        <f>IF(B24="IOPES",VLOOKUP(C24,'LABOR-SERVIÇOS'!A:H,7,FALSE),IF(B24="SINAPI",VLOOKUP(C24,'SINAPI-SERVIÇOS'!A:H,8,FALSE),IF(LEFT(C24,3)="ARQ",VLOOKUP(VALUE(RIGHT(C24,3)),'ARQ-COMP'!B:J,9,FALSE),IF(LEFT(C24,3)="SCI",VLOOKUP(VALUE(RIGHT(C24,3)),'GAS-COMP'!#REF!,9,FALSE),IF(LEFT(C24,3)="SCE",VLOOKUP(VALUE(RIGHT(C24,3)),'SCE-COMP'!B:J,9,FALSE),IF(LEFT(C24,3)="EST",VLOOKUP(VALUE(RIGHT(C24,3)),'EST-COMP'!B:J,9,FALSE),IF(LEFT(C24,3)="HID",VLOOKUP(VALUE(RIGHT(C24,3)),'HID-COMP'!B:J,9,FALSE),IF(LEFT(C24,3)="INC",VLOOKUP(VALUE(RIGHT(C24,3)),'INC-COMP'!B:J,9,FALSE),IF(LEFT(C24,3)="ELE",VLOOKUP(VALUE(RIGHT(C24,3)),#REF!,9,FALSE),IF(LEFT(C24,3)="CAB",VLOOKUP(VALUE(RIGHT(C24,3)),#REF!,9,FALSE),IF(LEFT(C24,3)="SEG",VLOOKUP(VALUE(RIGHT(C24,3)),'SEG-COMP'!B:J,9,FALSE),IF(LEFT(C24,3)="CLI",VLOOKUP(VALUE(RIGHT(C24,3)),'CLI-COMP'!B:J,9,FALSE),IF(LEFT(C24,4)="IMPL",VLOOKUP(VALUE(RIGHT(C24,3)),'IMPL-COMP'!B:J,9,FALSE),IF(LEFT(C24,4)="SPDA",VLOOKUP(VALUE(RIGHT(C24,3)),'SPDA-COMP'!B:J,9,FALSE),IF(LEFT(C24,4)="SDAI",VLOOKUP(VALUE(RIGHT(C24,3)),'ADM-COMP'!B:J,9,FALSE),IF(LEFT(C24,5)="IMPER",VLOOKUP(VALUE(RIGHT(C24,3)),'IMPER-COMP'!B:J,9,FALSE),""))))))))))))))))</f>
        <v>1664.83</v>
      </c>
      <c r="H24" s="339">
        <f t="shared" si="8"/>
        <v>29966.94</v>
      </c>
      <c r="I24" s="374">
        <f t="shared" si="7"/>
        <v>1.7521546790327403E-3</v>
      </c>
      <c r="J24" s="314"/>
    </row>
    <row r="25" spans="1:10" ht="52.8">
      <c r="A25" s="613" t="s">
        <v>35254</v>
      </c>
      <c r="B25" s="337" t="s">
        <v>2879</v>
      </c>
      <c r="C25" s="337">
        <v>20702</v>
      </c>
      <c r="D25" s="539" t="str">
        <f>IF(B25="IOPES",VLOOKUP(C25,'LABOR-SERVIÇOS'!A:H,5,FALSE),IF(B25="SINAPI",VLOOKUP(C25,'SINAPI-SERVIÇOS'!A:D,2,FALSE),IF(LEFT(C25,3)="ARQ",VLOOKUP(VALUE(RIGHT(C25,3)),'ARQ-COMP'!B:J,4,FALSE),IF(LEFT(C25,3)="SCI",VLOOKUP(VALUE(RIGHT(C25,3)),'GAS-COMP'!#REF!,4,FALSE),IF(LEFT(C25,3)="SCE",VLOOKUP(VALUE(RIGHT(C25,3)),'SCE-COMP'!B:J,4,FALSE),IF(LEFT(C25,3)="EST",VLOOKUP(VALUE(RIGHT(C25,3)),'EST-COMP'!B:J,4,FALSE),IF(LEFT(C25,3)="HID",VLOOKUP(VALUE(RIGHT(C25,3)),'HID-COMP'!B:J,4,FALSE),IF(LEFT(C25,3)="INC",VLOOKUP(VALUE(RIGHT(C25,3)),'INC-COMP'!B:J,4,FALSE),IF(LEFT(C25,3)="ELE",VLOOKUP(VALUE(RIGHT(C25,3)),#REF!,4,FALSE),IF(LEFT(C25,3)="CAB",VLOOKUP(VALUE(RIGHT(C25,3)),#REF!,4,FALSE),IF(LEFT(C25,3)="SEG",VLOOKUP(VALUE(RIGHT(C25,3)),'SEG-COMP'!B:J,4,FALSE),IF(LEFT(C25,3)="CLI",VLOOKUP(VALUE(RIGHT(C25,3)),'CLI-COMP'!B:J,4,FALSE),IF(LEFT(C25,4)="IMPL",VLOOKUP(VALUE(RIGHT(C25,3)),'IMPL-COMP'!B:J,4,FALSE),IF(LEFT(C25,4)="SPDA",VLOOKUP(VALUE(RIGHT(C25,3)),'SPDA-COMP'!B:J,4,FALSE),IF(LEFT(C25,4)="SDAI",VLOOKUP(VALUE(RIGHT(C25,3)),'ADM-COMP'!B:J,4,FALSE),IF(LEFT(C25,5)="IMPER",VLOOKUP(VALUE(RIGHT(C25,3)),'IMPER-COMP'!B:J,4,FALSE),""))))))))))))))))</f>
        <v>BARRACÃO PARA ALMOXARIFADO ÁREA DE 10.90M2, DE CHAPA DE COMPENSADO DE 12MM E PONTALETE 8X8CM, PISO CIMENTADO E COBERTURA DE TELHAS DE FIBROCIMENTO DE 6MM, INCL. PONTO DE LUZ, CONF. PROJETO (1 UTILIZAÇÃO)</v>
      </c>
      <c r="E25" s="338" t="str">
        <f>IF(B25="IOPES",VLOOKUP(C25,'LABOR-SERVIÇOS'!A:H,6,FALSE),IF(B25="SINAPI",VLOOKUP(C25,'SINAPI-SERVIÇOS'!A:D,3,FALSE),IF(LEFT(C25,3)="ARQ",VLOOKUP(VALUE(RIGHT(C25,3)),'ARQ-COMP'!B:J,5,FALSE),IF(LEFT(C25,3)="SCI",VLOOKUP(VALUE(RIGHT(C25,3)),'GAS-COMP'!#REF!,5,FALSE),IF(LEFT(C25,3)="SCE",VLOOKUP(VALUE(RIGHT(C25,3)),'SCE-COMP'!B:J,5,FALSE),IF(LEFT(C25,3)="EST",VLOOKUP(VALUE(RIGHT(C25,3)),'EST-COMP'!B:J,5,FALSE),IF(LEFT(C25,3)="HID",VLOOKUP(VALUE(RIGHT(C25,3)),'HID-COMP'!B:J,5,FALSE),IF(LEFT(C25,3)="INC",VLOOKUP(VALUE(RIGHT(C25,3)),'INC-COMP'!B:J,5,FALSE),IF(LEFT(C25,3)="ELE",VLOOKUP(VALUE(RIGHT(C25,3)),#REF!,5,FALSE),IF(LEFT(C25,3)="CAB",VLOOKUP(VALUE(RIGHT(C25,3)),#REF!,5,FALSE),IF(LEFT(C25,3)="SEG",VLOOKUP(VALUE(RIGHT(C25,3)),'SEG-COMP'!B:J,5,FALSE),IF(LEFT(C25,3)="CLI",VLOOKUP(VALUE(RIGHT(C25,3)),'CLI-COMP'!B:J,5,FALSE),IF(LEFT(C25,4)="IMPL",VLOOKUP(VALUE(RIGHT(C25,3)),'IMPL-COMP'!B:J,5,FALSE),IF(LEFT(C25,4)="SPDA",VLOOKUP(VALUE(RIGHT(C25,3)),'SPDA-COMP'!B:J,5,FALSE),IF(LEFT(C25,4)="SDAI",VLOOKUP(VALUE(RIGHT(C25,3)),'ADM-COMP'!B:J,5,FALSE),IF(LEFT(C25,5)="IMPER",VLOOKUP(VALUE(RIGHT(C25,3)),'IMPER-COMP'!B:J,5,FALSE),""))))))))))))))))</f>
        <v>M2</v>
      </c>
      <c r="F25" s="599">
        <f>ROUND(VLOOKUP(A25,'MEM-LEVANT'!A16:I2619,9,FALSE),2)</f>
        <v>10.9</v>
      </c>
      <c r="G25" s="339">
        <f>IF(B25="IOPES",VLOOKUP(C25,'LABOR-SERVIÇOS'!A:H,7,FALSE),IF(B25="SINAPI",VLOOKUP(C25,'SINAPI-SERVIÇOS'!A:H,8,FALSE),IF(LEFT(C25,3)="ARQ",VLOOKUP(VALUE(RIGHT(C25,3)),'ARQ-COMP'!B:J,9,FALSE),IF(LEFT(C25,3)="SCI",VLOOKUP(VALUE(RIGHT(C25,3)),'GAS-COMP'!#REF!,9,FALSE),IF(LEFT(C25,3)="SCE",VLOOKUP(VALUE(RIGHT(C25,3)),'SCE-COMP'!B:J,9,FALSE),IF(LEFT(C25,3)="EST",VLOOKUP(VALUE(RIGHT(C25,3)),'EST-COMP'!B:J,9,FALSE),IF(LEFT(C25,3)="HID",VLOOKUP(VALUE(RIGHT(C25,3)),'HID-COMP'!B:J,9,FALSE),IF(LEFT(C25,3)="INC",VLOOKUP(VALUE(RIGHT(C25,3)),'INC-COMP'!B:J,9,FALSE),IF(LEFT(C25,3)="ELE",VLOOKUP(VALUE(RIGHT(C25,3)),#REF!,9,FALSE),IF(LEFT(C25,3)="CAB",VLOOKUP(VALUE(RIGHT(C25,3)),#REF!,9,FALSE),IF(LEFT(C25,3)="SEG",VLOOKUP(VALUE(RIGHT(C25,3)),'SEG-COMP'!B:J,9,FALSE),IF(LEFT(C25,3)="CLI",VLOOKUP(VALUE(RIGHT(C25,3)),'CLI-COMP'!B:J,9,FALSE),IF(LEFT(C25,4)="IMPL",VLOOKUP(VALUE(RIGHT(C25,3)),'IMPL-COMP'!B:J,9,FALSE),IF(LEFT(C25,4)="SPDA",VLOOKUP(VALUE(RIGHT(C25,3)),'SPDA-COMP'!B:J,9,FALSE),IF(LEFT(C25,4)="SDAI",VLOOKUP(VALUE(RIGHT(C25,3)),'ADM-COMP'!B:J,9,FALSE),IF(LEFT(C25,5)="IMPER",VLOOKUP(VALUE(RIGHT(C25,3)),'IMPER-COMP'!B:J,9,FALSE),""))))))))))))))))</f>
        <v>797.33</v>
      </c>
      <c r="H25" s="339">
        <f t="shared" si="8"/>
        <v>8690.9</v>
      </c>
      <c r="I25" s="374">
        <f t="shared" si="7"/>
        <v>5.0815335499739521E-4</v>
      </c>
      <c r="J25" s="314"/>
    </row>
    <row r="26" spans="1:10" ht="66">
      <c r="A26" s="613" t="s">
        <v>35255</v>
      </c>
      <c r="B26" s="337" t="s">
        <v>2879</v>
      </c>
      <c r="C26" s="337">
        <v>20708</v>
      </c>
      <c r="D26" s="539" t="str">
        <f>IF(B26="IOPES",VLOOKUP(C26,'LABOR-SERVIÇOS'!A:H,5,FALSE),IF(B26="SINAPI",VLOOKUP(C26,'SINAPI-SERVIÇOS'!A:D,2,FALSE),IF(LEFT(C26,3)="ARQ",VLOOKUP(VALUE(RIGHT(C26,3)),'ARQ-COMP'!B:J,4,FALSE),IF(LEFT(C26,3)="SCI",VLOOKUP(VALUE(RIGHT(C26,3)),'GAS-COMP'!#REF!,4,FALSE),IF(LEFT(C26,3)="SCE",VLOOKUP(VALUE(RIGHT(C26,3)),'SCE-COMP'!B:J,4,FALSE),IF(LEFT(C26,3)="EST",VLOOKUP(VALUE(RIGHT(C26,3)),'EST-COMP'!B:J,4,FALSE),IF(LEFT(C26,3)="HID",VLOOKUP(VALUE(RIGHT(C26,3)),'HID-COMP'!B:J,4,FALSE),IF(LEFT(C26,3)="INC",VLOOKUP(VALUE(RIGHT(C26,3)),'INC-COMP'!B:J,4,FALSE),IF(LEFT(C26,3)="ELE",VLOOKUP(VALUE(RIGHT(C26,3)),#REF!,4,FALSE),IF(LEFT(C26,3)="CAB",VLOOKUP(VALUE(RIGHT(C26,3)),#REF!,4,FALSE),IF(LEFT(C26,3)="SEG",VLOOKUP(VALUE(RIGHT(C26,3)),'SEG-COMP'!B:J,4,FALSE),IF(LEFT(C26,3)="CLI",VLOOKUP(VALUE(RIGHT(C26,3)),'CLI-COMP'!B:J,4,FALSE),IF(LEFT(C26,4)="IMPL",VLOOKUP(VALUE(RIGHT(C26,3)),'IMPL-COMP'!B:J,4,FALSE),IF(LEFT(C26,4)="SPDA",VLOOKUP(VALUE(RIGHT(C26,3)),'SPDA-COMP'!B:J,4,FALSE),IF(LEFT(C26,4)="SDAI",VLOOKUP(VALUE(RIGHT(C26,3)),'ADM-COMP'!B:J,4,FALSE),IF(LEFT(C26,5)="IMPER",VLOOKUP(VALUE(RIGHT(C26,3)),'IMPER-COMP'!B:J,4,FALSE),""))))))))))))))))</f>
        <v>GALPÃO PARA SERRARIA E CARPINTARIA ÁREA 12.00M2, EM PEÇA DE MADEIRA 8X8CM E CONTRAVENTAMENTO DE 5X7CM, COBERTURA DE TELHA DE FIBROC. DE 6MM, INCLUSIVE PONTO E CABO DE ALIMENTAÇÃO DA MÁQUINA, CONF. PROJETO (1 UTILIZAÇÃO)</v>
      </c>
      <c r="E26" s="338" t="str">
        <f>IF(B26="IOPES",VLOOKUP(C26,'LABOR-SERVIÇOS'!A:H,6,FALSE),IF(B26="SINAPI",VLOOKUP(C26,'SINAPI-SERVIÇOS'!A:D,3,FALSE),IF(LEFT(C26,3)="ARQ",VLOOKUP(VALUE(RIGHT(C26,3)),'ARQ-COMP'!B:J,5,FALSE),IF(LEFT(C26,3)="SCI",VLOOKUP(VALUE(RIGHT(C26,3)),'GAS-COMP'!#REF!,5,FALSE),IF(LEFT(C26,3)="SCE",VLOOKUP(VALUE(RIGHT(C26,3)),'SCE-COMP'!B:J,5,FALSE),IF(LEFT(C26,3)="EST",VLOOKUP(VALUE(RIGHT(C26,3)),'EST-COMP'!B:J,5,FALSE),IF(LEFT(C26,3)="HID",VLOOKUP(VALUE(RIGHT(C26,3)),'HID-COMP'!B:J,5,FALSE),IF(LEFT(C26,3)="INC",VLOOKUP(VALUE(RIGHT(C26,3)),'INC-COMP'!B:J,5,FALSE),IF(LEFT(C26,3)="ELE",VLOOKUP(VALUE(RIGHT(C26,3)),#REF!,5,FALSE),IF(LEFT(C26,3)="CAB",VLOOKUP(VALUE(RIGHT(C26,3)),#REF!,5,FALSE),IF(LEFT(C26,3)="SEG",VLOOKUP(VALUE(RIGHT(C26,3)),'SEG-COMP'!B:J,5,FALSE),IF(LEFT(C26,3)="CLI",VLOOKUP(VALUE(RIGHT(C26,3)),'CLI-COMP'!B:J,5,FALSE),IF(LEFT(C26,4)="IMPL",VLOOKUP(VALUE(RIGHT(C26,3)),'IMPL-COMP'!B:J,5,FALSE),IF(LEFT(C26,4)="SPDA",VLOOKUP(VALUE(RIGHT(C26,3)),'SPDA-COMP'!B:J,5,FALSE),IF(LEFT(C26,4)="SDAI",VLOOKUP(VALUE(RIGHT(C26,3)),'ADM-COMP'!B:J,5,FALSE),IF(LEFT(C26,5)="IMPER",VLOOKUP(VALUE(RIGHT(C26,3)),'IMPER-COMP'!B:J,5,FALSE),""))))))))))))))))</f>
        <v>M2</v>
      </c>
      <c r="F26" s="599">
        <f>ROUND(VLOOKUP(A26,'MEM-LEVANT'!A15:I2618,9,FALSE),2)</f>
        <v>12</v>
      </c>
      <c r="G26" s="339">
        <f>IF(B26="IOPES",VLOOKUP(C26,'LABOR-SERVIÇOS'!A:H,7,FALSE),IF(B26="SINAPI",VLOOKUP(C26,'SINAPI-SERVIÇOS'!A:H,8,FALSE),IF(LEFT(C26,3)="ARQ",VLOOKUP(VALUE(RIGHT(C26,3)),'ARQ-COMP'!B:J,9,FALSE),IF(LEFT(C26,3)="SCI",VLOOKUP(VALUE(RIGHT(C26,3)),'GAS-COMP'!#REF!,9,FALSE),IF(LEFT(C26,3)="SCE",VLOOKUP(VALUE(RIGHT(C26,3)),'SCE-COMP'!B:J,9,FALSE),IF(LEFT(C26,3)="EST",VLOOKUP(VALUE(RIGHT(C26,3)),'EST-COMP'!B:J,9,FALSE),IF(LEFT(C26,3)="HID",VLOOKUP(VALUE(RIGHT(C26,3)),'HID-COMP'!B:J,9,FALSE),IF(LEFT(C26,3)="INC",VLOOKUP(VALUE(RIGHT(C26,3)),'INC-COMP'!B:J,9,FALSE),IF(LEFT(C26,3)="ELE",VLOOKUP(VALUE(RIGHT(C26,3)),#REF!,9,FALSE),IF(LEFT(C26,3)="CAB",VLOOKUP(VALUE(RIGHT(C26,3)),#REF!,9,FALSE),IF(LEFT(C26,3)="SEG",VLOOKUP(VALUE(RIGHT(C26,3)),'SEG-COMP'!B:J,9,FALSE),IF(LEFT(C26,3)="CLI",VLOOKUP(VALUE(RIGHT(C26,3)),'CLI-COMP'!B:J,9,FALSE),IF(LEFT(C26,4)="IMPL",VLOOKUP(VALUE(RIGHT(C26,3)),'IMPL-COMP'!B:J,9,FALSE),IF(LEFT(C26,4)="SPDA",VLOOKUP(VALUE(RIGHT(C26,3)),'SPDA-COMP'!B:J,9,FALSE),IF(LEFT(C26,4)="SDAI",VLOOKUP(VALUE(RIGHT(C26,3)),'ADM-COMP'!B:J,9,FALSE),IF(LEFT(C26,5)="IMPER",VLOOKUP(VALUE(RIGHT(C26,3)),'IMPER-COMP'!B:J,9,FALSE),""))))))))))))))))</f>
        <v>281.08999999999997</v>
      </c>
      <c r="H26" s="339">
        <f t="shared" si="8"/>
        <v>3373.08</v>
      </c>
      <c r="I26" s="374">
        <f t="shared" si="7"/>
        <v>1.972226028000108E-4</v>
      </c>
      <c r="J26" s="314"/>
    </row>
    <row r="27" spans="1:10" ht="66">
      <c r="A27" s="613" t="s">
        <v>35256</v>
      </c>
      <c r="B27" s="337" t="s">
        <v>2879</v>
      </c>
      <c r="C27" s="337">
        <v>20709</v>
      </c>
      <c r="D27" s="539" t="str">
        <f>IF(B27="IOPES",VLOOKUP(C27,'LABOR-SERVIÇOS'!A:H,5,FALSE),IF(B27="SINAPI",VLOOKUP(C27,'SINAPI-SERVIÇOS'!A:D,2,FALSE),IF(LEFT(C27,3)="ARQ",VLOOKUP(VALUE(RIGHT(C27,3)),'ARQ-COMP'!B:J,4,FALSE),IF(LEFT(C27,3)="SCI",VLOOKUP(VALUE(RIGHT(C27,3)),'GAS-COMP'!#REF!,4,FALSE),IF(LEFT(C27,3)="SCE",VLOOKUP(VALUE(RIGHT(C27,3)),'SCE-COMP'!B:J,4,FALSE),IF(LEFT(C27,3)="EST",VLOOKUP(VALUE(RIGHT(C27,3)),'EST-COMP'!B:J,4,FALSE),IF(LEFT(C27,3)="HID",VLOOKUP(VALUE(RIGHT(C27,3)),'HID-COMP'!B:J,4,FALSE),IF(LEFT(C27,3)="INC",VLOOKUP(VALUE(RIGHT(C27,3)),'INC-COMP'!B:J,4,FALSE),IF(LEFT(C27,3)="ELE",VLOOKUP(VALUE(RIGHT(C27,3)),#REF!,4,FALSE),IF(LEFT(C27,3)="CAB",VLOOKUP(VALUE(RIGHT(C27,3)),#REF!,4,FALSE),IF(LEFT(C27,3)="SEG",VLOOKUP(VALUE(RIGHT(C27,3)),'SEG-COMP'!B:J,4,FALSE),IF(LEFT(C27,3)="CLI",VLOOKUP(VALUE(RIGHT(C27,3)),'CLI-COMP'!B:J,4,FALSE),IF(LEFT(C27,4)="IMPL",VLOOKUP(VALUE(RIGHT(C27,3)),'IMPL-COMP'!B:J,4,FALSE),IF(LEFT(C27,4)="SPDA",VLOOKUP(VALUE(RIGHT(C27,3)),'SPDA-COMP'!B:J,4,FALSE),IF(LEFT(C27,4)="SDAI",VLOOKUP(VALUE(RIGHT(C27,3)),'ADM-COMP'!B:J,4,FALSE),IF(LEFT(C27,5)="IMPER",VLOOKUP(VALUE(RIGHT(C27,3)),'IMPER-COMP'!B:J,4,FALSE),""))))))))))))))))</f>
        <v>GALPÃO PARA CORTE E ARMAÇÃO COM ÁREA DE 6.00M2, EM PEÇAS DE MADEIRA 8X8CM E CONTRAVENTAMENTO DE 5X7CM, COBERTURA DE TELHAS DE FIBROC. DE 6MM, INCLUSIVE PONTO E CABO DE ALIMENTAÇÃO DA MÁQUINA, CONF. PROJETO (1 UTILIZAÇÃO)</v>
      </c>
      <c r="E27" s="338" t="str">
        <f>IF(B27="IOPES",VLOOKUP(C27,'LABOR-SERVIÇOS'!A:H,6,FALSE),IF(B27="SINAPI",VLOOKUP(C27,'SINAPI-SERVIÇOS'!A:D,3,FALSE),IF(LEFT(C27,3)="ARQ",VLOOKUP(VALUE(RIGHT(C27,3)),'ARQ-COMP'!B:J,5,FALSE),IF(LEFT(C27,3)="SCI",VLOOKUP(VALUE(RIGHT(C27,3)),'GAS-COMP'!#REF!,5,FALSE),IF(LEFT(C27,3)="SCE",VLOOKUP(VALUE(RIGHT(C27,3)),'SCE-COMP'!B:J,5,FALSE),IF(LEFT(C27,3)="EST",VLOOKUP(VALUE(RIGHT(C27,3)),'EST-COMP'!B:J,5,FALSE),IF(LEFT(C27,3)="HID",VLOOKUP(VALUE(RIGHT(C27,3)),'HID-COMP'!B:J,5,FALSE),IF(LEFT(C27,3)="INC",VLOOKUP(VALUE(RIGHT(C27,3)),'INC-COMP'!B:J,5,FALSE),IF(LEFT(C27,3)="ELE",VLOOKUP(VALUE(RIGHT(C27,3)),#REF!,5,FALSE),IF(LEFT(C27,3)="CAB",VLOOKUP(VALUE(RIGHT(C27,3)),#REF!,5,FALSE),IF(LEFT(C27,3)="SEG",VLOOKUP(VALUE(RIGHT(C27,3)),'SEG-COMP'!B:J,5,FALSE),IF(LEFT(C27,3)="CLI",VLOOKUP(VALUE(RIGHT(C27,3)),'CLI-COMP'!B:J,5,FALSE),IF(LEFT(C27,4)="IMPL",VLOOKUP(VALUE(RIGHT(C27,3)),'IMPL-COMP'!B:J,5,FALSE),IF(LEFT(C27,4)="SPDA",VLOOKUP(VALUE(RIGHT(C27,3)),'SPDA-COMP'!B:J,5,FALSE),IF(LEFT(C27,4)="SDAI",VLOOKUP(VALUE(RIGHT(C27,3)),'ADM-COMP'!B:J,5,FALSE),IF(LEFT(C27,5)="IMPER",VLOOKUP(VALUE(RIGHT(C27,3)),'IMPER-COMP'!B:J,5,FALSE),""))))))))))))))))</f>
        <v>M2</v>
      </c>
      <c r="F27" s="599">
        <f>ROUND(VLOOKUP(A27,'MEM-LEVANT'!A16:I2619,9,FALSE),2)</f>
        <v>6</v>
      </c>
      <c r="G27" s="339">
        <f>IF(B27="IOPES",VLOOKUP(C27,'LABOR-SERVIÇOS'!A:H,7,FALSE),IF(B27="SINAPI",VLOOKUP(C27,'SINAPI-SERVIÇOS'!A:H,8,FALSE),IF(LEFT(C27,3)="ARQ",VLOOKUP(VALUE(RIGHT(C27,3)),'ARQ-COMP'!B:J,9,FALSE),IF(LEFT(C27,3)="SCI",VLOOKUP(VALUE(RIGHT(C27,3)),'GAS-COMP'!#REF!,9,FALSE),IF(LEFT(C27,3)="SCE",VLOOKUP(VALUE(RIGHT(C27,3)),'SCE-COMP'!B:J,9,FALSE),IF(LEFT(C27,3)="EST",VLOOKUP(VALUE(RIGHT(C27,3)),'EST-COMP'!B:J,9,FALSE),IF(LEFT(C27,3)="HID",VLOOKUP(VALUE(RIGHT(C27,3)),'HID-COMP'!B:J,9,FALSE),IF(LEFT(C27,3)="INC",VLOOKUP(VALUE(RIGHT(C27,3)),'INC-COMP'!B:J,9,FALSE),IF(LEFT(C27,3)="ELE",VLOOKUP(VALUE(RIGHT(C27,3)),#REF!,9,FALSE),IF(LEFT(C27,3)="CAB",VLOOKUP(VALUE(RIGHT(C27,3)),#REF!,9,FALSE),IF(LEFT(C27,3)="SEG",VLOOKUP(VALUE(RIGHT(C27,3)),'SEG-COMP'!B:J,9,FALSE),IF(LEFT(C27,3)="CLI",VLOOKUP(VALUE(RIGHT(C27,3)),'CLI-COMP'!B:J,9,FALSE),IF(LEFT(C27,4)="IMPL",VLOOKUP(VALUE(RIGHT(C27,3)),'IMPL-COMP'!B:J,9,FALSE),IF(LEFT(C27,4)="SPDA",VLOOKUP(VALUE(RIGHT(C27,3)),'SPDA-COMP'!B:J,9,FALSE),IF(LEFT(C27,4)="SDAI",VLOOKUP(VALUE(RIGHT(C27,3)),'ADM-COMP'!B:J,9,FALSE),IF(LEFT(C27,5)="IMPER",VLOOKUP(VALUE(RIGHT(C27,3)),'IMPER-COMP'!B:J,9,FALSE),""))))))))))))))))</f>
        <v>381.02</v>
      </c>
      <c r="H27" s="339">
        <f t="shared" ref="H27" si="9">ROUND(F27*G27,2)</f>
        <v>2286.12</v>
      </c>
      <c r="I27" s="374">
        <f t="shared" si="7"/>
        <v>1.3366849784563682E-4</v>
      </c>
      <c r="J27" s="314"/>
    </row>
    <row r="28" spans="1:10" ht="39.6">
      <c r="A28" s="613" t="s">
        <v>35257</v>
      </c>
      <c r="B28" s="337" t="s">
        <v>2879</v>
      </c>
      <c r="C28" s="337">
        <f>20711</f>
        <v>20711</v>
      </c>
      <c r="D28" s="539" t="str">
        <f>IF(B28="IOPES",VLOOKUP(C28,'LABOR-SERVIÇOS'!A:H,5,FALSE),IF(B28="SINAPI",VLOOKUP(C28,'SINAPI-SERVIÇOS'!A:D,2,FALSE),IF(LEFT(C28,3)="ARQ",VLOOKUP(VALUE(RIGHT(C28,3)),'ARQ-COMP'!B:J,4,FALSE),IF(LEFT(C28,3)="SCI",VLOOKUP(VALUE(RIGHT(C28,3)),'GAS-COMP'!#REF!,4,FALSE),IF(LEFT(C28,3)="SCE",VLOOKUP(VALUE(RIGHT(C28,3)),'SCE-COMP'!B:J,4,FALSE),IF(LEFT(C28,3)="EST",VLOOKUP(VALUE(RIGHT(C28,3)),'EST-COMP'!B:J,4,FALSE),IF(LEFT(C28,3)="HID",VLOOKUP(VALUE(RIGHT(C28,3)),'HID-COMP'!B:J,4,FALSE),IF(LEFT(C28,3)="INC",VLOOKUP(VALUE(RIGHT(C28,3)),'INC-COMP'!B:J,4,FALSE),IF(LEFT(C28,3)="ELE",VLOOKUP(VALUE(RIGHT(C28,3)),#REF!,4,FALSE),IF(LEFT(C28,3)="CAB",VLOOKUP(VALUE(RIGHT(C28,3)),#REF!,4,FALSE),IF(LEFT(C28,3)="SEG",VLOOKUP(VALUE(RIGHT(C28,3)),'SEG-COMP'!B:J,4,FALSE),IF(LEFT(C28,3)="CLI",VLOOKUP(VALUE(RIGHT(C28,3)),'CLI-COMP'!B:J,4,FALSE),IF(LEFT(C28,4)="IMPL",VLOOKUP(VALUE(RIGHT(C28,3)),'IMPL-COMP'!B:J,4,FALSE),IF(LEFT(C28,4)="SPDA",VLOOKUP(VALUE(RIGHT(C28,3)),'SPDA-COMP'!B:J,4,FALSE),IF(LEFT(C28,4)="SDAI",VLOOKUP(VALUE(RIGHT(C28,3)),'ADM-COMP'!B:J,4,FALSE),IF(LEFT(C28,5)="IMPER",VLOOKUP(VALUE(RIGHT(C28,3)),'IMPER-COMP'!B:J,4,FALSE),""))))))))))))))))</f>
        <v>RESERVATÓRIO DE POLIESTILENO DE 1000 L, INCL. SUPORTE EM MADEIRA DE 7X12CM E 8X7CM, ELEVADO DE 4M, CONF. PROJETO (1 UTILIZAÇÃO)</v>
      </c>
      <c r="E28" s="338" t="str">
        <f>IF(B28="IOPES",VLOOKUP(C28,'LABOR-SERVIÇOS'!A:H,6,FALSE),IF(B28="SINAPI",VLOOKUP(C28,'SINAPI-SERVIÇOS'!A:D,3,FALSE),IF(LEFT(C28,3)="ARQ",VLOOKUP(VALUE(RIGHT(C28,3)),'ARQ-COMP'!B:J,5,FALSE),IF(LEFT(C28,3)="SCI",VLOOKUP(VALUE(RIGHT(C28,3)),'GAS-COMP'!#REF!,5,FALSE),IF(LEFT(C28,3)="SCE",VLOOKUP(VALUE(RIGHT(C28,3)),'SCE-COMP'!B:J,5,FALSE),IF(LEFT(C28,3)="EST",VLOOKUP(VALUE(RIGHT(C28,3)),'EST-COMP'!B:J,5,FALSE),IF(LEFT(C28,3)="HID",VLOOKUP(VALUE(RIGHT(C28,3)),'HID-COMP'!B:J,5,FALSE),IF(LEFT(C28,3)="INC",VLOOKUP(VALUE(RIGHT(C28,3)),'INC-COMP'!B:J,5,FALSE),IF(LEFT(C28,3)="ELE",VLOOKUP(VALUE(RIGHT(C28,3)),#REF!,5,FALSE),IF(LEFT(C28,3)="CAB",VLOOKUP(VALUE(RIGHT(C28,3)),#REF!,5,FALSE),IF(LEFT(C28,3)="SEG",VLOOKUP(VALUE(RIGHT(C28,3)),'SEG-COMP'!B:J,5,FALSE),IF(LEFT(C28,3)="CLI",VLOOKUP(VALUE(RIGHT(C28,3)),'CLI-COMP'!B:J,5,FALSE),IF(LEFT(C28,4)="IMPL",VLOOKUP(VALUE(RIGHT(C28,3)),'IMPL-COMP'!B:J,5,FALSE),IF(LEFT(C28,4)="SPDA",VLOOKUP(VALUE(RIGHT(C28,3)),'SPDA-COMP'!B:J,5,FALSE),IF(LEFT(C28,4)="SDAI",VLOOKUP(VALUE(RIGHT(C28,3)),'ADM-COMP'!B:J,5,FALSE),IF(LEFT(C28,5)="IMPER",VLOOKUP(VALUE(RIGHT(C28,3)),'IMPER-COMP'!B:J,5,FALSE),""))))))))))))))))</f>
        <v>UND</v>
      </c>
      <c r="F28" s="599">
        <f>ROUND(VLOOKUP(A28,'MEM-LEVANT'!A17:I2620,9,FALSE),2)</f>
        <v>2</v>
      </c>
      <c r="G28" s="339">
        <f>IF(B28="IOPES",VLOOKUP(C28,'LABOR-SERVIÇOS'!A:H,7,FALSE),IF(B28="SINAPI",VLOOKUP(C28,'SINAPI-SERVIÇOS'!A:H,8,FALSE),IF(LEFT(C28,3)="ARQ",VLOOKUP(VALUE(RIGHT(C28,3)),'ARQ-COMP'!B:J,9,FALSE),IF(LEFT(C28,3)="SCI",VLOOKUP(VALUE(RIGHT(C28,3)),'GAS-COMP'!#REF!,9,FALSE),IF(LEFT(C28,3)="SCE",VLOOKUP(VALUE(RIGHT(C28,3)),'SCE-COMP'!B:J,9,FALSE),IF(LEFT(C28,3)="EST",VLOOKUP(VALUE(RIGHT(C28,3)),'EST-COMP'!B:J,9,FALSE),IF(LEFT(C28,3)="HID",VLOOKUP(VALUE(RIGHT(C28,3)),'HID-COMP'!B:J,9,FALSE),IF(LEFT(C28,3)="INC",VLOOKUP(VALUE(RIGHT(C28,3)),'INC-COMP'!B:J,9,FALSE),IF(LEFT(C28,3)="ELE",VLOOKUP(VALUE(RIGHT(C28,3)),#REF!,9,FALSE),IF(LEFT(C28,3)="CAB",VLOOKUP(VALUE(RIGHT(C28,3)),#REF!,9,FALSE),IF(LEFT(C28,3)="SEG",VLOOKUP(VALUE(RIGHT(C28,3)),'SEG-COMP'!B:J,9,FALSE),IF(LEFT(C28,3)="CLI",VLOOKUP(VALUE(RIGHT(C28,3)),'CLI-COMP'!B:J,9,FALSE),IF(LEFT(C28,4)="IMPL",VLOOKUP(VALUE(RIGHT(C28,3)),'IMPL-COMP'!B:J,9,FALSE),IF(LEFT(C28,4)="SPDA",VLOOKUP(VALUE(RIGHT(C28,3)),'SPDA-COMP'!B:J,9,FALSE),IF(LEFT(C28,4)="SDAI",VLOOKUP(VALUE(RIGHT(C28,3)),'ADM-COMP'!B:J,9,FALSE),IF(LEFT(C28,5)="IMPER",VLOOKUP(VALUE(RIGHT(C28,3)),'IMPER-COMP'!B:J,9,FALSE),""))))))))))))))))</f>
        <v>2789.84</v>
      </c>
      <c r="H28" s="339">
        <f t="shared" si="8"/>
        <v>5579.68</v>
      </c>
      <c r="I28" s="374">
        <f t="shared" si="7"/>
        <v>3.2624159889215918E-4</v>
      </c>
      <c r="J28" s="314"/>
    </row>
    <row r="29" spans="1:10" ht="52.8">
      <c r="A29" s="613" t="s">
        <v>35258</v>
      </c>
      <c r="B29" s="337" t="s">
        <v>2879</v>
      </c>
      <c r="C29" s="337">
        <f>20712</f>
        <v>20712</v>
      </c>
      <c r="D29" s="539" t="str">
        <f>IF(B29="IOPES",VLOOKUP(C29,'LABOR-SERVIÇOS'!A:H,5,FALSE),IF(B29="SINAPI",VLOOKUP(C29,'SINAPI-SERVIÇOS'!A:D,2,FALSE),IF(LEFT(C29,3)="ARQ",VLOOKUP(VALUE(RIGHT(C29,3)),'ARQ-COMP'!B:J,4,FALSE),IF(LEFT(C29,3)="SCI",VLOOKUP(VALUE(RIGHT(C29,3)),'GAS-COMP'!#REF!,4,FALSE),IF(LEFT(C29,3)="SCE",VLOOKUP(VALUE(RIGHT(C29,3)),'SCE-COMP'!B:J,4,FALSE),IF(LEFT(C29,3)="EST",VLOOKUP(VALUE(RIGHT(C29,3)),'EST-COMP'!B:J,4,FALSE),IF(LEFT(C29,3)="HID",VLOOKUP(VALUE(RIGHT(C29,3)),'HID-COMP'!B:J,4,FALSE),IF(LEFT(C29,3)="INC",VLOOKUP(VALUE(RIGHT(C29,3)),'INC-COMP'!B:J,4,FALSE),IF(LEFT(C29,3)="ELE",VLOOKUP(VALUE(RIGHT(C29,3)),#REF!,4,FALSE),IF(LEFT(C29,3)="CAB",VLOOKUP(VALUE(RIGHT(C29,3)),#REF!,4,FALSE),IF(LEFT(C29,3)="SEG",VLOOKUP(VALUE(RIGHT(C29,3)),'SEG-COMP'!B:J,4,FALSE),IF(LEFT(C29,3)="CLI",VLOOKUP(VALUE(RIGHT(C29,3)),'CLI-COMP'!B:J,4,FALSE),IF(LEFT(C29,4)="IMPL",VLOOKUP(VALUE(RIGHT(C29,3)),'IMPL-COMP'!B:J,4,FALSE),IF(LEFT(C29,4)="SPDA",VLOOKUP(VALUE(RIGHT(C29,3)),'SPDA-COMP'!B:J,4,FALSE),IF(LEFT(C29,4)="SDAI",VLOOKUP(VALUE(RIGHT(C29,3)),'ADM-COMP'!B:J,4,FALSE),IF(LEFT(C29,5)="IMPER",VLOOKUP(VALUE(RIGHT(C29,3)),'IMPER-COMP'!B:J,4,FALSE),""))))))))))))))))</f>
        <v>REDE DE ÁGUA COM PADRÃO DE ENTRADA DÁGUA DIÂM. 3/4", CONF. ESPEC. CESAN, INCL. TUBOS E CONEXÕES PARA ALIMENTAÇÃO, DISTRIBUIÇÃO, EXTRAVASOR E LIMPEZA, CONS. O PADRÃO A 25M, CONF. PROJETO (1 UTILIZAÇÃO)</v>
      </c>
      <c r="E29" s="338" t="str">
        <f>IF(B29="IOPES",VLOOKUP(C29,'LABOR-SERVIÇOS'!A:H,6,FALSE),IF(B29="SINAPI",VLOOKUP(C29,'SINAPI-SERVIÇOS'!A:D,3,FALSE),IF(LEFT(C29,3)="ARQ",VLOOKUP(VALUE(RIGHT(C29,3)),'ARQ-COMP'!B:J,5,FALSE),IF(LEFT(C29,3)="SCI",VLOOKUP(VALUE(RIGHT(C29,3)),'GAS-COMP'!#REF!,5,FALSE),IF(LEFT(C29,3)="SCE",VLOOKUP(VALUE(RIGHT(C29,3)),'SCE-COMP'!B:J,5,FALSE),IF(LEFT(C29,3)="EST",VLOOKUP(VALUE(RIGHT(C29,3)),'EST-COMP'!B:J,5,FALSE),IF(LEFT(C29,3)="HID",VLOOKUP(VALUE(RIGHT(C29,3)),'HID-COMP'!B:J,5,FALSE),IF(LEFT(C29,3)="INC",VLOOKUP(VALUE(RIGHT(C29,3)),'INC-COMP'!B:J,5,FALSE),IF(LEFT(C29,3)="ELE",VLOOKUP(VALUE(RIGHT(C29,3)),#REF!,5,FALSE),IF(LEFT(C29,3)="CAB",VLOOKUP(VALUE(RIGHT(C29,3)),#REF!,5,FALSE),IF(LEFT(C29,3)="SEG",VLOOKUP(VALUE(RIGHT(C29,3)),'SEG-COMP'!B:J,5,FALSE),IF(LEFT(C29,3)="CLI",VLOOKUP(VALUE(RIGHT(C29,3)),'CLI-COMP'!B:J,5,FALSE),IF(LEFT(C29,4)="IMPL",VLOOKUP(VALUE(RIGHT(C29,3)),'IMPL-COMP'!B:J,5,FALSE),IF(LEFT(C29,4)="SPDA",VLOOKUP(VALUE(RIGHT(C29,3)),'SPDA-COMP'!B:J,5,FALSE),IF(LEFT(C29,4)="SDAI",VLOOKUP(VALUE(RIGHT(C29,3)),'ADM-COMP'!B:J,5,FALSE),IF(LEFT(C29,5)="IMPER",VLOOKUP(VALUE(RIGHT(C29,3)),'IMPER-COMP'!B:J,5,FALSE),""))))))))))))))))</f>
        <v>M</v>
      </c>
      <c r="F29" s="599">
        <f>ROUND(VLOOKUP(A29,'MEM-LEVANT'!A18:I2621,9,FALSE),2)</f>
        <v>25</v>
      </c>
      <c r="G29" s="339">
        <f>IF(B29="IOPES",VLOOKUP(C29,'LABOR-SERVIÇOS'!A:H,7,FALSE),IF(B29="SINAPI",VLOOKUP(C29,'SINAPI-SERVIÇOS'!A:H,8,FALSE),IF(LEFT(C29,3)="ARQ",VLOOKUP(VALUE(RIGHT(C29,3)),'ARQ-COMP'!B:J,9,FALSE),IF(LEFT(C29,3)="SCI",VLOOKUP(VALUE(RIGHT(C29,3)),'GAS-COMP'!#REF!,9,FALSE),IF(LEFT(C29,3)="SCE",VLOOKUP(VALUE(RIGHT(C29,3)),'SCE-COMP'!B:J,9,FALSE),IF(LEFT(C29,3)="EST",VLOOKUP(VALUE(RIGHT(C29,3)),'EST-COMP'!B:J,9,FALSE),IF(LEFT(C29,3)="HID",VLOOKUP(VALUE(RIGHT(C29,3)),'HID-COMP'!B:J,9,FALSE),IF(LEFT(C29,3)="INC",VLOOKUP(VALUE(RIGHT(C29,3)),'INC-COMP'!B:J,9,FALSE),IF(LEFT(C29,3)="ELE",VLOOKUP(VALUE(RIGHT(C29,3)),#REF!,9,FALSE),IF(LEFT(C29,3)="CAB",VLOOKUP(VALUE(RIGHT(C29,3)),#REF!,9,FALSE),IF(LEFT(C29,3)="SEG",VLOOKUP(VALUE(RIGHT(C29,3)),'SEG-COMP'!B:J,9,FALSE),IF(LEFT(C29,3)="CLI",VLOOKUP(VALUE(RIGHT(C29,3)),'CLI-COMP'!B:J,9,FALSE),IF(LEFT(C29,4)="IMPL",VLOOKUP(VALUE(RIGHT(C29,3)),'IMPL-COMP'!B:J,9,FALSE),IF(LEFT(C29,4)="SPDA",VLOOKUP(VALUE(RIGHT(C29,3)),'SPDA-COMP'!B:J,9,FALSE),IF(LEFT(C29,4)="SDAI",VLOOKUP(VALUE(RIGHT(C29,3)),'ADM-COMP'!B:J,9,FALSE),IF(LEFT(C29,5)="IMPER",VLOOKUP(VALUE(RIGHT(C29,3)),'IMPER-COMP'!B:J,9,FALSE),""))))))))))))))))</f>
        <v>75.87</v>
      </c>
      <c r="H29" s="339">
        <f t="shared" si="8"/>
        <v>1896.75</v>
      </c>
      <c r="I29" s="374">
        <f t="shared" si="7"/>
        <v>1.1090219379941196E-4</v>
      </c>
      <c r="J29" s="314"/>
    </row>
    <row r="30" spans="1:10" ht="52.8">
      <c r="A30" s="613" t="s">
        <v>35259</v>
      </c>
      <c r="B30" s="337" t="s">
        <v>2879</v>
      </c>
      <c r="C30" s="337">
        <f>20714</f>
        <v>20714</v>
      </c>
      <c r="D30" s="539" t="str">
        <f>IF(B30="IOPES",VLOOKUP(C30,'LABOR-SERVIÇOS'!A:H,5,FALSE),IF(B30="SINAPI",VLOOKUP(C30,'SINAPI-SERVIÇOS'!A:D,2,FALSE),IF(LEFT(C30,3)="ARQ",VLOOKUP(VALUE(RIGHT(C30,3)),'ARQ-COMP'!B:J,4,FALSE),IF(LEFT(C30,3)="SCI",VLOOKUP(VALUE(RIGHT(C30,3)),'GAS-COMP'!#REF!,4,FALSE),IF(LEFT(C30,3)="SCE",VLOOKUP(VALUE(RIGHT(C30,3)),'SCE-COMP'!B:J,4,FALSE),IF(LEFT(C30,3)="EST",VLOOKUP(VALUE(RIGHT(C30,3)),'EST-COMP'!B:J,4,FALSE),IF(LEFT(C30,3)="HID",VLOOKUP(VALUE(RIGHT(C30,3)),'HID-COMP'!B:J,4,FALSE),IF(LEFT(C30,3)="INC",VLOOKUP(VALUE(RIGHT(C30,3)),'INC-COMP'!B:J,4,FALSE),IF(LEFT(C30,3)="ELE",VLOOKUP(VALUE(RIGHT(C30,3)),#REF!,4,FALSE),IF(LEFT(C30,3)="CAB",VLOOKUP(VALUE(RIGHT(C30,3)),#REF!,4,FALSE),IF(LEFT(C30,3)="SEG",VLOOKUP(VALUE(RIGHT(C30,3)),'SEG-COMP'!B:J,4,FALSE),IF(LEFT(C30,3)="CLI",VLOOKUP(VALUE(RIGHT(C30,3)),'CLI-COMP'!B:J,4,FALSE),IF(LEFT(C30,4)="IMPL",VLOOKUP(VALUE(RIGHT(C30,3)),'IMPL-COMP'!B:J,4,FALSE),IF(LEFT(C30,4)="SPDA",VLOOKUP(VALUE(RIGHT(C30,3)),'SPDA-COMP'!B:J,4,FALSE),IF(LEFT(C30,4)="SDAI",VLOOKUP(VALUE(RIGHT(C30,3)),'ADM-COMP'!B:J,4,FALSE),IF(LEFT(C30,5)="IMPER",VLOOKUP(VALUE(RIGHT(C30,3)),'IMPER-COMP'!B:J,4,FALSE),""))))))))))))))))</f>
        <v>REDE DE ESGOTO, CONTENDO FOSSA E FILTRO, INCLUSIVE TUBOS E CONEXÕES DE LIGAÇÃO ENTRE CAIXAS, CONSIDERANDO DISTÂNCIA DE 25M, CONFORME PROJETO (1 UTILIZAÇÃO)</v>
      </c>
      <c r="E30" s="338" t="str">
        <f>IF(B30="IOPES",VLOOKUP(C30,'LABOR-SERVIÇOS'!A:H,6,FALSE),IF(B30="SINAPI",VLOOKUP(C30,'SINAPI-SERVIÇOS'!A:D,3,FALSE),IF(LEFT(C30,3)="ARQ",VLOOKUP(VALUE(RIGHT(C30,3)),'ARQ-COMP'!B:J,5,FALSE),IF(LEFT(C30,3)="SCI",VLOOKUP(VALUE(RIGHT(C30,3)),'GAS-COMP'!#REF!,5,FALSE),IF(LEFT(C30,3)="SCE",VLOOKUP(VALUE(RIGHT(C30,3)),'SCE-COMP'!B:J,5,FALSE),IF(LEFT(C30,3)="EST",VLOOKUP(VALUE(RIGHT(C30,3)),'EST-COMP'!B:J,5,FALSE),IF(LEFT(C30,3)="HID",VLOOKUP(VALUE(RIGHT(C30,3)),'HID-COMP'!B:J,5,FALSE),IF(LEFT(C30,3)="INC",VLOOKUP(VALUE(RIGHT(C30,3)),'INC-COMP'!B:J,5,FALSE),IF(LEFT(C30,3)="ELE",VLOOKUP(VALUE(RIGHT(C30,3)),#REF!,5,FALSE),IF(LEFT(C30,3)="CAB",VLOOKUP(VALUE(RIGHT(C30,3)),#REF!,5,FALSE),IF(LEFT(C30,3)="SEG",VLOOKUP(VALUE(RIGHT(C30,3)),'SEG-COMP'!B:J,5,FALSE),IF(LEFT(C30,3)="CLI",VLOOKUP(VALUE(RIGHT(C30,3)),'CLI-COMP'!B:J,5,FALSE),IF(LEFT(C30,4)="IMPL",VLOOKUP(VALUE(RIGHT(C30,3)),'IMPL-COMP'!B:J,5,FALSE),IF(LEFT(C30,4)="SPDA",VLOOKUP(VALUE(RIGHT(C30,3)),'SPDA-COMP'!B:J,5,FALSE),IF(LEFT(C30,4)="SDAI",VLOOKUP(VALUE(RIGHT(C30,3)),'ADM-COMP'!B:J,5,FALSE),IF(LEFT(C30,5)="IMPER",VLOOKUP(VALUE(RIGHT(C30,3)),'IMPER-COMP'!B:J,5,FALSE),""))))))))))))))))</f>
        <v>M</v>
      </c>
      <c r="F30" s="599">
        <f>ROUND(VLOOKUP(A30,'MEM-LEVANT'!A29:I2622,9,FALSE),2)</f>
        <v>25</v>
      </c>
      <c r="G30" s="339">
        <f>IF(B30="IOPES",VLOOKUP(C30,'LABOR-SERVIÇOS'!A:H,7,FALSE),IF(B30="SINAPI",VLOOKUP(C30,'SINAPI-SERVIÇOS'!A:H,8,FALSE),IF(LEFT(C30,3)="ARQ",VLOOKUP(VALUE(RIGHT(C30,3)),'ARQ-COMP'!B:J,9,FALSE),IF(LEFT(C30,3)="SCI",VLOOKUP(VALUE(RIGHT(C30,3)),'GAS-COMP'!#REF!,9,FALSE),IF(LEFT(C30,3)="SCE",VLOOKUP(VALUE(RIGHT(C30,3)),'SCE-COMP'!B:J,9,FALSE),IF(LEFT(C30,3)="EST",VLOOKUP(VALUE(RIGHT(C30,3)),'EST-COMP'!B:J,9,FALSE),IF(LEFT(C30,3)="HID",VLOOKUP(VALUE(RIGHT(C30,3)),'HID-COMP'!B:J,9,FALSE),IF(LEFT(C30,3)="INC",VLOOKUP(VALUE(RIGHT(C30,3)),'INC-COMP'!B:J,9,FALSE),IF(LEFT(C30,3)="ELE",VLOOKUP(VALUE(RIGHT(C30,3)),#REF!,9,FALSE),IF(LEFT(C30,3)="CAB",VLOOKUP(VALUE(RIGHT(C30,3)),#REF!,9,FALSE),IF(LEFT(C30,3)="SEG",VLOOKUP(VALUE(RIGHT(C30,3)),'SEG-COMP'!B:J,9,FALSE),IF(LEFT(C30,3)="CLI",VLOOKUP(VALUE(RIGHT(C30,3)),'CLI-COMP'!B:J,9,FALSE),IF(LEFT(C30,4)="IMPL",VLOOKUP(VALUE(RIGHT(C30,3)),'IMPL-COMP'!B:J,9,FALSE),IF(LEFT(C30,4)="SPDA",VLOOKUP(VALUE(RIGHT(C30,3)),'SPDA-COMP'!B:J,9,FALSE),IF(LEFT(C30,4)="SDAI",VLOOKUP(VALUE(RIGHT(C30,3)),'ADM-COMP'!B:J,9,FALSE),IF(LEFT(C30,5)="IMPER",VLOOKUP(VALUE(RIGHT(C30,3)),'IMPER-COMP'!B:J,9,FALSE),""))))))))))))))))</f>
        <v>598.15</v>
      </c>
      <c r="H30" s="339">
        <f t="shared" si="6"/>
        <v>14953.75</v>
      </c>
      <c r="I30" s="374">
        <f t="shared" si="7"/>
        <v>8.7433962331775756E-4</v>
      </c>
      <c r="J30" s="314"/>
    </row>
    <row r="31" spans="1:10" s="536" customFormat="1">
      <c r="A31" s="553" t="s">
        <v>27385</v>
      </c>
      <c r="B31" s="554"/>
      <c r="C31" s="555"/>
      <c r="D31" s="556" t="s">
        <v>35505</v>
      </c>
      <c r="E31" s="557"/>
      <c r="F31" s="598"/>
      <c r="G31" s="558"/>
      <c r="H31" s="559"/>
      <c r="I31" s="560"/>
      <c r="J31" s="535"/>
    </row>
    <row r="32" spans="1:10">
      <c r="A32" s="613" t="s">
        <v>27386</v>
      </c>
      <c r="B32" s="337" t="s">
        <v>2879</v>
      </c>
      <c r="C32" s="540" t="s">
        <v>27387</v>
      </c>
      <c r="D32" s="539" t="s">
        <v>27388</v>
      </c>
      <c r="E32" s="338" t="s">
        <v>73</v>
      </c>
      <c r="F32" s="599">
        <f>ROUND(VLOOKUP(A32,'MEM-LEVANT'!A31:I2624,9,FALSE),2)</f>
        <v>3139.7</v>
      </c>
      <c r="G32" s="339">
        <f>30.43*(1+$M$4)</f>
        <v>35.167950999999995</v>
      </c>
      <c r="H32" s="339">
        <f>F32*G32</f>
        <v>110416.81575469997</v>
      </c>
      <c r="I32" s="374">
        <f t="shared" ref="I32:I44" si="10">H32/$H$441</f>
        <v>6.4560258861429817E-3</v>
      </c>
      <c r="J32" s="314"/>
    </row>
    <row r="33" spans="1:10">
      <c r="A33" s="613" t="s">
        <v>27389</v>
      </c>
      <c r="B33" s="337" t="s">
        <v>2879</v>
      </c>
      <c r="C33" s="540" t="s">
        <v>27387</v>
      </c>
      <c r="D33" s="539" t="s">
        <v>27390</v>
      </c>
      <c r="E33" s="338" t="s">
        <v>73</v>
      </c>
      <c r="F33" s="599">
        <f>ROUND(VLOOKUP(A33,'MEM-LEVANT'!A32:I2625,9,FALSE),2)</f>
        <v>3139.7</v>
      </c>
      <c r="G33" s="339">
        <f>18.37*(1+$M$4)</f>
        <v>21.230208999999999</v>
      </c>
      <c r="H33" s="339">
        <f t="shared" ref="H33:H39" si="11">F33*G33</f>
        <v>66656.487197299997</v>
      </c>
      <c r="I33" s="374">
        <f t="shared" si="10"/>
        <v>3.8973774409611106E-3</v>
      </c>
      <c r="J33" s="314"/>
    </row>
    <row r="34" spans="1:10">
      <c r="A34" s="613" t="s">
        <v>27391</v>
      </c>
      <c r="B34" s="337" t="s">
        <v>2879</v>
      </c>
      <c r="C34" s="540" t="s">
        <v>27387</v>
      </c>
      <c r="D34" s="539" t="s">
        <v>27397</v>
      </c>
      <c r="E34" s="338" t="s">
        <v>73</v>
      </c>
      <c r="F34" s="599">
        <f>ROUND(VLOOKUP(A34,'MEM-LEVANT'!A34:I2626,9,FALSE),2)</f>
        <v>3139.7</v>
      </c>
      <c r="G34" s="339">
        <f>11.46*(1+$M$4)</f>
        <v>13.244322</v>
      </c>
      <c r="H34" s="339">
        <f t="shared" si="11"/>
        <v>41583.197783399999</v>
      </c>
      <c r="I34" s="374">
        <f t="shared" si="10"/>
        <v>2.4313525026355104E-3</v>
      </c>
      <c r="J34" s="314"/>
    </row>
    <row r="35" spans="1:10">
      <c r="A35" s="613" t="s">
        <v>27392</v>
      </c>
      <c r="B35" s="337" t="s">
        <v>2879</v>
      </c>
      <c r="C35" s="540" t="s">
        <v>27387</v>
      </c>
      <c r="D35" s="539" t="s">
        <v>27398</v>
      </c>
      <c r="E35" s="338" t="s">
        <v>73</v>
      </c>
      <c r="F35" s="599">
        <f>ROUND(VLOOKUP(A35,'MEM-LEVANT'!A35:I2627,9,FALSE),2)</f>
        <v>3139.7</v>
      </c>
      <c r="G35" s="339">
        <f>12.4*(1+$M$4)</f>
        <v>14.330679999999999</v>
      </c>
      <c r="H35" s="339">
        <f t="shared" si="11"/>
        <v>44994.035995999991</v>
      </c>
      <c r="I35" s="374">
        <f t="shared" si="10"/>
        <v>2.6307828126248102E-3</v>
      </c>
      <c r="J35" s="314"/>
    </row>
    <row r="36" spans="1:10" ht="26.4">
      <c r="A36" s="613" t="s">
        <v>27393</v>
      </c>
      <c r="B36" s="337" t="s">
        <v>2879</v>
      </c>
      <c r="C36" s="540" t="s">
        <v>27387</v>
      </c>
      <c r="D36" s="539" t="s">
        <v>27399</v>
      </c>
      <c r="E36" s="338" t="s">
        <v>73</v>
      </c>
      <c r="F36" s="599">
        <f>ROUND(VLOOKUP(A36,'MEM-LEVANT'!A41:I2628,9,FALSE),2)</f>
        <v>3139.7</v>
      </c>
      <c r="G36" s="339">
        <f>6.19*(1+$M$4)</f>
        <v>7.1537829999999998</v>
      </c>
      <c r="H36" s="339">
        <f t="shared" si="11"/>
        <v>22460.732485099998</v>
      </c>
      <c r="I36" s="374">
        <f t="shared" si="10"/>
        <v>1.3132698072699659E-3</v>
      </c>
      <c r="J36" s="314"/>
    </row>
    <row r="37" spans="1:10">
      <c r="A37" s="613" t="s">
        <v>27394</v>
      </c>
      <c r="B37" s="337" t="s">
        <v>2879</v>
      </c>
      <c r="C37" s="540" t="s">
        <v>27387</v>
      </c>
      <c r="D37" s="539" t="s">
        <v>27400</v>
      </c>
      <c r="E37" s="338" t="s">
        <v>73</v>
      </c>
      <c r="F37" s="599">
        <f>ROUND(VLOOKUP(A37,'MEM-LEVANT'!A42:I2629,9,FALSE),2)</f>
        <v>3139.7</v>
      </c>
      <c r="G37" s="339">
        <f>3.15*(1+$M$4)</f>
        <v>3.6404549999999998</v>
      </c>
      <c r="H37" s="339">
        <f t="shared" si="11"/>
        <v>11429.936563499999</v>
      </c>
      <c r="I37" s="374">
        <f t="shared" si="10"/>
        <v>6.6830369836839943E-4</v>
      </c>
      <c r="J37" s="314"/>
    </row>
    <row r="38" spans="1:10">
      <c r="A38" s="613" t="s">
        <v>27395</v>
      </c>
      <c r="B38" s="337" t="s">
        <v>2879</v>
      </c>
      <c r="C38" s="540" t="s">
        <v>27387</v>
      </c>
      <c r="D38" s="539" t="s">
        <v>27401</v>
      </c>
      <c r="E38" s="338" t="s">
        <v>73</v>
      </c>
      <c r="F38" s="599">
        <f>ROUND(VLOOKUP(A38,'MEM-LEVANT'!A43:I2630,9,FALSE),2)</f>
        <v>3139.7</v>
      </c>
      <c r="G38" s="339">
        <f>4.99*(1+$M$4)</f>
        <v>5.7669430000000004</v>
      </c>
      <c r="H38" s="339">
        <f t="shared" si="11"/>
        <v>18106.470937099999</v>
      </c>
      <c r="I38" s="374">
        <f t="shared" si="10"/>
        <v>1.0586779221772424E-3</v>
      </c>
      <c r="J38" s="314"/>
    </row>
    <row r="39" spans="1:10">
      <c r="A39" s="613" t="s">
        <v>27396</v>
      </c>
      <c r="B39" s="337" t="s">
        <v>2879</v>
      </c>
      <c r="C39" s="540" t="s">
        <v>27387</v>
      </c>
      <c r="D39" s="539" t="s">
        <v>27402</v>
      </c>
      <c r="E39" s="338" t="s">
        <v>73</v>
      </c>
      <c r="F39" s="599">
        <f>ROUND(VLOOKUP(A39,'MEM-LEVANT'!A44:I2631,9,FALSE),2)</f>
        <v>3139.7</v>
      </c>
      <c r="G39" s="339">
        <f>3.15*(1+$M$4)</f>
        <v>3.6404549999999998</v>
      </c>
      <c r="H39" s="339">
        <f t="shared" si="11"/>
        <v>11429.936563499999</v>
      </c>
      <c r="I39" s="374">
        <f t="shared" si="10"/>
        <v>6.6830369836839943E-4</v>
      </c>
      <c r="J39" s="314"/>
    </row>
    <row r="40" spans="1:10">
      <c r="A40" s="613" t="s">
        <v>35322</v>
      </c>
      <c r="B40" s="337" t="s">
        <v>2879</v>
      </c>
      <c r="C40" s="540" t="s">
        <v>27387</v>
      </c>
      <c r="D40" s="539" t="s">
        <v>35326</v>
      </c>
      <c r="E40" s="338" t="s">
        <v>73</v>
      </c>
      <c r="F40" s="599">
        <f>ROUND(VLOOKUP(A40,'MEM-LEVANT'!A45:I2632,9,FALSE),2)</f>
        <v>4148.68</v>
      </c>
      <c r="G40" s="339">
        <f>3.66*(1+$M$4)</f>
        <v>4.2298619999999998</v>
      </c>
      <c r="H40" s="339">
        <f t="shared" ref="H40:H43" si="12">F40*G40</f>
        <v>17548.343882159999</v>
      </c>
      <c r="I40" s="374">
        <f t="shared" si="10"/>
        <v>1.0260444624109839E-3</v>
      </c>
      <c r="J40" s="314"/>
    </row>
    <row r="41" spans="1:10">
      <c r="A41" s="613" t="s">
        <v>35323</v>
      </c>
      <c r="B41" s="337" t="s">
        <v>2879</v>
      </c>
      <c r="C41" s="540" t="s">
        <v>27387</v>
      </c>
      <c r="D41" s="539" t="s">
        <v>35327</v>
      </c>
      <c r="E41" s="338" t="s">
        <v>73</v>
      </c>
      <c r="F41" s="599">
        <f>ROUND(VLOOKUP(A41,'MEM-LEVANT'!A46:I2633,9,FALSE),2)</f>
        <v>4148.68</v>
      </c>
      <c r="G41" s="339">
        <f>3.15*(1+$M$4)</f>
        <v>3.6404549999999998</v>
      </c>
      <c r="H41" s="339">
        <f t="shared" si="12"/>
        <v>15103.0828494</v>
      </c>
      <c r="I41" s="374">
        <f t="shared" si="10"/>
        <v>8.8307105371437131E-4</v>
      </c>
      <c r="J41" s="314"/>
    </row>
    <row r="42" spans="1:10">
      <c r="A42" s="613" t="s">
        <v>35324</v>
      </c>
      <c r="B42" s="337" t="s">
        <v>2879</v>
      </c>
      <c r="C42" s="540" t="s">
        <v>27387</v>
      </c>
      <c r="D42" s="539" t="s">
        <v>35328</v>
      </c>
      <c r="E42" s="338" t="s">
        <v>73</v>
      </c>
      <c r="F42" s="599">
        <f>ROUND(VLOOKUP(A42,'MEM-LEVANT'!A47:I2634,9,FALSE),2)</f>
        <v>4148.68</v>
      </c>
      <c r="G42" s="339">
        <f>4.87*(1+$M$4)</f>
        <v>5.6282589999999999</v>
      </c>
      <c r="H42" s="339">
        <f t="shared" si="12"/>
        <v>23349.84554812</v>
      </c>
      <c r="I42" s="374">
        <f t="shared" si="10"/>
        <v>1.3652558830441234E-3</v>
      </c>
      <c r="J42" s="314"/>
    </row>
    <row r="43" spans="1:10">
      <c r="A43" s="613" t="s">
        <v>35325</v>
      </c>
      <c r="B43" s="337" t="s">
        <v>2879</v>
      </c>
      <c r="C43" s="540" t="s">
        <v>27387</v>
      </c>
      <c r="D43" s="539" t="s">
        <v>35329</v>
      </c>
      <c r="E43" s="338" t="s">
        <v>73</v>
      </c>
      <c r="F43" s="599">
        <f>ROUND(VLOOKUP(A43,'MEM-LEVANT'!A48:I2635,9,FALSE),2)</f>
        <v>4148.68</v>
      </c>
      <c r="G43" s="339">
        <f>3.06*(1+$M$4)</f>
        <v>3.5364420000000001</v>
      </c>
      <c r="H43" s="339">
        <f t="shared" si="12"/>
        <v>14671.566196560001</v>
      </c>
      <c r="I43" s="374">
        <f t="shared" si="10"/>
        <v>8.5784045217967512E-4</v>
      </c>
      <c r="J43" s="314"/>
    </row>
    <row r="44" spans="1:10" s="343" customFormat="1">
      <c r="A44" s="570"/>
      <c r="B44" s="569"/>
      <c r="C44" s="569"/>
      <c r="D44" s="571" t="s">
        <v>27403</v>
      </c>
      <c r="E44" s="572"/>
      <c r="F44" s="600"/>
      <c r="G44" s="573"/>
      <c r="H44" s="574">
        <f>SUM(H7:H43)</f>
        <v>752352.15175684006</v>
      </c>
      <c r="I44" s="575">
        <f t="shared" si="10"/>
        <v>4.3989721439062435E-2</v>
      </c>
      <c r="J44" s="314"/>
    </row>
    <row r="45" spans="1:10" s="343" customFormat="1">
      <c r="A45" s="373"/>
      <c r="B45" s="337"/>
      <c r="C45" s="337"/>
      <c r="D45" s="578"/>
      <c r="E45" s="338"/>
      <c r="F45" s="606"/>
      <c r="G45" s="339"/>
      <c r="H45" s="375"/>
      <c r="I45" s="579"/>
      <c r="J45" s="314"/>
    </row>
    <row r="46" spans="1:10" s="226" customFormat="1">
      <c r="A46" s="561" t="s">
        <v>7</v>
      </c>
      <c r="B46" s="562"/>
      <c r="C46" s="563"/>
      <c r="D46" s="564" t="s">
        <v>36</v>
      </c>
      <c r="E46" s="565"/>
      <c r="F46" s="597"/>
      <c r="G46" s="566"/>
      <c r="H46" s="567"/>
      <c r="I46" s="568"/>
      <c r="J46" s="314"/>
    </row>
    <row r="47" spans="1:10" s="538" customFormat="1">
      <c r="A47" s="553" t="s">
        <v>10362</v>
      </c>
      <c r="B47" s="554"/>
      <c r="C47" s="555"/>
      <c r="D47" s="556" t="s">
        <v>1147</v>
      </c>
      <c r="E47" s="557"/>
      <c r="F47" s="598"/>
      <c r="G47" s="558"/>
      <c r="H47" s="559"/>
      <c r="I47" s="560"/>
      <c r="J47" s="537"/>
    </row>
    <row r="48" spans="1:10" ht="26.4">
      <c r="A48" s="613" t="s">
        <v>37</v>
      </c>
      <c r="B48" s="337" t="s">
        <v>2879</v>
      </c>
      <c r="C48" s="337">
        <f>30101</f>
        <v>30101</v>
      </c>
      <c r="D48" s="539" t="str">
        <f>IF(B48="IOPES",VLOOKUP(C48,'LABOR-SERVIÇOS'!A:H,5,FALSE),IF(B48="SINAPI",VLOOKUP(C48,'SINAPI-SERVIÇOS'!A:D,2,FALSE),IF(LEFT(C48,3)="ARQ",VLOOKUP(VALUE(RIGHT(C48,3)),'ARQ-COMP'!B:J,4,FALSE),IF(LEFT(C48,3)="SCI",VLOOKUP(VALUE(RIGHT(C48,3)),'GAS-COMP'!#REF!,4,FALSE),IF(LEFT(C48,3)="SCE",VLOOKUP(VALUE(RIGHT(C48,3)),'SCE-COMP'!B:J,4,FALSE),IF(LEFT(C48,3)="EST",VLOOKUP(VALUE(RIGHT(C48,3)),'EST-COMP'!B:J,4,FALSE),IF(LEFT(C48,3)="HID",VLOOKUP(VALUE(RIGHT(C48,3)),'HID-COMP'!B:J,4,FALSE),IF(LEFT(C48,3)="INC",VLOOKUP(VALUE(RIGHT(C48,3)),'INC-COMP'!B:J,4,FALSE),IF(LEFT(C48,3)="ELE",VLOOKUP(VALUE(RIGHT(C48,3)),#REF!,4,FALSE),IF(LEFT(C48,3)="CAB",VLOOKUP(VALUE(RIGHT(C48,3)),#REF!,4,FALSE),IF(LEFT(C48,3)="SEG",VLOOKUP(VALUE(RIGHT(C48,3)),'SEG-COMP'!B:J,4,FALSE),IF(LEFT(C48,3)="CLI",VLOOKUP(VALUE(RIGHT(C48,3)),'CLI-COMP'!B:J,4,FALSE),IF(LEFT(C48,4)="IMPL",VLOOKUP(VALUE(RIGHT(C48,3)),'IMPL-COMP'!B:J,4,FALSE),IF(LEFT(C48,4)="SPDA",VLOOKUP(VALUE(RIGHT(C48,3)),'SPDA-COMP'!B:J,4,FALSE),IF(LEFT(C48,4)="SDAI",VLOOKUP(VALUE(RIGHT(C48,3)),'ADM-COMP'!B:J,4,FALSE),IF(LEFT(C48,5)="IMPER",VLOOKUP(VALUE(RIGHT(C48,3)),'IMPER-COMP'!B:J,4,FALSE),""))))))))))))))))</f>
        <v>ESCAVAÇÃO MANUAL EM MATERIAL DE 1A. CATEGORIA, ATÉ 1.50 M DE PROFUNDIDADE</v>
      </c>
      <c r="E48" s="338" t="str">
        <f>IF(B48="IOPES",VLOOKUP(C48,'LABOR-SERVIÇOS'!A:H,6,FALSE),IF(B48="SINAPI",VLOOKUP(C48,'SINAPI-SERVIÇOS'!A:D,3,FALSE),IF(LEFT(C48,3)="ARQ",VLOOKUP(VALUE(RIGHT(C48,3)),'ARQ-COMP'!B:J,5,FALSE),IF(LEFT(C48,3)="SCI",VLOOKUP(VALUE(RIGHT(C48,3)),'GAS-COMP'!#REF!,5,FALSE),IF(LEFT(C48,3)="SCE",VLOOKUP(VALUE(RIGHT(C48,3)),'SCE-COMP'!B:J,5,FALSE),IF(LEFT(C48,3)="EST",VLOOKUP(VALUE(RIGHT(C48,3)),'EST-COMP'!B:J,5,FALSE),IF(LEFT(C48,3)="HID",VLOOKUP(VALUE(RIGHT(C48,3)),'HID-COMP'!B:J,5,FALSE),IF(LEFT(C48,3)="INC",VLOOKUP(VALUE(RIGHT(C48,3)),'INC-COMP'!B:J,5,FALSE),IF(LEFT(C48,3)="ELE",VLOOKUP(VALUE(RIGHT(C48,3)),#REF!,5,FALSE),IF(LEFT(C48,3)="CAB",VLOOKUP(VALUE(RIGHT(C48,3)),#REF!,5,FALSE),IF(LEFT(C48,3)="SEG",VLOOKUP(VALUE(RIGHT(C48,3)),'SEG-COMP'!B:J,5,FALSE),IF(LEFT(C48,3)="CLI",VLOOKUP(VALUE(RIGHT(C48,3)),'CLI-COMP'!B:J,5,FALSE),IF(LEFT(C48,4)="IMPL",VLOOKUP(VALUE(RIGHT(C48,3)),'IMPL-COMP'!B:J,5,FALSE),IF(LEFT(C48,4)="SPDA",VLOOKUP(VALUE(RIGHT(C48,3)),'SPDA-COMP'!B:J,5,FALSE),IF(LEFT(C48,4)="SDAI",VLOOKUP(VALUE(RIGHT(C48,3)),'ADM-COMP'!B:J,5,FALSE),IF(LEFT(C48,5)="IMPER",VLOOKUP(VALUE(RIGHT(C48,3)),'IMPER-COMP'!B:J,5,FALSE),""))))))))))))))))</f>
        <v>M3</v>
      </c>
      <c r="F48" s="599">
        <f>ROUND(VLOOKUP(A48,'MEM-LEVANT'!A50:I2637,9,FALSE),2)</f>
        <v>850</v>
      </c>
      <c r="G48" s="339">
        <f>IF(B48="IOPES",VLOOKUP(C48,'LABOR-SERVIÇOS'!A:H,7,FALSE),IF(B48="SINAPI",VLOOKUP(C48,'SINAPI-SERVIÇOS'!A:H,8,FALSE),IF(LEFT(C48,3)="ARQ",VLOOKUP(VALUE(RIGHT(C48,3)),'ARQ-COMP'!B:J,9,FALSE),IF(LEFT(C48,3)="SCI",VLOOKUP(VALUE(RIGHT(C48,3)),'GAS-COMP'!#REF!,9,FALSE),IF(LEFT(C48,3)="SCE",VLOOKUP(VALUE(RIGHT(C48,3)),'SCE-COMP'!B:J,9,FALSE),IF(LEFT(C48,3)="EST",VLOOKUP(VALUE(RIGHT(C48,3)),'EST-COMP'!B:J,9,FALSE),IF(LEFT(C48,3)="HID",VLOOKUP(VALUE(RIGHT(C48,3)),'HID-COMP'!B:J,9,FALSE),IF(LEFT(C48,3)="INC",VLOOKUP(VALUE(RIGHT(C48,3)),'INC-COMP'!B:J,9,FALSE),IF(LEFT(C48,3)="ELE",VLOOKUP(VALUE(RIGHT(C48,3)),#REF!,9,FALSE),IF(LEFT(C48,3)="CAB",VLOOKUP(VALUE(RIGHT(C48,3)),#REF!,9,FALSE),IF(LEFT(C48,3)="SEG",VLOOKUP(VALUE(RIGHT(C48,3)),'SEG-COMP'!B:J,9,FALSE),IF(LEFT(C48,3)="CLI",VLOOKUP(VALUE(RIGHT(C48,3)),'CLI-COMP'!B:J,9,FALSE),IF(LEFT(C48,4)="IMPL",VLOOKUP(VALUE(RIGHT(C48,3)),'IMPL-COMP'!B:J,9,FALSE),IF(LEFT(C48,4)="SPDA",VLOOKUP(VALUE(RIGHT(C48,3)),'SPDA-COMP'!B:J,9,FALSE),IF(LEFT(C48,4)="SDAI",VLOOKUP(VALUE(RIGHT(C48,3)),'ADM-COMP'!B:J,9,FALSE),IF(LEFT(C48,5)="IMPER",VLOOKUP(VALUE(RIGHT(C48,3)),'IMPER-COMP'!B:J,9,FALSE),""))))))))))))))))</f>
        <v>85.23</v>
      </c>
      <c r="H48" s="339">
        <f t="shared" ref="H48" si="13">ROUND(F48*G48,2)</f>
        <v>72445.5</v>
      </c>
      <c r="I48" s="374">
        <f>H48/$H$441</f>
        <v>4.2358586428866739E-3</v>
      </c>
      <c r="J48" s="314"/>
    </row>
    <row r="49" spans="1:10">
      <c r="A49" s="613" t="s">
        <v>7509</v>
      </c>
      <c r="B49" s="337" t="s">
        <v>2879</v>
      </c>
      <c r="C49" s="337">
        <f>30103</f>
        <v>30103</v>
      </c>
      <c r="D49" s="539" t="str">
        <f>IF(B49="IOPES",VLOOKUP(C49,'LABOR-SERVIÇOS'!A:H,5,FALSE),IF(B49="SINAPI",VLOOKUP(C49,'SINAPI-SERVIÇOS'!A:D,2,FALSE),IF(LEFT(C49,3)="ARQ",VLOOKUP(VALUE(RIGHT(C49,3)),'ARQ-COMP'!B:J,4,FALSE),IF(LEFT(C49,3)="SCI",VLOOKUP(VALUE(RIGHT(C49,3)),'GAS-COMP'!#REF!,4,FALSE),IF(LEFT(C49,3)="SCE",VLOOKUP(VALUE(RIGHT(C49,3)),'SCE-COMP'!B:J,4,FALSE),IF(LEFT(C49,3)="EST",VLOOKUP(VALUE(RIGHT(C49,3)),'EST-COMP'!B:J,4,FALSE),IF(LEFT(C49,3)="HID",VLOOKUP(VALUE(RIGHT(C49,3)),'HID-COMP'!B:J,4,FALSE),IF(LEFT(C49,3)="INC",VLOOKUP(VALUE(RIGHT(C49,3)),'INC-COMP'!B:J,4,FALSE),IF(LEFT(C49,3)="ELE",VLOOKUP(VALUE(RIGHT(C49,3)),#REF!,4,FALSE),IF(LEFT(C49,3)="CAB",VLOOKUP(VALUE(RIGHT(C49,3)),#REF!,4,FALSE),IF(LEFT(C49,3)="SEG",VLOOKUP(VALUE(RIGHT(C49,3)),'SEG-COMP'!B:J,4,FALSE),IF(LEFT(C49,3)="CLI",VLOOKUP(VALUE(RIGHT(C49,3)),'CLI-COMP'!B:J,4,FALSE),IF(LEFT(C49,4)="IMPL",VLOOKUP(VALUE(RIGHT(C49,3)),'IMPL-COMP'!B:J,4,FALSE),IF(LEFT(C49,4)="SPDA",VLOOKUP(VALUE(RIGHT(C49,3)),'SPDA-COMP'!B:J,4,FALSE),IF(LEFT(C49,4)="SDAI",VLOOKUP(VALUE(RIGHT(C49,3)),'ADM-COMP'!B:J,4,FALSE),IF(LEFT(C49,5)="IMPER",VLOOKUP(VALUE(RIGHT(C49,3)),'IMPER-COMP'!B:J,4,FALSE),""))))))))))))))))</f>
        <v>ESCAVAÇÃO MECÂNICA EM MATERIAL DE 1A. CATEGORIA</v>
      </c>
      <c r="E49" s="338" t="str">
        <f>IF(B49="IOPES",VLOOKUP(C49,'LABOR-SERVIÇOS'!A:H,6,FALSE),IF(B49="SINAPI",VLOOKUP(C49,'SINAPI-SERVIÇOS'!A:D,3,FALSE),IF(LEFT(C49,3)="ARQ",VLOOKUP(VALUE(RIGHT(C49,3)),'ARQ-COMP'!B:J,5,FALSE),IF(LEFT(C49,3)="SCI",VLOOKUP(VALUE(RIGHT(C49,3)),'GAS-COMP'!#REF!,5,FALSE),IF(LEFT(C49,3)="SCE",VLOOKUP(VALUE(RIGHT(C49,3)),'SCE-COMP'!B:J,5,FALSE),IF(LEFT(C49,3)="EST",VLOOKUP(VALUE(RIGHT(C49,3)),'EST-COMP'!B:J,5,FALSE),IF(LEFT(C49,3)="HID",VLOOKUP(VALUE(RIGHT(C49,3)),'HID-COMP'!B:J,5,FALSE),IF(LEFT(C49,3)="INC",VLOOKUP(VALUE(RIGHT(C49,3)),'INC-COMP'!B:J,5,FALSE),IF(LEFT(C49,3)="ELE",VLOOKUP(VALUE(RIGHT(C49,3)),#REF!,5,FALSE),IF(LEFT(C49,3)="CAB",VLOOKUP(VALUE(RIGHT(C49,3)),#REF!,5,FALSE),IF(LEFT(C49,3)="SEG",VLOOKUP(VALUE(RIGHT(C49,3)),'SEG-COMP'!B:J,5,FALSE),IF(LEFT(C49,3)="CLI",VLOOKUP(VALUE(RIGHT(C49,3)),'CLI-COMP'!B:J,5,FALSE),IF(LEFT(C49,4)="IMPL",VLOOKUP(VALUE(RIGHT(C49,3)),'IMPL-COMP'!B:J,5,FALSE),IF(LEFT(C49,4)="SPDA",VLOOKUP(VALUE(RIGHT(C49,3)),'SPDA-COMP'!B:J,5,FALSE),IF(LEFT(C49,4)="SDAI",VLOOKUP(VALUE(RIGHT(C49,3)),'ADM-COMP'!B:J,5,FALSE),IF(LEFT(C49,5)="IMPER",VLOOKUP(VALUE(RIGHT(C49,3)),'IMPER-COMP'!B:J,5,FALSE),""))))))))))))))))</f>
        <v>M3</v>
      </c>
      <c r="F49" s="599">
        <f>ROUND(VLOOKUP(A49,'MEM-LEVANT'!A52:I2639,9,FALSE),2)</f>
        <v>848.1</v>
      </c>
      <c r="G49" s="339">
        <f>IF(B49="IOPES",VLOOKUP(C49,'LABOR-SERVIÇOS'!A:H,7,FALSE),IF(B49="SINAPI",VLOOKUP(C49,'SINAPI-SERVIÇOS'!A:H,8,FALSE),IF(LEFT(C49,3)="ARQ",VLOOKUP(VALUE(RIGHT(C49,3)),'ARQ-COMP'!B:J,9,FALSE),IF(LEFT(C49,3)="SCI",VLOOKUP(VALUE(RIGHT(C49,3)),'GAS-COMP'!#REF!,9,FALSE),IF(LEFT(C49,3)="SCE",VLOOKUP(VALUE(RIGHT(C49,3)),'SCE-COMP'!B:J,9,FALSE),IF(LEFT(C49,3)="EST",VLOOKUP(VALUE(RIGHT(C49,3)),'EST-COMP'!B:J,9,FALSE),IF(LEFT(C49,3)="HID",VLOOKUP(VALUE(RIGHT(C49,3)),'HID-COMP'!B:J,9,FALSE),IF(LEFT(C49,3)="INC",VLOOKUP(VALUE(RIGHT(C49,3)),'INC-COMP'!B:J,9,FALSE),IF(LEFT(C49,3)="ELE",VLOOKUP(VALUE(RIGHT(C49,3)),#REF!,9,FALSE),IF(LEFT(C49,3)="CAB",VLOOKUP(VALUE(RIGHT(C49,3)),#REF!,9,FALSE),IF(LEFT(C49,3)="SEG",VLOOKUP(VALUE(RIGHT(C49,3)),'SEG-COMP'!B:J,9,FALSE),IF(LEFT(C49,3)="CLI",VLOOKUP(VALUE(RIGHT(C49,3)),'CLI-COMP'!B:J,9,FALSE),IF(LEFT(C49,4)="IMPL",VLOOKUP(VALUE(RIGHT(C49,3)),'IMPL-COMP'!B:J,9,FALSE),IF(LEFT(C49,4)="SPDA",VLOOKUP(VALUE(RIGHT(C49,3)),'SPDA-COMP'!B:J,9,FALSE),IF(LEFT(C49,4)="SDAI",VLOOKUP(VALUE(RIGHT(C49,3)),'ADM-COMP'!B:J,9,FALSE),IF(LEFT(C49,5)="IMPER",VLOOKUP(VALUE(RIGHT(C49,3)),'IMPER-COMP'!B:J,9,FALSE),""))))))))))))))))</f>
        <v>21.73</v>
      </c>
      <c r="H49" s="339">
        <f t="shared" ref="H49" si="14">ROUND(F49*G49,2)</f>
        <v>18429.21</v>
      </c>
      <c r="I49" s="374">
        <f>H49/$H$441</f>
        <v>1.0775483426862058E-3</v>
      </c>
      <c r="J49" s="314"/>
    </row>
    <row r="50" spans="1:10">
      <c r="A50" s="553" t="s">
        <v>27404</v>
      </c>
      <c r="B50" s="554"/>
      <c r="C50" s="555"/>
      <c r="D50" s="556" t="s">
        <v>1153</v>
      </c>
      <c r="E50" s="557"/>
      <c r="F50" s="598"/>
      <c r="G50" s="558"/>
      <c r="H50" s="559"/>
      <c r="I50" s="560"/>
      <c r="J50" s="314"/>
    </row>
    <row r="51" spans="1:10" ht="26.4">
      <c r="A51" s="613" t="s">
        <v>30314</v>
      </c>
      <c r="B51" s="337" t="s">
        <v>2879</v>
      </c>
      <c r="C51" s="337">
        <f>30201</f>
        <v>30201</v>
      </c>
      <c r="D51" s="539" t="str">
        <f>IF(B51="IOPES",VLOOKUP(C51,'LABOR-SERVIÇOS'!A:H,5,FALSE),IF(B51="SINAPI",VLOOKUP(C51,'SINAPI-SERVIÇOS'!A:D,2,FALSE),IF(LEFT(C51,3)="ARQ",VLOOKUP(VALUE(RIGHT(C51,3)),'ARQ-COMP'!B:J,4,FALSE),IF(LEFT(C51,3)="SCI",VLOOKUP(VALUE(RIGHT(C51,3)),'GAS-COMP'!#REF!,4,FALSE),IF(LEFT(C51,3)="SCE",VLOOKUP(VALUE(RIGHT(C51,3)),'SCE-COMP'!B:J,4,FALSE),IF(LEFT(C51,3)="EST",VLOOKUP(VALUE(RIGHT(C51,3)),'EST-COMP'!B:J,4,FALSE),IF(LEFT(C51,3)="HID",VLOOKUP(VALUE(RIGHT(C51,3)),'HID-COMP'!B:J,4,FALSE),IF(LEFT(C51,3)="INC",VLOOKUP(VALUE(RIGHT(C51,3)),'INC-COMP'!B:J,4,FALSE),IF(LEFT(C51,3)="ELE",VLOOKUP(VALUE(RIGHT(C51,3)),#REF!,4,FALSE),IF(LEFT(C51,3)="CAB",VLOOKUP(VALUE(RIGHT(C51,3)),#REF!,4,FALSE),IF(LEFT(C51,3)="SEG",VLOOKUP(VALUE(RIGHT(C51,3)),'SEG-COMP'!B:J,4,FALSE),IF(LEFT(C51,3)="CLI",VLOOKUP(VALUE(RIGHT(C51,3)),'CLI-COMP'!B:J,4,FALSE),IF(LEFT(C51,4)="IMPL",VLOOKUP(VALUE(RIGHT(C51,3)),'IMPL-COMP'!B:J,4,FALSE),IF(LEFT(C51,4)="SPDA",VLOOKUP(VALUE(RIGHT(C51,3)),'SPDA-COMP'!B:J,4,FALSE),IF(LEFT(C51,4)="SDAI",VLOOKUP(VALUE(RIGHT(C51,3)),'ADM-COMP'!B:J,4,FALSE),IF(LEFT(C51,5)="IMPER",VLOOKUP(VALUE(RIGHT(C51,3)),'IMPER-COMP'!B:J,4,FALSE),""))))))))))))))))</f>
        <v>REATERRO APILOADO DE CAVAS DE FUNDAÇÃO, EM CAMADAS DE 20 CM</v>
      </c>
      <c r="E51" s="338" t="str">
        <f>IF(B51="IOPES",VLOOKUP(C51,'LABOR-SERVIÇOS'!A:H,6,FALSE),IF(B51="SINAPI",VLOOKUP(C51,'SINAPI-SERVIÇOS'!A:D,3,FALSE),IF(LEFT(C51,3)="ARQ",VLOOKUP(VALUE(RIGHT(C51,3)),'ARQ-COMP'!B:J,5,FALSE),IF(LEFT(C51,3)="SCI",VLOOKUP(VALUE(RIGHT(C51,3)),'GAS-COMP'!#REF!,5,FALSE),IF(LEFT(C51,3)="SCE",VLOOKUP(VALUE(RIGHT(C51,3)),'SCE-COMP'!B:J,5,FALSE),IF(LEFT(C51,3)="EST",VLOOKUP(VALUE(RIGHT(C51,3)),'EST-COMP'!B:J,5,FALSE),IF(LEFT(C51,3)="HID",VLOOKUP(VALUE(RIGHT(C51,3)),'HID-COMP'!B:J,5,FALSE),IF(LEFT(C51,3)="INC",VLOOKUP(VALUE(RIGHT(C51,3)),'INC-COMP'!B:J,5,FALSE),IF(LEFT(C51,3)="ELE",VLOOKUP(VALUE(RIGHT(C51,3)),#REF!,5,FALSE),IF(LEFT(C51,3)="CAB",VLOOKUP(VALUE(RIGHT(C51,3)),#REF!,5,FALSE),IF(LEFT(C51,3)="SEG",VLOOKUP(VALUE(RIGHT(C51,3)),'SEG-COMP'!B:J,5,FALSE),IF(LEFT(C51,3)="CLI",VLOOKUP(VALUE(RIGHT(C51,3)),'CLI-COMP'!B:J,5,FALSE),IF(LEFT(C51,4)="IMPL",VLOOKUP(VALUE(RIGHT(C51,3)),'IMPL-COMP'!B:J,5,FALSE),IF(LEFT(C51,4)="SPDA",VLOOKUP(VALUE(RIGHT(C51,3)),'SPDA-COMP'!B:J,5,FALSE),IF(LEFT(C51,4)="SDAI",VLOOKUP(VALUE(RIGHT(C51,3)),'ADM-COMP'!B:J,5,FALSE),IF(LEFT(C51,5)="IMPER",VLOOKUP(VALUE(RIGHT(C51,3)),'IMPER-COMP'!B:J,5,FALSE),""))))))))))))))))</f>
        <v>M3</v>
      </c>
      <c r="F51" s="599">
        <f>ROUND(VLOOKUP(A51,'MEM-LEVANT'!A53:I2640,9,FALSE),2)</f>
        <v>425</v>
      </c>
      <c r="G51" s="339">
        <f>IF(B51="IOPES",VLOOKUP(C51,'LABOR-SERVIÇOS'!A:H,7,FALSE),IF(B51="SINAPI",VLOOKUP(C51,'SINAPI-SERVIÇOS'!A:H,8,FALSE),IF(LEFT(C51,3)="ARQ",VLOOKUP(VALUE(RIGHT(C51,3)),'ARQ-COMP'!B:J,9,FALSE),IF(LEFT(C51,3)="SCI",VLOOKUP(VALUE(RIGHT(C51,3)),'GAS-COMP'!#REF!,9,FALSE),IF(LEFT(C51,3)="SCE",VLOOKUP(VALUE(RIGHT(C51,3)),'SCE-COMP'!B:J,9,FALSE),IF(LEFT(C51,3)="EST",VLOOKUP(VALUE(RIGHT(C51,3)),'EST-COMP'!B:J,9,FALSE),IF(LEFT(C51,3)="HID",VLOOKUP(VALUE(RIGHT(C51,3)),'HID-COMP'!B:J,9,FALSE),IF(LEFT(C51,3)="INC",VLOOKUP(VALUE(RIGHT(C51,3)),'INC-COMP'!B:J,9,FALSE),IF(LEFT(C51,3)="ELE",VLOOKUP(VALUE(RIGHT(C51,3)),#REF!,9,FALSE),IF(LEFT(C51,3)="CAB",VLOOKUP(VALUE(RIGHT(C51,3)),#REF!,9,FALSE),IF(LEFT(C51,3)="SEG",VLOOKUP(VALUE(RIGHT(C51,3)),'SEG-COMP'!B:J,9,FALSE),IF(LEFT(C51,3)="CLI",VLOOKUP(VALUE(RIGHT(C51,3)),'CLI-COMP'!B:J,9,FALSE),IF(LEFT(C51,4)="IMPL",VLOOKUP(VALUE(RIGHT(C51,3)),'IMPL-COMP'!B:J,9,FALSE),IF(LEFT(C51,4)="SPDA",VLOOKUP(VALUE(RIGHT(C51,3)),'SPDA-COMP'!B:J,9,FALSE),IF(LEFT(C51,4)="SDAI",VLOOKUP(VALUE(RIGHT(C51,3)),'ADM-COMP'!B:J,9,FALSE),IF(LEFT(C51,5)="IMPER",VLOOKUP(VALUE(RIGHT(C51,3)),'IMPER-COMP'!B:J,9,FALSE),""))))))))))))))))</f>
        <v>91.78</v>
      </c>
      <c r="H51" s="339">
        <f t="shared" ref="H51" si="15">ROUND(F51*G51,2)</f>
        <v>39006.5</v>
      </c>
      <c r="I51" s="374">
        <f>H51/$H$441</f>
        <v>2.2806940410896336E-3</v>
      </c>
      <c r="J51" s="314"/>
    </row>
    <row r="52" spans="1:10">
      <c r="A52" s="613" t="s">
        <v>27405</v>
      </c>
      <c r="B52" s="337" t="s">
        <v>2879</v>
      </c>
      <c r="C52" s="337">
        <f>30203</f>
        <v>30203</v>
      </c>
      <c r="D52" s="539" t="str">
        <f>IF(B52="IOPES",VLOOKUP(C52,'LABOR-SERVIÇOS'!A:H,5,FALSE),IF(B52="SINAPI",VLOOKUP(C52,'SINAPI-SERVIÇOS'!A:D,2,FALSE),IF(LEFT(C52,3)="ARQ",VLOOKUP(VALUE(RIGHT(C52,3)),'ARQ-COMP'!B:J,4,FALSE),IF(LEFT(C52,3)="SCI",VLOOKUP(VALUE(RIGHT(C52,3)),'GAS-COMP'!#REF!,4,FALSE),IF(LEFT(C52,3)="SCE",VLOOKUP(VALUE(RIGHT(C52,3)),'SCE-COMP'!B:J,4,FALSE),IF(LEFT(C52,3)="EST",VLOOKUP(VALUE(RIGHT(C52,3)),'EST-COMP'!B:J,4,FALSE),IF(LEFT(C52,3)="HID",VLOOKUP(VALUE(RIGHT(C52,3)),'HID-COMP'!B:J,4,FALSE),IF(LEFT(C52,3)="INC",VLOOKUP(VALUE(RIGHT(C52,3)),'INC-COMP'!B:J,4,FALSE),IF(LEFT(C52,3)="ELE",VLOOKUP(VALUE(RIGHT(C52,3)),#REF!,4,FALSE),IF(LEFT(C52,3)="CAB",VLOOKUP(VALUE(RIGHT(C52,3)),#REF!,4,FALSE),IF(LEFT(C52,3)="SEG",VLOOKUP(VALUE(RIGHT(C52,3)),'SEG-COMP'!B:J,4,FALSE),IF(LEFT(C52,3)="CLI",VLOOKUP(VALUE(RIGHT(C52,3)),'CLI-COMP'!B:J,4,FALSE),IF(LEFT(C52,4)="IMPL",VLOOKUP(VALUE(RIGHT(C52,3)),'IMPL-COMP'!B:J,4,FALSE),IF(LEFT(C52,4)="SPDA",VLOOKUP(VALUE(RIGHT(C52,3)),'SPDA-COMP'!B:J,4,FALSE),IF(LEFT(C52,4)="SDAI",VLOOKUP(VALUE(RIGHT(C52,3)),'ADM-COMP'!B:J,4,FALSE),IF(LEFT(C52,5)="IMPER",VLOOKUP(VALUE(RIGHT(C52,3)),'IMPER-COMP'!B:J,4,FALSE),""))))))))))))))))</f>
        <v>LASTRO DE BRITA 3 E 4, APILOADO MANUALMENTE</v>
      </c>
      <c r="E52" s="338" t="str">
        <f>IF(B52="IOPES",VLOOKUP(C52,'LABOR-SERVIÇOS'!A:H,6,FALSE),IF(B52="SINAPI",VLOOKUP(C52,'SINAPI-SERVIÇOS'!A:D,3,FALSE),IF(LEFT(C52,3)="ARQ",VLOOKUP(VALUE(RIGHT(C52,3)),'ARQ-COMP'!B:J,5,FALSE),IF(LEFT(C52,3)="SCI",VLOOKUP(VALUE(RIGHT(C52,3)),'GAS-COMP'!#REF!,5,FALSE),IF(LEFT(C52,3)="SCE",VLOOKUP(VALUE(RIGHT(C52,3)),'SCE-COMP'!B:J,5,FALSE),IF(LEFT(C52,3)="EST",VLOOKUP(VALUE(RIGHT(C52,3)),'EST-COMP'!B:J,5,FALSE),IF(LEFT(C52,3)="HID",VLOOKUP(VALUE(RIGHT(C52,3)),'HID-COMP'!B:J,5,FALSE),IF(LEFT(C52,3)="INC",VLOOKUP(VALUE(RIGHT(C52,3)),'INC-COMP'!B:J,5,FALSE),IF(LEFT(C52,3)="ELE",VLOOKUP(VALUE(RIGHT(C52,3)),#REF!,5,FALSE),IF(LEFT(C52,3)="CAB",VLOOKUP(VALUE(RIGHT(C52,3)),#REF!,5,FALSE),IF(LEFT(C52,3)="SEG",VLOOKUP(VALUE(RIGHT(C52,3)),'SEG-COMP'!B:J,5,FALSE),IF(LEFT(C52,3)="CLI",VLOOKUP(VALUE(RIGHT(C52,3)),'CLI-COMP'!B:J,5,FALSE),IF(LEFT(C52,4)="IMPL",VLOOKUP(VALUE(RIGHT(C52,3)),'IMPL-COMP'!B:J,5,FALSE),IF(LEFT(C52,4)="SPDA",VLOOKUP(VALUE(RIGHT(C52,3)),'SPDA-COMP'!B:J,5,FALSE),IF(LEFT(C52,4)="SDAI",VLOOKUP(VALUE(RIGHT(C52,3)),'ADM-COMP'!B:J,5,FALSE),IF(LEFT(C52,5)="IMPER",VLOOKUP(VALUE(RIGHT(C52,3)),'IMPER-COMP'!B:J,5,FALSE),""))))))))))))))))</f>
        <v>M3</v>
      </c>
      <c r="F52" s="599">
        <f>ROUND(VLOOKUP(A52,'MEM-LEVANT'!A55:I2642,9,FALSE),2)</f>
        <v>201.22</v>
      </c>
      <c r="G52" s="339">
        <f>IF(B52="IOPES",VLOOKUP(C52,'LABOR-SERVIÇOS'!A:H,7,FALSE),IF(B52="SINAPI",VLOOKUP(C52,'SINAPI-SERVIÇOS'!A:H,8,FALSE),IF(LEFT(C52,3)="ARQ",VLOOKUP(VALUE(RIGHT(C52,3)),'ARQ-COMP'!B:J,9,FALSE),IF(LEFT(C52,3)="SCI",VLOOKUP(VALUE(RIGHT(C52,3)),'GAS-COMP'!#REF!,9,FALSE),IF(LEFT(C52,3)="SCE",VLOOKUP(VALUE(RIGHT(C52,3)),'SCE-COMP'!B:J,9,FALSE),IF(LEFT(C52,3)="EST",VLOOKUP(VALUE(RIGHT(C52,3)),'EST-COMP'!B:J,9,FALSE),IF(LEFT(C52,3)="HID",VLOOKUP(VALUE(RIGHT(C52,3)),'HID-COMP'!B:J,9,FALSE),IF(LEFT(C52,3)="INC",VLOOKUP(VALUE(RIGHT(C52,3)),'INC-COMP'!B:J,9,FALSE),IF(LEFT(C52,3)="ELE",VLOOKUP(VALUE(RIGHT(C52,3)),#REF!,9,FALSE),IF(LEFT(C52,3)="CAB",VLOOKUP(VALUE(RIGHT(C52,3)),#REF!,9,FALSE),IF(LEFT(C52,3)="SEG",VLOOKUP(VALUE(RIGHT(C52,3)),'SEG-COMP'!B:J,9,FALSE),IF(LEFT(C52,3)="CLI",VLOOKUP(VALUE(RIGHT(C52,3)),'CLI-COMP'!B:J,9,FALSE),IF(LEFT(C52,4)="IMPL",VLOOKUP(VALUE(RIGHT(C52,3)),'IMPL-COMP'!B:J,9,FALSE),IF(LEFT(C52,4)="SPDA",VLOOKUP(VALUE(RIGHT(C52,3)),'SPDA-COMP'!B:J,9,FALSE),IF(LEFT(C52,4)="SDAI",VLOOKUP(VALUE(RIGHT(C52,3)),'ADM-COMP'!B:J,9,FALSE),IF(LEFT(C52,5)="IMPER",VLOOKUP(VALUE(RIGHT(C52,3)),'IMPER-COMP'!B:J,9,FALSE),""))))))))))))))))</f>
        <v>323.39999999999998</v>
      </c>
      <c r="H52" s="339">
        <f t="shared" ref="H52:H54" si="16">ROUND(F52*G52,2)</f>
        <v>65074.55</v>
      </c>
      <c r="I52" s="374">
        <f>H52/$H$441</f>
        <v>3.8048822224908524E-3</v>
      </c>
      <c r="J52" s="314"/>
    </row>
    <row r="53" spans="1:10" ht="39.6">
      <c r="A53" s="613" t="s">
        <v>35260</v>
      </c>
      <c r="B53" s="337" t="s">
        <v>2879</v>
      </c>
      <c r="C53" s="337">
        <f>30208</f>
        <v>30208</v>
      </c>
      <c r="D53" s="539" t="str">
        <f>IF(B53="IOPES",VLOOKUP(C53,'LABOR-SERVIÇOS'!A:H,5,FALSE),IF(B53="SINAPI",VLOOKUP(C53,'SINAPI-SERVIÇOS'!A:D,2,FALSE),IF(LEFT(C53,3)="ARQ",VLOOKUP(VALUE(RIGHT(C53,3)),'ARQ-COMP'!B:J,4,FALSE),IF(LEFT(C53,3)="SCI",VLOOKUP(VALUE(RIGHT(C53,3)),'GAS-COMP'!#REF!,4,FALSE),IF(LEFT(C53,3)="SCE",VLOOKUP(VALUE(RIGHT(C53,3)),'SCE-COMP'!B:J,4,FALSE),IF(LEFT(C53,3)="EST",VLOOKUP(VALUE(RIGHT(C53,3)),'EST-COMP'!B:J,4,FALSE),IF(LEFT(C53,3)="HID",VLOOKUP(VALUE(RIGHT(C53,3)),'HID-COMP'!B:J,4,FALSE),IF(LEFT(C53,3)="INC",VLOOKUP(VALUE(RIGHT(C53,3)),'INC-COMP'!B:J,4,FALSE),IF(LEFT(C53,3)="ELE",VLOOKUP(VALUE(RIGHT(C53,3)),#REF!,4,FALSE),IF(LEFT(C53,3)="CAB",VLOOKUP(VALUE(RIGHT(C53,3)),#REF!,4,FALSE),IF(LEFT(C53,3)="SEG",VLOOKUP(VALUE(RIGHT(C53,3)),'SEG-COMP'!B:J,4,FALSE),IF(LEFT(C53,3)="CLI",VLOOKUP(VALUE(RIGHT(C53,3)),'CLI-COMP'!B:J,4,FALSE),IF(LEFT(C53,4)="IMPL",VLOOKUP(VALUE(RIGHT(C53,3)),'IMPL-COMP'!B:J,4,FALSE),IF(LEFT(C53,4)="SPDA",VLOOKUP(VALUE(RIGHT(C53,3)),'SPDA-COMP'!B:J,4,FALSE),IF(LEFT(C53,4)="SDAI",VLOOKUP(VALUE(RIGHT(C53,3)),'ADM-COMP'!B:J,4,FALSE),IF(LEFT(C53,5)="IMPER",VLOOKUP(VALUE(RIGHT(C53,3)),'IMPER-COMP'!B:J,4,FALSE),""))))))))))))))))</f>
        <v>ATERRO MANUAL PARA REGULARIZAÇÃO DO TERRENO EM ARGILA, INCLUSIVE ADENSAMENTO MANUAL E FORNECIMENTO DO MATERIAL (MÁXIMO DE 100M3)</v>
      </c>
      <c r="E53" s="338" t="str">
        <f>IF(B53="IOPES",VLOOKUP(C53,'LABOR-SERVIÇOS'!A:H,6,FALSE),IF(B53="SINAPI",VLOOKUP(C53,'SINAPI-SERVIÇOS'!A:D,3,FALSE),IF(LEFT(C53,3)="ARQ",VLOOKUP(VALUE(RIGHT(C53,3)),'ARQ-COMP'!B:J,5,FALSE),IF(LEFT(C53,3)="SCI",VLOOKUP(VALUE(RIGHT(C53,3)),'GAS-COMP'!#REF!,5,FALSE),IF(LEFT(C53,3)="SCE",VLOOKUP(VALUE(RIGHT(C53,3)),'SCE-COMP'!B:J,5,FALSE),IF(LEFT(C53,3)="EST",VLOOKUP(VALUE(RIGHT(C53,3)),'EST-COMP'!B:J,5,FALSE),IF(LEFT(C53,3)="HID",VLOOKUP(VALUE(RIGHT(C53,3)),'HID-COMP'!B:J,5,FALSE),IF(LEFT(C53,3)="INC",VLOOKUP(VALUE(RIGHT(C53,3)),'INC-COMP'!B:J,5,FALSE),IF(LEFT(C53,3)="ELE",VLOOKUP(VALUE(RIGHT(C53,3)),#REF!,5,FALSE),IF(LEFT(C53,3)="CAB",VLOOKUP(VALUE(RIGHT(C53,3)),#REF!,5,FALSE),IF(LEFT(C53,3)="SEG",VLOOKUP(VALUE(RIGHT(C53,3)),'SEG-COMP'!B:J,5,FALSE),IF(LEFT(C53,3)="CLI",VLOOKUP(VALUE(RIGHT(C53,3)),'CLI-COMP'!B:J,5,FALSE),IF(LEFT(C53,4)="IMPL",VLOOKUP(VALUE(RIGHT(C53,3)),'IMPL-COMP'!B:J,5,FALSE),IF(LEFT(C53,4)="SPDA",VLOOKUP(VALUE(RIGHT(C53,3)),'SPDA-COMP'!B:J,5,FALSE),IF(LEFT(C53,4)="SDAI",VLOOKUP(VALUE(RIGHT(C53,3)),'ADM-COMP'!B:J,5,FALSE),IF(LEFT(C53,5)="IMPER",VLOOKUP(VALUE(RIGHT(C53,3)),'IMPER-COMP'!B:J,5,FALSE),""))))))))))))))))</f>
        <v>M3</v>
      </c>
      <c r="F53" s="599">
        <f>ROUND(VLOOKUP(A53,'MEM-LEVANT'!A58:I2645,9,FALSE),2)</f>
        <v>535.59</v>
      </c>
      <c r="G53" s="339">
        <f>IF(B53="IOPES",VLOOKUP(C53,'LABOR-SERVIÇOS'!A:H,7,FALSE),IF(B53="SINAPI",VLOOKUP(C53,'SINAPI-SERVIÇOS'!A:H,8,FALSE),IF(LEFT(C53,3)="ARQ",VLOOKUP(VALUE(RIGHT(C53,3)),'ARQ-COMP'!B:J,9,FALSE),IF(LEFT(C53,3)="SCI",VLOOKUP(VALUE(RIGHT(C53,3)),'GAS-COMP'!#REF!,9,FALSE),IF(LEFT(C53,3)="SCE",VLOOKUP(VALUE(RIGHT(C53,3)),'SCE-COMP'!B:J,9,FALSE),IF(LEFT(C53,3)="EST",VLOOKUP(VALUE(RIGHT(C53,3)),'EST-COMP'!B:J,9,FALSE),IF(LEFT(C53,3)="HID",VLOOKUP(VALUE(RIGHT(C53,3)),'HID-COMP'!B:J,9,FALSE),IF(LEFT(C53,3)="INC",VLOOKUP(VALUE(RIGHT(C53,3)),'INC-COMP'!B:J,9,FALSE),IF(LEFT(C53,3)="ELE",VLOOKUP(VALUE(RIGHT(C53,3)),#REF!,9,FALSE),IF(LEFT(C53,3)="CAB",VLOOKUP(VALUE(RIGHT(C53,3)),#REF!,9,FALSE),IF(LEFT(C53,3)="SEG",VLOOKUP(VALUE(RIGHT(C53,3)),'SEG-COMP'!B:J,9,FALSE),IF(LEFT(C53,3)="CLI",VLOOKUP(VALUE(RIGHT(C53,3)),'CLI-COMP'!B:J,9,FALSE),IF(LEFT(C53,4)="IMPL",VLOOKUP(VALUE(RIGHT(C53,3)),'IMPL-COMP'!B:J,9,FALSE),IF(LEFT(C53,4)="SPDA",VLOOKUP(VALUE(RIGHT(C53,3)),'SPDA-COMP'!B:J,9,FALSE),IF(LEFT(C53,4)="SDAI",VLOOKUP(VALUE(RIGHT(C53,3)),'ADM-COMP'!B:J,9,FALSE),IF(LEFT(C53,5)="IMPER",VLOOKUP(VALUE(RIGHT(C53,3)),'IMPER-COMP'!B:J,9,FALSE),""))))))))))))))))</f>
        <v>233.49</v>
      </c>
      <c r="H53" s="339">
        <f t="shared" si="16"/>
        <v>125054.91</v>
      </c>
      <c r="I53" s="374">
        <f>H53/$H$441</f>
        <v>7.3119092470742171E-3</v>
      </c>
      <c r="J53" s="314"/>
    </row>
    <row r="54" spans="1:10" ht="26.4">
      <c r="A54" s="613" t="s">
        <v>35261</v>
      </c>
      <c r="B54" s="337" t="s">
        <v>2879</v>
      </c>
      <c r="C54" s="337">
        <f>30210</f>
        <v>30210</v>
      </c>
      <c r="D54" s="539" t="str">
        <f>IF(B54="IOPES",VLOOKUP(C54,'LABOR-SERVIÇOS'!A:H,5,FALSE),IF(B54="SINAPI",VLOOKUP(C54,'SINAPI-SERVIÇOS'!A:D,2,FALSE),IF(LEFT(C54,3)="ARQ",VLOOKUP(VALUE(RIGHT(C54,3)),'ARQ-COMP'!B:J,4,FALSE),IF(LEFT(C54,3)="SCI",VLOOKUP(VALUE(RIGHT(C54,3)),'GAS-COMP'!#REF!,4,FALSE),IF(LEFT(C54,3)="SCE",VLOOKUP(VALUE(RIGHT(C54,3)),'SCE-COMP'!B:J,4,FALSE),IF(LEFT(C54,3)="EST",VLOOKUP(VALUE(RIGHT(C54,3)),'EST-COMP'!B:J,4,FALSE),IF(LEFT(C54,3)="HID",VLOOKUP(VALUE(RIGHT(C54,3)),'HID-COMP'!B:J,4,FALSE),IF(LEFT(C54,3)="INC",VLOOKUP(VALUE(RIGHT(C54,3)),'INC-COMP'!B:J,4,FALSE),IF(LEFT(C54,3)="ELE",VLOOKUP(VALUE(RIGHT(C54,3)),#REF!,4,FALSE),IF(LEFT(C54,3)="CAB",VLOOKUP(VALUE(RIGHT(C54,3)),#REF!,4,FALSE),IF(LEFT(C54,3)="SEG",VLOOKUP(VALUE(RIGHT(C54,3)),'SEG-COMP'!B:J,4,FALSE),IF(LEFT(C54,3)="CLI",VLOOKUP(VALUE(RIGHT(C54,3)),'CLI-COMP'!B:J,4,FALSE),IF(LEFT(C54,4)="IMPL",VLOOKUP(VALUE(RIGHT(C54,3)),'IMPL-COMP'!B:J,4,FALSE),IF(LEFT(C54,4)="SPDA",VLOOKUP(VALUE(RIGHT(C54,3)),'SPDA-COMP'!B:J,4,FALSE),IF(LEFT(C54,4)="SDAI",VLOOKUP(VALUE(RIGHT(C54,3)),'ADM-COMP'!B:J,4,FALSE),IF(LEFT(C54,5)="IMPER",VLOOKUP(VALUE(RIGHT(C54,3)),'IMPER-COMP'!B:J,4,FALSE),""))))))))))))))))</f>
        <v>ATERRO COMPACTADO UTILIZANDO COMPACTADOR DE PLACA VIBRATÓRIA COM REAPROVEITAMENTO DO MATERIAL</v>
      </c>
      <c r="E54" s="338" t="str">
        <f>IF(B54="IOPES",VLOOKUP(C54,'LABOR-SERVIÇOS'!A:H,6,FALSE),IF(B54="SINAPI",VLOOKUP(C54,'SINAPI-SERVIÇOS'!A:D,3,FALSE),IF(LEFT(C54,3)="ARQ",VLOOKUP(VALUE(RIGHT(C54,3)),'ARQ-COMP'!B:J,5,FALSE),IF(LEFT(C54,3)="SCI",VLOOKUP(VALUE(RIGHT(C54,3)),'GAS-COMP'!#REF!,5,FALSE),IF(LEFT(C54,3)="SCE",VLOOKUP(VALUE(RIGHT(C54,3)),'SCE-COMP'!B:J,5,FALSE),IF(LEFT(C54,3)="EST",VLOOKUP(VALUE(RIGHT(C54,3)),'EST-COMP'!B:J,5,FALSE),IF(LEFT(C54,3)="HID",VLOOKUP(VALUE(RIGHT(C54,3)),'HID-COMP'!B:J,5,FALSE),IF(LEFT(C54,3)="INC",VLOOKUP(VALUE(RIGHT(C54,3)),'INC-COMP'!B:J,5,FALSE),IF(LEFT(C54,3)="ELE",VLOOKUP(VALUE(RIGHT(C54,3)),#REF!,5,FALSE),IF(LEFT(C54,3)="CAB",VLOOKUP(VALUE(RIGHT(C54,3)),#REF!,5,FALSE),IF(LEFT(C54,3)="SEG",VLOOKUP(VALUE(RIGHT(C54,3)),'SEG-COMP'!B:J,5,FALSE),IF(LEFT(C54,3)="CLI",VLOOKUP(VALUE(RIGHT(C54,3)),'CLI-COMP'!B:J,5,FALSE),IF(LEFT(C54,4)="IMPL",VLOOKUP(VALUE(RIGHT(C54,3)),'IMPL-COMP'!B:J,5,FALSE),IF(LEFT(C54,4)="SPDA",VLOOKUP(VALUE(RIGHT(C54,3)),'SPDA-COMP'!B:J,5,FALSE),IF(LEFT(C54,4)="SDAI",VLOOKUP(VALUE(RIGHT(C54,3)),'ADM-COMP'!B:J,5,FALSE),IF(LEFT(C54,5)="IMPER",VLOOKUP(VALUE(RIGHT(C54,3)),'IMPER-COMP'!B:J,5,FALSE),""))))))))))))))))</f>
        <v>M3</v>
      </c>
      <c r="F54" s="599">
        <f>ROUND(VLOOKUP(A54,'MEM-LEVANT'!A60:I2647,9,FALSE),2)</f>
        <v>225.8</v>
      </c>
      <c r="G54" s="339">
        <f>IF(B54="IOPES",VLOOKUP(C54,'LABOR-SERVIÇOS'!A:H,7,FALSE),IF(B54="SINAPI",VLOOKUP(C54,'SINAPI-SERVIÇOS'!A:H,8,FALSE),IF(LEFT(C54,3)="ARQ",VLOOKUP(VALUE(RIGHT(C54,3)),'ARQ-COMP'!B:J,9,FALSE),IF(LEFT(C54,3)="SCI",VLOOKUP(VALUE(RIGHT(C54,3)),'GAS-COMP'!#REF!,9,FALSE),IF(LEFT(C54,3)="SCE",VLOOKUP(VALUE(RIGHT(C54,3)),'SCE-COMP'!B:J,9,FALSE),IF(LEFT(C54,3)="EST",VLOOKUP(VALUE(RIGHT(C54,3)),'EST-COMP'!B:J,9,FALSE),IF(LEFT(C54,3)="HID",VLOOKUP(VALUE(RIGHT(C54,3)),'HID-COMP'!B:J,9,FALSE),IF(LEFT(C54,3)="INC",VLOOKUP(VALUE(RIGHT(C54,3)),'INC-COMP'!B:J,9,FALSE),IF(LEFT(C54,3)="ELE",VLOOKUP(VALUE(RIGHT(C54,3)),#REF!,9,FALSE),IF(LEFT(C54,3)="CAB",VLOOKUP(VALUE(RIGHT(C54,3)),#REF!,9,FALSE),IF(LEFT(C54,3)="SEG",VLOOKUP(VALUE(RIGHT(C54,3)),'SEG-COMP'!B:J,9,FALSE),IF(LEFT(C54,3)="CLI",VLOOKUP(VALUE(RIGHT(C54,3)),'CLI-COMP'!B:J,9,FALSE),IF(LEFT(C54,4)="IMPL",VLOOKUP(VALUE(RIGHT(C54,3)),'IMPL-COMP'!B:J,9,FALSE),IF(LEFT(C54,4)="SPDA",VLOOKUP(VALUE(RIGHT(C54,3)),'SPDA-COMP'!B:J,9,FALSE),IF(LEFT(C54,4)="SDAI",VLOOKUP(VALUE(RIGHT(C54,3)),'ADM-COMP'!B:J,9,FALSE),IF(LEFT(C54,5)="IMPER",VLOOKUP(VALUE(RIGHT(C54,3)),'IMPER-COMP'!B:J,9,FALSE),""))))))))))))))))</f>
        <v>48.6</v>
      </c>
      <c r="H54" s="339">
        <f t="shared" si="16"/>
        <v>10973.88</v>
      </c>
      <c r="I54" s="374">
        <f>H54/$H$441</f>
        <v>6.4163825833214228E-4</v>
      </c>
      <c r="J54" s="314"/>
    </row>
    <row r="55" spans="1:10">
      <c r="A55" s="553" t="s">
        <v>27406</v>
      </c>
      <c r="B55" s="554"/>
      <c r="C55" s="555"/>
      <c r="D55" s="556" t="s">
        <v>1161</v>
      </c>
      <c r="E55" s="557"/>
      <c r="F55" s="598"/>
      <c r="G55" s="558"/>
      <c r="H55" s="559"/>
      <c r="I55" s="560"/>
      <c r="J55" s="314"/>
    </row>
    <row r="56" spans="1:10" ht="52.8">
      <c r="A56" s="613" t="s">
        <v>27407</v>
      </c>
      <c r="B56" s="337" t="s">
        <v>2879</v>
      </c>
      <c r="C56" s="540">
        <f>30304</f>
        <v>30304</v>
      </c>
      <c r="D56" s="539" t="str">
        <f>IF(B56="IOPES",VLOOKUP(C56,'LABOR-SERVIÇOS'!A:H,5,FALSE),IF(B56="SINAPI",VLOOKUP(C56,'SINAPI-SERVIÇOS'!A:D,2,FALSE),IF(LEFT(C56,3)="ARQ",VLOOKUP(VALUE(RIGHT(C56,3)),'ARQ-COMP'!B:J,4,FALSE),IF(LEFT(C56,3)="SCI",VLOOKUP(VALUE(RIGHT(C56,3)),'GAS-COMP'!#REF!,4,FALSE),IF(LEFT(C56,3)="SCE",VLOOKUP(VALUE(RIGHT(C56,3)),'SCE-COMP'!B:J,4,FALSE),IF(LEFT(C56,3)="EST",VLOOKUP(VALUE(RIGHT(C56,3)),'EST-COMP'!B:J,4,FALSE),IF(LEFT(C56,3)="HID",VLOOKUP(VALUE(RIGHT(C56,3)),'HID-COMP'!B:J,4,FALSE),IF(LEFT(C56,3)="INC",VLOOKUP(VALUE(RIGHT(C56,3)),'INC-COMP'!B:J,4,FALSE),IF(LEFT(C56,3)="ELE",VLOOKUP(VALUE(RIGHT(C56,3)),#REF!,4,FALSE),IF(LEFT(C56,3)="CAB",VLOOKUP(VALUE(RIGHT(C56,3)),#REF!,4,FALSE),IF(LEFT(C56,3)="SEG",VLOOKUP(VALUE(RIGHT(C56,3)),'SEG-COMP'!B:J,4,FALSE),IF(LEFT(C56,3)="CLI",VLOOKUP(VALUE(RIGHT(C56,3)),'CLI-COMP'!B:J,4,FALSE),IF(LEFT(C56,4)="IMPL",VLOOKUP(VALUE(RIGHT(C56,3)),'IMPL-COMP'!B:J,4,FALSE),IF(LEFT(C56,4)="SPDA",VLOOKUP(VALUE(RIGHT(C56,3)),'SPDA-COMP'!B:J,4,FALSE),IF(LEFT(C56,4)="SDAI",VLOOKUP(VALUE(RIGHT(C56,3)),'ADM-COMP'!B:J,4,FALSE),IF(LEFT(C56,5)="IMPER",VLOOKUP(VALUE(RIGHT(C56,3)),'IMPER-COMP'!B:J,4,FALSE),""))))))))))))))))</f>
        <v>ÍNDICE DE PREÇO PARA REMOÇÃO DE ENTULHO DECORRENTE DA EXECUÇÃO DE OBRAS (CLASSE A CONAMA - NBR 10.004 - CLASSE II-B), INCLUINDO ALUGUEL DA CAÇAMBA, CARGA, TRANSPORTE E DESCARGA EM ÁREA LICENCIADA</v>
      </c>
      <c r="E56" s="338" t="str">
        <f>IF(B56="IOPES",VLOOKUP(C56,'LABOR-SERVIÇOS'!A:H,6,FALSE),IF(B56="SINAPI",VLOOKUP(C56,'SINAPI-SERVIÇOS'!A:D,3,FALSE),IF(LEFT(C56,3)="ARQ",VLOOKUP(VALUE(RIGHT(C56,3)),'ARQ-COMP'!B:J,5,FALSE),IF(LEFT(C56,3)="SCI",VLOOKUP(VALUE(RIGHT(C56,3)),'GAS-COMP'!#REF!,5,FALSE),IF(LEFT(C56,3)="SCE",VLOOKUP(VALUE(RIGHT(C56,3)),'SCE-COMP'!B:J,5,FALSE),IF(LEFT(C56,3)="EST",VLOOKUP(VALUE(RIGHT(C56,3)),'EST-COMP'!B:J,5,FALSE),IF(LEFT(C56,3)="HID",VLOOKUP(VALUE(RIGHT(C56,3)),'HID-COMP'!B:J,5,FALSE),IF(LEFT(C56,3)="INC",VLOOKUP(VALUE(RIGHT(C56,3)),'INC-COMP'!B:J,5,FALSE),IF(LEFT(C56,3)="ELE",VLOOKUP(VALUE(RIGHT(C56,3)),#REF!,5,FALSE),IF(LEFT(C56,3)="CAB",VLOOKUP(VALUE(RIGHT(C56,3)),#REF!,5,FALSE),IF(LEFT(C56,3)="SEG",VLOOKUP(VALUE(RIGHT(C56,3)),'SEG-COMP'!B:J,5,FALSE),IF(LEFT(C56,3)="CLI",VLOOKUP(VALUE(RIGHT(C56,3)),'CLI-COMP'!B:J,5,FALSE),IF(LEFT(C56,4)="IMPL",VLOOKUP(VALUE(RIGHT(C56,3)),'IMPL-COMP'!B:J,5,FALSE),IF(LEFT(C56,4)="SPDA",VLOOKUP(VALUE(RIGHT(C56,3)),'SPDA-COMP'!B:J,5,FALSE),IF(LEFT(C56,4)="SDAI",VLOOKUP(VALUE(RIGHT(C56,3)),'ADM-COMP'!B:J,5,FALSE),IF(LEFT(C56,5)="IMPER",VLOOKUP(VALUE(RIGHT(C56,3)),'IMPER-COMP'!B:J,5,FALSE),""))))))))))))))))</f>
        <v>M3</v>
      </c>
      <c r="F56" s="599">
        <f>ROUND(VLOOKUP(A56,'MEM-LEVANT'!A55:I2642,9,FALSE),2)</f>
        <v>800</v>
      </c>
      <c r="G56" s="339">
        <f>IF(B56="IOPES",VLOOKUP(C56,'LABOR-SERVIÇOS'!A:H,7,FALSE),IF(B56="SINAPI",VLOOKUP(C56,'SINAPI-SERVIÇOS'!A:H,8,FALSE),IF(LEFT(C56,3)="ARQ",VLOOKUP(VALUE(RIGHT(C56,3)),'ARQ-COMP'!B:J,9,FALSE),IF(LEFT(C56,3)="SCI",VLOOKUP(VALUE(RIGHT(C56,3)),'GAS-COMP'!#REF!,9,FALSE),IF(LEFT(C56,3)="SCE",VLOOKUP(VALUE(RIGHT(C56,3)),'SCE-COMP'!B:J,9,FALSE),IF(LEFT(C56,3)="EST",VLOOKUP(VALUE(RIGHT(C56,3)),'EST-COMP'!B:J,9,FALSE),IF(LEFT(C56,3)="HID",VLOOKUP(VALUE(RIGHT(C56,3)),'HID-COMP'!B:J,9,FALSE),IF(LEFT(C56,3)="INC",VLOOKUP(VALUE(RIGHT(C56,3)),'INC-COMP'!B:J,9,FALSE),IF(LEFT(C56,3)="ELE",VLOOKUP(VALUE(RIGHT(C56,3)),#REF!,9,FALSE),IF(LEFT(C56,3)="CAB",VLOOKUP(VALUE(RIGHT(C56,3)),#REF!,9,FALSE),IF(LEFT(C56,3)="SEG",VLOOKUP(VALUE(RIGHT(C56,3)),'SEG-COMP'!B:J,9,FALSE),IF(LEFT(C56,3)="CLI",VLOOKUP(VALUE(RIGHT(C56,3)),'CLI-COMP'!B:J,9,FALSE),IF(LEFT(C56,4)="IMPL",VLOOKUP(VALUE(RIGHT(C56,3)),'IMPL-COMP'!B:J,9,FALSE),IF(LEFT(C56,4)="SPDA",VLOOKUP(VALUE(RIGHT(C56,3)),'SPDA-COMP'!B:J,9,FALSE),IF(LEFT(C56,4)="SDAI",VLOOKUP(VALUE(RIGHT(C56,3)),'ADM-COMP'!B:J,9,FALSE),IF(LEFT(C56,5)="IMPER",VLOOKUP(VALUE(RIGHT(C56,3)),'IMPER-COMP'!B:J,9,FALSE),""))))))))))))))))</f>
        <v>115.11</v>
      </c>
      <c r="H56" s="339">
        <f t="shared" ref="H56" si="17">ROUND(F56*G56,2)</f>
        <v>92088</v>
      </c>
      <c r="I56" s="374">
        <f>H56/$H$441</f>
        <v>5.3843475537631467E-3</v>
      </c>
      <c r="J56" s="314"/>
    </row>
    <row r="57" spans="1:10">
      <c r="A57" s="570"/>
      <c r="B57" s="569"/>
      <c r="C57" s="569"/>
      <c r="D57" s="571" t="s">
        <v>27408</v>
      </c>
      <c r="E57" s="572"/>
      <c r="F57" s="600"/>
      <c r="G57" s="573"/>
      <c r="H57" s="574">
        <f>SUM(H48:H56)</f>
        <v>423072.55000000005</v>
      </c>
      <c r="I57" s="575">
        <f>H57/$H$441</f>
        <v>2.4736878308322875E-2</v>
      </c>
      <c r="J57" s="314"/>
    </row>
    <row r="58" spans="1:10">
      <c r="A58" s="613"/>
      <c r="B58" s="337"/>
      <c r="C58" s="337"/>
      <c r="D58" s="539"/>
      <c r="E58" s="338"/>
      <c r="F58" s="599"/>
      <c r="G58" s="339"/>
      <c r="H58" s="339"/>
      <c r="I58" s="374"/>
      <c r="J58" s="314"/>
    </row>
    <row r="59" spans="1:10">
      <c r="A59" s="561" t="s">
        <v>8</v>
      </c>
      <c r="B59" s="562"/>
      <c r="C59" s="563"/>
      <c r="D59" s="564" t="s">
        <v>1165</v>
      </c>
      <c r="E59" s="565"/>
      <c r="F59" s="597"/>
      <c r="G59" s="566"/>
      <c r="H59" s="567"/>
      <c r="I59" s="568"/>
      <c r="J59" s="314"/>
    </row>
    <row r="60" spans="1:10" ht="15.75" customHeight="1">
      <c r="A60" s="553" t="s">
        <v>39</v>
      </c>
      <c r="B60" s="554"/>
      <c r="C60" s="555"/>
      <c r="D60" s="556" t="s">
        <v>1166</v>
      </c>
      <c r="E60" s="557"/>
      <c r="F60" s="598"/>
      <c r="G60" s="558"/>
      <c r="H60" s="559"/>
      <c r="I60" s="560"/>
      <c r="J60" s="314"/>
    </row>
    <row r="61" spans="1:10" ht="39.6">
      <c r="A61" s="613" t="s">
        <v>40</v>
      </c>
      <c r="B61" s="337" t="s">
        <v>2879</v>
      </c>
      <c r="C61" s="540">
        <f>40231</f>
        <v>40231</v>
      </c>
      <c r="D61" s="539" t="str">
        <f>IF(B61="IOPES",VLOOKUP(C61,'LABOR-SERVIÇOS'!A:H,5,FALSE),IF(B61="SINAPI",VLOOKUP(C61,'SINAPI-SERVIÇOS'!A:D,2,FALSE),IF(LEFT(C61,3)="ARQ",VLOOKUP(VALUE(RIGHT(C61,3)),'ARQ-COMP'!B:J,4,FALSE),IF(LEFT(C61,3)="SCI",VLOOKUP(VALUE(RIGHT(C61,3)),'GAS-COMP'!#REF!,4,FALSE),IF(LEFT(C61,3)="SCE",VLOOKUP(VALUE(RIGHT(C61,3)),'SCE-COMP'!B:J,4,FALSE),IF(LEFT(C61,3)="EST",VLOOKUP(VALUE(RIGHT(C61,3)),'EST-COMP'!B:J,4,FALSE),IF(LEFT(C61,3)="HID",VLOOKUP(VALUE(RIGHT(C61,3)),'HID-COMP'!B:J,4,FALSE),IF(LEFT(C61,3)="INC",VLOOKUP(VALUE(RIGHT(C61,3)),'INC-COMP'!B:J,4,FALSE),IF(LEFT(C61,3)="ELE",VLOOKUP(VALUE(RIGHT(C61,3)),#REF!,4,FALSE),IF(LEFT(C61,3)="CAB",VLOOKUP(VALUE(RIGHT(C61,3)),#REF!,4,FALSE),IF(LEFT(C61,3)="SEG",VLOOKUP(VALUE(RIGHT(C61,3)),'SEG-COMP'!B:J,4,FALSE),IF(LEFT(C61,3)="CLI",VLOOKUP(VALUE(RIGHT(C61,3)),'CLI-COMP'!B:J,4,FALSE),IF(LEFT(C61,4)="IMPL",VLOOKUP(VALUE(RIGHT(C61,3)),'IMPL-COMP'!B:J,4,FALSE),IF(LEFT(C61,4)="SPDA",VLOOKUP(VALUE(RIGHT(C61,3)),'SPDA-COMP'!B:J,4,FALSE),IF(LEFT(C61,4)="SDAI",VLOOKUP(VALUE(RIGHT(C61,3)),'ADM-COMP'!B:J,4,FALSE),IF(LEFT(C61,5)="IMPER",VLOOKUP(VALUE(RIGHT(C61,3)),'IMPER-COMP'!B:J,4,FALSE),""))))))))))))))))</f>
        <v>FORNECIMENTO, PREPARO E APLICAÇÃO DE CONCRETO MAGRO COM CONSUMO MÍNIMO DE CIMENTO DE 250 KG/M3 (BRITA 1 E 2) - (5% DE PERDAS JÁ INCLUÍDO NO CUSTO)</v>
      </c>
      <c r="E61" s="338" t="str">
        <f>IF(B61="IOPES",VLOOKUP(C61,'LABOR-SERVIÇOS'!A:H,6,FALSE),IF(B61="SINAPI",VLOOKUP(C61,'SINAPI-SERVIÇOS'!A:D,3,FALSE),IF(LEFT(C61,3)="ARQ",VLOOKUP(VALUE(RIGHT(C61,3)),'ARQ-COMP'!B:J,5,FALSE),IF(LEFT(C61,3)="SCI",VLOOKUP(VALUE(RIGHT(C61,3)),'GAS-COMP'!#REF!,5,FALSE),IF(LEFT(C61,3)="SCE",VLOOKUP(VALUE(RIGHT(C61,3)),'SCE-COMP'!B:J,5,FALSE),IF(LEFT(C61,3)="EST",VLOOKUP(VALUE(RIGHT(C61,3)),'EST-COMP'!B:J,5,FALSE),IF(LEFT(C61,3)="HID",VLOOKUP(VALUE(RIGHT(C61,3)),'HID-COMP'!B:J,5,FALSE),IF(LEFT(C61,3)="INC",VLOOKUP(VALUE(RIGHT(C61,3)),'INC-COMP'!B:J,5,FALSE),IF(LEFT(C61,3)="ELE",VLOOKUP(VALUE(RIGHT(C61,3)),#REF!,5,FALSE),IF(LEFT(C61,3)="CAB",VLOOKUP(VALUE(RIGHT(C61,3)),#REF!,5,FALSE),IF(LEFT(C61,3)="SEG",VLOOKUP(VALUE(RIGHT(C61,3)),'SEG-COMP'!B:J,5,FALSE),IF(LEFT(C61,3)="CLI",VLOOKUP(VALUE(RIGHT(C61,3)),'CLI-COMP'!B:J,5,FALSE),IF(LEFT(C61,4)="IMPL",VLOOKUP(VALUE(RIGHT(C61,3)),'IMPL-COMP'!B:J,5,FALSE),IF(LEFT(C61,4)="SPDA",VLOOKUP(VALUE(RIGHT(C61,3)),'SPDA-COMP'!B:J,5,FALSE),IF(LEFT(C61,4)="SDAI",VLOOKUP(VALUE(RIGHT(C61,3)),'ADM-COMP'!B:J,5,FALSE),IF(LEFT(C61,5)="IMPER",VLOOKUP(VALUE(RIGHT(C61,3)),'IMPER-COMP'!B:J,5,FALSE),""))))))))))))))))</f>
        <v>M3</v>
      </c>
      <c r="F61" s="599">
        <f>ROUND(VLOOKUP(A61,'MEM-LEVANT'!A61:I2648,9,FALSE),2)</f>
        <v>21.25</v>
      </c>
      <c r="G61" s="339">
        <f>IF(B61="IOPES",VLOOKUP(C61,'LABOR-SERVIÇOS'!A:H,7,FALSE),IF(B61="SINAPI",VLOOKUP(C61,'SINAPI-SERVIÇOS'!A:H,8,FALSE),IF(LEFT(C61,3)="ARQ",VLOOKUP(VALUE(RIGHT(C61,3)),'ARQ-COMP'!B:J,9,FALSE),IF(LEFT(C61,3)="SCI",VLOOKUP(VALUE(RIGHT(C61,3)),'GAS-COMP'!#REF!,9,FALSE),IF(LEFT(C61,3)="SCE",VLOOKUP(VALUE(RIGHT(C61,3)),'SCE-COMP'!B:J,9,FALSE),IF(LEFT(C61,3)="EST",VLOOKUP(VALUE(RIGHT(C61,3)),'EST-COMP'!B:J,9,FALSE),IF(LEFT(C61,3)="HID",VLOOKUP(VALUE(RIGHT(C61,3)),'HID-COMP'!B:J,9,FALSE),IF(LEFT(C61,3)="INC",VLOOKUP(VALUE(RIGHT(C61,3)),'INC-COMP'!B:J,9,FALSE),IF(LEFT(C61,3)="ELE",VLOOKUP(VALUE(RIGHT(C61,3)),#REF!,9,FALSE),IF(LEFT(C61,3)="CAB",VLOOKUP(VALUE(RIGHT(C61,3)),#REF!,9,FALSE),IF(LEFT(C61,3)="SEG",VLOOKUP(VALUE(RIGHT(C61,3)),'SEG-COMP'!B:J,9,FALSE),IF(LEFT(C61,3)="CLI",VLOOKUP(VALUE(RIGHT(C61,3)),'CLI-COMP'!B:J,9,FALSE),IF(LEFT(C61,4)="IMPL",VLOOKUP(VALUE(RIGHT(C61,3)),'IMPL-COMP'!B:J,9,FALSE),IF(LEFT(C61,4)="SPDA",VLOOKUP(VALUE(RIGHT(C61,3)),'SPDA-COMP'!B:J,9,FALSE),IF(LEFT(C61,4)="SDAI",VLOOKUP(VALUE(RIGHT(C61,3)),'ADM-COMP'!B:J,9,FALSE),IF(LEFT(C61,5)="IMPER",VLOOKUP(VALUE(RIGHT(C61,3)),'IMPER-COMP'!B:J,9,FALSE),""))))))))))))))))</f>
        <v>936.49</v>
      </c>
      <c r="H61" s="339">
        <f t="shared" ref="H61" si="18">ROUND(F61*G61,2)</f>
        <v>19900.41</v>
      </c>
      <c r="I61" s="374">
        <f t="shared" ref="I61:I66" si="19">H61/$H$441</f>
        <v>1.1635688026928987E-3</v>
      </c>
      <c r="J61" s="314"/>
    </row>
    <row r="62" spans="1:10" ht="39.6">
      <c r="A62" s="613" t="s">
        <v>7380</v>
      </c>
      <c r="B62" s="337" t="s">
        <v>2879</v>
      </c>
      <c r="C62" s="540">
        <f>40250</f>
        <v>40250</v>
      </c>
      <c r="D62" s="539" t="str">
        <f>IF(B62="IOPES",VLOOKUP(C62,'LABOR-SERVIÇOS'!A:H,5,FALSE),IF(B62="SINAPI",VLOOKUP(C62,'SINAPI-SERVIÇOS'!A:D,2,FALSE),IF(LEFT(C62,3)="ARQ",VLOOKUP(VALUE(RIGHT(C62,3)),'ARQ-COMP'!B:J,4,FALSE),IF(LEFT(C62,3)="SCI",VLOOKUP(VALUE(RIGHT(C62,3)),'GAS-COMP'!#REF!,4,FALSE),IF(LEFT(C62,3)="SCE",VLOOKUP(VALUE(RIGHT(C62,3)),'SCE-COMP'!B:J,4,FALSE),IF(LEFT(C62,3)="EST",VLOOKUP(VALUE(RIGHT(C62,3)),'EST-COMP'!B:J,4,FALSE),IF(LEFT(C62,3)="HID",VLOOKUP(VALUE(RIGHT(C62,3)),'HID-COMP'!B:J,4,FALSE),IF(LEFT(C62,3)="INC",VLOOKUP(VALUE(RIGHT(C62,3)),'INC-COMP'!B:J,4,FALSE),IF(LEFT(C62,3)="ELE",VLOOKUP(VALUE(RIGHT(C62,3)),#REF!,4,FALSE),IF(LEFT(C62,3)="CAB",VLOOKUP(VALUE(RIGHT(C62,3)),#REF!,4,FALSE),IF(LEFT(C62,3)="SEG",VLOOKUP(VALUE(RIGHT(C62,3)),'SEG-COMP'!B:J,4,FALSE),IF(LEFT(C62,3)="CLI",VLOOKUP(VALUE(RIGHT(C62,3)),'CLI-COMP'!B:J,4,FALSE),IF(LEFT(C62,4)="IMPL",VLOOKUP(VALUE(RIGHT(C62,3)),'IMPL-COMP'!B:J,4,FALSE),IF(LEFT(C62,4)="SPDA",VLOOKUP(VALUE(RIGHT(C62,3)),'SPDA-COMP'!B:J,4,FALSE),IF(LEFT(C62,4)="SDAI",VLOOKUP(VALUE(RIGHT(C62,3)),'ADM-COMP'!B:J,4,FALSE),IF(LEFT(C62,5)="IMPER",VLOOKUP(VALUE(RIGHT(C62,3)),'IMPER-COMP'!B:J,4,FALSE),""))))))))))))))))</f>
        <v>FÔRMA DE TÁBUA DE MADEIRA DE 2.5X30.0CM, LEVANDO-SE EM CONTA UTILIZAÇÃO 3 VEZES (INCLUINDO O MATERIAL, CORTE, MONTAGEM, ESCORAMENTO E DESFORMA)</v>
      </c>
      <c r="E62" s="338" t="str">
        <f>IF(B62="IOPES",VLOOKUP(C62,'LABOR-SERVIÇOS'!A:H,6,FALSE),IF(B62="SINAPI",VLOOKUP(C62,'SINAPI-SERVIÇOS'!A:D,3,FALSE),IF(LEFT(C62,3)="ARQ",VLOOKUP(VALUE(RIGHT(C62,3)),'ARQ-COMP'!B:J,5,FALSE),IF(LEFT(C62,3)="SCI",VLOOKUP(VALUE(RIGHT(C62,3)),'GAS-COMP'!#REF!,5,FALSE),IF(LEFT(C62,3)="SCE",VLOOKUP(VALUE(RIGHT(C62,3)),'SCE-COMP'!B:J,5,FALSE),IF(LEFT(C62,3)="EST",VLOOKUP(VALUE(RIGHT(C62,3)),'EST-COMP'!B:J,5,FALSE),IF(LEFT(C62,3)="HID",VLOOKUP(VALUE(RIGHT(C62,3)),'HID-COMP'!B:J,5,FALSE),IF(LEFT(C62,3)="INC",VLOOKUP(VALUE(RIGHT(C62,3)),'INC-COMP'!B:J,5,FALSE),IF(LEFT(C62,3)="ELE",VLOOKUP(VALUE(RIGHT(C62,3)),#REF!,5,FALSE),IF(LEFT(C62,3)="CAB",VLOOKUP(VALUE(RIGHT(C62,3)),#REF!,5,FALSE),IF(LEFT(C62,3)="SEG",VLOOKUP(VALUE(RIGHT(C62,3)),'SEG-COMP'!B:J,5,FALSE),IF(LEFT(C62,3)="CLI",VLOOKUP(VALUE(RIGHT(C62,3)),'CLI-COMP'!B:J,5,FALSE),IF(LEFT(C62,4)="IMPL",VLOOKUP(VALUE(RIGHT(C62,3)),'IMPL-COMP'!B:J,5,FALSE),IF(LEFT(C62,4)="SPDA",VLOOKUP(VALUE(RIGHT(C62,3)),'SPDA-COMP'!B:J,5,FALSE),IF(LEFT(C62,4)="SDAI",VLOOKUP(VALUE(RIGHT(C62,3)),'ADM-COMP'!B:J,5,FALSE),IF(LEFT(C62,5)="IMPER",VLOOKUP(VALUE(RIGHT(C62,3)),'IMPER-COMP'!B:J,5,FALSE),""))))))))))))))))</f>
        <v>M2</v>
      </c>
      <c r="F62" s="599">
        <f>ROUND(VLOOKUP(A62,'MEM-LEVANT'!A62:I2649,9,FALSE),2)</f>
        <v>1142.28</v>
      </c>
      <c r="G62" s="339">
        <f>IF(B62="IOPES",VLOOKUP(C62,'LABOR-SERVIÇOS'!A:H,7,FALSE),IF(B62="SINAPI",VLOOKUP(C62,'SINAPI-SERVIÇOS'!A:H,8,FALSE),IF(LEFT(C62,3)="ARQ",VLOOKUP(VALUE(RIGHT(C62,3)),'ARQ-COMP'!B:J,9,FALSE),IF(LEFT(C62,3)="SCI",VLOOKUP(VALUE(RIGHT(C62,3)),'GAS-COMP'!#REF!,9,FALSE),IF(LEFT(C62,3)="SCE",VLOOKUP(VALUE(RIGHT(C62,3)),'SCE-COMP'!B:J,9,FALSE),IF(LEFT(C62,3)="EST",VLOOKUP(VALUE(RIGHT(C62,3)),'EST-COMP'!B:J,9,FALSE),IF(LEFT(C62,3)="HID",VLOOKUP(VALUE(RIGHT(C62,3)),'HID-COMP'!B:J,9,FALSE),IF(LEFT(C62,3)="INC",VLOOKUP(VALUE(RIGHT(C62,3)),'INC-COMP'!B:J,9,FALSE),IF(LEFT(C62,3)="ELE",VLOOKUP(VALUE(RIGHT(C62,3)),#REF!,9,FALSE),IF(LEFT(C62,3)="CAB",VLOOKUP(VALUE(RIGHT(C62,3)),#REF!,9,FALSE),IF(LEFT(C62,3)="SEG",VLOOKUP(VALUE(RIGHT(C62,3)),'SEG-COMP'!B:J,9,FALSE),IF(LEFT(C62,3)="CLI",VLOOKUP(VALUE(RIGHT(C62,3)),'CLI-COMP'!B:J,9,FALSE),IF(LEFT(C62,4)="IMPL",VLOOKUP(VALUE(RIGHT(C62,3)),'IMPL-COMP'!B:J,9,FALSE),IF(LEFT(C62,4)="SPDA",VLOOKUP(VALUE(RIGHT(C62,3)),'SPDA-COMP'!B:J,9,FALSE),IF(LEFT(C62,4)="SDAI",VLOOKUP(VALUE(RIGHT(C62,3)),'ADM-COMP'!B:J,9,FALSE),IF(LEFT(C62,5)="IMPER",VLOOKUP(VALUE(RIGHT(C62,3)),'IMPER-COMP'!B:J,9,FALSE),""))))))))))))))))</f>
        <v>134.06</v>
      </c>
      <c r="H62" s="339">
        <f t="shared" ref="H62" si="20">ROUND(F62*G62,2)</f>
        <v>153134.06</v>
      </c>
      <c r="I62" s="374">
        <f t="shared" si="19"/>
        <v>8.953685619829066E-3</v>
      </c>
      <c r="J62" s="314"/>
    </row>
    <row r="63" spans="1:10" ht="39.6">
      <c r="A63" s="613" t="s">
        <v>7381</v>
      </c>
      <c r="B63" s="337" t="s">
        <v>2879</v>
      </c>
      <c r="C63" s="540">
        <v>40253</v>
      </c>
      <c r="D63" s="539" t="str">
        <f>IF(B63="IOPES",VLOOKUP(C63,'LABOR-SERVIÇOS'!A:H,5,FALSE),IF(B63="SINAPI",VLOOKUP(C63,'SINAPI-SERVIÇOS'!A:D,2,FALSE),IF(LEFT(C63,3)="ARQ",VLOOKUP(VALUE(RIGHT(C63,3)),'ARQ-COMP'!B:J,4,FALSE),IF(LEFT(C63,3)="SCI",VLOOKUP(VALUE(RIGHT(C63,3)),'GAS-COMP'!#REF!,4,FALSE),IF(LEFT(C63,3)="SCE",VLOOKUP(VALUE(RIGHT(C63,3)),'SCE-COMP'!B:J,4,FALSE),IF(LEFT(C63,3)="EST",VLOOKUP(VALUE(RIGHT(C63,3)),'EST-COMP'!B:J,4,FALSE),IF(LEFT(C63,3)="HID",VLOOKUP(VALUE(RIGHT(C63,3)),'HID-COMP'!B:J,4,FALSE),IF(LEFT(C63,3)="INC",VLOOKUP(VALUE(RIGHT(C63,3)),'INC-COMP'!B:J,4,FALSE),IF(LEFT(C63,3)="ELE",VLOOKUP(VALUE(RIGHT(C63,3)),#REF!,4,FALSE),IF(LEFT(C63,3)="CAB",VLOOKUP(VALUE(RIGHT(C63,3)),#REF!,4,FALSE),IF(LEFT(C63,3)="SEG",VLOOKUP(VALUE(RIGHT(C63,3)),'SEG-COMP'!B:J,4,FALSE),IF(LEFT(C63,3)="CLI",VLOOKUP(VALUE(RIGHT(C63,3)),'CLI-COMP'!B:J,4,FALSE),IF(LEFT(C63,4)="IMPL",VLOOKUP(VALUE(RIGHT(C63,3)),'IMPL-COMP'!B:J,4,FALSE),IF(LEFT(C63,4)="SPDA",VLOOKUP(VALUE(RIGHT(C63,3)),'SPDA-COMP'!B:J,4,FALSE),IF(LEFT(C63,4)="SDAI",VLOOKUP(VALUE(RIGHT(C63,3)),'ADM-COMP'!B:J,4,FALSE),IF(LEFT(C63,5)="IMPER",VLOOKUP(VALUE(RIGHT(C63,3)),'IMPER-COMP'!B:J,4,FALSE),""))))))))))))))))</f>
        <v>FORNECIMENTO E APLICAÇÃO DE CONCRETO USINADO FCK=30 MPA - CONSIDERANDO LANÇAMENTO MANUAL PARA INFRA-ESTRUTURA (5% DE PERDAS JÁ INCLUÍDO NO CUSTO)</v>
      </c>
      <c r="E63" s="338" t="str">
        <f>IF(B63="IOPES",VLOOKUP(C63,'LABOR-SERVIÇOS'!A:H,6,FALSE),IF(B63="SINAPI",VLOOKUP(C63,'SINAPI-SERVIÇOS'!A:D,3,FALSE),IF(LEFT(C63,3)="ARQ",VLOOKUP(VALUE(RIGHT(C63,3)),'ARQ-COMP'!B:J,5,FALSE),IF(LEFT(C63,3)="SCI",VLOOKUP(VALUE(RIGHT(C63,3)),'GAS-COMP'!#REF!,5,FALSE),IF(LEFT(C63,3)="SCE",VLOOKUP(VALUE(RIGHT(C63,3)),'SCE-COMP'!B:J,5,FALSE),IF(LEFT(C63,3)="EST",VLOOKUP(VALUE(RIGHT(C63,3)),'EST-COMP'!B:J,5,FALSE),IF(LEFT(C63,3)="HID",VLOOKUP(VALUE(RIGHT(C63,3)),'HID-COMP'!B:J,5,FALSE),IF(LEFT(C63,3)="INC",VLOOKUP(VALUE(RIGHT(C63,3)),'INC-COMP'!B:J,5,FALSE),IF(LEFT(C63,3)="ELE",VLOOKUP(VALUE(RIGHT(C63,3)),#REF!,5,FALSE),IF(LEFT(C63,3)="CAB",VLOOKUP(VALUE(RIGHT(C63,3)),#REF!,5,FALSE),IF(LEFT(C63,3)="SEG",VLOOKUP(VALUE(RIGHT(C63,3)),'SEG-COMP'!B:J,5,FALSE),IF(LEFT(C63,3)="CLI",VLOOKUP(VALUE(RIGHT(C63,3)),'CLI-COMP'!B:J,5,FALSE),IF(LEFT(C63,4)="IMPL",VLOOKUP(VALUE(RIGHT(C63,3)),'IMPL-COMP'!B:J,5,FALSE),IF(LEFT(C63,4)="SPDA",VLOOKUP(VALUE(RIGHT(C63,3)),'SPDA-COMP'!B:J,5,FALSE),IF(LEFT(C63,4)="SDAI",VLOOKUP(VALUE(RIGHT(C63,3)),'ADM-COMP'!B:J,5,FALSE),IF(LEFT(C63,5)="IMPER",VLOOKUP(VALUE(RIGHT(C63,3)),'IMPER-COMP'!B:J,5,FALSE),""))))))))))))))))</f>
        <v>M3</v>
      </c>
      <c r="F63" s="599">
        <f>ROUND(VLOOKUP(A63,'MEM-LEVANT'!A66:I2653,9,FALSE),2)</f>
        <v>414.5</v>
      </c>
      <c r="G63" s="339">
        <f>IF(B63="IOPES",VLOOKUP(C63,'LABOR-SERVIÇOS'!A:H,7,FALSE),IF(B63="SINAPI",VLOOKUP(C63,'SINAPI-SERVIÇOS'!A:H,8,FALSE),IF(LEFT(C63,3)="ARQ",VLOOKUP(VALUE(RIGHT(C63,3)),'ARQ-COMP'!B:J,9,FALSE),IF(LEFT(C63,3)="SCI",VLOOKUP(VALUE(RIGHT(C63,3)),'GAS-COMP'!#REF!,9,FALSE),IF(LEFT(C63,3)="SCE",VLOOKUP(VALUE(RIGHT(C63,3)),'SCE-COMP'!B:J,9,FALSE),IF(LEFT(C63,3)="EST",VLOOKUP(VALUE(RIGHT(C63,3)),'EST-COMP'!B:J,9,FALSE),IF(LEFT(C63,3)="HID",VLOOKUP(VALUE(RIGHT(C63,3)),'HID-COMP'!B:J,9,FALSE),IF(LEFT(C63,3)="INC",VLOOKUP(VALUE(RIGHT(C63,3)),'INC-COMP'!B:J,9,FALSE),IF(LEFT(C63,3)="ELE",VLOOKUP(VALUE(RIGHT(C63,3)),#REF!,9,FALSE),IF(LEFT(C63,3)="CAB",VLOOKUP(VALUE(RIGHT(C63,3)),#REF!,9,FALSE),IF(LEFT(C63,3)="SEG",VLOOKUP(VALUE(RIGHT(C63,3)),'SEG-COMP'!B:J,9,FALSE),IF(LEFT(C63,3)="CLI",VLOOKUP(VALUE(RIGHT(C63,3)),'CLI-COMP'!B:J,9,FALSE),IF(LEFT(C63,4)="IMPL",VLOOKUP(VALUE(RIGHT(C63,3)),'IMPL-COMP'!B:J,9,FALSE),IF(LEFT(C63,4)="SPDA",VLOOKUP(VALUE(RIGHT(C63,3)),'SPDA-COMP'!B:J,9,FALSE),IF(LEFT(C63,4)="SDAI",VLOOKUP(VALUE(RIGHT(C63,3)),'ADM-COMP'!B:J,9,FALSE),IF(LEFT(C63,5)="IMPER",VLOOKUP(VALUE(RIGHT(C63,3)),'IMPER-COMP'!B:J,9,FALSE),""))))))))))))))))</f>
        <v>1006.02</v>
      </c>
      <c r="H63" s="339">
        <f t="shared" ref="H63:H66" si="21">ROUND(F63*G63,2)</f>
        <v>416995.29</v>
      </c>
      <c r="I63" s="374">
        <f t="shared" si="19"/>
        <v>2.4381543411109523E-2</v>
      </c>
      <c r="J63" s="314"/>
    </row>
    <row r="64" spans="1:10" ht="26.4">
      <c r="A64" s="613" t="s">
        <v>7506</v>
      </c>
      <c r="B64" s="337" t="s">
        <v>2879</v>
      </c>
      <c r="C64" s="540">
        <f>40243</f>
        <v>40243</v>
      </c>
      <c r="D64" s="539" t="str">
        <f>IF(B64="IOPES",VLOOKUP(C64,'LABOR-SERVIÇOS'!A:H,5,FALSE),IF(B64="SINAPI",VLOOKUP(C64,'SINAPI-SERVIÇOS'!A:D,2,FALSE),IF(LEFT(C64,3)="ARQ",VLOOKUP(VALUE(RIGHT(C64,3)),'ARQ-COMP'!B:J,4,FALSE),IF(LEFT(C64,3)="SCI",VLOOKUP(VALUE(RIGHT(C64,3)),'GAS-COMP'!#REF!,4,FALSE),IF(LEFT(C64,3)="SCE",VLOOKUP(VALUE(RIGHT(C64,3)),'SCE-COMP'!B:J,4,FALSE),IF(LEFT(C64,3)="EST",VLOOKUP(VALUE(RIGHT(C64,3)),'EST-COMP'!B:J,4,FALSE),IF(LEFT(C64,3)="HID",VLOOKUP(VALUE(RIGHT(C64,3)),'HID-COMP'!B:J,4,FALSE),IF(LEFT(C64,3)="INC",VLOOKUP(VALUE(RIGHT(C64,3)),'INC-COMP'!B:J,4,FALSE),IF(LEFT(C64,3)="ELE",VLOOKUP(VALUE(RIGHT(C64,3)),#REF!,4,FALSE),IF(LEFT(C64,3)="CAB",VLOOKUP(VALUE(RIGHT(C64,3)),#REF!,4,FALSE),IF(LEFT(C64,3)="SEG",VLOOKUP(VALUE(RIGHT(C64,3)),'SEG-COMP'!B:J,4,FALSE),IF(LEFT(C64,3)="CLI",VLOOKUP(VALUE(RIGHT(C64,3)),'CLI-COMP'!B:J,4,FALSE),IF(LEFT(C64,4)="IMPL",VLOOKUP(VALUE(RIGHT(C64,3)),'IMPL-COMP'!B:J,4,FALSE),IF(LEFT(C64,4)="SPDA",VLOOKUP(VALUE(RIGHT(C64,3)),'SPDA-COMP'!B:J,4,FALSE),IF(LEFT(C64,4)="SDAI",VLOOKUP(VALUE(RIGHT(C64,3)),'ADM-COMP'!B:J,4,FALSE),IF(LEFT(C64,5)="IMPER",VLOOKUP(VALUE(RIGHT(C64,3)),'IMPER-COMP'!B:J,4,FALSE),""))))))))))))))))</f>
        <v>FORNECIMENTO, DOBRAGEM E COLOCAÇÃO EM FÔRMA, DE ARMADURA CA-50 A MÉDIA, DIÂMETRO DE 6.3 A 10.0 MM</v>
      </c>
      <c r="E64" s="338" t="str">
        <f>IF(B64="IOPES",VLOOKUP(C64,'LABOR-SERVIÇOS'!A:H,6,FALSE),IF(B64="SINAPI",VLOOKUP(C64,'SINAPI-SERVIÇOS'!A:D,3,FALSE),IF(LEFT(C64,3)="ARQ",VLOOKUP(VALUE(RIGHT(C64,3)),'ARQ-COMP'!B:J,5,FALSE),IF(LEFT(C64,3)="SCI",VLOOKUP(VALUE(RIGHT(C64,3)),'GAS-COMP'!#REF!,5,FALSE),IF(LEFT(C64,3)="SCE",VLOOKUP(VALUE(RIGHT(C64,3)),'SCE-COMP'!B:J,5,FALSE),IF(LEFT(C64,3)="EST",VLOOKUP(VALUE(RIGHT(C64,3)),'EST-COMP'!B:J,5,FALSE),IF(LEFT(C64,3)="HID",VLOOKUP(VALUE(RIGHT(C64,3)),'HID-COMP'!B:J,5,FALSE),IF(LEFT(C64,3)="INC",VLOOKUP(VALUE(RIGHT(C64,3)),'INC-COMP'!B:J,5,FALSE),IF(LEFT(C64,3)="ELE",VLOOKUP(VALUE(RIGHT(C64,3)),#REF!,5,FALSE),IF(LEFT(C64,3)="CAB",VLOOKUP(VALUE(RIGHT(C64,3)),#REF!,5,FALSE),IF(LEFT(C64,3)="SEG",VLOOKUP(VALUE(RIGHT(C64,3)),'SEG-COMP'!B:J,5,FALSE),IF(LEFT(C64,3)="CLI",VLOOKUP(VALUE(RIGHT(C64,3)),'CLI-COMP'!B:J,5,FALSE),IF(LEFT(C64,4)="IMPL",VLOOKUP(VALUE(RIGHT(C64,3)),'IMPL-COMP'!B:J,5,FALSE),IF(LEFT(C64,4)="SPDA",VLOOKUP(VALUE(RIGHT(C64,3)),'SPDA-COMP'!B:J,5,FALSE),IF(LEFT(C64,4)="SDAI",VLOOKUP(VALUE(RIGHT(C64,3)),'ADM-COMP'!B:J,5,FALSE),IF(LEFT(C64,5)="IMPER",VLOOKUP(VALUE(RIGHT(C64,3)),'IMPER-COMP'!B:J,5,FALSE),""))))))))))))))))</f>
        <v>KG</v>
      </c>
      <c r="F64" s="599">
        <f>ROUND(VLOOKUP(A64,'MEM-LEVANT'!A64:I2651,9,FALSE),2)</f>
        <v>1913.58</v>
      </c>
      <c r="G64" s="339">
        <f>IF(B64="IOPES",VLOOKUP(C64,'LABOR-SERVIÇOS'!A:H,7,FALSE),IF(B64="SINAPI",VLOOKUP(C64,'SINAPI-SERVIÇOS'!A:H,8,FALSE),IF(LEFT(C64,3)="ARQ",VLOOKUP(VALUE(RIGHT(C64,3)),'ARQ-COMP'!B:J,9,FALSE),IF(LEFT(C64,3)="SCI",VLOOKUP(VALUE(RIGHT(C64,3)),'GAS-COMP'!#REF!,9,FALSE),IF(LEFT(C64,3)="SCE",VLOOKUP(VALUE(RIGHT(C64,3)),'SCE-COMP'!B:J,9,FALSE),IF(LEFT(C64,3)="EST",VLOOKUP(VALUE(RIGHT(C64,3)),'EST-COMP'!B:J,9,FALSE),IF(LEFT(C64,3)="HID",VLOOKUP(VALUE(RIGHT(C64,3)),'HID-COMP'!B:J,9,FALSE),IF(LEFT(C64,3)="INC",VLOOKUP(VALUE(RIGHT(C64,3)),'INC-COMP'!B:J,9,FALSE),IF(LEFT(C64,3)="ELE",VLOOKUP(VALUE(RIGHT(C64,3)),#REF!,9,FALSE),IF(LEFT(C64,3)="CAB",VLOOKUP(VALUE(RIGHT(C64,3)),#REF!,9,FALSE),IF(LEFT(C64,3)="SEG",VLOOKUP(VALUE(RIGHT(C64,3)),'SEG-COMP'!B:J,9,FALSE),IF(LEFT(C64,3)="CLI",VLOOKUP(VALUE(RIGHT(C64,3)),'CLI-COMP'!B:J,9,FALSE),IF(LEFT(C64,4)="IMPL",VLOOKUP(VALUE(RIGHT(C64,3)),'IMPL-COMP'!B:J,9,FALSE),IF(LEFT(C64,4)="SPDA",VLOOKUP(VALUE(RIGHT(C64,3)),'SPDA-COMP'!B:J,9,FALSE),IF(LEFT(C64,4)="SDAI",VLOOKUP(VALUE(RIGHT(C64,3)),'ADM-COMP'!B:J,9,FALSE),IF(LEFT(C64,5)="IMPER",VLOOKUP(VALUE(RIGHT(C64,3)),'IMPER-COMP'!B:J,9,FALSE),""))))))))))))))))</f>
        <v>15.42</v>
      </c>
      <c r="H64" s="339">
        <f t="shared" si="21"/>
        <v>29507.4</v>
      </c>
      <c r="I64" s="374">
        <f t="shared" si="19"/>
        <v>1.7252855638944346E-3</v>
      </c>
      <c r="J64" s="314"/>
    </row>
    <row r="65" spans="1:10" ht="39.6">
      <c r="A65" s="613" t="s">
        <v>7990</v>
      </c>
      <c r="B65" s="337" t="s">
        <v>2879</v>
      </c>
      <c r="C65" s="540">
        <f>40245</f>
        <v>40245</v>
      </c>
      <c r="D65" s="539" t="str">
        <f>IF(B65="IOPES",VLOOKUP(C65,'LABOR-SERVIÇOS'!A:H,5,FALSE),IF(B65="SINAPI",VLOOKUP(C65,'SINAPI-SERVIÇOS'!A:D,2,FALSE),IF(LEFT(C65,3)="ARQ",VLOOKUP(VALUE(RIGHT(C65,3)),'ARQ-COMP'!B:J,4,FALSE),IF(LEFT(C65,3)="SCI",VLOOKUP(VALUE(RIGHT(C65,3)),'GAS-COMP'!#REF!,4,FALSE),IF(LEFT(C65,3)="SCE",VLOOKUP(VALUE(RIGHT(C65,3)),'SCE-COMP'!B:J,4,FALSE),IF(LEFT(C65,3)="EST",VLOOKUP(VALUE(RIGHT(C65,3)),'EST-COMP'!B:J,4,FALSE),IF(LEFT(C65,3)="HID",VLOOKUP(VALUE(RIGHT(C65,3)),'HID-COMP'!B:J,4,FALSE),IF(LEFT(C65,3)="INC",VLOOKUP(VALUE(RIGHT(C65,3)),'INC-COMP'!B:J,4,FALSE),IF(LEFT(C65,3)="ELE",VLOOKUP(VALUE(RIGHT(C65,3)),#REF!,4,FALSE),IF(LEFT(C65,3)="CAB",VLOOKUP(VALUE(RIGHT(C65,3)),#REF!,4,FALSE),IF(LEFT(C65,3)="SEG",VLOOKUP(VALUE(RIGHT(C65,3)),'SEG-COMP'!B:J,4,FALSE),IF(LEFT(C65,3)="CLI",VLOOKUP(VALUE(RIGHT(C65,3)),'CLI-COMP'!B:J,4,FALSE),IF(LEFT(C65,4)="IMPL",VLOOKUP(VALUE(RIGHT(C65,3)),'IMPL-COMP'!B:J,4,FALSE),IF(LEFT(C65,4)="SPDA",VLOOKUP(VALUE(RIGHT(C65,3)),'SPDA-COMP'!B:J,4,FALSE),IF(LEFT(C65,4)="SDAI",VLOOKUP(VALUE(RIGHT(C65,3)),'ADM-COMP'!B:J,4,FALSE),IF(LEFT(C65,5)="IMPER",VLOOKUP(VALUE(RIGHT(C65,3)),'IMPER-COMP'!B:J,4,FALSE),""))))))))))))))))</f>
        <v>FORNECIMENTO, DOBRAGEM E COLOCAÇÃO EM FÔRMA, DE ARMADURA CA-50 A GROSSA DIÂMETRO DE 12.5 A 25.0 MM (1/2 A 1")</v>
      </c>
      <c r="E65" s="338" t="str">
        <f>IF(B65="IOPES",VLOOKUP(C65,'LABOR-SERVIÇOS'!A:H,6,FALSE),IF(B65="SINAPI",VLOOKUP(C65,'SINAPI-SERVIÇOS'!A:D,3,FALSE),IF(LEFT(C65,3)="ARQ",VLOOKUP(VALUE(RIGHT(C65,3)),'ARQ-COMP'!B:J,5,FALSE),IF(LEFT(C65,3)="SCI",VLOOKUP(VALUE(RIGHT(C65,3)),'GAS-COMP'!#REF!,5,FALSE),IF(LEFT(C65,3)="SCE",VLOOKUP(VALUE(RIGHT(C65,3)),'SCE-COMP'!B:J,5,FALSE),IF(LEFT(C65,3)="EST",VLOOKUP(VALUE(RIGHT(C65,3)),'EST-COMP'!B:J,5,FALSE),IF(LEFT(C65,3)="HID",VLOOKUP(VALUE(RIGHT(C65,3)),'HID-COMP'!B:J,5,FALSE),IF(LEFT(C65,3)="INC",VLOOKUP(VALUE(RIGHT(C65,3)),'INC-COMP'!B:J,5,FALSE),IF(LEFT(C65,3)="ELE",VLOOKUP(VALUE(RIGHT(C65,3)),#REF!,5,FALSE),IF(LEFT(C65,3)="CAB",VLOOKUP(VALUE(RIGHT(C65,3)),#REF!,5,FALSE),IF(LEFT(C65,3)="SEG",VLOOKUP(VALUE(RIGHT(C65,3)),'SEG-COMP'!B:J,5,FALSE),IF(LEFT(C65,3)="CLI",VLOOKUP(VALUE(RIGHT(C65,3)),'CLI-COMP'!B:J,5,FALSE),IF(LEFT(C65,4)="IMPL",VLOOKUP(VALUE(RIGHT(C65,3)),'IMPL-COMP'!B:J,5,FALSE),IF(LEFT(C65,4)="SPDA",VLOOKUP(VALUE(RIGHT(C65,3)),'SPDA-COMP'!B:J,5,FALSE),IF(LEFT(C65,4)="SDAI",VLOOKUP(VALUE(RIGHT(C65,3)),'ADM-COMP'!B:J,5,FALSE),IF(LEFT(C65,5)="IMPER",VLOOKUP(VALUE(RIGHT(C65,3)),'IMPER-COMP'!B:J,5,FALSE),""))))))))))))))))</f>
        <v>KG</v>
      </c>
      <c r="F65" s="599">
        <f>ROUND(VLOOKUP(A65,'MEM-LEVANT'!A65:I2652,9,FALSE),2)</f>
        <v>14513.22</v>
      </c>
      <c r="G65" s="339">
        <f>IF(B65="IOPES",VLOOKUP(C65,'LABOR-SERVIÇOS'!A:H,7,FALSE),IF(B65="SINAPI",VLOOKUP(C65,'SINAPI-SERVIÇOS'!A:H,8,FALSE),IF(LEFT(C65,3)="ARQ",VLOOKUP(VALUE(RIGHT(C65,3)),'ARQ-COMP'!B:J,9,FALSE),IF(LEFT(C65,3)="SCI",VLOOKUP(VALUE(RIGHT(C65,3)),'GAS-COMP'!#REF!,9,FALSE),IF(LEFT(C65,3)="SCE",VLOOKUP(VALUE(RIGHT(C65,3)),'SCE-COMP'!B:J,9,FALSE),IF(LEFT(C65,3)="EST",VLOOKUP(VALUE(RIGHT(C65,3)),'EST-COMP'!B:J,9,FALSE),IF(LEFT(C65,3)="HID",VLOOKUP(VALUE(RIGHT(C65,3)),'HID-COMP'!B:J,9,FALSE),IF(LEFT(C65,3)="INC",VLOOKUP(VALUE(RIGHT(C65,3)),'INC-COMP'!B:J,9,FALSE),IF(LEFT(C65,3)="ELE",VLOOKUP(VALUE(RIGHT(C65,3)),#REF!,9,FALSE),IF(LEFT(C65,3)="CAB",VLOOKUP(VALUE(RIGHT(C65,3)),#REF!,9,FALSE),IF(LEFT(C65,3)="SEG",VLOOKUP(VALUE(RIGHT(C65,3)),'SEG-COMP'!B:J,9,FALSE),IF(LEFT(C65,3)="CLI",VLOOKUP(VALUE(RIGHT(C65,3)),'CLI-COMP'!B:J,9,FALSE),IF(LEFT(C65,4)="IMPL",VLOOKUP(VALUE(RIGHT(C65,3)),'IMPL-COMP'!B:J,9,FALSE),IF(LEFT(C65,4)="SPDA",VLOOKUP(VALUE(RIGHT(C65,3)),'SPDA-COMP'!B:J,9,FALSE),IF(LEFT(C65,4)="SDAI",VLOOKUP(VALUE(RIGHT(C65,3)),'ADM-COMP'!B:J,9,FALSE),IF(LEFT(C65,5)="IMPER",VLOOKUP(VALUE(RIGHT(C65,3)),'IMPER-COMP'!B:J,9,FALSE),""))))))))))))))))</f>
        <v>16.440000000000001</v>
      </c>
      <c r="H65" s="339">
        <f t="shared" si="21"/>
        <v>238597.34</v>
      </c>
      <c r="I65" s="374">
        <f t="shared" si="19"/>
        <v>1.3950688514935647E-2</v>
      </c>
      <c r="J65" s="314"/>
    </row>
    <row r="66" spans="1:10" ht="26.4">
      <c r="A66" s="613" t="s">
        <v>8010</v>
      </c>
      <c r="B66" s="337" t="s">
        <v>2879</v>
      </c>
      <c r="C66" s="540">
        <f>40246</f>
        <v>40246</v>
      </c>
      <c r="D66" s="539" t="str">
        <f>IF(B66="IOPES",VLOOKUP(C66,'LABOR-SERVIÇOS'!A:H,5,FALSE),IF(B66="SINAPI",VLOOKUP(C66,'SINAPI-SERVIÇOS'!A:D,2,FALSE),IF(LEFT(C66,3)="ARQ",VLOOKUP(VALUE(RIGHT(C66,3)),'ARQ-COMP'!B:J,4,FALSE),IF(LEFT(C66,3)="SCI",VLOOKUP(VALUE(RIGHT(C66,3)),'GAS-COMP'!#REF!,4,FALSE),IF(LEFT(C66,3)="SCE",VLOOKUP(VALUE(RIGHT(C66,3)),'SCE-COMP'!B:J,4,FALSE),IF(LEFT(C66,3)="EST",VLOOKUP(VALUE(RIGHT(C66,3)),'EST-COMP'!B:J,4,FALSE),IF(LEFT(C66,3)="HID",VLOOKUP(VALUE(RIGHT(C66,3)),'HID-COMP'!B:J,4,FALSE),IF(LEFT(C66,3)="INC",VLOOKUP(VALUE(RIGHT(C66,3)),'INC-COMP'!B:J,4,FALSE),IF(LEFT(C66,3)="ELE",VLOOKUP(VALUE(RIGHT(C66,3)),#REF!,4,FALSE),IF(LEFT(C66,3)="CAB",VLOOKUP(VALUE(RIGHT(C66,3)),#REF!,4,FALSE),IF(LEFT(C66,3)="SEG",VLOOKUP(VALUE(RIGHT(C66,3)),'SEG-COMP'!B:J,4,FALSE),IF(LEFT(C66,3)="CLI",VLOOKUP(VALUE(RIGHT(C66,3)),'CLI-COMP'!B:J,4,FALSE),IF(LEFT(C66,4)="IMPL",VLOOKUP(VALUE(RIGHT(C66,3)),'IMPL-COMP'!B:J,4,FALSE),IF(LEFT(C66,4)="SPDA",VLOOKUP(VALUE(RIGHT(C66,3)),'SPDA-COMP'!B:J,4,FALSE),IF(LEFT(C66,4)="SDAI",VLOOKUP(VALUE(RIGHT(C66,3)),'ADM-COMP'!B:J,4,FALSE),IF(LEFT(C66,5)="IMPER",VLOOKUP(VALUE(RIGHT(C66,3)),'IMPER-COMP'!B:J,4,FALSE),""))))))))))))))))</f>
        <v>FORNECIMENTO, DOBRAGEM E COLOCAÇÃO EM FÔRMA, DE ARMADURA CA-60 B FINA, DIÂMETRO DE 4.0 A 7.0MM</v>
      </c>
      <c r="E66" s="338" t="str">
        <f>IF(B66="IOPES",VLOOKUP(C66,'LABOR-SERVIÇOS'!A:H,6,FALSE),IF(B66="SINAPI",VLOOKUP(C66,'SINAPI-SERVIÇOS'!A:D,3,FALSE),IF(LEFT(C66,3)="ARQ",VLOOKUP(VALUE(RIGHT(C66,3)),'ARQ-COMP'!B:J,5,FALSE),IF(LEFT(C66,3)="SCI",VLOOKUP(VALUE(RIGHT(C66,3)),'GAS-COMP'!#REF!,5,FALSE),IF(LEFT(C66,3)="SCE",VLOOKUP(VALUE(RIGHT(C66,3)),'SCE-COMP'!B:J,5,FALSE),IF(LEFT(C66,3)="EST",VLOOKUP(VALUE(RIGHT(C66,3)),'EST-COMP'!B:J,5,FALSE),IF(LEFT(C66,3)="HID",VLOOKUP(VALUE(RIGHT(C66,3)),'HID-COMP'!B:J,5,FALSE),IF(LEFT(C66,3)="INC",VLOOKUP(VALUE(RIGHT(C66,3)),'INC-COMP'!B:J,5,FALSE),IF(LEFT(C66,3)="ELE",VLOOKUP(VALUE(RIGHT(C66,3)),#REF!,5,FALSE),IF(LEFT(C66,3)="CAB",VLOOKUP(VALUE(RIGHT(C66,3)),#REF!,5,FALSE),IF(LEFT(C66,3)="SEG",VLOOKUP(VALUE(RIGHT(C66,3)),'SEG-COMP'!B:J,5,FALSE),IF(LEFT(C66,3)="CLI",VLOOKUP(VALUE(RIGHT(C66,3)),'CLI-COMP'!B:J,5,FALSE),IF(LEFT(C66,4)="IMPL",VLOOKUP(VALUE(RIGHT(C66,3)),'IMPL-COMP'!B:J,5,FALSE),IF(LEFT(C66,4)="SPDA",VLOOKUP(VALUE(RIGHT(C66,3)),'SPDA-COMP'!B:J,5,FALSE),IF(LEFT(C66,4)="SDAI",VLOOKUP(VALUE(RIGHT(C66,3)),'ADM-COMP'!B:J,5,FALSE),IF(LEFT(C66,5)="IMPER",VLOOKUP(VALUE(RIGHT(C66,3)),'IMPER-COMP'!B:J,5,FALSE),""))))))))))))))))</f>
        <v>KG</v>
      </c>
      <c r="F66" s="599">
        <f>ROUND(VLOOKUP(A66,'MEM-LEVANT'!A66:I2653,9,FALSE),2)</f>
        <v>1472.4</v>
      </c>
      <c r="G66" s="339">
        <f>IF(B66="IOPES",VLOOKUP(C66,'LABOR-SERVIÇOS'!A:H,7,FALSE),IF(B66="SINAPI",VLOOKUP(C66,'SINAPI-SERVIÇOS'!A:H,8,FALSE),IF(LEFT(C66,3)="ARQ",VLOOKUP(VALUE(RIGHT(C66,3)),'ARQ-COMP'!B:J,9,FALSE),IF(LEFT(C66,3)="SCI",VLOOKUP(VALUE(RIGHT(C66,3)),'GAS-COMP'!#REF!,9,FALSE),IF(LEFT(C66,3)="SCE",VLOOKUP(VALUE(RIGHT(C66,3)),'SCE-COMP'!B:J,9,FALSE),IF(LEFT(C66,3)="EST",VLOOKUP(VALUE(RIGHT(C66,3)),'EST-COMP'!B:J,9,FALSE),IF(LEFT(C66,3)="HID",VLOOKUP(VALUE(RIGHT(C66,3)),'HID-COMP'!B:J,9,FALSE),IF(LEFT(C66,3)="INC",VLOOKUP(VALUE(RIGHT(C66,3)),'INC-COMP'!B:J,9,FALSE),IF(LEFT(C66,3)="ELE",VLOOKUP(VALUE(RIGHT(C66,3)),#REF!,9,FALSE),IF(LEFT(C66,3)="CAB",VLOOKUP(VALUE(RIGHT(C66,3)),#REF!,9,FALSE),IF(LEFT(C66,3)="SEG",VLOOKUP(VALUE(RIGHT(C66,3)),'SEG-COMP'!B:J,9,FALSE),IF(LEFT(C66,3)="CLI",VLOOKUP(VALUE(RIGHT(C66,3)),'CLI-COMP'!B:J,9,FALSE),IF(LEFT(C66,4)="IMPL",VLOOKUP(VALUE(RIGHT(C66,3)),'IMPL-COMP'!B:J,9,FALSE),IF(LEFT(C66,4)="SPDA",VLOOKUP(VALUE(RIGHT(C66,3)),'SPDA-COMP'!B:J,9,FALSE),IF(LEFT(C66,4)="SDAI",VLOOKUP(VALUE(RIGHT(C66,3)),'ADM-COMP'!B:J,9,FALSE),IF(LEFT(C66,5)="IMPER",VLOOKUP(VALUE(RIGHT(C66,3)),'IMPER-COMP'!B:J,9,FALSE),""))))))))))))))))</f>
        <v>16.36</v>
      </c>
      <c r="H66" s="339">
        <f t="shared" si="21"/>
        <v>24088.46</v>
      </c>
      <c r="I66" s="374">
        <f t="shared" si="19"/>
        <v>1.4084423668113263E-3</v>
      </c>
      <c r="J66" s="314"/>
    </row>
    <row r="67" spans="1:10" ht="20.25" customHeight="1">
      <c r="A67" s="553" t="s">
        <v>7383</v>
      </c>
      <c r="B67" s="554"/>
      <c r="C67" s="555"/>
      <c r="D67" s="556" t="s">
        <v>1184</v>
      </c>
      <c r="E67" s="557"/>
      <c r="F67" s="598"/>
      <c r="G67" s="558"/>
      <c r="H67" s="559"/>
      <c r="I67" s="560"/>
      <c r="J67" s="314"/>
    </row>
    <row r="68" spans="1:10" ht="26.4">
      <c r="A68" s="613" t="s">
        <v>7384</v>
      </c>
      <c r="B68" s="337" t="s">
        <v>2879</v>
      </c>
      <c r="C68" s="540">
        <f>40328</f>
        <v>40328</v>
      </c>
      <c r="D68" s="539" t="str">
        <f>IF(B68="IOPES",VLOOKUP(C68,'LABOR-SERVIÇOS'!A:H,5,FALSE),IF(B68="SINAPI",VLOOKUP(C68,'SINAPI-SERVIÇOS'!A:D,2,FALSE),IF(LEFT(C68,3)="ARQ",VLOOKUP(VALUE(RIGHT(C68,3)),'ARQ-COMP'!B:J,4,FALSE),IF(LEFT(C68,3)="SCI",VLOOKUP(VALUE(RIGHT(C68,3)),'GAS-COMP'!#REF!,4,FALSE),IF(LEFT(C68,3)="SCE",VLOOKUP(VALUE(RIGHT(C68,3)),'SCE-COMP'!B:J,4,FALSE),IF(LEFT(C68,3)="EST",VLOOKUP(VALUE(RIGHT(C68,3)),'EST-COMP'!B:J,4,FALSE),IF(LEFT(C68,3)="HID",VLOOKUP(VALUE(RIGHT(C68,3)),'HID-COMP'!B:J,4,FALSE),IF(LEFT(C68,3)="INC",VLOOKUP(VALUE(RIGHT(C68,3)),'INC-COMP'!B:J,4,FALSE),IF(LEFT(C68,3)="ELE",VLOOKUP(VALUE(RIGHT(C68,3)),#REF!,4,FALSE),IF(LEFT(C68,3)="CAB",VLOOKUP(VALUE(RIGHT(C68,3)),#REF!,4,FALSE),IF(LEFT(C68,3)="SEG",VLOOKUP(VALUE(RIGHT(C68,3)),'SEG-COMP'!B:J,4,FALSE),IF(LEFT(C68,3)="CLI",VLOOKUP(VALUE(RIGHT(C68,3)),'CLI-COMP'!B:J,4,FALSE),IF(LEFT(C68,4)="IMPL",VLOOKUP(VALUE(RIGHT(C68,3)),'IMPL-COMP'!B:J,4,FALSE),IF(LEFT(C68,4)="SPDA",VLOOKUP(VALUE(RIGHT(C68,3)),'SPDA-COMP'!B:J,4,FALSE),IF(LEFT(C68,4)="SDAI",VLOOKUP(VALUE(RIGHT(C68,3)),'ADM-COMP'!B:J,4,FALSE),IF(LEFT(C68,5)="IMPER",VLOOKUP(VALUE(RIGHT(C68,3)),'IMPER-COMP'!B:J,4,FALSE),""))))))))))))))))</f>
        <v>FORNECIMENTO, DOBRAGEM E COLOCAÇÃO EM FÔRMA, DE ARMADURA CA-50 A MÉDIA, DIÂMETRO DE 6.3 A 10.0 MM</v>
      </c>
      <c r="E68" s="338" t="str">
        <f>IF(B68="IOPES",VLOOKUP(C68,'LABOR-SERVIÇOS'!A:H,6,FALSE),IF(B68="SINAPI",VLOOKUP(C68,'SINAPI-SERVIÇOS'!A:D,3,FALSE),IF(LEFT(C68,3)="ARQ",VLOOKUP(VALUE(RIGHT(C68,3)),'ARQ-COMP'!B:J,5,FALSE),IF(LEFT(C68,3)="SCI",VLOOKUP(VALUE(RIGHT(C68,3)),'GAS-COMP'!#REF!,5,FALSE),IF(LEFT(C68,3)="SCE",VLOOKUP(VALUE(RIGHT(C68,3)),'SCE-COMP'!B:J,5,FALSE),IF(LEFT(C68,3)="EST",VLOOKUP(VALUE(RIGHT(C68,3)),'EST-COMP'!B:J,5,FALSE),IF(LEFT(C68,3)="HID",VLOOKUP(VALUE(RIGHT(C68,3)),'HID-COMP'!B:J,5,FALSE),IF(LEFT(C68,3)="INC",VLOOKUP(VALUE(RIGHT(C68,3)),'INC-COMP'!B:J,5,FALSE),IF(LEFT(C68,3)="ELE",VLOOKUP(VALUE(RIGHT(C68,3)),#REF!,5,FALSE),IF(LEFT(C68,3)="CAB",VLOOKUP(VALUE(RIGHT(C68,3)),#REF!,5,FALSE),IF(LEFT(C68,3)="SEG",VLOOKUP(VALUE(RIGHT(C68,3)),'SEG-COMP'!B:J,5,FALSE),IF(LEFT(C68,3)="CLI",VLOOKUP(VALUE(RIGHT(C68,3)),'CLI-COMP'!B:J,5,FALSE),IF(LEFT(C68,4)="IMPL",VLOOKUP(VALUE(RIGHT(C68,3)),'IMPL-COMP'!B:J,5,FALSE),IF(LEFT(C68,4)="SPDA",VLOOKUP(VALUE(RIGHT(C68,3)),'SPDA-COMP'!B:J,5,FALSE),IF(LEFT(C68,4)="SDAI",VLOOKUP(VALUE(RIGHT(C68,3)),'ADM-COMP'!B:J,5,FALSE),IF(LEFT(C68,5)="IMPER",VLOOKUP(VALUE(RIGHT(C68,3)),'IMPER-COMP'!B:J,5,FALSE),""))))))))))))))))</f>
        <v>KG</v>
      </c>
      <c r="F68" s="606">
        <f>ROUND(VLOOKUP(A68,'MEM-LEVANT'!A70:I2662,9,FALSE),2)</f>
        <v>10533.6</v>
      </c>
      <c r="G68" s="339">
        <f>IF(B68="IOPES",VLOOKUP(C68,'LABOR-SERVIÇOS'!A:H,7,FALSE),IF(B68="SINAPI",VLOOKUP(C68,'SINAPI-SERVIÇOS'!A:H,8,FALSE),IF(LEFT(C68,3)="ARQ",VLOOKUP(VALUE(RIGHT(C68,3)),'ARQ-COMP'!B:J,9,FALSE),IF(LEFT(C68,3)="SCI",VLOOKUP(VALUE(RIGHT(C68,3)),'GAS-COMP'!#REF!,9,FALSE),IF(LEFT(C68,3)="SCE",VLOOKUP(VALUE(RIGHT(C68,3)),'SCE-COMP'!B:J,9,FALSE),IF(LEFT(C68,3)="EST",VLOOKUP(VALUE(RIGHT(C68,3)),'EST-COMP'!B:J,9,FALSE),IF(LEFT(C68,3)="HID",VLOOKUP(VALUE(RIGHT(C68,3)),'HID-COMP'!B:J,9,FALSE),IF(LEFT(C68,3)="INC",VLOOKUP(VALUE(RIGHT(C68,3)),'INC-COMP'!B:J,9,FALSE),IF(LEFT(C68,3)="ELE",VLOOKUP(VALUE(RIGHT(C68,3)),#REF!,9,FALSE),IF(LEFT(C68,3)="CAB",VLOOKUP(VALUE(RIGHT(C68,3)),#REF!,9,FALSE),IF(LEFT(C68,3)="SEG",VLOOKUP(VALUE(RIGHT(C68,3)),'SEG-COMP'!B:J,9,FALSE),IF(LEFT(C68,3)="CLI",VLOOKUP(VALUE(RIGHT(C68,3)),'CLI-COMP'!B:J,9,FALSE),IF(LEFT(C68,4)="IMPL",VLOOKUP(VALUE(RIGHT(C68,3)),'IMPL-COMP'!B:J,9,FALSE),IF(LEFT(C68,4)="SPDA",VLOOKUP(VALUE(RIGHT(C68,3)),'SPDA-COMP'!B:J,9,FALSE),IF(LEFT(C68,4)="SDAI",VLOOKUP(VALUE(RIGHT(C68,3)),'ADM-COMP'!B:J,9,FALSE),IF(LEFT(C68,5)="IMPER",VLOOKUP(VALUE(RIGHT(C68,3)),'IMPER-COMP'!B:J,9,FALSE),""))))))))))))))))</f>
        <v>15.42</v>
      </c>
      <c r="H68" s="339">
        <f t="shared" ref="H68:H70" si="22">ROUND(F68*G68,2)</f>
        <v>162428.10999999999</v>
      </c>
      <c r="I68" s="374">
        <f>H68/$H$441</f>
        <v>9.4971049077064475E-3</v>
      </c>
      <c r="J68" s="314"/>
    </row>
    <row r="69" spans="1:10" ht="39.6">
      <c r="A69" s="613" t="s">
        <v>7385</v>
      </c>
      <c r="B69" s="337" t="s">
        <v>2879</v>
      </c>
      <c r="C69" s="540">
        <f>40331</f>
        <v>40331</v>
      </c>
      <c r="D69" s="539" t="str">
        <f>IF(B69="IOPES",VLOOKUP(C69,'LABOR-SERVIÇOS'!A:H,5,FALSE),IF(B69="SINAPI",VLOOKUP(C69,'SINAPI-SERVIÇOS'!A:D,2,FALSE),IF(LEFT(C69,3)="ARQ",VLOOKUP(VALUE(RIGHT(C69,3)),'ARQ-COMP'!B:J,4,FALSE),IF(LEFT(C69,3)="SCI",VLOOKUP(VALUE(RIGHT(C69,3)),'GAS-COMP'!#REF!,4,FALSE),IF(LEFT(C69,3)="SCE",VLOOKUP(VALUE(RIGHT(C69,3)),'SCE-COMP'!B:J,4,FALSE),IF(LEFT(C69,3)="EST",VLOOKUP(VALUE(RIGHT(C69,3)),'EST-COMP'!B:J,4,FALSE),IF(LEFT(C69,3)="HID",VLOOKUP(VALUE(RIGHT(C69,3)),'HID-COMP'!B:J,4,FALSE),IF(LEFT(C69,3)="INC",VLOOKUP(VALUE(RIGHT(C69,3)),'INC-COMP'!B:J,4,FALSE),IF(LEFT(C69,3)="ELE",VLOOKUP(VALUE(RIGHT(C69,3)),#REF!,4,FALSE),IF(LEFT(C69,3)="CAB",VLOOKUP(VALUE(RIGHT(C69,3)),#REF!,4,FALSE),IF(LEFT(C69,3)="SEG",VLOOKUP(VALUE(RIGHT(C69,3)),'SEG-COMP'!B:J,4,FALSE),IF(LEFT(C69,3)="CLI",VLOOKUP(VALUE(RIGHT(C69,3)),'CLI-COMP'!B:J,4,FALSE),IF(LEFT(C69,4)="IMPL",VLOOKUP(VALUE(RIGHT(C69,3)),'IMPL-COMP'!B:J,4,FALSE),IF(LEFT(C69,4)="SPDA",VLOOKUP(VALUE(RIGHT(C69,3)),'SPDA-COMP'!B:J,4,FALSE),IF(LEFT(C69,4)="SDAI",VLOOKUP(VALUE(RIGHT(C69,3)),'ADM-COMP'!B:J,4,FALSE),IF(LEFT(C69,5)="IMPER",VLOOKUP(VALUE(RIGHT(C69,3)),'IMPER-COMP'!B:J,4,FALSE),""))))))))))))))))</f>
        <v>FORNECIMENTO E APLICAÇÃO DE CONCRETO USINADO FCK=30 MPA - CONSIDERANDO BOMBEAMENTO (5% DE PERDAS JÁ INCLUÍDO NO CUSTO) (6% DE TAXA P/ CONCR. BOMBEAVEL)</v>
      </c>
      <c r="E69" s="338" t="str">
        <f>IF(B69="IOPES",VLOOKUP(C69,'LABOR-SERVIÇOS'!A:H,6,FALSE),IF(B69="SINAPI",VLOOKUP(C69,'SINAPI-SERVIÇOS'!A:D,3,FALSE),IF(LEFT(C69,3)="ARQ",VLOOKUP(VALUE(RIGHT(C69,3)),'ARQ-COMP'!B:J,5,FALSE),IF(LEFT(C69,3)="SCI",VLOOKUP(VALUE(RIGHT(C69,3)),'GAS-COMP'!#REF!,5,FALSE),IF(LEFT(C69,3)="SCE",VLOOKUP(VALUE(RIGHT(C69,3)),'SCE-COMP'!B:J,5,FALSE),IF(LEFT(C69,3)="EST",VLOOKUP(VALUE(RIGHT(C69,3)),'EST-COMP'!B:J,5,FALSE),IF(LEFT(C69,3)="HID",VLOOKUP(VALUE(RIGHT(C69,3)),'HID-COMP'!B:J,5,FALSE),IF(LEFT(C69,3)="INC",VLOOKUP(VALUE(RIGHT(C69,3)),'INC-COMP'!B:J,5,FALSE),IF(LEFT(C69,3)="ELE",VLOOKUP(VALUE(RIGHT(C69,3)),#REF!,5,FALSE),IF(LEFT(C69,3)="CAB",VLOOKUP(VALUE(RIGHT(C69,3)),#REF!,5,FALSE),IF(LEFT(C69,3)="SEG",VLOOKUP(VALUE(RIGHT(C69,3)),'SEG-COMP'!B:J,5,FALSE),IF(LEFT(C69,3)="CLI",VLOOKUP(VALUE(RIGHT(C69,3)),'CLI-COMP'!B:J,5,FALSE),IF(LEFT(C69,4)="IMPL",VLOOKUP(VALUE(RIGHT(C69,3)),'IMPL-COMP'!B:J,5,FALSE),IF(LEFT(C69,4)="SPDA",VLOOKUP(VALUE(RIGHT(C69,3)),'SPDA-COMP'!B:J,5,FALSE),IF(LEFT(C69,4)="SDAI",VLOOKUP(VALUE(RIGHT(C69,3)),'ADM-COMP'!B:J,5,FALSE),IF(LEFT(C69,5)="IMPER",VLOOKUP(VALUE(RIGHT(C69,3)),'IMPER-COMP'!B:J,5,FALSE),""))))))))))))))))</f>
        <v>M3</v>
      </c>
      <c r="F69" s="606">
        <f>ROUND(VLOOKUP(A69,'MEM-LEVANT'!A71:I2663,9,FALSE),2)</f>
        <v>722.7</v>
      </c>
      <c r="G69" s="339">
        <f>IF(B69="IOPES",VLOOKUP(C69,'LABOR-SERVIÇOS'!A:H,7,FALSE),IF(B69="SINAPI",VLOOKUP(C69,'SINAPI-SERVIÇOS'!A:H,8,FALSE),IF(LEFT(C69,3)="ARQ",VLOOKUP(VALUE(RIGHT(C69,3)),'ARQ-COMP'!B:J,9,FALSE),IF(LEFT(C69,3)="SCI",VLOOKUP(VALUE(RIGHT(C69,3)),'GAS-COMP'!#REF!,9,FALSE),IF(LEFT(C69,3)="SCE",VLOOKUP(VALUE(RIGHT(C69,3)),'SCE-COMP'!B:J,9,FALSE),IF(LEFT(C69,3)="EST",VLOOKUP(VALUE(RIGHT(C69,3)),'EST-COMP'!B:J,9,FALSE),IF(LEFT(C69,3)="HID",VLOOKUP(VALUE(RIGHT(C69,3)),'HID-COMP'!B:J,9,FALSE),IF(LEFT(C69,3)="INC",VLOOKUP(VALUE(RIGHT(C69,3)),'INC-COMP'!B:J,9,FALSE),IF(LEFT(C69,3)="ELE",VLOOKUP(VALUE(RIGHT(C69,3)),#REF!,9,FALSE),IF(LEFT(C69,3)="CAB",VLOOKUP(VALUE(RIGHT(C69,3)),#REF!,9,FALSE),IF(LEFT(C69,3)="SEG",VLOOKUP(VALUE(RIGHT(C69,3)),'SEG-COMP'!B:J,9,FALSE),IF(LEFT(C69,3)="CLI",VLOOKUP(VALUE(RIGHT(C69,3)),'CLI-COMP'!B:J,9,FALSE),IF(LEFT(C69,4)="IMPL",VLOOKUP(VALUE(RIGHT(C69,3)),'IMPL-COMP'!B:J,9,FALSE),IF(LEFT(C69,4)="SPDA",VLOOKUP(VALUE(RIGHT(C69,3)),'SPDA-COMP'!B:J,9,FALSE),IF(LEFT(C69,4)="SDAI",VLOOKUP(VALUE(RIGHT(C69,3)),'ADM-COMP'!B:J,9,FALSE),IF(LEFT(C69,5)="IMPER",VLOOKUP(VALUE(RIGHT(C69,3)),'IMPER-COMP'!B:J,9,FALSE),""))))))))))))))))</f>
        <v>908.13</v>
      </c>
      <c r="H69" s="339">
        <f t="shared" si="22"/>
        <v>656305.55000000005</v>
      </c>
      <c r="I69" s="374">
        <f>H69/$H$441</f>
        <v>3.8373916065759676E-2</v>
      </c>
      <c r="J69" s="314"/>
    </row>
    <row r="70" spans="1:10" ht="26.4">
      <c r="A70" s="613" t="s">
        <v>7386</v>
      </c>
      <c r="B70" s="337" t="s">
        <v>2879</v>
      </c>
      <c r="C70" s="540">
        <f>40332</f>
        <v>40332</v>
      </c>
      <c r="D70" s="539" t="str">
        <f>IF(B70="IOPES",VLOOKUP(C70,'LABOR-SERVIÇOS'!A:H,5,FALSE),IF(B70="SINAPI",VLOOKUP(C70,'SINAPI-SERVIÇOS'!A:D,2,FALSE),IF(LEFT(C70,3)="ARQ",VLOOKUP(VALUE(RIGHT(C70,3)),'ARQ-COMP'!B:J,4,FALSE),IF(LEFT(C70,3)="SCI",VLOOKUP(VALUE(RIGHT(C70,3)),'GAS-COMP'!#REF!,4,FALSE),IF(LEFT(C70,3)="SCE",VLOOKUP(VALUE(RIGHT(C70,3)),'SCE-COMP'!B:J,4,FALSE),IF(LEFT(C70,3)="EST",VLOOKUP(VALUE(RIGHT(C70,3)),'EST-COMP'!B:J,4,FALSE),IF(LEFT(C70,3)="HID",VLOOKUP(VALUE(RIGHT(C70,3)),'HID-COMP'!B:J,4,FALSE),IF(LEFT(C70,3)="INC",VLOOKUP(VALUE(RIGHT(C70,3)),'INC-COMP'!B:J,4,FALSE),IF(LEFT(C70,3)="ELE",VLOOKUP(VALUE(RIGHT(C70,3)),#REF!,4,FALSE),IF(LEFT(C70,3)="CAB",VLOOKUP(VALUE(RIGHT(C70,3)),#REF!,4,FALSE),IF(LEFT(C70,3)="SEG",VLOOKUP(VALUE(RIGHT(C70,3)),'SEG-COMP'!B:J,4,FALSE),IF(LEFT(C70,3)="CLI",VLOOKUP(VALUE(RIGHT(C70,3)),'CLI-COMP'!B:J,4,FALSE),IF(LEFT(C70,4)="IMPL",VLOOKUP(VALUE(RIGHT(C70,3)),'IMPL-COMP'!B:J,4,FALSE),IF(LEFT(C70,4)="SPDA",VLOOKUP(VALUE(RIGHT(C70,3)),'SPDA-COMP'!B:J,4,FALSE),IF(LEFT(C70,4)="SDAI",VLOOKUP(VALUE(RIGHT(C70,3)),'ADM-COMP'!B:J,4,FALSE),IF(LEFT(C70,5)="IMPER",VLOOKUP(VALUE(RIGHT(C70,3)),'IMPER-COMP'!B:J,4,FALSE),""))))))))))))))))</f>
        <v>FORNECIMENTO, DOBRAGEM E COLOCAÇÃO EM FÔRMA, DE ARMADURA CA-50 A GROSSA, DIÂMETRO DE 12.5 A 25.0MM</v>
      </c>
      <c r="E70" s="338" t="str">
        <f>IF(B70="IOPES",VLOOKUP(C70,'LABOR-SERVIÇOS'!A:H,6,FALSE),IF(B70="SINAPI",VLOOKUP(C70,'SINAPI-SERVIÇOS'!A:D,3,FALSE),IF(LEFT(C70,3)="ARQ",VLOOKUP(VALUE(RIGHT(C70,3)),'ARQ-COMP'!B:J,5,FALSE),IF(LEFT(C70,3)="SCI",VLOOKUP(VALUE(RIGHT(C70,3)),'GAS-COMP'!#REF!,5,FALSE),IF(LEFT(C70,3)="SCE",VLOOKUP(VALUE(RIGHT(C70,3)),'SCE-COMP'!B:J,5,FALSE),IF(LEFT(C70,3)="EST",VLOOKUP(VALUE(RIGHT(C70,3)),'EST-COMP'!B:J,5,FALSE),IF(LEFT(C70,3)="HID",VLOOKUP(VALUE(RIGHT(C70,3)),'HID-COMP'!B:J,5,FALSE),IF(LEFT(C70,3)="INC",VLOOKUP(VALUE(RIGHT(C70,3)),'INC-COMP'!B:J,5,FALSE),IF(LEFT(C70,3)="ELE",VLOOKUP(VALUE(RIGHT(C70,3)),#REF!,5,FALSE),IF(LEFT(C70,3)="CAB",VLOOKUP(VALUE(RIGHT(C70,3)),#REF!,5,FALSE),IF(LEFT(C70,3)="SEG",VLOOKUP(VALUE(RIGHT(C70,3)),'SEG-COMP'!B:J,5,FALSE),IF(LEFT(C70,3)="CLI",VLOOKUP(VALUE(RIGHT(C70,3)),'CLI-COMP'!B:J,5,FALSE),IF(LEFT(C70,4)="IMPL",VLOOKUP(VALUE(RIGHT(C70,3)),'IMPL-COMP'!B:J,5,FALSE),IF(LEFT(C70,4)="SPDA",VLOOKUP(VALUE(RIGHT(C70,3)),'SPDA-COMP'!B:J,5,FALSE),IF(LEFT(C70,4)="SDAI",VLOOKUP(VALUE(RIGHT(C70,3)),'ADM-COMP'!B:J,5,FALSE),IF(LEFT(C70,5)="IMPER",VLOOKUP(VALUE(RIGHT(C70,3)),'IMPER-COMP'!B:J,5,FALSE),""))))))))))))))))</f>
        <v>KG</v>
      </c>
      <c r="F70" s="606">
        <f>ROUND(VLOOKUP(A70,'MEM-LEVANT'!A77:I2664,9,FALSE),2)</f>
        <v>28651.95</v>
      </c>
      <c r="G70" s="339">
        <f>IF(B70="IOPES",VLOOKUP(C70,'LABOR-SERVIÇOS'!A:H,7,FALSE),IF(B70="SINAPI",VLOOKUP(C70,'SINAPI-SERVIÇOS'!A:H,8,FALSE),IF(LEFT(C70,3)="ARQ",VLOOKUP(VALUE(RIGHT(C70,3)),'ARQ-COMP'!B:J,9,FALSE),IF(LEFT(C70,3)="SCI",VLOOKUP(VALUE(RIGHT(C70,3)),'GAS-COMP'!#REF!,9,FALSE),IF(LEFT(C70,3)="SCE",VLOOKUP(VALUE(RIGHT(C70,3)),'SCE-COMP'!B:J,9,FALSE),IF(LEFT(C70,3)="EST",VLOOKUP(VALUE(RIGHT(C70,3)),'EST-COMP'!B:J,9,FALSE),IF(LEFT(C70,3)="HID",VLOOKUP(VALUE(RIGHT(C70,3)),'HID-COMP'!B:J,9,FALSE),IF(LEFT(C70,3)="INC",VLOOKUP(VALUE(RIGHT(C70,3)),'INC-COMP'!B:J,9,FALSE),IF(LEFT(C70,3)="ELE",VLOOKUP(VALUE(RIGHT(C70,3)),#REF!,9,FALSE),IF(LEFT(C70,3)="CAB",VLOOKUP(VALUE(RIGHT(C70,3)),#REF!,9,FALSE),IF(LEFT(C70,3)="SEG",VLOOKUP(VALUE(RIGHT(C70,3)),'SEG-COMP'!B:J,9,FALSE),IF(LEFT(C70,3)="CLI",VLOOKUP(VALUE(RIGHT(C70,3)),'CLI-COMP'!B:J,9,FALSE),IF(LEFT(C70,4)="IMPL",VLOOKUP(VALUE(RIGHT(C70,3)),'IMPL-COMP'!B:J,9,FALSE),IF(LEFT(C70,4)="SPDA",VLOOKUP(VALUE(RIGHT(C70,3)),'SPDA-COMP'!B:J,9,FALSE),IF(LEFT(C70,4)="SDAI",VLOOKUP(VALUE(RIGHT(C70,3)),'ADM-COMP'!B:J,9,FALSE),IF(LEFT(C70,5)="IMPER",VLOOKUP(VALUE(RIGHT(C70,3)),'IMPER-COMP'!B:J,9,FALSE),""))))))))))))))))</f>
        <v>16.440000000000001</v>
      </c>
      <c r="H70" s="339">
        <f t="shared" si="22"/>
        <v>471038.06</v>
      </c>
      <c r="I70" s="374">
        <f>H70/$H$441</f>
        <v>2.7541401986038772E-2</v>
      </c>
      <c r="J70" s="314"/>
    </row>
    <row r="71" spans="1:10" ht="26.4">
      <c r="A71" s="613" t="s">
        <v>9467</v>
      </c>
      <c r="B71" s="337" t="s">
        <v>2879</v>
      </c>
      <c r="C71" s="540">
        <f>40333</f>
        <v>40333</v>
      </c>
      <c r="D71" s="539" t="str">
        <f>IF(B71="IOPES",VLOOKUP(C71,'LABOR-SERVIÇOS'!A:H,5,FALSE),IF(B71="SINAPI",VLOOKUP(C71,'SINAPI-SERVIÇOS'!A:D,2,FALSE),IF(LEFT(C71,3)="ARQ",VLOOKUP(VALUE(RIGHT(C71,3)),'ARQ-COMP'!B:J,4,FALSE),IF(LEFT(C71,3)="SCI",VLOOKUP(VALUE(RIGHT(C71,3)),'GAS-COMP'!#REF!,4,FALSE),IF(LEFT(C71,3)="SCE",VLOOKUP(VALUE(RIGHT(C71,3)),'SCE-COMP'!B:J,4,FALSE),IF(LEFT(C71,3)="EST",VLOOKUP(VALUE(RIGHT(C71,3)),'EST-COMP'!B:J,4,FALSE),IF(LEFT(C71,3)="HID",VLOOKUP(VALUE(RIGHT(C71,3)),'HID-COMP'!B:J,4,FALSE),IF(LEFT(C71,3)="INC",VLOOKUP(VALUE(RIGHT(C71,3)),'INC-COMP'!B:J,4,FALSE),IF(LEFT(C71,3)="ELE",VLOOKUP(VALUE(RIGHT(C71,3)),#REF!,4,FALSE),IF(LEFT(C71,3)="CAB",VLOOKUP(VALUE(RIGHT(C71,3)),#REF!,4,FALSE),IF(LEFT(C71,3)="SEG",VLOOKUP(VALUE(RIGHT(C71,3)),'SEG-COMP'!B:J,4,FALSE),IF(LEFT(C71,3)="CLI",VLOOKUP(VALUE(RIGHT(C71,3)),'CLI-COMP'!B:J,4,FALSE),IF(LEFT(C71,4)="IMPL",VLOOKUP(VALUE(RIGHT(C71,3)),'IMPL-COMP'!B:J,4,FALSE),IF(LEFT(C71,4)="SPDA",VLOOKUP(VALUE(RIGHT(C71,3)),'SPDA-COMP'!B:J,4,FALSE),IF(LEFT(C71,4)="SDAI",VLOOKUP(VALUE(RIGHT(C71,3)),'ADM-COMP'!B:J,4,FALSE),IF(LEFT(C71,5)="IMPER",VLOOKUP(VALUE(RIGHT(C71,3)),'IMPER-COMP'!B:J,4,FALSE),""))))))))))))))))</f>
        <v>FORNECIMENTO, DOBRAGEM E COLOCAÇÃO EM FÔRMA, DE ARMADURA CA-60 B FINA, DIÂMETRO DE 4.0 A 7.0MM</v>
      </c>
      <c r="E71" s="338" t="str">
        <f>IF(B71="IOPES",VLOOKUP(C71,'LABOR-SERVIÇOS'!A:H,6,FALSE),IF(B71="SINAPI",VLOOKUP(C71,'SINAPI-SERVIÇOS'!A:D,3,FALSE),IF(LEFT(C71,3)="ARQ",VLOOKUP(VALUE(RIGHT(C71,3)),'ARQ-COMP'!B:J,5,FALSE),IF(LEFT(C71,3)="SCI",VLOOKUP(VALUE(RIGHT(C71,3)),'GAS-COMP'!#REF!,5,FALSE),IF(LEFT(C71,3)="SCE",VLOOKUP(VALUE(RIGHT(C71,3)),'SCE-COMP'!B:J,5,FALSE),IF(LEFT(C71,3)="EST",VLOOKUP(VALUE(RIGHT(C71,3)),'EST-COMP'!B:J,5,FALSE),IF(LEFT(C71,3)="HID",VLOOKUP(VALUE(RIGHT(C71,3)),'HID-COMP'!B:J,5,FALSE),IF(LEFT(C71,3)="INC",VLOOKUP(VALUE(RIGHT(C71,3)),'INC-COMP'!B:J,5,FALSE),IF(LEFT(C71,3)="ELE",VLOOKUP(VALUE(RIGHT(C71,3)),#REF!,5,FALSE),IF(LEFT(C71,3)="CAB",VLOOKUP(VALUE(RIGHT(C71,3)),#REF!,5,FALSE),IF(LEFT(C71,3)="SEG",VLOOKUP(VALUE(RIGHT(C71,3)),'SEG-COMP'!B:J,5,FALSE),IF(LEFT(C71,3)="CLI",VLOOKUP(VALUE(RIGHT(C71,3)),'CLI-COMP'!B:J,5,FALSE),IF(LEFT(C71,4)="IMPL",VLOOKUP(VALUE(RIGHT(C71,3)),'IMPL-COMP'!B:J,5,FALSE),IF(LEFT(C71,4)="SPDA",VLOOKUP(VALUE(RIGHT(C71,3)),'SPDA-COMP'!B:J,5,FALSE),IF(LEFT(C71,4)="SDAI",VLOOKUP(VALUE(RIGHT(C71,3)),'ADM-COMP'!B:J,5,FALSE),IF(LEFT(C71,5)="IMPER",VLOOKUP(VALUE(RIGHT(C71,3)),'IMPER-COMP'!B:J,5,FALSE),""))))))))))))))))</f>
        <v>KG</v>
      </c>
      <c r="F71" s="606">
        <f>ROUND(VLOOKUP(A71,'MEM-LEVANT'!A78:I2665,9,FALSE),2)</f>
        <v>3224.4</v>
      </c>
      <c r="G71" s="339">
        <f>IF(B71="IOPES",VLOOKUP(C71,'LABOR-SERVIÇOS'!A:H,7,FALSE),IF(B71="SINAPI",VLOOKUP(C71,'SINAPI-SERVIÇOS'!A:H,8,FALSE),IF(LEFT(C71,3)="ARQ",VLOOKUP(VALUE(RIGHT(C71,3)),'ARQ-COMP'!B:J,9,FALSE),IF(LEFT(C71,3)="SCI",VLOOKUP(VALUE(RIGHT(C71,3)),'GAS-COMP'!#REF!,9,FALSE),IF(LEFT(C71,3)="SCE",VLOOKUP(VALUE(RIGHT(C71,3)),'SCE-COMP'!B:J,9,FALSE),IF(LEFT(C71,3)="EST",VLOOKUP(VALUE(RIGHT(C71,3)),'EST-COMP'!B:J,9,FALSE),IF(LEFT(C71,3)="HID",VLOOKUP(VALUE(RIGHT(C71,3)),'HID-COMP'!B:J,9,FALSE),IF(LEFT(C71,3)="INC",VLOOKUP(VALUE(RIGHT(C71,3)),'INC-COMP'!B:J,9,FALSE),IF(LEFT(C71,3)="ELE",VLOOKUP(VALUE(RIGHT(C71,3)),#REF!,9,FALSE),IF(LEFT(C71,3)="CAB",VLOOKUP(VALUE(RIGHT(C71,3)),#REF!,9,FALSE),IF(LEFT(C71,3)="SEG",VLOOKUP(VALUE(RIGHT(C71,3)),'SEG-COMP'!B:J,9,FALSE),IF(LEFT(C71,3)="CLI",VLOOKUP(VALUE(RIGHT(C71,3)),'CLI-COMP'!B:J,9,FALSE),IF(LEFT(C71,4)="IMPL",VLOOKUP(VALUE(RIGHT(C71,3)),'IMPL-COMP'!B:J,9,FALSE),IF(LEFT(C71,4)="SPDA",VLOOKUP(VALUE(RIGHT(C71,3)),'SPDA-COMP'!B:J,9,FALSE),IF(LEFT(C71,4)="SDAI",VLOOKUP(VALUE(RIGHT(C71,3)),'ADM-COMP'!B:J,9,FALSE),IF(LEFT(C71,5)="IMPER",VLOOKUP(VALUE(RIGHT(C71,3)),'IMPER-COMP'!B:J,9,FALSE),""))))))))))))))))</f>
        <v>16.36</v>
      </c>
      <c r="H71" s="339">
        <f t="shared" ref="H71" si="23">ROUND(F71*G71,2)</f>
        <v>52751.18</v>
      </c>
      <c r="I71" s="374">
        <f>H71/$H$441</f>
        <v>3.084339837884626E-3</v>
      </c>
      <c r="J71" s="314"/>
    </row>
    <row r="72" spans="1:10" ht="66">
      <c r="A72" s="613" t="s">
        <v>9688</v>
      </c>
      <c r="B72" s="337" t="s">
        <v>2879</v>
      </c>
      <c r="C72" s="540">
        <f>40339</f>
        <v>40339</v>
      </c>
      <c r="D72" s="539" t="str">
        <f>IF(B72="IOPES",VLOOKUP(C72,'LABOR-SERVIÇOS'!A:H,5,FALSE),IF(B72="SINAPI",VLOOKUP(C72,'SINAPI-SERVIÇOS'!A:D,2,FALSE),IF(LEFT(C72,3)="ARQ",VLOOKUP(VALUE(RIGHT(C72,3)),'ARQ-COMP'!B:J,4,FALSE),IF(LEFT(C72,3)="SCI",VLOOKUP(VALUE(RIGHT(C72,3)),'GAS-COMP'!#REF!,4,FALSE),IF(LEFT(C72,3)="SCE",VLOOKUP(VALUE(RIGHT(C72,3)),'SCE-COMP'!B:J,4,FALSE),IF(LEFT(C72,3)="EST",VLOOKUP(VALUE(RIGHT(C72,3)),'EST-COMP'!B:J,4,FALSE),IF(LEFT(C72,3)="HID",VLOOKUP(VALUE(RIGHT(C72,3)),'HID-COMP'!B:J,4,FALSE),IF(LEFT(C72,3)="INC",VLOOKUP(VALUE(RIGHT(C72,3)),'INC-COMP'!B:J,4,FALSE),IF(LEFT(C72,3)="ELE",VLOOKUP(VALUE(RIGHT(C72,3)),#REF!,4,FALSE),IF(LEFT(C72,3)="CAB",VLOOKUP(VALUE(RIGHT(C72,3)),#REF!,4,FALSE),IF(LEFT(C72,3)="SEG",VLOOKUP(VALUE(RIGHT(C72,3)),'SEG-COMP'!B:J,4,FALSE),IF(LEFT(C72,3)="CLI",VLOOKUP(VALUE(RIGHT(C72,3)),'CLI-COMP'!B:J,4,FALSE),IF(LEFT(C72,4)="IMPL",VLOOKUP(VALUE(RIGHT(C72,3)),'IMPL-COMP'!B:J,4,FALSE),IF(LEFT(C72,4)="SPDA",VLOOKUP(VALUE(RIGHT(C72,3)),'SPDA-COMP'!B:J,4,FALSE),IF(LEFT(C72,4)="SDAI",VLOOKUP(VALUE(RIGHT(C72,3)),'ADM-COMP'!B:J,4,FALSE),IF(LEFT(C72,5)="IMPER",VLOOKUP(VALUE(RIGHT(C72,3)),'IMPER-COMP'!B:J,4,FALSE),""))))))))))))))))</f>
        <v>FORMA DE CHAPAS MADEIRA COMPENSADA RESINADA, ESP. 12MM, LEVANDO-SE EM CONTA A UTILIZAÇÃO 3 VEZES, REFORÇADAS COM SARRAFOS DE MADEIRA DE 2.5 X 10.0CM (INCL MATERIAL, CORTE, MONTAGEM, ESCORAS EM EUCALIPTO E DESFORMA)</v>
      </c>
      <c r="E72" s="338" t="str">
        <f>IF(B72="IOPES",VLOOKUP(C72,'LABOR-SERVIÇOS'!A:H,6,FALSE),IF(B72="SINAPI",VLOOKUP(C72,'SINAPI-SERVIÇOS'!A:D,3,FALSE),IF(LEFT(C72,3)="ARQ",VLOOKUP(VALUE(RIGHT(C72,3)),'ARQ-COMP'!B:J,5,FALSE),IF(LEFT(C72,3)="SCI",VLOOKUP(VALUE(RIGHT(C72,3)),'GAS-COMP'!#REF!,5,FALSE),IF(LEFT(C72,3)="SCE",VLOOKUP(VALUE(RIGHT(C72,3)),'SCE-COMP'!B:J,5,FALSE),IF(LEFT(C72,3)="EST",VLOOKUP(VALUE(RIGHT(C72,3)),'EST-COMP'!B:J,5,FALSE),IF(LEFT(C72,3)="HID",VLOOKUP(VALUE(RIGHT(C72,3)),'HID-COMP'!B:J,5,FALSE),IF(LEFT(C72,3)="INC",VLOOKUP(VALUE(RIGHT(C72,3)),'INC-COMP'!B:J,5,FALSE),IF(LEFT(C72,3)="ELE",VLOOKUP(VALUE(RIGHT(C72,3)),#REF!,5,FALSE),IF(LEFT(C72,3)="CAB",VLOOKUP(VALUE(RIGHT(C72,3)),#REF!,5,FALSE),IF(LEFT(C72,3)="SEG",VLOOKUP(VALUE(RIGHT(C72,3)),'SEG-COMP'!B:J,5,FALSE),IF(LEFT(C72,3)="CLI",VLOOKUP(VALUE(RIGHT(C72,3)),'CLI-COMP'!B:J,5,FALSE),IF(LEFT(C72,4)="IMPL",VLOOKUP(VALUE(RIGHT(C72,3)),'IMPL-COMP'!B:J,5,FALSE),IF(LEFT(C72,4)="SPDA",VLOOKUP(VALUE(RIGHT(C72,3)),'SPDA-COMP'!B:J,5,FALSE),IF(LEFT(C72,4)="SDAI",VLOOKUP(VALUE(RIGHT(C72,3)),'ADM-COMP'!B:J,5,FALSE),IF(LEFT(C72,5)="IMPER",VLOOKUP(VALUE(RIGHT(C72,3)),'IMPER-COMP'!B:J,5,FALSE),""))))))))))))))))</f>
        <v>M2</v>
      </c>
      <c r="F72" s="606">
        <f>ROUND(VLOOKUP(A72,'MEM-LEVANT'!A79:I2666,9,FALSE),2)</f>
        <v>1216.3499999999999</v>
      </c>
      <c r="G72" s="339">
        <f>IF(B72="IOPES",VLOOKUP(C72,'LABOR-SERVIÇOS'!A:H,7,FALSE),IF(B72="SINAPI",VLOOKUP(C72,'SINAPI-SERVIÇOS'!A:H,8,FALSE),IF(LEFT(C72,3)="ARQ",VLOOKUP(VALUE(RIGHT(C72,3)),'ARQ-COMP'!B:J,9,FALSE),IF(LEFT(C72,3)="SCI",VLOOKUP(VALUE(RIGHT(C72,3)),'GAS-COMP'!#REF!,9,FALSE),IF(LEFT(C72,3)="SCE",VLOOKUP(VALUE(RIGHT(C72,3)),'SCE-COMP'!B:J,9,FALSE),IF(LEFT(C72,3)="EST",VLOOKUP(VALUE(RIGHT(C72,3)),'EST-COMP'!B:J,9,FALSE),IF(LEFT(C72,3)="HID",VLOOKUP(VALUE(RIGHT(C72,3)),'HID-COMP'!B:J,9,FALSE),IF(LEFT(C72,3)="INC",VLOOKUP(VALUE(RIGHT(C72,3)),'INC-COMP'!B:J,9,FALSE),IF(LEFT(C72,3)="ELE",VLOOKUP(VALUE(RIGHT(C72,3)),#REF!,9,FALSE),IF(LEFT(C72,3)="CAB",VLOOKUP(VALUE(RIGHT(C72,3)),#REF!,9,FALSE),IF(LEFT(C72,3)="SEG",VLOOKUP(VALUE(RIGHT(C72,3)),'SEG-COMP'!B:J,9,FALSE),IF(LEFT(C72,3)="CLI",VLOOKUP(VALUE(RIGHT(C72,3)),'CLI-COMP'!B:J,9,FALSE),IF(LEFT(C72,4)="IMPL",VLOOKUP(VALUE(RIGHT(C72,3)),'IMPL-COMP'!B:J,9,FALSE),IF(LEFT(C72,4)="SPDA",VLOOKUP(VALUE(RIGHT(C72,3)),'SPDA-COMP'!B:J,9,FALSE),IF(LEFT(C72,4)="SDAI",VLOOKUP(VALUE(RIGHT(C72,3)),'ADM-COMP'!B:J,9,FALSE),IF(LEFT(C72,5)="IMPER",VLOOKUP(VALUE(RIGHT(C72,3)),'IMPER-COMP'!B:J,9,FALSE),""))))))))))))))))</f>
        <v>168.53</v>
      </c>
      <c r="H72" s="339">
        <f t="shared" ref="H72" si="24">ROUND(F72*G72,2)</f>
        <v>204991.47</v>
      </c>
      <c r="I72" s="374">
        <f>H72/$H$441</f>
        <v>1.1985767092746194E-2</v>
      </c>
      <c r="J72" s="314"/>
    </row>
    <row r="73" spans="1:10" ht="17.25" customHeight="1">
      <c r="A73" s="553" t="s">
        <v>10361</v>
      </c>
      <c r="B73" s="554"/>
      <c r="C73" s="555"/>
      <c r="D73" s="556" t="s">
        <v>35508</v>
      </c>
      <c r="E73" s="557"/>
      <c r="F73" s="598"/>
      <c r="G73" s="558"/>
      <c r="H73" s="559"/>
      <c r="I73" s="560"/>
      <c r="J73" s="314"/>
    </row>
    <row r="74" spans="1:10" ht="52.8">
      <c r="A74" s="613" t="s">
        <v>9649</v>
      </c>
      <c r="B74" s="337" t="s">
        <v>29</v>
      </c>
      <c r="C74" s="540" t="s">
        <v>4477</v>
      </c>
      <c r="D74" s="634" t="str">
        <f>IF(B74="IOPES",VLOOKUP(C74,'LABOR-SERVIÇOS'!A:H,5,FALSE),IF(B74="SINAPI",VLOOKUP(C74,'SINAPI-SERVIÇOS'!A:D,2,FALSE),IF(LEFT(C74,3)="ARQ",VLOOKUP(VALUE(RIGHT(C74,3)),'ARQ-COMP'!B:J,4,FALSE),IF(LEFT(C74,3)="SCI",VLOOKUP(VALUE(RIGHT(C74,3)),'GAS-COMP'!#REF!,4,FALSE),IF(LEFT(C74,3)="SCE",VLOOKUP(VALUE(RIGHT(C74,3)),'SCE-COMP'!B:J,4,FALSE),IF(LEFT(C74,3)="EST",VLOOKUP(VALUE(RIGHT(C74,3)),'EST-COMP'!B:J,4,FALSE),IF(LEFT(C74,3)="HID",VLOOKUP(VALUE(RIGHT(C74,3)),'HID-COMP'!B:J,4,FALSE),IF(LEFT(C74,3)="INC",VLOOKUP(VALUE(RIGHT(C74,3)),'INC-COMP'!B:J,4,FALSE),IF(LEFT(C74,3)="ELE",VLOOKUP(VALUE(RIGHT(C74,3)),#REF!,4,FALSE),IF(LEFT(C74,3)="CAB",VLOOKUP(VALUE(RIGHT(C74,3)),#REF!,4,FALSE),IF(LEFT(C74,3)="SEG",VLOOKUP(VALUE(RIGHT(C74,3)),'SEG-COMP'!B:J,4,FALSE),IF(LEFT(C74,3)="CLI",VLOOKUP(VALUE(RIGHT(C74,3)),'CLI-COMP'!B:J,4,FALSE),IF(LEFT(C74,4)="IMPL",VLOOKUP(VALUE(RIGHT(C74,3)),'IMPL-COMP'!B:J,4,FALSE),IF(LEFT(C74,4)="SPDA",VLOOKUP(VALUE(RIGHT(C74,3)),'SPDA-COMP'!B:J,4,FALSE),IF(LEFT(C74,4)="SDAI",VLOOKUP(VALUE(RIGHT(C74,3)),'ADM-COMP'!B:J,4,FALSE),IF(LEFT(C74,5)="IMPER",VLOOKUP(VALUE(RIGHT(C74,3)),'IMPER-COMP'!B:J,4,FALSE),""))))))))))))))))</f>
        <v>MONTAGEM E DESMONTAGEM DE FÔRMA DE LAJE NERVURADA COM CUBETA E ASSOALHO, PÉ-DIREITO SIMPLES, EM CHAPA DE MADEIRA COMPENSADA RESINADA, 8 UTILIZAÇÕES. AF_09/2020</v>
      </c>
      <c r="E74" s="338" t="str">
        <f>IF(B74="IOPES",VLOOKUP(C74,'LABOR-SERVIÇOS'!A:H,6,FALSE),IF(B74="SINAPI",VLOOKUP(C74,'SINAPI-SERVIÇOS'!A:D,3,FALSE),IF(LEFT(C74,3)="ARQ",VLOOKUP(VALUE(RIGHT(C74,3)),'ARQ-COMP'!B:J,5,FALSE),IF(LEFT(C74,3)="SCI",VLOOKUP(VALUE(RIGHT(C74,3)),'GAS-COMP'!#REF!,5,FALSE),IF(LEFT(C74,3)="SCE",VLOOKUP(VALUE(RIGHT(C74,3)),'SCE-COMP'!B:J,5,FALSE),IF(LEFT(C74,3)="EST",VLOOKUP(VALUE(RIGHT(C74,3)),'EST-COMP'!B:J,5,FALSE),IF(LEFT(C74,3)="HID",VLOOKUP(VALUE(RIGHT(C74,3)),'HID-COMP'!B:J,5,FALSE),IF(LEFT(C74,3)="INC",VLOOKUP(VALUE(RIGHT(C74,3)),'INC-COMP'!B:J,5,FALSE),IF(LEFT(C74,3)="ELE",VLOOKUP(VALUE(RIGHT(C74,3)),#REF!,5,FALSE),IF(LEFT(C74,3)="CAB",VLOOKUP(VALUE(RIGHT(C74,3)),#REF!,5,FALSE),IF(LEFT(C74,3)="SEG",VLOOKUP(VALUE(RIGHT(C74,3)),'SEG-COMP'!B:J,5,FALSE),IF(LEFT(C74,3)="CLI",VLOOKUP(VALUE(RIGHT(C74,3)),'CLI-COMP'!B:J,5,FALSE),IF(LEFT(C74,4)="IMPL",VLOOKUP(VALUE(RIGHT(C74,3)),'IMPL-COMP'!B:J,5,FALSE),IF(LEFT(C74,4)="SPDA",VLOOKUP(VALUE(RIGHT(C74,3)),'SPDA-COMP'!B:J,5,FALSE),IF(LEFT(C74,4)="SDAI",VLOOKUP(VALUE(RIGHT(C74,3)),'ADM-COMP'!B:J,5,FALSE),IF(LEFT(C74,5)="IMPER",VLOOKUP(VALUE(RIGHT(C74,3)),'IMPER-COMP'!B:J,5,FALSE),""))))))))))))))))</f>
        <v>M2</v>
      </c>
      <c r="F74" s="606">
        <f>ROUND(VLOOKUP(A74,'MEM-LEVANT'!A117:I2674,9,FALSE),2)</f>
        <v>2656.5</v>
      </c>
      <c r="G74" s="339">
        <f>IF(B74="IOPES",VLOOKUP(C74,'LABOR-SERVIÇOS'!A:H,7,FALSE),IF(B74="SINAPI",VLOOKUP(C74,'SINAPI-SERVIÇOS'!A:H,8,FALSE),IF(LEFT(C74,3)="ARQ",VLOOKUP(VALUE(RIGHT(C74,3)),'ARQ-COMP'!B:J,9,FALSE),IF(LEFT(C74,3)="SCI",VLOOKUP(VALUE(RIGHT(C74,3)),'GAS-COMP'!#REF!,9,FALSE),IF(LEFT(C74,3)="SCE",VLOOKUP(VALUE(RIGHT(C74,3)),'SCE-COMP'!B:J,9,FALSE),IF(LEFT(C74,3)="EST",VLOOKUP(VALUE(RIGHT(C74,3)),'EST-COMP'!B:J,9,FALSE),IF(LEFT(C74,3)="HID",VLOOKUP(VALUE(RIGHT(C74,3)),'HID-COMP'!B:J,9,FALSE),IF(LEFT(C74,3)="INC",VLOOKUP(VALUE(RIGHT(C74,3)),'INC-COMP'!B:J,9,FALSE),IF(LEFT(C74,3)="ELE",VLOOKUP(VALUE(RIGHT(C74,3)),#REF!,9,FALSE),IF(LEFT(C74,3)="CAB",VLOOKUP(VALUE(RIGHT(C74,3)),#REF!,9,FALSE),IF(LEFT(C74,3)="SEG",VLOOKUP(VALUE(RIGHT(C74,3)),'SEG-COMP'!B:J,9,FALSE),IF(LEFT(C74,3)="CLI",VLOOKUP(VALUE(RIGHT(C74,3)),'CLI-COMP'!B:J,9,FALSE),IF(LEFT(C74,4)="IMPL",VLOOKUP(VALUE(RIGHT(C74,3)),'IMPL-COMP'!B:J,9,FALSE),IF(LEFT(C74,4)="SPDA",VLOOKUP(VALUE(RIGHT(C74,3)),'SPDA-COMP'!B:J,9,FALSE),IF(LEFT(C74,4)="SDAI",VLOOKUP(VALUE(RIGHT(C74,3)),'ADM-COMP'!B:J,9,FALSE),IF(LEFT(C74,5)="IMPER",VLOOKUP(VALUE(RIGHT(C74,3)),'IMPER-COMP'!B:J,9,FALSE),""))))))))))))))))</f>
        <v>105.67</v>
      </c>
      <c r="H74" s="339">
        <f t="shared" ref="H74" si="25">ROUND(F74*G74,2)</f>
        <v>280712.36</v>
      </c>
      <c r="I74" s="374">
        <f t="shared" ref="I74:I80" si="26">H74/$H$441</f>
        <v>1.6413136444238988E-2</v>
      </c>
      <c r="J74" s="314"/>
    </row>
    <row r="75" spans="1:10" ht="26.4">
      <c r="A75" s="613" t="s">
        <v>9650</v>
      </c>
      <c r="B75" s="337" t="s">
        <v>2879</v>
      </c>
      <c r="C75" s="540">
        <f>40332</f>
        <v>40332</v>
      </c>
      <c r="D75" s="634" t="str">
        <f>IF(B75="IOPES",VLOOKUP(C75,'LABOR-SERVIÇOS'!A:H,5,FALSE),IF(B75="SINAPI",VLOOKUP(C75,'SINAPI-SERVIÇOS'!A:D,2,FALSE),IF(LEFT(C75,3)="ARQ",VLOOKUP(VALUE(RIGHT(C75,3)),'ARQ-COMP'!B:J,4,FALSE),IF(LEFT(C75,3)="SCI",VLOOKUP(VALUE(RIGHT(C75,3)),'GAS-COMP'!#REF!,4,FALSE),IF(LEFT(C75,3)="SCE",VLOOKUP(VALUE(RIGHT(C75,3)),'SCE-COMP'!B:J,4,FALSE),IF(LEFT(C75,3)="EST",VLOOKUP(VALUE(RIGHT(C75,3)),'EST-COMP'!B:J,4,FALSE),IF(LEFT(C75,3)="HID",VLOOKUP(VALUE(RIGHT(C75,3)),'HID-COMP'!B:J,4,FALSE),IF(LEFT(C75,3)="INC",VLOOKUP(VALUE(RIGHT(C75,3)),'INC-COMP'!B:J,4,FALSE),IF(LEFT(C75,3)="ELE",VLOOKUP(VALUE(RIGHT(C75,3)),#REF!,4,FALSE),IF(LEFT(C75,3)="CAB",VLOOKUP(VALUE(RIGHT(C75,3)),#REF!,4,FALSE),IF(LEFT(C75,3)="SEG",VLOOKUP(VALUE(RIGHT(C75,3)),'SEG-COMP'!B:J,4,FALSE),IF(LEFT(C75,3)="CLI",VLOOKUP(VALUE(RIGHT(C75,3)),'CLI-COMP'!B:J,4,FALSE),IF(LEFT(C75,4)="IMPL",VLOOKUP(VALUE(RIGHT(C75,3)),'IMPL-COMP'!B:J,4,FALSE),IF(LEFT(C75,4)="SPDA",VLOOKUP(VALUE(RIGHT(C75,3)),'SPDA-COMP'!B:J,4,FALSE),IF(LEFT(C75,4)="SDAI",VLOOKUP(VALUE(RIGHT(C75,3)),'ADM-COMP'!B:J,4,FALSE),IF(LEFT(C75,5)="IMPER",VLOOKUP(VALUE(RIGHT(C75,3)),'IMPER-COMP'!B:J,4,FALSE),""))))))))))))))))</f>
        <v>FORNECIMENTO, DOBRAGEM E COLOCAÇÃO EM FÔRMA, DE ARMADURA CA-50 A GROSSA, DIÂMETRO DE 12.5 A 25.0MM</v>
      </c>
      <c r="E75" s="338" t="str">
        <f>IF(B75="IOPES",VLOOKUP(C75,'LABOR-SERVIÇOS'!A:H,6,FALSE),IF(B75="SINAPI",VLOOKUP(C75,'SINAPI-SERVIÇOS'!A:D,3,FALSE),IF(LEFT(C75,3)="ARQ",VLOOKUP(VALUE(RIGHT(C75,3)),'ARQ-COMP'!B:J,5,FALSE),IF(LEFT(C75,3)="SCI",VLOOKUP(VALUE(RIGHT(C75,3)),'GAS-COMP'!#REF!,5,FALSE),IF(LEFT(C75,3)="SCE",VLOOKUP(VALUE(RIGHT(C75,3)),'SCE-COMP'!B:J,5,FALSE),IF(LEFT(C75,3)="EST",VLOOKUP(VALUE(RIGHT(C75,3)),'EST-COMP'!B:J,5,FALSE),IF(LEFT(C75,3)="HID",VLOOKUP(VALUE(RIGHT(C75,3)),'HID-COMP'!B:J,5,FALSE),IF(LEFT(C75,3)="INC",VLOOKUP(VALUE(RIGHT(C75,3)),'INC-COMP'!B:J,5,FALSE),IF(LEFT(C75,3)="ELE",VLOOKUP(VALUE(RIGHT(C75,3)),#REF!,5,FALSE),IF(LEFT(C75,3)="CAB",VLOOKUP(VALUE(RIGHT(C75,3)),#REF!,5,FALSE),IF(LEFT(C75,3)="SEG",VLOOKUP(VALUE(RIGHT(C75,3)),'SEG-COMP'!B:J,5,FALSE),IF(LEFT(C75,3)="CLI",VLOOKUP(VALUE(RIGHT(C75,3)),'CLI-COMP'!B:J,5,FALSE),IF(LEFT(C75,4)="IMPL",VLOOKUP(VALUE(RIGHT(C75,3)),'IMPL-COMP'!B:J,5,FALSE),IF(LEFT(C75,4)="SPDA",VLOOKUP(VALUE(RIGHT(C75,3)),'SPDA-COMP'!B:J,5,FALSE),IF(LEFT(C75,4)="SDAI",VLOOKUP(VALUE(RIGHT(C75,3)),'ADM-COMP'!B:J,5,FALSE),IF(LEFT(C75,5)="IMPER",VLOOKUP(VALUE(RIGHT(C75,3)),'IMPER-COMP'!B:J,5,FALSE),""))))))))))))))))</f>
        <v>KG</v>
      </c>
      <c r="F75" s="606">
        <f>ROUND(VLOOKUP(A75,'MEM-LEVANT'!A118:I2675,9,FALSE),2)</f>
        <v>11510.46</v>
      </c>
      <c r="G75" s="339">
        <f>IF(B75="IOPES",VLOOKUP(C75,'LABOR-SERVIÇOS'!A:H,7,FALSE),IF(B75="SINAPI",VLOOKUP(C75,'SINAPI-SERVIÇOS'!A:H,8,FALSE),IF(LEFT(C75,3)="ARQ",VLOOKUP(VALUE(RIGHT(C75,3)),'ARQ-COMP'!B:J,9,FALSE),IF(LEFT(C75,3)="SCI",VLOOKUP(VALUE(RIGHT(C75,3)),'GAS-COMP'!#REF!,9,FALSE),IF(LEFT(C75,3)="SCE",VLOOKUP(VALUE(RIGHT(C75,3)),'SCE-COMP'!B:J,9,FALSE),IF(LEFT(C75,3)="EST",VLOOKUP(VALUE(RIGHT(C75,3)),'EST-COMP'!B:J,9,FALSE),IF(LEFT(C75,3)="HID",VLOOKUP(VALUE(RIGHT(C75,3)),'HID-COMP'!B:J,9,FALSE),IF(LEFT(C75,3)="INC",VLOOKUP(VALUE(RIGHT(C75,3)),'INC-COMP'!B:J,9,FALSE),IF(LEFT(C75,3)="ELE",VLOOKUP(VALUE(RIGHT(C75,3)),#REF!,9,FALSE),IF(LEFT(C75,3)="CAB",VLOOKUP(VALUE(RIGHT(C75,3)),#REF!,9,FALSE),IF(LEFT(C75,3)="SEG",VLOOKUP(VALUE(RIGHT(C75,3)),'SEG-COMP'!B:J,9,FALSE),IF(LEFT(C75,3)="CLI",VLOOKUP(VALUE(RIGHT(C75,3)),'CLI-COMP'!B:J,9,FALSE),IF(LEFT(C75,4)="IMPL",VLOOKUP(VALUE(RIGHT(C75,3)),'IMPL-COMP'!B:J,9,FALSE),IF(LEFT(C75,4)="SPDA",VLOOKUP(VALUE(RIGHT(C75,3)),'SPDA-COMP'!B:J,9,FALSE),IF(LEFT(C75,4)="SDAI",VLOOKUP(VALUE(RIGHT(C75,3)),'ADM-COMP'!B:J,9,FALSE),IF(LEFT(C75,5)="IMPER",VLOOKUP(VALUE(RIGHT(C75,3)),'IMPER-COMP'!B:J,9,FALSE),""))))))))))))))))</f>
        <v>16.440000000000001</v>
      </c>
      <c r="H75" s="339">
        <f t="shared" ref="H75:H76" si="27">ROUND(F75*G75,2)</f>
        <v>189231.96</v>
      </c>
      <c r="I75" s="374">
        <f t="shared" si="26"/>
        <v>1.1064315013028903E-2</v>
      </c>
      <c r="J75" s="314"/>
    </row>
    <row r="76" spans="1:10" ht="39.6">
      <c r="A76" s="613" t="s">
        <v>9651</v>
      </c>
      <c r="B76" s="337" t="s">
        <v>2879</v>
      </c>
      <c r="C76" s="540">
        <f>40331</f>
        <v>40331</v>
      </c>
      <c r="D76" s="634" t="str">
        <f>IF(B76="IOPES",VLOOKUP(C76,'LABOR-SERVIÇOS'!A:H,5,FALSE),IF(B76="SINAPI",VLOOKUP(C76,'SINAPI-SERVIÇOS'!A:D,2,FALSE),IF(LEFT(C76,3)="ARQ",VLOOKUP(VALUE(RIGHT(C76,3)),'ARQ-COMP'!B:J,4,FALSE),IF(LEFT(C76,3)="SCI",VLOOKUP(VALUE(RIGHT(C76,3)),'GAS-COMP'!#REF!,4,FALSE),IF(LEFT(C76,3)="SCE",VLOOKUP(VALUE(RIGHT(C76,3)),'SCE-COMP'!B:J,4,FALSE),IF(LEFT(C76,3)="EST",VLOOKUP(VALUE(RIGHT(C76,3)),'EST-COMP'!B:J,4,FALSE),IF(LEFT(C76,3)="HID",VLOOKUP(VALUE(RIGHT(C76,3)),'HID-COMP'!B:J,4,FALSE),IF(LEFT(C76,3)="INC",VLOOKUP(VALUE(RIGHT(C76,3)),'INC-COMP'!B:J,4,FALSE),IF(LEFT(C76,3)="ELE",VLOOKUP(VALUE(RIGHT(C76,3)),#REF!,4,FALSE),IF(LEFT(C76,3)="CAB",VLOOKUP(VALUE(RIGHT(C76,3)),#REF!,4,FALSE),IF(LEFT(C76,3)="SEG",VLOOKUP(VALUE(RIGHT(C76,3)),'SEG-COMP'!B:J,4,FALSE),IF(LEFT(C76,3)="CLI",VLOOKUP(VALUE(RIGHT(C76,3)),'CLI-COMP'!B:J,4,FALSE),IF(LEFT(C76,4)="IMPL",VLOOKUP(VALUE(RIGHT(C76,3)),'IMPL-COMP'!B:J,4,FALSE),IF(LEFT(C76,4)="SPDA",VLOOKUP(VALUE(RIGHT(C76,3)),'SPDA-COMP'!B:J,4,FALSE),IF(LEFT(C76,4)="SDAI",VLOOKUP(VALUE(RIGHT(C76,3)),'ADM-COMP'!B:J,4,FALSE),IF(LEFT(C76,5)="IMPER",VLOOKUP(VALUE(RIGHT(C76,3)),'IMPER-COMP'!B:J,4,FALSE),""))))))))))))))))</f>
        <v>FORNECIMENTO E APLICAÇÃO DE CONCRETO USINADO FCK=30 MPA - CONSIDERANDO BOMBEAMENTO (5% DE PERDAS JÁ INCLUÍDO NO CUSTO) (6% DE TAXA P/ CONCR. BOMBEAVEL)</v>
      </c>
      <c r="E76" s="338" t="str">
        <f>IF(B76="IOPES",VLOOKUP(C76,'LABOR-SERVIÇOS'!A:H,6,FALSE),IF(B76="SINAPI",VLOOKUP(C76,'SINAPI-SERVIÇOS'!A:D,3,FALSE),IF(LEFT(C76,3)="ARQ",VLOOKUP(VALUE(RIGHT(C76,3)),'ARQ-COMP'!B:J,5,FALSE),IF(LEFT(C76,3)="SCI",VLOOKUP(VALUE(RIGHT(C76,3)),'GAS-COMP'!#REF!,5,FALSE),IF(LEFT(C76,3)="SCE",VLOOKUP(VALUE(RIGHT(C76,3)),'SCE-COMP'!B:J,5,FALSE),IF(LEFT(C76,3)="EST",VLOOKUP(VALUE(RIGHT(C76,3)),'EST-COMP'!B:J,5,FALSE),IF(LEFT(C76,3)="HID",VLOOKUP(VALUE(RIGHT(C76,3)),'HID-COMP'!B:J,5,FALSE),IF(LEFT(C76,3)="INC",VLOOKUP(VALUE(RIGHT(C76,3)),'INC-COMP'!B:J,5,FALSE),IF(LEFT(C76,3)="ELE",VLOOKUP(VALUE(RIGHT(C76,3)),#REF!,5,FALSE),IF(LEFT(C76,3)="CAB",VLOOKUP(VALUE(RIGHT(C76,3)),#REF!,5,FALSE),IF(LEFT(C76,3)="SEG",VLOOKUP(VALUE(RIGHT(C76,3)),'SEG-COMP'!B:J,5,FALSE),IF(LEFT(C76,3)="CLI",VLOOKUP(VALUE(RIGHT(C76,3)),'CLI-COMP'!B:J,5,FALSE),IF(LEFT(C76,4)="IMPL",VLOOKUP(VALUE(RIGHT(C76,3)),'IMPL-COMP'!B:J,5,FALSE),IF(LEFT(C76,4)="SPDA",VLOOKUP(VALUE(RIGHT(C76,3)),'SPDA-COMP'!B:J,5,FALSE),IF(LEFT(C76,4)="SDAI",VLOOKUP(VALUE(RIGHT(C76,3)),'ADM-COMP'!B:J,5,FALSE),IF(LEFT(C76,5)="IMPER",VLOOKUP(VALUE(RIGHT(C76,3)),'IMPER-COMP'!B:J,5,FALSE),""))))))))))))))))</f>
        <v>M3</v>
      </c>
      <c r="F76" s="606">
        <f>ROUND(VLOOKUP(A76,'MEM-LEVANT'!A119:I2676,9,FALSE),2)</f>
        <v>223.08</v>
      </c>
      <c r="G76" s="339">
        <f>IF(B76="IOPES",VLOOKUP(C76,'LABOR-SERVIÇOS'!A:H,7,FALSE),IF(B76="SINAPI",VLOOKUP(C76,'SINAPI-SERVIÇOS'!A:H,8,FALSE),IF(LEFT(C76,3)="ARQ",VLOOKUP(VALUE(RIGHT(C76,3)),'ARQ-COMP'!B:J,9,FALSE),IF(LEFT(C76,3)="SCI",VLOOKUP(VALUE(RIGHT(C76,3)),'GAS-COMP'!#REF!,9,FALSE),IF(LEFT(C76,3)="SCE",VLOOKUP(VALUE(RIGHT(C76,3)),'SCE-COMP'!B:J,9,FALSE),IF(LEFT(C76,3)="EST",VLOOKUP(VALUE(RIGHT(C76,3)),'EST-COMP'!B:J,9,FALSE),IF(LEFT(C76,3)="HID",VLOOKUP(VALUE(RIGHT(C76,3)),'HID-COMP'!B:J,9,FALSE),IF(LEFT(C76,3)="INC",VLOOKUP(VALUE(RIGHT(C76,3)),'INC-COMP'!B:J,9,FALSE),IF(LEFT(C76,3)="ELE",VLOOKUP(VALUE(RIGHT(C76,3)),#REF!,9,FALSE),IF(LEFT(C76,3)="CAB",VLOOKUP(VALUE(RIGHT(C76,3)),#REF!,9,FALSE),IF(LEFT(C76,3)="SEG",VLOOKUP(VALUE(RIGHT(C76,3)),'SEG-COMP'!B:J,9,FALSE),IF(LEFT(C76,3)="CLI",VLOOKUP(VALUE(RIGHT(C76,3)),'CLI-COMP'!B:J,9,FALSE),IF(LEFT(C76,4)="IMPL",VLOOKUP(VALUE(RIGHT(C76,3)),'IMPL-COMP'!B:J,9,FALSE),IF(LEFT(C76,4)="SPDA",VLOOKUP(VALUE(RIGHT(C76,3)),'SPDA-COMP'!B:J,9,FALSE),IF(LEFT(C76,4)="SDAI",VLOOKUP(VALUE(RIGHT(C76,3)),'ADM-COMP'!B:J,9,FALSE),IF(LEFT(C76,5)="IMPER",VLOOKUP(VALUE(RIGHT(C76,3)),'IMPER-COMP'!B:J,9,FALSE),""))))))))))))))))</f>
        <v>908.13</v>
      </c>
      <c r="H76" s="339">
        <f t="shared" si="27"/>
        <v>202585.64</v>
      </c>
      <c r="I76" s="374">
        <f t="shared" si="26"/>
        <v>1.184509920034686E-2</v>
      </c>
      <c r="J76" s="314"/>
    </row>
    <row r="77" spans="1:10" ht="39.6">
      <c r="A77" s="613" t="s">
        <v>9652</v>
      </c>
      <c r="B77" s="337" t="s">
        <v>2879</v>
      </c>
      <c r="C77" s="337">
        <f>40705</f>
        <v>40705</v>
      </c>
      <c r="D77" s="539" t="str">
        <f>IF(B77="IOPES",VLOOKUP(C77,'LABOR-SERVIÇOS'!A:H,5,FALSE),IF(B77="SINAPI",VLOOKUP(C77,'SINAPI-SERVIÇOS'!A:D,2,FALSE),IF(LEFT(C77,3)="ARQ",VLOOKUP(VALUE(RIGHT(C77,3)),'ARQ-COMP'!B:J,4,FALSE),IF(LEFT(C77,3)="SCI",VLOOKUP(VALUE(RIGHT(C77,3)),'GAS-COMP'!#REF!,4,FALSE),IF(LEFT(C77,3)="SCE",VLOOKUP(VALUE(RIGHT(C77,3)),'SCE-COMP'!B:J,4,FALSE),IF(LEFT(C77,3)="EST",VLOOKUP(VALUE(RIGHT(C77,3)),'EST-COMP'!B:J,4,FALSE),IF(LEFT(C77,3)="HID",VLOOKUP(VALUE(RIGHT(C77,3)),'HID-COMP'!B:J,4,FALSE),IF(LEFT(C77,3)="INC",VLOOKUP(VALUE(RIGHT(C77,3)),'INC-COMP'!B:J,4,FALSE),IF(LEFT(C77,3)="ELE",VLOOKUP(VALUE(RIGHT(C77,3)),#REF!,4,FALSE),IF(LEFT(C77,3)="CAB",VLOOKUP(VALUE(RIGHT(C77,3)),#REF!,4,FALSE),IF(LEFT(C77,3)="SEG",VLOOKUP(VALUE(RIGHT(C77,3)),'SEG-COMP'!B:J,4,FALSE),IF(LEFT(C77,3)="CLI",VLOOKUP(VALUE(RIGHT(C77,3)),'CLI-COMP'!B:J,4,FALSE),IF(LEFT(C77,4)="IMPL",VLOOKUP(VALUE(RIGHT(C77,3)),'IMPL-COMP'!B:J,4,FALSE),IF(LEFT(C77,4)="SPDA",VLOOKUP(VALUE(RIGHT(C77,3)),'SPDA-COMP'!B:J,4,FALSE),IF(LEFT(C77,4)="SDAI",VLOOKUP(VALUE(RIGHT(C77,3)),'ADM-COMP'!B:J,4,FALSE),IF(LEFT(C77,5)="IMPER",VLOOKUP(VALUE(RIGHT(C77,3)),'IMPER-COMP'!B:J,4,FALSE),""))))))))))))))))</f>
        <v>EXECUÇÃO DE JUNTA DE DILATAÇÃO 2 X 2 CM CONSIDERANDO 1CM DE APLICAÇÃO DE ISOPOR E 1CM DE APLICAÇÃO DE MASTIQUE ELÁSTICO DO TIPO SIKAFLEX 1A OU EQUIVALENTE</v>
      </c>
      <c r="E77" s="338" t="str">
        <f>IF(B77="IOPES",VLOOKUP(C77,'LABOR-SERVIÇOS'!A:H,6,FALSE),IF(B77="SINAPI",VLOOKUP(C77,'SINAPI-SERVIÇOS'!A:D,3,FALSE),IF(LEFT(C77,3)="ARQ",VLOOKUP(VALUE(RIGHT(C77,3)),'ARQ-COMP'!B:J,5,FALSE),IF(LEFT(C77,3)="SCI",VLOOKUP(VALUE(RIGHT(C77,3)),'GAS-COMP'!#REF!,5,FALSE),IF(LEFT(C77,3)="SCE",VLOOKUP(VALUE(RIGHT(C77,3)),'SCE-COMP'!B:J,5,FALSE),IF(LEFT(C77,3)="EST",VLOOKUP(VALUE(RIGHT(C77,3)),'EST-COMP'!B:J,5,FALSE),IF(LEFT(C77,3)="HID",VLOOKUP(VALUE(RIGHT(C77,3)),'HID-COMP'!B:J,5,FALSE),IF(LEFT(C77,3)="INC",VLOOKUP(VALUE(RIGHT(C77,3)),'INC-COMP'!B:J,5,FALSE),IF(LEFT(C77,3)="ELE",VLOOKUP(VALUE(RIGHT(C77,3)),#REF!,5,FALSE),IF(LEFT(C77,3)="CAB",VLOOKUP(VALUE(RIGHT(C77,3)),#REF!,5,FALSE),IF(LEFT(C77,3)="SEG",VLOOKUP(VALUE(RIGHT(C77,3)),'SEG-COMP'!B:J,5,FALSE),IF(LEFT(C77,3)="CLI",VLOOKUP(VALUE(RIGHT(C77,3)),'CLI-COMP'!B:J,5,FALSE),IF(LEFT(C77,4)="IMPL",VLOOKUP(VALUE(RIGHT(C77,3)),'IMPL-COMP'!B:J,5,FALSE),IF(LEFT(C77,4)="SPDA",VLOOKUP(VALUE(RIGHT(C77,3)),'SPDA-COMP'!B:J,5,FALSE),IF(LEFT(C77,4)="SDAI",VLOOKUP(VALUE(RIGHT(C77,3)),'ADM-COMP'!B:J,5,FALSE),IF(LEFT(C77,5)="IMPER",VLOOKUP(VALUE(RIGHT(C77,3)),'IMPER-COMP'!B:J,5,FALSE),""))))))))))))))))</f>
        <v>M</v>
      </c>
      <c r="F77" s="606">
        <f>ROUND(VLOOKUP(A77,'MEM-LEVANT'!A118:I2675,9,FALSE),2)</f>
        <v>200</v>
      </c>
      <c r="G77" s="339">
        <f>IF(B77="IOPES",VLOOKUP(C77,'LABOR-SERVIÇOS'!A:H,7,FALSE),IF(B77="SINAPI",VLOOKUP(C77,'SINAPI-SERVIÇOS'!A:H,8,FALSE),IF(LEFT(C77,3)="ARQ",VLOOKUP(VALUE(RIGHT(C77,3)),'ARQ-COMP'!B:J,9,FALSE),IF(LEFT(C77,3)="SCI",VLOOKUP(VALUE(RIGHT(C77,3)),'GAS-COMP'!#REF!,9,FALSE),IF(LEFT(C77,3)="SCE",VLOOKUP(VALUE(RIGHT(C77,3)),'SCE-COMP'!B:J,9,FALSE),IF(LEFT(C77,3)="EST",VLOOKUP(VALUE(RIGHT(C77,3)),'EST-COMP'!B:J,9,FALSE),IF(LEFT(C77,3)="HID",VLOOKUP(VALUE(RIGHT(C77,3)),'HID-COMP'!B:J,9,FALSE),IF(LEFT(C77,3)="INC",VLOOKUP(VALUE(RIGHT(C77,3)),'INC-COMP'!B:J,9,FALSE),IF(LEFT(C77,3)="ELE",VLOOKUP(VALUE(RIGHT(C77,3)),#REF!,9,FALSE),IF(LEFT(C77,3)="CAB",VLOOKUP(VALUE(RIGHT(C77,3)),#REF!,9,FALSE),IF(LEFT(C77,3)="SEG",VLOOKUP(VALUE(RIGHT(C77,3)),'SEG-COMP'!B:J,9,FALSE),IF(LEFT(C77,3)="CLI",VLOOKUP(VALUE(RIGHT(C77,3)),'CLI-COMP'!B:J,9,FALSE),IF(LEFT(C77,4)="IMPL",VLOOKUP(VALUE(RIGHT(C77,3)),'IMPL-COMP'!B:J,9,FALSE),IF(LEFT(C77,4)="SPDA",VLOOKUP(VALUE(RIGHT(C77,3)),'SPDA-COMP'!B:J,9,FALSE),IF(LEFT(C77,4)="SDAI",VLOOKUP(VALUE(RIGHT(C77,3)),'ADM-COMP'!B:J,9,FALSE),IF(LEFT(C77,5)="IMPER",VLOOKUP(VALUE(RIGHT(C77,3)),'IMPER-COMP'!B:J,9,FALSE),""))))))))))))))))</f>
        <v>81.59</v>
      </c>
      <c r="H77" s="339">
        <f t="shared" ref="H77" si="28">ROUND(F77*G77,2)</f>
        <v>16318</v>
      </c>
      <c r="I77" s="374">
        <f t="shared" si="26"/>
        <v>9.541067607322022E-4</v>
      </c>
      <c r="J77" s="314"/>
    </row>
    <row r="78" spans="1:10" ht="52.8">
      <c r="A78" s="613" t="s">
        <v>9653</v>
      </c>
      <c r="B78" s="337" t="s">
        <v>2879</v>
      </c>
      <c r="C78" s="337">
        <f>'LABOR-SERVIÇOS'!A194</f>
        <v>40602</v>
      </c>
      <c r="D78" s="539" t="str">
        <f>IF(B78="IOPES",VLOOKUP(C78,'LABOR-SERVIÇOS'!A:H,5,FALSE),IF(B78="SINAPI",VLOOKUP(C78,'SINAPI-SERVIÇOS'!A:D,2,FALSE),IF(LEFT(C78,3)="ARQ",VLOOKUP(VALUE(RIGHT(C78,3)),'ARQ-COMP'!B:J,4,FALSE),IF(LEFT(C78,3)="SCI",VLOOKUP(VALUE(RIGHT(C78,3)),'GAS-COMP'!#REF!,4,FALSE),IF(LEFT(C78,3)="SCE",VLOOKUP(VALUE(RIGHT(C78,3)),'SCE-COMP'!B:J,4,FALSE),IF(LEFT(C78,3)="EST",VLOOKUP(VALUE(RIGHT(C78,3)),'EST-COMP'!B:J,4,FALSE),IF(LEFT(C78,3)="HID",VLOOKUP(VALUE(RIGHT(C78,3)),'HID-COMP'!B:J,4,FALSE),IF(LEFT(C78,3)="INC",VLOOKUP(VALUE(RIGHT(C78,3)),'INC-COMP'!B:J,4,FALSE),IF(LEFT(C78,3)="ELE",VLOOKUP(VALUE(RIGHT(C78,3)),#REF!,4,FALSE),IF(LEFT(C78,3)="CAB",VLOOKUP(VALUE(RIGHT(C78,3)),#REF!,4,FALSE),IF(LEFT(C78,3)="SEG",VLOOKUP(VALUE(RIGHT(C78,3)),'SEG-COMP'!B:J,4,FALSE),IF(LEFT(C78,3)="CLI",VLOOKUP(VALUE(RIGHT(C78,3)),'CLI-COMP'!B:J,4,FALSE),IF(LEFT(C78,4)="IMPL",VLOOKUP(VALUE(RIGHT(C78,3)),'IMPL-COMP'!B:J,4,FALSE),IF(LEFT(C78,4)="SPDA",VLOOKUP(VALUE(RIGHT(C78,3)),'SPDA-COMP'!B:J,4,FALSE),IF(LEFT(C78,4)="SDAI",VLOOKUP(VALUE(RIGHT(C78,3)),'ADM-COMP'!B:J,4,FALSE),IF(LEFT(C78,5)="IMPER",VLOOKUP(VALUE(RIGHT(C78,3)),'IMPER-COMP'!B:J,4,FALSE),""))))))))))))))))</f>
        <v>LAJE PRÉ-FABRICADA TRELIÇADA (H=8CM), SOBRECARGA 300 KG/M2, VÃO DE 3.5 A 4.3M, CAPEAMENTO 4CM, ELEMENTO DE ENCHIMENTO EM BLOCO CERÂMICO, ESPESSURA FINAL DA LAJE ? 12CM, FCK = 150 KG/CM2</v>
      </c>
      <c r="E78" s="338" t="str">
        <f>IF(B78="IOPES",VLOOKUP(C78,'LABOR-SERVIÇOS'!A:H,6,FALSE),IF(B78="SINAPI",VLOOKUP(C78,'SINAPI-SERVIÇOS'!A:D,3,FALSE),IF(LEFT(C78,3)="ARQ",VLOOKUP(VALUE(RIGHT(C78,3)),'ARQ-COMP'!B:J,5,FALSE),IF(LEFT(C78,3)="SCI",VLOOKUP(VALUE(RIGHT(C78,3)),'GAS-COMP'!#REF!,5,FALSE),IF(LEFT(C78,3)="SCE",VLOOKUP(VALUE(RIGHT(C78,3)),'SCE-COMP'!B:J,5,FALSE),IF(LEFT(C78,3)="EST",VLOOKUP(VALUE(RIGHT(C78,3)),'EST-COMP'!B:J,5,FALSE),IF(LEFT(C78,3)="HID",VLOOKUP(VALUE(RIGHT(C78,3)),'HID-COMP'!B:J,5,FALSE),IF(LEFT(C78,3)="INC",VLOOKUP(VALUE(RIGHT(C78,3)),'INC-COMP'!B:J,5,FALSE),IF(LEFT(C78,3)="ELE",VLOOKUP(VALUE(RIGHT(C78,3)),#REF!,5,FALSE),IF(LEFT(C78,3)="CAB",VLOOKUP(VALUE(RIGHT(C78,3)),#REF!,5,FALSE),IF(LEFT(C78,3)="SEG",VLOOKUP(VALUE(RIGHT(C78,3)),'SEG-COMP'!B:J,5,FALSE),IF(LEFT(C78,3)="CLI",VLOOKUP(VALUE(RIGHT(C78,3)),'CLI-COMP'!B:J,5,FALSE),IF(LEFT(C78,4)="IMPL",VLOOKUP(VALUE(RIGHT(C78,3)),'IMPL-COMP'!B:J,5,FALSE),IF(LEFT(C78,4)="SPDA",VLOOKUP(VALUE(RIGHT(C78,3)),'SPDA-COMP'!B:J,5,FALSE),IF(LEFT(C78,4)="SDAI",VLOOKUP(VALUE(RIGHT(C78,3)),'ADM-COMP'!B:J,5,FALSE),IF(LEFT(C78,5)="IMPER",VLOOKUP(VALUE(RIGHT(C78,3)),'IMPER-COMP'!B:J,5,FALSE),""))))))))))))))))</f>
        <v>M2</v>
      </c>
      <c r="F78" s="606">
        <f>ROUND(VLOOKUP(A78,'MEM-LEVANT'!A119:I2676,9,FALSE),2)</f>
        <v>324.23</v>
      </c>
      <c r="G78" s="339">
        <f>IF(B78="IOPES",VLOOKUP(C78,'LABOR-SERVIÇOS'!A:H,7,FALSE),IF(B78="SINAPI",VLOOKUP(C78,'SINAPI-SERVIÇOS'!A:H,8,FALSE),IF(LEFT(C78,3)="ARQ",VLOOKUP(VALUE(RIGHT(C78,3)),'ARQ-COMP'!B:J,9,FALSE),IF(LEFT(C78,3)="SCI",VLOOKUP(VALUE(RIGHT(C78,3)),'GAS-COMP'!#REF!,9,FALSE),IF(LEFT(C78,3)="SCE",VLOOKUP(VALUE(RIGHT(C78,3)),'SCE-COMP'!B:J,9,FALSE),IF(LEFT(C78,3)="EST",VLOOKUP(VALUE(RIGHT(C78,3)),'EST-COMP'!B:J,9,FALSE),IF(LEFT(C78,3)="HID",VLOOKUP(VALUE(RIGHT(C78,3)),'HID-COMP'!B:J,9,FALSE),IF(LEFT(C78,3)="INC",VLOOKUP(VALUE(RIGHT(C78,3)),'INC-COMP'!B:J,9,FALSE),IF(LEFT(C78,3)="ELE",VLOOKUP(VALUE(RIGHT(C78,3)),#REF!,9,FALSE),IF(LEFT(C78,3)="CAB",VLOOKUP(VALUE(RIGHT(C78,3)),#REF!,9,FALSE),IF(LEFT(C78,3)="SEG",VLOOKUP(VALUE(RIGHT(C78,3)),'SEG-COMP'!B:J,9,FALSE),IF(LEFT(C78,3)="CLI",VLOOKUP(VALUE(RIGHT(C78,3)),'CLI-COMP'!B:J,9,FALSE),IF(LEFT(C78,4)="IMPL",VLOOKUP(VALUE(RIGHT(C78,3)),'IMPL-COMP'!B:J,9,FALSE),IF(LEFT(C78,4)="SPDA",VLOOKUP(VALUE(RIGHT(C78,3)),'SPDA-COMP'!B:J,9,FALSE),IF(LEFT(C78,4)="SDAI",VLOOKUP(VALUE(RIGHT(C78,3)),'ADM-COMP'!B:J,9,FALSE),IF(LEFT(C78,5)="IMPER",VLOOKUP(VALUE(RIGHT(C78,3)),'IMPER-COMP'!B:J,9,FALSE),""))))))))))))))))</f>
        <v>191.99</v>
      </c>
      <c r="H78" s="339">
        <f>ROUND(F78*G78,2)</f>
        <v>62248.92</v>
      </c>
      <c r="I78" s="374">
        <f t="shared" si="26"/>
        <v>3.6396687964381658E-3</v>
      </c>
      <c r="J78" s="314"/>
    </row>
    <row r="79" spans="1:10">
      <c r="A79" s="613" t="s">
        <v>35882</v>
      </c>
      <c r="B79" s="337" t="s">
        <v>35861</v>
      </c>
      <c r="C79" s="337" t="s">
        <v>7995</v>
      </c>
      <c r="D79" s="539" t="str">
        <f>IF(B79="IOPES",VLOOKUP(C79,'LABOR-SERVIÇOS'!A:H,5,FALSE),IF(B79="SINAPI",VLOOKUP(C79,'SINAPI-SERVIÇOS'!A:D,2,FALSE),IF(LEFT(C79,3)="ARQ",VLOOKUP(VALUE(RIGHT(C79,3)),'ARQ-COMP'!B:J,4,FALSE),IF(LEFT(C79,3)="SCI",VLOOKUP(VALUE(RIGHT(C79,3)),'GAS-COMP'!#REF!,4,FALSE),IF(LEFT(C79,3)="SCE",VLOOKUP(VALUE(RIGHT(C79,3)),'SCE-COMP'!B:J,4,FALSE),IF(LEFT(C79,3)="EST",VLOOKUP(VALUE(RIGHT(C79,3)),'EST-COMP'!B:J,4,FALSE),IF(LEFT(C79,3)="HID",VLOOKUP(VALUE(RIGHT(C79,3)),'HID-COMP'!B:J,4,FALSE),IF(LEFT(C79,3)="INC",VLOOKUP(VALUE(RIGHT(C79,3)),'INC-COMP'!B:J,4,FALSE),IF(LEFT(C79,3)="ELE",VLOOKUP(VALUE(RIGHT(C79,3)),#REF!,4,FALSE),IF(LEFT(C79,3)="CAB",VLOOKUP(VALUE(RIGHT(C79,3)),#REF!,4,FALSE),IF(LEFT(C79,3)="SEG",VLOOKUP(VALUE(RIGHT(C79,3)),'SEG-COMP'!B:J,4,FALSE),IF(LEFT(C79,3)="CLI",VLOOKUP(VALUE(RIGHT(C79,3)),'CLI-COMP'!B:J,4,FALSE),IF(LEFT(C79,4)="IMPL",VLOOKUP(VALUE(RIGHT(C79,3)),'IMPL-COMP'!B:J,4,FALSE),IF(LEFT(C79,4)="SPDA",VLOOKUP(VALUE(RIGHT(C79,3)),'SPDA-COMP'!B:J,4,FALSE),IF(LEFT(C79,4)="SDAI",VLOOKUP(VALUE(RIGHT(C79,3)),'ADM-COMP'!B:J,4,FALSE),IF(LEFT(C79,5)="IMPER",VLOOKUP(VALUE(RIGHT(C79,3)),'IMPER-COMP'!B:J,4,FALSE),""))))))))))))))))</f>
        <v xml:space="preserve">ESCORAMENTO METÁLICO - LAJE NERVURADA </v>
      </c>
      <c r="E79" s="338" t="str">
        <f>IF(B79="IOPES",VLOOKUP(C79,'LABOR-SERVIÇOS'!A:H,6,FALSE),IF(B79="SINAPI",VLOOKUP(C79,'SINAPI-SERVIÇOS'!A:D,3,FALSE),IF(LEFT(C79,3)="ARQ",VLOOKUP(VALUE(RIGHT(C79,3)),'ARQ-COMP'!B:J,5,FALSE),IF(LEFT(C79,3)="SCI",VLOOKUP(VALUE(RIGHT(C79,3)),'GAS-COMP'!#REF!,5,FALSE),IF(LEFT(C79,3)="SCE",VLOOKUP(VALUE(RIGHT(C79,3)),'SCE-COMP'!B:J,5,FALSE),IF(LEFT(C79,3)="EST",VLOOKUP(VALUE(RIGHT(C79,3)),'EST-COMP'!B:J,5,FALSE),IF(LEFT(C79,3)="HID",VLOOKUP(VALUE(RIGHT(C79,3)),'HID-COMP'!B:J,5,FALSE),IF(LEFT(C79,3)="INC",VLOOKUP(VALUE(RIGHT(C79,3)),'INC-COMP'!B:J,5,FALSE),IF(LEFT(C79,3)="ELE",VLOOKUP(VALUE(RIGHT(C79,3)),#REF!,5,FALSE),IF(LEFT(C79,3)="CAB",VLOOKUP(VALUE(RIGHT(C79,3)),#REF!,5,FALSE),IF(LEFT(C79,3)="SEG",VLOOKUP(VALUE(RIGHT(C79,3)),'SEG-COMP'!B:J,5,FALSE),IF(LEFT(C79,3)="CLI",VLOOKUP(VALUE(RIGHT(C79,3)),'CLI-COMP'!B:J,5,FALSE),IF(LEFT(C79,4)="IMPL",VLOOKUP(VALUE(RIGHT(C79,3)),'IMPL-COMP'!B:J,5,FALSE),IF(LEFT(C79,4)="SPDA",VLOOKUP(VALUE(RIGHT(C79,3)),'SPDA-COMP'!B:J,5,FALSE),IF(LEFT(C79,4)="SDAI",VLOOKUP(VALUE(RIGHT(C79,3)),'ADM-COMP'!B:J,5,FALSE),IF(LEFT(C79,5)="IMPER",VLOOKUP(VALUE(RIGHT(C79,3)),'IMPER-COMP'!B:J,5,FALSE),""))))))))))))))))</f>
        <v>MENSAL</v>
      </c>
      <c r="F79" s="606">
        <f>ROUND(VLOOKUP(A79,'MEM-LEVANT'!A120:I2677,9,FALSE),2)</f>
        <v>1</v>
      </c>
      <c r="G79" s="339">
        <f>IF(B79="IOPES",VLOOKUP(C79,'LABOR-SERVIÇOS'!A:H,7,FALSE),IF(B79="SINAPI",VLOOKUP(C79,'SINAPI-SERVIÇOS'!A:H,8,FALSE),IF(LEFT(C79,3)="ARQ",VLOOKUP(VALUE(RIGHT(C79,3)),'ARQ-COMP'!B:J,9,FALSE),IF(LEFT(C79,3)="SCI",VLOOKUP(VALUE(RIGHT(C79,3)),'GAS-COMP'!#REF!,9,FALSE),IF(LEFT(C79,3)="SCE",VLOOKUP(VALUE(RIGHT(C79,3)),'SCE-COMP'!B:J,9,FALSE),IF(LEFT(C79,3)="EST",VLOOKUP(VALUE(RIGHT(C79,3)),'EST-COMP'!B:J,9,FALSE),IF(LEFT(C79,3)="HID",VLOOKUP(VALUE(RIGHT(C79,3)),'HID-COMP'!B:J,9,FALSE),IF(LEFT(C79,3)="INC",VLOOKUP(VALUE(RIGHT(C79,3)),'INC-COMP'!B:J,9,FALSE),IF(LEFT(C79,3)="ELE",VLOOKUP(VALUE(RIGHT(C79,3)),#REF!,9,FALSE),IF(LEFT(C79,3)="CAB",VLOOKUP(VALUE(RIGHT(C79,3)),#REF!,9,FALSE),IF(LEFT(C79,3)="SEG",VLOOKUP(VALUE(RIGHT(C79,3)),'SEG-COMP'!B:J,9,FALSE),IF(LEFT(C79,3)="CLI",VLOOKUP(VALUE(RIGHT(C79,3)),'CLI-COMP'!B:J,9,FALSE),IF(LEFT(C79,4)="IMPL",VLOOKUP(VALUE(RIGHT(C79,3)),'IMPL-COMP'!B:J,9,FALSE),IF(LEFT(C79,4)="SPDA",VLOOKUP(VALUE(RIGHT(C79,3)),'SPDA-COMP'!B:J,9,FALSE),IF(LEFT(C79,4)="SDAI",VLOOKUP(VALUE(RIGHT(C79,3)),'ADM-COMP'!B:J,9,FALSE),IF(LEFT(C79,5)="IMPER",VLOOKUP(VALUE(RIGHT(C79,3)),'IMPER-COMP'!B:J,9,FALSE),""))))))))))))))))</f>
        <v>436854.6</v>
      </c>
      <c r="H79" s="339">
        <f>ROUND(F79*G79,2)</f>
        <v>436854.6</v>
      </c>
      <c r="I79" s="374">
        <f t="shared" ref="I79" si="29">H79/$H$441</f>
        <v>2.5542709113675809E-2</v>
      </c>
      <c r="J79" s="314"/>
    </row>
    <row r="80" spans="1:10">
      <c r="A80" s="570"/>
      <c r="B80" s="569"/>
      <c r="C80" s="569"/>
      <c r="D80" s="571" t="s">
        <v>15719</v>
      </c>
      <c r="E80" s="572"/>
      <c r="F80" s="600"/>
      <c r="G80" s="573"/>
      <c r="H80" s="574">
        <f>SUM(H61:H79)</f>
        <v>3617688.8100000005</v>
      </c>
      <c r="I80" s="575">
        <f t="shared" si="26"/>
        <v>0.21152477949786958</v>
      </c>
      <c r="J80" s="314"/>
    </row>
    <row r="81" spans="1:10">
      <c r="A81" s="613"/>
      <c r="B81" s="337"/>
      <c r="C81" s="337"/>
      <c r="D81" s="539"/>
      <c r="E81" s="338"/>
      <c r="F81" s="599"/>
      <c r="G81" s="339"/>
      <c r="H81" s="339"/>
      <c r="I81" s="374"/>
      <c r="J81" s="314"/>
    </row>
    <row r="82" spans="1:10">
      <c r="A82" s="561" t="s">
        <v>9</v>
      </c>
      <c r="B82" s="562"/>
      <c r="C82" s="563"/>
      <c r="D82" s="564" t="s">
        <v>1199</v>
      </c>
      <c r="E82" s="565"/>
      <c r="F82" s="597"/>
      <c r="G82" s="566"/>
      <c r="H82" s="567"/>
      <c r="I82" s="568"/>
      <c r="J82" s="314"/>
    </row>
    <row r="83" spans="1:10" ht="24" customHeight="1">
      <c r="A83" s="553" t="s">
        <v>41</v>
      </c>
      <c r="B83" s="554"/>
      <c r="C83" s="555"/>
      <c r="D83" s="556" t="s">
        <v>45</v>
      </c>
      <c r="E83" s="557"/>
      <c r="F83" s="598"/>
      <c r="G83" s="558"/>
      <c r="H83" s="559"/>
      <c r="I83" s="560"/>
      <c r="J83" s="314"/>
    </row>
    <row r="84" spans="1:10" ht="79.2">
      <c r="A84" s="613" t="s">
        <v>42</v>
      </c>
      <c r="B84" s="337" t="s">
        <v>2879</v>
      </c>
      <c r="C84" s="540">
        <f>50608</f>
        <v>50608</v>
      </c>
      <c r="D84" s="539" t="str">
        <f>IF(B84="IOPES",VLOOKUP(C84,'LABOR-SERVIÇOS'!A:H,5,FALSE),IF(B84="SINAPI",VLOOKUP(C84,'SINAPI-SERVIÇOS'!A:D,2,FALSE),IF(LEFT(C84,3)="ARQ",VLOOKUP(VALUE(RIGHT(C84,3)),'ARQ-COMP'!B:J,4,FALSE),IF(LEFT(C84,3)="SCI",VLOOKUP(VALUE(RIGHT(C84,3)),'GAS-COMP'!#REF!,4,FALSE),IF(LEFT(C84,3)="SCE",VLOOKUP(VALUE(RIGHT(C84,3)),'SCE-COMP'!B:J,4,FALSE),IF(LEFT(C84,3)="EST",VLOOKUP(VALUE(RIGHT(C84,3)),'EST-COMP'!B:J,4,FALSE),IF(LEFT(C84,3)="HID",VLOOKUP(VALUE(RIGHT(C84,3)),'HID-COMP'!B:J,4,FALSE),IF(LEFT(C84,3)="INC",VLOOKUP(VALUE(RIGHT(C84,3)),'INC-COMP'!B:J,4,FALSE),IF(LEFT(C84,3)="ELE",VLOOKUP(VALUE(RIGHT(C84,3)),#REF!,4,FALSE),IF(LEFT(C84,3)="CAB",VLOOKUP(VALUE(RIGHT(C84,3)),#REF!,4,FALSE),IF(LEFT(C84,3)="SEG",VLOOKUP(VALUE(RIGHT(C84,3)),'SEG-COMP'!B:J,4,FALSE),IF(LEFT(C84,3)="CLI",VLOOKUP(VALUE(RIGHT(C84,3)),'CLI-COMP'!B:J,4,FALSE),IF(LEFT(C84,4)="IMPL",VLOOKUP(VALUE(RIGHT(C84,3)),'IMPL-COMP'!B:J,4,FALSE),IF(LEFT(C84,4)="SPDA",VLOOKUP(VALUE(RIGHT(C84,3)),'SPDA-COMP'!B:J,4,FALSE),IF(LEFT(C84,4)="SDAI",VLOOKUP(VALUE(RIGHT(C84,3)),'ADM-COMP'!B:J,4,FALSE),IF(LEFT(C84,5)="IMPER",VLOOKUP(VALUE(RIGHT(C84,3)),'IMPER-COMP'!B:J,4,FALSE),""))))))))))))))))</f>
        <v>ALVENARIA DE VEDAÇÃO COM BLOCOS CERÂMICOS FURADOS 9X19X19CM, ASSENTADOS C/ ARGAMASSA DE CIMENTO, CAL HIDRATADA CH1 E AREIA NO TRAÇO 1:0,5:8, PREPARO COM BETONEIRA, JUNTAS 10MM E ESP. DAS PAREDES S/REVESTIMENTO, 19CM, BLOCO DEITADO (BLOCO COMPRADO FÁBRICA, POSTO OBRA)</v>
      </c>
      <c r="E84" s="338" t="str">
        <f>IF(B84="IOPES",VLOOKUP(C84,'LABOR-SERVIÇOS'!A:H,6,FALSE),IF(B84="SINAPI",VLOOKUP(C84,'SINAPI-SERVIÇOS'!A:D,3,FALSE),IF(LEFT(C84,3)="ARQ",VLOOKUP(VALUE(RIGHT(C84,3)),'ARQ-COMP'!B:J,5,FALSE),IF(LEFT(C84,3)="SCI",VLOOKUP(VALUE(RIGHT(C84,3)),'GAS-COMP'!#REF!,5,FALSE),IF(LEFT(C84,3)="SCE",VLOOKUP(VALUE(RIGHT(C84,3)),'SCE-COMP'!B:J,5,FALSE),IF(LEFT(C84,3)="EST",VLOOKUP(VALUE(RIGHT(C84,3)),'EST-COMP'!B:J,5,FALSE),IF(LEFT(C84,3)="HID",VLOOKUP(VALUE(RIGHT(C84,3)),'HID-COMP'!B:J,5,FALSE),IF(LEFT(C84,3)="INC",VLOOKUP(VALUE(RIGHT(C84,3)),'INC-COMP'!B:J,5,FALSE),IF(LEFT(C84,3)="ELE",VLOOKUP(VALUE(RIGHT(C84,3)),#REF!,5,FALSE),IF(LEFT(C84,3)="CAB",VLOOKUP(VALUE(RIGHT(C84,3)),#REF!,5,FALSE),IF(LEFT(C84,3)="SEG",VLOOKUP(VALUE(RIGHT(C84,3)),'SEG-COMP'!B:J,5,FALSE),IF(LEFT(C84,3)="CLI",VLOOKUP(VALUE(RIGHT(C84,3)),'CLI-COMP'!B:J,5,FALSE),IF(LEFT(C84,4)="IMPL",VLOOKUP(VALUE(RIGHT(C84,3)),'IMPL-COMP'!B:J,5,FALSE),IF(LEFT(C84,4)="SPDA",VLOOKUP(VALUE(RIGHT(C84,3)),'SPDA-COMP'!B:J,5,FALSE),IF(LEFT(C84,4)="SDAI",VLOOKUP(VALUE(RIGHT(C84,3)),'ADM-COMP'!B:J,5,FALSE),IF(LEFT(C84,5)="IMPER",VLOOKUP(VALUE(RIGHT(C84,3)),'IMPER-COMP'!B:J,5,FALSE),""))))))))))))))))</f>
        <v>M2</v>
      </c>
      <c r="F84" s="599">
        <f>ROUND(VLOOKUP(A84,'MEM-LEVANT'!A128:I2683,9,FALSE),2)</f>
        <v>2812.97</v>
      </c>
      <c r="G84" s="339">
        <f>IF(B84="IOPES",VLOOKUP(C84,'LABOR-SERVIÇOS'!A:H,7,FALSE),IF(B84="SINAPI",VLOOKUP(C84,'SINAPI-SERVIÇOS'!A:H,8,FALSE),IF(LEFT(C84,3)="ARQ",VLOOKUP(VALUE(RIGHT(C84,3)),'ARQ-COMP'!B:J,9,FALSE),IF(LEFT(C84,3)="SCI",VLOOKUP(VALUE(RIGHT(C84,3)),'GAS-COMP'!#REF!,9,FALSE),IF(LEFT(C84,3)="SCE",VLOOKUP(VALUE(RIGHT(C84,3)),'SCE-COMP'!B:J,9,FALSE),IF(LEFT(C84,3)="EST",VLOOKUP(VALUE(RIGHT(C84,3)),'EST-COMP'!B:J,9,FALSE),IF(LEFT(C84,3)="HID",VLOOKUP(VALUE(RIGHT(C84,3)),'HID-COMP'!B:J,9,FALSE),IF(LEFT(C84,3)="INC",VLOOKUP(VALUE(RIGHT(C84,3)),'INC-COMP'!B:J,9,FALSE),IF(LEFT(C84,3)="ELE",VLOOKUP(VALUE(RIGHT(C84,3)),#REF!,9,FALSE),IF(LEFT(C84,3)="CAB",VLOOKUP(VALUE(RIGHT(C84,3)),#REF!,9,FALSE),IF(LEFT(C84,3)="SEG",VLOOKUP(VALUE(RIGHT(C84,3)),'SEG-COMP'!B:J,9,FALSE),IF(LEFT(C84,3)="CLI",VLOOKUP(VALUE(RIGHT(C84,3)),'CLI-COMP'!B:J,9,FALSE),IF(LEFT(C84,4)="IMPL",VLOOKUP(VALUE(RIGHT(C84,3)),'IMPL-COMP'!B:J,9,FALSE),IF(LEFT(C84,4)="SPDA",VLOOKUP(VALUE(RIGHT(C84,3)),'SPDA-COMP'!B:J,9,FALSE),IF(LEFT(C84,4)="SDAI",VLOOKUP(VALUE(RIGHT(C84,3)),'ADM-COMP'!B:J,9,FALSE),IF(LEFT(C84,5)="IMPER",VLOOKUP(VALUE(RIGHT(C84,3)),'IMPER-COMP'!B:J,9,FALSE),""))))))))))))))))</f>
        <v>134.93</v>
      </c>
      <c r="H84" s="339">
        <f t="shared" ref="H84" si="30">ROUND(F84*G84,2)</f>
        <v>379554.04</v>
      </c>
      <c r="I84" s="374">
        <f>H84/$H$441</f>
        <v>2.2192368894914858E-2</v>
      </c>
      <c r="J84" s="314"/>
    </row>
    <row r="85" spans="1:10" ht="52.8">
      <c r="A85" s="613" t="s">
        <v>43</v>
      </c>
      <c r="B85" s="337" t="s">
        <v>2879</v>
      </c>
      <c r="C85" s="540">
        <f>50122</f>
        <v>50122</v>
      </c>
      <c r="D85" s="539" t="str">
        <f>IF(B85="IOPES",VLOOKUP(C85,'LABOR-SERVIÇOS'!A:H,5,FALSE),IF(B85="SINAPI",VLOOKUP(C85,'SINAPI-SERVIÇOS'!A:D,2,FALSE),IF(LEFT(C85,3)="ARQ",VLOOKUP(VALUE(RIGHT(C85,3)),'ARQ-COMP'!B:J,4,FALSE),IF(LEFT(C85,3)="SCI",VLOOKUP(VALUE(RIGHT(C85,3)),'GAS-COMP'!#REF!,4,FALSE),IF(LEFT(C85,3)="SCE",VLOOKUP(VALUE(RIGHT(C85,3)),'SCE-COMP'!B:J,4,FALSE),IF(LEFT(C85,3)="EST",VLOOKUP(VALUE(RIGHT(C85,3)),'EST-COMP'!B:J,4,FALSE),IF(LEFT(C85,3)="HID",VLOOKUP(VALUE(RIGHT(C85,3)),'HID-COMP'!B:J,4,FALSE),IF(LEFT(C85,3)="INC",VLOOKUP(VALUE(RIGHT(C85,3)),'INC-COMP'!B:J,4,FALSE),IF(LEFT(C85,3)="ELE",VLOOKUP(VALUE(RIGHT(C85,3)),#REF!,4,FALSE),IF(LEFT(C85,3)="CAB",VLOOKUP(VALUE(RIGHT(C85,3)),#REF!,4,FALSE),IF(LEFT(C85,3)="SEG",VLOOKUP(VALUE(RIGHT(C85,3)),'SEG-COMP'!B:J,4,FALSE),IF(LEFT(C85,3)="CLI",VLOOKUP(VALUE(RIGHT(C85,3)),'CLI-COMP'!B:J,4,FALSE),IF(LEFT(C85,4)="IMPL",VLOOKUP(VALUE(RIGHT(C85,3)),'IMPL-COMP'!B:J,4,FALSE),IF(LEFT(C85,4)="SPDA",VLOOKUP(VALUE(RIGHT(C85,3)),'SPDA-COMP'!B:J,4,FALSE),IF(LEFT(C85,4)="SDAI",VLOOKUP(VALUE(RIGHT(C85,3)),'ADM-COMP'!B:J,4,FALSE),IF(LEFT(C85,5)="IMPER",VLOOKUP(VALUE(RIGHT(C85,3)),'IMPER-COMP'!B:J,4,FALSE),""))))))))))))))))</f>
        <v>ELEMENTO VAZADO DE CONCRETO (COBOGÓ) 20 X 20 X 10CM, TIPO CRUZETA,ASSENTADOS COM ARGAMASSA DE CIMENTO E AREIA PENEIRADA NO TRAÇO 1:3, ESPESSURA DAS JUNTAS 15 MM, PREPARO MANUAL</v>
      </c>
      <c r="E85" s="338" t="str">
        <f>IF(B85="IOPES",VLOOKUP(C85,'LABOR-SERVIÇOS'!A:H,6,FALSE),IF(B85="SINAPI",VLOOKUP(C85,'SINAPI-SERVIÇOS'!A:D,3,FALSE),IF(LEFT(C85,3)="ARQ",VLOOKUP(VALUE(RIGHT(C85,3)),'ARQ-COMP'!B:J,5,FALSE),IF(LEFT(C85,3)="SCI",VLOOKUP(VALUE(RIGHT(C85,3)),'GAS-COMP'!#REF!,5,FALSE),IF(LEFT(C85,3)="SCE",VLOOKUP(VALUE(RIGHT(C85,3)),'SCE-COMP'!B:J,5,FALSE),IF(LEFT(C85,3)="EST",VLOOKUP(VALUE(RIGHT(C85,3)),'EST-COMP'!B:J,5,FALSE),IF(LEFT(C85,3)="HID",VLOOKUP(VALUE(RIGHT(C85,3)),'HID-COMP'!B:J,5,FALSE),IF(LEFT(C85,3)="INC",VLOOKUP(VALUE(RIGHT(C85,3)),'INC-COMP'!B:J,5,FALSE),IF(LEFT(C85,3)="ELE",VLOOKUP(VALUE(RIGHT(C85,3)),#REF!,5,FALSE),IF(LEFT(C85,3)="CAB",VLOOKUP(VALUE(RIGHT(C85,3)),#REF!,5,FALSE),IF(LEFT(C85,3)="SEG",VLOOKUP(VALUE(RIGHT(C85,3)),'SEG-COMP'!B:J,5,FALSE),IF(LEFT(C85,3)="CLI",VLOOKUP(VALUE(RIGHT(C85,3)),'CLI-COMP'!B:J,5,FALSE),IF(LEFT(C85,4)="IMPL",VLOOKUP(VALUE(RIGHT(C85,3)),'IMPL-COMP'!B:J,5,FALSE),IF(LEFT(C85,4)="SPDA",VLOOKUP(VALUE(RIGHT(C85,3)),'SPDA-COMP'!B:J,5,FALSE),IF(LEFT(C85,4)="SDAI",VLOOKUP(VALUE(RIGHT(C85,3)),'ADM-COMP'!B:J,5,FALSE),IF(LEFT(C85,5)="IMPER",VLOOKUP(VALUE(RIGHT(C85,3)),'IMPER-COMP'!B:J,5,FALSE),""))))))))))))))))</f>
        <v>M2</v>
      </c>
      <c r="F85" s="599">
        <f>ROUND(VLOOKUP(A85,'MEM-LEVANT'!A130:I2685,9,FALSE),2)</f>
        <v>50.49</v>
      </c>
      <c r="G85" s="339">
        <f>IF(B85="IOPES",VLOOKUP(C85,'LABOR-SERVIÇOS'!A:H,7,FALSE),IF(B85="SINAPI",VLOOKUP(C85,'SINAPI-SERVIÇOS'!A:H,8,FALSE),IF(LEFT(C85,3)="ARQ",VLOOKUP(VALUE(RIGHT(C85,3)),'ARQ-COMP'!B:J,9,FALSE),IF(LEFT(C85,3)="SCI",VLOOKUP(VALUE(RIGHT(C85,3)),'GAS-COMP'!#REF!,9,FALSE),IF(LEFT(C85,3)="SCE",VLOOKUP(VALUE(RIGHT(C85,3)),'SCE-COMP'!B:J,9,FALSE),IF(LEFT(C85,3)="EST",VLOOKUP(VALUE(RIGHT(C85,3)),'EST-COMP'!B:J,9,FALSE),IF(LEFT(C85,3)="HID",VLOOKUP(VALUE(RIGHT(C85,3)),'HID-COMP'!B:J,9,FALSE),IF(LEFT(C85,3)="INC",VLOOKUP(VALUE(RIGHT(C85,3)),'INC-COMP'!B:J,9,FALSE),IF(LEFT(C85,3)="ELE",VLOOKUP(VALUE(RIGHT(C85,3)),#REF!,9,FALSE),IF(LEFT(C85,3)="CAB",VLOOKUP(VALUE(RIGHT(C85,3)),#REF!,9,FALSE),IF(LEFT(C85,3)="SEG",VLOOKUP(VALUE(RIGHT(C85,3)),'SEG-COMP'!B:J,9,FALSE),IF(LEFT(C85,3)="CLI",VLOOKUP(VALUE(RIGHT(C85,3)),'CLI-COMP'!B:J,9,FALSE),IF(LEFT(C85,4)="IMPL",VLOOKUP(VALUE(RIGHT(C85,3)),'IMPL-COMP'!B:J,9,FALSE),IF(LEFT(C85,4)="SPDA",VLOOKUP(VALUE(RIGHT(C85,3)),'SPDA-COMP'!B:J,9,FALSE),IF(LEFT(C85,4)="SDAI",VLOOKUP(VALUE(RIGHT(C85,3)),'ADM-COMP'!B:J,9,FALSE),IF(LEFT(C85,5)="IMPER",VLOOKUP(VALUE(RIGHT(C85,3)),'IMPER-COMP'!B:J,9,FALSE),""))))))))))))))))</f>
        <v>462.95</v>
      </c>
      <c r="H85" s="339">
        <f t="shared" ref="H85" si="31">ROUND(F85*G85,2)</f>
        <v>23374.35</v>
      </c>
      <c r="I85" s="374">
        <f>H85/$H$441</f>
        <v>1.3666886482853748E-3</v>
      </c>
      <c r="J85" s="314"/>
    </row>
    <row r="86" spans="1:10" ht="26.4">
      <c r="A86" s="613" t="s">
        <v>44</v>
      </c>
      <c r="B86" s="337" t="s">
        <v>2879</v>
      </c>
      <c r="C86" s="540">
        <f>50206</f>
        <v>50206</v>
      </c>
      <c r="D86" s="539" t="str">
        <f>IF(B86="IOPES",VLOOKUP(C86,'LABOR-SERVIÇOS'!A:H,5,FALSE),IF(B86="SINAPI",VLOOKUP(C86,'SINAPI-SERVIÇOS'!A:D,2,FALSE),IF(LEFT(C86,3)="ARQ",VLOOKUP(VALUE(RIGHT(C86,3)),'ARQ-COMP'!B:J,4,FALSE),IF(LEFT(C86,3)="SCI",VLOOKUP(VALUE(RIGHT(C86,3)),'GAS-COMP'!#REF!,4,FALSE),IF(LEFT(C86,3)="SCE",VLOOKUP(VALUE(RIGHT(C86,3)),'SCE-COMP'!B:J,4,FALSE),IF(LEFT(C86,3)="EST",VLOOKUP(VALUE(RIGHT(C86,3)),'EST-COMP'!B:J,4,FALSE),IF(LEFT(C86,3)="HID",VLOOKUP(VALUE(RIGHT(C86,3)),'HID-COMP'!B:J,4,FALSE),IF(LEFT(C86,3)="INC",VLOOKUP(VALUE(RIGHT(C86,3)),'INC-COMP'!B:J,4,FALSE),IF(LEFT(C86,3)="ELE",VLOOKUP(VALUE(RIGHT(C86,3)),#REF!,4,FALSE),IF(LEFT(C86,3)="CAB",VLOOKUP(VALUE(RIGHT(C86,3)),#REF!,4,FALSE),IF(LEFT(C86,3)="SEG",VLOOKUP(VALUE(RIGHT(C86,3)),'SEG-COMP'!B:J,4,FALSE),IF(LEFT(C86,3)="CLI",VLOOKUP(VALUE(RIGHT(C86,3)),'CLI-COMP'!B:J,4,FALSE),IF(LEFT(C86,4)="IMPL",VLOOKUP(VALUE(RIGHT(C86,3)),'IMPL-COMP'!B:J,4,FALSE),IF(LEFT(C86,4)="SPDA",VLOOKUP(VALUE(RIGHT(C86,3)),'SPDA-COMP'!B:J,4,FALSE),IF(LEFT(C86,4)="SDAI",VLOOKUP(VALUE(RIGHT(C86,3)),'ADM-COMP'!B:J,4,FALSE),IF(LEFT(C86,5)="IMPER",VLOOKUP(VALUE(RIGHT(C86,3)),'IMPER-COMP'!B:J,4,FALSE),""))))))))))))))))</f>
        <v>DIVISÓRIA SANITÁRIA DE GRANITO CINZA ANDORINHA ESP. 3 CM, FIXADA COM CANTONEIRA DE FERRO CROMADO</v>
      </c>
      <c r="E86" s="338" t="str">
        <f>IF(B86="IOPES",VLOOKUP(C86,'LABOR-SERVIÇOS'!A:H,6,FALSE),IF(B86="SINAPI",VLOOKUP(C86,'SINAPI-SERVIÇOS'!A:D,3,FALSE),IF(LEFT(C86,3)="ARQ",VLOOKUP(VALUE(RIGHT(C86,3)),'ARQ-COMP'!B:J,5,FALSE),IF(LEFT(C86,3)="SCI",VLOOKUP(VALUE(RIGHT(C86,3)),'GAS-COMP'!#REF!,5,FALSE),IF(LEFT(C86,3)="SCE",VLOOKUP(VALUE(RIGHT(C86,3)),'SCE-COMP'!B:J,5,FALSE),IF(LEFT(C86,3)="EST",VLOOKUP(VALUE(RIGHT(C86,3)),'EST-COMP'!B:J,5,FALSE),IF(LEFT(C86,3)="HID",VLOOKUP(VALUE(RIGHT(C86,3)),'HID-COMP'!B:J,5,FALSE),IF(LEFT(C86,3)="INC",VLOOKUP(VALUE(RIGHT(C86,3)),'INC-COMP'!B:J,5,FALSE),IF(LEFT(C86,3)="ELE",VLOOKUP(VALUE(RIGHT(C86,3)),#REF!,5,FALSE),IF(LEFT(C86,3)="CAB",VLOOKUP(VALUE(RIGHT(C86,3)),#REF!,5,FALSE),IF(LEFT(C86,3)="SEG",VLOOKUP(VALUE(RIGHT(C86,3)),'SEG-COMP'!B:J,5,FALSE),IF(LEFT(C86,3)="CLI",VLOOKUP(VALUE(RIGHT(C86,3)),'CLI-COMP'!B:J,5,FALSE),IF(LEFT(C86,4)="IMPL",VLOOKUP(VALUE(RIGHT(C86,3)),'IMPL-COMP'!B:J,5,FALSE),IF(LEFT(C86,4)="SPDA",VLOOKUP(VALUE(RIGHT(C86,3)),'SPDA-COMP'!B:J,5,FALSE),IF(LEFT(C86,4)="SDAI",VLOOKUP(VALUE(RIGHT(C86,3)),'ADM-COMP'!B:J,5,FALSE),IF(LEFT(C86,5)="IMPER",VLOOKUP(VALUE(RIGHT(C86,3)),'IMPER-COMP'!B:J,5,FALSE),""))))))))))))))))</f>
        <v>M2</v>
      </c>
      <c r="F86" s="599">
        <f>ROUND(VLOOKUP(A86,'MEM-LEVANT'!A134:I2687,9,FALSE),2)</f>
        <v>176.26</v>
      </c>
      <c r="G86" s="339">
        <f>IF(B86="IOPES",VLOOKUP(C86,'LABOR-SERVIÇOS'!A:H,7,FALSE),IF(B86="SINAPI",VLOOKUP(C86,'SINAPI-SERVIÇOS'!A:H,8,FALSE),IF(LEFT(C86,3)="ARQ",VLOOKUP(VALUE(RIGHT(C86,3)),'ARQ-COMP'!B:J,9,FALSE),IF(LEFT(C86,3)="SCI",VLOOKUP(VALUE(RIGHT(C86,3)),'GAS-COMP'!#REF!,9,FALSE),IF(LEFT(C86,3)="SCE",VLOOKUP(VALUE(RIGHT(C86,3)),'SCE-COMP'!B:J,9,FALSE),IF(LEFT(C86,3)="EST",VLOOKUP(VALUE(RIGHT(C86,3)),'EST-COMP'!B:J,9,FALSE),IF(LEFT(C86,3)="HID",VLOOKUP(VALUE(RIGHT(C86,3)),'HID-COMP'!B:J,9,FALSE),IF(LEFT(C86,3)="INC",VLOOKUP(VALUE(RIGHT(C86,3)),'INC-COMP'!B:J,9,FALSE),IF(LEFT(C86,3)="ELE",VLOOKUP(VALUE(RIGHT(C86,3)),#REF!,9,FALSE),IF(LEFT(C86,3)="CAB",VLOOKUP(VALUE(RIGHT(C86,3)),#REF!,9,FALSE),IF(LEFT(C86,3)="SEG",VLOOKUP(VALUE(RIGHT(C86,3)),'SEG-COMP'!B:J,9,FALSE),IF(LEFT(C86,3)="CLI",VLOOKUP(VALUE(RIGHT(C86,3)),'CLI-COMP'!B:J,9,FALSE),IF(LEFT(C86,4)="IMPL",VLOOKUP(VALUE(RIGHT(C86,3)),'IMPL-COMP'!B:J,9,FALSE),IF(LEFT(C86,4)="SPDA",VLOOKUP(VALUE(RIGHT(C86,3)),'SPDA-COMP'!B:J,9,FALSE),IF(LEFT(C86,4)="SDAI",VLOOKUP(VALUE(RIGHT(C86,3)),'ADM-COMP'!B:J,9,FALSE),IF(LEFT(C86,5)="IMPER",VLOOKUP(VALUE(RIGHT(C86,3)),'IMPER-COMP'!B:J,9,FALSE),""))))))))))))))))</f>
        <v>610.26</v>
      </c>
      <c r="H86" s="339">
        <f t="shared" ref="H86" si="32">ROUND(F86*G86,2)</f>
        <v>107564.43</v>
      </c>
      <c r="I86" s="374">
        <f>H86/$H$441</f>
        <v>6.28924806209742E-3</v>
      </c>
      <c r="J86" s="314"/>
    </row>
    <row r="87" spans="1:10" ht="52.8">
      <c r="A87" s="613" t="s">
        <v>7510</v>
      </c>
      <c r="B87" s="337" t="s">
        <v>26987</v>
      </c>
      <c r="C87" s="540">
        <v>104724</v>
      </c>
      <c r="D87" s="539" t="s">
        <v>29861</v>
      </c>
      <c r="E87" s="338" t="s">
        <v>73</v>
      </c>
      <c r="F87" s="599">
        <f>ROUND(VLOOKUP(A87,'MEM-LEVANT'!A135:I2688,9,FALSE),2)</f>
        <v>1799.62</v>
      </c>
      <c r="G87" s="339">
        <f>85.03*(1+$K$4)</f>
        <v>111.39780300000001</v>
      </c>
      <c r="H87" s="339">
        <f t="shared" ref="H87" si="33">ROUND(F87*G87,2)</f>
        <v>200473.71</v>
      </c>
      <c r="I87" s="374">
        <f>H87/$H$441</f>
        <v>1.1721615520288447E-2</v>
      </c>
      <c r="J87" s="314"/>
    </row>
    <row r="88" spans="1:10" ht="39.6">
      <c r="A88" s="613" t="s">
        <v>7991</v>
      </c>
      <c r="B88" s="337" t="s">
        <v>7511</v>
      </c>
      <c r="C88" s="540">
        <v>14034</v>
      </c>
      <c r="D88" s="539" t="str">
        <f>UPPER("Fornecimento e montagem de drywall montado com placa cimentícia e=12,5mm, inclusive perfi l = 0,95mm. Inclusive montagem")</f>
        <v>FORNECIMENTO E MONTAGEM DE DRYWALL MONTADO COM PLACA CIMENTÍCIA E=12,5MM, INCLUSIVE PERFI L = 0,95MM. INCLUSIVE MONTAGEM</v>
      </c>
      <c r="E88" s="338" t="s">
        <v>73</v>
      </c>
      <c r="F88" s="599">
        <f>ROUND(VLOOKUP(A88,'MEM-LEVANT'!A136:I2689,9,FALSE),2)</f>
        <v>628.12</v>
      </c>
      <c r="G88" s="339">
        <f>280*(1+$K$4)</f>
        <v>366.82800000000003</v>
      </c>
      <c r="H88" s="339">
        <f t="shared" ref="H88" si="34">ROUND(F88*G88,2)</f>
        <v>230412</v>
      </c>
      <c r="I88" s="374">
        <f>H88/$H$441</f>
        <v>1.3472095045583292E-2</v>
      </c>
      <c r="J88" s="314"/>
    </row>
    <row r="89" spans="1:10" ht="21" customHeight="1">
      <c r="A89" s="553" t="s">
        <v>9746</v>
      </c>
      <c r="B89" s="554"/>
      <c r="C89" s="555"/>
      <c r="D89" s="556" t="s">
        <v>1201</v>
      </c>
      <c r="E89" s="557"/>
      <c r="F89" s="598"/>
      <c r="G89" s="558"/>
      <c r="H89" s="559"/>
      <c r="I89" s="560"/>
      <c r="J89" s="314"/>
    </row>
    <row r="90" spans="1:10" ht="52.8">
      <c r="A90" s="613" t="s">
        <v>9747</v>
      </c>
      <c r="B90" s="337" t="s">
        <v>2879</v>
      </c>
      <c r="C90" s="540">
        <f>50301</f>
        <v>50301</v>
      </c>
      <c r="D90" s="539" t="str">
        <f>IF(B90="IOPES",VLOOKUP(C90,'LABOR-SERVIÇOS'!A:H,5,FALSE),IF(B90="SINAPI",VLOOKUP(C90,'SINAPI-SERVIÇOS'!A:D,2,FALSE),IF(LEFT(C90,3)="ARQ",VLOOKUP(VALUE(RIGHT(C90,3)),'ARQ-COMP'!B:J,4,FALSE),IF(LEFT(C90,3)="SCI",VLOOKUP(VALUE(RIGHT(C90,3)),'GAS-COMP'!#REF!,4,FALSE),IF(LEFT(C90,3)="SCE",VLOOKUP(VALUE(RIGHT(C90,3)),'SCE-COMP'!B:J,4,FALSE),IF(LEFT(C90,3)="EST",VLOOKUP(VALUE(RIGHT(C90,3)),'EST-COMP'!B:J,4,FALSE),IF(LEFT(C90,3)="HID",VLOOKUP(VALUE(RIGHT(C90,3)),'HID-COMP'!B:J,4,FALSE),IF(LEFT(C90,3)="INC",VLOOKUP(VALUE(RIGHT(C90,3)),'INC-COMP'!B:J,4,FALSE),IF(LEFT(C90,3)="ELE",VLOOKUP(VALUE(RIGHT(C90,3)),#REF!,4,FALSE),IF(LEFT(C90,3)="CAB",VLOOKUP(VALUE(RIGHT(C90,3)),#REF!,4,FALSE),IF(LEFT(C90,3)="SEG",VLOOKUP(VALUE(RIGHT(C90,3)),'SEG-COMP'!B:J,4,FALSE),IF(LEFT(C90,3)="CLI",VLOOKUP(VALUE(RIGHT(C90,3)),'CLI-COMP'!B:J,4,FALSE),IF(LEFT(C90,4)="IMPL",VLOOKUP(VALUE(RIGHT(C90,3)),'IMPL-COMP'!B:J,4,FALSE),IF(LEFT(C90,4)="SPDA",VLOOKUP(VALUE(RIGHT(C90,3)),'SPDA-COMP'!B:J,4,FALSE),IF(LEFT(C90,4)="SDAI",VLOOKUP(VALUE(RIGHT(C90,3)),'ADM-COMP'!B:J,4,FALSE),IF(LEFT(C90,5)="IMPER",VLOOKUP(VALUE(RIGHT(C90,3)),'IMPER-COMP'!B:J,4,FALSE),""))))))))))))))))</f>
        <v>VERGA/CONTRAVERGA RETA DE CONCRETO ARMADO MOLDADA IN LOCO 10 X 5 CM, FCK = 15 MPA, INCLUSIVE FORMA, ARMAÇÃO E DESFORMA, COMPRIMENTO INFERIOR A 2.0 METROS</v>
      </c>
      <c r="E90" s="338" t="str">
        <f>IF(B90="IOPES",VLOOKUP(C90,'LABOR-SERVIÇOS'!A:H,6,FALSE),IF(B90="SINAPI",VLOOKUP(C90,'SINAPI-SERVIÇOS'!A:D,3,FALSE),IF(LEFT(C90,3)="ARQ",VLOOKUP(VALUE(RIGHT(C90,3)),'ARQ-COMP'!B:J,5,FALSE),IF(LEFT(C90,3)="SCI",VLOOKUP(VALUE(RIGHT(C90,3)),'GAS-COMP'!#REF!,5,FALSE),IF(LEFT(C90,3)="SCE",VLOOKUP(VALUE(RIGHT(C90,3)),'SCE-COMP'!B:J,5,FALSE),IF(LEFT(C90,3)="EST",VLOOKUP(VALUE(RIGHT(C90,3)),'EST-COMP'!B:J,5,FALSE),IF(LEFT(C90,3)="HID",VLOOKUP(VALUE(RIGHT(C90,3)),'HID-COMP'!B:J,5,FALSE),IF(LEFT(C90,3)="INC",VLOOKUP(VALUE(RIGHT(C90,3)),'INC-COMP'!B:J,5,FALSE),IF(LEFT(C90,3)="ELE",VLOOKUP(VALUE(RIGHT(C90,3)),#REF!,5,FALSE),IF(LEFT(C90,3)="CAB",VLOOKUP(VALUE(RIGHT(C90,3)),#REF!,5,FALSE),IF(LEFT(C90,3)="SEG",VLOOKUP(VALUE(RIGHT(C90,3)),'SEG-COMP'!B:J,5,FALSE),IF(LEFT(C90,3)="CLI",VLOOKUP(VALUE(RIGHT(C90,3)),'CLI-COMP'!B:J,5,FALSE),IF(LEFT(C90,4)="IMPL",VLOOKUP(VALUE(RIGHT(C90,3)),'IMPL-COMP'!B:J,5,FALSE),IF(LEFT(C90,4)="SPDA",VLOOKUP(VALUE(RIGHT(C90,3)),'SPDA-COMP'!B:J,5,FALSE),IF(LEFT(C90,4)="SDAI",VLOOKUP(VALUE(RIGHT(C90,3)),'ADM-COMP'!B:J,5,FALSE),IF(LEFT(C90,5)="IMPER",VLOOKUP(VALUE(RIGHT(C90,3)),'IMPER-COMP'!B:J,5,FALSE),""))))))))))))))))</f>
        <v>M</v>
      </c>
      <c r="F90" s="599">
        <f>ROUND(VLOOKUP(A90,'MEM-LEVANT'!A131:I2686,9,FALSE),2)</f>
        <v>20.7</v>
      </c>
      <c r="G90" s="339">
        <f>IF(B90="IOPES",VLOOKUP(C90,'LABOR-SERVIÇOS'!A:H,7,FALSE),IF(B90="SINAPI",VLOOKUP(C90,'SINAPI-SERVIÇOS'!A:H,8,FALSE),IF(LEFT(C90,3)="ARQ",VLOOKUP(VALUE(RIGHT(C90,3)),'ARQ-COMP'!B:J,9,FALSE),IF(LEFT(C90,3)="SCI",VLOOKUP(VALUE(RIGHT(C90,3)),'GAS-COMP'!#REF!,9,FALSE),IF(LEFT(C90,3)="SCE",VLOOKUP(VALUE(RIGHT(C90,3)),'SCE-COMP'!B:J,9,FALSE),IF(LEFT(C90,3)="EST",VLOOKUP(VALUE(RIGHT(C90,3)),'EST-COMP'!B:J,9,FALSE),IF(LEFT(C90,3)="HID",VLOOKUP(VALUE(RIGHT(C90,3)),'HID-COMP'!B:J,9,FALSE),IF(LEFT(C90,3)="INC",VLOOKUP(VALUE(RIGHT(C90,3)),'INC-COMP'!B:J,9,FALSE),IF(LEFT(C90,3)="ELE",VLOOKUP(VALUE(RIGHT(C90,3)),#REF!,9,FALSE),IF(LEFT(C90,3)="CAB",VLOOKUP(VALUE(RIGHT(C90,3)),#REF!,9,FALSE),IF(LEFT(C90,3)="SEG",VLOOKUP(VALUE(RIGHT(C90,3)),'SEG-COMP'!B:J,9,FALSE),IF(LEFT(C90,3)="CLI",VLOOKUP(VALUE(RIGHT(C90,3)),'CLI-COMP'!B:J,9,FALSE),IF(LEFT(C90,4)="IMPL",VLOOKUP(VALUE(RIGHT(C90,3)),'IMPL-COMP'!B:J,9,FALSE),IF(LEFT(C90,4)="SPDA",VLOOKUP(VALUE(RIGHT(C90,3)),'SPDA-COMP'!B:J,9,FALSE),IF(LEFT(C90,4)="SDAI",VLOOKUP(VALUE(RIGHT(C90,3)),'ADM-COMP'!B:J,9,FALSE),IF(LEFT(C90,5)="IMPER",VLOOKUP(VALUE(RIGHT(C90,3)),'IMPER-COMP'!B:J,9,FALSE),""))))))))))))))))</f>
        <v>56.6</v>
      </c>
      <c r="H90" s="339">
        <f t="shared" ref="H90" si="35">ROUND(F90*G90,2)</f>
        <v>1171.6199999999999</v>
      </c>
      <c r="I90" s="374">
        <f>H90/$H$441</f>
        <v>6.8504140397662863E-5</v>
      </c>
      <c r="J90" s="314"/>
    </row>
    <row r="91" spans="1:10">
      <c r="A91" s="570"/>
      <c r="B91" s="569"/>
      <c r="C91" s="569"/>
      <c r="D91" s="571" t="s">
        <v>27409</v>
      </c>
      <c r="E91" s="572"/>
      <c r="F91" s="600"/>
      <c r="G91" s="573"/>
      <c r="H91" s="574">
        <f>SUM(H84:H90)</f>
        <v>942550.14999999991</v>
      </c>
      <c r="I91" s="575">
        <f>H91/$H$441</f>
        <v>5.5110520311567053E-2</v>
      </c>
      <c r="J91" s="314"/>
    </row>
    <row r="92" spans="1:10">
      <c r="A92" s="613"/>
      <c r="B92" s="337"/>
      <c r="C92" s="337"/>
      <c r="D92" s="539"/>
      <c r="E92" s="338"/>
      <c r="F92" s="599"/>
      <c r="G92" s="339"/>
      <c r="H92" s="339"/>
      <c r="I92" s="374"/>
      <c r="J92" s="314"/>
    </row>
    <row r="93" spans="1:10">
      <c r="A93" s="561" t="s">
        <v>10</v>
      </c>
      <c r="B93" s="562"/>
      <c r="C93" s="563"/>
      <c r="D93" s="564" t="s">
        <v>27410</v>
      </c>
      <c r="E93" s="565"/>
      <c r="F93" s="597"/>
      <c r="G93" s="566"/>
      <c r="H93" s="567"/>
      <c r="I93" s="568"/>
      <c r="J93" s="314"/>
    </row>
    <row r="94" spans="1:10" ht="18" customHeight="1">
      <c r="A94" s="553" t="s">
        <v>10351</v>
      </c>
      <c r="B94" s="554"/>
      <c r="C94" s="555"/>
      <c r="D94" s="556" t="s">
        <v>1204</v>
      </c>
      <c r="E94" s="557"/>
      <c r="F94" s="598"/>
      <c r="G94" s="558"/>
      <c r="H94" s="559"/>
      <c r="I94" s="560"/>
      <c r="J94" s="314"/>
    </row>
    <row r="95" spans="1:10" ht="79.2">
      <c r="A95" s="613" t="s">
        <v>2876</v>
      </c>
      <c r="B95" s="337" t="s">
        <v>2879</v>
      </c>
      <c r="C95" s="540">
        <f>'LABOR-SERVIÇOS'!A275</f>
        <v>61902</v>
      </c>
      <c r="D95" s="539" t="str">
        <f>IF(B95="IOPES",VLOOKUP(C95,'LABOR-SERVIÇOS'!A:H,5,FALSE),IF(B95="SINAPI",VLOOKUP(C95,'SINAPI-SERVIÇOS'!A:D,2,FALSE),IF(LEFT(C95,3)="ARQ",VLOOKUP(VALUE(RIGHT(C95,3)),'ARQ-COMP'!B:J,4,FALSE),IF(LEFT(C95,3)="SCI",VLOOKUP(VALUE(RIGHT(C95,3)),'GAS-COMP'!#REF!,4,FALSE),IF(LEFT(C95,3)="SCE",VLOOKUP(VALUE(RIGHT(C95,3)),'SCE-COMP'!B:J,4,FALSE),IF(LEFT(C95,3)="EST",VLOOKUP(VALUE(RIGHT(C95,3)),'EST-COMP'!B:J,4,FALSE),IF(LEFT(C95,3)="HID",VLOOKUP(VALUE(RIGHT(C95,3)),'HID-COMP'!B:J,4,FALSE),IF(LEFT(C95,3)="INC",VLOOKUP(VALUE(RIGHT(C95,3)),'INC-COMP'!B:J,4,FALSE),IF(LEFT(C95,3)="ELE",VLOOKUP(VALUE(RIGHT(C95,3)),#REF!,4,FALSE),IF(LEFT(C95,3)="CAB",VLOOKUP(VALUE(RIGHT(C95,3)),#REF!,4,FALSE),IF(LEFT(C95,3)="SEG",VLOOKUP(VALUE(RIGHT(C95,3)),'SEG-COMP'!B:J,4,FALSE),IF(LEFT(C95,3)="CLI",VLOOKUP(VALUE(RIGHT(C95,3)),'CLI-COMP'!B:J,4,FALSE),IF(LEFT(C95,4)="IMPL",VLOOKUP(VALUE(RIGHT(C95,3)),'IMPL-COMP'!B:J,4,FALSE),IF(LEFT(C95,4)="SPDA",VLOOKUP(VALUE(RIGHT(C95,3)),'SPDA-COMP'!B:J,4,FALSE),IF(LEFT(C95,4)="SDAI",VLOOKUP(VALUE(RIGHT(C95,3)),'ADM-COMP'!B:J,4,FALSE),IF(LEFT(C95,5)="IMPER",VLOOKUP(VALUE(RIGHT(C95,3)),'IMPER-COMP'!B:J,4,FALSE),""))))))))))))))))</f>
        <v>PORTA EM MADEIRA DE LEI ANGELIM PEDRA OU EQUIVALENTE, ESP. 30 A 35MM C/ ENCHIMENTO EM MADEIRA DE 1ª QUALIDADE, TIPO SARRAFEADA COM VISOR 0,40X0,60 M, INCLUSIVE ALIZARES, DOBRADIÇAS E FECHADURAS TIPO ALAVANCA EM LATÃO CROMADO LA FONTE OU EQUIVALENTE, EXCLUSIVE MARCO, NAS DIMENSÕES: 0,80 X 2,10 M</v>
      </c>
      <c r="E95" s="338" t="str">
        <f>IF(B95="IOPES",VLOOKUP(C95,'LABOR-SERVIÇOS'!A:H,6,FALSE),IF(B95="SINAPI",VLOOKUP(C95,'SINAPI-SERVIÇOS'!A:D,3,FALSE),IF(LEFT(C95,3)="ARQ",VLOOKUP(VALUE(RIGHT(C95,3)),'ARQ-COMP'!B:J,5,FALSE),IF(LEFT(C95,3)="SCI",VLOOKUP(VALUE(RIGHT(C95,3)),'GAS-COMP'!#REF!,5,FALSE),IF(LEFT(C95,3)="SCE",VLOOKUP(VALUE(RIGHT(C95,3)),'SCE-COMP'!B:J,5,FALSE),IF(LEFT(C95,3)="EST",VLOOKUP(VALUE(RIGHT(C95,3)),'EST-COMP'!B:J,5,FALSE),IF(LEFT(C95,3)="HID",VLOOKUP(VALUE(RIGHT(C95,3)),'HID-COMP'!B:J,5,FALSE),IF(LEFT(C95,3)="INC",VLOOKUP(VALUE(RIGHT(C95,3)),'INC-COMP'!B:J,5,FALSE),IF(LEFT(C95,3)="ELE",VLOOKUP(VALUE(RIGHT(C95,3)),#REF!,5,FALSE),IF(LEFT(C95,3)="CAB",VLOOKUP(VALUE(RIGHT(C95,3)),#REF!,5,FALSE),IF(LEFT(C95,3)="SEG",VLOOKUP(VALUE(RIGHT(C95,3)),'SEG-COMP'!B:J,5,FALSE),IF(LEFT(C95,3)="CLI",VLOOKUP(VALUE(RIGHT(C95,3)),'CLI-COMP'!B:J,5,FALSE),IF(LEFT(C95,4)="IMPL",VLOOKUP(VALUE(RIGHT(C95,3)),'IMPL-COMP'!B:J,5,FALSE),IF(LEFT(C95,4)="SPDA",VLOOKUP(VALUE(RIGHT(C95,3)),'SPDA-COMP'!B:J,5,FALSE),IF(LEFT(C95,4)="SDAI",VLOOKUP(VALUE(RIGHT(C95,3)),'ADM-COMP'!B:J,5,FALSE),IF(LEFT(C95,5)="IMPER",VLOOKUP(VALUE(RIGHT(C95,3)),'IMPER-COMP'!B:J,5,FALSE),""))))))))))))))))</f>
        <v>UND</v>
      </c>
      <c r="F95" s="599">
        <f>ROUND(VLOOKUP(A95,'MEM-LEVANT'!A140:I2692,9,FALSE),2)</f>
        <v>67</v>
      </c>
      <c r="G95" s="339">
        <f>IF(B95="IOPES",VLOOKUP(C95,'LABOR-SERVIÇOS'!A:H,7,FALSE),IF(B95="SINAPI",VLOOKUP(C95,'SINAPI-SERVIÇOS'!A:H,8,FALSE),IF(LEFT(C95,3)="ARQ",VLOOKUP(VALUE(RIGHT(C95,3)),'ARQ-COMP'!B:J,9,FALSE),IF(LEFT(C95,3)="SCI",VLOOKUP(VALUE(RIGHT(C95,3)),'GAS-COMP'!#REF!,9,FALSE),IF(LEFT(C95,3)="SCE",VLOOKUP(VALUE(RIGHT(C95,3)),'SCE-COMP'!B:J,9,FALSE),IF(LEFT(C95,3)="EST",VLOOKUP(VALUE(RIGHT(C95,3)),'EST-COMP'!B:J,9,FALSE),IF(LEFT(C95,3)="HID",VLOOKUP(VALUE(RIGHT(C95,3)),'HID-COMP'!B:J,9,FALSE),IF(LEFT(C95,3)="INC",VLOOKUP(VALUE(RIGHT(C95,3)),'INC-COMP'!B:J,9,FALSE),IF(LEFT(C95,3)="ELE",VLOOKUP(VALUE(RIGHT(C95,3)),#REF!,9,FALSE),IF(LEFT(C95,3)="CAB",VLOOKUP(VALUE(RIGHT(C95,3)),#REF!,9,FALSE),IF(LEFT(C95,3)="SEG",VLOOKUP(VALUE(RIGHT(C95,3)),'SEG-COMP'!B:J,9,FALSE),IF(LEFT(C95,3)="CLI",VLOOKUP(VALUE(RIGHT(C95,3)),'CLI-COMP'!B:J,9,FALSE),IF(LEFT(C95,4)="IMPL",VLOOKUP(VALUE(RIGHT(C95,3)),'IMPL-COMP'!B:J,9,FALSE),IF(LEFT(C95,4)="SPDA",VLOOKUP(VALUE(RIGHT(C95,3)),'SPDA-COMP'!B:J,9,FALSE),IF(LEFT(C95,4)="SDAI",VLOOKUP(VALUE(RIGHT(C95,3)),'ADM-COMP'!B:J,9,FALSE),IF(LEFT(C95,5)="IMPER",VLOOKUP(VALUE(RIGHT(C95,3)),'IMPER-COMP'!B:J,9,FALSE),""))))))))))))))))</f>
        <v>1602.53</v>
      </c>
      <c r="H95" s="339">
        <f t="shared" ref="H95" si="36">ROUND(F95*G95,2)</f>
        <v>107369.51</v>
      </c>
      <c r="I95" s="374">
        <f>H95/$H$441</f>
        <v>6.2778511697207853E-3</v>
      </c>
      <c r="J95" s="314"/>
    </row>
    <row r="96" spans="1:10" ht="79.2">
      <c r="A96" s="613" t="s">
        <v>7980</v>
      </c>
      <c r="B96" s="337" t="s">
        <v>2879</v>
      </c>
      <c r="C96" s="540">
        <f>'LABOR-SERVIÇOS'!A260</f>
        <v>61301</v>
      </c>
      <c r="D96" s="539" t="str">
        <f>IF(B96="IOPES",VLOOKUP(C96,'LABOR-SERVIÇOS'!A:H,5,FALSE),IF(B96="SINAPI",VLOOKUP(C96,'SINAPI-SERVIÇOS'!A:D,2,FALSE),IF(LEFT(C96,3)="ARQ",VLOOKUP(VALUE(RIGHT(C96,3)),'ARQ-COMP'!B:J,4,FALSE),IF(LEFT(C96,3)="SCI",VLOOKUP(VALUE(RIGHT(C96,3)),'GAS-COMP'!#REF!,4,FALSE),IF(LEFT(C96,3)="SCE",VLOOKUP(VALUE(RIGHT(C96,3)),'SCE-COMP'!B:J,4,FALSE),IF(LEFT(C96,3)="EST",VLOOKUP(VALUE(RIGHT(C96,3)),'EST-COMP'!B:J,4,FALSE),IF(LEFT(C96,3)="HID",VLOOKUP(VALUE(RIGHT(C96,3)),'HID-COMP'!B:J,4,FALSE),IF(LEFT(C96,3)="INC",VLOOKUP(VALUE(RIGHT(C96,3)),'INC-COMP'!B:J,4,FALSE),IF(LEFT(C96,3)="ELE",VLOOKUP(VALUE(RIGHT(C96,3)),#REF!,4,FALSE),IF(LEFT(C96,3)="CAB",VLOOKUP(VALUE(RIGHT(C96,3)),#REF!,4,FALSE),IF(LEFT(C96,3)="SEG",VLOOKUP(VALUE(RIGHT(C96,3)),'SEG-COMP'!B:J,4,FALSE),IF(LEFT(C96,3)="CLI",VLOOKUP(VALUE(RIGHT(C96,3)),'CLI-COMP'!B:J,4,FALSE),IF(LEFT(C96,4)="IMPL",VLOOKUP(VALUE(RIGHT(C96,3)),'IMPL-COMP'!B:J,4,FALSE),IF(LEFT(C96,4)="SPDA",VLOOKUP(VALUE(RIGHT(C96,3)),'SPDA-COMP'!B:J,4,FALSE),IF(LEFT(C96,4)="SDAI",VLOOKUP(VALUE(RIGHT(C96,3)),'ADM-COMP'!B:J,4,FALSE),IF(LEFT(C96,5)="IMPER",VLOOKUP(VALUE(RIGHT(C96,3)),'IMPER-COMP'!B:J,4,FALSE),""))))))))))))))))</f>
        <v>PORTA EM MADEIRA DE LEI TIPO ANGELIM PEDRA OU EQUIVALENTE,ESP. 30 A 35MM C/ ENCHIMENTO EM MADEIRA 1A QUALIDADE, TIPO SARRAFEADA PARA PINTURA, INCLUSIVE ALIZARES, DOBRADIÇAS E FECHADURA TIPO ALAVANCA EM LATÃO CROMADO LAFONTE OU EQUIVALENTE, EXCLUSIVE MARCO, NAS DIMENSÕES: 0,60 X 2,10 M</v>
      </c>
      <c r="E96" s="338" t="str">
        <f>IF(B96="IOPES",VLOOKUP(C96,'LABOR-SERVIÇOS'!A:H,6,FALSE),IF(B96="SINAPI",VLOOKUP(C96,'SINAPI-SERVIÇOS'!A:D,3,FALSE),IF(LEFT(C96,3)="ARQ",VLOOKUP(VALUE(RIGHT(C96,3)),'ARQ-COMP'!B:J,5,FALSE),IF(LEFT(C96,3)="SCI",VLOOKUP(VALUE(RIGHT(C96,3)),'GAS-COMP'!#REF!,5,FALSE),IF(LEFT(C96,3)="SCE",VLOOKUP(VALUE(RIGHT(C96,3)),'SCE-COMP'!B:J,5,FALSE),IF(LEFT(C96,3)="EST",VLOOKUP(VALUE(RIGHT(C96,3)),'EST-COMP'!B:J,5,FALSE),IF(LEFT(C96,3)="HID",VLOOKUP(VALUE(RIGHT(C96,3)),'HID-COMP'!B:J,5,FALSE),IF(LEFT(C96,3)="INC",VLOOKUP(VALUE(RIGHT(C96,3)),'INC-COMP'!B:J,5,FALSE),IF(LEFT(C96,3)="ELE",VLOOKUP(VALUE(RIGHT(C96,3)),#REF!,5,FALSE),IF(LEFT(C96,3)="CAB",VLOOKUP(VALUE(RIGHT(C96,3)),#REF!,5,FALSE),IF(LEFT(C96,3)="SEG",VLOOKUP(VALUE(RIGHT(C96,3)),'SEG-COMP'!B:J,5,FALSE),IF(LEFT(C96,3)="CLI",VLOOKUP(VALUE(RIGHT(C96,3)),'CLI-COMP'!B:J,5,FALSE),IF(LEFT(C96,4)="IMPL",VLOOKUP(VALUE(RIGHT(C96,3)),'IMPL-COMP'!B:J,5,FALSE),IF(LEFT(C96,4)="SPDA",VLOOKUP(VALUE(RIGHT(C96,3)),'SPDA-COMP'!B:J,5,FALSE),IF(LEFT(C96,4)="SDAI",VLOOKUP(VALUE(RIGHT(C96,3)),'ADM-COMP'!B:J,5,FALSE),IF(LEFT(C96,5)="IMPER",VLOOKUP(VALUE(RIGHT(C96,3)),'IMPER-COMP'!B:J,5,FALSE),""))))))))))))))))</f>
        <v>UND</v>
      </c>
      <c r="F96" s="599">
        <f>ROUND(VLOOKUP(A96,'MEM-LEVANT'!A140:I2693,9,FALSE),2)</f>
        <v>4</v>
      </c>
      <c r="G96" s="339">
        <f>IF(B96="IOPES",VLOOKUP(C96,'LABOR-SERVIÇOS'!A:H,7,FALSE),IF(B96="SINAPI",VLOOKUP(C96,'SINAPI-SERVIÇOS'!A:H,8,FALSE),IF(LEFT(C96,3)="ARQ",VLOOKUP(VALUE(RIGHT(C96,3)),'ARQ-COMP'!B:J,9,FALSE),IF(LEFT(C96,3)="SCI",VLOOKUP(VALUE(RIGHT(C96,3)),'GAS-COMP'!#REF!,9,FALSE),IF(LEFT(C96,3)="SCE",VLOOKUP(VALUE(RIGHT(C96,3)),'SCE-COMP'!B:J,9,FALSE),IF(LEFT(C96,3)="EST",VLOOKUP(VALUE(RIGHT(C96,3)),'EST-COMP'!B:J,9,FALSE),IF(LEFT(C96,3)="HID",VLOOKUP(VALUE(RIGHT(C96,3)),'HID-COMP'!B:J,9,FALSE),IF(LEFT(C96,3)="INC",VLOOKUP(VALUE(RIGHT(C96,3)),'INC-COMP'!B:J,9,FALSE),IF(LEFT(C96,3)="ELE",VLOOKUP(VALUE(RIGHT(C96,3)),#REF!,9,FALSE),IF(LEFT(C96,3)="CAB",VLOOKUP(VALUE(RIGHT(C96,3)),#REF!,9,FALSE),IF(LEFT(C96,3)="SEG",VLOOKUP(VALUE(RIGHT(C96,3)),'SEG-COMP'!B:J,9,FALSE),IF(LEFT(C96,3)="CLI",VLOOKUP(VALUE(RIGHT(C96,3)),'CLI-COMP'!B:J,9,FALSE),IF(LEFT(C96,4)="IMPL",VLOOKUP(VALUE(RIGHT(C96,3)),'IMPL-COMP'!B:J,9,FALSE),IF(LEFT(C96,4)="SPDA",VLOOKUP(VALUE(RIGHT(C96,3)),'SPDA-COMP'!B:J,9,FALSE),IF(LEFT(C96,4)="SDAI",VLOOKUP(VALUE(RIGHT(C96,3)),'ADM-COMP'!B:J,9,FALSE),IF(LEFT(C96,5)="IMPER",VLOOKUP(VALUE(RIGHT(C96,3)),'IMPER-COMP'!B:J,9,FALSE),""))))))))))))))))</f>
        <v>1349.48</v>
      </c>
      <c r="H96" s="339">
        <f t="shared" ref="H96" si="37">ROUND(F96*G96,2)</f>
        <v>5397.92</v>
      </c>
      <c r="I96" s="374">
        <f>H96/$H$441</f>
        <v>3.15614166312757E-4</v>
      </c>
      <c r="J96" s="314"/>
    </row>
    <row r="97" spans="1:10" ht="39.6">
      <c r="A97" s="613" t="s">
        <v>7982</v>
      </c>
      <c r="B97" s="337" t="s">
        <v>2879</v>
      </c>
      <c r="C97" s="540">
        <f>'LABOR-SERVIÇOS'!A244</f>
        <v>60103</v>
      </c>
      <c r="D97" s="539" t="str">
        <f>IF(B97="IOPES",VLOOKUP(C97,'LABOR-SERVIÇOS'!A:H,5,FALSE),IF(B97="SINAPI",VLOOKUP(C97,'SINAPI-SERVIÇOS'!A:D,2,FALSE),IF(LEFT(C97,3)="ARQ",VLOOKUP(VALUE(RIGHT(C97,3)),'ARQ-COMP'!B:J,4,FALSE),IF(LEFT(C97,3)="SCI",VLOOKUP(VALUE(RIGHT(C97,3)),'GAS-COMP'!#REF!,4,FALSE),IF(LEFT(C97,3)="SCE",VLOOKUP(VALUE(RIGHT(C97,3)),'SCE-COMP'!B:J,4,FALSE),IF(LEFT(C97,3)="EST",VLOOKUP(VALUE(RIGHT(C97,3)),'EST-COMP'!B:J,4,FALSE),IF(LEFT(C97,3)="HID",VLOOKUP(VALUE(RIGHT(C97,3)),'HID-COMP'!B:J,4,FALSE),IF(LEFT(C97,3)="INC",VLOOKUP(VALUE(RIGHT(C97,3)),'INC-COMP'!B:J,4,FALSE),IF(LEFT(C97,3)="ELE",VLOOKUP(VALUE(RIGHT(C97,3)),#REF!,4,FALSE),IF(LEFT(C97,3)="CAB",VLOOKUP(VALUE(RIGHT(C97,3)),#REF!,4,FALSE),IF(LEFT(C97,3)="SEG",VLOOKUP(VALUE(RIGHT(C97,3)),'SEG-COMP'!B:J,4,FALSE),IF(LEFT(C97,3)="CLI",VLOOKUP(VALUE(RIGHT(C97,3)),'CLI-COMP'!B:J,4,FALSE),IF(LEFT(C97,4)="IMPL",VLOOKUP(VALUE(RIGHT(C97,3)),'IMPL-COMP'!B:J,4,FALSE),IF(LEFT(C97,4)="SPDA",VLOOKUP(VALUE(RIGHT(C97,3)),'SPDA-COMP'!B:J,4,FALSE),IF(LEFT(C97,4)="SDAI",VLOOKUP(VALUE(RIGHT(C97,3)),'ADM-COMP'!B:J,4,FALSE),IF(LEFT(C97,5)="IMPER",VLOOKUP(VALUE(RIGHT(C97,3)),'IMPER-COMP'!B:J,4,FALSE),""))))))))))))))))</f>
        <v>MARCO EM MADEIRA DE LEI TIPO PEROBA, IPÊ, ANGELIM PEDRA OU EQUIVALENTE, COM 15 X 3CM DE BATENTE, NAS DIMENSÕES: 0,80 X 2,10 M</v>
      </c>
      <c r="E97" s="338" t="str">
        <f>IF(B97="IOPES",VLOOKUP(C97,'LABOR-SERVIÇOS'!A:H,6,FALSE),IF(B97="SINAPI",VLOOKUP(C97,'SINAPI-SERVIÇOS'!A:D,3,FALSE),IF(LEFT(C97,3)="ARQ",VLOOKUP(VALUE(RIGHT(C97,3)),'ARQ-COMP'!B:J,5,FALSE),IF(LEFT(C97,3)="SCI",VLOOKUP(VALUE(RIGHT(C97,3)),'GAS-COMP'!#REF!,5,FALSE),IF(LEFT(C97,3)="SCE",VLOOKUP(VALUE(RIGHT(C97,3)),'SCE-COMP'!B:J,5,FALSE),IF(LEFT(C97,3)="EST",VLOOKUP(VALUE(RIGHT(C97,3)),'EST-COMP'!B:J,5,FALSE),IF(LEFT(C97,3)="HID",VLOOKUP(VALUE(RIGHT(C97,3)),'HID-COMP'!B:J,5,FALSE),IF(LEFT(C97,3)="INC",VLOOKUP(VALUE(RIGHT(C97,3)),'INC-COMP'!B:J,5,FALSE),IF(LEFT(C97,3)="ELE",VLOOKUP(VALUE(RIGHT(C97,3)),#REF!,5,FALSE),IF(LEFT(C97,3)="CAB",VLOOKUP(VALUE(RIGHT(C97,3)),#REF!,5,FALSE),IF(LEFT(C97,3)="SEG",VLOOKUP(VALUE(RIGHT(C97,3)),'SEG-COMP'!B:J,5,FALSE),IF(LEFT(C97,3)="CLI",VLOOKUP(VALUE(RIGHT(C97,3)),'CLI-COMP'!B:J,5,FALSE),IF(LEFT(C97,4)="IMPL",VLOOKUP(VALUE(RIGHT(C97,3)),'IMPL-COMP'!B:J,5,FALSE),IF(LEFT(C97,4)="SPDA",VLOOKUP(VALUE(RIGHT(C97,3)),'SPDA-COMP'!B:J,5,FALSE),IF(LEFT(C97,4)="SDAI",VLOOKUP(VALUE(RIGHT(C97,3)),'ADM-COMP'!B:J,5,FALSE),IF(LEFT(C97,5)="IMPER",VLOOKUP(VALUE(RIGHT(C97,3)),'IMPER-COMP'!B:J,5,FALSE),""))))))))))))))))</f>
        <v>UND</v>
      </c>
      <c r="F97" s="599">
        <f>ROUND(VLOOKUP(A97,'MEM-LEVANT'!A141:I2694,9,FALSE),2)</f>
        <v>67</v>
      </c>
      <c r="G97" s="339">
        <f>IF(B97="IOPES",VLOOKUP(C97,'LABOR-SERVIÇOS'!A:H,7,FALSE),IF(B97="SINAPI",VLOOKUP(C97,'SINAPI-SERVIÇOS'!A:H,8,FALSE),IF(LEFT(C97,3)="ARQ",VLOOKUP(VALUE(RIGHT(C97,3)),'ARQ-COMP'!B:J,9,FALSE),IF(LEFT(C97,3)="SCI",VLOOKUP(VALUE(RIGHT(C97,3)),'GAS-COMP'!#REF!,9,FALSE),IF(LEFT(C97,3)="SCE",VLOOKUP(VALUE(RIGHT(C97,3)),'SCE-COMP'!B:J,9,FALSE),IF(LEFT(C97,3)="EST",VLOOKUP(VALUE(RIGHT(C97,3)),'EST-COMP'!B:J,9,FALSE),IF(LEFT(C97,3)="HID",VLOOKUP(VALUE(RIGHT(C97,3)),'HID-COMP'!B:J,9,FALSE),IF(LEFT(C97,3)="INC",VLOOKUP(VALUE(RIGHT(C97,3)),'INC-COMP'!B:J,9,FALSE),IF(LEFT(C97,3)="ELE",VLOOKUP(VALUE(RIGHT(C97,3)),#REF!,9,FALSE),IF(LEFT(C97,3)="CAB",VLOOKUP(VALUE(RIGHT(C97,3)),#REF!,9,FALSE),IF(LEFT(C97,3)="SEG",VLOOKUP(VALUE(RIGHT(C97,3)),'SEG-COMP'!B:J,9,FALSE),IF(LEFT(C97,3)="CLI",VLOOKUP(VALUE(RIGHT(C97,3)),'CLI-COMP'!B:J,9,FALSE),IF(LEFT(C97,4)="IMPL",VLOOKUP(VALUE(RIGHT(C97,3)),'IMPL-COMP'!B:J,9,FALSE),IF(LEFT(C97,4)="SPDA",VLOOKUP(VALUE(RIGHT(C97,3)),'SPDA-COMP'!B:J,9,FALSE),IF(LEFT(C97,4)="SDAI",VLOOKUP(VALUE(RIGHT(C97,3)),'ADM-COMP'!B:J,9,FALSE),IF(LEFT(C97,5)="IMPER",VLOOKUP(VALUE(RIGHT(C97,3)),'IMPER-COMP'!B:J,9,FALSE),""))))))))))))))))</f>
        <v>491.24</v>
      </c>
      <c r="H97" s="339">
        <f t="shared" ref="H97" si="38">ROUND(F97*G97,2)</f>
        <v>32913.08</v>
      </c>
      <c r="I97" s="374">
        <f>H97/$H$441</f>
        <v>1.9244142753106893E-3</v>
      </c>
      <c r="J97" s="314"/>
    </row>
    <row r="98" spans="1:10" ht="39.6">
      <c r="A98" s="613" t="s">
        <v>7983</v>
      </c>
      <c r="B98" s="337" t="s">
        <v>2879</v>
      </c>
      <c r="C98" s="540">
        <f>'LABOR-SERVIÇOS'!A242</f>
        <v>60101</v>
      </c>
      <c r="D98" s="539" t="str">
        <f>IF(B98="IOPES",VLOOKUP(C98,'LABOR-SERVIÇOS'!A:H,5,FALSE),IF(B98="SINAPI",VLOOKUP(C98,'SINAPI-SERVIÇOS'!A:D,2,FALSE),IF(LEFT(C98,3)="ARQ",VLOOKUP(VALUE(RIGHT(C98,3)),'ARQ-COMP'!B:J,4,FALSE),IF(LEFT(C98,3)="SCI",VLOOKUP(VALUE(RIGHT(C98,3)),'GAS-COMP'!#REF!,4,FALSE),IF(LEFT(C98,3)="SCE",VLOOKUP(VALUE(RIGHT(C98,3)),'SCE-COMP'!B:J,4,FALSE),IF(LEFT(C98,3)="EST",VLOOKUP(VALUE(RIGHT(C98,3)),'EST-COMP'!B:J,4,FALSE),IF(LEFT(C98,3)="HID",VLOOKUP(VALUE(RIGHT(C98,3)),'HID-COMP'!B:J,4,FALSE),IF(LEFT(C98,3)="INC",VLOOKUP(VALUE(RIGHT(C98,3)),'INC-COMP'!B:J,4,FALSE),IF(LEFT(C98,3)="ELE",VLOOKUP(VALUE(RIGHT(C98,3)),#REF!,4,FALSE),IF(LEFT(C98,3)="CAB",VLOOKUP(VALUE(RIGHT(C98,3)),#REF!,4,FALSE),IF(LEFT(C98,3)="SEG",VLOOKUP(VALUE(RIGHT(C98,3)),'SEG-COMP'!B:J,4,FALSE),IF(LEFT(C98,3)="CLI",VLOOKUP(VALUE(RIGHT(C98,3)),'CLI-COMP'!B:J,4,FALSE),IF(LEFT(C98,4)="IMPL",VLOOKUP(VALUE(RIGHT(C98,3)),'IMPL-COMP'!B:J,4,FALSE),IF(LEFT(C98,4)="SPDA",VLOOKUP(VALUE(RIGHT(C98,3)),'SPDA-COMP'!B:J,4,FALSE),IF(LEFT(C98,4)="SDAI",VLOOKUP(VALUE(RIGHT(C98,3)),'ADM-COMP'!B:J,4,FALSE),IF(LEFT(C98,5)="IMPER",VLOOKUP(VALUE(RIGHT(C98,3)),'IMPER-COMP'!B:J,4,FALSE),""))))))))))))))))</f>
        <v>MARCO EM MADEIRA DE LEI TIPO PEROBA, IPÊ, ANGELIM PEDRA OU EQUIVALENTE, COM 15 X 3CM DE BATENTE, NAS DIMENSÕES: 0,60 X 2,10 M</v>
      </c>
      <c r="E98" s="338" t="str">
        <f>IF(B98="IOPES",VLOOKUP(C98,'LABOR-SERVIÇOS'!A:H,6,FALSE),IF(B98="SINAPI",VLOOKUP(C98,'SINAPI-SERVIÇOS'!A:D,3,FALSE),IF(LEFT(C98,3)="ARQ",VLOOKUP(VALUE(RIGHT(C98,3)),'ARQ-COMP'!B:J,5,FALSE),IF(LEFT(C98,3)="SCI",VLOOKUP(VALUE(RIGHT(C98,3)),'GAS-COMP'!#REF!,5,FALSE),IF(LEFT(C98,3)="SCE",VLOOKUP(VALUE(RIGHT(C98,3)),'SCE-COMP'!B:J,5,FALSE),IF(LEFT(C98,3)="EST",VLOOKUP(VALUE(RIGHT(C98,3)),'EST-COMP'!B:J,5,FALSE),IF(LEFT(C98,3)="HID",VLOOKUP(VALUE(RIGHT(C98,3)),'HID-COMP'!B:J,5,FALSE),IF(LEFT(C98,3)="INC",VLOOKUP(VALUE(RIGHT(C98,3)),'INC-COMP'!B:J,5,FALSE),IF(LEFT(C98,3)="ELE",VLOOKUP(VALUE(RIGHT(C98,3)),#REF!,5,FALSE),IF(LEFT(C98,3)="CAB",VLOOKUP(VALUE(RIGHT(C98,3)),#REF!,5,FALSE),IF(LEFT(C98,3)="SEG",VLOOKUP(VALUE(RIGHT(C98,3)),'SEG-COMP'!B:J,5,FALSE),IF(LEFT(C98,3)="CLI",VLOOKUP(VALUE(RIGHT(C98,3)),'CLI-COMP'!B:J,5,FALSE),IF(LEFT(C98,4)="IMPL",VLOOKUP(VALUE(RIGHT(C98,3)),'IMPL-COMP'!B:J,5,FALSE),IF(LEFT(C98,4)="SPDA",VLOOKUP(VALUE(RIGHT(C98,3)),'SPDA-COMP'!B:J,5,FALSE),IF(LEFT(C98,4)="SDAI",VLOOKUP(VALUE(RIGHT(C98,3)),'ADM-COMP'!B:J,5,FALSE),IF(LEFT(C98,5)="IMPER",VLOOKUP(VALUE(RIGHT(C98,3)),'IMPER-COMP'!B:J,5,FALSE),""))))))))))))))))</f>
        <v>UND</v>
      </c>
      <c r="F98" s="599">
        <f>ROUND(VLOOKUP(A98,'MEM-LEVANT'!A142:I2695,9,FALSE),2)</f>
        <v>4</v>
      </c>
      <c r="G98" s="339">
        <f>IF(B98="IOPES",VLOOKUP(C98,'LABOR-SERVIÇOS'!A:H,7,FALSE),IF(B98="SINAPI",VLOOKUP(C98,'SINAPI-SERVIÇOS'!A:H,8,FALSE),IF(LEFT(C98,3)="ARQ",VLOOKUP(VALUE(RIGHT(C98,3)),'ARQ-COMP'!B:J,9,FALSE),IF(LEFT(C98,3)="SCI",VLOOKUP(VALUE(RIGHT(C98,3)),'GAS-COMP'!#REF!,9,FALSE),IF(LEFT(C98,3)="SCE",VLOOKUP(VALUE(RIGHT(C98,3)),'SCE-COMP'!B:J,9,FALSE),IF(LEFT(C98,3)="EST",VLOOKUP(VALUE(RIGHT(C98,3)),'EST-COMP'!B:J,9,FALSE),IF(LEFT(C98,3)="HID",VLOOKUP(VALUE(RIGHT(C98,3)),'HID-COMP'!B:J,9,FALSE),IF(LEFT(C98,3)="INC",VLOOKUP(VALUE(RIGHT(C98,3)),'INC-COMP'!B:J,9,FALSE),IF(LEFT(C98,3)="ELE",VLOOKUP(VALUE(RIGHT(C98,3)),#REF!,9,FALSE),IF(LEFT(C98,3)="CAB",VLOOKUP(VALUE(RIGHT(C98,3)),#REF!,9,FALSE),IF(LEFT(C98,3)="SEG",VLOOKUP(VALUE(RIGHT(C98,3)),'SEG-COMP'!B:J,9,FALSE),IF(LEFT(C98,3)="CLI",VLOOKUP(VALUE(RIGHT(C98,3)),'CLI-COMP'!B:J,9,FALSE),IF(LEFT(C98,4)="IMPL",VLOOKUP(VALUE(RIGHT(C98,3)),'IMPL-COMP'!B:J,9,FALSE),IF(LEFT(C98,4)="SPDA",VLOOKUP(VALUE(RIGHT(C98,3)),'SPDA-COMP'!B:J,9,FALSE),IF(LEFT(C98,4)="SDAI",VLOOKUP(VALUE(RIGHT(C98,3)),'ADM-COMP'!B:J,9,FALSE),IF(LEFT(C98,5)="IMPER",VLOOKUP(VALUE(RIGHT(C98,3)),'IMPER-COMP'!B:J,9,FALSE),""))))))))))))))))</f>
        <v>491.24</v>
      </c>
      <c r="H98" s="339">
        <f t="shared" ref="H98" si="39">ROUND(F98*G98,2)</f>
        <v>1964.96</v>
      </c>
      <c r="I98" s="374">
        <f>H98/$H$441</f>
        <v>1.1489040449616056E-4</v>
      </c>
      <c r="J98" s="314"/>
    </row>
    <row r="99" spans="1:10" ht="20.25" customHeight="1">
      <c r="A99" s="553" t="s">
        <v>10352</v>
      </c>
      <c r="B99" s="554"/>
      <c r="C99" s="555"/>
      <c r="D99" s="556" t="s">
        <v>61</v>
      </c>
      <c r="E99" s="557"/>
      <c r="F99" s="598"/>
      <c r="G99" s="558"/>
      <c r="H99" s="559"/>
      <c r="I99" s="560"/>
      <c r="J99" s="314"/>
    </row>
    <row r="100" spans="1:10" ht="66">
      <c r="A100" s="613" t="s">
        <v>7996</v>
      </c>
      <c r="B100" s="337" t="s">
        <v>26987</v>
      </c>
      <c r="C100" s="540" t="s">
        <v>12293</v>
      </c>
      <c r="D100" s="539" t="s">
        <v>35779</v>
      </c>
      <c r="E100" s="338" t="s">
        <v>73</v>
      </c>
      <c r="F100" s="599">
        <f>ROUND(VLOOKUP(A100,'MEM-LEVANT'!A142:I2695,9,FALSE),2)</f>
        <v>60</v>
      </c>
      <c r="G100" s="339">
        <f>544.78*(1+$K$4)</f>
        <v>713.71627799999999</v>
      </c>
      <c r="H100" s="339">
        <f t="shared" ref="H100" si="40">ROUND(F100*G100,2)</f>
        <v>42822.98</v>
      </c>
      <c r="I100" s="374">
        <f t="shared" ref="I100:I106" si="41">H100/$H$441</f>
        <v>2.5038420598541417E-3</v>
      </c>
      <c r="J100" s="314"/>
    </row>
    <row r="101" spans="1:10" ht="26.4">
      <c r="A101" s="613" t="s">
        <v>7997</v>
      </c>
      <c r="B101" s="337" t="s">
        <v>26987</v>
      </c>
      <c r="C101" s="540" t="s">
        <v>24218</v>
      </c>
      <c r="D101" s="539" t="s">
        <v>31915</v>
      </c>
      <c r="E101" s="338" t="s">
        <v>27019</v>
      </c>
      <c r="F101" s="599">
        <f>ROUND(VLOOKUP(A101,'MEM-LEVANT'!A143:I2696,9,FALSE),2)</f>
        <v>320</v>
      </c>
      <c r="G101" s="339">
        <f>19.85*(1+$K$4)</f>
        <v>26.005485000000004</v>
      </c>
      <c r="H101" s="339">
        <f t="shared" ref="H101" si="42">ROUND(F101*G101,2)</f>
        <v>8321.76</v>
      </c>
      <c r="I101" s="374">
        <f t="shared" si="41"/>
        <v>4.8656989074585187E-4</v>
      </c>
      <c r="J101" s="314"/>
    </row>
    <row r="102" spans="1:10" ht="66">
      <c r="A102" s="613" t="s">
        <v>7998</v>
      </c>
      <c r="B102" s="337" t="s">
        <v>26987</v>
      </c>
      <c r="C102" s="540">
        <v>94569</v>
      </c>
      <c r="D102" s="539" t="s">
        <v>35780</v>
      </c>
      <c r="E102" s="338" t="s">
        <v>73</v>
      </c>
      <c r="F102" s="599">
        <f>ROUND(VLOOKUP(A102,'MEM-LEVANT'!A146:I2697,9,FALSE),2)</f>
        <v>60</v>
      </c>
      <c r="G102" s="339">
        <f>481.27*(1+$K$4)</f>
        <v>630.51182700000004</v>
      </c>
      <c r="H102" s="339">
        <f t="shared" ref="H102:H105" si="43">ROUND(F102*G102,2)</f>
        <v>37830.71</v>
      </c>
      <c r="I102" s="374">
        <f t="shared" si="41"/>
        <v>2.2119460825039418E-3</v>
      </c>
      <c r="J102" s="314"/>
    </row>
    <row r="103" spans="1:10" ht="39.6">
      <c r="A103" s="613" t="s">
        <v>7999</v>
      </c>
      <c r="B103" s="337" t="s">
        <v>26987</v>
      </c>
      <c r="C103" s="540">
        <v>102185</v>
      </c>
      <c r="D103" s="539" t="s">
        <v>12286</v>
      </c>
      <c r="E103" s="338" t="s">
        <v>7992</v>
      </c>
      <c r="F103" s="599">
        <f>ROUND(VLOOKUP(A103,'MEM-LEVANT'!A147:I2698,9,FALSE),2)</f>
        <v>10</v>
      </c>
      <c r="G103" s="339">
        <f>3929.61*(1+$K$4)</f>
        <v>5148.1820610000004</v>
      </c>
      <c r="H103" s="339">
        <f t="shared" ref="H103" si="44">ROUND(F103*G103,2)</f>
        <v>51481.82</v>
      </c>
      <c r="I103" s="374">
        <f t="shared" si="41"/>
        <v>3.0101208798135985E-3</v>
      </c>
      <c r="J103" s="314"/>
    </row>
    <row r="104" spans="1:10" ht="52.8">
      <c r="A104" s="613" t="s">
        <v>8011</v>
      </c>
      <c r="B104" s="337" t="s">
        <v>26987</v>
      </c>
      <c r="C104" s="540">
        <v>104100</v>
      </c>
      <c r="D104" s="539" t="s">
        <v>35781</v>
      </c>
      <c r="E104" s="338" t="s">
        <v>73</v>
      </c>
      <c r="F104" s="599">
        <f>ROUND(VLOOKUP(A104,'MEM-LEVANT'!A146:I2698,9,FALSE),2)</f>
        <v>261.25</v>
      </c>
      <c r="G104" s="339">
        <f>1923.31*(1+$K$4)</f>
        <v>2519.728431</v>
      </c>
      <c r="H104" s="339">
        <f t="shared" si="43"/>
        <v>658279.05000000005</v>
      </c>
      <c r="I104" s="374">
        <f t="shared" si="41"/>
        <v>3.8489305800549781E-2</v>
      </c>
      <c r="J104" s="314"/>
    </row>
    <row r="105" spans="1:10" ht="39.6">
      <c r="A105" s="613" t="s">
        <v>9662</v>
      </c>
      <c r="B105" s="337" t="s">
        <v>2879</v>
      </c>
      <c r="C105" s="540">
        <f>71704</f>
        <v>71704</v>
      </c>
      <c r="D105" s="539" t="str">
        <f>IF(B105="IOPES",VLOOKUP(C105,'LABOR-SERVIÇOS'!A:H,5,FALSE),IF(B105="SINAPI",VLOOKUP(C105,'SINAPI-SERVIÇOS'!A:D,2,FALSE),IF(LEFT(C105,3)="ARQ",VLOOKUP(VALUE(RIGHT(C105,3)),'ARQ-COMP'!B:J,4,FALSE),IF(LEFT(C105,3)="SCI",VLOOKUP(VALUE(RIGHT(C105,3)),'GAS-COMP'!#REF!,4,FALSE),IF(LEFT(C105,3)="SCE",VLOOKUP(VALUE(RIGHT(C105,3)),'SCE-COMP'!B:J,4,FALSE),IF(LEFT(C105,3)="EST",VLOOKUP(VALUE(RIGHT(C105,3)),'EST-COMP'!B:J,4,FALSE),IF(LEFT(C105,3)="HID",VLOOKUP(VALUE(RIGHT(C105,3)),'HID-COMP'!B:J,4,FALSE),IF(LEFT(C105,3)="INC",VLOOKUP(VALUE(RIGHT(C105,3)),'INC-COMP'!B:J,4,FALSE),IF(LEFT(C105,3)="ELE",VLOOKUP(VALUE(RIGHT(C105,3)),#REF!,4,FALSE),IF(LEFT(C105,3)="CAB",VLOOKUP(VALUE(RIGHT(C105,3)),#REF!,4,FALSE),IF(LEFT(C105,3)="SEG",VLOOKUP(VALUE(RIGHT(C105,3)),'SEG-COMP'!B:J,4,FALSE),IF(LEFT(C105,3)="CLI",VLOOKUP(VALUE(RIGHT(C105,3)),'CLI-COMP'!B:J,4,FALSE),IF(LEFT(C105,4)="IMPL",VLOOKUP(VALUE(RIGHT(C105,3)),'IMPL-COMP'!B:J,4,FALSE),IF(LEFT(C105,4)="SPDA",VLOOKUP(VALUE(RIGHT(C105,3)),'SPDA-COMP'!B:J,4,FALSE),IF(LEFT(C105,4)="SDAI",VLOOKUP(VALUE(RIGHT(C105,3)),'ADM-COMP'!B:J,4,FALSE),IF(LEFT(C105,5)="IMPER",VLOOKUP(VALUE(RIGHT(C105,3)),'IMPER-COMP'!B:J,4,FALSE),""))))))))))))))))</f>
        <v>PORTA DE ABRIR TIPO VENEZIANA EM ALUMÍNIO ANODIZADO, LINHA 25, COMPLETA, INCL. PUXADOR COM TRANCA, CAIXILHO, ALIZAR E CONTRAMARCO</v>
      </c>
      <c r="E105" s="338" t="str">
        <f>IF(B105="IOPES",VLOOKUP(C105,'LABOR-SERVIÇOS'!A:H,6,FALSE),IF(B105="SINAPI",VLOOKUP(C105,'SINAPI-SERVIÇOS'!A:D,3,FALSE),IF(LEFT(C105,3)="ARQ",VLOOKUP(VALUE(RIGHT(C105,3)),'ARQ-COMP'!B:J,5,FALSE),IF(LEFT(C105,3)="SCI",VLOOKUP(VALUE(RIGHT(C105,3)),'GAS-COMP'!#REF!,5,FALSE),IF(LEFT(C105,3)="SCE",VLOOKUP(VALUE(RIGHT(C105,3)),'SCE-COMP'!B:J,5,FALSE),IF(LEFT(C105,3)="EST",VLOOKUP(VALUE(RIGHT(C105,3)),'EST-COMP'!B:J,5,FALSE),IF(LEFT(C105,3)="HID",VLOOKUP(VALUE(RIGHT(C105,3)),'HID-COMP'!B:J,5,FALSE),IF(LEFT(C105,3)="INC",VLOOKUP(VALUE(RIGHT(C105,3)),'INC-COMP'!B:J,5,FALSE),IF(LEFT(C105,3)="ELE",VLOOKUP(VALUE(RIGHT(C105,3)),#REF!,5,FALSE),IF(LEFT(C105,3)="CAB",VLOOKUP(VALUE(RIGHT(C105,3)),#REF!,5,FALSE),IF(LEFT(C105,3)="SEG",VLOOKUP(VALUE(RIGHT(C105,3)),'SEG-COMP'!B:J,5,FALSE),IF(LEFT(C105,3)="CLI",VLOOKUP(VALUE(RIGHT(C105,3)),'CLI-COMP'!B:J,5,FALSE),IF(LEFT(C105,4)="IMPL",VLOOKUP(VALUE(RIGHT(C105,3)),'IMPL-COMP'!B:J,5,FALSE),IF(LEFT(C105,4)="SPDA",VLOOKUP(VALUE(RIGHT(C105,3)),'SPDA-COMP'!B:J,5,FALSE),IF(LEFT(C105,4)="SDAI",VLOOKUP(VALUE(RIGHT(C105,3)),'ADM-COMP'!B:J,5,FALSE),IF(LEFT(C105,5)="IMPER",VLOOKUP(VALUE(RIGHT(C105,3)),'IMPER-COMP'!B:J,5,FALSE),""))))))))))))))))</f>
        <v>M2</v>
      </c>
      <c r="F105" s="599">
        <f>ROUND(VLOOKUP(A105,'MEM-LEVANT'!A147:I2699,9,FALSE),2)</f>
        <v>77.040000000000006</v>
      </c>
      <c r="G105" s="339">
        <f>IF(B105="IOPES",VLOOKUP(C105,'LABOR-SERVIÇOS'!A:H,7,FALSE),IF(B105="SINAPI",VLOOKUP(C105,'SINAPI-SERVIÇOS'!A:H,8,FALSE),IF(LEFT(C105,3)="ARQ",VLOOKUP(VALUE(RIGHT(C105,3)),'ARQ-COMP'!B:J,9,FALSE),IF(LEFT(C105,3)="SCI",VLOOKUP(VALUE(RIGHT(C105,3)),'GAS-COMP'!#REF!,9,FALSE),IF(LEFT(C105,3)="SCE",VLOOKUP(VALUE(RIGHT(C105,3)),'SCE-COMP'!B:J,9,FALSE),IF(LEFT(C105,3)="EST",VLOOKUP(VALUE(RIGHT(C105,3)),'EST-COMP'!B:J,9,FALSE),IF(LEFT(C105,3)="HID",VLOOKUP(VALUE(RIGHT(C105,3)),'HID-COMP'!B:J,9,FALSE),IF(LEFT(C105,3)="INC",VLOOKUP(VALUE(RIGHT(C105,3)),'INC-COMP'!B:J,9,FALSE),IF(LEFT(C105,3)="ELE",VLOOKUP(VALUE(RIGHT(C105,3)),#REF!,9,FALSE),IF(LEFT(C105,3)="CAB",VLOOKUP(VALUE(RIGHT(C105,3)),#REF!,9,FALSE),IF(LEFT(C105,3)="SEG",VLOOKUP(VALUE(RIGHT(C105,3)),'SEG-COMP'!B:J,9,FALSE),IF(LEFT(C105,3)="CLI",VLOOKUP(VALUE(RIGHT(C105,3)),'CLI-COMP'!B:J,9,FALSE),IF(LEFT(C105,4)="IMPL",VLOOKUP(VALUE(RIGHT(C105,3)),'IMPL-COMP'!B:J,9,FALSE),IF(LEFT(C105,4)="SPDA",VLOOKUP(VALUE(RIGHT(C105,3)),'SPDA-COMP'!B:J,9,FALSE),IF(LEFT(C105,4)="SDAI",VLOOKUP(VALUE(RIGHT(C105,3)),'ADM-COMP'!B:J,9,FALSE),IF(LEFT(C105,5)="IMPER",VLOOKUP(VALUE(RIGHT(C105,3)),'IMPER-COMP'!B:J,9,FALSE),""))))))))))))))))</f>
        <v>1211.02</v>
      </c>
      <c r="H105" s="339">
        <f t="shared" si="43"/>
        <v>93296.98</v>
      </c>
      <c r="I105" s="374">
        <f t="shared" si="41"/>
        <v>5.4550361180228614E-3</v>
      </c>
      <c r="J105" s="314"/>
    </row>
    <row r="106" spans="1:10" ht="52.8">
      <c r="A106" s="663" t="s">
        <v>9702</v>
      </c>
      <c r="B106" s="376" t="s">
        <v>7511</v>
      </c>
      <c r="C106" s="664">
        <v>13947</v>
      </c>
      <c r="D106" s="665" t="str">
        <f>UPPER("Brise em alumínio tubular, cor bronze 1002, com fechamento em tubinhos horizontais, com estrutura auxiliar de alumínio, com tubos de 2 x 1.1/2, conforme projeto.")</f>
        <v>BRISE EM ALUMÍNIO TUBULAR, COR BRONZE 1002, COM FECHAMENTO EM TUBINHOS HORIZONTAIS, COM ESTRUTURA AUXILIAR DE ALUMÍNIO, COM TUBOS DE 2 X 1.1/2, CONFORME PROJETO.</v>
      </c>
      <c r="E106" s="377" t="s">
        <v>73</v>
      </c>
      <c r="F106" s="601">
        <f>ROUND(VLOOKUP(A106,'MEM-LEVANT'!A148:I2700,9,FALSE),2)</f>
        <v>428.61</v>
      </c>
      <c r="G106" s="378">
        <f>1845.89*(1+$K$4)</f>
        <v>2418.3004890000002</v>
      </c>
      <c r="H106" s="378">
        <f>ROUND(F106*G106,2)</f>
        <v>1036507.77</v>
      </c>
      <c r="I106" s="666">
        <f t="shared" si="41"/>
        <v>6.0604183779167695E-2</v>
      </c>
      <c r="J106" s="314"/>
    </row>
    <row r="107" spans="1:10">
      <c r="A107" s="553" t="s">
        <v>27411</v>
      </c>
      <c r="B107" s="554"/>
      <c r="C107" s="555"/>
      <c r="D107" s="556" t="s">
        <v>27412</v>
      </c>
      <c r="E107" s="557"/>
      <c r="F107" s="598"/>
      <c r="G107" s="558"/>
      <c r="H107" s="559"/>
      <c r="I107" s="560"/>
      <c r="J107" s="314"/>
    </row>
    <row r="108" spans="1:10" ht="39.6">
      <c r="A108" s="613" t="s">
        <v>9663</v>
      </c>
      <c r="B108" s="337" t="s">
        <v>2879</v>
      </c>
      <c r="C108" s="540">
        <f>80202</f>
        <v>80202</v>
      </c>
      <c r="D108" s="539" t="str">
        <f>IF(B108="IOPES",VLOOKUP(C108,'LABOR-SERVIÇOS'!A:H,5,FALSE),IF(B108="SINAPI",VLOOKUP(C108,'SINAPI-SERVIÇOS'!A:D,2,FALSE),IF(LEFT(C108,3)="ARQ",VLOOKUP(VALUE(RIGHT(C108,3)),'ARQ-COMP'!B:J,4,FALSE),IF(LEFT(C108,3)="SCI",VLOOKUP(VALUE(RIGHT(C108,3)),'GAS-COMP'!#REF!,4,FALSE),IF(LEFT(C108,3)="SCE",VLOOKUP(VALUE(RIGHT(C108,3)),'SCE-COMP'!B:J,4,FALSE),IF(LEFT(C108,3)="EST",VLOOKUP(VALUE(RIGHT(C108,3)),'EST-COMP'!B:J,4,FALSE),IF(LEFT(C108,3)="HID",VLOOKUP(VALUE(RIGHT(C108,3)),'HID-COMP'!B:J,4,FALSE),IF(LEFT(C108,3)="INC",VLOOKUP(VALUE(RIGHT(C108,3)),'INC-COMP'!B:J,4,FALSE),IF(LEFT(C108,3)="ELE",VLOOKUP(VALUE(RIGHT(C108,3)),#REF!,4,FALSE),IF(LEFT(C108,3)="CAB",VLOOKUP(VALUE(RIGHT(C108,3)),#REF!,4,FALSE),IF(LEFT(C108,3)="SEG",VLOOKUP(VALUE(RIGHT(C108,3)),'SEG-COMP'!B:J,4,FALSE),IF(LEFT(C108,3)="CLI",VLOOKUP(VALUE(RIGHT(C108,3)),'CLI-COMP'!B:J,4,FALSE),IF(LEFT(C108,4)="IMPL",VLOOKUP(VALUE(RIGHT(C108,3)),'IMPL-COMP'!B:J,4,FALSE),IF(LEFT(C108,4)="SPDA",VLOOKUP(VALUE(RIGHT(C108,3)),'SPDA-COMP'!B:J,4,FALSE),IF(LEFT(C108,4)="SDAI",VLOOKUP(VALUE(RIGHT(C108,3)),'ADM-COMP'!B:J,4,FALSE),IF(LEFT(C108,5)="IMPER",VLOOKUP(VALUE(RIGHT(C108,3)),'IMPER-COMP'!B:J,4,FALSE),""))))))))))))))))</f>
        <v>ESPELHO ESPESSURA 4 MM, INCLUINDO CHAPA COMPENSADA 6MM, MOLDURA DE PEÇA DE MADEIRA 7X2.5CM FIXADA COM PARAFUSO E BUCHA CONFORME DETALHE EM PROJETO</v>
      </c>
      <c r="E108" s="338" t="str">
        <f>IF(B108="IOPES",VLOOKUP(C108,'LABOR-SERVIÇOS'!A:H,6,FALSE),IF(B108="SINAPI",VLOOKUP(C108,'SINAPI-SERVIÇOS'!A:D,3,FALSE),IF(LEFT(C108,3)="ARQ",VLOOKUP(VALUE(RIGHT(C108,3)),'ARQ-COMP'!B:J,5,FALSE),IF(LEFT(C108,3)="SCI",VLOOKUP(VALUE(RIGHT(C108,3)),'GAS-COMP'!#REF!,5,FALSE),IF(LEFT(C108,3)="SCE",VLOOKUP(VALUE(RIGHT(C108,3)),'SCE-COMP'!B:J,5,FALSE),IF(LEFT(C108,3)="EST",VLOOKUP(VALUE(RIGHT(C108,3)),'EST-COMP'!B:J,5,FALSE),IF(LEFT(C108,3)="HID",VLOOKUP(VALUE(RIGHT(C108,3)),'HID-COMP'!B:J,5,FALSE),IF(LEFT(C108,3)="INC",VLOOKUP(VALUE(RIGHT(C108,3)),'INC-COMP'!B:J,5,FALSE),IF(LEFT(C108,3)="ELE",VLOOKUP(VALUE(RIGHT(C108,3)),#REF!,5,FALSE),IF(LEFT(C108,3)="CAB",VLOOKUP(VALUE(RIGHT(C108,3)),#REF!,5,FALSE),IF(LEFT(C108,3)="SEG",VLOOKUP(VALUE(RIGHT(C108,3)),'SEG-COMP'!B:J,5,FALSE),IF(LEFT(C108,3)="CLI",VLOOKUP(VALUE(RIGHT(C108,3)),'CLI-COMP'!B:J,5,FALSE),IF(LEFT(C108,4)="IMPL",VLOOKUP(VALUE(RIGHT(C108,3)),'IMPL-COMP'!B:J,5,FALSE),IF(LEFT(C108,4)="SPDA",VLOOKUP(VALUE(RIGHT(C108,3)),'SPDA-COMP'!B:J,5,FALSE),IF(LEFT(C108,4)="SDAI",VLOOKUP(VALUE(RIGHT(C108,3)),'ADM-COMP'!B:J,5,FALSE),IF(LEFT(C108,5)="IMPER",VLOOKUP(VALUE(RIGHT(C108,3)),'IMPER-COMP'!B:J,5,FALSE),""))))))))))))))))</f>
        <v>M2</v>
      </c>
      <c r="F108" s="599">
        <f>ROUND(VLOOKUP(A108,'MEM-LEVANT'!A149:I2701,9,FALSE),2)</f>
        <v>49.33</v>
      </c>
      <c r="G108" s="339">
        <f>IF(B108="IOPES",VLOOKUP(C108,'LABOR-SERVIÇOS'!A:H,7,FALSE),IF(B108="SINAPI",VLOOKUP(C108,'SINAPI-SERVIÇOS'!A:H,8,FALSE),IF(LEFT(C108,3)="ARQ",VLOOKUP(VALUE(RIGHT(C108,3)),'ARQ-COMP'!B:J,9,FALSE),IF(LEFT(C108,3)="SCI",VLOOKUP(VALUE(RIGHT(C108,3)),'GAS-COMP'!#REF!,9,FALSE),IF(LEFT(C108,3)="SCE",VLOOKUP(VALUE(RIGHT(C108,3)),'SCE-COMP'!B:J,9,FALSE),IF(LEFT(C108,3)="EST",VLOOKUP(VALUE(RIGHT(C108,3)),'EST-COMP'!B:J,9,FALSE),IF(LEFT(C108,3)="HID",VLOOKUP(VALUE(RIGHT(C108,3)),'HID-COMP'!B:J,9,FALSE),IF(LEFT(C108,3)="INC",VLOOKUP(VALUE(RIGHT(C108,3)),'INC-COMP'!B:J,9,FALSE),IF(LEFT(C108,3)="ELE",VLOOKUP(VALUE(RIGHT(C108,3)),#REF!,9,FALSE),IF(LEFT(C108,3)="CAB",VLOOKUP(VALUE(RIGHT(C108,3)),#REF!,9,FALSE),IF(LEFT(C108,3)="SEG",VLOOKUP(VALUE(RIGHT(C108,3)),'SEG-COMP'!B:J,9,FALSE),IF(LEFT(C108,3)="CLI",VLOOKUP(VALUE(RIGHT(C108,3)),'CLI-COMP'!B:J,9,FALSE),IF(LEFT(C108,4)="IMPL",VLOOKUP(VALUE(RIGHT(C108,3)),'IMPL-COMP'!B:J,9,FALSE),IF(LEFT(C108,4)="SPDA",VLOOKUP(VALUE(RIGHT(C108,3)),'SPDA-COMP'!B:J,9,FALSE),IF(LEFT(C108,4)="SDAI",VLOOKUP(VALUE(RIGHT(C108,3)),'ADM-COMP'!B:J,9,FALSE),IF(LEFT(C108,5)="IMPER",VLOOKUP(VALUE(RIGHT(C108,3)),'IMPER-COMP'!B:J,9,FALSE),""))))))))))))))))</f>
        <v>1112.21</v>
      </c>
      <c r="H108" s="339">
        <f t="shared" ref="H108" si="45">ROUND(F108*G108,2)</f>
        <v>54865.32</v>
      </c>
      <c r="I108" s="374">
        <f>H108/$H$441</f>
        <v>3.2079527357357336E-3</v>
      </c>
      <c r="J108" s="314"/>
    </row>
    <row r="109" spans="1:10">
      <c r="A109" s="570"/>
      <c r="B109" s="569"/>
      <c r="C109" s="569"/>
      <c r="D109" s="571" t="s">
        <v>27414</v>
      </c>
      <c r="E109" s="572"/>
      <c r="F109" s="600"/>
      <c r="G109" s="573"/>
      <c r="H109" s="574">
        <f>SUM(H95:H108)</f>
        <v>2131051.86</v>
      </c>
      <c r="I109" s="575">
        <f>H109/$H$441</f>
        <v>0.12460172736223399</v>
      </c>
      <c r="J109" s="314"/>
    </row>
    <row r="110" spans="1:10">
      <c r="A110" s="613"/>
      <c r="B110" s="337"/>
      <c r="C110" s="337"/>
      <c r="D110" s="539"/>
      <c r="E110" s="338"/>
      <c r="F110" s="599"/>
      <c r="G110" s="339"/>
      <c r="H110" s="339"/>
      <c r="I110" s="374"/>
      <c r="J110" s="314"/>
    </row>
    <row r="111" spans="1:10">
      <c r="A111" s="561" t="s">
        <v>11</v>
      </c>
      <c r="B111" s="562"/>
      <c r="C111" s="563"/>
      <c r="D111" s="564" t="s">
        <v>48</v>
      </c>
      <c r="E111" s="565"/>
      <c r="F111" s="597"/>
      <c r="G111" s="566"/>
      <c r="H111" s="567"/>
      <c r="I111" s="568"/>
      <c r="J111" s="314"/>
    </row>
    <row r="112" spans="1:10">
      <c r="A112" s="553" t="s">
        <v>9748</v>
      </c>
      <c r="B112" s="554"/>
      <c r="C112" s="555"/>
      <c r="D112" s="556" t="s">
        <v>1233</v>
      </c>
      <c r="E112" s="557"/>
      <c r="F112" s="598"/>
      <c r="G112" s="558"/>
      <c r="H112" s="559"/>
      <c r="I112" s="560"/>
      <c r="J112" s="314"/>
    </row>
    <row r="113" spans="1:10" ht="52.8">
      <c r="A113" s="613" t="s">
        <v>46</v>
      </c>
      <c r="B113" s="337" t="s">
        <v>29</v>
      </c>
      <c r="C113" s="540">
        <v>92620</v>
      </c>
      <c r="D113" s="539" t="s">
        <v>28311</v>
      </c>
      <c r="E113" s="338" t="s">
        <v>7992</v>
      </c>
      <c r="F113" s="599">
        <f>ROUND(VLOOKUP(A113,'MEM-LEVANT'!A155:I2706,9,FALSE),2)</f>
        <v>6</v>
      </c>
      <c r="G113" s="339">
        <f>2135.71*(1+$K$4)</f>
        <v>2797.9936710000002</v>
      </c>
      <c r="H113" s="339">
        <f t="shared" ref="H113" si="46">ROUND(F113*G113,2)</f>
        <v>16787.96</v>
      </c>
      <c r="I113" s="374">
        <f>H113/$H$441</f>
        <v>9.8158512899263264E-4</v>
      </c>
      <c r="J113" s="314"/>
    </row>
    <row r="114" spans="1:10" ht="52.8">
      <c r="A114" s="613" t="s">
        <v>7378</v>
      </c>
      <c r="B114" s="337" t="s">
        <v>29</v>
      </c>
      <c r="C114" s="540">
        <v>92580</v>
      </c>
      <c r="D114" s="539" t="s">
        <v>10554</v>
      </c>
      <c r="E114" s="338" t="s">
        <v>73</v>
      </c>
      <c r="F114" s="599">
        <f>ROUND(VLOOKUP(A114,'MEM-LEVANT'!A156:I2707,9,FALSE),2)</f>
        <v>1180.22</v>
      </c>
      <c r="G114" s="339">
        <f>49.52*(1+$K$4)</f>
        <v>64.876152000000005</v>
      </c>
      <c r="H114" s="339">
        <f t="shared" ref="H114" si="47">ROUND(F114*G114,2)</f>
        <v>76568.13</v>
      </c>
      <c r="I114" s="374">
        <f>H114/$H$441</f>
        <v>4.4769071264629335E-3</v>
      </c>
      <c r="J114" s="314"/>
    </row>
    <row r="115" spans="1:10" ht="66">
      <c r="A115" s="613" t="s">
        <v>8000</v>
      </c>
      <c r="B115" s="337" t="s">
        <v>7511</v>
      </c>
      <c r="C115" s="540">
        <v>12371</v>
      </c>
      <c r="D115" s="539" t="str">
        <f>UPPER("Estrutura metálica em aço p/ Mezaninos e Plataformas, vão livre até 6,00m, área superior a 50 m2, sobrecarga 300 kg/m2, pintura 01 demão de epoxi fundo óxido de ferro + 02 demãos de esmalte epoxi branco. Rev 03_03/2022")</f>
        <v>ESTRUTURA METÁLICA EM AÇO P/ MEZANINOS E PLATAFORMAS, VÃO LIVRE ATÉ 6,00M, ÁREA SUPERIOR A 50 M2, SOBRECARGA 300 KG/M2, PINTURA 01 DEMÃO DE EPOXI FUNDO ÓXIDO DE FERRO + 02 DEMÃOS DE ESMALTE EPOXI BRANCO. REV 03_03/2022</v>
      </c>
      <c r="E115" s="338" t="s">
        <v>73</v>
      </c>
      <c r="F115" s="599">
        <f>ROUND(VLOOKUP(A115,'MEM-LEVANT'!A157:I2708,9,FALSE),2)</f>
        <v>420</v>
      </c>
      <c r="G115" s="339">
        <f>664.9*(1+$K$4)</f>
        <v>871.08549000000005</v>
      </c>
      <c r="H115" s="339">
        <f>ROUND(F115*G115,2)</f>
        <v>365855.91</v>
      </c>
      <c r="I115" s="374">
        <f>H115/$H$441</f>
        <v>2.1391444857509011E-2</v>
      </c>
      <c r="J115" s="314"/>
    </row>
    <row r="116" spans="1:10" ht="26.4">
      <c r="A116" s="613" t="s">
        <v>8006</v>
      </c>
      <c r="B116" s="337" t="s">
        <v>7511</v>
      </c>
      <c r="C116" s="540">
        <v>14050</v>
      </c>
      <c r="D116" s="539" t="str">
        <f>UPPER("Painel fixo de vidro temperado e = 10mm incolor, inclusive perfis para fixação")</f>
        <v>PAINEL FIXO DE VIDRO TEMPERADO E = 10MM INCOLOR, INCLUSIVE PERFIS PARA FIXAÇÃO</v>
      </c>
      <c r="E116" s="338" t="s">
        <v>73</v>
      </c>
      <c r="F116" s="599">
        <f>ROUND(VLOOKUP(A116,'MEM-LEVANT'!A158:I2709,9,FALSE),2)</f>
        <v>111.6</v>
      </c>
      <c r="G116" s="339">
        <f>639.87*(1+$K$4)</f>
        <v>838.29368699999998</v>
      </c>
      <c r="H116" s="339">
        <f>ROUND(F116*G116,2)</f>
        <v>93553.58</v>
      </c>
      <c r="I116" s="374">
        <f>H116/$H$441</f>
        <v>5.4700394146771011E-3</v>
      </c>
      <c r="J116" s="314"/>
    </row>
    <row r="117" spans="1:10">
      <c r="A117" s="553" t="s">
        <v>15129</v>
      </c>
      <c r="B117" s="554"/>
      <c r="C117" s="555"/>
      <c r="D117" s="556" t="s">
        <v>49</v>
      </c>
      <c r="E117" s="557"/>
      <c r="F117" s="598"/>
      <c r="G117" s="558"/>
      <c r="H117" s="559"/>
      <c r="I117" s="560"/>
      <c r="J117" s="314"/>
    </row>
    <row r="118" spans="1:10" ht="52.8">
      <c r="A118" s="613" t="s">
        <v>8001</v>
      </c>
      <c r="B118" s="337" t="s">
        <v>2879</v>
      </c>
      <c r="C118" s="540">
        <f>90228</f>
        <v>90228</v>
      </c>
      <c r="D118" s="539" t="str">
        <f>IF(B118="IOPES",VLOOKUP(C118,'LABOR-SERVIÇOS'!A:H,5,FALSE),IF(B118="SINAPI",VLOOKUP(C118,'SINAPI-SERVIÇOS'!A:D,2,FALSE),IF(LEFT(C118,3)="ARQ",VLOOKUP(VALUE(RIGHT(C118,3)),'ARQ-COMP'!B:J,4,FALSE),IF(LEFT(C118,3)="SCI",VLOOKUP(VALUE(RIGHT(C118,3)),'GAS-COMP'!#REF!,4,FALSE),IF(LEFT(C118,3)="SCE",VLOOKUP(VALUE(RIGHT(C118,3)),'SCE-COMP'!B:J,4,FALSE),IF(LEFT(C118,3)="EST",VLOOKUP(VALUE(RIGHT(C118,3)),'EST-COMP'!B:J,4,FALSE),IF(LEFT(C118,3)="HID",VLOOKUP(VALUE(RIGHT(C118,3)),'HID-COMP'!B:J,4,FALSE),IF(LEFT(C118,3)="INC",VLOOKUP(VALUE(RIGHT(C118,3)),'INC-COMP'!B:J,4,FALSE),IF(LEFT(C118,3)="ELE",VLOOKUP(VALUE(RIGHT(C118,3)),#REF!,4,FALSE),IF(LEFT(C118,3)="CAB",VLOOKUP(VALUE(RIGHT(C118,3)),#REF!,4,FALSE),IF(LEFT(C118,3)="SEG",VLOOKUP(VALUE(RIGHT(C118,3)),'SEG-COMP'!B:J,4,FALSE),IF(LEFT(C118,3)="CLI",VLOOKUP(VALUE(RIGHT(C118,3)),'CLI-COMP'!B:J,4,FALSE),IF(LEFT(C118,4)="IMPL",VLOOKUP(VALUE(RIGHT(C118,3)),'IMPL-COMP'!B:J,4,FALSE),IF(LEFT(C118,4)="SPDA",VLOOKUP(VALUE(RIGHT(C118,3)),'SPDA-COMP'!B:J,4,FALSE),IF(LEFT(C118,4)="SDAI",VLOOKUP(VALUE(RIGHT(C118,3)),'ADM-COMP'!B:J,4,FALSE),IF(LEFT(C118,5)="IMPER",VLOOKUP(VALUE(RIGHT(C118,3)),'IMPER-COMP'!B:J,4,FALSE),""))))))))))))))))</f>
        <v>COBERTURA COM TELHA EM AÇO GALVALUME TRAPEZOIDAL 40, ESPESSURA: 0.50 MM, PINTURA COR BRANCA NAS DUAS FACES, INCLUSIVE ACESSÓRIO DE FIXAÇÃO -SANTO ANDRÉ, ETERNIT, METFORM OU EQUIVALENTE</v>
      </c>
      <c r="E118" s="338" t="str">
        <f>IF(B118="IOPES",VLOOKUP(C118,'LABOR-SERVIÇOS'!A:H,6,FALSE),IF(B118="SINAPI",VLOOKUP(C118,'SINAPI-SERVIÇOS'!A:D,3,FALSE),IF(LEFT(C118,3)="ARQ",VLOOKUP(VALUE(RIGHT(C118,3)),'ARQ-COMP'!B:J,5,FALSE),IF(LEFT(C118,3)="SCI",VLOOKUP(VALUE(RIGHT(C118,3)),'GAS-COMP'!#REF!,5,FALSE),IF(LEFT(C118,3)="SCE",VLOOKUP(VALUE(RIGHT(C118,3)),'SCE-COMP'!B:J,5,FALSE),IF(LEFT(C118,3)="EST",VLOOKUP(VALUE(RIGHT(C118,3)),'EST-COMP'!B:J,5,FALSE),IF(LEFT(C118,3)="HID",VLOOKUP(VALUE(RIGHT(C118,3)),'HID-COMP'!B:J,5,FALSE),IF(LEFT(C118,3)="INC",VLOOKUP(VALUE(RIGHT(C118,3)),'INC-COMP'!B:J,5,FALSE),IF(LEFT(C118,3)="ELE",VLOOKUP(VALUE(RIGHT(C118,3)),#REF!,5,FALSE),IF(LEFT(C118,3)="CAB",VLOOKUP(VALUE(RIGHT(C118,3)),#REF!,5,FALSE),IF(LEFT(C118,3)="SEG",VLOOKUP(VALUE(RIGHT(C118,3)),'SEG-COMP'!B:J,5,FALSE),IF(LEFT(C118,3)="CLI",VLOOKUP(VALUE(RIGHT(C118,3)),'CLI-COMP'!B:J,5,FALSE),IF(LEFT(C118,4)="IMPL",VLOOKUP(VALUE(RIGHT(C118,3)),'IMPL-COMP'!B:J,5,FALSE),IF(LEFT(C118,4)="SPDA",VLOOKUP(VALUE(RIGHT(C118,3)),'SPDA-COMP'!B:J,5,FALSE),IF(LEFT(C118,4)="SDAI",VLOOKUP(VALUE(RIGHT(C118,3)),'ADM-COMP'!B:J,5,FALSE),IF(LEFT(C118,5)="IMPER",VLOOKUP(VALUE(RIGHT(C118,3)),'IMPER-COMP'!B:J,5,FALSE),""))))))))))))))))</f>
        <v>M2</v>
      </c>
      <c r="F118" s="599">
        <f>ROUND(VLOOKUP(A118,'MEM-LEVANT'!A158:I2708,9,FALSE),2)</f>
        <v>1180.22</v>
      </c>
      <c r="G118" s="339">
        <f>IF(B118="IOPES",VLOOKUP(C118,'LABOR-SERVIÇOS'!A:H,7,FALSE),IF(B118="SINAPI",VLOOKUP(C118,'SINAPI-SERVIÇOS'!A:H,8,FALSE),IF(LEFT(C118,3)="ARQ",VLOOKUP(VALUE(RIGHT(C118,3)),'ARQ-COMP'!B:J,9,FALSE),IF(LEFT(C118,3)="SCI",VLOOKUP(VALUE(RIGHT(C118,3)),'GAS-COMP'!#REF!,9,FALSE),IF(LEFT(C118,3)="SCE",VLOOKUP(VALUE(RIGHT(C118,3)),'SCE-COMP'!B:J,9,FALSE),IF(LEFT(C118,3)="EST",VLOOKUP(VALUE(RIGHT(C118,3)),'EST-COMP'!B:J,9,FALSE),IF(LEFT(C118,3)="HID",VLOOKUP(VALUE(RIGHT(C118,3)),'HID-COMP'!B:J,9,FALSE),IF(LEFT(C118,3)="INC",VLOOKUP(VALUE(RIGHT(C118,3)),'INC-COMP'!B:J,9,FALSE),IF(LEFT(C118,3)="ELE",VLOOKUP(VALUE(RIGHT(C118,3)),#REF!,9,FALSE),IF(LEFT(C118,3)="CAB",VLOOKUP(VALUE(RIGHT(C118,3)),#REF!,9,FALSE),IF(LEFT(C118,3)="SEG",VLOOKUP(VALUE(RIGHT(C118,3)),'SEG-COMP'!B:J,9,FALSE),IF(LEFT(C118,3)="CLI",VLOOKUP(VALUE(RIGHT(C118,3)),'CLI-COMP'!B:J,9,FALSE),IF(LEFT(C118,4)="IMPL",VLOOKUP(VALUE(RIGHT(C118,3)),'IMPL-COMP'!B:J,9,FALSE),IF(LEFT(C118,4)="SPDA",VLOOKUP(VALUE(RIGHT(C118,3)),'SPDA-COMP'!B:J,9,FALSE),IF(LEFT(C118,4)="SDAI",VLOOKUP(VALUE(RIGHT(C118,3)),'ADM-COMP'!B:J,9,FALSE),IF(LEFT(C118,5)="IMPER",VLOOKUP(VALUE(RIGHT(C118,3)),'IMPER-COMP'!B:J,9,FALSE),""))))))))))))))))</f>
        <v>100.9</v>
      </c>
      <c r="H118" s="339">
        <f t="shared" ref="H118" si="48">ROUND(F118*G118,2)</f>
        <v>119084.2</v>
      </c>
      <c r="I118" s="374">
        <f>H118/$H$441</f>
        <v>6.962804284617337E-3</v>
      </c>
      <c r="J118" s="314"/>
    </row>
    <row r="119" spans="1:10">
      <c r="A119" s="553" t="s">
        <v>15130</v>
      </c>
      <c r="B119" s="554"/>
      <c r="C119" s="555"/>
      <c r="D119" s="556" t="s">
        <v>50</v>
      </c>
      <c r="E119" s="557"/>
      <c r="F119" s="598"/>
      <c r="G119" s="558"/>
      <c r="H119" s="559"/>
      <c r="I119" s="560"/>
      <c r="J119" s="314"/>
    </row>
    <row r="120" spans="1:10">
      <c r="A120" s="613" t="s">
        <v>15131</v>
      </c>
      <c r="B120" s="337" t="s">
        <v>2879</v>
      </c>
      <c r="C120" s="540">
        <f>90312</f>
        <v>90312</v>
      </c>
      <c r="D120" s="539" t="str">
        <f>IF(B120="IOPES",VLOOKUP(C120,'LABOR-SERVIÇOS'!A:H,5,FALSE),IF(B120="SINAPI",VLOOKUP(C120,'SINAPI-SERVIÇOS'!A:D,2,FALSE),IF(LEFT(C120,3)="ARQ",VLOOKUP(VALUE(RIGHT(C120,3)),'ARQ-COMP'!B:J,4,FALSE),IF(LEFT(C120,3)="SCI",VLOOKUP(VALUE(RIGHT(C120,3)),'GAS-COMP'!#REF!,4,FALSE),IF(LEFT(C120,3)="SCE",VLOOKUP(VALUE(RIGHT(C120,3)),'SCE-COMP'!B:J,4,FALSE),IF(LEFT(C120,3)="EST",VLOOKUP(VALUE(RIGHT(C120,3)),'EST-COMP'!B:J,4,FALSE),IF(LEFT(C120,3)="HID",VLOOKUP(VALUE(RIGHT(C120,3)),'HID-COMP'!B:J,4,FALSE),IF(LEFT(C120,3)="INC",VLOOKUP(VALUE(RIGHT(C120,3)),'INC-COMP'!B:J,4,FALSE),IF(LEFT(C120,3)="ELE",VLOOKUP(VALUE(RIGHT(C120,3)),#REF!,4,FALSE),IF(LEFT(C120,3)="CAB",VLOOKUP(VALUE(RIGHT(C120,3)),#REF!,4,FALSE),IF(LEFT(C120,3)="SEG",VLOOKUP(VALUE(RIGHT(C120,3)),'SEG-COMP'!B:J,4,FALSE),IF(LEFT(C120,3)="CLI",VLOOKUP(VALUE(RIGHT(C120,3)),'CLI-COMP'!B:J,4,FALSE),IF(LEFT(C120,4)="IMPL",VLOOKUP(VALUE(RIGHT(C120,3)),'IMPL-COMP'!B:J,4,FALSE),IF(LEFT(C120,4)="SPDA",VLOOKUP(VALUE(RIGHT(C120,3)),'SPDA-COMP'!B:J,4,FALSE),IF(LEFT(C120,4)="SDAI",VLOOKUP(VALUE(RIGHT(C120,3)),'ADM-COMP'!B:J,4,FALSE),IF(LEFT(C120,5)="IMPER",VLOOKUP(VALUE(RIGHT(C120,3)),'IMPER-COMP'!B:J,4,FALSE),""))))))))))))))))</f>
        <v>CALHA EM CHAPA GALVANIZADA COM LARGURA DE 40 CM</v>
      </c>
      <c r="E120" s="338" t="str">
        <f>IF(B120="IOPES",VLOOKUP(C120,'LABOR-SERVIÇOS'!A:H,6,FALSE),IF(B120="SINAPI",VLOOKUP(C120,'SINAPI-SERVIÇOS'!A:D,3,FALSE),IF(LEFT(C120,3)="ARQ",VLOOKUP(VALUE(RIGHT(C120,3)),'ARQ-COMP'!B:J,5,FALSE),IF(LEFT(C120,3)="SCI",VLOOKUP(VALUE(RIGHT(C120,3)),'GAS-COMP'!#REF!,5,FALSE),IF(LEFT(C120,3)="SCE",VLOOKUP(VALUE(RIGHT(C120,3)),'SCE-COMP'!B:J,5,FALSE),IF(LEFT(C120,3)="EST",VLOOKUP(VALUE(RIGHT(C120,3)),'EST-COMP'!B:J,5,FALSE),IF(LEFT(C120,3)="HID",VLOOKUP(VALUE(RIGHT(C120,3)),'HID-COMP'!B:J,5,FALSE),IF(LEFT(C120,3)="INC",VLOOKUP(VALUE(RIGHT(C120,3)),'INC-COMP'!B:J,5,FALSE),IF(LEFT(C120,3)="ELE",VLOOKUP(VALUE(RIGHT(C120,3)),#REF!,5,FALSE),IF(LEFT(C120,3)="CAB",VLOOKUP(VALUE(RIGHT(C120,3)),#REF!,5,FALSE),IF(LEFT(C120,3)="SEG",VLOOKUP(VALUE(RIGHT(C120,3)),'SEG-COMP'!B:J,5,FALSE),IF(LEFT(C120,3)="CLI",VLOOKUP(VALUE(RIGHT(C120,3)),'CLI-COMP'!B:J,5,FALSE),IF(LEFT(C120,4)="IMPL",VLOOKUP(VALUE(RIGHT(C120,3)),'IMPL-COMP'!B:J,5,FALSE),IF(LEFT(C120,4)="SPDA",VLOOKUP(VALUE(RIGHT(C120,3)),'SPDA-COMP'!B:J,5,FALSE),IF(LEFT(C120,4)="SDAI",VLOOKUP(VALUE(RIGHT(C120,3)),'ADM-COMP'!B:J,5,FALSE),IF(LEFT(C120,5)="IMPER",VLOOKUP(VALUE(RIGHT(C120,3)),'IMPER-COMP'!B:J,5,FALSE),""))))))))))))))))</f>
        <v>M</v>
      </c>
      <c r="F120" s="599">
        <f>ROUND(VLOOKUP(A120,'MEM-LEVANT'!A160:I2710,9,FALSE),2)</f>
        <v>76</v>
      </c>
      <c r="G120" s="339">
        <f>IF(B120="IOPES",VLOOKUP(C120,'LABOR-SERVIÇOS'!A:H,7,FALSE),IF(B120="SINAPI",VLOOKUP(C120,'SINAPI-SERVIÇOS'!A:H,8,FALSE),IF(LEFT(C120,3)="ARQ",VLOOKUP(VALUE(RIGHT(C120,3)),'ARQ-COMP'!B:J,9,FALSE),IF(LEFT(C120,3)="SCI",VLOOKUP(VALUE(RIGHT(C120,3)),'GAS-COMP'!#REF!,9,FALSE),IF(LEFT(C120,3)="SCE",VLOOKUP(VALUE(RIGHT(C120,3)),'SCE-COMP'!B:J,9,FALSE),IF(LEFT(C120,3)="EST",VLOOKUP(VALUE(RIGHT(C120,3)),'EST-COMP'!B:J,9,FALSE),IF(LEFT(C120,3)="HID",VLOOKUP(VALUE(RIGHT(C120,3)),'HID-COMP'!B:J,9,FALSE),IF(LEFT(C120,3)="INC",VLOOKUP(VALUE(RIGHT(C120,3)),'INC-COMP'!B:J,9,FALSE),IF(LEFT(C120,3)="ELE",VLOOKUP(VALUE(RIGHT(C120,3)),#REF!,9,FALSE),IF(LEFT(C120,3)="CAB",VLOOKUP(VALUE(RIGHT(C120,3)),#REF!,9,FALSE),IF(LEFT(C120,3)="SEG",VLOOKUP(VALUE(RIGHT(C120,3)),'SEG-COMP'!B:J,9,FALSE),IF(LEFT(C120,3)="CLI",VLOOKUP(VALUE(RIGHT(C120,3)),'CLI-COMP'!B:J,9,FALSE),IF(LEFT(C120,4)="IMPL",VLOOKUP(VALUE(RIGHT(C120,3)),'IMPL-COMP'!B:J,9,FALSE),IF(LEFT(C120,4)="SPDA",VLOOKUP(VALUE(RIGHT(C120,3)),'SPDA-COMP'!B:J,9,FALSE),IF(LEFT(C120,4)="SDAI",VLOOKUP(VALUE(RIGHT(C120,3)),'ADM-COMP'!B:J,9,FALSE),IF(LEFT(C120,5)="IMPER",VLOOKUP(VALUE(RIGHT(C120,3)),'IMPER-COMP'!B:J,9,FALSE),""))))))))))))))))</f>
        <v>303.25</v>
      </c>
      <c r="H120" s="339">
        <f t="shared" ref="H120:H121" si="49">ROUND(F120*G120,2)</f>
        <v>23047</v>
      </c>
      <c r="I120" s="374">
        <f>H120/$H$441</f>
        <v>1.3475486281771701E-3</v>
      </c>
      <c r="J120" s="314"/>
    </row>
    <row r="121" spans="1:10">
      <c r="A121" s="613" t="s">
        <v>27413</v>
      </c>
      <c r="B121" s="337" t="s">
        <v>2879</v>
      </c>
      <c r="C121" s="540">
        <f>90314</f>
        <v>90314</v>
      </c>
      <c r="D121" s="539" t="str">
        <f>IF(B121="IOPES",VLOOKUP(C121,'LABOR-SERVIÇOS'!A:H,5,FALSE),IF(B121="SINAPI",VLOOKUP(C121,'SINAPI-SERVIÇOS'!A:D,2,FALSE),IF(LEFT(C121,3)="ARQ",VLOOKUP(VALUE(RIGHT(C121,3)),'ARQ-COMP'!B:J,4,FALSE),IF(LEFT(C121,3)="SCI",VLOOKUP(VALUE(RIGHT(C121,3)),'GAS-COMP'!#REF!,4,FALSE),IF(LEFT(C121,3)="SCE",VLOOKUP(VALUE(RIGHT(C121,3)),'SCE-COMP'!B:J,4,FALSE),IF(LEFT(C121,3)="EST",VLOOKUP(VALUE(RIGHT(C121,3)),'EST-COMP'!B:J,4,FALSE),IF(LEFT(C121,3)="HID",VLOOKUP(VALUE(RIGHT(C121,3)),'HID-COMP'!B:J,4,FALSE),IF(LEFT(C121,3)="INC",VLOOKUP(VALUE(RIGHT(C121,3)),'INC-COMP'!B:J,4,FALSE),IF(LEFT(C121,3)="ELE",VLOOKUP(VALUE(RIGHT(C121,3)),#REF!,4,FALSE),IF(LEFT(C121,3)="CAB",VLOOKUP(VALUE(RIGHT(C121,3)),#REF!,4,FALSE),IF(LEFT(C121,3)="SEG",VLOOKUP(VALUE(RIGHT(C121,3)),'SEG-COMP'!B:J,4,FALSE),IF(LEFT(C121,3)="CLI",VLOOKUP(VALUE(RIGHT(C121,3)),'CLI-COMP'!B:J,4,FALSE),IF(LEFT(C121,4)="IMPL",VLOOKUP(VALUE(RIGHT(C121,3)),'IMPL-COMP'!B:J,4,FALSE),IF(LEFT(C121,4)="SPDA",VLOOKUP(VALUE(RIGHT(C121,3)),'SPDA-COMP'!B:J,4,FALSE),IF(LEFT(C121,4)="SDAI",VLOOKUP(VALUE(RIGHT(C121,3)),'ADM-COMP'!B:J,4,FALSE),IF(LEFT(C121,5)="IMPER",VLOOKUP(VALUE(RIGHT(C121,3)),'IMPER-COMP'!B:J,4,FALSE),""))))))))))))))))</f>
        <v>RUFO DE CHAPA DE ALUMÍNIO ESP. 0.5MM, LARGURA DE 30CM</v>
      </c>
      <c r="E121" s="338" t="str">
        <f>IF(B121="IOPES",VLOOKUP(C121,'LABOR-SERVIÇOS'!A:H,6,FALSE),IF(B121="SINAPI",VLOOKUP(C121,'SINAPI-SERVIÇOS'!A:D,3,FALSE),IF(LEFT(C121,3)="ARQ",VLOOKUP(VALUE(RIGHT(C121,3)),'ARQ-COMP'!B:J,5,FALSE),IF(LEFT(C121,3)="SCI",VLOOKUP(VALUE(RIGHT(C121,3)),'GAS-COMP'!#REF!,5,FALSE),IF(LEFT(C121,3)="SCE",VLOOKUP(VALUE(RIGHT(C121,3)),'SCE-COMP'!B:J,5,FALSE),IF(LEFT(C121,3)="EST",VLOOKUP(VALUE(RIGHT(C121,3)),'EST-COMP'!B:J,5,FALSE),IF(LEFT(C121,3)="HID",VLOOKUP(VALUE(RIGHT(C121,3)),'HID-COMP'!B:J,5,FALSE),IF(LEFT(C121,3)="INC",VLOOKUP(VALUE(RIGHT(C121,3)),'INC-COMP'!B:J,5,FALSE),IF(LEFT(C121,3)="ELE",VLOOKUP(VALUE(RIGHT(C121,3)),#REF!,5,FALSE),IF(LEFT(C121,3)="CAB",VLOOKUP(VALUE(RIGHT(C121,3)),#REF!,5,FALSE),IF(LEFT(C121,3)="SEG",VLOOKUP(VALUE(RIGHT(C121,3)),'SEG-COMP'!B:J,5,FALSE),IF(LEFT(C121,3)="CLI",VLOOKUP(VALUE(RIGHT(C121,3)),'CLI-COMP'!B:J,5,FALSE),IF(LEFT(C121,4)="IMPL",VLOOKUP(VALUE(RIGHT(C121,3)),'IMPL-COMP'!B:J,5,FALSE),IF(LEFT(C121,4)="SPDA",VLOOKUP(VALUE(RIGHT(C121,3)),'SPDA-COMP'!B:J,5,FALSE),IF(LEFT(C121,4)="SDAI",VLOOKUP(VALUE(RIGHT(C121,3)),'ADM-COMP'!B:J,5,FALSE),IF(LEFT(C121,5)="IMPER",VLOOKUP(VALUE(RIGHT(C121,3)),'IMPER-COMP'!B:J,5,FALSE),""))))))))))))))))</f>
        <v>M</v>
      </c>
      <c r="F121" s="599">
        <f>ROUND(VLOOKUP(A121,'MEM-LEVANT'!A161:I2711,9,FALSE),2)</f>
        <v>133</v>
      </c>
      <c r="G121" s="339">
        <f>IF(B121="IOPES",VLOOKUP(C121,'LABOR-SERVIÇOS'!A:H,7,FALSE),IF(B121="SINAPI",VLOOKUP(C121,'SINAPI-SERVIÇOS'!A:H,8,FALSE),IF(LEFT(C121,3)="ARQ",VLOOKUP(VALUE(RIGHT(C121,3)),'ARQ-COMP'!B:J,9,FALSE),IF(LEFT(C121,3)="SCI",VLOOKUP(VALUE(RIGHT(C121,3)),'GAS-COMP'!#REF!,9,FALSE),IF(LEFT(C121,3)="SCE",VLOOKUP(VALUE(RIGHT(C121,3)),'SCE-COMP'!B:J,9,FALSE),IF(LEFT(C121,3)="EST",VLOOKUP(VALUE(RIGHT(C121,3)),'EST-COMP'!B:J,9,FALSE),IF(LEFT(C121,3)="HID",VLOOKUP(VALUE(RIGHT(C121,3)),'HID-COMP'!B:J,9,FALSE),IF(LEFT(C121,3)="INC",VLOOKUP(VALUE(RIGHT(C121,3)),'INC-COMP'!B:J,9,FALSE),IF(LEFT(C121,3)="ELE",VLOOKUP(VALUE(RIGHT(C121,3)),#REF!,9,FALSE),IF(LEFT(C121,3)="CAB",VLOOKUP(VALUE(RIGHT(C121,3)),#REF!,9,FALSE),IF(LEFT(C121,3)="SEG",VLOOKUP(VALUE(RIGHT(C121,3)),'SEG-COMP'!B:J,9,FALSE),IF(LEFT(C121,3)="CLI",VLOOKUP(VALUE(RIGHT(C121,3)),'CLI-COMP'!B:J,9,FALSE),IF(LEFT(C121,4)="IMPL",VLOOKUP(VALUE(RIGHT(C121,3)),'IMPL-COMP'!B:J,9,FALSE),IF(LEFT(C121,4)="SPDA",VLOOKUP(VALUE(RIGHT(C121,3)),'SPDA-COMP'!B:J,9,FALSE),IF(LEFT(C121,4)="SDAI",VLOOKUP(VALUE(RIGHT(C121,3)),'ADM-COMP'!B:J,9,FALSE),IF(LEFT(C121,5)="IMPER",VLOOKUP(VALUE(RIGHT(C121,3)),'IMPER-COMP'!B:J,9,FALSE),""))))))))))))))))</f>
        <v>123.62</v>
      </c>
      <c r="H121" s="339">
        <f t="shared" si="49"/>
        <v>16441.46</v>
      </c>
      <c r="I121" s="374">
        <f>H121/$H$441</f>
        <v>9.6132541624635809E-4</v>
      </c>
      <c r="J121" s="314"/>
    </row>
    <row r="122" spans="1:10" ht="52.8">
      <c r="A122" s="613" t="s">
        <v>35262</v>
      </c>
      <c r="B122" s="337" t="s">
        <v>2879</v>
      </c>
      <c r="C122" s="540">
        <f>90403</f>
        <v>90403</v>
      </c>
      <c r="D122" s="539" t="str">
        <f>IF(B122="IOPES",VLOOKUP(C122,'LABOR-SERVIÇOS'!A:H,5,FALSE),IF(B122="SINAPI",VLOOKUP(C122,'SINAPI-SERVIÇOS'!A:D,2,FALSE),IF(LEFT(C122,3)="ARQ",VLOOKUP(VALUE(RIGHT(C122,3)),'ARQ-COMP'!B:J,4,FALSE),IF(LEFT(C122,3)="SCI",VLOOKUP(VALUE(RIGHT(C122,3)),'GAS-COMP'!#REF!,4,FALSE),IF(LEFT(C122,3)="SCE",VLOOKUP(VALUE(RIGHT(C122,3)),'SCE-COMP'!B:J,4,FALSE),IF(LEFT(C122,3)="EST",VLOOKUP(VALUE(RIGHT(C122,3)),'EST-COMP'!B:J,4,FALSE),IF(LEFT(C122,3)="HID",VLOOKUP(VALUE(RIGHT(C122,3)),'HID-COMP'!B:J,4,FALSE),IF(LEFT(C122,3)="INC",VLOOKUP(VALUE(RIGHT(C122,3)),'INC-COMP'!B:J,4,FALSE),IF(LEFT(C122,3)="ELE",VLOOKUP(VALUE(RIGHT(C122,3)),#REF!,4,FALSE),IF(LEFT(C122,3)="CAB",VLOOKUP(VALUE(RIGHT(C122,3)),#REF!,4,FALSE),IF(LEFT(C122,3)="SEG",VLOOKUP(VALUE(RIGHT(C122,3)),'SEG-COMP'!B:J,4,FALSE),IF(LEFT(C122,3)="CLI",VLOOKUP(VALUE(RIGHT(C122,3)),'CLI-COMP'!B:J,4,FALSE),IF(LEFT(C122,4)="IMPL",VLOOKUP(VALUE(RIGHT(C122,3)),'IMPL-COMP'!B:J,4,FALSE),IF(LEFT(C122,4)="SPDA",VLOOKUP(VALUE(RIGHT(C122,3)),'SPDA-COMP'!B:J,4,FALSE),IF(LEFT(C122,4)="SDAI",VLOOKUP(VALUE(RIGHT(C122,3)),'ADM-COMP'!B:J,4,FALSE),IF(LEFT(C122,5)="IMPER",VLOOKUP(VALUE(RIGHT(C122,3)),'IMPER-COMP'!B:J,4,FALSE),""))))))))))))))))</f>
        <v>PLATIBANDA DE ALVENARIA DE BLOCO CERÂMICO 10X20X20CM, ASSENTADO COM ARGAMASSA DE CIMENTO, CAL HIDRATADA CH1 E AREIA NO TRAÇO 1:0,5:8, AMARRADA COM PILARETES EM CONC. ARM. A CADA 2M (H=1.0M), EXCL. REVEST.</v>
      </c>
      <c r="E122" s="338" t="str">
        <f>IF(B122="IOPES",VLOOKUP(C122,'LABOR-SERVIÇOS'!A:H,6,FALSE),IF(B122="SINAPI",VLOOKUP(C122,'SINAPI-SERVIÇOS'!A:D,3,FALSE),IF(LEFT(C122,3)="ARQ",VLOOKUP(VALUE(RIGHT(C122,3)),'ARQ-COMP'!B:J,5,FALSE),IF(LEFT(C122,3)="SCI",VLOOKUP(VALUE(RIGHT(C122,3)),'GAS-COMP'!#REF!,5,FALSE),IF(LEFT(C122,3)="SCE",VLOOKUP(VALUE(RIGHT(C122,3)),'SCE-COMP'!B:J,5,FALSE),IF(LEFT(C122,3)="EST",VLOOKUP(VALUE(RIGHT(C122,3)),'EST-COMP'!B:J,5,FALSE),IF(LEFT(C122,3)="HID",VLOOKUP(VALUE(RIGHT(C122,3)),'HID-COMP'!B:J,5,FALSE),IF(LEFT(C122,3)="INC",VLOOKUP(VALUE(RIGHT(C122,3)),'INC-COMP'!B:J,5,FALSE),IF(LEFT(C122,3)="ELE",VLOOKUP(VALUE(RIGHT(C122,3)),#REF!,5,FALSE),IF(LEFT(C122,3)="CAB",VLOOKUP(VALUE(RIGHT(C122,3)),#REF!,5,FALSE),IF(LEFT(C122,3)="SEG",VLOOKUP(VALUE(RIGHT(C122,3)),'SEG-COMP'!B:J,5,FALSE),IF(LEFT(C122,3)="CLI",VLOOKUP(VALUE(RIGHT(C122,3)),'CLI-COMP'!B:J,5,FALSE),IF(LEFT(C122,4)="IMPL",VLOOKUP(VALUE(RIGHT(C122,3)),'IMPL-COMP'!B:J,5,FALSE),IF(LEFT(C122,4)="SPDA",VLOOKUP(VALUE(RIGHT(C122,3)),'SPDA-COMP'!B:J,5,FALSE),IF(LEFT(C122,4)="SDAI",VLOOKUP(VALUE(RIGHT(C122,3)),'ADM-COMP'!B:J,5,FALSE),IF(LEFT(C122,5)="IMPER",VLOOKUP(VALUE(RIGHT(C122,3)),'IMPER-COMP'!B:J,5,FALSE),""))))))))))))))))</f>
        <v>M</v>
      </c>
      <c r="F122" s="599">
        <f>ROUND(VLOOKUP(A122,'MEM-LEVANT'!A164:I2712,9,FALSE),2)</f>
        <v>134.75</v>
      </c>
      <c r="G122" s="339">
        <f>IF(B122="IOPES",VLOOKUP(C122,'LABOR-SERVIÇOS'!A:H,7,FALSE),IF(B122="SINAPI",VLOOKUP(C122,'SINAPI-SERVIÇOS'!A:H,8,FALSE),IF(LEFT(C122,3)="ARQ",VLOOKUP(VALUE(RIGHT(C122,3)),'ARQ-COMP'!B:J,9,FALSE),IF(LEFT(C122,3)="SCI",VLOOKUP(VALUE(RIGHT(C122,3)),'GAS-COMP'!#REF!,9,FALSE),IF(LEFT(C122,3)="SCE",VLOOKUP(VALUE(RIGHT(C122,3)),'SCE-COMP'!B:J,9,FALSE),IF(LEFT(C122,3)="EST",VLOOKUP(VALUE(RIGHT(C122,3)),'EST-COMP'!B:J,9,FALSE),IF(LEFT(C122,3)="HID",VLOOKUP(VALUE(RIGHT(C122,3)),'HID-COMP'!B:J,9,FALSE),IF(LEFT(C122,3)="INC",VLOOKUP(VALUE(RIGHT(C122,3)),'INC-COMP'!B:J,9,FALSE),IF(LEFT(C122,3)="ELE",VLOOKUP(VALUE(RIGHT(C122,3)),#REF!,9,FALSE),IF(LEFT(C122,3)="CAB",VLOOKUP(VALUE(RIGHT(C122,3)),#REF!,9,FALSE),IF(LEFT(C122,3)="SEG",VLOOKUP(VALUE(RIGHT(C122,3)),'SEG-COMP'!B:J,9,FALSE),IF(LEFT(C122,3)="CLI",VLOOKUP(VALUE(RIGHT(C122,3)),'CLI-COMP'!B:J,9,FALSE),IF(LEFT(C122,4)="IMPL",VLOOKUP(VALUE(RIGHT(C122,3)),'IMPL-COMP'!B:J,9,FALSE),IF(LEFT(C122,4)="SPDA",VLOOKUP(VALUE(RIGHT(C122,3)),'SPDA-COMP'!B:J,9,FALSE),IF(LEFT(C122,4)="SDAI",VLOOKUP(VALUE(RIGHT(C122,3)),'ADM-COMP'!B:J,9,FALSE),IF(LEFT(C122,5)="IMPER",VLOOKUP(VALUE(RIGHT(C122,3)),'IMPER-COMP'!B:J,9,FALSE),""))))))))))))))))</f>
        <v>179.42</v>
      </c>
      <c r="H122" s="339">
        <f t="shared" ref="H122" si="50">ROUND(F122*G122,2)</f>
        <v>24176.85</v>
      </c>
      <c r="I122" s="374">
        <f>H122/$H$441</f>
        <v>1.4136104938232835E-3</v>
      </c>
      <c r="J122" s="314"/>
    </row>
    <row r="123" spans="1:10">
      <c r="A123" s="570"/>
      <c r="B123" s="569"/>
      <c r="C123" s="569"/>
      <c r="D123" s="571" t="s">
        <v>27415</v>
      </c>
      <c r="E123" s="572"/>
      <c r="F123" s="600"/>
      <c r="G123" s="573"/>
      <c r="H123" s="574">
        <f>SUM(H113:H122)</f>
        <v>735515.08999999985</v>
      </c>
      <c r="I123" s="575">
        <f>H123/$H$441</f>
        <v>4.300526535050582E-2</v>
      </c>
      <c r="J123" s="314"/>
    </row>
    <row r="124" spans="1:10">
      <c r="A124" s="613"/>
      <c r="B124" s="337"/>
      <c r="C124" s="337"/>
      <c r="D124" s="539"/>
      <c r="E124" s="338"/>
      <c r="F124" s="599"/>
      <c r="G124" s="339"/>
      <c r="H124" s="339"/>
      <c r="I124" s="374"/>
      <c r="J124" s="314"/>
    </row>
    <row r="125" spans="1:10">
      <c r="A125" s="561" t="s">
        <v>12</v>
      </c>
      <c r="B125" s="562"/>
      <c r="C125" s="563"/>
      <c r="D125" s="564" t="s">
        <v>72</v>
      </c>
      <c r="E125" s="565"/>
      <c r="F125" s="597"/>
      <c r="G125" s="566"/>
      <c r="H125" s="567"/>
      <c r="I125" s="568"/>
      <c r="J125" s="314"/>
    </row>
    <row r="126" spans="1:10" ht="26.4">
      <c r="A126" s="553" t="s">
        <v>7981</v>
      </c>
      <c r="B126" s="554"/>
      <c r="C126" s="555"/>
      <c r="D126" s="556" t="s">
        <v>35263</v>
      </c>
      <c r="E126" s="557"/>
      <c r="F126" s="598"/>
      <c r="G126" s="558"/>
      <c r="H126" s="559"/>
      <c r="I126" s="560"/>
      <c r="J126" s="314"/>
    </row>
    <row r="127" spans="1:10" ht="26.4">
      <c r="A127" s="613" t="s">
        <v>2873</v>
      </c>
      <c r="B127" s="337" t="s">
        <v>2879</v>
      </c>
      <c r="C127" s="540">
        <f>100203</f>
        <v>100203</v>
      </c>
      <c r="D127" s="539" t="str">
        <f>IF(B127="IOPES",VLOOKUP(C127,'LABOR-SERVIÇOS'!A:H,5,FALSE),IF(B127="SINAPI",VLOOKUP(C127,'SINAPI-SERVIÇOS'!A:D,2,FALSE),IF(LEFT(C127,3)="ARQ",VLOOKUP(VALUE(RIGHT(C127,3)),'ARQ-COMP'!B:J,4,FALSE),IF(LEFT(C127,3)="SCI",VLOOKUP(VALUE(RIGHT(C127,3)),'GAS-COMP'!#REF!,4,FALSE),IF(LEFT(C127,3)="SCE",VLOOKUP(VALUE(RIGHT(C127,3)),'SCE-COMP'!B:J,4,FALSE),IF(LEFT(C127,3)="EST",VLOOKUP(VALUE(RIGHT(C127,3)),'EST-COMP'!B:J,4,FALSE),IF(LEFT(C127,3)="HID",VLOOKUP(VALUE(RIGHT(C127,3)),'HID-COMP'!B:J,4,FALSE),IF(LEFT(C127,3)="INC",VLOOKUP(VALUE(RIGHT(C127,3)),'INC-COMP'!B:J,4,FALSE),IF(LEFT(C127,3)="ELE",VLOOKUP(VALUE(RIGHT(C127,3)),#REF!,4,FALSE),IF(LEFT(C127,3)="CAB",VLOOKUP(VALUE(RIGHT(C127,3)),#REF!,4,FALSE),IF(LEFT(C127,3)="SEG",VLOOKUP(VALUE(RIGHT(C127,3)),'SEG-COMP'!B:J,4,FALSE),IF(LEFT(C127,3)="CLI",VLOOKUP(VALUE(RIGHT(C127,3)),'CLI-COMP'!B:J,4,FALSE),IF(LEFT(C127,4)="IMPL",VLOOKUP(VALUE(RIGHT(C127,3)),'IMPL-COMP'!B:J,4,FALSE),IF(LEFT(C127,4)="SPDA",VLOOKUP(VALUE(RIGHT(C127,3)),'SPDA-COMP'!B:J,4,FALSE),IF(LEFT(C127,4)="SDAI",VLOOKUP(VALUE(RIGHT(C127,3)),'ADM-COMP'!B:J,4,FALSE),IF(LEFT(C127,5)="IMPER",VLOOKUP(VALUE(RIGHT(C127,3)),'IMPER-COMP'!B:J,4,FALSE),""))))))))))))))))</f>
        <v>PINTURA IMPERMEABILIZANTE COM IGOLFLEX OU EQUIVALENTE A 3 DEMÃOS</v>
      </c>
      <c r="E127" s="338" t="str">
        <f>IF(B127="IOPES",VLOOKUP(C127,'LABOR-SERVIÇOS'!A:H,6,FALSE),IF(B127="SINAPI",VLOOKUP(C127,'SINAPI-SERVIÇOS'!A:D,3,FALSE),IF(LEFT(C127,3)="ARQ",VLOOKUP(VALUE(RIGHT(C127,3)),'ARQ-COMP'!B:J,5,FALSE),IF(LEFT(C127,3)="SCI",VLOOKUP(VALUE(RIGHT(C127,3)),'GAS-COMP'!#REF!,5,FALSE),IF(LEFT(C127,3)="SCE",VLOOKUP(VALUE(RIGHT(C127,3)),'SCE-COMP'!B:J,5,FALSE),IF(LEFT(C127,3)="EST",VLOOKUP(VALUE(RIGHT(C127,3)),'EST-COMP'!B:J,5,FALSE),IF(LEFT(C127,3)="HID",VLOOKUP(VALUE(RIGHT(C127,3)),'HID-COMP'!B:J,5,FALSE),IF(LEFT(C127,3)="INC",VLOOKUP(VALUE(RIGHT(C127,3)),'INC-COMP'!B:J,5,FALSE),IF(LEFT(C127,3)="ELE",VLOOKUP(VALUE(RIGHT(C127,3)),#REF!,5,FALSE),IF(LEFT(C127,3)="CAB",VLOOKUP(VALUE(RIGHT(C127,3)),#REF!,5,FALSE),IF(LEFT(C127,3)="SEG",VLOOKUP(VALUE(RIGHT(C127,3)),'SEG-COMP'!B:J,5,FALSE),IF(LEFT(C127,3)="CLI",VLOOKUP(VALUE(RIGHT(C127,3)),'CLI-COMP'!B:J,5,FALSE),IF(LEFT(C127,4)="IMPL",VLOOKUP(VALUE(RIGHT(C127,3)),'IMPL-COMP'!B:J,5,FALSE),IF(LEFT(C127,4)="SPDA",VLOOKUP(VALUE(RIGHT(C127,3)),'SPDA-COMP'!B:J,5,FALSE),IF(LEFT(C127,4)="SDAI",VLOOKUP(VALUE(RIGHT(C127,3)),'ADM-COMP'!B:J,5,FALSE),IF(LEFT(C127,5)="IMPER",VLOOKUP(VALUE(RIGHT(C127,3)),'IMPER-COMP'!B:J,5,FALSE),""))))))))))))))))</f>
        <v>M2</v>
      </c>
      <c r="F127" s="599">
        <f>ROUND(VLOOKUP(A127,'MEM-LEVANT'!A187:I2716,9,FALSE),2)</f>
        <v>643.02</v>
      </c>
      <c r="G127" s="339">
        <f>IF(B127="IOPES",VLOOKUP(C127,'LABOR-SERVIÇOS'!A:H,7,FALSE),IF(B127="SINAPI",VLOOKUP(C127,'SINAPI-SERVIÇOS'!A:H,8,FALSE),IF(LEFT(C127,3)="ARQ",VLOOKUP(VALUE(RIGHT(C127,3)),'ARQ-COMP'!B:J,9,FALSE),IF(LEFT(C127,3)="SCI",VLOOKUP(VALUE(RIGHT(C127,3)),'GAS-COMP'!#REF!,9,FALSE),IF(LEFT(C127,3)="SCE",VLOOKUP(VALUE(RIGHT(C127,3)),'SCE-COMP'!B:J,9,FALSE),IF(LEFT(C127,3)="EST",VLOOKUP(VALUE(RIGHT(C127,3)),'EST-COMP'!B:J,9,FALSE),IF(LEFT(C127,3)="HID",VLOOKUP(VALUE(RIGHT(C127,3)),'HID-COMP'!B:J,9,FALSE),IF(LEFT(C127,3)="INC",VLOOKUP(VALUE(RIGHT(C127,3)),'INC-COMP'!B:J,9,FALSE),IF(LEFT(C127,3)="ELE",VLOOKUP(VALUE(RIGHT(C127,3)),#REF!,9,FALSE),IF(LEFT(C127,3)="CAB",VLOOKUP(VALUE(RIGHT(C127,3)),#REF!,9,FALSE),IF(LEFT(C127,3)="SEG",VLOOKUP(VALUE(RIGHT(C127,3)),'SEG-COMP'!B:J,9,FALSE),IF(LEFT(C127,3)="CLI",VLOOKUP(VALUE(RIGHT(C127,3)),'CLI-COMP'!B:J,9,FALSE),IF(LEFT(C127,4)="IMPL",VLOOKUP(VALUE(RIGHT(C127,3)),'IMPL-COMP'!B:J,9,FALSE),IF(LEFT(C127,4)="SPDA",VLOOKUP(VALUE(RIGHT(C127,3)),'SPDA-COMP'!B:J,9,FALSE),IF(LEFT(C127,4)="SDAI",VLOOKUP(VALUE(RIGHT(C127,3)),'ADM-COMP'!B:J,9,FALSE),IF(LEFT(C127,5)="IMPER",VLOOKUP(VALUE(RIGHT(C127,3)),'IMPER-COMP'!B:J,9,FALSE),""))))))))))))))))</f>
        <v>58.71</v>
      </c>
      <c r="H127" s="339">
        <f t="shared" ref="H127" si="51">ROUND(F127*G127,2)</f>
        <v>37751.699999999997</v>
      </c>
      <c r="I127" s="374">
        <f>H127/$H$441</f>
        <v>2.2073264002410759E-3</v>
      </c>
      <c r="J127" s="314"/>
    </row>
    <row r="128" spans="1:10" ht="26.4">
      <c r="A128" s="613" t="s">
        <v>23689</v>
      </c>
      <c r="B128" s="337" t="s">
        <v>2879</v>
      </c>
      <c r="C128" s="540">
        <f>'LABOR-SERVIÇOS'!A360</f>
        <v>100203</v>
      </c>
      <c r="D128" s="539" t="str">
        <f>IF(B128="IOPES",VLOOKUP(C128,'LABOR-SERVIÇOS'!A:H,5,FALSE),IF(B128="SINAPI",VLOOKUP(C128,'SINAPI-SERVIÇOS'!A:D,2,FALSE),IF(LEFT(C128,3)="ARQ",VLOOKUP(VALUE(RIGHT(C128,3)),'ARQ-COMP'!B:J,4,FALSE),IF(LEFT(C128,3)="SCI",VLOOKUP(VALUE(RIGHT(C128,3)),'GAS-COMP'!#REF!,4,FALSE),IF(LEFT(C128,3)="SCE",VLOOKUP(VALUE(RIGHT(C128,3)),'SCE-COMP'!B:J,4,FALSE),IF(LEFT(C128,3)="EST",VLOOKUP(VALUE(RIGHT(C128,3)),'EST-COMP'!B:J,4,FALSE),IF(LEFT(C128,3)="HID",VLOOKUP(VALUE(RIGHT(C128,3)),'HID-COMP'!B:J,4,FALSE),IF(LEFT(C128,3)="INC",VLOOKUP(VALUE(RIGHT(C128,3)),'INC-COMP'!B:J,4,FALSE),IF(LEFT(C128,3)="ELE",VLOOKUP(VALUE(RIGHT(C128,3)),#REF!,4,FALSE),IF(LEFT(C128,3)="CAB",VLOOKUP(VALUE(RIGHT(C128,3)),#REF!,4,FALSE),IF(LEFT(C128,3)="SEG",VLOOKUP(VALUE(RIGHT(C128,3)),'SEG-COMP'!B:J,4,FALSE),IF(LEFT(C128,3)="CLI",VLOOKUP(VALUE(RIGHT(C128,3)),'CLI-COMP'!B:J,4,FALSE),IF(LEFT(C128,4)="IMPL",VLOOKUP(VALUE(RIGHT(C128,3)),'IMPL-COMP'!B:J,4,FALSE),IF(LEFT(C128,4)="SPDA",VLOOKUP(VALUE(RIGHT(C128,3)),'SPDA-COMP'!B:J,4,FALSE),IF(LEFT(C128,4)="SDAI",VLOOKUP(VALUE(RIGHT(C128,3)),'ADM-COMP'!B:J,4,FALSE),IF(LEFT(C128,5)="IMPER",VLOOKUP(VALUE(RIGHT(C128,3)),'IMPER-COMP'!B:J,4,FALSE),""))))))))))))))))</f>
        <v>PINTURA IMPERMEABILIZANTE COM IGOLFLEX OU EQUIVALENTE A 3 DEMÃOS</v>
      </c>
      <c r="E128" s="338" t="str">
        <f>IF(B128="IOPES",VLOOKUP(C128,'LABOR-SERVIÇOS'!A:H,6,FALSE),IF(B128="SINAPI",VLOOKUP(C128,'SINAPI-SERVIÇOS'!A:D,3,FALSE),IF(LEFT(C128,3)="ARQ",VLOOKUP(VALUE(RIGHT(C128,3)),'ARQ-COMP'!B:J,5,FALSE),IF(LEFT(C128,3)="SCI",VLOOKUP(VALUE(RIGHT(C128,3)),'GAS-COMP'!#REF!,5,FALSE),IF(LEFT(C128,3)="SCE",VLOOKUP(VALUE(RIGHT(C128,3)),'SCE-COMP'!B:J,5,FALSE),IF(LEFT(C128,3)="EST",VLOOKUP(VALUE(RIGHT(C128,3)),'EST-COMP'!B:J,5,FALSE),IF(LEFT(C128,3)="HID",VLOOKUP(VALUE(RIGHT(C128,3)),'HID-COMP'!B:J,5,FALSE),IF(LEFT(C128,3)="INC",VLOOKUP(VALUE(RIGHT(C128,3)),'INC-COMP'!B:J,5,FALSE),IF(LEFT(C128,3)="ELE",VLOOKUP(VALUE(RIGHT(C128,3)),#REF!,5,FALSE),IF(LEFT(C128,3)="CAB",VLOOKUP(VALUE(RIGHT(C128,3)),#REF!,5,FALSE),IF(LEFT(C128,3)="SEG",VLOOKUP(VALUE(RIGHT(C128,3)),'SEG-COMP'!B:J,5,FALSE),IF(LEFT(C128,3)="CLI",VLOOKUP(VALUE(RIGHT(C128,3)),'CLI-COMP'!B:J,5,FALSE),IF(LEFT(C128,4)="IMPL",VLOOKUP(VALUE(RIGHT(C128,3)),'IMPL-COMP'!B:J,5,FALSE),IF(LEFT(C128,4)="SPDA",VLOOKUP(VALUE(RIGHT(C128,3)),'SPDA-COMP'!B:J,5,FALSE),IF(LEFT(C128,4)="SDAI",VLOOKUP(VALUE(RIGHT(C128,3)),'ADM-COMP'!B:J,5,FALSE),IF(LEFT(C128,5)="IMPER",VLOOKUP(VALUE(RIGHT(C128,3)),'IMPER-COMP'!B:J,5,FALSE),""))))))))))))))))</f>
        <v>M2</v>
      </c>
      <c r="F128" s="599">
        <f>ROUND(VLOOKUP(A128,'MEM-LEVANT'!A188:I2717,9,FALSE),2)</f>
        <v>205.4</v>
      </c>
      <c r="G128" s="339">
        <f>IF(B128="IOPES",VLOOKUP(C128,'LABOR-SERVIÇOS'!A:H,7,FALSE),IF(B128="SINAPI",VLOOKUP(C128,'SINAPI-SERVIÇOS'!A:H,8,FALSE),IF(LEFT(C128,3)="ARQ",VLOOKUP(VALUE(RIGHT(C128,3)),'ARQ-COMP'!B:J,9,FALSE),IF(LEFT(C128,3)="SCI",VLOOKUP(VALUE(RIGHT(C128,3)),'GAS-COMP'!#REF!,9,FALSE),IF(LEFT(C128,3)="SCE",VLOOKUP(VALUE(RIGHT(C128,3)),'SCE-COMP'!B:J,9,FALSE),IF(LEFT(C128,3)="EST",VLOOKUP(VALUE(RIGHT(C128,3)),'EST-COMP'!B:J,9,FALSE),IF(LEFT(C128,3)="HID",VLOOKUP(VALUE(RIGHT(C128,3)),'HID-COMP'!B:J,9,FALSE),IF(LEFT(C128,3)="INC",VLOOKUP(VALUE(RIGHT(C128,3)),'INC-COMP'!B:J,9,FALSE),IF(LEFT(C128,3)="ELE",VLOOKUP(VALUE(RIGHT(C128,3)),#REF!,9,FALSE),IF(LEFT(C128,3)="CAB",VLOOKUP(VALUE(RIGHT(C128,3)),#REF!,9,FALSE),IF(LEFT(C128,3)="SEG",VLOOKUP(VALUE(RIGHT(C128,3)),'SEG-COMP'!B:J,9,FALSE),IF(LEFT(C128,3)="CLI",VLOOKUP(VALUE(RIGHT(C128,3)),'CLI-COMP'!B:J,9,FALSE),IF(LEFT(C128,4)="IMPL",VLOOKUP(VALUE(RIGHT(C128,3)),'IMPL-COMP'!B:J,9,FALSE),IF(LEFT(C128,4)="SPDA",VLOOKUP(VALUE(RIGHT(C128,3)),'SPDA-COMP'!B:J,9,FALSE),IF(LEFT(C128,4)="SDAI",VLOOKUP(VALUE(RIGHT(C128,3)),'ADM-COMP'!B:J,9,FALSE),IF(LEFT(C128,5)="IMPER",VLOOKUP(VALUE(RIGHT(C128,3)),'IMPER-COMP'!B:J,9,FALSE),""))))))))))))))))</f>
        <v>58.71</v>
      </c>
      <c r="H128" s="339">
        <f t="shared" ref="H128" si="52">ROUND(F128*G128,2)</f>
        <v>12059.03</v>
      </c>
      <c r="I128" s="374">
        <f>H128/$H$441</f>
        <v>7.0508653332960222E-4</v>
      </c>
      <c r="J128" s="314"/>
    </row>
    <row r="129" spans="1:10">
      <c r="A129" s="570"/>
      <c r="B129" s="569"/>
      <c r="C129" s="569"/>
      <c r="D129" s="571" t="s">
        <v>27419</v>
      </c>
      <c r="E129" s="572"/>
      <c r="F129" s="600"/>
      <c r="G129" s="573"/>
      <c r="H129" s="574">
        <f>SUM(H126:H128)</f>
        <v>49810.729999999996</v>
      </c>
      <c r="I129" s="575">
        <f>H129/$H$441</f>
        <v>2.9124129335706779E-3</v>
      </c>
      <c r="J129" s="314"/>
    </row>
    <row r="130" spans="1:10">
      <c r="A130" s="373"/>
      <c r="B130" s="337"/>
      <c r="C130" s="337"/>
      <c r="D130" s="578"/>
      <c r="E130" s="338"/>
      <c r="F130" s="606"/>
      <c r="G130" s="339"/>
      <c r="H130" s="375"/>
      <c r="I130" s="579"/>
      <c r="J130" s="314"/>
    </row>
    <row r="131" spans="1:10">
      <c r="A131" s="561" t="s">
        <v>9750</v>
      </c>
      <c r="B131" s="562"/>
      <c r="C131" s="563"/>
      <c r="D131" s="564" t="s">
        <v>1262</v>
      </c>
      <c r="E131" s="565"/>
      <c r="F131" s="597"/>
      <c r="G131" s="566"/>
      <c r="H131" s="567"/>
      <c r="I131" s="568"/>
      <c r="J131" s="314"/>
    </row>
    <row r="132" spans="1:10">
      <c r="A132" s="553" t="s">
        <v>9749</v>
      </c>
      <c r="B132" s="554"/>
      <c r="C132" s="555"/>
      <c r="D132" s="556" t="s">
        <v>35539</v>
      </c>
      <c r="E132" s="557"/>
      <c r="F132" s="598"/>
      <c r="G132" s="558"/>
      <c r="H132" s="559"/>
      <c r="I132" s="560"/>
      <c r="J132" s="314"/>
    </row>
    <row r="133" spans="1:10" ht="39.6">
      <c r="A133" s="613" t="s">
        <v>10358</v>
      </c>
      <c r="B133" s="337" t="s">
        <v>26987</v>
      </c>
      <c r="C133" s="540">
        <v>96114</v>
      </c>
      <c r="D133" s="539" t="s">
        <v>30094</v>
      </c>
      <c r="E133" s="338" t="s">
        <v>73</v>
      </c>
      <c r="F133" s="599">
        <f>ROUND(VLOOKUP(A133,'MEM-LEVANT'!A193:I2722,9,FALSE),2)</f>
        <v>2873.25</v>
      </c>
      <c r="G133" s="339">
        <f>75.68*(1+$K$4)</f>
        <v>99.148368000000019</v>
      </c>
      <c r="H133" s="339">
        <f t="shared" ref="H133" si="53">ROUND(F133*G133,2)</f>
        <v>284878.05</v>
      </c>
      <c r="I133" s="374">
        <f>H133/$H$441</f>
        <v>1.6656702628337194E-2</v>
      </c>
      <c r="J133" s="314"/>
    </row>
    <row r="134" spans="1:10">
      <c r="A134" s="570"/>
      <c r="B134" s="569"/>
      <c r="C134" s="569"/>
      <c r="D134" s="571" t="s">
        <v>27418</v>
      </c>
      <c r="E134" s="572"/>
      <c r="F134" s="600"/>
      <c r="G134" s="573"/>
      <c r="H134" s="574">
        <f>SUM(H131:H133)</f>
        <v>284878.05</v>
      </c>
      <c r="I134" s="575">
        <f>H134/$H$441</f>
        <v>1.6656702628337194E-2</v>
      </c>
      <c r="J134" s="314"/>
    </row>
    <row r="135" spans="1:10">
      <c r="A135" s="613"/>
      <c r="B135" s="337"/>
      <c r="C135" s="540"/>
      <c r="D135" s="539"/>
      <c r="E135" s="338"/>
      <c r="F135" s="599"/>
      <c r="G135" s="339"/>
      <c r="H135" s="339"/>
      <c r="I135" s="374"/>
      <c r="J135" s="314"/>
    </row>
    <row r="136" spans="1:10">
      <c r="A136" s="561" t="s">
        <v>9751</v>
      </c>
      <c r="B136" s="562"/>
      <c r="C136" s="563"/>
      <c r="D136" s="564" t="s">
        <v>35265</v>
      </c>
      <c r="E136" s="565"/>
      <c r="F136" s="597"/>
      <c r="G136" s="566"/>
      <c r="H136" s="567"/>
      <c r="I136" s="568"/>
      <c r="J136" s="314"/>
    </row>
    <row r="137" spans="1:10">
      <c r="A137" s="553" t="s">
        <v>9752</v>
      </c>
      <c r="B137" s="554"/>
      <c r="C137" s="555"/>
      <c r="D137" s="556" t="s">
        <v>35264</v>
      </c>
      <c r="E137" s="557"/>
      <c r="F137" s="598"/>
      <c r="G137" s="558"/>
      <c r="H137" s="559"/>
      <c r="I137" s="560"/>
      <c r="J137" s="314"/>
    </row>
    <row r="138" spans="1:10" ht="26.4">
      <c r="A138" s="613" t="s">
        <v>9753</v>
      </c>
      <c r="B138" s="337" t="s">
        <v>2879</v>
      </c>
      <c r="C138" s="540">
        <f>120101</f>
        <v>120101</v>
      </c>
      <c r="D138" s="539" t="str">
        <f>IF(B138="IOPES",VLOOKUP(C138,'LABOR-SERVIÇOS'!A:H,5,FALSE),IF(B138="SINAPI",VLOOKUP(C138,'SINAPI-SERVIÇOS'!A:D,2,FALSE),IF(LEFT(C138,3)="ARQ",VLOOKUP(VALUE(RIGHT(C138,3)),'ARQ-COMP'!B:J,4,FALSE),IF(LEFT(C138,3)="SCI",VLOOKUP(VALUE(RIGHT(C138,3)),'GAS-COMP'!#REF!,4,FALSE),IF(LEFT(C138,3)="SCE",VLOOKUP(VALUE(RIGHT(C138,3)),'SCE-COMP'!B:J,4,FALSE),IF(LEFT(C138,3)="EST",VLOOKUP(VALUE(RIGHT(C138,3)),'EST-COMP'!B:J,4,FALSE),IF(LEFT(C138,3)="HID",VLOOKUP(VALUE(RIGHT(C138,3)),'HID-COMP'!B:J,4,FALSE),IF(LEFT(C138,3)="INC",VLOOKUP(VALUE(RIGHT(C138,3)),'INC-COMP'!B:J,4,FALSE),IF(LEFT(C138,3)="ELE",VLOOKUP(VALUE(RIGHT(C138,3)),#REF!,4,FALSE),IF(LEFT(C138,3)="CAB",VLOOKUP(VALUE(RIGHT(C138,3)),#REF!,4,FALSE),IF(LEFT(C138,3)="SEG",VLOOKUP(VALUE(RIGHT(C138,3)),'SEG-COMP'!B:J,4,FALSE),IF(LEFT(C138,3)="CLI",VLOOKUP(VALUE(RIGHT(C138,3)),'CLI-COMP'!B:J,4,FALSE),IF(LEFT(C138,4)="IMPL",VLOOKUP(VALUE(RIGHT(C138,3)),'IMPL-COMP'!B:J,4,FALSE),IF(LEFT(C138,4)="SPDA",VLOOKUP(VALUE(RIGHT(C138,3)),'SPDA-COMP'!B:J,4,FALSE),IF(LEFT(C138,4)="SDAI",VLOOKUP(VALUE(RIGHT(C138,3)),'ADM-COMP'!B:J,4,FALSE),IF(LEFT(C138,5)="IMPER",VLOOKUP(VALUE(RIGHT(C138,3)),'IMPER-COMP'!B:J,4,FALSE),""))))))))))))))))</f>
        <v>CHAPISCO DE ARGAMASSA DE CIMENTO E AREIA MÉDIA OU GROSSA LAVADA, NO TRAÇO 1:3, ESPESSURA 5 MM</v>
      </c>
      <c r="E138" s="338" t="str">
        <f>IF(B138="IOPES",VLOOKUP(C138,'LABOR-SERVIÇOS'!A:H,6,FALSE),IF(B138="SINAPI",VLOOKUP(C138,'SINAPI-SERVIÇOS'!A:D,3,FALSE),IF(LEFT(C138,3)="ARQ",VLOOKUP(VALUE(RIGHT(C138,3)),'ARQ-COMP'!B:J,5,FALSE),IF(LEFT(C138,3)="SCI",VLOOKUP(VALUE(RIGHT(C138,3)),'GAS-COMP'!#REF!,5,FALSE),IF(LEFT(C138,3)="SCE",VLOOKUP(VALUE(RIGHT(C138,3)),'SCE-COMP'!B:J,5,FALSE),IF(LEFT(C138,3)="EST",VLOOKUP(VALUE(RIGHT(C138,3)),'EST-COMP'!B:J,5,FALSE),IF(LEFT(C138,3)="HID",VLOOKUP(VALUE(RIGHT(C138,3)),'HID-COMP'!B:J,5,FALSE),IF(LEFT(C138,3)="INC",VLOOKUP(VALUE(RIGHT(C138,3)),'INC-COMP'!B:J,5,FALSE),IF(LEFT(C138,3)="ELE",VLOOKUP(VALUE(RIGHT(C138,3)),#REF!,5,FALSE),IF(LEFT(C138,3)="CAB",VLOOKUP(VALUE(RIGHT(C138,3)),#REF!,5,FALSE),IF(LEFT(C138,3)="SEG",VLOOKUP(VALUE(RIGHT(C138,3)),'SEG-COMP'!B:J,5,FALSE),IF(LEFT(C138,3)="CLI",VLOOKUP(VALUE(RIGHT(C138,3)),'CLI-COMP'!B:J,5,FALSE),IF(LEFT(C138,4)="IMPL",VLOOKUP(VALUE(RIGHT(C138,3)),'IMPL-COMP'!B:J,5,FALSE),IF(LEFT(C138,4)="SPDA",VLOOKUP(VALUE(RIGHT(C138,3)),'SPDA-COMP'!B:J,5,FALSE),IF(LEFT(C138,4)="SDAI",VLOOKUP(VALUE(RIGHT(C138,3)),'ADM-COMP'!B:J,5,FALSE),IF(LEFT(C138,5)="IMPER",VLOOKUP(VALUE(RIGHT(C138,3)),'IMPER-COMP'!B:J,5,FALSE),""))))))))))))))))</f>
        <v>M2</v>
      </c>
      <c r="F138" s="599">
        <f>ROUND(VLOOKUP(A138,'MEM-LEVANT'!A194:I2721,9,FALSE),2)</f>
        <v>5559.94</v>
      </c>
      <c r="G138" s="339">
        <f>IF(B138="IOPES",VLOOKUP(C138,'LABOR-SERVIÇOS'!A:H,7,FALSE),IF(B138="SINAPI",VLOOKUP(C138,'SINAPI-SERVIÇOS'!A:H,8,FALSE),IF(LEFT(C138,3)="ARQ",VLOOKUP(VALUE(RIGHT(C138,3)),'ARQ-COMP'!B:J,9,FALSE),IF(LEFT(C138,3)="SCI",VLOOKUP(VALUE(RIGHT(C138,3)),'GAS-COMP'!#REF!,9,FALSE),IF(LEFT(C138,3)="SCE",VLOOKUP(VALUE(RIGHT(C138,3)),'SCE-COMP'!B:J,9,FALSE),IF(LEFT(C138,3)="EST",VLOOKUP(VALUE(RIGHT(C138,3)),'EST-COMP'!B:J,9,FALSE),IF(LEFT(C138,3)="HID",VLOOKUP(VALUE(RIGHT(C138,3)),'HID-COMP'!B:J,9,FALSE),IF(LEFT(C138,3)="INC",VLOOKUP(VALUE(RIGHT(C138,3)),'INC-COMP'!B:J,9,FALSE),IF(LEFT(C138,3)="ELE",VLOOKUP(VALUE(RIGHT(C138,3)),#REF!,9,FALSE),IF(LEFT(C138,3)="CAB",VLOOKUP(VALUE(RIGHT(C138,3)),#REF!,9,FALSE),IF(LEFT(C138,3)="SEG",VLOOKUP(VALUE(RIGHT(C138,3)),'SEG-COMP'!B:J,9,FALSE),IF(LEFT(C138,3)="CLI",VLOOKUP(VALUE(RIGHT(C138,3)),'CLI-COMP'!B:J,9,FALSE),IF(LEFT(C138,4)="IMPL",VLOOKUP(VALUE(RIGHT(C138,3)),'IMPL-COMP'!B:J,9,FALSE),IF(LEFT(C138,4)="SPDA",VLOOKUP(VALUE(RIGHT(C138,3)),'SPDA-COMP'!B:J,9,FALSE),IF(LEFT(C138,4)="SDAI",VLOOKUP(VALUE(RIGHT(C138,3)),'ADM-COMP'!B:J,9,FALSE),IF(LEFT(C138,5)="IMPER",VLOOKUP(VALUE(RIGHT(C138,3)),'IMPER-COMP'!B:J,9,FALSE),""))))))))))))))))</f>
        <v>10.42</v>
      </c>
      <c r="H138" s="339">
        <f t="shared" ref="H138" si="54">ROUND(F138*G138,2)</f>
        <v>57934.57</v>
      </c>
      <c r="I138" s="374">
        <f>H138/$H$441</f>
        <v>3.3874105231715295E-3</v>
      </c>
      <c r="J138" s="314"/>
    </row>
    <row r="139" spans="1:10">
      <c r="A139" s="553" t="s">
        <v>9754</v>
      </c>
      <c r="B139" s="554"/>
      <c r="C139" s="555"/>
      <c r="D139" s="556" t="s">
        <v>52</v>
      </c>
      <c r="E139" s="557"/>
      <c r="F139" s="598"/>
      <c r="G139" s="558"/>
      <c r="H139" s="559"/>
      <c r="I139" s="560"/>
      <c r="J139" s="314"/>
    </row>
    <row r="140" spans="1:10" ht="66">
      <c r="A140" s="613" t="s">
        <v>9755</v>
      </c>
      <c r="B140" s="337" t="s">
        <v>2879</v>
      </c>
      <c r="C140" s="540">
        <f>'LABOR-SERVIÇOS'!A389</f>
        <v>120241</v>
      </c>
      <c r="D140" s="539" t="str">
        <f>IF(B140="IOPES",VLOOKUP(C140,'LABOR-SERVIÇOS'!A:H,5,FALSE),IF(B140="SINAPI",VLOOKUP(C140,'SINAPI-SERVIÇOS'!A:D,2,FALSE),IF(LEFT(C140,3)="ARQ",VLOOKUP(VALUE(RIGHT(C140,3)),'ARQ-COMP'!B:J,4,FALSE),IF(LEFT(C140,3)="SCI",VLOOKUP(VALUE(RIGHT(C140,3)),'GAS-COMP'!#REF!,4,FALSE),IF(LEFT(C140,3)="SCE",VLOOKUP(VALUE(RIGHT(C140,3)),'SCE-COMP'!B:J,4,FALSE),IF(LEFT(C140,3)="EST",VLOOKUP(VALUE(RIGHT(C140,3)),'EST-COMP'!B:J,4,FALSE),IF(LEFT(C140,3)="HID",VLOOKUP(VALUE(RIGHT(C140,3)),'HID-COMP'!B:J,4,FALSE),IF(LEFT(C140,3)="INC",VLOOKUP(VALUE(RIGHT(C140,3)),'INC-COMP'!B:J,4,FALSE),IF(LEFT(C140,3)="ELE",VLOOKUP(VALUE(RIGHT(C140,3)),#REF!,4,FALSE),IF(LEFT(C140,3)="CAB",VLOOKUP(VALUE(RIGHT(C140,3)),#REF!,4,FALSE),IF(LEFT(C140,3)="SEG",VLOOKUP(VALUE(RIGHT(C140,3)),'SEG-COMP'!B:J,4,FALSE),IF(LEFT(C140,3)="CLI",VLOOKUP(VALUE(RIGHT(C140,3)),'CLI-COMP'!B:J,4,FALSE),IF(LEFT(C140,4)="IMPL",VLOOKUP(VALUE(RIGHT(C140,3)),'IMPL-COMP'!B:J,4,FALSE),IF(LEFT(C140,4)="SPDA",VLOOKUP(VALUE(RIGHT(C140,3)),'SPDA-COMP'!B:J,4,FALSE),IF(LEFT(C140,4)="SDAI",VLOOKUP(VALUE(RIGHT(C140,3)),'ADM-COMP'!B:J,4,FALSE),IF(LEFT(C140,5)="IMPER",VLOOKUP(VALUE(RIGHT(C140,3)),'IMPER-COMP'!B:J,4,FALSE),""))))))))))))))))</f>
        <v>CERÂMICA RETIFICADA, ACABAMENTO BRILHANTE, DIM. 32X60CM, REF. TRADIZIONALLE BIANCO BIANCOGRES/EQUIV. ASSENTADO COM ARGAMASSA DE CIMENTO COLANTE, INCLUSIVE REJUNTAMENTO COM ARGAMASSAPRE-FABRICADA PARA REJUNTE</v>
      </c>
      <c r="E140" s="338" t="str">
        <f>IF(B140="IOPES",VLOOKUP(C140,'LABOR-SERVIÇOS'!A:H,6,FALSE),IF(B140="SINAPI",VLOOKUP(C140,'SINAPI-SERVIÇOS'!A:D,3,FALSE),IF(LEFT(C140,3)="ARQ",VLOOKUP(VALUE(RIGHT(C140,3)),'ARQ-COMP'!B:J,5,FALSE),IF(LEFT(C140,3)="SCI",VLOOKUP(VALUE(RIGHT(C140,3)),'GAS-COMP'!#REF!,5,FALSE),IF(LEFT(C140,3)="SCE",VLOOKUP(VALUE(RIGHT(C140,3)),'SCE-COMP'!B:J,5,FALSE),IF(LEFT(C140,3)="EST",VLOOKUP(VALUE(RIGHT(C140,3)),'EST-COMP'!B:J,5,FALSE),IF(LEFT(C140,3)="HID",VLOOKUP(VALUE(RIGHT(C140,3)),'HID-COMP'!B:J,5,FALSE),IF(LEFT(C140,3)="INC",VLOOKUP(VALUE(RIGHT(C140,3)),'INC-COMP'!B:J,5,FALSE),IF(LEFT(C140,3)="ELE",VLOOKUP(VALUE(RIGHT(C140,3)),#REF!,5,FALSE),IF(LEFT(C140,3)="CAB",VLOOKUP(VALUE(RIGHT(C140,3)),#REF!,5,FALSE),IF(LEFT(C140,3)="SEG",VLOOKUP(VALUE(RIGHT(C140,3)),'SEG-COMP'!B:J,5,FALSE),IF(LEFT(C140,3)="CLI",VLOOKUP(VALUE(RIGHT(C140,3)),'CLI-COMP'!B:J,5,FALSE),IF(LEFT(C140,4)="IMPL",VLOOKUP(VALUE(RIGHT(C140,3)),'IMPL-COMP'!B:J,5,FALSE),IF(LEFT(C140,4)="SPDA",VLOOKUP(VALUE(RIGHT(C140,3)),'SPDA-COMP'!B:J,5,FALSE),IF(LEFT(C140,4)="SDAI",VLOOKUP(VALUE(RIGHT(C140,3)),'ADM-COMP'!B:J,5,FALSE),IF(LEFT(C140,5)="IMPER",VLOOKUP(VALUE(RIGHT(C140,3)),'IMPER-COMP'!B:J,5,FALSE),""))))))))))))))))</f>
        <v>M2</v>
      </c>
      <c r="F140" s="599">
        <f>ROUND(VLOOKUP(A140,'MEM-LEVANT'!A208:I2725,9,FALSE),2)</f>
        <v>999.56</v>
      </c>
      <c r="G140" s="339">
        <f>IF(B140="IOPES",VLOOKUP(C140,'LABOR-SERVIÇOS'!A:H,7,FALSE),IF(B140="SINAPI",VLOOKUP(C140,'SINAPI-SERVIÇOS'!A:H,8,FALSE),IF(LEFT(C140,3)="ARQ",VLOOKUP(VALUE(RIGHT(C140,3)),'ARQ-COMP'!B:J,9,FALSE),IF(LEFT(C140,3)="SCI",VLOOKUP(VALUE(RIGHT(C140,3)),'GAS-COMP'!#REF!,9,FALSE),IF(LEFT(C140,3)="SCE",VLOOKUP(VALUE(RIGHT(C140,3)),'SCE-COMP'!B:J,9,FALSE),IF(LEFT(C140,3)="EST",VLOOKUP(VALUE(RIGHT(C140,3)),'EST-COMP'!B:J,9,FALSE),IF(LEFT(C140,3)="HID",VLOOKUP(VALUE(RIGHT(C140,3)),'HID-COMP'!B:J,9,FALSE),IF(LEFT(C140,3)="INC",VLOOKUP(VALUE(RIGHT(C140,3)),'INC-COMP'!B:J,9,FALSE),IF(LEFT(C140,3)="ELE",VLOOKUP(VALUE(RIGHT(C140,3)),#REF!,9,FALSE),IF(LEFT(C140,3)="CAB",VLOOKUP(VALUE(RIGHT(C140,3)),#REF!,9,FALSE),IF(LEFT(C140,3)="SEG",VLOOKUP(VALUE(RIGHT(C140,3)),'SEG-COMP'!B:J,9,FALSE),IF(LEFT(C140,3)="CLI",VLOOKUP(VALUE(RIGHT(C140,3)),'CLI-COMP'!B:J,9,FALSE),IF(LEFT(C140,4)="IMPL",VLOOKUP(VALUE(RIGHT(C140,3)),'IMPL-COMP'!B:J,9,FALSE),IF(LEFT(C140,4)="SPDA",VLOOKUP(VALUE(RIGHT(C140,3)),'SPDA-COMP'!B:J,9,FALSE),IF(LEFT(C140,4)="SDAI",VLOOKUP(VALUE(RIGHT(C140,3)),'ADM-COMP'!B:J,9,FALSE),IF(LEFT(C140,5)="IMPER",VLOOKUP(VALUE(RIGHT(C140,3)),'IMPER-COMP'!B:J,9,FALSE),""))))))))))))))))</f>
        <v>108.64</v>
      </c>
      <c r="H140" s="339">
        <f t="shared" ref="H140" si="55">ROUND(F140*G140,2)</f>
        <v>108592.2</v>
      </c>
      <c r="I140" s="374">
        <f>H140/$H$441</f>
        <v>6.3493413520519324E-3</v>
      </c>
      <c r="J140" s="314"/>
    </row>
    <row r="141" spans="1:10" ht="26.4">
      <c r="A141" s="553" t="s">
        <v>10354</v>
      </c>
      <c r="B141" s="554"/>
      <c r="C141" s="555"/>
      <c r="D141" s="556" t="s">
        <v>35266</v>
      </c>
      <c r="E141" s="557"/>
      <c r="F141" s="598"/>
      <c r="G141" s="558"/>
      <c r="H141" s="559"/>
      <c r="I141" s="560"/>
      <c r="J141" s="314"/>
    </row>
    <row r="142" spans="1:10" ht="39.6">
      <c r="A142" s="613" t="s">
        <v>10355</v>
      </c>
      <c r="B142" s="337" t="s">
        <v>2879</v>
      </c>
      <c r="C142" s="540">
        <f>120301</f>
        <v>120301</v>
      </c>
      <c r="D142" s="539" t="str">
        <f>IF(B142="IOPES",VLOOKUP(C142,'LABOR-SERVIÇOS'!A:H,5,FALSE),IF(B142="SINAPI",VLOOKUP(C142,'SINAPI-SERVIÇOS'!A:D,2,FALSE),IF(LEFT(C142,3)="ARQ",VLOOKUP(VALUE(RIGHT(C142,3)),'ARQ-COMP'!B:J,4,FALSE),IF(LEFT(C142,3)="SCI",VLOOKUP(VALUE(RIGHT(C142,3)),'GAS-COMP'!#REF!,4,FALSE),IF(LEFT(C142,3)="SCE",VLOOKUP(VALUE(RIGHT(C142,3)),'SCE-COMP'!B:J,4,FALSE),IF(LEFT(C142,3)="EST",VLOOKUP(VALUE(RIGHT(C142,3)),'EST-COMP'!B:J,4,FALSE),IF(LEFT(C142,3)="HID",VLOOKUP(VALUE(RIGHT(C142,3)),'HID-COMP'!B:J,4,FALSE),IF(LEFT(C142,3)="INC",VLOOKUP(VALUE(RIGHT(C142,3)),'INC-COMP'!B:J,4,FALSE),IF(LEFT(C142,3)="ELE",VLOOKUP(VALUE(RIGHT(C142,3)),#REF!,4,FALSE),IF(LEFT(C142,3)="CAB",VLOOKUP(VALUE(RIGHT(C142,3)),#REF!,4,FALSE),IF(LEFT(C142,3)="SEG",VLOOKUP(VALUE(RIGHT(C142,3)),'SEG-COMP'!B:J,4,FALSE),IF(LEFT(C142,3)="CLI",VLOOKUP(VALUE(RIGHT(C142,3)),'CLI-COMP'!B:J,4,FALSE),IF(LEFT(C142,4)="IMPL",VLOOKUP(VALUE(RIGHT(C142,3)),'IMPL-COMP'!B:J,4,FALSE),IF(LEFT(C142,4)="SPDA",VLOOKUP(VALUE(RIGHT(C142,3)),'SPDA-COMP'!B:J,4,FALSE),IF(LEFT(C142,4)="SDAI",VLOOKUP(VALUE(RIGHT(C142,3)),'ADM-COMP'!B:J,4,FALSE),IF(LEFT(C142,5)="IMPER",VLOOKUP(VALUE(RIGHT(C142,3)),'IMPER-COMP'!B:J,4,FALSE),""))))))))))))))))</f>
        <v>EMBOÇO DE ARGAMASSA DE CIMENTO, CAL HIDRATADA CH1 E AREIA MÉDIA OU GROSSA LAVADA NO TRAÇO 1:0.5:6, ESPESSURA 20 MM</v>
      </c>
      <c r="E142" s="338" t="str">
        <f>IF(B142="IOPES",VLOOKUP(C142,'LABOR-SERVIÇOS'!A:H,6,FALSE),IF(B142="SINAPI",VLOOKUP(C142,'SINAPI-SERVIÇOS'!A:D,3,FALSE),IF(LEFT(C142,3)="ARQ",VLOOKUP(VALUE(RIGHT(C142,3)),'ARQ-COMP'!B:J,5,FALSE),IF(LEFT(C142,3)="SCI",VLOOKUP(VALUE(RIGHT(C142,3)),'GAS-COMP'!#REF!,5,FALSE),IF(LEFT(C142,3)="SCE",VLOOKUP(VALUE(RIGHT(C142,3)),'SCE-COMP'!B:J,5,FALSE),IF(LEFT(C142,3)="EST",VLOOKUP(VALUE(RIGHT(C142,3)),'EST-COMP'!B:J,5,FALSE),IF(LEFT(C142,3)="HID",VLOOKUP(VALUE(RIGHT(C142,3)),'HID-COMP'!B:J,5,FALSE),IF(LEFT(C142,3)="INC",VLOOKUP(VALUE(RIGHT(C142,3)),'INC-COMP'!B:J,5,FALSE),IF(LEFT(C142,3)="ELE",VLOOKUP(VALUE(RIGHT(C142,3)),#REF!,5,FALSE),IF(LEFT(C142,3)="CAB",VLOOKUP(VALUE(RIGHT(C142,3)),#REF!,5,FALSE),IF(LEFT(C142,3)="SEG",VLOOKUP(VALUE(RIGHT(C142,3)),'SEG-COMP'!B:J,5,FALSE),IF(LEFT(C142,3)="CLI",VLOOKUP(VALUE(RIGHT(C142,3)),'CLI-COMP'!B:J,5,FALSE),IF(LEFT(C142,4)="IMPL",VLOOKUP(VALUE(RIGHT(C142,3)),'IMPL-COMP'!B:J,5,FALSE),IF(LEFT(C142,4)="SPDA",VLOOKUP(VALUE(RIGHT(C142,3)),'SPDA-COMP'!B:J,5,FALSE),IF(LEFT(C142,4)="SDAI",VLOOKUP(VALUE(RIGHT(C142,3)),'ADM-COMP'!B:J,5,FALSE),IF(LEFT(C142,5)="IMPER",VLOOKUP(VALUE(RIGHT(C142,3)),'IMPER-COMP'!B:J,5,FALSE),""))))))))))))))))</f>
        <v>M2</v>
      </c>
      <c r="F142" s="599">
        <f>ROUND(VLOOKUP(A142,'MEM-LEVANT'!A208:I2726,9,FALSE),2)</f>
        <v>1038.4000000000001</v>
      </c>
      <c r="G142" s="339">
        <f>IF(B142="IOPES",VLOOKUP(C142,'LABOR-SERVIÇOS'!A:H,7,FALSE),IF(B142="SINAPI",VLOOKUP(C142,'SINAPI-SERVIÇOS'!A:H,8,FALSE),IF(LEFT(C142,3)="ARQ",VLOOKUP(VALUE(RIGHT(C142,3)),'ARQ-COMP'!B:J,9,FALSE),IF(LEFT(C142,3)="SCI",VLOOKUP(VALUE(RIGHT(C142,3)),'GAS-COMP'!#REF!,9,FALSE),IF(LEFT(C142,3)="SCE",VLOOKUP(VALUE(RIGHT(C142,3)),'SCE-COMP'!B:J,9,FALSE),IF(LEFT(C142,3)="EST",VLOOKUP(VALUE(RIGHT(C142,3)),'EST-COMP'!B:J,9,FALSE),IF(LEFT(C142,3)="HID",VLOOKUP(VALUE(RIGHT(C142,3)),'HID-COMP'!B:J,9,FALSE),IF(LEFT(C142,3)="INC",VLOOKUP(VALUE(RIGHT(C142,3)),'INC-COMP'!B:J,9,FALSE),IF(LEFT(C142,3)="ELE",VLOOKUP(VALUE(RIGHT(C142,3)),#REF!,9,FALSE),IF(LEFT(C142,3)="CAB",VLOOKUP(VALUE(RIGHT(C142,3)),#REF!,9,FALSE),IF(LEFT(C142,3)="SEG",VLOOKUP(VALUE(RIGHT(C142,3)),'SEG-COMP'!B:J,9,FALSE),IF(LEFT(C142,3)="CLI",VLOOKUP(VALUE(RIGHT(C142,3)),'CLI-COMP'!B:J,9,FALSE),IF(LEFT(C142,4)="IMPL",VLOOKUP(VALUE(RIGHT(C142,3)),'IMPL-COMP'!B:J,9,FALSE),IF(LEFT(C142,4)="SPDA",VLOOKUP(VALUE(RIGHT(C142,3)),'SPDA-COMP'!B:J,9,FALSE),IF(LEFT(C142,4)="SDAI",VLOOKUP(VALUE(RIGHT(C142,3)),'ADM-COMP'!B:J,9,FALSE),IF(LEFT(C142,5)="IMPER",VLOOKUP(VALUE(RIGHT(C142,3)),'IMPER-COMP'!B:J,9,FALSE),""))))))))))))))))</f>
        <v>51.23</v>
      </c>
      <c r="H142" s="339">
        <f t="shared" ref="H142:H143" si="56">ROUND(F142*G142,2)</f>
        <v>53197.23</v>
      </c>
      <c r="I142" s="374">
        <f>H142/$H$441</f>
        <v>3.1104201982611796E-3</v>
      </c>
      <c r="J142" s="314"/>
    </row>
    <row r="143" spans="1:10" ht="39.6">
      <c r="A143" s="613" t="s">
        <v>10356</v>
      </c>
      <c r="B143" s="337" t="s">
        <v>2879</v>
      </c>
      <c r="C143" s="540">
        <f>120303</f>
        <v>120303</v>
      </c>
      <c r="D143" s="539" t="str">
        <f>IF(B143="IOPES",VLOOKUP(C143,'LABOR-SERVIÇOS'!A:H,5,FALSE),IF(B143="SINAPI",VLOOKUP(C143,'SINAPI-SERVIÇOS'!A:D,2,FALSE),IF(LEFT(C143,3)="ARQ",VLOOKUP(VALUE(RIGHT(C143,3)),'ARQ-COMP'!B:J,4,FALSE),IF(LEFT(C143,3)="SCI",VLOOKUP(VALUE(RIGHT(C143,3)),'GAS-COMP'!#REF!,4,FALSE),IF(LEFT(C143,3)="SCE",VLOOKUP(VALUE(RIGHT(C143,3)),'SCE-COMP'!B:J,4,FALSE),IF(LEFT(C143,3)="EST",VLOOKUP(VALUE(RIGHT(C143,3)),'EST-COMP'!B:J,4,FALSE),IF(LEFT(C143,3)="HID",VLOOKUP(VALUE(RIGHT(C143,3)),'HID-COMP'!B:J,4,FALSE),IF(LEFT(C143,3)="INC",VLOOKUP(VALUE(RIGHT(C143,3)),'INC-COMP'!B:J,4,FALSE),IF(LEFT(C143,3)="ELE",VLOOKUP(VALUE(RIGHT(C143,3)),#REF!,4,FALSE),IF(LEFT(C143,3)="CAB",VLOOKUP(VALUE(RIGHT(C143,3)),#REF!,4,FALSE),IF(LEFT(C143,3)="SEG",VLOOKUP(VALUE(RIGHT(C143,3)),'SEG-COMP'!B:J,4,FALSE),IF(LEFT(C143,3)="CLI",VLOOKUP(VALUE(RIGHT(C143,3)),'CLI-COMP'!B:J,4,FALSE),IF(LEFT(C143,4)="IMPL",VLOOKUP(VALUE(RIGHT(C143,3)),'IMPL-COMP'!B:J,4,FALSE),IF(LEFT(C143,4)="SPDA",VLOOKUP(VALUE(RIGHT(C143,3)),'SPDA-COMP'!B:J,4,FALSE),IF(LEFT(C143,4)="SDAI",VLOOKUP(VALUE(RIGHT(C143,3)),'ADM-COMP'!B:J,4,FALSE),IF(LEFT(C143,5)="IMPER",VLOOKUP(VALUE(RIGHT(C143,3)),'IMPER-COMP'!B:J,4,FALSE),""))))))))))))))))</f>
        <v>REBOCO TIPO PAULISTA DE ARGAMASSA DE CIMENTO, CAL HIDRATADA CH1 E AREIA MÉDIA OU GROSSA LAVADA NO TRAÇO 1:0.5:6, ESPESSURA 25 MM</v>
      </c>
      <c r="E143" s="338" t="str">
        <f>IF(B143="IOPES",VLOOKUP(C143,'LABOR-SERVIÇOS'!A:H,6,FALSE),IF(B143="SINAPI",VLOOKUP(C143,'SINAPI-SERVIÇOS'!A:D,3,FALSE),IF(LEFT(C143,3)="ARQ",VLOOKUP(VALUE(RIGHT(C143,3)),'ARQ-COMP'!B:J,5,FALSE),IF(LEFT(C143,3)="SCI",VLOOKUP(VALUE(RIGHT(C143,3)),'GAS-COMP'!#REF!,5,FALSE),IF(LEFT(C143,3)="SCE",VLOOKUP(VALUE(RIGHT(C143,3)),'SCE-COMP'!B:J,5,FALSE),IF(LEFT(C143,3)="EST",VLOOKUP(VALUE(RIGHT(C143,3)),'EST-COMP'!B:J,5,FALSE),IF(LEFT(C143,3)="HID",VLOOKUP(VALUE(RIGHT(C143,3)),'HID-COMP'!B:J,5,FALSE),IF(LEFT(C143,3)="INC",VLOOKUP(VALUE(RIGHT(C143,3)),'INC-COMP'!B:J,5,FALSE),IF(LEFT(C143,3)="ELE",VLOOKUP(VALUE(RIGHT(C143,3)),#REF!,5,FALSE),IF(LEFT(C143,3)="CAB",VLOOKUP(VALUE(RIGHT(C143,3)),#REF!,5,FALSE),IF(LEFT(C143,3)="SEG",VLOOKUP(VALUE(RIGHT(C143,3)),'SEG-COMP'!B:J,5,FALSE),IF(LEFT(C143,3)="CLI",VLOOKUP(VALUE(RIGHT(C143,3)),'CLI-COMP'!B:J,5,FALSE),IF(LEFT(C143,4)="IMPL",VLOOKUP(VALUE(RIGHT(C143,3)),'IMPL-COMP'!B:J,5,FALSE),IF(LEFT(C143,4)="SPDA",VLOOKUP(VALUE(RIGHT(C143,3)),'SPDA-COMP'!B:J,5,FALSE),IF(LEFT(C143,4)="SDAI",VLOOKUP(VALUE(RIGHT(C143,3)),'ADM-COMP'!B:J,5,FALSE),IF(LEFT(C143,5)="IMPER",VLOOKUP(VALUE(RIGHT(C143,3)),'IMPER-COMP'!B:J,5,FALSE),""))))))))))))))))</f>
        <v>M2</v>
      </c>
      <c r="F143" s="599">
        <f>ROUND(VLOOKUP(A143,'MEM-LEVANT'!A209:I2727,9,FALSE),2)</f>
        <v>4787.1499999999996</v>
      </c>
      <c r="G143" s="339">
        <f>IF(B143="IOPES",VLOOKUP(C143,'LABOR-SERVIÇOS'!A:H,7,FALSE),IF(B143="SINAPI",VLOOKUP(C143,'SINAPI-SERVIÇOS'!A:H,8,FALSE),IF(LEFT(C143,3)="ARQ",VLOOKUP(VALUE(RIGHT(C143,3)),'ARQ-COMP'!B:J,9,FALSE),IF(LEFT(C143,3)="SCI",VLOOKUP(VALUE(RIGHT(C143,3)),'GAS-COMP'!#REF!,9,FALSE),IF(LEFT(C143,3)="SCE",VLOOKUP(VALUE(RIGHT(C143,3)),'SCE-COMP'!B:J,9,FALSE),IF(LEFT(C143,3)="EST",VLOOKUP(VALUE(RIGHT(C143,3)),'EST-COMP'!B:J,9,FALSE),IF(LEFT(C143,3)="HID",VLOOKUP(VALUE(RIGHT(C143,3)),'HID-COMP'!B:J,9,FALSE),IF(LEFT(C143,3)="INC",VLOOKUP(VALUE(RIGHT(C143,3)),'INC-COMP'!B:J,9,FALSE),IF(LEFT(C143,3)="ELE",VLOOKUP(VALUE(RIGHT(C143,3)),#REF!,9,FALSE),IF(LEFT(C143,3)="CAB",VLOOKUP(VALUE(RIGHT(C143,3)),#REF!,9,FALSE),IF(LEFT(C143,3)="SEG",VLOOKUP(VALUE(RIGHT(C143,3)),'SEG-COMP'!B:J,9,FALSE),IF(LEFT(C143,3)="CLI",VLOOKUP(VALUE(RIGHT(C143,3)),'CLI-COMP'!B:J,9,FALSE),IF(LEFT(C143,4)="IMPL",VLOOKUP(VALUE(RIGHT(C143,3)),'IMPL-COMP'!B:J,9,FALSE),IF(LEFT(C143,4)="SPDA",VLOOKUP(VALUE(RIGHT(C143,3)),'SPDA-COMP'!B:J,9,FALSE),IF(LEFT(C143,4)="SDAI",VLOOKUP(VALUE(RIGHT(C143,3)),'ADM-COMP'!B:J,9,FALSE),IF(LEFT(C143,5)="IMPER",VLOOKUP(VALUE(RIGHT(C143,3)),'IMPER-COMP'!B:J,9,FALSE),""))))))))))))))))</f>
        <v>87.53</v>
      </c>
      <c r="H143" s="339">
        <f t="shared" si="56"/>
        <v>419019.24</v>
      </c>
      <c r="I143" s="374">
        <f>H143/$H$441</f>
        <v>2.4499882936687655E-2</v>
      </c>
      <c r="J143" s="314"/>
    </row>
    <row r="144" spans="1:10">
      <c r="A144" s="570"/>
      <c r="B144" s="569"/>
      <c r="C144" s="569"/>
      <c r="D144" s="571" t="s">
        <v>27421</v>
      </c>
      <c r="E144" s="572"/>
      <c r="F144" s="600"/>
      <c r="G144" s="573"/>
      <c r="H144" s="574">
        <f>SUM(H138:H143)</f>
        <v>638743.24</v>
      </c>
      <c r="I144" s="575">
        <f>H144/$H$441</f>
        <v>3.7347055010172298E-2</v>
      </c>
      <c r="J144" s="314"/>
    </row>
    <row r="145" spans="1:10">
      <c r="A145" s="613"/>
      <c r="B145" s="337"/>
      <c r="C145" s="540"/>
      <c r="D145" s="539"/>
      <c r="E145" s="338"/>
      <c r="F145" s="599"/>
      <c r="G145" s="339"/>
      <c r="H145" s="339"/>
      <c r="I145" s="374"/>
      <c r="J145" s="314"/>
    </row>
    <row r="146" spans="1:10">
      <c r="A146" s="561" t="s">
        <v>15756</v>
      </c>
      <c r="B146" s="562"/>
      <c r="C146" s="563"/>
      <c r="D146" s="564" t="s">
        <v>1287</v>
      </c>
      <c r="E146" s="565"/>
      <c r="F146" s="597"/>
      <c r="G146" s="566"/>
      <c r="H146" s="567"/>
      <c r="I146" s="568"/>
      <c r="J146" s="314"/>
    </row>
    <row r="147" spans="1:10">
      <c r="A147" s="553" t="s">
        <v>9756</v>
      </c>
      <c r="B147" s="554"/>
      <c r="C147" s="555"/>
      <c r="D147" s="556" t="s">
        <v>1288</v>
      </c>
      <c r="E147" s="557"/>
      <c r="F147" s="598"/>
      <c r="G147" s="558"/>
      <c r="H147" s="559"/>
      <c r="I147" s="560"/>
      <c r="J147" s="314"/>
    </row>
    <row r="148" spans="1:10" ht="52.8">
      <c r="A148" s="613" t="s">
        <v>15759</v>
      </c>
      <c r="B148" s="337" t="s">
        <v>29</v>
      </c>
      <c r="C148" s="540">
        <v>87745</v>
      </c>
      <c r="D148" s="539" t="s">
        <v>16512</v>
      </c>
      <c r="E148" s="338" t="s">
        <v>73</v>
      </c>
      <c r="F148" s="599">
        <f>ROUND(VLOOKUP(A148,'MEM-LEVANT'!A219:I2731,9,FALSE),2)</f>
        <v>2563.25</v>
      </c>
      <c r="G148" s="339">
        <f>53.32*(1+$K$4)</f>
        <v>69.854532000000006</v>
      </c>
      <c r="H148" s="339">
        <f t="shared" ref="H148" si="57">ROUND(F148*G148,2)</f>
        <v>179054.63</v>
      </c>
      <c r="I148" s="374">
        <f>H148/$H$441</f>
        <v>1.0469250706177411E-2</v>
      </c>
      <c r="J148" s="314"/>
    </row>
    <row r="149" spans="1:10">
      <c r="A149" s="553" t="s">
        <v>35267</v>
      </c>
      <c r="B149" s="554"/>
      <c r="C149" s="555"/>
      <c r="D149" s="556" t="s">
        <v>52</v>
      </c>
      <c r="E149" s="557"/>
      <c r="F149" s="598"/>
      <c r="G149" s="558"/>
      <c r="H149" s="559"/>
      <c r="I149" s="560"/>
      <c r="J149" s="314"/>
    </row>
    <row r="150" spans="1:10" ht="39.6">
      <c r="A150" s="613" t="s">
        <v>35269</v>
      </c>
      <c r="B150" s="337" t="s">
        <v>2879</v>
      </c>
      <c r="C150" s="540">
        <f>130202</f>
        <v>130202</v>
      </c>
      <c r="D150" s="539" t="str">
        <f>IF(B150="IOPES",VLOOKUP(C150,'LABOR-SERVIÇOS'!A:H,5,FALSE),IF(B150="SINAPI",VLOOKUP(C150,'SINAPI-SERVIÇOS'!A:D,2,FALSE),IF(LEFT(C150,3)="ARQ",VLOOKUP(VALUE(RIGHT(C150,3)),'ARQ-COMP'!B:J,4,FALSE),IF(LEFT(C150,3)="SCI",VLOOKUP(VALUE(RIGHT(C150,3)),'GAS-COMP'!#REF!,4,FALSE),IF(LEFT(C150,3)="SCE",VLOOKUP(VALUE(RIGHT(C150,3)),'SCE-COMP'!B:J,4,FALSE),IF(LEFT(C150,3)="EST",VLOOKUP(VALUE(RIGHT(C150,3)),'EST-COMP'!B:J,4,FALSE),IF(LEFT(C150,3)="HID",VLOOKUP(VALUE(RIGHT(C150,3)),'HID-COMP'!B:J,4,FALSE),IF(LEFT(C150,3)="INC",VLOOKUP(VALUE(RIGHT(C150,3)),'INC-COMP'!B:J,4,FALSE),IF(LEFT(C150,3)="ELE",VLOOKUP(VALUE(RIGHT(C150,3)),#REF!,4,FALSE),IF(LEFT(C150,3)="CAB",VLOOKUP(VALUE(RIGHT(C150,3)),#REF!,4,FALSE),IF(LEFT(C150,3)="SEG",VLOOKUP(VALUE(RIGHT(C150,3)),'SEG-COMP'!B:J,4,FALSE),IF(LEFT(C150,3)="CLI",VLOOKUP(VALUE(RIGHT(C150,3)),'CLI-COMP'!B:J,4,FALSE),IF(LEFT(C150,4)="IMPL",VLOOKUP(VALUE(RIGHT(C150,3)),'IMPL-COMP'!B:J,4,FALSE),IF(LEFT(C150,4)="SPDA",VLOOKUP(VALUE(RIGHT(C150,3)),'SPDA-COMP'!B:J,4,FALSE),IF(LEFT(C150,4)="SDAI",VLOOKUP(VALUE(RIGHT(C150,3)),'ADM-COMP'!B:J,4,FALSE),IF(LEFT(C150,5)="IMPER",VLOOKUP(VALUE(RIGHT(C150,3)),'IMPER-COMP'!B:J,4,FALSE),""))))))))))))))))</f>
        <v>PISO CIMENTADO LISO COM 1.5 CM DE ESPESSURA, DE ARGAMASSA DE CIMENTO E AREIA NO TRAÇO 1:3 E JUNTAS PLÁSTICAS EM QUADROS DE 1 M</v>
      </c>
      <c r="E150" s="338" t="str">
        <f>IF(B150="IOPES",VLOOKUP(C150,'LABOR-SERVIÇOS'!A:H,6,FALSE),IF(B150="SINAPI",VLOOKUP(C150,'SINAPI-SERVIÇOS'!A:D,3,FALSE),IF(LEFT(C150,3)="ARQ",VLOOKUP(VALUE(RIGHT(C150,3)),'ARQ-COMP'!B:J,5,FALSE),IF(LEFT(C150,3)="SCI",VLOOKUP(VALUE(RIGHT(C150,3)),'GAS-COMP'!#REF!,5,FALSE),IF(LEFT(C150,3)="SCE",VLOOKUP(VALUE(RIGHT(C150,3)),'SCE-COMP'!B:J,5,FALSE),IF(LEFT(C150,3)="EST",VLOOKUP(VALUE(RIGHT(C150,3)),'EST-COMP'!B:J,5,FALSE),IF(LEFT(C150,3)="HID",VLOOKUP(VALUE(RIGHT(C150,3)),'HID-COMP'!B:J,5,FALSE),IF(LEFT(C150,3)="INC",VLOOKUP(VALUE(RIGHT(C150,3)),'INC-COMP'!B:J,5,FALSE),IF(LEFT(C150,3)="ELE",VLOOKUP(VALUE(RIGHT(C150,3)),#REF!,5,FALSE),IF(LEFT(C150,3)="CAB",VLOOKUP(VALUE(RIGHT(C150,3)),#REF!,5,FALSE),IF(LEFT(C150,3)="SEG",VLOOKUP(VALUE(RIGHT(C150,3)),'SEG-COMP'!B:J,5,FALSE),IF(LEFT(C150,3)="CLI",VLOOKUP(VALUE(RIGHT(C150,3)),'CLI-COMP'!B:J,5,FALSE),IF(LEFT(C150,4)="IMPL",VLOOKUP(VALUE(RIGHT(C150,3)),'IMPL-COMP'!B:J,5,FALSE),IF(LEFT(C150,4)="SPDA",VLOOKUP(VALUE(RIGHT(C150,3)),'SPDA-COMP'!B:J,5,FALSE),IF(LEFT(C150,4)="SDAI",VLOOKUP(VALUE(RIGHT(C150,3)),'ADM-COMP'!B:J,5,FALSE),IF(LEFT(C150,5)="IMPER",VLOOKUP(VALUE(RIGHT(C150,3)),'IMPER-COMP'!B:J,5,FALSE),""))))))))))))))))</f>
        <v>M2</v>
      </c>
      <c r="F150" s="599">
        <f>ROUND(VLOOKUP(A150,'MEM-LEVANT'!A209:I2727,9,FALSE),2)</f>
        <v>1090.3699999999999</v>
      </c>
      <c r="G150" s="339">
        <f>IF(B150="IOPES",VLOOKUP(C150,'LABOR-SERVIÇOS'!A:H,7,FALSE),IF(B150="SINAPI",VLOOKUP(C150,'SINAPI-SERVIÇOS'!A:H,8,FALSE),IF(LEFT(C150,3)="ARQ",VLOOKUP(VALUE(RIGHT(C150,3)),'ARQ-COMP'!B:J,9,FALSE),IF(LEFT(C150,3)="SCI",VLOOKUP(VALUE(RIGHT(C150,3)),'GAS-COMP'!#REF!,9,FALSE),IF(LEFT(C150,3)="SCE",VLOOKUP(VALUE(RIGHT(C150,3)),'SCE-COMP'!B:J,9,FALSE),IF(LEFT(C150,3)="EST",VLOOKUP(VALUE(RIGHT(C150,3)),'EST-COMP'!B:J,9,FALSE),IF(LEFT(C150,3)="HID",VLOOKUP(VALUE(RIGHT(C150,3)),'HID-COMP'!B:J,9,FALSE),IF(LEFT(C150,3)="INC",VLOOKUP(VALUE(RIGHT(C150,3)),'INC-COMP'!B:J,9,FALSE),IF(LEFT(C150,3)="ELE",VLOOKUP(VALUE(RIGHT(C150,3)),#REF!,9,FALSE),IF(LEFT(C150,3)="CAB",VLOOKUP(VALUE(RIGHT(C150,3)),#REF!,9,FALSE),IF(LEFT(C150,3)="SEG",VLOOKUP(VALUE(RIGHT(C150,3)),'SEG-COMP'!B:J,9,FALSE),IF(LEFT(C150,3)="CLI",VLOOKUP(VALUE(RIGHT(C150,3)),'CLI-COMP'!B:J,9,FALSE),IF(LEFT(C150,4)="IMPL",VLOOKUP(VALUE(RIGHT(C150,3)),'IMPL-COMP'!B:J,9,FALSE),IF(LEFT(C150,4)="SPDA",VLOOKUP(VALUE(RIGHT(C150,3)),'SPDA-COMP'!B:J,9,FALSE),IF(LEFT(C150,4)="SDAI",VLOOKUP(VALUE(RIGHT(C150,3)),'ADM-COMP'!B:J,9,FALSE),IF(LEFT(C150,5)="IMPER",VLOOKUP(VALUE(RIGHT(C150,3)),'IMPER-COMP'!B:J,9,FALSE),""))))))))))))))))</f>
        <v>83.88</v>
      </c>
      <c r="H150" s="339">
        <f t="shared" ref="H150:H151" si="58">ROUND(F150*G150,2)</f>
        <v>91460.24</v>
      </c>
      <c r="I150" s="374">
        <f>H150/$H$441</f>
        <v>5.3476426842866643E-3</v>
      </c>
      <c r="J150" s="314"/>
    </row>
    <row r="151" spans="1:10" ht="66">
      <c r="A151" s="613" t="s">
        <v>35270</v>
      </c>
      <c r="B151" s="337" t="s">
        <v>2879</v>
      </c>
      <c r="C151" s="540">
        <f>130231</f>
        <v>130231</v>
      </c>
      <c r="D151" s="539" t="str">
        <f>IF(B151="IOPES",VLOOKUP(C151,'LABOR-SERVIÇOS'!A:H,5,FALSE),IF(B151="SINAPI",VLOOKUP(C151,'SINAPI-SERVIÇOS'!A:D,2,FALSE),IF(LEFT(C151,3)="ARQ",VLOOKUP(VALUE(RIGHT(C151,3)),'ARQ-COMP'!B:J,4,FALSE),IF(LEFT(C151,3)="SCI",VLOOKUP(VALUE(RIGHT(C151,3)),'GAS-COMP'!#REF!,4,FALSE),IF(LEFT(C151,3)="SCE",VLOOKUP(VALUE(RIGHT(C151,3)),'SCE-COMP'!B:J,4,FALSE),IF(LEFT(C151,3)="EST",VLOOKUP(VALUE(RIGHT(C151,3)),'EST-COMP'!B:J,4,FALSE),IF(LEFT(C151,3)="HID",VLOOKUP(VALUE(RIGHT(C151,3)),'HID-COMP'!B:J,4,FALSE),IF(LEFT(C151,3)="INC",VLOOKUP(VALUE(RIGHT(C151,3)),'INC-COMP'!B:J,4,FALSE),IF(LEFT(C151,3)="ELE",VLOOKUP(VALUE(RIGHT(C151,3)),#REF!,4,FALSE),IF(LEFT(C151,3)="CAB",VLOOKUP(VALUE(RIGHT(C151,3)),#REF!,4,FALSE),IF(LEFT(C151,3)="SEG",VLOOKUP(VALUE(RIGHT(C151,3)),'SEG-COMP'!B:J,4,FALSE),IF(LEFT(C151,3)="CLI",VLOOKUP(VALUE(RIGHT(C151,3)),'CLI-COMP'!B:J,4,FALSE),IF(LEFT(C151,4)="IMPL",VLOOKUP(VALUE(RIGHT(C151,3)),'IMPL-COMP'!B:J,4,FALSE),IF(LEFT(C151,4)="SPDA",VLOOKUP(VALUE(RIGHT(C151,3)),'SPDA-COMP'!B:J,4,FALSE),IF(LEFT(C151,4)="SDAI",VLOOKUP(VALUE(RIGHT(C151,3)),'ADM-COMP'!B:J,4,FALSE),IF(LEFT(C151,5)="IMPER",VLOOKUP(VALUE(RIGHT(C151,3)),'IMPER-COMP'!B:J,4,FALSE),""))))))))))))))))</f>
        <v>PISO ARGAMASSA ALTA RESISTÊNCIA TIPO GRANILITE OU EQUIV DE QUALIDADE COMPROVADA, ESP DE 10MM, COM JUNTAS PLÁSTICA EM QUADROS DE 1M, NA COR NATURAL, COM ACABAMENTO POLIDO MECANIZADO, INCLUSIVE REGULARIZAÇÃO E=3.0CM</v>
      </c>
      <c r="E151" s="338" t="str">
        <f>IF(B151="IOPES",VLOOKUP(C151,'LABOR-SERVIÇOS'!A:H,6,FALSE),IF(B151="SINAPI",VLOOKUP(C151,'SINAPI-SERVIÇOS'!A:D,3,FALSE),IF(LEFT(C151,3)="ARQ",VLOOKUP(VALUE(RIGHT(C151,3)),'ARQ-COMP'!B:J,5,FALSE),IF(LEFT(C151,3)="SCI",VLOOKUP(VALUE(RIGHT(C151,3)),'GAS-COMP'!#REF!,5,FALSE),IF(LEFT(C151,3)="SCE",VLOOKUP(VALUE(RIGHT(C151,3)),'SCE-COMP'!B:J,5,FALSE),IF(LEFT(C151,3)="EST",VLOOKUP(VALUE(RIGHT(C151,3)),'EST-COMP'!B:J,5,FALSE),IF(LEFT(C151,3)="HID",VLOOKUP(VALUE(RIGHT(C151,3)),'HID-COMP'!B:J,5,FALSE),IF(LEFT(C151,3)="INC",VLOOKUP(VALUE(RIGHT(C151,3)),'INC-COMP'!B:J,5,FALSE),IF(LEFT(C151,3)="ELE",VLOOKUP(VALUE(RIGHT(C151,3)),#REF!,5,FALSE),IF(LEFT(C151,3)="CAB",VLOOKUP(VALUE(RIGHT(C151,3)),#REF!,5,FALSE),IF(LEFT(C151,3)="SEG",VLOOKUP(VALUE(RIGHT(C151,3)),'SEG-COMP'!B:J,5,FALSE),IF(LEFT(C151,3)="CLI",VLOOKUP(VALUE(RIGHT(C151,3)),'CLI-COMP'!B:J,5,FALSE),IF(LEFT(C151,4)="IMPL",VLOOKUP(VALUE(RIGHT(C151,3)),'IMPL-COMP'!B:J,5,FALSE),IF(LEFT(C151,4)="SPDA",VLOOKUP(VALUE(RIGHT(C151,3)),'SPDA-COMP'!B:J,5,FALSE),IF(LEFT(C151,4)="SDAI",VLOOKUP(VALUE(RIGHT(C151,3)),'ADM-COMP'!B:J,5,FALSE),IF(LEFT(C151,5)="IMPER",VLOOKUP(VALUE(RIGHT(C151,3)),'IMPER-COMP'!B:J,5,FALSE),""))))))))))))))))</f>
        <v>M2</v>
      </c>
      <c r="F151" s="599">
        <f>ROUND(VLOOKUP(A151,'MEM-LEVANT'!A216:I2728,9,FALSE),2)</f>
        <v>2563.25</v>
      </c>
      <c r="G151" s="339">
        <f>IF(B151="IOPES",VLOOKUP(C151,'LABOR-SERVIÇOS'!A:H,7,FALSE),IF(B151="SINAPI",VLOOKUP(C151,'SINAPI-SERVIÇOS'!A:H,8,FALSE),IF(LEFT(C151,3)="ARQ",VLOOKUP(VALUE(RIGHT(C151,3)),'ARQ-COMP'!B:J,9,FALSE),IF(LEFT(C151,3)="SCI",VLOOKUP(VALUE(RIGHT(C151,3)),'GAS-COMP'!#REF!,9,FALSE),IF(LEFT(C151,3)="SCE",VLOOKUP(VALUE(RIGHT(C151,3)),'SCE-COMP'!B:J,9,FALSE),IF(LEFT(C151,3)="EST",VLOOKUP(VALUE(RIGHT(C151,3)),'EST-COMP'!B:J,9,FALSE),IF(LEFT(C151,3)="HID",VLOOKUP(VALUE(RIGHT(C151,3)),'HID-COMP'!B:J,9,FALSE),IF(LEFT(C151,3)="INC",VLOOKUP(VALUE(RIGHT(C151,3)),'INC-COMP'!B:J,9,FALSE),IF(LEFT(C151,3)="ELE",VLOOKUP(VALUE(RIGHT(C151,3)),#REF!,9,FALSE),IF(LEFT(C151,3)="CAB",VLOOKUP(VALUE(RIGHT(C151,3)),#REF!,9,FALSE),IF(LEFT(C151,3)="SEG",VLOOKUP(VALUE(RIGHT(C151,3)),'SEG-COMP'!B:J,9,FALSE),IF(LEFT(C151,3)="CLI",VLOOKUP(VALUE(RIGHT(C151,3)),'CLI-COMP'!B:J,9,FALSE),IF(LEFT(C151,4)="IMPL",VLOOKUP(VALUE(RIGHT(C151,3)),'IMPL-COMP'!B:J,9,FALSE),IF(LEFT(C151,4)="SPDA",VLOOKUP(VALUE(RIGHT(C151,3)),'SPDA-COMP'!B:J,9,FALSE),IF(LEFT(C151,4)="SDAI",VLOOKUP(VALUE(RIGHT(C151,3)),'ADM-COMP'!B:J,9,FALSE),IF(LEFT(C151,5)="IMPER",VLOOKUP(VALUE(RIGHT(C151,3)),'IMPER-COMP'!B:J,9,FALSE),""))))))))))))))))</f>
        <v>214.84</v>
      </c>
      <c r="H151" s="339">
        <f t="shared" si="58"/>
        <v>550688.63</v>
      </c>
      <c r="I151" s="374">
        <f>H151/$H$441</f>
        <v>3.2198538113822416E-2</v>
      </c>
      <c r="J151" s="314"/>
    </row>
    <row r="152" spans="1:10">
      <c r="A152" s="553" t="s">
        <v>35268</v>
      </c>
      <c r="B152" s="554"/>
      <c r="C152" s="555"/>
      <c r="D152" s="556" t="s">
        <v>1309</v>
      </c>
      <c r="E152" s="557"/>
      <c r="F152" s="598"/>
      <c r="G152" s="558"/>
      <c r="H152" s="559"/>
      <c r="I152" s="560"/>
      <c r="J152" s="314"/>
    </row>
    <row r="153" spans="1:10">
      <c r="A153" s="613" t="s">
        <v>35271</v>
      </c>
      <c r="B153" s="337" t="s">
        <v>2879</v>
      </c>
      <c r="C153" s="540">
        <f>130308</f>
        <v>130308</v>
      </c>
      <c r="D153" s="539" t="str">
        <f>IF(B153="IOPES",VLOOKUP(C153,'LABOR-SERVIÇOS'!A:H,5,FALSE),IF(B153="SINAPI",VLOOKUP(C153,'SINAPI-SERVIÇOS'!A:D,2,FALSE),IF(LEFT(C153,3)="ARQ",VLOOKUP(VALUE(RIGHT(C153,3)),'ARQ-COMP'!B:J,4,FALSE),IF(LEFT(C153,3)="SCI",VLOOKUP(VALUE(RIGHT(C153,3)),'GAS-COMP'!#REF!,4,FALSE),IF(LEFT(C153,3)="SCE",VLOOKUP(VALUE(RIGHT(C153,3)),'SCE-COMP'!B:J,4,FALSE),IF(LEFT(C153,3)="EST",VLOOKUP(VALUE(RIGHT(C153,3)),'EST-COMP'!B:J,4,FALSE),IF(LEFT(C153,3)="HID",VLOOKUP(VALUE(RIGHT(C153,3)),'HID-COMP'!B:J,4,FALSE),IF(LEFT(C153,3)="INC",VLOOKUP(VALUE(RIGHT(C153,3)),'INC-COMP'!B:J,4,FALSE),IF(LEFT(C153,3)="ELE",VLOOKUP(VALUE(RIGHT(C153,3)),#REF!,4,FALSE),IF(LEFT(C153,3)="CAB",VLOOKUP(VALUE(RIGHT(C153,3)),#REF!,4,FALSE),IF(LEFT(C153,3)="SEG",VLOOKUP(VALUE(RIGHT(C153,3)),'SEG-COMP'!B:J,4,FALSE),IF(LEFT(C153,3)="CLI",VLOOKUP(VALUE(RIGHT(C153,3)),'CLI-COMP'!B:J,4,FALSE),IF(LEFT(C153,4)="IMPL",VLOOKUP(VALUE(RIGHT(C153,3)),'IMPL-COMP'!B:J,4,FALSE),IF(LEFT(C153,4)="SPDA",VLOOKUP(VALUE(RIGHT(C153,3)),'SPDA-COMP'!B:J,4,FALSE),IF(LEFT(C153,4)="SDAI",VLOOKUP(VALUE(RIGHT(C153,3)),'ADM-COMP'!B:J,4,FALSE),IF(LEFT(C153,5)="IMPER",VLOOKUP(VALUE(RIGHT(C153,3)),'IMPER-COMP'!B:J,4,FALSE),""))))))))))))))))</f>
        <v>SOLEIRA DE GRANITO ESP. 2 CM E LARGURA DE 15 CM</v>
      </c>
      <c r="E153" s="338" t="str">
        <f>IF(B153="IOPES",VLOOKUP(C153,'LABOR-SERVIÇOS'!A:H,6,FALSE),IF(B153="SINAPI",VLOOKUP(C153,'SINAPI-SERVIÇOS'!A:D,3,FALSE),IF(LEFT(C153,3)="ARQ",VLOOKUP(VALUE(RIGHT(C153,3)),'ARQ-COMP'!B:J,5,FALSE),IF(LEFT(C153,3)="SCI",VLOOKUP(VALUE(RIGHT(C153,3)),'GAS-COMP'!#REF!,5,FALSE),IF(LEFT(C153,3)="SCE",VLOOKUP(VALUE(RIGHT(C153,3)),'SCE-COMP'!B:J,5,FALSE),IF(LEFT(C153,3)="EST",VLOOKUP(VALUE(RIGHT(C153,3)),'EST-COMP'!B:J,5,FALSE),IF(LEFT(C153,3)="HID",VLOOKUP(VALUE(RIGHT(C153,3)),'HID-COMP'!B:J,5,FALSE),IF(LEFT(C153,3)="INC",VLOOKUP(VALUE(RIGHT(C153,3)),'INC-COMP'!B:J,5,FALSE),IF(LEFT(C153,3)="ELE",VLOOKUP(VALUE(RIGHT(C153,3)),#REF!,5,FALSE),IF(LEFT(C153,3)="CAB",VLOOKUP(VALUE(RIGHT(C153,3)),#REF!,5,FALSE),IF(LEFT(C153,3)="SEG",VLOOKUP(VALUE(RIGHT(C153,3)),'SEG-COMP'!B:J,5,FALSE),IF(LEFT(C153,3)="CLI",VLOOKUP(VALUE(RIGHT(C153,3)),'CLI-COMP'!B:J,5,FALSE),IF(LEFT(C153,4)="IMPL",VLOOKUP(VALUE(RIGHT(C153,3)),'IMPL-COMP'!B:J,5,FALSE),IF(LEFT(C153,4)="SPDA",VLOOKUP(VALUE(RIGHT(C153,3)),'SPDA-COMP'!B:J,5,FALSE),IF(LEFT(C153,4)="SDAI",VLOOKUP(VALUE(RIGHT(C153,3)),'ADM-COMP'!B:J,5,FALSE),IF(LEFT(C153,5)="IMPER",VLOOKUP(VALUE(RIGHT(C153,3)),'IMPER-COMP'!B:J,5,FALSE),""))))))))))))))))</f>
        <v>M</v>
      </c>
      <c r="F153" s="599">
        <f>ROUND(VLOOKUP(A153,'MEM-LEVANT'!A219:I2731,9,FALSE),2)</f>
        <v>9.8000000000000007</v>
      </c>
      <c r="G153" s="339">
        <f>IF(B153="IOPES",VLOOKUP(C153,'LABOR-SERVIÇOS'!A:H,7,FALSE),IF(B153="SINAPI",VLOOKUP(C153,'SINAPI-SERVIÇOS'!A:H,8,FALSE),IF(LEFT(C153,3)="ARQ",VLOOKUP(VALUE(RIGHT(C153,3)),'ARQ-COMP'!B:J,9,FALSE),IF(LEFT(C153,3)="SCI",VLOOKUP(VALUE(RIGHT(C153,3)),'GAS-COMP'!#REF!,9,FALSE),IF(LEFT(C153,3)="SCE",VLOOKUP(VALUE(RIGHT(C153,3)),'SCE-COMP'!B:J,9,FALSE),IF(LEFT(C153,3)="EST",VLOOKUP(VALUE(RIGHT(C153,3)),'EST-COMP'!B:J,9,FALSE),IF(LEFT(C153,3)="HID",VLOOKUP(VALUE(RIGHT(C153,3)),'HID-COMP'!B:J,9,FALSE),IF(LEFT(C153,3)="INC",VLOOKUP(VALUE(RIGHT(C153,3)),'INC-COMP'!B:J,9,FALSE),IF(LEFT(C153,3)="ELE",VLOOKUP(VALUE(RIGHT(C153,3)),#REF!,9,FALSE),IF(LEFT(C153,3)="CAB",VLOOKUP(VALUE(RIGHT(C153,3)),#REF!,9,FALSE),IF(LEFT(C153,3)="SEG",VLOOKUP(VALUE(RIGHT(C153,3)),'SEG-COMP'!B:J,9,FALSE),IF(LEFT(C153,3)="CLI",VLOOKUP(VALUE(RIGHT(C153,3)),'CLI-COMP'!B:J,9,FALSE),IF(LEFT(C153,4)="IMPL",VLOOKUP(VALUE(RIGHT(C153,3)),'IMPL-COMP'!B:J,9,FALSE),IF(LEFT(C153,4)="SPDA",VLOOKUP(VALUE(RIGHT(C153,3)),'SPDA-COMP'!B:J,9,FALSE),IF(LEFT(C153,4)="SDAI",VLOOKUP(VALUE(RIGHT(C153,3)),'ADM-COMP'!B:J,9,FALSE),IF(LEFT(C153,5)="IMPER",VLOOKUP(VALUE(RIGHT(C153,3)),'IMPER-COMP'!B:J,9,FALSE),""))))))))))))))))</f>
        <v>67.38</v>
      </c>
      <c r="H153" s="339">
        <f t="shared" ref="H153:H154" si="59">ROUND(F153*G153,2)</f>
        <v>660.32</v>
      </c>
      <c r="I153" s="374">
        <f>H153/$H$441</f>
        <v>3.8608639309148657E-5</v>
      </c>
      <c r="J153" s="314"/>
    </row>
    <row r="154" spans="1:10">
      <c r="A154" s="613" t="s">
        <v>35272</v>
      </c>
      <c r="B154" s="337" t="s">
        <v>2879</v>
      </c>
      <c r="C154" s="540">
        <f>130317</f>
        <v>130317</v>
      </c>
      <c r="D154" s="539" t="str">
        <f>IF(B154="IOPES",VLOOKUP(C154,'LABOR-SERVIÇOS'!A:H,5,FALSE),IF(B154="SINAPI",VLOOKUP(C154,'SINAPI-SERVIÇOS'!A:D,2,FALSE),IF(LEFT(C154,3)="ARQ",VLOOKUP(VALUE(RIGHT(C154,3)),'ARQ-COMP'!B:J,4,FALSE),IF(LEFT(C154,3)="SCI",VLOOKUP(VALUE(RIGHT(C154,3)),'GAS-COMP'!#REF!,4,FALSE),IF(LEFT(C154,3)="SCE",VLOOKUP(VALUE(RIGHT(C154,3)),'SCE-COMP'!B:J,4,FALSE),IF(LEFT(C154,3)="EST",VLOOKUP(VALUE(RIGHT(C154,3)),'EST-COMP'!B:J,4,FALSE),IF(LEFT(C154,3)="HID",VLOOKUP(VALUE(RIGHT(C154,3)),'HID-COMP'!B:J,4,FALSE),IF(LEFT(C154,3)="INC",VLOOKUP(VALUE(RIGHT(C154,3)),'INC-COMP'!B:J,4,FALSE),IF(LEFT(C154,3)="ELE",VLOOKUP(VALUE(RIGHT(C154,3)),#REF!,4,FALSE),IF(LEFT(C154,3)="CAB",VLOOKUP(VALUE(RIGHT(C154,3)),#REF!,4,FALSE),IF(LEFT(C154,3)="SEG",VLOOKUP(VALUE(RIGHT(C154,3)),'SEG-COMP'!B:J,4,FALSE),IF(LEFT(C154,3)="CLI",VLOOKUP(VALUE(RIGHT(C154,3)),'CLI-COMP'!B:J,4,FALSE),IF(LEFT(C154,4)="IMPL",VLOOKUP(VALUE(RIGHT(C154,3)),'IMPL-COMP'!B:J,4,FALSE),IF(LEFT(C154,4)="SPDA",VLOOKUP(VALUE(RIGHT(C154,3)),'SPDA-COMP'!B:J,4,FALSE),IF(LEFT(C154,4)="SDAI",VLOOKUP(VALUE(RIGHT(C154,3)),'ADM-COMP'!B:J,4,FALSE),IF(LEFT(C154,5)="IMPER",VLOOKUP(VALUE(RIGHT(C154,3)),'IMPER-COMP'!B:J,4,FALSE),""))))))))))))))))</f>
        <v>PEITORIL DE GRANITO CINZA POLIDO, 15 CM, ESP. 3CM</v>
      </c>
      <c r="E154" s="338" t="str">
        <f>IF(B154="IOPES",VLOOKUP(C154,'LABOR-SERVIÇOS'!A:H,6,FALSE),IF(B154="SINAPI",VLOOKUP(C154,'SINAPI-SERVIÇOS'!A:D,3,FALSE),IF(LEFT(C154,3)="ARQ",VLOOKUP(VALUE(RIGHT(C154,3)),'ARQ-COMP'!B:J,5,FALSE),IF(LEFT(C154,3)="SCI",VLOOKUP(VALUE(RIGHT(C154,3)),'GAS-COMP'!#REF!,5,FALSE),IF(LEFT(C154,3)="SCE",VLOOKUP(VALUE(RIGHT(C154,3)),'SCE-COMP'!B:J,5,FALSE),IF(LEFT(C154,3)="EST",VLOOKUP(VALUE(RIGHT(C154,3)),'EST-COMP'!B:J,5,FALSE),IF(LEFT(C154,3)="HID",VLOOKUP(VALUE(RIGHT(C154,3)),'HID-COMP'!B:J,5,FALSE),IF(LEFT(C154,3)="INC",VLOOKUP(VALUE(RIGHT(C154,3)),'INC-COMP'!B:J,5,FALSE),IF(LEFT(C154,3)="ELE",VLOOKUP(VALUE(RIGHT(C154,3)),#REF!,5,FALSE),IF(LEFT(C154,3)="CAB",VLOOKUP(VALUE(RIGHT(C154,3)),#REF!,5,FALSE),IF(LEFT(C154,3)="SEG",VLOOKUP(VALUE(RIGHT(C154,3)),'SEG-COMP'!B:J,5,FALSE),IF(LEFT(C154,3)="CLI",VLOOKUP(VALUE(RIGHT(C154,3)),'CLI-COMP'!B:J,5,FALSE),IF(LEFT(C154,4)="IMPL",VLOOKUP(VALUE(RIGHT(C154,3)),'IMPL-COMP'!B:J,5,FALSE),IF(LEFT(C154,4)="SPDA",VLOOKUP(VALUE(RIGHT(C154,3)),'SPDA-COMP'!B:J,5,FALSE),IF(LEFT(C154,4)="SDAI",VLOOKUP(VALUE(RIGHT(C154,3)),'ADM-COMP'!B:J,5,FALSE),IF(LEFT(C154,5)="IMPER",VLOOKUP(VALUE(RIGHT(C154,3)),'IMPER-COMP'!B:J,5,FALSE),""))))))))))))))))</f>
        <v>M</v>
      </c>
      <c r="F154" s="599">
        <f>ROUND(VLOOKUP(A154,'MEM-LEVANT'!A220:I2732,9,FALSE),2)</f>
        <v>251.2</v>
      </c>
      <c r="G154" s="339">
        <f>IF(B154="IOPES",VLOOKUP(C154,'LABOR-SERVIÇOS'!A:H,7,FALSE),IF(B154="SINAPI",VLOOKUP(C154,'SINAPI-SERVIÇOS'!A:H,8,FALSE),IF(LEFT(C154,3)="ARQ",VLOOKUP(VALUE(RIGHT(C154,3)),'ARQ-COMP'!B:J,9,FALSE),IF(LEFT(C154,3)="SCI",VLOOKUP(VALUE(RIGHT(C154,3)),'GAS-COMP'!#REF!,9,FALSE),IF(LEFT(C154,3)="SCE",VLOOKUP(VALUE(RIGHT(C154,3)),'SCE-COMP'!B:J,9,FALSE),IF(LEFT(C154,3)="EST",VLOOKUP(VALUE(RIGHT(C154,3)),'EST-COMP'!B:J,9,FALSE),IF(LEFT(C154,3)="HID",VLOOKUP(VALUE(RIGHT(C154,3)),'HID-COMP'!B:J,9,FALSE),IF(LEFT(C154,3)="INC",VLOOKUP(VALUE(RIGHT(C154,3)),'INC-COMP'!B:J,9,FALSE),IF(LEFT(C154,3)="ELE",VLOOKUP(VALUE(RIGHT(C154,3)),#REF!,9,FALSE),IF(LEFT(C154,3)="CAB",VLOOKUP(VALUE(RIGHT(C154,3)),#REF!,9,FALSE),IF(LEFT(C154,3)="SEG",VLOOKUP(VALUE(RIGHT(C154,3)),'SEG-COMP'!B:J,9,FALSE),IF(LEFT(C154,3)="CLI",VLOOKUP(VALUE(RIGHT(C154,3)),'CLI-COMP'!B:J,9,FALSE),IF(LEFT(C154,4)="IMPL",VLOOKUP(VALUE(RIGHT(C154,3)),'IMPL-COMP'!B:J,9,FALSE),IF(LEFT(C154,4)="SPDA",VLOOKUP(VALUE(RIGHT(C154,3)),'SPDA-COMP'!B:J,9,FALSE),IF(LEFT(C154,4)="SDAI",VLOOKUP(VALUE(RIGHT(C154,3)),'ADM-COMP'!B:J,9,FALSE),IF(LEFT(C154,5)="IMPER",VLOOKUP(VALUE(RIGHT(C154,3)),'IMPER-COMP'!B:J,9,FALSE),""))))))))))))))))</f>
        <v>109.49</v>
      </c>
      <c r="H154" s="339">
        <f t="shared" si="59"/>
        <v>27503.89</v>
      </c>
      <c r="I154" s="374">
        <f>H154/$H$441</f>
        <v>1.6081411567247705E-3</v>
      </c>
      <c r="J154" s="314"/>
    </row>
    <row r="155" spans="1:10" ht="66">
      <c r="A155" s="613" t="s">
        <v>35273</v>
      </c>
      <c r="B155" s="337" t="s">
        <v>2879</v>
      </c>
      <c r="C155" s="540">
        <f>130322</f>
        <v>130322</v>
      </c>
      <c r="D155" s="539" t="str">
        <f>IF(B155="IOPES",VLOOKUP(C155,'LABOR-SERVIÇOS'!A:H,5,FALSE),IF(B155="SINAPI",VLOOKUP(C155,'SINAPI-SERVIÇOS'!A:D,2,FALSE),IF(LEFT(C155,3)="ARQ",VLOOKUP(VALUE(RIGHT(C155,3)),'ARQ-COMP'!B:J,4,FALSE),IF(LEFT(C155,3)="SCI",VLOOKUP(VALUE(RIGHT(C155,3)),'GAS-COMP'!#REF!,4,FALSE),IF(LEFT(C155,3)="SCE",VLOOKUP(VALUE(RIGHT(C155,3)),'SCE-COMP'!B:J,4,FALSE),IF(LEFT(C155,3)="EST",VLOOKUP(VALUE(RIGHT(C155,3)),'EST-COMP'!B:J,4,FALSE),IF(LEFT(C155,3)="HID",VLOOKUP(VALUE(RIGHT(C155,3)),'HID-COMP'!B:J,4,FALSE),IF(LEFT(C155,3)="INC",VLOOKUP(VALUE(RIGHT(C155,3)),'INC-COMP'!B:J,4,FALSE),IF(LEFT(C155,3)="ELE",VLOOKUP(VALUE(RIGHT(C155,3)),#REF!,4,FALSE),IF(LEFT(C155,3)="CAB",VLOOKUP(VALUE(RIGHT(C155,3)),#REF!,4,FALSE),IF(LEFT(C155,3)="SEG",VLOOKUP(VALUE(RIGHT(C155,3)),'SEG-COMP'!B:J,4,FALSE),IF(LEFT(C155,3)="CLI",VLOOKUP(VALUE(RIGHT(C155,3)),'CLI-COMP'!B:J,4,FALSE),IF(LEFT(C155,4)="IMPL",VLOOKUP(VALUE(RIGHT(C155,3)),'IMPL-COMP'!B:J,4,FALSE),IF(LEFT(C155,4)="SPDA",VLOOKUP(VALUE(RIGHT(C155,3)),'SPDA-COMP'!B:J,4,FALSE),IF(LEFT(C155,4)="SDAI",VLOOKUP(VALUE(RIGHT(C155,3)),'ADM-COMP'!B:J,4,FALSE),IF(LEFT(C155,5)="IMPER",VLOOKUP(VALUE(RIGHT(C155,3)),'IMPER-COMP'!B:J,4,FALSE),""))))))))))))))))</f>
        <v>RODAPÉ DE ARGAMASSA DE ALTA RESISTÊNCIA TIPO GRANILITE OU EQUIVALENTE DE QUALIDADE COMPROVADA, ALTURA DE 10 CM E ESPESSURA DE 10 MM, COM CANTOS BOLEADOS, EXECUTADO COM CIMENTO E GRANITINA GRANA N.1, INCLUSIVE POLIMENTO</v>
      </c>
      <c r="E155" s="338" t="str">
        <f>IF(B155="IOPES",VLOOKUP(C155,'LABOR-SERVIÇOS'!A:H,6,FALSE),IF(B155="SINAPI",VLOOKUP(C155,'SINAPI-SERVIÇOS'!A:D,3,FALSE),IF(LEFT(C155,3)="ARQ",VLOOKUP(VALUE(RIGHT(C155,3)),'ARQ-COMP'!B:J,5,FALSE),IF(LEFT(C155,3)="SCI",VLOOKUP(VALUE(RIGHT(C155,3)),'GAS-COMP'!#REF!,5,FALSE),IF(LEFT(C155,3)="SCE",VLOOKUP(VALUE(RIGHT(C155,3)),'SCE-COMP'!B:J,5,FALSE),IF(LEFT(C155,3)="EST",VLOOKUP(VALUE(RIGHT(C155,3)),'EST-COMP'!B:J,5,FALSE),IF(LEFT(C155,3)="HID",VLOOKUP(VALUE(RIGHT(C155,3)),'HID-COMP'!B:J,5,FALSE),IF(LEFT(C155,3)="INC",VLOOKUP(VALUE(RIGHT(C155,3)),'INC-COMP'!B:J,5,FALSE),IF(LEFT(C155,3)="ELE",VLOOKUP(VALUE(RIGHT(C155,3)),#REF!,5,FALSE),IF(LEFT(C155,3)="CAB",VLOOKUP(VALUE(RIGHT(C155,3)),#REF!,5,FALSE),IF(LEFT(C155,3)="SEG",VLOOKUP(VALUE(RIGHT(C155,3)),'SEG-COMP'!B:J,5,FALSE),IF(LEFT(C155,3)="CLI",VLOOKUP(VALUE(RIGHT(C155,3)),'CLI-COMP'!B:J,5,FALSE),IF(LEFT(C155,4)="IMPL",VLOOKUP(VALUE(RIGHT(C155,3)),'IMPL-COMP'!B:J,5,FALSE),IF(LEFT(C155,4)="SPDA",VLOOKUP(VALUE(RIGHT(C155,3)),'SPDA-COMP'!B:J,5,FALSE),IF(LEFT(C155,4)="SDAI",VLOOKUP(VALUE(RIGHT(C155,3)),'ADM-COMP'!B:J,5,FALSE),IF(LEFT(C155,5)="IMPER",VLOOKUP(VALUE(RIGHT(C155,3)),'IMPER-COMP'!B:J,5,FALSE),""))))))))))))))))</f>
        <v>M</v>
      </c>
      <c r="F155" s="599">
        <f>ROUND(VLOOKUP(A155,'MEM-LEVANT'!A227:I2733,9,FALSE),2)</f>
        <v>651.20000000000005</v>
      </c>
      <c r="G155" s="339">
        <f>IF(B155="IOPES",VLOOKUP(C155,'LABOR-SERVIÇOS'!A:H,7,FALSE),IF(B155="SINAPI",VLOOKUP(C155,'SINAPI-SERVIÇOS'!A:H,8,FALSE),IF(LEFT(C155,3)="ARQ",VLOOKUP(VALUE(RIGHT(C155,3)),'ARQ-COMP'!B:J,9,FALSE),IF(LEFT(C155,3)="SCI",VLOOKUP(VALUE(RIGHT(C155,3)),'GAS-COMP'!#REF!,9,FALSE),IF(LEFT(C155,3)="SCE",VLOOKUP(VALUE(RIGHT(C155,3)),'SCE-COMP'!B:J,9,FALSE),IF(LEFT(C155,3)="EST",VLOOKUP(VALUE(RIGHT(C155,3)),'EST-COMP'!B:J,9,FALSE),IF(LEFT(C155,3)="HID",VLOOKUP(VALUE(RIGHT(C155,3)),'HID-COMP'!B:J,9,FALSE),IF(LEFT(C155,3)="INC",VLOOKUP(VALUE(RIGHT(C155,3)),'INC-COMP'!B:J,9,FALSE),IF(LEFT(C155,3)="ELE",VLOOKUP(VALUE(RIGHT(C155,3)),#REF!,9,FALSE),IF(LEFT(C155,3)="CAB",VLOOKUP(VALUE(RIGHT(C155,3)),#REF!,9,FALSE),IF(LEFT(C155,3)="SEG",VLOOKUP(VALUE(RIGHT(C155,3)),'SEG-COMP'!B:J,9,FALSE),IF(LEFT(C155,3)="CLI",VLOOKUP(VALUE(RIGHT(C155,3)),'CLI-COMP'!B:J,9,FALSE),IF(LEFT(C155,4)="IMPL",VLOOKUP(VALUE(RIGHT(C155,3)),'IMPL-COMP'!B:J,9,FALSE),IF(LEFT(C155,4)="SPDA",VLOOKUP(VALUE(RIGHT(C155,3)),'SPDA-COMP'!B:J,9,FALSE),IF(LEFT(C155,4)="SDAI",VLOOKUP(VALUE(RIGHT(C155,3)),'ADM-COMP'!B:J,9,FALSE),IF(LEFT(C155,5)="IMPER",VLOOKUP(VALUE(RIGHT(C155,3)),'IMPER-COMP'!B:J,9,FALSE),""))))))))))))))))</f>
        <v>43.33</v>
      </c>
      <c r="H155" s="339">
        <f t="shared" ref="H155" si="60">ROUND(F155*G155,2)</f>
        <v>28216.5</v>
      </c>
      <c r="I155" s="374">
        <f>H155/$H$441</f>
        <v>1.6498071708665389E-3</v>
      </c>
      <c r="J155" s="314"/>
    </row>
    <row r="156" spans="1:10">
      <c r="A156" s="570"/>
      <c r="B156" s="569"/>
      <c r="C156" s="569"/>
      <c r="D156" s="571" t="s">
        <v>27423</v>
      </c>
      <c r="E156" s="572"/>
      <c r="F156" s="600"/>
      <c r="G156" s="573"/>
      <c r="H156" s="574">
        <f>SUM(H148:H155)</f>
        <v>877584.21</v>
      </c>
      <c r="I156" s="575">
        <f>H156/$H$441</f>
        <v>5.1311988471186946E-2</v>
      </c>
      <c r="J156" s="314"/>
    </row>
    <row r="157" spans="1:10">
      <c r="A157" s="613"/>
      <c r="B157" s="337"/>
      <c r="C157" s="337"/>
      <c r="D157" s="539"/>
      <c r="E157" s="338"/>
      <c r="F157" s="599"/>
      <c r="G157" s="339"/>
      <c r="H157" s="339"/>
      <c r="I157" s="374"/>
      <c r="J157" s="314"/>
    </row>
    <row r="158" spans="1:10">
      <c r="A158" s="561" t="s">
        <v>15757</v>
      </c>
      <c r="B158" s="562"/>
      <c r="C158" s="563"/>
      <c r="D158" s="564" t="s">
        <v>27018</v>
      </c>
      <c r="E158" s="565"/>
      <c r="F158" s="597"/>
      <c r="G158" s="566"/>
      <c r="H158" s="567"/>
      <c r="I158" s="568"/>
      <c r="J158" s="314"/>
    </row>
    <row r="159" spans="1:10">
      <c r="A159" s="553" t="s">
        <v>9757</v>
      </c>
      <c r="B159" s="554"/>
      <c r="C159" s="555"/>
      <c r="D159" s="556" t="s">
        <v>27416</v>
      </c>
      <c r="E159" s="557"/>
      <c r="F159" s="598"/>
      <c r="G159" s="558"/>
      <c r="H159" s="559"/>
      <c r="I159" s="560"/>
      <c r="J159" s="314"/>
    </row>
    <row r="160" spans="1:10" ht="66">
      <c r="A160" s="613" t="s">
        <v>10357</v>
      </c>
      <c r="B160" s="337" t="s">
        <v>2879</v>
      </c>
      <c r="C160" s="540">
        <f>140208</f>
        <v>140208</v>
      </c>
      <c r="D160" s="539" t="str">
        <f>IF(B160="IOPES",VLOOKUP(C160,'LABOR-SERVIÇOS'!A:H,5,FALSE),IF(B160="SINAPI",VLOOKUP(C160,'SINAPI-SERVIÇOS'!A:D,2,FALSE),IF(LEFT(C160,3)="ARQ",VLOOKUP(VALUE(RIGHT(C160,3)),'ARQ-COMP'!B:J,4,FALSE),IF(LEFT(C160,3)="SCI",VLOOKUP(VALUE(RIGHT(C160,3)),'GAS-COMP'!#REF!,4,FALSE),IF(LEFT(C160,3)="SCE",VLOOKUP(VALUE(RIGHT(C160,3)),'SCE-COMP'!B:J,4,FALSE),IF(LEFT(C160,3)="EST",VLOOKUP(VALUE(RIGHT(C160,3)),'EST-COMP'!B:J,4,FALSE),IF(LEFT(C160,3)="HID",VLOOKUP(VALUE(RIGHT(C160,3)),'HID-COMP'!B:J,4,FALSE),IF(LEFT(C160,3)="INC",VLOOKUP(VALUE(RIGHT(C160,3)),'INC-COMP'!B:J,4,FALSE),IF(LEFT(C160,3)="ELE",VLOOKUP(VALUE(RIGHT(C160,3)),#REF!,4,FALSE),IF(LEFT(C160,3)="CAB",VLOOKUP(VALUE(RIGHT(C160,3)),#REF!,4,FALSE),IF(LEFT(C160,3)="SEG",VLOOKUP(VALUE(RIGHT(C160,3)),'SEG-COMP'!B:J,4,FALSE),IF(LEFT(C160,3)="CLI",VLOOKUP(VALUE(RIGHT(C160,3)),'CLI-COMP'!B:J,4,FALSE),IF(LEFT(C160,4)="IMPL",VLOOKUP(VALUE(RIGHT(C160,3)),'IMPL-COMP'!B:J,4,FALSE),IF(LEFT(C160,4)="SPDA",VLOOKUP(VALUE(RIGHT(C160,3)),'SPDA-COMP'!B:J,4,FALSE),IF(LEFT(C160,4)="SDAI",VLOOKUP(VALUE(RIGHT(C160,3)),'ADM-COMP'!B:J,4,FALSE),IF(LEFT(C160,5)="IMPER",VLOOKUP(VALUE(RIGHT(C160,3)),'IMPER-COMP'!B:J,4,FALSE),""))))))))))))))))</f>
        <v>PADRÃO ENTRADA DÁGUA COM CAIXA ENTERRADA PARA HIDRÔMETRO COM DIÂMETRO DE 1" - PADRÃO 2B DA CESAN. CAIXA EM ALVENARIA 60X80X40CM E COM TAMPA ARTICULADA DE FERRO FUNDIDO, REGISTRO E CONEXÕES PARA INSTALAÇÃO DE HIDRÔMETRO. CONFERIR DETALHE</v>
      </c>
      <c r="E160" s="338" t="str">
        <f>IF(B160="IOPES",VLOOKUP(C160,'LABOR-SERVIÇOS'!A:H,6,FALSE),IF(B160="SINAPI",VLOOKUP(C160,'SINAPI-SERVIÇOS'!A:D,3,FALSE),IF(LEFT(C160,3)="ARQ",VLOOKUP(VALUE(RIGHT(C160,3)),'ARQ-COMP'!B:J,5,FALSE),IF(LEFT(C160,3)="SCI",VLOOKUP(VALUE(RIGHT(C160,3)),'GAS-COMP'!#REF!,5,FALSE),IF(LEFT(C160,3)="SCE",VLOOKUP(VALUE(RIGHT(C160,3)),'SCE-COMP'!B:J,5,FALSE),IF(LEFT(C160,3)="EST",VLOOKUP(VALUE(RIGHT(C160,3)),'EST-COMP'!B:J,5,FALSE),IF(LEFT(C160,3)="HID",VLOOKUP(VALUE(RIGHT(C160,3)),'HID-COMP'!B:J,5,FALSE),IF(LEFT(C160,3)="INC",VLOOKUP(VALUE(RIGHT(C160,3)),'INC-COMP'!B:J,5,FALSE),IF(LEFT(C160,3)="ELE",VLOOKUP(VALUE(RIGHT(C160,3)),#REF!,5,FALSE),IF(LEFT(C160,3)="CAB",VLOOKUP(VALUE(RIGHT(C160,3)),#REF!,5,FALSE),IF(LEFT(C160,3)="SEG",VLOOKUP(VALUE(RIGHT(C160,3)),'SEG-COMP'!B:J,5,FALSE),IF(LEFT(C160,3)="CLI",VLOOKUP(VALUE(RIGHT(C160,3)),'CLI-COMP'!B:J,5,FALSE),IF(LEFT(C160,4)="IMPL",VLOOKUP(VALUE(RIGHT(C160,3)),'IMPL-COMP'!B:J,5,FALSE),IF(LEFT(C160,4)="SPDA",VLOOKUP(VALUE(RIGHT(C160,3)),'SPDA-COMP'!B:J,5,FALSE),IF(LEFT(C160,4)="SDAI",VLOOKUP(VALUE(RIGHT(C160,3)),'ADM-COMP'!B:J,5,FALSE),IF(LEFT(C160,5)="IMPER",VLOOKUP(VALUE(RIGHT(C160,3)),'IMPER-COMP'!B:J,5,FALSE),""))))))))))))))))</f>
        <v>UND</v>
      </c>
      <c r="F160" s="599">
        <f>ROUND(VLOOKUP(A160,'MEM-LEVANT'!A232:I2738,9,FALSE),2)</f>
        <v>1</v>
      </c>
      <c r="G160" s="339">
        <f>IF(B160="IOPES",VLOOKUP(C160,'LABOR-SERVIÇOS'!A:H,7,FALSE),IF(B160="SINAPI",VLOOKUP(C160,'SINAPI-SERVIÇOS'!A:H,8,FALSE),IF(LEFT(C160,3)="ARQ",VLOOKUP(VALUE(RIGHT(C160,3)),'ARQ-COMP'!B:J,9,FALSE),IF(LEFT(C160,3)="SCI",VLOOKUP(VALUE(RIGHT(C160,3)),'GAS-COMP'!#REF!,9,FALSE),IF(LEFT(C160,3)="SCE",VLOOKUP(VALUE(RIGHT(C160,3)),'SCE-COMP'!B:J,9,FALSE),IF(LEFT(C160,3)="EST",VLOOKUP(VALUE(RIGHT(C160,3)),'EST-COMP'!B:J,9,FALSE),IF(LEFT(C160,3)="HID",VLOOKUP(VALUE(RIGHT(C160,3)),'HID-COMP'!B:J,9,FALSE),IF(LEFT(C160,3)="INC",VLOOKUP(VALUE(RIGHT(C160,3)),'INC-COMP'!B:J,9,FALSE),IF(LEFT(C160,3)="ELE",VLOOKUP(VALUE(RIGHT(C160,3)),#REF!,9,FALSE),IF(LEFT(C160,3)="CAB",VLOOKUP(VALUE(RIGHT(C160,3)),#REF!,9,FALSE),IF(LEFT(C160,3)="SEG",VLOOKUP(VALUE(RIGHT(C160,3)),'SEG-COMP'!B:J,9,FALSE),IF(LEFT(C160,3)="CLI",VLOOKUP(VALUE(RIGHT(C160,3)),'CLI-COMP'!B:J,9,FALSE),IF(LEFT(C160,4)="IMPL",VLOOKUP(VALUE(RIGHT(C160,3)),'IMPL-COMP'!B:J,9,FALSE),IF(LEFT(C160,4)="SPDA",VLOOKUP(VALUE(RIGHT(C160,3)),'SPDA-COMP'!B:J,9,FALSE),IF(LEFT(C160,4)="SDAI",VLOOKUP(VALUE(RIGHT(C160,3)),'ADM-COMP'!B:J,9,FALSE),IF(LEFT(C160,5)="IMPER",VLOOKUP(VALUE(RIGHT(C160,3)),'IMPER-COMP'!B:J,9,FALSE),""))))))))))))))))</f>
        <v>1024.68</v>
      </c>
      <c r="H160" s="339">
        <f t="shared" ref="H160:H167" si="61">ROUND(F160*G160,2)</f>
        <v>1024.68</v>
      </c>
      <c r="I160" s="374">
        <f t="shared" ref="I160:I168" si="62">H160/$H$441</f>
        <v>5.9912618923095539E-5</v>
      </c>
      <c r="J160" s="314"/>
    </row>
    <row r="161" spans="1:10" ht="26.4">
      <c r="A161" s="613" t="s">
        <v>35274</v>
      </c>
      <c r="B161" s="337" t="s">
        <v>2879</v>
      </c>
      <c r="C161" s="540">
        <f>140701</f>
        <v>140701</v>
      </c>
      <c r="D161" s="539" t="str">
        <f>IF(B161="IOPES",VLOOKUP(C161,'LABOR-SERVIÇOS'!A:H,5,FALSE),IF(B161="SINAPI",VLOOKUP(C161,'SINAPI-SERVIÇOS'!A:D,2,FALSE),IF(LEFT(C161,3)="ARQ",VLOOKUP(VALUE(RIGHT(C161,3)),'ARQ-COMP'!B:J,4,FALSE),IF(LEFT(C161,3)="SCI",VLOOKUP(VALUE(RIGHT(C161,3)),'GAS-COMP'!#REF!,4,FALSE),IF(LEFT(C161,3)="SCE",VLOOKUP(VALUE(RIGHT(C161,3)),'SCE-COMP'!B:J,4,FALSE),IF(LEFT(C161,3)="EST",VLOOKUP(VALUE(RIGHT(C161,3)),'EST-COMP'!B:J,4,FALSE),IF(LEFT(C161,3)="HID",VLOOKUP(VALUE(RIGHT(C161,3)),'HID-COMP'!B:J,4,FALSE),IF(LEFT(C161,3)="INC",VLOOKUP(VALUE(RIGHT(C161,3)),'INC-COMP'!B:J,4,FALSE),IF(LEFT(C161,3)="ELE",VLOOKUP(VALUE(RIGHT(C161,3)),#REF!,4,FALSE),IF(LEFT(C161,3)="CAB",VLOOKUP(VALUE(RIGHT(C161,3)),#REF!,4,FALSE),IF(LEFT(C161,3)="SEG",VLOOKUP(VALUE(RIGHT(C161,3)),'SEG-COMP'!B:J,4,FALSE),IF(LEFT(C161,3)="CLI",VLOOKUP(VALUE(RIGHT(C161,3)),'CLI-COMP'!B:J,4,FALSE),IF(LEFT(C161,4)="IMPL",VLOOKUP(VALUE(RIGHT(C161,3)),'IMPL-COMP'!B:J,4,FALSE),IF(LEFT(C161,4)="SPDA",VLOOKUP(VALUE(RIGHT(C161,3)),'SPDA-COMP'!B:J,4,FALSE),IF(LEFT(C161,4)="SDAI",VLOOKUP(VALUE(RIGHT(C161,3)),'ADM-COMP'!B:J,4,FALSE),IF(LEFT(C161,5)="IMPER",VLOOKUP(VALUE(RIGHT(C161,3)),'IMPER-COMP'!B:J,4,FALSE),""))))))))))))))))</f>
        <v>PONTO DE ÁGUA FRIA (LAVATÓRIO, TANQUE, PIA DE COZINHA, ETC...)</v>
      </c>
      <c r="E161" s="338" t="str">
        <f>IF(B161="IOPES",VLOOKUP(C161,'LABOR-SERVIÇOS'!A:H,6,FALSE),IF(B161="SINAPI",VLOOKUP(C161,'SINAPI-SERVIÇOS'!A:D,3,FALSE),IF(LEFT(C161,3)="ARQ",VLOOKUP(VALUE(RIGHT(C161,3)),'ARQ-COMP'!B:J,5,FALSE),IF(LEFT(C161,3)="SCI",VLOOKUP(VALUE(RIGHT(C161,3)),'GAS-COMP'!#REF!,5,FALSE),IF(LEFT(C161,3)="SCE",VLOOKUP(VALUE(RIGHT(C161,3)),'SCE-COMP'!B:J,5,FALSE),IF(LEFT(C161,3)="EST",VLOOKUP(VALUE(RIGHT(C161,3)),'EST-COMP'!B:J,5,FALSE),IF(LEFT(C161,3)="HID",VLOOKUP(VALUE(RIGHT(C161,3)),'HID-COMP'!B:J,5,FALSE),IF(LEFT(C161,3)="INC",VLOOKUP(VALUE(RIGHT(C161,3)),'INC-COMP'!B:J,5,FALSE),IF(LEFT(C161,3)="ELE",VLOOKUP(VALUE(RIGHT(C161,3)),#REF!,5,FALSE),IF(LEFT(C161,3)="CAB",VLOOKUP(VALUE(RIGHT(C161,3)),#REF!,5,FALSE),IF(LEFT(C161,3)="SEG",VLOOKUP(VALUE(RIGHT(C161,3)),'SEG-COMP'!B:J,5,FALSE),IF(LEFT(C161,3)="CLI",VLOOKUP(VALUE(RIGHT(C161,3)),'CLI-COMP'!B:J,5,FALSE),IF(LEFT(C161,4)="IMPL",VLOOKUP(VALUE(RIGHT(C161,3)),'IMPL-COMP'!B:J,5,FALSE),IF(LEFT(C161,4)="SPDA",VLOOKUP(VALUE(RIGHT(C161,3)),'SPDA-COMP'!B:J,5,FALSE),IF(LEFT(C161,4)="SDAI",VLOOKUP(VALUE(RIGHT(C161,3)),'ADM-COMP'!B:J,5,FALSE),IF(LEFT(C161,5)="IMPER",VLOOKUP(VALUE(RIGHT(C161,3)),'IMPER-COMP'!B:J,5,FALSE),""))))))))))))))))</f>
        <v>PT</v>
      </c>
      <c r="F161" s="599">
        <f>ROUND(VLOOKUP(A161,'MEM-LEVANT'!A233:I2739,9,FALSE),2)</f>
        <v>32</v>
      </c>
      <c r="G161" s="339">
        <f>IF(B161="IOPES",VLOOKUP(C161,'LABOR-SERVIÇOS'!A:H,7,FALSE),IF(B161="SINAPI",VLOOKUP(C161,'SINAPI-SERVIÇOS'!A:H,8,FALSE),IF(LEFT(C161,3)="ARQ",VLOOKUP(VALUE(RIGHT(C161,3)),'ARQ-COMP'!B:J,9,FALSE),IF(LEFT(C161,3)="SCI",VLOOKUP(VALUE(RIGHT(C161,3)),'GAS-COMP'!#REF!,9,FALSE),IF(LEFT(C161,3)="SCE",VLOOKUP(VALUE(RIGHT(C161,3)),'SCE-COMP'!B:J,9,FALSE),IF(LEFT(C161,3)="EST",VLOOKUP(VALUE(RIGHT(C161,3)),'EST-COMP'!B:J,9,FALSE),IF(LEFT(C161,3)="HID",VLOOKUP(VALUE(RIGHT(C161,3)),'HID-COMP'!B:J,9,FALSE),IF(LEFT(C161,3)="INC",VLOOKUP(VALUE(RIGHT(C161,3)),'INC-COMP'!B:J,9,FALSE),IF(LEFT(C161,3)="ELE",VLOOKUP(VALUE(RIGHT(C161,3)),#REF!,9,FALSE),IF(LEFT(C161,3)="CAB",VLOOKUP(VALUE(RIGHT(C161,3)),#REF!,9,FALSE),IF(LEFT(C161,3)="SEG",VLOOKUP(VALUE(RIGHT(C161,3)),'SEG-COMP'!B:J,9,FALSE),IF(LEFT(C161,3)="CLI",VLOOKUP(VALUE(RIGHT(C161,3)),'CLI-COMP'!B:J,9,FALSE),IF(LEFT(C161,4)="IMPL",VLOOKUP(VALUE(RIGHT(C161,3)),'IMPL-COMP'!B:J,9,FALSE),IF(LEFT(C161,4)="SPDA",VLOOKUP(VALUE(RIGHT(C161,3)),'SPDA-COMP'!B:J,9,FALSE),IF(LEFT(C161,4)="SDAI",VLOOKUP(VALUE(RIGHT(C161,3)),'ADM-COMP'!B:J,9,FALSE),IF(LEFT(C161,5)="IMPER",VLOOKUP(VALUE(RIGHT(C161,3)),'IMPER-COMP'!B:J,9,FALSE),""))))))))))))))))</f>
        <v>152.86000000000001</v>
      </c>
      <c r="H161" s="339">
        <f t="shared" si="61"/>
        <v>4891.5200000000004</v>
      </c>
      <c r="I161" s="374">
        <f t="shared" si="62"/>
        <v>2.8600516621257396E-4</v>
      </c>
      <c r="J161" s="314"/>
    </row>
    <row r="162" spans="1:10" ht="26.4">
      <c r="A162" s="613" t="s">
        <v>35275</v>
      </c>
      <c r="B162" s="337" t="s">
        <v>2879</v>
      </c>
      <c r="C162" s="540">
        <f>140702</f>
        <v>140702</v>
      </c>
      <c r="D162" s="539" t="str">
        <f>IF(B162="IOPES",VLOOKUP(C162,'LABOR-SERVIÇOS'!A:H,5,FALSE),IF(B162="SINAPI",VLOOKUP(C162,'SINAPI-SERVIÇOS'!A:D,2,FALSE),IF(LEFT(C162,3)="ARQ",VLOOKUP(VALUE(RIGHT(C162,3)),'ARQ-COMP'!B:J,4,FALSE),IF(LEFT(C162,3)="SCI",VLOOKUP(VALUE(RIGHT(C162,3)),'GAS-COMP'!#REF!,4,FALSE),IF(LEFT(C162,3)="SCE",VLOOKUP(VALUE(RIGHT(C162,3)),'SCE-COMP'!B:J,4,FALSE),IF(LEFT(C162,3)="EST",VLOOKUP(VALUE(RIGHT(C162,3)),'EST-COMP'!B:J,4,FALSE),IF(LEFT(C162,3)="HID",VLOOKUP(VALUE(RIGHT(C162,3)),'HID-COMP'!B:J,4,FALSE),IF(LEFT(C162,3)="INC",VLOOKUP(VALUE(RIGHT(C162,3)),'INC-COMP'!B:J,4,FALSE),IF(LEFT(C162,3)="ELE",VLOOKUP(VALUE(RIGHT(C162,3)),#REF!,4,FALSE),IF(LEFT(C162,3)="CAB",VLOOKUP(VALUE(RIGHT(C162,3)),#REF!,4,FALSE),IF(LEFT(C162,3)="SEG",VLOOKUP(VALUE(RIGHT(C162,3)),'SEG-COMP'!B:J,4,FALSE),IF(LEFT(C162,3)="CLI",VLOOKUP(VALUE(RIGHT(C162,3)),'CLI-COMP'!B:J,4,FALSE),IF(LEFT(C162,4)="IMPL",VLOOKUP(VALUE(RIGHT(C162,3)),'IMPL-COMP'!B:J,4,FALSE),IF(LEFT(C162,4)="SPDA",VLOOKUP(VALUE(RIGHT(C162,3)),'SPDA-COMP'!B:J,4,FALSE),IF(LEFT(C162,4)="SDAI",VLOOKUP(VALUE(RIGHT(C162,3)),'ADM-COMP'!B:J,4,FALSE),IF(LEFT(C162,5)="IMPER",VLOOKUP(VALUE(RIGHT(C162,3)),'IMPER-COMP'!B:J,4,FALSE),""))))))))))))))))</f>
        <v>PONTO COM REGISTRO DE PRESSÃO (CHUVEIRO, CAIXA DE DESCARGA, ETC...)</v>
      </c>
      <c r="E162" s="338" t="str">
        <f>IF(B162="IOPES",VLOOKUP(C162,'LABOR-SERVIÇOS'!A:H,6,FALSE),IF(B162="SINAPI",VLOOKUP(C162,'SINAPI-SERVIÇOS'!A:D,3,FALSE),IF(LEFT(C162,3)="ARQ",VLOOKUP(VALUE(RIGHT(C162,3)),'ARQ-COMP'!B:J,5,FALSE),IF(LEFT(C162,3)="SCI",VLOOKUP(VALUE(RIGHT(C162,3)),'GAS-COMP'!#REF!,5,FALSE),IF(LEFT(C162,3)="SCE",VLOOKUP(VALUE(RIGHT(C162,3)),'SCE-COMP'!B:J,5,FALSE),IF(LEFT(C162,3)="EST",VLOOKUP(VALUE(RIGHT(C162,3)),'EST-COMP'!B:J,5,FALSE),IF(LEFT(C162,3)="HID",VLOOKUP(VALUE(RIGHT(C162,3)),'HID-COMP'!B:J,5,FALSE),IF(LEFT(C162,3)="INC",VLOOKUP(VALUE(RIGHT(C162,3)),'INC-COMP'!B:J,5,FALSE),IF(LEFT(C162,3)="ELE",VLOOKUP(VALUE(RIGHT(C162,3)),#REF!,5,FALSE),IF(LEFT(C162,3)="CAB",VLOOKUP(VALUE(RIGHT(C162,3)),#REF!,5,FALSE),IF(LEFT(C162,3)="SEG",VLOOKUP(VALUE(RIGHT(C162,3)),'SEG-COMP'!B:J,5,FALSE),IF(LEFT(C162,3)="CLI",VLOOKUP(VALUE(RIGHT(C162,3)),'CLI-COMP'!B:J,5,FALSE),IF(LEFT(C162,4)="IMPL",VLOOKUP(VALUE(RIGHT(C162,3)),'IMPL-COMP'!B:J,5,FALSE),IF(LEFT(C162,4)="SPDA",VLOOKUP(VALUE(RIGHT(C162,3)),'SPDA-COMP'!B:J,5,FALSE),IF(LEFT(C162,4)="SDAI",VLOOKUP(VALUE(RIGHT(C162,3)),'ADM-COMP'!B:J,5,FALSE),IF(LEFT(C162,5)="IMPER",VLOOKUP(VALUE(RIGHT(C162,3)),'IMPER-COMP'!B:J,5,FALSE),""))))))))))))))))</f>
        <v>PT</v>
      </c>
      <c r="F162" s="599">
        <f>ROUND(VLOOKUP(A162,'MEM-LEVANT'!A233:I2740,9,FALSE),2)</f>
        <v>43</v>
      </c>
      <c r="G162" s="339">
        <f>IF(B162="IOPES",VLOOKUP(C162,'LABOR-SERVIÇOS'!A:H,7,FALSE),IF(B162="SINAPI",VLOOKUP(C162,'SINAPI-SERVIÇOS'!A:H,8,FALSE),IF(LEFT(C162,3)="ARQ",VLOOKUP(VALUE(RIGHT(C162,3)),'ARQ-COMP'!B:J,9,FALSE),IF(LEFT(C162,3)="SCI",VLOOKUP(VALUE(RIGHT(C162,3)),'GAS-COMP'!#REF!,9,FALSE),IF(LEFT(C162,3)="SCE",VLOOKUP(VALUE(RIGHT(C162,3)),'SCE-COMP'!B:J,9,FALSE),IF(LEFT(C162,3)="EST",VLOOKUP(VALUE(RIGHT(C162,3)),'EST-COMP'!B:J,9,FALSE),IF(LEFT(C162,3)="HID",VLOOKUP(VALUE(RIGHT(C162,3)),'HID-COMP'!B:J,9,FALSE),IF(LEFT(C162,3)="INC",VLOOKUP(VALUE(RIGHT(C162,3)),'INC-COMP'!B:J,9,FALSE),IF(LEFT(C162,3)="ELE",VLOOKUP(VALUE(RIGHT(C162,3)),#REF!,9,FALSE),IF(LEFT(C162,3)="CAB",VLOOKUP(VALUE(RIGHT(C162,3)),#REF!,9,FALSE),IF(LEFT(C162,3)="SEG",VLOOKUP(VALUE(RIGHT(C162,3)),'SEG-COMP'!B:J,9,FALSE),IF(LEFT(C162,3)="CLI",VLOOKUP(VALUE(RIGHT(C162,3)),'CLI-COMP'!B:J,9,FALSE),IF(LEFT(C162,4)="IMPL",VLOOKUP(VALUE(RIGHT(C162,3)),'IMPL-COMP'!B:J,9,FALSE),IF(LEFT(C162,4)="SPDA",VLOOKUP(VALUE(RIGHT(C162,3)),'SPDA-COMP'!B:J,9,FALSE),IF(LEFT(C162,4)="SDAI",VLOOKUP(VALUE(RIGHT(C162,3)),'ADM-COMP'!B:J,9,FALSE),IF(LEFT(C162,5)="IMPER",VLOOKUP(VALUE(RIGHT(C162,3)),'IMPER-COMP'!B:J,9,FALSE),""))))))))))))))))</f>
        <v>349.23</v>
      </c>
      <c r="H162" s="339">
        <f t="shared" si="61"/>
        <v>15016.89</v>
      </c>
      <c r="I162" s="374">
        <f t="shared" si="62"/>
        <v>8.7803139319596758E-4</v>
      </c>
      <c r="J162" s="314"/>
    </row>
    <row r="163" spans="1:10">
      <c r="A163" s="613" t="s">
        <v>35276</v>
      </c>
      <c r="B163" s="337" t="s">
        <v>2879</v>
      </c>
      <c r="C163" s="540">
        <f>140703</f>
        <v>140703</v>
      </c>
      <c r="D163" s="539" t="str">
        <f>IF(B163="IOPES",VLOOKUP(C163,'LABOR-SERVIÇOS'!A:H,5,FALSE),IF(B163="SINAPI",VLOOKUP(C163,'SINAPI-SERVIÇOS'!A:D,2,FALSE),IF(LEFT(C163,3)="ARQ",VLOOKUP(VALUE(RIGHT(C163,3)),'ARQ-COMP'!B:J,4,FALSE),IF(LEFT(C163,3)="SCI",VLOOKUP(VALUE(RIGHT(C163,3)),'GAS-COMP'!#REF!,4,FALSE),IF(LEFT(C163,3)="SCE",VLOOKUP(VALUE(RIGHT(C163,3)),'SCE-COMP'!B:J,4,FALSE),IF(LEFT(C163,3)="EST",VLOOKUP(VALUE(RIGHT(C163,3)),'EST-COMP'!B:J,4,FALSE),IF(LEFT(C163,3)="HID",VLOOKUP(VALUE(RIGHT(C163,3)),'HID-COMP'!B:J,4,FALSE),IF(LEFT(C163,3)="INC",VLOOKUP(VALUE(RIGHT(C163,3)),'INC-COMP'!B:J,4,FALSE),IF(LEFT(C163,3)="ELE",VLOOKUP(VALUE(RIGHT(C163,3)),#REF!,4,FALSE),IF(LEFT(C163,3)="CAB",VLOOKUP(VALUE(RIGHT(C163,3)),#REF!,4,FALSE),IF(LEFT(C163,3)="SEG",VLOOKUP(VALUE(RIGHT(C163,3)),'SEG-COMP'!B:J,4,FALSE),IF(LEFT(C163,3)="CLI",VLOOKUP(VALUE(RIGHT(C163,3)),'CLI-COMP'!B:J,4,FALSE),IF(LEFT(C163,4)="IMPL",VLOOKUP(VALUE(RIGHT(C163,3)),'IMPL-COMP'!B:J,4,FALSE),IF(LEFT(C163,4)="SPDA",VLOOKUP(VALUE(RIGHT(C163,3)),'SPDA-COMP'!B:J,4,FALSE),IF(LEFT(C163,4)="SDAI",VLOOKUP(VALUE(RIGHT(C163,3)),'ADM-COMP'!B:J,4,FALSE),IF(LEFT(C163,5)="IMPER",VLOOKUP(VALUE(RIGHT(C163,3)),'IMPER-COMP'!B:J,4,FALSE),""))))))))))))))))</f>
        <v>PONTO DE TORNEIRA DE JARDIM (PARA PRAÇAS)</v>
      </c>
      <c r="E163" s="338" t="str">
        <f>IF(B163="IOPES",VLOOKUP(C163,'LABOR-SERVIÇOS'!A:H,6,FALSE),IF(B163="SINAPI",VLOOKUP(C163,'SINAPI-SERVIÇOS'!A:D,3,FALSE),IF(LEFT(C163,3)="ARQ",VLOOKUP(VALUE(RIGHT(C163,3)),'ARQ-COMP'!B:J,5,FALSE),IF(LEFT(C163,3)="SCI",VLOOKUP(VALUE(RIGHT(C163,3)),'GAS-COMP'!#REF!,5,FALSE),IF(LEFT(C163,3)="SCE",VLOOKUP(VALUE(RIGHT(C163,3)),'SCE-COMP'!B:J,5,FALSE),IF(LEFT(C163,3)="EST",VLOOKUP(VALUE(RIGHT(C163,3)),'EST-COMP'!B:J,5,FALSE),IF(LEFT(C163,3)="HID",VLOOKUP(VALUE(RIGHT(C163,3)),'HID-COMP'!B:J,5,FALSE),IF(LEFT(C163,3)="INC",VLOOKUP(VALUE(RIGHT(C163,3)),'INC-COMP'!B:J,5,FALSE),IF(LEFT(C163,3)="ELE",VLOOKUP(VALUE(RIGHT(C163,3)),#REF!,5,FALSE),IF(LEFT(C163,3)="CAB",VLOOKUP(VALUE(RIGHT(C163,3)),#REF!,5,FALSE),IF(LEFT(C163,3)="SEG",VLOOKUP(VALUE(RIGHT(C163,3)),'SEG-COMP'!B:J,5,FALSE),IF(LEFT(C163,3)="CLI",VLOOKUP(VALUE(RIGHT(C163,3)),'CLI-COMP'!B:J,5,FALSE),IF(LEFT(C163,4)="IMPL",VLOOKUP(VALUE(RIGHT(C163,3)),'IMPL-COMP'!B:J,5,FALSE),IF(LEFT(C163,4)="SPDA",VLOOKUP(VALUE(RIGHT(C163,3)),'SPDA-COMP'!B:J,5,FALSE),IF(LEFT(C163,4)="SDAI",VLOOKUP(VALUE(RIGHT(C163,3)),'ADM-COMP'!B:J,5,FALSE),IF(LEFT(C163,5)="IMPER",VLOOKUP(VALUE(RIGHT(C163,3)),'IMPER-COMP'!B:J,5,FALSE),""))))))))))))))))</f>
        <v>PT</v>
      </c>
      <c r="F163" s="599">
        <f>ROUND(VLOOKUP(A163,'MEM-LEVANT'!A233:I2741,9,FALSE),2)</f>
        <v>4</v>
      </c>
      <c r="G163" s="339">
        <f>IF(B163="IOPES",VLOOKUP(C163,'LABOR-SERVIÇOS'!A:H,7,FALSE),IF(B163="SINAPI",VLOOKUP(C163,'SINAPI-SERVIÇOS'!A:H,8,FALSE),IF(LEFT(C163,3)="ARQ",VLOOKUP(VALUE(RIGHT(C163,3)),'ARQ-COMP'!B:J,9,FALSE),IF(LEFT(C163,3)="SCI",VLOOKUP(VALUE(RIGHT(C163,3)),'GAS-COMP'!#REF!,9,FALSE),IF(LEFT(C163,3)="SCE",VLOOKUP(VALUE(RIGHT(C163,3)),'SCE-COMP'!B:J,9,FALSE),IF(LEFT(C163,3)="EST",VLOOKUP(VALUE(RIGHT(C163,3)),'EST-COMP'!B:J,9,FALSE),IF(LEFT(C163,3)="HID",VLOOKUP(VALUE(RIGHT(C163,3)),'HID-COMP'!B:J,9,FALSE),IF(LEFT(C163,3)="INC",VLOOKUP(VALUE(RIGHT(C163,3)),'INC-COMP'!B:J,9,FALSE),IF(LEFT(C163,3)="ELE",VLOOKUP(VALUE(RIGHT(C163,3)),#REF!,9,FALSE),IF(LEFT(C163,3)="CAB",VLOOKUP(VALUE(RIGHT(C163,3)),#REF!,9,FALSE),IF(LEFT(C163,3)="SEG",VLOOKUP(VALUE(RIGHT(C163,3)),'SEG-COMP'!B:J,9,FALSE),IF(LEFT(C163,3)="CLI",VLOOKUP(VALUE(RIGHT(C163,3)),'CLI-COMP'!B:J,9,FALSE),IF(LEFT(C163,4)="IMPL",VLOOKUP(VALUE(RIGHT(C163,3)),'IMPL-COMP'!B:J,9,FALSE),IF(LEFT(C163,4)="SPDA",VLOOKUP(VALUE(RIGHT(C163,3)),'SPDA-COMP'!B:J,9,FALSE),IF(LEFT(C163,4)="SDAI",VLOOKUP(VALUE(RIGHT(C163,3)),'ADM-COMP'!B:J,9,FALSE),IF(LEFT(C163,5)="IMPER",VLOOKUP(VALUE(RIGHT(C163,3)),'IMPER-COMP'!B:J,9,FALSE),""))))))))))))))))</f>
        <v>577.24</v>
      </c>
      <c r="H163" s="339">
        <f t="shared" si="61"/>
        <v>2308.96</v>
      </c>
      <c r="I163" s="374">
        <f t="shared" si="62"/>
        <v>1.3500394326879675E-4</v>
      </c>
      <c r="J163" s="314"/>
    </row>
    <row r="164" spans="1:10">
      <c r="A164" s="613" t="s">
        <v>35277</v>
      </c>
      <c r="B164" s="337" t="s">
        <v>2879</v>
      </c>
      <c r="C164" s="540">
        <f>140705</f>
        <v>140705</v>
      </c>
      <c r="D164" s="539" t="str">
        <f>IF(B164="IOPES",VLOOKUP(C164,'LABOR-SERVIÇOS'!A:H,5,FALSE),IF(B164="SINAPI",VLOOKUP(C164,'SINAPI-SERVIÇOS'!A:D,2,FALSE),IF(LEFT(C164,3)="ARQ",VLOOKUP(VALUE(RIGHT(C164,3)),'ARQ-COMP'!B:J,4,FALSE),IF(LEFT(C164,3)="SCI",VLOOKUP(VALUE(RIGHT(C164,3)),'GAS-COMP'!#REF!,4,FALSE),IF(LEFT(C164,3)="SCE",VLOOKUP(VALUE(RIGHT(C164,3)),'SCE-COMP'!B:J,4,FALSE),IF(LEFT(C164,3)="EST",VLOOKUP(VALUE(RIGHT(C164,3)),'EST-COMP'!B:J,4,FALSE),IF(LEFT(C164,3)="HID",VLOOKUP(VALUE(RIGHT(C164,3)),'HID-COMP'!B:J,4,FALSE),IF(LEFT(C164,3)="INC",VLOOKUP(VALUE(RIGHT(C164,3)),'INC-COMP'!B:J,4,FALSE),IF(LEFT(C164,3)="ELE",VLOOKUP(VALUE(RIGHT(C164,3)),#REF!,4,FALSE),IF(LEFT(C164,3)="CAB",VLOOKUP(VALUE(RIGHT(C164,3)),#REF!,4,FALSE),IF(LEFT(C164,3)="SEG",VLOOKUP(VALUE(RIGHT(C164,3)),'SEG-COMP'!B:J,4,FALSE),IF(LEFT(C164,3)="CLI",VLOOKUP(VALUE(RIGHT(C164,3)),'CLI-COMP'!B:J,4,FALSE),IF(LEFT(C164,4)="IMPL",VLOOKUP(VALUE(RIGHT(C164,3)),'IMPL-COMP'!B:J,4,FALSE),IF(LEFT(C164,4)="SPDA",VLOOKUP(VALUE(RIGHT(C164,3)),'SPDA-COMP'!B:J,4,FALSE),IF(LEFT(C164,4)="SDAI",VLOOKUP(VALUE(RIGHT(C164,3)),'ADM-COMP'!B:J,4,FALSE),IF(LEFT(C164,5)="IMPER",VLOOKUP(VALUE(RIGHT(C164,3)),'IMPER-COMP'!B:J,4,FALSE),""))))))))))))))))</f>
        <v>PONTO PARA ESGOTO PRIMÁRIO (VASO SANITÁRIO)</v>
      </c>
      <c r="E164" s="338" t="str">
        <f>IF(B164="IOPES",VLOOKUP(C164,'LABOR-SERVIÇOS'!A:H,6,FALSE),IF(B164="SINAPI",VLOOKUP(C164,'SINAPI-SERVIÇOS'!A:D,3,FALSE),IF(LEFT(C164,3)="ARQ",VLOOKUP(VALUE(RIGHT(C164,3)),'ARQ-COMP'!B:J,5,FALSE),IF(LEFT(C164,3)="SCI",VLOOKUP(VALUE(RIGHT(C164,3)),'GAS-COMP'!#REF!,5,FALSE),IF(LEFT(C164,3)="SCE",VLOOKUP(VALUE(RIGHT(C164,3)),'SCE-COMP'!B:J,5,FALSE),IF(LEFT(C164,3)="EST",VLOOKUP(VALUE(RIGHT(C164,3)),'EST-COMP'!B:J,5,FALSE),IF(LEFT(C164,3)="HID",VLOOKUP(VALUE(RIGHT(C164,3)),'HID-COMP'!B:J,5,FALSE),IF(LEFT(C164,3)="INC",VLOOKUP(VALUE(RIGHT(C164,3)),'INC-COMP'!B:J,5,FALSE),IF(LEFT(C164,3)="ELE",VLOOKUP(VALUE(RIGHT(C164,3)),#REF!,5,FALSE),IF(LEFT(C164,3)="CAB",VLOOKUP(VALUE(RIGHT(C164,3)),#REF!,5,FALSE),IF(LEFT(C164,3)="SEG",VLOOKUP(VALUE(RIGHT(C164,3)),'SEG-COMP'!B:J,5,FALSE),IF(LEFT(C164,3)="CLI",VLOOKUP(VALUE(RIGHT(C164,3)),'CLI-COMP'!B:J,5,FALSE),IF(LEFT(C164,4)="IMPL",VLOOKUP(VALUE(RIGHT(C164,3)),'IMPL-COMP'!B:J,5,FALSE),IF(LEFT(C164,4)="SPDA",VLOOKUP(VALUE(RIGHT(C164,3)),'SPDA-COMP'!B:J,5,FALSE),IF(LEFT(C164,4)="SDAI",VLOOKUP(VALUE(RIGHT(C164,3)),'ADM-COMP'!B:J,5,FALSE),IF(LEFT(C164,5)="IMPER",VLOOKUP(VALUE(RIGHT(C164,3)),'IMPER-COMP'!B:J,5,FALSE),""))))))))))))))))</f>
        <v>PT</v>
      </c>
      <c r="F164" s="599">
        <f>ROUND(VLOOKUP(A164,'MEM-LEVANT'!A233:I2742,9,FALSE),2)</f>
        <v>35</v>
      </c>
      <c r="G164" s="339">
        <f>IF(B164="IOPES",VLOOKUP(C164,'LABOR-SERVIÇOS'!A:H,7,FALSE),IF(B164="SINAPI",VLOOKUP(C164,'SINAPI-SERVIÇOS'!A:H,8,FALSE),IF(LEFT(C164,3)="ARQ",VLOOKUP(VALUE(RIGHT(C164,3)),'ARQ-COMP'!B:J,9,FALSE),IF(LEFT(C164,3)="SCI",VLOOKUP(VALUE(RIGHT(C164,3)),'GAS-COMP'!#REF!,9,FALSE),IF(LEFT(C164,3)="SCE",VLOOKUP(VALUE(RIGHT(C164,3)),'SCE-COMP'!B:J,9,FALSE),IF(LEFT(C164,3)="EST",VLOOKUP(VALUE(RIGHT(C164,3)),'EST-COMP'!B:J,9,FALSE),IF(LEFT(C164,3)="HID",VLOOKUP(VALUE(RIGHT(C164,3)),'HID-COMP'!B:J,9,FALSE),IF(LEFT(C164,3)="INC",VLOOKUP(VALUE(RIGHT(C164,3)),'INC-COMP'!B:J,9,FALSE),IF(LEFT(C164,3)="ELE",VLOOKUP(VALUE(RIGHT(C164,3)),#REF!,9,FALSE),IF(LEFT(C164,3)="CAB",VLOOKUP(VALUE(RIGHT(C164,3)),#REF!,9,FALSE),IF(LEFT(C164,3)="SEG",VLOOKUP(VALUE(RIGHT(C164,3)),'SEG-COMP'!B:J,9,FALSE),IF(LEFT(C164,3)="CLI",VLOOKUP(VALUE(RIGHT(C164,3)),'CLI-COMP'!B:J,9,FALSE),IF(LEFT(C164,4)="IMPL",VLOOKUP(VALUE(RIGHT(C164,3)),'IMPL-COMP'!B:J,9,FALSE),IF(LEFT(C164,4)="SPDA",VLOOKUP(VALUE(RIGHT(C164,3)),'SPDA-COMP'!B:J,9,FALSE),IF(LEFT(C164,4)="SDAI",VLOOKUP(VALUE(RIGHT(C164,3)),'ADM-COMP'!B:J,9,FALSE),IF(LEFT(C164,5)="IMPER",VLOOKUP(VALUE(RIGHT(C164,3)),'IMPER-COMP'!B:J,9,FALSE),""))))))))))))))))</f>
        <v>182.07</v>
      </c>
      <c r="H164" s="339">
        <f t="shared" si="61"/>
        <v>6372.45</v>
      </c>
      <c r="I164" s="374">
        <f t="shared" si="62"/>
        <v>3.7259453532466732E-4</v>
      </c>
      <c r="J164" s="314"/>
    </row>
    <row r="165" spans="1:10" ht="26.4">
      <c r="A165" s="613" t="s">
        <v>35278</v>
      </c>
      <c r="B165" s="337" t="s">
        <v>2879</v>
      </c>
      <c r="C165" s="540">
        <f>140706</f>
        <v>140706</v>
      </c>
      <c r="D165" s="539" t="str">
        <f>IF(B165="IOPES",VLOOKUP(C165,'LABOR-SERVIÇOS'!A:H,5,FALSE),IF(B165="SINAPI",VLOOKUP(C165,'SINAPI-SERVIÇOS'!A:D,2,FALSE),IF(LEFT(C165,3)="ARQ",VLOOKUP(VALUE(RIGHT(C165,3)),'ARQ-COMP'!B:J,4,FALSE),IF(LEFT(C165,3)="SCI",VLOOKUP(VALUE(RIGHT(C165,3)),'GAS-COMP'!#REF!,4,FALSE),IF(LEFT(C165,3)="SCE",VLOOKUP(VALUE(RIGHT(C165,3)),'SCE-COMP'!B:J,4,FALSE),IF(LEFT(C165,3)="EST",VLOOKUP(VALUE(RIGHT(C165,3)),'EST-COMP'!B:J,4,FALSE),IF(LEFT(C165,3)="HID",VLOOKUP(VALUE(RIGHT(C165,3)),'HID-COMP'!B:J,4,FALSE),IF(LEFT(C165,3)="INC",VLOOKUP(VALUE(RIGHT(C165,3)),'INC-COMP'!B:J,4,FALSE),IF(LEFT(C165,3)="ELE",VLOOKUP(VALUE(RIGHT(C165,3)),#REF!,4,FALSE),IF(LEFT(C165,3)="CAB",VLOOKUP(VALUE(RIGHT(C165,3)),#REF!,4,FALSE),IF(LEFT(C165,3)="SEG",VLOOKUP(VALUE(RIGHT(C165,3)),'SEG-COMP'!B:J,4,FALSE),IF(LEFT(C165,3)="CLI",VLOOKUP(VALUE(RIGHT(C165,3)),'CLI-COMP'!B:J,4,FALSE),IF(LEFT(C165,4)="IMPL",VLOOKUP(VALUE(RIGHT(C165,3)),'IMPL-COMP'!B:J,4,FALSE),IF(LEFT(C165,4)="SPDA",VLOOKUP(VALUE(RIGHT(C165,3)),'SPDA-COMP'!B:J,4,FALSE),IF(LEFT(C165,4)="SDAI",VLOOKUP(VALUE(RIGHT(C165,3)),'ADM-COMP'!B:J,4,FALSE),IF(LEFT(C165,5)="IMPER",VLOOKUP(VALUE(RIGHT(C165,3)),'IMPER-COMP'!B:J,4,FALSE),""))))))))))))))))</f>
        <v>PONTO PARA ESGOTO SECUNDÁRIO (PIA, LAVATÓRIO, MICTÓRIO, TANQUE, BIDÊ, ETC...)</v>
      </c>
      <c r="E165" s="338" t="str">
        <f>IF(B165="IOPES",VLOOKUP(C165,'LABOR-SERVIÇOS'!A:H,6,FALSE),IF(B165="SINAPI",VLOOKUP(C165,'SINAPI-SERVIÇOS'!A:D,3,FALSE),IF(LEFT(C165,3)="ARQ",VLOOKUP(VALUE(RIGHT(C165,3)),'ARQ-COMP'!B:J,5,FALSE),IF(LEFT(C165,3)="SCI",VLOOKUP(VALUE(RIGHT(C165,3)),'GAS-COMP'!#REF!,5,FALSE),IF(LEFT(C165,3)="SCE",VLOOKUP(VALUE(RIGHT(C165,3)),'SCE-COMP'!B:J,5,FALSE),IF(LEFT(C165,3)="EST",VLOOKUP(VALUE(RIGHT(C165,3)),'EST-COMP'!B:J,5,FALSE),IF(LEFT(C165,3)="HID",VLOOKUP(VALUE(RIGHT(C165,3)),'HID-COMP'!B:J,5,FALSE),IF(LEFT(C165,3)="INC",VLOOKUP(VALUE(RIGHT(C165,3)),'INC-COMP'!B:J,5,FALSE),IF(LEFT(C165,3)="ELE",VLOOKUP(VALUE(RIGHT(C165,3)),#REF!,5,FALSE),IF(LEFT(C165,3)="CAB",VLOOKUP(VALUE(RIGHT(C165,3)),#REF!,5,FALSE),IF(LEFT(C165,3)="SEG",VLOOKUP(VALUE(RIGHT(C165,3)),'SEG-COMP'!B:J,5,FALSE),IF(LEFT(C165,3)="CLI",VLOOKUP(VALUE(RIGHT(C165,3)),'CLI-COMP'!B:J,5,FALSE),IF(LEFT(C165,4)="IMPL",VLOOKUP(VALUE(RIGHT(C165,3)),'IMPL-COMP'!B:J,5,FALSE),IF(LEFT(C165,4)="SPDA",VLOOKUP(VALUE(RIGHT(C165,3)),'SPDA-COMP'!B:J,5,FALSE),IF(LEFT(C165,4)="SDAI",VLOOKUP(VALUE(RIGHT(C165,3)),'ADM-COMP'!B:J,5,FALSE),IF(LEFT(C165,5)="IMPER",VLOOKUP(VALUE(RIGHT(C165,3)),'IMPER-COMP'!B:J,5,FALSE),""))))))))))))))))</f>
        <v>PT</v>
      </c>
      <c r="F165" s="599">
        <f>ROUND(VLOOKUP(A165,'MEM-LEVANT'!A233:I2743,9,FALSE),2)</f>
        <v>32</v>
      </c>
      <c r="G165" s="339">
        <f>IF(B165="IOPES",VLOOKUP(C165,'LABOR-SERVIÇOS'!A:H,7,FALSE),IF(B165="SINAPI",VLOOKUP(C165,'SINAPI-SERVIÇOS'!A:H,8,FALSE),IF(LEFT(C165,3)="ARQ",VLOOKUP(VALUE(RIGHT(C165,3)),'ARQ-COMP'!B:J,9,FALSE),IF(LEFT(C165,3)="SCI",VLOOKUP(VALUE(RIGHT(C165,3)),'GAS-COMP'!#REF!,9,FALSE),IF(LEFT(C165,3)="SCE",VLOOKUP(VALUE(RIGHT(C165,3)),'SCE-COMP'!B:J,9,FALSE),IF(LEFT(C165,3)="EST",VLOOKUP(VALUE(RIGHT(C165,3)),'EST-COMP'!B:J,9,FALSE),IF(LEFT(C165,3)="HID",VLOOKUP(VALUE(RIGHT(C165,3)),'HID-COMP'!B:J,9,FALSE),IF(LEFT(C165,3)="INC",VLOOKUP(VALUE(RIGHT(C165,3)),'INC-COMP'!B:J,9,FALSE),IF(LEFT(C165,3)="ELE",VLOOKUP(VALUE(RIGHT(C165,3)),#REF!,9,FALSE),IF(LEFT(C165,3)="CAB",VLOOKUP(VALUE(RIGHT(C165,3)),#REF!,9,FALSE),IF(LEFT(C165,3)="SEG",VLOOKUP(VALUE(RIGHT(C165,3)),'SEG-COMP'!B:J,9,FALSE),IF(LEFT(C165,3)="CLI",VLOOKUP(VALUE(RIGHT(C165,3)),'CLI-COMP'!B:J,9,FALSE),IF(LEFT(C165,4)="IMPL",VLOOKUP(VALUE(RIGHT(C165,3)),'IMPL-COMP'!B:J,9,FALSE),IF(LEFT(C165,4)="SPDA",VLOOKUP(VALUE(RIGHT(C165,3)),'SPDA-COMP'!B:J,9,FALSE),IF(LEFT(C165,4)="SDAI",VLOOKUP(VALUE(RIGHT(C165,3)),'ADM-COMP'!B:J,9,FALSE),IF(LEFT(C165,5)="IMPER",VLOOKUP(VALUE(RIGHT(C165,3)),'IMPER-COMP'!B:J,9,FALSE),""))))))))))))))))</f>
        <v>138.22</v>
      </c>
      <c r="H165" s="339">
        <f t="shared" si="61"/>
        <v>4423.04</v>
      </c>
      <c r="I165" s="374">
        <f t="shared" si="62"/>
        <v>2.5861333294453727E-4</v>
      </c>
      <c r="J165" s="314"/>
    </row>
    <row r="166" spans="1:10" ht="26.4">
      <c r="A166" s="613" t="s">
        <v>35279</v>
      </c>
      <c r="B166" s="337" t="s">
        <v>2879</v>
      </c>
      <c r="C166" s="540">
        <f>140707</f>
        <v>140707</v>
      </c>
      <c r="D166" s="539" t="str">
        <f>IF(B166="IOPES",VLOOKUP(C166,'LABOR-SERVIÇOS'!A:H,5,FALSE),IF(B166="SINAPI",VLOOKUP(C166,'SINAPI-SERVIÇOS'!A:D,2,FALSE),IF(LEFT(C166,3)="ARQ",VLOOKUP(VALUE(RIGHT(C166,3)),'ARQ-COMP'!B:J,4,FALSE),IF(LEFT(C166,3)="SCI",VLOOKUP(VALUE(RIGHT(C166,3)),'GAS-COMP'!#REF!,4,FALSE),IF(LEFT(C166,3)="SCE",VLOOKUP(VALUE(RIGHT(C166,3)),'SCE-COMP'!B:J,4,FALSE),IF(LEFT(C166,3)="EST",VLOOKUP(VALUE(RIGHT(C166,3)),'EST-COMP'!B:J,4,FALSE),IF(LEFT(C166,3)="HID",VLOOKUP(VALUE(RIGHT(C166,3)),'HID-COMP'!B:J,4,FALSE),IF(LEFT(C166,3)="INC",VLOOKUP(VALUE(RIGHT(C166,3)),'INC-COMP'!B:J,4,FALSE),IF(LEFT(C166,3)="ELE",VLOOKUP(VALUE(RIGHT(C166,3)),#REF!,4,FALSE),IF(LEFT(C166,3)="CAB",VLOOKUP(VALUE(RIGHT(C166,3)),#REF!,4,FALSE),IF(LEFT(C166,3)="SEG",VLOOKUP(VALUE(RIGHT(C166,3)),'SEG-COMP'!B:J,4,FALSE),IF(LEFT(C166,3)="CLI",VLOOKUP(VALUE(RIGHT(C166,3)),'CLI-COMP'!B:J,4,FALSE),IF(LEFT(C166,4)="IMPL",VLOOKUP(VALUE(RIGHT(C166,3)),'IMPL-COMP'!B:J,4,FALSE),IF(LEFT(C166,4)="SPDA",VLOOKUP(VALUE(RIGHT(C166,3)),'SPDA-COMP'!B:J,4,FALSE),IF(LEFT(C166,4)="SDAI",VLOOKUP(VALUE(RIGHT(C166,3)),'ADM-COMP'!B:J,4,FALSE),IF(LEFT(C166,5)="IMPER",VLOOKUP(VALUE(RIGHT(C166,3)),'IMPER-COMP'!B:J,4,FALSE),""))))))))))))))))</f>
        <v>PONTO PARA CAIXA SIFONADA, INCLUSIVE CAIXA SIFONADA PVC 150X150X50MM COM GRELHA EM PVC</v>
      </c>
      <c r="E166" s="338" t="str">
        <f>IF(B166="IOPES",VLOOKUP(C166,'LABOR-SERVIÇOS'!A:H,6,FALSE),IF(B166="SINAPI",VLOOKUP(C166,'SINAPI-SERVIÇOS'!A:D,3,FALSE),IF(LEFT(C166,3)="ARQ",VLOOKUP(VALUE(RIGHT(C166,3)),'ARQ-COMP'!B:J,5,FALSE),IF(LEFT(C166,3)="SCI",VLOOKUP(VALUE(RIGHT(C166,3)),'GAS-COMP'!#REF!,5,FALSE),IF(LEFT(C166,3)="SCE",VLOOKUP(VALUE(RIGHT(C166,3)),'SCE-COMP'!B:J,5,FALSE),IF(LEFT(C166,3)="EST",VLOOKUP(VALUE(RIGHT(C166,3)),'EST-COMP'!B:J,5,FALSE),IF(LEFT(C166,3)="HID",VLOOKUP(VALUE(RIGHT(C166,3)),'HID-COMP'!B:J,5,FALSE),IF(LEFT(C166,3)="INC",VLOOKUP(VALUE(RIGHT(C166,3)),'INC-COMP'!B:J,5,FALSE),IF(LEFT(C166,3)="ELE",VLOOKUP(VALUE(RIGHT(C166,3)),#REF!,5,FALSE),IF(LEFT(C166,3)="CAB",VLOOKUP(VALUE(RIGHT(C166,3)),#REF!,5,FALSE),IF(LEFT(C166,3)="SEG",VLOOKUP(VALUE(RIGHT(C166,3)),'SEG-COMP'!B:J,5,FALSE),IF(LEFT(C166,3)="CLI",VLOOKUP(VALUE(RIGHT(C166,3)),'CLI-COMP'!B:J,5,FALSE),IF(LEFT(C166,4)="IMPL",VLOOKUP(VALUE(RIGHT(C166,3)),'IMPL-COMP'!B:J,5,FALSE),IF(LEFT(C166,4)="SPDA",VLOOKUP(VALUE(RIGHT(C166,3)),'SPDA-COMP'!B:J,5,FALSE),IF(LEFT(C166,4)="SDAI",VLOOKUP(VALUE(RIGHT(C166,3)),'ADM-COMP'!B:J,5,FALSE),IF(LEFT(C166,5)="IMPER",VLOOKUP(VALUE(RIGHT(C166,3)),'IMPER-COMP'!B:J,5,FALSE),""))))))))))))))))</f>
        <v>PT</v>
      </c>
      <c r="F166" s="599">
        <f>ROUND(VLOOKUP(A166,'MEM-LEVANT'!A233:I2744,9,FALSE),2)</f>
        <v>23</v>
      </c>
      <c r="G166" s="339">
        <f>IF(B166="IOPES",VLOOKUP(C166,'LABOR-SERVIÇOS'!A:H,7,FALSE),IF(B166="SINAPI",VLOOKUP(C166,'SINAPI-SERVIÇOS'!A:H,8,FALSE),IF(LEFT(C166,3)="ARQ",VLOOKUP(VALUE(RIGHT(C166,3)),'ARQ-COMP'!B:J,9,FALSE),IF(LEFT(C166,3)="SCI",VLOOKUP(VALUE(RIGHT(C166,3)),'GAS-COMP'!#REF!,9,FALSE),IF(LEFT(C166,3)="SCE",VLOOKUP(VALUE(RIGHT(C166,3)),'SCE-COMP'!B:J,9,FALSE),IF(LEFT(C166,3)="EST",VLOOKUP(VALUE(RIGHT(C166,3)),'EST-COMP'!B:J,9,FALSE),IF(LEFT(C166,3)="HID",VLOOKUP(VALUE(RIGHT(C166,3)),'HID-COMP'!B:J,9,FALSE),IF(LEFT(C166,3)="INC",VLOOKUP(VALUE(RIGHT(C166,3)),'INC-COMP'!B:J,9,FALSE),IF(LEFT(C166,3)="ELE",VLOOKUP(VALUE(RIGHT(C166,3)),#REF!,9,FALSE),IF(LEFT(C166,3)="CAB",VLOOKUP(VALUE(RIGHT(C166,3)),#REF!,9,FALSE),IF(LEFT(C166,3)="SEG",VLOOKUP(VALUE(RIGHT(C166,3)),'SEG-COMP'!B:J,9,FALSE),IF(LEFT(C166,3)="CLI",VLOOKUP(VALUE(RIGHT(C166,3)),'CLI-COMP'!B:J,9,FALSE),IF(LEFT(C166,4)="IMPL",VLOOKUP(VALUE(RIGHT(C166,3)),'IMPL-COMP'!B:J,9,FALSE),IF(LEFT(C166,4)="SPDA",VLOOKUP(VALUE(RIGHT(C166,3)),'SPDA-COMP'!B:J,9,FALSE),IF(LEFT(C166,4)="SDAI",VLOOKUP(VALUE(RIGHT(C166,3)),'ADM-COMP'!B:J,9,FALSE),IF(LEFT(C166,5)="IMPER",VLOOKUP(VALUE(RIGHT(C166,3)),'IMPER-COMP'!B:J,9,FALSE),""))))))))))))))))</f>
        <v>249.28</v>
      </c>
      <c r="H166" s="339">
        <f t="shared" si="61"/>
        <v>5733.44</v>
      </c>
      <c r="I166" s="374">
        <f t="shared" si="62"/>
        <v>3.3523188296681193E-4</v>
      </c>
      <c r="J166" s="314"/>
    </row>
    <row r="167" spans="1:10" ht="26.4">
      <c r="A167" s="613" t="s">
        <v>35280</v>
      </c>
      <c r="B167" s="337" t="s">
        <v>2879</v>
      </c>
      <c r="C167" s="540">
        <f>140708</f>
        <v>140708</v>
      </c>
      <c r="D167" s="539" t="str">
        <f>IF(B167="IOPES",VLOOKUP(C167,'LABOR-SERVIÇOS'!A:H,5,FALSE),IF(B167="SINAPI",VLOOKUP(C167,'SINAPI-SERVIÇOS'!A:D,2,FALSE),IF(LEFT(C167,3)="ARQ",VLOOKUP(VALUE(RIGHT(C167,3)),'ARQ-COMP'!B:J,4,FALSE),IF(LEFT(C167,3)="SCI",VLOOKUP(VALUE(RIGHT(C167,3)),'GAS-COMP'!#REF!,4,FALSE),IF(LEFT(C167,3)="SCE",VLOOKUP(VALUE(RIGHT(C167,3)),'SCE-COMP'!B:J,4,FALSE),IF(LEFT(C167,3)="EST",VLOOKUP(VALUE(RIGHT(C167,3)),'EST-COMP'!B:J,4,FALSE),IF(LEFT(C167,3)="HID",VLOOKUP(VALUE(RIGHT(C167,3)),'HID-COMP'!B:J,4,FALSE),IF(LEFT(C167,3)="INC",VLOOKUP(VALUE(RIGHT(C167,3)),'INC-COMP'!B:J,4,FALSE),IF(LEFT(C167,3)="ELE",VLOOKUP(VALUE(RIGHT(C167,3)),#REF!,4,FALSE),IF(LEFT(C167,3)="CAB",VLOOKUP(VALUE(RIGHT(C167,3)),#REF!,4,FALSE),IF(LEFT(C167,3)="SEG",VLOOKUP(VALUE(RIGHT(C167,3)),'SEG-COMP'!B:J,4,FALSE),IF(LEFT(C167,3)="CLI",VLOOKUP(VALUE(RIGHT(C167,3)),'CLI-COMP'!B:J,4,FALSE),IF(LEFT(C167,4)="IMPL",VLOOKUP(VALUE(RIGHT(C167,3)),'IMPL-COMP'!B:J,4,FALSE),IF(LEFT(C167,4)="SPDA",VLOOKUP(VALUE(RIGHT(C167,3)),'SPDA-COMP'!B:J,4,FALSE),IF(LEFT(C167,4)="SDAI",VLOOKUP(VALUE(RIGHT(C167,3)),'ADM-COMP'!B:J,4,FALSE),IF(LEFT(C167,5)="IMPER",VLOOKUP(VALUE(RIGHT(C167,3)),'IMPER-COMP'!B:J,4,FALSE),""))))))))))))))))</f>
        <v>PONTO PARA RALO SIFONADO, INCLUSIVE RALO SIFONADO 100 X 40 MM C/ GRELHA EM PVC</v>
      </c>
      <c r="E167" s="338" t="str">
        <f>IF(B167="IOPES",VLOOKUP(C167,'LABOR-SERVIÇOS'!A:H,6,FALSE),IF(B167="SINAPI",VLOOKUP(C167,'SINAPI-SERVIÇOS'!A:D,3,FALSE),IF(LEFT(C167,3)="ARQ",VLOOKUP(VALUE(RIGHT(C167,3)),'ARQ-COMP'!B:J,5,FALSE),IF(LEFT(C167,3)="SCI",VLOOKUP(VALUE(RIGHT(C167,3)),'GAS-COMP'!#REF!,5,FALSE),IF(LEFT(C167,3)="SCE",VLOOKUP(VALUE(RIGHT(C167,3)),'SCE-COMP'!B:J,5,FALSE),IF(LEFT(C167,3)="EST",VLOOKUP(VALUE(RIGHT(C167,3)),'EST-COMP'!B:J,5,FALSE),IF(LEFT(C167,3)="HID",VLOOKUP(VALUE(RIGHT(C167,3)),'HID-COMP'!B:J,5,FALSE),IF(LEFT(C167,3)="INC",VLOOKUP(VALUE(RIGHT(C167,3)),'INC-COMP'!B:J,5,FALSE),IF(LEFT(C167,3)="ELE",VLOOKUP(VALUE(RIGHT(C167,3)),#REF!,5,FALSE),IF(LEFT(C167,3)="CAB",VLOOKUP(VALUE(RIGHT(C167,3)),#REF!,5,FALSE),IF(LEFT(C167,3)="SEG",VLOOKUP(VALUE(RIGHT(C167,3)),'SEG-COMP'!B:J,5,FALSE),IF(LEFT(C167,3)="CLI",VLOOKUP(VALUE(RIGHT(C167,3)),'CLI-COMP'!B:J,5,FALSE),IF(LEFT(C167,4)="IMPL",VLOOKUP(VALUE(RIGHT(C167,3)),'IMPL-COMP'!B:J,5,FALSE),IF(LEFT(C167,4)="SPDA",VLOOKUP(VALUE(RIGHT(C167,3)),'SPDA-COMP'!B:J,5,FALSE),IF(LEFT(C167,4)="SDAI",VLOOKUP(VALUE(RIGHT(C167,3)),'ADM-COMP'!B:J,5,FALSE),IF(LEFT(C167,5)="IMPER",VLOOKUP(VALUE(RIGHT(C167,3)),'IMPER-COMP'!B:J,5,FALSE),""))))))))))))))))</f>
        <v>PT</v>
      </c>
      <c r="F167" s="599">
        <f>ROUND(VLOOKUP(A167,'MEM-LEVANT'!A234:I2745,9,FALSE),2)</f>
        <v>19</v>
      </c>
      <c r="G167" s="339">
        <f>IF(B167="IOPES",VLOOKUP(C167,'LABOR-SERVIÇOS'!A:H,7,FALSE),IF(B167="SINAPI",VLOOKUP(C167,'SINAPI-SERVIÇOS'!A:H,8,FALSE),IF(LEFT(C167,3)="ARQ",VLOOKUP(VALUE(RIGHT(C167,3)),'ARQ-COMP'!B:J,9,FALSE),IF(LEFT(C167,3)="SCI",VLOOKUP(VALUE(RIGHT(C167,3)),'GAS-COMP'!#REF!,9,FALSE),IF(LEFT(C167,3)="SCE",VLOOKUP(VALUE(RIGHT(C167,3)),'SCE-COMP'!B:J,9,FALSE),IF(LEFT(C167,3)="EST",VLOOKUP(VALUE(RIGHT(C167,3)),'EST-COMP'!B:J,9,FALSE),IF(LEFT(C167,3)="HID",VLOOKUP(VALUE(RIGHT(C167,3)),'HID-COMP'!B:J,9,FALSE),IF(LEFT(C167,3)="INC",VLOOKUP(VALUE(RIGHT(C167,3)),'INC-COMP'!B:J,9,FALSE),IF(LEFT(C167,3)="ELE",VLOOKUP(VALUE(RIGHT(C167,3)),#REF!,9,FALSE),IF(LEFT(C167,3)="CAB",VLOOKUP(VALUE(RIGHT(C167,3)),#REF!,9,FALSE),IF(LEFT(C167,3)="SEG",VLOOKUP(VALUE(RIGHT(C167,3)),'SEG-COMP'!B:J,9,FALSE),IF(LEFT(C167,3)="CLI",VLOOKUP(VALUE(RIGHT(C167,3)),'CLI-COMP'!B:J,9,FALSE),IF(LEFT(C167,4)="IMPL",VLOOKUP(VALUE(RIGHT(C167,3)),'IMPL-COMP'!B:J,9,FALSE),IF(LEFT(C167,4)="SPDA",VLOOKUP(VALUE(RIGHT(C167,3)),'SPDA-COMP'!B:J,9,FALSE),IF(LEFT(C167,4)="SDAI",VLOOKUP(VALUE(RIGHT(C167,3)),'ADM-COMP'!B:J,9,FALSE),IF(LEFT(C167,5)="IMPER",VLOOKUP(VALUE(RIGHT(C167,3)),'IMPER-COMP'!B:J,9,FALSE),""))))))))))))))))</f>
        <v>146.1</v>
      </c>
      <c r="H167" s="339">
        <f t="shared" si="61"/>
        <v>2775.9</v>
      </c>
      <c r="I167" s="374">
        <f t="shared" si="62"/>
        <v>1.6230573336907219E-4</v>
      </c>
      <c r="J167" s="314"/>
    </row>
    <row r="168" spans="1:10" ht="26.4">
      <c r="A168" s="613" t="s">
        <v>35281</v>
      </c>
      <c r="B168" s="337" t="s">
        <v>2879</v>
      </c>
      <c r="C168" s="540">
        <f>140709</f>
        <v>140709</v>
      </c>
      <c r="D168" s="539" t="str">
        <f>IF(B168="IOPES",VLOOKUP(C168,'LABOR-SERVIÇOS'!A:H,5,FALSE),IF(B168="SINAPI",VLOOKUP(C168,'SINAPI-SERVIÇOS'!A:D,2,FALSE),IF(LEFT(C168,3)="ARQ",VLOOKUP(VALUE(RIGHT(C168,3)),'ARQ-COMP'!B:J,4,FALSE),IF(LEFT(C168,3)="SCI",VLOOKUP(VALUE(RIGHT(C168,3)),'GAS-COMP'!#REF!,4,FALSE),IF(LEFT(C168,3)="SCE",VLOOKUP(VALUE(RIGHT(C168,3)),'SCE-COMP'!B:J,4,FALSE),IF(LEFT(C168,3)="EST",VLOOKUP(VALUE(RIGHT(C168,3)),'EST-COMP'!B:J,4,FALSE),IF(LEFT(C168,3)="HID",VLOOKUP(VALUE(RIGHT(C168,3)),'HID-COMP'!B:J,4,FALSE),IF(LEFT(C168,3)="INC",VLOOKUP(VALUE(RIGHT(C168,3)),'INC-COMP'!B:J,4,FALSE),IF(LEFT(C168,3)="ELE",VLOOKUP(VALUE(RIGHT(C168,3)),#REF!,4,FALSE),IF(LEFT(C168,3)="CAB",VLOOKUP(VALUE(RIGHT(C168,3)),#REF!,4,FALSE),IF(LEFT(C168,3)="SEG",VLOOKUP(VALUE(RIGHT(C168,3)),'SEG-COMP'!B:J,4,FALSE),IF(LEFT(C168,3)="CLI",VLOOKUP(VALUE(RIGHT(C168,3)),'CLI-COMP'!B:J,4,FALSE),IF(LEFT(C168,4)="IMPL",VLOOKUP(VALUE(RIGHT(C168,3)),'IMPL-COMP'!B:J,4,FALSE),IF(LEFT(C168,4)="SPDA",VLOOKUP(VALUE(RIGHT(C168,3)),'SPDA-COMP'!B:J,4,FALSE),IF(LEFT(C168,4)="SDAI",VLOOKUP(VALUE(RIGHT(C168,3)),'ADM-COMP'!B:J,4,FALSE),IF(LEFT(C168,5)="IMPER",VLOOKUP(VALUE(RIGHT(C168,3)),'IMPER-COMP'!B:J,4,FALSE),""))))))))))))))))</f>
        <v>PONTO PARA RALO SECO, INCLUSIVE RALO PVC 10 CM COM GRELHA EM PVC</v>
      </c>
      <c r="E168" s="338" t="str">
        <f>IF(B168="IOPES",VLOOKUP(C168,'LABOR-SERVIÇOS'!A:H,6,FALSE),IF(B168="SINAPI",VLOOKUP(C168,'SINAPI-SERVIÇOS'!A:D,3,FALSE),IF(LEFT(C168,3)="ARQ",VLOOKUP(VALUE(RIGHT(C168,3)),'ARQ-COMP'!B:J,5,FALSE),IF(LEFT(C168,3)="SCI",VLOOKUP(VALUE(RIGHT(C168,3)),'GAS-COMP'!#REF!,5,FALSE),IF(LEFT(C168,3)="SCE",VLOOKUP(VALUE(RIGHT(C168,3)),'SCE-COMP'!B:J,5,FALSE),IF(LEFT(C168,3)="EST",VLOOKUP(VALUE(RIGHT(C168,3)),'EST-COMP'!B:J,5,FALSE),IF(LEFT(C168,3)="HID",VLOOKUP(VALUE(RIGHT(C168,3)),'HID-COMP'!B:J,5,FALSE),IF(LEFT(C168,3)="INC",VLOOKUP(VALUE(RIGHT(C168,3)),'INC-COMP'!B:J,5,FALSE),IF(LEFT(C168,3)="ELE",VLOOKUP(VALUE(RIGHT(C168,3)),#REF!,5,FALSE),IF(LEFT(C168,3)="CAB",VLOOKUP(VALUE(RIGHT(C168,3)),#REF!,5,FALSE),IF(LEFT(C168,3)="SEG",VLOOKUP(VALUE(RIGHT(C168,3)),'SEG-COMP'!B:J,5,FALSE),IF(LEFT(C168,3)="CLI",VLOOKUP(VALUE(RIGHT(C168,3)),'CLI-COMP'!B:J,5,FALSE),IF(LEFT(C168,4)="IMPL",VLOOKUP(VALUE(RIGHT(C168,3)),'IMPL-COMP'!B:J,5,FALSE),IF(LEFT(C168,4)="SPDA",VLOOKUP(VALUE(RIGHT(C168,3)),'SPDA-COMP'!B:J,5,FALSE),IF(LEFT(C168,4)="SDAI",VLOOKUP(VALUE(RIGHT(C168,3)),'ADM-COMP'!B:J,5,FALSE),IF(LEFT(C168,5)="IMPER",VLOOKUP(VALUE(RIGHT(C168,3)),'IMPER-COMP'!B:J,5,FALSE),""))))))))))))))))</f>
        <v>PT</v>
      </c>
      <c r="F168" s="599">
        <f>ROUND(VLOOKUP(A168,'MEM-LEVANT'!A235:I2746,9,FALSE),2)</f>
        <v>19</v>
      </c>
      <c r="G168" s="339">
        <f>IF(B168="IOPES",VLOOKUP(C168,'LABOR-SERVIÇOS'!A:H,7,FALSE),IF(B168="SINAPI",VLOOKUP(C168,'SINAPI-SERVIÇOS'!A:H,8,FALSE),IF(LEFT(C168,3)="ARQ",VLOOKUP(VALUE(RIGHT(C168,3)),'ARQ-COMP'!B:J,9,FALSE),IF(LEFT(C168,3)="SCI",VLOOKUP(VALUE(RIGHT(C168,3)),'GAS-COMP'!#REF!,9,FALSE),IF(LEFT(C168,3)="SCE",VLOOKUP(VALUE(RIGHT(C168,3)),'SCE-COMP'!B:J,9,FALSE),IF(LEFT(C168,3)="EST",VLOOKUP(VALUE(RIGHT(C168,3)),'EST-COMP'!B:J,9,FALSE),IF(LEFT(C168,3)="HID",VLOOKUP(VALUE(RIGHT(C168,3)),'HID-COMP'!B:J,9,FALSE),IF(LEFT(C168,3)="INC",VLOOKUP(VALUE(RIGHT(C168,3)),'INC-COMP'!B:J,9,FALSE),IF(LEFT(C168,3)="ELE",VLOOKUP(VALUE(RIGHT(C168,3)),#REF!,9,FALSE),IF(LEFT(C168,3)="CAB",VLOOKUP(VALUE(RIGHT(C168,3)),#REF!,9,FALSE),IF(LEFT(C168,3)="SEG",VLOOKUP(VALUE(RIGHT(C168,3)),'SEG-COMP'!B:J,9,FALSE),IF(LEFT(C168,3)="CLI",VLOOKUP(VALUE(RIGHT(C168,3)),'CLI-COMP'!B:J,9,FALSE),IF(LEFT(C168,4)="IMPL",VLOOKUP(VALUE(RIGHT(C168,3)),'IMPL-COMP'!B:J,9,FALSE),IF(LEFT(C168,4)="SPDA",VLOOKUP(VALUE(RIGHT(C168,3)),'SPDA-COMP'!B:J,9,FALSE),IF(LEFT(C168,4)="SDAI",VLOOKUP(VALUE(RIGHT(C168,3)),'ADM-COMP'!B:J,9,FALSE),IF(LEFT(C168,5)="IMPER",VLOOKUP(VALUE(RIGHT(C168,3)),'IMPER-COMP'!B:J,9,FALSE),""))))))))))))))))</f>
        <v>145.38999999999999</v>
      </c>
      <c r="H168" s="339">
        <f t="shared" ref="H168" si="63">ROUND(F168*G168,2)</f>
        <v>2762.41</v>
      </c>
      <c r="I168" s="374">
        <f t="shared" si="62"/>
        <v>1.6151697860731967E-4</v>
      </c>
      <c r="J168" s="314"/>
    </row>
    <row r="169" spans="1:10">
      <c r="A169" s="553" t="s">
        <v>35282</v>
      </c>
      <c r="B169" s="554"/>
      <c r="C169" s="555"/>
      <c r="D169" s="556" t="s">
        <v>1344</v>
      </c>
      <c r="E169" s="557"/>
      <c r="F169" s="598"/>
      <c r="G169" s="558"/>
      <c r="H169" s="559"/>
      <c r="I169" s="560"/>
      <c r="J169" s="314"/>
    </row>
    <row r="170" spans="1:10" ht="52.8">
      <c r="A170" s="613" t="s">
        <v>35283</v>
      </c>
      <c r="B170" s="337" t="s">
        <v>2879</v>
      </c>
      <c r="C170" s="540">
        <f>140901</f>
        <v>140901</v>
      </c>
      <c r="D170" s="539" t="str">
        <f>IF(B170="IOPES",VLOOKUP(C170,'LABOR-SERVIÇOS'!A:H,5,FALSE),IF(B170="SINAPI",VLOOKUP(C170,'SINAPI-SERVIÇOS'!A:D,2,FALSE),IF(LEFT(C170,3)="ARQ",VLOOKUP(VALUE(RIGHT(C170,3)),'ARQ-COMP'!B:J,4,FALSE),IF(LEFT(C170,3)="SCI",VLOOKUP(VALUE(RIGHT(C170,3)),'GAS-COMP'!#REF!,4,FALSE),IF(LEFT(C170,3)="SCE",VLOOKUP(VALUE(RIGHT(C170,3)),'SCE-COMP'!B:J,4,FALSE),IF(LEFT(C170,3)="EST",VLOOKUP(VALUE(RIGHT(C170,3)),'EST-COMP'!B:J,4,FALSE),IF(LEFT(C170,3)="HID",VLOOKUP(VALUE(RIGHT(C170,3)),'HID-COMP'!B:J,4,FALSE),IF(LEFT(C170,3)="INC",VLOOKUP(VALUE(RIGHT(C170,3)),'INC-COMP'!B:J,4,FALSE),IF(LEFT(C170,3)="ELE",VLOOKUP(VALUE(RIGHT(C170,3)),#REF!,4,FALSE),IF(LEFT(C170,3)="CAB",VLOOKUP(VALUE(RIGHT(C170,3)),#REF!,4,FALSE),IF(LEFT(C170,3)="SEG",VLOOKUP(VALUE(RIGHT(C170,3)),'SEG-COMP'!B:J,4,FALSE),IF(LEFT(C170,3)="CLI",VLOOKUP(VALUE(RIGHT(C170,3)),'CLI-COMP'!B:J,4,FALSE),IF(LEFT(C170,4)="IMPL",VLOOKUP(VALUE(RIGHT(C170,3)),'IMPL-COMP'!B:J,4,FALSE),IF(LEFT(C170,4)="SPDA",VLOOKUP(VALUE(RIGHT(C170,3)),'SPDA-COMP'!B:J,4,FALSE),IF(LEFT(C170,4)="SDAI",VLOOKUP(VALUE(RIGHT(C170,3)),'ADM-COMP'!B:J,4,FALSE),IF(LEFT(C170,5)="IMPER",VLOOKUP(VALUE(RIGHT(C170,3)),'IMPER-COMP'!B:J,4,FALSE),""))))))))))))))))</f>
        <v>TUBOS DE CONCRETO SIMPLES PS1, DIÂMETRO 200 MM, COM REJUNTAMENTO DE ARGAMASSA DE CIMENTO, CAL HIDRATADA E AREIA NO TRAÇO 1:2:6, INCLUINDO ESCAVAÇÃO E BERÇO, CONF. NORMAS E ESPECIFICAÇÕES.</v>
      </c>
      <c r="E170" s="338" t="str">
        <f>IF(B170="IOPES",VLOOKUP(C170,'LABOR-SERVIÇOS'!A:H,6,FALSE),IF(B170="SINAPI",VLOOKUP(C170,'SINAPI-SERVIÇOS'!A:D,3,FALSE),IF(LEFT(C170,3)="ARQ",VLOOKUP(VALUE(RIGHT(C170,3)),'ARQ-COMP'!B:J,5,FALSE),IF(LEFT(C170,3)="SCI",VLOOKUP(VALUE(RIGHT(C170,3)),'GAS-COMP'!#REF!,5,FALSE),IF(LEFT(C170,3)="SCE",VLOOKUP(VALUE(RIGHT(C170,3)),'SCE-COMP'!B:J,5,FALSE),IF(LEFT(C170,3)="EST",VLOOKUP(VALUE(RIGHT(C170,3)),'EST-COMP'!B:J,5,FALSE),IF(LEFT(C170,3)="HID",VLOOKUP(VALUE(RIGHT(C170,3)),'HID-COMP'!B:J,5,FALSE),IF(LEFT(C170,3)="INC",VLOOKUP(VALUE(RIGHT(C170,3)),'INC-COMP'!B:J,5,FALSE),IF(LEFT(C170,3)="ELE",VLOOKUP(VALUE(RIGHT(C170,3)),#REF!,5,FALSE),IF(LEFT(C170,3)="CAB",VLOOKUP(VALUE(RIGHT(C170,3)),#REF!,5,FALSE),IF(LEFT(C170,3)="SEG",VLOOKUP(VALUE(RIGHT(C170,3)),'SEG-COMP'!B:J,5,FALSE),IF(LEFT(C170,3)="CLI",VLOOKUP(VALUE(RIGHT(C170,3)),'CLI-COMP'!B:J,5,FALSE),IF(LEFT(C170,4)="IMPL",VLOOKUP(VALUE(RIGHT(C170,3)),'IMPL-COMP'!B:J,5,FALSE),IF(LEFT(C170,4)="SPDA",VLOOKUP(VALUE(RIGHT(C170,3)),'SPDA-COMP'!B:J,5,FALSE),IF(LEFT(C170,4)="SDAI",VLOOKUP(VALUE(RIGHT(C170,3)),'ADM-COMP'!B:J,5,FALSE),IF(LEFT(C170,5)="IMPER",VLOOKUP(VALUE(RIGHT(C170,3)),'IMPER-COMP'!B:J,5,FALSE),""))))))))))))))))</f>
        <v>M</v>
      </c>
      <c r="F170" s="599">
        <f>ROUND(VLOOKUP(A170,'MEM-LEVANT'!A236:I2747,9,FALSE),2)</f>
        <v>600</v>
      </c>
      <c r="G170" s="339">
        <f>IF(B170="IOPES",VLOOKUP(C170,'LABOR-SERVIÇOS'!A:H,7,FALSE),IF(B170="SINAPI",VLOOKUP(C170,'SINAPI-SERVIÇOS'!A:H,8,FALSE),IF(LEFT(C170,3)="ARQ",VLOOKUP(VALUE(RIGHT(C170,3)),'ARQ-COMP'!B:J,9,FALSE),IF(LEFT(C170,3)="SCI",VLOOKUP(VALUE(RIGHT(C170,3)),'GAS-COMP'!#REF!,9,FALSE),IF(LEFT(C170,3)="SCE",VLOOKUP(VALUE(RIGHT(C170,3)),'SCE-COMP'!B:J,9,FALSE),IF(LEFT(C170,3)="EST",VLOOKUP(VALUE(RIGHT(C170,3)),'EST-COMP'!B:J,9,FALSE),IF(LEFT(C170,3)="HID",VLOOKUP(VALUE(RIGHT(C170,3)),'HID-COMP'!B:J,9,FALSE),IF(LEFT(C170,3)="INC",VLOOKUP(VALUE(RIGHT(C170,3)),'INC-COMP'!B:J,9,FALSE),IF(LEFT(C170,3)="ELE",VLOOKUP(VALUE(RIGHT(C170,3)),#REF!,9,FALSE),IF(LEFT(C170,3)="CAB",VLOOKUP(VALUE(RIGHT(C170,3)),#REF!,9,FALSE),IF(LEFT(C170,3)="SEG",VLOOKUP(VALUE(RIGHT(C170,3)),'SEG-COMP'!B:J,9,FALSE),IF(LEFT(C170,3)="CLI",VLOOKUP(VALUE(RIGHT(C170,3)),'CLI-COMP'!B:J,9,FALSE),IF(LEFT(C170,4)="IMPL",VLOOKUP(VALUE(RIGHT(C170,3)),'IMPL-COMP'!B:J,9,FALSE),IF(LEFT(C170,4)="SPDA",VLOOKUP(VALUE(RIGHT(C170,3)),'SPDA-COMP'!B:J,9,FALSE),IF(LEFT(C170,4)="SDAI",VLOOKUP(VALUE(RIGHT(C170,3)),'ADM-COMP'!B:J,9,FALSE),IF(LEFT(C170,5)="IMPER",VLOOKUP(VALUE(RIGHT(C170,3)),'IMPER-COMP'!B:J,9,FALSE),""))))))))))))))))</f>
        <v>204.97</v>
      </c>
      <c r="H170" s="339">
        <f t="shared" ref="H170:H171" si="64">ROUND(F170*G170,2)</f>
        <v>122982</v>
      </c>
      <c r="I170" s="374">
        <f>H170/$H$441</f>
        <v>7.1907070503963531E-3</v>
      </c>
      <c r="J170" s="314"/>
    </row>
    <row r="171" spans="1:10" ht="52.8">
      <c r="A171" s="613" t="s">
        <v>35284</v>
      </c>
      <c r="B171" s="337" t="s">
        <v>2879</v>
      </c>
      <c r="C171" s="540">
        <f>140902</f>
        <v>140902</v>
      </c>
      <c r="D171" s="539" t="str">
        <f>IF(B171="IOPES",VLOOKUP(C171,'LABOR-SERVIÇOS'!A:H,5,FALSE),IF(B171="SINAPI",VLOOKUP(C171,'SINAPI-SERVIÇOS'!A:D,2,FALSE),IF(LEFT(C171,3)="ARQ",VLOOKUP(VALUE(RIGHT(C171,3)),'ARQ-COMP'!B:J,4,FALSE),IF(LEFT(C171,3)="SCI",VLOOKUP(VALUE(RIGHT(C171,3)),'GAS-COMP'!#REF!,4,FALSE),IF(LEFT(C171,3)="SCE",VLOOKUP(VALUE(RIGHT(C171,3)),'SCE-COMP'!B:J,4,FALSE),IF(LEFT(C171,3)="EST",VLOOKUP(VALUE(RIGHT(C171,3)),'EST-COMP'!B:J,4,FALSE),IF(LEFT(C171,3)="HID",VLOOKUP(VALUE(RIGHT(C171,3)),'HID-COMP'!B:J,4,FALSE),IF(LEFT(C171,3)="INC",VLOOKUP(VALUE(RIGHT(C171,3)),'INC-COMP'!B:J,4,FALSE),IF(LEFT(C171,3)="ELE",VLOOKUP(VALUE(RIGHT(C171,3)),#REF!,4,FALSE),IF(LEFT(C171,3)="CAB",VLOOKUP(VALUE(RIGHT(C171,3)),#REF!,4,FALSE),IF(LEFT(C171,3)="SEG",VLOOKUP(VALUE(RIGHT(C171,3)),'SEG-COMP'!B:J,4,FALSE),IF(LEFT(C171,3)="CLI",VLOOKUP(VALUE(RIGHT(C171,3)),'CLI-COMP'!B:J,4,FALSE),IF(LEFT(C171,4)="IMPL",VLOOKUP(VALUE(RIGHT(C171,3)),'IMPL-COMP'!B:J,4,FALSE),IF(LEFT(C171,4)="SPDA",VLOOKUP(VALUE(RIGHT(C171,3)),'SPDA-COMP'!B:J,4,FALSE),IF(LEFT(C171,4)="SDAI",VLOOKUP(VALUE(RIGHT(C171,3)),'ADM-COMP'!B:J,4,FALSE),IF(LEFT(C171,5)="IMPER",VLOOKUP(VALUE(RIGHT(C171,3)),'IMPER-COMP'!B:J,4,FALSE),""))))))))))))))))</f>
        <v>TUBOS DE CONCRETO SIMPLES PS1, DIÂMETRO 300 MM, COM REJUNTAMENTO DE ARGAMASSA DE CIMENTO, CAL HIDRATADA E AREIA NO TRAÇO 1:2:6, INCLUINDO ESCAVAÇÃO E BERÇO, CONFORME NORMAS E ESPECIFICAÇÕES.</v>
      </c>
      <c r="E171" s="338" t="str">
        <f>IF(B171="IOPES",VLOOKUP(C171,'LABOR-SERVIÇOS'!A:H,6,FALSE),IF(B171="SINAPI",VLOOKUP(C171,'SINAPI-SERVIÇOS'!A:D,3,FALSE),IF(LEFT(C171,3)="ARQ",VLOOKUP(VALUE(RIGHT(C171,3)),'ARQ-COMP'!B:J,5,FALSE),IF(LEFT(C171,3)="SCI",VLOOKUP(VALUE(RIGHT(C171,3)),'GAS-COMP'!#REF!,5,FALSE),IF(LEFT(C171,3)="SCE",VLOOKUP(VALUE(RIGHT(C171,3)),'SCE-COMP'!B:J,5,FALSE),IF(LEFT(C171,3)="EST",VLOOKUP(VALUE(RIGHT(C171,3)),'EST-COMP'!B:J,5,FALSE),IF(LEFT(C171,3)="HID",VLOOKUP(VALUE(RIGHT(C171,3)),'HID-COMP'!B:J,5,FALSE),IF(LEFT(C171,3)="INC",VLOOKUP(VALUE(RIGHT(C171,3)),'INC-COMP'!B:J,5,FALSE),IF(LEFT(C171,3)="ELE",VLOOKUP(VALUE(RIGHT(C171,3)),#REF!,5,FALSE),IF(LEFT(C171,3)="CAB",VLOOKUP(VALUE(RIGHT(C171,3)),#REF!,5,FALSE),IF(LEFT(C171,3)="SEG",VLOOKUP(VALUE(RIGHT(C171,3)),'SEG-COMP'!B:J,5,FALSE),IF(LEFT(C171,3)="CLI",VLOOKUP(VALUE(RIGHT(C171,3)),'CLI-COMP'!B:J,5,FALSE),IF(LEFT(C171,4)="IMPL",VLOOKUP(VALUE(RIGHT(C171,3)),'IMPL-COMP'!B:J,5,FALSE),IF(LEFT(C171,4)="SPDA",VLOOKUP(VALUE(RIGHT(C171,3)),'SPDA-COMP'!B:J,5,FALSE),IF(LEFT(C171,4)="SDAI",VLOOKUP(VALUE(RIGHT(C171,3)),'ADM-COMP'!B:J,5,FALSE),IF(LEFT(C171,5)="IMPER",VLOOKUP(VALUE(RIGHT(C171,3)),'IMPER-COMP'!B:J,5,FALSE),""))))))))))))))))</f>
        <v>M</v>
      </c>
      <c r="F171" s="599">
        <f>ROUND(VLOOKUP(A171,'MEM-LEVANT'!A237:I2748,9,FALSE),2)</f>
        <v>500</v>
      </c>
      <c r="G171" s="339">
        <f>IF(B171="IOPES",VLOOKUP(C171,'LABOR-SERVIÇOS'!A:H,7,FALSE),IF(B171="SINAPI",VLOOKUP(C171,'SINAPI-SERVIÇOS'!A:H,8,FALSE),IF(LEFT(C171,3)="ARQ",VLOOKUP(VALUE(RIGHT(C171,3)),'ARQ-COMP'!B:J,9,FALSE),IF(LEFT(C171,3)="SCI",VLOOKUP(VALUE(RIGHT(C171,3)),'GAS-COMP'!#REF!,9,FALSE),IF(LEFT(C171,3)="SCE",VLOOKUP(VALUE(RIGHT(C171,3)),'SCE-COMP'!B:J,9,FALSE),IF(LEFT(C171,3)="EST",VLOOKUP(VALUE(RIGHT(C171,3)),'EST-COMP'!B:J,9,FALSE),IF(LEFT(C171,3)="HID",VLOOKUP(VALUE(RIGHT(C171,3)),'HID-COMP'!B:J,9,FALSE),IF(LEFT(C171,3)="INC",VLOOKUP(VALUE(RIGHT(C171,3)),'INC-COMP'!B:J,9,FALSE),IF(LEFT(C171,3)="ELE",VLOOKUP(VALUE(RIGHT(C171,3)),#REF!,9,FALSE),IF(LEFT(C171,3)="CAB",VLOOKUP(VALUE(RIGHT(C171,3)),#REF!,9,FALSE),IF(LEFT(C171,3)="SEG",VLOOKUP(VALUE(RIGHT(C171,3)),'SEG-COMP'!B:J,9,FALSE),IF(LEFT(C171,3)="CLI",VLOOKUP(VALUE(RIGHT(C171,3)),'CLI-COMP'!B:J,9,FALSE),IF(LEFT(C171,4)="IMPL",VLOOKUP(VALUE(RIGHT(C171,3)),'IMPL-COMP'!B:J,9,FALSE),IF(LEFT(C171,4)="SPDA",VLOOKUP(VALUE(RIGHT(C171,3)),'SPDA-COMP'!B:J,9,FALSE),IF(LEFT(C171,4)="SDAI",VLOOKUP(VALUE(RIGHT(C171,3)),'ADM-COMP'!B:J,9,FALSE),IF(LEFT(C171,5)="IMPER",VLOOKUP(VALUE(RIGHT(C171,3)),'IMPER-COMP'!B:J,9,FALSE),""))))))))))))))))</f>
        <v>251.7</v>
      </c>
      <c r="H171" s="339">
        <f t="shared" si="64"/>
        <v>125850</v>
      </c>
      <c r="I171" s="374">
        <f>H171/$H$441</f>
        <v>7.3583978329542611E-3</v>
      </c>
      <c r="J171" s="314"/>
    </row>
    <row r="172" spans="1:10" ht="26.4">
      <c r="A172" s="613" t="s">
        <v>35285</v>
      </c>
      <c r="B172" s="337" t="s">
        <v>2879</v>
      </c>
      <c r="C172" s="540">
        <f>140903</f>
        <v>140903</v>
      </c>
      <c r="D172" s="539" t="str">
        <f>IF(B172="IOPES",VLOOKUP(C172,'LABOR-SERVIÇOS'!A:H,5,FALSE),IF(B172="SINAPI",VLOOKUP(C172,'SINAPI-SERVIÇOS'!A:D,2,FALSE),IF(LEFT(C172,3)="ARQ",VLOOKUP(VALUE(RIGHT(C172,3)),'ARQ-COMP'!B:J,4,FALSE),IF(LEFT(C172,3)="SCI",VLOOKUP(VALUE(RIGHT(C172,3)),'GAS-COMP'!#REF!,4,FALSE),IF(LEFT(C172,3)="SCE",VLOOKUP(VALUE(RIGHT(C172,3)),'SCE-COMP'!B:J,4,FALSE),IF(LEFT(C172,3)="EST",VLOOKUP(VALUE(RIGHT(C172,3)),'EST-COMP'!B:J,4,FALSE),IF(LEFT(C172,3)="HID",VLOOKUP(VALUE(RIGHT(C172,3)),'HID-COMP'!B:J,4,FALSE),IF(LEFT(C172,3)="INC",VLOOKUP(VALUE(RIGHT(C172,3)),'INC-COMP'!B:J,4,FALSE),IF(LEFT(C172,3)="ELE",VLOOKUP(VALUE(RIGHT(C172,3)),#REF!,4,FALSE),IF(LEFT(C172,3)="CAB",VLOOKUP(VALUE(RIGHT(C172,3)),#REF!,4,FALSE),IF(LEFT(C172,3)="SEG",VLOOKUP(VALUE(RIGHT(C172,3)),'SEG-COMP'!B:J,4,FALSE),IF(LEFT(C172,3)="CLI",VLOOKUP(VALUE(RIGHT(C172,3)),'CLI-COMP'!B:J,4,FALSE),IF(LEFT(C172,4)="IMPL",VLOOKUP(VALUE(RIGHT(C172,3)),'IMPL-COMP'!B:J,4,FALSE),IF(LEFT(C172,4)="SPDA",VLOOKUP(VALUE(RIGHT(C172,3)),'SPDA-COMP'!B:J,4,FALSE),IF(LEFT(C172,4)="SDAI",VLOOKUP(VALUE(RIGHT(C172,3)),'ADM-COMP'!B:J,4,FALSE),IF(LEFT(C172,5)="IMPER",VLOOKUP(VALUE(RIGHT(C172,3)),'IMPER-COMP'!B:J,4,FALSE),""))))))))))))))))</f>
        <v>TUBO PVC RÍGIDO PARA ESGOTO NO DIÂMETRO DE 100MM INCLUINDO ESCAVAÇÃO E ATERRO COM AREIA</v>
      </c>
      <c r="E172" s="338" t="str">
        <f>IF(B172="IOPES",VLOOKUP(C172,'LABOR-SERVIÇOS'!A:H,6,FALSE),IF(B172="SINAPI",VLOOKUP(C172,'SINAPI-SERVIÇOS'!A:D,3,FALSE),IF(LEFT(C172,3)="ARQ",VLOOKUP(VALUE(RIGHT(C172,3)),'ARQ-COMP'!B:J,5,FALSE),IF(LEFT(C172,3)="SCI",VLOOKUP(VALUE(RIGHT(C172,3)),'GAS-COMP'!#REF!,5,FALSE),IF(LEFT(C172,3)="SCE",VLOOKUP(VALUE(RIGHT(C172,3)),'SCE-COMP'!B:J,5,FALSE),IF(LEFT(C172,3)="EST",VLOOKUP(VALUE(RIGHT(C172,3)),'EST-COMP'!B:J,5,FALSE),IF(LEFT(C172,3)="HID",VLOOKUP(VALUE(RIGHT(C172,3)),'HID-COMP'!B:J,5,FALSE),IF(LEFT(C172,3)="INC",VLOOKUP(VALUE(RIGHT(C172,3)),'INC-COMP'!B:J,5,FALSE),IF(LEFT(C172,3)="ELE",VLOOKUP(VALUE(RIGHT(C172,3)),#REF!,5,FALSE),IF(LEFT(C172,3)="CAB",VLOOKUP(VALUE(RIGHT(C172,3)),#REF!,5,FALSE),IF(LEFT(C172,3)="SEG",VLOOKUP(VALUE(RIGHT(C172,3)),'SEG-COMP'!B:J,5,FALSE),IF(LEFT(C172,3)="CLI",VLOOKUP(VALUE(RIGHT(C172,3)),'CLI-COMP'!B:J,5,FALSE),IF(LEFT(C172,4)="IMPL",VLOOKUP(VALUE(RIGHT(C172,3)),'IMPL-COMP'!B:J,5,FALSE),IF(LEFT(C172,4)="SPDA",VLOOKUP(VALUE(RIGHT(C172,3)),'SPDA-COMP'!B:J,5,FALSE),IF(LEFT(C172,4)="SDAI",VLOOKUP(VALUE(RIGHT(C172,3)),'ADM-COMP'!B:J,5,FALSE),IF(LEFT(C172,5)="IMPER",VLOOKUP(VALUE(RIGHT(C172,3)),'IMPER-COMP'!B:J,5,FALSE),""))))))))))))))))</f>
        <v>M</v>
      </c>
      <c r="F172" s="599">
        <f>ROUND(VLOOKUP(A172,'MEM-LEVANT'!A239:I2749,9,FALSE),2)</f>
        <v>150</v>
      </c>
      <c r="G172" s="339">
        <f>IF(B172="IOPES",VLOOKUP(C172,'LABOR-SERVIÇOS'!A:H,7,FALSE),IF(B172="SINAPI",VLOOKUP(C172,'SINAPI-SERVIÇOS'!A:H,8,FALSE),IF(LEFT(C172,3)="ARQ",VLOOKUP(VALUE(RIGHT(C172,3)),'ARQ-COMP'!B:J,9,FALSE),IF(LEFT(C172,3)="SCI",VLOOKUP(VALUE(RIGHT(C172,3)),'GAS-COMP'!#REF!,9,FALSE),IF(LEFT(C172,3)="SCE",VLOOKUP(VALUE(RIGHT(C172,3)),'SCE-COMP'!B:J,9,FALSE),IF(LEFT(C172,3)="EST",VLOOKUP(VALUE(RIGHT(C172,3)),'EST-COMP'!B:J,9,FALSE),IF(LEFT(C172,3)="HID",VLOOKUP(VALUE(RIGHT(C172,3)),'HID-COMP'!B:J,9,FALSE),IF(LEFT(C172,3)="INC",VLOOKUP(VALUE(RIGHT(C172,3)),'INC-COMP'!B:J,9,FALSE),IF(LEFT(C172,3)="ELE",VLOOKUP(VALUE(RIGHT(C172,3)),#REF!,9,FALSE),IF(LEFT(C172,3)="CAB",VLOOKUP(VALUE(RIGHT(C172,3)),#REF!,9,FALSE),IF(LEFT(C172,3)="SEG",VLOOKUP(VALUE(RIGHT(C172,3)),'SEG-COMP'!B:J,9,FALSE),IF(LEFT(C172,3)="CLI",VLOOKUP(VALUE(RIGHT(C172,3)),'CLI-COMP'!B:J,9,FALSE),IF(LEFT(C172,4)="IMPL",VLOOKUP(VALUE(RIGHT(C172,3)),'IMPL-COMP'!B:J,9,FALSE),IF(LEFT(C172,4)="SPDA",VLOOKUP(VALUE(RIGHT(C172,3)),'SPDA-COMP'!B:J,9,FALSE),IF(LEFT(C172,4)="SDAI",VLOOKUP(VALUE(RIGHT(C172,3)),'ADM-COMP'!B:J,9,FALSE),IF(LEFT(C172,5)="IMPER",VLOOKUP(VALUE(RIGHT(C172,3)),'IMPER-COMP'!B:J,9,FALSE),""))))))))))))))))</f>
        <v>91.6</v>
      </c>
      <c r="H172" s="339">
        <f t="shared" ref="H172:H174" si="65">ROUND(F172*G172,2)</f>
        <v>13740</v>
      </c>
      <c r="I172" s="374">
        <f>H172/$H$441</f>
        <v>8.0337215911634131E-4</v>
      </c>
      <c r="J172" s="314"/>
    </row>
    <row r="173" spans="1:10" ht="26.4">
      <c r="A173" s="613" t="s">
        <v>35286</v>
      </c>
      <c r="B173" s="337" t="s">
        <v>2879</v>
      </c>
      <c r="C173" s="540">
        <f>140904</f>
        <v>140904</v>
      </c>
      <c r="D173" s="539" t="str">
        <f>IF(B173="IOPES",VLOOKUP(C173,'LABOR-SERVIÇOS'!A:H,5,FALSE),IF(B173="SINAPI",VLOOKUP(C173,'SINAPI-SERVIÇOS'!A:D,2,FALSE),IF(LEFT(C173,3)="ARQ",VLOOKUP(VALUE(RIGHT(C173,3)),'ARQ-COMP'!B:J,4,FALSE),IF(LEFT(C173,3)="SCI",VLOOKUP(VALUE(RIGHT(C173,3)),'GAS-COMP'!#REF!,4,FALSE),IF(LEFT(C173,3)="SCE",VLOOKUP(VALUE(RIGHT(C173,3)),'SCE-COMP'!B:J,4,FALSE),IF(LEFT(C173,3)="EST",VLOOKUP(VALUE(RIGHT(C173,3)),'EST-COMP'!B:J,4,FALSE),IF(LEFT(C173,3)="HID",VLOOKUP(VALUE(RIGHT(C173,3)),'HID-COMP'!B:J,4,FALSE),IF(LEFT(C173,3)="INC",VLOOKUP(VALUE(RIGHT(C173,3)),'INC-COMP'!B:J,4,FALSE),IF(LEFT(C173,3)="ELE",VLOOKUP(VALUE(RIGHT(C173,3)),#REF!,4,FALSE),IF(LEFT(C173,3)="CAB",VLOOKUP(VALUE(RIGHT(C173,3)),#REF!,4,FALSE),IF(LEFT(C173,3)="SEG",VLOOKUP(VALUE(RIGHT(C173,3)),'SEG-COMP'!B:J,4,FALSE),IF(LEFT(C173,3)="CLI",VLOOKUP(VALUE(RIGHT(C173,3)),'CLI-COMP'!B:J,4,FALSE),IF(LEFT(C173,4)="IMPL",VLOOKUP(VALUE(RIGHT(C173,3)),'IMPL-COMP'!B:J,4,FALSE),IF(LEFT(C173,4)="SPDA",VLOOKUP(VALUE(RIGHT(C173,3)),'SPDA-COMP'!B:J,4,FALSE),IF(LEFT(C173,4)="SDAI",VLOOKUP(VALUE(RIGHT(C173,3)),'ADM-COMP'!B:J,4,FALSE),IF(LEFT(C173,5)="IMPER",VLOOKUP(VALUE(RIGHT(C173,3)),'IMPER-COMP'!B:J,4,FALSE),""))))))))))))))))</f>
        <v>TUBO PVC RÍGIDO PARA ESGOTO NO DIÂMETRO DE 150MM INCLUINDO ESCAVAÇÃO E ATERRO COM AREIA</v>
      </c>
      <c r="E173" s="338" t="str">
        <f>IF(B173="IOPES",VLOOKUP(C173,'LABOR-SERVIÇOS'!A:H,6,FALSE),IF(B173="SINAPI",VLOOKUP(C173,'SINAPI-SERVIÇOS'!A:D,3,FALSE),IF(LEFT(C173,3)="ARQ",VLOOKUP(VALUE(RIGHT(C173,3)),'ARQ-COMP'!B:J,5,FALSE),IF(LEFT(C173,3)="SCI",VLOOKUP(VALUE(RIGHT(C173,3)),'GAS-COMP'!#REF!,5,FALSE),IF(LEFT(C173,3)="SCE",VLOOKUP(VALUE(RIGHT(C173,3)),'SCE-COMP'!B:J,5,FALSE),IF(LEFT(C173,3)="EST",VLOOKUP(VALUE(RIGHT(C173,3)),'EST-COMP'!B:J,5,FALSE),IF(LEFT(C173,3)="HID",VLOOKUP(VALUE(RIGHT(C173,3)),'HID-COMP'!B:J,5,FALSE),IF(LEFT(C173,3)="INC",VLOOKUP(VALUE(RIGHT(C173,3)),'INC-COMP'!B:J,5,FALSE),IF(LEFT(C173,3)="ELE",VLOOKUP(VALUE(RIGHT(C173,3)),#REF!,5,FALSE),IF(LEFT(C173,3)="CAB",VLOOKUP(VALUE(RIGHT(C173,3)),#REF!,5,FALSE),IF(LEFT(C173,3)="SEG",VLOOKUP(VALUE(RIGHT(C173,3)),'SEG-COMP'!B:J,5,FALSE),IF(LEFT(C173,3)="CLI",VLOOKUP(VALUE(RIGHT(C173,3)),'CLI-COMP'!B:J,5,FALSE),IF(LEFT(C173,4)="IMPL",VLOOKUP(VALUE(RIGHT(C173,3)),'IMPL-COMP'!B:J,5,FALSE),IF(LEFT(C173,4)="SPDA",VLOOKUP(VALUE(RIGHT(C173,3)),'SPDA-COMP'!B:J,5,FALSE),IF(LEFT(C173,4)="SDAI",VLOOKUP(VALUE(RIGHT(C173,3)),'ADM-COMP'!B:J,5,FALSE),IF(LEFT(C173,5)="IMPER",VLOOKUP(VALUE(RIGHT(C173,3)),'IMPER-COMP'!B:J,5,FALSE),""))))))))))))))))</f>
        <v>M</v>
      </c>
      <c r="F173" s="599">
        <f>ROUND(VLOOKUP(A173,'MEM-LEVANT'!A240:I2750,9,FALSE),2)</f>
        <v>500</v>
      </c>
      <c r="G173" s="339">
        <f>IF(B173="IOPES",VLOOKUP(C173,'LABOR-SERVIÇOS'!A:H,7,FALSE),IF(B173="SINAPI",VLOOKUP(C173,'SINAPI-SERVIÇOS'!A:H,8,FALSE),IF(LEFT(C173,3)="ARQ",VLOOKUP(VALUE(RIGHT(C173,3)),'ARQ-COMP'!B:J,9,FALSE),IF(LEFT(C173,3)="SCI",VLOOKUP(VALUE(RIGHT(C173,3)),'GAS-COMP'!#REF!,9,FALSE),IF(LEFT(C173,3)="SCE",VLOOKUP(VALUE(RIGHT(C173,3)),'SCE-COMP'!B:J,9,FALSE),IF(LEFT(C173,3)="EST",VLOOKUP(VALUE(RIGHT(C173,3)),'EST-COMP'!B:J,9,FALSE),IF(LEFT(C173,3)="HID",VLOOKUP(VALUE(RIGHT(C173,3)),'HID-COMP'!B:J,9,FALSE),IF(LEFT(C173,3)="INC",VLOOKUP(VALUE(RIGHT(C173,3)),'INC-COMP'!B:J,9,FALSE),IF(LEFT(C173,3)="ELE",VLOOKUP(VALUE(RIGHT(C173,3)),#REF!,9,FALSE),IF(LEFT(C173,3)="CAB",VLOOKUP(VALUE(RIGHT(C173,3)),#REF!,9,FALSE),IF(LEFT(C173,3)="SEG",VLOOKUP(VALUE(RIGHT(C173,3)),'SEG-COMP'!B:J,9,FALSE),IF(LEFT(C173,3)="CLI",VLOOKUP(VALUE(RIGHT(C173,3)),'CLI-COMP'!B:J,9,FALSE),IF(LEFT(C173,4)="IMPL",VLOOKUP(VALUE(RIGHT(C173,3)),'IMPL-COMP'!B:J,9,FALSE),IF(LEFT(C173,4)="SPDA",VLOOKUP(VALUE(RIGHT(C173,3)),'SPDA-COMP'!B:J,9,FALSE),IF(LEFT(C173,4)="SDAI",VLOOKUP(VALUE(RIGHT(C173,3)),'ADM-COMP'!B:J,9,FALSE),IF(LEFT(C173,5)="IMPER",VLOOKUP(VALUE(RIGHT(C173,3)),'IMPER-COMP'!B:J,9,FALSE),""))))))))))))))))</f>
        <v>131.96</v>
      </c>
      <c r="H173" s="339">
        <f t="shared" si="65"/>
        <v>65980</v>
      </c>
      <c r="I173" s="374">
        <f>H173/$H$441</f>
        <v>3.8578235122631878E-3</v>
      </c>
      <c r="J173" s="314"/>
    </row>
    <row r="174" spans="1:10" ht="26.4">
      <c r="A174" s="613" t="s">
        <v>35287</v>
      </c>
      <c r="B174" s="337" t="s">
        <v>2879</v>
      </c>
      <c r="C174" s="540">
        <f>140905</f>
        <v>140905</v>
      </c>
      <c r="D174" s="539" t="str">
        <f>IF(B174="IOPES",VLOOKUP(C174,'LABOR-SERVIÇOS'!A:H,5,FALSE),IF(B174="SINAPI",VLOOKUP(C174,'SINAPI-SERVIÇOS'!A:D,2,FALSE),IF(LEFT(C174,3)="ARQ",VLOOKUP(VALUE(RIGHT(C174,3)),'ARQ-COMP'!B:J,4,FALSE),IF(LEFT(C174,3)="SCI",VLOOKUP(VALUE(RIGHT(C174,3)),'GAS-COMP'!#REF!,4,FALSE),IF(LEFT(C174,3)="SCE",VLOOKUP(VALUE(RIGHT(C174,3)),'SCE-COMP'!B:J,4,FALSE),IF(LEFT(C174,3)="EST",VLOOKUP(VALUE(RIGHT(C174,3)),'EST-COMP'!B:J,4,FALSE),IF(LEFT(C174,3)="HID",VLOOKUP(VALUE(RIGHT(C174,3)),'HID-COMP'!B:J,4,FALSE),IF(LEFT(C174,3)="INC",VLOOKUP(VALUE(RIGHT(C174,3)),'INC-COMP'!B:J,4,FALSE),IF(LEFT(C174,3)="ELE",VLOOKUP(VALUE(RIGHT(C174,3)),#REF!,4,FALSE),IF(LEFT(C174,3)="CAB",VLOOKUP(VALUE(RIGHT(C174,3)),#REF!,4,FALSE),IF(LEFT(C174,3)="SEG",VLOOKUP(VALUE(RIGHT(C174,3)),'SEG-COMP'!B:J,4,FALSE),IF(LEFT(C174,3)="CLI",VLOOKUP(VALUE(RIGHT(C174,3)),'CLI-COMP'!B:J,4,FALSE),IF(LEFT(C174,4)="IMPL",VLOOKUP(VALUE(RIGHT(C174,3)),'IMPL-COMP'!B:J,4,FALSE),IF(LEFT(C174,4)="SPDA",VLOOKUP(VALUE(RIGHT(C174,3)),'SPDA-COMP'!B:J,4,FALSE),IF(LEFT(C174,4)="SDAI",VLOOKUP(VALUE(RIGHT(C174,3)),'ADM-COMP'!B:J,4,FALSE),IF(LEFT(C174,5)="IMPER",VLOOKUP(VALUE(RIGHT(C174,3)),'IMPER-COMP'!B:J,4,FALSE),""))))))))))))))))</f>
        <v>TUBO PVC RÍGIDO PARA ESGOTO NO DIÂMETRO DE 200MM INCLUINDO ESCAVAÇÃO E ATERRO COM AREIA</v>
      </c>
      <c r="E174" s="338" t="str">
        <f>IF(B174="IOPES",VLOOKUP(C174,'LABOR-SERVIÇOS'!A:H,6,FALSE),IF(B174="SINAPI",VLOOKUP(C174,'SINAPI-SERVIÇOS'!A:D,3,FALSE),IF(LEFT(C174,3)="ARQ",VLOOKUP(VALUE(RIGHT(C174,3)),'ARQ-COMP'!B:J,5,FALSE),IF(LEFT(C174,3)="SCI",VLOOKUP(VALUE(RIGHT(C174,3)),'GAS-COMP'!#REF!,5,FALSE),IF(LEFT(C174,3)="SCE",VLOOKUP(VALUE(RIGHT(C174,3)),'SCE-COMP'!B:J,5,FALSE),IF(LEFT(C174,3)="EST",VLOOKUP(VALUE(RIGHT(C174,3)),'EST-COMP'!B:J,5,FALSE),IF(LEFT(C174,3)="HID",VLOOKUP(VALUE(RIGHT(C174,3)),'HID-COMP'!B:J,5,FALSE),IF(LEFT(C174,3)="INC",VLOOKUP(VALUE(RIGHT(C174,3)),'INC-COMP'!B:J,5,FALSE),IF(LEFT(C174,3)="ELE",VLOOKUP(VALUE(RIGHT(C174,3)),#REF!,5,FALSE),IF(LEFT(C174,3)="CAB",VLOOKUP(VALUE(RIGHT(C174,3)),#REF!,5,FALSE),IF(LEFT(C174,3)="SEG",VLOOKUP(VALUE(RIGHT(C174,3)),'SEG-COMP'!B:J,5,FALSE),IF(LEFT(C174,3)="CLI",VLOOKUP(VALUE(RIGHT(C174,3)),'CLI-COMP'!B:J,5,FALSE),IF(LEFT(C174,4)="IMPL",VLOOKUP(VALUE(RIGHT(C174,3)),'IMPL-COMP'!B:J,5,FALSE),IF(LEFT(C174,4)="SPDA",VLOOKUP(VALUE(RIGHT(C174,3)),'SPDA-COMP'!B:J,5,FALSE),IF(LEFT(C174,4)="SDAI",VLOOKUP(VALUE(RIGHT(C174,3)),'ADM-COMP'!B:J,5,FALSE),IF(LEFT(C174,5)="IMPER",VLOOKUP(VALUE(RIGHT(C174,3)),'IMPER-COMP'!B:J,5,FALSE),""))))))))))))))))</f>
        <v>M</v>
      </c>
      <c r="F174" s="599">
        <f>ROUND(VLOOKUP(A174,'MEM-LEVANT'!A241:I2751,9,FALSE),2)</f>
        <v>300</v>
      </c>
      <c r="G174" s="339">
        <f>IF(B174="IOPES",VLOOKUP(C174,'LABOR-SERVIÇOS'!A:H,7,FALSE),IF(B174="SINAPI",VLOOKUP(C174,'SINAPI-SERVIÇOS'!A:H,8,FALSE),IF(LEFT(C174,3)="ARQ",VLOOKUP(VALUE(RIGHT(C174,3)),'ARQ-COMP'!B:J,9,FALSE),IF(LEFT(C174,3)="SCI",VLOOKUP(VALUE(RIGHT(C174,3)),'GAS-COMP'!#REF!,9,FALSE),IF(LEFT(C174,3)="SCE",VLOOKUP(VALUE(RIGHT(C174,3)),'SCE-COMP'!B:J,9,FALSE),IF(LEFT(C174,3)="EST",VLOOKUP(VALUE(RIGHT(C174,3)),'EST-COMP'!B:J,9,FALSE),IF(LEFT(C174,3)="HID",VLOOKUP(VALUE(RIGHT(C174,3)),'HID-COMP'!B:J,9,FALSE),IF(LEFT(C174,3)="INC",VLOOKUP(VALUE(RIGHT(C174,3)),'INC-COMP'!B:J,9,FALSE),IF(LEFT(C174,3)="ELE",VLOOKUP(VALUE(RIGHT(C174,3)),#REF!,9,FALSE),IF(LEFT(C174,3)="CAB",VLOOKUP(VALUE(RIGHT(C174,3)),#REF!,9,FALSE),IF(LEFT(C174,3)="SEG",VLOOKUP(VALUE(RIGHT(C174,3)),'SEG-COMP'!B:J,9,FALSE),IF(LEFT(C174,3)="CLI",VLOOKUP(VALUE(RIGHT(C174,3)),'CLI-COMP'!B:J,9,FALSE),IF(LEFT(C174,4)="IMPL",VLOOKUP(VALUE(RIGHT(C174,3)),'IMPL-COMP'!B:J,9,FALSE),IF(LEFT(C174,4)="SPDA",VLOOKUP(VALUE(RIGHT(C174,3)),'SPDA-COMP'!B:J,9,FALSE),IF(LEFT(C174,4)="SDAI",VLOOKUP(VALUE(RIGHT(C174,3)),'ADM-COMP'!B:J,9,FALSE),IF(LEFT(C174,5)="IMPER",VLOOKUP(VALUE(RIGHT(C174,3)),'IMPER-COMP'!B:J,9,FALSE),""))))))))))))))))</f>
        <v>212.45</v>
      </c>
      <c r="H174" s="339">
        <f t="shared" si="65"/>
        <v>63735</v>
      </c>
      <c r="I174" s="374">
        <f>H174/$H$441</f>
        <v>3.7265592839359546E-3</v>
      </c>
      <c r="J174" s="314"/>
    </row>
    <row r="175" spans="1:10">
      <c r="A175" s="553" t="s">
        <v>35288</v>
      </c>
      <c r="B175" s="554"/>
      <c r="C175" s="555"/>
      <c r="D175" s="556" t="s">
        <v>1349</v>
      </c>
      <c r="E175" s="557"/>
      <c r="F175" s="598"/>
      <c r="G175" s="558"/>
      <c r="H175" s="559"/>
      <c r="I175" s="560"/>
      <c r="J175" s="314"/>
    </row>
    <row r="176" spans="1:10" ht="66">
      <c r="A176" s="613" t="s">
        <v>35289</v>
      </c>
      <c r="B176" s="337" t="s">
        <v>2879</v>
      </c>
      <c r="C176" s="540">
        <f>141101</f>
        <v>141101</v>
      </c>
      <c r="D176" s="539" t="str">
        <f>IF(B176="IOPES",VLOOKUP(C176,'LABOR-SERVIÇOS'!A:H,5,FALSE),IF(B176="SINAPI",VLOOKUP(C176,'SINAPI-SERVIÇOS'!A:D,2,FALSE),IF(LEFT(C176,3)="ARQ",VLOOKUP(VALUE(RIGHT(C176,3)),'ARQ-COMP'!B:J,4,FALSE),IF(LEFT(C176,3)="SCI",VLOOKUP(VALUE(RIGHT(C176,3)),'GAS-COMP'!#REF!,4,FALSE),IF(LEFT(C176,3)="SCE",VLOOKUP(VALUE(RIGHT(C176,3)),'SCE-COMP'!B:J,4,FALSE),IF(LEFT(C176,3)="EST",VLOOKUP(VALUE(RIGHT(C176,3)),'EST-COMP'!B:J,4,FALSE),IF(LEFT(C176,3)="HID",VLOOKUP(VALUE(RIGHT(C176,3)),'HID-COMP'!B:J,4,FALSE),IF(LEFT(C176,3)="INC",VLOOKUP(VALUE(RIGHT(C176,3)),'INC-COMP'!B:J,4,FALSE),IF(LEFT(C176,3)="ELE",VLOOKUP(VALUE(RIGHT(C176,3)),#REF!,4,FALSE),IF(LEFT(C176,3)="CAB",VLOOKUP(VALUE(RIGHT(C176,3)),#REF!,4,FALSE),IF(LEFT(C176,3)="SEG",VLOOKUP(VALUE(RIGHT(C176,3)),'SEG-COMP'!B:J,4,FALSE),IF(LEFT(C176,3)="CLI",VLOOKUP(VALUE(RIGHT(C176,3)),'CLI-COMP'!B:J,4,FALSE),IF(LEFT(C176,4)="IMPL",VLOOKUP(VALUE(RIGHT(C176,3)),'IMPL-COMP'!B:J,4,FALSE),IF(LEFT(C176,4)="SPDA",VLOOKUP(VALUE(RIGHT(C176,3)),'SPDA-COMP'!B:J,4,FALSE),IF(LEFT(C176,4)="SDAI",VLOOKUP(VALUE(RIGHT(C176,3)),'ADM-COMP'!B:J,4,FALSE),IF(LEFT(C176,5)="IMPER",VLOOKUP(VALUE(RIGHT(C176,3)),'IMPER-COMP'!B:J,4,FALSE),""))))))))))))))))</f>
        <v>CAIXAS DE INSPEÇÃO DE ALV. BLOCOS CONCRETO 9X19X39CM, DIM, 60X60CM E HMÁX = 1M, COM TAMPA DE CONC. ESP. 5CM, LASTRO DE CONC. ESP. 10CM, REVEST INTERN. C/ CHAPISCO E REBOCO IMPERMEABILIZADO, INCL. ESCAVAÇÃO, REATERRO E ENCHIMENTO</v>
      </c>
      <c r="E176" s="338" t="str">
        <f>IF(B176="IOPES",VLOOKUP(C176,'LABOR-SERVIÇOS'!A:H,6,FALSE),IF(B176="SINAPI",VLOOKUP(C176,'SINAPI-SERVIÇOS'!A:D,3,FALSE),IF(LEFT(C176,3)="ARQ",VLOOKUP(VALUE(RIGHT(C176,3)),'ARQ-COMP'!B:J,5,FALSE),IF(LEFT(C176,3)="SCI",VLOOKUP(VALUE(RIGHT(C176,3)),'GAS-COMP'!#REF!,5,FALSE),IF(LEFT(C176,3)="SCE",VLOOKUP(VALUE(RIGHT(C176,3)),'SCE-COMP'!B:J,5,FALSE),IF(LEFT(C176,3)="EST",VLOOKUP(VALUE(RIGHT(C176,3)),'EST-COMP'!B:J,5,FALSE),IF(LEFT(C176,3)="HID",VLOOKUP(VALUE(RIGHT(C176,3)),'HID-COMP'!B:J,5,FALSE),IF(LEFT(C176,3)="INC",VLOOKUP(VALUE(RIGHT(C176,3)),'INC-COMP'!B:J,5,FALSE),IF(LEFT(C176,3)="ELE",VLOOKUP(VALUE(RIGHT(C176,3)),#REF!,5,FALSE),IF(LEFT(C176,3)="CAB",VLOOKUP(VALUE(RIGHT(C176,3)),#REF!,5,FALSE),IF(LEFT(C176,3)="SEG",VLOOKUP(VALUE(RIGHT(C176,3)),'SEG-COMP'!B:J,5,FALSE),IF(LEFT(C176,3)="CLI",VLOOKUP(VALUE(RIGHT(C176,3)),'CLI-COMP'!B:J,5,FALSE),IF(LEFT(C176,4)="IMPL",VLOOKUP(VALUE(RIGHT(C176,3)),'IMPL-COMP'!B:J,5,FALSE),IF(LEFT(C176,4)="SPDA",VLOOKUP(VALUE(RIGHT(C176,3)),'SPDA-COMP'!B:J,5,FALSE),IF(LEFT(C176,4)="SDAI",VLOOKUP(VALUE(RIGHT(C176,3)),'ADM-COMP'!B:J,5,FALSE),IF(LEFT(C176,5)="IMPER",VLOOKUP(VALUE(RIGHT(C176,3)),'IMPER-COMP'!B:J,5,FALSE),""))))))))))))))))</f>
        <v>UND</v>
      </c>
      <c r="F176" s="599">
        <f>ROUND(VLOOKUP(A176,'MEM-LEVANT'!A240:I2750,9,FALSE),2)</f>
        <v>10</v>
      </c>
      <c r="G176" s="339">
        <f>IF(B176="IOPES",VLOOKUP(C176,'LABOR-SERVIÇOS'!A:H,7,FALSE),IF(B176="SINAPI",VLOOKUP(C176,'SINAPI-SERVIÇOS'!A:H,8,FALSE),IF(LEFT(C176,3)="ARQ",VLOOKUP(VALUE(RIGHT(C176,3)),'ARQ-COMP'!B:J,9,FALSE),IF(LEFT(C176,3)="SCI",VLOOKUP(VALUE(RIGHT(C176,3)),'GAS-COMP'!#REF!,9,FALSE),IF(LEFT(C176,3)="SCE",VLOOKUP(VALUE(RIGHT(C176,3)),'SCE-COMP'!B:J,9,FALSE),IF(LEFT(C176,3)="EST",VLOOKUP(VALUE(RIGHT(C176,3)),'EST-COMP'!B:J,9,FALSE),IF(LEFT(C176,3)="HID",VLOOKUP(VALUE(RIGHT(C176,3)),'HID-COMP'!B:J,9,FALSE),IF(LEFT(C176,3)="INC",VLOOKUP(VALUE(RIGHT(C176,3)),'INC-COMP'!B:J,9,FALSE),IF(LEFT(C176,3)="ELE",VLOOKUP(VALUE(RIGHT(C176,3)),#REF!,9,FALSE),IF(LEFT(C176,3)="CAB",VLOOKUP(VALUE(RIGHT(C176,3)),#REF!,9,FALSE),IF(LEFT(C176,3)="SEG",VLOOKUP(VALUE(RIGHT(C176,3)),'SEG-COMP'!B:J,9,FALSE),IF(LEFT(C176,3)="CLI",VLOOKUP(VALUE(RIGHT(C176,3)),'CLI-COMP'!B:J,9,FALSE),IF(LEFT(C176,4)="IMPL",VLOOKUP(VALUE(RIGHT(C176,3)),'IMPL-COMP'!B:J,9,FALSE),IF(LEFT(C176,4)="SPDA",VLOOKUP(VALUE(RIGHT(C176,3)),'SPDA-COMP'!B:J,9,FALSE),IF(LEFT(C176,4)="SDAI",VLOOKUP(VALUE(RIGHT(C176,3)),'ADM-COMP'!B:J,9,FALSE),IF(LEFT(C176,5)="IMPER",VLOOKUP(VALUE(RIGHT(C176,3)),'IMPER-COMP'!B:J,9,FALSE),""))))))))))))))))</f>
        <v>861.11</v>
      </c>
      <c r="H176" s="339">
        <f t="shared" ref="H176:H177" si="66">ROUND(F176*G176,2)</f>
        <v>8611.1</v>
      </c>
      <c r="I176" s="374">
        <f>H176/$H$441</f>
        <v>5.0348748175885931E-4</v>
      </c>
      <c r="J176" s="314"/>
    </row>
    <row r="177" spans="1:10" ht="66">
      <c r="A177" s="613" t="s">
        <v>35290</v>
      </c>
      <c r="B177" s="337" t="s">
        <v>2879</v>
      </c>
      <c r="C177" s="540">
        <f>141104</f>
        <v>141104</v>
      </c>
      <c r="D177" s="539" t="str">
        <f>IF(B177="IOPES",VLOOKUP(C177,'LABOR-SERVIÇOS'!A:H,5,FALSE),IF(B177="SINAPI",VLOOKUP(C177,'SINAPI-SERVIÇOS'!A:D,2,FALSE),IF(LEFT(C177,3)="ARQ",VLOOKUP(VALUE(RIGHT(C177,3)),'ARQ-COMP'!B:J,4,FALSE),IF(LEFT(C177,3)="SCI",VLOOKUP(VALUE(RIGHT(C177,3)),'GAS-COMP'!#REF!,4,FALSE),IF(LEFT(C177,3)="SCE",VLOOKUP(VALUE(RIGHT(C177,3)),'SCE-COMP'!B:J,4,FALSE),IF(LEFT(C177,3)="EST",VLOOKUP(VALUE(RIGHT(C177,3)),'EST-COMP'!B:J,4,FALSE),IF(LEFT(C177,3)="HID",VLOOKUP(VALUE(RIGHT(C177,3)),'HID-COMP'!B:J,4,FALSE),IF(LEFT(C177,3)="INC",VLOOKUP(VALUE(RIGHT(C177,3)),'INC-COMP'!B:J,4,FALSE),IF(LEFT(C177,3)="ELE",VLOOKUP(VALUE(RIGHT(C177,3)),#REF!,4,FALSE),IF(LEFT(C177,3)="CAB",VLOOKUP(VALUE(RIGHT(C177,3)),#REF!,4,FALSE),IF(LEFT(C177,3)="SEG",VLOOKUP(VALUE(RIGHT(C177,3)),'SEG-COMP'!B:J,4,FALSE),IF(LEFT(C177,3)="CLI",VLOOKUP(VALUE(RIGHT(C177,3)),'CLI-COMP'!B:J,4,FALSE),IF(LEFT(C177,4)="IMPL",VLOOKUP(VALUE(RIGHT(C177,3)),'IMPL-COMP'!B:J,4,FALSE),IF(LEFT(C177,4)="SPDA",VLOOKUP(VALUE(RIGHT(C177,3)),'SPDA-COMP'!B:J,4,FALSE),IF(LEFT(C177,4)="SDAI",VLOOKUP(VALUE(RIGHT(C177,3)),'ADM-COMP'!B:J,4,FALSE),IF(LEFT(C177,5)="IMPER",VLOOKUP(VALUE(RIGHT(C177,3)),'IMPER-COMP'!B:J,4,FALSE),""))))))))))))))))</f>
        <v>CAIXA DE GORDURA DE ALV. BLOCO CONCRETO 9X19X39CM, DIM.60X60CM E HMÁX=1M, COM TAMPA EM CONCRETO ESP.5CM, LASTRO CONCRETO ESP.10CM, REVESTIDA INTERN. C/ CHAPISCO E REBOCO IMPERMEAB, ESCAVAÇÃO, REATERRO E PAREDE INTERNA EM CONCRETO</v>
      </c>
      <c r="E177" s="338" t="str">
        <f>IF(B177="IOPES",VLOOKUP(C177,'LABOR-SERVIÇOS'!A:H,6,FALSE),IF(B177="SINAPI",VLOOKUP(C177,'SINAPI-SERVIÇOS'!A:D,3,FALSE),IF(LEFT(C177,3)="ARQ",VLOOKUP(VALUE(RIGHT(C177,3)),'ARQ-COMP'!B:J,5,FALSE),IF(LEFT(C177,3)="SCI",VLOOKUP(VALUE(RIGHT(C177,3)),'GAS-COMP'!#REF!,5,FALSE),IF(LEFT(C177,3)="SCE",VLOOKUP(VALUE(RIGHT(C177,3)),'SCE-COMP'!B:J,5,FALSE),IF(LEFT(C177,3)="EST",VLOOKUP(VALUE(RIGHT(C177,3)),'EST-COMP'!B:J,5,FALSE),IF(LEFT(C177,3)="HID",VLOOKUP(VALUE(RIGHT(C177,3)),'HID-COMP'!B:J,5,FALSE),IF(LEFT(C177,3)="INC",VLOOKUP(VALUE(RIGHT(C177,3)),'INC-COMP'!B:J,5,FALSE),IF(LEFT(C177,3)="ELE",VLOOKUP(VALUE(RIGHT(C177,3)),#REF!,5,FALSE),IF(LEFT(C177,3)="CAB",VLOOKUP(VALUE(RIGHT(C177,3)),#REF!,5,FALSE),IF(LEFT(C177,3)="SEG",VLOOKUP(VALUE(RIGHT(C177,3)),'SEG-COMP'!B:J,5,FALSE),IF(LEFT(C177,3)="CLI",VLOOKUP(VALUE(RIGHT(C177,3)),'CLI-COMP'!B:J,5,FALSE),IF(LEFT(C177,4)="IMPL",VLOOKUP(VALUE(RIGHT(C177,3)),'IMPL-COMP'!B:J,5,FALSE),IF(LEFT(C177,4)="SPDA",VLOOKUP(VALUE(RIGHT(C177,3)),'SPDA-COMP'!B:J,5,FALSE),IF(LEFT(C177,4)="SDAI",VLOOKUP(VALUE(RIGHT(C177,3)),'ADM-COMP'!B:J,5,FALSE),IF(LEFT(C177,5)="IMPER",VLOOKUP(VALUE(RIGHT(C177,3)),'IMPER-COMP'!B:J,5,FALSE),""))))))))))))))))</f>
        <v>UND</v>
      </c>
      <c r="F177" s="599">
        <f>ROUND(VLOOKUP(A177,'MEM-LEVANT'!A241:I2751,9,FALSE),2)</f>
        <v>1</v>
      </c>
      <c r="G177" s="339">
        <f>IF(B177="IOPES",VLOOKUP(C177,'LABOR-SERVIÇOS'!A:H,7,FALSE),IF(B177="SINAPI",VLOOKUP(C177,'SINAPI-SERVIÇOS'!A:H,8,FALSE),IF(LEFT(C177,3)="ARQ",VLOOKUP(VALUE(RIGHT(C177,3)),'ARQ-COMP'!B:J,9,FALSE),IF(LEFT(C177,3)="SCI",VLOOKUP(VALUE(RIGHT(C177,3)),'GAS-COMP'!#REF!,9,FALSE),IF(LEFT(C177,3)="SCE",VLOOKUP(VALUE(RIGHT(C177,3)),'SCE-COMP'!B:J,9,FALSE),IF(LEFT(C177,3)="EST",VLOOKUP(VALUE(RIGHT(C177,3)),'EST-COMP'!B:J,9,FALSE),IF(LEFT(C177,3)="HID",VLOOKUP(VALUE(RIGHT(C177,3)),'HID-COMP'!B:J,9,FALSE),IF(LEFT(C177,3)="INC",VLOOKUP(VALUE(RIGHT(C177,3)),'INC-COMP'!B:J,9,FALSE),IF(LEFT(C177,3)="ELE",VLOOKUP(VALUE(RIGHT(C177,3)),#REF!,9,FALSE),IF(LEFT(C177,3)="CAB",VLOOKUP(VALUE(RIGHT(C177,3)),#REF!,9,FALSE),IF(LEFT(C177,3)="SEG",VLOOKUP(VALUE(RIGHT(C177,3)),'SEG-COMP'!B:J,9,FALSE),IF(LEFT(C177,3)="CLI",VLOOKUP(VALUE(RIGHT(C177,3)),'CLI-COMP'!B:J,9,FALSE),IF(LEFT(C177,4)="IMPL",VLOOKUP(VALUE(RIGHT(C177,3)),'IMPL-COMP'!B:J,9,FALSE),IF(LEFT(C177,4)="SPDA",VLOOKUP(VALUE(RIGHT(C177,3)),'SPDA-COMP'!B:J,9,FALSE),IF(LEFT(C177,4)="SDAI",VLOOKUP(VALUE(RIGHT(C177,3)),'ADM-COMP'!B:J,9,FALSE),IF(LEFT(C177,5)="IMPER",VLOOKUP(VALUE(RIGHT(C177,3)),'IMPER-COMP'!B:J,9,FALSE),""))))))))))))))))</f>
        <v>914.75</v>
      </c>
      <c r="H177" s="339">
        <f t="shared" si="66"/>
        <v>914.75</v>
      </c>
      <c r="I177" s="374">
        <f>H177/$H$441</f>
        <v>5.3485056954270246E-5</v>
      </c>
      <c r="J177" s="314"/>
    </row>
    <row r="178" spans="1:10" ht="52.8">
      <c r="A178" s="613" t="s">
        <v>35291</v>
      </c>
      <c r="B178" s="337" t="s">
        <v>2879</v>
      </c>
      <c r="C178" s="540">
        <f>141111</f>
        <v>141111</v>
      </c>
      <c r="D178" s="539" t="str">
        <f>IF(B178="IOPES",VLOOKUP(C178,'LABOR-SERVIÇOS'!A:H,5,FALSE),IF(B178="SINAPI",VLOOKUP(C178,'SINAPI-SERVIÇOS'!A:D,2,FALSE),IF(LEFT(C178,3)="ARQ",VLOOKUP(VALUE(RIGHT(C178,3)),'ARQ-COMP'!B:J,4,FALSE),IF(LEFT(C178,3)="SCI",VLOOKUP(VALUE(RIGHT(C178,3)),'GAS-COMP'!#REF!,4,FALSE),IF(LEFT(C178,3)="SCE",VLOOKUP(VALUE(RIGHT(C178,3)),'SCE-COMP'!B:J,4,FALSE),IF(LEFT(C178,3)="EST",VLOOKUP(VALUE(RIGHT(C178,3)),'EST-COMP'!B:J,4,FALSE),IF(LEFT(C178,3)="HID",VLOOKUP(VALUE(RIGHT(C178,3)),'HID-COMP'!B:J,4,FALSE),IF(LEFT(C178,3)="INC",VLOOKUP(VALUE(RIGHT(C178,3)),'INC-COMP'!B:J,4,FALSE),IF(LEFT(C178,3)="ELE",VLOOKUP(VALUE(RIGHT(C178,3)),#REF!,4,FALSE),IF(LEFT(C178,3)="CAB",VLOOKUP(VALUE(RIGHT(C178,3)),#REF!,4,FALSE),IF(LEFT(C178,3)="SEG",VLOOKUP(VALUE(RIGHT(C178,3)),'SEG-COMP'!B:J,4,FALSE),IF(LEFT(C178,3)="CLI",VLOOKUP(VALUE(RIGHT(C178,3)),'CLI-COMP'!B:J,4,FALSE),IF(LEFT(C178,4)="IMPL",VLOOKUP(VALUE(RIGHT(C178,3)),'IMPL-COMP'!B:J,4,FALSE),IF(LEFT(C178,4)="SPDA",VLOOKUP(VALUE(RIGHT(C178,3)),'SPDA-COMP'!B:J,4,FALSE),IF(LEFT(C178,4)="SDAI",VLOOKUP(VALUE(RIGHT(C178,3)),'ADM-COMP'!B:J,4,FALSE),IF(LEFT(C178,5)="IMPER",VLOOKUP(VALUE(RIGHT(C178,3)),'IMPER-COMP'!B:J,4,FALSE),""))))))))))))))))</f>
        <v>CAIXA DE AREIA EM ALV. DE BLOCO DE CONCRETO 9X19X39, DIM. 60X60CM E HMÁX=1M, C/ TAMPA EM FERRO FUNDIDO, LASTRO DE CONCRETO ESP. 10CM, REVEST. INT. C/ CHAPISCO E REBOCO IMPERMEABILIZADO, INCL. ESCAVAÇÃO E REATERRO</v>
      </c>
      <c r="E178" s="338" t="str">
        <f>IF(B178="IOPES",VLOOKUP(C178,'LABOR-SERVIÇOS'!A:H,6,FALSE),IF(B178="SINAPI",VLOOKUP(C178,'SINAPI-SERVIÇOS'!A:D,3,FALSE),IF(LEFT(C178,3)="ARQ",VLOOKUP(VALUE(RIGHT(C178,3)),'ARQ-COMP'!B:J,5,FALSE),IF(LEFT(C178,3)="SCI",VLOOKUP(VALUE(RIGHT(C178,3)),'GAS-COMP'!#REF!,5,FALSE),IF(LEFT(C178,3)="SCE",VLOOKUP(VALUE(RIGHT(C178,3)),'SCE-COMP'!B:J,5,FALSE),IF(LEFT(C178,3)="EST",VLOOKUP(VALUE(RIGHT(C178,3)),'EST-COMP'!B:J,5,FALSE),IF(LEFT(C178,3)="HID",VLOOKUP(VALUE(RIGHT(C178,3)),'HID-COMP'!B:J,5,FALSE),IF(LEFT(C178,3)="INC",VLOOKUP(VALUE(RIGHT(C178,3)),'INC-COMP'!B:J,5,FALSE),IF(LEFT(C178,3)="ELE",VLOOKUP(VALUE(RIGHT(C178,3)),#REF!,5,FALSE),IF(LEFT(C178,3)="CAB",VLOOKUP(VALUE(RIGHT(C178,3)),#REF!,5,FALSE),IF(LEFT(C178,3)="SEG",VLOOKUP(VALUE(RIGHT(C178,3)),'SEG-COMP'!B:J,5,FALSE),IF(LEFT(C178,3)="CLI",VLOOKUP(VALUE(RIGHT(C178,3)),'CLI-COMP'!B:J,5,FALSE),IF(LEFT(C178,4)="IMPL",VLOOKUP(VALUE(RIGHT(C178,3)),'IMPL-COMP'!B:J,5,FALSE),IF(LEFT(C178,4)="SPDA",VLOOKUP(VALUE(RIGHT(C178,3)),'SPDA-COMP'!B:J,5,FALSE),IF(LEFT(C178,4)="SDAI",VLOOKUP(VALUE(RIGHT(C178,3)),'ADM-COMP'!B:J,5,FALSE),IF(LEFT(C178,5)="IMPER",VLOOKUP(VALUE(RIGHT(C178,3)),'IMPER-COMP'!B:J,5,FALSE),""))))))))))))))))</f>
        <v>UND</v>
      </c>
      <c r="F178" s="599">
        <f>ROUND(VLOOKUP(A178,'MEM-LEVANT'!A242:I2752,9,FALSE),2)</f>
        <v>12</v>
      </c>
      <c r="G178" s="339">
        <f>IF(B178="IOPES",VLOOKUP(C178,'LABOR-SERVIÇOS'!A:H,7,FALSE),IF(B178="SINAPI",VLOOKUP(C178,'SINAPI-SERVIÇOS'!A:H,8,FALSE),IF(LEFT(C178,3)="ARQ",VLOOKUP(VALUE(RIGHT(C178,3)),'ARQ-COMP'!B:J,9,FALSE),IF(LEFT(C178,3)="SCI",VLOOKUP(VALUE(RIGHT(C178,3)),'GAS-COMP'!#REF!,9,FALSE),IF(LEFT(C178,3)="SCE",VLOOKUP(VALUE(RIGHT(C178,3)),'SCE-COMP'!B:J,9,FALSE),IF(LEFT(C178,3)="EST",VLOOKUP(VALUE(RIGHT(C178,3)),'EST-COMP'!B:J,9,FALSE),IF(LEFT(C178,3)="HID",VLOOKUP(VALUE(RIGHT(C178,3)),'HID-COMP'!B:J,9,FALSE),IF(LEFT(C178,3)="INC",VLOOKUP(VALUE(RIGHT(C178,3)),'INC-COMP'!B:J,9,FALSE),IF(LEFT(C178,3)="ELE",VLOOKUP(VALUE(RIGHT(C178,3)),#REF!,9,FALSE),IF(LEFT(C178,3)="CAB",VLOOKUP(VALUE(RIGHT(C178,3)),#REF!,9,FALSE),IF(LEFT(C178,3)="SEG",VLOOKUP(VALUE(RIGHT(C178,3)),'SEG-COMP'!B:J,9,FALSE),IF(LEFT(C178,3)="CLI",VLOOKUP(VALUE(RIGHT(C178,3)),'CLI-COMP'!B:J,9,FALSE),IF(LEFT(C178,4)="IMPL",VLOOKUP(VALUE(RIGHT(C178,3)),'IMPL-COMP'!B:J,9,FALSE),IF(LEFT(C178,4)="SPDA",VLOOKUP(VALUE(RIGHT(C178,3)),'SPDA-COMP'!B:J,9,FALSE),IF(LEFT(C178,4)="SDAI",VLOOKUP(VALUE(RIGHT(C178,3)),'ADM-COMP'!B:J,9,FALSE),IF(LEFT(C178,5)="IMPER",VLOOKUP(VALUE(RIGHT(C178,3)),'IMPER-COMP'!B:J,9,FALSE),""))))))))))))))))</f>
        <v>1123.83</v>
      </c>
      <c r="H178" s="339">
        <f t="shared" ref="H178" si="67">ROUND(F178*G178,2)</f>
        <v>13485.96</v>
      </c>
      <c r="I178" s="374">
        <f>H178/$H$441</f>
        <v>7.8851854461110728E-4</v>
      </c>
      <c r="J178" s="314"/>
    </row>
    <row r="179" spans="1:10">
      <c r="A179" s="553" t="s">
        <v>35292</v>
      </c>
      <c r="B179" s="554"/>
      <c r="C179" s="555"/>
      <c r="D179" s="556" t="s">
        <v>1365</v>
      </c>
      <c r="E179" s="557"/>
      <c r="F179" s="598"/>
      <c r="G179" s="558"/>
      <c r="H179" s="559"/>
      <c r="I179" s="560"/>
      <c r="J179" s="314"/>
    </row>
    <row r="180" spans="1:10" ht="26.4">
      <c r="A180" s="613" t="s">
        <v>35293</v>
      </c>
      <c r="B180" s="337" t="s">
        <v>2879</v>
      </c>
      <c r="C180" s="540">
        <f>141410</f>
        <v>141410</v>
      </c>
      <c r="D180" s="539" t="str">
        <f>IF(B180="IOPES",VLOOKUP(C180,'LABOR-SERVIÇOS'!A:H,5,FALSE),IF(B180="SINAPI",VLOOKUP(C180,'SINAPI-SERVIÇOS'!A:D,2,FALSE),IF(LEFT(C180,3)="ARQ",VLOOKUP(VALUE(RIGHT(C180,3)),'ARQ-COMP'!B:J,4,FALSE),IF(LEFT(C180,3)="SCI",VLOOKUP(VALUE(RIGHT(C180,3)),'GAS-COMP'!#REF!,4,FALSE),IF(LEFT(C180,3)="SCE",VLOOKUP(VALUE(RIGHT(C180,3)),'SCE-COMP'!B:J,4,FALSE),IF(LEFT(C180,3)="EST",VLOOKUP(VALUE(RIGHT(C180,3)),'EST-COMP'!B:J,4,FALSE),IF(LEFT(C180,3)="HID",VLOOKUP(VALUE(RIGHT(C180,3)),'HID-COMP'!B:J,4,FALSE),IF(LEFT(C180,3)="INC",VLOOKUP(VALUE(RIGHT(C180,3)),'INC-COMP'!B:J,4,FALSE),IF(LEFT(C180,3)="ELE",VLOOKUP(VALUE(RIGHT(C180,3)),#REF!,4,FALSE),IF(LEFT(C180,3)="CAB",VLOOKUP(VALUE(RIGHT(C180,3)),#REF!,4,FALSE),IF(LEFT(C180,3)="SEG",VLOOKUP(VALUE(RIGHT(C180,3)),'SEG-COMP'!B:J,4,FALSE),IF(LEFT(C180,3)="CLI",VLOOKUP(VALUE(RIGHT(C180,3)),'CLI-COMP'!B:J,4,FALSE),IF(LEFT(C180,4)="IMPL",VLOOKUP(VALUE(RIGHT(C180,3)),'IMPL-COMP'!B:J,4,FALSE),IF(LEFT(C180,4)="SPDA",VLOOKUP(VALUE(RIGHT(C180,3)),'SPDA-COMP'!B:J,4,FALSE),IF(LEFT(C180,4)="SDAI",VLOOKUP(VALUE(RIGHT(C180,3)),'ADM-COMP'!B:J,4,FALSE),IF(LEFT(C180,5)="IMPER",VLOOKUP(VALUE(RIGHT(C180,3)),'IMPER-COMP'!B:J,4,FALSE),""))))))))))))))))</f>
        <v>TUBO DE PVC RÍGIDO SOLDÁVEL MARROM, DN 25MM (3/4"), INCLUSIVE CONEXÕES</v>
      </c>
      <c r="E180" s="338" t="str">
        <f>IF(B180="IOPES",VLOOKUP(C180,'LABOR-SERVIÇOS'!A:H,6,FALSE),IF(B180="SINAPI",VLOOKUP(C180,'SINAPI-SERVIÇOS'!A:D,3,FALSE),IF(LEFT(C180,3)="ARQ",VLOOKUP(VALUE(RIGHT(C180,3)),'ARQ-COMP'!B:J,5,FALSE),IF(LEFT(C180,3)="SCI",VLOOKUP(VALUE(RIGHT(C180,3)),'GAS-COMP'!#REF!,5,FALSE),IF(LEFT(C180,3)="SCE",VLOOKUP(VALUE(RIGHT(C180,3)),'SCE-COMP'!B:J,5,FALSE),IF(LEFT(C180,3)="EST",VLOOKUP(VALUE(RIGHT(C180,3)),'EST-COMP'!B:J,5,FALSE),IF(LEFT(C180,3)="HID",VLOOKUP(VALUE(RIGHT(C180,3)),'HID-COMP'!B:J,5,FALSE),IF(LEFT(C180,3)="INC",VLOOKUP(VALUE(RIGHT(C180,3)),'INC-COMP'!B:J,5,FALSE),IF(LEFT(C180,3)="ELE",VLOOKUP(VALUE(RIGHT(C180,3)),#REF!,5,FALSE),IF(LEFT(C180,3)="CAB",VLOOKUP(VALUE(RIGHT(C180,3)),#REF!,5,FALSE),IF(LEFT(C180,3)="SEG",VLOOKUP(VALUE(RIGHT(C180,3)),'SEG-COMP'!B:J,5,FALSE),IF(LEFT(C180,3)="CLI",VLOOKUP(VALUE(RIGHT(C180,3)),'CLI-COMP'!B:J,5,FALSE),IF(LEFT(C180,4)="IMPL",VLOOKUP(VALUE(RIGHT(C180,3)),'IMPL-COMP'!B:J,5,FALSE),IF(LEFT(C180,4)="SPDA",VLOOKUP(VALUE(RIGHT(C180,3)),'SPDA-COMP'!B:J,5,FALSE),IF(LEFT(C180,4)="SDAI",VLOOKUP(VALUE(RIGHT(C180,3)),'ADM-COMP'!B:J,5,FALSE),IF(LEFT(C180,5)="IMPER",VLOOKUP(VALUE(RIGHT(C180,3)),'IMPER-COMP'!B:J,5,FALSE),""))))))))))))))))</f>
        <v>M</v>
      </c>
      <c r="F180" s="599">
        <f>ROUND(VLOOKUP(A180,'MEM-LEVANT'!A243:I2753,9,FALSE),2)</f>
        <v>180</v>
      </c>
      <c r="G180" s="339">
        <f>IF(B180="IOPES",VLOOKUP(C180,'LABOR-SERVIÇOS'!A:H,7,FALSE),IF(B180="SINAPI",VLOOKUP(C180,'SINAPI-SERVIÇOS'!A:H,8,FALSE),IF(LEFT(C180,3)="ARQ",VLOOKUP(VALUE(RIGHT(C180,3)),'ARQ-COMP'!B:J,9,FALSE),IF(LEFT(C180,3)="SCI",VLOOKUP(VALUE(RIGHT(C180,3)),'GAS-COMP'!#REF!,9,FALSE),IF(LEFT(C180,3)="SCE",VLOOKUP(VALUE(RIGHT(C180,3)),'SCE-COMP'!B:J,9,FALSE),IF(LEFT(C180,3)="EST",VLOOKUP(VALUE(RIGHT(C180,3)),'EST-COMP'!B:J,9,FALSE),IF(LEFT(C180,3)="HID",VLOOKUP(VALUE(RIGHT(C180,3)),'HID-COMP'!B:J,9,FALSE),IF(LEFT(C180,3)="INC",VLOOKUP(VALUE(RIGHT(C180,3)),'INC-COMP'!B:J,9,FALSE),IF(LEFT(C180,3)="ELE",VLOOKUP(VALUE(RIGHT(C180,3)),#REF!,9,FALSE),IF(LEFT(C180,3)="CAB",VLOOKUP(VALUE(RIGHT(C180,3)),#REF!,9,FALSE),IF(LEFT(C180,3)="SEG",VLOOKUP(VALUE(RIGHT(C180,3)),'SEG-COMP'!B:J,9,FALSE),IF(LEFT(C180,3)="CLI",VLOOKUP(VALUE(RIGHT(C180,3)),'CLI-COMP'!B:J,9,FALSE),IF(LEFT(C180,4)="IMPL",VLOOKUP(VALUE(RIGHT(C180,3)),'IMPL-COMP'!B:J,9,FALSE),IF(LEFT(C180,4)="SPDA",VLOOKUP(VALUE(RIGHT(C180,3)),'SPDA-COMP'!B:J,9,FALSE),IF(LEFT(C180,4)="SDAI",VLOOKUP(VALUE(RIGHT(C180,3)),'ADM-COMP'!B:J,9,FALSE),IF(LEFT(C180,5)="IMPER",VLOOKUP(VALUE(RIGHT(C180,3)),'IMPER-COMP'!B:J,9,FALSE),""))))))))))))))))</f>
        <v>32.53</v>
      </c>
      <c r="H180" s="339">
        <f t="shared" ref="H180:H182" si="68">ROUND(F180*G180,2)</f>
        <v>5855.4</v>
      </c>
      <c r="I180" s="374">
        <f>H180/$H$441</f>
        <v>3.4236283409678489E-4</v>
      </c>
      <c r="J180" s="314"/>
    </row>
    <row r="181" spans="1:10" ht="26.4">
      <c r="A181" s="613" t="s">
        <v>35294</v>
      </c>
      <c r="B181" s="337" t="s">
        <v>2879</v>
      </c>
      <c r="C181" s="540">
        <f>141411</f>
        <v>141411</v>
      </c>
      <c r="D181" s="539" t="str">
        <f>IF(B181="IOPES",VLOOKUP(C181,'LABOR-SERVIÇOS'!A:H,5,FALSE),IF(B181="SINAPI",VLOOKUP(C181,'SINAPI-SERVIÇOS'!A:D,2,FALSE),IF(LEFT(C181,3)="ARQ",VLOOKUP(VALUE(RIGHT(C181,3)),'ARQ-COMP'!B:J,4,FALSE),IF(LEFT(C181,3)="SCI",VLOOKUP(VALUE(RIGHT(C181,3)),'GAS-COMP'!#REF!,4,FALSE),IF(LEFT(C181,3)="SCE",VLOOKUP(VALUE(RIGHT(C181,3)),'SCE-COMP'!B:J,4,FALSE),IF(LEFT(C181,3)="EST",VLOOKUP(VALUE(RIGHT(C181,3)),'EST-COMP'!B:J,4,FALSE),IF(LEFT(C181,3)="HID",VLOOKUP(VALUE(RIGHT(C181,3)),'HID-COMP'!B:J,4,FALSE),IF(LEFT(C181,3)="INC",VLOOKUP(VALUE(RIGHT(C181,3)),'INC-COMP'!B:J,4,FALSE),IF(LEFT(C181,3)="ELE",VLOOKUP(VALUE(RIGHT(C181,3)),#REF!,4,FALSE),IF(LEFT(C181,3)="CAB",VLOOKUP(VALUE(RIGHT(C181,3)),#REF!,4,FALSE),IF(LEFT(C181,3)="SEG",VLOOKUP(VALUE(RIGHT(C181,3)),'SEG-COMP'!B:J,4,FALSE),IF(LEFT(C181,3)="CLI",VLOOKUP(VALUE(RIGHT(C181,3)),'CLI-COMP'!B:J,4,FALSE),IF(LEFT(C181,4)="IMPL",VLOOKUP(VALUE(RIGHT(C181,3)),'IMPL-COMP'!B:J,4,FALSE),IF(LEFT(C181,4)="SPDA",VLOOKUP(VALUE(RIGHT(C181,3)),'SPDA-COMP'!B:J,4,FALSE),IF(LEFT(C181,4)="SDAI",VLOOKUP(VALUE(RIGHT(C181,3)),'ADM-COMP'!B:J,4,FALSE),IF(LEFT(C181,5)="IMPER",VLOOKUP(VALUE(RIGHT(C181,3)),'IMPER-COMP'!B:J,4,FALSE),""))))))))))))))))</f>
        <v>TUBO DE PVC RÍGIDO SOLDÁVEL MARROM, DN 32MM (1"), INCLUSIVE CONEXÕES</v>
      </c>
      <c r="E181" s="338" t="str">
        <f>IF(B181="IOPES",VLOOKUP(C181,'LABOR-SERVIÇOS'!A:H,6,FALSE),IF(B181="SINAPI",VLOOKUP(C181,'SINAPI-SERVIÇOS'!A:D,3,FALSE),IF(LEFT(C181,3)="ARQ",VLOOKUP(VALUE(RIGHT(C181,3)),'ARQ-COMP'!B:J,5,FALSE),IF(LEFT(C181,3)="SCI",VLOOKUP(VALUE(RIGHT(C181,3)),'GAS-COMP'!#REF!,5,FALSE),IF(LEFT(C181,3)="SCE",VLOOKUP(VALUE(RIGHT(C181,3)),'SCE-COMP'!B:J,5,FALSE),IF(LEFT(C181,3)="EST",VLOOKUP(VALUE(RIGHT(C181,3)),'EST-COMP'!B:J,5,FALSE),IF(LEFT(C181,3)="HID",VLOOKUP(VALUE(RIGHT(C181,3)),'HID-COMP'!B:J,5,FALSE),IF(LEFT(C181,3)="INC",VLOOKUP(VALUE(RIGHT(C181,3)),'INC-COMP'!B:J,5,FALSE),IF(LEFT(C181,3)="ELE",VLOOKUP(VALUE(RIGHT(C181,3)),#REF!,5,FALSE),IF(LEFT(C181,3)="CAB",VLOOKUP(VALUE(RIGHT(C181,3)),#REF!,5,FALSE),IF(LEFT(C181,3)="SEG",VLOOKUP(VALUE(RIGHT(C181,3)),'SEG-COMP'!B:J,5,FALSE),IF(LEFT(C181,3)="CLI",VLOOKUP(VALUE(RIGHT(C181,3)),'CLI-COMP'!B:J,5,FALSE),IF(LEFT(C181,4)="IMPL",VLOOKUP(VALUE(RIGHT(C181,3)),'IMPL-COMP'!B:J,5,FALSE),IF(LEFT(C181,4)="SPDA",VLOOKUP(VALUE(RIGHT(C181,3)),'SPDA-COMP'!B:J,5,FALSE),IF(LEFT(C181,4)="SDAI",VLOOKUP(VALUE(RIGHT(C181,3)),'ADM-COMP'!B:J,5,FALSE),IF(LEFT(C181,5)="IMPER",VLOOKUP(VALUE(RIGHT(C181,3)),'IMPER-COMP'!B:J,5,FALSE),""))))))))))))))))</f>
        <v>M</v>
      </c>
      <c r="F181" s="599">
        <f>ROUND(VLOOKUP(A181,'MEM-LEVANT'!A245:I2754,9,FALSE),2)</f>
        <v>270</v>
      </c>
      <c r="G181" s="339">
        <f>IF(B181="IOPES",VLOOKUP(C181,'LABOR-SERVIÇOS'!A:H,7,FALSE),IF(B181="SINAPI",VLOOKUP(C181,'SINAPI-SERVIÇOS'!A:H,8,FALSE),IF(LEFT(C181,3)="ARQ",VLOOKUP(VALUE(RIGHT(C181,3)),'ARQ-COMP'!B:J,9,FALSE),IF(LEFT(C181,3)="SCI",VLOOKUP(VALUE(RIGHT(C181,3)),'GAS-COMP'!#REF!,9,FALSE),IF(LEFT(C181,3)="SCE",VLOOKUP(VALUE(RIGHT(C181,3)),'SCE-COMP'!B:J,9,FALSE),IF(LEFT(C181,3)="EST",VLOOKUP(VALUE(RIGHT(C181,3)),'EST-COMP'!B:J,9,FALSE),IF(LEFT(C181,3)="HID",VLOOKUP(VALUE(RIGHT(C181,3)),'HID-COMP'!B:J,9,FALSE),IF(LEFT(C181,3)="INC",VLOOKUP(VALUE(RIGHT(C181,3)),'INC-COMP'!B:J,9,FALSE),IF(LEFT(C181,3)="ELE",VLOOKUP(VALUE(RIGHT(C181,3)),#REF!,9,FALSE),IF(LEFT(C181,3)="CAB",VLOOKUP(VALUE(RIGHT(C181,3)),#REF!,9,FALSE),IF(LEFT(C181,3)="SEG",VLOOKUP(VALUE(RIGHT(C181,3)),'SEG-COMP'!B:J,9,FALSE),IF(LEFT(C181,3)="CLI",VLOOKUP(VALUE(RIGHT(C181,3)),'CLI-COMP'!B:J,9,FALSE),IF(LEFT(C181,4)="IMPL",VLOOKUP(VALUE(RIGHT(C181,3)),'IMPL-COMP'!B:J,9,FALSE),IF(LEFT(C181,4)="SPDA",VLOOKUP(VALUE(RIGHT(C181,3)),'SPDA-COMP'!B:J,9,FALSE),IF(LEFT(C181,4)="SDAI",VLOOKUP(VALUE(RIGHT(C181,3)),'ADM-COMP'!B:J,9,FALSE),IF(LEFT(C181,5)="IMPER",VLOOKUP(VALUE(RIGHT(C181,3)),'IMPER-COMP'!B:J,9,FALSE),""))))))))))))))))</f>
        <v>39.200000000000003</v>
      </c>
      <c r="H181" s="339">
        <f t="shared" si="68"/>
        <v>10584</v>
      </c>
      <c r="I181" s="374">
        <f>H181/$H$441</f>
        <v>6.1884213479529524E-4</v>
      </c>
      <c r="J181" s="314"/>
    </row>
    <row r="182" spans="1:10" ht="26.4">
      <c r="A182" s="613" t="s">
        <v>35295</v>
      </c>
      <c r="B182" s="337" t="s">
        <v>2879</v>
      </c>
      <c r="C182" s="540">
        <f>141412</f>
        <v>141412</v>
      </c>
      <c r="D182" s="539" t="str">
        <f>IF(B182="IOPES",VLOOKUP(C182,'LABOR-SERVIÇOS'!A:H,5,FALSE),IF(B182="SINAPI",VLOOKUP(C182,'SINAPI-SERVIÇOS'!A:D,2,FALSE),IF(LEFT(C182,3)="ARQ",VLOOKUP(VALUE(RIGHT(C182,3)),'ARQ-COMP'!B:J,4,FALSE),IF(LEFT(C182,3)="SCI",VLOOKUP(VALUE(RIGHT(C182,3)),'GAS-COMP'!#REF!,4,FALSE),IF(LEFT(C182,3)="SCE",VLOOKUP(VALUE(RIGHT(C182,3)),'SCE-COMP'!B:J,4,FALSE),IF(LEFT(C182,3)="EST",VLOOKUP(VALUE(RIGHT(C182,3)),'EST-COMP'!B:J,4,FALSE),IF(LEFT(C182,3)="HID",VLOOKUP(VALUE(RIGHT(C182,3)),'HID-COMP'!B:J,4,FALSE),IF(LEFT(C182,3)="INC",VLOOKUP(VALUE(RIGHT(C182,3)),'INC-COMP'!B:J,4,FALSE),IF(LEFT(C182,3)="ELE",VLOOKUP(VALUE(RIGHT(C182,3)),#REF!,4,FALSE),IF(LEFT(C182,3)="CAB",VLOOKUP(VALUE(RIGHT(C182,3)),#REF!,4,FALSE),IF(LEFT(C182,3)="SEG",VLOOKUP(VALUE(RIGHT(C182,3)),'SEG-COMP'!B:J,4,FALSE),IF(LEFT(C182,3)="CLI",VLOOKUP(VALUE(RIGHT(C182,3)),'CLI-COMP'!B:J,4,FALSE),IF(LEFT(C182,4)="IMPL",VLOOKUP(VALUE(RIGHT(C182,3)),'IMPL-COMP'!B:J,4,FALSE),IF(LEFT(C182,4)="SPDA",VLOOKUP(VALUE(RIGHT(C182,3)),'SPDA-COMP'!B:J,4,FALSE),IF(LEFT(C182,4)="SDAI",VLOOKUP(VALUE(RIGHT(C182,3)),'ADM-COMP'!B:J,4,FALSE),IF(LEFT(C182,5)="IMPER",VLOOKUP(VALUE(RIGHT(C182,3)),'IMPER-COMP'!B:J,4,FALSE),""))))))))))))))))</f>
        <v>TUBO DE PVC RÍGIDO SOLDÁVEL MARROM, DN 40MM (1.1/4"), INCLUSIVE CONEXÕES</v>
      </c>
      <c r="E182" s="338" t="str">
        <f>IF(B182="IOPES",VLOOKUP(C182,'LABOR-SERVIÇOS'!A:H,6,FALSE),IF(B182="SINAPI",VLOOKUP(C182,'SINAPI-SERVIÇOS'!A:D,3,FALSE),IF(LEFT(C182,3)="ARQ",VLOOKUP(VALUE(RIGHT(C182,3)),'ARQ-COMP'!B:J,5,FALSE),IF(LEFT(C182,3)="SCI",VLOOKUP(VALUE(RIGHT(C182,3)),'GAS-COMP'!#REF!,5,FALSE),IF(LEFT(C182,3)="SCE",VLOOKUP(VALUE(RIGHT(C182,3)),'SCE-COMP'!B:J,5,FALSE),IF(LEFT(C182,3)="EST",VLOOKUP(VALUE(RIGHT(C182,3)),'EST-COMP'!B:J,5,FALSE),IF(LEFT(C182,3)="HID",VLOOKUP(VALUE(RIGHT(C182,3)),'HID-COMP'!B:J,5,FALSE),IF(LEFT(C182,3)="INC",VLOOKUP(VALUE(RIGHT(C182,3)),'INC-COMP'!B:J,5,FALSE),IF(LEFT(C182,3)="ELE",VLOOKUP(VALUE(RIGHT(C182,3)),#REF!,5,FALSE),IF(LEFT(C182,3)="CAB",VLOOKUP(VALUE(RIGHT(C182,3)),#REF!,5,FALSE),IF(LEFT(C182,3)="SEG",VLOOKUP(VALUE(RIGHT(C182,3)),'SEG-COMP'!B:J,5,FALSE),IF(LEFT(C182,3)="CLI",VLOOKUP(VALUE(RIGHT(C182,3)),'CLI-COMP'!B:J,5,FALSE),IF(LEFT(C182,4)="IMPL",VLOOKUP(VALUE(RIGHT(C182,3)),'IMPL-COMP'!B:J,5,FALSE),IF(LEFT(C182,4)="SPDA",VLOOKUP(VALUE(RIGHT(C182,3)),'SPDA-COMP'!B:J,5,FALSE),IF(LEFT(C182,4)="SDAI",VLOOKUP(VALUE(RIGHT(C182,3)),'ADM-COMP'!B:J,5,FALSE),IF(LEFT(C182,5)="IMPER",VLOOKUP(VALUE(RIGHT(C182,3)),'IMPER-COMP'!B:J,5,FALSE),""))))))))))))))))</f>
        <v>M</v>
      </c>
      <c r="F182" s="599">
        <f>ROUND(VLOOKUP(A182,'MEM-LEVANT'!A246:I2755,9,FALSE),2)</f>
        <v>540</v>
      </c>
      <c r="G182" s="339">
        <f>IF(B182="IOPES",VLOOKUP(C182,'LABOR-SERVIÇOS'!A:H,7,FALSE),IF(B182="SINAPI",VLOOKUP(C182,'SINAPI-SERVIÇOS'!A:H,8,FALSE),IF(LEFT(C182,3)="ARQ",VLOOKUP(VALUE(RIGHT(C182,3)),'ARQ-COMP'!B:J,9,FALSE),IF(LEFT(C182,3)="SCI",VLOOKUP(VALUE(RIGHT(C182,3)),'GAS-COMP'!#REF!,9,FALSE),IF(LEFT(C182,3)="SCE",VLOOKUP(VALUE(RIGHT(C182,3)),'SCE-COMP'!B:J,9,FALSE),IF(LEFT(C182,3)="EST",VLOOKUP(VALUE(RIGHT(C182,3)),'EST-COMP'!B:J,9,FALSE),IF(LEFT(C182,3)="HID",VLOOKUP(VALUE(RIGHT(C182,3)),'HID-COMP'!B:J,9,FALSE),IF(LEFT(C182,3)="INC",VLOOKUP(VALUE(RIGHT(C182,3)),'INC-COMP'!B:J,9,FALSE),IF(LEFT(C182,3)="ELE",VLOOKUP(VALUE(RIGHT(C182,3)),#REF!,9,FALSE),IF(LEFT(C182,3)="CAB",VLOOKUP(VALUE(RIGHT(C182,3)),#REF!,9,FALSE),IF(LEFT(C182,3)="SEG",VLOOKUP(VALUE(RIGHT(C182,3)),'SEG-COMP'!B:J,9,FALSE),IF(LEFT(C182,3)="CLI",VLOOKUP(VALUE(RIGHT(C182,3)),'CLI-COMP'!B:J,9,FALSE),IF(LEFT(C182,4)="IMPL",VLOOKUP(VALUE(RIGHT(C182,3)),'IMPL-COMP'!B:J,9,FALSE),IF(LEFT(C182,4)="SPDA",VLOOKUP(VALUE(RIGHT(C182,3)),'SPDA-COMP'!B:J,9,FALSE),IF(LEFT(C182,4)="SDAI",VLOOKUP(VALUE(RIGHT(C182,3)),'ADM-COMP'!B:J,9,FALSE),IF(LEFT(C182,5)="IMPER",VLOOKUP(VALUE(RIGHT(C182,3)),'IMPER-COMP'!B:J,9,FALSE),""))))))))))))))))</f>
        <v>50.42</v>
      </c>
      <c r="H182" s="339">
        <f t="shared" si="68"/>
        <v>27226.799999999999</v>
      </c>
      <c r="I182" s="374">
        <f>H182/$H$441</f>
        <v>1.591939818182591E-3</v>
      </c>
      <c r="J182" s="314"/>
    </row>
    <row r="183" spans="1:10" ht="26.4">
      <c r="A183" s="613" t="s">
        <v>35296</v>
      </c>
      <c r="B183" s="337" t="s">
        <v>2879</v>
      </c>
      <c r="C183" s="540">
        <f>141413</f>
        <v>141413</v>
      </c>
      <c r="D183" s="539" t="str">
        <f>IF(B183="IOPES",VLOOKUP(C183,'LABOR-SERVIÇOS'!A:H,5,FALSE),IF(B183="SINAPI",VLOOKUP(C183,'SINAPI-SERVIÇOS'!A:D,2,FALSE),IF(LEFT(C183,3)="ARQ",VLOOKUP(VALUE(RIGHT(C183,3)),'ARQ-COMP'!B:J,4,FALSE),IF(LEFT(C183,3)="SCI",VLOOKUP(VALUE(RIGHT(C183,3)),'GAS-COMP'!#REF!,4,FALSE),IF(LEFT(C183,3)="SCE",VLOOKUP(VALUE(RIGHT(C183,3)),'SCE-COMP'!B:J,4,FALSE),IF(LEFT(C183,3)="EST",VLOOKUP(VALUE(RIGHT(C183,3)),'EST-COMP'!B:J,4,FALSE),IF(LEFT(C183,3)="HID",VLOOKUP(VALUE(RIGHT(C183,3)),'HID-COMP'!B:J,4,FALSE),IF(LEFT(C183,3)="INC",VLOOKUP(VALUE(RIGHT(C183,3)),'INC-COMP'!B:J,4,FALSE),IF(LEFT(C183,3)="ELE",VLOOKUP(VALUE(RIGHT(C183,3)),#REF!,4,FALSE),IF(LEFT(C183,3)="CAB",VLOOKUP(VALUE(RIGHT(C183,3)),#REF!,4,FALSE),IF(LEFT(C183,3)="SEG",VLOOKUP(VALUE(RIGHT(C183,3)),'SEG-COMP'!B:J,4,FALSE),IF(LEFT(C183,3)="CLI",VLOOKUP(VALUE(RIGHT(C183,3)),'CLI-COMP'!B:J,4,FALSE),IF(LEFT(C183,4)="IMPL",VLOOKUP(VALUE(RIGHT(C183,3)),'IMPL-COMP'!B:J,4,FALSE),IF(LEFT(C183,4)="SPDA",VLOOKUP(VALUE(RIGHT(C183,3)),'SPDA-COMP'!B:J,4,FALSE),IF(LEFT(C183,4)="SDAI",VLOOKUP(VALUE(RIGHT(C183,3)),'ADM-COMP'!B:J,4,FALSE),IF(LEFT(C183,5)="IMPER",VLOOKUP(VALUE(RIGHT(C183,3)),'IMPER-COMP'!B:J,4,FALSE),""))))))))))))))))</f>
        <v>TUBO DE PVC RÍGIDO SOLDÁVEL MARROM, DN 50MM (1.1/2"), INCLUSIVE CONEXÕES</v>
      </c>
      <c r="E183" s="338" t="str">
        <f>IF(B183="IOPES",VLOOKUP(C183,'LABOR-SERVIÇOS'!A:H,6,FALSE),IF(B183="SINAPI",VLOOKUP(C183,'SINAPI-SERVIÇOS'!A:D,3,FALSE),IF(LEFT(C183,3)="ARQ",VLOOKUP(VALUE(RIGHT(C183,3)),'ARQ-COMP'!B:J,5,FALSE),IF(LEFT(C183,3)="SCI",VLOOKUP(VALUE(RIGHT(C183,3)),'GAS-COMP'!#REF!,5,FALSE),IF(LEFT(C183,3)="SCE",VLOOKUP(VALUE(RIGHT(C183,3)),'SCE-COMP'!B:J,5,FALSE),IF(LEFT(C183,3)="EST",VLOOKUP(VALUE(RIGHT(C183,3)),'EST-COMP'!B:J,5,FALSE),IF(LEFT(C183,3)="HID",VLOOKUP(VALUE(RIGHT(C183,3)),'HID-COMP'!B:J,5,FALSE),IF(LEFT(C183,3)="INC",VLOOKUP(VALUE(RIGHT(C183,3)),'INC-COMP'!B:J,5,FALSE),IF(LEFT(C183,3)="ELE",VLOOKUP(VALUE(RIGHT(C183,3)),#REF!,5,FALSE),IF(LEFT(C183,3)="CAB",VLOOKUP(VALUE(RIGHT(C183,3)),#REF!,5,FALSE),IF(LEFT(C183,3)="SEG",VLOOKUP(VALUE(RIGHT(C183,3)),'SEG-COMP'!B:J,5,FALSE),IF(LEFT(C183,3)="CLI",VLOOKUP(VALUE(RIGHT(C183,3)),'CLI-COMP'!B:J,5,FALSE),IF(LEFT(C183,4)="IMPL",VLOOKUP(VALUE(RIGHT(C183,3)),'IMPL-COMP'!B:J,5,FALSE),IF(LEFT(C183,4)="SPDA",VLOOKUP(VALUE(RIGHT(C183,3)),'SPDA-COMP'!B:J,5,FALSE),IF(LEFT(C183,4)="SDAI",VLOOKUP(VALUE(RIGHT(C183,3)),'ADM-COMP'!B:J,5,FALSE),IF(LEFT(C183,5)="IMPER",VLOOKUP(VALUE(RIGHT(C183,3)),'IMPER-COMP'!B:J,5,FALSE),""))))))))))))))))</f>
        <v>M</v>
      </c>
      <c r="F183" s="599">
        <f>ROUND(VLOOKUP(A183,'MEM-LEVANT'!A247:I2756,9,FALSE),2)</f>
        <v>40</v>
      </c>
      <c r="G183" s="339">
        <f>IF(B183="IOPES",VLOOKUP(C183,'LABOR-SERVIÇOS'!A:H,7,FALSE),IF(B183="SINAPI",VLOOKUP(C183,'SINAPI-SERVIÇOS'!A:H,8,FALSE),IF(LEFT(C183,3)="ARQ",VLOOKUP(VALUE(RIGHT(C183,3)),'ARQ-COMP'!B:J,9,FALSE),IF(LEFT(C183,3)="SCI",VLOOKUP(VALUE(RIGHT(C183,3)),'GAS-COMP'!#REF!,9,FALSE),IF(LEFT(C183,3)="SCE",VLOOKUP(VALUE(RIGHT(C183,3)),'SCE-COMP'!B:J,9,FALSE),IF(LEFT(C183,3)="EST",VLOOKUP(VALUE(RIGHT(C183,3)),'EST-COMP'!B:J,9,FALSE),IF(LEFT(C183,3)="HID",VLOOKUP(VALUE(RIGHT(C183,3)),'HID-COMP'!B:J,9,FALSE),IF(LEFT(C183,3)="INC",VLOOKUP(VALUE(RIGHT(C183,3)),'INC-COMP'!B:J,9,FALSE),IF(LEFT(C183,3)="ELE",VLOOKUP(VALUE(RIGHT(C183,3)),#REF!,9,FALSE),IF(LEFT(C183,3)="CAB",VLOOKUP(VALUE(RIGHT(C183,3)),#REF!,9,FALSE),IF(LEFT(C183,3)="SEG",VLOOKUP(VALUE(RIGHT(C183,3)),'SEG-COMP'!B:J,9,FALSE),IF(LEFT(C183,3)="CLI",VLOOKUP(VALUE(RIGHT(C183,3)),'CLI-COMP'!B:J,9,FALSE),IF(LEFT(C183,4)="IMPL",VLOOKUP(VALUE(RIGHT(C183,3)),'IMPL-COMP'!B:J,9,FALSE),IF(LEFT(C183,4)="SPDA",VLOOKUP(VALUE(RIGHT(C183,3)),'SPDA-COMP'!B:J,9,FALSE),IF(LEFT(C183,4)="SDAI",VLOOKUP(VALUE(RIGHT(C183,3)),'ADM-COMP'!B:J,9,FALSE),IF(LEFT(C183,5)="IMPER",VLOOKUP(VALUE(RIGHT(C183,3)),'IMPER-COMP'!B:J,9,FALSE),""))))))))))))))))</f>
        <v>61.39</v>
      </c>
      <c r="H183" s="339">
        <f t="shared" ref="H183:H184" si="69">ROUND(F183*G183,2)</f>
        <v>2455.6</v>
      </c>
      <c r="I183" s="374">
        <f>H183/$H$441</f>
        <v>1.4357792386652748E-4</v>
      </c>
      <c r="J183" s="314"/>
    </row>
    <row r="184" spans="1:10" ht="26.4">
      <c r="A184" s="613" t="s">
        <v>35297</v>
      </c>
      <c r="B184" s="337" t="s">
        <v>2879</v>
      </c>
      <c r="C184" s="540">
        <f>141414</f>
        <v>141414</v>
      </c>
      <c r="D184" s="539" t="str">
        <f>IF(B184="IOPES",VLOOKUP(C184,'LABOR-SERVIÇOS'!A:H,5,FALSE),IF(B184="SINAPI",VLOOKUP(C184,'SINAPI-SERVIÇOS'!A:D,2,FALSE),IF(LEFT(C184,3)="ARQ",VLOOKUP(VALUE(RIGHT(C184,3)),'ARQ-COMP'!B:J,4,FALSE),IF(LEFT(C184,3)="SCI",VLOOKUP(VALUE(RIGHT(C184,3)),'GAS-COMP'!#REF!,4,FALSE),IF(LEFT(C184,3)="SCE",VLOOKUP(VALUE(RIGHT(C184,3)),'SCE-COMP'!B:J,4,FALSE),IF(LEFT(C184,3)="EST",VLOOKUP(VALUE(RIGHT(C184,3)),'EST-COMP'!B:J,4,FALSE),IF(LEFT(C184,3)="HID",VLOOKUP(VALUE(RIGHT(C184,3)),'HID-COMP'!B:J,4,FALSE),IF(LEFT(C184,3)="INC",VLOOKUP(VALUE(RIGHT(C184,3)),'INC-COMP'!B:J,4,FALSE),IF(LEFT(C184,3)="ELE",VLOOKUP(VALUE(RIGHT(C184,3)),#REF!,4,FALSE),IF(LEFT(C184,3)="CAB",VLOOKUP(VALUE(RIGHT(C184,3)),#REF!,4,FALSE),IF(LEFT(C184,3)="SEG",VLOOKUP(VALUE(RIGHT(C184,3)),'SEG-COMP'!B:J,4,FALSE),IF(LEFT(C184,3)="CLI",VLOOKUP(VALUE(RIGHT(C184,3)),'CLI-COMP'!B:J,4,FALSE),IF(LEFT(C184,4)="IMPL",VLOOKUP(VALUE(RIGHT(C184,3)),'IMPL-COMP'!B:J,4,FALSE),IF(LEFT(C184,4)="SPDA",VLOOKUP(VALUE(RIGHT(C184,3)),'SPDA-COMP'!B:J,4,FALSE),IF(LEFT(C184,4)="SDAI",VLOOKUP(VALUE(RIGHT(C184,3)),'ADM-COMP'!B:J,4,FALSE),IF(LEFT(C184,5)="IMPER",VLOOKUP(VALUE(RIGHT(C184,3)),'IMPER-COMP'!B:J,4,FALSE),""))))))))))))))))</f>
        <v>TUBO DE PVC RÍGIDO SOLDÁVEL MARROM, DN 60MM (2"), INCLUSIVE CONEXÕES</v>
      </c>
      <c r="E184" s="338" t="str">
        <f>IF(B184="IOPES",VLOOKUP(C184,'LABOR-SERVIÇOS'!A:H,6,FALSE),IF(B184="SINAPI",VLOOKUP(C184,'SINAPI-SERVIÇOS'!A:D,3,FALSE),IF(LEFT(C184,3)="ARQ",VLOOKUP(VALUE(RIGHT(C184,3)),'ARQ-COMP'!B:J,5,FALSE),IF(LEFT(C184,3)="SCI",VLOOKUP(VALUE(RIGHT(C184,3)),'GAS-COMP'!#REF!,5,FALSE),IF(LEFT(C184,3)="SCE",VLOOKUP(VALUE(RIGHT(C184,3)),'SCE-COMP'!B:J,5,FALSE),IF(LEFT(C184,3)="EST",VLOOKUP(VALUE(RIGHT(C184,3)),'EST-COMP'!B:J,5,FALSE),IF(LEFT(C184,3)="HID",VLOOKUP(VALUE(RIGHT(C184,3)),'HID-COMP'!B:J,5,FALSE),IF(LEFT(C184,3)="INC",VLOOKUP(VALUE(RIGHT(C184,3)),'INC-COMP'!B:J,5,FALSE),IF(LEFT(C184,3)="ELE",VLOOKUP(VALUE(RIGHT(C184,3)),#REF!,5,FALSE),IF(LEFT(C184,3)="CAB",VLOOKUP(VALUE(RIGHT(C184,3)),#REF!,5,FALSE),IF(LEFT(C184,3)="SEG",VLOOKUP(VALUE(RIGHT(C184,3)),'SEG-COMP'!B:J,5,FALSE),IF(LEFT(C184,3)="CLI",VLOOKUP(VALUE(RIGHT(C184,3)),'CLI-COMP'!B:J,5,FALSE),IF(LEFT(C184,4)="IMPL",VLOOKUP(VALUE(RIGHT(C184,3)),'IMPL-COMP'!B:J,5,FALSE),IF(LEFT(C184,4)="SPDA",VLOOKUP(VALUE(RIGHT(C184,3)),'SPDA-COMP'!B:J,5,FALSE),IF(LEFT(C184,4)="SDAI",VLOOKUP(VALUE(RIGHT(C184,3)),'ADM-COMP'!B:J,5,FALSE),IF(LEFT(C184,5)="IMPER",VLOOKUP(VALUE(RIGHT(C184,3)),'IMPER-COMP'!B:J,5,FALSE),""))))))))))))))))</f>
        <v>M</v>
      </c>
      <c r="F184" s="599">
        <f>ROUND(VLOOKUP(A184,'MEM-LEVANT'!A248:I2757,9,FALSE),2)</f>
        <v>20</v>
      </c>
      <c r="G184" s="339">
        <f>IF(B184="IOPES",VLOOKUP(C184,'LABOR-SERVIÇOS'!A:H,7,FALSE),IF(B184="SINAPI",VLOOKUP(C184,'SINAPI-SERVIÇOS'!A:H,8,FALSE),IF(LEFT(C184,3)="ARQ",VLOOKUP(VALUE(RIGHT(C184,3)),'ARQ-COMP'!B:J,9,FALSE),IF(LEFT(C184,3)="SCI",VLOOKUP(VALUE(RIGHT(C184,3)),'GAS-COMP'!#REF!,9,FALSE),IF(LEFT(C184,3)="SCE",VLOOKUP(VALUE(RIGHT(C184,3)),'SCE-COMP'!B:J,9,FALSE),IF(LEFT(C184,3)="EST",VLOOKUP(VALUE(RIGHT(C184,3)),'EST-COMP'!B:J,9,FALSE),IF(LEFT(C184,3)="HID",VLOOKUP(VALUE(RIGHT(C184,3)),'HID-COMP'!B:J,9,FALSE),IF(LEFT(C184,3)="INC",VLOOKUP(VALUE(RIGHT(C184,3)),'INC-COMP'!B:J,9,FALSE),IF(LEFT(C184,3)="ELE",VLOOKUP(VALUE(RIGHT(C184,3)),#REF!,9,FALSE),IF(LEFT(C184,3)="CAB",VLOOKUP(VALUE(RIGHT(C184,3)),#REF!,9,FALSE),IF(LEFT(C184,3)="SEG",VLOOKUP(VALUE(RIGHT(C184,3)),'SEG-COMP'!B:J,9,FALSE),IF(LEFT(C184,3)="CLI",VLOOKUP(VALUE(RIGHT(C184,3)),'CLI-COMP'!B:J,9,FALSE),IF(LEFT(C184,4)="IMPL",VLOOKUP(VALUE(RIGHT(C184,3)),'IMPL-COMP'!B:J,9,FALSE),IF(LEFT(C184,4)="SPDA",VLOOKUP(VALUE(RIGHT(C184,3)),'SPDA-COMP'!B:J,9,FALSE),IF(LEFT(C184,4)="SDAI",VLOOKUP(VALUE(RIGHT(C184,3)),'ADM-COMP'!B:J,9,FALSE),IF(LEFT(C184,5)="IMPER",VLOOKUP(VALUE(RIGHT(C184,3)),'IMPER-COMP'!B:J,9,FALSE),""))))))))))))))))</f>
        <v>94.91</v>
      </c>
      <c r="H184" s="339">
        <f t="shared" si="69"/>
        <v>1898.2</v>
      </c>
      <c r="I184" s="374">
        <f>H184/$H$441</f>
        <v>1.1098697470412221E-4</v>
      </c>
      <c r="J184" s="314"/>
    </row>
    <row r="185" spans="1:10">
      <c r="A185" s="553" t="s">
        <v>35298</v>
      </c>
      <c r="B185" s="554"/>
      <c r="C185" s="555"/>
      <c r="D185" s="556" t="s">
        <v>1366</v>
      </c>
      <c r="E185" s="557"/>
      <c r="F185" s="598"/>
      <c r="G185" s="558"/>
      <c r="H185" s="559"/>
      <c r="I185" s="560"/>
      <c r="J185" s="314"/>
    </row>
    <row r="186" spans="1:10" ht="26.4">
      <c r="A186" s="613" t="s">
        <v>35299</v>
      </c>
      <c r="B186" s="337" t="s">
        <v>2879</v>
      </c>
      <c r="C186" s="540">
        <f>141522</f>
        <v>141522</v>
      </c>
      <c r="D186" s="539" t="str">
        <f>IF(B186="IOPES",VLOOKUP(C186,'LABOR-SERVIÇOS'!A:H,5,FALSE),IF(B186="SINAPI",VLOOKUP(C186,'SINAPI-SERVIÇOS'!A:D,2,FALSE),IF(LEFT(C186,3)="ARQ",VLOOKUP(VALUE(RIGHT(C186,3)),'ARQ-COMP'!B:J,4,FALSE),IF(LEFT(C186,3)="SCI",VLOOKUP(VALUE(RIGHT(C186,3)),'GAS-COMP'!#REF!,4,FALSE),IF(LEFT(C186,3)="SCE",VLOOKUP(VALUE(RIGHT(C186,3)),'SCE-COMP'!B:J,4,FALSE),IF(LEFT(C186,3)="EST",VLOOKUP(VALUE(RIGHT(C186,3)),'EST-COMP'!B:J,4,FALSE),IF(LEFT(C186,3)="HID",VLOOKUP(VALUE(RIGHT(C186,3)),'HID-COMP'!B:J,4,FALSE),IF(LEFT(C186,3)="INC",VLOOKUP(VALUE(RIGHT(C186,3)),'INC-COMP'!B:J,4,FALSE),IF(LEFT(C186,3)="ELE",VLOOKUP(VALUE(RIGHT(C186,3)),#REF!,4,FALSE),IF(LEFT(C186,3)="CAB",VLOOKUP(VALUE(RIGHT(C186,3)),#REF!,4,FALSE),IF(LEFT(C186,3)="SEG",VLOOKUP(VALUE(RIGHT(C186,3)),'SEG-COMP'!B:J,4,FALSE),IF(LEFT(C186,3)="CLI",VLOOKUP(VALUE(RIGHT(C186,3)),'CLI-COMP'!B:J,4,FALSE),IF(LEFT(C186,4)="IMPL",VLOOKUP(VALUE(RIGHT(C186,3)),'IMPL-COMP'!B:J,4,FALSE),IF(LEFT(C186,4)="SPDA",VLOOKUP(VALUE(RIGHT(C186,3)),'SPDA-COMP'!B:J,4,FALSE),IF(LEFT(C186,4)="SDAI",VLOOKUP(VALUE(RIGHT(C186,3)),'ADM-COMP'!B:J,4,FALSE),IF(LEFT(C186,5)="IMPER",VLOOKUP(VALUE(RIGHT(C186,3)),'IMPER-COMP'!B:J,4,FALSE),""))))))))))))))))</f>
        <v>ADAPTADOR DE PVC SOLDÁVEL COM FLANGES LIVRES PARA CAIXA DÁGUA, DIÂMETRO 25MM X 3/4"</v>
      </c>
      <c r="E186" s="338" t="str">
        <f>IF(B186="IOPES",VLOOKUP(C186,'LABOR-SERVIÇOS'!A:H,6,FALSE),IF(B186="SINAPI",VLOOKUP(C186,'SINAPI-SERVIÇOS'!A:D,3,FALSE),IF(LEFT(C186,3)="ARQ",VLOOKUP(VALUE(RIGHT(C186,3)),'ARQ-COMP'!B:J,5,FALSE),IF(LEFT(C186,3)="SCI",VLOOKUP(VALUE(RIGHT(C186,3)),'GAS-COMP'!#REF!,5,FALSE),IF(LEFT(C186,3)="SCE",VLOOKUP(VALUE(RIGHT(C186,3)),'SCE-COMP'!B:J,5,FALSE),IF(LEFT(C186,3)="EST",VLOOKUP(VALUE(RIGHT(C186,3)),'EST-COMP'!B:J,5,FALSE),IF(LEFT(C186,3)="HID",VLOOKUP(VALUE(RIGHT(C186,3)),'HID-COMP'!B:J,5,FALSE),IF(LEFT(C186,3)="INC",VLOOKUP(VALUE(RIGHT(C186,3)),'INC-COMP'!B:J,5,FALSE),IF(LEFT(C186,3)="ELE",VLOOKUP(VALUE(RIGHT(C186,3)),#REF!,5,FALSE),IF(LEFT(C186,3)="CAB",VLOOKUP(VALUE(RIGHT(C186,3)),#REF!,5,FALSE),IF(LEFT(C186,3)="SEG",VLOOKUP(VALUE(RIGHT(C186,3)),'SEG-COMP'!B:J,5,FALSE),IF(LEFT(C186,3)="CLI",VLOOKUP(VALUE(RIGHT(C186,3)),'CLI-COMP'!B:J,5,FALSE),IF(LEFT(C186,4)="IMPL",VLOOKUP(VALUE(RIGHT(C186,3)),'IMPL-COMP'!B:J,5,FALSE),IF(LEFT(C186,4)="SPDA",VLOOKUP(VALUE(RIGHT(C186,3)),'SPDA-COMP'!B:J,5,FALSE),IF(LEFT(C186,4)="SDAI",VLOOKUP(VALUE(RIGHT(C186,3)),'ADM-COMP'!B:J,5,FALSE),IF(LEFT(C186,5)="IMPER",VLOOKUP(VALUE(RIGHT(C186,3)),'IMPER-COMP'!B:J,5,FALSE),""))))))))))))))))</f>
        <v>UND</v>
      </c>
      <c r="F186" s="599">
        <f>ROUND(VLOOKUP(A186,'MEM-LEVANT'!A248:I2757,9,FALSE),2)</f>
        <v>18</v>
      </c>
      <c r="G186" s="339">
        <f>IF(B186="IOPES",VLOOKUP(C186,'LABOR-SERVIÇOS'!A:H,7,FALSE),IF(B186="SINAPI",VLOOKUP(C186,'SINAPI-SERVIÇOS'!A:H,8,FALSE),IF(LEFT(C186,3)="ARQ",VLOOKUP(VALUE(RIGHT(C186,3)),'ARQ-COMP'!B:J,9,FALSE),IF(LEFT(C186,3)="SCI",VLOOKUP(VALUE(RIGHT(C186,3)),'GAS-COMP'!#REF!,9,FALSE),IF(LEFT(C186,3)="SCE",VLOOKUP(VALUE(RIGHT(C186,3)),'SCE-COMP'!B:J,9,FALSE),IF(LEFT(C186,3)="EST",VLOOKUP(VALUE(RIGHT(C186,3)),'EST-COMP'!B:J,9,FALSE),IF(LEFT(C186,3)="HID",VLOOKUP(VALUE(RIGHT(C186,3)),'HID-COMP'!B:J,9,FALSE),IF(LEFT(C186,3)="INC",VLOOKUP(VALUE(RIGHT(C186,3)),'INC-COMP'!B:J,9,FALSE),IF(LEFT(C186,3)="ELE",VLOOKUP(VALUE(RIGHT(C186,3)),#REF!,9,FALSE),IF(LEFT(C186,3)="CAB",VLOOKUP(VALUE(RIGHT(C186,3)),#REF!,9,FALSE),IF(LEFT(C186,3)="SEG",VLOOKUP(VALUE(RIGHT(C186,3)),'SEG-COMP'!B:J,9,FALSE),IF(LEFT(C186,3)="CLI",VLOOKUP(VALUE(RIGHT(C186,3)),'CLI-COMP'!B:J,9,FALSE),IF(LEFT(C186,4)="IMPL",VLOOKUP(VALUE(RIGHT(C186,3)),'IMPL-COMP'!B:J,9,FALSE),IF(LEFT(C186,4)="SPDA",VLOOKUP(VALUE(RIGHT(C186,3)),'SPDA-COMP'!B:J,9,FALSE),IF(LEFT(C186,4)="SDAI",VLOOKUP(VALUE(RIGHT(C186,3)),'ADM-COMP'!B:J,9,FALSE),IF(LEFT(C186,5)="IMPER",VLOOKUP(VALUE(RIGHT(C186,3)),'IMPER-COMP'!B:J,9,FALSE),""))))))))))))))))</f>
        <v>23.67</v>
      </c>
      <c r="H186" s="339">
        <f t="shared" ref="H186:H187" si="70">ROUND(F186*G186,2)</f>
        <v>426.06</v>
      </c>
      <c r="I186" s="374">
        <f>H186/$H$441</f>
        <v>2.491155328334122E-5</v>
      </c>
      <c r="J186" s="314"/>
    </row>
    <row r="187" spans="1:10" ht="26.4">
      <c r="A187" s="613" t="s">
        <v>35300</v>
      </c>
      <c r="B187" s="337" t="s">
        <v>2879</v>
      </c>
      <c r="C187" s="540">
        <f>141523</f>
        <v>141523</v>
      </c>
      <c r="D187" s="539" t="str">
        <f>IF(B187="IOPES",VLOOKUP(C187,'LABOR-SERVIÇOS'!A:H,5,FALSE),IF(B187="SINAPI",VLOOKUP(C187,'SINAPI-SERVIÇOS'!A:D,2,FALSE),IF(LEFT(C187,3)="ARQ",VLOOKUP(VALUE(RIGHT(C187,3)),'ARQ-COMP'!B:J,4,FALSE),IF(LEFT(C187,3)="SCI",VLOOKUP(VALUE(RIGHT(C187,3)),'GAS-COMP'!#REF!,4,FALSE),IF(LEFT(C187,3)="SCE",VLOOKUP(VALUE(RIGHT(C187,3)),'SCE-COMP'!B:J,4,FALSE),IF(LEFT(C187,3)="EST",VLOOKUP(VALUE(RIGHT(C187,3)),'EST-COMP'!B:J,4,FALSE),IF(LEFT(C187,3)="HID",VLOOKUP(VALUE(RIGHT(C187,3)),'HID-COMP'!B:J,4,FALSE),IF(LEFT(C187,3)="INC",VLOOKUP(VALUE(RIGHT(C187,3)),'INC-COMP'!B:J,4,FALSE),IF(LEFT(C187,3)="ELE",VLOOKUP(VALUE(RIGHT(C187,3)),#REF!,4,FALSE),IF(LEFT(C187,3)="CAB",VLOOKUP(VALUE(RIGHT(C187,3)),#REF!,4,FALSE),IF(LEFT(C187,3)="SEG",VLOOKUP(VALUE(RIGHT(C187,3)),'SEG-COMP'!B:J,4,FALSE),IF(LEFT(C187,3)="CLI",VLOOKUP(VALUE(RIGHT(C187,3)),'CLI-COMP'!B:J,4,FALSE),IF(LEFT(C187,4)="IMPL",VLOOKUP(VALUE(RIGHT(C187,3)),'IMPL-COMP'!B:J,4,FALSE),IF(LEFT(C187,4)="SPDA",VLOOKUP(VALUE(RIGHT(C187,3)),'SPDA-COMP'!B:J,4,FALSE),IF(LEFT(C187,4)="SDAI",VLOOKUP(VALUE(RIGHT(C187,3)),'ADM-COMP'!B:J,4,FALSE),IF(LEFT(C187,5)="IMPER",VLOOKUP(VALUE(RIGHT(C187,3)),'IMPER-COMP'!B:J,4,FALSE),""))))))))))))))))</f>
        <v>ADAPTADOR DE PVC SOLDÁVEL COM FLANGES LIVRES PARA CAIXA DÁGUA, DIÂMETRO 32MM X 1"</v>
      </c>
      <c r="E187" s="338" t="str">
        <f>IF(B187="IOPES",VLOOKUP(C187,'LABOR-SERVIÇOS'!A:H,6,FALSE),IF(B187="SINAPI",VLOOKUP(C187,'SINAPI-SERVIÇOS'!A:D,3,FALSE),IF(LEFT(C187,3)="ARQ",VLOOKUP(VALUE(RIGHT(C187,3)),'ARQ-COMP'!B:J,5,FALSE),IF(LEFT(C187,3)="SCI",VLOOKUP(VALUE(RIGHT(C187,3)),'GAS-COMP'!#REF!,5,FALSE),IF(LEFT(C187,3)="SCE",VLOOKUP(VALUE(RIGHT(C187,3)),'SCE-COMP'!B:J,5,FALSE),IF(LEFT(C187,3)="EST",VLOOKUP(VALUE(RIGHT(C187,3)),'EST-COMP'!B:J,5,FALSE),IF(LEFT(C187,3)="HID",VLOOKUP(VALUE(RIGHT(C187,3)),'HID-COMP'!B:J,5,FALSE),IF(LEFT(C187,3)="INC",VLOOKUP(VALUE(RIGHT(C187,3)),'INC-COMP'!B:J,5,FALSE),IF(LEFT(C187,3)="ELE",VLOOKUP(VALUE(RIGHT(C187,3)),#REF!,5,FALSE),IF(LEFT(C187,3)="CAB",VLOOKUP(VALUE(RIGHT(C187,3)),#REF!,5,FALSE),IF(LEFT(C187,3)="SEG",VLOOKUP(VALUE(RIGHT(C187,3)),'SEG-COMP'!B:J,5,FALSE),IF(LEFT(C187,3)="CLI",VLOOKUP(VALUE(RIGHT(C187,3)),'CLI-COMP'!B:J,5,FALSE),IF(LEFT(C187,4)="IMPL",VLOOKUP(VALUE(RIGHT(C187,3)),'IMPL-COMP'!B:J,5,FALSE),IF(LEFT(C187,4)="SPDA",VLOOKUP(VALUE(RIGHT(C187,3)),'SPDA-COMP'!B:J,5,FALSE),IF(LEFT(C187,4)="SDAI",VLOOKUP(VALUE(RIGHT(C187,3)),'ADM-COMP'!B:J,5,FALSE),IF(LEFT(C187,5)="IMPER",VLOOKUP(VALUE(RIGHT(C187,3)),'IMPER-COMP'!B:J,5,FALSE),""))))))))))))))))</f>
        <v>UND</v>
      </c>
      <c r="F187" s="599">
        <f>ROUND(VLOOKUP(A187,'MEM-LEVANT'!A249:I2758,9,FALSE),2)</f>
        <v>14</v>
      </c>
      <c r="G187" s="339">
        <f>IF(B187="IOPES",VLOOKUP(C187,'LABOR-SERVIÇOS'!A:H,7,FALSE),IF(B187="SINAPI",VLOOKUP(C187,'SINAPI-SERVIÇOS'!A:H,8,FALSE),IF(LEFT(C187,3)="ARQ",VLOOKUP(VALUE(RIGHT(C187,3)),'ARQ-COMP'!B:J,9,FALSE),IF(LEFT(C187,3)="SCI",VLOOKUP(VALUE(RIGHT(C187,3)),'GAS-COMP'!#REF!,9,FALSE),IF(LEFT(C187,3)="SCE",VLOOKUP(VALUE(RIGHT(C187,3)),'SCE-COMP'!B:J,9,FALSE),IF(LEFT(C187,3)="EST",VLOOKUP(VALUE(RIGHT(C187,3)),'EST-COMP'!B:J,9,FALSE),IF(LEFT(C187,3)="HID",VLOOKUP(VALUE(RIGHT(C187,3)),'HID-COMP'!B:J,9,FALSE),IF(LEFT(C187,3)="INC",VLOOKUP(VALUE(RIGHT(C187,3)),'INC-COMP'!B:J,9,FALSE),IF(LEFT(C187,3)="ELE",VLOOKUP(VALUE(RIGHT(C187,3)),#REF!,9,FALSE),IF(LEFT(C187,3)="CAB",VLOOKUP(VALUE(RIGHT(C187,3)),#REF!,9,FALSE),IF(LEFT(C187,3)="SEG",VLOOKUP(VALUE(RIGHT(C187,3)),'SEG-COMP'!B:J,9,FALSE),IF(LEFT(C187,3)="CLI",VLOOKUP(VALUE(RIGHT(C187,3)),'CLI-COMP'!B:J,9,FALSE),IF(LEFT(C187,4)="IMPL",VLOOKUP(VALUE(RIGHT(C187,3)),'IMPL-COMP'!B:J,9,FALSE),IF(LEFT(C187,4)="SPDA",VLOOKUP(VALUE(RIGHT(C187,3)),'SPDA-COMP'!B:J,9,FALSE),IF(LEFT(C187,4)="SDAI",VLOOKUP(VALUE(RIGHT(C187,3)),'ADM-COMP'!B:J,9,FALSE),IF(LEFT(C187,5)="IMPER",VLOOKUP(VALUE(RIGHT(C187,3)),'IMPER-COMP'!B:J,9,FALSE),""))))))))))))))))</f>
        <v>35.36</v>
      </c>
      <c r="H187" s="339">
        <f t="shared" si="70"/>
        <v>495.04</v>
      </c>
      <c r="I187" s="374">
        <f>H187/$H$441</f>
        <v>2.8944785563970423E-5</v>
      </c>
      <c r="J187" s="314"/>
    </row>
    <row r="188" spans="1:10" ht="26.4">
      <c r="A188" s="613" t="s">
        <v>35301</v>
      </c>
      <c r="B188" s="337" t="s">
        <v>2879</v>
      </c>
      <c r="C188" s="540">
        <f>141524</f>
        <v>141524</v>
      </c>
      <c r="D188" s="539" t="str">
        <f>IF(B188="IOPES",VLOOKUP(C188,'LABOR-SERVIÇOS'!A:H,5,FALSE),IF(B188="SINAPI",VLOOKUP(C188,'SINAPI-SERVIÇOS'!A:D,2,FALSE),IF(LEFT(C188,3)="ARQ",VLOOKUP(VALUE(RIGHT(C188,3)),'ARQ-COMP'!B:J,4,FALSE),IF(LEFT(C188,3)="SCI",VLOOKUP(VALUE(RIGHT(C188,3)),'GAS-COMP'!#REF!,4,FALSE),IF(LEFT(C188,3)="SCE",VLOOKUP(VALUE(RIGHT(C188,3)),'SCE-COMP'!B:J,4,FALSE),IF(LEFT(C188,3)="EST",VLOOKUP(VALUE(RIGHT(C188,3)),'EST-COMP'!B:J,4,FALSE),IF(LEFT(C188,3)="HID",VLOOKUP(VALUE(RIGHT(C188,3)),'HID-COMP'!B:J,4,FALSE),IF(LEFT(C188,3)="INC",VLOOKUP(VALUE(RIGHT(C188,3)),'INC-COMP'!B:J,4,FALSE),IF(LEFT(C188,3)="ELE",VLOOKUP(VALUE(RIGHT(C188,3)),#REF!,4,FALSE),IF(LEFT(C188,3)="CAB",VLOOKUP(VALUE(RIGHT(C188,3)),#REF!,4,FALSE),IF(LEFT(C188,3)="SEG",VLOOKUP(VALUE(RIGHT(C188,3)),'SEG-COMP'!B:J,4,FALSE),IF(LEFT(C188,3)="CLI",VLOOKUP(VALUE(RIGHT(C188,3)),'CLI-COMP'!B:J,4,FALSE),IF(LEFT(C188,4)="IMPL",VLOOKUP(VALUE(RIGHT(C188,3)),'IMPL-COMP'!B:J,4,FALSE),IF(LEFT(C188,4)="SPDA",VLOOKUP(VALUE(RIGHT(C188,3)),'SPDA-COMP'!B:J,4,FALSE),IF(LEFT(C188,4)="SDAI",VLOOKUP(VALUE(RIGHT(C188,3)),'ADM-COMP'!B:J,4,FALSE),IF(LEFT(C188,5)="IMPER",VLOOKUP(VALUE(RIGHT(C188,3)),'IMPER-COMP'!B:J,4,FALSE),""))))))))))))))))</f>
        <v>ADAPTADOR DE PVC SOLDÁVEL COM FLANGES LIVRES PARA CAIXA DÁGUA, DIÂMETRO 40MM X 1 1/4"</v>
      </c>
      <c r="E188" s="338" t="str">
        <f>IF(B188="IOPES",VLOOKUP(C188,'LABOR-SERVIÇOS'!A:H,6,FALSE),IF(B188="SINAPI",VLOOKUP(C188,'SINAPI-SERVIÇOS'!A:D,3,FALSE),IF(LEFT(C188,3)="ARQ",VLOOKUP(VALUE(RIGHT(C188,3)),'ARQ-COMP'!B:J,5,FALSE),IF(LEFT(C188,3)="SCI",VLOOKUP(VALUE(RIGHT(C188,3)),'GAS-COMP'!#REF!,5,FALSE),IF(LEFT(C188,3)="SCE",VLOOKUP(VALUE(RIGHT(C188,3)),'SCE-COMP'!B:J,5,FALSE),IF(LEFT(C188,3)="EST",VLOOKUP(VALUE(RIGHT(C188,3)),'EST-COMP'!B:J,5,FALSE),IF(LEFT(C188,3)="HID",VLOOKUP(VALUE(RIGHT(C188,3)),'HID-COMP'!B:J,5,FALSE),IF(LEFT(C188,3)="INC",VLOOKUP(VALUE(RIGHT(C188,3)),'INC-COMP'!B:J,5,FALSE),IF(LEFT(C188,3)="ELE",VLOOKUP(VALUE(RIGHT(C188,3)),#REF!,5,FALSE),IF(LEFT(C188,3)="CAB",VLOOKUP(VALUE(RIGHT(C188,3)),#REF!,5,FALSE),IF(LEFT(C188,3)="SEG",VLOOKUP(VALUE(RIGHT(C188,3)),'SEG-COMP'!B:J,5,FALSE),IF(LEFT(C188,3)="CLI",VLOOKUP(VALUE(RIGHT(C188,3)),'CLI-COMP'!B:J,5,FALSE),IF(LEFT(C188,4)="IMPL",VLOOKUP(VALUE(RIGHT(C188,3)),'IMPL-COMP'!B:J,5,FALSE),IF(LEFT(C188,4)="SPDA",VLOOKUP(VALUE(RIGHT(C188,3)),'SPDA-COMP'!B:J,5,FALSE),IF(LEFT(C188,4)="SDAI",VLOOKUP(VALUE(RIGHT(C188,3)),'ADM-COMP'!B:J,5,FALSE),IF(LEFT(C188,5)="IMPER",VLOOKUP(VALUE(RIGHT(C188,3)),'IMPER-COMP'!B:J,5,FALSE),""))))))))))))))))</f>
        <v>UND</v>
      </c>
      <c r="F188" s="599">
        <f>ROUND(VLOOKUP(A188,'MEM-LEVANT'!A250:I2759,9,FALSE),2)</f>
        <v>3</v>
      </c>
      <c r="G188" s="339">
        <f>IF(B188="IOPES",VLOOKUP(C188,'LABOR-SERVIÇOS'!A:H,7,FALSE),IF(B188="SINAPI",VLOOKUP(C188,'SINAPI-SERVIÇOS'!A:H,8,FALSE),IF(LEFT(C188,3)="ARQ",VLOOKUP(VALUE(RIGHT(C188,3)),'ARQ-COMP'!B:J,9,FALSE),IF(LEFT(C188,3)="SCI",VLOOKUP(VALUE(RIGHT(C188,3)),'GAS-COMP'!#REF!,9,FALSE),IF(LEFT(C188,3)="SCE",VLOOKUP(VALUE(RIGHT(C188,3)),'SCE-COMP'!B:J,9,FALSE),IF(LEFT(C188,3)="EST",VLOOKUP(VALUE(RIGHT(C188,3)),'EST-COMP'!B:J,9,FALSE),IF(LEFT(C188,3)="HID",VLOOKUP(VALUE(RIGHT(C188,3)),'HID-COMP'!B:J,9,FALSE),IF(LEFT(C188,3)="INC",VLOOKUP(VALUE(RIGHT(C188,3)),'INC-COMP'!B:J,9,FALSE),IF(LEFT(C188,3)="ELE",VLOOKUP(VALUE(RIGHT(C188,3)),#REF!,9,FALSE),IF(LEFT(C188,3)="CAB",VLOOKUP(VALUE(RIGHT(C188,3)),#REF!,9,FALSE),IF(LEFT(C188,3)="SEG",VLOOKUP(VALUE(RIGHT(C188,3)),'SEG-COMP'!B:J,9,FALSE),IF(LEFT(C188,3)="CLI",VLOOKUP(VALUE(RIGHT(C188,3)),'CLI-COMP'!B:J,9,FALSE),IF(LEFT(C188,4)="IMPL",VLOOKUP(VALUE(RIGHT(C188,3)),'IMPL-COMP'!B:J,9,FALSE),IF(LEFT(C188,4)="SPDA",VLOOKUP(VALUE(RIGHT(C188,3)),'SPDA-COMP'!B:J,9,FALSE),IF(LEFT(C188,4)="SDAI",VLOOKUP(VALUE(RIGHT(C188,3)),'ADM-COMP'!B:J,9,FALSE),IF(LEFT(C188,5)="IMPER",VLOOKUP(VALUE(RIGHT(C188,3)),'IMPER-COMP'!B:J,9,FALSE),""))))))))))))))))</f>
        <v>40.31</v>
      </c>
      <c r="H188" s="339">
        <f t="shared" ref="H188:H190" si="71">ROUND(F188*G188,2)</f>
        <v>120.93</v>
      </c>
      <c r="I188" s="374">
        <f>H188/$H$441</f>
        <v>7.0707274528339996E-6</v>
      </c>
      <c r="J188" s="314"/>
    </row>
    <row r="189" spans="1:10" ht="26.4">
      <c r="A189" s="613" t="s">
        <v>35302</v>
      </c>
      <c r="B189" s="337" t="s">
        <v>2879</v>
      </c>
      <c r="C189" s="540">
        <f>141525</f>
        <v>141525</v>
      </c>
      <c r="D189" s="539" t="str">
        <f>IF(B189="IOPES",VLOOKUP(C189,'LABOR-SERVIÇOS'!A:H,5,FALSE),IF(B189="SINAPI",VLOOKUP(C189,'SINAPI-SERVIÇOS'!A:D,2,FALSE),IF(LEFT(C189,3)="ARQ",VLOOKUP(VALUE(RIGHT(C189,3)),'ARQ-COMP'!B:J,4,FALSE),IF(LEFT(C189,3)="SCI",VLOOKUP(VALUE(RIGHT(C189,3)),'GAS-COMP'!#REF!,4,FALSE),IF(LEFT(C189,3)="SCE",VLOOKUP(VALUE(RIGHT(C189,3)),'SCE-COMP'!B:J,4,FALSE),IF(LEFT(C189,3)="EST",VLOOKUP(VALUE(RIGHT(C189,3)),'EST-COMP'!B:J,4,FALSE),IF(LEFT(C189,3)="HID",VLOOKUP(VALUE(RIGHT(C189,3)),'HID-COMP'!B:J,4,FALSE),IF(LEFT(C189,3)="INC",VLOOKUP(VALUE(RIGHT(C189,3)),'INC-COMP'!B:J,4,FALSE),IF(LEFT(C189,3)="ELE",VLOOKUP(VALUE(RIGHT(C189,3)),#REF!,4,FALSE),IF(LEFT(C189,3)="CAB",VLOOKUP(VALUE(RIGHT(C189,3)),#REF!,4,FALSE),IF(LEFT(C189,3)="SEG",VLOOKUP(VALUE(RIGHT(C189,3)),'SEG-COMP'!B:J,4,FALSE),IF(LEFT(C189,3)="CLI",VLOOKUP(VALUE(RIGHT(C189,3)),'CLI-COMP'!B:J,4,FALSE),IF(LEFT(C189,4)="IMPL",VLOOKUP(VALUE(RIGHT(C189,3)),'IMPL-COMP'!B:J,4,FALSE),IF(LEFT(C189,4)="SPDA",VLOOKUP(VALUE(RIGHT(C189,3)),'SPDA-COMP'!B:J,4,FALSE),IF(LEFT(C189,4)="SDAI",VLOOKUP(VALUE(RIGHT(C189,3)),'ADM-COMP'!B:J,4,FALSE),IF(LEFT(C189,5)="IMPER",VLOOKUP(VALUE(RIGHT(C189,3)),'IMPER-COMP'!B:J,4,FALSE),""))))))))))))))))</f>
        <v>ADAPTADOR DE PVC SOLDÁVEL COM FLANGES LIVRES PARA CAIXA DÁGUA, DIÂMETRO 50MM X 1 1/2"</v>
      </c>
      <c r="E189" s="338" t="str">
        <f>IF(B189="IOPES",VLOOKUP(C189,'LABOR-SERVIÇOS'!A:H,6,FALSE),IF(B189="SINAPI",VLOOKUP(C189,'SINAPI-SERVIÇOS'!A:D,3,FALSE),IF(LEFT(C189,3)="ARQ",VLOOKUP(VALUE(RIGHT(C189,3)),'ARQ-COMP'!B:J,5,FALSE),IF(LEFT(C189,3)="SCI",VLOOKUP(VALUE(RIGHT(C189,3)),'GAS-COMP'!#REF!,5,FALSE),IF(LEFT(C189,3)="SCE",VLOOKUP(VALUE(RIGHT(C189,3)),'SCE-COMP'!B:J,5,FALSE),IF(LEFT(C189,3)="EST",VLOOKUP(VALUE(RIGHT(C189,3)),'EST-COMP'!B:J,5,FALSE),IF(LEFT(C189,3)="HID",VLOOKUP(VALUE(RIGHT(C189,3)),'HID-COMP'!B:J,5,FALSE),IF(LEFT(C189,3)="INC",VLOOKUP(VALUE(RIGHT(C189,3)),'INC-COMP'!B:J,5,FALSE),IF(LEFT(C189,3)="ELE",VLOOKUP(VALUE(RIGHT(C189,3)),#REF!,5,FALSE),IF(LEFT(C189,3)="CAB",VLOOKUP(VALUE(RIGHT(C189,3)),#REF!,5,FALSE),IF(LEFT(C189,3)="SEG",VLOOKUP(VALUE(RIGHT(C189,3)),'SEG-COMP'!B:J,5,FALSE),IF(LEFT(C189,3)="CLI",VLOOKUP(VALUE(RIGHT(C189,3)),'CLI-COMP'!B:J,5,FALSE),IF(LEFT(C189,4)="IMPL",VLOOKUP(VALUE(RIGHT(C189,3)),'IMPL-COMP'!B:J,5,FALSE),IF(LEFT(C189,4)="SPDA",VLOOKUP(VALUE(RIGHT(C189,3)),'SPDA-COMP'!B:J,5,FALSE),IF(LEFT(C189,4)="SDAI",VLOOKUP(VALUE(RIGHT(C189,3)),'ADM-COMP'!B:J,5,FALSE),IF(LEFT(C189,5)="IMPER",VLOOKUP(VALUE(RIGHT(C189,3)),'IMPER-COMP'!B:J,5,FALSE),""))))))))))))))))</f>
        <v>UND</v>
      </c>
      <c r="F189" s="599">
        <f>ROUND(VLOOKUP(A189,'MEM-LEVANT'!A251:I2760,9,FALSE),2)</f>
        <v>8</v>
      </c>
      <c r="G189" s="339">
        <f>IF(B189="IOPES",VLOOKUP(C189,'LABOR-SERVIÇOS'!A:H,7,FALSE),IF(B189="SINAPI",VLOOKUP(C189,'SINAPI-SERVIÇOS'!A:H,8,FALSE),IF(LEFT(C189,3)="ARQ",VLOOKUP(VALUE(RIGHT(C189,3)),'ARQ-COMP'!B:J,9,FALSE),IF(LEFT(C189,3)="SCI",VLOOKUP(VALUE(RIGHT(C189,3)),'GAS-COMP'!#REF!,9,FALSE),IF(LEFT(C189,3)="SCE",VLOOKUP(VALUE(RIGHT(C189,3)),'SCE-COMP'!B:J,9,FALSE),IF(LEFT(C189,3)="EST",VLOOKUP(VALUE(RIGHT(C189,3)),'EST-COMP'!B:J,9,FALSE),IF(LEFT(C189,3)="HID",VLOOKUP(VALUE(RIGHT(C189,3)),'HID-COMP'!B:J,9,FALSE),IF(LEFT(C189,3)="INC",VLOOKUP(VALUE(RIGHT(C189,3)),'INC-COMP'!B:J,9,FALSE),IF(LEFT(C189,3)="ELE",VLOOKUP(VALUE(RIGHT(C189,3)),#REF!,9,FALSE),IF(LEFT(C189,3)="CAB",VLOOKUP(VALUE(RIGHT(C189,3)),#REF!,9,FALSE),IF(LEFT(C189,3)="SEG",VLOOKUP(VALUE(RIGHT(C189,3)),'SEG-COMP'!B:J,9,FALSE),IF(LEFT(C189,3)="CLI",VLOOKUP(VALUE(RIGHT(C189,3)),'CLI-COMP'!B:J,9,FALSE),IF(LEFT(C189,4)="IMPL",VLOOKUP(VALUE(RIGHT(C189,3)),'IMPL-COMP'!B:J,9,FALSE),IF(LEFT(C189,4)="SPDA",VLOOKUP(VALUE(RIGHT(C189,3)),'SPDA-COMP'!B:J,9,FALSE),IF(LEFT(C189,4)="SDAI",VLOOKUP(VALUE(RIGHT(C189,3)),'ADM-COMP'!B:J,9,FALSE),IF(LEFT(C189,5)="IMPER",VLOOKUP(VALUE(RIGHT(C189,3)),'IMPER-COMP'!B:J,9,FALSE),""))))))))))))))))</f>
        <v>56.54</v>
      </c>
      <c r="H189" s="339">
        <f t="shared" si="71"/>
        <v>452.32</v>
      </c>
      <c r="I189" s="374">
        <f>H189/$H$441</f>
        <v>2.644696470243839E-5</v>
      </c>
      <c r="J189" s="314"/>
    </row>
    <row r="190" spans="1:10" ht="26.4">
      <c r="A190" s="613" t="s">
        <v>35303</v>
      </c>
      <c r="B190" s="337" t="s">
        <v>2879</v>
      </c>
      <c r="C190" s="540">
        <f>141526</f>
        <v>141526</v>
      </c>
      <c r="D190" s="539" t="str">
        <f>IF(B190="IOPES",VLOOKUP(C190,'LABOR-SERVIÇOS'!A:H,5,FALSE),IF(B190="SINAPI",VLOOKUP(C190,'SINAPI-SERVIÇOS'!A:D,2,FALSE),IF(LEFT(C190,3)="ARQ",VLOOKUP(VALUE(RIGHT(C190,3)),'ARQ-COMP'!B:J,4,FALSE),IF(LEFT(C190,3)="SCI",VLOOKUP(VALUE(RIGHT(C190,3)),'GAS-COMP'!#REF!,4,FALSE),IF(LEFT(C190,3)="SCE",VLOOKUP(VALUE(RIGHT(C190,3)),'SCE-COMP'!B:J,4,FALSE),IF(LEFT(C190,3)="EST",VLOOKUP(VALUE(RIGHT(C190,3)),'EST-COMP'!B:J,4,FALSE),IF(LEFT(C190,3)="HID",VLOOKUP(VALUE(RIGHT(C190,3)),'HID-COMP'!B:J,4,FALSE),IF(LEFT(C190,3)="INC",VLOOKUP(VALUE(RIGHT(C190,3)),'INC-COMP'!B:J,4,FALSE),IF(LEFT(C190,3)="ELE",VLOOKUP(VALUE(RIGHT(C190,3)),#REF!,4,FALSE),IF(LEFT(C190,3)="CAB",VLOOKUP(VALUE(RIGHT(C190,3)),#REF!,4,FALSE),IF(LEFT(C190,3)="SEG",VLOOKUP(VALUE(RIGHT(C190,3)),'SEG-COMP'!B:J,4,FALSE),IF(LEFT(C190,3)="CLI",VLOOKUP(VALUE(RIGHT(C190,3)),'CLI-COMP'!B:J,4,FALSE),IF(LEFT(C190,4)="IMPL",VLOOKUP(VALUE(RIGHT(C190,3)),'IMPL-COMP'!B:J,4,FALSE),IF(LEFT(C190,4)="SPDA",VLOOKUP(VALUE(RIGHT(C190,3)),'SPDA-COMP'!B:J,4,FALSE),IF(LEFT(C190,4)="SDAI",VLOOKUP(VALUE(RIGHT(C190,3)),'ADM-COMP'!B:J,4,FALSE),IF(LEFT(C190,5)="IMPER",VLOOKUP(VALUE(RIGHT(C190,3)),'IMPER-COMP'!B:J,4,FALSE),""))))))))))))))))</f>
        <v>ADAPTADOR DE PVC SOLDÁVEL COM FLANGES LIVRES PARA CAIXA DÁGUA, DIÂMETRO 60MM X 2"</v>
      </c>
      <c r="E190" s="338" t="str">
        <f>IF(B190="IOPES",VLOOKUP(C190,'LABOR-SERVIÇOS'!A:H,6,FALSE),IF(B190="SINAPI",VLOOKUP(C190,'SINAPI-SERVIÇOS'!A:D,3,FALSE),IF(LEFT(C190,3)="ARQ",VLOOKUP(VALUE(RIGHT(C190,3)),'ARQ-COMP'!B:J,5,FALSE),IF(LEFT(C190,3)="SCI",VLOOKUP(VALUE(RIGHT(C190,3)),'GAS-COMP'!#REF!,5,FALSE),IF(LEFT(C190,3)="SCE",VLOOKUP(VALUE(RIGHT(C190,3)),'SCE-COMP'!B:J,5,FALSE),IF(LEFT(C190,3)="EST",VLOOKUP(VALUE(RIGHT(C190,3)),'EST-COMP'!B:J,5,FALSE),IF(LEFT(C190,3)="HID",VLOOKUP(VALUE(RIGHT(C190,3)),'HID-COMP'!B:J,5,FALSE),IF(LEFT(C190,3)="INC",VLOOKUP(VALUE(RIGHT(C190,3)),'INC-COMP'!B:J,5,FALSE),IF(LEFT(C190,3)="ELE",VLOOKUP(VALUE(RIGHT(C190,3)),#REF!,5,FALSE),IF(LEFT(C190,3)="CAB",VLOOKUP(VALUE(RIGHT(C190,3)),#REF!,5,FALSE),IF(LEFT(C190,3)="SEG",VLOOKUP(VALUE(RIGHT(C190,3)),'SEG-COMP'!B:J,5,FALSE),IF(LEFT(C190,3)="CLI",VLOOKUP(VALUE(RIGHT(C190,3)),'CLI-COMP'!B:J,5,FALSE),IF(LEFT(C190,4)="IMPL",VLOOKUP(VALUE(RIGHT(C190,3)),'IMPL-COMP'!B:J,5,FALSE),IF(LEFT(C190,4)="SPDA",VLOOKUP(VALUE(RIGHT(C190,3)),'SPDA-COMP'!B:J,5,FALSE),IF(LEFT(C190,4)="SDAI",VLOOKUP(VALUE(RIGHT(C190,3)),'ADM-COMP'!B:J,5,FALSE),IF(LEFT(C190,5)="IMPER",VLOOKUP(VALUE(RIGHT(C190,3)),'IMPER-COMP'!B:J,5,FALSE),""))))))))))))))))</f>
        <v>UND</v>
      </c>
      <c r="F190" s="599">
        <f>ROUND(VLOOKUP(A190,'MEM-LEVANT'!A252:I2761,9,FALSE),2)</f>
        <v>2</v>
      </c>
      <c r="G190" s="339">
        <f>IF(B190="IOPES",VLOOKUP(C190,'LABOR-SERVIÇOS'!A:H,7,FALSE),IF(B190="SINAPI",VLOOKUP(C190,'SINAPI-SERVIÇOS'!A:H,8,FALSE),IF(LEFT(C190,3)="ARQ",VLOOKUP(VALUE(RIGHT(C190,3)),'ARQ-COMP'!B:J,9,FALSE),IF(LEFT(C190,3)="SCI",VLOOKUP(VALUE(RIGHT(C190,3)),'GAS-COMP'!#REF!,9,FALSE),IF(LEFT(C190,3)="SCE",VLOOKUP(VALUE(RIGHT(C190,3)),'SCE-COMP'!B:J,9,FALSE),IF(LEFT(C190,3)="EST",VLOOKUP(VALUE(RIGHT(C190,3)),'EST-COMP'!B:J,9,FALSE),IF(LEFT(C190,3)="HID",VLOOKUP(VALUE(RIGHT(C190,3)),'HID-COMP'!B:J,9,FALSE),IF(LEFT(C190,3)="INC",VLOOKUP(VALUE(RIGHT(C190,3)),'INC-COMP'!B:J,9,FALSE),IF(LEFT(C190,3)="ELE",VLOOKUP(VALUE(RIGHT(C190,3)),#REF!,9,FALSE),IF(LEFT(C190,3)="CAB",VLOOKUP(VALUE(RIGHT(C190,3)),#REF!,9,FALSE),IF(LEFT(C190,3)="SEG",VLOOKUP(VALUE(RIGHT(C190,3)),'SEG-COMP'!B:J,9,FALSE),IF(LEFT(C190,3)="CLI",VLOOKUP(VALUE(RIGHT(C190,3)),'CLI-COMP'!B:J,9,FALSE),IF(LEFT(C190,4)="IMPL",VLOOKUP(VALUE(RIGHT(C190,3)),'IMPL-COMP'!B:J,9,FALSE),IF(LEFT(C190,4)="SPDA",VLOOKUP(VALUE(RIGHT(C190,3)),'SPDA-COMP'!B:J,9,FALSE),IF(LEFT(C190,4)="SDAI",VLOOKUP(VALUE(RIGHT(C190,3)),'ADM-COMP'!B:J,9,FALSE),IF(LEFT(C190,5)="IMPER",VLOOKUP(VALUE(RIGHT(C190,3)),'IMPER-COMP'!B:J,9,FALSE),""))))))))))))))))</f>
        <v>88.09</v>
      </c>
      <c r="H190" s="339">
        <f t="shared" si="71"/>
        <v>176.18</v>
      </c>
      <c r="I190" s="374">
        <f>H190/$H$441</f>
        <v>1.0301172270241414E-5</v>
      </c>
      <c r="J190" s="314"/>
    </row>
    <row r="191" spans="1:10">
      <c r="A191" s="553" t="s">
        <v>35304</v>
      </c>
      <c r="B191" s="554"/>
      <c r="C191" s="555"/>
      <c r="D191" s="556" t="s">
        <v>1367</v>
      </c>
      <c r="E191" s="557"/>
      <c r="F191" s="598"/>
      <c r="G191" s="558"/>
      <c r="H191" s="559"/>
      <c r="I191" s="560"/>
      <c r="J191" s="314"/>
    </row>
    <row r="192" spans="1:10" ht="26.4">
      <c r="A192" s="613" t="s">
        <v>35305</v>
      </c>
      <c r="B192" s="337" t="s">
        <v>2879</v>
      </c>
      <c r="C192" s="540">
        <f>141906</f>
        <v>141906</v>
      </c>
      <c r="D192" s="539" t="str">
        <f>IF(B192="IOPES",VLOOKUP(C192,'LABOR-SERVIÇOS'!A:H,5,FALSE),IF(B192="SINAPI",VLOOKUP(C192,'SINAPI-SERVIÇOS'!A:D,2,FALSE),IF(LEFT(C192,3)="ARQ",VLOOKUP(VALUE(RIGHT(C192,3)),'ARQ-COMP'!B:J,4,FALSE),IF(LEFT(C192,3)="SCI",VLOOKUP(VALUE(RIGHT(C192,3)),'GAS-COMP'!#REF!,4,FALSE),IF(LEFT(C192,3)="SCE",VLOOKUP(VALUE(RIGHT(C192,3)),'SCE-COMP'!B:J,4,FALSE),IF(LEFT(C192,3)="EST",VLOOKUP(VALUE(RIGHT(C192,3)),'EST-COMP'!B:J,4,FALSE),IF(LEFT(C192,3)="HID",VLOOKUP(VALUE(RIGHT(C192,3)),'HID-COMP'!B:J,4,FALSE),IF(LEFT(C192,3)="INC",VLOOKUP(VALUE(RIGHT(C192,3)),'INC-COMP'!B:J,4,FALSE),IF(LEFT(C192,3)="ELE",VLOOKUP(VALUE(RIGHT(C192,3)),#REF!,4,FALSE),IF(LEFT(C192,3)="CAB",VLOOKUP(VALUE(RIGHT(C192,3)),#REF!,4,FALSE),IF(LEFT(C192,3)="SEG",VLOOKUP(VALUE(RIGHT(C192,3)),'SEG-COMP'!B:J,4,FALSE),IF(LEFT(C192,3)="CLI",VLOOKUP(VALUE(RIGHT(C192,3)),'CLI-COMP'!B:J,4,FALSE),IF(LEFT(C192,4)="IMPL",VLOOKUP(VALUE(RIGHT(C192,3)),'IMPL-COMP'!B:J,4,FALSE),IF(LEFT(C192,4)="SPDA",VLOOKUP(VALUE(RIGHT(C192,3)),'SPDA-COMP'!B:J,4,FALSE),IF(LEFT(C192,4)="SDAI",VLOOKUP(VALUE(RIGHT(C192,3)),'ADM-COMP'!B:J,4,FALSE),IF(LEFT(C192,5)="IMPER",VLOOKUP(VALUE(RIGHT(C192,3)),'IMPER-COMP'!B:J,4,FALSE),""))))))))))))))))</f>
        <v>TUBO DE PVC RÍGIDO SOLDÁVEL BRANCO, PARA ESGOTO, SÉRIE NORMAL, DIÂMETRO 40MM (1 1/2"), INCLUSIVE CONEXÕES</v>
      </c>
      <c r="E192" s="338" t="str">
        <f>IF(B192="IOPES",VLOOKUP(C192,'LABOR-SERVIÇOS'!A:H,6,FALSE),IF(B192="SINAPI",VLOOKUP(C192,'SINAPI-SERVIÇOS'!A:D,3,FALSE),IF(LEFT(C192,3)="ARQ",VLOOKUP(VALUE(RIGHT(C192,3)),'ARQ-COMP'!B:J,5,FALSE),IF(LEFT(C192,3)="SCI",VLOOKUP(VALUE(RIGHT(C192,3)),'GAS-COMP'!#REF!,5,FALSE),IF(LEFT(C192,3)="SCE",VLOOKUP(VALUE(RIGHT(C192,3)),'SCE-COMP'!B:J,5,FALSE),IF(LEFT(C192,3)="EST",VLOOKUP(VALUE(RIGHT(C192,3)),'EST-COMP'!B:J,5,FALSE),IF(LEFT(C192,3)="HID",VLOOKUP(VALUE(RIGHT(C192,3)),'HID-COMP'!B:J,5,FALSE),IF(LEFT(C192,3)="INC",VLOOKUP(VALUE(RIGHT(C192,3)),'INC-COMP'!B:J,5,FALSE),IF(LEFT(C192,3)="ELE",VLOOKUP(VALUE(RIGHT(C192,3)),#REF!,5,FALSE),IF(LEFT(C192,3)="CAB",VLOOKUP(VALUE(RIGHT(C192,3)),#REF!,5,FALSE),IF(LEFT(C192,3)="SEG",VLOOKUP(VALUE(RIGHT(C192,3)),'SEG-COMP'!B:J,5,FALSE),IF(LEFT(C192,3)="CLI",VLOOKUP(VALUE(RIGHT(C192,3)),'CLI-COMP'!B:J,5,FALSE),IF(LEFT(C192,4)="IMPL",VLOOKUP(VALUE(RIGHT(C192,3)),'IMPL-COMP'!B:J,5,FALSE),IF(LEFT(C192,4)="SPDA",VLOOKUP(VALUE(RIGHT(C192,3)),'SPDA-COMP'!B:J,5,FALSE),IF(LEFT(C192,4)="SDAI",VLOOKUP(VALUE(RIGHT(C192,3)),'ADM-COMP'!B:J,5,FALSE),IF(LEFT(C192,5)="IMPER",VLOOKUP(VALUE(RIGHT(C192,3)),'IMPER-COMP'!B:J,5,FALSE),""))))))))))))))))</f>
        <v>M</v>
      </c>
      <c r="F192" s="599">
        <f>ROUND(VLOOKUP(A192,'MEM-LEVANT'!A251:I2760,9,FALSE),2)</f>
        <v>50</v>
      </c>
      <c r="G192" s="339">
        <f>IF(B192="IOPES",VLOOKUP(C192,'LABOR-SERVIÇOS'!A:H,7,FALSE),IF(B192="SINAPI",VLOOKUP(C192,'SINAPI-SERVIÇOS'!A:H,8,FALSE),IF(LEFT(C192,3)="ARQ",VLOOKUP(VALUE(RIGHT(C192,3)),'ARQ-COMP'!B:J,9,FALSE),IF(LEFT(C192,3)="SCI",VLOOKUP(VALUE(RIGHT(C192,3)),'GAS-COMP'!#REF!,9,FALSE),IF(LEFT(C192,3)="SCE",VLOOKUP(VALUE(RIGHT(C192,3)),'SCE-COMP'!B:J,9,FALSE),IF(LEFT(C192,3)="EST",VLOOKUP(VALUE(RIGHT(C192,3)),'EST-COMP'!B:J,9,FALSE),IF(LEFT(C192,3)="HID",VLOOKUP(VALUE(RIGHT(C192,3)),'HID-COMP'!B:J,9,FALSE),IF(LEFT(C192,3)="INC",VLOOKUP(VALUE(RIGHT(C192,3)),'INC-COMP'!B:J,9,FALSE),IF(LEFT(C192,3)="ELE",VLOOKUP(VALUE(RIGHT(C192,3)),#REF!,9,FALSE),IF(LEFT(C192,3)="CAB",VLOOKUP(VALUE(RIGHT(C192,3)),#REF!,9,FALSE),IF(LEFT(C192,3)="SEG",VLOOKUP(VALUE(RIGHT(C192,3)),'SEG-COMP'!B:J,9,FALSE),IF(LEFT(C192,3)="CLI",VLOOKUP(VALUE(RIGHT(C192,3)),'CLI-COMP'!B:J,9,FALSE),IF(LEFT(C192,4)="IMPL",VLOOKUP(VALUE(RIGHT(C192,3)),'IMPL-COMP'!B:J,9,FALSE),IF(LEFT(C192,4)="SPDA",VLOOKUP(VALUE(RIGHT(C192,3)),'SPDA-COMP'!B:J,9,FALSE),IF(LEFT(C192,4)="SDAI",VLOOKUP(VALUE(RIGHT(C192,3)),'ADM-COMP'!B:J,9,FALSE),IF(LEFT(C192,5)="IMPER",VLOOKUP(VALUE(RIGHT(C192,3)),'IMPER-COMP'!B:J,9,FALSE),""))))))))))))))))</f>
        <v>41.31</v>
      </c>
      <c r="H192" s="339">
        <f t="shared" ref="H192:H195" si="72">ROUND(F192*G192,2)</f>
        <v>2065.5</v>
      </c>
      <c r="I192" s="374">
        <f>H192/$H$441</f>
        <v>1.2076893702000021E-4</v>
      </c>
      <c r="J192" s="314"/>
    </row>
    <row r="193" spans="1:10" ht="26.4">
      <c r="A193" s="613" t="s">
        <v>35306</v>
      </c>
      <c r="B193" s="337" t="s">
        <v>2879</v>
      </c>
      <c r="C193" s="540">
        <f>141907</f>
        <v>141907</v>
      </c>
      <c r="D193" s="539" t="str">
        <f>IF(B193="IOPES",VLOOKUP(C193,'LABOR-SERVIÇOS'!A:H,5,FALSE),IF(B193="SINAPI",VLOOKUP(C193,'SINAPI-SERVIÇOS'!A:D,2,FALSE),IF(LEFT(C193,3)="ARQ",VLOOKUP(VALUE(RIGHT(C193,3)),'ARQ-COMP'!B:J,4,FALSE),IF(LEFT(C193,3)="SCI",VLOOKUP(VALUE(RIGHT(C193,3)),'GAS-COMP'!#REF!,4,FALSE),IF(LEFT(C193,3)="SCE",VLOOKUP(VALUE(RIGHT(C193,3)),'SCE-COMP'!B:J,4,FALSE),IF(LEFT(C193,3)="EST",VLOOKUP(VALUE(RIGHT(C193,3)),'EST-COMP'!B:J,4,FALSE),IF(LEFT(C193,3)="HID",VLOOKUP(VALUE(RIGHT(C193,3)),'HID-COMP'!B:J,4,FALSE),IF(LEFT(C193,3)="INC",VLOOKUP(VALUE(RIGHT(C193,3)),'INC-COMP'!B:J,4,FALSE),IF(LEFT(C193,3)="ELE",VLOOKUP(VALUE(RIGHT(C193,3)),#REF!,4,FALSE),IF(LEFT(C193,3)="CAB",VLOOKUP(VALUE(RIGHT(C193,3)),#REF!,4,FALSE),IF(LEFT(C193,3)="SEG",VLOOKUP(VALUE(RIGHT(C193,3)),'SEG-COMP'!B:J,4,FALSE),IF(LEFT(C193,3)="CLI",VLOOKUP(VALUE(RIGHT(C193,3)),'CLI-COMP'!B:J,4,FALSE),IF(LEFT(C193,4)="IMPL",VLOOKUP(VALUE(RIGHT(C193,3)),'IMPL-COMP'!B:J,4,FALSE),IF(LEFT(C193,4)="SPDA",VLOOKUP(VALUE(RIGHT(C193,3)),'SPDA-COMP'!B:J,4,FALSE),IF(LEFT(C193,4)="SDAI",VLOOKUP(VALUE(RIGHT(C193,3)),'ADM-COMP'!B:J,4,FALSE),IF(LEFT(C193,5)="IMPER",VLOOKUP(VALUE(RIGHT(C193,3)),'IMPER-COMP'!B:J,4,FALSE),""))))))))))))))))</f>
        <v>TUBO DE PVC RÍGIDO SOLDÁVEL BRANCO, PARA ESGOTO, SÉRIE NORMAL, DIÂMETRO 50MM (2"), INCLUSIVE CONEXÕES</v>
      </c>
      <c r="E193" s="338" t="str">
        <f>IF(B193="IOPES",VLOOKUP(C193,'LABOR-SERVIÇOS'!A:H,6,FALSE),IF(B193="SINAPI",VLOOKUP(C193,'SINAPI-SERVIÇOS'!A:D,3,FALSE),IF(LEFT(C193,3)="ARQ",VLOOKUP(VALUE(RIGHT(C193,3)),'ARQ-COMP'!B:J,5,FALSE),IF(LEFT(C193,3)="SCI",VLOOKUP(VALUE(RIGHT(C193,3)),'GAS-COMP'!#REF!,5,FALSE),IF(LEFT(C193,3)="SCE",VLOOKUP(VALUE(RIGHT(C193,3)),'SCE-COMP'!B:J,5,FALSE),IF(LEFT(C193,3)="EST",VLOOKUP(VALUE(RIGHT(C193,3)),'EST-COMP'!B:J,5,FALSE),IF(LEFT(C193,3)="HID",VLOOKUP(VALUE(RIGHT(C193,3)),'HID-COMP'!B:J,5,FALSE),IF(LEFT(C193,3)="INC",VLOOKUP(VALUE(RIGHT(C193,3)),'INC-COMP'!B:J,5,FALSE),IF(LEFT(C193,3)="ELE",VLOOKUP(VALUE(RIGHT(C193,3)),#REF!,5,FALSE),IF(LEFT(C193,3)="CAB",VLOOKUP(VALUE(RIGHT(C193,3)),#REF!,5,FALSE),IF(LEFT(C193,3)="SEG",VLOOKUP(VALUE(RIGHT(C193,3)),'SEG-COMP'!B:J,5,FALSE),IF(LEFT(C193,3)="CLI",VLOOKUP(VALUE(RIGHT(C193,3)),'CLI-COMP'!B:J,5,FALSE),IF(LEFT(C193,4)="IMPL",VLOOKUP(VALUE(RIGHT(C193,3)),'IMPL-COMP'!B:J,5,FALSE),IF(LEFT(C193,4)="SPDA",VLOOKUP(VALUE(RIGHT(C193,3)),'SPDA-COMP'!B:J,5,FALSE),IF(LEFT(C193,4)="SDAI",VLOOKUP(VALUE(RIGHT(C193,3)),'ADM-COMP'!B:J,5,FALSE),IF(LEFT(C193,5)="IMPER",VLOOKUP(VALUE(RIGHT(C193,3)),'IMPER-COMP'!B:J,5,FALSE),""))))))))))))))))</f>
        <v>M</v>
      </c>
      <c r="F193" s="599">
        <f>ROUND(VLOOKUP(A193,'MEM-LEVANT'!A252:I2761,9,FALSE),2)</f>
        <v>230</v>
      </c>
      <c r="G193" s="339">
        <f>IF(B193="IOPES",VLOOKUP(C193,'LABOR-SERVIÇOS'!A:H,7,FALSE),IF(B193="SINAPI",VLOOKUP(C193,'SINAPI-SERVIÇOS'!A:H,8,FALSE),IF(LEFT(C193,3)="ARQ",VLOOKUP(VALUE(RIGHT(C193,3)),'ARQ-COMP'!B:J,9,FALSE),IF(LEFT(C193,3)="SCI",VLOOKUP(VALUE(RIGHT(C193,3)),'GAS-COMP'!#REF!,9,FALSE),IF(LEFT(C193,3)="SCE",VLOOKUP(VALUE(RIGHT(C193,3)),'SCE-COMP'!B:J,9,FALSE),IF(LEFT(C193,3)="EST",VLOOKUP(VALUE(RIGHT(C193,3)),'EST-COMP'!B:J,9,FALSE),IF(LEFT(C193,3)="HID",VLOOKUP(VALUE(RIGHT(C193,3)),'HID-COMP'!B:J,9,FALSE),IF(LEFT(C193,3)="INC",VLOOKUP(VALUE(RIGHT(C193,3)),'INC-COMP'!B:J,9,FALSE),IF(LEFT(C193,3)="ELE",VLOOKUP(VALUE(RIGHT(C193,3)),#REF!,9,FALSE),IF(LEFT(C193,3)="CAB",VLOOKUP(VALUE(RIGHT(C193,3)),#REF!,9,FALSE),IF(LEFT(C193,3)="SEG",VLOOKUP(VALUE(RIGHT(C193,3)),'SEG-COMP'!B:J,9,FALSE),IF(LEFT(C193,3)="CLI",VLOOKUP(VALUE(RIGHT(C193,3)),'CLI-COMP'!B:J,9,FALSE),IF(LEFT(C193,4)="IMPL",VLOOKUP(VALUE(RIGHT(C193,3)),'IMPL-COMP'!B:J,9,FALSE),IF(LEFT(C193,4)="SPDA",VLOOKUP(VALUE(RIGHT(C193,3)),'SPDA-COMP'!B:J,9,FALSE),IF(LEFT(C193,4)="SDAI",VLOOKUP(VALUE(RIGHT(C193,3)),'ADM-COMP'!B:J,9,FALSE),IF(LEFT(C193,5)="IMPER",VLOOKUP(VALUE(RIGHT(C193,3)),'IMPER-COMP'!B:J,9,FALSE),""))))))))))))))))</f>
        <v>52.33</v>
      </c>
      <c r="H193" s="339">
        <f t="shared" si="72"/>
        <v>12035.9</v>
      </c>
      <c r="I193" s="374">
        <f>H193/$H$441</f>
        <v>7.037341317255001E-4</v>
      </c>
      <c r="J193" s="314"/>
    </row>
    <row r="194" spans="1:10" ht="26.4">
      <c r="A194" s="613" t="s">
        <v>35307</v>
      </c>
      <c r="B194" s="337" t="s">
        <v>2879</v>
      </c>
      <c r="C194" s="540">
        <f>141908</f>
        <v>141908</v>
      </c>
      <c r="D194" s="539" t="str">
        <f>IF(B194="IOPES",VLOOKUP(C194,'LABOR-SERVIÇOS'!A:H,5,FALSE),IF(B194="SINAPI",VLOOKUP(C194,'SINAPI-SERVIÇOS'!A:D,2,FALSE),IF(LEFT(C194,3)="ARQ",VLOOKUP(VALUE(RIGHT(C194,3)),'ARQ-COMP'!B:J,4,FALSE),IF(LEFT(C194,3)="SCI",VLOOKUP(VALUE(RIGHT(C194,3)),'GAS-COMP'!#REF!,4,FALSE),IF(LEFT(C194,3)="SCE",VLOOKUP(VALUE(RIGHT(C194,3)),'SCE-COMP'!B:J,4,FALSE),IF(LEFT(C194,3)="EST",VLOOKUP(VALUE(RIGHT(C194,3)),'EST-COMP'!B:J,4,FALSE),IF(LEFT(C194,3)="HID",VLOOKUP(VALUE(RIGHT(C194,3)),'HID-COMP'!B:J,4,FALSE),IF(LEFT(C194,3)="INC",VLOOKUP(VALUE(RIGHT(C194,3)),'INC-COMP'!B:J,4,FALSE),IF(LEFT(C194,3)="ELE",VLOOKUP(VALUE(RIGHT(C194,3)),#REF!,4,FALSE),IF(LEFT(C194,3)="CAB",VLOOKUP(VALUE(RIGHT(C194,3)),#REF!,4,FALSE),IF(LEFT(C194,3)="SEG",VLOOKUP(VALUE(RIGHT(C194,3)),'SEG-COMP'!B:J,4,FALSE),IF(LEFT(C194,3)="CLI",VLOOKUP(VALUE(RIGHT(C194,3)),'CLI-COMP'!B:J,4,FALSE),IF(LEFT(C194,4)="IMPL",VLOOKUP(VALUE(RIGHT(C194,3)),'IMPL-COMP'!B:J,4,FALSE),IF(LEFT(C194,4)="SPDA",VLOOKUP(VALUE(RIGHT(C194,3)),'SPDA-COMP'!B:J,4,FALSE),IF(LEFT(C194,4)="SDAI",VLOOKUP(VALUE(RIGHT(C194,3)),'ADM-COMP'!B:J,4,FALSE),IF(LEFT(C194,5)="IMPER",VLOOKUP(VALUE(RIGHT(C194,3)),'IMPER-COMP'!B:J,4,FALSE),""))))))))))))))))</f>
        <v>TUBO DE PVC RÍGIDO SOLDÁVEL BRANCO, PARA ESGOTO, SÉRIE NORMAL, DIÂMETRO 75MM (3"), INCLUSIVE CONEXÕES</v>
      </c>
      <c r="E194" s="338" t="str">
        <f>IF(B194="IOPES",VLOOKUP(C194,'LABOR-SERVIÇOS'!A:H,6,FALSE),IF(B194="SINAPI",VLOOKUP(C194,'SINAPI-SERVIÇOS'!A:D,3,FALSE),IF(LEFT(C194,3)="ARQ",VLOOKUP(VALUE(RIGHT(C194,3)),'ARQ-COMP'!B:J,5,FALSE),IF(LEFT(C194,3)="SCI",VLOOKUP(VALUE(RIGHT(C194,3)),'GAS-COMP'!#REF!,5,FALSE),IF(LEFT(C194,3)="SCE",VLOOKUP(VALUE(RIGHT(C194,3)),'SCE-COMP'!B:J,5,FALSE),IF(LEFT(C194,3)="EST",VLOOKUP(VALUE(RIGHT(C194,3)),'EST-COMP'!B:J,5,FALSE),IF(LEFT(C194,3)="HID",VLOOKUP(VALUE(RIGHT(C194,3)),'HID-COMP'!B:J,5,FALSE),IF(LEFT(C194,3)="INC",VLOOKUP(VALUE(RIGHT(C194,3)),'INC-COMP'!B:J,5,FALSE),IF(LEFT(C194,3)="ELE",VLOOKUP(VALUE(RIGHT(C194,3)),#REF!,5,FALSE),IF(LEFT(C194,3)="CAB",VLOOKUP(VALUE(RIGHT(C194,3)),#REF!,5,FALSE),IF(LEFT(C194,3)="SEG",VLOOKUP(VALUE(RIGHT(C194,3)),'SEG-COMP'!B:J,5,FALSE),IF(LEFT(C194,3)="CLI",VLOOKUP(VALUE(RIGHT(C194,3)),'CLI-COMP'!B:J,5,FALSE),IF(LEFT(C194,4)="IMPL",VLOOKUP(VALUE(RIGHT(C194,3)),'IMPL-COMP'!B:J,5,FALSE),IF(LEFT(C194,4)="SPDA",VLOOKUP(VALUE(RIGHT(C194,3)),'SPDA-COMP'!B:J,5,FALSE),IF(LEFT(C194,4)="SDAI",VLOOKUP(VALUE(RIGHT(C194,3)),'ADM-COMP'!B:J,5,FALSE),IF(LEFT(C194,5)="IMPER",VLOOKUP(VALUE(RIGHT(C194,3)),'IMPER-COMP'!B:J,5,FALSE),""))))))))))))))))</f>
        <v>M</v>
      </c>
      <c r="F194" s="599">
        <f>ROUND(VLOOKUP(A194,'MEM-LEVANT'!A252:I2762,9,FALSE),2)</f>
        <v>90</v>
      </c>
      <c r="G194" s="339">
        <f>IF(B194="IOPES",VLOOKUP(C194,'LABOR-SERVIÇOS'!A:H,7,FALSE),IF(B194="SINAPI",VLOOKUP(C194,'SINAPI-SERVIÇOS'!A:H,8,FALSE),IF(LEFT(C194,3)="ARQ",VLOOKUP(VALUE(RIGHT(C194,3)),'ARQ-COMP'!B:J,9,FALSE),IF(LEFT(C194,3)="SCI",VLOOKUP(VALUE(RIGHT(C194,3)),'GAS-COMP'!#REF!,9,FALSE),IF(LEFT(C194,3)="SCE",VLOOKUP(VALUE(RIGHT(C194,3)),'SCE-COMP'!B:J,9,FALSE),IF(LEFT(C194,3)="EST",VLOOKUP(VALUE(RIGHT(C194,3)),'EST-COMP'!B:J,9,FALSE),IF(LEFT(C194,3)="HID",VLOOKUP(VALUE(RIGHT(C194,3)),'HID-COMP'!B:J,9,FALSE),IF(LEFT(C194,3)="INC",VLOOKUP(VALUE(RIGHT(C194,3)),'INC-COMP'!B:J,9,FALSE),IF(LEFT(C194,3)="ELE",VLOOKUP(VALUE(RIGHT(C194,3)),#REF!,9,FALSE),IF(LEFT(C194,3)="CAB",VLOOKUP(VALUE(RIGHT(C194,3)),#REF!,9,FALSE),IF(LEFT(C194,3)="SEG",VLOOKUP(VALUE(RIGHT(C194,3)),'SEG-COMP'!B:J,9,FALSE),IF(LEFT(C194,3)="CLI",VLOOKUP(VALUE(RIGHT(C194,3)),'CLI-COMP'!B:J,9,FALSE),IF(LEFT(C194,4)="IMPL",VLOOKUP(VALUE(RIGHT(C194,3)),'IMPL-COMP'!B:J,9,FALSE),IF(LEFT(C194,4)="SPDA",VLOOKUP(VALUE(RIGHT(C194,3)),'SPDA-COMP'!B:J,9,FALSE),IF(LEFT(C194,4)="SDAI",VLOOKUP(VALUE(RIGHT(C194,3)),'ADM-COMP'!B:J,9,FALSE),IF(LEFT(C194,5)="IMPER",VLOOKUP(VALUE(RIGHT(C194,3)),'IMPER-COMP'!B:J,9,FALSE),""))))))))))))))))</f>
        <v>81.19</v>
      </c>
      <c r="H194" s="339">
        <f t="shared" si="72"/>
        <v>7307.1</v>
      </c>
      <c r="I194" s="374">
        <f>H194/$H$441</f>
        <v>4.2724313710909882E-4</v>
      </c>
      <c r="J194" s="314"/>
    </row>
    <row r="195" spans="1:10" ht="26.4">
      <c r="A195" s="613" t="s">
        <v>35308</v>
      </c>
      <c r="B195" s="337" t="s">
        <v>2879</v>
      </c>
      <c r="C195" s="540">
        <f>141909</f>
        <v>141909</v>
      </c>
      <c r="D195" s="539" t="str">
        <f>IF(B195="IOPES",VLOOKUP(C195,'LABOR-SERVIÇOS'!A:H,5,FALSE),IF(B195="SINAPI",VLOOKUP(C195,'SINAPI-SERVIÇOS'!A:D,2,FALSE),IF(LEFT(C195,3)="ARQ",VLOOKUP(VALUE(RIGHT(C195,3)),'ARQ-COMP'!B:J,4,FALSE),IF(LEFT(C195,3)="SCI",VLOOKUP(VALUE(RIGHT(C195,3)),'GAS-COMP'!#REF!,4,FALSE),IF(LEFT(C195,3)="SCE",VLOOKUP(VALUE(RIGHT(C195,3)),'SCE-COMP'!B:J,4,FALSE),IF(LEFT(C195,3)="EST",VLOOKUP(VALUE(RIGHT(C195,3)),'EST-COMP'!B:J,4,FALSE),IF(LEFT(C195,3)="HID",VLOOKUP(VALUE(RIGHT(C195,3)),'HID-COMP'!B:J,4,FALSE),IF(LEFT(C195,3)="INC",VLOOKUP(VALUE(RIGHT(C195,3)),'INC-COMP'!B:J,4,FALSE),IF(LEFT(C195,3)="ELE",VLOOKUP(VALUE(RIGHT(C195,3)),#REF!,4,FALSE),IF(LEFT(C195,3)="CAB",VLOOKUP(VALUE(RIGHT(C195,3)),#REF!,4,FALSE),IF(LEFT(C195,3)="SEG",VLOOKUP(VALUE(RIGHT(C195,3)),'SEG-COMP'!B:J,4,FALSE),IF(LEFT(C195,3)="CLI",VLOOKUP(VALUE(RIGHT(C195,3)),'CLI-COMP'!B:J,4,FALSE),IF(LEFT(C195,4)="IMPL",VLOOKUP(VALUE(RIGHT(C195,3)),'IMPL-COMP'!B:J,4,FALSE),IF(LEFT(C195,4)="SPDA",VLOOKUP(VALUE(RIGHT(C195,3)),'SPDA-COMP'!B:J,4,FALSE),IF(LEFT(C195,4)="SDAI",VLOOKUP(VALUE(RIGHT(C195,3)),'ADM-COMP'!B:J,4,FALSE),IF(LEFT(C195,5)="IMPER",VLOOKUP(VALUE(RIGHT(C195,3)),'IMPER-COMP'!B:J,4,FALSE),""))))))))))))))))</f>
        <v>TUBO DE PVC RÍGIDO SOLDÁVEL BRANCO, PARA ESGOTO, SÉRIE NORMAL, DIÂMETRO 100MM (4"), INCLUSIVE CONEXÕES</v>
      </c>
      <c r="E195" s="338" t="str">
        <f>IF(B195="IOPES",VLOOKUP(C195,'LABOR-SERVIÇOS'!A:H,6,FALSE),IF(B195="SINAPI",VLOOKUP(C195,'SINAPI-SERVIÇOS'!A:D,3,FALSE),IF(LEFT(C195,3)="ARQ",VLOOKUP(VALUE(RIGHT(C195,3)),'ARQ-COMP'!B:J,5,FALSE),IF(LEFT(C195,3)="SCI",VLOOKUP(VALUE(RIGHT(C195,3)),'GAS-COMP'!#REF!,5,FALSE),IF(LEFT(C195,3)="SCE",VLOOKUP(VALUE(RIGHT(C195,3)),'SCE-COMP'!B:J,5,FALSE),IF(LEFT(C195,3)="EST",VLOOKUP(VALUE(RIGHT(C195,3)),'EST-COMP'!B:J,5,FALSE),IF(LEFT(C195,3)="HID",VLOOKUP(VALUE(RIGHT(C195,3)),'HID-COMP'!B:J,5,FALSE),IF(LEFT(C195,3)="INC",VLOOKUP(VALUE(RIGHT(C195,3)),'INC-COMP'!B:J,5,FALSE),IF(LEFT(C195,3)="ELE",VLOOKUP(VALUE(RIGHT(C195,3)),#REF!,5,FALSE),IF(LEFT(C195,3)="CAB",VLOOKUP(VALUE(RIGHT(C195,3)),#REF!,5,FALSE),IF(LEFT(C195,3)="SEG",VLOOKUP(VALUE(RIGHT(C195,3)),'SEG-COMP'!B:J,5,FALSE),IF(LEFT(C195,3)="CLI",VLOOKUP(VALUE(RIGHT(C195,3)),'CLI-COMP'!B:J,5,FALSE),IF(LEFT(C195,4)="IMPL",VLOOKUP(VALUE(RIGHT(C195,3)),'IMPL-COMP'!B:J,5,FALSE),IF(LEFT(C195,4)="SPDA",VLOOKUP(VALUE(RIGHT(C195,3)),'SPDA-COMP'!B:J,5,FALSE),IF(LEFT(C195,4)="SDAI",VLOOKUP(VALUE(RIGHT(C195,3)),'ADM-COMP'!B:J,5,FALSE),IF(LEFT(C195,5)="IMPER",VLOOKUP(VALUE(RIGHT(C195,3)),'IMPER-COMP'!B:J,5,FALSE),""))))))))))))))))</f>
        <v>M</v>
      </c>
      <c r="F195" s="599">
        <f>ROUND(VLOOKUP(A195,'MEM-LEVANT'!A252:I2763,9,FALSE),2)</f>
        <v>100</v>
      </c>
      <c r="G195" s="339">
        <f>IF(B195="IOPES",VLOOKUP(C195,'LABOR-SERVIÇOS'!A:H,7,FALSE),IF(B195="SINAPI",VLOOKUP(C195,'SINAPI-SERVIÇOS'!A:H,8,FALSE),IF(LEFT(C195,3)="ARQ",VLOOKUP(VALUE(RIGHT(C195,3)),'ARQ-COMP'!B:J,9,FALSE),IF(LEFT(C195,3)="SCI",VLOOKUP(VALUE(RIGHT(C195,3)),'GAS-COMP'!#REF!,9,FALSE),IF(LEFT(C195,3)="SCE",VLOOKUP(VALUE(RIGHT(C195,3)),'SCE-COMP'!B:J,9,FALSE),IF(LEFT(C195,3)="EST",VLOOKUP(VALUE(RIGHT(C195,3)),'EST-COMP'!B:J,9,FALSE),IF(LEFT(C195,3)="HID",VLOOKUP(VALUE(RIGHT(C195,3)),'HID-COMP'!B:J,9,FALSE),IF(LEFT(C195,3)="INC",VLOOKUP(VALUE(RIGHT(C195,3)),'INC-COMP'!B:J,9,FALSE),IF(LEFT(C195,3)="ELE",VLOOKUP(VALUE(RIGHT(C195,3)),#REF!,9,FALSE),IF(LEFT(C195,3)="CAB",VLOOKUP(VALUE(RIGHT(C195,3)),#REF!,9,FALSE),IF(LEFT(C195,3)="SEG",VLOOKUP(VALUE(RIGHT(C195,3)),'SEG-COMP'!B:J,9,FALSE),IF(LEFT(C195,3)="CLI",VLOOKUP(VALUE(RIGHT(C195,3)),'CLI-COMP'!B:J,9,FALSE),IF(LEFT(C195,4)="IMPL",VLOOKUP(VALUE(RIGHT(C195,3)),'IMPL-COMP'!B:J,9,FALSE),IF(LEFT(C195,4)="SPDA",VLOOKUP(VALUE(RIGHT(C195,3)),'SPDA-COMP'!B:J,9,FALSE),IF(LEFT(C195,4)="SDAI",VLOOKUP(VALUE(RIGHT(C195,3)),'ADM-COMP'!B:J,9,FALSE),IF(LEFT(C195,5)="IMPER",VLOOKUP(VALUE(RIGHT(C195,3)),'IMPER-COMP'!B:J,9,FALSE),""))))))))))))))))</f>
        <v>99.1</v>
      </c>
      <c r="H195" s="339">
        <f t="shared" si="72"/>
        <v>9910</v>
      </c>
      <c r="I195" s="374">
        <f>H195/$H$441</f>
        <v>5.7943363150239754E-4</v>
      </c>
      <c r="J195" s="314"/>
    </row>
    <row r="196" spans="1:10" ht="26.4">
      <c r="A196" s="613" t="s">
        <v>35309</v>
      </c>
      <c r="B196" s="337" t="s">
        <v>2879</v>
      </c>
      <c r="C196" s="540">
        <f>141910</f>
        <v>141910</v>
      </c>
      <c r="D196" s="539" t="str">
        <f>IF(B196="IOPES",VLOOKUP(C196,'LABOR-SERVIÇOS'!A:H,5,FALSE),IF(B196="SINAPI",VLOOKUP(C196,'SINAPI-SERVIÇOS'!A:D,2,FALSE),IF(LEFT(C196,3)="ARQ",VLOOKUP(VALUE(RIGHT(C196,3)),'ARQ-COMP'!B:J,4,FALSE),IF(LEFT(C196,3)="SCI",VLOOKUP(VALUE(RIGHT(C196,3)),'GAS-COMP'!#REF!,4,FALSE),IF(LEFT(C196,3)="SCE",VLOOKUP(VALUE(RIGHT(C196,3)),'SCE-COMP'!B:J,4,FALSE),IF(LEFT(C196,3)="EST",VLOOKUP(VALUE(RIGHT(C196,3)),'EST-COMP'!B:J,4,FALSE),IF(LEFT(C196,3)="HID",VLOOKUP(VALUE(RIGHT(C196,3)),'HID-COMP'!B:J,4,FALSE),IF(LEFT(C196,3)="INC",VLOOKUP(VALUE(RIGHT(C196,3)),'INC-COMP'!B:J,4,FALSE),IF(LEFT(C196,3)="ELE",VLOOKUP(VALUE(RIGHT(C196,3)),#REF!,4,FALSE),IF(LEFT(C196,3)="CAB",VLOOKUP(VALUE(RIGHT(C196,3)),#REF!,4,FALSE),IF(LEFT(C196,3)="SEG",VLOOKUP(VALUE(RIGHT(C196,3)),'SEG-COMP'!B:J,4,FALSE),IF(LEFT(C196,3)="CLI",VLOOKUP(VALUE(RIGHT(C196,3)),'CLI-COMP'!B:J,4,FALSE),IF(LEFT(C196,4)="IMPL",VLOOKUP(VALUE(RIGHT(C196,3)),'IMPL-COMP'!B:J,4,FALSE),IF(LEFT(C196,4)="SPDA",VLOOKUP(VALUE(RIGHT(C196,3)),'SPDA-COMP'!B:J,4,FALSE),IF(LEFT(C196,4)="SDAI",VLOOKUP(VALUE(RIGHT(C196,3)),'ADM-COMP'!B:J,4,FALSE),IF(LEFT(C196,5)="IMPER",VLOOKUP(VALUE(RIGHT(C196,3)),'IMPER-COMP'!B:J,4,FALSE),""))))))))))))))))</f>
        <v>TUBO DE PVC RÍGIDO SOLDÁVEL BRANCO, PARA ESGOTO, SÉRIE NORMAL, DIÂMETRO 150MM (6"), INCLUSIVE CONEXÕES</v>
      </c>
      <c r="E196" s="338" t="str">
        <f>IF(B196="IOPES",VLOOKUP(C196,'LABOR-SERVIÇOS'!A:H,6,FALSE),IF(B196="SINAPI",VLOOKUP(C196,'SINAPI-SERVIÇOS'!A:D,3,FALSE),IF(LEFT(C196,3)="ARQ",VLOOKUP(VALUE(RIGHT(C196,3)),'ARQ-COMP'!B:J,5,FALSE),IF(LEFT(C196,3)="SCI",VLOOKUP(VALUE(RIGHT(C196,3)),'GAS-COMP'!#REF!,5,FALSE),IF(LEFT(C196,3)="SCE",VLOOKUP(VALUE(RIGHT(C196,3)),'SCE-COMP'!B:J,5,FALSE),IF(LEFT(C196,3)="EST",VLOOKUP(VALUE(RIGHT(C196,3)),'EST-COMP'!B:J,5,FALSE),IF(LEFT(C196,3)="HID",VLOOKUP(VALUE(RIGHT(C196,3)),'HID-COMP'!B:J,5,FALSE),IF(LEFT(C196,3)="INC",VLOOKUP(VALUE(RIGHT(C196,3)),'INC-COMP'!B:J,5,FALSE),IF(LEFT(C196,3)="ELE",VLOOKUP(VALUE(RIGHT(C196,3)),#REF!,5,FALSE),IF(LEFT(C196,3)="CAB",VLOOKUP(VALUE(RIGHT(C196,3)),#REF!,5,FALSE),IF(LEFT(C196,3)="SEG",VLOOKUP(VALUE(RIGHT(C196,3)),'SEG-COMP'!B:J,5,FALSE),IF(LEFT(C196,3)="CLI",VLOOKUP(VALUE(RIGHT(C196,3)),'CLI-COMP'!B:J,5,FALSE),IF(LEFT(C196,4)="IMPL",VLOOKUP(VALUE(RIGHT(C196,3)),'IMPL-COMP'!B:J,5,FALSE),IF(LEFT(C196,4)="SPDA",VLOOKUP(VALUE(RIGHT(C196,3)),'SPDA-COMP'!B:J,5,FALSE),IF(LEFT(C196,4)="SDAI",VLOOKUP(VALUE(RIGHT(C196,3)),'ADM-COMP'!B:J,5,FALSE),IF(LEFT(C196,5)="IMPER",VLOOKUP(VALUE(RIGHT(C196,3)),'IMPER-COMP'!B:J,5,FALSE),""))))))))))))))))</f>
        <v>M</v>
      </c>
      <c r="F196" s="599">
        <f>ROUND(VLOOKUP(A196,'MEM-LEVANT'!A252:I2764,9,FALSE),2)</f>
        <v>350</v>
      </c>
      <c r="G196" s="339">
        <f>IF(B196="IOPES",VLOOKUP(C196,'LABOR-SERVIÇOS'!A:H,7,FALSE),IF(B196="SINAPI",VLOOKUP(C196,'SINAPI-SERVIÇOS'!A:H,8,FALSE),IF(LEFT(C196,3)="ARQ",VLOOKUP(VALUE(RIGHT(C196,3)),'ARQ-COMP'!B:J,9,FALSE),IF(LEFT(C196,3)="SCI",VLOOKUP(VALUE(RIGHT(C196,3)),'GAS-COMP'!#REF!,9,FALSE),IF(LEFT(C196,3)="SCE",VLOOKUP(VALUE(RIGHT(C196,3)),'SCE-COMP'!B:J,9,FALSE),IF(LEFT(C196,3)="EST",VLOOKUP(VALUE(RIGHT(C196,3)),'EST-COMP'!B:J,9,FALSE),IF(LEFT(C196,3)="HID",VLOOKUP(VALUE(RIGHT(C196,3)),'HID-COMP'!B:J,9,FALSE),IF(LEFT(C196,3)="INC",VLOOKUP(VALUE(RIGHT(C196,3)),'INC-COMP'!B:J,9,FALSE),IF(LEFT(C196,3)="ELE",VLOOKUP(VALUE(RIGHT(C196,3)),#REF!,9,FALSE),IF(LEFT(C196,3)="CAB",VLOOKUP(VALUE(RIGHT(C196,3)),#REF!,9,FALSE),IF(LEFT(C196,3)="SEG",VLOOKUP(VALUE(RIGHT(C196,3)),'SEG-COMP'!B:J,9,FALSE),IF(LEFT(C196,3)="CLI",VLOOKUP(VALUE(RIGHT(C196,3)),'CLI-COMP'!B:J,9,FALSE),IF(LEFT(C196,4)="IMPL",VLOOKUP(VALUE(RIGHT(C196,3)),'IMPL-COMP'!B:J,9,FALSE),IF(LEFT(C196,4)="SPDA",VLOOKUP(VALUE(RIGHT(C196,3)),'SPDA-COMP'!B:J,9,FALSE),IF(LEFT(C196,4)="SDAI",VLOOKUP(VALUE(RIGHT(C196,3)),'ADM-COMP'!B:J,9,FALSE),IF(LEFT(C196,5)="IMPER",VLOOKUP(VALUE(RIGHT(C196,3)),'IMPER-COMP'!B:J,9,FALSE),""))))))))))))))))</f>
        <v>126.15</v>
      </c>
      <c r="H196" s="339">
        <f t="shared" ref="H196" si="73">ROUND(F196*G196,2)</f>
        <v>44152.5</v>
      </c>
      <c r="I196" s="374">
        <f>H196/$H$441</f>
        <v>2.581578548426802E-3</v>
      </c>
      <c r="J196" s="314"/>
    </row>
    <row r="197" spans="1:10">
      <c r="A197" s="553" t="s">
        <v>35310</v>
      </c>
      <c r="B197" s="554"/>
      <c r="C197" s="555"/>
      <c r="D197" s="556" t="s">
        <v>35311</v>
      </c>
      <c r="E197" s="557"/>
      <c r="F197" s="598"/>
      <c r="G197" s="558"/>
      <c r="H197" s="559"/>
      <c r="I197" s="560"/>
      <c r="J197" s="314"/>
    </row>
    <row r="198" spans="1:10">
      <c r="A198" s="613" t="s">
        <v>35312</v>
      </c>
      <c r="B198" s="337" t="s">
        <v>2879</v>
      </c>
      <c r="C198" s="540">
        <f>142104</f>
        <v>142104</v>
      </c>
      <c r="D198" s="539" t="str">
        <f>IF(B198="IOPES",VLOOKUP(C198,'LABOR-SERVIÇOS'!A:H,5,FALSE),IF(B198="SINAPI",VLOOKUP(C198,'SINAPI-SERVIÇOS'!A:D,2,FALSE),IF(LEFT(C198,3)="ARQ",VLOOKUP(VALUE(RIGHT(C198,3)),'ARQ-COMP'!B:J,4,FALSE),IF(LEFT(C198,3)="SCI",VLOOKUP(VALUE(RIGHT(C198,3)),'GAS-COMP'!#REF!,4,FALSE),IF(LEFT(C198,3)="SCE",VLOOKUP(VALUE(RIGHT(C198,3)),'SCE-COMP'!B:J,4,FALSE),IF(LEFT(C198,3)="EST",VLOOKUP(VALUE(RIGHT(C198,3)),'EST-COMP'!B:J,4,FALSE),IF(LEFT(C198,3)="HID",VLOOKUP(VALUE(RIGHT(C198,3)),'HID-COMP'!B:J,4,FALSE),IF(LEFT(C198,3)="INC",VLOOKUP(VALUE(RIGHT(C198,3)),'INC-COMP'!B:J,4,FALSE),IF(LEFT(C198,3)="ELE",VLOOKUP(VALUE(RIGHT(C198,3)),#REF!,4,FALSE),IF(LEFT(C198,3)="CAB",VLOOKUP(VALUE(RIGHT(C198,3)),#REF!,4,FALSE),IF(LEFT(C198,3)="SEG",VLOOKUP(VALUE(RIGHT(C198,3)),'SEG-COMP'!B:J,4,FALSE),IF(LEFT(C198,3)="CLI",VLOOKUP(VALUE(RIGHT(C198,3)),'CLI-COMP'!B:J,4,FALSE),IF(LEFT(C198,4)="IMPL",VLOOKUP(VALUE(RIGHT(C198,3)),'IMPL-COMP'!B:J,4,FALSE),IF(LEFT(C198,4)="SPDA",VLOOKUP(VALUE(RIGHT(C198,3)),'SPDA-COMP'!B:J,4,FALSE),IF(LEFT(C198,4)="SDAI",VLOOKUP(VALUE(RIGHT(C198,3)),'ADM-COMP'!B:J,4,FALSE),IF(LEFT(C198,5)="IMPER",VLOOKUP(VALUE(RIGHT(C198,3)),'IMPER-COMP'!B:J,4,FALSE),""))))))))))))))))</f>
        <v>SIFÃO EM PVC PARA PIA DE COZINHA OU LAVATÓRIO 1X11/2"</v>
      </c>
      <c r="E198" s="338" t="str">
        <f>IF(B198="IOPES",VLOOKUP(C198,'LABOR-SERVIÇOS'!A:H,6,FALSE),IF(B198="SINAPI",VLOOKUP(C198,'SINAPI-SERVIÇOS'!A:D,3,FALSE),IF(LEFT(C198,3)="ARQ",VLOOKUP(VALUE(RIGHT(C198,3)),'ARQ-COMP'!B:J,5,FALSE),IF(LEFT(C198,3)="SCI",VLOOKUP(VALUE(RIGHT(C198,3)),'GAS-COMP'!#REF!,5,FALSE),IF(LEFT(C198,3)="SCE",VLOOKUP(VALUE(RIGHT(C198,3)),'SCE-COMP'!B:J,5,FALSE),IF(LEFT(C198,3)="EST",VLOOKUP(VALUE(RIGHT(C198,3)),'EST-COMP'!B:J,5,FALSE),IF(LEFT(C198,3)="HID",VLOOKUP(VALUE(RIGHT(C198,3)),'HID-COMP'!B:J,5,FALSE),IF(LEFT(C198,3)="INC",VLOOKUP(VALUE(RIGHT(C198,3)),'INC-COMP'!B:J,5,FALSE),IF(LEFT(C198,3)="ELE",VLOOKUP(VALUE(RIGHT(C198,3)),#REF!,5,FALSE),IF(LEFT(C198,3)="CAB",VLOOKUP(VALUE(RIGHT(C198,3)),#REF!,5,FALSE),IF(LEFT(C198,3)="SEG",VLOOKUP(VALUE(RIGHT(C198,3)),'SEG-COMP'!B:J,5,FALSE),IF(LEFT(C198,3)="CLI",VLOOKUP(VALUE(RIGHT(C198,3)),'CLI-COMP'!B:J,5,FALSE),IF(LEFT(C198,4)="IMPL",VLOOKUP(VALUE(RIGHT(C198,3)),'IMPL-COMP'!B:J,5,FALSE),IF(LEFT(C198,4)="SPDA",VLOOKUP(VALUE(RIGHT(C198,3)),'SPDA-COMP'!B:J,5,FALSE),IF(LEFT(C198,4)="SDAI",VLOOKUP(VALUE(RIGHT(C198,3)),'ADM-COMP'!B:J,5,FALSE),IF(LEFT(C198,5)="IMPER",VLOOKUP(VALUE(RIGHT(C198,3)),'IMPER-COMP'!B:J,5,FALSE),""))))))))))))))))</f>
        <v>UND</v>
      </c>
      <c r="F198" s="599">
        <f>ROUND(VLOOKUP(A198,'MEM-LEVANT'!A254:I2766,9,FALSE),2)</f>
        <v>28</v>
      </c>
      <c r="G198" s="339">
        <f>IF(B198="IOPES",VLOOKUP(C198,'LABOR-SERVIÇOS'!A:H,7,FALSE),IF(B198="SINAPI",VLOOKUP(C198,'SINAPI-SERVIÇOS'!A:H,8,FALSE),IF(LEFT(C198,3)="ARQ",VLOOKUP(VALUE(RIGHT(C198,3)),'ARQ-COMP'!B:J,9,FALSE),IF(LEFT(C198,3)="SCI",VLOOKUP(VALUE(RIGHT(C198,3)),'GAS-COMP'!#REF!,9,FALSE),IF(LEFT(C198,3)="SCE",VLOOKUP(VALUE(RIGHT(C198,3)),'SCE-COMP'!B:J,9,FALSE),IF(LEFT(C198,3)="EST",VLOOKUP(VALUE(RIGHT(C198,3)),'EST-COMP'!B:J,9,FALSE),IF(LEFT(C198,3)="HID",VLOOKUP(VALUE(RIGHT(C198,3)),'HID-COMP'!B:J,9,FALSE),IF(LEFT(C198,3)="INC",VLOOKUP(VALUE(RIGHT(C198,3)),'INC-COMP'!B:J,9,FALSE),IF(LEFT(C198,3)="ELE",VLOOKUP(VALUE(RIGHT(C198,3)),#REF!,9,FALSE),IF(LEFT(C198,3)="CAB",VLOOKUP(VALUE(RIGHT(C198,3)),#REF!,9,FALSE),IF(LEFT(C198,3)="SEG",VLOOKUP(VALUE(RIGHT(C198,3)),'SEG-COMP'!B:J,9,FALSE),IF(LEFT(C198,3)="CLI",VLOOKUP(VALUE(RIGHT(C198,3)),'CLI-COMP'!B:J,9,FALSE),IF(LEFT(C198,4)="IMPL",VLOOKUP(VALUE(RIGHT(C198,3)),'IMPL-COMP'!B:J,9,FALSE),IF(LEFT(C198,4)="SPDA",VLOOKUP(VALUE(RIGHT(C198,3)),'SPDA-COMP'!B:J,9,FALSE),IF(LEFT(C198,4)="SDAI",VLOOKUP(VALUE(RIGHT(C198,3)),'ADM-COMP'!B:J,9,FALSE),IF(LEFT(C198,5)="IMPER",VLOOKUP(VALUE(RIGHT(C198,3)),'IMPER-COMP'!B:J,9,FALSE),""))))))))))))))))</f>
        <v>36.39</v>
      </c>
      <c r="H198" s="339">
        <f t="shared" ref="H198:H200" si="74">ROUND(F198*G198,2)</f>
        <v>1018.92</v>
      </c>
      <c r="I198" s="374">
        <f>H198/$H$441</f>
        <v>5.9575834087832783E-5</v>
      </c>
      <c r="J198" s="314"/>
    </row>
    <row r="199" spans="1:10">
      <c r="A199" s="613" t="s">
        <v>35313</v>
      </c>
      <c r="B199" s="337" t="s">
        <v>2879</v>
      </c>
      <c r="C199" s="540">
        <f>142106</f>
        <v>142106</v>
      </c>
      <c r="D199" s="539" t="str">
        <f>IF(B199="IOPES",VLOOKUP(C199,'LABOR-SERVIÇOS'!A:H,5,FALSE),IF(B199="SINAPI",VLOOKUP(C199,'SINAPI-SERVIÇOS'!A:D,2,FALSE),IF(LEFT(C199,3)="ARQ",VLOOKUP(VALUE(RIGHT(C199,3)),'ARQ-COMP'!B:J,4,FALSE),IF(LEFT(C199,3)="SCI",VLOOKUP(VALUE(RIGHT(C199,3)),'GAS-COMP'!#REF!,4,FALSE),IF(LEFT(C199,3)="SCE",VLOOKUP(VALUE(RIGHT(C199,3)),'SCE-COMP'!B:J,4,FALSE),IF(LEFT(C199,3)="EST",VLOOKUP(VALUE(RIGHT(C199,3)),'EST-COMP'!B:J,4,FALSE),IF(LEFT(C199,3)="HID",VLOOKUP(VALUE(RIGHT(C199,3)),'HID-COMP'!B:J,4,FALSE),IF(LEFT(C199,3)="INC",VLOOKUP(VALUE(RIGHT(C199,3)),'INC-COMP'!B:J,4,FALSE),IF(LEFT(C199,3)="ELE",VLOOKUP(VALUE(RIGHT(C199,3)),#REF!,4,FALSE),IF(LEFT(C199,3)="CAB",VLOOKUP(VALUE(RIGHT(C199,3)),#REF!,4,FALSE),IF(LEFT(C199,3)="SEG",VLOOKUP(VALUE(RIGHT(C199,3)),'SEG-COMP'!B:J,4,FALSE),IF(LEFT(C199,3)="CLI",VLOOKUP(VALUE(RIGHT(C199,3)),'CLI-COMP'!B:J,4,FALSE),IF(LEFT(C199,4)="IMPL",VLOOKUP(VALUE(RIGHT(C199,3)),'IMPL-COMP'!B:J,4,FALSE),IF(LEFT(C199,4)="SPDA",VLOOKUP(VALUE(RIGHT(C199,3)),'SPDA-COMP'!B:J,4,FALSE),IF(LEFT(C199,4)="SDAI",VLOOKUP(VALUE(RIGHT(C199,3)),'ADM-COMP'!B:J,4,FALSE),IF(LEFT(C199,5)="IMPER",VLOOKUP(VALUE(RIGHT(C199,3)),'IMPER-COMP'!B:J,4,FALSE),""))))))))))))))))</f>
        <v>SIFÃO EM PVC PARA TANQUE 2"</v>
      </c>
      <c r="E199" s="338" t="str">
        <f>IF(B199="IOPES",VLOOKUP(C199,'LABOR-SERVIÇOS'!A:H,6,FALSE),IF(B199="SINAPI",VLOOKUP(C199,'SINAPI-SERVIÇOS'!A:D,3,FALSE),IF(LEFT(C199,3)="ARQ",VLOOKUP(VALUE(RIGHT(C199,3)),'ARQ-COMP'!B:J,5,FALSE),IF(LEFT(C199,3)="SCI",VLOOKUP(VALUE(RIGHT(C199,3)),'GAS-COMP'!#REF!,5,FALSE),IF(LEFT(C199,3)="SCE",VLOOKUP(VALUE(RIGHT(C199,3)),'SCE-COMP'!B:J,5,FALSE),IF(LEFT(C199,3)="EST",VLOOKUP(VALUE(RIGHT(C199,3)),'EST-COMP'!B:J,5,FALSE),IF(LEFT(C199,3)="HID",VLOOKUP(VALUE(RIGHT(C199,3)),'HID-COMP'!B:J,5,FALSE),IF(LEFT(C199,3)="INC",VLOOKUP(VALUE(RIGHT(C199,3)),'INC-COMP'!B:J,5,FALSE),IF(LEFT(C199,3)="ELE",VLOOKUP(VALUE(RIGHT(C199,3)),#REF!,5,FALSE),IF(LEFT(C199,3)="CAB",VLOOKUP(VALUE(RIGHT(C199,3)),#REF!,5,FALSE),IF(LEFT(C199,3)="SEG",VLOOKUP(VALUE(RIGHT(C199,3)),'SEG-COMP'!B:J,5,FALSE),IF(LEFT(C199,3)="CLI",VLOOKUP(VALUE(RIGHT(C199,3)),'CLI-COMP'!B:J,5,FALSE),IF(LEFT(C199,4)="IMPL",VLOOKUP(VALUE(RIGHT(C199,3)),'IMPL-COMP'!B:J,5,FALSE),IF(LEFT(C199,4)="SPDA",VLOOKUP(VALUE(RIGHT(C199,3)),'SPDA-COMP'!B:J,5,FALSE),IF(LEFT(C199,4)="SDAI",VLOOKUP(VALUE(RIGHT(C199,3)),'ADM-COMP'!B:J,5,FALSE),IF(LEFT(C199,5)="IMPER",VLOOKUP(VALUE(RIGHT(C199,3)),'IMPER-COMP'!B:J,5,FALSE),""))))))))))))))))</f>
        <v>UND</v>
      </c>
      <c r="F199" s="599">
        <f>ROUND(VLOOKUP(A199,'MEM-LEVANT'!A255:I2767,9,FALSE),2)</f>
        <v>4</v>
      </c>
      <c r="G199" s="339">
        <f>IF(B199="IOPES",VLOOKUP(C199,'LABOR-SERVIÇOS'!A:H,7,FALSE),IF(B199="SINAPI",VLOOKUP(C199,'SINAPI-SERVIÇOS'!A:H,8,FALSE),IF(LEFT(C199,3)="ARQ",VLOOKUP(VALUE(RIGHT(C199,3)),'ARQ-COMP'!B:J,9,FALSE),IF(LEFT(C199,3)="SCI",VLOOKUP(VALUE(RIGHT(C199,3)),'GAS-COMP'!#REF!,9,FALSE),IF(LEFT(C199,3)="SCE",VLOOKUP(VALUE(RIGHT(C199,3)),'SCE-COMP'!B:J,9,FALSE),IF(LEFT(C199,3)="EST",VLOOKUP(VALUE(RIGHT(C199,3)),'EST-COMP'!B:J,9,FALSE),IF(LEFT(C199,3)="HID",VLOOKUP(VALUE(RIGHT(C199,3)),'HID-COMP'!B:J,9,FALSE),IF(LEFT(C199,3)="INC",VLOOKUP(VALUE(RIGHT(C199,3)),'INC-COMP'!B:J,9,FALSE),IF(LEFT(C199,3)="ELE",VLOOKUP(VALUE(RIGHT(C199,3)),#REF!,9,FALSE),IF(LEFT(C199,3)="CAB",VLOOKUP(VALUE(RIGHT(C199,3)),#REF!,9,FALSE),IF(LEFT(C199,3)="SEG",VLOOKUP(VALUE(RIGHT(C199,3)),'SEG-COMP'!B:J,9,FALSE),IF(LEFT(C199,3)="CLI",VLOOKUP(VALUE(RIGHT(C199,3)),'CLI-COMP'!B:J,9,FALSE),IF(LEFT(C199,4)="IMPL",VLOOKUP(VALUE(RIGHT(C199,3)),'IMPL-COMP'!B:J,9,FALSE),IF(LEFT(C199,4)="SPDA",VLOOKUP(VALUE(RIGHT(C199,3)),'SPDA-COMP'!B:J,9,FALSE),IF(LEFT(C199,4)="SDAI",VLOOKUP(VALUE(RIGHT(C199,3)),'ADM-COMP'!B:J,9,FALSE),IF(LEFT(C199,5)="IMPER",VLOOKUP(VALUE(RIGHT(C199,3)),'IMPER-COMP'!B:J,9,FALSE),""))))))))))))))))</f>
        <v>41.75</v>
      </c>
      <c r="H199" s="339">
        <f t="shared" si="74"/>
        <v>167</v>
      </c>
      <c r="I199" s="374">
        <f>H199/$H$441</f>
        <v>9.7644214390414119E-6</v>
      </c>
      <c r="J199" s="314"/>
    </row>
    <row r="200" spans="1:10">
      <c r="A200" s="613" t="s">
        <v>35314</v>
      </c>
      <c r="B200" s="337" t="s">
        <v>2879</v>
      </c>
      <c r="C200" s="540">
        <f>142118</f>
        <v>142118</v>
      </c>
      <c r="D200" s="539" t="str">
        <f>IF(B200="IOPES",VLOOKUP(C200,'LABOR-SERVIÇOS'!A:H,5,FALSE),IF(B200="SINAPI",VLOOKUP(C200,'SINAPI-SERVIÇOS'!A:D,2,FALSE),IF(LEFT(C200,3)="ARQ",VLOOKUP(VALUE(RIGHT(C200,3)),'ARQ-COMP'!B:J,4,FALSE),IF(LEFT(C200,3)="SCI",VLOOKUP(VALUE(RIGHT(C200,3)),'GAS-COMP'!#REF!,4,FALSE),IF(LEFT(C200,3)="SCE",VLOOKUP(VALUE(RIGHT(C200,3)),'SCE-COMP'!B:J,4,FALSE),IF(LEFT(C200,3)="EST",VLOOKUP(VALUE(RIGHT(C200,3)),'EST-COMP'!B:J,4,FALSE),IF(LEFT(C200,3)="HID",VLOOKUP(VALUE(RIGHT(C200,3)),'HID-COMP'!B:J,4,FALSE),IF(LEFT(C200,3)="INC",VLOOKUP(VALUE(RIGHT(C200,3)),'INC-COMP'!B:J,4,FALSE),IF(LEFT(C200,3)="ELE",VLOOKUP(VALUE(RIGHT(C200,3)),#REF!,4,FALSE),IF(LEFT(C200,3)="CAB",VLOOKUP(VALUE(RIGHT(C200,3)),#REF!,4,FALSE),IF(LEFT(C200,3)="SEG",VLOOKUP(VALUE(RIGHT(C200,3)),'SEG-COMP'!B:J,4,FALSE),IF(LEFT(C200,3)="CLI",VLOOKUP(VALUE(RIGHT(C200,3)),'CLI-COMP'!B:J,4,FALSE),IF(LEFT(C200,4)="IMPL",VLOOKUP(VALUE(RIGHT(C200,3)),'IMPL-COMP'!B:J,4,FALSE),IF(LEFT(C200,4)="SPDA",VLOOKUP(VALUE(RIGHT(C200,3)),'SPDA-COMP'!B:J,4,FALSE),IF(LEFT(C200,4)="SDAI",VLOOKUP(VALUE(RIGHT(C200,3)),'ADM-COMP'!B:J,4,FALSE),IF(LEFT(C200,5)="IMPER",VLOOKUP(VALUE(RIGHT(C200,3)),'IMPER-COMP'!B:J,4,FALSE),""))))))))))))))))</f>
        <v>ENGATE FLEXÍVEL DE PVC PARA LAVATÓRIO</v>
      </c>
      <c r="E200" s="338" t="str">
        <f>IF(B200="IOPES",VLOOKUP(C200,'LABOR-SERVIÇOS'!A:H,6,FALSE),IF(B200="SINAPI",VLOOKUP(C200,'SINAPI-SERVIÇOS'!A:D,3,FALSE),IF(LEFT(C200,3)="ARQ",VLOOKUP(VALUE(RIGHT(C200,3)),'ARQ-COMP'!B:J,5,FALSE),IF(LEFT(C200,3)="SCI",VLOOKUP(VALUE(RIGHT(C200,3)),'GAS-COMP'!#REF!,5,FALSE),IF(LEFT(C200,3)="SCE",VLOOKUP(VALUE(RIGHT(C200,3)),'SCE-COMP'!B:J,5,FALSE),IF(LEFT(C200,3)="EST",VLOOKUP(VALUE(RIGHT(C200,3)),'EST-COMP'!B:J,5,FALSE),IF(LEFT(C200,3)="HID",VLOOKUP(VALUE(RIGHT(C200,3)),'HID-COMP'!B:J,5,FALSE),IF(LEFT(C200,3)="INC",VLOOKUP(VALUE(RIGHT(C200,3)),'INC-COMP'!B:J,5,FALSE),IF(LEFT(C200,3)="ELE",VLOOKUP(VALUE(RIGHT(C200,3)),#REF!,5,FALSE),IF(LEFT(C200,3)="CAB",VLOOKUP(VALUE(RIGHT(C200,3)),#REF!,5,FALSE),IF(LEFT(C200,3)="SEG",VLOOKUP(VALUE(RIGHT(C200,3)),'SEG-COMP'!B:J,5,FALSE),IF(LEFT(C200,3)="CLI",VLOOKUP(VALUE(RIGHT(C200,3)),'CLI-COMP'!B:J,5,FALSE),IF(LEFT(C200,4)="IMPL",VLOOKUP(VALUE(RIGHT(C200,3)),'IMPL-COMP'!B:J,5,FALSE),IF(LEFT(C200,4)="SPDA",VLOOKUP(VALUE(RIGHT(C200,3)),'SPDA-COMP'!B:J,5,FALSE),IF(LEFT(C200,4)="SDAI",VLOOKUP(VALUE(RIGHT(C200,3)),'ADM-COMP'!B:J,5,FALSE),IF(LEFT(C200,5)="IMPER",VLOOKUP(VALUE(RIGHT(C200,3)),'IMPER-COMP'!B:J,5,FALSE),""))))))))))))))))</f>
        <v>UND</v>
      </c>
      <c r="F200" s="599">
        <f>ROUND(VLOOKUP(A200,'MEM-LEVANT'!A256:I2768,9,FALSE),2)</f>
        <v>28</v>
      </c>
      <c r="G200" s="339">
        <f>IF(B200="IOPES",VLOOKUP(C200,'LABOR-SERVIÇOS'!A:H,7,FALSE),IF(B200="SINAPI",VLOOKUP(C200,'SINAPI-SERVIÇOS'!A:H,8,FALSE),IF(LEFT(C200,3)="ARQ",VLOOKUP(VALUE(RIGHT(C200,3)),'ARQ-COMP'!B:J,9,FALSE),IF(LEFT(C200,3)="SCI",VLOOKUP(VALUE(RIGHT(C200,3)),'GAS-COMP'!#REF!,9,FALSE),IF(LEFT(C200,3)="SCE",VLOOKUP(VALUE(RIGHT(C200,3)),'SCE-COMP'!B:J,9,FALSE),IF(LEFT(C200,3)="EST",VLOOKUP(VALUE(RIGHT(C200,3)),'EST-COMP'!B:J,9,FALSE),IF(LEFT(C200,3)="HID",VLOOKUP(VALUE(RIGHT(C200,3)),'HID-COMP'!B:J,9,FALSE),IF(LEFT(C200,3)="INC",VLOOKUP(VALUE(RIGHT(C200,3)),'INC-COMP'!B:J,9,FALSE),IF(LEFT(C200,3)="ELE",VLOOKUP(VALUE(RIGHT(C200,3)),#REF!,9,FALSE),IF(LEFT(C200,3)="CAB",VLOOKUP(VALUE(RIGHT(C200,3)),#REF!,9,FALSE),IF(LEFT(C200,3)="SEG",VLOOKUP(VALUE(RIGHT(C200,3)),'SEG-COMP'!B:J,9,FALSE),IF(LEFT(C200,3)="CLI",VLOOKUP(VALUE(RIGHT(C200,3)),'CLI-COMP'!B:J,9,FALSE),IF(LEFT(C200,4)="IMPL",VLOOKUP(VALUE(RIGHT(C200,3)),'IMPL-COMP'!B:J,9,FALSE),IF(LEFT(C200,4)="SPDA",VLOOKUP(VALUE(RIGHT(C200,3)),'SPDA-COMP'!B:J,9,FALSE),IF(LEFT(C200,4)="SDAI",VLOOKUP(VALUE(RIGHT(C200,3)),'ADM-COMP'!B:J,9,FALSE),IF(LEFT(C200,5)="IMPER",VLOOKUP(VALUE(RIGHT(C200,3)),'IMPER-COMP'!B:J,9,FALSE),""))))))))))))))))</f>
        <v>26.98</v>
      </c>
      <c r="H200" s="339">
        <f t="shared" si="74"/>
        <v>755.44</v>
      </c>
      <c r="I200" s="374">
        <f>H200/$H$441</f>
        <v>4.4170266658140385E-5</v>
      </c>
      <c r="J200" s="314"/>
    </row>
    <row r="201" spans="1:10">
      <c r="A201" s="553" t="s">
        <v>35315</v>
      </c>
      <c r="B201" s="554"/>
      <c r="C201" s="555"/>
      <c r="D201" s="556" t="s">
        <v>27417</v>
      </c>
      <c r="E201" s="557"/>
      <c r="F201" s="598"/>
      <c r="G201" s="558"/>
      <c r="H201" s="559"/>
      <c r="I201" s="560"/>
      <c r="J201" s="314"/>
    </row>
    <row r="202" spans="1:10" ht="26.4">
      <c r="A202" s="613" t="s">
        <v>35316</v>
      </c>
      <c r="B202" s="337" t="s">
        <v>2879</v>
      </c>
      <c r="C202" s="540">
        <f>142201</f>
        <v>142201</v>
      </c>
      <c r="D202" s="539" t="str">
        <f>IF(B202="IOPES",VLOOKUP(C202,'LABOR-SERVIÇOS'!A:H,5,FALSE),IF(B202="SINAPI",VLOOKUP(C202,'SINAPI-SERVIÇOS'!A:D,2,FALSE),IF(LEFT(C202,3)="ARQ",VLOOKUP(VALUE(RIGHT(C202,3)),'ARQ-COMP'!B:J,4,FALSE),IF(LEFT(C202,3)="SCI",VLOOKUP(VALUE(RIGHT(C202,3)),'GAS-COMP'!#REF!,4,FALSE),IF(LEFT(C202,3)="SCE",VLOOKUP(VALUE(RIGHT(C202,3)),'SCE-COMP'!B:J,4,FALSE),IF(LEFT(C202,3)="EST",VLOOKUP(VALUE(RIGHT(C202,3)),'EST-COMP'!B:J,4,FALSE),IF(LEFT(C202,3)="HID",VLOOKUP(VALUE(RIGHT(C202,3)),'HID-COMP'!B:J,4,FALSE),IF(LEFT(C202,3)="INC",VLOOKUP(VALUE(RIGHT(C202,3)),'INC-COMP'!B:J,4,FALSE),IF(LEFT(C202,3)="ELE",VLOOKUP(VALUE(RIGHT(C202,3)),#REF!,4,FALSE),IF(LEFT(C202,3)="CAB",VLOOKUP(VALUE(RIGHT(C202,3)),#REF!,4,FALSE),IF(LEFT(C202,3)="SEG",VLOOKUP(VALUE(RIGHT(C202,3)),'SEG-COMP'!B:J,4,FALSE),IF(LEFT(C202,3)="CLI",VLOOKUP(VALUE(RIGHT(C202,3)),'CLI-COMP'!B:J,4,FALSE),IF(LEFT(C202,4)="IMPL",VLOOKUP(VALUE(RIGHT(C202,3)),'IMPL-COMP'!B:J,4,FALSE),IF(LEFT(C202,4)="SPDA",VLOOKUP(VALUE(RIGHT(C202,3)),'SPDA-COMP'!B:J,4,FALSE),IF(LEFT(C202,4)="SDAI",VLOOKUP(VALUE(RIGHT(C202,3)),'ADM-COMP'!B:J,4,FALSE),IF(LEFT(C202,5)="IMPER",VLOOKUP(VALUE(RIGHT(C202,3)),'IMPER-COMP'!B:J,4,FALSE),""))))))))))))))))</f>
        <v>ABERTURA E FECHAMENTO DE RASGOS EM ALVENARIA, PARA PASSAGEM DE TUBULAÇÕES, DIÂM. 1/2" A 1"</v>
      </c>
      <c r="E202" s="338" t="str">
        <f>IF(B202="IOPES",VLOOKUP(C202,'LABOR-SERVIÇOS'!A:H,6,FALSE),IF(B202="SINAPI",VLOOKUP(C202,'SINAPI-SERVIÇOS'!A:D,3,FALSE),IF(LEFT(C202,3)="ARQ",VLOOKUP(VALUE(RIGHT(C202,3)),'ARQ-COMP'!B:J,5,FALSE),IF(LEFT(C202,3)="SCI",VLOOKUP(VALUE(RIGHT(C202,3)),'GAS-COMP'!#REF!,5,FALSE),IF(LEFT(C202,3)="SCE",VLOOKUP(VALUE(RIGHT(C202,3)),'SCE-COMP'!B:J,5,FALSE),IF(LEFT(C202,3)="EST",VLOOKUP(VALUE(RIGHT(C202,3)),'EST-COMP'!B:J,5,FALSE),IF(LEFT(C202,3)="HID",VLOOKUP(VALUE(RIGHT(C202,3)),'HID-COMP'!B:J,5,FALSE),IF(LEFT(C202,3)="INC",VLOOKUP(VALUE(RIGHT(C202,3)),'INC-COMP'!B:J,5,FALSE),IF(LEFT(C202,3)="ELE",VLOOKUP(VALUE(RIGHT(C202,3)),#REF!,5,FALSE),IF(LEFT(C202,3)="CAB",VLOOKUP(VALUE(RIGHT(C202,3)),#REF!,5,FALSE),IF(LEFT(C202,3)="SEG",VLOOKUP(VALUE(RIGHT(C202,3)),'SEG-COMP'!B:J,5,FALSE),IF(LEFT(C202,3)="CLI",VLOOKUP(VALUE(RIGHT(C202,3)),'CLI-COMP'!B:J,5,FALSE),IF(LEFT(C202,4)="IMPL",VLOOKUP(VALUE(RIGHT(C202,3)),'IMPL-COMP'!B:J,5,FALSE),IF(LEFT(C202,4)="SPDA",VLOOKUP(VALUE(RIGHT(C202,3)),'SPDA-COMP'!B:J,5,FALSE),IF(LEFT(C202,4)="SDAI",VLOOKUP(VALUE(RIGHT(C202,3)),'ADM-COMP'!B:J,5,FALSE),IF(LEFT(C202,5)="IMPER",VLOOKUP(VALUE(RIGHT(C202,3)),'IMPER-COMP'!B:J,5,FALSE),""))))))))))))))))</f>
        <v>M</v>
      </c>
      <c r="F202" s="599">
        <f>ROUND(VLOOKUP(A202,'MEM-LEVANT'!A253:I2765,9,FALSE),2)</f>
        <v>187.1</v>
      </c>
      <c r="G202" s="339">
        <f>IF(B202="IOPES",VLOOKUP(C202,'LABOR-SERVIÇOS'!A:H,7,FALSE),IF(B202="SINAPI",VLOOKUP(C202,'SINAPI-SERVIÇOS'!A:H,8,FALSE),IF(LEFT(C202,3)="ARQ",VLOOKUP(VALUE(RIGHT(C202,3)),'ARQ-COMP'!B:J,9,FALSE),IF(LEFT(C202,3)="SCI",VLOOKUP(VALUE(RIGHT(C202,3)),'GAS-COMP'!#REF!,9,FALSE),IF(LEFT(C202,3)="SCE",VLOOKUP(VALUE(RIGHT(C202,3)),'SCE-COMP'!B:J,9,FALSE),IF(LEFT(C202,3)="EST",VLOOKUP(VALUE(RIGHT(C202,3)),'EST-COMP'!B:J,9,FALSE),IF(LEFT(C202,3)="HID",VLOOKUP(VALUE(RIGHT(C202,3)),'HID-COMP'!B:J,9,FALSE),IF(LEFT(C202,3)="INC",VLOOKUP(VALUE(RIGHT(C202,3)),'INC-COMP'!B:J,9,FALSE),IF(LEFT(C202,3)="ELE",VLOOKUP(VALUE(RIGHT(C202,3)),#REF!,9,FALSE),IF(LEFT(C202,3)="CAB",VLOOKUP(VALUE(RIGHT(C202,3)),#REF!,9,FALSE),IF(LEFT(C202,3)="SEG",VLOOKUP(VALUE(RIGHT(C202,3)),'SEG-COMP'!B:J,9,FALSE),IF(LEFT(C202,3)="CLI",VLOOKUP(VALUE(RIGHT(C202,3)),'CLI-COMP'!B:J,9,FALSE),IF(LEFT(C202,4)="IMPL",VLOOKUP(VALUE(RIGHT(C202,3)),'IMPL-COMP'!B:J,9,FALSE),IF(LEFT(C202,4)="SPDA",VLOOKUP(VALUE(RIGHT(C202,3)),'SPDA-COMP'!B:J,9,FALSE),IF(LEFT(C202,4)="SDAI",VLOOKUP(VALUE(RIGHT(C202,3)),'ADM-COMP'!B:J,9,FALSE),IF(LEFT(C202,5)="IMPER",VLOOKUP(VALUE(RIGHT(C202,3)),'IMPER-COMP'!B:J,9,FALSE),""))))))))))))))))</f>
        <v>18.64</v>
      </c>
      <c r="H202" s="339">
        <f t="shared" ref="H202:H203" si="75">ROUND(F202*G202,2)</f>
        <v>3487.54</v>
      </c>
      <c r="I202" s="374">
        <f>H202/$H$441</f>
        <v>2.0391503200906878E-4</v>
      </c>
      <c r="J202" s="314"/>
    </row>
    <row r="203" spans="1:10" ht="26.4">
      <c r="A203" s="613" t="s">
        <v>35317</v>
      </c>
      <c r="B203" s="337" t="s">
        <v>2879</v>
      </c>
      <c r="C203" s="540">
        <f>142202</f>
        <v>142202</v>
      </c>
      <c r="D203" s="539" t="str">
        <f>IF(B203="IOPES",VLOOKUP(C203,'LABOR-SERVIÇOS'!A:H,5,FALSE),IF(B203="SINAPI",VLOOKUP(C203,'SINAPI-SERVIÇOS'!A:D,2,FALSE),IF(LEFT(C203,3)="ARQ",VLOOKUP(VALUE(RIGHT(C203,3)),'ARQ-COMP'!B:J,4,FALSE),IF(LEFT(C203,3)="SCI",VLOOKUP(VALUE(RIGHT(C203,3)),'GAS-COMP'!#REF!,4,FALSE),IF(LEFT(C203,3)="SCE",VLOOKUP(VALUE(RIGHT(C203,3)),'SCE-COMP'!B:J,4,FALSE),IF(LEFT(C203,3)="EST",VLOOKUP(VALUE(RIGHT(C203,3)),'EST-COMP'!B:J,4,FALSE),IF(LEFT(C203,3)="HID",VLOOKUP(VALUE(RIGHT(C203,3)),'HID-COMP'!B:J,4,FALSE),IF(LEFT(C203,3)="INC",VLOOKUP(VALUE(RIGHT(C203,3)),'INC-COMP'!B:J,4,FALSE),IF(LEFT(C203,3)="ELE",VLOOKUP(VALUE(RIGHT(C203,3)),#REF!,4,FALSE),IF(LEFT(C203,3)="CAB",VLOOKUP(VALUE(RIGHT(C203,3)),#REF!,4,FALSE),IF(LEFT(C203,3)="SEG",VLOOKUP(VALUE(RIGHT(C203,3)),'SEG-COMP'!B:J,4,FALSE),IF(LEFT(C203,3)="CLI",VLOOKUP(VALUE(RIGHT(C203,3)),'CLI-COMP'!B:J,4,FALSE),IF(LEFT(C203,4)="IMPL",VLOOKUP(VALUE(RIGHT(C203,3)),'IMPL-COMP'!B:J,4,FALSE),IF(LEFT(C203,4)="SPDA",VLOOKUP(VALUE(RIGHT(C203,3)),'SPDA-COMP'!B:J,4,FALSE),IF(LEFT(C203,4)="SDAI",VLOOKUP(VALUE(RIGHT(C203,3)),'ADM-COMP'!B:J,4,FALSE),IF(LEFT(C203,5)="IMPER",VLOOKUP(VALUE(RIGHT(C203,3)),'IMPER-COMP'!B:J,4,FALSE),""))))))))))))))))</f>
        <v>ABERTURA E FECHAMENTO DE RASGOS EM ALVENARIA, PARA PASSAGEM DE TUBULAÇÕES, DIÂM. 11/4" A 2"</v>
      </c>
      <c r="E203" s="338" t="str">
        <f>IF(B203="IOPES",VLOOKUP(C203,'LABOR-SERVIÇOS'!A:H,6,FALSE),IF(B203="SINAPI",VLOOKUP(C203,'SINAPI-SERVIÇOS'!A:D,3,FALSE),IF(LEFT(C203,3)="ARQ",VLOOKUP(VALUE(RIGHT(C203,3)),'ARQ-COMP'!B:J,5,FALSE),IF(LEFT(C203,3)="SCI",VLOOKUP(VALUE(RIGHT(C203,3)),'GAS-COMP'!#REF!,5,FALSE),IF(LEFT(C203,3)="SCE",VLOOKUP(VALUE(RIGHT(C203,3)),'SCE-COMP'!B:J,5,FALSE),IF(LEFT(C203,3)="EST",VLOOKUP(VALUE(RIGHT(C203,3)),'EST-COMP'!B:J,5,FALSE),IF(LEFT(C203,3)="HID",VLOOKUP(VALUE(RIGHT(C203,3)),'HID-COMP'!B:J,5,FALSE),IF(LEFT(C203,3)="INC",VLOOKUP(VALUE(RIGHT(C203,3)),'INC-COMP'!B:J,5,FALSE),IF(LEFT(C203,3)="ELE",VLOOKUP(VALUE(RIGHT(C203,3)),#REF!,5,FALSE),IF(LEFT(C203,3)="CAB",VLOOKUP(VALUE(RIGHT(C203,3)),#REF!,5,FALSE),IF(LEFT(C203,3)="SEG",VLOOKUP(VALUE(RIGHT(C203,3)),'SEG-COMP'!B:J,5,FALSE),IF(LEFT(C203,3)="CLI",VLOOKUP(VALUE(RIGHT(C203,3)),'CLI-COMP'!B:J,5,FALSE),IF(LEFT(C203,4)="IMPL",VLOOKUP(VALUE(RIGHT(C203,3)),'IMPL-COMP'!B:J,5,FALSE),IF(LEFT(C203,4)="SPDA",VLOOKUP(VALUE(RIGHT(C203,3)),'SPDA-COMP'!B:J,5,FALSE),IF(LEFT(C203,4)="SDAI",VLOOKUP(VALUE(RIGHT(C203,3)),'ADM-COMP'!B:J,5,FALSE),IF(LEFT(C203,5)="IMPER",VLOOKUP(VALUE(RIGHT(C203,3)),'IMPER-COMP'!B:J,5,FALSE),""))))))))))))))))</f>
        <v>M</v>
      </c>
      <c r="F203" s="599">
        <f>ROUND(VLOOKUP(A203,'MEM-LEVANT'!A254:I2766,9,FALSE),2)</f>
        <v>42</v>
      </c>
      <c r="G203" s="339">
        <f>IF(B203="IOPES",VLOOKUP(C203,'LABOR-SERVIÇOS'!A:H,7,FALSE),IF(B203="SINAPI",VLOOKUP(C203,'SINAPI-SERVIÇOS'!A:H,8,FALSE),IF(LEFT(C203,3)="ARQ",VLOOKUP(VALUE(RIGHT(C203,3)),'ARQ-COMP'!B:J,9,FALSE),IF(LEFT(C203,3)="SCI",VLOOKUP(VALUE(RIGHT(C203,3)),'GAS-COMP'!#REF!,9,FALSE),IF(LEFT(C203,3)="SCE",VLOOKUP(VALUE(RIGHT(C203,3)),'SCE-COMP'!B:J,9,FALSE),IF(LEFT(C203,3)="EST",VLOOKUP(VALUE(RIGHT(C203,3)),'EST-COMP'!B:J,9,FALSE),IF(LEFT(C203,3)="HID",VLOOKUP(VALUE(RIGHT(C203,3)),'HID-COMP'!B:J,9,FALSE),IF(LEFT(C203,3)="INC",VLOOKUP(VALUE(RIGHT(C203,3)),'INC-COMP'!B:J,9,FALSE),IF(LEFT(C203,3)="ELE",VLOOKUP(VALUE(RIGHT(C203,3)),#REF!,9,FALSE),IF(LEFT(C203,3)="CAB",VLOOKUP(VALUE(RIGHT(C203,3)),#REF!,9,FALSE),IF(LEFT(C203,3)="SEG",VLOOKUP(VALUE(RIGHT(C203,3)),'SEG-COMP'!B:J,9,FALSE),IF(LEFT(C203,3)="CLI",VLOOKUP(VALUE(RIGHT(C203,3)),'CLI-COMP'!B:J,9,FALSE),IF(LEFT(C203,4)="IMPL",VLOOKUP(VALUE(RIGHT(C203,3)),'IMPL-COMP'!B:J,9,FALSE),IF(LEFT(C203,4)="SPDA",VLOOKUP(VALUE(RIGHT(C203,3)),'SPDA-COMP'!B:J,9,FALSE),IF(LEFT(C203,4)="SDAI",VLOOKUP(VALUE(RIGHT(C203,3)),'ADM-COMP'!B:J,9,FALSE),IF(LEFT(C203,5)="IMPER",VLOOKUP(VALUE(RIGHT(C203,3)),'IMPER-COMP'!B:J,9,FALSE),""))))))))))))))))</f>
        <v>27.96</v>
      </c>
      <c r="H203" s="339">
        <f t="shared" si="75"/>
        <v>1174.32</v>
      </c>
      <c r="I203" s="374">
        <f>H203/$H$441</f>
        <v>6.8662008289192277E-5</v>
      </c>
      <c r="J203" s="314"/>
    </row>
    <row r="204" spans="1:10" ht="26.4">
      <c r="A204" s="613" t="s">
        <v>35318</v>
      </c>
      <c r="B204" s="337" t="s">
        <v>2879</v>
      </c>
      <c r="C204" s="540">
        <f>142204</f>
        <v>142204</v>
      </c>
      <c r="D204" s="539" t="str">
        <f>IF(B204="IOPES",VLOOKUP(C204,'LABOR-SERVIÇOS'!A:H,5,FALSE),IF(B204="SINAPI",VLOOKUP(C204,'SINAPI-SERVIÇOS'!A:D,2,FALSE),IF(LEFT(C204,3)="ARQ",VLOOKUP(VALUE(RIGHT(C204,3)),'ARQ-COMP'!B:J,4,FALSE),IF(LEFT(C204,3)="SCI",VLOOKUP(VALUE(RIGHT(C204,3)),'GAS-COMP'!#REF!,4,FALSE),IF(LEFT(C204,3)="SCE",VLOOKUP(VALUE(RIGHT(C204,3)),'SCE-COMP'!B:J,4,FALSE),IF(LEFT(C204,3)="EST",VLOOKUP(VALUE(RIGHT(C204,3)),'EST-COMP'!B:J,4,FALSE),IF(LEFT(C204,3)="HID",VLOOKUP(VALUE(RIGHT(C204,3)),'HID-COMP'!B:J,4,FALSE),IF(LEFT(C204,3)="INC",VLOOKUP(VALUE(RIGHT(C204,3)),'INC-COMP'!B:J,4,FALSE),IF(LEFT(C204,3)="ELE",VLOOKUP(VALUE(RIGHT(C204,3)),#REF!,4,FALSE),IF(LEFT(C204,3)="CAB",VLOOKUP(VALUE(RIGHT(C204,3)),#REF!,4,FALSE),IF(LEFT(C204,3)="SEG",VLOOKUP(VALUE(RIGHT(C204,3)),'SEG-COMP'!B:J,4,FALSE),IF(LEFT(C204,3)="CLI",VLOOKUP(VALUE(RIGHT(C204,3)),'CLI-COMP'!B:J,4,FALSE),IF(LEFT(C204,4)="IMPL",VLOOKUP(VALUE(RIGHT(C204,3)),'IMPL-COMP'!B:J,4,FALSE),IF(LEFT(C204,4)="SPDA",VLOOKUP(VALUE(RIGHT(C204,3)),'SPDA-COMP'!B:J,4,FALSE),IF(LEFT(C204,4)="SDAI",VLOOKUP(VALUE(RIGHT(C204,3)),'ADM-COMP'!B:J,4,FALSE),IF(LEFT(C204,5)="IMPER",VLOOKUP(VALUE(RIGHT(C204,3)),'IMPER-COMP'!B:J,4,FALSE),""))))))))))))))))</f>
        <v>ABERTURA E FECHAMENTO DE RASGOS EM CONCRETO, PARA PASSAGEM DE TUBULAÇÕES, DIÂM. 1/2" A 1"</v>
      </c>
      <c r="E204" s="338" t="str">
        <f>IF(B204="IOPES",VLOOKUP(C204,'LABOR-SERVIÇOS'!A:H,6,FALSE),IF(B204="SINAPI",VLOOKUP(C204,'SINAPI-SERVIÇOS'!A:D,3,FALSE),IF(LEFT(C204,3)="ARQ",VLOOKUP(VALUE(RIGHT(C204,3)),'ARQ-COMP'!B:J,5,FALSE),IF(LEFT(C204,3)="SCI",VLOOKUP(VALUE(RIGHT(C204,3)),'GAS-COMP'!#REF!,5,FALSE),IF(LEFT(C204,3)="SCE",VLOOKUP(VALUE(RIGHT(C204,3)),'SCE-COMP'!B:J,5,FALSE),IF(LEFT(C204,3)="EST",VLOOKUP(VALUE(RIGHT(C204,3)),'EST-COMP'!B:J,5,FALSE),IF(LEFT(C204,3)="HID",VLOOKUP(VALUE(RIGHT(C204,3)),'HID-COMP'!B:J,5,FALSE),IF(LEFT(C204,3)="INC",VLOOKUP(VALUE(RIGHT(C204,3)),'INC-COMP'!B:J,5,FALSE),IF(LEFT(C204,3)="ELE",VLOOKUP(VALUE(RIGHT(C204,3)),#REF!,5,FALSE),IF(LEFT(C204,3)="CAB",VLOOKUP(VALUE(RIGHT(C204,3)),#REF!,5,FALSE),IF(LEFT(C204,3)="SEG",VLOOKUP(VALUE(RIGHT(C204,3)),'SEG-COMP'!B:J,5,FALSE),IF(LEFT(C204,3)="CLI",VLOOKUP(VALUE(RIGHT(C204,3)),'CLI-COMP'!B:J,5,FALSE),IF(LEFT(C204,4)="IMPL",VLOOKUP(VALUE(RIGHT(C204,3)),'IMPL-COMP'!B:J,5,FALSE),IF(LEFT(C204,4)="SPDA",VLOOKUP(VALUE(RIGHT(C204,3)),'SPDA-COMP'!B:J,5,FALSE),IF(LEFT(C204,4)="SDAI",VLOOKUP(VALUE(RIGHT(C204,3)),'ADM-COMP'!B:J,5,FALSE),IF(LEFT(C204,5)="IMPER",VLOOKUP(VALUE(RIGHT(C204,3)),'IMPER-COMP'!B:J,5,FALSE),""))))))))))))))))</f>
        <v>M</v>
      </c>
      <c r="F204" s="599">
        <f>ROUND(VLOOKUP(A204,'MEM-LEVANT'!A255:I2767,9,FALSE),2)</f>
        <v>42</v>
      </c>
      <c r="G204" s="339">
        <f>IF(B204="IOPES",VLOOKUP(C204,'LABOR-SERVIÇOS'!A:H,7,FALSE),IF(B204="SINAPI",VLOOKUP(C204,'SINAPI-SERVIÇOS'!A:H,8,FALSE),IF(LEFT(C204,3)="ARQ",VLOOKUP(VALUE(RIGHT(C204,3)),'ARQ-COMP'!B:J,9,FALSE),IF(LEFT(C204,3)="SCI",VLOOKUP(VALUE(RIGHT(C204,3)),'GAS-COMP'!#REF!,9,FALSE),IF(LEFT(C204,3)="SCE",VLOOKUP(VALUE(RIGHT(C204,3)),'SCE-COMP'!B:J,9,FALSE),IF(LEFT(C204,3)="EST",VLOOKUP(VALUE(RIGHT(C204,3)),'EST-COMP'!B:J,9,FALSE),IF(LEFT(C204,3)="HID",VLOOKUP(VALUE(RIGHT(C204,3)),'HID-COMP'!B:J,9,FALSE),IF(LEFT(C204,3)="INC",VLOOKUP(VALUE(RIGHT(C204,3)),'INC-COMP'!B:J,9,FALSE),IF(LEFT(C204,3)="ELE",VLOOKUP(VALUE(RIGHT(C204,3)),#REF!,9,FALSE),IF(LEFT(C204,3)="CAB",VLOOKUP(VALUE(RIGHT(C204,3)),#REF!,9,FALSE),IF(LEFT(C204,3)="SEG",VLOOKUP(VALUE(RIGHT(C204,3)),'SEG-COMP'!B:J,9,FALSE),IF(LEFT(C204,3)="CLI",VLOOKUP(VALUE(RIGHT(C204,3)),'CLI-COMP'!B:J,9,FALSE),IF(LEFT(C204,4)="IMPL",VLOOKUP(VALUE(RIGHT(C204,3)),'IMPL-COMP'!B:J,9,FALSE),IF(LEFT(C204,4)="SPDA",VLOOKUP(VALUE(RIGHT(C204,3)),'SPDA-COMP'!B:J,9,FALSE),IF(LEFT(C204,4)="SDAI",VLOOKUP(VALUE(RIGHT(C204,3)),'ADM-COMP'!B:J,9,FALSE),IF(LEFT(C204,5)="IMPER",VLOOKUP(VALUE(RIGHT(C204,3)),'IMPER-COMP'!B:J,9,FALSE),""))))))))))))))))</f>
        <v>35.54</v>
      </c>
      <c r="H204" s="339">
        <f t="shared" ref="H204:H205" si="76">ROUND(F204*G204,2)</f>
        <v>1492.68</v>
      </c>
      <c r="I204" s="374">
        <f>H204/$H$441</f>
        <v>8.7276386788193619E-5</v>
      </c>
      <c r="J204" s="314"/>
    </row>
    <row r="205" spans="1:10" ht="26.4">
      <c r="A205" s="613" t="s">
        <v>35319</v>
      </c>
      <c r="B205" s="337" t="s">
        <v>2879</v>
      </c>
      <c r="C205" s="540">
        <f>142205</f>
        <v>142205</v>
      </c>
      <c r="D205" s="539" t="str">
        <f>IF(B205="IOPES",VLOOKUP(C205,'LABOR-SERVIÇOS'!A:H,5,FALSE),IF(B205="SINAPI",VLOOKUP(C205,'SINAPI-SERVIÇOS'!A:D,2,FALSE),IF(LEFT(C205,3)="ARQ",VLOOKUP(VALUE(RIGHT(C205,3)),'ARQ-COMP'!B:J,4,FALSE),IF(LEFT(C205,3)="SCI",VLOOKUP(VALUE(RIGHT(C205,3)),'GAS-COMP'!#REF!,4,FALSE),IF(LEFT(C205,3)="SCE",VLOOKUP(VALUE(RIGHT(C205,3)),'SCE-COMP'!B:J,4,FALSE),IF(LEFT(C205,3)="EST",VLOOKUP(VALUE(RIGHT(C205,3)),'EST-COMP'!B:J,4,FALSE),IF(LEFT(C205,3)="HID",VLOOKUP(VALUE(RIGHT(C205,3)),'HID-COMP'!B:J,4,FALSE),IF(LEFT(C205,3)="INC",VLOOKUP(VALUE(RIGHT(C205,3)),'INC-COMP'!B:J,4,FALSE),IF(LEFT(C205,3)="ELE",VLOOKUP(VALUE(RIGHT(C205,3)),#REF!,4,FALSE),IF(LEFT(C205,3)="CAB",VLOOKUP(VALUE(RIGHT(C205,3)),#REF!,4,FALSE),IF(LEFT(C205,3)="SEG",VLOOKUP(VALUE(RIGHT(C205,3)),'SEG-COMP'!B:J,4,FALSE),IF(LEFT(C205,3)="CLI",VLOOKUP(VALUE(RIGHT(C205,3)),'CLI-COMP'!B:J,4,FALSE),IF(LEFT(C205,4)="IMPL",VLOOKUP(VALUE(RIGHT(C205,3)),'IMPL-COMP'!B:J,4,FALSE),IF(LEFT(C205,4)="SPDA",VLOOKUP(VALUE(RIGHT(C205,3)),'SPDA-COMP'!B:J,4,FALSE),IF(LEFT(C205,4)="SDAI",VLOOKUP(VALUE(RIGHT(C205,3)),'ADM-COMP'!B:J,4,FALSE),IF(LEFT(C205,5)="IMPER",VLOOKUP(VALUE(RIGHT(C205,3)),'IMPER-COMP'!B:J,4,FALSE),""))))))))))))))))</f>
        <v>ABERTURA E FECHAMENTO DE RASGOS EM CONCRETO, PARA PASSAGEM DE TUBULAÇÕES, DIÂM. 11/4" A 2"</v>
      </c>
      <c r="E205" s="338" t="str">
        <f>IF(B205="IOPES",VLOOKUP(C205,'LABOR-SERVIÇOS'!A:H,6,FALSE),IF(B205="SINAPI",VLOOKUP(C205,'SINAPI-SERVIÇOS'!A:D,3,FALSE),IF(LEFT(C205,3)="ARQ",VLOOKUP(VALUE(RIGHT(C205,3)),'ARQ-COMP'!B:J,5,FALSE),IF(LEFT(C205,3)="SCI",VLOOKUP(VALUE(RIGHT(C205,3)),'GAS-COMP'!#REF!,5,FALSE),IF(LEFT(C205,3)="SCE",VLOOKUP(VALUE(RIGHT(C205,3)),'SCE-COMP'!B:J,5,FALSE),IF(LEFT(C205,3)="EST",VLOOKUP(VALUE(RIGHT(C205,3)),'EST-COMP'!B:J,5,FALSE),IF(LEFT(C205,3)="HID",VLOOKUP(VALUE(RIGHT(C205,3)),'HID-COMP'!B:J,5,FALSE),IF(LEFT(C205,3)="INC",VLOOKUP(VALUE(RIGHT(C205,3)),'INC-COMP'!B:J,5,FALSE),IF(LEFT(C205,3)="ELE",VLOOKUP(VALUE(RIGHT(C205,3)),#REF!,5,FALSE),IF(LEFT(C205,3)="CAB",VLOOKUP(VALUE(RIGHT(C205,3)),#REF!,5,FALSE),IF(LEFT(C205,3)="SEG",VLOOKUP(VALUE(RIGHT(C205,3)),'SEG-COMP'!B:J,5,FALSE),IF(LEFT(C205,3)="CLI",VLOOKUP(VALUE(RIGHT(C205,3)),'CLI-COMP'!B:J,5,FALSE),IF(LEFT(C205,4)="IMPL",VLOOKUP(VALUE(RIGHT(C205,3)),'IMPL-COMP'!B:J,5,FALSE),IF(LEFT(C205,4)="SPDA",VLOOKUP(VALUE(RIGHT(C205,3)),'SPDA-COMP'!B:J,5,FALSE),IF(LEFT(C205,4)="SDAI",VLOOKUP(VALUE(RIGHT(C205,3)),'ADM-COMP'!B:J,5,FALSE),IF(LEFT(C205,5)="IMPER",VLOOKUP(VALUE(RIGHT(C205,3)),'IMPER-COMP'!B:J,5,FALSE),""))))))))))))))))</f>
        <v>M</v>
      </c>
      <c r="F205" s="599">
        <f>ROUND(VLOOKUP(A205,'MEM-LEVANT'!A256:I2768,9,FALSE),2)</f>
        <v>42</v>
      </c>
      <c r="G205" s="339">
        <f>IF(B205="IOPES",VLOOKUP(C205,'LABOR-SERVIÇOS'!A:H,7,FALSE),IF(B205="SINAPI",VLOOKUP(C205,'SINAPI-SERVIÇOS'!A:H,8,FALSE),IF(LEFT(C205,3)="ARQ",VLOOKUP(VALUE(RIGHT(C205,3)),'ARQ-COMP'!B:J,9,FALSE),IF(LEFT(C205,3)="SCI",VLOOKUP(VALUE(RIGHT(C205,3)),'GAS-COMP'!#REF!,9,FALSE),IF(LEFT(C205,3)="SCE",VLOOKUP(VALUE(RIGHT(C205,3)),'SCE-COMP'!B:J,9,FALSE),IF(LEFT(C205,3)="EST",VLOOKUP(VALUE(RIGHT(C205,3)),'EST-COMP'!B:J,9,FALSE),IF(LEFT(C205,3)="HID",VLOOKUP(VALUE(RIGHT(C205,3)),'HID-COMP'!B:J,9,FALSE),IF(LEFT(C205,3)="INC",VLOOKUP(VALUE(RIGHT(C205,3)),'INC-COMP'!B:J,9,FALSE),IF(LEFT(C205,3)="ELE",VLOOKUP(VALUE(RIGHT(C205,3)),#REF!,9,FALSE),IF(LEFT(C205,3)="CAB",VLOOKUP(VALUE(RIGHT(C205,3)),#REF!,9,FALSE),IF(LEFT(C205,3)="SEG",VLOOKUP(VALUE(RIGHT(C205,3)),'SEG-COMP'!B:J,9,FALSE),IF(LEFT(C205,3)="CLI",VLOOKUP(VALUE(RIGHT(C205,3)),'CLI-COMP'!B:J,9,FALSE),IF(LEFT(C205,4)="IMPL",VLOOKUP(VALUE(RIGHT(C205,3)),'IMPL-COMP'!B:J,9,FALSE),IF(LEFT(C205,4)="SPDA",VLOOKUP(VALUE(RIGHT(C205,3)),'SPDA-COMP'!B:J,9,FALSE),IF(LEFT(C205,4)="SDAI",VLOOKUP(VALUE(RIGHT(C205,3)),'ADM-COMP'!B:J,9,FALSE),IF(LEFT(C205,5)="IMPER",VLOOKUP(VALUE(RIGHT(C205,3)),'IMPER-COMP'!B:J,9,FALSE),""))))))))))))))))</f>
        <v>54.18</v>
      </c>
      <c r="H205" s="339">
        <f t="shared" si="76"/>
        <v>2275.56</v>
      </c>
      <c r="I205" s="374">
        <f>H205/$H$441</f>
        <v>1.3305105898098847E-4</v>
      </c>
      <c r="J205" s="314"/>
    </row>
    <row r="206" spans="1:10">
      <c r="A206" s="553" t="s">
        <v>35320</v>
      </c>
      <c r="B206" s="554"/>
      <c r="C206" s="555"/>
      <c r="D206" s="556" t="s">
        <v>27171</v>
      </c>
      <c r="E206" s="557"/>
      <c r="F206" s="598"/>
      <c r="G206" s="558"/>
      <c r="H206" s="559"/>
      <c r="I206" s="560"/>
      <c r="J206" s="314"/>
    </row>
    <row r="207" spans="1:10" ht="57.6" customHeight="1">
      <c r="A207" s="613" t="s">
        <v>35321</v>
      </c>
      <c r="B207" s="337" t="s">
        <v>2879</v>
      </c>
      <c r="C207" s="540">
        <f>142802</f>
        <v>142802</v>
      </c>
      <c r="D207" s="539" t="str">
        <f>IF(B207="IOPES",VLOOKUP(C207,'LABOR-SERVIÇOS'!A:H,5,FALSE),IF(B207="SINAPI",VLOOKUP(C207,'SINAPI-SERVIÇOS'!A:D,2,FALSE),IF(LEFT(C207,3)="ARQ",VLOOKUP(VALUE(RIGHT(C207,3)),'ARQ-COMP'!B:J,4,FALSE),IF(LEFT(C207,3)="SCI",VLOOKUP(VALUE(RIGHT(C207,3)),'GAS-COMP'!#REF!,4,FALSE),IF(LEFT(C207,3)="SCE",VLOOKUP(VALUE(RIGHT(C207,3)),'SCE-COMP'!B:J,4,FALSE),IF(LEFT(C207,3)="EST",VLOOKUP(VALUE(RIGHT(C207,3)),'EST-COMP'!B:J,4,FALSE),IF(LEFT(C207,3)="HID",VLOOKUP(VALUE(RIGHT(C207,3)),'HID-COMP'!B:J,4,FALSE),IF(LEFT(C207,3)="INC",VLOOKUP(VALUE(RIGHT(C207,3)),'INC-COMP'!B:J,4,FALSE),IF(LEFT(C207,3)="ELE",VLOOKUP(VALUE(RIGHT(C207,3)),#REF!,4,FALSE),IF(LEFT(C207,3)="CAB",VLOOKUP(VALUE(RIGHT(C207,3)),#REF!,4,FALSE),IF(LEFT(C207,3)="SEG",VLOOKUP(VALUE(RIGHT(C207,3)),'SEG-COMP'!B:J,4,FALSE),IF(LEFT(C207,3)="CLI",VLOOKUP(VALUE(RIGHT(C207,3)),'CLI-COMP'!B:J,4,FALSE),IF(LEFT(C207,4)="IMPL",VLOOKUP(VALUE(RIGHT(C207,3)),'IMPL-COMP'!B:J,4,FALSE),IF(LEFT(C207,4)="SPDA",VLOOKUP(VALUE(RIGHT(C207,3)),'SPDA-COMP'!B:J,4,FALSE),IF(LEFT(C207,4)="SDAI",VLOOKUP(VALUE(RIGHT(C207,3)),'ADM-COMP'!B:J,4,FALSE),IF(LEFT(C207,5)="IMPER",VLOOKUP(VALUE(RIGHT(C207,3)),'IMPER-COMP'!B:J,4,FALSE),""))))))))))))))))</f>
        <v>FURO MECANIZADO EM CONCRETO, COM MARTELO DEMOLIDOR ELÉTRICO, PARA PASSAGEM DE INSTALAÇÕES HIDRÁULICAS, DIÂMETROS MAIORES 1.1/2" E MENORES OU IGUAIS A 3"</v>
      </c>
      <c r="E207" s="338" t="str">
        <f>IF(B207="IOPES",VLOOKUP(C207,'LABOR-SERVIÇOS'!A:H,6,FALSE),IF(B207="SINAPI",VLOOKUP(C207,'SINAPI-SERVIÇOS'!A:D,3,FALSE),IF(LEFT(C207,3)="ARQ",VLOOKUP(VALUE(RIGHT(C207,3)),'ARQ-COMP'!B:J,5,FALSE),IF(LEFT(C207,3)="SCI",VLOOKUP(VALUE(RIGHT(C207,3)),'GAS-COMP'!#REF!,5,FALSE),IF(LEFT(C207,3)="SCE",VLOOKUP(VALUE(RIGHT(C207,3)),'SCE-COMP'!B:J,5,FALSE),IF(LEFT(C207,3)="EST",VLOOKUP(VALUE(RIGHT(C207,3)),'EST-COMP'!B:J,5,FALSE),IF(LEFT(C207,3)="HID",VLOOKUP(VALUE(RIGHT(C207,3)),'HID-COMP'!B:J,5,FALSE),IF(LEFT(C207,3)="INC",VLOOKUP(VALUE(RIGHT(C207,3)),'INC-COMP'!B:J,5,FALSE),IF(LEFT(C207,3)="ELE",VLOOKUP(VALUE(RIGHT(C207,3)),#REF!,5,FALSE),IF(LEFT(C207,3)="CAB",VLOOKUP(VALUE(RIGHT(C207,3)),#REF!,5,FALSE),IF(LEFT(C207,3)="SEG",VLOOKUP(VALUE(RIGHT(C207,3)),'SEG-COMP'!B:J,5,FALSE),IF(LEFT(C207,3)="CLI",VLOOKUP(VALUE(RIGHT(C207,3)),'CLI-COMP'!B:J,5,FALSE),IF(LEFT(C207,4)="IMPL",VLOOKUP(VALUE(RIGHT(C207,3)),'IMPL-COMP'!B:J,5,FALSE),IF(LEFT(C207,4)="SPDA",VLOOKUP(VALUE(RIGHT(C207,3)),'SPDA-COMP'!B:J,5,FALSE),IF(LEFT(C207,4)="SDAI",VLOOKUP(VALUE(RIGHT(C207,3)),'ADM-COMP'!B:J,5,FALSE),IF(LEFT(C207,5)="IMPER",VLOOKUP(VALUE(RIGHT(C207,3)),'IMPER-COMP'!B:J,5,FALSE),""))))))))))))))))</f>
        <v>CM</v>
      </c>
      <c r="F207" s="599">
        <f>ROUND(VLOOKUP(A207,'MEM-LEVANT'!A256:I2768,9,FALSE),2)</f>
        <v>700</v>
      </c>
      <c r="G207" s="339">
        <f>IF(B207="IOPES",VLOOKUP(C207,'LABOR-SERVIÇOS'!A:H,7,FALSE),IF(B207="SINAPI",VLOOKUP(C207,'SINAPI-SERVIÇOS'!A:H,8,FALSE),IF(LEFT(C207,3)="ARQ",VLOOKUP(VALUE(RIGHT(C207,3)),'ARQ-COMP'!B:J,9,FALSE),IF(LEFT(C207,3)="SCI",VLOOKUP(VALUE(RIGHT(C207,3)),'GAS-COMP'!#REF!,9,FALSE),IF(LEFT(C207,3)="SCE",VLOOKUP(VALUE(RIGHT(C207,3)),'SCE-COMP'!B:J,9,FALSE),IF(LEFT(C207,3)="EST",VLOOKUP(VALUE(RIGHT(C207,3)),'EST-COMP'!B:J,9,FALSE),IF(LEFT(C207,3)="HID",VLOOKUP(VALUE(RIGHT(C207,3)),'HID-COMP'!B:J,9,FALSE),IF(LEFT(C207,3)="INC",VLOOKUP(VALUE(RIGHT(C207,3)),'INC-COMP'!B:J,9,FALSE),IF(LEFT(C207,3)="ELE",VLOOKUP(VALUE(RIGHT(C207,3)),#REF!,9,FALSE),IF(LEFT(C207,3)="CAB",VLOOKUP(VALUE(RIGHT(C207,3)),#REF!,9,FALSE),IF(LEFT(C207,3)="SEG",VLOOKUP(VALUE(RIGHT(C207,3)),'SEG-COMP'!B:J,9,FALSE),IF(LEFT(C207,3)="CLI",VLOOKUP(VALUE(RIGHT(C207,3)),'CLI-COMP'!B:J,9,FALSE),IF(LEFT(C207,4)="IMPL",VLOOKUP(VALUE(RIGHT(C207,3)),'IMPL-COMP'!B:J,9,FALSE),IF(LEFT(C207,4)="SPDA",VLOOKUP(VALUE(RIGHT(C207,3)),'SPDA-COMP'!B:J,9,FALSE),IF(LEFT(C207,4)="SDAI",VLOOKUP(VALUE(RIGHT(C207,3)),'ADM-COMP'!B:J,9,FALSE),IF(LEFT(C207,5)="IMPER",VLOOKUP(VALUE(RIGHT(C207,3)),'IMPER-COMP'!B:J,9,FALSE),""))))))))))))))))</f>
        <v>9.5</v>
      </c>
      <c r="H207" s="339">
        <f t="shared" ref="H207" si="77">ROUND(F207*G207,2)</f>
        <v>6650</v>
      </c>
      <c r="I207" s="374">
        <f>H207/$H$441</f>
        <v>3.8882276987799635E-4</v>
      </c>
      <c r="J207" s="314"/>
    </row>
    <row r="208" spans="1:10">
      <c r="A208" s="570"/>
      <c r="B208" s="569"/>
      <c r="C208" s="569"/>
      <c r="D208" s="571" t="s">
        <v>27424</v>
      </c>
      <c r="E208" s="572"/>
      <c r="F208" s="600"/>
      <c r="G208" s="573"/>
      <c r="H208" s="574">
        <f>SUM(H160:H207)</f>
        <v>602791.09000000008</v>
      </c>
      <c r="I208" s="575">
        <f>H208/$H$441</f>
        <v>3.524494755963558E-2</v>
      </c>
      <c r="J208" s="314"/>
    </row>
    <row r="209" spans="1:10">
      <c r="A209" s="613"/>
      <c r="B209" s="337"/>
      <c r="C209" s="337"/>
      <c r="D209" s="539"/>
      <c r="E209" s="338"/>
      <c r="F209" s="599"/>
      <c r="G209" s="339"/>
      <c r="H209" s="339"/>
      <c r="I209" s="374"/>
      <c r="J209" s="314"/>
    </row>
    <row r="210" spans="1:10">
      <c r="A210" s="561" t="s">
        <v>15758</v>
      </c>
      <c r="B210" s="562"/>
      <c r="C210" s="563"/>
      <c r="D210" s="564" t="s">
        <v>1395</v>
      </c>
      <c r="E210" s="565"/>
      <c r="F210" s="597"/>
      <c r="G210" s="566"/>
      <c r="H210" s="567"/>
      <c r="I210" s="568"/>
      <c r="J210" s="314"/>
    </row>
    <row r="211" spans="1:10">
      <c r="A211" s="553" t="s">
        <v>9758</v>
      </c>
      <c r="B211" s="554"/>
      <c r="C211" s="555"/>
      <c r="D211" s="556" t="s">
        <v>1399</v>
      </c>
      <c r="E211" s="557"/>
      <c r="F211" s="598"/>
      <c r="G211" s="558"/>
      <c r="H211" s="559"/>
      <c r="I211" s="560"/>
      <c r="J211" s="314"/>
    </row>
    <row r="212" spans="1:10" ht="66">
      <c r="A212" s="613" t="s">
        <v>10359</v>
      </c>
      <c r="B212" s="337" t="s">
        <v>2879</v>
      </c>
      <c r="C212" s="540">
        <f>150315</f>
        <v>150315</v>
      </c>
      <c r="D212" s="539" t="str">
        <f>IF(B212="IOPES",VLOOKUP(C212,'LABOR-SERVIÇOS'!A:H,5,FALSE),IF(B212="SINAPI",VLOOKUP(C212,'SINAPI-SERVIÇOS'!A:D,2,FALSE),IF(LEFT(C212,3)="ARQ",VLOOKUP(VALUE(RIGHT(C212,3)),'ARQ-COMP'!B:J,4,FALSE),IF(LEFT(C212,3)="SCI",VLOOKUP(VALUE(RIGHT(C212,3)),'GAS-COMP'!#REF!,4,FALSE),IF(LEFT(C212,3)="SCE",VLOOKUP(VALUE(RIGHT(C212,3)),'SCE-COMP'!B:J,4,FALSE),IF(LEFT(C212,3)="EST",VLOOKUP(VALUE(RIGHT(C212,3)),'EST-COMP'!B:J,4,FALSE),IF(LEFT(C212,3)="HID",VLOOKUP(VALUE(RIGHT(C212,3)),'HID-COMP'!B:J,4,FALSE),IF(LEFT(C212,3)="INC",VLOOKUP(VALUE(RIGHT(C212,3)),'INC-COMP'!B:J,4,FALSE),IF(LEFT(C212,3)="ELE",VLOOKUP(VALUE(RIGHT(C212,3)),#REF!,4,FALSE),IF(LEFT(C212,3)="CAB",VLOOKUP(VALUE(RIGHT(C212,3)),#REF!,4,FALSE),IF(LEFT(C212,3)="SEG",VLOOKUP(VALUE(RIGHT(C212,3)),'SEG-COMP'!B:J,4,FALSE),IF(LEFT(C212,3)="CLI",VLOOKUP(VALUE(RIGHT(C212,3)),'CLI-COMP'!B:J,4,FALSE),IF(LEFT(C212,4)="IMPL",VLOOKUP(VALUE(RIGHT(C212,3)),'IMPL-COMP'!B:J,4,FALSE),IF(LEFT(C212,4)="SPDA",VLOOKUP(VALUE(RIGHT(C212,3)),'SPDA-COMP'!B:J,4,FALSE),IF(LEFT(C212,4)="SDAI",VLOOKUP(VALUE(RIGHT(C212,3)),'ADM-COMP'!B:J,4,FALSE),IF(LEFT(C212,5)="IMPER",VLOOKUP(VALUE(RIGHT(C212,3)),'IMPER-COMP'!B:J,4,FALSE),""))))))))))))))))</f>
        <v>QUADRO DISTRIB. ENERGIA, EMBUTIDO OU SEMI EMBUTIDO, CAPAC. P/ 34 DISJ. DIN, C/BARRAM TRIF. 150A BARRA. NEUTRO E TERRA, FAB. EM CHAPA DE AÇO 12 USG COM PORTA, ESPELHO, TRINCO COM FECHAD CH YALE, REF. QDETG II-34DIN-CEMAR OU EQUIV.</v>
      </c>
      <c r="E212" s="338" t="str">
        <f>IF(B212="IOPES",VLOOKUP(C212,'LABOR-SERVIÇOS'!A:H,6,FALSE),IF(B212="SINAPI",VLOOKUP(C212,'SINAPI-SERVIÇOS'!A:D,3,FALSE),IF(LEFT(C212,3)="ARQ",VLOOKUP(VALUE(RIGHT(C212,3)),'ARQ-COMP'!B:J,5,FALSE),IF(LEFT(C212,3)="SCI",VLOOKUP(VALUE(RIGHT(C212,3)),'GAS-COMP'!#REF!,5,FALSE),IF(LEFT(C212,3)="SCE",VLOOKUP(VALUE(RIGHT(C212,3)),'SCE-COMP'!B:J,5,FALSE),IF(LEFT(C212,3)="EST",VLOOKUP(VALUE(RIGHT(C212,3)),'EST-COMP'!B:J,5,FALSE),IF(LEFT(C212,3)="HID",VLOOKUP(VALUE(RIGHT(C212,3)),'HID-COMP'!B:J,5,FALSE),IF(LEFT(C212,3)="INC",VLOOKUP(VALUE(RIGHT(C212,3)),'INC-COMP'!B:J,5,FALSE),IF(LEFT(C212,3)="ELE",VLOOKUP(VALUE(RIGHT(C212,3)),#REF!,5,FALSE),IF(LEFT(C212,3)="CAB",VLOOKUP(VALUE(RIGHT(C212,3)),#REF!,5,FALSE),IF(LEFT(C212,3)="SEG",VLOOKUP(VALUE(RIGHT(C212,3)),'SEG-COMP'!B:J,5,FALSE),IF(LEFT(C212,3)="CLI",VLOOKUP(VALUE(RIGHT(C212,3)),'CLI-COMP'!B:J,5,FALSE),IF(LEFT(C212,4)="IMPL",VLOOKUP(VALUE(RIGHT(C212,3)),'IMPL-COMP'!B:J,5,FALSE),IF(LEFT(C212,4)="SPDA",VLOOKUP(VALUE(RIGHT(C212,3)),'SPDA-COMP'!B:J,5,FALSE),IF(LEFT(C212,4)="SDAI",VLOOKUP(VALUE(RIGHT(C212,3)),'ADM-COMP'!B:J,5,FALSE),IF(LEFT(C212,5)="IMPER",VLOOKUP(VALUE(RIGHT(C212,3)),'IMPER-COMP'!B:J,5,FALSE),""))))))))))))))))</f>
        <v>UND</v>
      </c>
      <c r="F212" s="599">
        <f>ROUND(VLOOKUP(A212,'MEM-LEVANT'!A269:I2790,9,FALSE),2)</f>
        <v>3</v>
      </c>
      <c r="G212" s="339">
        <f>IF(B212="IOPES",VLOOKUP(C212,'LABOR-SERVIÇOS'!A:H,7,FALSE),IF(B212="SINAPI",VLOOKUP(C212,'SINAPI-SERVIÇOS'!A:H,8,FALSE),IF(LEFT(C212,3)="ARQ",VLOOKUP(VALUE(RIGHT(C212,3)),'ARQ-COMP'!B:J,9,FALSE),IF(LEFT(C212,3)="SCI",VLOOKUP(VALUE(RIGHT(C212,3)),'GAS-COMP'!#REF!,9,FALSE),IF(LEFT(C212,3)="SCE",VLOOKUP(VALUE(RIGHT(C212,3)),'SCE-COMP'!B:J,9,FALSE),IF(LEFT(C212,3)="EST",VLOOKUP(VALUE(RIGHT(C212,3)),'EST-COMP'!B:J,9,FALSE),IF(LEFT(C212,3)="HID",VLOOKUP(VALUE(RIGHT(C212,3)),'HID-COMP'!B:J,9,FALSE),IF(LEFT(C212,3)="INC",VLOOKUP(VALUE(RIGHT(C212,3)),'INC-COMP'!B:J,9,FALSE),IF(LEFT(C212,3)="ELE",VLOOKUP(VALUE(RIGHT(C212,3)),#REF!,9,FALSE),IF(LEFT(C212,3)="CAB",VLOOKUP(VALUE(RIGHT(C212,3)),#REF!,9,FALSE),IF(LEFT(C212,3)="SEG",VLOOKUP(VALUE(RIGHT(C212,3)),'SEG-COMP'!B:J,9,FALSE),IF(LEFT(C212,3)="CLI",VLOOKUP(VALUE(RIGHT(C212,3)),'CLI-COMP'!B:J,9,FALSE),IF(LEFT(C212,4)="IMPL",VLOOKUP(VALUE(RIGHT(C212,3)),'IMPL-COMP'!B:J,9,FALSE),IF(LEFT(C212,4)="SPDA",VLOOKUP(VALUE(RIGHT(C212,3)),'SPDA-COMP'!B:J,9,FALSE),IF(LEFT(C212,4)="SDAI",VLOOKUP(VALUE(RIGHT(C212,3)),'ADM-COMP'!B:J,9,FALSE),IF(LEFT(C212,5)="IMPER",VLOOKUP(VALUE(RIGHT(C212,3)),'IMPER-COMP'!B:J,9,FALSE),""))))))))))))))))</f>
        <v>1440.39</v>
      </c>
      <c r="H212" s="339">
        <f t="shared" ref="H212:H213" si="78">ROUND(F212*G212,2)</f>
        <v>4321.17</v>
      </c>
      <c r="I212" s="374">
        <f>H212/$H$441</f>
        <v>2.5265703586672202E-4</v>
      </c>
      <c r="J212" s="314"/>
    </row>
    <row r="213" spans="1:10" ht="52.8">
      <c r="A213" s="613" t="s">
        <v>27426</v>
      </c>
      <c r="B213" s="337" t="s">
        <v>2879</v>
      </c>
      <c r="C213" s="540">
        <f>150317</f>
        <v>150317</v>
      </c>
      <c r="D213" s="539" t="str">
        <f>IF(B213="IOPES",VLOOKUP(C213,'LABOR-SERVIÇOS'!A:H,5,FALSE),IF(B213="SINAPI",VLOOKUP(C213,'SINAPI-SERVIÇOS'!A:D,2,FALSE),IF(LEFT(C213,3)="ARQ",VLOOKUP(VALUE(RIGHT(C213,3)),'ARQ-COMP'!B:J,4,FALSE),IF(LEFT(C213,3)="SCI",VLOOKUP(VALUE(RIGHT(C213,3)),'GAS-COMP'!#REF!,4,FALSE),IF(LEFT(C213,3)="SCE",VLOOKUP(VALUE(RIGHT(C213,3)),'SCE-COMP'!B:J,4,FALSE),IF(LEFT(C213,3)="EST",VLOOKUP(VALUE(RIGHT(C213,3)),'EST-COMP'!B:J,4,FALSE),IF(LEFT(C213,3)="HID",VLOOKUP(VALUE(RIGHT(C213,3)),'HID-COMP'!B:J,4,FALSE),IF(LEFT(C213,3)="INC",VLOOKUP(VALUE(RIGHT(C213,3)),'INC-COMP'!B:J,4,FALSE),IF(LEFT(C213,3)="ELE",VLOOKUP(VALUE(RIGHT(C213,3)),#REF!,4,FALSE),IF(LEFT(C213,3)="CAB",VLOOKUP(VALUE(RIGHT(C213,3)),#REF!,4,FALSE),IF(LEFT(C213,3)="SEG",VLOOKUP(VALUE(RIGHT(C213,3)),'SEG-COMP'!B:J,4,FALSE),IF(LEFT(C213,3)="CLI",VLOOKUP(VALUE(RIGHT(C213,3)),'CLI-COMP'!B:J,4,FALSE),IF(LEFT(C213,4)="IMPL",VLOOKUP(VALUE(RIGHT(C213,3)),'IMPL-COMP'!B:J,4,FALSE),IF(LEFT(C213,4)="SPDA",VLOOKUP(VALUE(RIGHT(C213,3)),'SPDA-COMP'!B:J,4,FALSE),IF(LEFT(C213,4)="SDAI",VLOOKUP(VALUE(RIGHT(C213,3)),'ADM-COMP'!B:J,4,FALSE),IF(LEFT(C213,5)="IMPER",VLOOKUP(VALUE(RIGHT(C213,3)),'IMPER-COMP'!B:J,4,FALSE),""))))))))))))))))</f>
        <v>QUADRO DISTRIB. ENERGIA, EMBUTIDO OU SEMI EMBUTIDO, CAPAC. P/ 56 DISJ. DIN, C/BARRAM TRIF. 225A BARRA. NEUTRO E TERRA, FAB. EM CHAPA DE AÇO 12 USG COM PORTA, ESPELHO, TRINCO COM FECHAD CH</v>
      </c>
      <c r="E213" s="338" t="str">
        <f>IF(B213="IOPES",VLOOKUP(C213,'LABOR-SERVIÇOS'!A:H,6,FALSE),IF(B213="SINAPI",VLOOKUP(C213,'SINAPI-SERVIÇOS'!A:D,3,FALSE),IF(LEFT(C213,3)="ARQ",VLOOKUP(VALUE(RIGHT(C213,3)),'ARQ-COMP'!B:J,5,FALSE),IF(LEFT(C213,3)="SCI",VLOOKUP(VALUE(RIGHT(C213,3)),'GAS-COMP'!#REF!,5,FALSE),IF(LEFT(C213,3)="SCE",VLOOKUP(VALUE(RIGHT(C213,3)),'SCE-COMP'!B:J,5,FALSE),IF(LEFT(C213,3)="EST",VLOOKUP(VALUE(RIGHT(C213,3)),'EST-COMP'!B:J,5,FALSE),IF(LEFT(C213,3)="HID",VLOOKUP(VALUE(RIGHT(C213,3)),'HID-COMP'!B:J,5,FALSE),IF(LEFT(C213,3)="INC",VLOOKUP(VALUE(RIGHT(C213,3)),'INC-COMP'!B:J,5,FALSE),IF(LEFT(C213,3)="ELE",VLOOKUP(VALUE(RIGHT(C213,3)),#REF!,5,FALSE),IF(LEFT(C213,3)="CAB",VLOOKUP(VALUE(RIGHT(C213,3)),#REF!,5,FALSE),IF(LEFT(C213,3)="SEG",VLOOKUP(VALUE(RIGHT(C213,3)),'SEG-COMP'!B:J,5,FALSE),IF(LEFT(C213,3)="CLI",VLOOKUP(VALUE(RIGHT(C213,3)),'CLI-COMP'!B:J,5,FALSE),IF(LEFT(C213,4)="IMPL",VLOOKUP(VALUE(RIGHT(C213,3)),'IMPL-COMP'!B:J,5,FALSE),IF(LEFT(C213,4)="SPDA",VLOOKUP(VALUE(RIGHT(C213,3)),'SPDA-COMP'!B:J,5,FALSE),IF(LEFT(C213,4)="SDAI",VLOOKUP(VALUE(RIGHT(C213,3)),'ADM-COMP'!B:J,5,FALSE),IF(LEFT(C213,5)="IMPER",VLOOKUP(VALUE(RIGHT(C213,3)),'IMPER-COMP'!B:J,5,FALSE),""))))))))))))))))</f>
        <v>UND</v>
      </c>
      <c r="F213" s="599">
        <f>ROUND(VLOOKUP(A213,'MEM-LEVANT'!A269:I2791,9,FALSE),2)</f>
        <v>2</v>
      </c>
      <c r="G213" s="339">
        <f>IF(B213="IOPES",VLOOKUP(C213,'LABOR-SERVIÇOS'!A:H,7,FALSE),IF(B213="SINAPI",VLOOKUP(C213,'SINAPI-SERVIÇOS'!A:H,8,FALSE),IF(LEFT(C213,3)="ARQ",VLOOKUP(VALUE(RIGHT(C213,3)),'ARQ-COMP'!B:J,9,FALSE),IF(LEFT(C213,3)="SCI",VLOOKUP(VALUE(RIGHT(C213,3)),'GAS-COMP'!#REF!,9,FALSE),IF(LEFT(C213,3)="SCE",VLOOKUP(VALUE(RIGHT(C213,3)),'SCE-COMP'!B:J,9,FALSE),IF(LEFT(C213,3)="EST",VLOOKUP(VALUE(RIGHT(C213,3)),'EST-COMP'!B:J,9,FALSE),IF(LEFT(C213,3)="HID",VLOOKUP(VALUE(RIGHT(C213,3)),'HID-COMP'!B:J,9,FALSE),IF(LEFT(C213,3)="INC",VLOOKUP(VALUE(RIGHT(C213,3)),'INC-COMP'!B:J,9,FALSE),IF(LEFT(C213,3)="ELE",VLOOKUP(VALUE(RIGHT(C213,3)),#REF!,9,FALSE),IF(LEFT(C213,3)="CAB",VLOOKUP(VALUE(RIGHT(C213,3)),#REF!,9,FALSE),IF(LEFT(C213,3)="SEG",VLOOKUP(VALUE(RIGHT(C213,3)),'SEG-COMP'!B:J,9,FALSE),IF(LEFT(C213,3)="CLI",VLOOKUP(VALUE(RIGHT(C213,3)),'CLI-COMP'!B:J,9,FALSE),IF(LEFT(C213,4)="IMPL",VLOOKUP(VALUE(RIGHT(C213,3)),'IMPL-COMP'!B:J,9,FALSE),IF(LEFT(C213,4)="SPDA",VLOOKUP(VALUE(RIGHT(C213,3)),'SPDA-COMP'!B:J,9,FALSE),IF(LEFT(C213,4)="SDAI",VLOOKUP(VALUE(RIGHT(C213,3)),'ADM-COMP'!B:J,9,FALSE),IF(LEFT(C213,5)="IMPER",VLOOKUP(VALUE(RIGHT(C213,3)),'IMPER-COMP'!B:J,9,FALSE),""))))))))))))))))</f>
        <v>2323.04</v>
      </c>
      <c r="H213" s="339">
        <f t="shared" si="78"/>
        <v>4646.08</v>
      </c>
      <c r="I213" s="374">
        <f>H213/$H$441</f>
        <v>2.7165439017665582E-4</v>
      </c>
      <c r="J213" s="314"/>
    </row>
    <row r="214" spans="1:10">
      <c r="A214" s="613" t="s">
        <v>35858</v>
      </c>
      <c r="B214" s="337" t="s">
        <v>35861</v>
      </c>
      <c r="C214" s="540" t="s">
        <v>7993</v>
      </c>
      <c r="D214" s="539" t="str">
        <f>IF(B214="IOPES",VLOOKUP(C214,'LABOR-SERVIÇOS'!A:H,5,FALSE),IF(B214="SINAPI",VLOOKUP(C214,'SINAPI-SERVIÇOS'!A:D,2,FALSE),IF(LEFT(C214,3)="ARQ",VLOOKUP(VALUE(RIGHT(C214,3)),'ARQ-COMP'!B:J,4,FALSE),IF(LEFT(C214,3)="SCI",VLOOKUP(VALUE(RIGHT(C214,3)),'GAS-COMP'!#REF!,4,FALSE),IF(LEFT(C214,3)="SCE",VLOOKUP(VALUE(RIGHT(C214,3)),'SCE-COMP'!B:J,4,FALSE),IF(LEFT(C214,3)="EST",VLOOKUP(VALUE(RIGHT(C214,3)),'EST-COMP'!B:J,4,FALSE),IF(LEFT(C214,3)="HID",VLOOKUP(VALUE(RIGHT(C214,3)),'HID-COMP'!B:J,4,FALSE),IF(LEFT(C214,3)="INC",VLOOKUP(VALUE(RIGHT(C214,3)),'INC-COMP'!B:J,4,FALSE),IF(LEFT(C214,3)="ELE",VLOOKUP(VALUE(RIGHT(C214,3)),#REF!,4,FALSE),IF(LEFT(C214,3)="CAB",VLOOKUP(VALUE(RIGHT(C214,3)),#REF!,4,FALSE),IF(LEFT(C214,3)="SEG",VLOOKUP(VALUE(RIGHT(C214,3)),'SEG-COMP'!B:J,4,FALSE),IF(LEFT(C214,3)="CLI",VLOOKUP(VALUE(RIGHT(C214,3)),'CLI-COMP'!B:J,4,FALSE),IF(LEFT(C214,4)="IMPL",VLOOKUP(VALUE(RIGHT(C214,3)),'IMPL-COMP'!B:J,4,FALSE),IF(LEFT(C214,4)="SPDA",VLOOKUP(VALUE(RIGHT(C214,3)),'SPDA-COMP'!B:J,4,FALSE),IF(LEFT(C214,4)="SDAI",VLOOKUP(VALUE(RIGHT(C214,3)),'ADM-COMP'!B:J,4,FALSE),IF(LEFT(C214,5)="IMPER",VLOOKUP(VALUE(RIGHT(C214,3)),'IMPER-COMP'!B:J,4,FALSE),""))))))))))))))))</f>
        <v xml:space="preserve">QDG CÂMARA MONTADO CONFORME PROJETO ELÉTRICO </v>
      </c>
      <c r="E214" s="338" t="str">
        <f>IF(B214="IOPES",VLOOKUP(C214,'LABOR-SERVIÇOS'!A:H,6,FALSE),IF(B214="SINAPI",VLOOKUP(C214,'SINAPI-SERVIÇOS'!A:D,3,FALSE),IF(LEFT(C214,3)="ARQ",VLOOKUP(VALUE(RIGHT(C214,3)),'ARQ-COMP'!B:J,5,FALSE),IF(LEFT(C214,3)="SCI",VLOOKUP(VALUE(RIGHT(C214,3)),'GAS-COMP'!#REF!,5,FALSE),IF(LEFT(C214,3)="SCE",VLOOKUP(VALUE(RIGHT(C214,3)),'SCE-COMP'!B:J,5,FALSE),IF(LEFT(C214,3)="EST",VLOOKUP(VALUE(RIGHT(C214,3)),'EST-COMP'!B:J,5,FALSE),IF(LEFT(C214,3)="HID",VLOOKUP(VALUE(RIGHT(C214,3)),'HID-COMP'!B:J,5,FALSE),IF(LEFT(C214,3)="INC",VLOOKUP(VALUE(RIGHT(C214,3)),'INC-COMP'!B:J,5,FALSE),IF(LEFT(C214,3)="ELE",VLOOKUP(VALUE(RIGHT(C214,3)),#REF!,5,FALSE),IF(LEFT(C214,3)="CAB",VLOOKUP(VALUE(RIGHT(C214,3)),#REF!,5,FALSE),IF(LEFT(C214,3)="SEG",VLOOKUP(VALUE(RIGHT(C214,3)),'SEG-COMP'!B:J,5,FALSE),IF(LEFT(C214,3)="CLI",VLOOKUP(VALUE(RIGHT(C214,3)),'CLI-COMP'!B:J,5,FALSE),IF(LEFT(C214,4)="IMPL",VLOOKUP(VALUE(RIGHT(C214,3)),'IMPL-COMP'!B:J,5,FALSE),IF(LEFT(C214,4)="SPDA",VLOOKUP(VALUE(RIGHT(C214,3)),'SPDA-COMP'!B:J,5,FALSE),IF(LEFT(C214,4)="SDAI",VLOOKUP(VALUE(RIGHT(C214,3)),'ADM-COMP'!B:J,5,FALSE),IF(LEFT(C214,5)="IMPER",VLOOKUP(VALUE(RIGHT(C214,3)),'IMPER-COMP'!B:J,5,FALSE),""))))))))))))))))</f>
        <v>UND</v>
      </c>
      <c r="F214" s="599">
        <f>ROUND(VLOOKUP(A214,'MEM-LEVANT'!A270:I2792,9,FALSE),2)</f>
        <v>1</v>
      </c>
      <c r="G214" s="339">
        <f>IF(B214="IOPES",VLOOKUP(C214,'LABOR-SERVIÇOS'!A:H,7,FALSE),IF(B214="SINAPI",VLOOKUP(C214,'SINAPI-SERVIÇOS'!A:H,8,FALSE),IF(LEFT(C214,3)="ARQ",VLOOKUP(VALUE(RIGHT(C214,3)),'ARQ-COMP'!B:J,9,FALSE),IF(LEFT(C214,3)="SCI",VLOOKUP(VALUE(RIGHT(C214,3)),'GAS-COMP'!#REF!,9,FALSE),IF(LEFT(C214,3)="SCE",VLOOKUP(VALUE(RIGHT(C214,3)),'SCE-COMP'!B:J,9,FALSE),IF(LEFT(C214,3)="EST",VLOOKUP(VALUE(RIGHT(C214,3)),'EST-COMP'!B:J,9,FALSE),IF(LEFT(C214,3)="HID",VLOOKUP(VALUE(RIGHT(C214,3)),'HID-COMP'!B:J,9,FALSE),IF(LEFT(C214,3)="INC",VLOOKUP(VALUE(RIGHT(C214,3)),'INC-COMP'!B:J,9,FALSE),IF(LEFT(C214,3)="ELE",VLOOKUP(VALUE(RIGHT(C214,3)),#REF!,9,FALSE),IF(LEFT(C214,3)="CAB",VLOOKUP(VALUE(RIGHT(C214,3)),#REF!,9,FALSE),IF(LEFT(C214,3)="SEG",VLOOKUP(VALUE(RIGHT(C214,3)),'SEG-COMP'!B:J,9,FALSE),IF(LEFT(C214,3)="CLI",VLOOKUP(VALUE(RIGHT(C214,3)),'CLI-COMP'!B:J,9,FALSE),IF(LEFT(C214,4)="IMPL",VLOOKUP(VALUE(RIGHT(C214,3)),'IMPL-COMP'!B:J,9,FALSE),IF(LEFT(C214,4)="SPDA",VLOOKUP(VALUE(RIGHT(C214,3)),'SPDA-COMP'!B:J,9,FALSE),IF(LEFT(C214,4)="SDAI",VLOOKUP(VALUE(RIGHT(C214,3)),'ADM-COMP'!B:J,9,FALSE),IF(LEFT(C214,5)="IMPER",VLOOKUP(VALUE(RIGHT(C214,3)),'IMPER-COMP'!B:J,9,FALSE),""))))))))))))))))</f>
        <v>31624.5</v>
      </c>
      <c r="H214" s="339">
        <f t="shared" ref="H214" si="79">ROUND(F214*G214,2)</f>
        <v>31624.5</v>
      </c>
      <c r="I214" s="374">
        <f>H214/$H$441</f>
        <v>1.8490715317303302E-3</v>
      </c>
      <c r="J214" s="314"/>
    </row>
    <row r="215" spans="1:10">
      <c r="A215" s="613" t="s">
        <v>35859</v>
      </c>
      <c r="B215" s="337" t="s">
        <v>35861</v>
      </c>
      <c r="C215" s="540" t="s">
        <v>7994</v>
      </c>
      <c r="D215" s="539" t="str">
        <f>IF(B215="IOPES",VLOOKUP(C215,'LABOR-SERVIÇOS'!A:H,5,FALSE),IF(B215="SINAPI",VLOOKUP(C215,'SINAPI-SERVIÇOS'!A:D,2,FALSE),IF(LEFT(C215,3)="ARQ",VLOOKUP(VALUE(RIGHT(C215,3)),'ARQ-COMP'!B:J,4,FALSE),IF(LEFT(C215,3)="SCI",VLOOKUP(VALUE(RIGHT(C215,3)),'GAS-COMP'!#REF!,4,FALSE),IF(LEFT(C215,3)="SCE",VLOOKUP(VALUE(RIGHT(C215,3)),'SCE-COMP'!B:J,4,FALSE),IF(LEFT(C215,3)="EST",VLOOKUP(VALUE(RIGHT(C215,3)),'EST-COMP'!B:J,4,FALSE),IF(LEFT(C215,3)="HID",VLOOKUP(VALUE(RIGHT(C215,3)),'HID-COMP'!B:J,4,FALSE),IF(LEFT(C215,3)="INC",VLOOKUP(VALUE(RIGHT(C215,3)),'INC-COMP'!B:J,4,FALSE),IF(LEFT(C215,3)="ELE",VLOOKUP(VALUE(RIGHT(C215,3)),#REF!,4,FALSE),IF(LEFT(C215,3)="CAB",VLOOKUP(VALUE(RIGHT(C215,3)),#REF!,4,FALSE),IF(LEFT(C215,3)="SEG",VLOOKUP(VALUE(RIGHT(C215,3)),'SEG-COMP'!B:J,4,FALSE),IF(LEFT(C215,3)="CLI",VLOOKUP(VALUE(RIGHT(C215,3)),'CLI-COMP'!B:J,4,FALSE),IF(LEFT(C215,4)="IMPL",VLOOKUP(VALUE(RIGHT(C215,3)),'IMPL-COMP'!B:J,4,FALSE),IF(LEFT(C215,4)="SPDA",VLOOKUP(VALUE(RIGHT(C215,3)),'SPDA-COMP'!B:J,4,FALSE),IF(LEFT(C215,4)="SDAI",VLOOKUP(VALUE(RIGHT(C215,3)),'ADM-COMP'!B:J,4,FALSE),IF(LEFT(C215,5)="IMPER",VLOOKUP(VALUE(RIGHT(C215,3)),'IMPER-COMP'!B:J,4,FALSE),""))))))))))))))))</f>
        <v xml:space="preserve">QGBT MONTADO CONFORME PROJETO ELÉTRICO - CLIMATIZAÇÃO </v>
      </c>
      <c r="E215" s="338" t="str">
        <f>IF(B215="IOPES",VLOOKUP(C215,'LABOR-SERVIÇOS'!A:H,6,FALSE),IF(B215="SINAPI",VLOOKUP(C215,'SINAPI-SERVIÇOS'!A:D,3,FALSE),IF(LEFT(C215,3)="ARQ",VLOOKUP(VALUE(RIGHT(C215,3)),'ARQ-COMP'!B:J,5,FALSE),IF(LEFT(C215,3)="SCI",VLOOKUP(VALUE(RIGHT(C215,3)),'GAS-COMP'!#REF!,5,FALSE),IF(LEFT(C215,3)="SCE",VLOOKUP(VALUE(RIGHT(C215,3)),'SCE-COMP'!B:J,5,FALSE),IF(LEFT(C215,3)="EST",VLOOKUP(VALUE(RIGHT(C215,3)),'EST-COMP'!B:J,5,FALSE),IF(LEFT(C215,3)="HID",VLOOKUP(VALUE(RIGHT(C215,3)),'HID-COMP'!B:J,5,FALSE),IF(LEFT(C215,3)="INC",VLOOKUP(VALUE(RIGHT(C215,3)),'INC-COMP'!B:J,5,FALSE),IF(LEFT(C215,3)="ELE",VLOOKUP(VALUE(RIGHT(C215,3)),#REF!,5,FALSE),IF(LEFT(C215,3)="CAB",VLOOKUP(VALUE(RIGHT(C215,3)),#REF!,5,FALSE),IF(LEFT(C215,3)="SEG",VLOOKUP(VALUE(RIGHT(C215,3)),'SEG-COMP'!B:J,5,FALSE),IF(LEFT(C215,3)="CLI",VLOOKUP(VALUE(RIGHT(C215,3)),'CLI-COMP'!B:J,5,FALSE),IF(LEFT(C215,4)="IMPL",VLOOKUP(VALUE(RIGHT(C215,3)),'IMPL-COMP'!B:J,5,FALSE),IF(LEFT(C215,4)="SPDA",VLOOKUP(VALUE(RIGHT(C215,3)),'SPDA-COMP'!B:J,5,FALSE),IF(LEFT(C215,4)="SDAI",VLOOKUP(VALUE(RIGHT(C215,3)),'ADM-COMP'!B:J,5,FALSE),IF(LEFT(C215,5)="IMPER",VLOOKUP(VALUE(RIGHT(C215,3)),'IMPER-COMP'!B:J,5,FALSE),""))))))))))))))))</f>
        <v xml:space="preserve">UND </v>
      </c>
      <c r="F215" s="599">
        <f>ROUND(VLOOKUP(A215,'MEM-LEVANT'!A271:I2793,9,FALSE),2)</f>
        <v>1</v>
      </c>
      <c r="G215" s="339">
        <f>IF(B215="IOPES",VLOOKUP(C215,'LABOR-SERVIÇOS'!A:H,7,FALSE),IF(B215="SINAPI",VLOOKUP(C215,'SINAPI-SERVIÇOS'!A:H,8,FALSE),IF(LEFT(C215,3)="ARQ",VLOOKUP(VALUE(RIGHT(C215,3)),'ARQ-COMP'!B:J,9,FALSE),IF(LEFT(C215,3)="SCI",VLOOKUP(VALUE(RIGHT(C215,3)),'GAS-COMP'!#REF!,9,FALSE),IF(LEFT(C215,3)="SCE",VLOOKUP(VALUE(RIGHT(C215,3)),'SCE-COMP'!B:J,9,FALSE),IF(LEFT(C215,3)="EST",VLOOKUP(VALUE(RIGHT(C215,3)),'EST-COMP'!B:J,9,FALSE),IF(LEFT(C215,3)="HID",VLOOKUP(VALUE(RIGHT(C215,3)),'HID-COMP'!B:J,9,FALSE),IF(LEFT(C215,3)="INC",VLOOKUP(VALUE(RIGHT(C215,3)),'INC-COMP'!B:J,9,FALSE),IF(LEFT(C215,3)="ELE",VLOOKUP(VALUE(RIGHT(C215,3)),#REF!,9,FALSE),IF(LEFT(C215,3)="CAB",VLOOKUP(VALUE(RIGHT(C215,3)),#REF!,9,FALSE),IF(LEFT(C215,3)="SEG",VLOOKUP(VALUE(RIGHT(C215,3)),'SEG-COMP'!B:J,9,FALSE),IF(LEFT(C215,3)="CLI",VLOOKUP(VALUE(RIGHT(C215,3)),'CLI-COMP'!B:J,9,FALSE),IF(LEFT(C215,4)="IMPL",VLOOKUP(VALUE(RIGHT(C215,3)),'IMPL-COMP'!B:J,9,FALSE),IF(LEFT(C215,4)="SPDA",VLOOKUP(VALUE(RIGHT(C215,3)),'SPDA-COMP'!B:J,9,FALSE),IF(LEFT(C215,4)="SDAI",VLOOKUP(VALUE(RIGHT(C215,3)),'ADM-COMP'!B:J,9,FALSE),IF(LEFT(C215,5)="IMPER",VLOOKUP(VALUE(RIGHT(C215,3)),'IMPER-COMP'!B:J,9,FALSE),""))))))))))))))))</f>
        <v>21971.69</v>
      </c>
      <c r="H215" s="339">
        <f t="shared" ref="H215" si="80">ROUND(F215*G215,2)</f>
        <v>21971.69</v>
      </c>
      <c r="I215" s="374">
        <f>H215/$H$441</f>
        <v>1.2846756939399507E-3</v>
      </c>
      <c r="J215" s="314"/>
    </row>
    <row r="216" spans="1:10">
      <c r="A216" s="613" t="s">
        <v>35860</v>
      </c>
      <c r="B216" s="337" t="s">
        <v>35861</v>
      </c>
      <c r="C216" s="540" t="s">
        <v>35862</v>
      </c>
      <c r="D216" s="539" t="str">
        <f>IF(B216="IOPES",VLOOKUP(C216,'LABOR-SERVIÇOS'!A:H,5,FALSE),IF(B216="SINAPI",VLOOKUP(C216,'SINAPI-SERVIÇOS'!A:D,2,FALSE),IF(LEFT(C216,3)="ARQ",VLOOKUP(VALUE(RIGHT(C216,3)),'ARQ-COMP'!B:J,4,FALSE),IF(LEFT(C216,3)="SCI",VLOOKUP(VALUE(RIGHT(C216,3)),'GAS-COMP'!#REF!,4,FALSE),IF(LEFT(C216,3)="SCE",VLOOKUP(VALUE(RIGHT(C216,3)),'SCE-COMP'!B:J,4,FALSE),IF(LEFT(C216,3)="EST",VLOOKUP(VALUE(RIGHT(C216,3)),'EST-COMP'!B:J,4,FALSE),IF(LEFT(C216,3)="HID",VLOOKUP(VALUE(RIGHT(C216,3)),'HID-COMP'!B:J,4,FALSE),IF(LEFT(C216,3)="INC",VLOOKUP(VALUE(RIGHT(C216,3)),'INC-COMP'!B:J,4,FALSE),IF(LEFT(C216,3)="ELE",VLOOKUP(VALUE(RIGHT(C216,3)),#REF!,4,FALSE),IF(LEFT(C216,3)="CAB",VLOOKUP(VALUE(RIGHT(C216,3)),#REF!,4,FALSE),IF(LEFT(C216,3)="SEG",VLOOKUP(VALUE(RIGHT(C216,3)),'SEG-COMP'!B:J,4,FALSE),IF(LEFT(C216,3)="CLI",VLOOKUP(VALUE(RIGHT(C216,3)),'CLI-COMP'!B:J,4,FALSE),IF(LEFT(C216,4)="IMPL",VLOOKUP(VALUE(RIGHT(C216,3)),'IMPL-COMP'!B:J,4,FALSE),IF(LEFT(C216,4)="SPDA",VLOOKUP(VALUE(RIGHT(C216,3)),'SPDA-COMP'!B:J,4,FALSE),IF(LEFT(C216,4)="SDAI",VLOOKUP(VALUE(RIGHT(C216,3)),'ADM-COMP'!B:J,4,FALSE),IF(LEFT(C216,5)="IMPER",VLOOKUP(VALUE(RIGHT(C216,3)),'IMPER-COMP'!B:J,4,FALSE),""))))))))))))))))</f>
        <v xml:space="preserve">QGBT MONTADO CONFORME PROJETO ELÉTRICO - ELEVADOR </v>
      </c>
      <c r="E216" s="338" t="str">
        <f>IF(B216="IOPES",VLOOKUP(C216,'LABOR-SERVIÇOS'!A:H,6,FALSE),IF(B216="SINAPI",VLOOKUP(C216,'SINAPI-SERVIÇOS'!A:D,3,FALSE),IF(LEFT(C216,3)="ARQ",VLOOKUP(VALUE(RIGHT(C216,3)),'ARQ-COMP'!B:J,5,FALSE),IF(LEFT(C216,3)="SCI",VLOOKUP(VALUE(RIGHT(C216,3)),'GAS-COMP'!#REF!,5,FALSE),IF(LEFT(C216,3)="SCE",VLOOKUP(VALUE(RIGHT(C216,3)),'SCE-COMP'!B:J,5,FALSE),IF(LEFT(C216,3)="EST",VLOOKUP(VALUE(RIGHT(C216,3)),'EST-COMP'!B:J,5,FALSE),IF(LEFT(C216,3)="HID",VLOOKUP(VALUE(RIGHT(C216,3)),'HID-COMP'!B:J,5,FALSE),IF(LEFT(C216,3)="INC",VLOOKUP(VALUE(RIGHT(C216,3)),'INC-COMP'!B:J,5,FALSE),IF(LEFT(C216,3)="ELE",VLOOKUP(VALUE(RIGHT(C216,3)),#REF!,5,FALSE),IF(LEFT(C216,3)="CAB",VLOOKUP(VALUE(RIGHT(C216,3)),#REF!,5,FALSE),IF(LEFT(C216,3)="SEG",VLOOKUP(VALUE(RIGHT(C216,3)),'SEG-COMP'!B:J,5,FALSE),IF(LEFT(C216,3)="CLI",VLOOKUP(VALUE(RIGHT(C216,3)),'CLI-COMP'!B:J,5,FALSE),IF(LEFT(C216,4)="IMPL",VLOOKUP(VALUE(RIGHT(C216,3)),'IMPL-COMP'!B:J,5,FALSE),IF(LEFT(C216,4)="SPDA",VLOOKUP(VALUE(RIGHT(C216,3)),'SPDA-COMP'!B:J,5,FALSE),IF(LEFT(C216,4)="SDAI",VLOOKUP(VALUE(RIGHT(C216,3)),'ADM-COMP'!B:J,5,FALSE),IF(LEFT(C216,5)="IMPER",VLOOKUP(VALUE(RIGHT(C216,3)),'IMPER-COMP'!B:J,5,FALSE),""))))))))))))))))</f>
        <v xml:space="preserve">UND </v>
      </c>
      <c r="F216" s="599">
        <f>ROUND(VLOOKUP(A216,'MEM-LEVANT'!A272:I2794,9,FALSE),2)</f>
        <v>1</v>
      </c>
      <c r="G216" s="339">
        <f>IF(B216="IOPES",VLOOKUP(C216,'LABOR-SERVIÇOS'!A:H,7,FALSE),IF(B216="SINAPI",VLOOKUP(C216,'SINAPI-SERVIÇOS'!A:H,8,FALSE),IF(LEFT(C216,3)="ARQ",VLOOKUP(VALUE(RIGHT(C216,3)),'ARQ-COMP'!B:J,9,FALSE),IF(LEFT(C216,3)="SCI",VLOOKUP(VALUE(RIGHT(C216,3)),'GAS-COMP'!#REF!,9,FALSE),IF(LEFT(C216,3)="SCE",VLOOKUP(VALUE(RIGHT(C216,3)),'SCE-COMP'!B:J,9,FALSE),IF(LEFT(C216,3)="EST",VLOOKUP(VALUE(RIGHT(C216,3)),'EST-COMP'!B:J,9,FALSE),IF(LEFT(C216,3)="HID",VLOOKUP(VALUE(RIGHT(C216,3)),'HID-COMP'!B:J,9,FALSE),IF(LEFT(C216,3)="INC",VLOOKUP(VALUE(RIGHT(C216,3)),'INC-COMP'!B:J,9,FALSE),IF(LEFT(C216,3)="ELE",VLOOKUP(VALUE(RIGHT(C216,3)),#REF!,9,FALSE),IF(LEFT(C216,3)="CAB",VLOOKUP(VALUE(RIGHT(C216,3)),#REF!,9,FALSE),IF(LEFT(C216,3)="SEG",VLOOKUP(VALUE(RIGHT(C216,3)),'SEG-COMP'!B:J,9,FALSE),IF(LEFT(C216,3)="CLI",VLOOKUP(VALUE(RIGHT(C216,3)),'CLI-COMP'!B:J,9,FALSE),IF(LEFT(C216,4)="IMPL",VLOOKUP(VALUE(RIGHT(C216,3)),'IMPL-COMP'!B:J,9,FALSE),IF(LEFT(C216,4)="SPDA",VLOOKUP(VALUE(RIGHT(C216,3)),'SPDA-COMP'!B:J,9,FALSE),IF(LEFT(C216,4)="SDAI",VLOOKUP(VALUE(RIGHT(C216,3)),'ADM-COMP'!B:J,9,FALSE),IF(LEFT(C216,5)="IMPER",VLOOKUP(VALUE(RIGHT(C216,3)),'IMPER-COMP'!B:J,9,FALSE),""))))))))))))))))</f>
        <v>1798.77</v>
      </c>
      <c r="H216" s="339">
        <f t="shared" ref="H216" si="81">ROUND(F216*G216,2)</f>
        <v>1798.77</v>
      </c>
      <c r="I216" s="374">
        <f>H216/$H$441</f>
        <v>1.0517334342457796E-4</v>
      </c>
      <c r="J216" s="314"/>
    </row>
    <row r="217" spans="1:10">
      <c r="A217" s="553" t="s">
        <v>9759</v>
      </c>
      <c r="B217" s="554"/>
      <c r="C217" s="555"/>
      <c r="D217" s="556" t="s">
        <v>1408</v>
      </c>
      <c r="E217" s="557"/>
      <c r="F217" s="598"/>
      <c r="G217" s="558"/>
      <c r="H217" s="559"/>
      <c r="I217" s="560"/>
      <c r="J217" s="314"/>
    </row>
    <row r="218" spans="1:10" ht="52.8">
      <c r="A218" s="613" t="s">
        <v>10360</v>
      </c>
      <c r="B218" s="337" t="s">
        <v>2879</v>
      </c>
      <c r="C218" s="540">
        <f>150610</f>
        <v>150610</v>
      </c>
      <c r="D218" s="539" t="str">
        <f>IF(B218="IOPES",VLOOKUP(C218,'LABOR-SERVIÇOS'!A:H,5,FALSE),IF(B218="SINAPI",VLOOKUP(C218,'SINAPI-SERVIÇOS'!A:D,2,FALSE),IF(LEFT(C218,3)="ARQ",VLOOKUP(VALUE(RIGHT(C218,3)),'ARQ-COMP'!B:J,4,FALSE),IF(LEFT(C218,3)="SCI",VLOOKUP(VALUE(RIGHT(C218,3)),'GAS-COMP'!#REF!,4,FALSE),IF(LEFT(C218,3)="SCE",VLOOKUP(VALUE(RIGHT(C218,3)),'SCE-COMP'!B:J,4,FALSE),IF(LEFT(C218,3)="EST",VLOOKUP(VALUE(RIGHT(C218,3)),'EST-COMP'!B:J,4,FALSE),IF(LEFT(C218,3)="HID",VLOOKUP(VALUE(RIGHT(C218,3)),'HID-COMP'!B:J,4,FALSE),IF(LEFT(C218,3)="INC",VLOOKUP(VALUE(RIGHT(C218,3)),'INC-COMP'!B:J,4,FALSE),IF(LEFT(C218,3)="ELE",VLOOKUP(VALUE(RIGHT(C218,3)),#REF!,4,FALSE),IF(LEFT(C218,3)="CAB",VLOOKUP(VALUE(RIGHT(C218,3)),#REF!,4,FALSE),IF(LEFT(C218,3)="SEG",VLOOKUP(VALUE(RIGHT(C218,3)),'SEG-COMP'!B:J,4,FALSE),IF(LEFT(C218,3)="CLI",VLOOKUP(VALUE(RIGHT(C218,3)),'CLI-COMP'!B:J,4,FALSE),IF(LEFT(C218,4)="IMPL",VLOOKUP(VALUE(RIGHT(C218,3)),'IMPL-COMP'!B:J,4,FALSE),IF(LEFT(C218,4)="SPDA",VLOOKUP(VALUE(RIGHT(C218,3)),'SPDA-COMP'!B:J,4,FALSE),IF(LEFT(C218,4)="SDAI",VLOOKUP(VALUE(RIGHT(C218,3)),'ADM-COMP'!B:J,4,FALSE),IF(LEFT(C218,5)="IMPER",VLOOKUP(VALUE(RIGHT(C218,3)),'IMPER-COMP'!B:J,4,FALSE),""))))))))))))))))</f>
        <v>CAIXA DE ATERRAMENTO DE CONCRETO SIMPLES, NAS DIMENSÕES DE 30X30X25CM, COM REVEST. INT. EM CHAPISCO E REBOCO, TAMPA DE CONCRETO ESP.5CM E LASTRO DE BRITA ESP. 5 CM, INCL. HASTE 5/8"X2400MM</v>
      </c>
      <c r="E218" s="338" t="str">
        <f>IF(B218="IOPES",VLOOKUP(C218,'LABOR-SERVIÇOS'!A:H,6,FALSE),IF(B218="SINAPI",VLOOKUP(C218,'SINAPI-SERVIÇOS'!A:D,3,FALSE),IF(LEFT(C218,3)="ARQ",VLOOKUP(VALUE(RIGHT(C218,3)),'ARQ-COMP'!B:J,5,FALSE),IF(LEFT(C218,3)="SCI",VLOOKUP(VALUE(RIGHT(C218,3)),'GAS-COMP'!#REF!,5,FALSE),IF(LEFT(C218,3)="SCE",VLOOKUP(VALUE(RIGHT(C218,3)),'SCE-COMP'!B:J,5,FALSE),IF(LEFT(C218,3)="EST",VLOOKUP(VALUE(RIGHT(C218,3)),'EST-COMP'!B:J,5,FALSE),IF(LEFT(C218,3)="HID",VLOOKUP(VALUE(RIGHT(C218,3)),'HID-COMP'!B:J,5,FALSE),IF(LEFT(C218,3)="INC",VLOOKUP(VALUE(RIGHT(C218,3)),'INC-COMP'!B:J,5,FALSE),IF(LEFT(C218,3)="ELE",VLOOKUP(VALUE(RIGHT(C218,3)),#REF!,5,FALSE),IF(LEFT(C218,3)="CAB",VLOOKUP(VALUE(RIGHT(C218,3)),#REF!,5,FALSE),IF(LEFT(C218,3)="SEG",VLOOKUP(VALUE(RIGHT(C218,3)),'SEG-COMP'!B:J,5,FALSE),IF(LEFT(C218,3)="CLI",VLOOKUP(VALUE(RIGHT(C218,3)),'CLI-COMP'!B:J,5,FALSE),IF(LEFT(C218,4)="IMPL",VLOOKUP(VALUE(RIGHT(C218,3)),'IMPL-COMP'!B:J,5,FALSE),IF(LEFT(C218,4)="SPDA",VLOOKUP(VALUE(RIGHT(C218,3)),'SPDA-COMP'!B:J,5,FALSE),IF(LEFT(C218,4)="SDAI",VLOOKUP(VALUE(RIGHT(C218,3)),'ADM-COMP'!B:J,5,FALSE),IF(LEFT(C218,5)="IMPER",VLOOKUP(VALUE(RIGHT(C218,3)),'IMPER-COMP'!B:J,5,FALSE),""))))))))))))))))</f>
        <v>UND</v>
      </c>
      <c r="F218" s="599">
        <f>ROUND(VLOOKUP(A218,'MEM-LEVANT'!A269:I2794,9,FALSE),2)</f>
        <v>35</v>
      </c>
      <c r="G218" s="339">
        <f>IF(B218="IOPES",VLOOKUP(C218,'LABOR-SERVIÇOS'!A:H,7,FALSE),IF(B218="SINAPI",VLOOKUP(C218,'SINAPI-SERVIÇOS'!A:H,8,FALSE),IF(LEFT(C218,3)="ARQ",VLOOKUP(VALUE(RIGHT(C218,3)),'ARQ-COMP'!B:J,9,FALSE),IF(LEFT(C218,3)="SCI",VLOOKUP(VALUE(RIGHT(C218,3)),'GAS-COMP'!#REF!,9,FALSE),IF(LEFT(C218,3)="SCE",VLOOKUP(VALUE(RIGHT(C218,3)),'SCE-COMP'!B:J,9,FALSE),IF(LEFT(C218,3)="EST",VLOOKUP(VALUE(RIGHT(C218,3)),'EST-COMP'!B:J,9,FALSE),IF(LEFT(C218,3)="HID",VLOOKUP(VALUE(RIGHT(C218,3)),'HID-COMP'!B:J,9,FALSE),IF(LEFT(C218,3)="INC",VLOOKUP(VALUE(RIGHT(C218,3)),'INC-COMP'!B:J,9,FALSE),IF(LEFT(C218,3)="ELE",VLOOKUP(VALUE(RIGHT(C218,3)),#REF!,9,FALSE),IF(LEFT(C218,3)="CAB",VLOOKUP(VALUE(RIGHT(C218,3)),#REF!,9,FALSE),IF(LEFT(C218,3)="SEG",VLOOKUP(VALUE(RIGHT(C218,3)),'SEG-COMP'!B:J,9,FALSE),IF(LEFT(C218,3)="CLI",VLOOKUP(VALUE(RIGHT(C218,3)),'CLI-COMP'!B:J,9,FALSE),IF(LEFT(C218,4)="IMPL",VLOOKUP(VALUE(RIGHT(C218,3)),'IMPL-COMP'!B:J,9,FALSE),IF(LEFT(C218,4)="SPDA",VLOOKUP(VALUE(RIGHT(C218,3)),'SPDA-COMP'!B:J,9,FALSE),IF(LEFT(C218,4)="SDAI",VLOOKUP(VALUE(RIGHT(C218,3)),'ADM-COMP'!B:J,9,FALSE),IF(LEFT(C218,5)="IMPER",VLOOKUP(VALUE(RIGHT(C218,3)),'IMPER-COMP'!B:J,9,FALSE),""))))))))))))))))</f>
        <v>434.4</v>
      </c>
      <c r="H218" s="339">
        <f t="shared" ref="H218:H220" si="82">ROUND(F218*G218,2)</f>
        <v>15204</v>
      </c>
      <c r="I218" s="374">
        <f>H218/$H$441</f>
        <v>8.8897163807895589E-4</v>
      </c>
      <c r="J218" s="314"/>
    </row>
    <row r="219" spans="1:10" ht="26.4">
      <c r="A219" s="613" t="s">
        <v>23672</v>
      </c>
      <c r="B219" s="337" t="s">
        <v>2879</v>
      </c>
      <c r="C219" s="540">
        <f>150632</f>
        <v>150632</v>
      </c>
      <c r="D219" s="539" t="str">
        <f>IF(B219="IOPES",VLOOKUP(C219,'LABOR-SERVIÇOS'!A:H,5,FALSE),IF(B219="SINAPI",VLOOKUP(C219,'SINAPI-SERVIÇOS'!A:D,2,FALSE),IF(LEFT(C219,3)="ARQ",VLOOKUP(VALUE(RIGHT(C219,3)),'ARQ-COMP'!B:J,4,FALSE),IF(LEFT(C219,3)="SCI",VLOOKUP(VALUE(RIGHT(C219,3)),'GAS-COMP'!#REF!,4,FALSE),IF(LEFT(C219,3)="SCE",VLOOKUP(VALUE(RIGHT(C219,3)),'SCE-COMP'!B:J,4,FALSE),IF(LEFT(C219,3)="EST",VLOOKUP(VALUE(RIGHT(C219,3)),'EST-COMP'!B:J,4,FALSE),IF(LEFT(C219,3)="HID",VLOOKUP(VALUE(RIGHT(C219,3)),'HID-COMP'!B:J,4,FALSE),IF(LEFT(C219,3)="INC",VLOOKUP(VALUE(RIGHT(C219,3)),'INC-COMP'!B:J,4,FALSE),IF(LEFT(C219,3)="ELE",VLOOKUP(VALUE(RIGHT(C219,3)),#REF!,4,FALSE),IF(LEFT(C219,3)="CAB",VLOOKUP(VALUE(RIGHT(C219,3)),#REF!,4,FALSE),IF(LEFT(C219,3)="SEG",VLOOKUP(VALUE(RIGHT(C219,3)),'SEG-COMP'!B:J,4,FALSE),IF(LEFT(C219,3)="CLI",VLOOKUP(VALUE(RIGHT(C219,3)),'CLI-COMP'!B:J,4,FALSE),IF(LEFT(C219,4)="IMPL",VLOOKUP(VALUE(RIGHT(C219,3)),'IMPL-COMP'!B:J,4,FALSE),IF(LEFT(C219,4)="SPDA",VLOOKUP(VALUE(RIGHT(C219,3)),'SPDA-COMP'!B:J,4,FALSE),IF(LEFT(C219,4)="SDAI",VLOOKUP(VALUE(RIGHT(C219,3)),'ADM-COMP'!B:J,4,FALSE),IF(LEFT(C219,5)="IMPER",VLOOKUP(VALUE(RIGHT(C219,3)),'IMPER-COMP'!B:J,4,FALSE),""))))))))))))))))</f>
        <v>CAIXA DE PASSAGEM 150X150X80MM, CHAPA 18, COM TAMPA PARAFUSADA</v>
      </c>
      <c r="E219" s="338" t="str">
        <f>IF(B219="IOPES",VLOOKUP(C219,'LABOR-SERVIÇOS'!A:H,6,FALSE),IF(B219="SINAPI",VLOOKUP(C219,'SINAPI-SERVIÇOS'!A:D,3,FALSE),IF(LEFT(C219,3)="ARQ",VLOOKUP(VALUE(RIGHT(C219,3)),'ARQ-COMP'!B:J,5,FALSE),IF(LEFT(C219,3)="SCI",VLOOKUP(VALUE(RIGHT(C219,3)),'GAS-COMP'!#REF!,5,FALSE),IF(LEFT(C219,3)="SCE",VLOOKUP(VALUE(RIGHT(C219,3)),'SCE-COMP'!B:J,5,FALSE),IF(LEFT(C219,3)="EST",VLOOKUP(VALUE(RIGHT(C219,3)),'EST-COMP'!B:J,5,FALSE),IF(LEFT(C219,3)="HID",VLOOKUP(VALUE(RIGHT(C219,3)),'HID-COMP'!B:J,5,FALSE),IF(LEFT(C219,3)="INC",VLOOKUP(VALUE(RIGHT(C219,3)),'INC-COMP'!B:J,5,FALSE),IF(LEFT(C219,3)="ELE",VLOOKUP(VALUE(RIGHT(C219,3)),#REF!,5,FALSE),IF(LEFT(C219,3)="CAB",VLOOKUP(VALUE(RIGHT(C219,3)),#REF!,5,FALSE),IF(LEFT(C219,3)="SEG",VLOOKUP(VALUE(RIGHT(C219,3)),'SEG-COMP'!B:J,5,FALSE),IF(LEFT(C219,3)="CLI",VLOOKUP(VALUE(RIGHT(C219,3)),'CLI-COMP'!B:J,5,FALSE),IF(LEFT(C219,4)="IMPL",VLOOKUP(VALUE(RIGHT(C219,3)),'IMPL-COMP'!B:J,5,FALSE),IF(LEFT(C219,4)="SPDA",VLOOKUP(VALUE(RIGHT(C219,3)),'SPDA-COMP'!B:J,5,FALSE),IF(LEFT(C219,4)="SDAI",VLOOKUP(VALUE(RIGHT(C219,3)),'ADM-COMP'!B:J,5,FALSE),IF(LEFT(C219,5)="IMPER",VLOOKUP(VALUE(RIGHT(C219,3)),'IMPER-COMP'!B:J,5,FALSE),""))))))))))))))))</f>
        <v>UND</v>
      </c>
      <c r="F219" s="599">
        <f>ROUND(VLOOKUP(A219,'MEM-LEVANT'!A269:I2795,9,FALSE),2)</f>
        <v>40</v>
      </c>
      <c r="G219" s="339">
        <f>IF(B219="IOPES",VLOOKUP(C219,'LABOR-SERVIÇOS'!A:H,7,FALSE),IF(B219="SINAPI",VLOOKUP(C219,'SINAPI-SERVIÇOS'!A:H,8,FALSE),IF(LEFT(C219,3)="ARQ",VLOOKUP(VALUE(RIGHT(C219,3)),'ARQ-COMP'!B:J,9,FALSE),IF(LEFT(C219,3)="SCI",VLOOKUP(VALUE(RIGHT(C219,3)),'GAS-COMP'!#REF!,9,FALSE),IF(LEFT(C219,3)="SCE",VLOOKUP(VALUE(RIGHT(C219,3)),'SCE-COMP'!B:J,9,FALSE),IF(LEFT(C219,3)="EST",VLOOKUP(VALUE(RIGHT(C219,3)),'EST-COMP'!B:J,9,FALSE),IF(LEFT(C219,3)="HID",VLOOKUP(VALUE(RIGHT(C219,3)),'HID-COMP'!B:J,9,FALSE),IF(LEFT(C219,3)="INC",VLOOKUP(VALUE(RIGHT(C219,3)),'INC-COMP'!B:J,9,FALSE),IF(LEFT(C219,3)="ELE",VLOOKUP(VALUE(RIGHT(C219,3)),#REF!,9,FALSE),IF(LEFT(C219,3)="CAB",VLOOKUP(VALUE(RIGHT(C219,3)),#REF!,9,FALSE),IF(LEFT(C219,3)="SEG",VLOOKUP(VALUE(RIGHT(C219,3)),'SEG-COMP'!B:J,9,FALSE),IF(LEFT(C219,3)="CLI",VLOOKUP(VALUE(RIGHT(C219,3)),'CLI-COMP'!B:J,9,FALSE),IF(LEFT(C219,4)="IMPL",VLOOKUP(VALUE(RIGHT(C219,3)),'IMPL-COMP'!B:J,9,FALSE),IF(LEFT(C219,4)="SPDA",VLOOKUP(VALUE(RIGHT(C219,3)),'SPDA-COMP'!B:J,9,FALSE),IF(LEFT(C219,4)="SDAI",VLOOKUP(VALUE(RIGHT(C219,3)),'ADM-COMP'!B:J,9,FALSE),IF(LEFT(C219,5)="IMPER",VLOOKUP(VALUE(RIGHT(C219,3)),'IMPER-COMP'!B:J,9,FALSE),""))))))))))))))))</f>
        <v>103.87</v>
      </c>
      <c r="H219" s="339">
        <f t="shared" si="82"/>
        <v>4154.8</v>
      </c>
      <c r="I219" s="374">
        <f>H219/$H$441</f>
        <v>2.4292945026903749E-4</v>
      </c>
      <c r="J219" s="314"/>
    </row>
    <row r="220" spans="1:10" ht="26.4">
      <c r="A220" s="613" t="s">
        <v>35330</v>
      </c>
      <c r="B220" s="337" t="s">
        <v>2879</v>
      </c>
      <c r="C220" s="540">
        <f>150633</f>
        <v>150633</v>
      </c>
      <c r="D220" s="539" t="str">
        <f>IF(B220="IOPES",VLOOKUP(C220,'LABOR-SERVIÇOS'!A:H,5,FALSE),IF(B220="SINAPI",VLOOKUP(C220,'SINAPI-SERVIÇOS'!A:D,2,FALSE),IF(LEFT(C220,3)="ARQ",VLOOKUP(VALUE(RIGHT(C220,3)),'ARQ-COMP'!B:J,4,FALSE),IF(LEFT(C220,3)="SCI",VLOOKUP(VALUE(RIGHT(C220,3)),'GAS-COMP'!#REF!,4,FALSE),IF(LEFT(C220,3)="SCE",VLOOKUP(VALUE(RIGHT(C220,3)),'SCE-COMP'!B:J,4,FALSE),IF(LEFT(C220,3)="EST",VLOOKUP(VALUE(RIGHT(C220,3)),'EST-COMP'!B:J,4,FALSE),IF(LEFT(C220,3)="HID",VLOOKUP(VALUE(RIGHT(C220,3)),'HID-COMP'!B:J,4,FALSE),IF(LEFT(C220,3)="INC",VLOOKUP(VALUE(RIGHT(C220,3)),'INC-COMP'!B:J,4,FALSE),IF(LEFT(C220,3)="ELE",VLOOKUP(VALUE(RIGHT(C220,3)),#REF!,4,FALSE),IF(LEFT(C220,3)="CAB",VLOOKUP(VALUE(RIGHT(C220,3)),#REF!,4,FALSE),IF(LEFT(C220,3)="SEG",VLOOKUP(VALUE(RIGHT(C220,3)),'SEG-COMP'!B:J,4,FALSE),IF(LEFT(C220,3)="CLI",VLOOKUP(VALUE(RIGHT(C220,3)),'CLI-COMP'!B:J,4,FALSE),IF(LEFT(C220,4)="IMPL",VLOOKUP(VALUE(RIGHT(C220,3)),'IMPL-COMP'!B:J,4,FALSE),IF(LEFT(C220,4)="SPDA",VLOOKUP(VALUE(RIGHT(C220,3)),'SPDA-COMP'!B:J,4,FALSE),IF(LEFT(C220,4)="SDAI",VLOOKUP(VALUE(RIGHT(C220,3)),'ADM-COMP'!B:J,4,FALSE),IF(LEFT(C220,5)="IMPER",VLOOKUP(VALUE(RIGHT(C220,3)),'IMPER-COMP'!B:J,4,FALSE),""))))))))))))))))</f>
        <v>CAIXA DE PASSAGEM 200X200X100MM, CHAPA 18, COM TAMPA PARAFUSADA</v>
      </c>
      <c r="E220" s="338" t="str">
        <f>IF(B220="IOPES",VLOOKUP(C220,'LABOR-SERVIÇOS'!A:H,6,FALSE),IF(B220="SINAPI",VLOOKUP(C220,'SINAPI-SERVIÇOS'!A:D,3,FALSE),IF(LEFT(C220,3)="ARQ",VLOOKUP(VALUE(RIGHT(C220,3)),'ARQ-COMP'!B:J,5,FALSE),IF(LEFT(C220,3)="SCI",VLOOKUP(VALUE(RIGHT(C220,3)),'GAS-COMP'!#REF!,5,FALSE),IF(LEFT(C220,3)="SCE",VLOOKUP(VALUE(RIGHT(C220,3)),'SCE-COMP'!B:J,5,FALSE),IF(LEFT(C220,3)="EST",VLOOKUP(VALUE(RIGHT(C220,3)),'EST-COMP'!B:J,5,FALSE),IF(LEFT(C220,3)="HID",VLOOKUP(VALUE(RIGHT(C220,3)),'HID-COMP'!B:J,5,FALSE),IF(LEFT(C220,3)="INC",VLOOKUP(VALUE(RIGHT(C220,3)),'INC-COMP'!B:J,5,FALSE),IF(LEFT(C220,3)="ELE",VLOOKUP(VALUE(RIGHT(C220,3)),#REF!,5,FALSE),IF(LEFT(C220,3)="CAB",VLOOKUP(VALUE(RIGHT(C220,3)),#REF!,5,FALSE),IF(LEFT(C220,3)="SEG",VLOOKUP(VALUE(RIGHT(C220,3)),'SEG-COMP'!B:J,5,FALSE),IF(LEFT(C220,3)="CLI",VLOOKUP(VALUE(RIGHT(C220,3)),'CLI-COMP'!B:J,5,FALSE),IF(LEFT(C220,4)="IMPL",VLOOKUP(VALUE(RIGHT(C220,3)),'IMPL-COMP'!B:J,5,FALSE),IF(LEFT(C220,4)="SPDA",VLOOKUP(VALUE(RIGHT(C220,3)),'SPDA-COMP'!B:J,5,FALSE),IF(LEFT(C220,4)="SDAI",VLOOKUP(VALUE(RIGHT(C220,3)),'ADM-COMP'!B:J,5,FALSE),IF(LEFT(C220,5)="IMPER",VLOOKUP(VALUE(RIGHT(C220,3)),'IMPER-COMP'!B:J,5,FALSE),""))))))))))))))))</f>
        <v>UND</v>
      </c>
      <c r="F220" s="599">
        <f>ROUND(VLOOKUP(A220,'MEM-LEVANT'!A269:I2796,9,FALSE),2)</f>
        <v>20</v>
      </c>
      <c r="G220" s="339">
        <f>IF(B220="IOPES",VLOOKUP(C220,'LABOR-SERVIÇOS'!A:H,7,FALSE),IF(B220="SINAPI",VLOOKUP(C220,'SINAPI-SERVIÇOS'!A:H,8,FALSE),IF(LEFT(C220,3)="ARQ",VLOOKUP(VALUE(RIGHT(C220,3)),'ARQ-COMP'!B:J,9,FALSE),IF(LEFT(C220,3)="SCI",VLOOKUP(VALUE(RIGHT(C220,3)),'GAS-COMP'!#REF!,9,FALSE),IF(LEFT(C220,3)="SCE",VLOOKUP(VALUE(RIGHT(C220,3)),'SCE-COMP'!B:J,9,FALSE),IF(LEFT(C220,3)="EST",VLOOKUP(VALUE(RIGHT(C220,3)),'EST-COMP'!B:J,9,FALSE),IF(LEFT(C220,3)="HID",VLOOKUP(VALUE(RIGHT(C220,3)),'HID-COMP'!B:J,9,FALSE),IF(LEFT(C220,3)="INC",VLOOKUP(VALUE(RIGHT(C220,3)),'INC-COMP'!B:J,9,FALSE),IF(LEFT(C220,3)="ELE",VLOOKUP(VALUE(RIGHT(C220,3)),#REF!,9,FALSE),IF(LEFT(C220,3)="CAB",VLOOKUP(VALUE(RIGHT(C220,3)),#REF!,9,FALSE),IF(LEFT(C220,3)="SEG",VLOOKUP(VALUE(RIGHT(C220,3)),'SEG-COMP'!B:J,9,FALSE),IF(LEFT(C220,3)="CLI",VLOOKUP(VALUE(RIGHT(C220,3)),'CLI-COMP'!B:J,9,FALSE),IF(LEFT(C220,4)="IMPL",VLOOKUP(VALUE(RIGHT(C220,3)),'IMPL-COMP'!B:J,9,FALSE),IF(LEFT(C220,4)="SPDA",VLOOKUP(VALUE(RIGHT(C220,3)),'SPDA-COMP'!B:J,9,FALSE),IF(LEFT(C220,4)="SDAI",VLOOKUP(VALUE(RIGHT(C220,3)),'ADM-COMP'!B:J,9,FALSE),IF(LEFT(C220,5)="IMPER",VLOOKUP(VALUE(RIGHT(C220,3)),'IMPER-COMP'!B:J,9,FALSE),""))))))))))))))))</f>
        <v>199.02</v>
      </c>
      <c r="H220" s="339">
        <f t="shared" si="82"/>
        <v>3980.4</v>
      </c>
      <c r="I220" s="374">
        <f>H220/$H$441</f>
        <v>2.3273235386802658E-4</v>
      </c>
      <c r="J220" s="314"/>
    </row>
    <row r="221" spans="1:10">
      <c r="A221" s="553" t="s">
        <v>23673</v>
      </c>
      <c r="B221" s="554"/>
      <c r="C221" s="555"/>
      <c r="D221" s="556" t="s">
        <v>1427</v>
      </c>
      <c r="E221" s="557"/>
      <c r="F221" s="598"/>
      <c r="G221" s="558"/>
      <c r="H221" s="559"/>
      <c r="I221" s="560"/>
      <c r="J221" s="314"/>
    </row>
    <row r="222" spans="1:10" ht="26.4">
      <c r="A222" s="613" t="s">
        <v>23674</v>
      </c>
      <c r="B222" s="337" t="s">
        <v>2879</v>
      </c>
      <c r="C222" s="540">
        <f>150836</f>
        <v>150836</v>
      </c>
      <c r="D222" s="539" t="str">
        <f>IF(B222="IOPES",VLOOKUP(C222,'LABOR-SERVIÇOS'!A:H,5,FALSE),IF(B222="SINAPI",VLOOKUP(C222,'SINAPI-SERVIÇOS'!A:D,2,FALSE),IF(LEFT(C222,3)="ARQ",VLOOKUP(VALUE(RIGHT(C222,3)),'ARQ-COMP'!B:J,4,FALSE),IF(LEFT(C222,3)="SCI",VLOOKUP(VALUE(RIGHT(C222,3)),'GAS-COMP'!#REF!,4,FALSE),IF(LEFT(C222,3)="SCE",VLOOKUP(VALUE(RIGHT(C222,3)),'SCE-COMP'!B:J,4,FALSE),IF(LEFT(C222,3)="EST",VLOOKUP(VALUE(RIGHT(C222,3)),'EST-COMP'!B:J,4,FALSE),IF(LEFT(C222,3)="HID",VLOOKUP(VALUE(RIGHT(C222,3)),'HID-COMP'!B:J,4,FALSE),IF(LEFT(C222,3)="INC",VLOOKUP(VALUE(RIGHT(C222,3)),'INC-COMP'!B:J,4,FALSE),IF(LEFT(C222,3)="ELE",VLOOKUP(VALUE(RIGHT(C222,3)),#REF!,4,FALSE),IF(LEFT(C222,3)="CAB",VLOOKUP(VALUE(RIGHT(C222,3)),#REF!,4,FALSE),IF(LEFT(C222,3)="SEG",VLOOKUP(VALUE(RIGHT(C222,3)),'SEG-COMP'!B:J,4,FALSE),IF(LEFT(C222,3)="CLI",VLOOKUP(VALUE(RIGHT(C222,3)),'CLI-COMP'!B:J,4,FALSE),IF(LEFT(C222,4)="IMPL",VLOOKUP(VALUE(RIGHT(C222,3)),'IMPL-COMP'!B:J,4,FALSE),IF(LEFT(C222,4)="SPDA",VLOOKUP(VALUE(RIGHT(C222,3)),'SPDA-COMP'!B:J,4,FALSE),IF(LEFT(C222,4)="SDAI",VLOOKUP(VALUE(RIGHT(C222,3)),'ADM-COMP'!B:J,4,FALSE),IF(LEFT(C222,5)="IMPER",VLOOKUP(VALUE(RIGHT(C222,3)),'IMPER-COMP'!B:J,4,FALSE),""))))))))))))))))</f>
        <v>ELETROCALHA PERFURADA EM CHAPA DE AÇO GALVANIZADO Nº16, 200X100MM, SEM TAMPA</v>
      </c>
      <c r="E222" s="338" t="str">
        <f>IF(B222="IOPES",VLOOKUP(C222,'LABOR-SERVIÇOS'!A:H,6,FALSE),IF(B222="SINAPI",VLOOKUP(C222,'SINAPI-SERVIÇOS'!A:D,3,FALSE),IF(LEFT(C222,3)="ARQ",VLOOKUP(VALUE(RIGHT(C222,3)),'ARQ-COMP'!B:J,5,FALSE),IF(LEFT(C222,3)="SCI",VLOOKUP(VALUE(RIGHT(C222,3)),'GAS-COMP'!#REF!,5,FALSE),IF(LEFT(C222,3)="SCE",VLOOKUP(VALUE(RIGHT(C222,3)),'SCE-COMP'!B:J,5,FALSE),IF(LEFT(C222,3)="EST",VLOOKUP(VALUE(RIGHT(C222,3)),'EST-COMP'!B:J,5,FALSE),IF(LEFT(C222,3)="HID",VLOOKUP(VALUE(RIGHT(C222,3)),'HID-COMP'!B:J,5,FALSE),IF(LEFT(C222,3)="INC",VLOOKUP(VALUE(RIGHT(C222,3)),'INC-COMP'!B:J,5,FALSE),IF(LEFT(C222,3)="ELE",VLOOKUP(VALUE(RIGHT(C222,3)),#REF!,5,FALSE),IF(LEFT(C222,3)="CAB",VLOOKUP(VALUE(RIGHT(C222,3)),#REF!,5,FALSE),IF(LEFT(C222,3)="SEG",VLOOKUP(VALUE(RIGHT(C222,3)),'SEG-COMP'!B:J,5,FALSE),IF(LEFT(C222,3)="CLI",VLOOKUP(VALUE(RIGHT(C222,3)),'CLI-COMP'!B:J,5,FALSE),IF(LEFT(C222,4)="IMPL",VLOOKUP(VALUE(RIGHT(C222,3)),'IMPL-COMP'!B:J,5,FALSE),IF(LEFT(C222,4)="SPDA",VLOOKUP(VALUE(RIGHT(C222,3)),'SPDA-COMP'!B:J,5,FALSE),IF(LEFT(C222,4)="SDAI",VLOOKUP(VALUE(RIGHT(C222,3)),'ADM-COMP'!B:J,5,FALSE),IF(LEFT(C222,5)="IMPER",VLOOKUP(VALUE(RIGHT(C222,3)),'IMPER-COMP'!B:J,5,FALSE),""))))))))))))))))</f>
        <v>M</v>
      </c>
      <c r="F222" s="599">
        <f>ROUND(VLOOKUP(A222,'MEM-LEVANT'!A269:I2798,9,FALSE),2)</f>
        <v>610</v>
      </c>
      <c r="G222" s="339">
        <f>IF(B222="IOPES",VLOOKUP(C222,'LABOR-SERVIÇOS'!A:H,7,FALSE),IF(B222="SINAPI",VLOOKUP(C222,'SINAPI-SERVIÇOS'!A:H,8,FALSE),IF(LEFT(C222,3)="ARQ",VLOOKUP(VALUE(RIGHT(C222,3)),'ARQ-COMP'!B:J,9,FALSE),IF(LEFT(C222,3)="SCI",VLOOKUP(VALUE(RIGHT(C222,3)),'GAS-COMP'!#REF!,9,FALSE),IF(LEFT(C222,3)="SCE",VLOOKUP(VALUE(RIGHT(C222,3)),'SCE-COMP'!B:J,9,FALSE),IF(LEFT(C222,3)="EST",VLOOKUP(VALUE(RIGHT(C222,3)),'EST-COMP'!B:J,9,FALSE),IF(LEFT(C222,3)="HID",VLOOKUP(VALUE(RIGHT(C222,3)),'HID-COMP'!B:J,9,FALSE),IF(LEFT(C222,3)="INC",VLOOKUP(VALUE(RIGHT(C222,3)),'INC-COMP'!B:J,9,FALSE),IF(LEFT(C222,3)="ELE",VLOOKUP(VALUE(RIGHT(C222,3)),#REF!,9,FALSE),IF(LEFT(C222,3)="CAB",VLOOKUP(VALUE(RIGHT(C222,3)),#REF!,9,FALSE),IF(LEFT(C222,3)="SEG",VLOOKUP(VALUE(RIGHT(C222,3)),'SEG-COMP'!B:J,9,FALSE),IF(LEFT(C222,3)="CLI",VLOOKUP(VALUE(RIGHT(C222,3)),'CLI-COMP'!B:J,9,FALSE),IF(LEFT(C222,4)="IMPL",VLOOKUP(VALUE(RIGHT(C222,3)),'IMPL-COMP'!B:J,9,FALSE),IF(LEFT(C222,4)="SPDA",VLOOKUP(VALUE(RIGHT(C222,3)),'SPDA-COMP'!B:J,9,FALSE),IF(LEFT(C222,4)="SDAI",VLOOKUP(VALUE(RIGHT(C222,3)),'ADM-COMP'!B:J,9,FALSE),IF(LEFT(C222,5)="IMPER",VLOOKUP(VALUE(RIGHT(C222,3)),'IMPER-COMP'!B:J,9,FALSE),""))))))))))))))))</f>
        <v>110.26</v>
      </c>
      <c r="H222" s="339">
        <f t="shared" ref="H222:H227" si="83">ROUND(F222*G222,2)</f>
        <v>67258.600000000006</v>
      </c>
      <c r="I222" s="374">
        <f t="shared" ref="I222:I227" si="84">H222/$H$441</f>
        <v>3.9325827293407827E-3</v>
      </c>
      <c r="J222" s="314"/>
    </row>
    <row r="223" spans="1:10" ht="26.4">
      <c r="A223" s="613" t="s">
        <v>23675</v>
      </c>
      <c r="B223" s="337" t="s">
        <v>2879</v>
      </c>
      <c r="C223" s="540">
        <f>150861</f>
        <v>150861</v>
      </c>
      <c r="D223" s="539" t="str">
        <f>IF(B223="IOPES",VLOOKUP(C223,'LABOR-SERVIÇOS'!A:H,5,FALSE),IF(B223="SINAPI",VLOOKUP(C223,'SINAPI-SERVIÇOS'!A:D,2,FALSE),IF(LEFT(C223,3)="ARQ",VLOOKUP(VALUE(RIGHT(C223,3)),'ARQ-COMP'!B:J,4,FALSE),IF(LEFT(C223,3)="SCI",VLOOKUP(VALUE(RIGHT(C223,3)),'GAS-COMP'!#REF!,4,FALSE),IF(LEFT(C223,3)="SCE",VLOOKUP(VALUE(RIGHT(C223,3)),'SCE-COMP'!B:J,4,FALSE),IF(LEFT(C223,3)="EST",VLOOKUP(VALUE(RIGHT(C223,3)),'EST-COMP'!B:J,4,FALSE),IF(LEFT(C223,3)="HID",VLOOKUP(VALUE(RIGHT(C223,3)),'HID-COMP'!B:J,4,FALSE),IF(LEFT(C223,3)="INC",VLOOKUP(VALUE(RIGHT(C223,3)),'INC-COMP'!B:J,4,FALSE),IF(LEFT(C223,3)="ELE",VLOOKUP(VALUE(RIGHT(C223,3)),#REF!,4,FALSE),IF(LEFT(C223,3)="CAB",VLOOKUP(VALUE(RIGHT(C223,3)),#REF!,4,FALSE),IF(LEFT(C223,3)="SEG",VLOOKUP(VALUE(RIGHT(C223,3)),'SEG-COMP'!B:J,4,FALSE),IF(LEFT(C223,3)="CLI",VLOOKUP(VALUE(RIGHT(C223,3)),'CLI-COMP'!B:J,4,FALSE),IF(LEFT(C223,4)="IMPL",VLOOKUP(VALUE(RIGHT(C223,3)),'IMPL-COMP'!B:J,4,FALSE),IF(LEFT(C223,4)="SPDA",VLOOKUP(VALUE(RIGHT(C223,3)),'SPDA-COMP'!B:J,4,FALSE),IF(LEFT(C223,4)="SDAI",VLOOKUP(VALUE(RIGHT(C223,3)),'ADM-COMP'!B:J,4,FALSE),IF(LEFT(C223,5)="IMPER",VLOOKUP(VALUE(RIGHT(C223,3)),'IMPER-COMP'!B:J,4,FALSE),""))))))))))))))))</f>
        <v>TAMPA DE ENCAIXE PARA ELETROCALHA EM CHAPA DE AÇO GALVANIZADA 18, DIM. 200MM</v>
      </c>
      <c r="E223" s="338" t="str">
        <f>IF(B223="IOPES",VLOOKUP(C223,'LABOR-SERVIÇOS'!A:H,6,FALSE),IF(B223="SINAPI",VLOOKUP(C223,'SINAPI-SERVIÇOS'!A:D,3,FALSE),IF(LEFT(C223,3)="ARQ",VLOOKUP(VALUE(RIGHT(C223,3)),'ARQ-COMP'!B:J,5,FALSE),IF(LEFT(C223,3)="SCI",VLOOKUP(VALUE(RIGHT(C223,3)),'GAS-COMP'!#REF!,5,FALSE),IF(LEFT(C223,3)="SCE",VLOOKUP(VALUE(RIGHT(C223,3)),'SCE-COMP'!B:J,5,FALSE),IF(LEFT(C223,3)="EST",VLOOKUP(VALUE(RIGHT(C223,3)),'EST-COMP'!B:J,5,FALSE),IF(LEFT(C223,3)="HID",VLOOKUP(VALUE(RIGHT(C223,3)),'HID-COMP'!B:J,5,FALSE),IF(LEFT(C223,3)="INC",VLOOKUP(VALUE(RIGHT(C223,3)),'INC-COMP'!B:J,5,FALSE),IF(LEFT(C223,3)="ELE",VLOOKUP(VALUE(RIGHT(C223,3)),#REF!,5,FALSE),IF(LEFT(C223,3)="CAB",VLOOKUP(VALUE(RIGHT(C223,3)),#REF!,5,FALSE),IF(LEFT(C223,3)="SEG",VLOOKUP(VALUE(RIGHT(C223,3)),'SEG-COMP'!B:J,5,FALSE),IF(LEFT(C223,3)="CLI",VLOOKUP(VALUE(RIGHT(C223,3)),'CLI-COMP'!B:J,5,FALSE),IF(LEFT(C223,4)="IMPL",VLOOKUP(VALUE(RIGHT(C223,3)),'IMPL-COMP'!B:J,5,FALSE),IF(LEFT(C223,4)="SPDA",VLOOKUP(VALUE(RIGHT(C223,3)),'SPDA-COMP'!B:J,5,FALSE),IF(LEFT(C223,4)="SDAI",VLOOKUP(VALUE(RIGHT(C223,3)),'ADM-COMP'!B:J,5,FALSE),IF(LEFT(C223,5)="IMPER",VLOOKUP(VALUE(RIGHT(C223,3)),'IMPER-COMP'!B:J,5,FALSE),""))))))))))))))))</f>
        <v>M</v>
      </c>
      <c r="F223" s="599">
        <f>ROUND(VLOOKUP(A223,'MEM-LEVANT'!A269:I2799,9,FALSE),2)</f>
        <v>10</v>
      </c>
      <c r="G223" s="339">
        <f>IF(B223="IOPES",VLOOKUP(C223,'LABOR-SERVIÇOS'!A:H,7,FALSE),IF(B223="SINAPI",VLOOKUP(C223,'SINAPI-SERVIÇOS'!A:H,8,FALSE),IF(LEFT(C223,3)="ARQ",VLOOKUP(VALUE(RIGHT(C223,3)),'ARQ-COMP'!B:J,9,FALSE),IF(LEFT(C223,3)="SCI",VLOOKUP(VALUE(RIGHT(C223,3)),'GAS-COMP'!#REF!,9,FALSE),IF(LEFT(C223,3)="SCE",VLOOKUP(VALUE(RIGHT(C223,3)),'SCE-COMP'!B:J,9,FALSE),IF(LEFT(C223,3)="EST",VLOOKUP(VALUE(RIGHT(C223,3)),'EST-COMP'!B:J,9,FALSE),IF(LEFT(C223,3)="HID",VLOOKUP(VALUE(RIGHT(C223,3)),'HID-COMP'!B:J,9,FALSE),IF(LEFT(C223,3)="INC",VLOOKUP(VALUE(RIGHT(C223,3)),'INC-COMP'!B:J,9,FALSE),IF(LEFT(C223,3)="ELE",VLOOKUP(VALUE(RIGHT(C223,3)),#REF!,9,FALSE),IF(LEFT(C223,3)="CAB",VLOOKUP(VALUE(RIGHT(C223,3)),#REF!,9,FALSE),IF(LEFT(C223,3)="SEG",VLOOKUP(VALUE(RIGHT(C223,3)),'SEG-COMP'!B:J,9,FALSE),IF(LEFT(C223,3)="CLI",VLOOKUP(VALUE(RIGHT(C223,3)),'CLI-COMP'!B:J,9,FALSE),IF(LEFT(C223,4)="IMPL",VLOOKUP(VALUE(RIGHT(C223,3)),'IMPL-COMP'!B:J,9,FALSE),IF(LEFT(C223,4)="SPDA",VLOOKUP(VALUE(RIGHT(C223,3)),'SPDA-COMP'!B:J,9,FALSE),IF(LEFT(C223,4)="SDAI",VLOOKUP(VALUE(RIGHT(C223,3)),'ADM-COMP'!B:J,9,FALSE),IF(LEFT(C223,5)="IMPER",VLOOKUP(VALUE(RIGHT(C223,3)),'IMPER-COMP'!B:J,9,FALSE),""))))))))))))))))</f>
        <v>48.06</v>
      </c>
      <c r="H223" s="339">
        <f t="shared" si="83"/>
        <v>480.6</v>
      </c>
      <c r="I223" s="374">
        <f t="shared" si="84"/>
        <v>2.8100484692235344E-5</v>
      </c>
      <c r="J223" s="314"/>
    </row>
    <row r="224" spans="1:10" ht="26.4">
      <c r="A224" s="613" t="s">
        <v>35333</v>
      </c>
      <c r="B224" s="337" t="s">
        <v>2879</v>
      </c>
      <c r="C224" s="540">
        <f>150866</f>
        <v>150866</v>
      </c>
      <c r="D224" s="539" t="str">
        <f>IF(B224="IOPES",VLOOKUP(C224,'LABOR-SERVIÇOS'!A:H,5,FALSE),IF(B224="SINAPI",VLOOKUP(C224,'SINAPI-SERVIÇOS'!A:D,2,FALSE),IF(LEFT(C224,3)="ARQ",VLOOKUP(VALUE(RIGHT(C224,3)),'ARQ-COMP'!B:J,4,FALSE),IF(LEFT(C224,3)="SCI",VLOOKUP(VALUE(RIGHT(C224,3)),'GAS-COMP'!#REF!,4,FALSE),IF(LEFT(C224,3)="SCE",VLOOKUP(VALUE(RIGHT(C224,3)),'SCE-COMP'!B:J,4,FALSE),IF(LEFT(C224,3)="EST",VLOOKUP(VALUE(RIGHT(C224,3)),'EST-COMP'!B:J,4,FALSE),IF(LEFT(C224,3)="HID",VLOOKUP(VALUE(RIGHT(C224,3)),'HID-COMP'!B:J,4,FALSE),IF(LEFT(C224,3)="INC",VLOOKUP(VALUE(RIGHT(C224,3)),'INC-COMP'!B:J,4,FALSE),IF(LEFT(C224,3)="ELE",VLOOKUP(VALUE(RIGHT(C224,3)),#REF!,4,FALSE),IF(LEFT(C224,3)="CAB",VLOOKUP(VALUE(RIGHT(C224,3)),#REF!,4,FALSE),IF(LEFT(C224,3)="SEG",VLOOKUP(VALUE(RIGHT(C224,3)),'SEG-COMP'!B:J,4,FALSE),IF(LEFT(C224,3)="CLI",VLOOKUP(VALUE(RIGHT(C224,3)),'CLI-COMP'!B:J,4,FALSE),IF(LEFT(C224,4)="IMPL",VLOOKUP(VALUE(RIGHT(C224,3)),'IMPL-COMP'!B:J,4,FALSE),IF(LEFT(C224,4)="SPDA",VLOOKUP(VALUE(RIGHT(C224,3)),'SPDA-COMP'!B:J,4,FALSE),IF(LEFT(C224,4)="SDAI",VLOOKUP(VALUE(RIGHT(C224,3)),'ADM-COMP'!B:J,4,FALSE),IF(LEFT(C224,5)="IMPER",VLOOKUP(VALUE(RIGHT(C224,3)),'IMPER-COMP'!B:J,4,FALSE),""))))))))))))))))</f>
        <v>JUNÇÃO SIMPLES PARA ELETROCALHA METÁLICA 200X100MM, GALVANIZADA, REF. MEGA MG 2760 OU EQUIVALENTE</v>
      </c>
      <c r="E224" s="338" t="str">
        <f>IF(B224="IOPES",VLOOKUP(C224,'LABOR-SERVIÇOS'!A:H,6,FALSE),IF(B224="SINAPI",VLOOKUP(C224,'SINAPI-SERVIÇOS'!A:D,3,FALSE),IF(LEFT(C224,3)="ARQ",VLOOKUP(VALUE(RIGHT(C224,3)),'ARQ-COMP'!B:J,5,FALSE),IF(LEFT(C224,3)="SCI",VLOOKUP(VALUE(RIGHT(C224,3)),'GAS-COMP'!#REF!,5,FALSE),IF(LEFT(C224,3)="SCE",VLOOKUP(VALUE(RIGHT(C224,3)),'SCE-COMP'!B:J,5,FALSE),IF(LEFT(C224,3)="EST",VLOOKUP(VALUE(RIGHT(C224,3)),'EST-COMP'!B:J,5,FALSE),IF(LEFT(C224,3)="HID",VLOOKUP(VALUE(RIGHT(C224,3)),'HID-COMP'!B:J,5,FALSE),IF(LEFT(C224,3)="INC",VLOOKUP(VALUE(RIGHT(C224,3)),'INC-COMP'!B:J,5,FALSE),IF(LEFT(C224,3)="ELE",VLOOKUP(VALUE(RIGHT(C224,3)),#REF!,5,FALSE),IF(LEFT(C224,3)="CAB",VLOOKUP(VALUE(RIGHT(C224,3)),#REF!,5,FALSE),IF(LEFT(C224,3)="SEG",VLOOKUP(VALUE(RIGHT(C224,3)),'SEG-COMP'!B:J,5,FALSE),IF(LEFT(C224,3)="CLI",VLOOKUP(VALUE(RIGHT(C224,3)),'CLI-COMP'!B:J,5,FALSE),IF(LEFT(C224,4)="IMPL",VLOOKUP(VALUE(RIGHT(C224,3)),'IMPL-COMP'!B:J,5,FALSE),IF(LEFT(C224,4)="SPDA",VLOOKUP(VALUE(RIGHT(C224,3)),'SPDA-COMP'!B:J,5,FALSE),IF(LEFT(C224,4)="SDAI",VLOOKUP(VALUE(RIGHT(C224,3)),'ADM-COMP'!B:J,5,FALSE),IF(LEFT(C224,5)="IMPER",VLOOKUP(VALUE(RIGHT(C224,3)),'IMPER-COMP'!B:J,5,FALSE),""))))))))))))))))</f>
        <v>UND</v>
      </c>
      <c r="F224" s="599">
        <f>ROUND(VLOOKUP(A224,'MEM-LEVANT'!A269:I2800,9,FALSE),2)</f>
        <v>15</v>
      </c>
      <c r="G224" s="339">
        <f>IF(B224="IOPES",VLOOKUP(C224,'LABOR-SERVIÇOS'!A:H,7,FALSE),IF(B224="SINAPI",VLOOKUP(C224,'SINAPI-SERVIÇOS'!A:H,8,FALSE),IF(LEFT(C224,3)="ARQ",VLOOKUP(VALUE(RIGHT(C224,3)),'ARQ-COMP'!B:J,9,FALSE),IF(LEFT(C224,3)="SCI",VLOOKUP(VALUE(RIGHT(C224,3)),'GAS-COMP'!#REF!,9,FALSE),IF(LEFT(C224,3)="SCE",VLOOKUP(VALUE(RIGHT(C224,3)),'SCE-COMP'!B:J,9,FALSE),IF(LEFT(C224,3)="EST",VLOOKUP(VALUE(RIGHT(C224,3)),'EST-COMP'!B:J,9,FALSE),IF(LEFT(C224,3)="HID",VLOOKUP(VALUE(RIGHT(C224,3)),'HID-COMP'!B:J,9,FALSE),IF(LEFT(C224,3)="INC",VLOOKUP(VALUE(RIGHT(C224,3)),'INC-COMP'!B:J,9,FALSE),IF(LEFT(C224,3)="ELE",VLOOKUP(VALUE(RIGHT(C224,3)),#REF!,9,FALSE),IF(LEFT(C224,3)="CAB",VLOOKUP(VALUE(RIGHT(C224,3)),#REF!,9,FALSE),IF(LEFT(C224,3)="SEG",VLOOKUP(VALUE(RIGHT(C224,3)),'SEG-COMP'!B:J,9,FALSE),IF(LEFT(C224,3)="CLI",VLOOKUP(VALUE(RIGHT(C224,3)),'CLI-COMP'!B:J,9,FALSE),IF(LEFT(C224,4)="IMPL",VLOOKUP(VALUE(RIGHT(C224,3)),'IMPL-COMP'!B:J,9,FALSE),IF(LEFT(C224,4)="SPDA",VLOOKUP(VALUE(RIGHT(C224,3)),'SPDA-COMP'!B:J,9,FALSE),IF(LEFT(C224,4)="SDAI",VLOOKUP(VALUE(RIGHT(C224,3)),'ADM-COMP'!B:J,9,FALSE),IF(LEFT(C224,5)="IMPER",VLOOKUP(VALUE(RIGHT(C224,3)),'IMPER-COMP'!B:J,9,FALSE),""))))))))))))))))</f>
        <v>16.98</v>
      </c>
      <c r="H224" s="339">
        <f t="shared" si="83"/>
        <v>254.7</v>
      </c>
      <c r="I224" s="374">
        <f t="shared" si="84"/>
        <v>1.4892204434274536E-5</v>
      </c>
      <c r="J224" s="314"/>
    </row>
    <row r="225" spans="1:10" ht="40.200000000000003" customHeight="1">
      <c r="A225" s="613" t="s">
        <v>35334</v>
      </c>
      <c r="B225" s="337" t="s">
        <v>2879</v>
      </c>
      <c r="C225" s="540">
        <f>150870</f>
        <v>150870</v>
      </c>
      <c r="D225" s="539" t="str">
        <f>IF(B225="IOPES",VLOOKUP(C225,'LABOR-SERVIÇOS'!A:H,5,FALSE),IF(B225="SINAPI",VLOOKUP(C225,'SINAPI-SERVIÇOS'!A:D,2,FALSE),IF(LEFT(C225,3)="ARQ",VLOOKUP(VALUE(RIGHT(C225,3)),'ARQ-COMP'!B:J,4,FALSE),IF(LEFT(C225,3)="SCI",VLOOKUP(VALUE(RIGHT(C225,3)),'GAS-COMP'!#REF!,4,FALSE),IF(LEFT(C225,3)="SCE",VLOOKUP(VALUE(RIGHT(C225,3)),'SCE-COMP'!B:J,4,FALSE),IF(LEFT(C225,3)="EST",VLOOKUP(VALUE(RIGHT(C225,3)),'EST-COMP'!B:J,4,FALSE),IF(LEFT(C225,3)="HID",VLOOKUP(VALUE(RIGHT(C225,3)),'HID-COMP'!B:J,4,FALSE),IF(LEFT(C225,3)="INC",VLOOKUP(VALUE(RIGHT(C225,3)),'INC-COMP'!B:J,4,FALSE),IF(LEFT(C225,3)="ELE",VLOOKUP(VALUE(RIGHT(C225,3)),#REF!,4,FALSE),IF(LEFT(C225,3)="CAB",VLOOKUP(VALUE(RIGHT(C225,3)),#REF!,4,FALSE),IF(LEFT(C225,3)="SEG",VLOOKUP(VALUE(RIGHT(C225,3)),'SEG-COMP'!B:J,4,FALSE),IF(LEFT(C225,3)="CLI",VLOOKUP(VALUE(RIGHT(C225,3)),'CLI-COMP'!B:J,4,FALSE),IF(LEFT(C225,4)="IMPL",VLOOKUP(VALUE(RIGHT(C225,3)),'IMPL-COMP'!B:J,4,FALSE),IF(LEFT(C225,4)="SPDA",VLOOKUP(VALUE(RIGHT(C225,3)),'SPDA-COMP'!B:J,4,FALSE),IF(LEFT(C225,4)="SDAI",VLOOKUP(VALUE(RIGHT(C225,3)),'ADM-COMP'!B:J,4,FALSE),IF(LEFT(C225,5)="IMPER",VLOOKUP(VALUE(RIGHT(C225,3)),'IMPER-COMP'!B:J,4,FALSE),""))))))))))))))))</f>
        <v>TÊ HORIZONTAL 90º PARA ELETROCALHA METÁLICA 200X100MM, GALVANIZADA, REF. MEGA MG 2570 OU EQUIVALENTE</v>
      </c>
      <c r="E225" s="338" t="str">
        <f>IF(B225="IOPES",VLOOKUP(C225,'LABOR-SERVIÇOS'!A:H,6,FALSE),IF(B225="SINAPI",VLOOKUP(C225,'SINAPI-SERVIÇOS'!A:D,3,FALSE),IF(LEFT(C225,3)="ARQ",VLOOKUP(VALUE(RIGHT(C225,3)),'ARQ-COMP'!B:J,5,FALSE),IF(LEFT(C225,3)="SCI",VLOOKUP(VALUE(RIGHT(C225,3)),'GAS-COMP'!#REF!,5,FALSE),IF(LEFT(C225,3)="SCE",VLOOKUP(VALUE(RIGHT(C225,3)),'SCE-COMP'!B:J,5,FALSE),IF(LEFT(C225,3)="EST",VLOOKUP(VALUE(RIGHT(C225,3)),'EST-COMP'!B:J,5,FALSE),IF(LEFT(C225,3)="HID",VLOOKUP(VALUE(RIGHT(C225,3)),'HID-COMP'!B:J,5,FALSE),IF(LEFT(C225,3)="INC",VLOOKUP(VALUE(RIGHT(C225,3)),'INC-COMP'!B:J,5,FALSE),IF(LEFT(C225,3)="ELE",VLOOKUP(VALUE(RIGHT(C225,3)),#REF!,5,FALSE),IF(LEFT(C225,3)="CAB",VLOOKUP(VALUE(RIGHT(C225,3)),#REF!,5,FALSE),IF(LEFT(C225,3)="SEG",VLOOKUP(VALUE(RIGHT(C225,3)),'SEG-COMP'!B:J,5,FALSE),IF(LEFT(C225,3)="CLI",VLOOKUP(VALUE(RIGHT(C225,3)),'CLI-COMP'!B:J,5,FALSE),IF(LEFT(C225,4)="IMPL",VLOOKUP(VALUE(RIGHT(C225,3)),'IMPL-COMP'!B:J,5,FALSE),IF(LEFT(C225,4)="SPDA",VLOOKUP(VALUE(RIGHT(C225,3)),'SPDA-COMP'!B:J,5,FALSE),IF(LEFT(C225,4)="SDAI",VLOOKUP(VALUE(RIGHT(C225,3)),'ADM-COMP'!B:J,5,FALSE),IF(LEFT(C225,5)="IMPER",VLOOKUP(VALUE(RIGHT(C225,3)),'IMPER-COMP'!B:J,5,FALSE),""))))))))))))))))</f>
        <v>UND</v>
      </c>
      <c r="F225" s="599">
        <f>ROUND(VLOOKUP(A225,'MEM-LEVANT'!A269:I2801,9,FALSE),2)</f>
        <v>10</v>
      </c>
      <c r="G225" s="339">
        <f>IF(B225="IOPES",VLOOKUP(C225,'LABOR-SERVIÇOS'!A:H,7,FALSE),IF(B225="SINAPI",VLOOKUP(C225,'SINAPI-SERVIÇOS'!A:H,8,FALSE),IF(LEFT(C225,3)="ARQ",VLOOKUP(VALUE(RIGHT(C225,3)),'ARQ-COMP'!B:J,9,FALSE),IF(LEFT(C225,3)="SCI",VLOOKUP(VALUE(RIGHT(C225,3)),'GAS-COMP'!#REF!,9,FALSE),IF(LEFT(C225,3)="SCE",VLOOKUP(VALUE(RIGHT(C225,3)),'SCE-COMP'!B:J,9,FALSE),IF(LEFT(C225,3)="EST",VLOOKUP(VALUE(RIGHT(C225,3)),'EST-COMP'!B:J,9,FALSE),IF(LEFT(C225,3)="HID",VLOOKUP(VALUE(RIGHT(C225,3)),'HID-COMP'!B:J,9,FALSE),IF(LEFT(C225,3)="INC",VLOOKUP(VALUE(RIGHT(C225,3)),'INC-COMP'!B:J,9,FALSE),IF(LEFT(C225,3)="ELE",VLOOKUP(VALUE(RIGHT(C225,3)),#REF!,9,FALSE),IF(LEFT(C225,3)="CAB",VLOOKUP(VALUE(RIGHT(C225,3)),#REF!,9,FALSE),IF(LEFT(C225,3)="SEG",VLOOKUP(VALUE(RIGHT(C225,3)),'SEG-COMP'!B:J,9,FALSE),IF(LEFT(C225,3)="CLI",VLOOKUP(VALUE(RIGHT(C225,3)),'CLI-COMP'!B:J,9,FALSE),IF(LEFT(C225,4)="IMPL",VLOOKUP(VALUE(RIGHT(C225,3)),'IMPL-COMP'!B:J,9,FALSE),IF(LEFT(C225,4)="SPDA",VLOOKUP(VALUE(RIGHT(C225,3)),'SPDA-COMP'!B:J,9,FALSE),IF(LEFT(C225,4)="SDAI",VLOOKUP(VALUE(RIGHT(C225,3)),'ADM-COMP'!B:J,9,FALSE),IF(LEFT(C225,5)="IMPER",VLOOKUP(VALUE(RIGHT(C225,3)),'IMPER-COMP'!B:J,9,FALSE),""))))))))))))))))</f>
        <v>114.4</v>
      </c>
      <c r="H225" s="339">
        <f t="shared" si="83"/>
        <v>1144</v>
      </c>
      <c r="I225" s="374">
        <f t="shared" si="84"/>
        <v>6.6889210336906437E-5</v>
      </c>
      <c r="J225" s="314"/>
    </row>
    <row r="226" spans="1:10" ht="26.4">
      <c r="A226" s="613" t="s">
        <v>35335</v>
      </c>
      <c r="B226" s="337" t="s">
        <v>2879</v>
      </c>
      <c r="C226" s="540">
        <f>150875</f>
        <v>150875</v>
      </c>
      <c r="D226" s="539" t="str">
        <f>IF(B226="IOPES",VLOOKUP(C226,'LABOR-SERVIÇOS'!A:H,5,FALSE),IF(B226="SINAPI",VLOOKUP(C226,'SINAPI-SERVIÇOS'!A:D,2,FALSE),IF(LEFT(C226,3)="ARQ",VLOOKUP(VALUE(RIGHT(C226,3)),'ARQ-COMP'!B:J,4,FALSE),IF(LEFT(C226,3)="SCI",VLOOKUP(VALUE(RIGHT(C226,3)),'GAS-COMP'!#REF!,4,FALSE),IF(LEFT(C226,3)="SCE",VLOOKUP(VALUE(RIGHT(C226,3)),'SCE-COMP'!B:J,4,FALSE),IF(LEFT(C226,3)="EST",VLOOKUP(VALUE(RIGHT(C226,3)),'EST-COMP'!B:J,4,FALSE),IF(LEFT(C226,3)="HID",VLOOKUP(VALUE(RIGHT(C226,3)),'HID-COMP'!B:J,4,FALSE),IF(LEFT(C226,3)="INC",VLOOKUP(VALUE(RIGHT(C226,3)),'INC-COMP'!B:J,4,FALSE),IF(LEFT(C226,3)="ELE",VLOOKUP(VALUE(RIGHT(C226,3)),#REF!,4,FALSE),IF(LEFT(C226,3)="CAB",VLOOKUP(VALUE(RIGHT(C226,3)),#REF!,4,FALSE),IF(LEFT(C226,3)="SEG",VLOOKUP(VALUE(RIGHT(C226,3)),'SEG-COMP'!B:J,4,FALSE),IF(LEFT(C226,3)="CLI",VLOOKUP(VALUE(RIGHT(C226,3)),'CLI-COMP'!B:J,4,FALSE),IF(LEFT(C226,4)="IMPL",VLOOKUP(VALUE(RIGHT(C226,3)),'IMPL-COMP'!B:J,4,FALSE),IF(LEFT(C226,4)="SPDA",VLOOKUP(VALUE(RIGHT(C226,3)),'SPDA-COMP'!B:J,4,FALSE),IF(LEFT(C226,4)="SDAI",VLOOKUP(VALUE(RIGHT(C226,3)),'ADM-COMP'!B:J,4,FALSE),IF(LEFT(C226,5)="IMPER",VLOOKUP(VALUE(RIGHT(C226,3)),'IMPER-COMP'!B:J,4,FALSE),""))))))))))))))))</f>
        <v>CURVA HORIZONTAL 90º PARA ELETROCALHA METÁLICA, 200X100MM, GALVANIZADA, REF. MEGA MG 2510</v>
      </c>
      <c r="E226" s="338" t="str">
        <f>IF(B226="IOPES",VLOOKUP(C226,'LABOR-SERVIÇOS'!A:H,6,FALSE),IF(B226="SINAPI",VLOOKUP(C226,'SINAPI-SERVIÇOS'!A:D,3,FALSE),IF(LEFT(C226,3)="ARQ",VLOOKUP(VALUE(RIGHT(C226,3)),'ARQ-COMP'!B:J,5,FALSE),IF(LEFT(C226,3)="SCI",VLOOKUP(VALUE(RIGHT(C226,3)),'GAS-COMP'!#REF!,5,FALSE),IF(LEFT(C226,3)="SCE",VLOOKUP(VALUE(RIGHT(C226,3)),'SCE-COMP'!B:J,5,FALSE),IF(LEFT(C226,3)="EST",VLOOKUP(VALUE(RIGHT(C226,3)),'EST-COMP'!B:J,5,FALSE),IF(LEFT(C226,3)="HID",VLOOKUP(VALUE(RIGHT(C226,3)),'HID-COMP'!B:J,5,FALSE),IF(LEFT(C226,3)="INC",VLOOKUP(VALUE(RIGHT(C226,3)),'INC-COMP'!B:J,5,FALSE),IF(LEFT(C226,3)="ELE",VLOOKUP(VALUE(RIGHT(C226,3)),#REF!,5,FALSE),IF(LEFT(C226,3)="CAB",VLOOKUP(VALUE(RIGHT(C226,3)),#REF!,5,FALSE),IF(LEFT(C226,3)="SEG",VLOOKUP(VALUE(RIGHT(C226,3)),'SEG-COMP'!B:J,5,FALSE),IF(LEFT(C226,3)="CLI",VLOOKUP(VALUE(RIGHT(C226,3)),'CLI-COMP'!B:J,5,FALSE),IF(LEFT(C226,4)="IMPL",VLOOKUP(VALUE(RIGHT(C226,3)),'IMPL-COMP'!B:J,5,FALSE),IF(LEFT(C226,4)="SPDA",VLOOKUP(VALUE(RIGHT(C226,3)),'SPDA-COMP'!B:J,5,FALSE),IF(LEFT(C226,4)="SDAI",VLOOKUP(VALUE(RIGHT(C226,3)),'ADM-COMP'!B:J,5,FALSE),IF(LEFT(C226,5)="IMPER",VLOOKUP(VALUE(RIGHT(C226,3)),'IMPER-COMP'!B:J,5,FALSE),""))))))))))))))))</f>
        <v>UND</v>
      </c>
      <c r="F226" s="599">
        <f>ROUND(VLOOKUP(A226,'MEM-LEVANT'!A269:I2802,9,FALSE),2)</f>
        <v>10</v>
      </c>
      <c r="G226" s="339">
        <f>IF(B226="IOPES",VLOOKUP(C226,'LABOR-SERVIÇOS'!A:H,7,FALSE),IF(B226="SINAPI",VLOOKUP(C226,'SINAPI-SERVIÇOS'!A:H,8,FALSE),IF(LEFT(C226,3)="ARQ",VLOOKUP(VALUE(RIGHT(C226,3)),'ARQ-COMP'!B:J,9,FALSE),IF(LEFT(C226,3)="SCI",VLOOKUP(VALUE(RIGHT(C226,3)),'GAS-COMP'!#REF!,9,FALSE),IF(LEFT(C226,3)="SCE",VLOOKUP(VALUE(RIGHT(C226,3)),'SCE-COMP'!B:J,9,FALSE),IF(LEFT(C226,3)="EST",VLOOKUP(VALUE(RIGHT(C226,3)),'EST-COMP'!B:J,9,FALSE),IF(LEFT(C226,3)="HID",VLOOKUP(VALUE(RIGHT(C226,3)),'HID-COMP'!B:J,9,FALSE),IF(LEFT(C226,3)="INC",VLOOKUP(VALUE(RIGHT(C226,3)),'INC-COMP'!B:J,9,FALSE),IF(LEFT(C226,3)="ELE",VLOOKUP(VALUE(RIGHT(C226,3)),#REF!,9,FALSE),IF(LEFT(C226,3)="CAB",VLOOKUP(VALUE(RIGHT(C226,3)),#REF!,9,FALSE),IF(LEFT(C226,3)="SEG",VLOOKUP(VALUE(RIGHT(C226,3)),'SEG-COMP'!B:J,9,FALSE),IF(LEFT(C226,3)="CLI",VLOOKUP(VALUE(RIGHT(C226,3)),'CLI-COMP'!B:J,9,FALSE),IF(LEFT(C226,4)="IMPL",VLOOKUP(VALUE(RIGHT(C226,3)),'IMPL-COMP'!B:J,9,FALSE),IF(LEFT(C226,4)="SPDA",VLOOKUP(VALUE(RIGHT(C226,3)),'SPDA-COMP'!B:J,9,FALSE),IF(LEFT(C226,4)="SDAI",VLOOKUP(VALUE(RIGHT(C226,3)),'ADM-COMP'!B:J,9,FALSE),IF(LEFT(C226,5)="IMPER",VLOOKUP(VALUE(RIGHT(C226,3)),'IMPER-COMP'!B:J,9,FALSE),""))))))))))))))))</f>
        <v>103.1</v>
      </c>
      <c r="H226" s="339">
        <f t="shared" si="83"/>
        <v>1031</v>
      </c>
      <c r="I226" s="374">
        <f t="shared" si="84"/>
        <v>6.028214672845327E-5</v>
      </c>
      <c r="J226" s="314"/>
    </row>
    <row r="227" spans="1:10" ht="39.6">
      <c r="A227" s="613" t="s">
        <v>35336</v>
      </c>
      <c r="B227" s="337" t="s">
        <v>2879</v>
      </c>
      <c r="C227" s="540">
        <f>150881</f>
        <v>150881</v>
      </c>
      <c r="D227" s="539" t="str">
        <f>IF(B227="IOPES",VLOOKUP(C227,'LABOR-SERVIÇOS'!A:H,5,FALSE),IF(B227="SINAPI",VLOOKUP(C227,'SINAPI-SERVIÇOS'!A:D,2,FALSE),IF(LEFT(C227,3)="ARQ",VLOOKUP(VALUE(RIGHT(C227,3)),'ARQ-COMP'!B:J,4,FALSE),IF(LEFT(C227,3)="SCI",VLOOKUP(VALUE(RIGHT(C227,3)),'GAS-COMP'!#REF!,4,FALSE),IF(LEFT(C227,3)="SCE",VLOOKUP(VALUE(RIGHT(C227,3)),'SCE-COMP'!B:J,4,FALSE),IF(LEFT(C227,3)="EST",VLOOKUP(VALUE(RIGHT(C227,3)),'EST-COMP'!B:J,4,FALSE),IF(LEFT(C227,3)="HID",VLOOKUP(VALUE(RIGHT(C227,3)),'HID-COMP'!B:J,4,FALSE),IF(LEFT(C227,3)="INC",VLOOKUP(VALUE(RIGHT(C227,3)),'INC-COMP'!B:J,4,FALSE),IF(LEFT(C227,3)="ELE",VLOOKUP(VALUE(RIGHT(C227,3)),#REF!,4,FALSE),IF(LEFT(C227,3)="CAB",VLOOKUP(VALUE(RIGHT(C227,3)),#REF!,4,FALSE),IF(LEFT(C227,3)="SEG",VLOOKUP(VALUE(RIGHT(C227,3)),'SEG-COMP'!B:J,4,FALSE),IF(LEFT(C227,3)="CLI",VLOOKUP(VALUE(RIGHT(C227,3)),'CLI-COMP'!B:J,4,FALSE),IF(LEFT(C227,4)="IMPL",VLOOKUP(VALUE(RIGHT(C227,3)),'IMPL-COMP'!B:J,4,FALSE),IF(LEFT(C227,4)="SPDA",VLOOKUP(VALUE(RIGHT(C227,3)),'SPDA-COMP'!B:J,4,FALSE),IF(LEFT(C227,4)="SDAI",VLOOKUP(VALUE(RIGHT(C227,3)),'ADM-COMP'!B:J,4,FALSE),IF(LEFT(C227,5)="IMPER",VLOOKUP(VALUE(RIGHT(C227,3)),'IMPER-COMP'!B:J,4,FALSE),""))))))))))))))))</f>
        <v>SUPORTE DE FIXAÇÃO DE ELETROCALHA DE 200X100MM, NA PAREDE, ATRAVÉS DE SUPORTE TIPO MÃO FRANCESA SIMPLES (1 UND), PARAFUSO E BUCHA S8 (2UND)</v>
      </c>
      <c r="E227" s="338" t="str">
        <f>IF(B227="IOPES",VLOOKUP(C227,'LABOR-SERVIÇOS'!A:H,6,FALSE),IF(B227="SINAPI",VLOOKUP(C227,'SINAPI-SERVIÇOS'!A:D,3,FALSE),IF(LEFT(C227,3)="ARQ",VLOOKUP(VALUE(RIGHT(C227,3)),'ARQ-COMP'!B:J,5,FALSE),IF(LEFT(C227,3)="SCI",VLOOKUP(VALUE(RIGHT(C227,3)),'GAS-COMP'!#REF!,5,FALSE),IF(LEFT(C227,3)="SCE",VLOOKUP(VALUE(RIGHT(C227,3)),'SCE-COMP'!B:J,5,FALSE),IF(LEFT(C227,3)="EST",VLOOKUP(VALUE(RIGHT(C227,3)),'EST-COMP'!B:J,5,FALSE),IF(LEFT(C227,3)="HID",VLOOKUP(VALUE(RIGHT(C227,3)),'HID-COMP'!B:J,5,FALSE),IF(LEFT(C227,3)="INC",VLOOKUP(VALUE(RIGHT(C227,3)),'INC-COMP'!B:J,5,FALSE),IF(LEFT(C227,3)="ELE",VLOOKUP(VALUE(RIGHT(C227,3)),#REF!,5,FALSE),IF(LEFT(C227,3)="CAB",VLOOKUP(VALUE(RIGHT(C227,3)),#REF!,5,FALSE),IF(LEFT(C227,3)="SEG",VLOOKUP(VALUE(RIGHT(C227,3)),'SEG-COMP'!B:J,5,FALSE),IF(LEFT(C227,3)="CLI",VLOOKUP(VALUE(RIGHT(C227,3)),'CLI-COMP'!B:J,5,FALSE),IF(LEFT(C227,4)="IMPL",VLOOKUP(VALUE(RIGHT(C227,3)),'IMPL-COMP'!B:J,5,FALSE),IF(LEFT(C227,4)="SPDA",VLOOKUP(VALUE(RIGHT(C227,3)),'SPDA-COMP'!B:J,5,FALSE),IF(LEFT(C227,4)="SDAI",VLOOKUP(VALUE(RIGHT(C227,3)),'ADM-COMP'!B:J,5,FALSE),IF(LEFT(C227,5)="IMPER",VLOOKUP(VALUE(RIGHT(C227,3)),'IMPER-COMP'!B:J,5,FALSE),""))))))))))))))))</f>
        <v>UND</v>
      </c>
      <c r="F227" s="599">
        <f>ROUND(VLOOKUP(A227,'MEM-LEVANT'!A269:I2803,9,FALSE),2)</f>
        <v>250</v>
      </c>
      <c r="G227" s="339">
        <f>IF(B227="IOPES",VLOOKUP(C227,'LABOR-SERVIÇOS'!A:H,7,FALSE),IF(B227="SINAPI",VLOOKUP(C227,'SINAPI-SERVIÇOS'!A:H,8,FALSE),IF(LEFT(C227,3)="ARQ",VLOOKUP(VALUE(RIGHT(C227,3)),'ARQ-COMP'!B:J,9,FALSE),IF(LEFT(C227,3)="SCI",VLOOKUP(VALUE(RIGHT(C227,3)),'GAS-COMP'!#REF!,9,FALSE),IF(LEFT(C227,3)="SCE",VLOOKUP(VALUE(RIGHT(C227,3)),'SCE-COMP'!B:J,9,FALSE),IF(LEFT(C227,3)="EST",VLOOKUP(VALUE(RIGHT(C227,3)),'EST-COMP'!B:J,9,FALSE),IF(LEFT(C227,3)="HID",VLOOKUP(VALUE(RIGHT(C227,3)),'HID-COMP'!B:J,9,FALSE),IF(LEFT(C227,3)="INC",VLOOKUP(VALUE(RIGHT(C227,3)),'INC-COMP'!B:J,9,FALSE),IF(LEFT(C227,3)="ELE",VLOOKUP(VALUE(RIGHT(C227,3)),#REF!,9,FALSE),IF(LEFT(C227,3)="CAB",VLOOKUP(VALUE(RIGHT(C227,3)),#REF!,9,FALSE),IF(LEFT(C227,3)="SEG",VLOOKUP(VALUE(RIGHT(C227,3)),'SEG-COMP'!B:J,9,FALSE),IF(LEFT(C227,3)="CLI",VLOOKUP(VALUE(RIGHT(C227,3)),'CLI-COMP'!B:J,9,FALSE),IF(LEFT(C227,4)="IMPL",VLOOKUP(VALUE(RIGHT(C227,3)),'IMPL-COMP'!B:J,9,FALSE),IF(LEFT(C227,4)="SPDA",VLOOKUP(VALUE(RIGHT(C227,3)),'SPDA-COMP'!B:J,9,FALSE),IF(LEFT(C227,4)="SDAI",VLOOKUP(VALUE(RIGHT(C227,3)),'ADM-COMP'!B:J,9,FALSE),IF(LEFT(C227,5)="IMPER",VLOOKUP(VALUE(RIGHT(C227,3)),'IMPER-COMP'!B:J,9,FALSE),""))))))))))))))))</f>
        <v>39.28</v>
      </c>
      <c r="H227" s="339">
        <f t="shared" si="83"/>
        <v>9820</v>
      </c>
      <c r="I227" s="374">
        <f t="shared" si="84"/>
        <v>5.7417136845141711E-4</v>
      </c>
      <c r="J227" s="314"/>
    </row>
    <row r="228" spans="1:10">
      <c r="A228" s="553" t="s">
        <v>35331</v>
      </c>
      <c r="B228" s="554"/>
      <c r="C228" s="555"/>
      <c r="D228" s="556" t="s">
        <v>1471</v>
      </c>
      <c r="E228" s="557"/>
      <c r="F228" s="598"/>
      <c r="G228" s="558"/>
      <c r="H228" s="559"/>
      <c r="I228" s="560"/>
      <c r="J228" s="314"/>
    </row>
    <row r="229" spans="1:10" ht="26.4">
      <c r="A229" s="613" t="s">
        <v>35337</v>
      </c>
      <c r="B229" s="337" t="s">
        <v>2879</v>
      </c>
      <c r="C229" s="540">
        <f>151126</f>
        <v>151126</v>
      </c>
      <c r="D229" s="539" t="str">
        <f>IF(B229="IOPES",VLOOKUP(C229,'LABOR-SERVIÇOS'!A:H,5,FALSE),IF(B229="SINAPI",VLOOKUP(C229,'SINAPI-SERVIÇOS'!A:D,2,FALSE),IF(LEFT(C229,3)="ARQ",VLOOKUP(VALUE(RIGHT(C229,3)),'ARQ-COMP'!B:J,4,FALSE),IF(LEFT(C229,3)="SCI",VLOOKUP(VALUE(RIGHT(C229,3)),'GAS-COMP'!#REF!,4,FALSE),IF(LEFT(C229,3)="SCE",VLOOKUP(VALUE(RIGHT(C229,3)),'SCE-COMP'!B:J,4,FALSE),IF(LEFT(C229,3)="EST",VLOOKUP(VALUE(RIGHT(C229,3)),'EST-COMP'!B:J,4,FALSE),IF(LEFT(C229,3)="HID",VLOOKUP(VALUE(RIGHT(C229,3)),'HID-COMP'!B:J,4,FALSE),IF(LEFT(C229,3)="INC",VLOOKUP(VALUE(RIGHT(C229,3)),'INC-COMP'!B:J,4,FALSE),IF(LEFT(C229,3)="ELE",VLOOKUP(VALUE(RIGHT(C229,3)),#REF!,4,FALSE),IF(LEFT(C229,3)="CAB",VLOOKUP(VALUE(RIGHT(C229,3)),#REF!,4,FALSE),IF(LEFT(C229,3)="SEG",VLOOKUP(VALUE(RIGHT(C229,3)),'SEG-COMP'!B:J,4,FALSE),IF(LEFT(C229,3)="CLI",VLOOKUP(VALUE(RIGHT(C229,3)),'CLI-COMP'!B:J,4,FALSE),IF(LEFT(C229,4)="IMPL",VLOOKUP(VALUE(RIGHT(C229,3)),'IMPL-COMP'!B:J,4,FALSE),IF(LEFT(C229,4)="SPDA",VLOOKUP(VALUE(RIGHT(C229,3)),'SPDA-COMP'!B:J,4,FALSE),IF(LEFT(C229,4)="SDAI",VLOOKUP(VALUE(RIGHT(C229,3)),'ADM-COMP'!B:J,4,FALSE),IF(LEFT(C229,5)="IMPER",VLOOKUP(VALUE(RIGHT(C229,3)),'IMPER-COMP'!B:J,4,FALSE),""))))))))))))))))</f>
        <v>ELETRODUTO DE PVC RÍGIDO ROSCÁVEL, DIÂMETRO 3/4", INCLUSIVE CONEXÕES</v>
      </c>
      <c r="E229" s="338" t="str">
        <f>IF(B229="IOPES",VLOOKUP(C229,'LABOR-SERVIÇOS'!A:H,6,FALSE),IF(B229="SINAPI",VLOOKUP(C229,'SINAPI-SERVIÇOS'!A:D,3,FALSE),IF(LEFT(C229,3)="ARQ",VLOOKUP(VALUE(RIGHT(C229,3)),'ARQ-COMP'!B:J,5,FALSE),IF(LEFT(C229,3)="SCI",VLOOKUP(VALUE(RIGHT(C229,3)),'GAS-COMP'!#REF!,5,FALSE),IF(LEFT(C229,3)="SCE",VLOOKUP(VALUE(RIGHT(C229,3)),'SCE-COMP'!B:J,5,FALSE),IF(LEFT(C229,3)="EST",VLOOKUP(VALUE(RIGHT(C229,3)),'EST-COMP'!B:J,5,FALSE),IF(LEFT(C229,3)="HID",VLOOKUP(VALUE(RIGHT(C229,3)),'HID-COMP'!B:J,5,FALSE),IF(LEFT(C229,3)="INC",VLOOKUP(VALUE(RIGHT(C229,3)),'INC-COMP'!B:J,5,FALSE),IF(LEFT(C229,3)="ELE",VLOOKUP(VALUE(RIGHT(C229,3)),#REF!,5,FALSE),IF(LEFT(C229,3)="CAB",VLOOKUP(VALUE(RIGHT(C229,3)),#REF!,5,FALSE),IF(LEFT(C229,3)="SEG",VLOOKUP(VALUE(RIGHT(C229,3)),'SEG-COMP'!B:J,5,FALSE),IF(LEFT(C229,3)="CLI",VLOOKUP(VALUE(RIGHT(C229,3)),'CLI-COMP'!B:J,5,FALSE),IF(LEFT(C229,4)="IMPL",VLOOKUP(VALUE(RIGHT(C229,3)),'IMPL-COMP'!B:J,5,FALSE),IF(LEFT(C229,4)="SPDA",VLOOKUP(VALUE(RIGHT(C229,3)),'SPDA-COMP'!B:J,5,FALSE),IF(LEFT(C229,4)="SDAI",VLOOKUP(VALUE(RIGHT(C229,3)),'ADM-COMP'!B:J,5,FALSE),IF(LEFT(C229,5)="IMPER",VLOOKUP(VALUE(RIGHT(C229,3)),'IMPER-COMP'!B:J,5,FALSE),""))))))))))))))))</f>
        <v>M</v>
      </c>
      <c r="F229" s="599">
        <f>ROUND(VLOOKUP(A229,'MEM-LEVANT'!A269:I2805,9,FALSE),2)</f>
        <v>1200</v>
      </c>
      <c r="G229" s="339">
        <f>IF(B229="IOPES",VLOOKUP(C229,'LABOR-SERVIÇOS'!A:H,7,FALSE),IF(B229="SINAPI",VLOOKUP(C229,'SINAPI-SERVIÇOS'!A:H,8,FALSE),IF(LEFT(C229,3)="ARQ",VLOOKUP(VALUE(RIGHT(C229,3)),'ARQ-COMP'!B:J,9,FALSE),IF(LEFT(C229,3)="SCI",VLOOKUP(VALUE(RIGHT(C229,3)),'GAS-COMP'!#REF!,9,FALSE),IF(LEFT(C229,3)="SCE",VLOOKUP(VALUE(RIGHT(C229,3)),'SCE-COMP'!B:J,9,FALSE),IF(LEFT(C229,3)="EST",VLOOKUP(VALUE(RIGHT(C229,3)),'EST-COMP'!B:J,9,FALSE),IF(LEFT(C229,3)="HID",VLOOKUP(VALUE(RIGHT(C229,3)),'HID-COMP'!B:J,9,FALSE),IF(LEFT(C229,3)="INC",VLOOKUP(VALUE(RIGHT(C229,3)),'INC-COMP'!B:J,9,FALSE),IF(LEFT(C229,3)="ELE",VLOOKUP(VALUE(RIGHT(C229,3)),#REF!,9,FALSE),IF(LEFT(C229,3)="CAB",VLOOKUP(VALUE(RIGHT(C229,3)),#REF!,9,FALSE),IF(LEFT(C229,3)="SEG",VLOOKUP(VALUE(RIGHT(C229,3)),'SEG-COMP'!B:J,9,FALSE),IF(LEFT(C229,3)="CLI",VLOOKUP(VALUE(RIGHT(C229,3)),'CLI-COMP'!B:J,9,FALSE),IF(LEFT(C229,4)="IMPL",VLOOKUP(VALUE(RIGHT(C229,3)),'IMPL-COMP'!B:J,9,FALSE),IF(LEFT(C229,4)="SPDA",VLOOKUP(VALUE(RIGHT(C229,3)),'SPDA-COMP'!B:J,9,FALSE),IF(LEFT(C229,4)="SDAI",VLOOKUP(VALUE(RIGHT(C229,3)),'ADM-COMP'!B:J,9,FALSE),IF(LEFT(C229,5)="IMPER",VLOOKUP(VALUE(RIGHT(C229,3)),'IMPER-COMP'!B:J,9,FALSE),""))))))))))))))))</f>
        <v>25.22</v>
      </c>
      <c r="H229" s="339">
        <f t="shared" ref="H229:H233" si="85">ROUND(F229*G229,2)</f>
        <v>30264</v>
      </c>
      <c r="I229" s="374">
        <f>H229/$H$441</f>
        <v>1.769523655276343E-3</v>
      </c>
      <c r="J229" s="314"/>
    </row>
    <row r="230" spans="1:10" ht="26.4">
      <c r="A230" s="613" t="s">
        <v>35338</v>
      </c>
      <c r="B230" s="337" t="s">
        <v>2879</v>
      </c>
      <c r="C230" s="540">
        <f>151127</f>
        <v>151127</v>
      </c>
      <c r="D230" s="539" t="str">
        <f>IF(B230="IOPES",VLOOKUP(C230,'LABOR-SERVIÇOS'!A:H,5,FALSE),IF(B230="SINAPI",VLOOKUP(C230,'SINAPI-SERVIÇOS'!A:D,2,FALSE),IF(LEFT(C230,3)="ARQ",VLOOKUP(VALUE(RIGHT(C230,3)),'ARQ-COMP'!B:J,4,FALSE),IF(LEFT(C230,3)="SCI",VLOOKUP(VALUE(RIGHT(C230,3)),'GAS-COMP'!#REF!,4,FALSE),IF(LEFT(C230,3)="SCE",VLOOKUP(VALUE(RIGHT(C230,3)),'SCE-COMP'!B:J,4,FALSE),IF(LEFT(C230,3)="EST",VLOOKUP(VALUE(RIGHT(C230,3)),'EST-COMP'!B:J,4,FALSE),IF(LEFT(C230,3)="HID",VLOOKUP(VALUE(RIGHT(C230,3)),'HID-COMP'!B:J,4,FALSE),IF(LEFT(C230,3)="INC",VLOOKUP(VALUE(RIGHT(C230,3)),'INC-COMP'!B:J,4,FALSE),IF(LEFT(C230,3)="ELE",VLOOKUP(VALUE(RIGHT(C230,3)),#REF!,4,FALSE),IF(LEFT(C230,3)="CAB",VLOOKUP(VALUE(RIGHT(C230,3)),#REF!,4,FALSE),IF(LEFT(C230,3)="SEG",VLOOKUP(VALUE(RIGHT(C230,3)),'SEG-COMP'!B:J,4,FALSE),IF(LEFT(C230,3)="CLI",VLOOKUP(VALUE(RIGHT(C230,3)),'CLI-COMP'!B:J,4,FALSE),IF(LEFT(C230,4)="IMPL",VLOOKUP(VALUE(RIGHT(C230,3)),'IMPL-COMP'!B:J,4,FALSE),IF(LEFT(C230,4)="SPDA",VLOOKUP(VALUE(RIGHT(C230,3)),'SPDA-COMP'!B:J,4,FALSE),IF(LEFT(C230,4)="SDAI",VLOOKUP(VALUE(RIGHT(C230,3)),'ADM-COMP'!B:J,4,FALSE),IF(LEFT(C230,5)="IMPER",VLOOKUP(VALUE(RIGHT(C230,3)),'IMPER-COMP'!B:J,4,FALSE),""))))))))))))))))</f>
        <v>ELETRODUTO DE PVC RÍGIDO ROSCÁVEL, DIÂMETRO 1", INCLUSIVE CONEXÕES</v>
      </c>
      <c r="E230" s="338" t="str">
        <f>IF(B230="IOPES",VLOOKUP(C230,'LABOR-SERVIÇOS'!A:H,6,FALSE),IF(B230="SINAPI",VLOOKUP(C230,'SINAPI-SERVIÇOS'!A:D,3,FALSE),IF(LEFT(C230,3)="ARQ",VLOOKUP(VALUE(RIGHT(C230,3)),'ARQ-COMP'!B:J,5,FALSE),IF(LEFT(C230,3)="SCI",VLOOKUP(VALUE(RIGHT(C230,3)),'GAS-COMP'!#REF!,5,FALSE),IF(LEFT(C230,3)="SCE",VLOOKUP(VALUE(RIGHT(C230,3)),'SCE-COMP'!B:J,5,FALSE),IF(LEFT(C230,3)="EST",VLOOKUP(VALUE(RIGHT(C230,3)),'EST-COMP'!B:J,5,FALSE),IF(LEFT(C230,3)="HID",VLOOKUP(VALUE(RIGHT(C230,3)),'HID-COMP'!B:J,5,FALSE),IF(LEFT(C230,3)="INC",VLOOKUP(VALUE(RIGHT(C230,3)),'INC-COMP'!B:J,5,FALSE),IF(LEFT(C230,3)="ELE",VLOOKUP(VALUE(RIGHT(C230,3)),#REF!,5,FALSE),IF(LEFT(C230,3)="CAB",VLOOKUP(VALUE(RIGHT(C230,3)),#REF!,5,FALSE),IF(LEFT(C230,3)="SEG",VLOOKUP(VALUE(RIGHT(C230,3)),'SEG-COMP'!B:J,5,FALSE),IF(LEFT(C230,3)="CLI",VLOOKUP(VALUE(RIGHT(C230,3)),'CLI-COMP'!B:J,5,FALSE),IF(LEFT(C230,4)="IMPL",VLOOKUP(VALUE(RIGHT(C230,3)),'IMPL-COMP'!B:J,5,FALSE),IF(LEFT(C230,4)="SPDA",VLOOKUP(VALUE(RIGHT(C230,3)),'SPDA-COMP'!B:J,5,FALSE),IF(LEFT(C230,4)="SDAI",VLOOKUP(VALUE(RIGHT(C230,3)),'ADM-COMP'!B:J,5,FALSE),IF(LEFT(C230,5)="IMPER",VLOOKUP(VALUE(RIGHT(C230,3)),'IMPER-COMP'!B:J,5,FALSE),""))))))))))))))))</f>
        <v>M</v>
      </c>
      <c r="F230" s="599">
        <f>ROUND(VLOOKUP(A230,'MEM-LEVANT'!A269:I2806,9,FALSE),2)</f>
        <v>560</v>
      </c>
      <c r="G230" s="339">
        <f>IF(B230="IOPES",VLOOKUP(C230,'LABOR-SERVIÇOS'!A:H,7,FALSE),IF(B230="SINAPI",VLOOKUP(C230,'SINAPI-SERVIÇOS'!A:H,8,FALSE),IF(LEFT(C230,3)="ARQ",VLOOKUP(VALUE(RIGHT(C230,3)),'ARQ-COMP'!B:J,9,FALSE),IF(LEFT(C230,3)="SCI",VLOOKUP(VALUE(RIGHT(C230,3)),'GAS-COMP'!#REF!,9,FALSE),IF(LEFT(C230,3)="SCE",VLOOKUP(VALUE(RIGHT(C230,3)),'SCE-COMP'!B:J,9,FALSE),IF(LEFT(C230,3)="EST",VLOOKUP(VALUE(RIGHT(C230,3)),'EST-COMP'!B:J,9,FALSE),IF(LEFT(C230,3)="HID",VLOOKUP(VALUE(RIGHT(C230,3)),'HID-COMP'!B:J,9,FALSE),IF(LEFT(C230,3)="INC",VLOOKUP(VALUE(RIGHT(C230,3)),'INC-COMP'!B:J,9,FALSE),IF(LEFT(C230,3)="ELE",VLOOKUP(VALUE(RIGHT(C230,3)),#REF!,9,FALSE),IF(LEFT(C230,3)="CAB",VLOOKUP(VALUE(RIGHT(C230,3)),#REF!,9,FALSE),IF(LEFT(C230,3)="SEG",VLOOKUP(VALUE(RIGHT(C230,3)),'SEG-COMP'!B:J,9,FALSE),IF(LEFT(C230,3)="CLI",VLOOKUP(VALUE(RIGHT(C230,3)),'CLI-COMP'!B:J,9,FALSE),IF(LEFT(C230,4)="IMPL",VLOOKUP(VALUE(RIGHT(C230,3)),'IMPL-COMP'!B:J,9,FALSE),IF(LEFT(C230,4)="SPDA",VLOOKUP(VALUE(RIGHT(C230,3)),'SPDA-COMP'!B:J,9,FALSE),IF(LEFT(C230,4)="SDAI",VLOOKUP(VALUE(RIGHT(C230,3)),'ADM-COMP'!B:J,9,FALSE),IF(LEFT(C230,5)="IMPER",VLOOKUP(VALUE(RIGHT(C230,3)),'IMPER-COMP'!B:J,9,FALSE),""))))))))))))))))</f>
        <v>27.1</v>
      </c>
      <c r="H230" s="339">
        <f t="shared" si="85"/>
        <v>15176</v>
      </c>
      <c r="I230" s="374">
        <f>H230/$H$441</f>
        <v>8.8733448957420641E-4</v>
      </c>
      <c r="J230" s="314"/>
    </row>
    <row r="231" spans="1:10" ht="26.4">
      <c r="A231" s="613" t="s">
        <v>35339</v>
      </c>
      <c r="B231" s="337" t="s">
        <v>2879</v>
      </c>
      <c r="C231" s="540">
        <f>151128</f>
        <v>151128</v>
      </c>
      <c r="D231" s="539" t="str">
        <f>IF(B231="IOPES",VLOOKUP(C231,'LABOR-SERVIÇOS'!A:H,5,FALSE),IF(B231="SINAPI",VLOOKUP(C231,'SINAPI-SERVIÇOS'!A:D,2,FALSE),IF(LEFT(C231,3)="ARQ",VLOOKUP(VALUE(RIGHT(C231,3)),'ARQ-COMP'!B:J,4,FALSE),IF(LEFT(C231,3)="SCI",VLOOKUP(VALUE(RIGHT(C231,3)),'GAS-COMP'!#REF!,4,FALSE),IF(LEFT(C231,3)="SCE",VLOOKUP(VALUE(RIGHT(C231,3)),'SCE-COMP'!B:J,4,FALSE),IF(LEFT(C231,3)="EST",VLOOKUP(VALUE(RIGHT(C231,3)),'EST-COMP'!B:J,4,FALSE),IF(LEFT(C231,3)="HID",VLOOKUP(VALUE(RIGHT(C231,3)),'HID-COMP'!B:J,4,FALSE),IF(LEFT(C231,3)="INC",VLOOKUP(VALUE(RIGHT(C231,3)),'INC-COMP'!B:J,4,FALSE),IF(LEFT(C231,3)="ELE",VLOOKUP(VALUE(RIGHT(C231,3)),#REF!,4,FALSE),IF(LEFT(C231,3)="CAB",VLOOKUP(VALUE(RIGHT(C231,3)),#REF!,4,FALSE),IF(LEFT(C231,3)="SEG",VLOOKUP(VALUE(RIGHT(C231,3)),'SEG-COMP'!B:J,4,FALSE),IF(LEFT(C231,3)="CLI",VLOOKUP(VALUE(RIGHT(C231,3)),'CLI-COMP'!B:J,4,FALSE),IF(LEFT(C231,4)="IMPL",VLOOKUP(VALUE(RIGHT(C231,3)),'IMPL-COMP'!B:J,4,FALSE),IF(LEFT(C231,4)="SPDA",VLOOKUP(VALUE(RIGHT(C231,3)),'SPDA-COMP'!B:J,4,FALSE),IF(LEFT(C231,4)="SDAI",VLOOKUP(VALUE(RIGHT(C231,3)),'ADM-COMP'!B:J,4,FALSE),IF(LEFT(C231,5)="IMPER",VLOOKUP(VALUE(RIGHT(C231,3)),'IMPER-COMP'!B:J,4,FALSE),""))))))))))))))))</f>
        <v>ELETRODUTO DE PVC RÍGIDO ROSCÁVEL, DIÂMETRO 1.1/4", INCLUSIVE CONEXÕES</v>
      </c>
      <c r="E231" s="338" t="str">
        <f>IF(B231="IOPES",VLOOKUP(C231,'LABOR-SERVIÇOS'!A:H,6,FALSE),IF(B231="SINAPI",VLOOKUP(C231,'SINAPI-SERVIÇOS'!A:D,3,FALSE),IF(LEFT(C231,3)="ARQ",VLOOKUP(VALUE(RIGHT(C231,3)),'ARQ-COMP'!B:J,5,FALSE),IF(LEFT(C231,3)="SCI",VLOOKUP(VALUE(RIGHT(C231,3)),'GAS-COMP'!#REF!,5,FALSE),IF(LEFT(C231,3)="SCE",VLOOKUP(VALUE(RIGHT(C231,3)),'SCE-COMP'!B:J,5,FALSE),IF(LEFT(C231,3)="EST",VLOOKUP(VALUE(RIGHT(C231,3)),'EST-COMP'!B:J,5,FALSE),IF(LEFT(C231,3)="HID",VLOOKUP(VALUE(RIGHT(C231,3)),'HID-COMP'!B:J,5,FALSE),IF(LEFT(C231,3)="INC",VLOOKUP(VALUE(RIGHT(C231,3)),'INC-COMP'!B:J,5,FALSE),IF(LEFT(C231,3)="ELE",VLOOKUP(VALUE(RIGHT(C231,3)),#REF!,5,FALSE),IF(LEFT(C231,3)="CAB",VLOOKUP(VALUE(RIGHT(C231,3)),#REF!,5,FALSE),IF(LEFT(C231,3)="SEG",VLOOKUP(VALUE(RIGHT(C231,3)),'SEG-COMP'!B:J,5,FALSE),IF(LEFT(C231,3)="CLI",VLOOKUP(VALUE(RIGHT(C231,3)),'CLI-COMP'!B:J,5,FALSE),IF(LEFT(C231,4)="IMPL",VLOOKUP(VALUE(RIGHT(C231,3)),'IMPL-COMP'!B:J,5,FALSE),IF(LEFT(C231,4)="SPDA",VLOOKUP(VALUE(RIGHT(C231,3)),'SPDA-COMP'!B:J,5,FALSE),IF(LEFT(C231,4)="SDAI",VLOOKUP(VALUE(RIGHT(C231,3)),'ADM-COMP'!B:J,5,FALSE),IF(LEFT(C231,5)="IMPER",VLOOKUP(VALUE(RIGHT(C231,3)),'IMPER-COMP'!B:J,5,FALSE),""))))))))))))))))</f>
        <v>M</v>
      </c>
      <c r="F231" s="599">
        <f>ROUND(VLOOKUP(A231,'MEM-LEVANT'!A269:I2807,9,FALSE),2)</f>
        <v>360</v>
      </c>
      <c r="G231" s="339">
        <f>IF(B231="IOPES",VLOOKUP(C231,'LABOR-SERVIÇOS'!A:H,7,FALSE),IF(B231="SINAPI",VLOOKUP(C231,'SINAPI-SERVIÇOS'!A:H,8,FALSE),IF(LEFT(C231,3)="ARQ",VLOOKUP(VALUE(RIGHT(C231,3)),'ARQ-COMP'!B:J,9,FALSE),IF(LEFT(C231,3)="SCI",VLOOKUP(VALUE(RIGHT(C231,3)),'GAS-COMP'!#REF!,9,FALSE),IF(LEFT(C231,3)="SCE",VLOOKUP(VALUE(RIGHT(C231,3)),'SCE-COMP'!B:J,9,FALSE),IF(LEFT(C231,3)="EST",VLOOKUP(VALUE(RIGHT(C231,3)),'EST-COMP'!B:J,9,FALSE),IF(LEFT(C231,3)="HID",VLOOKUP(VALUE(RIGHT(C231,3)),'HID-COMP'!B:J,9,FALSE),IF(LEFT(C231,3)="INC",VLOOKUP(VALUE(RIGHT(C231,3)),'INC-COMP'!B:J,9,FALSE),IF(LEFT(C231,3)="ELE",VLOOKUP(VALUE(RIGHT(C231,3)),#REF!,9,FALSE),IF(LEFT(C231,3)="CAB",VLOOKUP(VALUE(RIGHT(C231,3)),#REF!,9,FALSE),IF(LEFT(C231,3)="SEG",VLOOKUP(VALUE(RIGHT(C231,3)),'SEG-COMP'!B:J,9,FALSE),IF(LEFT(C231,3)="CLI",VLOOKUP(VALUE(RIGHT(C231,3)),'CLI-COMP'!B:J,9,FALSE),IF(LEFT(C231,4)="IMPL",VLOOKUP(VALUE(RIGHT(C231,3)),'IMPL-COMP'!B:J,9,FALSE),IF(LEFT(C231,4)="SPDA",VLOOKUP(VALUE(RIGHT(C231,3)),'SPDA-COMP'!B:J,9,FALSE),IF(LEFT(C231,4)="SDAI",VLOOKUP(VALUE(RIGHT(C231,3)),'ADM-COMP'!B:J,9,FALSE),IF(LEFT(C231,5)="IMPER",VLOOKUP(VALUE(RIGHT(C231,3)),'IMPER-COMP'!B:J,9,FALSE),""))))))))))))))))</f>
        <v>42.04</v>
      </c>
      <c r="H231" s="339">
        <f t="shared" si="85"/>
        <v>15134.4</v>
      </c>
      <c r="I231" s="374">
        <f>H231/$H$441</f>
        <v>8.8490215465286432E-4</v>
      </c>
      <c r="J231" s="314"/>
    </row>
    <row r="232" spans="1:10" ht="26.4">
      <c r="A232" s="613" t="s">
        <v>35340</v>
      </c>
      <c r="B232" s="337" t="s">
        <v>2879</v>
      </c>
      <c r="C232" s="540">
        <f>151129</f>
        <v>151129</v>
      </c>
      <c r="D232" s="539" t="str">
        <f>IF(B232="IOPES",VLOOKUP(C232,'LABOR-SERVIÇOS'!A:H,5,FALSE),IF(B232="SINAPI",VLOOKUP(C232,'SINAPI-SERVIÇOS'!A:D,2,FALSE),IF(LEFT(C232,3)="ARQ",VLOOKUP(VALUE(RIGHT(C232,3)),'ARQ-COMP'!B:J,4,FALSE),IF(LEFT(C232,3)="SCI",VLOOKUP(VALUE(RIGHT(C232,3)),'GAS-COMP'!#REF!,4,FALSE),IF(LEFT(C232,3)="SCE",VLOOKUP(VALUE(RIGHT(C232,3)),'SCE-COMP'!B:J,4,FALSE),IF(LEFT(C232,3)="EST",VLOOKUP(VALUE(RIGHT(C232,3)),'EST-COMP'!B:J,4,FALSE),IF(LEFT(C232,3)="HID",VLOOKUP(VALUE(RIGHT(C232,3)),'HID-COMP'!B:J,4,FALSE),IF(LEFT(C232,3)="INC",VLOOKUP(VALUE(RIGHT(C232,3)),'INC-COMP'!B:J,4,FALSE),IF(LEFT(C232,3)="ELE",VLOOKUP(VALUE(RIGHT(C232,3)),#REF!,4,FALSE),IF(LEFT(C232,3)="CAB",VLOOKUP(VALUE(RIGHT(C232,3)),#REF!,4,FALSE),IF(LEFT(C232,3)="SEG",VLOOKUP(VALUE(RIGHT(C232,3)),'SEG-COMP'!B:J,4,FALSE),IF(LEFT(C232,3)="CLI",VLOOKUP(VALUE(RIGHT(C232,3)),'CLI-COMP'!B:J,4,FALSE),IF(LEFT(C232,4)="IMPL",VLOOKUP(VALUE(RIGHT(C232,3)),'IMPL-COMP'!B:J,4,FALSE),IF(LEFT(C232,4)="SPDA",VLOOKUP(VALUE(RIGHT(C232,3)),'SPDA-COMP'!B:J,4,FALSE),IF(LEFT(C232,4)="SDAI",VLOOKUP(VALUE(RIGHT(C232,3)),'ADM-COMP'!B:J,4,FALSE),IF(LEFT(C232,5)="IMPER",VLOOKUP(VALUE(RIGHT(C232,3)),'IMPER-COMP'!B:J,4,FALSE),""))))))))))))))))</f>
        <v>ELETRODUTO DE PVC RÍGIDO ROSCÁVEL, DIÂMETRO 1.1/2", INCLUSIVE CONEXÕES</v>
      </c>
      <c r="E232" s="338" t="str">
        <f>IF(B232="IOPES",VLOOKUP(C232,'LABOR-SERVIÇOS'!A:H,6,FALSE),IF(B232="SINAPI",VLOOKUP(C232,'SINAPI-SERVIÇOS'!A:D,3,FALSE),IF(LEFT(C232,3)="ARQ",VLOOKUP(VALUE(RIGHT(C232,3)),'ARQ-COMP'!B:J,5,FALSE),IF(LEFT(C232,3)="SCI",VLOOKUP(VALUE(RIGHT(C232,3)),'GAS-COMP'!#REF!,5,FALSE),IF(LEFT(C232,3)="SCE",VLOOKUP(VALUE(RIGHT(C232,3)),'SCE-COMP'!B:J,5,FALSE),IF(LEFT(C232,3)="EST",VLOOKUP(VALUE(RIGHT(C232,3)),'EST-COMP'!B:J,5,FALSE),IF(LEFT(C232,3)="HID",VLOOKUP(VALUE(RIGHT(C232,3)),'HID-COMP'!B:J,5,FALSE),IF(LEFT(C232,3)="INC",VLOOKUP(VALUE(RIGHT(C232,3)),'INC-COMP'!B:J,5,FALSE),IF(LEFT(C232,3)="ELE",VLOOKUP(VALUE(RIGHT(C232,3)),#REF!,5,FALSE),IF(LEFT(C232,3)="CAB",VLOOKUP(VALUE(RIGHT(C232,3)),#REF!,5,FALSE),IF(LEFT(C232,3)="SEG",VLOOKUP(VALUE(RIGHT(C232,3)),'SEG-COMP'!B:J,5,FALSE),IF(LEFT(C232,3)="CLI",VLOOKUP(VALUE(RIGHT(C232,3)),'CLI-COMP'!B:J,5,FALSE),IF(LEFT(C232,4)="IMPL",VLOOKUP(VALUE(RIGHT(C232,3)),'IMPL-COMP'!B:J,5,FALSE),IF(LEFT(C232,4)="SPDA",VLOOKUP(VALUE(RIGHT(C232,3)),'SPDA-COMP'!B:J,5,FALSE),IF(LEFT(C232,4)="SDAI",VLOOKUP(VALUE(RIGHT(C232,3)),'ADM-COMP'!B:J,5,FALSE),IF(LEFT(C232,5)="IMPER",VLOOKUP(VALUE(RIGHT(C232,3)),'IMPER-COMP'!B:J,5,FALSE),""))))))))))))))))</f>
        <v>M</v>
      </c>
      <c r="F232" s="599">
        <f>ROUND(VLOOKUP(A232,'MEM-LEVANT'!A269:I2808,9,FALSE),2)</f>
        <v>280</v>
      </c>
      <c r="G232" s="339">
        <f>IF(B232="IOPES",VLOOKUP(C232,'LABOR-SERVIÇOS'!A:H,7,FALSE),IF(B232="SINAPI",VLOOKUP(C232,'SINAPI-SERVIÇOS'!A:H,8,FALSE),IF(LEFT(C232,3)="ARQ",VLOOKUP(VALUE(RIGHT(C232,3)),'ARQ-COMP'!B:J,9,FALSE),IF(LEFT(C232,3)="SCI",VLOOKUP(VALUE(RIGHT(C232,3)),'GAS-COMP'!#REF!,9,FALSE),IF(LEFT(C232,3)="SCE",VLOOKUP(VALUE(RIGHT(C232,3)),'SCE-COMP'!B:J,9,FALSE),IF(LEFT(C232,3)="EST",VLOOKUP(VALUE(RIGHT(C232,3)),'EST-COMP'!B:J,9,FALSE),IF(LEFT(C232,3)="HID",VLOOKUP(VALUE(RIGHT(C232,3)),'HID-COMP'!B:J,9,FALSE),IF(LEFT(C232,3)="INC",VLOOKUP(VALUE(RIGHT(C232,3)),'INC-COMP'!B:J,9,FALSE),IF(LEFT(C232,3)="ELE",VLOOKUP(VALUE(RIGHT(C232,3)),#REF!,9,FALSE),IF(LEFT(C232,3)="CAB",VLOOKUP(VALUE(RIGHT(C232,3)),#REF!,9,FALSE),IF(LEFT(C232,3)="SEG",VLOOKUP(VALUE(RIGHT(C232,3)),'SEG-COMP'!B:J,9,FALSE),IF(LEFT(C232,3)="CLI",VLOOKUP(VALUE(RIGHT(C232,3)),'CLI-COMP'!B:J,9,FALSE),IF(LEFT(C232,4)="IMPL",VLOOKUP(VALUE(RIGHT(C232,3)),'IMPL-COMP'!B:J,9,FALSE),IF(LEFT(C232,4)="SPDA",VLOOKUP(VALUE(RIGHT(C232,3)),'SPDA-COMP'!B:J,9,FALSE),IF(LEFT(C232,4)="SDAI",VLOOKUP(VALUE(RIGHT(C232,3)),'ADM-COMP'!B:J,9,FALSE),IF(LEFT(C232,5)="IMPER",VLOOKUP(VALUE(RIGHT(C232,3)),'IMPER-COMP'!B:J,9,FALSE),""))))))))))))))))</f>
        <v>45.53</v>
      </c>
      <c r="H232" s="339">
        <f t="shared" si="85"/>
        <v>12748.4</v>
      </c>
      <c r="I232" s="374">
        <f>H232/$H$441</f>
        <v>7.4539371421242836E-4</v>
      </c>
      <c r="J232" s="314"/>
    </row>
    <row r="233" spans="1:10" ht="26.4">
      <c r="A233" s="613" t="s">
        <v>35341</v>
      </c>
      <c r="B233" s="337" t="s">
        <v>2879</v>
      </c>
      <c r="C233" s="540">
        <f>151130</f>
        <v>151130</v>
      </c>
      <c r="D233" s="539" t="str">
        <f>IF(B233="IOPES",VLOOKUP(C233,'LABOR-SERVIÇOS'!A:H,5,FALSE),IF(B233="SINAPI",VLOOKUP(C233,'SINAPI-SERVIÇOS'!A:D,2,FALSE),IF(LEFT(C233,3)="ARQ",VLOOKUP(VALUE(RIGHT(C233,3)),'ARQ-COMP'!B:J,4,FALSE),IF(LEFT(C233,3)="SCI",VLOOKUP(VALUE(RIGHT(C233,3)),'GAS-COMP'!#REF!,4,FALSE),IF(LEFT(C233,3)="SCE",VLOOKUP(VALUE(RIGHT(C233,3)),'SCE-COMP'!B:J,4,FALSE),IF(LEFT(C233,3)="EST",VLOOKUP(VALUE(RIGHT(C233,3)),'EST-COMP'!B:J,4,FALSE),IF(LEFT(C233,3)="HID",VLOOKUP(VALUE(RIGHT(C233,3)),'HID-COMP'!B:J,4,FALSE),IF(LEFT(C233,3)="INC",VLOOKUP(VALUE(RIGHT(C233,3)),'INC-COMP'!B:J,4,FALSE),IF(LEFT(C233,3)="ELE",VLOOKUP(VALUE(RIGHT(C233,3)),#REF!,4,FALSE),IF(LEFT(C233,3)="CAB",VLOOKUP(VALUE(RIGHT(C233,3)),#REF!,4,FALSE),IF(LEFT(C233,3)="SEG",VLOOKUP(VALUE(RIGHT(C233,3)),'SEG-COMP'!B:J,4,FALSE),IF(LEFT(C233,3)="CLI",VLOOKUP(VALUE(RIGHT(C233,3)),'CLI-COMP'!B:J,4,FALSE),IF(LEFT(C233,4)="IMPL",VLOOKUP(VALUE(RIGHT(C233,3)),'IMPL-COMP'!B:J,4,FALSE),IF(LEFT(C233,4)="SPDA",VLOOKUP(VALUE(RIGHT(C233,3)),'SPDA-COMP'!B:J,4,FALSE),IF(LEFT(C233,4)="SDAI",VLOOKUP(VALUE(RIGHT(C233,3)),'ADM-COMP'!B:J,4,FALSE),IF(LEFT(C233,5)="IMPER",VLOOKUP(VALUE(RIGHT(C233,3)),'IMPER-COMP'!B:J,4,FALSE),""))))))))))))))))</f>
        <v>ELETRODUTO DE PVC RÍGIDO ROSCÁVEL, DIÂMETRO 2", INCLUSIVE CONEXÕES</v>
      </c>
      <c r="E233" s="338" t="str">
        <f>IF(B233="IOPES",VLOOKUP(C233,'LABOR-SERVIÇOS'!A:H,6,FALSE),IF(B233="SINAPI",VLOOKUP(C233,'SINAPI-SERVIÇOS'!A:D,3,FALSE),IF(LEFT(C233,3)="ARQ",VLOOKUP(VALUE(RIGHT(C233,3)),'ARQ-COMP'!B:J,5,FALSE),IF(LEFT(C233,3)="SCI",VLOOKUP(VALUE(RIGHT(C233,3)),'GAS-COMP'!#REF!,5,FALSE),IF(LEFT(C233,3)="SCE",VLOOKUP(VALUE(RIGHT(C233,3)),'SCE-COMP'!B:J,5,FALSE),IF(LEFT(C233,3)="EST",VLOOKUP(VALUE(RIGHT(C233,3)),'EST-COMP'!B:J,5,FALSE),IF(LEFT(C233,3)="HID",VLOOKUP(VALUE(RIGHT(C233,3)),'HID-COMP'!B:J,5,FALSE),IF(LEFT(C233,3)="INC",VLOOKUP(VALUE(RIGHT(C233,3)),'INC-COMP'!B:J,5,FALSE),IF(LEFT(C233,3)="ELE",VLOOKUP(VALUE(RIGHT(C233,3)),#REF!,5,FALSE),IF(LEFT(C233,3)="CAB",VLOOKUP(VALUE(RIGHT(C233,3)),#REF!,5,FALSE),IF(LEFT(C233,3)="SEG",VLOOKUP(VALUE(RIGHT(C233,3)),'SEG-COMP'!B:J,5,FALSE),IF(LEFT(C233,3)="CLI",VLOOKUP(VALUE(RIGHT(C233,3)),'CLI-COMP'!B:J,5,FALSE),IF(LEFT(C233,4)="IMPL",VLOOKUP(VALUE(RIGHT(C233,3)),'IMPL-COMP'!B:J,5,FALSE),IF(LEFT(C233,4)="SPDA",VLOOKUP(VALUE(RIGHT(C233,3)),'SPDA-COMP'!B:J,5,FALSE),IF(LEFT(C233,4)="SDAI",VLOOKUP(VALUE(RIGHT(C233,3)),'ADM-COMP'!B:J,5,FALSE),IF(LEFT(C233,5)="IMPER",VLOOKUP(VALUE(RIGHT(C233,3)),'IMPER-COMP'!B:J,5,FALSE),""))))))))))))))))</f>
        <v>M</v>
      </c>
      <c r="F233" s="599">
        <f>ROUND(VLOOKUP(A233,'MEM-LEVANT'!A269:I2809,9,FALSE),2)</f>
        <v>144</v>
      </c>
      <c r="G233" s="339">
        <f>IF(B233="IOPES",VLOOKUP(C233,'LABOR-SERVIÇOS'!A:H,7,FALSE),IF(B233="SINAPI",VLOOKUP(C233,'SINAPI-SERVIÇOS'!A:H,8,FALSE),IF(LEFT(C233,3)="ARQ",VLOOKUP(VALUE(RIGHT(C233,3)),'ARQ-COMP'!B:J,9,FALSE),IF(LEFT(C233,3)="SCI",VLOOKUP(VALUE(RIGHT(C233,3)),'GAS-COMP'!#REF!,9,FALSE),IF(LEFT(C233,3)="SCE",VLOOKUP(VALUE(RIGHT(C233,3)),'SCE-COMP'!B:J,9,FALSE),IF(LEFT(C233,3)="EST",VLOOKUP(VALUE(RIGHT(C233,3)),'EST-COMP'!B:J,9,FALSE),IF(LEFT(C233,3)="HID",VLOOKUP(VALUE(RIGHT(C233,3)),'HID-COMP'!B:J,9,FALSE),IF(LEFT(C233,3)="INC",VLOOKUP(VALUE(RIGHT(C233,3)),'INC-COMP'!B:J,9,FALSE),IF(LEFT(C233,3)="ELE",VLOOKUP(VALUE(RIGHT(C233,3)),#REF!,9,FALSE),IF(LEFT(C233,3)="CAB",VLOOKUP(VALUE(RIGHT(C233,3)),#REF!,9,FALSE),IF(LEFT(C233,3)="SEG",VLOOKUP(VALUE(RIGHT(C233,3)),'SEG-COMP'!B:J,9,FALSE),IF(LEFT(C233,3)="CLI",VLOOKUP(VALUE(RIGHT(C233,3)),'CLI-COMP'!B:J,9,FALSE),IF(LEFT(C233,4)="IMPL",VLOOKUP(VALUE(RIGHT(C233,3)),'IMPL-COMP'!B:J,9,FALSE),IF(LEFT(C233,4)="SPDA",VLOOKUP(VALUE(RIGHT(C233,3)),'SPDA-COMP'!B:J,9,FALSE),IF(LEFT(C233,4)="SDAI",VLOOKUP(VALUE(RIGHT(C233,3)),'ADM-COMP'!B:J,9,FALSE),IF(LEFT(C233,5)="IMPER",VLOOKUP(VALUE(RIGHT(C233,3)),'IMPER-COMP'!B:J,9,FALSE),""))))))))))))))))</f>
        <v>49.12</v>
      </c>
      <c r="H233" s="339">
        <f t="shared" si="85"/>
        <v>7073.28</v>
      </c>
      <c r="I233" s="374">
        <f>H233/$H$441</f>
        <v>4.1357177770265168E-4</v>
      </c>
      <c r="J233" s="314"/>
    </row>
    <row r="234" spans="1:10">
      <c r="A234" s="553" t="s">
        <v>35332</v>
      </c>
      <c r="B234" s="554"/>
      <c r="C234" s="555"/>
      <c r="D234" s="556" t="s">
        <v>1775</v>
      </c>
      <c r="E234" s="557"/>
      <c r="F234" s="598"/>
      <c r="G234" s="558"/>
      <c r="H234" s="559"/>
      <c r="I234" s="560"/>
      <c r="J234" s="314"/>
    </row>
    <row r="235" spans="1:10" ht="26.4">
      <c r="A235" s="613" t="s">
        <v>35342</v>
      </c>
      <c r="B235" s="337" t="s">
        <v>2879</v>
      </c>
      <c r="C235" s="540">
        <f>151306</f>
        <v>151306</v>
      </c>
      <c r="D235" s="539" t="str">
        <f>IF(B235="IOPES",VLOOKUP(C235,'LABOR-SERVIÇOS'!A:H,5,FALSE),IF(B235="SINAPI",VLOOKUP(C235,'SINAPI-SERVIÇOS'!A:D,2,FALSE),IF(LEFT(C235,3)="ARQ",VLOOKUP(VALUE(RIGHT(C235,3)),'ARQ-COMP'!B:J,4,FALSE),IF(LEFT(C235,3)="SCI",VLOOKUP(VALUE(RIGHT(C235,3)),'GAS-COMP'!#REF!,4,FALSE),IF(LEFT(C235,3)="SCE",VLOOKUP(VALUE(RIGHT(C235,3)),'SCE-COMP'!B:J,4,FALSE),IF(LEFT(C235,3)="EST",VLOOKUP(VALUE(RIGHT(C235,3)),'EST-COMP'!B:J,4,FALSE),IF(LEFT(C235,3)="HID",VLOOKUP(VALUE(RIGHT(C235,3)),'HID-COMP'!B:J,4,FALSE),IF(LEFT(C235,3)="INC",VLOOKUP(VALUE(RIGHT(C235,3)),'INC-COMP'!B:J,4,FALSE),IF(LEFT(C235,3)="ELE",VLOOKUP(VALUE(RIGHT(C235,3)),#REF!,4,FALSE),IF(LEFT(C235,3)="CAB",VLOOKUP(VALUE(RIGHT(C235,3)),#REF!,4,FALSE),IF(LEFT(C235,3)="SEG",VLOOKUP(VALUE(RIGHT(C235,3)),'SEG-COMP'!B:J,4,FALSE),IF(LEFT(C235,3)="CLI",VLOOKUP(VALUE(RIGHT(C235,3)),'CLI-COMP'!B:J,4,FALSE),IF(LEFT(C235,4)="IMPL",VLOOKUP(VALUE(RIGHT(C235,3)),'IMPL-COMP'!B:J,4,FALSE),IF(LEFT(C235,4)="SPDA",VLOOKUP(VALUE(RIGHT(C235,3)),'SPDA-COMP'!B:J,4,FALSE),IF(LEFT(C235,4)="SDAI",VLOOKUP(VALUE(RIGHT(C235,3)),'ADM-COMP'!B:J,4,FALSE),IF(LEFT(C235,5)="IMPER",VLOOKUP(VALUE(RIGHT(C235,3)),'IMPER-COMP'!B:J,4,FALSE),""))))))))))))))))</f>
        <v>MINI-DISJUNTOR BIPOLAR 16A, CURVA C, 5KA, 127/220VCA, REFERÊNCIA SIEMENS, GE, SCHNEIDER OU EQUIVALENTE</v>
      </c>
      <c r="E235" s="338" t="str">
        <f>IF(B235="IOPES",VLOOKUP(C235,'LABOR-SERVIÇOS'!A:H,6,FALSE),IF(B235="SINAPI",VLOOKUP(C235,'SINAPI-SERVIÇOS'!A:D,3,FALSE),IF(LEFT(C235,3)="ARQ",VLOOKUP(VALUE(RIGHT(C235,3)),'ARQ-COMP'!B:J,5,FALSE),IF(LEFT(C235,3)="SCI",VLOOKUP(VALUE(RIGHT(C235,3)),'GAS-COMP'!#REF!,5,FALSE),IF(LEFT(C235,3)="SCE",VLOOKUP(VALUE(RIGHT(C235,3)),'SCE-COMP'!B:J,5,FALSE),IF(LEFT(C235,3)="EST",VLOOKUP(VALUE(RIGHT(C235,3)),'EST-COMP'!B:J,5,FALSE),IF(LEFT(C235,3)="HID",VLOOKUP(VALUE(RIGHT(C235,3)),'HID-COMP'!B:J,5,FALSE),IF(LEFT(C235,3)="INC",VLOOKUP(VALUE(RIGHT(C235,3)),'INC-COMP'!B:J,5,FALSE),IF(LEFT(C235,3)="ELE",VLOOKUP(VALUE(RIGHT(C235,3)),#REF!,5,FALSE),IF(LEFT(C235,3)="CAB",VLOOKUP(VALUE(RIGHT(C235,3)),#REF!,5,FALSE),IF(LEFT(C235,3)="SEG",VLOOKUP(VALUE(RIGHT(C235,3)),'SEG-COMP'!B:J,5,FALSE),IF(LEFT(C235,3)="CLI",VLOOKUP(VALUE(RIGHT(C235,3)),'CLI-COMP'!B:J,5,FALSE),IF(LEFT(C235,4)="IMPL",VLOOKUP(VALUE(RIGHT(C235,3)),'IMPL-COMP'!B:J,5,FALSE),IF(LEFT(C235,4)="SPDA",VLOOKUP(VALUE(RIGHT(C235,3)),'SPDA-COMP'!B:J,5,FALSE),IF(LEFT(C235,4)="SDAI",VLOOKUP(VALUE(RIGHT(C235,3)),'ADM-COMP'!B:J,5,FALSE),IF(LEFT(C235,5)="IMPER",VLOOKUP(VALUE(RIGHT(C235,3)),'IMPER-COMP'!B:J,5,FALSE),""))))))))))))))))</f>
        <v>UND</v>
      </c>
      <c r="F235" s="599">
        <f>ROUND(VLOOKUP(A235,'MEM-LEVANT'!A269:I2799,9,FALSE),2)</f>
        <v>30</v>
      </c>
      <c r="G235" s="339">
        <f>IF(B235="IOPES",VLOOKUP(C235,'LABOR-SERVIÇOS'!A:H,7,FALSE),IF(B235="SINAPI",VLOOKUP(C235,'SINAPI-SERVIÇOS'!A:H,8,FALSE),IF(LEFT(C235,3)="ARQ",VLOOKUP(VALUE(RIGHT(C235,3)),'ARQ-COMP'!B:J,9,FALSE),IF(LEFT(C235,3)="SCI",VLOOKUP(VALUE(RIGHT(C235,3)),'GAS-COMP'!#REF!,9,FALSE),IF(LEFT(C235,3)="SCE",VLOOKUP(VALUE(RIGHT(C235,3)),'SCE-COMP'!B:J,9,FALSE),IF(LEFT(C235,3)="EST",VLOOKUP(VALUE(RIGHT(C235,3)),'EST-COMP'!B:J,9,FALSE),IF(LEFT(C235,3)="HID",VLOOKUP(VALUE(RIGHT(C235,3)),'HID-COMP'!B:J,9,FALSE),IF(LEFT(C235,3)="INC",VLOOKUP(VALUE(RIGHT(C235,3)),'INC-COMP'!B:J,9,FALSE),IF(LEFT(C235,3)="ELE",VLOOKUP(VALUE(RIGHT(C235,3)),#REF!,9,FALSE),IF(LEFT(C235,3)="CAB",VLOOKUP(VALUE(RIGHT(C235,3)),#REF!,9,FALSE),IF(LEFT(C235,3)="SEG",VLOOKUP(VALUE(RIGHT(C235,3)),'SEG-COMP'!B:J,9,FALSE),IF(LEFT(C235,3)="CLI",VLOOKUP(VALUE(RIGHT(C235,3)),'CLI-COMP'!B:J,9,FALSE),IF(LEFT(C235,4)="IMPL",VLOOKUP(VALUE(RIGHT(C235,3)),'IMPL-COMP'!B:J,9,FALSE),IF(LEFT(C235,4)="SPDA",VLOOKUP(VALUE(RIGHT(C235,3)),'SPDA-COMP'!B:J,9,FALSE),IF(LEFT(C235,4)="SDAI",VLOOKUP(VALUE(RIGHT(C235,3)),'ADM-COMP'!B:J,9,FALSE),IF(LEFT(C235,5)="IMPER",VLOOKUP(VALUE(RIGHT(C235,3)),'IMPER-COMP'!B:J,9,FALSE),""))))))))))))))))</f>
        <v>85.21</v>
      </c>
      <c r="H235" s="339">
        <f t="shared" ref="H235:H239" si="86">ROUND(F235*G235,2)</f>
        <v>2556.3000000000002</v>
      </c>
      <c r="I235" s="374">
        <f t="shared" ref="I235:I245" si="87">H235/$H$441</f>
        <v>1.4946581152468002E-4</v>
      </c>
      <c r="J235" s="314"/>
    </row>
    <row r="236" spans="1:10" ht="26.4">
      <c r="A236" s="613" t="s">
        <v>35343</v>
      </c>
      <c r="B236" s="337" t="s">
        <v>2879</v>
      </c>
      <c r="C236" s="540">
        <f>151307</f>
        <v>151307</v>
      </c>
      <c r="D236" s="539" t="str">
        <f>IF(B236="IOPES",VLOOKUP(C236,'LABOR-SERVIÇOS'!A:H,5,FALSE),IF(B236="SINAPI",VLOOKUP(C236,'SINAPI-SERVIÇOS'!A:D,2,FALSE),IF(LEFT(C236,3)="ARQ",VLOOKUP(VALUE(RIGHT(C236,3)),'ARQ-COMP'!B:J,4,FALSE),IF(LEFT(C236,3)="SCI",VLOOKUP(VALUE(RIGHT(C236,3)),'GAS-COMP'!#REF!,4,FALSE),IF(LEFT(C236,3)="SCE",VLOOKUP(VALUE(RIGHT(C236,3)),'SCE-COMP'!B:J,4,FALSE),IF(LEFT(C236,3)="EST",VLOOKUP(VALUE(RIGHT(C236,3)),'EST-COMP'!B:J,4,FALSE),IF(LEFT(C236,3)="HID",VLOOKUP(VALUE(RIGHT(C236,3)),'HID-COMP'!B:J,4,FALSE),IF(LEFT(C236,3)="INC",VLOOKUP(VALUE(RIGHT(C236,3)),'INC-COMP'!B:J,4,FALSE),IF(LEFT(C236,3)="ELE",VLOOKUP(VALUE(RIGHT(C236,3)),#REF!,4,FALSE),IF(LEFT(C236,3)="CAB",VLOOKUP(VALUE(RIGHT(C236,3)),#REF!,4,FALSE),IF(LEFT(C236,3)="SEG",VLOOKUP(VALUE(RIGHT(C236,3)),'SEG-COMP'!B:J,4,FALSE),IF(LEFT(C236,3)="CLI",VLOOKUP(VALUE(RIGHT(C236,3)),'CLI-COMP'!B:J,4,FALSE),IF(LEFT(C236,4)="IMPL",VLOOKUP(VALUE(RIGHT(C236,3)),'IMPL-COMP'!B:J,4,FALSE),IF(LEFT(C236,4)="SPDA",VLOOKUP(VALUE(RIGHT(C236,3)),'SPDA-COMP'!B:J,4,FALSE),IF(LEFT(C236,4)="SDAI",VLOOKUP(VALUE(RIGHT(C236,3)),'ADM-COMP'!B:J,4,FALSE),IF(LEFT(C236,5)="IMPER",VLOOKUP(VALUE(RIGHT(C236,3)),'IMPER-COMP'!B:J,4,FALSE),""))))))))))))))))</f>
        <v>MINI-DISJUNTOR BIPOLAR 20A, CURVA C, 5KA, 127/220VCA, REFERÊNCIA SIEMENS, GE, SCHNEIDER OU EQUIVALENTE</v>
      </c>
      <c r="E236" s="338" t="str">
        <f>IF(B236="IOPES",VLOOKUP(C236,'LABOR-SERVIÇOS'!A:H,6,FALSE),IF(B236="SINAPI",VLOOKUP(C236,'SINAPI-SERVIÇOS'!A:D,3,FALSE),IF(LEFT(C236,3)="ARQ",VLOOKUP(VALUE(RIGHT(C236,3)),'ARQ-COMP'!B:J,5,FALSE),IF(LEFT(C236,3)="SCI",VLOOKUP(VALUE(RIGHT(C236,3)),'GAS-COMP'!#REF!,5,FALSE),IF(LEFT(C236,3)="SCE",VLOOKUP(VALUE(RIGHT(C236,3)),'SCE-COMP'!B:J,5,FALSE),IF(LEFT(C236,3)="EST",VLOOKUP(VALUE(RIGHT(C236,3)),'EST-COMP'!B:J,5,FALSE),IF(LEFT(C236,3)="HID",VLOOKUP(VALUE(RIGHT(C236,3)),'HID-COMP'!B:J,5,FALSE),IF(LEFT(C236,3)="INC",VLOOKUP(VALUE(RIGHT(C236,3)),'INC-COMP'!B:J,5,FALSE),IF(LEFT(C236,3)="ELE",VLOOKUP(VALUE(RIGHT(C236,3)),#REF!,5,FALSE),IF(LEFT(C236,3)="CAB",VLOOKUP(VALUE(RIGHT(C236,3)),#REF!,5,FALSE),IF(LEFT(C236,3)="SEG",VLOOKUP(VALUE(RIGHT(C236,3)),'SEG-COMP'!B:J,5,FALSE),IF(LEFT(C236,3)="CLI",VLOOKUP(VALUE(RIGHT(C236,3)),'CLI-COMP'!B:J,5,FALSE),IF(LEFT(C236,4)="IMPL",VLOOKUP(VALUE(RIGHT(C236,3)),'IMPL-COMP'!B:J,5,FALSE),IF(LEFT(C236,4)="SPDA",VLOOKUP(VALUE(RIGHT(C236,3)),'SPDA-COMP'!B:J,5,FALSE),IF(LEFT(C236,4)="SDAI",VLOOKUP(VALUE(RIGHT(C236,3)),'ADM-COMP'!B:J,5,FALSE),IF(LEFT(C236,5)="IMPER",VLOOKUP(VALUE(RIGHT(C236,3)),'IMPER-COMP'!B:J,5,FALSE),""))))))))))))))))</f>
        <v>UND</v>
      </c>
      <c r="F236" s="599">
        <f>ROUND(VLOOKUP(A236,'MEM-LEVANT'!A269:I2800,9,FALSE),2)</f>
        <v>30</v>
      </c>
      <c r="G236" s="339">
        <f>IF(B236="IOPES",VLOOKUP(C236,'LABOR-SERVIÇOS'!A:H,7,FALSE),IF(B236="SINAPI",VLOOKUP(C236,'SINAPI-SERVIÇOS'!A:H,8,FALSE),IF(LEFT(C236,3)="ARQ",VLOOKUP(VALUE(RIGHT(C236,3)),'ARQ-COMP'!B:J,9,FALSE),IF(LEFT(C236,3)="SCI",VLOOKUP(VALUE(RIGHT(C236,3)),'GAS-COMP'!#REF!,9,FALSE),IF(LEFT(C236,3)="SCE",VLOOKUP(VALUE(RIGHT(C236,3)),'SCE-COMP'!B:J,9,FALSE),IF(LEFT(C236,3)="EST",VLOOKUP(VALUE(RIGHT(C236,3)),'EST-COMP'!B:J,9,FALSE),IF(LEFT(C236,3)="HID",VLOOKUP(VALUE(RIGHT(C236,3)),'HID-COMP'!B:J,9,FALSE),IF(LEFT(C236,3)="INC",VLOOKUP(VALUE(RIGHT(C236,3)),'INC-COMP'!B:J,9,FALSE),IF(LEFT(C236,3)="ELE",VLOOKUP(VALUE(RIGHT(C236,3)),#REF!,9,FALSE),IF(LEFT(C236,3)="CAB",VLOOKUP(VALUE(RIGHT(C236,3)),#REF!,9,FALSE),IF(LEFT(C236,3)="SEG",VLOOKUP(VALUE(RIGHT(C236,3)),'SEG-COMP'!B:J,9,FALSE),IF(LEFT(C236,3)="CLI",VLOOKUP(VALUE(RIGHT(C236,3)),'CLI-COMP'!B:J,9,FALSE),IF(LEFT(C236,4)="IMPL",VLOOKUP(VALUE(RIGHT(C236,3)),'IMPL-COMP'!B:J,9,FALSE),IF(LEFT(C236,4)="SPDA",VLOOKUP(VALUE(RIGHT(C236,3)),'SPDA-COMP'!B:J,9,FALSE),IF(LEFT(C236,4)="SDAI",VLOOKUP(VALUE(RIGHT(C236,3)),'ADM-COMP'!B:J,9,FALSE),IF(LEFT(C236,5)="IMPER",VLOOKUP(VALUE(RIGHT(C236,3)),'IMPER-COMP'!B:J,9,FALSE),""))))))))))))))))</f>
        <v>85.21</v>
      </c>
      <c r="H236" s="339">
        <f t="shared" si="86"/>
        <v>2556.3000000000002</v>
      </c>
      <c r="I236" s="374">
        <f t="shared" si="87"/>
        <v>1.4946581152468002E-4</v>
      </c>
      <c r="J236" s="314"/>
    </row>
    <row r="237" spans="1:10" ht="26.4">
      <c r="A237" s="613" t="s">
        <v>35344</v>
      </c>
      <c r="B237" s="337" t="s">
        <v>2879</v>
      </c>
      <c r="C237" s="540">
        <f>151308</f>
        <v>151308</v>
      </c>
      <c r="D237" s="539" t="str">
        <f>IF(B237="IOPES",VLOOKUP(C237,'LABOR-SERVIÇOS'!A:H,5,FALSE),IF(B237="SINAPI",VLOOKUP(C237,'SINAPI-SERVIÇOS'!A:D,2,FALSE),IF(LEFT(C237,3)="ARQ",VLOOKUP(VALUE(RIGHT(C237,3)),'ARQ-COMP'!B:J,4,FALSE),IF(LEFT(C237,3)="SCI",VLOOKUP(VALUE(RIGHT(C237,3)),'GAS-COMP'!#REF!,4,FALSE),IF(LEFT(C237,3)="SCE",VLOOKUP(VALUE(RIGHT(C237,3)),'SCE-COMP'!B:J,4,FALSE),IF(LEFT(C237,3)="EST",VLOOKUP(VALUE(RIGHT(C237,3)),'EST-COMP'!B:J,4,FALSE),IF(LEFT(C237,3)="HID",VLOOKUP(VALUE(RIGHT(C237,3)),'HID-COMP'!B:J,4,FALSE),IF(LEFT(C237,3)="INC",VLOOKUP(VALUE(RIGHT(C237,3)),'INC-COMP'!B:J,4,FALSE),IF(LEFT(C237,3)="ELE",VLOOKUP(VALUE(RIGHT(C237,3)),#REF!,4,FALSE),IF(LEFT(C237,3)="CAB",VLOOKUP(VALUE(RIGHT(C237,3)),#REF!,4,FALSE),IF(LEFT(C237,3)="SEG",VLOOKUP(VALUE(RIGHT(C237,3)),'SEG-COMP'!B:J,4,FALSE),IF(LEFT(C237,3)="CLI",VLOOKUP(VALUE(RIGHT(C237,3)),'CLI-COMP'!B:J,4,FALSE),IF(LEFT(C237,4)="IMPL",VLOOKUP(VALUE(RIGHT(C237,3)),'IMPL-COMP'!B:J,4,FALSE),IF(LEFT(C237,4)="SPDA",VLOOKUP(VALUE(RIGHT(C237,3)),'SPDA-COMP'!B:J,4,FALSE),IF(LEFT(C237,4)="SDAI",VLOOKUP(VALUE(RIGHT(C237,3)),'ADM-COMP'!B:J,4,FALSE),IF(LEFT(C237,5)="IMPER",VLOOKUP(VALUE(RIGHT(C237,3)),'IMPER-COMP'!B:J,4,FALSE),""))))))))))))))))</f>
        <v>MINI-DISJUNTOR BIPOLAR 50A, CURVA C, 5KA, 127/220VCA, REFERÊNCIA SIEMENS, GE, SCHNEIDER OU EQUIVALENTE</v>
      </c>
      <c r="E237" s="338" t="str">
        <f>IF(B237="IOPES",VLOOKUP(C237,'LABOR-SERVIÇOS'!A:H,6,FALSE),IF(B237="SINAPI",VLOOKUP(C237,'SINAPI-SERVIÇOS'!A:D,3,FALSE),IF(LEFT(C237,3)="ARQ",VLOOKUP(VALUE(RIGHT(C237,3)),'ARQ-COMP'!B:J,5,FALSE),IF(LEFT(C237,3)="SCI",VLOOKUP(VALUE(RIGHT(C237,3)),'GAS-COMP'!#REF!,5,FALSE),IF(LEFT(C237,3)="SCE",VLOOKUP(VALUE(RIGHT(C237,3)),'SCE-COMP'!B:J,5,FALSE),IF(LEFT(C237,3)="EST",VLOOKUP(VALUE(RIGHT(C237,3)),'EST-COMP'!B:J,5,FALSE),IF(LEFT(C237,3)="HID",VLOOKUP(VALUE(RIGHT(C237,3)),'HID-COMP'!B:J,5,FALSE),IF(LEFT(C237,3)="INC",VLOOKUP(VALUE(RIGHT(C237,3)),'INC-COMP'!B:J,5,FALSE),IF(LEFT(C237,3)="ELE",VLOOKUP(VALUE(RIGHT(C237,3)),#REF!,5,FALSE),IF(LEFT(C237,3)="CAB",VLOOKUP(VALUE(RIGHT(C237,3)),#REF!,5,FALSE),IF(LEFT(C237,3)="SEG",VLOOKUP(VALUE(RIGHT(C237,3)),'SEG-COMP'!B:J,5,FALSE),IF(LEFT(C237,3)="CLI",VLOOKUP(VALUE(RIGHT(C237,3)),'CLI-COMP'!B:J,5,FALSE),IF(LEFT(C237,4)="IMPL",VLOOKUP(VALUE(RIGHT(C237,3)),'IMPL-COMP'!B:J,5,FALSE),IF(LEFT(C237,4)="SPDA",VLOOKUP(VALUE(RIGHT(C237,3)),'SPDA-COMP'!B:J,5,FALSE),IF(LEFT(C237,4)="SDAI",VLOOKUP(VALUE(RIGHT(C237,3)),'ADM-COMP'!B:J,5,FALSE),IF(LEFT(C237,5)="IMPER",VLOOKUP(VALUE(RIGHT(C237,3)),'IMPER-COMP'!B:J,5,FALSE),""))))))))))))))))</f>
        <v>UND</v>
      </c>
      <c r="F237" s="599">
        <f>ROUND(VLOOKUP(A237,'MEM-LEVANT'!A269:I2801,9,FALSE),2)</f>
        <v>20</v>
      </c>
      <c r="G237" s="339">
        <f>IF(B237="IOPES",VLOOKUP(C237,'LABOR-SERVIÇOS'!A:H,7,FALSE),IF(B237="SINAPI",VLOOKUP(C237,'SINAPI-SERVIÇOS'!A:H,8,FALSE),IF(LEFT(C237,3)="ARQ",VLOOKUP(VALUE(RIGHT(C237,3)),'ARQ-COMP'!B:J,9,FALSE),IF(LEFT(C237,3)="SCI",VLOOKUP(VALUE(RIGHT(C237,3)),'GAS-COMP'!#REF!,9,FALSE),IF(LEFT(C237,3)="SCE",VLOOKUP(VALUE(RIGHT(C237,3)),'SCE-COMP'!B:J,9,FALSE),IF(LEFT(C237,3)="EST",VLOOKUP(VALUE(RIGHT(C237,3)),'EST-COMP'!B:J,9,FALSE),IF(LEFT(C237,3)="HID",VLOOKUP(VALUE(RIGHT(C237,3)),'HID-COMP'!B:J,9,FALSE),IF(LEFT(C237,3)="INC",VLOOKUP(VALUE(RIGHT(C237,3)),'INC-COMP'!B:J,9,FALSE),IF(LEFT(C237,3)="ELE",VLOOKUP(VALUE(RIGHT(C237,3)),#REF!,9,FALSE),IF(LEFT(C237,3)="CAB",VLOOKUP(VALUE(RIGHT(C237,3)),#REF!,9,FALSE),IF(LEFT(C237,3)="SEG",VLOOKUP(VALUE(RIGHT(C237,3)),'SEG-COMP'!B:J,9,FALSE),IF(LEFT(C237,3)="CLI",VLOOKUP(VALUE(RIGHT(C237,3)),'CLI-COMP'!B:J,9,FALSE),IF(LEFT(C237,4)="IMPL",VLOOKUP(VALUE(RIGHT(C237,3)),'IMPL-COMP'!B:J,9,FALSE),IF(LEFT(C237,4)="SPDA",VLOOKUP(VALUE(RIGHT(C237,3)),'SPDA-COMP'!B:J,9,FALSE),IF(LEFT(C237,4)="SDAI",VLOOKUP(VALUE(RIGHT(C237,3)),'ADM-COMP'!B:J,9,FALSE),IF(LEFT(C237,5)="IMPER",VLOOKUP(VALUE(RIGHT(C237,3)),'IMPER-COMP'!B:J,9,FALSE),""))))))))))))))))</f>
        <v>95.42</v>
      </c>
      <c r="H237" s="339">
        <f t="shared" si="86"/>
        <v>1908.4</v>
      </c>
      <c r="I237" s="374">
        <f t="shared" si="87"/>
        <v>1.1158336451656665E-4</v>
      </c>
      <c r="J237" s="314"/>
    </row>
    <row r="238" spans="1:10" ht="26.4">
      <c r="A238" s="613" t="s">
        <v>35345</v>
      </c>
      <c r="B238" s="337" t="s">
        <v>2879</v>
      </c>
      <c r="C238" s="540">
        <f>151309</f>
        <v>151309</v>
      </c>
      <c r="D238" s="539" t="str">
        <f>IF(B238="IOPES",VLOOKUP(C238,'LABOR-SERVIÇOS'!A:H,5,FALSE),IF(B238="SINAPI",VLOOKUP(C238,'SINAPI-SERVIÇOS'!A:D,2,FALSE),IF(LEFT(C238,3)="ARQ",VLOOKUP(VALUE(RIGHT(C238,3)),'ARQ-COMP'!B:J,4,FALSE),IF(LEFT(C238,3)="SCI",VLOOKUP(VALUE(RIGHT(C238,3)),'GAS-COMP'!#REF!,4,FALSE),IF(LEFT(C238,3)="SCE",VLOOKUP(VALUE(RIGHT(C238,3)),'SCE-COMP'!B:J,4,FALSE),IF(LEFT(C238,3)="EST",VLOOKUP(VALUE(RIGHT(C238,3)),'EST-COMP'!B:J,4,FALSE),IF(LEFT(C238,3)="HID",VLOOKUP(VALUE(RIGHT(C238,3)),'HID-COMP'!B:J,4,FALSE),IF(LEFT(C238,3)="INC",VLOOKUP(VALUE(RIGHT(C238,3)),'INC-COMP'!B:J,4,FALSE),IF(LEFT(C238,3)="ELE",VLOOKUP(VALUE(RIGHT(C238,3)),#REF!,4,FALSE),IF(LEFT(C238,3)="CAB",VLOOKUP(VALUE(RIGHT(C238,3)),#REF!,4,FALSE),IF(LEFT(C238,3)="SEG",VLOOKUP(VALUE(RIGHT(C238,3)),'SEG-COMP'!B:J,4,FALSE),IF(LEFT(C238,3)="CLI",VLOOKUP(VALUE(RIGHT(C238,3)),'CLI-COMP'!B:J,4,FALSE),IF(LEFT(C238,4)="IMPL",VLOOKUP(VALUE(RIGHT(C238,3)),'IMPL-COMP'!B:J,4,FALSE),IF(LEFT(C238,4)="SPDA",VLOOKUP(VALUE(RIGHT(C238,3)),'SPDA-COMP'!B:J,4,FALSE),IF(LEFT(C238,4)="SDAI",VLOOKUP(VALUE(RIGHT(C238,3)),'ADM-COMP'!B:J,4,FALSE),IF(LEFT(C238,5)="IMPER",VLOOKUP(VALUE(RIGHT(C238,3)),'IMPER-COMP'!B:J,4,FALSE),""))))))))))))))))</f>
        <v>MINI-DISJUNTOR TRIPOLAR 16A, CURVA C, 5KA, 127/220VCA, REFERÊNCIA SIEMENS, GE, SCHNEIDER OU EQUIVALENTE</v>
      </c>
      <c r="E238" s="338" t="str">
        <f>IF(B238="IOPES",VLOOKUP(C238,'LABOR-SERVIÇOS'!A:H,6,FALSE),IF(B238="SINAPI",VLOOKUP(C238,'SINAPI-SERVIÇOS'!A:D,3,FALSE),IF(LEFT(C238,3)="ARQ",VLOOKUP(VALUE(RIGHT(C238,3)),'ARQ-COMP'!B:J,5,FALSE),IF(LEFT(C238,3)="SCI",VLOOKUP(VALUE(RIGHT(C238,3)),'GAS-COMP'!#REF!,5,FALSE),IF(LEFT(C238,3)="SCE",VLOOKUP(VALUE(RIGHT(C238,3)),'SCE-COMP'!B:J,5,FALSE),IF(LEFT(C238,3)="EST",VLOOKUP(VALUE(RIGHT(C238,3)),'EST-COMP'!B:J,5,FALSE),IF(LEFT(C238,3)="HID",VLOOKUP(VALUE(RIGHT(C238,3)),'HID-COMP'!B:J,5,FALSE),IF(LEFT(C238,3)="INC",VLOOKUP(VALUE(RIGHT(C238,3)),'INC-COMP'!B:J,5,FALSE),IF(LEFT(C238,3)="ELE",VLOOKUP(VALUE(RIGHT(C238,3)),#REF!,5,FALSE),IF(LEFT(C238,3)="CAB",VLOOKUP(VALUE(RIGHT(C238,3)),#REF!,5,FALSE),IF(LEFT(C238,3)="SEG",VLOOKUP(VALUE(RIGHT(C238,3)),'SEG-COMP'!B:J,5,FALSE),IF(LEFT(C238,3)="CLI",VLOOKUP(VALUE(RIGHT(C238,3)),'CLI-COMP'!B:J,5,FALSE),IF(LEFT(C238,4)="IMPL",VLOOKUP(VALUE(RIGHT(C238,3)),'IMPL-COMP'!B:J,5,FALSE),IF(LEFT(C238,4)="SPDA",VLOOKUP(VALUE(RIGHT(C238,3)),'SPDA-COMP'!B:J,5,FALSE),IF(LEFT(C238,4)="SDAI",VLOOKUP(VALUE(RIGHT(C238,3)),'ADM-COMP'!B:J,5,FALSE),IF(LEFT(C238,5)="IMPER",VLOOKUP(VALUE(RIGHT(C238,3)),'IMPER-COMP'!B:J,5,FALSE),""))))))))))))))))</f>
        <v>UND</v>
      </c>
      <c r="F238" s="599">
        <f>ROUND(VLOOKUP(A238,'MEM-LEVANT'!A269:I2802,9,FALSE),2)</f>
        <v>12</v>
      </c>
      <c r="G238" s="339">
        <f>IF(B238="IOPES",VLOOKUP(C238,'LABOR-SERVIÇOS'!A:H,7,FALSE),IF(B238="SINAPI",VLOOKUP(C238,'SINAPI-SERVIÇOS'!A:H,8,FALSE),IF(LEFT(C238,3)="ARQ",VLOOKUP(VALUE(RIGHT(C238,3)),'ARQ-COMP'!B:J,9,FALSE),IF(LEFT(C238,3)="SCI",VLOOKUP(VALUE(RIGHT(C238,3)),'GAS-COMP'!#REF!,9,FALSE),IF(LEFT(C238,3)="SCE",VLOOKUP(VALUE(RIGHT(C238,3)),'SCE-COMP'!B:J,9,FALSE),IF(LEFT(C238,3)="EST",VLOOKUP(VALUE(RIGHT(C238,3)),'EST-COMP'!B:J,9,FALSE),IF(LEFT(C238,3)="HID",VLOOKUP(VALUE(RIGHT(C238,3)),'HID-COMP'!B:J,9,FALSE),IF(LEFT(C238,3)="INC",VLOOKUP(VALUE(RIGHT(C238,3)),'INC-COMP'!B:J,9,FALSE),IF(LEFT(C238,3)="ELE",VLOOKUP(VALUE(RIGHT(C238,3)),#REF!,9,FALSE),IF(LEFT(C238,3)="CAB",VLOOKUP(VALUE(RIGHT(C238,3)),#REF!,9,FALSE),IF(LEFT(C238,3)="SEG",VLOOKUP(VALUE(RIGHT(C238,3)),'SEG-COMP'!B:J,9,FALSE),IF(LEFT(C238,3)="CLI",VLOOKUP(VALUE(RIGHT(C238,3)),'CLI-COMP'!B:J,9,FALSE),IF(LEFT(C238,4)="IMPL",VLOOKUP(VALUE(RIGHT(C238,3)),'IMPL-COMP'!B:J,9,FALSE),IF(LEFT(C238,4)="SPDA",VLOOKUP(VALUE(RIGHT(C238,3)),'SPDA-COMP'!B:J,9,FALSE),IF(LEFT(C238,4)="SDAI",VLOOKUP(VALUE(RIGHT(C238,3)),'ADM-COMP'!B:J,9,FALSE),IF(LEFT(C238,5)="IMPER",VLOOKUP(VALUE(RIGHT(C238,3)),'IMPER-COMP'!B:J,9,FALSE),""))))))))))))))))</f>
        <v>122.4</v>
      </c>
      <c r="H238" s="339">
        <f t="shared" si="86"/>
        <v>1468.8</v>
      </c>
      <c r="I238" s="374">
        <f t="shared" si="87"/>
        <v>8.5880132992000155E-5</v>
      </c>
      <c r="J238" s="314"/>
    </row>
    <row r="239" spans="1:10" ht="26.4">
      <c r="A239" s="613" t="s">
        <v>35346</v>
      </c>
      <c r="B239" s="337" t="s">
        <v>2879</v>
      </c>
      <c r="C239" s="540">
        <f>151311</f>
        <v>151311</v>
      </c>
      <c r="D239" s="539" t="str">
        <f>IF(B239="IOPES",VLOOKUP(C239,'LABOR-SERVIÇOS'!A:H,5,FALSE),IF(B239="SINAPI",VLOOKUP(C239,'SINAPI-SERVIÇOS'!A:D,2,FALSE),IF(LEFT(C239,3)="ARQ",VLOOKUP(VALUE(RIGHT(C239,3)),'ARQ-COMP'!B:J,4,FALSE),IF(LEFT(C239,3)="SCI",VLOOKUP(VALUE(RIGHT(C239,3)),'GAS-COMP'!#REF!,4,FALSE),IF(LEFT(C239,3)="SCE",VLOOKUP(VALUE(RIGHT(C239,3)),'SCE-COMP'!B:J,4,FALSE),IF(LEFT(C239,3)="EST",VLOOKUP(VALUE(RIGHT(C239,3)),'EST-COMP'!B:J,4,FALSE),IF(LEFT(C239,3)="HID",VLOOKUP(VALUE(RIGHT(C239,3)),'HID-COMP'!B:J,4,FALSE),IF(LEFT(C239,3)="INC",VLOOKUP(VALUE(RIGHT(C239,3)),'INC-COMP'!B:J,4,FALSE),IF(LEFT(C239,3)="ELE",VLOOKUP(VALUE(RIGHT(C239,3)),#REF!,4,FALSE),IF(LEFT(C239,3)="CAB",VLOOKUP(VALUE(RIGHT(C239,3)),#REF!,4,FALSE),IF(LEFT(C239,3)="SEG",VLOOKUP(VALUE(RIGHT(C239,3)),'SEG-COMP'!B:J,4,FALSE),IF(LEFT(C239,3)="CLI",VLOOKUP(VALUE(RIGHT(C239,3)),'CLI-COMP'!B:J,4,FALSE),IF(LEFT(C239,4)="IMPL",VLOOKUP(VALUE(RIGHT(C239,3)),'IMPL-COMP'!B:J,4,FALSE),IF(LEFT(C239,4)="SPDA",VLOOKUP(VALUE(RIGHT(C239,3)),'SPDA-COMP'!B:J,4,FALSE),IF(LEFT(C239,4)="SDAI",VLOOKUP(VALUE(RIGHT(C239,3)),'ADM-COMP'!B:J,4,FALSE),IF(LEFT(C239,5)="IMPER",VLOOKUP(VALUE(RIGHT(C239,3)),'IMPER-COMP'!B:J,4,FALSE),""))))))))))))))))</f>
        <v>MINI-DISJUNTOR TRIPOLAR 50A, CURVA C, 5KA, 127/220VCA, REFERÊNCIA SIEMENS, GE, SCHNEIDER OU EQUIVALENTE</v>
      </c>
      <c r="E239" s="338" t="str">
        <f>IF(B239="IOPES",VLOOKUP(C239,'LABOR-SERVIÇOS'!A:H,6,FALSE),IF(B239="SINAPI",VLOOKUP(C239,'SINAPI-SERVIÇOS'!A:D,3,FALSE),IF(LEFT(C239,3)="ARQ",VLOOKUP(VALUE(RIGHT(C239,3)),'ARQ-COMP'!B:J,5,FALSE),IF(LEFT(C239,3)="SCI",VLOOKUP(VALUE(RIGHT(C239,3)),'GAS-COMP'!#REF!,5,FALSE),IF(LEFT(C239,3)="SCE",VLOOKUP(VALUE(RIGHT(C239,3)),'SCE-COMP'!B:J,5,FALSE),IF(LEFT(C239,3)="EST",VLOOKUP(VALUE(RIGHT(C239,3)),'EST-COMP'!B:J,5,FALSE),IF(LEFT(C239,3)="HID",VLOOKUP(VALUE(RIGHT(C239,3)),'HID-COMP'!B:J,5,FALSE),IF(LEFT(C239,3)="INC",VLOOKUP(VALUE(RIGHT(C239,3)),'INC-COMP'!B:J,5,FALSE),IF(LEFT(C239,3)="ELE",VLOOKUP(VALUE(RIGHT(C239,3)),#REF!,5,FALSE),IF(LEFT(C239,3)="CAB",VLOOKUP(VALUE(RIGHT(C239,3)),#REF!,5,FALSE),IF(LEFT(C239,3)="SEG",VLOOKUP(VALUE(RIGHT(C239,3)),'SEG-COMP'!B:J,5,FALSE),IF(LEFT(C239,3)="CLI",VLOOKUP(VALUE(RIGHT(C239,3)),'CLI-COMP'!B:J,5,FALSE),IF(LEFT(C239,4)="IMPL",VLOOKUP(VALUE(RIGHT(C239,3)),'IMPL-COMP'!B:J,5,FALSE),IF(LEFT(C239,4)="SPDA",VLOOKUP(VALUE(RIGHT(C239,3)),'SPDA-COMP'!B:J,5,FALSE),IF(LEFT(C239,4)="SDAI",VLOOKUP(VALUE(RIGHT(C239,3)),'ADM-COMP'!B:J,5,FALSE),IF(LEFT(C239,5)="IMPER",VLOOKUP(VALUE(RIGHT(C239,3)),'IMPER-COMP'!B:J,5,FALSE),""))))))))))))))))</f>
        <v>UND</v>
      </c>
      <c r="F239" s="599">
        <f>ROUND(VLOOKUP(A239,'MEM-LEVANT'!A269:I2803,9,FALSE),2)</f>
        <v>5</v>
      </c>
      <c r="G239" s="339">
        <f>IF(B239="IOPES",VLOOKUP(C239,'LABOR-SERVIÇOS'!A:H,7,FALSE),IF(B239="SINAPI",VLOOKUP(C239,'SINAPI-SERVIÇOS'!A:H,8,FALSE),IF(LEFT(C239,3)="ARQ",VLOOKUP(VALUE(RIGHT(C239,3)),'ARQ-COMP'!B:J,9,FALSE),IF(LEFT(C239,3)="SCI",VLOOKUP(VALUE(RIGHT(C239,3)),'GAS-COMP'!#REF!,9,FALSE),IF(LEFT(C239,3)="SCE",VLOOKUP(VALUE(RIGHT(C239,3)),'SCE-COMP'!B:J,9,FALSE),IF(LEFT(C239,3)="EST",VLOOKUP(VALUE(RIGHT(C239,3)),'EST-COMP'!B:J,9,FALSE),IF(LEFT(C239,3)="HID",VLOOKUP(VALUE(RIGHT(C239,3)),'HID-COMP'!B:J,9,FALSE),IF(LEFT(C239,3)="INC",VLOOKUP(VALUE(RIGHT(C239,3)),'INC-COMP'!B:J,9,FALSE),IF(LEFT(C239,3)="ELE",VLOOKUP(VALUE(RIGHT(C239,3)),#REF!,9,FALSE),IF(LEFT(C239,3)="CAB",VLOOKUP(VALUE(RIGHT(C239,3)),#REF!,9,FALSE),IF(LEFT(C239,3)="SEG",VLOOKUP(VALUE(RIGHT(C239,3)),'SEG-COMP'!B:J,9,FALSE),IF(LEFT(C239,3)="CLI",VLOOKUP(VALUE(RIGHT(C239,3)),'CLI-COMP'!B:J,9,FALSE),IF(LEFT(C239,4)="IMPL",VLOOKUP(VALUE(RIGHT(C239,3)),'IMPL-COMP'!B:J,9,FALSE),IF(LEFT(C239,4)="SPDA",VLOOKUP(VALUE(RIGHT(C239,3)),'SPDA-COMP'!B:J,9,FALSE),IF(LEFT(C239,4)="SDAI",VLOOKUP(VALUE(RIGHT(C239,3)),'ADM-COMP'!B:J,9,FALSE),IF(LEFT(C239,5)="IMPER",VLOOKUP(VALUE(RIGHT(C239,3)),'IMPER-COMP'!B:J,9,FALSE),""))))))))))))))))</f>
        <v>126.35</v>
      </c>
      <c r="H239" s="339">
        <f t="shared" si="86"/>
        <v>631.75</v>
      </c>
      <c r="I239" s="374">
        <f t="shared" si="87"/>
        <v>3.6938163138409653E-5</v>
      </c>
      <c r="J239" s="314"/>
    </row>
    <row r="240" spans="1:10" ht="26.4">
      <c r="A240" s="613" t="s">
        <v>35347</v>
      </c>
      <c r="B240" s="337" t="s">
        <v>2879</v>
      </c>
      <c r="C240" s="540">
        <f>151321</f>
        <v>151321</v>
      </c>
      <c r="D240" s="539" t="str">
        <f>IF(B240="IOPES",VLOOKUP(C240,'LABOR-SERVIÇOS'!A:H,5,FALSE),IF(B240="SINAPI",VLOOKUP(C240,'SINAPI-SERVIÇOS'!A:D,2,FALSE),IF(LEFT(C240,3)="ARQ",VLOOKUP(VALUE(RIGHT(C240,3)),'ARQ-COMP'!B:J,4,FALSE),IF(LEFT(C240,3)="SCI",VLOOKUP(VALUE(RIGHT(C240,3)),'GAS-COMP'!#REF!,4,FALSE),IF(LEFT(C240,3)="SCE",VLOOKUP(VALUE(RIGHT(C240,3)),'SCE-COMP'!B:J,4,FALSE),IF(LEFT(C240,3)="EST",VLOOKUP(VALUE(RIGHT(C240,3)),'EST-COMP'!B:J,4,FALSE),IF(LEFT(C240,3)="HID",VLOOKUP(VALUE(RIGHT(C240,3)),'HID-COMP'!B:J,4,FALSE),IF(LEFT(C240,3)="INC",VLOOKUP(VALUE(RIGHT(C240,3)),'INC-COMP'!B:J,4,FALSE),IF(LEFT(C240,3)="ELE",VLOOKUP(VALUE(RIGHT(C240,3)),#REF!,4,FALSE),IF(LEFT(C240,3)="CAB",VLOOKUP(VALUE(RIGHT(C240,3)),#REF!,4,FALSE),IF(LEFT(C240,3)="SEG",VLOOKUP(VALUE(RIGHT(C240,3)),'SEG-COMP'!B:J,4,FALSE),IF(LEFT(C240,3)="CLI",VLOOKUP(VALUE(RIGHT(C240,3)),'CLI-COMP'!B:J,4,FALSE),IF(LEFT(C240,4)="IMPL",VLOOKUP(VALUE(RIGHT(C240,3)),'IMPL-COMP'!B:J,4,FALSE),IF(LEFT(C240,4)="SPDA",VLOOKUP(VALUE(RIGHT(C240,3)),'SPDA-COMP'!B:J,4,FALSE),IF(LEFT(C240,4)="SDAI",VLOOKUP(VALUE(RIGHT(C240,3)),'ADM-COMP'!B:J,4,FALSE),IF(LEFT(C240,5)="IMPER",VLOOKUP(VALUE(RIGHT(C240,3)),'IMPER-COMP'!B:J,4,FALSE),""))))))))))))))))</f>
        <v>MINI-DISJUNTOR BIPOLAR 25A, CURVA C, 5KA, 127/220VCA, REFERÊNCIA SIEMENS, GE, SCHNEIDER OU EQUIVALENTE</v>
      </c>
      <c r="E240" s="338" t="str">
        <f>IF(B240="IOPES",VLOOKUP(C240,'LABOR-SERVIÇOS'!A:H,6,FALSE),IF(B240="SINAPI",VLOOKUP(C240,'SINAPI-SERVIÇOS'!A:D,3,FALSE),IF(LEFT(C240,3)="ARQ",VLOOKUP(VALUE(RIGHT(C240,3)),'ARQ-COMP'!B:J,5,FALSE),IF(LEFT(C240,3)="SCI",VLOOKUP(VALUE(RIGHT(C240,3)),'GAS-COMP'!#REF!,5,FALSE),IF(LEFT(C240,3)="SCE",VLOOKUP(VALUE(RIGHT(C240,3)),'SCE-COMP'!B:J,5,FALSE),IF(LEFT(C240,3)="EST",VLOOKUP(VALUE(RIGHT(C240,3)),'EST-COMP'!B:J,5,FALSE),IF(LEFT(C240,3)="HID",VLOOKUP(VALUE(RIGHT(C240,3)),'HID-COMP'!B:J,5,FALSE),IF(LEFT(C240,3)="INC",VLOOKUP(VALUE(RIGHT(C240,3)),'INC-COMP'!B:J,5,FALSE),IF(LEFT(C240,3)="ELE",VLOOKUP(VALUE(RIGHT(C240,3)),#REF!,5,FALSE),IF(LEFT(C240,3)="CAB",VLOOKUP(VALUE(RIGHT(C240,3)),#REF!,5,FALSE),IF(LEFT(C240,3)="SEG",VLOOKUP(VALUE(RIGHT(C240,3)),'SEG-COMP'!B:J,5,FALSE),IF(LEFT(C240,3)="CLI",VLOOKUP(VALUE(RIGHT(C240,3)),'CLI-COMP'!B:J,5,FALSE),IF(LEFT(C240,4)="IMPL",VLOOKUP(VALUE(RIGHT(C240,3)),'IMPL-COMP'!B:J,5,FALSE),IF(LEFT(C240,4)="SPDA",VLOOKUP(VALUE(RIGHT(C240,3)),'SPDA-COMP'!B:J,5,FALSE),IF(LEFT(C240,4)="SDAI",VLOOKUP(VALUE(RIGHT(C240,3)),'ADM-COMP'!B:J,5,FALSE),IF(LEFT(C240,5)="IMPER",VLOOKUP(VALUE(RIGHT(C240,3)),'IMPER-COMP'!B:J,5,FALSE),""))))))))))))))))</f>
        <v>UND</v>
      </c>
      <c r="F240" s="599">
        <f>ROUND(VLOOKUP(A240,'MEM-LEVANT'!A269:I2804,9,FALSE),2)</f>
        <v>20</v>
      </c>
      <c r="G240" s="339">
        <f>IF(B240="IOPES",VLOOKUP(C240,'LABOR-SERVIÇOS'!A:H,7,FALSE),IF(B240="SINAPI",VLOOKUP(C240,'SINAPI-SERVIÇOS'!A:H,8,FALSE),IF(LEFT(C240,3)="ARQ",VLOOKUP(VALUE(RIGHT(C240,3)),'ARQ-COMP'!B:J,9,FALSE),IF(LEFT(C240,3)="SCI",VLOOKUP(VALUE(RIGHT(C240,3)),'GAS-COMP'!#REF!,9,FALSE),IF(LEFT(C240,3)="SCE",VLOOKUP(VALUE(RIGHT(C240,3)),'SCE-COMP'!B:J,9,FALSE),IF(LEFT(C240,3)="EST",VLOOKUP(VALUE(RIGHT(C240,3)),'EST-COMP'!B:J,9,FALSE),IF(LEFT(C240,3)="HID",VLOOKUP(VALUE(RIGHT(C240,3)),'HID-COMP'!B:J,9,FALSE),IF(LEFT(C240,3)="INC",VLOOKUP(VALUE(RIGHT(C240,3)),'INC-COMP'!B:J,9,FALSE),IF(LEFT(C240,3)="ELE",VLOOKUP(VALUE(RIGHT(C240,3)),#REF!,9,FALSE),IF(LEFT(C240,3)="CAB",VLOOKUP(VALUE(RIGHT(C240,3)),#REF!,9,FALSE),IF(LEFT(C240,3)="SEG",VLOOKUP(VALUE(RIGHT(C240,3)),'SEG-COMP'!B:J,9,FALSE),IF(LEFT(C240,3)="CLI",VLOOKUP(VALUE(RIGHT(C240,3)),'CLI-COMP'!B:J,9,FALSE),IF(LEFT(C240,4)="IMPL",VLOOKUP(VALUE(RIGHT(C240,3)),'IMPL-COMP'!B:J,9,FALSE),IF(LEFT(C240,4)="SPDA",VLOOKUP(VALUE(RIGHT(C240,3)),'SPDA-COMP'!B:J,9,FALSE),IF(LEFT(C240,4)="SDAI",VLOOKUP(VALUE(RIGHT(C240,3)),'ADM-COMP'!B:J,9,FALSE),IF(LEFT(C240,5)="IMPER",VLOOKUP(VALUE(RIGHT(C240,3)),'IMPER-COMP'!B:J,9,FALSE),""))))))))))))))))</f>
        <v>85.21</v>
      </c>
      <c r="H240" s="339">
        <f t="shared" ref="H240:H245" si="88">ROUND(F240*G240,2)</f>
        <v>1704.2</v>
      </c>
      <c r="I240" s="374">
        <f t="shared" si="87"/>
        <v>9.9643874349786672E-5</v>
      </c>
      <c r="J240" s="314"/>
    </row>
    <row r="241" spans="1:10" ht="26.4">
      <c r="A241" s="613" t="s">
        <v>35348</v>
      </c>
      <c r="B241" s="337" t="s">
        <v>2879</v>
      </c>
      <c r="C241" s="540">
        <f>151322</f>
        <v>151322</v>
      </c>
      <c r="D241" s="539" t="str">
        <f>IF(B241="IOPES",VLOOKUP(C241,'LABOR-SERVIÇOS'!A:H,5,FALSE),IF(B241="SINAPI",VLOOKUP(C241,'SINAPI-SERVIÇOS'!A:D,2,FALSE),IF(LEFT(C241,3)="ARQ",VLOOKUP(VALUE(RIGHT(C241,3)),'ARQ-COMP'!B:J,4,FALSE),IF(LEFT(C241,3)="SCI",VLOOKUP(VALUE(RIGHT(C241,3)),'GAS-COMP'!#REF!,4,FALSE),IF(LEFT(C241,3)="SCE",VLOOKUP(VALUE(RIGHT(C241,3)),'SCE-COMP'!B:J,4,FALSE),IF(LEFT(C241,3)="EST",VLOOKUP(VALUE(RIGHT(C241,3)),'EST-COMP'!B:J,4,FALSE),IF(LEFT(C241,3)="HID",VLOOKUP(VALUE(RIGHT(C241,3)),'HID-COMP'!B:J,4,FALSE),IF(LEFT(C241,3)="INC",VLOOKUP(VALUE(RIGHT(C241,3)),'INC-COMP'!B:J,4,FALSE),IF(LEFT(C241,3)="ELE",VLOOKUP(VALUE(RIGHT(C241,3)),#REF!,4,FALSE),IF(LEFT(C241,3)="CAB",VLOOKUP(VALUE(RIGHT(C241,3)),#REF!,4,FALSE),IF(LEFT(C241,3)="SEG",VLOOKUP(VALUE(RIGHT(C241,3)),'SEG-COMP'!B:J,4,FALSE),IF(LEFT(C241,3)="CLI",VLOOKUP(VALUE(RIGHT(C241,3)),'CLI-COMP'!B:J,4,FALSE),IF(LEFT(C241,4)="IMPL",VLOOKUP(VALUE(RIGHT(C241,3)),'IMPL-COMP'!B:J,4,FALSE),IF(LEFT(C241,4)="SPDA",VLOOKUP(VALUE(RIGHT(C241,3)),'SPDA-COMP'!B:J,4,FALSE),IF(LEFT(C241,4)="SDAI",VLOOKUP(VALUE(RIGHT(C241,3)),'ADM-COMP'!B:J,4,FALSE),IF(LEFT(C241,5)="IMPER",VLOOKUP(VALUE(RIGHT(C241,3)),'IMPER-COMP'!B:J,4,FALSE),""))))))))))))))))</f>
        <v>MINI-DISJUNTOR BIPOLAR 32A, CURVA C, 5KA, 127/220VCA, REFERÊNCIA SIEMENS, GE, SCHNEIDER OU EQUIVALENTE</v>
      </c>
      <c r="E241" s="338" t="str">
        <f>IF(B241="IOPES",VLOOKUP(C241,'LABOR-SERVIÇOS'!A:H,6,FALSE),IF(B241="SINAPI",VLOOKUP(C241,'SINAPI-SERVIÇOS'!A:D,3,FALSE),IF(LEFT(C241,3)="ARQ",VLOOKUP(VALUE(RIGHT(C241,3)),'ARQ-COMP'!B:J,5,FALSE),IF(LEFT(C241,3)="SCI",VLOOKUP(VALUE(RIGHT(C241,3)),'GAS-COMP'!#REF!,5,FALSE),IF(LEFT(C241,3)="SCE",VLOOKUP(VALUE(RIGHT(C241,3)),'SCE-COMP'!B:J,5,FALSE),IF(LEFT(C241,3)="EST",VLOOKUP(VALUE(RIGHT(C241,3)),'EST-COMP'!B:J,5,FALSE),IF(LEFT(C241,3)="HID",VLOOKUP(VALUE(RIGHT(C241,3)),'HID-COMP'!B:J,5,FALSE),IF(LEFT(C241,3)="INC",VLOOKUP(VALUE(RIGHT(C241,3)),'INC-COMP'!B:J,5,FALSE),IF(LEFT(C241,3)="ELE",VLOOKUP(VALUE(RIGHT(C241,3)),#REF!,5,FALSE),IF(LEFT(C241,3)="CAB",VLOOKUP(VALUE(RIGHT(C241,3)),#REF!,5,FALSE),IF(LEFT(C241,3)="SEG",VLOOKUP(VALUE(RIGHT(C241,3)),'SEG-COMP'!B:J,5,FALSE),IF(LEFT(C241,3)="CLI",VLOOKUP(VALUE(RIGHT(C241,3)),'CLI-COMP'!B:J,5,FALSE),IF(LEFT(C241,4)="IMPL",VLOOKUP(VALUE(RIGHT(C241,3)),'IMPL-COMP'!B:J,5,FALSE),IF(LEFT(C241,4)="SPDA",VLOOKUP(VALUE(RIGHT(C241,3)),'SPDA-COMP'!B:J,5,FALSE),IF(LEFT(C241,4)="SDAI",VLOOKUP(VALUE(RIGHT(C241,3)),'ADM-COMP'!B:J,5,FALSE),IF(LEFT(C241,5)="IMPER",VLOOKUP(VALUE(RIGHT(C241,3)),'IMPER-COMP'!B:J,5,FALSE),""))))))))))))))))</f>
        <v>UND</v>
      </c>
      <c r="F241" s="599">
        <f>ROUND(VLOOKUP(A241,'MEM-LEVANT'!A269:I2805,9,FALSE),2)</f>
        <v>6</v>
      </c>
      <c r="G241" s="339">
        <f>IF(B241="IOPES",VLOOKUP(C241,'LABOR-SERVIÇOS'!A:H,7,FALSE),IF(B241="SINAPI",VLOOKUP(C241,'SINAPI-SERVIÇOS'!A:H,8,FALSE),IF(LEFT(C241,3)="ARQ",VLOOKUP(VALUE(RIGHT(C241,3)),'ARQ-COMP'!B:J,9,FALSE),IF(LEFT(C241,3)="SCI",VLOOKUP(VALUE(RIGHT(C241,3)),'GAS-COMP'!#REF!,9,FALSE),IF(LEFT(C241,3)="SCE",VLOOKUP(VALUE(RIGHT(C241,3)),'SCE-COMP'!B:J,9,FALSE),IF(LEFT(C241,3)="EST",VLOOKUP(VALUE(RIGHT(C241,3)),'EST-COMP'!B:J,9,FALSE),IF(LEFT(C241,3)="HID",VLOOKUP(VALUE(RIGHT(C241,3)),'HID-COMP'!B:J,9,FALSE),IF(LEFT(C241,3)="INC",VLOOKUP(VALUE(RIGHT(C241,3)),'INC-COMP'!B:J,9,FALSE),IF(LEFT(C241,3)="ELE",VLOOKUP(VALUE(RIGHT(C241,3)),#REF!,9,FALSE),IF(LEFT(C241,3)="CAB",VLOOKUP(VALUE(RIGHT(C241,3)),#REF!,9,FALSE),IF(LEFT(C241,3)="SEG",VLOOKUP(VALUE(RIGHT(C241,3)),'SEG-COMP'!B:J,9,FALSE),IF(LEFT(C241,3)="CLI",VLOOKUP(VALUE(RIGHT(C241,3)),'CLI-COMP'!B:J,9,FALSE),IF(LEFT(C241,4)="IMPL",VLOOKUP(VALUE(RIGHT(C241,3)),'IMPL-COMP'!B:J,9,FALSE),IF(LEFT(C241,4)="SPDA",VLOOKUP(VALUE(RIGHT(C241,3)),'SPDA-COMP'!B:J,9,FALSE),IF(LEFT(C241,4)="SDAI",VLOOKUP(VALUE(RIGHT(C241,3)),'ADM-COMP'!B:J,9,FALSE),IF(LEFT(C241,5)="IMPER",VLOOKUP(VALUE(RIGHT(C241,3)),'IMPER-COMP'!B:J,9,FALSE),""))))))))))))))))</f>
        <v>85.21</v>
      </c>
      <c r="H241" s="339">
        <f t="shared" si="88"/>
        <v>511.26</v>
      </c>
      <c r="I241" s="374">
        <f t="shared" si="87"/>
        <v>2.9893162304936001E-5</v>
      </c>
      <c r="J241" s="314"/>
    </row>
    <row r="242" spans="1:10" ht="26.4">
      <c r="A242" s="613" t="s">
        <v>35349</v>
      </c>
      <c r="B242" s="337" t="s">
        <v>2879</v>
      </c>
      <c r="C242" s="540">
        <f>151323</f>
        <v>151323</v>
      </c>
      <c r="D242" s="539" t="str">
        <f>IF(B242="IOPES",VLOOKUP(C242,'LABOR-SERVIÇOS'!A:H,5,FALSE),IF(B242="SINAPI",VLOOKUP(C242,'SINAPI-SERVIÇOS'!A:D,2,FALSE),IF(LEFT(C242,3)="ARQ",VLOOKUP(VALUE(RIGHT(C242,3)),'ARQ-COMP'!B:J,4,FALSE),IF(LEFT(C242,3)="SCI",VLOOKUP(VALUE(RIGHT(C242,3)),'GAS-COMP'!#REF!,4,FALSE),IF(LEFT(C242,3)="SCE",VLOOKUP(VALUE(RIGHT(C242,3)),'SCE-COMP'!B:J,4,FALSE),IF(LEFT(C242,3)="EST",VLOOKUP(VALUE(RIGHT(C242,3)),'EST-COMP'!B:J,4,FALSE),IF(LEFT(C242,3)="HID",VLOOKUP(VALUE(RIGHT(C242,3)),'HID-COMP'!B:J,4,FALSE),IF(LEFT(C242,3)="INC",VLOOKUP(VALUE(RIGHT(C242,3)),'INC-COMP'!B:J,4,FALSE),IF(LEFT(C242,3)="ELE",VLOOKUP(VALUE(RIGHT(C242,3)),#REF!,4,FALSE),IF(LEFT(C242,3)="CAB",VLOOKUP(VALUE(RIGHT(C242,3)),#REF!,4,FALSE),IF(LEFT(C242,3)="SEG",VLOOKUP(VALUE(RIGHT(C242,3)),'SEG-COMP'!B:J,4,FALSE),IF(LEFT(C242,3)="CLI",VLOOKUP(VALUE(RIGHT(C242,3)),'CLI-COMP'!B:J,4,FALSE),IF(LEFT(C242,4)="IMPL",VLOOKUP(VALUE(RIGHT(C242,3)),'IMPL-COMP'!B:J,4,FALSE),IF(LEFT(C242,4)="SPDA",VLOOKUP(VALUE(RIGHT(C242,3)),'SPDA-COMP'!B:J,4,FALSE),IF(LEFT(C242,4)="SDAI",VLOOKUP(VALUE(RIGHT(C242,3)),'ADM-COMP'!B:J,4,FALSE),IF(LEFT(C242,5)="IMPER",VLOOKUP(VALUE(RIGHT(C242,3)),'IMPER-COMP'!B:J,4,FALSE),""))))))))))))))))</f>
        <v>MINI-DISJUNTOR BIPOLAR 40A, CURVA C, 5KA, 127/220VCA, REFERÊNCIA SIEMENS, GE, SCHNEIDER OU EQUIVALENTE</v>
      </c>
      <c r="E242" s="338" t="str">
        <f>IF(B242="IOPES",VLOOKUP(C242,'LABOR-SERVIÇOS'!A:H,6,FALSE),IF(B242="SINAPI",VLOOKUP(C242,'SINAPI-SERVIÇOS'!A:D,3,FALSE),IF(LEFT(C242,3)="ARQ",VLOOKUP(VALUE(RIGHT(C242,3)),'ARQ-COMP'!B:J,5,FALSE),IF(LEFT(C242,3)="SCI",VLOOKUP(VALUE(RIGHT(C242,3)),'GAS-COMP'!#REF!,5,FALSE),IF(LEFT(C242,3)="SCE",VLOOKUP(VALUE(RIGHT(C242,3)),'SCE-COMP'!B:J,5,FALSE),IF(LEFT(C242,3)="EST",VLOOKUP(VALUE(RIGHT(C242,3)),'EST-COMP'!B:J,5,FALSE),IF(LEFT(C242,3)="HID",VLOOKUP(VALUE(RIGHT(C242,3)),'HID-COMP'!B:J,5,FALSE),IF(LEFT(C242,3)="INC",VLOOKUP(VALUE(RIGHT(C242,3)),'INC-COMP'!B:J,5,FALSE),IF(LEFT(C242,3)="ELE",VLOOKUP(VALUE(RIGHT(C242,3)),#REF!,5,FALSE),IF(LEFT(C242,3)="CAB",VLOOKUP(VALUE(RIGHT(C242,3)),#REF!,5,FALSE),IF(LEFT(C242,3)="SEG",VLOOKUP(VALUE(RIGHT(C242,3)),'SEG-COMP'!B:J,5,FALSE),IF(LEFT(C242,3)="CLI",VLOOKUP(VALUE(RIGHT(C242,3)),'CLI-COMP'!B:J,5,FALSE),IF(LEFT(C242,4)="IMPL",VLOOKUP(VALUE(RIGHT(C242,3)),'IMPL-COMP'!B:J,5,FALSE),IF(LEFT(C242,4)="SPDA",VLOOKUP(VALUE(RIGHT(C242,3)),'SPDA-COMP'!B:J,5,FALSE),IF(LEFT(C242,4)="SDAI",VLOOKUP(VALUE(RIGHT(C242,3)),'ADM-COMP'!B:J,5,FALSE),IF(LEFT(C242,5)="IMPER",VLOOKUP(VALUE(RIGHT(C242,3)),'IMPER-COMP'!B:J,5,FALSE),""))))))))))))))))</f>
        <v>UND</v>
      </c>
      <c r="F242" s="599">
        <f>ROUND(VLOOKUP(A242,'MEM-LEVANT'!A269:I2806,9,FALSE),2)</f>
        <v>2</v>
      </c>
      <c r="G242" s="339">
        <f>IF(B242="IOPES",VLOOKUP(C242,'LABOR-SERVIÇOS'!A:H,7,FALSE),IF(B242="SINAPI",VLOOKUP(C242,'SINAPI-SERVIÇOS'!A:H,8,FALSE),IF(LEFT(C242,3)="ARQ",VLOOKUP(VALUE(RIGHT(C242,3)),'ARQ-COMP'!B:J,9,FALSE),IF(LEFT(C242,3)="SCI",VLOOKUP(VALUE(RIGHT(C242,3)),'GAS-COMP'!#REF!,9,FALSE),IF(LEFT(C242,3)="SCE",VLOOKUP(VALUE(RIGHT(C242,3)),'SCE-COMP'!B:J,9,FALSE),IF(LEFT(C242,3)="EST",VLOOKUP(VALUE(RIGHT(C242,3)),'EST-COMP'!B:J,9,FALSE),IF(LEFT(C242,3)="HID",VLOOKUP(VALUE(RIGHT(C242,3)),'HID-COMP'!B:J,9,FALSE),IF(LEFT(C242,3)="INC",VLOOKUP(VALUE(RIGHT(C242,3)),'INC-COMP'!B:J,9,FALSE),IF(LEFT(C242,3)="ELE",VLOOKUP(VALUE(RIGHT(C242,3)),#REF!,9,FALSE),IF(LEFT(C242,3)="CAB",VLOOKUP(VALUE(RIGHT(C242,3)),#REF!,9,FALSE),IF(LEFT(C242,3)="SEG",VLOOKUP(VALUE(RIGHT(C242,3)),'SEG-COMP'!B:J,9,FALSE),IF(LEFT(C242,3)="CLI",VLOOKUP(VALUE(RIGHT(C242,3)),'CLI-COMP'!B:J,9,FALSE),IF(LEFT(C242,4)="IMPL",VLOOKUP(VALUE(RIGHT(C242,3)),'IMPL-COMP'!B:J,9,FALSE),IF(LEFT(C242,4)="SPDA",VLOOKUP(VALUE(RIGHT(C242,3)),'SPDA-COMP'!B:J,9,FALSE),IF(LEFT(C242,4)="SDAI",VLOOKUP(VALUE(RIGHT(C242,3)),'ADM-COMP'!B:J,9,FALSE),IF(LEFT(C242,5)="IMPER",VLOOKUP(VALUE(RIGHT(C242,3)),'IMPER-COMP'!B:J,9,FALSE),""))))))))))))))))</f>
        <v>89.65</v>
      </c>
      <c r="H242" s="339">
        <f t="shared" si="88"/>
        <v>179.3</v>
      </c>
      <c r="I242" s="374">
        <f t="shared" si="87"/>
        <v>1.0483597389342068E-5</v>
      </c>
      <c r="J242" s="314"/>
    </row>
    <row r="243" spans="1:10" ht="39.6">
      <c r="A243" s="613" t="s">
        <v>35350</v>
      </c>
      <c r="B243" s="337" t="s">
        <v>2879</v>
      </c>
      <c r="C243" s="540">
        <f>151334</f>
        <v>151334</v>
      </c>
      <c r="D243" s="539" t="str">
        <f>IF(B243="IOPES",VLOOKUP(C243,'LABOR-SERVIÇOS'!A:H,5,FALSE),IF(B243="SINAPI",VLOOKUP(C243,'SINAPI-SERVIÇOS'!A:D,2,FALSE),IF(LEFT(C243,3)="ARQ",VLOOKUP(VALUE(RIGHT(C243,3)),'ARQ-COMP'!B:J,4,FALSE),IF(LEFT(C243,3)="SCI",VLOOKUP(VALUE(RIGHT(C243,3)),'GAS-COMP'!#REF!,4,FALSE),IF(LEFT(C243,3)="SCE",VLOOKUP(VALUE(RIGHT(C243,3)),'SCE-COMP'!B:J,4,FALSE),IF(LEFT(C243,3)="EST",VLOOKUP(VALUE(RIGHT(C243,3)),'EST-COMP'!B:J,4,FALSE),IF(LEFT(C243,3)="HID",VLOOKUP(VALUE(RIGHT(C243,3)),'HID-COMP'!B:J,4,FALSE),IF(LEFT(C243,3)="INC",VLOOKUP(VALUE(RIGHT(C243,3)),'INC-COMP'!B:J,4,FALSE),IF(LEFT(C243,3)="ELE",VLOOKUP(VALUE(RIGHT(C243,3)),#REF!,4,FALSE),IF(LEFT(C243,3)="CAB",VLOOKUP(VALUE(RIGHT(C243,3)),#REF!,4,FALSE),IF(LEFT(C243,3)="SEG",VLOOKUP(VALUE(RIGHT(C243,3)),'SEG-COMP'!B:J,4,FALSE),IF(LEFT(C243,3)="CLI",VLOOKUP(VALUE(RIGHT(C243,3)),'CLI-COMP'!B:J,4,FALSE),IF(LEFT(C243,4)="IMPL",VLOOKUP(VALUE(RIGHT(C243,3)),'IMPL-COMP'!B:J,4,FALSE),IF(LEFT(C243,4)="SPDA",VLOOKUP(VALUE(RIGHT(C243,3)),'SPDA-COMP'!B:J,4,FALSE),IF(LEFT(C243,4)="SDAI",VLOOKUP(VALUE(RIGHT(C243,3)),'ADM-COMP'!B:J,4,FALSE),IF(LEFT(C243,5)="IMPER",VLOOKUP(VALUE(RIGHT(C243,3)),'IMPER-COMP'!B:J,4,FALSE),""))))))))))))))))</f>
        <v>DISJUNTOR CAIXA MOLDADA TERMOMAGNETICO FIXO, TRIPOLAR 200A, ICU: 50KA, 400/500VCA, REFERÊNCIA SIEMENS, SOPRANO, SCHNEIDER OU EQUIVALENTE</v>
      </c>
      <c r="E243" s="338" t="str">
        <f>IF(B243="IOPES",VLOOKUP(C243,'LABOR-SERVIÇOS'!A:H,6,FALSE),IF(B243="SINAPI",VLOOKUP(C243,'SINAPI-SERVIÇOS'!A:D,3,FALSE),IF(LEFT(C243,3)="ARQ",VLOOKUP(VALUE(RIGHT(C243,3)),'ARQ-COMP'!B:J,5,FALSE),IF(LEFT(C243,3)="SCI",VLOOKUP(VALUE(RIGHT(C243,3)),'GAS-COMP'!#REF!,5,FALSE),IF(LEFT(C243,3)="SCE",VLOOKUP(VALUE(RIGHT(C243,3)),'SCE-COMP'!B:J,5,FALSE),IF(LEFT(C243,3)="EST",VLOOKUP(VALUE(RIGHT(C243,3)),'EST-COMP'!B:J,5,FALSE),IF(LEFT(C243,3)="HID",VLOOKUP(VALUE(RIGHT(C243,3)),'HID-COMP'!B:J,5,FALSE),IF(LEFT(C243,3)="INC",VLOOKUP(VALUE(RIGHT(C243,3)),'INC-COMP'!B:J,5,FALSE),IF(LEFT(C243,3)="ELE",VLOOKUP(VALUE(RIGHT(C243,3)),#REF!,5,FALSE),IF(LEFT(C243,3)="CAB",VLOOKUP(VALUE(RIGHT(C243,3)),#REF!,5,FALSE),IF(LEFT(C243,3)="SEG",VLOOKUP(VALUE(RIGHT(C243,3)),'SEG-COMP'!B:J,5,FALSE),IF(LEFT(C243,3)="CLI",VLOOKUP(VALUE(RIGHT(C243,3)),'CLI-COMP'!B:J,5,FALSE),IF(LEFT(C243,4)="IMPL",VLOOKUP(VALUE(RIGHT(C243,3)),'IMPL-COMP'!B:J,5,FALSE),IF(LEFT(C243,4)="SPDA",VLOOKUP(VALUE(RIGHT(C243,3)),'SPDA-COMP'!B:J,5,FALSE),IF(LEFT(C243,4)="SDAI",VLOOKUP(VALUE(RIGHT(C243,3)),'ADM-COMP'!B:J,5,FALSE),IF(LEFT(C243,5)="IMPER",VLOOKUP(VALUE(RIGHT(C243,3)),'IMPER-COMP'!B:J,5,FALSE),""))))))))))))))))</f>
        <v>UND</v>
      </c>
      <c r="F243" s="599">
        <f>ROUND(VLOOKUP(A243,'MEM-LEVANT'!A269:I2807,9,FALSE),2)</f>
        <v>1</v>
      </c>
      <c r="G243" s="339">
        <f>IF(B243="IOPES",VLOOKUP(C243,'LABOR-SERVIÇOS'!A:H,7,FALSE),IF(B243="SINAPI",VLOOKUP(C243,'SINAPI-SERVIÇOS'!A:H,8,FALSE),IF(LEFT(C243,3)="ARQ",VLOOKUP(VALUE(RIGHT(C243,3)),'ARQ-COMP'!B:J,9,FALSE),IF(LEFT(C243,3)="SCI",VLOOKUP(VALUE(RIGHT(C243,3)),'GAS-COMP'!#REF!,9,FALSE),IF(LEFT(C243,3)="SCE",VLOOKUP(VALUE(RIGHT(C243,3)),'SCE-COMP'!B:J,9,FALSE),IF(LEFT(C243,3)="EST",VLOOKUP(VALUE(RIGHT(C243,3)),'EST-COMP'!B:J,9,FALSE),IF(LEFT(C243,3)="HID",VLOOKUP(VALUE(RIGHT(C243,3)),'HID-COMP'!B:J,9,FALSE),IF(LEFT(C243,3)="INC",VLOOKUP(VALUE(RIGHT(C243,3)),'INC-COMP'!B:J,9,FALSE),IF(LEFT(C243,3)="ELE",VLOOKUP(VALUE(RIGHT(C243,3)),#REF!,9,FALSE),IF(LEFT(C243,3)="CAB",VLOOKUP(VALUE(RIGHT(C243,3)),#REF!,9,FALSE),IF(LEFT(C243,3)="SEG",VLOOKUP(VALUE(RIGHT(C243,3)),'SEG-COMP'!B:J,9,FALSE),IF(LEFT(C243,3)="CLI",VLOOKUP(VALUE(RIGHT(C243,3)),'CLI-COMP'!B:J,9,FALSE),IF(LEFT(C243,4)="IMPL",VLOOKUP(VALUE(RIGHT(C243,3)),'IMPL-COMP'!B:J,9,FALSE),IF(LEFT(C243,4)="SPDA",VLOOKUP(VALUE(RIGHT(C243,3)),'SPDA-COMP'!B:J,9,FALSE),IF(LEFT(C243,4)="SDAI",VLOOKUP(VALUE(RIGHT(C243,3)),'ADM-COMP'!B:J,9,FALSE),IF(LEFT(C243,5)="IMPER",VLOOKUP(VALUE(RIGHT(C243,3)),'IMPER-COMP'!B:J,9,FALSE),""))))))))))))))))</f>
        <v>684.57</v>
      </c>
      <c r="H243" s="339">
        <f t="shared" si="88"/>
        <v>684.57</v>
      </c>
      <c r="I243" s="374">
        <f t="shared" si="87"/>
        <v>4.0026526853440601E-5</v>
      </c>
      <c r="J243" s="314"/>
    </row>
    <row r="244" spans="1:10" ht="39.6">
      <c r="A244" s="613" t="s">
        <v>35351</v>
      </c>
      <c r="B244" s="337" t="s">
        <v>2879</v>
      </c>
      <c r="C244" s="540">
        <f>151337</f>
        <v>151337</v>
      </c>
      <c r="D244" s="539" t="str">
        <f>IF(B244="IOPES",VLOOKUP(C244,'LABOR-SERVIÇOS'!A:H,5,FALSE),IF(B244="SINAPI",VLOOKUP(C244,'SINAPI-SERVIÇOS'!A:D,2,FALSE),IF(LEFT(C244,3)="ARQ",VLOOKUP(VALUE(RIGHT(C244,3)),'ARQ-COMP'!B:J,4,FALSE),IF(LEFT(C244,3)="SCI",VLOOKUP(VALUE(RIGHT(C244,3)),'GAS-COMP'!#REF!,4,FALSE),IF(LEFT(C244,3)="SCE",VLOOKUP(VALUE(RIGHT(C244,3)),'SCE-COMP'!B:J,4,FALSE),IF(LEFT(C244,3)="EST",VLOOKUP(VALUE(RIGHT(C244,3)),'EST-COMP'!B:J,4,FALSE),IF(LEFT(C244,3)="HID",VLOOKUP(VALUE(RIGHT(C244,3)),'HID-COMP'!B:J,4,FALSE),IF(LEFT(C244,3)="INC",VLOOKUP(VALUE(RIGHT(C244,3)),'INC-COMP'!B:J,4,FALSE),IF(LEFT(C244,3)="ELE",VLOOKUP(VALUE(RIGHT(C244,3)),#REF!,4,FALSE),IF(LEFT(C244,3)="CAB",VLOOKUP(VALUE(RIGHT(C244,3)),#REF!,4,FALSE),IF(LEFT(C244,3)="SEG",VLOOKUP(VALUE(RIGHT(C244,3)),'SEG-COMP'!B:J,4,FALSE),IF(LEFT(C244,3)="CLI",VLOOKUP(VALUE(RIGHT(C244,3)),'CLI-COMP'!B:J,4,FALSE),IF(LEFT(C244,4)="IMPL",VLOOKUP(VALUE(RIGHT(C244,3)),'IMPL-COMP'!B:J,4,FALSE),IF(LEFT(C244,4)="SPDA",VLOOKUP(VALUE(RIGHT(C244,3)),'SPDA-COMP'!B:J,4,FALSE),IF(LEFT(C244,4)="SDAI",VLOOKUP(VALUE(RIGHT(C244,3)),'ADM-COMP'!B:J,4,FALSE),IF(LEFT(C244,5)="IMPER",VLOOKUP(VALUE(RIGHT(C244,3)),'IMPER-COMP'!B:J,4,FALSE),""))))))))))))))))</f>
        <v>DISPOSITIVO DE PROTEÇÃO CONTRA SURTO (DPS) BIPOLAR, 40KA, 275VCA, REFERÊNCIA SIEMENS, STECK, CLAMPER OU EQUIVALENTE</v>
      </c>
      <c r="E244" s="338" t="str">
        <f>IF(B244="IOPES",VLOOKUP(C244,'LABOR-SERVIÇOS'!A:H,6,FALSE),IF(B244="SINAPI",VLOOKUP(C244,'SINAPI-SERVIÇOS'!A:D,3,FALSE),IF(LEFT(C244,3)="ARQ",VLOOKUP(VALUE(RIGHT(C244,3)),'ARQ-COMP'!B:J,5,FALSE),IF(LEFT(C244,3)="SCI",VLOOKUP(VALUE(RIGHT(C244,3)),'GAS-COMP'!#REF!,5,FALSE),IF(LEFT(C244,3)="SCE",VLOOKUP(VALUE(RIGHT(C244,3)),'SCE-COMP'!B:J,5,FALSE),IF(LEFT(C244,3)="EST",VLOOKUP(VALUE(RIGHT(C244,3)),'EST-COMP'!B:J,5,FALSE),IF(LEFT(C244,3)="HID",VLOOKUP(VALUE(RIGHT(C244,3)),'HID-COMP'!B:J,5,FALSE),IF(LEFT(C244,3)="INC",VLOOKUP(VALUE(RIGHT(C244,3)),'INC-COMP'!B:J,5,FALSE),IF(LEFT(C244,3)="ELE",VLOOKUP(VALUE(RIGHT(C244,3)),#REF!,5,FALSE),IF(LEFT(C244,3)="CAB",VLOOKUP(VALUE(RIGHT(C244,3)),#REF!,5,FALSE),IF(LEFT(C244,3)="SEG",VLOOKUP(VALUE(RIGHT(C244,3)),'SEG-COMP'!B:J,5,FALSE),IF(LEFT(C244,3)="CLI",VLOOKUP(VALUE(RIGHT(C244,3)),'CLI-COMP'!B:J,5,FALSE),IF(LEFT(C244,4)="IMPL",VLOOKUP(VALUE(RIGHT(C244,3)),'IMPL-COMP'!B:J,5,FALSE),IF(LEFT(C244,4)="SPDA",VLOOKUP(VALUE(RIGHT(C244,3)),'SPDA-COMP'!B:J,5,FALSE),IF(LEFT(C244,4)="SDAI",VLOOKUP(VALUE(RIGHT(C244,3)),'ADM-COMP'!B:J,5,FALSE),IF(LEFT(C244,5)="IMPER",VLOOKUP(VALUE(RIGHT(C244,3)),'IMPER-COMP'!B:J,5,FALSE),""))))))))))))))))</f>
        <v>UND</v>
      </c>
      <c r="F244" s="599">
        <f>ROUND(VLOOKUP(A244,'MEM-LEVANT'!A269:I2808,9,FALSE),2)</f>
        <v>32</v>
      </c>
      <c r="G244" s="339">
        <f>IF(B244="IOPES",VLOOKUP(C244,'LABOR-SERVIÇOS'!A:H,7,FALSE),IF(B244="SINAPI",VLOOKUP(C244,'SINAPI-SERVIÇOS'!A:H,8,FALSE),IF(LEFT(C244,3)="ARQ",VLOOKUP(VALUE(RIGHT(C244,3)),'ARQ-COMP'!B:J,9,FALSE),IF(LEFT(C244,3)="SCI",VLOOKUP(VALUE(RIGHT(C244,3)),'GAS-COMP'!#REF!,9,FALSE),IF(LEFT(C244,3)="SCE",VLOOKUP(VALUE(RIGHT(C244,3)),'SCE-COMP'!B:J,9,FALSE),IF(LEFT(C244,3)="EST",VLOOKUP(VALUE(RIGHT(C244,3)),'EST-COMP'!B:J,9,FALSE),IF(LEFT(C244,3)="HID",VLOOKUP(VALUE(RIGHT(C244,3)),'HID-COMP'!B:J,9,FALSE),IF(LEFT(C244,3)="INC",VLOOKUP(VALUE(RIGHT(C244,3)),'INC-COMP'!B:J,9,FALSE),IF(LEFT(C244,3)="ELE",VLOOKUP(VALUE(RIGHT(C244,3)),#REF!,9,FALSE),IF(LEFT(C244,3)="CAB",VLOOKUP(VALUE(RIGHT(C244,3)),#REF!,9,FALSE),IF(LEFT(C244,3)="SEG",VLOOKUP(VALUE(RIGHT(C244,3)),'SEG-COMP'!B:J,9,FALSE),IF(LEFT(C244,3)="CLI",VLOOKUP(VALUE(RIGHT(C244,3)),'CLI-COMP'!B:J,9,FALSE),IF(LEFT(C244,4)="IMPL",VLOOKUP(VALUE(RIGHT(C244,3)),'IMPL-COMP'!B:J,9,FALSE),IF(LEFT(C244,4)="SPDA",VLOOKUP(VALUE(RIGHT(C244,3)),'SPDA-COMP'!B:J,9,FALSE),IF(LEFT(C244,4)="SDAI",VLOOKUP(VALUE(RIGHT(C244,3)),'ADM-COMP'!B:J,9,FALSE),IF(LEFT(C244,5)="IMPER",VLOOKUP(VALUE(RIGHT(C244,3)),'IMPER-COMP'!B:J,9,FALSE),""))))))))))))))))</f>
        <v>152.76</v>
      </c>
      <c r="H244" s="339">
        <f t="shared" si="88"/>
        <v>4888.32</v>
      </c>
      <c r="I244" s="374">
        <f t="shared" si="87"/>
        <v>2.8581806352631682E-4</v>
      </c>
      <c r="J244" s="314"/>
    </row>
    <row r="245" spans="1:10" ht="26.4">
      <c r="A245" s="613" t="s">
        <v>35352</v>
      </c>
      <c r="B245" s="337" t="s">
        <v>2879</v>
      </c>
      <c r="C245" s="540">
        <f>151350</f>
        <v>151350</v>
      </c>
      <c r="D245" s="539" t="str">
        <f>IF(B245="IOPES",VLOOKUP(C245,'LABOR-SERVIÇOS'!A:H,5,FALSE),IF(B245="SINAPI",VLOOKUP(C245,'SINAPI-SERVIÇOS'!A:D,2,FALSE),IF(LEFT(C245,3)="ARQ",VLOOKUP(VALUE(RIGHT(C245,3)),'ARQ-COMP'!B:J,4,FALSE),IF(LEFT(C245,3)="SCI",VLOOKUP(VALUE(RIGHT(C245,3)),'GAS-COMP'!#REF!,4,FALSE),IF(LEFT(C245,3)="SCE",VLOOKUP(VALUE(RIGHT(C245,3)),'SCE-COMP'!B:J,4,FALSE),IF(LEFT(C245,3)="EST",VLOOKUP(VALUE(RIGHT(C245,3)),'EST-COMP'!B:J,4,FALSE),IF(LEFT(C245,3)="HID",VLOOKUP(VALUE(RIGHT(C245,3)),'HID-COMP'!B:J,4,FALSE),IF(LEFT(C245,3)="INC",VLOOKUP(VALUE(RIGHT(C245,3)),'INC-COMP'!B:J,4,FALSE),IF(LEFT(C245,3)="ELE",VLOOKUP(VALUE(RIGHT(C245,3)),#REF!,4,FALSE),IF(LEFT(C245,3)="CAB",VLOOKUP(VALUE(RIGHT(C245,3)),#REF!,4,FALSE),IF(LEFT(C245,3)="SEG",VLOOKUP(VALUE(RIGHT(C245,3)),'SEG-COMP'!B:J,4,FALSE),IF(LEFT(C245,3)="CLI",VLOOKUP(VALUE(RIGHT(C245,3)),'CLI-COMP'!B:J,4,FALSE),IF(LEFT(C245,4)="IMPL",VLOOKUP(VALUE(RIGHT(C245,3)),'IMPL-COMP'!B:J,4,FALSE),IF(LEFT(C245,4)="SPDA",VLOOKUP(VALUE(RIGHT(C245,3)),'SPDA-COMP'!B:J,4,FALSE),IF(LEFT(C245,4)="SDAI",VLOOKUP(VALUE(RIGHT(C245,3)),'ADM-COMP'!B:J,4,FALSE),IF(LEFT(C245,5)="IMPER",VLOOKUP(VALUE(RIGHT(C245,3)),'IMPER-COMP'!B:J,4,FALSE),""))))))))))))))))</f>
        <v>INTERRUPTOR DIFERENCIAL BIPOLAR DR 25A, 30MA ? 6KA, REFERÊNCIA SIEMENS, SCHNEIDER, WEG OU EQUIVALENTE</v>
      </c>
      <c r="E245" s="338" t="str">
        <f>IF(B245="IOPES",VLOOKUP(C245,'LABOR-SERVIÇOS'!A:H,6,FALSE),IF(B245="SINAPI",VLOOKUP(C245,'SINAPI-SERVIÇOS'!A:D,3,FALSE),IF(LEFT(C245,3)="ARQ",VLOOKUP(VALUE(RIGHT(C245,3)),'ARQ-COMP'!B:J,5,FALSE),IF(LEFT(C245,3)="SCI",VLOOKUP(VALUE(RIGHT(C245,3)),'GAS-COMP'!#REF!,5,FALSE),IF(LEFT(C245,3)="SCE",VLOOKUP(VALUE(RIGHT(C245,3)),'SCE-COMP'!B:J,5,FALSE),IF(LEFT(C245,3)="EST",VLOOKUP(VALUE(RIGHT(C245,3)),'EST-COMP'!B:J,5,FALSE),IF(LEFT(C245,3)="HID",VLOOKUP(VALUE(RIGHT(C245,3)),'HID-COMP'!B:J,5,FALSE),IF(LEFT(C245,3)="INC",VLOOKUP(VALUE(RIGHT(C245,3)),'INC-COMP'!B:J,5,FALSE),IF(LEFT(C245,3)="ELE",VLOOKUP(VALUE(RIGHT(C245,3)),#REF!,5,FALSE),IF(LEFT(C245,3)="CAB",VLOOKUP(VALUE(RIGHT(C245,3)),#REF!,5,FALSE),IF(LEFT(C245,3)="SEG",VLOOKUP(VALUE(RIGHT(C245,3)),'SEG-COMP'!B:J,5,FALSE),IF(LEFT(C245,3)="CLI",VLOOKUP(VALUE(RIGHT(C245,3)),'CLI-COMP'!B:J,5,FALSE),IF(LEFT(C245,4)="IMPL",VLOOKUP(VALUE(RIGHT(C245,3)),'IMPL-COMP'!B:J,5,FALSE),IF(LEFT(C245,4)="SPDA",VLOOKUP(VALUE(RIGHT(C245,3)),'SPDA-COMP'!B:J,5,FALSE),IF(LEFT(C245,4)="SDAI",VLOOKUP(VALUE(RIGHT(C245,3)),'ADM-COMP'!B:J,5,FALSE),IF(LEFT(C245,5)="IMPER",VLOOKUP(VALUE(RIGHT(C245,3)),'IMPER-COMP'!B:J,5,FALSE),""))))))))))))))))</f>
        <v>UND</v>
      </c>
      <c r="F245" s="599">
        <f>ROUND(VLOOKUP(A245,'MEM-LEVANT'!A269:I2809,9,FALSE),2)</f>
        <v>32</v>
      </c>
      <c r="G245" s="339">
        <f>IF(B245="IOPES",VLOOKUP(C245,'LABOR-SERVIÇOS'!A:H,7,FALSE),IF(B245="SINAPI",VLOOKUP(C245,'SINAPI-SERVIÇOS'!A:H,8,FALSE),IF(LEFT(C245,3)="ARQ",VLOOKUP(VALUE(RIGHT(C245,3)),'ARQ-COMP'!B:J,9,FALSE),IF(LEFT(C245,3)="SCI",VLOOKUP(VALUE(RIGHT(C245,3)),'GAS-COMP'!#REF!,9,FALSE),IF(LEFT(C245,3)="SCE",VLOOKUP(VALUE(RIGHT(C245,3)),'SCE-COMP'!B:J,9,FALSE),IF(LEFT(C245,3)="EST",VLOOKUP(VALUE(RIGHT(C245,3)),'EST-COMP'!B:J,9,FALSE),IF(LEFT(C245,3)="HID",VLOOKUP(VALUE(RIGHT(C245,3)),'HID-COMP'!B:J,9,FALSE),IF(LEFT(C245,3)="INC",VLOOKUP(VALUE(RIGHT(C245,3)),'INC-COMP'!B:J,9,FALSE),IF(LEFT(C245,3)="ELE",VLOOKUP(VALUE(RIGHT(C245,3)),#REF!,9,FALSE),IF(LEFT(C245,3)="CAB",VLOOKUP(VALUE(RIGHT(C245,3)),#REF!,9,FALSE),IF(LEFT(C245,3)="SEG",VLOOKUP(VALUE(RIGHT(C245,3)),'SEG-COMP'!B:J,9,FALSE),IF(LEFT(C245,3)="CLI",VLOOKUP(VALUE(RIGHT(C245,3)),'CLI-COMP'!B:J,9,FALSE),IF(LEFT(C245,4)="IMPL",VLOOKUP(VALUE(RIGHT(C245,3)),'IMPL-COMP'!B:J,9,FALSE),IF(LEFT(C245,4)="SPDA",VLOOKUP(VALUE(RIGHT(C245,3)),'SPDA-COMP'!B:J,9,FALSE),IF(LEFT(C245,4)="SDAI",VLOOKUP(VALUE(RIGHT(C245,3)),'ADM-COMP'!B:J,9,FALSE),IF(LEFT(C245,5)="IMPER",VLOOKUP(VALUE(RIGHT(C245,3)),'IMPER-COMP'!B:J,9,FALSE),""))))))))))))))))</f>
        <v>186.08</v>
      </c>
      <c r="H245" s="339">
        <f t="shared" si="88"/>
        <v>5954.56</v>
      </c>
      <c r="I245" s="374">
        <f t="shared" si="87"/>
        <v>3.4816067858717622E-4</v>
      </c>
      <c r="J245" s="314"/>
    </row>
    <row r="246" spans="1:10">
      <c r="A246" s="553" t="s">
        <v>35353</v>
      </c>
      <c r="B246" s="554"/>
      <c r="C246" s="555"/>
      <c r="D246" s="556" t="s">
        <v>516</v>
      </c>
      <c r="E246" s="557"/>
      <c r="F246" s="598"/>
      <c r="G246" s="558"/>
      <c r="H246" s="559"/>
      <c r="I246" s="560"/>
      <c r="J246" s="314"/>
    </row>
    <row r="247" spans="1:10" ht="26.4">
      <c r="A247" s="613" t="s">
        <v>35354</v>
      </c>
      <c r="B247" s="337" t="s">
        <v>2879</v>
      </c>
      <c r="C247" s="540">
        <f>151401</f>
        <v>151401</v>
      </c>
      <c r="D247" s="539" t="str">
        <f>IF(B247="IOPES",VLOOKUP(C247,'LABOR-SERVIÇOS'!A:H,5,FALSE),IF(B247="SINAPI",VLOOKUP(C247,'SINAPI-SERVIÇOS'!A:D,2,FALSE),IF(LEFT(C247,3)="ARQ",VLOOKUP(VALUE(RIGHT(C247,3)),'ARQ-COMP'!B:J,4,FALSE),IF(LEFT(C247,3)="SCI",VLOOKUP(VALUE(RIGHT(C247,3)),'GAS-COMP'!#REF!,4,FALSE),IF(LEFT(C247,3)="SCE",VLOOKUP(VALUE(RIGHT(C247,3)),'SCE-COMP'!B:J,4,FALSE),IF(LEFT(C247,3)="EST",VLOOKUP(VALUE(RIGHT(C247,3)),'EST-COMP'!B:J,4,FALSE),IF(LEFT(C247,3)="HID",VLOOKUP(VALUE(RIGHT(C247,3)),'HID-COMP'!B:J,4,FALSE),IF(LEFT(C247,3)="INC",VLOOKUP(VALUE(RIGHT(C247,3)),'INC-COMP'!B:J,4,FALSE),IF(LEFT(C247,3)="ELE",VLOOKUP(VALUE(RIGHT(C247,3)),#REF!,4,FALSE),IF(LEFT(C247,3)="CAB",VLOOKUP(VALUE(RIGHT(C247,3)),#REF!,4,FALSE),IF(LEFT(C247,3)="SEG",VLOOKUP(VALUE(RIGHT(C247,3)),'SEG-COMP'!B:J,4,FALSE),IF(LEFT(C247,3)="CLI",VLOOKUP(VALUE(RIGHT(C247,3)),'CLI-COMP'!B:J,4,FALSE),IF(LEFT(C247,4)="IMPL",VLOOKUP(VALUE(RIGHT(C247,3)),'IMPL-COMP'!B:J,4,FALSE),IF(LEFT(C247,4)="SPDA",VLOOKUP(VALUE(RIGHT(C247,3)),'SPDA-COMP'!B:J,4,FALSE),IF(LEFT(C247,4)="SDAI",VLOOKUP(VALUE(RIGHT(C247,3)),'ADM-COMP'!B:J,4,FALSE),IF(LEFT(C247,5)="IMPER",VLOOKUP(VALUE(RIGHT(C247,3)),'IMPER-COMP'!B:J,4,FALSE),""))))))))))))))))</f>
        <v>CABO DE COBRE TERMOPLÁSTICO (PVC) FLEXÍVEL ISOLADO 450/750V, ANTICHAMA BWF LIVRE DE CHUMBO, 70ºC - 1,5MM2</v>
      </c>
      <c r="E247" s="338" t="str">
        <f>IF(B247="IOPES",VLOOKUP(C247,'LABOR-SERVIÇOS'!A:H,6,FALSE),IF(B247="SINAPI",VLOOKUP(C247,'SINAPI-SERVIÇOS'!A:D,3,FALSE),IF(LEFT(C247,3)="ARQ",VLOOKUP(VALUE(RIGHT(C247,3)),'ARQ-COMP'!B:J,5,FALSE),IF(LEFT(C247,3)="SCI",VLOOKUP(VALUE(RIGHT(C247,3)),'GAS-COMP'!#REF!,5,FALSE),IF(LEFT(C247,3)="SCE",VLOOKUP(VALUE(RIGHT(C247,3)),'SCE-COMP'!B:J,5,FALSE),IF(LEFT(C247,3)="EST",VLOOKUP(VALUE(RIGHT(C247,3)),'EST-COMP'!B:J,5,FALSE),IF(LEFT(C247,3)="HID",VLOOKUP(VALUE(RIGHT(C247,3)),'HID-COMP'!B:J,5,FALSE),IF(LEFT(C247,3)="INC",VLOOKUP(VALUE(RIGHT(C247,3)),'INC-COMP'!B:J,5,FALSE),IF(LEFT(C247,3)="ELE",VLOOKUP(VALUE(RIGHT(C247,3)),#REF!,5,FALSE),IF(LEFT(C247,3)="CAB",VLOOKUP(VALUE(RIGHT(C247,3)),#REF!,5,FALSE),IF(LEFT(C247,3)="SEG",VLOOKUP(VALUE(RIGHT(C247,3)),'SEG-COMP'!B:J,5,FALSE),IF(LEFT(C247,3)="CLI",VLOOKUP(VALUE(RIGHT(C247,3)),'CLI-COMP'!B:J,5,FALSE),IF(LEFT(C247,4)="IMPL",VLOOKUP(VALUE(RIGHT(C247,3)),'IMPL-COMP'!B:J,5,FALSE),IF(LEFT(C247,4)="SPDA",VLOOKUP(VALUE(RIGHT(C247,3)),'SPDA-COMP'!B:J,5,FALSE),IF(LEFT(C247,4)="SDAI",VLOOKUP(VALUE(RIGHT(C247,3)),'ADM-COMP'!B:J,5,FALSE),IF(LEFT(C247,5)="IMPER",VLOOKUP(VALUE(RIGHT(C247,3)),'IMPER-COMP'!B:J,5,FALSE),""))))))))))))))))</f>
        <v>M</v>
      </c>
      <c r="F247" s="599">
        <f>ROUND(VLOOKUP(A247,'MEM-LEVANT'!A269:I2806,9,FALSE),2)</f>
        <v>15000</v>
      </c>
      <c r="G247" s="339">
        <f>IF(B247="IOPES",VLOOKUP(C247,'LABOR-SERVIÇOS'!A:H,7,FALSE),IF(B247="SINAPI",VLOOKUP(C247,'SINAPI-SERVIÇOS'!A:H,8,FALSE),IF(LEFT(C247,3)="ARQ",VLOOKUP(VALUE(RIGHT(C247,3)),'ARQ-COMP'!B:J,9,FALSE),IF(LEFT(C247,3)="SCI",VLOOKUP(VALUE(RIGHT(C247,3)),'GAS-COMP'!#REF!,9,FALSE),IF(LEFT(C247,3)="SCE",VLOOKUP(VALUE(RIGHT(C247,3)),'SCE-COMP'!B:J,9,FALSE),IF(LEFT(C247,3)="EST",VLOOKUP(VALUE(RIGHT(C247,3)),'EST-COMP'!B:J,9,FALSE),IF(LEFT(C247,3)="HID",VLOOKUP(VALUE(RIGHT(C247,3)),'HID-COMP'!B:J,9,FALSE),IF(LEFT(C247,3)="INC",VLOOKUP(VALUE(RIGHT(C247,3)),'INC-COMP'!B:J,9,FALSE),IF(LEFT(C247,3)="ELE",VLOOKUP(VALUE(RIGHT(C247,3)),#REF!,9,FALSE),IF(LEFT(C247,3)="CAB",VLOOKUP(VALUE(RIGHT(C247,3)),#REF!,9,FALSE),IF(LEFT(C247,3)="SEG",VLOOKUP(VALUE(RIGHT(C247,3)),'SEG-COMP'!B:J,9,FALSE),IF(LEFT(C247,3)="CLI",VLOOKUP(VALUE(RIGHT(C247,3)),'CLI-COMP'!B:J,9,FALSE),IF(LEFT(C247,4)="IMPL",VLOOKUP(VALUE(RIGHT(C247,3)),'IMPL-COMP'!B:J,9,FALSE),IF(LEFT(C247,4)="SPDA",VLOOKUP(VALUE(RIGHT(C247,3)),'SPDA-COMP'!B:J,9,FALSE),IF(LEFT(C247,4)="SDAI",VLOOKUP(VALUE(RIGHT(C247,3)),'ADM-COMP'!B:J,9,FALSE),IF(LEFT(C247,5)="IMPER",VLOOKUP(VALUE(RIGHT(C247,3)),'IMPER-COMP'!B:J,9,FALSE),""))))))))))))))))</f>
        <v>8.5399999999999991</v>
      </c>
      <c r="H247" s="339">
        <f t="shared" ref="H247:H253" si="89">ROUND(F247*G247,2)</f>
        <v>128100</v>
      </c>
      <c r="I247" s="374">
        <f t="shared" ref="I247:I255" si="90">H247/$H$441</f>
        <v>7.4899544092287716E-3</v>
      </c>
      <c r="J247" s="314"/>
    </row>
    <row r="248" spans="1:10" ht="26.4">
      <c r="A248" s="613" t="s">
        <v>35355</v>
      </c>
      <c r="B248" s="337" t="s">
        <v>2879</v>
      </c>
      <c r="C248" s="540">
        <f>151402</f>
        <v>151402</v>
      </c>
      <c r="D248" s="539" t="str">
        <f>IF(B248="IOPES",VLOOKUP(C248,'LABOR-SERVIÇOS'!A:H,5,FALSE),IF(B248="SINAPI",VLOOKUP(C248,'SINAPI-SERVIÇOS'!A:D,2,FALSE),IF(LEFT(C248,3)="ARQ",VLOOKUP(VALUE(RIGHT(C248,3)),'ARQ-COMP'!B:J,4,FALSE),IF(LEFT(C248,3)="SCI",VLOOKUP(VALUE(RIGHT(C248,3)),'GAS-COMP'!#REF!,4,FALSE),IF(LEFT(C248,3)="SCE",VLOOKUP(VALUE(RIGHT(C248,3)),'SCE-COMP'!B:J,4,FALSE),IF(LEFT(C248,3)="EST",VLOOKUP(VALUE(RIGHT(C248,3)),'EST-COMP'!B:J,4,FALSE),IF(LEFT(C248,3)="HID",VLOOKUP(VALUE(RIGHT(C248,3)),'HID-COMP'!B:J,4,FALSE),IF(LEFT(C248,3)="INC",VLOOKUP(VALUE(RIGHT(C248,3)),'INC-COMP'!B:J,4,FALSE),IF(LEFT(C248,3)="ELE",VLOOKUP(VALUE(RIGHT(C248,3)),#REF!,4,FALSE),IF(LEFT(C248,3)="CAB",VLOOKUP(VALUE(RIGHT(C248,3)),#REF!,4,FALSE),IF(LEFT(C248,3)="SEG",VLOOKUP(VALUE(RIGHT(C248,3)),'SEG-COMP'!B:J,4,FALSE),IF(LEFT(C248,3)="CLI",VLOOKUP(VALUE(RIGHT(C248,3)),'CLI-COMP'!B:J,4,FALSE),IF(LEFT(C248,4)="IMPL",VLOOKUP(VALUE(RIGHT(C248,3)),'IMPL-COMP'!B:J,4,FALSE),IF(LEFT(C248,4)="SPDA",VLOOKUP(VALUE(RIGHT(C248,3)),'SPDA-COMP'!B:J,4,FALSE),IF(LEFT(C248,4)="SDAI",VLOOKUP(VALUE(RIGHT(C248,3)),'ADM-COMP'!B:J,4,FALSE),IF(LEFT(C248,5)="IMPER",VLOOKUP(VALUE(RIGHT(C248,3)),'IMPER-COMP'!B:J,4,FALSE),""))))))))))))))))</f>
        <v>CABO DE COBRE TERMOPLÁSTICO (PVC) FLEXÍVEL ISOLADO 450/750V, ANTICHAMA BWF LIVRE DE CHUMBO, 70ºC - 2,5MM2</v>
      </c>
      <c r="E248" s="338" t="str">
        <f>IF(B248="IOPES",VLOOKUP(C248,'LABOR-SERVIÇOS'!A:H,6,FALSE),IF(B248="SINAPI",VLOOKUP(C248,'SINAPI-SERVIÇOS'!A:D,3,FALSE),IF(LEFT(C248,3)="ARQ",VLOOKUP(VALUE(RIGHT(C248,3)),'ARQ-COMP'!B:J,5,FALSE),IF(LEFT(C248,3)="SCI",VLOOKUP(VALUE(RIGHT(C248,3)),'GAS-COMP'!#REF!,5,FALSE),IF(LEFT(C248,3)="SCE",VLOOKUP(VALUE(RIGHT(C248,3)),'SCE-COMP'!B:J,5,FALSE),IF(LEFT(C248,3)="EST",VLOOKUP(VALUE(RIGHT(C248,3)),'EST-COMP'!B:J,5,FALSE),IF(LEFT(C248,3)="HID",VLOOKUP(VALUE(RIGHT(C248,3)),'HID-COMP'!B:J,5,FALSE),IF(LEFT(C248,3)="INC",VLOOKUP(VALUE(RIGHT(C248,3)),'INC-COMP'!B:J,5,FALSE),IF(LEFT(C248,3)="ELE",VLOOKUP(VALUE(RIGHT(C248,3)),#REF!,5,FALSE),IF(LEFT(C248,3)="CAB",VLOOKUP(VALUE(RIGHT(C248,3)),#REF!,5,FALSE),IF(LEFT(C248,3)="SEG",VLOOKUP(VALUE(RIGHT(C248,3)),'SEG-COMP'!B:J,5,FALSE),IF(LEFT(C248,3)="CLI",VLOOKUP(VALUE(RIGHT(C248,3)),'CLI-COMP'!B:J,5,FALSE),IF(LEFT(C248,4)="IMPL",VLOOKUP(VALUE(RIGHT(C248,3)),'IMPL-COMP'!B:J,5,FALSE),IF(LEFT(C248,4)="SPDA",VLOOKUP(VALUE(RIGHT(C248,3)),'SPDA-COMP'!B:J,5,FALSE),IF(LEFT(C248,4)="SDAI",VLOOKUP(VALUE(RIGHT(C248,3)),'ADM-COMP'!B:J,5,FALSE),IF(LEFT(C248,5)="IMPER",VLOOKUP(VALUE(RIGHT(C248,3)),'IMPER-COMP'!B:J,5,FALSE),""))))))))))))))))</f>
        <v>M</v>
      </c>
      <c r="F248" s="599">
        <f>ROUND(VLOOKUP(A248,'MEM-LEVANT'!A269:I2807,9,FALSE),2)</f>
        <v>10000</v>
      </c>
      <c r="G248" s="339">
        <f>IF(B248="IOPES",VLOOKUP(C248,'LABOR-SERVIÇOS'!A:H,7,FALSE),IF(B248="SINAPI",VLOOKUP(C248,'SINAPI-SERVIÇOS'!A:H,8,FALSE),IF(LEFT(C248,3)="ARQ",VLOOKUP(VALUE(RIGHT(C248,3)),'ARQ-COMP'!B:J,9,FALSE),IF(LEFT(C248,3)="SCI",VLOOKUP(VALUE(RIGHT(C248,3)),'GAS-COMP'!#REF!,9,FALSE),IF(LEFT(C248,3)="SCE",VLOOKUP(VALUE(RIGHT(C248,3)),'SCE-COMP'!B:J,9,FALSE),IF(LEFT(C248,3)="EST",VLOOKUP(VALUE(RIGHT(C248,3)),'EST-COMP'!B:J,9,FALSE),IF(LEFT(C248,3)="HID",VLOOKUP(VALUE(RIGHT(C248,3)),'HID-COMP'!B:J,9,FALSE),IF(LEFT(C248,3)="INC",VLOOKUP(VALUE(RIGHT(C248,3)),'INC-COMP'!B:J,9,FALSE),IF(LEFT(C248,3)="ELE",VLOOKUP(VALUE(RIGHT(C248,3)),#REF!,9,FALSE),IF(LEFT(C248,3)="CAB",VLOOKUP(VALUE(RIGHT(C248,3)),#REF!,9,FALSE),IF(LEFT(C248,3)="SEG",VLOOKUP(VALUE(RIGHT(C248,3)),'SEG-COMP'!B:J,9,FALSE),IF(LEFT(C248,3)="CLI",VLOOKUP(VALUE(RIGHT(C248,3)),'CLI-COMP'!B:J,9,FALSE),IF(LEFT(C248,4)="IMPL",VLOOKUP(VALUE(RIGHT(C248,3)),'IMPL-COMP'!B:J,9,FALSE),IF(LEFT(C248,4)="SPDA",VLOOKUP(VALUE(RIGHT(C248,3)),'SPDA-COMP'!B:J,9,FALSE),IF(LEFT(C248,4)="SDAI",VLOOKUP(VALUE(RIGHT(C248,3)),'ADM-COMP'!B:J,9,FALSE),IF(LEFT(C248,5)="IMPER",VLOOKUP(VALUE(RIGHT(C248,3)),'IMPER-COMP'!B:J,9,FALSE),""))))))))))))))))</f>
        <v>10.38</v>
      </c>
      <c r="H248" s="339">
        <f t="shared" si="89"/>
        <v>103800</v>
      </c>
      <c r="I248" s="374">
        <f t="shared" si="90"/>
        <v>6.0691433854640634E-3</v>
      </c>
      <c r="J248" s="314"/>
    </row>
    <row r="249" spans="1:10" ht="26.4">
      <c r="A249" s="613" t="s">
        <v>35356</v>
      </c>
      <c r="B249" s="337" t="s">
        <v>2879</v>
      </c>
      <c r="C249" s="540">
        <f>151403</f>
        <v>151403</v>
      </c>
      <c r="D249" s="539" t="str">
        <f>IF(B249="IOPES",VLOOKUP(C249,'LABOR-SERVIÇOS'!A:H,5,FALSE),IF(B249="SINAPI",VLOOKUP(C249,'SINAPI-SERVIÇOS'!A:D,2,FALSE),IF(LEFT(C249,3)="ARQ",VLOOKUP(VALUE(RIGHT(C249,3)),'ARQ-COMP'!B:J,4,FALSE),IF(LEFT(C249,3)="SCI",VLOOKUP(VALUE(RIGHT(C249,3)),'GAS-COMP'!#REF!,4,FALSE),IF(LEFT(C249,3)="SCE",VLOOKUP(VALUE(RIGHT(C249,3)),'SCE-COMP'!B:J,4,FALSE),IF(LEFT(C249,3)="EST",VLOOKUP(VALUE(RIGHT(C249,3)),'EST-COMP'!B:J,4,FALSE),IF(LEFT(C249,3)="HID",VLOOKUP(VALUE(RIGHT(C249,3)),'HID-COMP'!B:J,4,FALSE),IF(LEFT(C249,3)="INC",VLOOKUP(VALUE(RIGHT(C249,3)),'INC-COMP'!B:J,4,FALSE),IF(LEFT(C249,3)="ELE",VLOOKUP(VALUE(RIGHT(C249,3)),#REF!,4,FALSE),IF(LEFT(C249,3)="CAB",VLOOKUP(VALUE(RIGHT(C249,3)),#REF!,4,FALSE),IF(LEFT(C249,3)="SEG",VLOOKUP(VALUE(RIGHT(C249,3)),'SEG-COMP'!B:J,4,FALSE),IF(LEFT(C249,3)="CLI",VLOOKUP(VALUE(RIGHT(C249,3)),'CLI-COMP'!B:J,4,FALSE),IF(LEFT(C249,4)="IMPL",VLOOKUP(VALUE(RIGHT(C249,3)),'IMPL-COMP'!B:J,4,FALSE),IF(LEFT(C249,4)="SPDA",VLOOKUP(VALUE(RIGHT(C249,3)),'SPDA-COMP'!B:J,4,FALSE),IF(LEFT(C249,4)="SDAI",VLOOKUP(VALUE(RIGHT(C249,3)),'ADM-COMP'!B:J,4,FALSE),IF(LEFT(C249,5)="IMPER",VLOOKUP(VALUE(RIGHT(C249,3)),'IMPER-COMP'!B:J,4,FALSE),""))))))))))))))))</f>
        <v>CABO DE COBRE TERMOPLÁSTICO (PVC) FLEXÍVEL ISOLADO 450/750V, ANTICHAMA BWF LIVRE DE CHUMBO, 70ºC ? 4,0MM2</v>
      </c>
      <c r="E249" s="338" t="str">
        <f>IF(B249="IOPES",VLOOKUP(C249,'LABOR-SERVIÇOS'!A:H,6,FALSE),IF(B249="SINAPI",VLOOKUP(C249,'SINAPI-SERVIÇOS'!A:D,3,FALSE),IF(LEFT(C249,3)="ARQ",VLOOKUP(VALUE(RIGHT(C249,3)),'ARQ-COMP'!B:J,5,FALSE),IF(LEFT(C249,3)="SCI",VLOOKUP(VALUE(RIGHT(C249,3)),'GAS-COMP'!#REF!,5,FALSE),IF(LEFT(C249,3)="SCE",VLOOKUP(VALUE(RIGHT(C249,3)),'SCE-COMP'!B:J,5,FALSE),IF(LEFT(C249,3)="EST",VLOOKUP(VALUE(RIGHT(C249,3)),'EST-COMP'!B:J,5,FALSE),IF(LEFT(C249,3)="HID",VLOOKUP(VALUE(RIGHT(C249,3)),'HID-COMP'!B:J,5,FALSE),IF(LEFT(C249,3)="INC",VLOOKUP(VALUE(RIGHT(C249,3)),'INC-COMP'!B:J,5,FALSE),IF(LEFT(C249,3)="ELE",VLOOKUP(VALUE(RIGHT(C249,3)),#REF!,5,FALSE),IF(LEFT(C249,3)="CAB",VLOOKUP(VALUE(RIGHT(C249,3)),#REF!,5,FALSE),IF(LEFT(C249,3)="SEG",VLOOKUP(VALUE(RIGHT(C249,3)),'SEG-COMP'!B:J,5,FALSE),IF(LEFT(C249,3)="CLI",VLOOKUP(VALUE(RIGHT(C249,3)),'CLI-COMP'!B:J,5,FALSE),IF(LEFT(C249,4)="IMPL",VLOOKUP(VALUE(RIGHT(C249,3)),'IMPL-COMP'!B:J,5,FALSE),IF(LEFT(C249,4)="SPDA",VLOOKUP(VALUE(RIGHT(C249,3)),'SPDA-COMP'!B:J,5,FALSE),IF(LEFT(C249,4)="SDAI",VLOOKUP(VALUE(RIGHT(C249,3)),'ADM-COMP'!B:J,5,FALSE),IF(LEFT(C249,5)="IMPER",VLOOKUP(VALUE(RIGHT(C249,3)),'IMPER-COMP'!B:J,5,FALSE),""))))))))))))))))</f>
        <v>M</v>
      </c>
      <c r="F249" s="599">
        <f>ROUND(VLOOKUP(A249,'MEM-LEVANT'!A269:I2808,9,FALSE),2)</f>
        <v>7000</v>
      </c>
      <c r="G249" s="339">
        <f>IF(B249="IOPES",VLOOKUP(C249,'LABOR-SERVIÇOS'!A:H,7,FALSE),IF(B249="SINAPI",VLOOKUP(C249,'SINAPI-SERVIÇOS'!A:H,8,FALSE),IF(LEFT(C249,3)="ARQ",VLOOKUP(VALUE(RIGHT(C249,3)),'ARQ-COMP'!B:J,9,FALSE),IF(LEFT(C249,3)="SCI",VLOOKUP(VALUE(RIGHT(C249,3)),'GAS-COMP'!#REF!,9,FALSE),IF(LEFT(C249,3)="SCE",VLOOKUP(VALUE(RIGHT(C249,3)),'SCE-COMP'!B:J,9,FALSE),IF(LEFT(C249,3)="EST",VLOOKUP(VALUE(RIGHT(C249,3)),'EST-COMP'!B:J,9,FALSE),IF(LEFT(C249,3)="HID",VLOOKUP(VALUE(RIGHT(C249,3)),'HID-COMP'!B:J,9,FALSE),IF(LEFT(C249,3)="INC",VLOOKUP(VALUE(RIGHT(C249,3)),'INC-COMP'!B:J,9,FALSE),IF(LEFT(C249,3)="ELE",VLOOKUP(VALUE(RIGHT(C249,3)),#REF!,9,FALSE),IF(LEFT(C249,3)="CAB",VLOOKUP(VALUE(RIGHT(C249,3)),#REF!,9,FALSE),IF(LEFT(C249,3)="SEG",VLOOKUP(VALUE(RIGHT(C249,3)),'SEG-COMP'!B:J,9,FALSE),IF(LEFT(C249,3)="CLI",VLOOKUP(VALUE(RIGHT(C249,3)),'CLI-COMP'!B:J,9,FALSE),IF(LEFT(C249,4)="IMPL",VLOOKUP(VALUE(RIGHT(C249,3)),'IMPL-COMP'!B:J,9,FALSE),IF(LEFT(C249,4)="SPDA",VLOOKUP(VALUE(RIGHT(C249,3)),'SPDA-COMP'!B:J,9,FALSE),IF(LEFT(C249,4)="SDAI",VLOOKUP(VALUE(RIGHT(C249,3)),'ADM-COMP'!B:J,9,FALSE),IF(LEFT(C249,5)="IMPER",VLOOKUP(VALUE(RIGHT(C249,3)),'IMPER-COMP'!B:J,9,FALSE),""))))))))))))))))</f>
        <v>12.83</v>
      </c>
      <c r="H249" s="339">
        <f t="shared" si="89"/>
        <v>89810</v>
      </c>
      <c r="I249" s="374">
        <f t="shared" si="90"/>
        <v>5.2511538289838873E-3</v>
      </c>
      <c r="J249" s="314"/>
    </row>
    <row r="250" spans="1:10" ht="26.4">
      <c r="A250" s="613" t="s">
        <v>35357</v>
      </c>
      <c r="B250" s="337" t="s">
        <v>2879</v>
      </c>
      <c r="C250" s="540">
        <f>151404</f>
        <v>151404</v>
      </c>
      <c r="D250" s="539" t="str">
        <f>IF(B250="IOPES",VLOOKUP(C250,'LABOR-SERVIÇOS'!A:H,5,FALSE),IF(B250="SINAPI",VLOOKUP(C250,'SINAPI-SERVIÇOS'!A:D,2,FALSE),IF(LEFT(C250,3)="ARQ",VLOOKUP(VALUE(RIGHT(C250,3)),'ARQ-COMP'!B:J,4,FALSE),IF(LEFT(C250,3)="SCI",VLOOKUP(VALUE(RIGHT(C250,3)),'GAS-COMP'!#REF!,4,FALSE),IF(LEFT(C250,3)="SCE",VLOOKUP(VALUE(RIGHT(C250,3)),'SCE-COMP'!B:J,4,FALSE),IF(LEFT(C250,3)="EST",VLOOKUP(VALUE(RIGHT(C250,3)),'EST-COMP'!B:J,4,FALSE),IF(LEFT(C250,3)="HID",VLOOKUP(VALUE(RIGHT(C250,3)),'HID-COMP'!B:J,4,FALSE),IF(LEFT(C250,3)="INC",VLOOKUP(VALUE(RIGHT(C250,3)),'INC-COMP'!B:J,4,FALSE),IF(LEFT(C250,3)="ELE",VLOOKUP(VALUE(RIGHT(C250,3)),#REF!,4,FALSE),IF(LEFT(C250,3)="CAB",VLOOKUP(VALUE(RIGHT(C250,3)),#REF!,4,FALSE),IF(LEFT(C250,3)="SEG",VLOOKUP(VALUE(RIGHT(C250,3)),'SEG-COMP'!B:J,4,FALSE),IF(LEFT(C250,3)="CLI",VLOOKUP(VALUE(RIGHT(C250,3)),'CLI-COMP'!B:J,4,FALSE),IF(LEFT(C250,4)="IMPL",VLOOKUP(VALUE(RIGHT(C250,3)),'IMPL-COMP'!B:J,4,FALSE),IF(LEFT(C250,4)="SPDA",VLOOKUP(VALUE(RIGHT(C250,3)),'SPDA-COMP'!B:J,4,FALSE),IF(LEFT(C250,4)="SDAI",VLOOKUP(VALUE(RIGHT(C250,3)),'ADM-COMP'!B:J,4,FALSE),IF(LEFT(C250,5)="IMPER",VLOOKUP(VALUE(RIGHT(C250,3)),'IMPER-COMP'!B:J,4,FALSE),""))))))))))))))))</f>
        <v>CABO DE COBRE TERMOPLÁSTICO (PVC) FLEXÍVEL ISOLADO 450/750V, ANTICHAMA BWF LIVRE DE CHUMBO, 70ºC ? 6,0MM2</v>
      </c>
      <c r="E250" s="338" t="str">
        <f>IF(B250="IOPES",VLOOKUP(C250,'LABOR-SERVIÇOS'!A:H,6,FALSE),IF(B250="SINAPI",VLOOKUP(C250,'SINAPI-SERVIÇOS'!A:D,3,FALSE),IF(LEFT(C250,3)="ARQ",VLOOKUP(VALUE(RIGHT(C250,3)),'ARQ-COMP'!B:J,5,FALSE),IF(LEFT(C250,3)="SCI",VLOOKUP(VALUE(RIGHT(C250,3)),'GAS-COMP'!#REF!,5,FALSE),IF(LEFT(C250,3)="SCE",VLOOKUP(VALUE(RIGHT(C250,3)),'SCE-COMP'!B:J,5,FALSE),IF(LEFT(C250,3)="EST",VLOOKUP(VALUE(RIGHT(C250,3)),'EST-COMP'!B:J,5,FALSE),IF(LEFT(C250,3)="HID",VLOOKUP(VALUE(RIGHT(C250,3)),'HID-COMP'!B:J,5,FALSE),IF(LEFT(C250,3)="INC",VLOOKUP(VALUE(RIGHT(C250,3)),'INC-COMP'!B:J,5,FALSE),IF(LEFT(C250,3)="ELE",VLOOKUP(VALUE(RIGHT(C250,3)),#REF!,5,FALSE),IF(LEFT(C250,3)="CAB",VLOOKUP(VALUE(RIGHT(C250,3)),#REF!,5,FALSE),IF(LEFT(C250,3)="SEG",VLOOKUP(VALUE(RIGHT(C250,3)),'SEG-COMP'!B:J,5,FALSE),IF(LEFT(C250,3)="CLI",VLOOKUP(VALUE(RIGHT(C250,3)),'CLI-COMP'!B:J,5,FALSE),IF(LEFT(C250,4)="IMPL",VLOOKUP(VALUE(RIGHT(C250,3)),'IMPL-COMP'!B:J,5,FALSE),IF(LEFT(C250,4)="SPDA",VLOOKUP(VALUE(RIGHT(C250,3)),'SPDA-COMP'!B:J,5,FALSE),IF(LEFT(C250,4)="SDAI",VLOOKUP(VALUE(RIGHT(C250,3)),'ADM-COMP'!B:J,5,FALSE),IF(LEFT(C250,5)="IMPER",VLOOKUP(VALUE(RIGHT(C250,3)),'IMPER-COMP'!B:J,5,FALSE),""))))))))))))))))</f>
        <v>M</v>
      </c>
      <c r="F250" s="599">
        <f>ROUND(VLOOKUP(A250,'MEM-LEVANT'!A269:I2809,9,FALSE),2)</f>
        <v>6000</v>
      </c>
      <c r="G250" s="339">
        <f>IF(B250="IOPES",VLOOKUP(C250,'LABOR-SERVIÇOS'!A:H,7,FALSE),IF(B250="SINAPI",VLOOKUP(C250,'SINAPI-SERVIÇOS'!A:H,8,FALSE),IF(LEFT(C250,3)="ARQ",VLOOKUP(VALUE(RIGHT(C250,3)),'ARQ-COMP'!B:J,9,FALSE),IF(LEFT(C250,3)="SCI",VLOOKUP(VALUE(RIGHT(C250,3)),'GAS-COMP'!#REF!,9,FALSE),IF(LEFT(C250,3)="SCE",VLOOKUP(VALUE(RIGHT(C250,3)),'SCE-COMP'!B:J,9,FALSE),IF(LEFT(C250,3)="EST",VLOOKUP(VALUE(RIGHT(C250,3)),'EST-COMP'!B:J,9,FALSE),IF(LEFT(C250,3)="HID",VLOOKUP(VALUE(RIGHT(C250,3)),'HID-COMP'!B:J,9,FALSE),IF(LEFT(C250,3)="INC",VLOOKUP(VALUE(RIGHT(C250,3)),'INC-COMP'!B:J,9,FALSE),IF(LEFT(C250,3)="ELE",VLOOKUP(VALUE(RIGHT(C250,3)),#REF!,9,FALSE),IF(LEFT(C250,3)="CAB",VLOOKUP(VALUE(RIGHT(C250,3)),#REF!,9,FALSE),IF(LEFT(C250,3)="SEG",VLOOKUP(VALUE(RIGHT(C250,3)),'SEG-COMP'!B:J,9,FALSE),IF(LEFT(C250,3)="CLI",VLOOKUP(VALUE(RIGHT(C250,3)),'CLI-COMP'!B:J,9,FALSE),IF(LEFT(C250,4)="IMPL",VLOOKUP(VALUE(RIGHT(C250,3)),'IMPL-COMP'!B:J,9,FALSE),IF(LEFT(C250,4)="SPDA",VLOOKUP(VALUE(RIGHT(C250,3)),'SPDA-COMP'!B:J,9,FALSE),IF(LEFT(C250,4)="SDAI",VLOOKUP(VALUE(RIGHT(C250,3)),'ADM-COMP'!B:J,9,FALSE),IF(LEFT(C250,5)="IMPER",VLOOKUP(VALUE(RIGHT(C250,3)),'IMPER-COMP'!B:J,9,FALSE),""))))))))))))))))</f>
        <v>16.989999999999998</v>
      </c>
      <c r="H250" s="339">
        <f t="shared" si="89"/>
        <v>101940</v>
      </c>
      <c r="I250" s="374">
        <f t="shared" si="90"/>
        <v>5.9603899490771346E-3</v>
      </c>
      <c r="J250" s="314"/>
    </row>
    <row r="251" spans="1:10" ht="26.4">
      <c r="A251" s="613" t="s">
        <v>35358</v>
      </c>
      <c r="B251" s="337" t="s">
        <v>2879</v>
      </c>
      <c r="C251" s="540">
        <f>151405</f>
        <v>151405</v>
      </c>
      <c r="D251" s="539" t="str">
        <f>IF(B251="IOPES",VLOOKUP(C251,'LABOR-SERVIÇOS'!A:H,5,FALSE),IF(B251="SINAPI",VLOOKUP(C251,'SINAPI-SERVIÇOS'!A:D,2,FALSE),IF(LEFT(C251,3)="ARQ",VLOOKUP(VALUE(RIGHT(C251,3)),'ARQ-COMP'!B:J,4,FALSE),IF(LEFT(C251,3)="SCI",VLOOKUP(VALUE(RIGHT(C251,3)),'GAS-COMP'!#REF!,4,FALSE),IF(LEFT(C251,3)="SCE",VLOOKUP(VALUE(RIGHT(C251,3)),'SCE-COMP'!B:J,4,FALSE),IF(LEFT(C251,3)="EST",VLOOKUP(VALUE(RIGHT(C251,3)),'EST-COMP'!B:J,4,FALSE),IF(LEFT(C251,3)="HID",VLOOKUP(VALUE(RIGHT(C251,3)),'HID-COMP'!B:J,4,FALSE),IF(LEFT(C251,3)="INC",VLOOKUP(VALUE(RIGHT(C251,3)),'INC-COMP'!B:J,4,FALSE),IF(LEFT(C251,3)="ELE",VLOOKUP(VALUE(RIGHT(C251,3)),#REF!,4,FALSE),IF(LEFT(C251,3)="CAB",VLOOKUP(VALUE(RIGHT(C251,3)),#REF!,4,FALSE),IF(LEFT(C251,3)="SEG",VLOOKUP(VALUE(RIGHT(C251,3)),'SEG-COMP'!B:J,4,FALSE),IF(LEFT(C251,3)="CLI",VLOOKUP(VALUE(RIGHT(C251,3)),'CLI-COMP'!B:J,4,FALSE),IF(LEFT(C251,4)="IMPL",VLOOKUP(VALUE(RIGHT(C251,3)),'IMPL-COMP'!B:J,4,FALSE),IF(LEFT(C251,4)="SPDA",VLOOKUP(VALUE(RIGHT(C251,3)),'SPDA-COMP'!B:J,4,FALSE),IF(LEFT(C251,4)="SDAI",VLOOKUP(VALUE(RIGHT(C251,3)),'ADM-COMP'!B:J,4,FALSE),IF(LEFT(C251,5)="IMPER",VLOOKUP(VALUE(RIGHT(C251,3)),'IMPER-COMP'!B:J,4,FALSE),""))))))))))))))))</f>
        <v>CABO DE COBRE TERMOPLÁSTICO (PVC) FLEXÍVEL ISOLADO 450/750V, ANTICHAMA BWF LIVRE DE CHUMBO, 70ºC ? 10,0MM2</v>
      </c>
      <c r="E251" s="338" t="str">
        <f>IF(B251="IOPES",VLOOKUP(C251,'LABOR-SERVIÇOS'!A:H,6,FALSE),IF(B251="SINAPI",VLOOKUP(C251,'SINAPI-SERVIÇOS'!A:D,3,FALSE),IF(LEFT(C251,3)="ARQ",VLOOKUP(VALUE(RIGHT(C251,3)),'ARQ-COMP'!B:J,5,FALSE),IF(LEFT(C251,3)="SCI",VLOOKUP(VALUE(RIGHT(C251,3)),'GAS-COMP'!#REF!,5,FALSE),IF(LEFT(C251,3)="SCE",VLOOKUP(VALUE(RIGHT(C251,3)),'SCE-COMP'!B:J,5,FALSE),IF(LEFT(C251,3)="EST",VLOOKUP(VALUE(RIGHT(C251,3)),'EST-COMP'!B:J,5,FALSE),IF(LEFT(C251,3)="HID",VLOOKUP(VALUE(RIGHT(C251,3)),'HID-COMP'!B:J,5,FALSE),IF(LEFT(C251,3)="INC",VLOOKUP(VALUE(RIGHT(C251,3)),'INC-COMP'!B:J,5,FALSE),IF(LEFT(C251,3)="ELE",VLOOKUP(VALUE(RIGHT(C251,3)),#REF!,5,FALSE),IF(LEFT(C251,3)="CAB",VLOOKUP(VALUE(RIGHT(C251,3)),#REF!,5,FALSE),IF(LEFT(C251,3)="SEG",VLOOKUP(VALUE(RIGHT(C251,3)),'SEG-COMP'!B:J,5,FALSE),IF(LEFT(C251,3)="CLI",VLOOKUP(VALUE(RIGHT(C251,3)),'CLI-COMP'!B:J,5,FALSE),IF(LEFT(C251,4)="IMPL",VLOOKUP(VALUE(RIGHT(C251,3)),'IMPL-COMP'!B:J,5,FALSE),IF(LEFT(C251,4)="SPDA",VLOOKUP(VALUE(RIGHT(C251,3)),'SPDA-COMP'!B:J,5,FALSE),IF(LEFT(C251,4)="SDAI",VLOOKUP(VALUE(RIGHT(C251,3)),'ADM-COMP'!B:J,5,FALSE),IF(LEFT(C251,5)="IMPER",VLOOKUP(VALUE(RIGHT(C251,3)),'IMPER-COMP'!B:J,5,FALSE),""))))))))))))))))</f>
        <v>M</v>
      </c>
      <c r="F251" s="599">
        <f>ROUND(VLOOKUP(A251,'MEM-LEVANT'!A269:I2810,9,FALSE),2)</f>
        <v>4000</v>
      </c>
      <c r="G251" s="339">
        <f>IF(B251="IOPES",VLOOKUP(C251,'LABOR-SERVIÇOS'!A:H,7,FALSE),IF(B251="SINAPI",VLOOKUP(C251,'SINAPI-SERVIÇOS'!A:H,8,FALSE),IF(LEFT(C251,3)="ARQ",VLOOKUP(VALUE(RIGHT(C251,3)),'ARQ-COMP'!B:J,9,FALSE),IF(LEFT(C251,3)="SCI",VLOOKUP(VALUE(RIGHT(C251,3)),'GAS-COMP'!#REF!,9,FALSE),IF(LEFT(C251,3)="SCE",VLOOKUP(VALUE(RIGHT(C251,3)),'SCE-COMP'!B:J,9,FALSE),IF(LEFT(C251,3)="EST",VLOOKUP(VALUE(RIGHT(C251,3)),'EST-COMP'!B:J,9,FALSE),IF(LEFT(C251,3)="HID",VLOOKUP(VALUE(RIGHT(C251,3)),'HID-COMP'!B:J,9,FALSE),IF(LEFT(C251,3)="INC",VLOOKUP(VALUE(RIGHT(C251,3)),'INC-COMP'!B:J,9,FALSE),IF(LEFT(C251,3)="ELE",VLOOKUP(VALUE(RIGHT(C251,3)),#REF!,9,FALSE),IF(LEFT(C251,3)="CAB",VLOOKUP(VALUE(RIGHT(C251,3)),#REF!,9,FALSE),IF(LEFT(C251,3)="SEG",VLOOKUP(VALUE(RIGHT(C251,3)),'SEG-COMP'!B:J,9,FALSE),IF(LEFT(C251,3)="CLI",VLOOKUP(VALUE(RIGHT(C251,3)),'CLI-COMP'!B:J,9,FALSE),IF(LEFT(C251,4)="IMPL",VLOOKUP(VALUE(RIGHT(C251,3)),'IMPL-COMP'!B:J,9,FALSE),IF(LEFT(C251,4)="SPDA",VLOOKUP(VALUE(RIGHT(C251,3)),'SPDA-COMP'!B:J,9,FALSE),IF(LEFT(C251,4)="SDAI",VLOOKUP(VALUE(RIGHT(C251,3)),'ADM-COMP'!B:J,9,FALSE),IF(LEFT(C251,5)="IMPER",VLOOKUP(VALUE(RIGHT(C251,3)),'IMPER-COMP'!B:J,9,FALSE),""))))))))))))))))</f>
        <v>24.08</v>
      </c>
      <c r="H251" s="339">
        <f t="shared" si="89"/>
        <v>96320</v>
      </c>
      <c r="I251" s="374">
        <f t="shared" si="90"/>
        <v>5.6317908563381361E-3</v>
      </c>
      <c r="J251" s="314"/>
    </row>
    <row r="252" spans="1:10" ht="26.4">
      <c r="A252" s="613" t="s">
        <v>35359</v>
      </c>
      <c r="B252" s="337" t="s">
        <v>2879</v>
      </c>
      <c r="C252" s="540">
        <f>151406</f>
        <v>151406</v>
      </c>
      <c r="D252" s="539" t="str">
        <f>IF(B252="IOPES",VLOOKUP(C252,'LABOR-SERVIÇOS'!A:H,5,FALSE),IF(B252="SINAPI",VLOOKUP(C252,'SINAPI-SERVIÇOS'!A:D,2,FALSE),IF(LEFT(C252,3)="ARQ",VLOOKUP(VALUE(RIGHT(C252,3)),'ARQ-COMP'!B:J,4,FALSE),IF(LEFT(C252,3)="SCI",VLOOKUP(VALUE(RIGHT(C252,3)),'GAS-COMP'!#REF!,4,FALSE),IF(LEFT(C252,3)="SCE",VLOOKUP(VALUE(RIGHT(C252,3)),'SCE-COMP'!B:J,4,FALSE),IF(LEFT(C252,3)="EST",VLOOKUP(VALUE(RIGHT(C252,3)),'EST-COMP'!B:J,4,FALSE),IF(LEFT(C252,3)="HID",VLOOKUP(VALUE(RIGHT(C252,3)),'HID-COMP'!B:J,4,FALSE),IF(LEFT(C252,3)="INC",VLOOKUP(VALUE(RIGHT(C252,3)),'INC-COMP'!B:J,4,FALSE),IF(LEFT(C252,3)="ELE",VLOOKUP(VALUE(RIGHT(C252,3)),#REF!,4,FALSE),IF(LEFT(C252,3)="CAB",VLOOKUP(VALUE(RIGHT(C252,3)),#REF!,4,FALSE),IF(LEFT(C252,3)="SEG",VLOOKUP(VALUE(RIGHT(C252,3)),'SEG-COMP'!B:J,4,FALSE),IF(LEFT(C252,3)="CLI",VLOOKUP(VALUE(RIGHT(C252,3)),'CLI-COMP'!B:J,4,FALSE),IF(LEFT(C252,4)="IMPL",VLOOKUP(VALUE(RIGHT(C252,3)),'IMPL-COMP'!B:J,4,FALSE),IF(LEFT(C252,4)="SPDA",VLOOKUP(VALUE(RIGHT(C252,3)),'SPDA-COMP'!B:J,4,FALSE),IF(LEFT(C252,4)="SDAI",VLOOKUP(VALUE(RIGHT(C252,3)),'ADM-COMP'!B:J,4,FALSE),IF(LEFT(C252,5)="IMPER",VLOOKUP(VALUE(RIGHT(C252,3)),'IMPER-COMP'!B:J,4,FALSE),""))))))))))))))))</f>
        <v>CABO DE COBRE TERMOPLÁSTICO (PVC) FLEXÍVEL ISOLADO 450/750V, ANTICHAMA BWF LIVRE DE CHUMBO, 70ºC ? 16,0MM2</v>
      </c>
      <c r="E252" s="338" t="str">
        <f>IF(B252="IOPES",VLOOKUP(C252,'LABOR-SERVIÇOS'!A:H,6,FALSE),IF(B252="SINAPI",VLOOKUP(C252,'SINAPI-SERVIÇOS'!A:D,3,FALSE),IF(LEFT(C252,3)="ARQ",VLOOKUP(VALUE(RIGHT(C252,3)),'ARQ-COMP'!B:J,5,FALSE),IF(LEFT(C252,3)="SCI",VLOOKUP(VALUE(RIGHT(C252,3)),'GAS-COMP'!#REF!,5,FALSE),IF(LEFT(C252,3)="SCE",VLOOKUP(VALUE(RIGHT(C252,3)),'SCE-COMP'!B:J,5,FALSE),IF(LEFT(C252,3)="EST",VLOOKUP(VALUE(RIGHT(C252,3)),'EST-COMP'!B:J,5,FALSE),IF(LEFT(C252,3)="HID",VLOOKUP(VALUE(RIGHT(C252,3)),'HID-COMP'!B:J,5,FALSE),IF(LEFT(C252,3)="INC",VLOOKUP(VALUE(RIGHT(C252,3)),'INC-COMP'!B:J,5,FALSE),IF(LEFT(C252,3)="ELE",VLOOKUP(VALUE(RIGHT(C252,3)),#REF!,5,FALSE),IF(LEFT(C252,3)="CAB",VLOOKUP(VALUE(RIGHT(C252,3)),#REF!,5,FALSE),IF(LEFT(C252,3)="SEG",VLOOKUP(VALUE(RIGHT(C252,3)),'SEG-COMP'!B:J,5,FALSE),IF(LEFT(C252,3)="CLI",VLOOKUP(VALUE(RIGHT(C252,3)),'CLI-COMP'!B:J,5,FALSE),IF(LEFT(C252,4)="IMPL",VLOOKUP(VALUE(RIGHT(C252,3)),'IMPL-COMP'!B:J,5,FALSE),IF(LEFT(C252,4)="SPDA",VLOOKUP(VALUE(RIGHT(C252,3)),'SPDA-COMP'!B:J,5,FALSE),IF(LEFT(C252,4)="SDAI",VLOOKUP(VALUE(RIGHT(C252,3)),'ADM-COMP'!B:J,5,FALSE),IF(LEFT(C252,5)="IMPER",VLOOKUP(VALUE(RIGHT(C252,3)),'IMPER-COMP'!B:J,5,FALSE),""))))))))))))))))</f>
        <v>M</v>
      </c>
      <c r="F252" s="599">
        <f>ROUND(VLOOKUP(A252,'MEM-LEVANT'!A269:I2811,9,FALSE),2)</f>
        <v>4000</v>
      </c>
      <c r="G252" s="339">
        <f>IF(B252="IOPES",VLOOKUP(C252,'LABOR-SERVIÇOS'!A:H,7,FALSE),IF(B252="SINAPI",VLOOKUP(C252,'SINAPI-SERVIÇOS'!A:H,8,FALSE),IF(LEFT(C252,3)="ARQ",VLOOKUP(VALUE(RIGHT(C252,3)),'ARQ-COMP'!B:J,9,FALSE),IF(LEFT(C252,3)="SCI",VLOOKUP(VALUE(RIGHT(C252,3)),'GAS-COMP'!#REF!,9,FALSE),IF(LEFT(C252,3)="SCE",VLOOKUP(VALUE(RIGHT(C252,3)),'SCE-COMP'!B:J,9,FALSE),IF(LEFT(C252,3)="EST",VLOOKUP(VALUE(RIGHT(C252,3)),'EST-COMP'!B:J,9,FALSE),IF(LEFT(C252,3)="HID",VLOOKUP(VALUE(RIGHT(C252,3)),'HID-COMP'!B:J,9,FALSE),IF(LEFT(C252,3)="INC",VLOOKUP(VALUE(RIGHT(C252,3)),'INC-COMP'!B:J,9,FALSE),IF(LEFT(C252,3)="ELE",VLOOKUP(VALUE(RIGHT(C252,3)),#REF!,9,FALSE),IF(LEFT(C252,3)="CAB",VLOOKUP(VALUE(RIGHT(C252,3)),#REF!,9,FALSE),IF(LEFT(C252,3)="SEG",VLOOKUP(VALUE(RIGHT(C252,3)),'SEG-COMP'!B:J,9,FALSE),IF(LEFT(C252,3)="CLI",VLOOKUP(VALUE(RIGHT(C252,3)),'CLI-COMP'!B:J,9,FALSE),IF(LEFT(C252,4)="IMPL",VLOOKUP(VALUE(RIGHT(C252,3)),'IMPL-COMP'!B:J,9,FALSE),IF(LEFT(C252,4)="SPDA",VLOOKUP(VALUE(RIGHT(C252,3)),'SPDA-COMP'!B:J,9,FALSE),IF(LEFT(C252,4)="SDAI",VLOOKUP(VALUE(RIGHT(C252,3)),'ADM-COMP'!B:J,9,FALSE),IF(LEFT(C252,5)="IMPER",VLOOKUP(VALUE(RIGHT(C252,3)),'IMPER-COMP'!B:J,9,FALSE),""))))))))))))))))</f>
        <v>35.020000000000003</v>
      </c>
      <c r="H252" s="339">
        <f t="shared" si="89"/>
        <v>140080</v>
      </c>
      <c r="I252" s="374">
        <f t="shared" si="90"/>
        <v>8.1904200909037189E-3</v>
      </c>
      <c r="J252" s="314"/>
    </row>
    <row r="253" spans="1:10" ht="26.4">
      <c r="A253" s="613" t="s">
        <v>35360</v>
      </c>
      <c r="B253" s="337" t="s">
        <v>2879</v>
      </c>
      <c r="C253" s="540">
        <f>151407</f>
        <v>151407</v>
      </c>
      <c r="D253" s="539" t="str">
        <f>IF(B253="IOPES",VLOOKUP(C253,'LABOR-SERVIÇOS'!A:H,5,FALSE),IF(B253="SINAPI",VLOOKUP(C253,'SINAPI-SERVIÇOS'!A:D,2,FALSE),IF(LEFT(C253,3)="ARQ",VLOOKUP(VALUE(RIGHT(C253,3)),'ARQ-COMP'!B:J,4,FALSE),IF(LEFT(C253,3)="SCI",VLOOKUP(VALUE(RIGHT(C253,3)),'GAS-COMP'!#REF!,4,FALSE),IF(LEFT(C253,3)="SCE",VLOOKUP(VALUE(RIGHT(C253,3)),'SCE-COMP'!B:J,4,FALSE),IF(LEFT(C253,3)="EST",VLOOKUP(VALUE(RIGHT(C253,3)),'EST-COMP'!B:J,4,FALSE),IF(LEFT(C253,3)="HID",VLOOKUP(VALUE(RIGHT(C253,3)),'HID-COMP'!B:J,4,FALSE),IF(LEFT(C253,3)="INC",VLOOKUP(VALUE(RIGHT(C253,3)),'INC-COMP'!B:J,4,FALSE),IF(LEFT(C253,3)="ELE",VLOOKUP(VALUE(RIGHT(C253,3)),#REF!,4,FALSE),IF(LEFT(C253,3)="CAB",VLOOKUP(VALUE(RIGHT(C253,3)),#REF!,4,FALSE),IF(LEFT(C253,3)="SEG",VLOOKUP(VALUE(RIGHT(C253,3)),'SEG-COMP'!B:J,4,FALSE),IF(LEFT(C253,3)="CLI",VLOOKUP(VALUE(RIGHT(C253,3)),'CLI-COMP'!B:J,4,FALSE),IF(LEFT(C253,4)="IMPL",VLOOKUP(VALUE(RIGHT(C253,3)),'IMPL-COMP'!B:J,4,FALSE),IF(LEFT(C253,4)="SPDA",VLOOKUP(VALUE(RIGHT(C253,3)),'SPDA-COMP'!B:J,4,FALSE),IF(LEFT(C253,4)="SDAI",VLOOKUP(VALUE(RIGHT(C253,3)),'ADM-COMP'!B:J,4,FALSE),IF(LEFT(C253,5)="IMPER",VLOOKUP(VALUE(RIGHT(C253,3)),'IMPER-COMP'!B:J,4,FALSE),""))))))))))))))))</f>
        <v>CABO DE COBRE TERMOPLÁSTICO (PVC) FLEXÍVEL ISOLADO 450/750V, ANTICHAMA BWF LIVRE DE CHUMBO, 70ºC ? 25,0MM2</v>
      </c>
      <c r="E253" s="338" t="str">
        <f>IF(B253="IOPES",VLOOKUP(C253,'LABOR-SERVIÇOS'!A:H,6,FALSE),IF(B253="SINAPI",VLOOKUP(C253,'SINAPI-SERVIÇOS'!A:D,3,FALSE),IF(LEFT(C253,3)="ARQ",VLOOKUP(VALUE(RIGHT(C253,3)),'ARQ-COMP'!B:J,5,FALSE),IF(LEFT(C253,3)="SCI",VLOOKUP(VALUE(RIGHT(C253,3)),'GAS-COMP'!#REF!,5,FALSE),IF(LEFT(C253,3)="SCE",VLOOKUP(VALUE(RIGHT(C253,3)),'SCE-COMP'!B:J,5,FALSE),IF(LEFT(C253,3)="EST",VLOOKUP(VALUE(RIGHT(C253,3)),'EST-COMP'!B:J,5,FALSE),IF(LEFT(C253,3)="HID",VLOOKUP(VALUE(RIGHT(C253,3)),'HID-COMP'!B:J,5,FALSE),IF(LEFT(C253,3)="INC",VLOOKUP(VALUE(RIGHT(C253,3)),'INC-COMP'!B:J,5,FALSE),IF(LEFT(C253,3)="ELE",VLOOKUP(VALUE(RIGHT(C253,3)),#REF!,5,FALSE),IF(LEFT(C253,3)="CAB",VLOOKUP(VALUE(RIGHT(C253,3)),#REF!,5,FALSE),IF(LEFT(C253,3)="SEG",VLOOKUP(VALUE(RIGHT(C253,3)),'SEG-COMP'!B:J,5,FALSE),IF(LEFT(C253,3)="CLI",VLOOKUP(VALUE(RIGHT(C253,3)),'CLI-COMP'!B:J,5,FALSE),IF(LEFT(C253,4)="IMPL",VLOOKUP(VALUE(RIGHT(C253,3)),'IMPL-COMP'!B:J,5,FALSE),IF(LEFT(C253,4)="SPDA",VLOOKUP(VALUE(RIGHT(C253,3)),'SPDA-COMP'!B:J,5,FALSE),IF(LEFT(C253,4)="SDAI",VLOOKUP(VALUE(RIGHT(C253,3)),'ADM-COMP'!B:J,5,FALSE),IF(LEFT(C253,5)="IMPER",VLOOKUP(VALUE(RIGHT(C253,3)),'IMPER-COMP'!B:J,5,FALSE),""))))))))))))))))</f>
        <v>M</v>
      </c>
      <c r="F253" s="599">
        <f>ROUND(VLOOKUP(A253,'MEM-LEVANT'!A269:I2812,9,FALSE),2)</f>
        <v>1800</v>
      </c>
      <c r="G253" s="339">
        <f>IF(B253="IOPES",VLOOKUP(C253,'LABOR-SERVIÇOS'!A:H,7,FALSE),IF(B253="SINAPI",VLOOKUP(C253,'SINAPI-SERVIÇOS'!A:H,8,FALSE),IF(LEFT(C253,3)="ARQ",VLOOKUP(VALUE(RIGHT(C253,3)),'ARQ-COMP'!B:J,9,FALSE),IF(LEFT(C253,3)="SCI",VLOOKUP(VALUE(RIGHT(C253,3)),'GAS-COMP'!#REF!,9,FALSE),IF(LEFT(C253,3)="SCE",VLOOKUP(VALUE(RIGHT(C253,3)),'SCE-COMP'!B:J,9,FALSE),IF(LEFT(C253,3)="EST",VLOOKUP(VALUE(RIGHT(C253,3)),'EST-COMP'!B:J,9,FALSE),IF(LEFT(C253,3)="HID",VLOOKUP(VALUE(RIGHT(C253,3)),'HID-COMP'!B:J,9,FALSE),IF(LEFT(C253,3)="INC",VLOOKUP(VALUE(RIGHT(C253,3)),'INC-COMP'!B:J,9,FALSE),IF(LEFT(C253,3)="ELE",VLOOKUP(VALUE(RIGHT(C253,3)),#REF!,9,FALSE),IF(LEFT(C253,3)="CAB",VLOOKUP(VALUE(RIGHT(C253,3)),#REF!,9,FALSE),IF(LEFT(C253,3)="SEG",VLOOKUP(VALUE(RIGHT(C253,3)),'SEG-COMP'!B:J,9,FALSE),IF(LEFT(C253,3)="CLI",VLOOKUP(VALUE(RIGHT(C253,3)),'CLI-COMP'!B:J,9,FALSE),IF(LEFT(C253,4)="IMPL",VLOOKUP(VALUE(RIGHT(C253,3)),'IMPL-COMP'!B:J,9,FALSE),IF(LEFT(C253,4)="SPDA",VLOOKUP(VALUE(RIGHT(C253,3)),'SPDA-COMP'!B:J,9,FALSE),IF(LEFT(C253,4)="SDAI",VLOOKUP(VALUE(RIGHT(C253,3)),'ADM-COMP'!B:J,9,FALSE),IF(LEFT(C253,5)="IMPER",VLOOKUP(VALUE(RIGHT(C253,3)),'IMPER-COMP'!B:J,9,FALSE),""))))))))))))))))</f>
        <v>42.84</v>
      </c>
      <c r="H253" s="339">
        <f t="shared" si="89"/>
        <v>77112</v>
      </c>
      <c r="I253" s="374">
        <f t="shared" si="90"/>
        <v>4.5087069820800079E-3</v>
      </c>
      <c r="J253" s="314"/>
    </row>
    <row r="254" spans="1:10" ht="26.4">
      <c r="A254" s="613" t="s">
        <v>35361</v>
      </c>
      <c r="B254" s="337" t="s">
        <v>2879</v>
      </c>
      <c r="C254" s="540">
        <f>151430</f>
        <v>151430</v>
      </c>
      <c r="D254" s="539" t="str">
        <f>IF(B254="IOPES",VLOOKUP(C254,'LABOR-SERVIÇOS'!A:H,5,FALSE),IF(B254="SINAPI",VLOOKUP(C254,'SINAPI-SERVIÇOS'!A:D,2,FALSE),IF(LEFT(C254,3)="ARQ",VLOOKUP(VALUE(RIGHT(C254,3)),'ARQ-COMP'!B:J,4,FALSE),IF(LEFT(C254,3)="SCI",VLOOKUP(VALUE(RIGHT(C254,3)),'GAS-COMP'!#REF!,4,FALSE),IF(LEFT(C254,3)="SCE",VLOOKUP(VALUE(RIGHT(C254,3)),'SCE-COMP'!B:J,4,FALSE),IF(LEFT(C254,3)="EST",VLOOKUP(VALUE(RIGHT(C254,3)),'EST-COMP'!B:J,4,FALSE),IF(LEFT(C254,3)="HID",VLOOKUP(VALUE(RIGHT(C254,3)),'HID-COMP'!B:J,4,FALSE),IF(LEFT(C254,3)="INC",VLOOKUP(VALUE(RIGHT(C254,3)),'INC-COMP'!B:J,4,FALSE),IF(LEFT(C254,3)="ELE",VLOOKUP(VALUE(RIGHT(C254,3)),#REF!,4,FALSE),IF(LEFT(C254,3)="CAB",VLOOKUP(VALUE(RIGHT(C254,3)),#REF!,4,FALSE),IF(LEFT(C254,3)="SEG",VLOOKUP(VALUE(RIGHT(C254,3)),'SEG-COMP'!B:J,4,FALSE),IF(LEFT(C254,3)="CLI",VLOOKUP(VALUE(RIGHT(C254,3)),'CLI-COMP'!B:J,4,FALSE),IF(LEFT(C254,4)="IMPL",VLOOKUP(VALUE(RIGHT(C254,3)),'IMPL-COMP'!B:J,4,FALSE),IF(LEFT(C254,4)="SPDA",VLOOKUP(VALUE(RIGHT(C254,3)),'SPDA-COMP'!B:J,4,FALSE),IF(LEFT(C254,4)="SDAI",VLOOKUP(VALUE(RIGHT(C254,3)),'ADM-COMP'!B:J,4,FALSE),IF(LEFT(C254,5)="IMPER",VLOOKUP(VALUE(RIGHT(C254,3)),'IMPER-COMP'!B:J,4,FALSE),""))))))))))))))))</f>
        <v>CABO DE COBRE TERMOPLÁSTICO (PVC) FLEXÍVEL ISOLADO 0,60/1KV, ANTICHAMA, HEPR 90ºC ? 150,0MM2</v>
      </c>
      <c r="E254" s="338" t="str">
        <f>IF(B254="IOPES",VLOOKUP(C254,'LABOR-SERVIÇOS'!A:H,6,FALSE),IF(B254="SINAPI",VLOOKUP(C254,'SINAPI-SERVIÇOS'!A:D,3,FALSE),IF(LEFT(C254,3)="ARQ",VLOOKUP(VALUE(RIGHT(C254,3)),'ARQ-COMP'!B:J,5,FALSE),IF(LEFT(C254,3)="SCI",VLOOKUP(VALUE(RIGHT(C254,3)),'GAS-COMP'!#REF!,5,FALSE),IF(LEFT(C254,3)="SCE",VLOOKUP(VALUE(RIGHT(C254,3)),'SCE-COMP'!B:J,5,FALSE),IF(LEFT(C254,3)="EST",VLOOKUP(VALUE(RIGHT(C254,3)),'EST-COMP'!B:J,5,FALSE),IF(LEFT(C254,3)="HID",VLOOKUP(VALUE(RIGHT(C254,3)),'HID-COMP'!B:J,5,FALSE),IF(LEFT(C254,3)="INC",VLOOKUP(VALUE(RIGHT(C254,3)),'INC-COMP'!B:J,5,FALSE),IF(LEFT(C254,3)="ELE",VLOOKUP(VALUE(RIGHT(C254,3)),#REF!,5,FALSE),IF(LEFT(C254,3)="CAB",VLOOKUP(VALUE(RIGHT(C254,3)),#REF!,5,FALSE),IF(LEFT(C254,3)="SEG",VLOOKUP(VALUE(RIGHT(C254,3)),'SEG-COMP'!B:J,5,FALSE),IF(LEFT(C254,3)="CLI",VLOOKUP(VALUE(RIGHT(C254,3)),'CLI-COMP'!B:J,5,FALSE),IF(LEFT(C254,4)="IMPL",VLOOKUP(VALUE(RIGHT(C254,3)),'IMPL-COMP'!B:J,5,FALSE),IF(LEFT(C254,4)="SPDA",VLOOKUP(VALUE(RIGHT(C254,3)),'SPDA-COMP'!B:J,5,FALSE),IF(LEFT(C254,4)="SDAI",VLOOKUP(VALUE(RIGHT(C254,3)),'ADM-COMP'!B:J,5,FALSE),IF(LEFT(C254,5)="IMPER",VLOOKUP(VALUE(RIGHT(C254,3)),'IMPER-COMP'!B:J,5,FALSE),""))))))))))))))))</f>
        <v>M</v>
      </c>
      <c r="F254" s="599">
        <f>ROUND(VLOOKUP(A254,'MEM-LEVANT'!A269:I2813,9,FALSE),2)</f>
        <v>500</v>
      </c>
      <c r="G254" s="339">
        <f>IF(B254="IOPES",VLOOKUP(C254,'LABOR-SERVIÇOS'!A:H,7,FALSE),IF(B254="SINAPI",VLOOKUP(C254,'SINAPI-SERVIÇOS'!A:H,8,FALSE),IF(LEFT(C254,3)="ARQ",VLOOKUP(VALUE(RIGHT(C254,3)),'ARQ-COMP'!B:J,9,FALSE),IF(LEFT(C254,3)="SCI",VLOOKUP(VALUE(RIGHT(C254,3)),'GAS-COMP'!#REF!,9,FALSE),IF(LEFT(C254,3)="SCE",VLOOKUP(VALUE(RIGHT(C254,3)),'SCE-COMP'!B:J,9,FALSE),IF(LEFT(C254,3)="EST",VLOOKUP(VALUE(RIGHT(C254,3)),'EST-COMP'!B:J,9,FALSE),IF(LEFT(C254,3)="HID",VLOOKUP(VALUE(RIGHT(C254,3)),'HID-COMP'!B:J,9,FALSE),IF(LEFT(C254,3)="INC",VLOOKUP(VALUE(RIGHT(C254,3)),'INC-COMP'!B:J,9,FALSE),IF(LEFT(C254,3)="ELE",VLOOKUP(VALUE(RIGHT(C254,3)),#REF!,9,FALSE),IF(LEFT(C254,3)="CAB",VLOOKUP(VALUE(RIGHT(C254,3)),#REF!,9,FALSE),IF(LEFT(C254,3)="SEG",VLOOKUP(VALUE(RIGHT(C254,3)),'SEG-COMP'!B:J,9,FALSE),IF(LEFT(C254,3)="CLI",VLOOKUP(VALUE(RIGHT(C254,3)),'CLI-COMP'!B:J,9,FALSE),IF(LEFT(C254,4)="IMPL",VLOOKUP(VALUE(RIGHT(C254,3)),'IMPL-COMP'!B:J,9,FALSE),IF(LEFT(C254,4)="SPDA",VLOOKUP(VALUE(RIGHT(C254,3)),'SPDA-COMP'!B:J,9,FALSE),IF(LEFT(C254,4)="SDAI",VLOOKUP(VALUE(RIGHT(C254,3)),'ADM-COMP'!B:J,9,FALSE),IF(LEFT(C254,5)="IMPER",VLOOKUP(VALUE(RIGHT(C254,3)),'IMPER-COMP'!B:J,9,FALSE),""))))))))))))))))</f>
        <v>254.63</v>
      </c>
      <c r="H254" s="339">
        <f t="shared" ref="H254:H255" si="91">ROUND(F254*G254,2)</f>
        <v>127315</v>
      </c>
      <c r="I254" s="374">
        <f t="shared" si="90"/>
        <v>7.4440557815063316E-3</v>
      </c>
      <c r="J254" s="314"/>
    </row>
    <row r="255" spans="1:10" ht="26.4">
      <c r="A255" s="613" t="s">
        <v>35362</v>
      </c>
      <c r="B255" s="337" t="s">
        <v>2879</v>
      </c>
      <c r="C255" s="540">
        <f>151432</f>
        <v>151432</v>
      </c>
      <c r="D255" s="539" t="str">
        <f>IF(B255="IOPES",VLOOKUP(C255,'LABOR-SERVIÇOS'!A:H,5,FALSE),IF(B255="SINAPI",VLOOKUP(C255,'SINAPI-SERVIÇOS'!A:D,2,FALSE),IF(LEFT(C255,3)="ARQ",VLOOKUP(VALUE(RIGHT(C255,3)),'ARQ-COMP'!B:J,4,FALSE),IF(LEFT(C255,3)="SCI",VLOOKUP(VALUE(RIGHT(C255,3)),'GAS-COMP'!#REF!,4,FALSE),IF(LEFT(C255,3)="SCE",VLOOKUP(VALUE(RIGHT(C255,3)),'SCE-COMP'!B:J,4,FALSE),IF(LEFT(C255,3)="EST",VLOOKUP(VALUE(RIGHT(C255,3)),'EST-COMP'!B:J,4,FALSE),IF(LEFT(C255,3)="HID",VLOOKUP(VALUE(RIGHT(C255,3)),'HID-COMP'!B:J,4,FALSE),IF(LEFT(C255,3)="INC",VLOOKUP(VALUE(RIGHT(C255,3)),'INC-COMP'!B:J,4,FALSE),IF(LEFT(C255,3)="ELE",VLOOKUP(VALUE(RIGHT(C255,3)),#REF!,4,FALSE),IF(LEFT(C255,3)="CAB",VLOOKUP(VALUE(RIGHT(C255,3)),#REF!,4,FALSE),IF(LEFT(C255,3)="SEG",VLOOKUP(VALUE(RIGHT(C255,3)),'SEG-COMP'!B:J,4,FALSE),IF(LEFT(C255,3)="CLI",VLOOKUP(VALUE(RIGHT(C255,3)),'CLI-COMP'!B:J,4,FALSE),IF(LEFT(C255,4)="IMPL",VLOOKUP(VALUE(RIGHT(C255,3)),'IMPL-COMP'!B:J,4,FALSE),IF(LEFT(C255,4)="SPDA",VLOOKUP(VALUE(RIGHT(C255,3)),'SPDA-COMP'!B:J,4,FALSE),IF(LEFT(C255,4)="SDAI",VLOOKUP(VALUE(RIGHT(C255,3)),'ADM-COMP'!B:J,4,FALSE),IF(LEFT(C255,5)="IMPER",VLOOKUP(VALUE(RIGHT(C255,3)),'IMPER-COMP'!B:J,4,FALSE),""))))))))))))))))</f>
        <v>CABO DE COBRE TERMOPLÁSTICO (PVC) FLEXÍVEL ISOLADO 0,60/1KV, ANTICHAMA, HEPR 90ºC ? 240,0MM2</v>
      </c>
      <c r="E255" s="338" t="str">
        <f>IF(B255="IOPES",VLOOKUP(C255,'LABOR-SERVIÇOS'!A:H,6,FALSE),IF(B255="SINAPI",VLOOKUP(C255,'SINAPI-SERVIÇOS'!A:D,3,FALSE),IF(LEFT(C255,3)="ARQ",VLOOKUP(VALUE(RIGHT(C255,3)),'ARQ-COMP'!B:J,5,FALSE),IF(LEFT(C255,3)="SCI",VLOOKUP(VALUE(RIGHT(C255,3)),'GAS-COMP'!#REF!,5,FALSE),IF(LEFT(C255,3)="SCE",VLOOKUP(VALUE(RIGHT(C255,3)),'SCE-COMP'!B:J,5,FALSE),IF(LEFT(C255,3)="EST",VLOOKUP(VALUE(RIGHT(C255,3)),'EST-COMP'!B:J,5,FALSE),IF(LEFT(C255,3)="HID",VLOOKUP(VALUE(RIGHT(C255,3)),'HID-COMP'!B:J,5,FALSE),IF(LEFT(C255,3)="INC",VLOOKUP(VALUE(RIGHT(C255,3)),'INC-COMP'!B:J,5,FALSE),IF(LEFT(C255,3)="ELE",VLOOKUP(VALUE(RIGHT(C255,3)),#REF!,5,FALSE),IF(LEFT(C255,3)="CAB",VLOOKUP(VALUE(RIGHT(C255,3)),#REF!,5,FALSE),IF(LEFT(C255,3)="SEG",VLOOKUP(VALUE(RIGHT(C255,3)),'SEG-COMP'!B:J,5,FALSE),IF(LEFT(C255,3)="CLI",VLOOKUP(VALUE(RIGHT(C255,3)),'CLI-COMP'!B:J,5,FALSE),IF(LEFT(C255,4)="IMPL",VLOOKUP(VALUE(RIGHT(C255,3)),'IMPL-COMP'!B:J,5,FALSE),IF(LEFT(C255,4)="SPDA",VLOOKUP(VALUE(RIGHT(C255,3)),'SPDA-COMP'!B:J,5,FALSE),IF(LEFT(C255,4)="SDAI",VLOOKUP(VALUE(RIGHT(C255,3)),'ADM-COMP'!B:J,5,FALSE),IF(LEFT(C255,5)="IMPER",VLOOKUP(VALUE(RIGHT(C255,3)),'IMPER-COMP'!B:J,5,FALSE),""))))))))))))))))</f>
        <v>M</v>
      </c>
      <c r="F255" s="599">
        <f>ROUND(VLOOKUP(A255,'MEM-LEVANT'!A269:I2814,9,FALSE),2)</f>
        <v>300</v>
      </c>
      <c r="G255" s="339">
        <f>IF(B255="IOPES",VLOOKUP(C255,'LABOR-SERVIÇOS'!A:H,7,FALSE),IF(B255="SINAPI",VLOOKUP(C255,'SINAPI-SERVIÇOS'!A:H,8,FALSE),IF(LEFT(C255,3)="ARQ",VLOOKUP(VALUE(RIGHT(C255,3)),'ARQ-COMP'!B:J,9,FALSE),IF(LEFT(C255,3)="SCI",VLOOKUP(VALUE(RIGHT(C255,3)),'GAS-COMP'!#REF!,9,FALSE),IF(LEFT(C255,3)="SCE",VLOOKUP(VALUE(RIGHT(C255,3)),'SCE-COMP'!B:J,9,FALSE),IF(LEFT(C255,3)="EST",VLOOKUP(VALUE(RIGHT(C255,3)),'EST-COMP'!B:J,9,FALSE),IF(LEFT(C255,3)="HID",VLOOKUP(VALUE(RIGHT(C255,3)),'HID-COMP'!B:J,9,FALSE),IF(LEFT(C255,3)="INC",VLOOKUP(VALUE(RIGHT(C255,3)),'INC-COMP'!B:J,9,FALSE),IF(LEFT(C255,3)="ELE",VLOOKUP(VALUE(RIGHT(C255,3)),#REF!,9,FALSE),IF(LEFT(C255,3)="CAB",VLOOKUP(VALUE(RIGHT(C255,3)),#REF!,9,FALSE),IF(LEFT(C255,3)="SEG",VLOOKUP(VALUE(RIGHT(C255,3)),'SEG-COMP'!B:J,9,FALSE),IF(LEFT(C255,3)="CLI",VLOOKUP(VALUE(RIGHT(C255,3)),'CLI-COMP'!B:J,9,FALSE),IF(LEFT(C255,4)="IMPL",VLOOKUP(VALUE(RIGHT(C255,3)),'IMPL-COMP'!B:J,9,FALSE),IF(LEFT(C255,4)="SPDA",VLOOKUP(VALUE(RIGHT(C255,3)),'SPDA-COMP'!B:J,9,FALSE),IF(LEFT(C255,4)="SDAI",VLOOKUP(VALUE(RIGHT(C255,3)),'ADM-COMP'!B:J,9,FALSE),IF(LEFT(C255,5)="IMPER",VLOOKUP(VALUE(RIGHT(C255,3)),'IMPER-COMP'!B:J,9,FALSE),""))))))))))))))))</f>
        <v>356.75</v>
      </c>
      <c r="H255" s="339">
        <f t="shared" si="91"/>
        <v>107025</v>
      </c>
      <c r="I255" s="374">
        <f t="shared" si="90"/>
        <v>6.2577078114575274E-3</v>
      </c>
      <c r="J255" s="314"/>
    </row>
    <row r="256" spans="1:10" ht="52.8">
      <c r="A256" s="613" t="s">
        <v>35853</v>
      </c>
      <c r="B256" s="337" t="s">
        <v>29</v>
      </c>
      <c r="C256" s="540" t="s">
        <v>4790</v>
      </c>
      <c r="D256" s="880" t="s">
        <v>24602</v>
      </c>
      <c r="E256" s="338" t="str">
        <f>IF(B256="IOPES",VLOOKUP(C256,'LABOR-SERVIÇOS'!A:H,6,FALSE),IF(B256="SINAPI",VLOOKUP(C256,'SINAPI-SERVIÇOS'!A:D,3,FALSE),IF(LEFT(C256,3)="ARQ",VLOOKUP(VALUE(RIGHT(C256,3)),'ARQ-COMP'!B:J,5,FALSE),IF(LEFT(C256,3)="SCI",VLOOKUP(VALUE(RIGHT(C256,3)),'GAS-COMP'!#REF!,5,FALSE),IF(LEFT(C256,3)="SCE",VLOOKUP(VALUE(RIGHT(C256,3)),'SCE-COMP'!B:J,5,FALSE),IF(LEFT(C256,3)="EST",VLOOKUP(VALUE(RIGHT(C256,3)),'EST-COMP'!B:J,5,FALSE),IF(LEFT(C256,3)="HID",VLOOKUP(VALUE(RIGHT(C256,3)),'HID-COMP'!B:J,5,FALSE),IF(LEFT(C256,3)="INC",VLOOKUP(VALUE(RIGHT(C256,3)),'INC-COMP'!B:J,5,FALSE),IF(LEFT(C256,3)="ELE",VLOOKUP(VALUE(RIGHT(C256,3)),#REF!,5,FALSE),IF(LEFT(C256,3)="CAB",VLOOKUP(VALUE(RIGHT(C256,3)),#REF!,5,FALSE),IF(LEFT(C256,3)="SEG",VLOOKUP(VALUE(RIGHT(C256,3)),'SEG-COMP'!B:J,5,FALSE),IF(LEFT(C256,3)="CLI",VLOOKUP(VALUE(RIGHT(C256,3)),'CLI-COMP'!B:J,5,FALSE),IF(LEFT(C256,4)="IMPL",VLOOKUP(VALUE(RIGHT(C256,3)),'IMPL-COMP'!B:J,5,FALSE),IF(LEFT(C256,4)="SPDA",VLOOKUP(VALUE(RIGHT(C256,3)),'SPDA-COMP'!B:J,5,FALSE),IF(LEFT(C256,4)="SDAI",VLOOKUP(VALUE(RIGHT(C256,3)),'ADM-COMP'!B:J,5,FALSE),IF(LEFT(C256,5)="IMPER",VLOOKUP(VALUE(RIGHT(C256,3)),'IMPER-COMP'!B:J,5,FALSE),""))))))))))))))))</f>
        <v>M</v>
      </c>
      <c r="F256" s="599">
        <f>ROUND(VLOOKUP(A256,'MEM-LEVANT'!A270:I2815,9,FALSE),2)</f>
        <v>800</v>
      </c>
      <c r="G256" s="339">
        <f>IF(B256="IOPES",VLOOKUP(C256,'LABOR-SERVIÇOS'!A:H,7,FALSE),IF(B256="SINAPI",VLOOKUP(C256,'SINAPI-SERVIÇOS'!A:H,8,FALSE),IF(LEFT(C256,3)="ARQ",VLOOKUP(VALUE(RIGHT(C256,3)),'ARQ-COMP'!B:J,9,FALSE),IF(LEFT(C256,3)="SCI",VLOOKUP(VALUE(RIGHT(C256,3)),'GAS-COMP'!#REF!,9,FALSE),IF(LEFT(C256,3)="SCE",VLOOKUP(VALUE(RIGHT(C256,3)),'SCE-COMP'!B:J,9,FALSE),IF(LEFT(C256,3)="EST",VLOOKUP(VALUE(RIGHT(C256,3)),'EST-COMP'!B:J,9,FALSE),IF(LEFT(C256,3)="HID",VLOOKUP(VALUE(RIGHT(C256,3)),'HID-COMP'!B:J,9,FALSE),IF(LEFT(C256,3)="INC",VLOOKUP(VALUE(RIGHT(C256,3)),'INC-COMP'!B:J,9,FALSE),IF(LEFT(C256,3)="ELE",VLOOKUP(VALUE(RIGHT(C256,3)),#REF!,9,FALSE),IF(LEFT(C256,3)="CAB",VLOOKUP(VALUE(RIGHT(C256,3)),#REF!,9,FALSE),IF(LEFT(C256,3)="SEG",VLOOKUP(VALUE(RIGHT(C256,3)),'SEG-COMP'!B:J,9,FALSE),IF(LEFT(C256,3)="CLI",VLOOKUP(VALUE(RIGHT(C256,3)),'CLI-COMP'!B:J,9,FALSE),IF(LEFT(C256,4)="IMPL",VLOOKUP(VALUE(RIGHT(C256,3)),'IMPL-COMP'!B:J,9,FALSE),IF(LEFT(C256,4)="SPDA",VLOOKUP(VALUE(RIGHT(C256,3)),'SPDA-COMP'!B:J,9,FALSE),IF(LEFT(C256,4)="SDAI",VLOOKUP(VALUE(RIGHT(C256,3)),'ADM-COMP'!B:J,9,FALSE),IF(LEFT(C256,5)="IMPER",VLOOKUP(VALUE(RIGHT(C256,3)),'IMPER-COMP'!B:J,9,FALSE),""))))))))))))))))</f>
        <v>482.71</v>
      </c>
      <c r="H256" s="339">
        <f t="shared" ref="H256" si="92">ROUND(F256*G256,2)</f>
        <v>386168</v>
      </c>
      <c r="I256" s="374">
        <f t="shared" ref="I256" si="93">H256/$H$441</f>
        <v>2.2579084420788886E-2</v>
      </c>
      <c r="J256" s="314"/>
    </row>
    <row r="257" spans="1:10">
      <c r="A257" s="553" t="s">
        <v>35363</v>
      </c>
      <c r="B257" s="554"/>
      <c r="C257" s="555"/>
      <c r="D257" s="556" t="s">
        <v>60</v>
      </c>
      <c r="E257" s="557"/>
      <c r="F257" s="598"/>
      <c r="G257" s="558"/>
      <c r="H257" s="559"/>
      <c r="I257" s="560"/>
      <c r="J257" s="314"/>
    </row>
    <row r="258" spans="1:10">
      <c r="A258" s="613" t="s">
        <v>35364</v>
      </c>
      <c r="B258" s="337" t="s">
        <v>2879</v>
      </c>
      <c r="C258" s="540">
        <f>151506</f>
        <v>151506</v>
      </c>
      <c r="D258" s="539" t="str">
        <f>IF(B258="IOPES",VLOOKUP(C258,'LABOR-SERVIÇOS'!A:H,5,FALSE),IF(B258="SINAPI",VLOOKUP(C258,'SINAPI-SERVIÇOS'!A:D,2,FALSE),IF(LEFT(C258,3)="ARQ",VLOOKUP(VALUE(RIGHT(C258,3)),'ARQ-COMP'!B:J,4,FALSE),IF(LEFT(C258,3)="SCI",VLOOKUP(VALUE(RIGHT(C258,3)),'GAS-COMP'!#REF!,4,FALSE),IF(LEFT(C258,3)="SCE",VLOOKUP(VALUE(RIGHT(C258,3)),'SCE-COMP'!B:J,4,FALSE),IF(LEFT(C258,3)="EST",VLOOKUP(VALUE(RIGHT(C258,3)),'EST-COMP'!B:J,4,FALSE),IF(LEFT(C258,3)="HID",VLOOKUP(VALUE(RIGHT(C258,3)),'HID-COMP'!B:J,4,FALSE),IF(LEFT(C258,3)="INC",VLOOKUP(VALUE(RIGHT(C258,3)),'INC-COMP'!B:J,4,FALSE),IF(LEFT(C258,3)="ELE",VLOOKUP(VALUE(RIGHT(C258,3)),#REF!,4,FALSE),IF(LEFT(C258,3)="CAB",VLOOKUP(VALUE(RIGHT(C258,3)),#REF!,4,FALSE),IF(LEFT(C258,3)="SEG",VLOOKUP(VALUE(RIGHT(C258,3)),'SEG-COMP'!B:J,4,FALSE),IF(LEFT(C258,3)="CLI",VLOOKUP(VALUE(RIGHT(C258,3)),'CLI-COMP'!B:J,4,FALSE),IF(LEFT(C258,4)="IMPL",VLOOKUP(VALUE(RIGHT(C258,3)),'IMPL-COMP'!B:J,4,FALSE),IF(LEFT(C258,4)="SPDA",VLOOKUP(VALUE(RIGHT(C258,3)),'SPDA-COMP'!B:J,4,FALSE),IF(LEFT(C258,4)="SDAI",VLOOKUP(VALUE(RIGHT(C258,3)),'ADM-COMP'!B:J,4,FALSE),IF(LEFT(C258,5)="IMPER",VLOOKUP(VALUE(RIGHT(C258,3)),'IMPER-COMP'!B:J,4,FALSE),""))))))))))))))))</f>
        <v>HASTE DE TERRA TIPO COPPERWELD - 5/8" X 2.40M</v>
      </c>
      <c r="E258" s="338" t="str">
        <f>IF(B258="IOPES",VLOOKUP(C258,'LABOR-SERVIÇOS'!A:H,6,FALSE),IF(B258="SINAPI",VLOOKUP(C258,'SINAPI-SERVIÇOS'!A:D,3,FALSE),IF(LEFT(C258,3)="ARQ",VLOOKUP(VALUE(RIGHT(C258,3)),'ARQ-COMP'!B:J,5,FALSE),IF(LEFT(C258,3)="SCI",VLOOKUP(VALUE(RIGHT(C258,3)),'GAS-COMP'!#REF!,5,FALSE),IF(LEFT(C258,3)="SCE",VLOOKUP(VALUE(RIGHT(C258,3)),'SCE-COMP'!B:J,5,FALSE),IF(LEFT(C258,3)="EST",VLOOKUP(VALUE(RIGHT(C258,3)),'EST-COMP'!B:J,5,FALSE),IF(LEFT(C258,3)="HID",VLOOKUP(VALUE(RIGHT(C258,3)),'HID-COMP'!B:J,5,FALSE),IF(LEFT(C258,3)="INC",VLOOKUP(VALUE(RIGHT(C258,3)),'INC-COMP'!B:J,5,FALSE),IF(LEFT(C258,3)="ELE",VLOOKUP(VALUE(RIGHT(C258,3)),#REF!,5,FALSE),IF(LEFT(C258,3)="CAB",VLOOKUP(VALUE(RIGHT(C258,3)),#REF!,5,FALSE),IF(LEFT(C258,3)="SEG",VLOOKUP(VALUE(RIGHT(C258,3)),'SEG-COMP'!B:J,5,FALSE),IF(LEFT(C258,3)="CLI",VLOOKUP(VALUE(RIGHT(C258,3)),'CLI-COMP'!B:J,5,FALSE),IF(LEFT(C258,4)="IMPL",VLOOKUP(VALUE(RIGHT(C258,3)),'IMPL-COMP'!B:J,5,FALSE),IF(LEFT(C258,4)="SPDA",VLOOKUP(VALUE(RIGHT(C258,3)),'SPDA-COMP'!B:J,5,FALSE),IF(LEFT(C258,4)="SDAI",VLOOKUP(VALUE(RIGHT(C258,3)),'ADM-COMP'!B:J,5,FALSE),IF(LEFT(C258,5)="IMPER",VLOOKUP(VALUE(RIGHT(C258,3)),'IMPER-COMP'!B:J,5,FALSE),""))))))))))))))))</f>
        <v>UND</v>
      </c>
      <c r="F258" s="599">
        <f>ROUND(VLOOKUP(A258,'MEM-LEVANT'!A269:I2816,9,FALSE),2)</f>
        <v>50</v>
      </c>
      <c r="G258" s="339">
        <f>IF(B258="IOPES",VLOOKUP(C258,'LABOR-SERVIÇOS'!A:H,7,FALSE),IF(B258="SINAPI",VLOOKUP(C258,'SINAPI-SERVIÇOS'!A:H,8,FALSE),IF(LEFT(C258,3)="ARQ",VLOOKUP(VALUE(RIGHT(C258,3)),'ARQ-COMP'!B:J,9,FALSE),IF(LEFT(C258,3)="SCI",VLOOKUP(VALUE(RIGHT(C258,3)),'GAS-COMP'!#REF!,9,FALSE),IF(LEFT(C258,3)="SCE",VLOOKUP(VALUE(RIGHT(C258,3)),'SCE-COMP'!B:J,9,FALSE),IF(LEFT(C258,3)="EST",VLOOKUP(VALUE(RIGHT(C258,3)),'EST-COMP'!B:J,9,FALSE),IF(LEFT(C258,3)="HID",VLOOKUP(VALUE(RIGHT(C258,3)),'HID-COMP'!B:J,9,FALSE),IF(LEFT(C258,3)="INC",VLOOKUP(VALUE(RIGHT(C258,3)),'INC-COMP'!B:J,9,FALSE),IF(LEFT(C258,3)="ELE",VLOOKUP(VALUE(RIGHT(C258,3)),#REF!,9,FALSE),IF(LEFT(C258,3)="CAB",VLOOKUP(VALUE(RIGHT(C258,3)),#REF!,9,FALSE),IF(LEFT(C258,3)="SEG",VLOOKUP(VALUE(RIGHT(C258,3)),'SEG-COMP'!B:J,9,FALSE),IF(LEFT(C258,3)="CLI",VLOOKUP(VALUE(RIGHT(C258,3)),'CLI-COMP'!B:J,9,FALSE),IF(LEFT(C258,4)="IMPL",VLOOKUP(VALUE(RIGHT(C258,3)),'IMPL-COMP'!B:J,9,FALSE),IF(LEFT(C258,4)="SPDA",VLOOKUP(VALUE(RIGHT(C258,3)),'SPDA-COMP'!B:J,9,FALSE),IF(LEFT(C258,4)="SDAI",VLOOKUP(VALUE(RIGHT(C258,3)),'ADM-COMP'!B:J,9,FALSE),IF(LEFT(C258,5)="IMPER",VLOOKUP(VALUE(RIGHT(C258,3)),'IMPER-COMP'!B:J,9,FALSE),""))))))))))))))))</f>
        <v>303.42</v>
      </c>
      <c r="H258" s="339">
        <f t="shared" ref="H258:H259" si="94">ROUND(F258*G258,2)</f>
        <v>15171</v>
      </c>
      <c r="I258" s="374">
        <f>H258/$H$441</f>
        <v>8.8704214162692969E-4</v>
      </c>
      <c r="J258" s="314"/>
    </row>
    <row r="259" spans="1:10" ht="26.4">
      <c r="A259" s="613" t="s">
        <v>35365</v>
      </c>
      <c r="B259" s="337" t="s">
        <v>2879</v>
      </c>
      <c r="C259" s="540">
        <f>151508</f>
        <v>151508</v>
      </c>
      <c r="D259" s="539" t="str">
        <f>IF(B259="IOPES",VLOOKUP(C259,'LABOR-SERVIÇOS'!A:H,5,FALSE),IF(B259="SINAPI",VLOOKUP(C259,'SINAPI-SERVIÇOS'!A:D,2,FALSE),IF(LEFT(C259,3)="ARQ",VLOOKUP(VALUE(RIGHT(C259,3)),'ARQ-COMP'!B:J,4,FALSE),IF(LEFT(C259,3)="SCI",VLOOKUP(VALUE(RIGHT(C259,3)),'GAS-COMP'!#REF!,4,FALSE),IF(LEFT(C259,3)="SCE",VLOOKUP(VALUE(RIGHT(C259,3)),'SCE-COMP'!B:J,4,FALSE),IF(LEFT(C259,3)="EST",VLOOKUP(VALUE(RIGHT(C259,3)),'EST-COMP'!B:J,4,FALSE),IF(LEFT(C259,3)="HID",VLOOKUP(VALUE(RIGHT(C259,3)),'HID-COMP'!B:J,4,FALSE),IF(LEFT(C259,3)="INC",VLOOKUP(VALUE(RIGHT(C259,3)),'INC-COMP'!B:J,4,FALSE),IF(LEFT(C259,3)="ELE",VLOOKUP(VALUE(RIGHT(C259,3)),#REF!,4,FALSE),IF(LEFT(C259,3)="CAB",VLOOKUP(VALUE(RIGHT(C259,3)),#REF!,4,FALSE),IF(LEFT(C259,3)="SEG",VLOOKUP(VALUE(RIGHT(C259,3)),'SEG-COMP'!B:J,4,FALSE),IF(LEFT(C259,3)="CLI",VLOOKUP(VALUE(RIGHT(C259,3)),'CLI-COMP'!B:J,4,FALSE),IF(LEFT(C259,4)="IMPL",VLOOKUP(VALUE(RIGHT(C259,3)),'IMPL-COMP'!B:J,4,FALSE),IF(LEFT(C259,4)="SPDA",VLOOKUP(VALUE(RIGHT(C259,3)),'SPDA-COMP'!B:J,4,FALSE),IF(LEFT(C259,4)="SDAI",VLOOKUP(VALUE(RIGHT(C259,3)),'ADM-COMP'!B:J,4,FALSE),IF(LEFT(C259,5)="IMPER",VLOOKUP(VALUE(RIGHT(C259,3)),'IMPER-COMP'!B:J,4,FALSE),""))))))))))))))))</f>
        <v>BUCHA E ARRUELA DE ALUMÍNIO FUNDIDO DIÂMETRO 20MM (3/4")</v>
      </c>
      <c r="E259" s="338" t="str">
        <f>IF(B259="IOPES",VLOOKUP(C259,'LABOR-SERVIÇOS'!A:H,6,FALSE),IF(B259="SINAPI",VLOOKUP(C259,'SINAPI-SERVIÇOS'!A:D,3,FALSE),IF(LEFT(C259,3)="ARQ",VLOOKUP(VALUE(RIGHT(C259,3)),'ARQ-COMP'!B:J,5,FALSE),IF(LEFT(C259,3)="SCI",VLOOKUP(VALUE(RIGHT(C259,3)),'GAS-COMP'!#REF!,5,FALSE),IF(LEFT(C259,3)="SCE",VLOOKUP(VALUE(RIGHT(C259,3)),'SCE-COMP'!B:J,5,FALSE),IF(LEFT(C259,3)="EST",VLOOKUP(VALUE(RIGHT(C259,3)),'EST-COMP'!B:J,5,FALSE),IF(LEFT(C259,3)="HID",VLOOKUP(VALUE(RIGHT(C259,3)),'HID-COMP'!B:J,5,FALSE),IF(LEFT(C259,3)="INC",VLOOKUP(VALUE(RIGHT(C259,3)),'INC-COMP'!B:J,5,FALSE),IF(LEFT(C259,3)="ELE",VLOOKUP(VALUE(RIGHT(C259,3)),#REF!,5,FALSE),IF(LEFT(C259,3)="CAB",VLOOKUP(VALUE(RIGHT(C259,3)),#REF!,5,FALSE),IF(LEFT(C259,3)="SEG",VLOOKUP(VALUE(RIGHT(C259,3)),'SEG-COMP'!B:J,5,FALSE),IF(LEFT(C259,3)="CLI",VLOOKUP(VALUE(RIGHT(C259,3)),'CLI-COMP'!B:J,5,FALSE),IF(LEFT(C259,4)="IMPL",VLOOKUP(VALUE(RIGHT(C259,3)),'IMPL-COMP'!B:J,5,FALSE),IF(LEFT(C259,4)="SPDA",VLOOKUP(VALUE(RIGHT(C259,3)),'SPDA-COMP'!B:J,5,FALSE),IF(LEFT(C259,4)="SDAI",VLOOKUP(VALUE(RIGHT(C259,3)),'ADM-COMP'!B:J,5,FALSE),IF(LEFT(C259,5)="IMPER",VLOOKUP(VALUE(RIGHT(C259,3)),'IMPER-COMP'!B:J,5,FALSE),""))))))))))))))))</f>
        <v>UND</v>
      </c>
      <c r="F259" s="599">
        <f>ROUND(VLOOKUP(A259,'MEM-LEVANT'!A269:I2817,9,FALSE),2)</f>
        <v>50</v>
      </c>
      <c r="G259" s="339">
        <f>IF(B259="IOPES",VLOOKUP(C259,'LABOR-SERVIÇOS'!A:H,7,FALSE),IF(B259="SINAPI",VLOOKUP(C259,'SINAPI-SERVIÇOS'!A:H,8,FALSE),IF(LEFT(C259,3)="ARQ",VLOOKUP(VALUE(RIGHT(C259,3)),'ARQ-COMP'!B:J,9,FALSE),IF(LEFT(C259,3)="SCI",VLOOKUP(VALUE(RIGHT(C259,3)),'GAS-COMP'!#REF!,9,FALSE),IF(LEFT(C259,3)="SCE",VLOOKUP(VALUE(RIGHT(C259,3)),'SCE-COMP'!B:J,9,FALSE),IF(LEFT(C259,3)="EST",VLOOKUP(VALUE(RIGHT(C259,3)),'EST-COMP'!B:J,9,FALSE),IF(LEFT(C259,3)="HID",VLOOKUP(VALUE(RIGHT(C259,3)),'HID-COMP'!B:J,9,FALSE),IF(LEFT(C259,3)="INC",VLOOKUP(VALUE(RIGHT(C259,3)),'INC-COMP'!B:J,9,FALSE),IF(LEFT(C259,3)="ELE",VLOOKUP(VALUE(RIGHT(C259,3)),#REF!,9,FALSE),IF(LEFT(C259,3)="CAB",VLOOKUP(VALUE(RIGHT(C259,3)),#REF!,9,FALSE),IF(LEFT(C259,3)="SEG",VLOOKUP(VALUE(RIGHT(C259,3)),'SEG-COMP'!B:J,9,FALSE),IF(LEFT(C259,3)="CLI",VLOOKUP(VALUE(RIGHT(C259,3)),'CLI-COMP'!B:J,9,FALSE),IF(LEFT(C259,4)="IMPL",VLOOKUP(VALUE(RIGHT(C259,3)),'IMPL-COMP'!B:J,9,FALSE),IF(LEFT(C259,4)="SPDA",VLOOKUP(VALUE(RIGHT(C259,3)),'SPDA-COMP'!B:J,9,FALSE),IF(LEFT(C259,4)="SDAI",VLOOKUP(VALUE(RIGHT(C259,3)),'ADM-COMP'!B:J,9,FALSE),IF(LEFT(C259,5)="IMPER",VLOOKUP(VALUE(RIGHT(C259,3)),'IMPER-COMP'!B:J,9,FALSE),""))))))))))))))))</f>
        <v>4.0199999999999996</v>
      </c>
      <c r="H259" s="339">
        <f t="shared" si="94"/>
        <v>201</v>
      </c>
      <c r="I259" s="374">
        <f>H259/$H$441</f>
        <v>1.1752387480522896E-5</v>
      </c>
      <c r="J259" s="314"/>
    </row>
    <row r="260" spans="1:10" ht="26.4">
      <c r="A260" s="553" t="s">
        <v>35366</v>
      </c>
      <c r="B260" s="554"/>
      <c r="C260" s="555"/>
      <c r="D260" s="556" t="s">
        <v>27420</v>
      </c>
      <c r="E260" s="557"/>
      <c r="F260" s="598"/>
      <c r="G260" s="558"/>
      <c r="H260" s="559"/>
      <c r="I260" s="560"/>
      <c r="J260" s="314"/>
    </row>
    <row r="261" spans="1:10" ht="26.4">
      <c r="A261" s="613" t="s">
        <v>35367</v>
      </c>
      <c r="B261" s="337" t="s">
        <v>2879</v>
      </c>
      <c r="C261" s="540">
        <f>151602</f>
        <v>151602</v>
      </c>
      <c r="D261" s="539" t="str">
        <f>IF(B261="IOPES",VLOOKUP(C261,'LABOR-SERVIÇOS'!A:H,5,FALSE),IF(B261="SINAPI",VLOOKUP(C261,'SINAPI-SERVIÇOS'!A:D,2,FALSE),IF(LEFT(C261,3)="ARQ",VLOOKUP(VALUE(RIGHT(C261,3)),'ARQ-COMP'!B:J,4,FALSE),IF(LEFT(C261,3)="SCI",VLOOKUP(VALUE(RIGHT(C261,3)),'GAS-COMP'!#REF!,4,FALSE),IF(LEFT(C261,3)="SCE",VLOOKUP(VALUE(RIGHT(C261,3)),'SCE-COMP'!B:J,4,FALSE),IF(LEFT(C261,3)="EST",VLOOKUP(VALUE(RIGHT(C261,3)),'EST-COMP'!B:J,4,FALSE),IF(LEFT(C261,3)="HID",VLOOKUP(VALUE(RIGHT(C261,3)),'HID-COMP'!B:J,4,FALSE),IF(LEFT(C261,3)="INC",VLOOKUP(VALUE(RIGHT(C261,3)),'INC-COMP'!B:J,4,FALSE),IF(LEFT(C261,3)="ELE",VLOOKUP(VALUE(RIGHT(C261,3)),#REF!,4,FALSE),IF(LEFT(C261,3)="CAB",VLOOKUP(VALUE(RIGHT(C261,3)),#REF!,4,FALSE),IF(LEFT(C261,3)="SEG",VLOOKUP(VALUE(RIGHT(C261,3)),'SEG-COMP'!B:J,4,FALSE),IF(LEFT(C261,3)="CLI",VLOOKUP(VALUE(RIGHT(C261,3)),'CLI-COMP'!B:J,4,FALSE),IF(LEFT(C261,4)="IMPL",VLOOKUP(VALUE(RIGHT(C261,3)),'IMPL-COMP'!B:J,4,FALSE),IF(LEFT(C261,4)="SPDA",VLOOKUP(VALUE(RIGHT(C261,3)),'SPDA-COMP'!B:J,4,FALSE),IF(LEFT(C261,4)="SDAI",VLOOKUP(VALUE(RIGHT(C261,3)),'ADM-COMP'!B:J,4,FALSE),IF(LEFT(C261,5)="IMPER",VLOOKUP(VALUE(RIGHT(C261,3)),'IMPER-COMP'!B:J,4,FALSE),""))))))))))))))))</f>
        <v>ABERTURA E FECHAMENTO DE RASGOS EM ALVENARIA, PARA PASSAGEM DE ELETRODUTO DIÂM. 1 1/4"A 2"</v>
      </c>
      <c r="E261" s="338" t="str">
        <f>IF(B261="IOPES",VLOOKUP(C261,'LABOR-SERVIÇOS'!A:H,6,FALSE),IF(B261="SINAPI",VLOOKUP(C261,'SINAPI-SERVIÇOS'!A:D,3,FALSE),IF(LEFT(C261,3)="ARQ",VLOOKUP(VALUE(RIGHT(C261,3)),'ARQ-COMP'!B:J,5,FALSE),IF(LEFT(C261,3)="SCI",VLOOKUP(VALUE(RIGHT(C261,3)),'GAS-COMP'!#REF!,5,FALSE),IF(LEFT(C261,3)="SCE",VLOOKUP(VALUE(RIGHT(C261,3)),'SCE-COMP'!B:J,5,FALSE),IF(LEFT(C261,3)="EST",VLOOKUP(VALUE(RIGHT(C261,3)),'EST-COMP'!B:J,5,FALSE),IF(LEFT(C261,3)="HID",VLOOKUP(VALUE(RIGHT(C261,3)),'HID-COMP'!B:J,5,FALSE),IF(LEFT(C261,3)="INC",VLOOKUP(VALUE(RIGHT(C261,3)),'INC-COMP'!B:J,5,FALSE),IF(LEFT(C261,3)="ELE",VLOOKUP(VALUE(RIGHT(C261,3)),#REF!,5,FALSE),IF(LEFT(C261,3)="CAB",VLOOKUP(VALUE(RIGHT(C261,3)),#REF!,5,FALSE),IF(LEFT(C261,3)="SEG",VLOOKUP(VALUE(RIGHT(C261,3)),'SEG-COMP'!B:J,5,FALSE),IF(LEFT(C261,3)="CLI",VLOOKUP(VALUE(RIGHT(C261,3)),'CLI-COMP'!B:J,5,FALSE),IF(LEFT(C261,4)="IMPL",VLOOKUP(VALUE(RIGHT(C261,3)),'IMPL-COMP'!B:J,5,FALSE),IF(LEFT(C261,4)="SPDA",VLOOKUP(VALUE(RIGHT(C261,3)),'SPDA-COMP'!B:J,5,FALSE),IF(LEFT(C261,4)="SDAI",VLOOKUP(VALUE(RIGHT(C261,3)),'ADM-COMP'!B:J,5,FALSE),IF(LEFT(C261,5)="IMPER",VLOOKUP(VALUE(RIGHT(C261,3)),'IMPER-COMP'!B:J,5,FALSE),""))))))))))))))))</f>
        <v>M</v>
      </c>
      <c r="F261" s="599">
        <f>ROUND(VLOOKUP(A261,'MEM-LEVANT'!A269:I2814,9,FALSE),2)</f>
        <v>300</v>
      </c>
      <c r="G261" s="339">
        <f>IF(B261="IOPES",VLOOKUP(C261,'LABOR-SERVIÇOS'!A:H,7,FALSE),IF(B261="SINAPI",VLOOKUP(C261,'SINAPI-SERVIÇOS'!A:H,8,FALSE),IF(LEFT(C261,3)="ARQ",VLOOKUP(VALUE(RIGHT(C261,3)),'ARQ-COMP'!B:J,9,FALSE),IF(LEFT(C261,3)="SCI",VLOOKUP(VALUE(RIGHT(C261,3)),'GAS-COMP'!#REF!,9,FALSE),IF(LEFT(C261,3)="SCE",VLOOKUP(VALUE(RIGHT(C261,3)),'SCE-COMP'!B:J,9,FALSE),IF(LEFT(C261,3)="EST",VLOOKUP(VALUE(RIGHT(C261,3)),'EST-COMP'!B:J,9,FALSE),IF(LEFT(C261,3)="HID",VLOOKUP(VALUE(RIGHT(C261,3)),'HID-COMP'!B:J,9,FALSE),IF(LEFT(C261,3)="INC",VLOOKUP(VALUE(RIGHT(C261,3)),'INC-COMP'!B:J,9,FALSE),IF(LEFT(C261,3)="ELE",VLOOKUP(VALUE(RIGHT(C261,3)),#REF!,9,FALSE),IF(LEFT(C261,3)="CAB",VLOOKUP(VALUE(RIGHT(C261,3)),#REF!,9,FALSE),IF(LEFT(C261,3)="SEG",VLOOKUP(VALUE(RIGHT(C261,3)),'SEG-COMP'!B:J,9,FALSE),IF(LEFT(C261,3)="CLI",VLOOKUP(VALUE(RIGHT(C261,3)),'CLI-COMP'!B:J,9,FALSE),IF(LEFT(C261,4)="IMPL",VLOOKUP(VALUE(RIGHT(C261,3)),'IMPL-COMP'!B:J,9,FALSE),IF(LEFT(C261,4)="SPDA",VLOOKUP(VALUE(RIGHT(C261,3)),'SPDA-COMP'!B:J,9,FALSE),IF(LEFT(C261,4)="SDAI",VLOOKUP(VALUE(RIGHT(C261,3)),'ADM-COMP'!B:J,9,FALSE),IF(LEFT(C261,5)="IMPER",VLOOKUP(VALUE(RIGHT(C261,3)),'IMPER-COMP'!B:J,9,FALSE),""))))))))))))))))</f>
        <v>27.96</v>
      </c>
      <c r="H261" s="339">
        <f t="shared" ref="H261:H262" si="95">ROUND(F261*G261,2)</f>
        <v>8388</v>
      </c>
      <c r="I261" s="374">
        <f>H261/$H$441</f>
        <v>4.9044291635137348E-4</v>
      </c>
      <c r="J261" s="314"/>
    </row>
    <row r="262" spans="1:10" ht="26.4">
      <c r="A262" s="613" t="s">
        <v>35368</v>
      </c>
      <c r="B262" s="337" t="s">
        <v>2879</v>
      </c>
      <c r="C262" s="540">
        <f>151605</f>
        <v>151605</v>
      </c>
      <c r="D262" s="539" t="str">
        <f>IF(B262="IOPES",VLOOKUP(C262,'LABOR-SERVIÇOS'!A:H,5,FALSE),IF(B262="SINAPI",VLOOKUP(C262,'SINAPI-SERVIÇOS'!A:D,2,FALSE),IF(LEFT(C262,3)="ARQ",VLOOKUP(VALUE(RIGHT(C262,3)),'ARQ-COMP'!B:J,4,FALSE),IF(LEFT(C262,3)="SCI",VLOOKUP(VALUE(RIGHT(C262,3)),'GAS-COMP'!#REF!,4,FALSE),IF(LEFT(C262,3)="SCE",VLOOKUP(VALUE(RIGHT(C262,3)),'SCE-COMP'!B:J,4,FALSE),IF(LEFT(C262,3)="EST",VLOOKUP(VALUE(RIGHT(C262,3)),'EST-COMP'!B:J,4,FALSE),IF(LEFT(C262,3)="HID",VLOOKUP(VALUE(RIGHT(C262,3)),'HID-COMP'!B:J,4,FALSE),IF(LEFT(C262,3)="INC",VLOOKUP(VALUE(RIGHT(C262,3)),'INC-COMP'!B:J,4,FALSE),IF(LEFT(C262,3)="ELE",VLOOKUP(VALUE(RIGHT(C262,3)),#REF!,4,FALSE),IF(LEFT(C262,3)="CAB",VLOOKUP(VALUE(RIGHT(C262,3)),#REF!,4,FALSE),IF(LEFT(C262,3)="SEG",VLOOKUP(VALUE(RIGHT(C262,3)),'SEG-COMP'!B:J,4,FALSE),IF(LEFT(C262,3)="CLI",VLOOKUP(VALUE(RIGHT(C262,3)),'CLI-COMP'!B:J,4,FALSE),IF(LEFT(C262,4)="IMPL",VLOOKUP(VALUE(RIGHT(C262,3)),'IMPL-COMP'!B:J,4,FALSE),IF(LEFT(C262,4)="SPDA",VLOOKUP(VALUE(RIGHT(C262,3)),'SPDA-COMP'!B:J,4,FALSE),IF(LEFT(C262,4)="SDAI",VLOOKUP(VALUE(RIGHT(C262,3)),'ADM-COMP'!B:J,4,FALSE),IF(LEFT(C262,5)="IMPER",VLOOKUP(VALUE(RIGHT(C262,3)),'IMPER-COMP'!B:J,4,FALSE),""))))))))))))))))</f>
        <v>ABERTURA E FECHAMENTO DE RASGOS EM CONCRETO, PARA PASSAGEM DE ELETRODUTO DIÂM. 1 1/4" A 2"</v>
      </c>
      <c r="E262" s="338" t="str">
        <f>IF(B262="IOPES",VLOOKUP(C262,'LABOR-SERVIÇOS'!A:H,6,FALSE),IF(B262="SINAPI",VLOOKUP(C262,'SINAPI-SERVIÇOS'!A:D,3,FALSE),IF(LEFT(C262,3)="ARQ",VLOOKUP(VALUE(RIGHT(C262,3)),'ARQ-COMP'!B:J,5,FALSE),IF(LEFT(C262,3)="SCI",VLOOKUP(VALUE(RIGHT(C262,3)),'GAS-COMP'!#REF!,5,FALSE),IF(LEFT(C262,3)="SCE",VLOOKUP(VALUE(RIGHT(C262,3)),'SCE-COMP'!B:J,5,FALSE),IF(LEFT(C262,3)="EST",VLOOKUP(VALUE(RIGHT(C262,3)),'EST-COMP'!B:J,5,FALSE),IF(LEFT(C262,3)="HID",VLOOKUP(VALUE(RIGHT(C262,3)),'HID-COMP'!B:J,5,FALSE),IF(LEFT(C262,3)="INC",VLOOKUP(VALUE(RIGHT(C262,3)),'INC-COMP'!B:J,5,FALSE),IF(LEFT(C262,3)="ELE",VLOOKUP(VALUE(RIGHT(C262,3)),#REF!,5,FALSE),IF(LEFT(C262,3)="CAB",VLOOKUP(VALUE(RIGHT(C262,3)),#REF!,5,FALSE),IF(LEFT(C262,3)="SEG",VLOOKUP(VALUE(RIGHT(C262,3)),'SEG-COMP'!B:J,5,FALSE),IF(LEFT(C262,3)="CLI",VLOOKUP(VALUE(RIGHT(C262,3)),'CLI-COMP'!B:J,5,FALSE),IF(LEFT(C262,4)="IMPL",VLOOKUP(VALUE(RIGHT(C262,3)),'IMPL-COMP'!B:J,5,FALSE),IF(LEFT(C262,4)="SPDA",VLOOKUP(VALUE(RIGHT(C262,3)),'SPDA-COMP'!B:J,5,FALSE),IF(LEFT(C262,4)="SDAI",VLOOKUP(VALUE(RIGHT(C262,3)),'ADM-COMP'!B:J,5,FALSE),IF(LEFT(C262,5)="IMPER",VLOOKUP(VALUE(RIGHT(C262,3)),'IMPER-COMP'!B:J,5,FALSE),""))))))))))))))))</f>
        <v>M</v>
      </c>
      <c r="F262" s="599">
        <f>ROUND(VLOOKUP(A262,'MEM-LEVANT'!A269:I2815,9,FALSE),2)</f>
        <v>500</v>
      </c>
      <c r="G262" s="339">
        <f>IF(B262="IOPES",VLOOKUP(C262,'LABOR-SERVIÇOS'!A:H,7,FALSE),IF(B262="SINAPI",VLOOKUP(C262,'SINAPI-SERVIÇOS'!A:H,8,FALSE),IF(LEFT(C262,3)="ARQ",VLOOKUP(VALUE(RIGHT(C262,3)),'ARQ-COMP'!B:J,9,FALSE),IF(LEFT(C262,3)="SCI",VLOOKUP(VALUE(RIGHT(C262,3)),'GAS-COMP'!#REF!,9,FALSE),IF(LEFT(C262,3)="SCE",VLOOKUP(VALUE(RIGHT(C262,3)),'SCE-COMP'!B:J,9,FALSE),IF(LEFT(C262,3)="EST",VLOOKUP(VALUE(RIGHT(C262,3)),'EST-COMP'!B:J,9,FALSE),IF(LEFT(C262,3)="HID",VLOOKUP(VALUE(RIGHT(C262,3)),'HID-COMP'!B:J,9,FALSE),IF(LEFT(C262,3)="INC",VLOOKUP(VALUE(RIGHT(C262,3)),'INC-COMP'!B:J,9,FALSE),IF(LEFT(C262,3)="ELE",VLOOKUP(VALUE(RIGHT(C262,3)),#REF!,9,FALSE),IF(LEFT(C262,3)="CAB",VLOOKUP(VALUE(RIGHT(C262,3)),#REF!,9,FALSE),IF(LEFT(C262,3)="SEG",VLOOKUP(VALUE(RIGHT(C262,3)),'SEG-COMP'!B:J,9,FALSE),IF(LEFT(C262,3)="CLI",VLOOKUP(VALUE(RIGHT(C262,3)),'CLI-COMP'!B:J,9,FALSE),IF(LEFT(C262,4)="IMPL",VLOOKUP(VALUE(RIGHT(C262,3)),'IMPL-COMP'!B:J,9,FALSE),IF(LEFT(C262,4)="SPDA",VLOOKUP(VALUE(RIGHT(C262,3)),'SPDA-COMP'!B:J,9,FALSE),IF(LEFT(C262,4)="SDAI",VLOOKUP(VALUE(RIGHT(C262,3)),'ADM-COMP'!B:J,9,FALSE),IF(LEFT(C262,5)="IMPER",VLOOKUP(VALUE(RIGHT(C262,3)),'IMPER-COMP'!B:J,9,FALSE),""))))))))))))))))</f>
        <v>54.18</v>
      </c>
      <c r="H262" s="339">
        <f t="shared" si="95"/>
        <v>27090</v>
      </c>
      <c r="I262" s="374">
        <f>H262/$H$441</f>
        <v>1.5839411783451008E-3</v>
      </c>
      <c r="J262" s="314"/>
    </row>
    <row r="263" spans="1:10">
      <c r="A263" s="553" t="s">
        <v>35369</v>
      </c>
      <c r="B263" s="554"/>
      <c r="C263" s="555"/>
      <c r="D263" s="556" t="s">
        <v>1487</v>
      </c>
      <c r="E263" s="557"/>
      <c r="F263" s="598"/>
      <c r="G263" s="558"/>
      <c r="H263" s="559"/>
      <c r="I263" s="560"/>
      <c r="J263" s="314"/>
    </row>
    <row r="264" spans="1:10" ht="66">
      <c r="A264" s="613" t="s">
        <v>35370</v>
      </c>
      <c r="B264" s="337" t="s">
        <v>2879</v>
      </c>
      <c r="C264" s="540">
        <f>151715</f>
        <v>151715</v>
      </c>
      <c r="D264" s="539" t="str">
        <f>IF(B264="IOPES",VLOOKUP(C264,'LABOR-SERVIÇOS'!A:H,5,FALSE),IF(B264="SINAPI",VLOOKUP(C264,'SINAPI-SERVIÇOS'!A:D,2,FALSE),IF(LEFT(C264,3)="ARQ",VLOOKUP(VALUE(RIGHT(C264,3)),'ARQ-COMP'!B:J,4,FALSE),IF(LEFT(C264,3)="SCI",VLOOKUP(VALUE(RIGHT(C264,3)),'GAS-COMP'!#REF!,4,FALSE),IF(LEFT(C264,3)="SCE",VLOOKUP(VALUE(RIGHT(C264,3)),'SCE-COMP'!B:J,4,FALSE),IF(LEFT(C264,3)="EST",VLOOKUP(VALUE(RIGHT(C264,3)),'EST-COMP'!B:J,4,FALSE),IF(LEFT(C264,3)="HID",VLOOKUP(VALUE(RIGHT(C264,3)),'HID-COMP'!B:J,4,FALSE),IF(LEFT(C264,3)="INC",VLOOKUP(VALUE(RIGHT(C264,3)),'INC-COMP'!B:J,4,FALSE),IF(LEFT(C264,3)="ELE",VLOOKUP(VALUE(RIGHT(C264,3)),#REF!,4,FALSE),IF(LEFT(C264,3)="CAB",VLOOKUP(VALUE(RIGHT(C264,3)),#REF!,4,FALSE),IF(LEFT(C264,3)="SEG",VLOOKUP(VALUE(RIGHT(C264,3)),'SEG-COMP'!B:J,4,FALSE),IF(LEFT(C264,3)="CLI",VLOOKUP(VALUE(RIGHT(C264,3)),'CLI-COMP'!B:J,4,FALSE),IF(LEFT(C264,4)="IMPL",VLOOKUP(VALUE(RIGHT(C264,3)),'IMPL-COMP'!B:J,4,FALSE),IF(LEFT(C264,4)="SPDA",VLOOKUP(VALUE(RIGHT(C264,3)),'SPDA-COMP'!B:J,4,FALSE),IF(LEFT(C264,4)="SDAI",VLOOKUP(VALUE(RIGHT(C264,3)),'ADM-COMP'!B:J,4,FALSE),IF(LEFT(C264,5)="IMPER",VLOOKUP(VALUE(RIGHT(C264,3)),'IMPER-COMP'!B:J,4,FALSE),""))))))))))))))))</f>
        <v>SUBESTAÇÃO EXT. AÉREA TRIFÁS. 225KVA, COMPLETA, C/ QUADROS DE MEDIÇÃO, TRANSF. A ÓLEO, CHAVE GERAL TRIP., POSTE E ACESSÓRIOS, CONF. NOR-TEC-01 DA ESCELSA, INCL. MURETA REV. C/ ARG. CIMENTO, CAL HIDRAT. CH1 E AREIA TRAÇO 1:0.5:6</v>
      </c>
      <c r="E264" s="338" t="str">
        <f>IF(B264="IOPES",VLOOKUP(C264,'LABOR-SERVIÇOS'!A:H,6,FALSE),IF(B264="SINAPI",VLOOKUP(C264,'SINAPI-SERVIÇOS'!A:D,3,FALSE),IF(LEFT(C264,3)="ARQ",VLOOKUP(VALUE(RIGHT(C264,3)),'ARQ-COMP'!B:J,5,FALSE),IF(LEFT(C264,3)="SCI",VLOOKUP(VALUE(RIGHT(C264,3)),'GAS-COMP'!#REF!,5,FALSE),IF(LEFT(C264,3)="SCE",VLOOKUP(VALUE(RIGHT(C264,3)),'SCE-COMP'!B:J,5,FALSE),IF(LEFT(C264,3)="EST",VLOOKUP(VALUE(RIGHT(C264,3)),'EST-COMP'!B:J,5,FALSE),IF(LEFT(C264,3)="HID",VLOOKUP(VALUE(RIGHT(C264,3)),'HID-COMP'!B:J,5,FALSE),IF(LEFT(C264,3)="INC",VLOOKUP(VALUE(RIGHT(C264,3)),'INC-COMP'!B:J,5,FALSE),IF(LEFT(C264,3)="ELE",VLOOKUP(VALUE(RIGHT(C264,3)),#REF!,5,FALSE),IF(LEFT(C264,3)="CAB",VLOOKUP(VALUE(RIGHT(C264,3)),#REF!,5,FALSE),IF(LEFT(C264,3)="SEG",VLOOKUP(VALUE(RIGHT(C264,3)),'SEG-COMP'!B:J,5,FALSE),IF(LEFT(C264,3)="CLI",VLOOKUP(VALUE(RIGHT(C264,3)),'CLI-COMP'!B:J,5,FALSE),IF(LEFT(C264,4)="IMPL",VLOOKUP(VALUE(RIGHT(C264,3)),'IMPL-COMP'!B:J,5,FALSE),IF(LEFT(C264,4)="SPDA",VLOOKUP(VALUE(RIGHT(C264,3)),'SPDA-COMP'!B:J,5,FALSE),IF(LEFT(C264,4)="SDAI",VLOOKUP(VALUE(RIGHT(C264,3)),'ADM-COMP'!B:J,5,FALSE),IF(LEFT(C264,5)="IMPER",VLOOKUP(VALUE(RIGHT(C264,3)),'IMPER-COMP'!B:J,5,FALSE),""))))))))))))))))</f>
        <v>UND</v>
      </c>
      <c r="F264" s="599">
        <f>ROUND(VLOOKUP(A264,'MEM-LEVANT'!A269:I2817,9,FALSE),2)</f>
        <v>1</v>
      </c>
      <c r="G264" s="339">
        <f>IF(B264="IOPES",VLOOKUP(C264,'LABOR-SERVIÇOS'!A:H,7,FALSE),IF(B264="SINAPI",VLOOKUP(C264,'SINAPI-SERVIÇOS'!A:H,8,FALSE),IF(LEFT(C264,3)="ARQ",VLOOKUP(VALUE(RIGHT(C264,3)),'ARQ-COMP'!B:J,9,FALSE),IF(LEFT(C264,3)="SCI",VLOOKUP(VALUE(RIGHT(C264,3)),'GAS-COMP'!#REF!,9,FALSE),IF(LEFT(C264,3)="SCE",VLOOKUP(VALUE(RIGHT(C264,3)),'SCE-COMP'!B:J,9,FALSE),IF(LEFT(C264,3)="EST",VLOOKUP(VALUE(RIGHT(C264,3)),'EST-COMP'!B:J,9,FALSE),IF(LEFT(C264,3)="HID",VLOOKUP(VALUE(RIGHT(C264,3)),'HID-COMP'!B:J,9,FALSE),IF(LEFT(C264,3)="INC",VLOOKUP(VALUE(RIGHT(C264,3)),'INC-COMP'!B:J,9,FALSE),IF(LEFT(C264,3)="ELE",VLOOKUP(VALUE(RIGHT(C264,3)),#REF!,9,FALSE),IF(LEFT(C264,3)="CAB",VLOOKUP(VALUE(RIGHT(C264,3)),#REF!,9,FALSE),IF(LEFT(C264,3)="SEG",VLOOKUP(VALUE(RIGHT(C264,3)),'SEG-COMP'!B:J,9,FALSE),IF(LEFT(C264,3)="CLI",VLOOKUP(VALUE(RIGHT(C264,3)),'CLI-COMP'!B:J,9,FALSE),IF(LEFT(C264,4)="IMPL",VLOOKUP(VALUE(RIGHT(C264,3)),'IMPL-COMP'!B:J,9,FALSE),IF(LEFT(C264,4)="SPDA",VLOOKUP(VALUE(RIGHT(C264,3)),'SPDA-COMP'!B:J,9,FALSE),IF(LEFT(C264,4)="SDAI",VLOOKUP(VALUE(RIGHT(C264,3)),'ADM-COMP'!B:J,9,FALSE),IF(LEFT(C264,5)="IMPER",VLOOKUP(VALUE(RIGHT(C264,3)),'IMPER-COMP'!B:J,9,FALSE),""))))))))))))))))</f>
        <v>118518.84</v>
      </c>
      <c r="H264" s="339">
        <f t="shared" ref="H264" si="96">ROUND(F264*G264,2)</f>
        <v>118518.84</v>
      </c>
      <c r="I264" s="374">
        <f>H264/$H$441</f>
        <v>6.9297479175228667E-3</v>
      </c>
      <c r="J264" s="314"/>
    </row>
    <row r="265" spans="1:10">
      <c r="A265" s="553" t="s">
        <v>35371</v>
      </c>
      <c r="B265" s="554"/>
      <c r="C265" s="555"/>
      <c r="D265" s="556" t="s">
        <v>1492</v>
      </c>
      <c r="E265" s="557"/>
      <c r="F265" s="598"/>
      <c r="G265" s="558"/>
      <c r="H265" s="559"/>
      <c r="I265" s="560"/>
      <c r="J265" s="314"/>
    </row>
    <row r="266" spans="1:10" ht="57.6" customHeight="1">
      <c r="A266" s="613" t="s">
        <v>35372</v>
      </c>
      <c r="B266" s="337" t="s">
        <v>2879</v>
      </c>
      <c r="C266" s="540">
        <f>151801</f>
        <v>151801</v>
      </c>
      <c r="D266" s="539" t="str">
        <f>IF(B266="IOPES",VLOOKUP(C266,'LABOR-SERVIÇOS'!A:H,5,FALSE),IF(B266="SINAPI",VLOOKUP(C266,'SINAPI-SERVIÇOS'!A:D,2,FALSE),IF(LEFT(C266,3)="ARQ",VLOOKUP(VALUE(RIGHT(C266,3)),'ARQ-COMP'!B:J,4,FALSE),IF(LEFT(C266,3)="SCI",VLOOKUP(VALUE(RIGHT(C266,3)),'GAS-COMP'!#REF!,4,FALSE),IF(LEFT(C266,3)="SCE",VLOOKUP(VALUE(RIGHT(C266,3)),'SCE-COMP'!B:J,4,FALSE),IF(LEFT(C266,3)="EST",VLOOKUP(VALUE(RIGHT(C266,3)),'EST-COMP'!B:J,4,FALSE),IF(LEFT(C266,3)="HID",VLOOKUP(VALUE(RIGHT(C266,3)),'HID-COMP'!B:J,4,FALSE),IF(LEFT(C266,3)="INC",VLOOKUP(VALUE(RIGHT(C266,3)),'INC-COMP'!B:J,4,FALSE),IF(LEFT(C266,3)="ELE",VLOOKUP(VALUE(RIGHT(C266,3)),#REF!,4,FALSE),IF(LEFT(C266,3)="CAB",VLOOKUP(VALUE(RIGHT(C266,3)),#REF!,4,FALSE),IF(LEFT(C266,3)="SEG",VLOOKUP(VALUE(RIGHT(C266,3)),'SEG-COMP'!B:J,4,FALSE),IF(LEFT(C266,3)="CLI",VLOOKUP(VALUE(RIGHT(C266,3)),'CLI-COMP'!B:J,4,FALSE),IF(LEFT(C266,4)="IMPL",VLOOKUP(VALUE(RIGHT(C266,3)),'IMPL-COMP'!B:J,4,FALSE),IF(LEFT(C266,4)="SPDA",VLOOKUP(VALUE(RIGHT(C266,3)),'SPDA-COMP'!B:J,4,FALSE),IF(LEFT(C266,4)="SDAI",VLOOKUP(VALUE(RIGHT(C266,3)),'ADM-COMP'!B:J,4,FALSE),IF(LEFT(C266,5)="IMPER",VLOOKUP(VALUE(RIGHT(C266,3)),'IMPER-COMP'!B:J,4,FALSE),""))))))))))))))))</f>
        <v>PONTO PADRÃO DE LUZ NO TETO - CONSIDERANDO ELETRODUTO PVC RÍGIDO DE 3/4" INCLUSIVE CONEXÕES (4.5M), FIO ISOLADO PVC DE 2.5MM2 (16.2M) E CAIXA PVC 4X4" (1 UND)</v>
      </c>
      <c r="E266" s="338" t="str">
        <f>IF(B266="IOPES",VLOOKUP(C266,'LABOR-SERVIÇOS'!A:H,6,FALSE),IF(B266="SINAPI",VLOOKUP(C266,'SINAPI-SERVIÇOS'!A:D,3,FALSE),IF(LEFT(C266,3)="ARQ",VLOOKUP(VALUE(RIGHT(C266,3)),'ARQ-COMP'!B:J,5,FALSE),IF(LEFT(C266,3)="SCI",VLOOKUP(VALUE(RIGHT(C266,3)),'GAS-COMP'!#REF!,5,FALSE),IF(LEFT(C266,3)="SCE",VLOOKUP(VALUE(RIGHT(C266,3)),'SCE-COMP'!B:J,5,FALSE),IF(LEFT(C266,3)="EST",VLOOKUP(VALUE(RIGHT(C266,3)),'EST-COMP'!B:J,5,FALSE),IF(LEFT(C266,3)="HID",VLOOKUP(VALUE(RIGHT(C266,3)),'HID-COMP'!B:J,5,FALSE),IF(LEFT(C266,3)="INC",VLOOKUP(VALUE(RIGHT(C266,3)),'INC-COMP'!B:J,5,FALSE),IF(LEFT(C266,3)="ELE",VLOOKUP(VALUE(RIGHT(C266,3)),#REF!,5,FALSE),IF(LEFT(C266,3)="CAB",VLOOKUP(VALUE(RIGHT(C266,3)),#REF!,5,FALSE),IF(LEFT(C266,3)="SEG",VLOOKUP(VALUE(RIGHT(C266,3)),'SEG-COMP'!B:J,5,FALSE),IF(LEFT(C266,3)="CLI",VLOOKUP(VALUE(RIGHT(C266,3)),'CLI-COMP'!B:J,5,FALSE),IF(LEFT(C266,4)="IMPL",VLOOKUP(VALUE(RIGHT(C266,3)),'IMPL-COMP'!B:J,5,FALSE),IF(LEFT(C266,4)="SPDA",VLOOKUP(VALUE(RIGHT(C266,3)),'SPDA-COMP'!B:J,5,FALSE),IF(LEFT(C266,4)="SDAI",VLOOKUP(VALUE(RIGHT(C266,3)),'ADM-COMP'!B:J,5,FALSE),IF(LEFT(C266,5)="IMPER",VLOOKUP(VALUE(RIGHT(C266,3)),'IMPER-COMP'!B:J,5,FALSE),""))))))))))))))))</f>
        <v>UND</v>
      </c>
      <c r="F266" s="599">
        <f>ROUND(VLOOKUP(A266,'MEM-LEVANT'!A269:I2817,9,FALSE),2)</f>
        <v>622</v>
      </c>
      <c r="G266" s="339">
        <f>IF(B266="IOPES",VLOOKUP(C266,'LABOR-SERVIÇOS'!A:H,7,FALSE),IF(B266="SINAPI",VLOOKUP(C266,'SINAPI-SERVIÇOS'!A:H,8,FALSE),IF(LEFT(C266,3)="ARQ",VLOOKUP(VALUE(RIGHT(C266,3)),'ARQ-COMP'!B:J,9,FALSE),IF(LEFT(C266,3)="SCI",VLOOKUP(VALUE(RIGHT(C266,3)),'GAS-COMP'!#REF!,9,FALSE),IF(LEFT(C266,3)="SCE",VLOOKUP(VALUE(RIGHT(C266,3)),'SCE-COMP'!B:J,9,FALSE),IF(LEFT(C266,3)="EST",VLOOKUP(VALUE(RIGHT(C266,3)),'EST-COMP'!B:J,9,FALSE),IF(LEFT(C266,3)="HID",VLOOKUP(VALUE(RIGHT(C266,3)),'HID-COMP'!B:J,9,FALSE),IF(LEFT(C266,3)="INC",VLOOKUP(VALUE(RIGHT(C266,3)),'INC-COMP'!B:J,9,FALSE),IF(LEFT(C266,3)="ELE",VLOOKUP(VALUE(RIGHT(C266,3)),#REF!,9,FALSE),IF(LEFT(C266,3)="CAB",VLOOKUP(VALUE(RIGHT(C266,3)),#REF!,9,FALSE),IF(LEFT(C266,3)="SEG",VLOOKUP(VALUE(RIGHT(C266,3)),'SEG-COMP'!B:J,9,FALSE),IF(LEFT(C266,3)="CLI",VLOOKUP(VALUE(RIGHT(C266,3)),'CLI-COMP'!B:J,9,FALSE),IF(LEFT(C266,4)="IMPL",VLOOKUP(VALUE(RIGHT(C266,3)),'IMPL-COMP'!B:J,9,FALSE),IF(LEFT(C266,4)="SPDA",VLOOKUP(VALUE(RIGHT(C266,3)),'SPDA-COMP'!B:J,9,FALSE),IF(LEFT(C266,4)="SDAI",VLOOKUP(VALUE(RIGHT(C266,3)),'ADM-COMP'!B:J,9,FALSE),IF(LEFT(C266,5)="IMPER",VLOOKUP(VALUE(RIGHT(C266,3)),'IMPER-COMP'!B:J,9,FALSE),""))))))))))))))))</f>
        <v>311.23</v>
      </c>
      <c r="H266" s="339">
        <f t="shared" ref="H266:H273" si="97">ROUND(F266*G266,2)</f>
        <v>193585.06</v>
      </c>
      <c r="I266" s="374">
        <f t="shared" ref="I266:I274" si="98">H266/$H$441</f>
        <v>1.1318838982886935E-2</v>
      </c>
      <c r="J266" s="314"/>
    </row>
    <row r="267" spans="1:10" ht="55.8" customHeight="1">
      <c r="A267" s="613" t="s">
        <v>35373</v>
      </c>
      <c r="B267" s="337" t="s">
        <v>2879</v>
      </c>
      <c r="C267" s="540">
        <f>151802</f>
        <v>151802</v>
      </c>
      <c r="D267" s="539" t="str">
        <f>IF(B267="IOPES",VLOOKUP(C267,'LABOR-SERVIÇOS'!A:H,5,FALSE),IF(B267="SINAPI",VLOOKUP(C267,'SINAPI-SERVIÇOS'!A:D,2,FALSE),IF(LEFT(C267,3)="ARQ",VLOOKUP(VALUE(RIGHT(C267,3)),'ARQ-COMP'!B:J,4,FALSE),IF(LEFT(C267,3)="SCI",VLOOKUP(VALUE(RIGHT(C267,3)),'GAS-COMP'!#REF!,4,FALSE),IF(LEFT(C267,3)="SCE",VLOOKUP(VALUE(RIGHT(C267,3)),'SCE-COMP'!B:J,4,FALSE),IF(LEFT(C267,3)="EST",VLOOKUP(VALUE(RIGHT(C267,3)),'EST-COMP'!B:J,4,FALSE),IF(LEFT(C267,3)="HID",VLOOKUP(VALUE(RIGHT(C267,3)),'HID-COMP'!B:J,4,FALSE),IF(LEFT(C267,3)="INC",VLOOKUP(VALUE(RIGHT(C267,3)),'INC-COMP'!B:J,4,FALSE),IF(LEFT(C267,3)="ELE",VLOOKUP(VALUE(RIGHT(C267,3)),#REF!,4,FALSE),IF(LEFT(C267,3)="CAB",VLOOKUP(VALUE(RIGHT(C267,3)),#REF!,4,FALSE),IF(LEFT(C267,3)="SEG",VLOOKUP(VALUE(RIGHT(C267,3)),'SEG-COMP'!B:J,4,FALSE),IF(LEFT(C267,3)="CLI",VLOOKUP(VALUE(RIGHT(C267,3)),'CLI-COMP'!B:J,4,FALSE),IF(LEFT(C267,4)="IMPL",VLOOKUP(VALUE(RIGHT(C267,3)),'IMPL-COMP'!B:J,4,FALSE),IF(LEFT(C267,4)="SPDA",VLOOKUP(VALUE(RIGHT(C267,3)),'SPDA-COMP'!B:J,4,FALSE),IF(LEFT(C267,4)="SDAI",VLOOKUP(VALUE(RIGHT(C267,3)),'ADM-COMP'!B:J,4,FALSE),IF(LEFT(C267,5)="IMPER",VLOOKUP(VALUE(RIGHT(C267,3)),'IMPER-COMP'!B:J,4,FALSE),""))))))))))))))))</f>
        <v>PONTO PADRÃO DE LUZ NA PAREDE - CONSIDERANDO ELETRODUTO PVC RÍGIDO DE 3/4" INCLUSIVE CONEXÕES (4.5M), FIO ISOLADO PVC DE 2.5MM2 (16.2M) E CAIXA PVC 4X2" (1 UND)</v>
      </c>
      <c r="E267" s="338" t="str">
        <f>IF(B267="IOPES",VLOOKUP(C267,'LABOR-SERVIÇOS'!A:H,6,FALSE),IF(B267="SINAPI",VLOOKUP(C267,'SINAPI-SERVIÇOS'!A:D,3,FALSE),IF(LEFT(C267,3)="ARQ",VLOOKUP(VALUE(RIGHT(C267,3)),'ARQ-COMP'!B:J,5,FALSE),IF(LEFT(C267,3)="SCI",VLOOKUP(VALUE(RIGHT(C267,3)),'GAS-COMP'!#REF!,5,FALSE),IF(LEFT(C267,3)="SCE",VLOOKUP(VALUE(RIGHT(C267,3)),'SCE-COMP'!B:J,5,FALSE),IF(LEFT(C267,3)="EST",VLOOKUP(VALUE(RIGHT(C267,3)),'EST-COMP'!B:J,5,FALSE),IF(LEFT(C267,3)="HID",VLOOKUP(VALUE(RIGHT(C267,3)),'HID-COMP'!B:J,5,FALSE),IF(LEFT(C267,3)="INC",VLOOKUP(VALUE(RIGHT(C267,3)),'INC-COMP'!B:J,5,FALSE),IF(LEFT(C267,3)="ELE",VLOOKUP(VALUE(RIGHT(C267,3)),#REF!,5,FALSE),IF(LEFT(C267,3)="CAB",VLOOKUP(VALUE(RIGHT(C267,3)),#REF!,5,FALSE),IF(LEFT(C267,3)="SEG",VLOOKUP(VALUE(RIGHT(C267,3)),'SEG-COMP'!B:J,5,FALSE),IF(LEFT(C267,3)="CLI",VLOOKUP(VALUE(RIGHT(C267,3)),'CLI-COMP'!B:J,5,FALSE),IF(LEFT(C267,4)="IMPL",VLOOKUP(VALUE(RIGHT(C267,3)),'IMPL-COMP'!B:J,5,FALSE),IF(LEFT(C267,4)="SPDA",VLOOKUP(VALUE(RIGHT(C267,3)),'SPDA-COMP'!B:J,5,FALSE),IF(LEFT(C267,4)="SDAI",VLOOKUP(VALUE(RIGHT(C267,3)),'ADM-COMP'!B:J,5,FALSE),IF(LEFT(C267,5)="IMPER",VLOOKUP(VALUE(RIGHT(C267,3)),'IMPER-COMP'!B:J,5,FALSE),""))))))))))))))))</f>
        <v>UND</v>
      </c>
      <c r="F267" s="599">
        <f>ROUND(VLOOKUP(A267,'MEM-LEVANT'!A269:I2818,9,FALSE),2)</f>
        <v>35</v>
      </c>
      <c r="G267" s="339">
        <f>IF(B267="IOPES",VLOOKUP(C267,'LABOR-SERVIÇOS'!A:H,7,FALSE),IF(B267="SINAPI",VLOOKUP(C267,'SINAPI-SERVIÇOS'!A:H,8,FALSE),IF(LEFT(C267,3)="ARQ",VLOOKUP(VALUE(RIGHT(C267,3)),'ARQ-COMP'!B:J,9,FALSE),IF(LEFT(C267,3)="SCI",VLOOKUP(VALUE(RIGHT(C267,3)),'GAS-COMP'!#REF!,9,FALSE),IF(LEFT(C267,3)="SCE",VLOOKUP(VALUE(RIGHT(C267,3)),'SCE-COMP'!B:J,9,FALSE),IF(LEFT(C267,3)="EST",VLOOKUP(VALUE(RIGHT(C267,3)),'EST-COMP'!B:J,9,FALSE),IF(LEFT(C267,3)="HID",VLOOKUP(VALUE(RIGHT(C267,3)),'HID-COMP'!B:J,9,FALSE),IF(LEFT(C267,3)="INC",VLOOKUP(VALUE(RIGHT(C267,3)),'INC-COMP'!B:J,9,FALSE),IF(LEFT(C267,3)="ELE",VLOOKUP(VALUE(RIGHT(C267,3)),#REF!,9,FALSE),IF(LEFT(C267,3)="CAB",VLOOKUP(VALUE(RIGHT(C267,3)),#REF!,9,FALSE),IF(LEFT(C267,3)="SEG",VLOOKUP(VALUE(RIGHT(C267,3)),'SEG-COMP'!B:J,9,FALSE),IF(LEFT(C267,3)="CLI",VLOOKUP(VALUE(RIGHT(C267,3)),'CLI-COMP'!B:J,9,FALSE),IF(LEFT(C267,4)="IMPL",VLOOKUP(VALUE(RIGHT(C267,3)),'IMPL-COMP'!B:J,9,FALSE),IF(LEFT(C267,4)="SPDA",VLOOKUP(VALUE(RIGHT(C267,3)),'SPDA-COMP'!B:J,9,FALSE),IF(LEFT(C267,4)="SDAI",VLOOKUP(VALUE(RIGHT(C267,3)),'ADM-COMP'!B:J,9,FALSE),IF(LEFT(C267,5)="IMPER",VLOOKUP(VALUE(RIGHT(C267,3)),'IMPER-COMP'!B:J,9,FALSE),""))))))))))))))))</f>
        <v>278.44</v>
      </c>
      <c r="H267" s="339">
        <f t="shared" si="97"/>
        <v>9745.4</v>
      </c>
      <c r="I267" s="374">
        <f t="shared" si="98"/>
        <v>5.6980953707804892E-4</v>
      </c>
      <c r="J267" s="314"/>
    </row>
    <row r="268" spans="1:10" ht="52.8">
      <c r="A268" s="613" t="s">
        <v>35374</v>
      </c>
      <c r="B268" s="337" t="s">
        <v>2879</v>
      </c>
      <c r="C268" s="540">
        <f>151803</f>
        <v>151803</v>
      </c>
      <c r="D268" s="539" t="str">
        <f>IF(B268="IOPES",VLOOKUP(C268,'LABOR-SERVIÇOS'!A:H,5,FALSE),IF(B268="SINAPI",VLOOKUP(C268,'SINAPI-SERVIÇOS'!A:D,2,FALSE),IF(LEFT(C268,3)="ARQ",VLOOKUP(VALUE(RIGHT(C268,3)),'ARQ-COMP'!B:J,4,FALSE),IF(LEFT(C268,3)="SCI",VLOOKUP(VALUE(RIGHT(C268,3)),'GAS-COMP'!#REF!,4,FALSE),IF(LEFT(C268,3)="SCE",VLOOKUP(VALUE(RIGHT(C268,3)),'SCE-COMP'!B:J,4,FALSE),IF(LEFT(C268,3)="EST",VLOOKUP(VALUE(RIGHT(C268,3)),'EST-COMP'!B:J,4,FALSE),IF(LEFT(C268,3)="HID",VLOOKUP(VALUE(RIGHT(C268,3)),'HID-COMP'!B:J,4,FALSE),IF(LEFT(C268,3)="INC",VLOOKUP(VALUE(RIGHT(C268,3)),'INC-COMP'!B:J,4,FALSE),IF(LEFT(C268,3)="ELE",VLOOKUP(VALUE(RIGHT(C268,3)),#REF!,4,FALSE),IF(LEFT(C268,3)="CAB",VLOOKUP(VALUE(RIGHT(C268,3)),#REF!,4,FALSE),IF(LEFT(C268,3)="SEG",VLOOKUP(VALUE(RIGHT(C268,3)),'SEG-COMP'!B:J,4,FALSE),IF(LEFT(C268,3)="CLI",VLOOKUP(VALUE(RIGHT(C268,3)),'CLI-COMP'!B:J,4,FALSE),IF(LEFT(C268,4)="IMPL",VLOOKUP(VALUE(RIGHT(C268,3)),'IMPL-COMP'!B:J,4,FALSE),IF(LEFT(C268,4)="SPDA",VLOOKUP(VALUE(RIGHT(C268,3)),'SPDA-COMP'!B:J,4,FALSE),IF(LEFT(C268,4)="SDAI",VLOOKUP(VALUE(RIGHT(C268,3)),'ADM-COMP'!B:J,4,FALSE),IF(LEFT(C268,5)="IMPER",VLOOKUP(VALUE(RIGHT(C268,3)),'IMPER-COMP'!B:J,4,FALSE),""))))))))))))))))</f>
        <v>PONTO PADRÃO DE TOMADA 2 PÓLOS MAIS TERRA - CONSIDERANDO ELETRODUTO PVC RÍGIDO DE 3/4" INCLUSIVE CONEXÕES (5.0M), FIO ISOLADO PVC DE 2.5MM2 (16.5M) E CAIXA PVC 4X2" (1 UND)</v>
      </c>
      <c r="E268" s="338" t="str">
        <f>IF(B268="IOPES",VLOOKUP(C268,'LABOR-SERVIÇOS'!A:H,6,FALSE),IF(B268="SINAPI",VLOOKUP(C268,'SINAPI-SERVIÇOS'!A:D,3,FALSE),IF(LEFT(C268,3)="ARQ",VLOOKUP(VALUE(RIGHT(C268,3)),'ARQ-COMP'!B:J,5,FALSE),IF(LEFT(C268,3)="SCI",VLOOKUP(VALUE(RIGHT(C268,3)),'GAS-COMP'!#REF!,5,FALSE),IF(LEFT(C268,3)="SCE",VLOOKUP(VALUE(RIGHT(C268,3)),'SCE-COMP'!B:J,5,FALSE),IF(LEFT(C268,3)="EST",VLOOKUP(VALUE(RIGHT(C268,3)),'EST-COMP'!B:J,5,FALSE),IF(LEFT(C268,3)="HID",VLOOKUP(VALUE(RIGHT(C268,3)),'HID-COMP'!B:J,5,FALSE),IF(LEFT(C268,3)="INC",VLOOKUP(VALUE(RIGHT(C268,3)),'INC-COMP'!B:J,5,FALSE),IF(LEFT(C268,3)="ELE",VLOOKUP(VALUE(RIGHT(C268,3)),#REF!,5,FALSE),IF(LEFT(C268,3)="CAB",VLOOKUP(VALUE(RIGHT(C268,3)),#REF!,5,FALSE),IF(LEFT(C268,3)="SEG",VLOOKUP(VALUE(RIGHT(C268,3)),'SEG-COMP'!B:J,5,FALSE),IF(LEFT(C268,3)="CLI",VLOOKUP(VALUE(RIGHT(C268,3)),'CLI-COMP'!B:J,5,FALSE),IF(LEFT(C268,4)="IMPL",VLOOKUP(VALUE(RIGHT(C268,3)),'IMPL-COMP'!B:J,5,FALSE),IF(LEFT(C268,4)="SPDA",VLOOKUP(VALUE(RIGHT(C268,3)),'SPDA-COMP'!B:J,5,FALSE),IF(LEFT(C268,4)="SDAI",VLOOKUP(VALUE(RIGHT(C268,3)),'ADM-COMP'!B:J,5,FALSE),IF(LEFT(C268,5)="IMPER",VLOOKUP(VALUE(RIGHT(C268,3)),'IMPER-COMP'!B:J,5,FALSE),""))))))))))))))))</f>
        <v>UND</v>
      </c>
      <c r="F268" s="599">
        <f>ROUND(VLOOKUP(A268,'MEM-LEVANT'!A269:I2819,9,FALSE),2)</f>
        <v>658</v>
      </c>
      <c r="G268" s="339">
        <f>IF(B268="IOPES",VLOOKUP(C268,'LABOR-SERVIÇOS'!A:H,7,FALSE),IF(B268="SINAPI",VLOOKUP(C268,'SINAPI-SERVIÇOS'!A:H,8,FALSE),IF(LEFT(C268,3)="ARQ",VLOOKUP(VALUE(RIGHT(C268,3)),'ARQ-COMP'!B:J,9,FALSE),IF(LEFT(C268,3)="SCI",VLOOKUP(VALUE(RIGHT(C268,3)),'GAS-COMP'!#REF!,9,FALSE),IF(LEFT(C268,3)="SCE",VLOOKUP(VALUE(RIGHT(C268,3)),'SCE-COMP'!B:J,9,FALSE),IF(LEFT(C268,3)="EST",VLOOKUP(VALUE(RIGHT(C268,3)),'EST-COMP'!B:J,9,FALSE),IF(LEFT(C268,3)="HID",VLOOKUP(VALUE(RIGHT(C268,3)),'HID-COMP'!B:J,9,FALSE),IF(LEFT(C268,3)="INC",VLOOKUP(VALUE(RIGHT(C268,3)),'INC-COMP'!B:J,9,FALSE),IF(LEFT(C268,3)="ELE",VLOOKUP(VALUE(RIGHT(C268,3)),#REF!,9,FALSE),IF(LEFT(C268,3)="CAB",VLOOKUP(VALUE(RIGHT(C268,3)),#REF!,9,FALSE),IF(LEFT(C268,3)="SEG",VLOOKUP(VALUE(RIGHT(C268,3)),'SEG-COMP'!B:J,9,FALSE),IF(LEFT(C268,3)="CLI",VLOOKUP(VALUE(RIGHT(C268,3)),'CLI-COMP'!B:J,9,FALSE),IF(LEFT(C268,4)="IMPL",VLOOKUP(VALUE(RIGHT(C268,3)),'IMPL-COMP'!B:J,9,FALSE),IF(LEFT(C268,4)="SPDA",VLOOKUP(VALUE(RIGHT(C268,3)),'SPDA-COMP'!B:J,9,FALSE),IF(LEFT(C268,4)="SDAI",VLOOKUP(VALUE(RIGHT(C268,3)),'ADM-COMP'!B:J,9,FALSE),IF(LEFT(C268,5)="IMPER",VLOOKUP(VALUE(RIGHT(C268,3)),'IMPER-COMP'!B:J,9,FALSE),""))))))))))))))))</f>
        <v>317.64</v>
      </c>
      <c r="H268" s="339">
        <f t="shared" si="97"/>
        <v>209007.12</v>
      </c>
      <c r="I268" s="374">
        <f t="shared" si="98"/>
        <v>1.222056049964252E-2</v>
      </c>
      <c r="J268" s="314"/>
    </row>
    <row r="269" spans="1:10" ht="52.8">
      <c r="A269" s="613" t="s">
        <v>35375</v>
      </c>
      <c r="B269" s="337" t="s">
        <v>2879</v>
      </c>
      <c r="C269" s="540">
        <f>151805</f>
        <v>151805</v>
      </c>
      <c r="D269" s="539" t="str">
        <f>IF(B269="IOPES",VLOOKUP(C269,'LABOR-SERVIÇOS'!A:H,5,FALSE),IF(B269="SINAPI",VLOOKUP(C269,'SINAPI-SERVIÇOS'!A:D,2,FALSE),IF(LEFT(C269,3)="ARQ",VLOOKUP(VALUE(RIGHT(C269,3)),'ARQ-COMP'!B:J,4,FALSE),IF(LEFT(C269,3)="SCI",VLOOKUP(VALUE(RIGHT(C269,3)),'GAS-COMP'!#REF!,4,FALSE),IF(LEFT(C269,3)="SCE",VLOOKUP(VALUE(RIGHT(C269,3)),'SCE-COMP'!B:J,4,FALSE),IF(LEFT(C269,3)="EST",VLOOKUP(VALUE(RIGHT(C269,3)),'EST-COMP'!B:J,4,FALSE),IF(LEFT(C269,3)="HID",VLOOKUP(VALUE(RIGHT(C269,3)),'HID-COMP'!B:J,4,FALSE),IF(LEFT(C269,3)="INC",VLOOKUP(VALUE(RIGHT(C269,3)),'INC-COMP'!B:J,4,FALSE),IF(LEFT(C269,3)="ELE",VLOOKUP(VALUE(RIGHT(C269,3)),#REF!,4,FALSE),IF(LEFT(C269,3)="CAB",VLOOKUP(VALUE(RIGHT(C269,3)),#REF!,4,FALSE),IF(LEFT(C269,3)="SEG",VLOOKUP(VALUE(RIGHT(C269,3)),'SEG-COMP'!B:J,4,FALSE),IF(LEFT(C269,3)="CLI",VLOOKUP(VALUE(RIGHT(C269,3)),'CLI-COMP'!B:J,4,FALSE),IF(LEFT(C269,4)="IMPL",VLOOKUP(VALUE(RIGHT(C269,3)),'IMPL-COMP'!B:J,4,FALSE),IF(LEFT(C269,4)="SPDA",VLOOKUP(VALUE(RIGHT(C269,3)),'SPDA-COMP'!B:J,4,FALSE),IF(LEFT(C269,4)="SDAI",VLOOKUP(VALUE(RIGHT(C269,3)),'ADM-COMP'!B:J,4,FALSE),IF(LEFT(C269,5)="IMPER",VLOOKUP(VALUE(RIGHT(C269,3)),'IMPER-COMP'!B:J,4,FALSE),""))))))))))))))))</f>
        <v>PONTO PADRÃO DE TOMADA PARA CHUVEIRO ELÉTRICO - CONSIDERANDO ELETRODUTO PVC RÍGIDO DE 3/4" INCLUSIVE CONEXÕES (9.0M), FIO ISOLADO PVC DE 6.0MM2 (32.5M) E CAIXA PVC 4X2" (1 UND)</v>
      </c>
      <c r="E269" s="338" t="str">
        <f>IF(B269="IOPES",VLOOKUP(C269,'LABOR-SERVIÇOS'!A:H,6,FALSE),IF(B269="SINAPI",VLOOKUP(C269,'SINAPI-SERVIÇOS'!A:D,3,FALSE),IF(LEFT(C269,3)="ARQ",VLOOKUP(VALUE(RIGHT(C269,3)),'ARQ-COMP'!B:J,5,FALSE),IF(LEFT(C269,3)="SCI",VLOOKUP(VALUE(RIGHT(C269,3)),'GAS-COMP'!#REF!,5,FALSE),IF(LEFT(C269,3)="SCE",VLOOKUP(VALUE(RIGHT(C269,3)),'SCE-COMP'!B:J,5,FALSE),IF(LEFT(C269,3)="EST",VLOOKUP(VALUE(RIGHT(C269,3)),'EST-COMP'!B:J,5,FALSE),IF(LEFT(C269,3)="HID",VLOOKUP(VALUE(RIGHT(C269,3)),'HID-COMP'!B:J,5,FALSE),IF(LEFT(C269,3)="INC",VLOOKUP(VALUE(RIGHT(C269,3)),'INC-COMP'!B:J,5,FALSE),IF(LEFT(C269,3)="ELE",VLOOKUP(VALUE(RIGHT(C269,3)),#REF!,5,FALSE),IF(LEFT(C269,3)="CAB",VLOOKUP(VALUE(RIGHT(C269,3)),#REF!,5,FALSE),IF(LEFT(C269,3)="SEG",VLOOKUP(VALUE(RIGHT(C269,3)),'SEG-COMP'!B:J,5,FALSE),IF(LEFT(C269,3)="CLI",VLOOKUP(VALUE(RIGHT(C269,3)),'CLI-COMP'!B:J,5,FALSE),IF(LEFT(C269,4)="IMPL",VLOOKUP(VALUE(RIGHT(C269,3)),'IMPL-COMP'!B:J,5,FALSE),IF(LEFT(C269,4)="SPDA",VLOOKUP(VALUE(RIGHT(C269,3)),'SPDA-COMP'!B:J,5,FALSE),IF(LEFT(C269,4)="SDAI",VLOOKUP(VALUE(RIGHT(C269,3)),'ADM-COMP'!B:J,5,FALSE),IF(LEFT(C269,5)="IMPER",VLOOKUP(VALUE(RIGHT(C269,3)),'IMPER-COMP'!B:J,5,FALSE),""))))))))))))))))</f>
        <v>UND</v>
      </c>
      <c r="F269" s="599">
        <f>ROUND(VLOOKUP(A269,'MEM-LEVANT'!A269:I2820,9,FALSE),2)</f>
        <v>6</v>
      </c>
      <c r="G269" s="339">
        <f>IF(B269="IOPES",VLOOKUP(C269,'LABOR-SERVIÇOS'!A:H,7,FALSE),IF(B269="SINAPI",VLOOKUP(C269,'SINAPI-SERVIÇOS'!A:H,8,FALSE),IF(LEFT(C269,3)="ARQ",VLOOKUP(VALUE(RIGHT(C269,3)),'ARQ-COMP'!B:J,9,FALSE),IF(LEFT(C269,3)="SCI",VLOOKUP(VALUE(RIGHT(C269,3)),'GAS-COMP'!#REF!,9,FALSE),IF(LEFT(C269,3)="SCE",VLOOKUP(VALUE(RIGHT(C269,3)),'SCE-COMP'!B:J,9,FALSE),IF(LEFT(C269,3)="EST",VLOOKUP(VALUE(RIGHT(C269,3)),'EST-COMP'!B:J,9,FALSE),IF(LEFT(C269,3)="HID",VLOOKUP(VALUE(RIGHT(C269,3)),'HID-COMP'!B:J,9,FALSE),IF(LEFT(C269,3)="INC",VLOOKUP(VALUE(RIGHT(C269,3)),'INC-COMP'!B:J,9,FALSE),IF(LEFT(C269,3)="ELE",VLOOKUP(VALUE(RIGHT(C269,3)),#REF!,9,FALSE),IF(LEFT(C269,3)="CAB",VLOOKUP(VALUE(RIGHT(C269,3)),#REF!,9,FALSE),IF(LEFT(C269,3)="SEG",VLOOKUP(VALUE(RIGHT(C269,3)),'SEG-COMP'!B:J,9,FALSE),IF(LEFT(C269,3)="CLI",VLOOKUP(VALUE(RIGHT(C269,3)),'CLI-COMP'!B:J,9,FALSE),IF(LEFT(C269,4)="IMPL",VLOOKUP(VALUE(RIGHT(C269,3)),'IMPL-COMP'!B:J,9,FALSE),IF(LEFT(C269,4)="SPDA",VLOOKUP(VALUE(RIGHT(C269,3)),'SPDA-COMP'!B:J,9,FALSE),IF(LEFT(C269,4)="SDAI",VLOOKUP(VALUE(RIGHT(C269,3)),'ADM-COMP'!B:J,9,FALSE),IF(LEFT(C269,5)="IMPER",VLOOKUP(VALUE(RIGHT(C269,3)),'IMPER-COMP'!B:J,9,FALSE),""))))))))))))))))</f>
        <v>798.7</v>
      </c>
      <c r="H269" s="339">
        <f t="shared" si="97"/>
        <v>4792.2</v>
      </c>
      <c r="I269" s="374">
        <f t="shared" si="98"/>
        <v>2.8019796658786979E-4</v>
      </c>
      <c r="J269" s="314"/>
    </row>
    <row r="270" spans="1:10" ht="52.8">
      <c r="A270" s="613" t="s">
        <v>35376</v>
      </c>
      <c r="B270" s="337" t="s">
        <v>2879</v>
      </c>
      <c r="C270" s="540">
        <f>151806</f>
        <v>151806</v>
      </c>
      <c r="D270" s="539" t="str">
        <f>IF(B270="IOPES",VLOOKUP(C270,'LABOR-SERVIÇOS'!A:H,5,FALSE),IF(B270="SINAPI",VLOOKUP(C270,'SINAPI-SERVIÇOS'!A:D,2,FALSE),IF(LEFT(C270,3)="ARQ",VLOOKUP(VALUE(RIGHT(C270,3)),'ARQ-COMP'!B:J,4,FALSE),IF(LEFT(C270,3)="SCI",VLOOKUP(VALUE(RIGHT(C270,3)),'GAS-COMP'!#REF!,4,FALSE),IF(LEFT(C270,3)="SCE",VLOOKUP(VALUE(RIGHT(C270,3)),'SCE-COMP'!B:J,4,FALSE),IF(LEFT(C270,3)="EST",VLOOKUP(VALUE(RIGHT(C270,3)),'EST-COMP'!B:J,4,FALSE),IF(LEFT(C270,3)="HID",VLOOKUP(VALUE(RIGHT(C270,3)),'HID-COMP'!B:J,4,FALSE),IF(LEFT(C270,3)="INC",VLOOKUP(VALUE(RIGHT(C270,3)),'INC-COMP'!B:J,4,FALSE),IF(LEFT(C270,3)="ELE",VLOOKUP(VALUE(RIGHT(C270,3)),#REF!,4,FALSE),IF(LEFT(C270,3)="CAB",VLOOKUP(VALUE(RIGHT(C270,3)),#REF!,4,FALSE),IF(LEFT(C270,3)="SEG",VLOOKUP(VALUE(RIGHT(C270,3)),'SEG-COMP'!B:J,4,FALSE),IF(LEFT(C270,3)="CLI",VLOOKUP(VALUE(RIGHT(C270,3)),'CLI-COMP'!B:J,4,FALSE),IF(LEFT(C270,4)="IMPL",VLOOKUP(VALUE(RIGHT(C270,3)),'IMPL-COMP'!B:J,4,FALSE),IF(LEFT(C270,4)="SPDA",VLOOKUP(VALUE(RIGHT(C270,3)),'SPDA-COMP'!B:J,4,FALSE),IF(LEFT(C270,4)="SDAI",VLOOKUP(VALUE(RIGHT(C270,3)),'ADM-COMP'!B:J,4,FALSE),IF(LEFT(C270,5)="IMPER",VLOOKUP(VALUE(RIGHT(C270,3)),'IMPER-COMP'!B:J,4,FALSE),""))))))))))))))))</f>
        <v>PONTO PADRÃO DE TOMADA PARA AR REFRIGERADO - CONSIDERANDO ELETRODUTO PVC RÍGIDO DE 3/4" INCLUSIVE CONEXÕES (6.0M), FIO ISOLADO PVC DE 4.0MM2 (21.6M) E CAIXA PVC 4X2" (1 UND)</v>
      </c>
      <c r="E270" s="338" t="str">
        <f>IF(B270="IOPES",VLOOKUP(C270,'LABOR-SERVIÇOS'!A:H,6,FALSE),IF(B270="SINAPI",VLOOKUP(C270,'SINAPI-SERVIÇOS'!A:D,3,FALSE),IF(LEFT(C270,3)="ARQ",VLOOKUP(VALUE(RIGHT(C270,3)),'ARQ-COMP'!B:J,5,FALSE),IF(LEFT(C270,3)="SCI",VLOOKUP(VALUE(RIGHT(C270,3)),'GAS-COMP'!#REF!,5,FALSE),IF(LEFT(C270,3)="SCE",VLOOKUP(VALUE(RIGHT(C270,3)),'SCE-COMP'!B:J,5,FALSE),IF(LEFT(C270,3)="EST",VLOOKUP(VALUE(RIGHT(C270,3)),'EST-COMP'!B:J,5,FALSE),IF(LEFT(C270,3)="HID",VLOOKUP(VALUE(RIGHT(C270,3)),'HID-COMP'!B:J,5,FALSE),IF(LEFT(C270,3)="INC",VLOOKUP(VALUE(RIGHT(C270,3)),'INC-COMP'!B:J,5,FALSE),IF(LEFT(C270,3)="ELE",VLOOKUP(VALUE(RIGHT(C270,3)),#REF!,5,FALSE),IF(LEFT(C270,3)="CAB",VLOOKUP(VALUE(RIGHT(C270,3)),#REF!,5,FALSE),IF(LEFT(C270,3)="SEG",VLOOKUP(VALUE(RIGHT(C270,3)),'SEG-COMP'!B:J,5,FALSE),IF(LEFT(C270,3)="CLI",VLOOKUP(VALUE(RIGHT(C270,3)),'CLI-COMP'!B:J,5,FALSE),IF(LEFT(C270,4)="IMPL",VLOOKUP(VALUE(RIGHT(C270,3)),'IMPL-COMP'!B:J,5,FALSE),IF(LEFT(C270,4)="SPDA",VLOOKUP(VALUE(RIGHT(C270,3)),'SPDA-COMP'!B:J,5,FALSE),IF(LEFT(C270,4)="SDAI",VLOOKUP(VALUE(RIGHT(C270,3)),'ADM-COMP'!B:J,5,FALSE),IF(LEFT(C270,5)="IMPER",VLOOKUP(VALUE(RIGHT(C270,3)),'IMPER-COMP'!B:J,5,FALSE),""))))))))))))))))</f>
        <v>UND</v>
      </c>
      <c r="F270" s="599">
        <f>ROUND(VLOOKUP(A270,'MEM-LEVANT'!A269:I2821,9,FALSE),2)</f>
        <v>123</v>
      </c>
      <c r="G270" s="339">
        <f>IF(B270="IOPES",VLOOKUP(C270,'LABOR-SERVIÇOS'!A:H,7,FALSE),IF(B270="SINAPI",VLOOKUP(C270,'SINAPI-SERVIÇOS'!A:H,8,FALSE),IF(LEFT(C270,3)="ARQ",VLOOKUP(VALUE(RIGHT(C270,3)),'ARQ-COMP'!B:J,9,FALSE),IF(LEFT(C270,3)="SCI",VLOOKUP(VALUE(RIGHT(C270,3)),'GAS-COMP'!#REF!,9,FALSE),IF(LEFT(C270,3)="SCE",VLOOKUP(VALUE(RIGHT(C270,3)),'SCE-COMP'!B:J,9,FALSE),IF(LEFT(C270,3)="EST",VLOOKUP(VALUE(RIGHT(C270,3)),'EST-COMP'!B:J,9,FALSE),IF(LEFT(C270,3)="HID",VLOOKUP(VALUE(RIGHT(C270,3)),'HID-COMP'!B:J,9,FALSE),IF(LEFT(C270,3)="INC",VLOOKUP(VALUE(RIGHT(C270,3)),'INC-COMP'!B:J,9,FALSE),IF(LEFT(C270,3)="ELE",VLOOKUP(VALUE(RIGHT(C270,3)),#REF!,9,FALSE),IF(LEFT(C270,3)="CAB",VLOOKUP(VALUE(RIGHT(C270,3)),#REF!,9,FALSE),IF(LEFT(C270,3)="SEG",VLOOKUP(VALUE(RIGHT(C270,3)),'SEG-COMP'!B:J,9,FALSE),IF(LEFT(C270,3)="CLI",VLOOKUP(VALUE(RIGHT(C270,3)),'CLI-COMP'!B:J,9,FALSE),IF(LEFT(C270,4)="IMPL",VLOOKUP(VALUE(RIGHT(C270,3)),'IMPL-COMP'!B:J,9,FALSE),IF(LEFT(C270,4)="SPDA",VLOOKUP(VALUE(RIGHT(C270,3)),'SPDA-COMP'!B:J,9,FALSE),IF(LEFT(C270,4)="SDAI",VLOOKUP(VALUE(RIGHT(C270,3)),'ADM-COMP'!B:J,9,FALSE),IF(LEFT(C270,5)="IMPER",VLOOKUP(VALUE(RIGHT(C270,3)),'IMPER-COMP'!B:J,9,FALSE),""))))))))))))))))</f>
        <v>458.85</v>
      </c>
      <c r="H270" s="339">
        <f t="shared" si="97"/>
        <v>56438.55</v>
      </c>
      <c r="I270" s="374">
        <f t="shared" si="98"/>
        <v>3.2999388479545552E-3</v>
      </c>
      <c r="J270" s="314"/>
    </row>
    <row r="271" spans="1:10" ht="52.8">
      <c r="A271" s="613" t="s">
        <v>35377</v>
      </c>
      <c r="B271" s="337" t="s">
        <v>2879</v>
      </c>
      <c r="C271" s="540">
        <f>151809</f>
        <v>151809</v>
      </c>
      <c r="D271" s="539" t="str">
        <f>IF(B271="IOPES",VLOOKUP(C271,'LABOR-SERVIÇOS'!A:H,5,FALSE),IF(B271="SINAPI",VLOOKUP(C271,'SINAPI-SERVIÇOS'!A:D,2,FALSE),IF(LEFT(C271,3)="ARQ",VLOOKUP(VALUE(RIGHT(C271,3)),'ARQ-COMP'!B:J,4,FALSE),IF(LEFT(C271,3)="SCI",VLOOKUP(VALUE(RIGHT(C271,3)),'GAS-COMP'!#REF!,4,FALSE),IF(LEFT(C271,3)="SCE",VLOOKUP(VALUE(RIGHT(C271,3)),'SCE-COMP'!B:J,4,FALSE),IF(LEFT(C271,3)="EST",VLOOKUP(VALUE(RIGHT(C271,3)),'EST-COMP'!B:J,4,FALSE),IF(LEFT(C271,3)="HID",VLOOKUP(VALUE(RIGHT(C271,3)),'HID-COMP'!B:J,4,FALSE),IF(LEFT(C271,3)="INC",VLOOKUP(VALUE(RIGHT(C271,3)),'INC-COMP'!B:J,4,FALSE),IF(LEFT(C271,3)="ELE",VLOOKUP(VALUE(RIGHT(C271,3)),#REF!,4,FALSE),IF(LEFT(C271,3)="CAB",VLOOKUP(VALUE(RIGHT(C271,3)),#REF!,4,FALSE),IF(LEFT(C271,3)="SEG",VLOOKUP(VALUE(RIGHT(C271,3)),'SEG-COMP'!B:J,4,FALSE),IF(LEFT(C271,3)="CLI",VLOOKUP(VALUE(RIGHT(C271,3)),'CLI-COMP'!B:J,4,FALSE),IF(LEFT(C271,4)="IMPL",VLOOKUP(VALUE(RIGHT(C271,3)),'IMPL-COMP'!B:J,4,FALSE),IF(LEFT(C271,4)="SPDA",VLOOKUP(VALUE(RIGHT(C271,3)),'SPDA-COMP'!B:J,4,FALSE),IF(LEFT(C271,4)="SDAI",VLOOKUP(VALUE(RIGHT(C271,3)),'ADM-COMP'!B:J,4,FALSE),IF(LEFT(C271,5)="IMPER",VLOOKUP(VALUE(RIGHT(C271,3)),'IMPER-COMP'!B:J,4,FALSE),""))))))))))))))))</f>
        <v>PONTO PADRÃO DE INTERRUPTOR DE 2 TECLAS SIMPLES - CONSIDERANDO ELETRODUTO PVC RÍGIDO DE 3/4" INCLUSIVE CONEXÕES (3.3M), FIO ISOLADO PVC DE 2.5MM2 (17.2M) E CAIXA PVC 4X2" (1 UND)</v>
      </c>
      <c r="E271" s="338" t="str">
        <f>IF(B271="IOPES",VLOOKUP(C271,'LABOR-SERVIÇOS'!A:H,6,FALSE),IF(B271="SINAPI",VLOOKUP(C271,'SINAPI-SERVIÇOS'!A:D,3,FALSE),IF(LEFT(C271,3)="ARQ",VLOOKUP(VALUE(RIGHT(C271,3)),'ARQ-COMP'!B:J,5,FALSE),IF(LEFT(C271,3)="SCI",VLOOKUP(VALUE(RIGHT(C271,3)),'GAS-COMP'!#REF!,5,FALSE),IF(LEFT(C271,3)="SCE",VLOOKUP(VALUE(RIGHT(C271,3)),'SCE-COMP'!B:J,5,FALSE),IF(LEFT(C271,3)="EST",VLOOKUP(VALUE(RIGHT(C271,3)),'EST-COMP'!B:J,5,FALSE),IF(LEFT(C271,3)="HID",VLOOKUP(VALUE(RIGHT(C271,3)),'HID-COMP'!B:J,5,FALSE),IF(LEFT(C271,3)="INC",VLOOKUP(VALUE(RIGHT(C271,3)),'INC-COMP'!B:J,5,FALSE),IF(LEFT(C271,3)="ELE",VLOOKUP(VALUE(RIGHT(C271,3)),#REF!,5,FALSE),IF(LEFT(C271,3)="CAB",VLOOKUP(VALUE(RIGHT(C271,3)),#REF!,5,FALSE),IF(LEFT(C271,3)="SEG",VLOOKUP(VALUE(RIGHT(C271,3)),'SEG-COMP'!B:J,5,FALSE),IF(LEFT(C271,3)="CLI",VLOOKUP(VALUE(RIGHT(C271,3)),'CLI-COMP'!B:J,5,FALSE),IF(LEFT(C271,4)="IMPL",VLOOKUP(VALUE(RIGHT(C271,3)),'IMPL-COMP'!B:J,5,FALSE),IF(LEFT(C271,4)="SPDA",VLOOKUP(VALUE(RIGHT(C271,3)),'SPDA-COMP'!B:J,5,FALSE),IF(LEFT(C271,4)="SDAI",VLOOKUP(VALUE(RIGHT(C271,3)),'ADM-COMP'!B:J,5,FALSE),IF(LEFT(C271,5)="IMPER",VLOOKUP(VALUE(RIGHT(C271,3)),'IMPER-COMP'!B:J,5,FALSE),""))))))))))))))))</f>
        <v>UND</v>
      </c>
      <c r="F271" s="599">
        <f>ROUND(VLOOKUP(A271,'MEM-LEVANT'!A269:I2822,9,FALSE),2)</f>
        <v>93</v>
      </c>
      <c r="G271" s="339">
        <f>IF(B271="IOPES",VLOOKUP(C271,'LABOR-SERVIÇOS'!A:H,7,FALSE),IF(B271="SINAPI",VLOOKUP(C271,'SINAPI-SERVIÇOS'!A:H,8,FALSE),IF(LEFT(C271,3)="ARQ",VLOOKUP(VALUE(RIGHT(C271,3)),'ARQ-COMP'!B:J,9,FALSE),IF(LEFT(C271,3)="SCI",VLOOKUP(VALUE(RIGHT(C271,3)),'GAS-COMP'!#REF!,9,FALSE),IF(LEFT(C271,3)="SCE",VLOOKUP(VALUE(RIGHT(C271,3)),'SCE-COMP'!B:J,9,FALSE),IF(LEFT(C271,3)="EST",VLOOKUP(VALUE(RIGHT(C271,3)),'EST-COMP'!B:J,9,FALSE),IF(LEFT(C271,3)="HID",VLOOKUP(VALUE(RIGHT(C271,3)),'HID-COMP'!B:J,9,FALSE),IF(LEFT(C271,3)="INC",VLOOKUP(VALUE(RIGHT(C271,3)),'INC-COMP'!B:J,9,FALSE),IF(LEFT(C271,3)="ELE",VLOOKUP(VALUE(RIGHT(C271,3)),#REF!,9,FALSE),IF(LEFT(C271,3)="CAB",VLOOKUP(VALUE(RIGHT(C271,3)),#REF!,9,FALSE),IF(LEFT(C271,3)="SEG",VLOOKUP(VALUE(RIGHT(C271,3)),'SEG-COMP'!B:J,9,FALSE),IF(LEFT(C271,3)="CLI",VLOOKUP(VALUE(RIGHT(C271,3)),'CLI-COMP'!B:J,9,FALSE),IF(LEFT(C271,4)="IMPL",VLOOKUP(VALUE(RIGHT(C271,3)),'IMPL-COMP'!B:J,9,FALSE),IF(LEFT(C271,4)="SPDA",VLOOKUP(VALUE(RIGHT(C271,3)),'SPDA-COMP'!B:J,9,FALSE),IF(LEFT(C271,4)="SDAI",VLOOKUP(VALUE(RIGHT(C271,3)),'ADM-COMP'!B:J,9,FALSE),IF(LEFT(C271,5)="IMPER",VLOOKUP(VALUE(RIGHT(C271,3)),'IMPER-COMP'!B:J,9,FALSE),""))))))))))))))))</f>
        <v>282.45</v>
      </c>
      <c r="H271" s="339">
        <f t="shared" si="97"/>
        <v>26267.85</v>
      </c>
      <c r="I271" s="374">
        <f t="shared" si="98"/>
        <v>1.5358704053743948E-3</v>
      </c>
      <c r="J271" s="314"/>
    </row>
    <row r="272" spans="1:10" ht="61.2" customHeight="1">
      <c r="A272" s="613" t="s">
        <v>35378</v>
      </c>
      <c r="B272" s="337" t="s">
        <v>2879</v>
      </c>
      <c r="C272" s="540">
        <f>151811</f>
        <v>151811</v>
      </c>
      <c r="D272" s="539" t="str">
        <f>IF(B272="IOPES",VLOOKUP(C272,'LABOR-SERVIÇOS'!A:H,5,FALSE),IF(B272="SINAPI",VLOOKUP(C272,'SINAPI-SERVIÇOS'!A:D,2,FALSE),IF(LEFT(C272,3)="ARQ",VLOOKUP(VALUE(RIGHT(C272,3)),'ARQ-COMP'!B:J,4,FALSE),IF(LEFT(C272,3)="SCI",VLOOKUP(VALUE(RIGHT(C272,3)),'GAS-COMP'!#REF!,4,FALSE),IF(LEFT(C272,3)="SCE",VLOOKUP(VALUE(RIGHT(C272,3)),'SCE-COMP'!B:J,4,FALSE),IF(LEFT(C272,3)="EST",VLOOKUP(VALUE(RIGHT(C272,3)),'EST-COMP'!B:J,4,FALSE),IF(LEFT(C272,3)="HID",VLOOKUP(VALUE(RIGHT(C272,3)),'HID-COMP'!B:J,4,FALSE),IF(LEFT(C272,3)="INC",VLOOKUP(VALUE(RIGHT(C272,3)),'INC-COMP'!B:J,4,FALSE),IF(LEFT(C272,3)="ELE",VLOOKUP(VALUE(RIGHT(C272,3)),#REF!,4,FALSE),IF(LEFT(C272,3)="CAB",VLOOKUP(VALUE(RIGHT(C272,3)),#REF!,4,FALSE),IF(LEFT(C272,3)="SEG",VLOOKUP(VALUE(RIGHT(C272,3)),'SEG-COMP'!B:J,4,FALSE),IF(LEFT(C272,3)="CLI",VLOOKUP(VALUE(RIGHT(C272,3)),'CLI-COMP'!B:J,4,FALSE),IF(LEFT(C272,4)="IMPL",VLOOKUP(VALUE(RIGHT(C272,3)),'IMPL-COMP'!B:J,4,FALSE),IF(LEFT(C272,4)="SPDA",VLOOKUP(VALUE(RIGHT(C272,3)),'SPDA-COMP'!B:J,4,FALSE),IF(LEFT(C272,4)="SDAI",VLOOKUP(VALUE(RIGHT(C272,3)),'ADM-COMP'!B:J,4,FALSE),IF(LEFT(C272,5)="IMPER",VLOOKUP(VALUE(RIGHT(C272,3)),'IMPER-COMP'!B:J,4,FALSE),""))))))))))))))))</f>
        <v>PONTO PADRÃO DE INTERRUPTOR DE 1 TECLA SIMPLES E 1 TOMADA DOIS PÓLOS MAIS TERRA 10A/250V - CONSIDERANDO ELETRODUTO PVC RÍGIDO DE 3/4" INCLUSIVE CONEXÕES (4.5M), FIO ISOLADO PVC DE 2.5MM2 (19.4M) E CAIXA PVC 4X2" (1 UND)</v>
      </c>
      <c r="E272" s="338" t="str">
        <f>IF(B272="IOPES",VLOOKUP(C272,'LABOR-SERVIÇOS'!A:H,6,FALSE),IF(B272="SINAPI",VLOOKUP(C272,'SINAPI-SERVIÇOS'!A:D,3,FALSE),IF(LEFT(C272,3)="ARQ",VLOOKUP(VALUE(RIGHT(C272,3)),'ARQ-COMP'!B:J,5,FALSE),IF(LEFT(C272,3)="SCI",VLOOKUP(VALUE(RIGHT(C272,3)),'GAS-COMP'!#REF!,5,FALSE),IF(LEFT(C272,3)="SCE",VLOOKUP(VALUE(RIGHT(C272,3)),'SCE-COMP'!B:J,5,FALSE),IF(LEFT(C272,3)="EST",VLOOKUP(VALUE(RIGHT(C272,3)),'EST-COMP'!B:J,5,FALSE),IF(LEFT(C272,3)="HID",VLOOKUP(VALUE(RIGHT(C272,3)),'HID-COMP'!B:J,5,FALSE),IF(LEFT(C272,3)="INC",VLOOKUP(VALUE(RIGHT(C272,3)),'INC-COMP'!B:J,5,FALSE),IF(LEFT(C272,3)="ELE",VLOOKUP(VALUE(RIGHT(C272,3)),#REF!,5,FALSE),IF(LEFT(C272,3)="CAB",VLOOKUP(VALUE(RIGHT(C272,3)),#REF!,5,FALSE),IF(LEFT(C272,3)="SEG",VLOOKUP(VALUE(RIGHT(C272,3)),'SEG-COMP'!B:J,5,FALSE),IF(LEFT(C272,3)="CLI",VLOOKUP(VALUE(RIGHT(C272,3)),'CLI-COMP'!B:J,5,FALSE),IF(LEFT(C272,4)="IMPL",VLOOKUP(VALUE(RIGHT(C272,3)),'IMPL-COMP'!B:J,5,FALSE),IF(LEFT(C272,4)="SPDA",VLOOKUP(VALUE(RIGHT(C272,3)),'SPDA-COMP'!B:J,5,FALSE),IF(LEFT(C272,4)="SDAI",VLOOKUP(VALUE(RIGHT(C272,3)),'ADM-COMP'!B:J,5,FALSE),IF(LEFT(C272,5)="IMPER",VLOOKUP(VALUE(RIGHT(C272,3)),'IMPER-COMP'!B:J,5,FALSE),""))))))))))))))))</f>
        <v>UND</v>
      </c>
      <c r="F272" s="599">
        <f>ROUND(VLOOKUP(A272,'MEM-LEVANT'!A270:I2823,9,FALSE),2)</f>
        <v>6</v>
      </c>
      <c r="G272" s="339">
        <f>IF(B272="IOPES",VLOOKUP(C272,'LABOR-SERVIÇOS'!A:H,7,FALSE),IF(B272="SINAPI",VLOOKUP(C272,'SINAPI-SERVIÇOS'!A:H,8,FALSE),IF(LEFT(C272,3)="ARQ",VLOOKUP(VALUE(RIGHT(C272,3)),'ARQ-COMP'!B:J,9,FALSE),IF(LEFT(C272,3)="SCI",VLOOKUP(VALUE(RIGHT(C272,3)),'GAS-COMP'!#REF!,9,FALSE),IF(LEFT(C272,3)="SCE",VLOOKUP(VALUE(RIGHT(C272,3)),'SCE-COMP'!B:J,9,FALSE),IF(LEFT(C272,3)="EST",VLOOKUP(VALUE(RIGHT(C272,3)),'EST-COMP'!B:J,9,FALSE),IF(LEFT(C272,3)="HID",VLOOKUP(VALUE(RIGHT(C272,3)),'HID-COMP'!B:J,9,FALSE),IF(LEFT(C272,3)="INC",VLOOKUP(VALUE(RIGHT(C272,3)),'INC-COMP'!B:J,9,FALSE),IF(LEFT(C272,3)="ELE",VLOOKUP(VALUE(RIGHT(C272,3)),#REF!,9,FALSE),IF(LEFT(C272,3)="CAB",VLOOKUP(VALUE(RIGHT(C272,3)),#REF!,9,FALSE),IF(LEFT(C272,3)="SEG",VLOOKUP(VALUE(RIGHT(C272,3)),'SEG-COMP'!B:J,9,FALSE),IF(LEFT(C272,3)="CLI",VLOOKUP(VALUE(RIGHT(C272,3)),'CLI-COMP'!B:J,9,FALSE),IF(LEFT(C272,4)="IMPL",VLOOKUP(VALUE(RIGHT(C272,3)),'IMPL-COMP'!B:J,9,FALSE),IF(LEFT(C272,4)="SPDA",VLOOKUP(VALUE(RIGHT(C272,3)),'SPDA-COMP'!B:J,9,FALSE),IF(LEFT(C272,4)="SDAI",VLOOKUP(VALUE(RIGHT(C272,3)),'ADM-COMP'!B:J,9,FALSE),IF(LEFT(C272,5)="IMPER",VLOOKUP(VALUE(RIGHT(C272,3)),'IMPER-COMP'!B:J,9,FALSE),""))))))))))))))))</f>
        <v>334.79</v>
      </c>
      <c r="H272" s="339">
        <f t="shared" si="97"/>
        <v>2008.74</v>
      </c>
      <c r="I272" s="374">
        <f t="shared" si="98"/>
        <v>1.1745020312251525E-4</v>
      </c>
      <c r="J272" s="314"/>
    </row>
    <row r="273" spans="1:10" ht="39.6">
      <c r="A273" s="613" t="s">
        <v>35379</v>
      </c>
      <c r="B273" s="337" t="s">
        <v>2879</v>
      </c>
      <c r="C273" s="540">
        <f>151814</f>
        <v>151814</v>
      </c>
      <c r="D273" s="539" t="str">
        <f>IF(B273="IOPES",VLOOKUP(C273,'LABOR-SERVIÇOS'!A:H,5,FALSE),IF(B273="SINAPI",VLOOKUP(C273,'SINAPI-SERVIÇOS'!A:D,2,FALSE),IF(LEFT(C273,3)="ARQ",VLOOKUP(VALUE(RIGHT(C273,3)),'ARQ-COMP'!B:J,4,FALSE),IF(LEFT(C273,3)="SCI",VLOOKUP(VALUE(RIGHT(C273,3)),'GAS-COMP'!#REF!,4,FALSE),IF(LEFT(C273,3)="SCE",VLOOKUP(VALUE(RIGHT(C273,3)),'SCE-COMP'!B:J,4,FALSE),IF(LEFT(C273,3)="EST",VLOOKUP(VALUE(RIGHT(C273,3)),'EST-COMP'!B:J,4,FALSE),IF(LEFT(C273,3)="HID",VLOOKUP(VALUE(RIGHT(C273,3)),'HID-COMP'!B:J,4,FALSE),IF(LEFT(C273,3)="INC",VLOOKUP(VALUE(RIGHT(C273,3)),'INC-COMP'!B:J,4,FALSE),IF(LEFT(C273,3)="ELE",VLOOKUP(VALUE(RIGHT(C273,3)),#REF!,4,FALSE),IF(LEFT(C273,3)="CAB",VLOOKUP(VALUE(RIGHT(C273,3)),#REF!,4,FALSE),IF(LEFT(C273,3)="SEG",VLOOKUP(VALUE(RIGHT(C273,3)),'SEG-COMP'!B:J,4,FALSE),IF(LEFT(C273,3)="CLI",VLOOKUP(VALUE(RIGHT(C273,3)),'CLI-COMP'!B:J,4,FALSE),IF(LEFT(C273,4)="IMPL",VLOOKUP(VALUE(RIGHT(C273,3)),'IMPL-COMP'!B:J,4,FALSE),IF(LEFT(C273,4)="SPDA",VLOOKUP(VALUE(RIGHT(C273,3)),'SPDA-COMP'!B:J,4,FALSE),IF(LEFT(C273,4)="SDAI",VLOOKUP(VALUE(RIGHT(C273,3)),'ADM-COMP'!B:J,4,FALSE),IF(LEFT(C273,5)="IMPER",VLOOKUP(VALUE(RIGHT(C273,3)),'IMPER-COMP'!B:J,4,FALSE),""))))))))))))))))</f>
        <v>PONTO PADRÃO DE POSTE PARA ILUMINAÇÃO EXTERNA - CONSIDERANDO ELETRODUTO PVC RÍGIDO DE 3/4" INCLUSIVE CONEXÕES (7.7M) E FIO ISOLADO PVC DE 2.5MM2 (25.2.0M)</v>
      </c>
      <c r="E273" s="338" t="str">
        <f>IF(B273="IOPES",VLOOKUP(C273,'LABOR-SERVIÇOS'!A:H,6,FALSE),IF(B273="SINAPI",VLOOKUP(C273,'SINAPI-SERVIÇOS'!A:D,3,FALSE),IF(LEFT(C273,3)="ARQ",VLOOKUP(VALUE(RIGHT(C273,3)),'ARQ-COMP'!B:J,5,FALSE),IF(LEFT(C273,3)="SCI",VLOOKUP(VALUE(RIGHT(C273,3)),'GAS-COMP'!#REF!,5,FALSE),IF(LEFT(C273,3)="SCE",VLOOKUP(VALUE(RIGHT(C273,3)),'SCE-COMP'!B:J,5,FALSE),IF(LEFT(C273,3)="EST",VLOOKUP(VALUE(RIGHT(C273,3)),'EST-COMP'!B:J,5,FALSE),IF(LEFT(C273,3)="HID",VLOOKUP(VALUE(RIGHT(C273,3)),'HID-COMP'!B:J,5,FALSE),IF(LEFT(C273,3)="INC",VLOOKUP(VALUE(RIGHT(C273,3)),'INC-COMP'!B:J,5,FALSE),IF(LEFT(C273,3)="ELE",VLOOKUP(VALUE(RIGHT(C273,3)),#REF!,5,FALSE),IF(LEFT(C273,3)="CAB",VLOOKUP(VALUE(RIGHT(C273,3)),#REF!,5,FALSE),IF(LEFT(C273,3)="SEG",VLOOKUP(VALUE(RIGHT(C273,3)),'SEG-COMP'!B:J,5,FALSE),IF(LEFT(C273,3)="CLI",VLOOKUP(VALUE(RIGHT(C273,3)),'CLI-COMP'!B:J,5,FALSE),IF(LEFT(C273,4)="IMPL",VLOOKUP(VALUE(RIGHT(C273,3)),'IMPL-COMP'!B:J,5,FALSE),IF(LEFT(C273,4)="SPDA",VLOOKUP(VALUE(RIGHT(C273,3)),'SPDA-COMP'!B:J,5,FALSE),IF(LEFT(C273,4)="SDAI",VLOOKUP(VALUE(RIGHT(C273,3)),'ADM-COMP'!B:J,5,FALSE),IF(LEFT(C273,5)="IMPER",VLOOKUP(VALUE(RIGHT(C273,3)),'IMPER-COMP'!B:J,5,FALSE),""))))))))))))))))</f>
        <v>UND</v>
      </c>
      <c r="F273" s="599">
        <f>ROUND(VLOOKUP(A273,'MEM-LEVANT'!A271:I2824,9,FALSE),2)</f>
        <v>30</v>
      </c>
      <c r="G273" s="339">
        <f>IF(B273="IOPES",VLOOKUP(C273,'LABOR-SERVIÇOS'!A:H,7,FALSE),IF(B273="SINAPI",VLOOKUP(C273,'SINAPI-SERVIÇOS'!A:H,8,FALSE),IF(LEFT(C273,3)="ARQ",VLOOKUP(VALUE(RIGHT(C273,3)),'ARQ-COMP'!B:J,9,FALSE),IF(LEFT(C273,3)="SCI",VLOOKUP(VALUE(RIGHT(C273,3)),'GAS-COMP'!#REF!,9,FALSE),IF(LEFT(C273,3)="SCE",VLOOKUP(VALUE(RIGHT(C273,3)),'SCE-COMP'!B:J,9,FALSE),IF(LEFT(C273,3)="EST",VLOOKUP(VALUE(RIGHT(C273,3)),'EST-COMP'!B:J,9,FALSE),IF(LEFT(C273,3)="HID",VLOOKUP(VALUE(RIGHT(C273,3)),'HID-COMP'!B:J,9,FALSE),IF(LEFT(C273,3)="INC",VLOOKUP(VALUE(RIGHT(C273,3)),'INC-COMP'!B:J,9,FALSE),IF(LEFT(C273,3)="ELE",VLOOKUP(VALUE(RIGHT(C273,3)),#REF!,9,FALSE),IF(LEFT(C273,3)="CAB",VLOOKUP(VALUE(RIGHT(C273,3)),#REF!,9,FALSE),IF(LEFT(C273,3)="SEG",VLOOKUP(VALUE(RIGHT(C273,3)),'SEG-COMP'!B:J,9,FALSE),IF(LEFT(C273,3)="CLI",VLOOKUP(VALUE(RIGHT(C273,3)),'CLI-COMP'!B:J,9,FALSE),IF(LEFT(C273,4)="IMPL",VLOOKUP(VALUE(RIGHT(C273,3)),'IMPL-COMP'!B:J,9,FALSE),IF(LEFT(C273,4)="SPDA",VLOOKUP(VALUE(RIGHT(C273,3)),'SPDA-COMP'!B:J,9,FALSE),IF(LEFT(C273,4)="SDAI",VLOOKUP(VALUE(RIGHT(C273,3)),'ADM-COMP'!B:J,9,FALSE),IF(LEFT(C273,5)="IMPER",VLOOKUP(VALUE(RIGHT(C273,3)),'IMPER-COMP'!B:J,9,FALSE),""))))))))))))))))</f>
        <v>463.72</v>
      </c>
      <c r="H273" s="339">
        <f t="shared" si="97"/>
        <v>13911.6</v>
      </c>
      <c r="I273" s="374">
        <f t="shared" si="98"/>
        <v>8.1340554066687727E-4</v>
      </c>
      <c r="J273" s="314"/>
    </row>
    <row r="274" spans="1:10" ht="39.6">
      <c r="A274" s="613" t="s">
        <v>35380</v>
      </c>
      <c r="B274" s="337" t="s">
        <v>2879</v>
      </c>
      <c r="C274" s="540">
        <f>151819</f>
        <v>151819</v>
      </c>
      <c r="D274" s="539" t="str">
        <f>IF(B274="IOPES",VLOOKUP(C274,'LABOR-SERVIÇOS'!A:H,5,FALSE),IF(B274="SINAPI",VLOOKUP(C274,'SINAPI-SERVIÇOS'!A:D,2,FALSE),IF(LEFT(C274,3)="ARQ",VLOOKUP(VALUE(RIGHT(C274,3)),'ARQ-COMP'!B:J,4,FALSE),IF(LEFT(C274,3)="SCI",VLOOKUP(VALUE(RIGHT(C274,3)),'GAS-COMP'!#REF!,4,FALSE),IF(LEFT(C274,3)="SCE",VLOOKUP(VALUE(RIGHT(C274,3)),'SCE-COMP'!B:J,4,FALSE),IF(LEFT(C274,3)="EST",VLOOKUP(VALUE(RIGHT(C274,3)),'EST-COMP'!B:J,4,FALSE),IF(LEFT(C274,3)="HID",VLOOKUP(VALUE(RIGHT(C274,3)),'HID-COMP'!B:J,4,FALSE),IF(LEFT(C274,3)="INC",VLOOKUP(VALUE(RIGHT(C274,3)),'INC-COMP'!B:J,4,FALSE),IF(LEFT(C274,3)="ELE",VLOOKUP(VALUE(RIGHT(C274,3)),#REF!,4,FALSE),IF(LEFT(C274,3)="CAB",VLOOKUP(VALUE(RIGHT(C274,3)),#REF!,4,FALSE),IF(LEFT(C274,3)="SEG",VLOOKUP(VALUE(RIGHT(C274,3)),'SEG-COMP'!B:J,4,FALSE),IF(LEFT(C274,3)="CLI",VLOOKUP(VALUE(RIGHT(C274,3)),'CLI-COMP'!B:J,4,FALSE),IF(LEFT(C274,4)="IMPL",VLOOKUP(VALUE(RIGHT(C274,3)),'IMPL-COMP'!B:J,4,FALSE),IF(LEFT(C274,4)="SPDA",VLOOKUP(VALUE(RIGHT(C274,3)),'SPDA-COMP'!B:J,4,FALSE),IF(LEFT(C274,4)="SDAI",VLOOKUP(VALUE(RIGHT(C274,3)),'ADM-COMP'!B:J,4,FALSE),IF(LEFT(C274,5)="IMPER",VLOOKUP(VALUE(RIGHT(C274,3)),'IMPER-COMP'!B:J,4,FALSE),""))))))))))))))))</f>
        <v>PONTO DE ANTENA DE TV - CONSIDERANDO ELETRODUTO PVC RÍGIDO DE 3/4" INCLUSIVE CONEXÕES (3.0M), CABO COAXIAL 67 OHMS (4.5M) E CAIXA PVC 4X2" (1 UND)</v>
      </c>
      <c r="E274" s="338" t="str">
        <f>IF(B274="IOPES",VLOOKUP(C274,'LABOR-SERVIÇOS'!A:H,6,FALSE),IF(B274="SINAPI",VLOOKUP(C274,'SINAPI-SERVIÇOS'!A:D,3,FALSE),IF(LEFT(C274,3)="ARQ",VLOOKUP(VALUE(RIGHT(C274,3)),'ARQ-COMP'!B:J,5,FALSE),IF(LEFT(C274,3)="SCI",VLOOKUP(VALUE(RIGHT(C274,3)),'GAS-COMP'!#REF!,5,FALSE),IF(LEFT(C274,3)="SCE",VLOOKUP(VALUE(RIGHT(C274,3)),'SCE-COMP'!B:J,5,FALSE),IF(LEFT(C274,3)="EST",VLOOKUP(VALUE(RIGHT(C274,3)),'EST-COMP'!B:J,5,FALSE),IF(LEFT(C274,3)="HID",VLOOKUP(VALUE(RIGHT(C274,3)),'HID-COMP'!B:J,5,FALSE),IF(LEFT(C274,3)="INC",VLOOKUP(VALUE(RIGHT(C274,3)),'INC-COMP'!B:J,5,FALSE),IF(LEFT(C274,3)="ELE",VLOOKUP(VALUE(RIGHT(C274,3)),#REF!,5,FALSE),IF(LEFT(C274,3)="CAB",VLOOKUP(VALUE(RIGHT(C274,3)),#REF!,5,FALSE),IF(LEFT(C274,3)="SEG",VLOOKUP(VALUE(RIGHT(C274,3)),'SEG-COMP'!B:J,5,FALSE),IF(LEFT(C274,3)="CLI",VLOOKUP(VALUE(RIGHT(C274,3)),'CLI-COMP'!B:J,5,FALSE),IF(LEFT(C274,4)="IMPL",VLOOKUP(VALUE(RIGHT(C274,3)),'IMPL-COMP'!B:J,5,FALSE),IF(LEFT(C274,4)="SPDA",VLOOKUP(VALUE(RIGHT(C274,3)),'SPDA-COMP'!B:J,5,FALSE),IF(LEFT(C274,4)="SDAI",VLOOKUP(VALUE(RIGHT(C274,3)),'ADM-COMP'!B:J,5,FALSE),IF(LEFT(C274,5)="IMPER",VLOOKUP(VALUE(RIGHT(C274,3)),'IMPER-COMP'!B:J,5,FALSE),""))))))))))))))))</f>
        <v>UND</v>
      </c>
      <c r="F274" s="599">
        <f>ROUND(VLOOKUP(A274,'MEM-LEVANT'!A272:I2825,9,FALSE),2)</f>
        <v>10</v>
      </c>
      <c r="G274" s="339">
        <f>IF(B274="IOPES",VLOOKUP(C274,'LABOR-SERVIÇOS'!A:H,7,FALSE),IF(B274="SINAPI",VLOOKUP(C274,'SINAPI-SERVIÇOS'!A:H,8,FALSE),IF(LEFT(C274,3)="ARQ",VLOOKUP(VALUE(RIGHT(C274,3)),'ARQ-COMP'!B:J,9,FALSE),IF(LEFT(C274,3)="SCI",VLOOKUP(VALUE(RIGHT(C274,3)),'GAS-COMP'!#REF!,9,FALSE),IF(LEFT(C274,3)="SCE",VLOOKUP(VALUE(RIGHT(C274,3)),'SCE-COMP'!B:J,9,FALSE),IF(LEFT(C274,3)="EST",VLOOKUP(VALUE(RIGHT(C274,3)),'EST-COMP'!B:J,9,FALSE),IF(LEFT(C274,3)="HID",VLOOKUP(VALUE(RIGHT(C274,3)),'HID-COMP'!B:J,9,FALSE),IF(LEFT(C274,3)="INC",VLOOKUP(VALUE(RIGHT(C274,3)),'INC-COMP'!B:J,9,FALSE),IF(LEFT(C274,3)="ELE",VLOOKUP(VALUE(RIGHT(C274,3)),#REF!,9,FALSE),IF(LEFT(C274,3)="CAB",VLOOKUP(VALUE(RIGHT(C274,3)),#REF!,9,FALSE),IF(LEFT(C274,3)="SEG",VLOOKUP(VALUE(RIGHT(C274,3)),'SEG-COMP'!B:J,9,FALSE),IF(LEFT(C274,3)="CLI",VLOOKUP(VALUE(RIGHT(C274,3)),'CLI-COMP'!B:J,9,FALSE),IF(LEFT(C274,4)="IMPL",VLOOKUP(VALUE(RIGHT(C274,3)),'IMPL-COMP'!B:J,9,FALSE),IF(LEFT(C274,4)="SPDA",VLOOKUP(VALUE(RIGHT(C274,3)),'SPDA-COMP'!B:J,9,FALSE),IF(LEFT(C274,4)="SDAI",VLOOKUP(VALUE(RIGHT(C274,3)),'ADM-COMP'!B:J,9,FALSE),IF(LEFT(C274,5)="IMPER",VLOOKUP(VALUE(RIGHT(C274,3)),'IMPER-COMP'!B:J,9,FALSE),""))))))))))))))))</f>
        <v>149.49</v>
      </c>
      <c r="H274" s="339">
        <f t="shared" ref="H274" si="99">ROUND(F274*G274,2)</f>
        <v>1494.9</v>
      </c>
      <c r="I274" s="374">
        <f t="shared" si="98"/>
        <v>8.7406189276784482E-5</v>
      </c>
      <c r="J274" s="314"/>
    </row>
    <row r="275" spans="1:10" ht="26.4">
      <c r="A275" s="553" t="s">
        <v>35381</v>
      </c>
      <c r="B275" s="554"/>
      <c r="C275" s="555"/>
      <c r="D275" s="556" t="s">
        <v>1495</v>
      </c>
      <c r="E275" s="557"/>
      <c r="F275" s="598"/>
      <c r="G275" s="558"/>
      <c r="H275" s="559"/>
      <c r="I275" s="560"/>
      <c r="J275" s="314"/>
    </row>
    <row r="276" spans="1:10" ht="66">
      <c r="A276" s="613" t="s">
        <v>35382</v>
      </c>
      <c r="B276" s="337" t="s">
        <v>2879</v>
      </c>
      <c r="C276" s="540">
        <f>151904</f>
        <v>151904</v>
      </c>
      <c r="D276" s="539" t="str">
        <f>IF(B276="IOPES",VLOOKUP(C276,'LABOR-SERVIÇOS'!A:H,5,FALSE),IF(B276="SINAPI",VLOOKUP(C276,'SINAPI-SERVIÇOS'!A:D,2,FALSE),IF(LEFT(C276,3)="ARQ",VLOOKUP(VALUE(RIGHT(C276,3)),'ARQ-COMP'!B:J,4,FALSE),IF(LEFT(C276,3)="SCI",VLOOKUP(VALUE(RIGHT(C276,3)),'GAS-COMP'!#REF!,4,FALSE),IF(LEFT(C276,3)="SCE",VLOOKUP(VALUE(RIGHT(C276,3)),'SCE-COMP'!B:J,4,FALSE),IF(LEFT(C276,3)="EST",VLOOKUP(VALUE(RIGHT(C276,3)),'EST-COMP'!B:J,4,FALSE),IF(LEFT(C276,3)="HID",VLOOKUP(VALUE(RIGHT(C276,3)),'HID-COMP'!B:J,4,FALSE),IF(LEFT(C276,3)="INC",VLOOKUP(VALUE(RIGHT(C276,3)),'INC-COMP'!B:J,4,FALSE),IF(LEFT(C276,3)="ELE",VLOOKUP(VALUE(RIGHT(C276,3)),#REF!,4,FALSE),IF(LEFT(C276,3)="CAB",VLOOKUP(VALUE(RIGHT(C276,3)),#REF!,4,FALSE),IF(LEFT(C276,3)="SEG",VLOOKUP(VALUE(RIGHT(C276,3)),'SEG-COMP'!B:J,4,FALSE),IF(LEFT(C276,3)="CLI",VLOOKUP(VALUE(RIGHT(C276,3)),'CLI-COMP'!B:J,4,FALSE),IF(LEFT(C276,4)="IMPL",VLOOKUP(VALUE(RIGHT(C276,3)),'IMPL-COMP'!B:J,4,FALSE),IF(LEFT(C276,4)="SPDA",VLOOKUP(VALUE(RIGHT(C276,3)),'SPDA-COMP'!B:J,4,FALSE),IF(LEFT(C276,4)="SDAI",VLOOKUP(VALUE(RIGHT(C276,3)),'ADM-COMP'!B:J,4,FALSE),IF(LEFT(C276,5)="IMPER",VLOOKUP(VALUE(RIGHT(C276,3)),'IMPER-COMP'!B:J,4,FALSE),""))))))))))))))))</f>
        <v>QUADRO DISTRIB. ENERGIA, EMBUTIDO OU SEMI EMBUTIDO, CAPAC. P/ 44 DISJ. DIN, C/BARRAM TRIF. 100A BARRA. NEUTRO E TERRA, FAB. EM CHAPA DE AÇO 12 USG COM PORTA, ESPELHO, TRINCO COM FECHAD CH YALE, REF. QDTN II-44DIN-CEMAR OU EQUIV</v>
      </c>
      <c r="E276" s="338" t="str">
        <f>IF(B276="IOPES",VLOOKUP(C276,'LABOR-SERVIÇOS'!A:H,6,FALSE),IF(B276="SINAPI",VLOOKUP(C276,'SINAPI-SERVIÇOS'!A:D,3,FALSE),IF(LEFT(C276,3)="ARQ",VLOOKUP(VALUE(RIGHT(C276,3)),'ARQ-COMP'!B:J,5,FALSE),IF(LEFT(C276,3)="SCI",VLOOKUP(VALUE(RIGHT(C276,3)),'GAS-COMP'!#REF!,5,FALSE),IF(LEFT(C276,3)="SCE",VLOOKUP(VALUE(RIGHT(C276,3)),'SCE-COMP'!B:J,5,FALSE),IF(LEFT(C276,3)="EST",VLOOKUP(VALUE(RIGHT(C276,3)),'EST-COMP'!B:J,5,FALSE),IF(LEFT(C276,3)="HID",VLOOKUP(VALUE(RIGHT(C276,3)),'HID-COMP'!B:J,5,FALSE),IF(LEFT(C276,3)="INC",VLOOKUP(VALUE(RIGHT(C276,3)),'INC-COMP'!B:J,5,FALSE),IF(LEFT(C276,3)="ELE",VLOOKUP(VALUE(RIGHT(C276,3)),#REF!,5,FALSE),IF(LEFT(C276,3)="CAB",VLOOKUP(VALUE(RIGHT(C276,3)),#REF!,5,FALSE),IF(LEFT(C276,3)="SEG",VLOOKUP(VALUE(RIGHT(C276,3)),'SEG-COMP'!B:J,5,FALSE),IF(LEFT(C276,3)="CLI",VLOOKUP(VALUE(RIGHT(C276,3)),'CLI-COMP'!B:J,5,FALSE),IF(LEFT(C276,4)="IMPL",VLOOKUP(VALUE(RIGHT(C276,3)),'IMPL-COMP'!B:J,5,FALSE),IF(LEFT(C276,4)="SPDA",VLOOKUP(VALUE(RIGHT(C276,3)),'SPDA-COMP'!B:J,5,FALSE),IF(LEFT(C276,4)="SDAI",VLOOKUP(VALUE(RIGHT(C276,3)),'ADM-COMP'!B:J,5,FALSE),IF(LEFT(C276,5)="IMPER",VLOOKUP(VALUE(RIGHT(C276,3)),'IMPER-COMP'!B:J,5,FALSE),""))))))))))))))))</f>
        <v>UND</v>
      </c>
      <c r="F276" s="599">
        <f>ROUND(VLOOKUP(A276,'MEM-LEVANT'!A274:I2827,9,FALSE),2)</f>
        <v>2</v>
      </c>
      <c r="G276" s="339">
        <f>IF(B276="IOPES",VLOOKUP(C276,'LABOR-SERVIÇOS'!A:H,7,FALSE),IF(B276="SINAPI",VLOOKUP(C276,'SINAPI-SERVIÇOS'!A:H,8,FALSE),IF(LEFT(C276,3)="ARQ",VLOOKUP(VALUE(RIGHT(C276,3)),'ARQ-COMP'!B:J,9,FALSE),IF(LEFT(C276,3)="SCI",VLOOKUP(VALUE(RIGHT(C276,3)),'GAS-COMP'!#REF!,9,FALSE),IF(LEFT(C276,3)="SCE",VLOOKUP(VALUE(RIGHT(C276,3)),'SCE-COMP'!B:J,9,FALSE),IF(LEFT(C276,3)="EST",VLOOKUP(VALUE(RIGHT(C276,3)),'EST-COMP'!B:J,9,FALSE),IF(LEFT(C276,3)="HID",VLOOKUP(VALUE(RIGHT(C276,3)),'HID-COMP'!B:J,9,FALSE),IF(LEFT(C276,3)="INC",VLOOKUP(VALUE(RIGHT(C276,3)),'INC-COMP'!B:J,9,FALSE),IF(LEFT(C276,3)="ELE",VLOOKUP(VALUE(RIGHT(C276,3)),#REF!,9,FALSE),IF(LEFT(C276,3)="CAB",VLOOKUP(VALUE(RIGHT(C276,3)),#REF!,9,FALSE),IF(LEFT(C276,3)="SEG",VLOOKUP(VALUE(RIGHT(C276,3)),'SEG-COMP'!B:J,9,FALSE),IF(LEFT(C276,3)="CLI",VLOOKUP(VALUE(RIGHT(C276,3)),'CLI-COMP'!B:J,9,FALSE),IF(LEFT(C276,4)="IMPL",VLOOKUP(VALUE(RIGHT(C276,3)),'IMPL-COMP'!B:J,9,FALSE),IF(LEFT(C276,4)="SPDA",VLOOKUP(VALUE(RIGHT(C276,3)),'SPDA-COMP'!B:J,9,FALSE),IF(LEFT(C276,4)="SDAI",VLOOKUP(VALUE(RIGHT(C276,3)),'ADM-COMP'!B:J,9,FALSE),IF(LEFT(C276,5)="IMPER",VLOOKUP(VALUE(RIGHT(C276,3)),'IMPER-COMP'!B:J,9,FALSE),""))))))))))))))))</f>
        <v>1202.06</v>
      </c>
      <c r="H276" s="339">
        <f t="shared" ref="H276" si="100">ROUND(F276*G276,2)</f>
        <v>2404.12</v>
      </c>
      <c r="I276" s="374">
        <f>H276/$H$441</f>
        <v>1.4056790940136668E-4</v>
      </c>
      <c r="J276" s="314"/>
    </row>
    <row r="277" spans="1:10">
      <c r="A277" s="570"/>
      <c r="B277" s="569"/>
      <c r="C277" s="569"/>
      <c r="D277" s="571" t="s">
        <v>27427</v>
      </c>
      <c r="E277" s="572"/>
      <c r="F277" s="600"/>
      <c r="G277" s="573"/>
      <c r="H277" s="574">
        <f>SUM(H211:H276)</f>
        <v>2317824.5300000003</v>
      </c>
      <c r="I277" s="575">
        <f>H277/$H$441</f>
        <v>0.13552224869861129</v>
      </c>
      <c r="J277" s="314"/>
    </row>
    <row r="278" spans="1:10">
      <c r="A278" s="613"/>
      <c r="B278" s="337"/>
      <c r="C278" s="337"/>
      <c r="D278" s="539"/>
      <c r="E278" s="338"/>
      <c r="F278" s="599"/>
      <c r="G278" s="339"/>
      <c r="H278" s="339"/>
      <c r="I278" s="374"/>
      <c r="J278" s="314"/>
    </row>
    <row r="279" spans="1:10">
      <c r="A279" s="561" t="s">
        <v>23676</v>
      </c>
      <c r="B279" s="562"/>
      <c r="C279" s="563"/>
      <c r="D279" s="564" t="s">
        <v>1502</v>
      </c>
      <c r="E279" s="565"/>
      <c r="F279" s="597"/>
      <c r="G279" s="566"/>
      <c r="H279" s="567"/>
      <c r="I279" s="568"/>
      <c r="J279" s="314"/>
    </row>
    <row r="280" spans="1:10">
      <c r="A280" s="553" t="s">
        <v>15753</v>
      </c>
      <c r="B280" s="554"/>
      <c r="C280" s="555"/>
      <c r="D280" s="556" t="s">
        <v>1503</v>
      </c>
      <c r="E280" s="557"/>
      <c r="F280" s="598"/>
      <c r="G280" s="558"/>
      <c r="H280" s="559"/>
      <c r="I280" s="560"/>
      <c r="J280" s="314"/>
    </row>
    <row r="281" spans="1:10" ht="26.4">
      <c r="A281" s="613" t="s">
        <v>23677</v>
      </c>
      <c r="B281" s="337" t="s">
        <v>2879</v>
      </c>
      <c r="C281" s="540">
        <f>160105</f>
        <v>160105</v>
      </c>
      <c r="D281" s="539" t="str">
        <f>IF(B281="IOPES",VLOOKUP(C281,'LABOR-SERVIÇOS'!A:H,5,FALSE),IF(B281="SINAPI",VLOOKUP(C281,'SINAPI-SERVIÇOS'!A:D,2,FALSE),IF(LEFT(C281,3)="ARQ",VLOOKUP(VALUE(RIGHT(C281,3)),'ARQ-COMP'!B:J,4,FALSE),IF(LEFT(C281,3)="SCI",VLOOKUP(VALUE(RIGHT(C281,3)),'GAS-COMP'!#REF!,4,FALSE),IF(LEFT(C281,3)="SCE",VLOOKUP(VALUE(RIGHT(C281,3)),'SCE-COMP'!B:J,4,FALSE),IF(LEFT(C281,3)="EST",VLOOKUP(VALUE(RIGHT(C281,3)),'EST-COMP'!B:J,4,FALSE),IF(LEFT(C281,3)="HID",VLOOKUP(VALUE(RIGHT(C281,3)),'HID-COMP'!B:J,4,FALSE),IF(LEFT(C281,3)="INC",VLOOKUP(VALUE(RIGHT(C281,3)),'INC-COMP'!B:J,4,FALSE),IF(LEFT(C281,3)="ELE",VLOOKUP(VALUE(RIGHT(C281,3)),#REF!,4,FALSE),IF(LEFT(C281,3)="CAB",VLOOKUP(VALUE(RIGHT(C281,3)),#REF!,4,FALSE),IF(LEFT(C281,3)="SEG",VLOOKUP(VALUE(RIGHT(C281,3)),'SEG-COMP'!B:J,4,FALSE),IF(LEFT(C281,3)="CLI",VLOOKUP(VALUE(RIGHT(C281,3)),'CLI-COMP'!B:J,4,FALSE),IF(LEFT(C281,4)="IMPL",VLOOKUP(VALUE(RIGHT(C281,3)),'IMPL-COMP'!B:J,4,FALSE),IF(LEFT(C281,4)="SPDA",VLOOKUP(VALUE(RIGHT(C281,3)),'SPDA-COMP'!B:J,4,FALSE),IF(LEFT(C281,4)="SDAI",VLOOKUP(VALUE(RIGHT(C281,3)),'ADM-COMP'!B:J,4,FALSE),IF(LEFT(C281,5)="IMPER",VLOOKUP(VALUE(RIGHT(C281,3)),'IMPER-COMP'!B:J,4,FALSE),""))))))))))))))))</f>
        <v>CAIXA DE TELEFONE EM CHAPA DE AÇO PADRÃO TELEBRAS N. 6, 1200X1200X150 MM, COM FUNDO DE MADEIRA</v>
      </c>
      <c r="E281" s="338" t="str">
        <f>IF(B281="IOPES",VLOOKUP(C281,'LABOR-SERVIÇOS'!A:H,6,FALSE),IF(B281="SINAPI",VLOOKUP(C281,'SINAPI-SERVIÇOS'!A:D,3,FALSE),IF(LEFT(C281,3)="ARQ",VLOOKUP(VALUE(RIGHT(C281,3)),'ARQ-COMP'!B:J,5,FALSE),IF(LEFT(C281,3)="SCI",VLOOKUP(VALUE(RIGHT(C281,3)),'GAS-COMP'!#REF!,5,FALSE),IF(LEFT(C281,3)="SCE",VLOOKUP(VALUE(RIGHT(C281,3)),'SCE-COMP'!B:J,5,FALSE),IF(LEFT(C281,3)="EST",VLOOKUP(VALUE(RIGHT(C281,3)),'EST-COMP'!B:J,5,FALSE),IF(LEFT(C281,3)="HID",VLOOKUP(VALUE(RIGHT(C281,3)),'HID-COMP'!B:J,5,FALSE),IF(LEFT(C281,3)="INC",VLOOKUP(VALUE(RIGHT(C281,3)),'INC-COMP'!B:J,5,FALSE),IF(LEFT(C281,3)="ELE",VLOOKUP(VALUE(RIGHT(C281,3)),#REF!,5,FALSE),IF(LEFT(C281,3)="CAB",VLOOKUP(VALUE(RIGHT(C281,3)),#REF!,5,FALSE),IF(LEFT(C281,3)="SEG",VLOOKUP(VALUE(RIGHT(C281,3)),'SEG-COMP'!B:J,5,FALSE),IF(LEFT(C281,3)="CLI",VLOOKUP(VALUE(RIGHT(C281,3)),'CLI-COMP'!B:J,5,FALSE),IF(LEFT(C281,4)="IMPL",VLOOKUP(VALUE(RIGHT(C281,3)),'IMPL-COMP'!B:J,5,FALSE),IF(LEFT(C281,4)="SPDA",VLOOKUP(VALUE(RIGHT(C281,3)),'SPDA-COMP'!B:J,5,FALSE),IF(LEFT(C281,4)="SDAI",VLOOKUP(VALUE(RIGHT(C281,3)),'ADM-COMP'!B:J,5,FALSE),IF(LEFT(C281,5)="IMPER",VLOOKUP(VALUE(RIGHT(C281,3)),'IMPER-COMP'!B:J,5,FALSE),""))))))))))))))))</f>
        <v>UND</v>
      </c>
      <c r="F281" s="599">
        <f>ROUND(VLOOKUP(A281,'MEM-LEVANT'!A269:I2820,9,FALSE),2)</f>
        <v>3</v>
      </c>
      <c r="G281" s="339">
        <f>IF(B281="IOPES",VLOOKUP(C281,'LABOR-SERVIÇOS'!A:H,7,FALSE),IF(B281="SINAPI",VLOOKUP(C281,'SINAPI-SERVIÇOS'!A:H,8,FALSE),IF(LEFT(C281,3)="ARQ",VLOOKUP(VALUE(RIGHT(C281,3)),'ARQ-COMP'!B:J,9,FALSE),IF(LEFT(C281,3)="SCI",VLOOKUP(VALUE(RIGHT(C281,3)),'GAS-COMP'!#REF!,9,FALSE),IF(LEFT(C281,3)="SCE",VLOOKUP(VALUE(RIGHT(C281,3)),'SCE-COMP'!B:J,9,FALSE),IF(LEFT(C281,3)="EST",VLOOKUP(VALUE(RIGHT(C281,3)),'EST-COMP'!B:J,9,FALSE),IF(LEFT(C281,3)="HID",VLOOKUP(VALUE(RIGHT(C281,3)),'HID-COMP'!B:J,9,FALSE),IF(LEFT(C281,3)="INC",VLOOKUP(VALUE(RIGHT(C281,3)),'INC-COMP'!B:J,9,FALSE),IF(LEFT(C281,3)="ELE",VLOOKUP(VALUE(RIGHT(C281,3)),#REF!,9,FALSE),IF(LEFT(C281,3)="CAB",VLOOKUP(VALUE(RIGHT(C281,3)),#REF!,9,FALSE),IF(LEFT(C281,3)="SEG",VLOOKUP(VALUE(RIGHT(C281,3)),'SEG-COMP'!B:J,9,FALSE),IF(LEFT(C281,3)="CLI",VLOOKUP(VALUE(RIGHT(C281,3)),'CLI-COMP'!B:J,9,FALSE),IF(LEFT(C281,4)="IMPL",VLOOKUP(VALUE(RIGHT(C281,3)),'IMPL-COMP'!B:J,9,FALSE),IF(LEFT(C281,4)="SPDA",VLOOKUP(VALUE(RIGHT(C281,3)),'SPDA-COMP'!B:J,9,FALSE),IF(LEFT(C281,4)="SDAI",VLOOKUP(VALUE(RIGHT(C281,3)),'ADM-COMP'!B:J,9,FALSE),IF(LEFT(C281,5)="IMPER",VLOOKUP(VALUE(RIGHT(C281,3)),'IMPER-COMP'!B:J,9,FALSE),""))))))))))))))))</f>
        <v>2409.56</v>
      </c>
      <c r="H281" s="339">
        <f t="shared" ref="H281:H282" si="101">ROUND(F281*G281,2)</f>
        <v>7228.68</v>
      </c>
      <c r="I281" s="374">
        <f>H281/$H$441</f>
        <v>4.2265795190401124E-4</v>
      </c>
      <c r="J281" s="314"/>
    </row>
    <row r="282" spans="1:10">
      <c r="A282" s="613" t="s">
        <v>23678</v>
      </c>
      <c r="B282" s="337" t="s">
        <v>2879</v>
      </c>
      <c r="C282" s="540">
        <f>160120</f>
        <v>160120</v>
      </c>
      <c r="D282" s="539" t="str">
        <f>IF(B282="IOPES",VLOOKUP(C282,'LABOR-SERVIÇOS'!A:H,5,FALSE),IF(B282="SINAPI",VLOOKUP(C282,'SINAPI-SERVIÇOS'!A:D,2,FALSE),IF(LEFT(C282,3)="ARQ",VLOOKUP(VALUE(RIGHT(C282,3)),'ARQ-COMP'!B:J,4,FALSE),IF(LEFT(C282,3)="SCI",VLOOKUP(VALUE(RIGHT(C282,3)),'GAS-COMP'!#REF!,4,FALSE),IF(LEFT(C282,3)="SCE",VLOOKUP(VALUE(RIGHT(C282,3)),'SCE-COMP'!B:J,4,FALSE),IF(LEFT(C282,3)="EST",VLOOKUP(VALUE(RIGHT(C282,3)),'EST-COMP'!B:J,4,FALSE),IF(LEFT(C282,3)="HID",VLOOKUP(VALUE(RIGHT(C282,3)),'HID-COMP'!B:J,4,FALSE),IF(LEFT(C282,3)="INC",VLOOKUP(VALUE(RIGHT(C282,3)),'INC-COMP'!B:J,4,FALSE),IF(LEFT(C282,3)="ELE",VLOOKUP(VALUE(RIGHT(C282,3)),#REF!,4,FALSE),IF(LEFT(C282,3)="CAB",VLOOKUP(VALUE(RIGHT(C282,3)),#REF!,4,FALSE),IF(LEFT(C282,3)="SEG",VLOOKUP(VALUE(RIGHT(C282,3)),'SEG-COMP'!B:J,4,FALSE),IF(LEFT(C282,3)="CLI",VLOOKUP(VALUE(RIGHT(C282,3)),'CLI-COMP'!B:J,4,FALSE),IF(LEFT(C282,4)="IMPL",VLOOKUP(VALUE(RIGHT(C282,3)),'IMPL-COMP'!B:J,4,FALSE),IF(LEFT(C282,4)="SPDA",VLOOKUP(VALUE(RIGHT(C282,3)),'SPDA-COMP'!B:J,4,FALSE),IF(LEFT(C282,4)="SDAI",VLOOKUP(VALUE(RIGHT(C282,3)),'ADM-COMP'!B:J,4,FALSE),IF(LEFT(C282,5)="IMPER",VLOOKUP(VALUE(RIGHT(C282,3)),'IMPER-COMP'!B:J,4,FALSE),""))))))))))))))))</f>
        <v>TOMADA PARA TELEFONE COM CONECTOR RJ 11</v>
      </c>
      <c r="E282" s="338" t="str">
        <f>IF(B282="IOPES",VLOOKUP(C282,'LABOR-SERVIÇOS'!A:H,6,FALSE),IF(B282="SINAPI",VLOOKUP(C282,'SINAPI-SERVIÇOS'!A:D,3,FALSE),IF(LEFT(C282,3)="ARQ",VLOOKUP(VALUE(RIGHT(C282,3)),'ARQ-COMP'!B:J,5,FALSE),IF(LEFT(C282,3)="SCI",VLOOKUP(VALUE(RIGHT(C282,3)),'GAS-COMP'!#REF!,5,FALSE),IF(LEFT(C282,3)="SCE",VLOOKUP(VALUE(RIGHT(C282,3)),'SCE-COMP'!B:J,5,FALSE),IF(LEFT(C282,3)="EST",VLOOKUP(VALUE(RIGHT(C282,3)),'EST-COMP'!B:J,5,FALSE),IF(LEFT(C282,3)="HID",VLOOKUP(VALUE(RIGHT(C282,3)),'HID-COMP'!B:J,5,FALSE),IF(LEFT(C282,3)="INC",VLOOKUP(VALUE(RIGHT(C282,3)),'INC-COMP'!B:J,5,FALSE),IF(LEFT(C282,3)="ELE",VLOOKUP(VALUE(RIGHT(C282,3)),#REF!,5,FALSE),IF(LEFT(C282,3)="CAB",VLOOKUP(VALUE(RIGHT(C282,3)),#REF!,5,FALSE),IF(LEFT(C282,3)="SEG",VLOOKUP(VALUE(RIGHT(C282,3)),'SEG-COMP'!B:J,5,FALSE),IF(LEFT(C282,3)="CLI",VLOOKUP(VALUE(RIGHT(C282,3)),'CLI-COMP'!B:J,5,FALSE),IF(LEFT(C282,4)="IMPL",VLOOKUP(VALUE(RIGHT(C282,3)),'IMPL-COMP'!B:J,5,FALSE),IF(LEFT(C282,4)="SPDA",VLOOKUP(VALUE(RIGHT(C282,3)),'SPDA-COMP'!B:J,5,FALSE),IF(LEFT(C282,4)="SDAI",VLOOKUP(VALUE(RIGHT(C282,3)),'ADM-COMP'!B:J,5,FALSE),IF(LEFT(C282,5)="IMPER",VLOOKUP(VALUE(RIGHT(C282,3)),'IMPER-COMP'!B:J,5,FALSE),""))))))))))))))))</f>
        <v>UND</v>
      </c>
      <c r="F282" s="599">
        <f>ROUND(VLOOKUP(A282,'MEM-LEVANT'!A269:I2822,9,FALSE),2)</f>
        <v>150</v>
      </c>
      <c r="G282" s="339">
        <f>IF(B282="IOPES",VLOOKUP(C282,'LABOR-SERVIÇOS'!A:H,7,FALSE),IF(B282="SINAPI",VLOOKUP(C282,'SINAPI-SERVIÇOS'!A:H,8,FALSE),IF(LEFT(C282,3)="ARQ",VLOOKUP(VALUE(RIGHT(C282,3)),'ARQ-COMP'!B:J,9,FALSE),IF(LEFT(C282,3)="SCI",VLOOKUP(VALUE(RIGHT(C282,3)),'GAS-COMP'!#REF!,9,FALSE),IF(LEFT(C282,3)="SCE",VLOOKUP(VALUE(RIGHT(C282,3)),'SCE-COMP'!B:J,9,FALSE),IF(LEFT(C282,3)="EST",VLOOKUP(VALUE(RIGHT(C282,3)),'EST-COMP'!B:J,9,FALSE),IF(LEFT(C282,3)="HID",VLOOKUP(VALUE(RIGHT(C282,3)),'HID-COMP'!B:J,9,FALSE),IF(LEFT(C282,3)="INC",VLOOKUP(VALUE(RIGHT(C282,3)),'INC-COMP'!B:J,9,FALSE),IF(LEFT(C282,3)="ELE",VLOOKUP(VALUE(RIGHT(C282,3)),#REF!,9,FALSE),IF(LEFT(C282,3)="CAB",VLOOKUP(VALUE(RIGHT(C282,3)),#REF!,9,FALSE),IF(LEFT(C282,3)="SEG",VLOOKUP(VALUE(RIGHT(C282,3)),'SEG-COMP'!B:J,9,FALSE),IF(LEFT(C282,3)="CLI",VLOOKUP(VALUE(RIGHT(C282,3)),'CLI-COMP'!B:J,9,FALSE),IF(LEFT(C282,4)="IMPL",VLOOKUP(VALUE(RIGHT(C282,3)),'IMPL-COMP'!B:J,9,FALSE),IF(LEFT(C282,4)="SPDA",VLOOKUP(VALUE(RIGHT(C282,3)),'SPDA-COMP'!B:J,9,FALSE),IF(LEFT(C282,4)="SDAI",VLOOKUP(VALUE(RIGHT(C282,3)),'ADM-COMP'!B:J,9,FALSE),IF(LEFT(C282,5)="IMPER",VLOOKUP(VALUE(RIGHT(C282,3)),'IMPER-COMP'!B:J,9,FALSE),""))))))))))))))))</f>
        <v>108.84</v>
      </c>
      <c r="H282" s="339">
        <f t="shared" si="101"/>
        <v>16326</v>
      </c>
      <c r="I282" s="374">
        <f>H282/$H$441</f>
        <v>9.545745174478448E-4</v>
      </c>
      <c r="J282" s="314"/>
    </row>
    <row r="283" spans="1:10">
      <c r="A283" s="553" t="s">
        <v>15754</v>
      </c>
      <c r="B283" s="554"/>
      <c r="C283" s="555"/>
      <c r="D283" s="556" t="s">
        <v>1512</v>
      </c>
      <c r="E283" s="557"/>
      <c r="F283" s="598"/>
      <c r="G283" s="558"/>
      <c r="H283" s="559"/>
      <c r="I283" s="560"/>
      <c r="J283" s="314"/>
    </row>
    <row r="284" spans="1:10" ht="26.4">
      <c r="A284" s="613" t="s">
        <v>23679</v>
      </c>
      <c r="B284" s="337" t="s">
        <v>2879</v>
      </c>
      <c r="C284" s="540">
        <f>160303</f>
        <v>160303</v>
      </c>
      <c r="D284" s="539" t="str">
        <f>IF(B284="IOPES",VLOOKUP(C284,'LABOR-SERVIÇOS'!A:H,5,FALSE),IF(B284="SINAPI",VLOOKUP(C284,'SINAPI-SERVIÇOS'!A:D,2,FALSE),IF(LEFT(C284,3)="ARQ",VLOOKUP(VALUE(RIGHT(C284,3)),'ARQ-COMP'!B:J,4,FALSE),IF(LEFT(C284,3)="SCI",VLOOKUP(VALUE(RIGHT(C284,3)),'GAS-COMP'!#REF!,4,FALSE),IF(LEFT(C284,3)="SCE",VLOOKUP(VALUE(RIGHT(C284,3)),'SCE-COMP'!B:J,4,FALSE),IF(LEFT(C284,3)="EST",VLOOKUP(VALUE(RIGHT(C284,3)),'EST-COMP'!B:J,4,FALSE),IF(LEFT(C284,3)="HID",VLOOKUP(VALUE(RIGHT(C284,3)),'HID-COMP'!B:J,4,FALSE),IF(LEFT(C284,3)="INC",VLOOKUP(VALUE(RIGHT(C284,3)),'INC-COMP'!B:J,4,FALSE),IF(LEFT(C284,3)="ELE",VLOOKUP(VALUE(RIGHT(C284,3)),#REF!,4,FALSE),IF(LEFT(C284,3)="CAB",VLOOKUP(VALUE(RIGHT(C284,3)),#REF!,4,FALSE),IF(LEFT(C284,3)="SEG",VLOOKUP(VALUE(RIGHT(C284,3)),'SEG-COMP'!B:J,4,FALSE),IF(LEFT(C284,3)="CLI",VLOOKUP(VALUE(RIGHT(C284,3)),'CLI-COMP'!B:J,4,FALSE),IF(LEFT(C284,4)="IMPL",VLOOKUP(VALUE(RIGHT(C284,3)),'IMPL-COMP'!B:J,4,FALSE),IF(LEFT(C284,4)="SPDA",VLOOKUP(VALUE(RIGHT(C284,3)),'SPDA-COMP'!B:J,4,FALSE),IF(LEFT(C284,4)="SDAI",VLOOKUP(VALUE(RIGHT(C284,3)),'ADM-COMP'!B:J,4,FALSE),IF(LEFT(C284,5)="IMPER",VLOOKUP(VALUE(RIGHT(C284,3)),'IMPER-COMP'!B:J,4,FALSE),""))))))))))))))))</f>
        <v>ATERRAMENTO COM HASTE TERRA 5/8" X 2.40, CABO DE COBRE NU 6MM2, INCLUSIVE CAIXA DE CONCRETO 30 X 30 CM</v>
      </c>
      <c r="E284" s="338" t="str">
        <f>IF(B284="IOPES",VLOOKUP(C284,'LABOR-SERVIÇOS'!A:H,6,FALSE),IF(B284="SINAPI",VLOOKUP(C284,'SINAPI-SERVIÇOS'!A:D,3,FALSE),IF(LEFT(C284,3)="ARQ",VLOOKUP(VALUE(RIGHT(C284,3)),'ARQ-COMP'!B:J,5,FALSE),IF(LEFT(C284,3)="SCI",VLOOKUP(VALUE(RIGHT(C284,3)),'GAS-COMP'!#REF!,5,FALSE),IF(LEFT(C284,3)="SCE",VLOOKUP(VALUE(RIGHT(C284,3)),'SCE-COMP'!B:J,5,FALSE),IF(LEFT(C284,3)="EST",VLOOKUP(VALUE(RIGHT(C284,3)),'EST-COMP'!B:J,5,FALSE),IF(LEFT(C284,3)="HID",VLOOKUP(VALUE(RIGHT(C284,3)),'HID-COMP'!B:J,5,FALSE),IF(LEFT(C284,3)="INC",VLOOKUP(VALUE(RIGHT(C284,3)),'INC-COMP'!B:J,5,FALSE),IF(LEFT(C284,3)="ELE",VLOOKUP(VALUE(RIGHT(C284,3)),#REF!,5,FALSE),IF(LEFT(C284,3)="CAB",VLOOKUP(VALUE(RIGHT(C284,3)),#REF!,5,FALSE),IF(LEFT(C284,3)="SEG",VLOOKUP(VALUE(RIGHT(C284,3)),'SEG-COMP'!B:J,5,FALSE),IF(LEFT(C284,3)="CLI",VLOOKUP(VALUE(RIGHT(C284,3)),'CLI-COMP'!B:J,5,FALSE),IF(LEFT(C284,4)="IMPL",VLOOKUP(VALUE(RIGHT(C284,3)),'IMPL-COMP'!B:J,5,FALSE),IF(LEFT(C284,4)="SPDA",VLOOKUP(VALUE(RIGHT(C284,3)),'SPDA-COMP'!B:J,5,FALSE),IF(LEFT(C284,4)="SDAI",VLOOKUP(VALUE(RIGHT(C284,3)),'ADM-COMP'!B:J,5,FALSE),IF(LEFT(C284,5)="IMPER",VLOOKUP(VALUE(RIGHT(C284,3)),'IMPER-COMP'!B:J,5,FALSE),""))))))))))))))))</f>
        <v>UND</v>
      </c>
      <c r="F284" s="599">
        <f>ROUND(VLOOKUP(A284,'MEM-LEVANT'!A271:I2824,9,FALSE),2)</f>
        <v>30</v>
      </c>
      <c r="G284" s="339">
        <f>IF(B284="IOPES",VLOOKUP(C284,'LABOR-SERVIÇOS'!A:H,7,FALSE),IF(B284="SINAPI",VLOOKUP(C284,'SINAPI-SERVIÇOS'!A:H,8,FALSE),IF(LEFT(C284,3)="ARQ",VLOOKUP(VALUE(RIGHT(C284,3)),'ARQ-COMP'!B:J,9,FALSE),IF(LEFT(C284,3)="SCI",VLOOKUP(VALUE(RIGHT(C284,3)),'GAS-COMP'!#REF!,9,FALSE),IF(LEFT(C284,3)="SCE",VLOOKUP(VALUE(RIGHT(C284,3)),'SCE-COMP'!B:J,9,FALSE),IF(LEFT(C284,3)="EST",VLOOKUP(VALUE(RIGHT(C284,3)),'EST-COMP'!B:J,9,FALSE),IF(LEFT(C284,3)="HID",VLOOKUP(VALUE(RIGHT(C284,3)),'HID-COMP'!B:J,9,FALSE),IF(LEFT(C284,3)="INC",VLOOKUP(VALUE(RIGHT(C284,3)),'INC-COMP'!B:J,9,FALSE),IF(LEFT(C284,3)="ELE",VLOOKUP(VALUE(RIGHT(C284,3)),#REF!,9,FALSE),IF(LEFT(C284,3)="CAB",VLOOKUP(VALUE(RIGHT(C284,3)),#REF!,9,FALSE),IF(LEFT(C284,3)="SEG",VLOOKUP(VALUE(RIGHT(C284,3)),'SEG-COMP'!B:J,9,FALSE),IF(LEFT(C284,3)="CLI",VLOOKUP(VALUE(RIGHT(C284,3)),'CLI-COMP'!B:J,9,FALSE),IF(LEFT(C284,4)="IMPL",VLOOKUP(VALUE(RIGHT(C284,3)),'IMPL-COMP'!B:J,9,FALSE),IF(LEFT(C284,4)="SPDA",VLOOKUP(VALUE(RIGHT(C284,3)),'SPDA-COMP'!B:J,9,FALSE),IF(LEFT(C284,4)="SDAI",VLOOKUP(VALUE(RIGHT(C284,3)),'ADM-COMP'!B:J,9,FALSE),IF(LEFT(C284,5)="IMPER",VLOOKUP(VALUE(RIGHT(C284,3)),'IMPER-COMP'!B:J,9,FALSE),""))))))))))))))))</f>
        <v>614.11</v>
      </c>
      <c r="H284" s="339">
        <f t="shared" ref="H284:H292" si="102">ROUND(F284*G284,2)</f>
        <v>18423.3</v>
      </c>
      <c r="I284" s="374">
        <f t="shared" ref="I284:I292" si="103">H284/$H$441</f>
        <v>1.0772027874125247E-3</v>
      </c>
      <c r="J284" s="314"/>
    </row>
    <row r="285" spans="1:10" ht="52.8">
      <c r="A285" s="613" t="s">
        <v>35383</v>
      </c>
      <c r="B285" s="337" t="s">
        <v>2879</v>
      </c>
      <c r="C285" s="540">
        <f>160304</f>
        <v>160304</v>
      </c>
      <c r="D285" s="539" t="str">
        <f>IF(B285="IOPES",VLOOKUP(C285,'LABOR-SERVIÇOS'!A:H,5,FALSE),IF(B285="SINAPI",VLOOKUP(C285,'SINAPI-SERVIÇOS'!A:D,2,FALSE),IF(LEFT(C285,3)="ARQ",VLOOKUP(VALUE(RIGHT(C285,3)),'ARQ-COMP'!B:J,4,FALSE),IF(LEFT(C285,3)="SCI",VLOOKUP(VALUE(RIGHT(C285,3)),'GAS-COMP'!#REF!,4,FALSE),IF(LEFT(C285,3)="SCE",VLOOKUP(VALUE(RIGHT(C285,3)),'SCE-COMP'!B:J,4,FALSE),IF(LEFT(C285,3)="EST",VLOOKUP(VALUE(RIGHT(C285,3)),'EST-COMP'!B:J,4,FALSE),IF(LEFT(C285,3)="HID",VLOOKUP(VALUE(RIGHT(C285,3)),'HID-COMP'!B:J,4,FALSE),IF(LEFT(C285,3)="INC",VLOOKUP(VALUE(RIGHT(C285,3)),'INC-COMP'!B:J,4,FALSE),IF(LEFT(C285,3)="ELE",VLOOKUP(VALUE(RIGHT(C285,3)),#REF!,4,FALSE),IF(LEFT(C285,3)="CAB",VLOOKUP(VALUE(RIGHT(C285,3)),#REF!,4,FALSE),IF(LEFT(C285,3)="SEG",VLOOKUP(VALUE(RIGHT(C285,3)),'SEG-COMP'!B:J,4,FALSE),IF(LEFT(C285,3)="CLI",VLOOKUP(VALUE(RIGHT(C285,3)),'CLI-COMP'!B:J,4,FALSE),IF(LEFT(C285,4)="IMPL",VLOOKUP(VALUE(RIGHT(C285,3)),'IMPL-COMP'!B:J,4,FALSE),IF(LEFT(C285,4)="SPDA",VLOOKUP(VALUE(RIGHT(C285,3)),'SPDA-COMP'!B:J,4,FALSE),IF(LEFT(C285,4)="SDAI",VLOOKUP(VALUE(RIGHT(C285,3)),'ADM-COMP'!B:J,4,FALSE),IF(LEFT(C285,5)="IMPER",VLOOKUP(VALUE(RIGHT(C285,3)),'IMPER-COMP'!B:J,4,FALSE),""))))))))))))))))</f>
        <v>PÁRA-RAIOS TIPO FRANKLIM INCLUINDO BASE DE FIXAÇÃO, CONJUNTO DE CONTRAVENTAGEM C/ABRAÇADEIRA P/3 ESTAIS EM TUBO E DEMAIS ACESSÓRIOS C/EXCEÇÃO DO CABO DE COBRE DE DESCIDA E SUPORTES ISOLADORES</v>
      </c>
      <c r="E285" s="338" t="str">
        <f>IF(B285="IOPES",VLOOKUP(C285,'LABOR-SERVIÇOS'!A:H,6,FALSE),IF(B285="SINAPI",VLOOKUP(C285,'SINAPI-SERVIÇOS'!A:D,3,FALSE),IF(LEFT(C285,3)="ARQ",VLOOKUP(VALUE(RIGHT(C285,3)),'ARQ-COMP'!B:J,5,FALSE),IF(LEFT(C285,3)="SCI",VLOOKUP(VALUE(RIGHT(C285,3)),'GAS-COMP'!#REF!,5,FALSE),IF(LEFT(C285,3)="SCE",VLOOKUP(VALUE(RIGHT(C285,3)),'SCE-COMP'!B:J,5,FALSE),IF(LEFT(C285,3)="EST",VLOOKUP(VALUE(RIGHT(C285,3)),'EST-COMP'!B:J,5,FALSE),IF(LEFT(C285,3)="HID",VLOOKUP(VALUE(RIGHT(C285,3)),'HID-COMP'!B:J,5,FALSE),IF(LEFT(C285,3)="INC",VLOOKUP(VALUE(RIGHT(C285,3)),'INC-COMP'!B:J,5,FALSE),IF(LEFT(C285,3)="ELE",VLOOKUP(VALUE(RIGHT(C285,3)),#REF!,5,FALSE),IF(LEFT(C285,3)="CAB",VLOOKUP(VALUE(RIGHT(C285,3)),#REF!,5,FALSE),IF(LEFT(C285,3)="SEG",VLOOKUP(VALUE(RIGHT(C285,3)),'SEG-COMP'!B:J,5,FALSE),IF(LEFT(C285,3)="CLI",VLOOKUP(VALUE(RIGHT(C285,3)),'CLI-COMP'!B:J,5,FALSE),IF(LEFT(C285,4)="IMPL",VLOOKUP(VALUE(RIGHT(C285,3)),'IMPL-COMP'!B:J,5,FALSE),IF(LEFT(C285,4)="SPDA",VLOOKUP(VALUE(RIGHT(C285,3)),'SPDA-COMP'!B:J,5,FALSE),IF(LEFT(C285,4)="SDAI",VLOOKUP(VALUE(RIGHT(C285,3)),'ADM-COMP'!B:J,5,FALSE),IF(LEFT(C285,5)="IMPER",VLOOKUP(VALUE(RIGHT(C285,3)),'IMPER-COMP'!B:J,5,FALSE),""))))))))))))))))</f>
        <v>UND</v>
      </c>
      <c r="F285" s="599">
        <f>ROUND(VLOOKUP(A285,'MEM-LEVANT'!A272:I2825,9,FALSE),2)</f>
        <v>50</v>
      </c>
      <c r="G285" s="339">
        <f>IF(B285="IOPES",VLOOKUP(C285,'LABOR-SERVIÇOS'!A:H,7,FALSE),IF(B285="SINAPI",VLOOKUP(C285,'SINAPI-SERVIÇOS'!A:H,8,FALSE),IF(LEFT(C285,3)="ARQ",VLOOKUP(VALUE(RIGHT(C285,3)),'ARQ-COMP'!B:J,9,FALSE),IF(LEFT(C285,3)="SCI",VLOOKUP(VALUE(RIGHT(C285,3)),'GAS-COMP'!#REF!,9,FALSE),IF(LEFT(C285,3)="SCE",VLOOKUP(VALUE(RIGHT(C285,3)),'SCE-COMP'!B:J,9,FALSE),IF(LEFT(C285,3)="EST",VLOOKUP(VALUE(RIGHT(C285,3)),'EST-COMP'!B:J,9,FALSE),IF(LEFT(C285,3)="HID",VLOOKUP(VALUE(RIGHT(C285,3)),'HID-COMP'!B:J,9,FALSE),IF(LEFT(C285,3)="INC",VLOOKUP(VALUE(RIGHT(C285,3)),'INC-COMP'!B:J,9,FALSE),IF(LEFT(C285,3)="ELE",VLOOKUP(VALUE(RIGHT(C285,3)),#REF!,9,FALSE),IF(LEFT(C285,3)="CAB",VLOOKUP(VALUE(RIGHT(C285,3)),#REF!,9,FALSE),IF(LEFT(C285,3)="SEG",VLOOKUP(VALUE(RIGHT(C285,3)),'SEG-COMP'!B:J,9,FALSE),IF(LEFT(C285,3)="CLI",VLOOKUP(VALUE(RIGHT(C285,3)),'CLI-COMP'!B:J,9,FALSE),IF(LEFT(C285,4)="IMPL",VLOOKUP(VALUE(RIGHT(C285,3)),'IMPL-COMP'!B:J,9,FALSE),IF(LEFT(C285,4)="SPDA",VLOOKUP(VALUE(RIGHT(C285,3)),'SPDA-COMP'!B:J,9,FALSE),IF(LEFT(C285,4)="SDAI",VLOOKUP(VALUE(RIGHT(C285,3)),'ADM-COMP'!B:J,9,FALSE),IF(LEFT(C285,5)="IMPER",VLOOKUP(VALUE(RIGHT(C285,3)),'IMPER-COMP'!B:J,9,FALSE),""))))))))))))))))</f>
        <v>1174.8800000000001</v>
      </c>
      <c r="H285" s="339">
        <f t="shared" si="102"/>
        <v>58744</v>
      </c>
      <c r="I285" s="374">
        <f t="shared" si="103"/>
        <v>3.4347375629643633E-3</v>
      </c>
      <c r="J285" s="314"/>
    </row>
    <row r="286" spans="1:10" ht="39.6">
      <c r="A286" s="613" t="s">
        <v>35384</v>
      </c>
      <c r="B286" s="337" t="s">
        <v>2879</v>
      </c>
      <c r="C286" s="540">
        <f>160305</f>
        <v>160305</v>
      </c>
      <c r="D286" s="539" t="str">
        <f>IF(B286="IOPES",VLOOKUP(C286,'LABOR-SERVIÇOS'!A:H,5,FALSE),IF(B286="SINAPI",VLOOKUP(C286,'SINAPI-SERVIÇOS'!A:D,2,FALSE),IF(LEFT(C286,3)="ARQ",VLOOKUP(VALUE(RIGHT(C286,3)),'ARQ-COMP'!B:J,4,FALSE),IF(LEFT(C286,3)="SCI",VLOOKUP(VALUE(RIGHT(C286,3)),'GAS-COMP'!#REF!,4,FALSE),IF(LEFT(C286,3)="SCE",VLOOKUP(VALUE(RIGHT(C286,3)),'SCE-COMP'!B:J,4,FALSE),IF(LEFT(C286,3)="EST",VLOOKUP(VALUE(RIGHT(C286,3)),'EST-COMP'!B:J,4,FALSE),IF(LEFT(C286,3)="HID",VLOOKUP(VALUE(RIGHT(C286,3)),'HID-COMP'!B:J,4,FALSE),IF(LEFT(C286,3)="INC",VLOOKUP(VALUE(RIGHT(C286,3)),'INC-COMP'!B:J,4,FALSE),IF(LEFT(C286,3)="ELE",VLOOKUP(VALUE(RIGHT(C286,3)),#REF!,4,FALSE),IF(LEFT(C286,3)="CAB",VLOOKUP(VALUE(RIGHT(C286,3)),#REF!,4,FALSE),IF(LEFT(C286,3)="SEG",VLOOKUP(VALUE(RIGHT(C286,3)),'SEG-COMP'!B:J,4,FALSE),IF(LEFT(C286,3)="CLI",VLOOKUP(VALUE(RIGHT(C286,3)),'CLI-COMP'!B:J,4,FALSE),IF(LEFT(C286,4)="IMPL",VLOOKUP(VALUE(RIGHT(C286,3)),'IMPL-COMP'!B:J,4,FALSE),IF(LEFT(C286,4)="SPDA",VLOOKUP(VALUE(RIGHT(C286,3)),'SPDA-COMP'!B:J,4,FALSE),IF(LEFT(C286,4)="SDAI",VLOOKUP(VALUE(RIGHT(C286,3)),'ADM-COMP'!B:J,4,FALSE),IF(LEFT(C286,5)="IMPER",VLOOKUP(VALUE(RIGHT(C286,3)),'IMPER-COMP'!B:J,4,FALSE),""))))))))))))))))</f>
        <v>CONDUTOR DE COBRE NÚ, SEÇÃO DE 35MM2, INCLUSIVE SUPORTES ISOLADORES E ACESSÓRIOS DE FIXAÇÃO, CONFORME PROJETO</v>
      </c>
      <c r="E286" s="338" t="str">
        <f>IF(B286="IOPES",VLOOKUP(C286,'LABOR-SERVIÇOS'!A:H,6,FALSE),IF(B286="SINAPI",VLOOKUP(C286,'SINAPI-SERVIÇOS'!A:D,3,FALSE),IF(LEFT(C286,3)="ARQ",VLOOKUP(VALUE(RIGHT(C286,3)),'ARQ-COMP'!B:J,5,FALSE),IF(LEFT(C286,3)="SCI",VLOOKUP(VALUE(RIGHT(C286,3)),'GAS-COMP'!#REF!,5,FALSE),IF(LEFT(C286,3)="SCE",VLOOKUP(VALUE(RIGHT(C286,3)),'SCE-COMP'!B:J,5,FALSE),IF(LEFT(C286,3)="EST",VLOOKUP(VALUE(RIGHT(C286,3)),'EST-COMP'!B:J,5,FALSE),IF(LEFT(C286,3)="HID",VLOOKUP(VALUE(RIGHT(C286,3)),'HID-COMP'!B:J,5,FALSE),IF(LEFT(C286,3)="INC",VLOOKUP(VALUE(RIGHT(C286,3)),'INC-COMP'!B:J,5,FALSE),IF(LEFT(C286,3)="ELE",VLOOKUP(VALUE(RIGHT(C286,3)),#REF!,5,FALSE),IF(LEFT(C286,3)="CAB",VLOOKUP(VALUE(RIGHT(C286,3)),#REF!,5,FALSE),IF(LEFT(C286,3)="SEG",VLOOKUP(VALUE(RIGHT(C286,3)),'SEG-COMP'!B:J,5,FALSE),IF(LEFT(C286,3)="CLI",VLOOKUP(VALUE(RIGHT(C286,3)),'CLI-COMP'!B:J,5,FALSE),IF(LEFT(C286,4)="IMPL",VLOOKUP(VALUE(RIGHT(C286,3)),'IMPL-COMP'!B:J,5,FALSE),IF(LEFT(C286,4)="SPDA",VLOOKUP(VALUE(RIGHT(C286,3)),'SPDA-COMP'!B:J,5,FALSE),IF(LEFT(C286,4)="SDAI",VLOOKUP(VALUE(RIGHT(C286,3)),'ADM-COMP'!B:J,5,FALSE),IF(LEFT(C286,5)="IMPER",VLOOKUP(VALUE(RIGHT(C286,3)),'IMPER-COMP'!B:J,5,FALSE),""))))))))))))))))</f>
        <v>M</v>
      </c>
      <c r="F286" s="599">
        <f>ROUND(VLOOKUP(A286,'MEM-LEVANT'!A273:I2826,9,FALSE),2)</f>
        <v>215.4</v>
      </c>
      <c r="G286" s="339">
        <f>IF(B286="IOPES",VLOOKUP(C286,'LABOR-SERVIÇOS'!A:H,7,FALSE),IF(B286="SINAPI",VLOOKUP(C286,'SINAPI-SERVIÇOS'!A:H,8,FALSE),IF(LEFT(C286,3)="ARQ",VLOOKUP(VALUE(RIGHT(C286,3)),'ARQ-COMP'!B:J,9,FALSE),IF(LEFT(C286,3)="SCI",VLOOKUP(VALUE(RIGHT(C286,3)),'GAS-COMP'!#REF!,9,FALSE),IF(LEFT(C286,3)="SCE",VLOOKUP(VALUE(RIGHT(C286,3)),'SCE-COMP'!B:J,9,FALSE),IF(LEFT(C286,3)="EST",VLOOKUP(VALUE(RIGHT(C286,3)),'EST-COMP'!B:J,9,FALSE),IF(LEFT(C286,3)="HID",VLOOKUP(VALUE(RIGHT(C286,3)),'HID-COMP'!B:J,9,FALSE),IF(LEFT(C286,3)="INC",VLOOKUP(VALUE(RIGHT(C286,3)),'INC-COMP'!B:J,9,FALSE),IF(LEFT(C286,3)="ELE",VLOOKUP(VALUE(RIGHT(C286,3)),#REF!,9,FALSE),IF(LEFT(C286,3)="CAB",VLOOKUP(VALUE(RIGHT(C286,3)),#REF!,9,FALSE),IF(LEFT(C286,3)="SEG",VLOOKUP(VALUE(RIGHT(C286,3)),'SEG-COMP'!B:J,9,FALSE),IF(LEFT(C286,3)="CLI",VLOOKUP(VALUE(RIGHT(C286,3)),'CLI-COMP'!B:J,9,FALSE),IF(LEFT(C286,4)="IMPL",VLOOKUP(VALUE(RIGHT(C286,3)),'IMPL-COMP'!B:J,9,FALSE),IF(LEFT(C286,4)="SPDA",VLOOKUP(VALUE(RIGHT(C286,3)),'SPDA-COMP'!B:J,9,FALSE),IF(LEFT(C286,4)="SDAI",VLOOKUP(VALUE(RIGHT(C286,3)),'ADM-COMP'!B:J,9,FALSE),IF(LEFT(C286,5)="IMPER",VLOOKUP(VALUE(RIGHT(C286,3)),'IMPER-COMP'!B:J,9,FALSE),""))))))))))))))))</f>
        <v>134.24</v>
      </c>
      <c r="H286" s="339">
        <f t="shared" si="102"/>
        <v>28915.3</v>
      </c>
      <c r="I286" s="374">
        <f t="shared" si="103"/>
        <v>1.6906657199779289E-3</v>
      </c>
      <c r="J286" s="314"/>
    </row>
    <row r="287" spans="1:10" ht="39.6">
      <c r="A287" s="613" t="s">
        <v>35385</v>
      </c>
      <c r="B287" s="337" t="s">
        <v>2879</v>
      </c>
      <c r="C287" s="540">
        <f>160308</f>
        <v>160308</v>
      </c>
      <c r="D287" s="539" t="str">
        <f>IF(B287="IOPES",VLOOKUP(C287,'LABOR-SERVIÇOS'!A:H,5,FALSE),IF(B287="SINAPI",VLOOKUP(C287,'SINAPI-SERVIÇOS'!A:D,2,FALSE),IF(LEFT(C287,3)="ARQ",VLOOKUP(VALUE(RIGHT(C287,3)),'ARQ-COMP'!B:J,4,FALSE),IF(LEFT(C287,3)="SCI",VLOOKUP(VALUE(RIGHT(C287,3)),'GAS-COMP'!#REF!,4,FALSE),IF(LEFT(C287,3)="SCE",VLOOKUP(VALUE(RIGHT(C287,3)),'SCE-COMP'!B:J,4,FALSE),IF(LEFT(C287,3)="EST",VLOOKUP(VALUE(RIGHT(C287,3)),'EST-COMP'!B:J,4,FALSE),IF(LEFT(C287,3)="HID",VLOOKUP(VALUE(RIGHT(C287,3)),'HID-COMP'!B:J,4,FALSE),IF(LEFT(C287,3)="INC",VLOOKUP(VALUE(RIGHT(C287,3)),'INC-COMP'!B:J,4,FALSE),IF(LEFT(C287,3)="ELE",VLOOKUP(VALUE(RIGHT(C287,3)),#REF!,4,FALSE),IF(LEFT(C287,3)="CAB",VLOOKUP(VALUE(RIGHT(C287,3)),#REF!,4,FALSE),IF(LEFT(C287,3)="SEG",VLOOKUP(VALUE(RIGHT(C287,3)),'SEG-COMP'!B:J,4,FALSE),IF(LEFT(C287,3)="CLI",VLOOKUP(VALUE(RIGHT(C287,3)),'CLI-COMP'!B:J,4,FALSE),IF(LEFT(C287,4)="IMPL",VLOOKUP(VALUE(RIGHT(C287,3)),'IMPL-COMP'!B:J,4,FALSE),IF(LEFT(C287,4)="SPDA",VLOOKUP(VALUE(RIGHT(C287,3)),'SPDA-COMP'!B:J,4,FALSE),IF(LEFT(C287,4)="SDAI",VLOOKUP(VALUE(RIGHT(C287,3)),'ADM-COMP'!B:J,4,FALSE),IF(LEFT(C287,5)="IMPER",VLOOKUP(VALUE(RIGHT(C287,3)),'IMPER-COMP'!B:J,4,FALSE),""))))))))))))))))</f>
        <v>CABO CONDUTOR DE COBRE ELETROLÍTICO NU, TEMPERA MEIO DURA, ENCORDOAMENTO CLASSE 2, PARA ATERRAMENTO, DIAM. 50MM2</v>
      </c>
      <c r="E287" s="338" t="str">
        <f>IF(B287="IOPES",VLOOKUP(C287,'LABOR-SERVIÇOS'!A:H,6,FALSE),IF(B287="SINAPI",VLOOKUP(C287,'SINAPI-SERVIÇOS'!A:D,3,FALSE),IF(LEFT(C287,3)="ARQ",VLOOKUP(VALUE(RIGHT(C287,3)),'ARQ-COMP'!B:J,5,FALSE),IF(LEFT(C287,3)="SCI",VLOOKUP(VALUE(RIGHT(C287,3)),'GAS-COMP'!#REF!,5,FALSE),IF(LEFT(C287,3)="SCE",VLOOKUP(VALUE(RIGHT(C287,3)),'SCE-COMP'!B:J,5,FALSE),IF(LEFT(C287,3)="EST",VLOOKUP(VALUE(RIGHT(C287,3)),'EST-COMP'!B:J,5,FALSE),IF(LEFT(C287,3)="HID",VLOOKUP(VALUE(RIGHT(C287,3)),'HID-COMP'!B:J,5,FALSE),IF(LEFT(C287,3)="INC",VLOOKUP(VALUE(RIGHT(C287,3)),'INC-COMP'!B:J,5,FALSE),IF(LEFT(C287,3)="ELE",VLOOKUP(VALUE(RIGHT(C287,3)),#REF!,5,FALSE),IF(LEFT(C287,3)="CAB",VLOOKUP(VALUE(RIGHT(C287,3)),#REF!,5,FALSE),IF(LEFT(C287,3)="SEG",VLOOKUP(VALUE(RIGHT(C287,3)),'SEG-COMP'!B:J,5,FALSE),IF(LEFT(C287,3)="CLI",VLOOKUP(VALUE(RIGHT(C287,3)),'CLI-COMP'!B:J,5,FALSE),IF(LEFT(C287,4)="IMPL",VLOOKUP(VALUE(RIGHT(C287,3)),'IMPL-COMP'!B:J,5,FALSE),IF(LEFT(C287,4)="SPDA",VLOOKUP(VALUE(RIGHT(C287,3)),'SPDA-COMP'!B:J,5,FALSE),IF(LEFT(C287,4)="SDAI",VLOOKUP(VALUE(RIGHT(C287,3)),'ADM-COMP'!B:J,5,FALSE),IF(LEFT(C287,5)="IMPER",VLOOKUP(VALUE(RIGHT(C287,3)),'IMPER-COMP'!B:J,5,FALSE),""))))))))))))))))</f>
        <v>M</v>
      </c>
      <c r="F287" s="599">
        <f>ROUND(VLOOKUP(A287,'MEM-LEVANT'!A274:I2827,9,FALSE),2)</f>
        <v>215.4</v>
      </c>
      <c r="G287" s="339">
        <f>IF(B287="IOPES",VLOOKUP(C287,'LABOR-SERVIÇOS'!A:H,7,FALSE),IF(B287="SINAPI",VLOOKUP(C287,'SINAPI-SERVIÇOS'!A:H,8,FALSE),IF(LEFT(C287,3)="ARQ",VLOOKUP(VALUE(RIGHT(C287,3)),'ARQ-COMP'!B:J,9,FALSE),IF(LEFT(C287,3)="SCI",VLOOKUP(VALUE(RIGHT(C287,3)),'GAS-COMP'!#REF!,9,FALSE),IF(LEFT(C287,3)="SCE",VLOOKUP(VALUE(RIGHT(C287,3)),'SCE-COMP'!B:J,9,FALSE),IF(LEFT(C287,3)="EST",VLOOKUP(VALUE(RIGHT(C287,3)),'EST-COMP'!B:J,9,FALSE),IF(LEFT(C287,3)="HID",VLOOKUP(VALUE(RIGHT(C287,3)),'HID-COMP'!B:J,9,FALSE),IF(LEFT(C287,3)="INC",VLOOKUP(VALUE(RIGHT(C287,3)),'INC-COMP'!B:J,9,FALSE),IF(LEFT(C287,3)="ELE",VLOOKUP(VALUE(RIGHT(C287,3)),#REF!,9,FALSE),IF(LEFT(C287,3)="CAB",VLOOKUP(VALUE(RIGHT(C287,3)),#REF!,9,FALSE),IF(LEFT(C287,3)="SEG",VLOOKUP(VALUE(RIGHT(C287,3)),'SEG-COMP'!B:J,9,FALSE),IF(LEFT(C287,3)="CLI",VLOOKUP(VALUE(RIGHT(C287,3)),'CLI-COMP'!B:J,9,FALSE),IF(LEFT(C287,4)="IMPL",VLOOKUP(VALUE(RIGHT(C287,3)),'IMPL-COMP'!B:J,9,FALSE),IF(LEFT(C287,4)="SPDA",VLOOKUP(VALUE(RIGHT(C287,3)),'SPDA-COMP'!B:J,9,FALSE),IF(LEFT(C287,4)="SDAI",VLOOKUP(VALUE(RIGHT(C287,3)),'ADM-COMP'!B:J,9,FALSE),IF(LEFT(C287,5)="IMPER",VLOOKUP(VALUE(RIGHT(C287,3)),'IMPER-COMP'!B:J,9,FALSE),""))))))))))))))))</f>
        <v>86.64</v>
      </c>
      <c r="H287" s="339">
        <f t="shared" ref="H287:H291" si="104">ROUND(F287*G287,2)</f>
        <v>18662.259999999998</v>
      </c>
      <c r="I287" s="374">
        <f t="shared" si="103"/>
        <v>1.0911746805087723E-3</v>
      </c>
      <c r="J287" s="314"/>
    </row>
    <row r="288" spans="1:10" ht="52.8">
      <c r="A288" s="613" t="s">
        <v>35386</v>
      </c>
      <c r="B288" s="337" t="s">
        <v>2879</v>
      </c>
      <c r="C288" s="540">
        <f>160309</f>
        <v>160309</v>
      </c>
      <c r="D288" s="539" t="str">
        <f>IF(B288="IOPES",VLOOKUP(C288,'LABOR-SERVIÇOS'!A:H,5,FALSE),IF(B288="SINAPI",VLOOKUP(C288,'SINAPI-SERVIÇOS'!A:D,2,FALSE),IF(LEFT(C288,3)="ARQ",VLOOKUP(VALUE(RIGHT(C288,3)),'ARQ-COMP'!B:J,4,FALSE),IF(LEFT(C288,3)="SCI",VLOOKUP(VALUE(RIGHT(C288,3)),'GAS-COMP'!#REF!,4,FALSE),IF(LEFT(C288,3)="SCE",VLOOKUP(VALUE(RIGHT(C288,3)),'SCE-COMP'!B:J,4,FALSE),IF(LEFT(C288,3)="EST",VLOOKUP(VALUE(RIGHT(C288,3)),'EST-COMP'!B:J,4,FALSE),IF(LEFT(C288,3)="HID",VLOOKUP(VALUE(RIGHT(C288,3)),'HID-COMP'!B:J,4,FALSE),IF(LEFT(C288,3)="INC",VLOOKUP(VALUE(RIGHT(C288,3)),'INC-COMP'!B:J,4,FALSE),IF(LEFT(C288,3)="ELE",VLOOKUP(VALUE(RIGHT(C288,3)),#REF!,4,FALSE),IF(LEFT(C288,3)="CAB",VLOOKUP(VALUE(RIGHT(C288,3)),#REF!,4,FALSE),IF(LEFT(C288,3)="SEG",VLOOKUP(VALUE(RIGHT(C288,3)),'SEG-COMP'!B:J,4,FALSE),IF(LEFT(C288,3)="CLI",VLOOKUP(VALUE(RIGHT(C288,3)),'CLI-COMP'!B:J,4,FALSE),IF(LEFT(C288,4)="IMPL",VLOOKUP(VALUE(RIGHT(C288,3)),'IMPL-COMP'!B:J,4,FALSE),IF(LEFT(C288,4)="SPDA",VLOOKUP(VALUE(RIGHT(C288,3)),'SPDA-COMP'!B:J,4,FALSE),IF(LEFT(C288,4)="SDAI",VLOOKUP(VALUE(RIGHT(C288,3)),'ADM-COMP'!B:J,4,FALSE),IF(LEFT(C288,5)="IMPER",VLOOKUP(VALUE(RIGHT(C288,3)),'IMPER-COMP'!B:J,4,FALSE),""))))))))))))))))</f>
        <v>TERMINAL AÉREO EM LATÃO (MINICAPTOR), COM CONECTOR E FIXAÇÃO HORIZONTAL 250MM X 10MM, REF. TEL-2024, INCLUSIVE VEDAÇÃO DOS FUROS COM POLIURETANO REF. TEL 5905, MARCA DE REF. TERMOTÉCNICA OU EQUIVALENTE</v>
      </c>
      <c r="E288" s="338" t="str">
        <f>IF(B288="IOPES",VLOOKUP(C288,'LABOR-SERVIÇOS'!A:H,6,FALSE),IF(B288="SINAPI",VLOOKUP(C288,'SINAPI-SERVIÇOS'!A:D,3,FALSE),IF(LEFT(C288,3)="ARQ",VLOOKUP(VALUE(RIGHT(C288,3)),'ARQ-COMP'!B:J,5,FALSE),IF(LEFT(C288,3)="SCI",VLOOKUP(VALUE(RIGHT(C288,3)),'GAS-COMP'!#REF!,5,FALSE),IF(LEFT(C288,3)="SCE",VLOOKUP(VALUE(RIGHT(C288,3)),'SCE-COMP'!B:J,5,FALSE),IF(LEFT(C288,3)="EST",VLOOKUP(VALUE(RIGHT(C288,3)),'EST-COMP'!B:J,5,FALSE),IF(LEFT(C288,3)="HID",VLOOKUP(VALUE(RIGHT(C288,3)),'HID-COMP'!B:J,5,FALSE),IF(LEFT(C288,3)="INC",VLOOKUP(VALUE(RIGHT(C288,3)),'INC-COMP'!B:J,5,FALSE),IF(LEFT(C288,3)="ELE",VLOOKUP(VALUE(RIGHT(C288,3)),#REF!,5,FALSE),IF(LEFT(C288,3)="CAB",VLOOKUP(VALUE(RIGHT(C288,3)),#REF!,5,FALSE),IF(LEFT(C288,3)="SEG",VLOOKUP(VALUE(RIGHT(C288,3)),'SEG-COMP'!B:J,5,FALSE),IF(LEFT(C288,3)="CLI",VLOOKUP(VALUE(RIGHT(C288,3)),'CLI-COMP'!B:J,5,FALSE),IF(LEFT(C288,4)="IMPL",VLOOKUP(VALUE(RIGHT(C288,3)),'IMPL-COMP'!B:J,5,FALSE),IF(LEFT(C288,4)="SPDA",VLOOKUP(VALUE(RIGHT(C288,3)),'SPDA-COMP'!B:J,5,FALSE),IF(LEFT(C288,4)="SDAI",VLOOKUP(VALUE(RIGHT(C288,3)),'ADM-COMP'!B:J,5,FALSE),IF(LEFT(C288,5)="IMPER",VLOOKUP(VALUE(RIGHT(C288,3)),'IMPER-COMP'!B:J,5,FALSE),""))))))))))))))))</f>
        <v>UND</v>
      </c>
      <c r="F288" s="599">
        <f>ROUND(VLOOKUP(A288,'MEM-LEVANT'!A275:I2828,9,FALSE),2)</f>
        <v>60</v>
      </c>
      <c r="G288" s="339">
        <f>IF(B288="IOPES",VLOOKUP(C288,'LABOR-SERVIÇOS'!A:H,7,FALSE),IF(B288="SINAPI",VLOOKUP(C288,'SINAPI-SERVIÇOS'!A:H,8,FALSE),IF(LEFT(C288,3)="ARQ",VLOOKUP(VALUE(RIGHT(C288,3)),'ARQ-COMP'!B:J,9,FALSE),IF(LEFT(C288,3)="SCI",VLOOKUP(VALUE(RIGHT(C288,3)),'GAS-COMP'!#REF!,9,FALSE),IF(LEFT(C288,3)="SCE",VLOOKUP(VALUE(RIGHT(C288,3)),'SCE-COMP'!B:J,9,FALSE),IF(LEFT(C288,3)="EST",VLOOKUP(VALUE(RIGHT(C288,3)),'EST-COMP'!B:J,9,FALSE),IF(LEFT(C288,3)="HID",VLOOKUP(VALUE(RIGHT(C288,3)),'HID-COMP'!B:J,9,FALSE),IF(LEFT(C288,3)="INC",VLOOKUP(VALUE(RIGHT(C288,3)),'INC-COMP'!B:J,9,FALSE),IF(LEFT(C288,3)="ELE",VLOOKUP(VALUE(RIGHT(C288,3)),#REF!,9,FALSE),IF(LEFT(C288,3)="CAB",VLOOKUP(VALUE(RIGHT(C288,3)),#REF!,9,FALSE),IF(LEFT(C288,3)="SEG",VLOOKUP(VALUE(RIGHT(C288,3)),'SEG-COMP'!B:J,9,FALSE),IF(LEFT(C288,3)="CLI",VLOOKUP(VALUE(RIGHT(C288,3)),'CLI-COMP'!B:J,9,FALSE),IF(LEFT(C288,4)="IMPL",VLOOKUP(VALUE(RIGHT(C288,3)),'IMPL-COMP'!B:J,9,FALSE),IF(LEFT(C288,4)="SPDA",VLOOKUP(VALUE(RIGHT(C288,3)),'SPDA-COMP'!B:J,9,FALSE),IF(LEFT(C288,4)="SDAI",VLOOKUP(VALUE(RIGHT(C288,3)),'ADM-COMP'!B:J,9,FALSE),IF(LEFT(C288,5)="IMPER",VLOOKUP(VALUE(RIGHT(C288,3)),'IMPER-COMP'!B:J,9,FALSE),""))))))))))))))))</f>
        <v>149.99</v>
      </c>
      <c r="H288" s="339">
        <f t="shared" si="104"/>
        <v>8999.4</v>
      </c>
      <c r="I288" s="374">
        <f t="shared" si="103"/>
        <v>5.2619122334436694E-4</v>
      </c>
      <c r="J288" s="314"/>
    </row>
    <row r="289" spans="1:10" ht="39.6">
      <c r="A289" s="613" t="s">
        <v>35387</v>
      </c>
      <c r="B289" s="337" t="s">
        <v>2879</v>
      </c>
      <c r="C289" s="540">
        <f>160310</f>
        <v>160310</v>
      </c>
      <c r="D289" s="539" t="str">
        <f>IF(B289="IOPES",VLOOKUP(C289,'LABOR-SERVIÇOS'!A:H,5,FALSE),IF(B289="SINAPI",VLOOKUP(C289,'SINAPI-SERVIÇOS'!A:D,2,FALSE),IF(LEFT(C289,3)="ARQ",VLOOKUP(VALUE(RIGHT(C289,3)),'ARQ-COMP'!B:J,4,FALSE),IF(LEFT(C289,3)="SCI",VLOOKUP(VALUE(RIGHT(C289,3)),'GAS-COMP'!#REF!,4,FALSE),IF(LEFT(C289,3)="SCE",VLOOKUP(VALUE(RIGHT(C289,3)),'SCE-COMP'!B:J,4,FALSE),IF(LEFT(C289,3)="EST",VLOOKUP(VALUE(RIGHT(C289,3)),'EST-COMP'!B:J,4,FALSE),IF(LEFT(C289,3)="HID",VLOOKUP(VALUE(RIGHT(C289,3)),'HID-COMP'!B:J,4,FALSE),IF(LEFT(C289,3)="INC",VLOOKUP(VALUE(RIGHT(C289,3)),'INC-COMP'!B:J,4,FALSE),IF(LEFT(C289,3)="ELE",VLOOKUP(VALUE(RIGHT(C289,3)),#REF!,4,FALSE),IF(LEFT(C289,3)="CAB",VLOOKUP(VALUE(RIGHT(C289,3)),#REF!,4,FALSE),IF(LEFT(C289,3)="SEG",VLOOKUP(VALUE(RIGHT(C289,3)),'SEG-COMP'!B:J,4,FALSE),IF(LEFT(C289,3)="CLI",VLOOKUP(VALUE(RIGHT(C289,3)),'CLI-COMP'!B:J,4,FALSE),IF(LEFT(C289,4)="IMPL",VLOOKUP(VALUE(RIGHT(C289,3)),'IMPL-COMP'!B:J,4,FALSE),IF(LEFT(C289,4)="SPDA",VLOOKUP(VALUE(RIGHT(C289,3)),'SPDA-COMP'!B:J,4,FALSE),IF(LEFT(C289,4)="SDAI",VLOOKUP(VALUE(RIGHT(C289,3)),'ADM-COMP'!B:J,4,FALSE),IF(LEFT(C289,5)="IMPER",VLOOKUP(VALUE(RIGHT(C289,3)),'IMPER-COMP'!B:J,4,FALSE),""))))))))))))))))</f>
        <v>CONECTOR DE MEDIÇÃO EM LATÃO COM 2 PARAFUSOS PARA CABOS DE 16 A 50 MM2, REF. TEL-562, TERMOTÉCNICA OU EQUIVALENTE</v>
      </c>
      <c r="E289" s="338" t="str">
        <f>IF(B289="IOPES",VLOOKUP(C289,'LABOR-SERVIÇOS'!A:H,6,FALSE),IF(B289="SINAPI",VLOOKUP(C289,'SINAPI-SERVIÇOS'!A:D,3,FALSE),IF(LEFT(C289,3)="ARQ",VLOOKUP(VALUE(RIGHT(C289,3)),'ARQ-COMP'!B:J,5,FALSE),IF(LEFT(C289,3)="SCI",VLOOKUP(VALUE(RIGHT(C289,3)),'GAS-COMP'!#REF!,5,FALSE),IF(LEFT(C289,3)="SCE",VLOOKUP(VALUE(RIGHT(C289,3)),'SCE-COMP'!B:J,5,FALSE),IF(LEFT(C289,3)="EST",VLOOKUP(VALUE(RIGHT(C289,3)),'EST-COMP'!B:J,5,FALSE),IF(LEFT(C289,3)="HID",VLOOKUP(VALUE(RIGHT(C289,3)),'HID-COMP'!B:J,5,FALSE),IF(LEFT(C289,3)="INC",VLOOKUP(VALUE(RIGHT(C289,3)),'INC-COMP'!B:J,5,FALSE),IF(LEFT(C289,3)="ELE",VLOOKUP(VALUE(RIGHT(C289,3)),#REF!,5,FALSE),IF(LEFT(C289,3)="CAB",VLOOKUP(VALUE(RIGHT(C289,3)),#REF!,5,FALSE),IF(LEFT(C289,3)="SEG",VLOOKUP(VALUE(RIGHT(C289,3)),'SEG-COMP'!B:J,5,FALSE),IF(LEFT(C289,3)="CLI",VLOOKUP(VALUE(RIGHT(C289,3)),'CLI-COMP'!B:J,5,FALSE),IF(LEFT(C289,4)="IMPL",VLOOKUP(VALUE(RIGHT(C289,3)),'IMPL-COMP'!B:J,5,FALSE),IF(LEFT(C289,4)="SPDA",VLOOKUP(VALUE(RIGHT(C289,3)),'SPDA-COMP'!B:J,5,FALSE),IF(LEFT(C289,4)="SDAI",VLOOKUP(VALUE(RIGHT(C289,3)),'ADM-COMP'!B:J,5,FALSE),IF(LEFT(C289,5)="IMPER",VLOOKUP(VALUE(RIGHT(C289,3)),'IMPER-COMP'!B:J,5,FALSE),""))))))))))))))))</f>
        <v>UND</v>
      </c>
      <c r="F289" s="599">
        <f>ROUND(VLOOKUP(A289,'MEM-LEVANT'!A276:I2829,9,FALSE),2)</f>
        <v>200</v>
      </c>
      <c r="G289" s="339">
        <f>IF(B289="IOPES",VLOOKUP(C289,'LABOR-SERVIÇOS'!A:H,7,FALSE),IF(B289="SINAPI",VLOOKUP(C289,'SINAPI-SERVIÇOS'!A:H,8,FALSE),IF(LEFT(C289,3)="ARQ",VLOOKUP(VALUE(RIGHT(C289,3)),'ARQ-COMP'!B:J,9,FALSE),IF(LEFT(C289,3)="SCI",VLOOKUP(VALUE(RIGHT(C289,3)),'GAS-COMP'!#REF!,9,FALSE),IF(LEFT(C289,3)="SCE",VLOOKUP(VALUE(RIGHT(C289,3)),'SCE-COMP'!B:J,9,FALSE),IF(LEFT(C289,3)="EST",VLOOKUP(VALUE(RIGHT(C289,3)),'EST-COMP'!B:J,9,FALSE),IF(LEFT(C289,3)="HID",VLOOKUP(VALUE(RIGHT(C289,3)),'HID-COMP'!B:J,9,FALSE),IF(LEFT(C289,3)="INC",VLOOKUP(VALUE(RIGHT(C289,3)),'INC-COMP'!B:J,9,FALSE),IF(LEFT(C289,3)="ELE",VLOOKUP(VALUE(RIGHT(C289,3)),#REF!,9,FALSE),IF(LEFT(C289,3)="CAB",VLOOKUP(VALUE(RIGHT(C289,3)),#REF!,9,FALSE),IF(LEFT(C289,3)="SEG",VLOOKUP(VALUE(RIGHT(C289,3)),'SEG-COMP'!B:J,9,FALSE),IF(LEFT(C289,3)="CLI",VLOOKUP(VALUE(RIGHT(C289,3)),'CLI-COMP'!B:J,9,FALSE),IF(LEFT(C289,4)="IMPL",VLOOKUP(VALUE(RIGHT(C289,3)),'IMPL-COMP'!B:J,9,FALSE),IF(LEFT(C289,4)="SPDA",VLOOKUP(VALUE(RIGHT(C289,3)),'SPDA-COMP'!B:J,9,FALSE),IF(LEFT(C289,4)="SDAI",VLOOKUP(VALUE(RIGHT(C289,3)),'ADM-COMP'!B:J,9,FALSE),IF(LEFT(C289,5)="IMPER",VLOOKUP(VALUE(RIGHT(C289,3)),'IMPER-COMP'!B:J,9,FALSE),""))))))))))))))))</f>
        <v>91.06</v>
      </c>
      <c r="H289" s="339">
        <f t="shared" si="104"/>
        <v>18212</v>
      </c>
      <c r="I289" s="374">
        <f t="shared" si="103"/>
        <v>1.0648481631606119E-3</v>
      </c>
      <c r="J289" s="314"/>
    </row>
    <row r="290" spans="1:10" ht="66">
      <c r="A290" s="613" t="s">
        <v>35388</v>
      </c>
      <c r="B290" s="337" t="s">
        <v>2879</v>
      </c>
      <c r="C290" s="540">
        <f>160314</f>
        <v>160314</v>
      </c>
      <c r="D290" s="539" t="str">
        <f>IF(B290="IOPES",VLOOKUP(C290,'LABOR-SERVIÇOS'!A:H,5,FALSE),IF(B290="SINAPI",VLOOKUP(C290,'SINAPI-SERVIÇOS'!A:D,2,FALSE),IF(LEFT(C290,3)="ARQ",VLOOKUP(VALUE(RIGHT(C290,3)),'ARQ-COMP'!B:J,4,FALSE),IF(LEFT(C290,3)="SCI",VLOOKUP(VALUE(RIGHT(C290,3)),'GAS-COMP'!#REF!,4,FALSE),IF(LEFT(C290,3)="SCE",VLOOKUP(VALUE(RIGHT(C290,3)),'SCE-COMP'!B:J,4,FALSE),IF(LEFT(C290,3)="EST",VLOOKUP(VALUE(RIGHT(C290,3)),'EST-COMP'!B:J,4,FALSE),IF(LEFT(C290,3)="HID",VLOOKUP(VALUE(RIGHT(C290,3)),'HID-COMP'!B:J,4,FALSE),IF(LEFT(C290,3)="INC",VLOOKUP(VALUE(RIGHT(C290,3)),'INC-COMP'!B:J,4,FALSE),IF(LEFT(C290,3)="ELE",VLOOKUP(VALUE(RIGHT(C290,3)),#REF!,4,FALSE),IF(LEFT(C290,3)="CAB",VLOOKUP(VALUE(RIGHT(C290,3)),#REF!,4,FALSE),IF(LEFT(C290,3)="SEG",VLOOKUP(VALUE(RIGHT(C290,3)),'SEG-COMP'!B:J,4,FALSE),IF(LEFT(C290,3)="CLI",VLOOKUP(VALUE(RIGHT(C290,3)),'CLI-COMP'!B:J,4,FALSE),IF(LEFT(C290,4)="IMPL",VLOOKUP(VALUE(RIGHT(C290,3)),'IMPL-COMP'!B:J,4,FALSE),IF(LEFT(C290,4)="SPDA",VLOOKUP(VALUE(RIGHT(C290,3)),'SPDA-COMP'!B:J,4,FALSE),IF(LEFT(C290,4)="SDAI",VLOOKUP(VALUE(RIGHT(C290,3)),'ADM-COMP'!B:J,4,FALSE),IF(LEFT(C290,5)="IMPER",VLOOKUP(VALUE(RIGHT(C290,3)),'IMPER-COMP'!B:J,4,FALSE),""))))))))))))))))</f>
        <v>MASTRO SIMPLES 3MX1.1/2", UMA DESCIDA, INCL. BASE DE FIXAÇÃO, CAPTOR, CONJ.DE CONTRAVENTAGEM C/ABRAÇADEIRA P/3 ESTAIS EM TUBO E DEMAIS ACESSÓRIOS, EXCL. CABO DE COBRE DE DESCIDA E SUPORTES ISOLADORES, REF.TERMOTÉCNICA OU EQUIV.</v>
      </c>
      <c r="E290" s="338" t="str">
        <f>IF(B290="IOPES",VLOOKUP(C290,'LABOR-SERVIÇOS'!A:H,6,FALSE),IF(B290="SINAPI",VLOOKUP(C290,'SINAPI-SERVIÇOS'!A:D,3,FALSE),IF(LEFT(C290,3)="ARQ",VLOOKUP(VALUE(RIGHT(C290,3)),'ARQ-COMP'!B:J,5,FALSE),IF(LEFT(C290,3)="SCI",VLOOKUP(VALUE(RIGHT(C290,3)),'GAS-COMP'!#REF!,5,FALSE),IF(LEFT(C290,3)="SCE",VLOOKUP(VALUE(RIGHT(C290,3)),'SCE-COMP'!B:J,5,FALSE),IF(LEFT(C290,3)="EST",VLOOKUP(VALUE(RIGHT(C290,3)),'EST-COMP'!B:J,5,FALSE),IF(LEFT(C290,3)="HID",VLOOKUP(VALUE(RIGHT(C290,3)),'HID-COMP'!B:J,5,FALSE),IF(LEFT(C290,3)="INC",VLOOKUP(VALUE(RIGHT(C290,3)),'INC-COMP'!B:J,5,FALSE),IF(LEFT(C290,3)="ELE",VLOOKUP(VALUE(RIGHT(C290,3)),#REF!,5,FALSE),IF(LEFT(C290,3)="CAB",VLOOKUP(VALUE(RIGHT(C290,3)),#REF!,5,FALSE),IF(LEFT(C290,3)="SEG",VLOOKUP(VALUE(RIGHT(C290,3)),'SEG-COMP'!B:J,5,FALSE),IF(LEFT(C290,3)="CLI",VLOOKUP(VALUE(RIGHT(C290,3)),'CLI-COMP'!B:J,5,FALSE),IF(LEFT(C290,4)="IMPL",VLOOKUP(VALUE(RIGHT(C290,3)),'IMPL-COMP'!B:J,5,FALSE),IF(LEFT(C290,4)="SPDA",VLOOKUP(VALUE(RIGHT(C290,3)),'SPDA-COMP'!B:J,5,FALSE),IF(LEFT(C290,4)="SDAI",VLOOKUP(VALUE(RIGHT(C290,3)),'ADM-COMP'!B:J,5,FALSE),IF(LEFT(C290,5)="IMPER",VLOOKUP(VALUE(RIGHT(C290,3)),'IMPER-COMP'!B:J,5,FALSE),""))))))))))))))))</f>
        <v>UND</v>
      </c>
      <c r="F290" s="599">
        <f>ROUND(VLOOKUP(A290,'MEM-LEVANT'!A278:I2831,9,FALSE),2)</f>
        <v>2</v>
      </c>
      <c r="G290" s="339">
        <f>IF(B290="IOPES",VLOOKUP(C290,'LABOR-SERVIÇOS'!A:H,7,FALSE),IF(B290="SINAPI",VLOOKUP(C290,'SINAPI-SERVIÇOS'!A:H,8,FALSE),IF(LEFT(C290,3)="ARQ",VLOOKUP(VALUE(RIGHT(C290,3)),'ARQ-COMP'!B:J,9,FALSE),IF(LEFT(C290,3)="SCI",VLOOKUP(VALUE(RIGHT(C290,3)),'GAS-COMP'!#REF!,9,FALSE),IF(LEFT(C290,3)="SCE",VLOOKUP(VALUE(RIGHT(C290,3)),'SCE-COMP'!B:J,9,FALSE),IF(LEFT(C290,3)="EST",VLOOKUP(VALUE(RIGHT(C290,3)),'EST-COMP'!B:J,9,FALSE),IF(LEFT(C290,3)="HID",VLOOKUP(VALUE(RIGHT(C290,3)),'HID-COMP'!B:J,9,FALSE),IF(LEFT(C290,3)="INC",VLOOKUP(VALUE(RIGHT(C290,3)),'INC-COMP'!B:J,9,FALSE),IF(LEFT(C290,3)="ELE",VLOOKUP(VALUE(RIGHT(C290,3)),#REF!,9,FALSE),IF(LEFT(C290,3)="CAB",VLOOKUP(VALUE(RIGHT(C290,3)),#REF!,9,FALSE),IF(LEFT(C290,3)="SEG",VLOOKUP(VALUE(RIGHT(C290,3)),'SEG-COMP'!B:J,9,FALSE),IF(LEFT(C290,3)="CLI",VLOOKUP(VALUE(RIGHT(C290,3)),'CLI-COMP'!B:J,9,FALSE),IF(LEFT(C290,4)="IMPL",VLOOKUP(VALUE(RIGHT(C290,3)),'IMPL-COMP'!B:J,9,FALSE),IF(LEFT(C290,4)="SPDA",VLOOKUP(VALUE(RIGHT(C290,3)),'SPDA-COMP'!B:J,9,FALSE),IF(LEFT(C290,4)="SDAI",VLOOKUP(VALUE(RIGHT(C290,3)),'ADM-COMP'!B:J,9,FALSE),IF(LEFT(C290,5)="IMPER",VLOOKUP(VALUE(RIGHT(C290,3)),'IMPER-COMP'!B:J,9,FALSE),""))))))))))))))))</f>
        <v>1211.8800000000001</v>
      </c>
      <c r="H290" s="339">
        <f t="shared" si="104"/>
        <v>2423.7600000000002</v>
      </c>
      <c r="I290" s="374">
        <f t="shared" si="103"/>
        <v>1.4171625213826956E-4</v>
      </c>
      <c r="J290" s="314"/>
    </row>
    <row r="291" spans="1:10" ht="66">
      <c r="A291" s="613" t="s">
        <v>35389</v>
      </c>
      <c r="B291" s="337" t="s">
        <v>2879</v>
      </c>
      <c r="C291" s="540">
        <f>160325</f>
        <v>160325</v>
      </c>
      <c r="D291" s="539" t="str">
        <f>IF(B291="IOPES",VLOOKUP(C291,'LABOR-SERVIÇOS'!A:H,5,FALSE),IF(B291="SINAPI",VLOOKUP(C291,'SINAPI-SERVIÇOS'!A:D,2,FALSE),IF(LEFT(C291,3)="ARQ",VLOOKUP(VALUE(RIGHT(C291,3)),'ARQ-COMP'!B:J,4,FALSE),IF(LEFT(C291,3)="SCI",VLOOKUP(VALUE(RIGHT(C291,3)),'GAS-COMP'!#REF!,4,FALSE),IF(LEFT(C291,3)="SCE",VLOOKUP(VALUE(RIGHT(C291,3)),'SCE-COMP'!B:J,4,FALSE),IF(LEFT(C291,3)="EST",VLOOKUP(VALUE(RIGHT(C291,3)),'EST-COMP'!B:J,4,FALSE),IF(LEFT(C291,3)="HID",VLOOKUP(VALUE(RIGHT(C291,3)),'HID-COMP'!B:J,4,FALSE),IF(LEFT(C291,3)="INC",VLOOKUP(VALUE(RIGHT(C291,3)),'INC-COMP'!B:J,4,FALSE),IF(LEFT(C291,3)="ELE",VLOOKUP(VALUE(RIGHT(C291,3)),#REF!,4,FALSE),IF(LEFT(C291,3)="CAB",VLOOKUP(VALUE(RIGHT(C291,3)),#REF!,4,FALSE),IF(LEFT(C291,3)="SEG",VLOOKUP(VALUE(RIGHT(C291,3)),'SEG-COMP'!B:J,4,FALSE),IF(LEFT(C291,3)="CLI",VLOOKUP(VALUE(RIGHT(C291,3)),'CLI-COMP'!B:J,4,FALSE),IF(LEFT(C291,4)="IMPL",VLOOKUP(VALUE(RIGHT(C291,3)),'IMPL-COMP'!B:J,4,FALSE),IF(LEFT(C291,4)="SPDA",VLOOKUP(VALUE(RIGHT(C291,3)),'SPDA-COMP'!B:J,4,FALSE),IF(LEFT(C291,4)="SDAI",VLOOKUP(VALUE(RIGHT(C291,3)),'ADM-COMP'!B:J,4,FALSE),IF(LEFT(C291,5)="IMPER",VLOOKUP(VALUE(RIGHT(C291,3)),'IMPER-COMP'!B:J,4,FALSE),""))))))))))))))))</f>
        <v>CAIXA DE EQUALIZAÇÃO DE POTENCIAIS PARA USO INTERNO E EXTERNO COM NOVE (9) TERMINAIS PARA ATERRAMENTO (BEP), EM AÇO, COM FLANGE INFERIOR E VEDAÇÃO NA PORTA, REF. TEL-903, MARCA DE REFERÊNCIA TERMOTÉCNICA OU EQUIVALENTE</v>
      </c>
      <c r="E291" s="338" t="str">
        <f>IF(B291="IOPES",VLOOKUP(C291,'LABOR-SERVIÇOS'!A:H,6,FALSE),IF(B291="SINAPI",VLOOKUP(C291,'SINAPI-SERVIÇOS'!A:D,3,FALSE),IF(LEFT(C291,3)="ARQ",VLOOKUP(VALUE(RIGHT(C291,3)),'ARQ-COMP'!B:J,5,FALSE),IF(LEFT(C291,3)="SCI",VLOOKUP(VALUE(RIGHT(C291,3)),'GAS-COMP'!#REF!,5,FALSE),IF(LEFT(C291,3)="SCE",VLOOKUP(VALUE(RIGHT(C291,3)),'SCE-COMP'!B:J,5,FALSE),IF(LEFT(C291,3)="EST",VLOOKUP(VALUE(RIGHT(C291,3)),'EST-COMP'!B:J,5,FALSE),IF(LEFT(C291,3)="HID",VLOOKUP(VALUE(RIGHT(C291,3)),'HID-COMP'!B:J,5,FALSE),IF(LEFT(C291,3)="INC",VLOOKUP(VALUE(RIGHT(C291,3)),'INC-COMP'!B:J,5,FALSE),IF(LEFT(C291,3)="ELE",VLOOKUP(VALUE(RIGHT(C291,3)),#REF!,5,FALSE),IF(LEFT(C291,3)="CAB",VLOOKUP(VALUE(RIGHT(C291,3)),#REF!,5,FALSE),IF(LEFT(C291,3)="SEG",VLOOKUP(VALUE(RIGHT(C291,3)),'SEG-COMP'!B:J,5,FALSE),IF(LEFT(C291,3)="CLI",VLOOKUP(VALUE(RIGHT(C291,3)),'CLI-COMP'!B:J,5,FALSE),IF(LEFT(C291,4)="IMPL",VLOOKUP(VALUE(RIGHT(C291,3)),'IMPL-COMP'!B:J,5,FALSE),IF(LEFT(C291,4)="SPDA",VLOOKUP(VALUE(RIGHT(C291,3)),'SPDA-COMP'!B:J,5,FALSE),IF(LEFT(C291,4)="SDAI",VLOOKUP(VALUE(RIGHT(C291,3)),'ADM-COMP'!B:J,5,FALSE),IF(LEFT(C291,5)="IMPER",VLOOKUP(VALUE(RIGHT(C291,3)),'IMPER-COMP'!B:J,5,FALSE),""))))))))))))))))</f>
        <v>UND</v>
      </c>
      <c r="F291" s="599">
        <f>ROUND(VLOOKUP(A291,'MEM-LEVANT'!A279:I2832,9,FALSE),2)</f>
        <v>2</v>
      </c>
      <c r="G291" s="339">
        <f>IF(B291="IOPES",VLOOKUP(C291,'LABOR-SERVIÇOS'!A:H,7,FALSE),IF(B291="SINAPI",VLOOKUP(C291,'SINAPI-SERVIÇOS'!A:H,8,FALSE),IF(LEFT(C291,3)="ARQ",VLOOKUP(VALUE(RIGHT(C291,3)),'ARQ-COMP'!B:J,9,FALSE),IF(LEFT(C291,3)="SCI",VLOOKUP(VALUE(RIGHT(C291,3)),'GAS-COMP'!#REF!,9,FALSE),IF(LEFT(C291,3)="SCE",VLOOKUP(VALUE(RIGHT(C291,3)),'SCE-COMP'!B:J,9,FALSE),IF(LEFT(C291,3)="EST",VLOOKUP(VALUE(RIGHT(C291,3)),'EST-COMP'!B:J,9,FALSE),IF(LEFT(C291,3)="HID",VLOOKUP(VALUE(RIGHT(C291,3)),'HID-COMP'!B:J,9,FALSE),IF(LEFT(C291,3)="INC",VLOOKUP(VALUE(RIGHT(C291,3)),'INC-COMP'!B:J,9,FALSE),IF(LEFT(C291,3)="ELE",VLOOKUP(VALUE(RIGHT(C291,3)),#REF!,9,FALSE),IF(LEFT(C291,3)="CAB",VLOOKUP(VALUE(RIGHT(C291,3)),#REF!,9,FALSE),IF(LEFT(C291,3)="SEG",VLOOKUP(VALUE(RIGHT(C291,3)),'SEG-COMP'!B:J,9,FALSE),IF(LEFT(C291,3)="CLI",VLOOKUP(VALUE(RIGHT(C291,3)),'CLI-COMP'!B:J,9,FALSE),IF(LEFT(C291,4)="IMPL",VLOOKUP(VALUE(RIGHT(C291,3)),'IMPL-COMP'!B:J,9,FALSE),IF(LEFT(C291,4)="SPDA",VLOOKUP(VALUE(RIGHT(C291,3)),'SPDA-COMP'!B:J,9,FALSE),IF(LEFT(C291,4)="SDAI",VLOOKUP(VALUE(RIGHT(C291,3)),'ADM-COMP'!B:J,9,FALSE),IF(LEFT(C291,5)="IMPER",VLOOKUP(VALUE(RIGHT(C291,3)),'IMPER-COMP'!B:J,9,FALSE),""))))))))))))))))</f>
        <v>839.13</v>
      </c>
      <c r="H291" s="339">
        <f t="shared" si="104"/>
        <v>1678.26</v>
      </c>
      <c r="I291" s="374">
        <f t="shared" si="103"/>
        <v>9.8127173199315205E-5</v>
      </c>
      <c r="J291" s="314"/>
    </row>
    <row r="292" spans="1:10" ht="39.6">
      <c r="A292" s="613" t="s">
        <v>35390</v>
      </c>
      <c r="B292" s="337" t="s">
        <v>2879</v>
      </c>
      <c r="C292" s="540">
        <f>160326</f>
        <v>160326</v>
      </c>
      <c r="D292" s="539" t="str">
        <f>IF(B292="IOPES",VLOOKUP(C292,'LABOR-SERVIÇOS'!A:H,5,FALSE),IF(B292="SINAPI",VLOOKUP(C292,'SINAPI-SERVIÇOS'!A:D,2,FALSE),IF(LEFT(C292,3)="ARQ",VLOOKUP(VALUE(RIGHT(C292,3)),'ARQ-COMP'!B:J,4,FALSE),IF(LEFT(C292,3)="SCI",VLOOKUP(VALUE(RIGHT(C292,3)),'GAS-COMP'!#REF!,4,FALSE),IF(LEFT(C292,3)="SCE",VLOOKUP(VALUE(RIGHT(C292,3)),'SCE-COMP'!B:J,4,FALSE),IF(LEFT(C292,3)="EST",VLOOKUP(VALUE(RIGHT(C292,3)),'EST-COMP'!B:J,4,FALSE),IF(LEFT(C292,3)="HID",VLOOKUP(VALUE(RIGHT(C292,3)),'HID-COMP'!B:J,4,FALSE),IF(LEFT(C292,3)="INC",VLOOKUP(VALUE(RIGHT(C292,3)),'INC-COMP'!B:J,4,FALSE),IF(LEFT(C292,3)="ELE",VLOOKUP(VALUE(RIGHT(C292,3)),#REF!,4,FALSE),IF(LEFT(C292,3)="CAB",VLOOKUP(VALUE(RIGHT(C292,3)),#REF!,4,FALSE),IF(LEFT(C292,3)="SEG",VLOOKUP(VALUE(RIGHT(C292,3)),'SEG-COMP'!B:J,4,FALSE),IF(LEFT(C292,3)="CLI",VLOOKUP(VALUE(RIGHT(C292,3)),'CLI-COMP'!B:J,4,FALSE),IF(LEFT(C292,4)="IMPL",VLOOKUP(VALUE(RIGHT(C292,3)),'IMPL-COMP'!B:J,4,FALSE),IF(LEFT(C292,4)="SPDA",VLOOKUP(VALUE(RIGHT(C292,3)),'SPDA-COMP'!B:J,4,FALSE),IF(LEFT(C292,4)="SDAI",VLOOKUP(VALUE(RIGHT(C292,3)),'ADM-COMP'!B:J,4,FALSE),IF(LEFT(C292,5)="IMPER",VLOOKUP(VALUE(RIGHT(C292,3)),'IMPER-COMP'!B:J,4,FALSE),""))))))))))))))))</f>
        <v>BARRA CHATA EM ALUMÍNIO 7/8"X1/8" (70MM²), COM FUROS DIÂMETRO 7 MM REF. TEL-771, MARCA DE REFERÊNCIA TERMOTÉCNICA OU EQUIVALENTE</v>
      </c>
      <c r="E292" s="338" t="str">
        <f>IF(B292="IOPES",VLOOKUP(C292,'LABOR-SERVIÇOS'!A:H,6,FALSE),IF(B292="SINAPI",VLOOKUP(C292,'SINAPI-SERVIÇOS'!A:D,3,FALSE),IF(LEFT(C292,3)="ARQ",VLOOKUP(VALUE(RIGHT(C292,3)),'ARQ-COMP'!B:J,5,FALSE),IF(LEFT(C292,3)="SCI",VLOOKUP(VALUE(RIGHT(C292,3)),'GAS-COMP'!#REF!,5,FALSE),IF(LEFT(C292,3)="SCE",VLOOKUP(VALUE(RIGHT(C292,3)),'SCE-COMP'!B:J,5,FALSE),IF(LEFT(C292,3)="EST",VLOOKUP(VALUE(RIGHT(C292,3)),'EST-COMP'!B:J,5,FALSE),IF(LEFT(C292,3)="HID",VLOOKUP(VALUE(RIGHT(C292,3)),'HID-COMP'!B:J,5,FALSE),IF(LEFT(C292,3)="INC",VLOOKUP(VALUE(RIGHT(C292,3)),'INC-COMP'!B:J,5,FALSE),IF(LEFT(C292,3)="ELE",VLOOKUP(VALUE(RIGHT(C292,3)),#REF!,5,FALSE),IF(LEFT(C292,3)="CAB",VLOOKUP(VALUE(RIGHT(C292,3)),#REF!,5,FALSE),IF(LEFT(C292,3)="SEG",VLOOKUP(VALUE(RIGHT(C292,3)),'SEG-COMP'!B:J,5,FALSE),IF(LEFT(C292,3)="CLI",VLOOKUP(VALUE(RIGHT(C292,3)),'CLI-COMP'!B:J,5,FALSE),IF(LEFT(C292,4)="IMPL",VLOOKUP(VALUE(RIGHT(C292,3)),'IMPL-COMP'!B:J,5,FALSE),IF(LEFT(C292,4)="SPDA",VLOOKUP(VALUE(RIGHT(C292,3)),'SPDA-COMP'!B:J,5,FALSE),IF(LEFT(C292,4)="SDAI",VLOOKUP(VALUE(RIGHT(C292,3)),'ADM-COMP'!B:J,5,FALSE),IF(LEFT(C292,5)="IMPER",VLOOKUP(VALUE(RIGHT(C292,3)),'IMPER-COMP'!B:J,5,FALSE),""))))))))))))))))</f>
        <v>M</v>
      </c>
      <c r="F292" s="599">
        <f>ROUND(VLOOKUP(A292,'MEM-LEVANT'!A274:I2827,9,FALSE),2)</f>
        <v>215.4</v>
      </c>
      <c r="G292" s="339">
        <f>IF(B292="IOPES",VLOOKUP(C292,'LABOR-SERVIÇOS'!A:H,7,FALSE),IF(B292="SINAPI",VLOOKUP(C292,'SINAPI-SERVIÇOS'!A:H,8,FALSE),IF(LEFT(C292,3)="ARQ",VLOOKUP(VALUE(RIGHT(C292,3)),'ARQ-COMP'!B:J,9,FALSE),IF(LEFT(C292,3)="SCI",VLOOKUP(VALUE(RIGHT(C292,3)),'GAS-COMP'!#REF!,9,FALSE),IF(LEFT(C292,3)="SCE",VLOOKUP(VALUE(RIGHT(C292,3)),'SCE-COMP'!B:J,9,FALSE),IF(LEFT(C292,3)="EST",VLOOKUP(VALUE(RIGHT(C292,3)),'EST-COMP'!B:J,9,FALSE),IF(LEFT(C292,3)="HID",VLOOKUP(VALUE(RIGHT(C292,3)),'HID-COMP'!B:J,9,FALSE),IF(LEFT(C292,3)="INC",VLOOKUP(VALUE(RIGHT(C292,3)),'INC-COMP'!B:J,9,FALSE),IF(LEFT(C292,3)="ELE",VLOOKUP(VALUE(RIGHT(C292,3)),#REF!,9,FALSE),IF(LEFT(C292,3)="CAB",VLOOKUP(VALUE(RIGHT(C292,3)),#REF!,9,FALSE),IF(LEFT(C292,3)="SEG",VLOOKUP(VALUE(RIGHT(C292,3)),'SEG-COMP'!B:J,9,FALSE),IF(LEFT(C292,3)="CLI",VLOOKUP(VALUE(RIGHT(C292,3)),'CLI-COMP'!B:J,9,FALSE),IF(LEFT(C292,4)="IMPL",VLOOKUP(VALUE(RIGHT(C292,3)),'IMPL-COMP'!B:J,9,FALSE),IF(LEFT(C292,4)="SPDA",VLOOKUP(VALUE(RIGHT(C292,3)),'SPDA-COMP'!B:J,9,FALSE),IF(LEFT(C292,4)="SDAI",VLOOKUP(VALUE(RIGHT(C292,3)),'ADM-COMP'!B:J,9,FALSE),IF(LEFT(C292,5)="IMPER",VLOOKUP(VALUE(RIGHT(C292,3)),'IMPER-COMP'!B:J,9,FALSE),""))))))))))))))))</f>
        <v>51.17</v>
      </c>
      <c r="H292" s="339">
        <f t="shared" si="102"/>
        <v>11022.02</v>
      </c>
      <c r="I292" s="374">
        <f t="shared" si="103"/>
        <v>6.4445298436852235E-4</v>
      </c>
      <c r="J292" s="314"/>
    </row>
    <row r="293" spans="1:10">
      <c r="A293" s="553" t="s">
        <v>15755</v>
      </c>
      <c r="B293" s="554"/>
      <c r="C293" s="555"/>
      <c r="D293" s="556" t="s">
        <v>1540</v>
      </c>
      <c r="E293" s="557"/>
      <c r="F293" s="598"/>
      <c r="G293" s="558"/>
      <c r="H293" s="559"/>
      <c r="I293" s="560"/>
      <c r="J293" s="314"/>
    </row>
    <row r="294" spans="1:10" ht="105.6">
      <c r="A294" s="613" t="s">
        <v>23680</v>
      </c>
      <c r="B294" s="337" t="s">
        <v>2879</v>
      </c>
      <c r="C294" s="540">
        <f>160602</f>
        <v>160602</v>
      </c>
      <c r="D294" s="539" t="str">
        <f>IF(B294="IOPES",VLOOKUP(C294,'LABOR-SERVIÇOS'!A:H,5,FALSE),IF(B294="SINAPI",VLOOKUP(C294,'SINAPI-SERVIÇOS'!A:D,2,FALSE),IF(LEFT(C294,3)="ARQ",VLOOKUP(VALUE(RIGHT(C294,3)),'ARQ-COMP'!B:J,4,FALSE),IF(LEFT(C294,3)="SCI",VLOOKUP(VALUE(RIGHT(C294,3)),'GAS-COMP'!#REF!,4,FALSE),IF(LEFT(C294,3)="SCE",VLOOKUP(VALUE(RIGHT(C294,3)),'SCE-COMP'!B:J,4,FALSE),IF(LEFT(C294,3)="EST",VLOOKUP(VALUE(RIGHT(C294,3)),'EST-COMP'!B:J,4,FALSE),IF(LEFT(C294,3)="HID",VLOOKUP(VALUE(RIGHT(C294,3)),'HID-COMP'!B:J,4,FALSE),IF(LEFT(C294,3)="INC",VLOOKUP(VALUE(RIGHT(C294,3)),'INC-COMP'!B:J,4,FALSE),IF(LEFT(C294,3)="ELE",VLOOKUP(VALUE(RIGHT(C294,3)),#REF!,4,FALSE),IF(LEFT(C294,3)="CAB",VLOOKUP(VALUE(RIGHT(C294,3)),#REF!,4,FALSE),IF(LEFT(C294,3)="SEG",VLOOKUP(VALUE(RIGHT(C294,3)),'SEG-COMP'!B:J,4,FALSE),IF(LEFT(C294,3)="CLI",VLOOKUP(VALUE(RIGHT(C294,3)),'CLI-COMP'!B:J,4,FALSE),IF(LEFT(C294,4)="IMPL",VLOOKUP(VALUE(RIGHT(C294,3)),'IMPL-COMP'!B:J,4,FALSE),IF(LEFT(C294,4)="SPDA",VLOOKUP(VALUE(RIGHT(C294,3)),'SPDA-COMP'!B:J,4,FALSE),IF(LEFT(C294,4)="SDAI",VLOOKUP(VALUE(RIGHT(C294,3)),'ADM-COMP'!B:J,4,FALSE),IF(LEFT(C294,5)="IMPER",VLOOKUP(VALUE(RIGHT(C294,3)),'IMPER-COMP'!B:J,4,FALSE),""))))))))))))))))</f>
        <v>ABRIGO DE PAREDE PARA HIDRANTE 60X90X17CM SOBREPOR, EM CHAPA DE AÇO COM PINTURA ELETROSTÁTICA VERMELHA, VISOR TRANSPARENTE E INSCRIÇÃO "HIDRANTE", REGISTRO GLOBO ANGULAR 45º 2.1/2? (63MM), ADAPTADOR EM LATÃO STORZ ENGATE RÁPIDO 2.1/2?, MANGUEIRA DE INCÊNDIO 20M ? 2.1/2? ? TIPO 2, COM ACOPLAMENTO EM LATÃO E ESGUICHO REGULÁVEL EM LATÃO 2.1/2? EM LATÃO, FORNECIMENTO E INSTALAÇÃO</v>
      </c>
      <c r="E294" s="338" t="str">
        <f>IF(B294="IOPES",VLOOKUP(C294,'LABOR-SERVIÇOS'!A:H,6,FALSE),IF(B294="SINAPI",VLOOKUP(C294,'SINAPI-SERVIÇOS'!A:D,3,FALSE),IF(LEFT(C294,3)="ARQ",VLOOKUP(VALUE(RIGHT(C294,3)),'ARQ-COMP'!B:J,5,FALSE),IF(LEFT(C294,3)="SCI",VLOOKUP(VALUE(RIGHT(C294,3)),'GAS-COMP'!#REF!,5,FALSE),IF(LEFT(C294,3)="SCE",VLOOKUP(VALUE(RIGHT(C294,3)),'SCE-COMP'!B:J,5,FALSE),IF(LEFT(C294,3)="EST",VLOOKUP(VALUE(RIGHT(C294,3)),'EST-COMP'!B:J,5,FALSE),IF(LEFT(C294,3)="HID",VLOOKUP(VALUE(RIGHT(C294,3)),'HID-COMP'!B:J,5,FALSE),IF(LEFT(C294,3)="INC",VLOOKUP(VALUE(RIGHT(C294,3)),'INC-COMP'!B:J,5,FALSE),IF(LEFT(C294,3)="ELE",VLOOKUP(VALUE(RIGHT(C294,3)),#REF!,5,FALSE),IF(LEFT(C294,3)="CAB",VLOOKUP(VALUE(RIGHT(C294,3)),#REF!,5,FALSE),IF(LEFT(C294,3)="SEG",VLOOKUP(VALUE(RIGHT(C294,3)),'SEG-COMP'!B:J,5,FALSE),IF(LEFT(C294,3)="CLI",VLOOKUP(VALUE(RIGHT(C294,3)),'CLI-COMP'!B:J,5,FALSE),IF(LEFT(C294,4)="IMPL",VLOOKUP(VALUE(RIGHT(C294,3)),'IMPL-COMP'!B:J,5,FALSE),IF(LEFT(C294,4)="SPDA",VLOOKUP(VALUE(RIGHT(C294,3)),'SPDA-COMP'!B:J,5,FALSE),IF(LEFT(C294,4)="SDAI",VLOOKUP(VALUE(RIGHT(C294,3)),'ADM-COMP'!B:J,5,FALSE),IF(LEFT(C294,5)="IMPER",VLOOKUP(VALUE(RIGHT(C294,3)),'IMPER-COMP'!B:J,5,FALSE),""))))))))))))))))</f>
        <v>UND</v>
      </c>
      <c r="F294" s="599">
        <f>ROUND(VLOOKUP(A294,'MEM-LEVANT'!A282:I2835,9,FALSE),2)</f>
        <v>6</v>
      </c>
      <c r="G294" s="339">
        <f>IF(B294="IOPES",VLOOKUP(C294,'LABOR-SERVIÇOS'!A:H,7,FALSE),IF(B294="SINAPI",VLOOKUP(C294,'SINAPI-SERVIÇOS'!A:H,8,FALSE),IF(LEFT(C294,3)="ARQ",VLOOKUP(VALUE(RIGHT(C294,3)),'ARQ-COMP'!B:J,9,FALSE),IF(LEFT(C294,3)="SCI",VLOOKUP(VALUE(RIGHT(C294,3)),'GAS-COMP'!#REF!,9,FALSE),IF(LEFT(C294,3)="SCE",VLOOKUP(VALUE(RIGHT(C294,3)),'SCE-COMP'!B:J,9,FALSE),IF(LEFT(C294,3)="EST",VLOOKUP(VALUE(RIGHT(C294,3)),'EST-COMP'!B:J,9,FALSE),IF(LEFT(C294,3)="HID",VLOOKUP(VALUE(RIGHT(C294,3)),'HID-COMP'!B:J,9,FALSE),IF(LEFT(C294,3)="INC",VLOOKUP(VALUE(RIGHT(C294,3)),'INC-COMP'!B:J,9,FALSE),IF(LEFT(C294,3)="ELE",VLOOKUP(VALUE(RIGHT(C294,3)),#REF!,9,FALSE),IF(LEFT(C294,3)="CAB",VLOOKUP(VALUE(RIGHT(C294,3)),#REF!,9,FALSE),IF(LEFT(C294,3)="SEG",VLOOKUP(VALUE(RIGHT(C294,3)),'SEG-COMP'!B:J,9,FALSE),IF(LEFT(C294,3)="CLI",VLOOKUP(VALUE(RIGHT(C294,3)),'CLI-COMP'!B:J,9,FALSE),IF(LEFT(C294,4)="IMPL",VLOOKUP(VALUE(RIGHT(C294,3)),'IMPL-COMP'!B:J,9,FALSE),IF(LEFT(C294,4)="SPDA",VLOOKUP(VALUE(RIGHT(C294,3)),'SPDA-COMP'!B:J,9,FALSE),IF(LEFT(C294,4)="SDAI",VLOOKUP(VALUE(RIGHT(C294,3)),'ADM-COMP'!B:J,9,FALSE),IF(LEFT(C294,5)="IMPER",VLOOKUP(VALUE(RIGHT(C294,3)),'IMPER-COMP'!B:J,9,FALSE),""))))))))))))))))</f>
        <v>2380.75</v>
      </c>
      <c r="H294" s="339">
        <f t="shared" ref="H294:H323" si="105">ROUND(F294*G294,2)</f>
        <v>14284.5</v>
      </c>
      <c r="I294" s="374">
        <f t="shared" ref="I294:I323" si="106">H294/$H$441</f>
        <v>8.3520885057477277E-4</v>
      </c>
      <c r="J294" s="314"/>
    </row>
    <row r="295" spans="1:10" ht="71.400000000000006" customHeight="1">
      <c r="A295" s="613" t="s">
        <v>23681</v>
      </c>
      <c r="B295" s="337" t="s">
        <v>2879</v>
      </c>
      <c r="C295" s="540">
        <f>160604</f>
        <v>160604</v>
      </c>
      <c r="D295" s="539" t="str">
        <f>IF(B295="IOPES",VLOOKUP(C295,'LABOR-SERVIÇOS'!A:H,5,FALSE),IF(B295="SINAPI",VLOOKUP(C295,'SINAPI-SERVIÇOS'!A:D,2,FALSE),IF(LEFT(C295,3)="ARQ",VLOOKUP(VALUE(RIGHT(C295,3)),'ARQ-COMP'!B:J,4,FALSE),IF(LEFT(C295,3)="SCI",VLOOKUP(VALUE(RIGHT(C295,3)),'GAS-COMP'!#REF!,4,FALSE),IF(LEFT(C295,3)="SCE",VLOOKUP(VALUE(RIGHT(C295,3)),'SCE-COMP'!B:J,4,FALSE),IF(LEFT(C295,3)="EST",VLOOKUP(VALUE(RIGHT(C295,3)),'EST-COMP'!B:J,4,FALSE),IF(LEFT(C295,3)="HID",VLOOKUP(VALUE(RIGHT(C295,3)),'HID-COMP'!B:J,4,FALSE),IF(LEFT(C295,3)="INC",VLOOKUP(VALUE(RIGHT(C295,3)),'INC-COMP'!B:J,4,FALSE),IF(LEFT(C295,3)="ELE",VLOOKUP(VALUE(RIGHT(C295,3)),#REF!,4,FALSE),IF(LEFT(C295,3)="CAB",VLOOKUP(VALUE(RIGHT(C295,3)),#REF!,4,FALSE),IF(LEFT(C295,3)="SEG",VLOOKUP(VALUE(RIGHT(C295,3)),'SEG-COMP'!B:J,4,FALSE),IF(LEFT(C295,3)="CLI",VLOOKUP(VALUE(RIGHT(C295,3)),'CLI-COMP'!B:J,4,FALSE),IF(LEFT(C295,4)="IMPL",VLOOKUP(VALUE(RIGHT(C295,3)),'IMPL-COMP'!B:J,4,FALSE),IF(LEFT(C295,4)="SPDA",VLOOKUP(VALUE(RIGHT(C295,3)),'SPDA-COMP'!B:J,4,FALSE),IF(LEFT(C295,4)="SDAI",VLOOKUP(VALUE(RIGHT(C295,3)),'ADM-COMP'!B:J,4,FALSE),IF(LEFT(C295,5)="IMPER",VLOOKUP(VALUE(RIGHT(C295,3)),'IMPER-COMP'!B:J,4,FALSE),""))))))))))))))))</f>
        <v>EXTINTOR DE INCÊNDIO DE ÁGUA PRESSURIZADA CAPACIDADE 2A (10L), INCLUSIVE SUPORTE DE PAREDE UNIVERSAL, PARAFUSO E BUCHA S8, EXCLUSIVE PLACA SINALIZADORA EM PVC FOTOLUMINESCENTE E PINTURA DE SINALIZAÇÃO</v>
      </c>
      <c r="E295" s="338" t="str">
        <f>IF(B295="IOPES",VLOOKUP(C295,'LABOR-SERVIÇOS'!A:H,6,FALSE),IF(B295="SINAPI",VLOOKUP(C295,'SINAPI-SERVIÇOS'!A:D,3,FALSE),IF(LEFT(C295,3)="ARQ",VLOOKUP(VALUE(RIGHT(C295,3)),'ARQ-COMP'!B:J,5,FALSE),IF(LEFT(C295,3)="SCI",VLOOKUP(VALUE(RIGHT(C295,3)),'GAS-COMP'!#REF!,5,FALSE),IF(LEFT(C295,3)="SCE",VLOOKUP(VALUE(RIGHT(C295,3)),'SCE-COMP'!B:J,5,FALSE),IF(LEFT(C295,3)="EST",VLOOKUP(VALUE(RIGHT(C295,3)),'EST-COMP'!B:J,5,FALSE),IF(LEFT(C295,3)="HID",VLOOKUP(VALUE(RIGHT(C295,3)),'HID-COMP'!B:J,5,FALSE),IF(LEFT(C295,3)="INC",VLOOKUP(VALUE(RIGHT(C295,3)),'INC-COMP'!B:J,5,FALSE),IF(LEFT(C295,3)="ELE",VLOOKUP(VALUE(RIGHT(C295,3)),#REF!,5,FALSE),IF(LEFT(C295,3)="CAB",VLOOKUP(VALUE(RIGHT(C295,3)),#REF!,5,FALSE),IF(LEFT(C295,3)="SEG",VLOOKUP(VALUE(RIGHT(C295,3)),'SEG-COMP'!B:J,5,FALSE),IF(LEFT(C295,3)="CLI",VLOOKUP(VALUE(RIGHT(C295,3)),'CLI-COMP'!B:J,5,FALSE),IF(LEFT(C295,4)="IMPL",VLOOKUP(VALUE(RIGHT(C295,3)),'IMPL-COMP'!B:J,5,FALSE),IF(LEFT(C295,4)="SPDA",VLOOKUP(VALUE(RIGHT(C295,3)),'SPDA-COMP'!B:J,5,FALSE),IF(LEFT(C295,4)="SDAI",VLOOKUP(VALUE(RIGHT(C295,3)),'ADM-COMP'!B:J,5,FALSE),IF(LEFT(C295,5)="IMPER",VLOOKUP(VALUE(RIGHT(C295,3)),'IMPER-COMP'!B:J,5,FALSE),""))))))))))))))))</f>
        <v>UND</v>
      </c>
      <c r="F295" s="599">
        <f>ROUND(VLOOKUP(A295,'MEM-LEVANT'!A283:I2836,9,FALSE),2)</f>
        <v>18</v>
      </c>
      <c r="G295" s="339">
        <f>IF(B295="IOPES",VLOOKUP(C295,'LABOR-SERVIÇOS'!A:H,7,FALSE),IF(B295="SINAPI",VLOOKUP(C295,'SINAPI-SERVIÇOS'!A:H,8,FALSE),IF(LEFT(C295,3)="ARQ",VLOOKUP(VALUE(RIGHT(C295,3)),'ARQ-COMP'!B:J,9,FALSE),IF(LEFT(C295,3)="SCI",VLOOKUP(VALUE(RIGHT(C295,3)),'GAS-COMP'!#REF!,9,FALSE),IF(LEFT(C295,3)="SCE",VLOOKUP(VALUE(RIGHT(C295,3)),'SCE-COMP'!B:J,9,FALSE),IF(LEFT(C295,3)="EST",VLOOKUP(VALUE(RIGHT(C295,3)),'EST-COMP'!B:J,9,FALSE),IF(LEFT(C295,3)="HID",VLOOKUP(VALUE(RIGHT(C295,3)),'HID-COMP'!B:J,9,FALSE),IF(LEFT(C295,3)="INC",VLOOKUP(VALUE(RIGHT(C295,3)),'INC-COMP'!B:J,9,FALSE),IF(LEFT(C295,3)="ELE",VLOOKUP(VALUE(RIGHT(C295,3)),#REF!,9,FALSE),IF(LEFT(C295,3)="CAB",VLOOKUP(VALUE(RIGHT(C295,3)),#REF!,9,FALSE),IF(LEFT(C295,3)="SEG",VLOOKUP(VALUE(RIGHT(C295,3)),'SEG-COMP'!B:J,9,FALSE),IF(LEFT(C295,3)="CLI",VLOOKUP(VALUE(RIGHT(C295,3)),'CLI-COMP'!B:J,9,FALSE),IF(LEFT(C295,4)="IMPL",VLOOKUP(VALUE(RIGHT(C295,3)),'IMPL-COMP'!B:J,9,FALSE),IF(LEFT(C295,4)="SPDA",VLOOKUP(VALUE(RIGHT(C295,3)),'SPDA-COMP'!B:J,9,FALSE),IF(LEFT(C295,4)="SDAI",VLOOKUP(VALUE(RIGHT(C295,3)),'ADM-COMP'!B:J,9,FALSE),IF(LEFT(C295,5)="IMPER",VLOOKUP(VALUE(RIGHT(C295,3)),'IMPER-COMP'!B:J,9,FALSE),""))))))))))))))))</f>
        <v>343.25</v>
      </c>
      <c r="H295" s="339">
        <f t="shared" si="105"/>
        <v>6178.5</v>
      </c>
      <c r="I295" s="374">
        <f t="shared" si="106"/>
        <v>3.612543584498046E-4</v>
      </c>
      <c r="J295" s="314"/>
    </row>
    <row r="296" spans="1:10" ht="66">
      <c r="A296" s="613" t="s">
        <v>23688</v>
      </c>
      <c r="B296" s="337" t="s">
        <v>2879</v>
      </c>
      <c r="C296" s="540">
        <f>160605</f>
        <v>160605</v>
      </c>
      <c r="D296" s="539" t="str">
        <f>IF(B296="IOPES",VLOOKUP(C296,'LABOR-SERVIÇOS'!A:H,5,FALSE),IF(B296="SINAPI",VLOOKUP(C296,'SINAPI-SERVIÇOS'!A:D,2,FALSE),IF(LEFT(C296,3)="ARQ",VLOOKUP(VALUE(RIGHT(C296,3)),'ARQ-COMP'!B:J,4,FALSE),IF(LEFT(C296,3)="SCI",VLOOKUP(VALUE(RIGHT(C296,3)),'GAS-COMP'!#REF!,4,FALSE),IF(LEFT(C296,3)="SCE",VLOOKUP(VALUE(RIGHT(C296,3)),'SCE-COMP'!B:J,4,FALSE),IF(LEFT(C296,3)="EST",VLOOKUP(VALUE(RIGHT(C296,3)),'EST-COMP'!B:J,4,FALSE),IF(LEFT(C296,3)="HID",VLOOKUP(VALUE(RIGHT(C296,3)),'HID-COMP'!B:J,4,FALSE),IF(LEFT(C296,3)="INC",VLOOKUP(VALUE(RIGHT(C296,3)),'INC-COMP'!B:J,4,FALSE),IF(LEFT(C296,3)="ELE",VLOOKUP(VALUE(RIGHT(C296,3)),#REF!,4,FALSE),IF(LEFT(C296,3)="CAB",VLOOKUP(VALUE(RIGHT(C296,3)),#REF!,4,FALSE),IF(LEFT(C296,3)="SEG",VLOOKUP(VALUE(RIGHT(C296,3)),'SEG-COMP'!B:J,4,FALSE),IF(LEFT(C296,3)="CLI",VLOOKUP(VALUE(RIGHT(C296,3)),'CLI-COMP'!B:J,4,FALSE),IF(LEFT(C296,4)="IMPL",VLOOKUP(VALUE(RIGHT(C296,3)),'IMPL-COMP'!B:J,4,FALSE),IF(LEFT(C296,4)="SPDA",VLOOKUP(VALUE(RIGHT(C296,3)),'SPDA-COMP'!B:J,4,FALSE),IF(LEFT(C296,4)="SDAI",VLOOKUP(VALUE(RIGHT(C296,3)),'ADM-COMP'!B:J,4,FALSE),IF(LEFT(C296,5)="IMPER",VLOOKUP(VALUE(RIGHT(C296,3)),'IMPER-COMP'!B:J,4,FALSE),""))))))))))))))))</f>
        <v>EXTINTOR DE INCÊNDIO PORTÁTIL DE PÓ QUÍMICO ABC COM CAPACIDADE 2A-20B:C (6 KG), INCLUSIVE SUPORTE DE PAREDE UNIVERSAL, PARAFUSO E BUCHA S8, EXCLUSIVE PLACA SINALIZADORA EM PVC FOTOLUMINESCENTE E PINTURA DE SINALIZAÇÃO</v>
      </c>
      <c r="E296" s="338" t="str">
        <f>IF(B296="IOPES",VLOOKUP(C296,'LABOR-SERVIÇOS'!A:H,6,FALSE),IF(B296="SINAPI",VLOOKUP(C296,'SINAPI-SERVIÇOS'!A:D,3,FALSE),IF(LEFT(C296,3)="ARQ",VLOOKUP(VALUE(RIGHT(C296,3)),'ARQ-COMP'!B:J,5,FALSE),IF(LEFT(C296,3)="SCI",VLOOKUP(VALUE(RIGHT(C296,3)),'GAS-COMP'!#REF!,5,FALSE),IF(LEFT(C296,3)="SCE",VLOOKUP(VALUE(RIGHT(C296,3)),'SCE-COMP'!B:J,5,FALSE),IF(LEFT(C296,3)="EST",VLOOKUP(VALUE(RIGHT(C296,3)),'EST-COMP'!B:J,5,FALSE),IF(LEFT(C296,3)="HID",VLOOKUP(VALUE(RIGHT(C296,3)),'HID-COMP'!B:J,5,FALSE),IF(LEFT(C296,3)="INC",VLOOKUP(VALUE(RIGHT(C296,3)),'INC-COMP'!B:J,5,FALSE),IF(LEFT(C296,3)="ELE",VLOOKUP(VALUE(RIGHT(C296,3)),#REF!,5,FALSE),IF(LEFT(C296,3)="CAB",VLOOKUP(VALUE(RIGHT(C296,3)),#REF!,5,FALSE),IF(LEFT(C296,3)="SEG",VLOOKUP(VALUE(RIGHT(C296,3)),'SEG-COMP'!B:J,5,FALSE),IF(LEFT(C296,3)="CLI",VLOOKUP(VALUE(RIGHT(C296,3)),'CLI-COMP'!B:J,5,FALSE),IF(LEFT(C296,4)="IMPL",VLOOKUP(VALUE(RIGHT(C296,3)),'IMPL-COMP'!B:J,5,FALSE),IF(LEFT(C296,4)="SPDA",VLOOKUP(VALUE(RIGHT(C296,3)),'SPDA-COMP'!B:J,5,FALSE),IF(LEFT(C296,4)="SDAI",VLOOKUP(VALUE(RIGHT(C296,3)),'ADM-COMP'!B:J,5,FALSE),IF(LEFT(C296,5)="IMPER",VLOOKUP(VALUE(RIGHT(C296,3)),'IMPER-COMP'!B:J,5,FALSE),""))))))))))))))))</f>
        <v>UND</v>
      </c>
      <c r="F296" s="599">
        <f>ROUND(VLOOKUP(A296,'MEM-LEVANT'!A284:I2837,9,FALSE),2)</f>
        <v>8</v>
      </c>
      <c r="G296" s="339">
        <f>IF(B296="IOPES",VLOOKUP(C296,'LABOR-SERVIÇOS'!A:H,7,FALSE),IF(B296="SINAPI",VLOOKUP(C296,'SINAPI-SERVIÇOS'!A:H,8,FALSE),IF(LEFT(C296,3)="ARQ",VLOOKUP(VALUE(RIGHT(C296,3)),'ARQ-COMP'!B:J,9,FALSE),IF(LEFT(C296,3)="SCI",VLOOKUP(VALUE(RIGHT(C296,3)),'GAS-COMP'!#REF!,9,FALSE),IF(LEFT(C296,3)="SCE",VLOOKUP(VALUE(RIGHT(C296,3)),'SCE-COMP'!B:J,9,FALSE),IF(LEFT(C296,3)="EST",VLOOKUP(VALUE(RIGHT(C296,3)),'EST-COMP'!B:J,9,FALSE),IF(LEFT(C296,3)="HID",VLOOKUP(VALUE(RIGHT(C296,3)),'HID-COMP'!B:J,9,FALSE),IF(LEFT(C296,3)="INC",VLOOKUP(VALUE(RIGHT(C296,3)),'INC-COMP'!B:J,9,FALSE),IF(LEFT(C296,3)="ELE",VLOOKUP(VALUE(RIGHT(C296,3)),#REF!,9,FALSE),IF(LEFT(C296,3)="CAB",VLOOKUP(VALUE(RIGHT(C296,3)),#REF!,9,FALSE),IF(LEFT(C296,3)="SEG",VLOOKUP(VALUE(RIGHT(C296,3)),'SEG-COMP'!B:J,9,FALSE),IF(LEFT(C296,3)="CLI",VLOOKUP(VALUE(RIGHT(C296,3)),'CLI-COMP'!B:J,9,FALSE),IF(LEFT(C296,4)="IMPL",VLOOKUP(VALUE(RIGHT(C296,3)),'IMPL-COMP'!B:J,9,FALSE),IF(LEFT(C296,4)="SPDA",VLOOKUP(VALUE(RIGHT(C296,3)),'SPDA-COMP'!B:J,9,FALSE),IF(LEFT(C296,4)="SDAI",VLOOKUP(VALUE(RIGHT(C296,3)),'ADM-COMP'!B:J,9,FALSE),IF(LEFT(C296,5)="IMPER",VLOOKUP(VALUE(RIGHT(C296,3)),'IMPER-COMP'!B:J,9,FALSE),""))))))))))))))))</f>
        <v>381.41</v>
      </c>
      <c r="H296" s="339">
        <f t="shared" si="105"/>
        <v>3051.28</v>
      </c>
      <c r="I296" s="374">
        <f t="shared" si="106"/>
        <v>1.7840708891328312E-4</v>
      </c>
      <c r="J296" s="314"/>
    </row>
    <row r="297" spans="1:10" ht="66">
      <c r="A297" s="613" t="s">
        <v>35391</v>
      </c>
      <c r="B297" s="337" t="s">
        <v>2879</v>
      </c>
      <c r="C297" s="540">
        <f>160608</f>
        <v>160608</v>
      </c>
      <c r="D297" s="539" t="str">
        <f>IF(B297="IOPES",VLOOKUP(C297,'LABOR-SERVIÇOS'!A:H,5,FALSE),IF(B297="SINAPI",VLOOKUP(C297,'SINAPI-SERVIÇOS'!A:D,2,FALSE),IF(LEFT(C297,3)="ARQ",VLOOKUP(VALUE(RIGHT(C297,3)),'ARQ-COMP'!B:J,4,FALSE),IF(LEFT(C297,3)="SCI",VLOOKUP(VALUE(RIGHT(C297,3)),'GAS-COMP'!#REF!,4,FALSE),IF(LEFT(C297,3)="SCE",VLOOKUP(VALUE(RIGHT(C297,3)),'SCE-COMP'!B:J,4,FALSE),IF(LEFT(C297,3)="EST",VLOOKUP(VALUE(RIGHT(C297,3)),'EST-COMP'!B:J,4,FALSE),IF(LEFT(C297,3)="HID",VLOOKUP(VALUE(RIGHT(C297,3)),'HID-COMP'!B:J,4,FALSE),IF(LEFT(C297,3)="INC",VLOOKUP(VALUE(RIGHT(C297,3)),'INC-COMP'!B:J,4,FALSE),IF(LEFT(C297,3)="ELE",VLOOKUP(VALUE(RIGHT(C297,3)),#REF!,4,FALSE),IF(LEFT(C297,3)="CAB",VLOOKUP(VALUE(RIGHT(C297,3)),#REF!,4,FALSE),IF(LEFT(C297,3)="SEG",VLOOKUP(VALUE(RIGHT(C297,3)),'SEG-COMP'!B:J,4,FALSE),IF(LEFT(C297,3)="CLI",VLOOKUP(VALUE(RIGHT(C297,3)),'CLI-COMP'!B:J,4,FALSE),IF(LEFT(C297,4)="IMPL",VLOOKUP(VALUE(RIGHT(C297,3)),'IMPL-COMP'!B:J,4,FALSE),IF(LEFT(C297,4)="SPDA",VLOOKUP(VALUE(RIGHT(C297,3)),'SPDA-COMP'!B:J,4,FALSE),IF(LEFT(C297,4)="SDAI",VLOOKUP(VALUE(RIGHT(C297,3)),'ADM-COMP'!B:J,4,FALSE),IF(LEFT(C297,5)="IMPER",VLOOKUP(VALUE(RIGHT(C297,3)),'IMPER-COMP'!B:J,4,FALSE),""))))))))))))))))</f>
        <v>PONTO PARA SETA INDICATIVA DE SAÍDA, INCL. SETA EM ACRÍLICO, COM FONTE ALIMENTADORA PRÓPRIA QUE ASSEGURE UM FUNCIONAMENTO MÍNIMO DE 1H, PARA QUANDO OCORRER FALTA DE ENERGIA ELÉTRICA NA REDE PÚBLICA, CONFORME PROJETO</v>
      </c>
      <c r="E297" s="338" t="str">
        <f>IF(B297="IOPES",VLOOKUP(C297,'LABOR-SERVIÇOS'!A:H,6,FALSE),IF(B297="SINAPI",VLOOKUP(C297,'SINAPI-SERVIÇOS'!A:D,3,FALSE),IF(LEFT(C297,3)="ARQ",VLOOKUP(VALUE(RIGHT(C297,3)),'ARQ-COMP'!B:J,5,FALSE),IF(LEFT(C297,3)="SCI",VLOOKUP(VALUE(RIGHT(C297,3)),'GAS-COMP'!#REF!,5,FALSE),IF(LEFT(C297,3)="SCE",VLOOKUP(VALUE(RIGHT(C297,3)),'SCE-COMP'!B:J,5,FALSE),IF(LEFT(C297,3)="EST",VLOOKUP(VALUE(RIGHT(C297,3)),'EST-COMP'!B:J,5,FALSE),IF(LEFT(C297,3)="HID",VLOOKUP(VALUE(RIGHT(C297,3)),'HID-COMP'!B:J,5,FALSE),IF(LEFT(C297,3)="INC",VLOOKUP(VALUE(RIGHT(C297,3)),'INC-COMP'!B:J,5,FALSE),IF(LEFT(C297,3)="ELE",VLOOKUP(VALUE(RIGHT(C297,3)),#REF!,5,FALSE),IF(LEFT(C297,3)="CAB",VLOOKUP(VALUE(RIGHT(C297,3)),#REF!,5,FALSE),IF(LEFT(C297,3)="SEG",VLOOKUP(VALUE(RIGHT(C297,3)),'SEG-COMP'!B:J,5,FALSE),IF(LEFT(C297,3)="CLI",VLOOKUP(VALUE(RIGHT(C297,3)),'CLI-COMP'!B:J,5,FALSE),IF(LEFT(C297,4)="IMPL",VLOOKUP(VALUE(RIGHT(C297,3)),'IMPL-COMP'!B:J,5,FALSE),IF(LEFT(C297,4)="SPDA",VLOOKUP(VALUE(RIGHT(C297,3)),'SPDA-COMP'!B:J,5,FALSE),IF(LEFT(C297,4)="SDAI",VLOOKUP(VALUE(RIGHT(C297,3)),'ADM-COMP'!B:J,5,FALSE),IF(LEFT(C297,5)="IMPER",VLOOKUP(VALUE(RIGHT(C297,3)),'IMPER-COMP'!B:J,5,FALSE),""))))))))))))))))</f>
        <v>UND</v>
      </c>
      <c r="F297" s="599">
        <f>ROUND(VLOOKUP(A297,'MEM-LEVANT'!A285:I2838,9,FALSE),2)</f>
        <v>15</v>
      </c>
      <c r="G297" s="339">
        <f>IF(B297="IOPES",VLOOKUP(C297,'LABOR-SERVIÇOS'!A:H,7,FALSE),IF(B297="SINAPI",VLOOKUP(C297,'SINAPI-SERVIÇOS'!A:H,8,FALSE),IF(LEFT(C297,3)="ARQ",VLOOKUP(VALUE(RIGHT(C297,3)),'ARQ-COMP'!B:J,9,FALSE),IF(LEFT(C297,3)="SCI",VLOOKUP(VALUE(RIGHT(C297,3)),'GAS-COMP'!#REF!,9,FALSE),IF(LEFT(C297,3)="SCE",VLOOKUP(VALUE(RIGHT(C297,3)),'SCE-COMP'!B:J,9,FALSE),IF(LEFT(C297,3)="EST",VLOOKUP(VALUE(RIGHT(C297,3)),'EST-COMP'!B:J,9,FALSE),IF(LEFT(C297,3)="HID",VLOOKUP(VALUE(RIGHT(C297,3)),'HID-COMP'!B:J,9,FALSE),IF(LEFT(C297,3)="INC",VLOOKUP(VALUE(RIGHT(C297,3)),'INC-COMP'!B:J,9,FALSE),IF(LEFT(C297,3)="ELE",VLOOKUP(VALUE(RIGHT(C297,3)),#REF!,9,FALSE),IF(LEFT(C297,3)="CAB",VLOOKUP(VALUE(RIGHT(C297,3)),#REF!,9,FALSE),IF(LEFT(C297,3)="SEG",VLOOKUP(VALUE(RIGHT(C297,3)),'SEG-COMP'!B:J,9,FALSE),IF(LEFT(C297,3)="CLI",VLOOKUP(VALUE(RIGHT(C297,3)),'CLI-COMP'!B:J,9,FALSE),IF(LEFT(C297,4)="IMPL",VLOOKUP(VALUE(RIGHT(C297,3)),'IMPL-COMP'!B:J,9,FALSE),IF(LEFT(C297,4)="SPDA",VLOOKUP(VALUE(RIGHT(C297,3)),'SPDA-COMP'!B:J,9,FALSE),IF(LEFT(C297,4)="SDAI",VLOOKUP(VALUE(RIGHT(C297,3)),'ADM-COMP'!B:J,9,FALSE),IF(LEFT(C297,5)="IMPER",VLOOKUP(VALUE(RIGHT(C297,3)),'IMPER-COMP'!B:J,9,FALSE),""))))))))))))))))</f>
        <v>454.06</v>
      </c>
      <c r="H297" s="339">
        <f t="shared" si="105"/>
        <v>6810.9</v>
      </c>
      <c r="I297" s="374">
        <f t="shared" si="106"/>
        <v>3.9823052682136015E-4</v>
      </c>
      <c r="J297" s="314"/>
    </row>
    <row r="298" spans="1:10" ht="52.8">
      <c r="A298" s="613" t="s">
        <v>35392</v>
      </c>
      <c r="B298" s="337" t="s">
        <v>2879</v>
      </c>
      <c r="C298" s="540">
        <f>160612</f>
        <v>160612</v>
      </c>
      <c r="D298" s="539" t="str">
        <f>IF(B298="IOPES",VLOOKUP(C298,'LABOR-SERVIÇOS'!A:H,5,FALSE),IF(B298="SINAPI",VLOOKUP(C298,'SINAPI-SERVIÇOS'!A:D,2,FALSE),IF(LEFT(C298,3)="ARQ",VLOOKUP(VALUE(RIGHT(C298,3)),'ARQ-COMP'!B:J,4,FALSE),IF(LEFT(C298,3)="SCI",VLOOKUP(VALUE(RIGHT(C298,3)),'GAS-COMP'!#REF!,4,FALSE),IF(LEFT(C298,3)="SCE",VLOOKUP(VALUE(RIGHT(C298,3)),'SCE-COMP'!B:J,4,FALSE),IF(LEFT(C298,3)="EST",VLOOKUP(VALUE(RIGHT(C298,3)),'EST-COMP'!B:J,4,FALSE),IF(LEFT(C298,3)="HID",VLOOKUP(VALUE(RIGHT(C298,3)),'HID-COMP'!B:J,4,FALSE),IF(LEFT(C298,3)="INC",VLOOKUP(VALUE(RIGHT(C298,3)),'INC-COMP'!B:J,4,FALSE),IF(LEFT(C298,3)="ELE",VLOOKUP(VALUE(RIGHT(C298,3)),#REF!,4,FALSE),IF(LEFT(C298,3)="CAB",VLOOKUP(VALUE(RIGHT(C298,3)),#REF!,4,FALSE),IF(LEFT(C298,3)="SEG",VLOOKUP(VALUE(RIGHT(C298,3)),'SEG-COMP'!B:J,4,FALSE),IF(LEFT(C298,3)="CLI",VLOOKUP(VALUE(RIGHT(C298,3)),'CLI-COMP'!B:J,4,FALSE),IF(LEFT(C298,4)="IMPL",VLOOKUP(VALUE(RIGHT(C298,3)),'IMPL-COMP'!B:J,4,FALSE),IF(LEFT(C298,4)="SPDA",VLOOKUP(VALUE(RIGHT(C298,3)),'SPDA-COMP'!B:J,4,FALSE),IF(LEFT(C298,4)="SDAI",VLOOKUP(VALUE(RIGHT(C298,3)),'ADM-COMP'!B:J,4,FALSE),IF(LEFT(C298,5)="IMPER",VLOOKUP(VALUE(RIGHT(C298,3)),'IMPER-COMP'!B:J,4,FALSE),""))))))))))))))))</f>
        <v>PLACA DE SINALIZAÇÃO DE SEGURANÇA DO TIPO ?SAÍDA DE EMERGÊNCIA? COM SETA VERTICAL, CONFORME CÓDIGO 14 - 315/158 DA ABNT NBR 13434 E CÓDIGO S3 DA NT 14/2010 DO CORPO DE BOMBEIROS DO ESPÍRITO SANTO (CBMES)</v>
      </c>
      <c r="E298" s="338" t="str">
        <f>IF(B298="IOPES",VLOOKUP(C298,'LABOR-SERVIÇOS'!A:H,6,FALSE),IF(B298="SINAPI",VLOOKUP(C298,'SINAPI-SERVIÇOS'!A:D,3,FALSE),IF(LEFT(C298,3)="ARQ",VLOOKUP(VALUE(RIGHT(C298,3)),'ARQ-COMP'!B:J,5,FALSE),IF(LEFT(C298,3)="SCI",VLOOKUP(VALUE(RIGHT(C298,3)),'GAS-COMP'!#REF!,5,FALSE),IF(LEFT(C298,3)="SCE",VLOOKUP(VALUE(RIGHT(C298,3)),'SCE-COMP'!B:J,5,FALSE),IF(LEFT(C298,3)="EST",VLOOKUP(VALUE(RIGHT(C298,3)),'EST-COMP'!B:J,5,FALSE),IF(LEFT(C298,3)="HID",VLOOKUP(VALUE(RIGHT(C298,3)),'HID-COMP'!B:J,5,FALSE),IF(LEFT(C298,3)="INC",VLOOKUP(VALUE(RIGHT(C298,3)),'INC-COMP'!B:J,5,FALSE),IF(LEFT(C298,3)="ELE",VLOOKUP(VALUE(RIGHT(C298,3)),#REF!,5,FALSE),IF(LEFT(C298,3)="CAB",VLOOKUP(VALUE(RIGHT(C298,3)),#REF!,5,FALSE),IF(LEFT(C298,3)="SEG",VLOOKUP(VALUE(RIGHT(C298,3)),'SEG-COMP'!B:J,5,FALSE),IF(LEFT(C298,3)="CLI",VLOOKUP(VALUE(RIGHT(C298,3)),'CLI-COMP'!B:J,5,FALSE),IF(LEFT(C298,4)="IMPL",VLOOKUP(VALUE(RIGHT(C298,3)),'IMPL-COMP'!B:J,5,FALSE),IF(LEFT(C298,4)="SPDA",VLOOKUP(VALUE(RIGHT(C298,3)),'SPDA-COMP'!B:J,5,FALSE),IF(LEFT(C298,4)="SDAI",VLOOKUP(VALUE(RIGHT(C298,3)),'ADM-COMP'!B:J,5,FALSE),IF(LEFT(C298,5)="IMPER",VLOOKUP(VALUE(RIGHT(C298,3)),'IMPER-COMP'!B:J,5,FALSE),""))))))))))))))))</f>
        <v>UND</v>
      </c>
      <c r="F298" s="599">
        <f>ROUND(VLOOKUP(A298,'MEM-LEVANT'!A286:I2839,9,FALSE),2)</f>
        <v>15</v>
      </c>
      <c r="G298" s="339">
        <f>IF(B298="IOPES",VLOOKUP(C298,'LABOR-SERVIÇOS'!A:H,7,FALSE),IF(B298="SINAPI",VLOOKUP(C298,'SINAPI-SERVIÇOS'!A:H,8,FALSE),IF(LEFT(C298,3)="ARQ",VLOOKUP(VALUE(RIGHT(C298,3)),'ARQ-COMP'!B:J,9,FALSE),IF(LEFT(C298,3)="SCI",VLOOKUP(VALUE(RIGHT(C298,3)),'GAS-COMP'!#REF!,9,FALSE),IF(LEFT(C298,3)="SCE",VLOOKUP(VALUE(RIGHT(C298,3)),'SCE-COMP'!B:J,9,FALSE),IF(LEFT(C298,3)="EST",VLOOKUP(VALUE(RIGHT(C298,3)),'EST-COMP'!B:J,9,FALSE),IF(LEFT(C298,3)="HID",VLOOKUP(VALUE(RIGHT(C298,3)),'HID-COMP'!B:J,9,FALSE),IF(LEFT(C298,3)="INC",VLOOKUP(VALUE(RIGHT(C298,3)),'INC-COMP'!B:J,9,FALSE),IF(LEFT(C298,3)="ELE",VLOOKUP(VALUE(RIGHT(C298,3)),#REF!,9,FALSE),IF(LEFT(C298,3)="CAB",VLOOKUP(VALUE(RIGHT(C298,3)),#REF!,9,FALSE),IF(LEFT(C298,3)="SEG",VLOOKUP(VALUE(RIGHT(C298,3)),'SEG-COMP'!B:J,9,FALSE),IF(LEFT(C298,3)="CLI",VLOOKUP(VALUE(RIGHT(C298,3)),'CLI-COMP'!B:J,9,FALSE),IF(LEFT(C298,4)="IMPL",VLOOKUP(VALUE(RIGHT(C298,3)),'IMPL-COMP'!B:J,9,FALSE),IF(LEFT(C298,4)="SPDA",VLOOKUP(VALUE(RIGHT(C298,3)),'SPDA-COMP'!B:J,9,FALSE),IF(LEFT(C298,4)="SDAI",VLOOKUP(VALUE(RIGHT(C298,3)),'ADM-COMP'!B:J,9,FALSE),IF(LEFT(C298,5)="IMPER",VLOOKUP(VALUE(RIGHT(C298,3)),'IMPER-COMP'!B:J,9,FALSE),""))))))))))))))))</f>
        <v>38.799999999999997</v>
      </c>
      <c r="H298" s="339">
        <f t="shared" si="105"/>
        <v>582</v>
      </c>
      <c r="I298" s="374">
        <f t="shared" si="106"/>
        <v>3.4029301063006599E-5</v>
      </c>
      <c r="J298" s="314"/>
    </row>
    <row r="299" spans="1:10" ht="39.6">
      <c r="A299" s="613" t="s">
        <v>35393</v>
      </c>
      <c r="B299" s="337" t="s">
        <v>2879</v>
      </c>
      <c r="C299" s="540">
        <f>160613</f>
        <v>160613</v>
      </c>
      <c r="D299" s="539" t="str">
        <f>IF(B299="IOPES",VLOOKUP(C299,'LABOR-SERVIÇOS'!A:H,5,FALSE),IF(B299="SINAPI",VLOOKUP(C299,'SINAPI-SERVIÇOS'!A:D,2,FALSE),IF(LEFT(C299,3)="ARQ",VLOOKUP(VALUE(RIGHT(C299,3)),'ARQ-COMP'!B:J,4,FALSE),IF(LEFT(C299,3)="SCI",VLOOKUP(VALUE(RIGHT(C299,3)),'GAS-COMP'!#REF!,4,FALSE),IF(LEFT(C299,3)="SCE",VLOOKUP(VALUE(RIGHT(C299,3)),'SCE-COMP'!B:J,4,FALSE),IF(LEFT(C299,3)="EST",VLOOKUP(VALUE(RIGHT(C299,3)),'EST-COMP'!B:J,4,FALSE),IF(LEFT(C299,3)="HID",VLOOKUP(VALUE(RIGHT(C299,3)),'HID-COMP'!B:J,4,FALSE),IF(LEFT(C299,3)="INC",VLOOKUP(VALUE(RIGHT(C299,3)),'INC-COMP'!B:J,4,FALSE),IF(LEFT(C299,3)="ELE",VLOOKUP(VALUE(RIGHT(C299,3)),#REF!,4,FALSE),IF(LEFT(C299,3)="CAB",VLOOKUP(VALUE(RIGHT(C299,3)),#REF!,4,FALSE),IF(LEFT(C299,3)="SEG",VLOOKUP(VALUE(RIGHT(C299,3)),'SEG-COMP'!B:J,4,FALSE),IF(LEFT(C299,3)="CLI",VLOOKUP(VALUE(RIGHT(C299,3)),'CLI-COMP'!B:J,4,FALSE),IF(LEFT(C299,4)="IMPL",VLOOKUP(VALUE(RIGHT(C299,3)),'IMPL-COMP'!B:J,4,FALSE),IF(LEFT(C299,4)="SPDA",VLOOKUP(VALUE(RIGHT(C299,3)),'SPDA-COMP'!B:J,4,FALSE),IF(LEFT(C299,4)="SDAI",VLOOKUP(VALUE(RIGHT(C299,3)),'ADM-COMP'!B:J,4,FALSE),IF(LEFT(C299,5)="IMPER",VLOOKUP(VALUE(RIGHT(C299,3)),'IMPER-COMP'!B:J,4,FALSE),""))))))))))))))))</f>
        <v>PONTO PARA ILUMINAÇÃO DE EMERGÊNCIA COMPLETO, INCLUSIVE BLOCO AUTÔNOMO DE ILUMINAÇÃO 2X9W COM TOMADA UNIVERSAL</v>
      </c>
      <c r="E299" s="338" t="str">
        <f>IF(B299="IOPES",VLOOKUP(C299,'LABOR-SERVIÇOS'!A:H,6,FALSE),IF(B299="SINAPI",VLOOKUP(C299,'SINAPI-SERVIÇOS'!A:D,3,FALSE),IF(LEFT(C299,3)="ARQ",VLOOKUP(VALUE(RIGHT(C299,3)),'ARQ-COMP'!B:J,5,FALSE),IF(LEFT(C299,3)="SCI",VLOOKUP(VALUE(RIGHT(C299,3)),'GAS-COMP'!#REF!,5,FALSE),IF(LEFT(C299,3)="SCE",VLOOKUP(VALUE(RIGHT(C299,3)),'SCE-COMP'!B:J,5,FALSE),IF(LEFT(C299,3)="EST",VLOOKUP(VALUE(RIGHT(C299,3)),'EST-COMP'!B:J,5,FALSE),IF(LEFT(C299,3)="HID",VLOOKUP(VALUE(RIGHT(C299,3)),'HID-COMP'!B:J,5,FALSE),IF(LEFT(C299,3)="INC",VLOOKUP(VALUE(RIGHT(C299,3)),'INC-COMP'!B:J,5,FALSE),IF(LEFT(C299,3)="ELE",VLOOKUP(VALUE(RIGHT(C299,3)),#REF!,5,FALSE),IF(LEFT(C299,3)="CAB",VLOOKUP(VALUE(RIGHT(C299,3)),#REF!,5,FALSE),IF(LEFT(C299,3)="SEG",VLOOKUP(VALUE(RIGHT(C299,3)),'SEG-COMP'!B:J,5,FALSE),IF(LEFT(C299,3)="CLI",VLOOKUP(VALUE(RIGHT(C299,3)),'CLI-COMP'!B:J,5,FALSE),IF(LEFT(C299,4)="IMPL",VLOOKUP(VALUE(RIGHT(C299,3)),'IMPL-COMP'!B:J,5,FALSE),IF(LEFT(C299,4)="SPDA",VLOOKUP(VALUE(RIGHT(C299,3)),'SPDA-COMP'!B:J,5,FALSE),IF(LEFT(C299,4)="SDAI",VLOOKUP(VALUE(RIGHT(C299,3)),'ADM-COMP'!B:J,5,FALSE),IF(LEFT(C299,5)="IMPER",VLOOKUP(VALUE(RIGHT(C299,3)),'IMPER-COMP'!B:J,5,FALSE),""))))))))))))))))</f>
        <v>UND</v>
      </c>
      <c r="F299" s="599">
        <f>ROUND(VLOOKUP(A299,'MEM-LEVANT'!A287:I2840,9,FALSE),2)</f>
        <v>30</v>
      </c>
      <c r="G299" s="339">
        <f>IF(B299="IOPES",VLOOKUP(C299,'LABOR-SERVIÇOS'!A:H,7,FALSE),IF(B299="SINAPI",VLOOKUP(C299,'SINAPI-SERVIÇOS'!A:H,8,FALSE),IF(LEFT(C299,3)="ARQ",VLOOKUP(VALUE(RIGHT(C299,3)),'ARQ-COMP'!B:J,9,FALSE),IF(LEFT(C299,3)="SCI",VLOOKUP(VALUE(RIGHT(C299,3)),'GAS-COMP'!#REF!,9,FALSE),IF(LEFT(C299,3)="SCE",VLOOKUP(VALUE(RIGHT(C299,3)),'SCE-COMP'!B:J,9,FALSE),IF(LEFT(C299,3)="EST",VLOOKUP(VALUE(RIGHT(C299,3)),'EST-COMP'!B:J,9,FALSE),IF(LEFT(C299,3)="HID",VLOOKUP(VALUE(RIGHT(C299,3)),'HID-COMP'!B:J,9,FALSE),IF(LEFT(C299,3)="INC",VLOOKUP(VALUE(RIGHT(C299,3)),'INC-COMP'!B:J,9,FALSE),IF(LEFT(C299,3)="ELE",VLOOKUP(VALUE(RIGHT(C299,3)),#REF!,9,FALSE),IF(LEFT(C299,3)="CAB",VLOOKUP(VALUE(RIGHT(C299,3)),#REF!,9,FALSE),IF(LEFT(C299,3)="SEG",VLOOKUP(VALUE(RIGHT(C299,3)),'SEG-COMP'!B:J,9,FALSE),IF(LEFT(C299,3)="CLI",VLOOKUP(VALUE(RIGHT(C299,3)),'CLI-COMP'!B:J,9,FALSE),IF(LEFT(C299,4)="IMPL",VLOOKUP(VALUE(RIGHT(C299,3)),'IMPL-COMP'!B:J,9,FALSE),IF(LEFT(C299,4)="SPDA",VLOOKUP(VALUE(RIGHT(C299,3)),'SPDA-COMP'!B:J,9,FALSE),IF(LEFT(C299,4)="SDAI",VLOOKUP(VALUE(RIGHT(C299,3)),'ADM-COMP'!B:J,9,FALSE),IF(LEFT(C299,5)="IMPER",VLOOKUP(VALUE(RIGHT(C299,3)),'IMPER-COMP'!B:J,9,FALSE),""))))))))))))))))</f>
        <v>350.54</v>
      </c>
      <c r="H299" s="339">
        <f t="shared" si="105"/>
        <v>10516.2</v>
      </c>
      <c r="I299" s="374">
        <f t="shared" si="106"/>
        <v>6.1487789663022341E-4</v>
      </c>
      <c r="J299" s="314"/>
    </row>
    <row r="300" spans="1:10" ht="118.8">
      <c r="A300" s="613" t="s">
        <v>35394</v>
      </c>
      <c r="B300" s="337" t="s">
        <v>2879</v>
      </c>
      <c r="C300" s="540">
        <f>160627</f>
        <v>160627</v>
      </c>
      <c r="D300" s="539" t="str">
        <f>IF(B300="IOPES",VLOOKUP(C300,'LABOR-SERVIÇOS'!A:H,5,FALSE),IF(B300="SINAPI",VLOOKUP(C300,'SINAPI-SERVIÇOS'!A:D,2,FALSE),IF(LEFT(C300,3)="ARQ",VLOOKUP(VALUE(RIGHT(C300,3)),'ARQ-COMP'!B:J,4,FALSE),IF(LEFT(C300,3)="SCI",VLOOKUP(VALUE(RIGHT(C300,3)),'GAS-COMP'!#REF!,4,FALSE),IF(LEFT(C300,3)="SCE",VLOOKUP(VALUE(RIGHT(C300,3)),'SCE-COMP'!B:J,4,FALSE),IF(LEFT(C300,3)="EST",VLOOKUP(VALUE(RIGHT(C300,3)),'EST-COMP'!B:J,4,FALSE),IF(LEFT(C300,3)="HID",VLOOKUP(VALUE(RIGHT(C300,3)),'HID-COMP'!B:J,4,FALSE),IF(LEFT(C300,3)="INC",VLOOKUP(VALUE(RIGHT(C300,3)),'INC-COMP'!B:J,4,FALSE),IF(LEFT(C300,3)="ELE",VLOOKUP(VALUE(RIGHT(C300,3)),#REF!,4,FALSE),IF(LEFT(C300,3)="CAB",VLOOKUP(VALUE(RIGHT(C300,3)),#REF!,4,FALSE),IF(LEFT(C300,3)="SEG",VLOOKUP(VALUE(RIGHT(C300,3)),'SEG-COMP'!B:J,4,FALSE),IF(LEFT(C300,3)="CLI",VLOOKUP(VALUE(RIGHT(C300,3)),'CLI-COMP'!B:J,4,FALSE),IF(LEFT(C300,4)="IMPL",VLOOKUP(VALUE(RIGHT(C300,3)),'IMPL-COMP'!B:J,4,FALSE),IF(LEFT(C300,4)="SPDA",VLOOKUP(VALUE(RIGHT(C300,3)),'SPDA-COMP'!B:J,4,FALSE),IF(LEFT(C300,4)="SDAI",VLOOKUP(VALUE(RIGHT(C300,3)),'ADM-COMP'!B:J,4,FALSE),IF(LEFT(C300,5)="IMPER",VLOOKUP(VALUE(RIGHT(C300,3)),'IMPER-COMP'!B:J,4,FALSE),""))))))))))))))))</f>
        <v>CONJUNTO COMPLETO DE PORTA CORTA-FOGO SIMPLES PARA SAÍDA DE EMERGÊNCIA DIM.: 90X210X5CM, CONFORME ABNT NBR 11742, CLASSE P-90,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v>
      </c>
      <c r="E300" s="338" t="str">
        <f>IF(B300="IOPES",VLOOKUP(C300,'LABOR-SERVIÇOS'!A:H,6,FALSE),IF(B300="SINAPI",VLOOKUP(C300,'SINAPI-SERVIÇOS'!A:D,3,FALSE),IF(LEFT(C300,3)="ARQ",VLOOKUP(VALUE(RIGHT(C300,3)),'ARQ-COMP'!B:J,5,FALSE),IF(LEFT(C300,3)="SCI",VLOOKUP(VALUE(RIGHT(C300,3)),'GAS-COMP'!#REF!,5,FALSE),IF(LEFT(C300,3)="SCE",VLOOKUP(VALUE(RIGHT(C300,3)),'SCE-COMP'!B:J,5,FALSE),IF(LEFT(C300,3)="EST",VLOOKUP(VALUE(RIGHT(C300,3)),'EST-COMP'!B:J,5,FALSE),IF(LEFT(C300,3)="HID",VLOOKUP(VALUE(RIGHT(C300,3)),'HID-COMP'!B:J,5,FALSE),IF(LEFT(C300,3)="INC",VLOOKUP(VALUE(RIGHT(C300,3)),'INC-COMP'!B:J,5,FALSE),IF(LEFT(C300,3)="ELE",VLOOKUP(VALUE(RIGHT(C300,3)),#REF!,5,FALSE),IF(LEFT(C300,3)="CAB",VLOOKUP(VALUE(RIGHT(C300,3)),#REF!,5,FALSE),IF(LEFT(C300,3)="SEG",VLOOKUP(VALUE(RIGHT(C300,3)),'SEG-COMP'!B:J,5,FALSE),IF(LEFT(C300,3)="CLI",VLOOKUP(VALUE(RIGHT(C300,3)),'CLI-COMP'!B:J,5,FALSE),IF(LEFT(C300,4)="IMPL",VLOOKUP(VALUE(RIGHT(C300,3)),'IMPL-COMP'!B:J,5,FALSE),IF(LEFT(C300,4)="SPDA",VLOOKUP(VALUE(RIGHT(C300,3)),'SPDA-COMP'!B:J,5,FALSE),IF(LEFT(C300,4)="SDAI",VLOOKUP(VALUE(RIGHT(C300,3)),'ADM-COMP'!B:J,5,FALSE),IF(LEFT(C300,5)="IMPER",VLOOKUP(VALUE(RIGHT(C300,3)),'IMPER-COMP'!B:J,5,FALSE),""))))))))))))))))</f>
        <v>UND</v>
      </c>
      <c r="F300" s="599">
        <f>ROUND(VLOOKUP(A300,'MEM-LEVANT'!A288:I2841,9,FALSE),2)</f>
        <v>3</v>
      </c>
      <c r="G300" s="339">
        <f>IF(B300="IOPES",VLOOKUP(C300,'LABOR-SERVIÇOS'!A:H,7,FALSE),IF(B300="SINAPI",VLOOKUP(C300,'SINAPI-SERVIÇOS'!A:H,8,FALSE),IF(LEFT(C300,3)="ARQ",VLOOKUP(VALUE(RIGHT(C300,3)),'ARQ-COMP'!B:J,9,FALSE),IF(LEFT(C300,3)="SCI",VLOOKUP(VALUE(RIGHT(C300,3)),'GAS-COMP'!#REF!,9,FALSE),IF(LEFT(C300,3)="SCE",VLOOKUP(VALUE(RIGHT(C300,3)),'SCE-COMP'!B:J,9,FALSE),IF(LEFT(C300,3)="EST",VLOOKUP(VALUE(RIGHT(C300,3)),'EST-COMP'!B:J,9,FALSE),IF(LEFT(C300,3)="HID",VLOOKUP(VALUE(RIGHT(C300,3)),'HID-COMP'!B:J,9,FALSE),IF(LEFT(C300,3)="INC",VLOOKUP(VALUE(RIGHT(C300,3)),'INC-COMP'!B:J,9,FALSE),IF(LEFT(C300,3)="ELE",VLOOKUP(VALUE(RIGHT(C300,3)),#REF!,9,FALSE),IF(LEFT(C300,3)="CAB",VLOOKUP(VALUE(RIGHT(C300,3)),#REF!,9,FALSE),IF(LEFT(C300,3)="SEG",VLOOKUP(VALUE(RIGHT(C300,3)),'SEG-COMP'!B:J,9,FALSE),IF(LEFT(C300,3)="CLI",VLOOKUP(VALUE(RIGHT(C300,3)),'CLI-COMP'!B:J,9,FALSE),IF(LEFT(C300,4)="IMPL",VLOOKUP(VALUE(RIGHT(C300,3)),'IMPL-COMP'!B:J,9,FALSE),IF(LEFT(C300,4)="SPDA",VLOOKUP(VALUE(RIGHT(C300,3)),'SPDA-COMP'!B:J,9,FALSE),IF(LEFT(C300,4)="SDAI",VLOOKUP(VALUE(RIGHT(C300,3)),'ADM-COMP'!B:J,9,FALSE),IF(LEFT(C300,5)="IMPER",VLOOKUP(VALUE(RIGHT(C300,3)),'IMPER-COMP'!B:J,9,FALSE),""))))))))))))))))</f>
        <v>2123.0300000000002</v>
      </c>
      <c r="H300" s="339">
        <f t="shared" si="105"/>
        <v>6369.09</v>
      </c>
      <c r="I300" s="374">
        <f t="shared" si="106"/>
        <v>3.723980775040974E-4</v>
      </c>
      <c r="J300" s="314"/>
    </row>
    <row r="301" spans="1:10" ht="52.8">
      <c r="A301" s="613" t="s">
        <v>35395</v>
      </c>
      <c r="B301" s="337" t="s">
        <v>2879</v>
      </c>
      <c r="C301" s="540">
        <f>160629</f>
        <v>160629</v>
      </c>
      <c r="D301" s="539" t="str">
        <f>IF(B301="IOPES",VLOOKUP(C301,'LABOR-SERVIÇOS'!A:H,5,FALSE),IF(B301="SINAPI",VLOOKUP(C301,'SINAPI-SERVIÇOS'!A:D,2,FALSE),IF(LEFT(C301,3)="ARQ",VLOOKUP(VALUE(RIGHT(C301,3)),'ARQ-COMP'!B:J,4,FALSE),IF(LEFT(C301,3)="SCI",VLOOKUP(VALUE(RIGHT(C301,3)),'GAS-COMP'!#REF!,4,FALSE),IF(LEFT(C301,3)="SCE",VLOOKUP(VALUE(RIGHT(C301,3)),'SCE-COMP'!B:J,4,FALSE),IF(LEFT(C301,3)="EST",VLOOKUP(VALUE(RIGHT(C301,3)),'EST-COMP'!B:J,4,FALSE),IF(LEFT(C301,3)="HID",VLOOKUP(VALUE(RIGHT(C301,3)),'HID-COMP'!B:J,4,FALSE),IF(LEFT(C301,3)="INC",VLOOKUP(VALUE(RIGHT(C301,3)),'INC-COMP'!B:J,4,FALSE),IF(LEFT(C301,3)="ELE",VLOOKUP(VALUE(RIGHT(C301,3)),#REF!,4,FALSE),IF(LEFT(C301,3)="CAB",VLOOKUP(VALUE(RIGHT(C301,3)),#REF!,4,FALSE),IF(LEFT(C301,3)="SEG",VLOOKUP(VALUE(RIGHT(C301,3)),'SEG-COMP'!B:J,4,FALSE),IF(LEFT(C301,3)="CLI",VLOOKUP(VALUE(RIGHT(C301,3)),'CLI-COMP'!B:J,4,FALSE),IF(LEFT(C301,4)="IMPL",VLOOKUP(VALUE(RIGHT(C301,3)),'IMPL-COMP'!B:J,4,FALSE),IF(LEFT(C301,4)="SPDA",VLOOKUP(VALUE(RIGHT(C301,3)),'SPDA-COMP'!B:J,4,FALSE),IF(LEFT(C301,4)="SDAI",VLOOKUP(VALUE(RIGHT(C301,3)),'ADM-COMP'!B:J,4,FALSE),IF(LEFT(C301,5)="IMPER",VLOOKUP(VALUE(RIGHT(C301,3)),'IMPER-COMP'!B:J,4,FALSE),""))))))))))))))))</f>
        <v>TUBO DE AÇO CARBONO GALVANIZADO, COM COSTURA, CLASSE LEVE, DIÂMETRO 50MM (2"), INCLUSIVE PINTURA COM UMA DEMÃO DE PRIMER EPOXI E DUAS DEMÃOS DE TINTA À BASE DE EPOXI NA COR VERMELHA</v>
      </c>
      <c r="E301" s="338" t="str">
        <f>IF(B301="IOPES",VLOOKUP(C301,'LABOR-SERVIÇOS'!A:H,6,FALSE),IF(B301="SINAPI",VLOOKUP(C301,'SINAPI-SERVIÇOS'!A:D,3,FALSE),IF(LEFT(C301,3)="ARQ",VLOOKUP(VALUE(RIGHT(C301,3)),'ARQ-COMP'!B:J,5,FALSE),IF(LEFT(C301,3)="SCI",VLOOKUP(VALUE(RIGHT(C301,3)),'GAS-COMP'!#REF!,5,FALSE),IF(LEFT(C301,3)="SCE",VLOOKUP(VALUE(RIGHT(C301,3)),'SCE-COMP'!B:J,5,FALSE),IF(LEFT(C301,3)="EST",VLOOKUP(VALUE(RIGHT(C301,3)),'EST-COMP'!B:J,5,FALSE),IF(LEFT(C301,3)="HID",VLOOKUP(VALUE(RIGHT(C301,3)),'HID-COMP'!B:J,5,FALSE),IF(LEFT(C301,3)="INC",VLOOKUP(VALUE(RIGHT(C301,3)),'INC-COMP'!B:J,5,FALSE),IF(LEFT(C301,3)="ELE",VLOOKUP(VALUE(RIGHT(C301,3)),#REF!,5,FALSE),IF(LEFT(C301,3)="CAB",VLOOKUP(VALUE(RIGHT(C301,3)),#REF!,5,FALSE),IF(LEFT(C301,3)="SEG",VLOOKUP(VALUE(RIGHT(C301,3)),'SEG-COMP'!B:J,5,FALSE),IF(LEFT(C301,3)="CLI",VLOOKUP(VALUE(RIGHT(C301,3)),'CLI-COMP'!B:J,5,FALSE),IF(LEFT(C301,4)="IMPL",VLOOKUP(VALUE(RIGHT(C301,3)),'IMPL-COMP'!B:J,5,FALSE),IF(LEFT(C301,4)="SPDA",VLOOKUP(VALUE(RIGHT(C301,3)),'SPDA-COMP'!B:J,5,FALSE),IF(LEFT(C301,4)="SDAI",VLOOKUP(VALUE(RIGHT(C301,3)),'ADM-COMP'!B:J,5,FALSE),IF(LEFT(C301,5)="IMPER",VLOOKUP(VALUE(RIGHT(C301,3)),'IMPER-COMP'!B:J,5,FALSE),""))))))))))))))))</f>
        <v>M</v>
      </c>
      <c r="F301" s="599">
        <f>ROUND(VLOOKUP(A301,'MEM-LEVANT'!A289:I2842,9,FALSE),2)</f>
        <v>180</v>
      </c>
      <c r="G301" s="339">
        <f>IF(B301="IOPES",VLOOKUP(C301,'LABOR-SERVIÇOS'!A:H,7,FALSE),IF(B301="SINAPI",VLOOKUP(C301,'SINAPI-SERVIÇOS'!A:H,8,FALSE),IF(LEFT(C301,3)="ARQ",VLOOKUP(VALUE(RIGHT(C301,3)),'ARQ-COMP'!B:J,9,FALSE),IF(LEFT(C301,3)="SCI",VLOOKUP(VALUE(RIGHT(C301,3)),'GAS-COMP'!#REF!,9,FALSE),IF(LEFT(C301,3)="SCE",VLOOKUP(VALUE(RIGHT(C301,3)),'SCE-COMP'!B:J,9,FALSE),IF(LEFT(C301,3)="EST",VLOOKUP(VALUE(RIGHT(C301,3)),'EST-COMP'!B:J,9,FALSE),IF(LEFT(C301,3)="HID",VLOOKUP(VALUE(RIGHT(C301,3)),'HID-COMP'!B:J,9,FALSE),IF(LEFT(C301,3)="INC",VLOOKUP(VALUE(RIGHT(C301,3)),'INC-COMP'!B:J,9,FALSE),IF(LEFT(C301,3)="ELE",VLOOKUP(VALUE(RIGHT(C301,3)),#REF!,9,FALSE),IF(LEFT(C301,3)="CAB",VLOOKUP(VALUE(RIGHT(C301,3)),#REF!,9,FALSE),IF(LEFT(C301,3)="SEG",VLOOKUP(VALUE(RIGHT(C301,3)),'SEG-COMP'!B:J,9,FALSE),IF(LEFT(C301,3)="CLI",VLOOKUP(VALUE(RIGHT(C301,3)),'CLI-COMP'!B:J,9,FALSE),IF(LEFT(C301,4)="IMPL",VLOOKUP(VALUE(RIGHT(C301,3)),'IMPL-COMP'!B:J,9,FALSE),IF(LEFT(C301,4)="SPDA",VLOOKUP(VALUE(RIGHT(C301,3)),'SPDA-COMP'!B:J,9,FALSE),IF(LEFT(C301,4)="SDAI",VLOOKUP(VALUE(RIGHT(C301,3)),'ADM-COMP'!B:J,9,FALSE),IF(LEFT(C301,5)="IMPER",VLOOKUP(VALUE(RIGHT(C301,3)),'IMPER-COMP'!B:J,9,FALSE),""))))))))))))))))</f>
        <v>187.39</v>
      </c>
      <c r="H301" s="339">
        <f t="shared" si="105"/>
        <v>33730.199999999997</v>
      </c>
      <c r="I301" s="374">
        <f t="shared" si="106"/>
        <v>1.9721909462464349E-3</v>
      </c>
      <c r="J301" s="314"/>
    </row>
    <row r="302" spans="1:10" ht="52.8">
      <c r="A302" s="613" t="s">
        <v>35396</v>
      </c>
      <c r="B302" s="337" t="s">
        <v>2879</v>
      </c>
      <c r="C302" s="540">
        <f>160630</f>
        <v>160630</v>
      </c>
      <c r="D302" s="539" t="str">
        <f>IF(B302="IOPES",VLOOKUP(C302,'LABOR-SERVIÇOS'!A:H,5,FALSE),IF(B302="SINAPI",VLOOKUP(C302,'SINAPI-SERVIÇOS'!A:D,2,FALSE),IF(LEFT(C302,3)="ARQ",VLOOKUP(VALUE(RIGHT(C302,3)),'ARQ-COMP'!B:J,4,FALSE),IF(LEFT(C302,3)="SCI",VLOOKUP(VALUE(RIGHT(C302,3)),'GAS-COMP'!#REF!,4,FALSE),IF(LEFT(C302,3)="SCE",VLOOKUP(VALUE(RIGHT(C302,3)),'SCE-COMP'!B:J,4,FALSE),IF(LEFT(C302,3)="EST",VLOOKUP(VALUE(RIGHT(C302,3)),'EST-COMP'!B:J,4,FALSE),IF(LEFT(C302,3)="HID",VLOOKUP(VALUE(RIGHT(C302,3)),'HID-COMP'!B:J,4,FALSE),IF(LEFT(C302,3)="INC",VLOOKUP(VALUE(RIGHT(C302,3)),'INC-COMP'!B:J,4,FALSE),IF(LEFT(C302,3)="ELE",VLOOKUP(VALUE(RIGHT(C302,3)),#REF!,4,FALSE),IF(LEFT(C302,3)="CAB",VLOOKUP(VALUE(RIGHT(C302,3)),#REF!,4,FALSE),IF(LEFT(C302,3)="SEG",VLOOKUP(VALUE(RIGHT(C302,3)),'SEG-COMP'!B:J,4,FALSE),IF(LEFT(C302,3)="CLI",VLOOKUP(VALUE(RIGHT(C302,3)),'CLI-COMP'!B:J,4,FALSE),IF(LEFT(C302,4)="IMPL",VLOOKUP(VALUE(RIGHT(C302,3)),'IMPL-COMP'!B:J,4,FALSE),IF(LEFT(C302,4)="SPDA",VLOOKUP(VALUE(RIGHT(C302,3)),'SPDA-COMP'!B:J,4,FALSE),IF(LEFT(C302,4)="SDAI",VLOOKUP(VALUE(RIGHT(C302,3)),'ADM-COMP'!B:J,4,FALSE),IF(LEFT(C302,5)="IMPER",VLOOKUP(VALUE(RIGHT(C302,3)),'IMPER-COMP'!B:J,4,FALSE),""))))))))))))))))</f>
        <v>TUBO DE AÇO CARBONO GALVANIZADO, COM COSTURA, CLASSE LEVE, DIÂMETRO 65MM (2.1/2"), INCLUSIVE PINTURA COM UMA DEMÃO DE PRIMER EPOXI E DUAS DEMÃOS DE TINTA À BASE DE EPOXI NA COR VERMELHA</v>
      </c>
      <c r="E302" s="338" t="str">
        <f>IF(B302="IOPES",VLOOKUP(C302,'LABOR-SERVIÇOS'!A:H,6,FALSE),IF(B302="SINAPI",VLOOKUP(C302,'SINAPI-SERVIÇOS'!A:D,3,FALSE),IF(LEFT(C302,3)="ARQ",VLOOKUP(VALUE(RIGHT(C302,3)),'ARQ-COMP'!B:J,5,FALSE),IF(LEFT(C302,3)="SCI",VLOOKUP(VALUE(RIGHT(C302,3)),'GAS-COMP'!#REF!,5,FALSE),IF(LEFT(C302,3)="SCE",VLOOKUP(VALUE(RIGHT(C302,3)),'SCE-COMP'!B:J,5,FALSE),IF(LEFT(C302,3)="EST",VLOOKUP(VALUE(RIGHT(C302,3)),'EST-COMP'!B:J,5,FALSE),IF(LEFT(C302,3)="HID",VLOOKUP(VALUE(RIGHT(C302,3)),'HID-COMP'!B:J,5,FALSE),IF(LEFT(C302,3)="INC",VLOOKUP(VALUE(RIGHT(C302,3)),'INC-COMP'!B:J,5,FALSE),IF(LEFT(C302,3)="ELE",VLOOKUP(VALUE(RIGHT(C302,3)),#REF!,5,FALSE),IF(LEFT(C302,3)="CAB",VLOOKUP(VALUE(RIGHT(C302,3)),#REF!,5,FALSE),IF(LEFT(C302,3)="SEG",VLOOKUP(VALUE(RIGHT(C302,3)),'SEG-COMP'!B:J,5,FALSE),IF(LEFT(C302,3)="CLI",VLOOKUP(VALUE(RIGHT(C302,3)),'CLI-COMP'!B:J,5,FALSE),IF(LEFT(C302,4)="IMPL",VLOOKUP(VALUE(RIGHT(C302,3)),'IMPL-COMP'!B:J,5,FALSE),IF(LEFT(C302,4)="SPDA",VLOOKUP(VALUE(RIGHT(C302,3)),'SPDA-COMP'!B:J,5,FALSE),IF(LEFT(C302,4)="SDAI",VLOOKUP(VALUE(RIGHT(C302,3)),'ADM-COMP'!B:J,5,FALSE),IF(LEFT(C302,5)="IMPER",VLOOKUP(VALUE(RIGHT(C302,3)),'IMPER-COMP'!B:J,5,FALSE),""))))))))))))))))</f>
        <v>M</v>
      </c>
      <c r="F302" s="599">
        <f>ROUND(VLOOKUP(A302,'MEM-LEVANT'!A290:I2843,9,FALSE),2)</f>
        <v>120</v>
      </c>
      <c r="G302" s="339">
        <f>IF(B302="IOPES",VLOOKUP(C302,'LABOR-SERVIÇOS'!A:H,7,FALSE),IF(B302="SINAPI",VLOOKUP(C302,'SINAPI-SERVIÇOS'!A:H,8,FALSE),IF(LEFT(C302,3)="ARQ",VLOOKUP(VALUE(RIGHT(C302,3)),'ARQ-COMP'!B:J,9,FALSE),IF(LEFT(C302,3)="SCI",VLOOKUP(VALUE(RIGHT(C302,3)),'GAS-COMP'!#REF!,9,FALSE),IF(LEFT(C302,3)="SCE",VLOOKUP(VALUE(RIGHT(C302,3)),'SCE-COMP'!B:J,9,FALSE),IF(LEFT(C302,3)="EST",VLOOKUP(VALUE(RIGHT(C302,3)),'EST-COMP'!B:J,9,FALSE),IF(LEFT(C302,3)="HID",VLOOKUP(VALUE(RIGHT(C302,3)),'HID-COMP'!B:J,9,FALSE),IF(LEFT(C302,3)="INC",VLOOKUP(VALUE(RIGHT(C302,3)),'INC-COMP'!B:J,9,FALSE),IF(LEFT(C302,3)="ELE",VLOOKUP(VALUE(RIGHT(C302,3)),#REF!,9,FALSE),IF(LEFT(C302,3)="CAB",VLOOKUP(VALUE(RIGHT(C302,3)),#REF!,9,FALSE),IF(LEFT(C302,3)="SEG",VLOOKUP(VALUE(RIGHT(C302,3)),'SEG-COMP'!B:J,9,FALSE),IF(LEFT(C302,3)="CLI",VLOOKUP(VALUE(RIGHT(C302,3)),'CLI-COMP'!B:J,9,FALSE),IF(LEFT(C302,4)="IMPL",VLOOKUP(VALUE(RIGHT(C302,3)),'IMPL-COMP'!B:J,9,FALSE),IF(LEFT(C302,4)="SPDA",VLOOKUP(VALUE(RIGHT(C302,3)),'SPDA-COMP'!B:J,9,FALSE),IF(LEFT(C302,4)="SDAI",VLOOKUP(VALUE(RIGHT(C302,3)),'ADM-COMP'!B:J,9,FALSE),IF(LEFT(C302,5)="IMPER",VLOOKUP(VALUE(RIGHT(C302,3)),'IMPER-COMP'!B:J,9,FALSE),""))))))))))))))))</f>
        <v>237.65</v>
      </c>
      <c r="H302" s="339">
        <f t="shared" si="105"/>
        <v>28518</v>
      </c>
      <c r="I302" s="374">
        <f t="shared" si="106"/>
        <v>1.6674357520873233E-3</v>
      </c>
      <c r="J302" s="314"/>
    </row>
    <row r="303" spans="1:10" ht="52.8">
      <c r="A303" s="613" t="s">
        <v>35397</v>
      </c>
      <c r="B303" s="337" t="s">
        <v>2879</v>
      </c>
      <c r="C303" s="540">
        <f>160631</f>
        <v>160631</v>
      </c>
      <c r="D303" s="539" t="str">
        <f>IF(B303="IOPES",VLOOKUP(C303,'LABOR-SERVIÇOS'!A:H,5,FALSE),IF(B303="SINAPI",VLOOKUP(C303,'SINAPI-SERVIÇOS'!A:D,2,FALSE),IF(LEFT(C303,3)="ARQ",VLOOKUP(VALUE(RIGHT(C303,3)),'ARQ-COMP'!B:J,4,FALSE),IF(LEFT(C303,3)="SCI",VLOOKUP(VALUE(RIGHT(C303,3)),'GAS-COMP'!#REF!,4,FALSE),IF(LEFT(C303,3)="SCE",VLOOKUP(VALUE(RIGHT(C303,3)),'SCE-COMP'!B:J,4,FALSE),IF(LEFT(C303,3)="EST",VLOOKUP(VALUE(RIGHT(C303,3)),'EST-COMP'!B:J,4,FALSE),IF(LEFT(C303,3)="HID",VLOOKUP(VALUE(RIGHT(C303,3)),'HID-COMP'!B:J,4,FALSE),IF(LEFT(C303,3)="INC",VLOOKUP(VALUE(RIGHT(C303,3)),'INC-COMP'!B:J,4,FALSE),IF(LEFT(C303,3)="ELE",VLOOKUP(VALUE(RIGHT(C303,3)),#REF!,4,FALSE),IF(LEFT(C303,3)="CAB",VLOOKUP(VALUE(RIGHT(C303,3)),#REF!,4,FALSE),IF(LEFT(C303,3)="SEG",VLOOKUP(VALUE(RIGHT(C303,3)),'SEG-COMP'!B:J,4,FALSE),IF(LEFT(C303,3)="CLI",VLOOKUP(VALUE(RIGHT(C303,3)),'CLI-COMP'!B:J,4,FALSE),IF(LEFT(C303,4)="IMPL",VLOOKUP(VALUE(RIGHT(C303,3)),'IMPL-COMP'!B:J,4,FALSE),IF(LEFT(C303,4)="SPDA",VLOOKUP(VALUE(RIGHT(C303,3)),'SPDA-COMP'!B:J,4,FALSE),IF(LEFT(C303,4)="SDAI",VLOOKUP(VALUE(RIGHT(C303,3)),'ADM-COMP'!B:J,4,FALSE),IF(LEFT(C303,5)="IMPER",VLOOKUP(VALUE(RIGHT(C303,3)),'IMPER-COMP'!B:J,4,FALSE),""))))))))))))))))</f>
        <v>TUBO DE AÇO CARBONO GALVANIZADO, COM COSTURA, CLASSE LEVE, DIÂMETRO 80MM (3"), INCLUSIVE PINTURA COM UMA DEMÃO DE PRIMER EPOXI E DUAS DEMÃOS DE TINTA À BASE DE EPOXI NA COR VERMELHA</v>
      </c>
      <c r="E303" s="338" t="str">
        <f>IF(B303="IOPES",VLOOKUP(C303,'LABOR-SERVIÇOS'!A:H,6,FALSE),IF(B303="SINAPI",VLOOKUP(C303,'SINAPI-SERVIÇOS'!A:D,3,FALSE),IF(LEFT(C303,3)="ARQ",VLOOKUP(VALUE(RIGHT(C303,3)),'ARQ-COMP'!B:J,5,FALSE),IF(LEFT(C303,3)="SCI",VLOOKUP(VALUE(RIGHT(C303,3)),'GAS-COMP'!#REF!,5,FALSE),IF(LEFT(C303,3)="SCE",VLOOKUP(VALUE(RIGHT(C303,3)),'SCE-COMP'!B:J,5,FALSE),IF(LEFT(C303,3)="EST",VLOOKUP(VALUE(RIGHT(C303,3)),'EST-COMP'!B:J,5,FALSE),IF(LEFT(C303,3)="HID",VLOOKUP(VALUE(RIGHT(C303,3)),'HID-COMP'!B:J,5,FALSE),IF(LEFT(C303,3)="INC",VLOOKUP(VALUE(RIGHT(C303,3)),'INC-COMP'!B:J,5,FALSE),IF(LEFT(C303,3)="ELE",VLOOKUP(VALUE(RIGHT(C303,3)),#REF!,5,FALSE),IF(LEFT(C303,3)="CAB",VLOOKUP(VALUE(RIGHT(C303,3)),#REF!,5,FALSE),IF(LEFT(C303,3)="SEG",VLOOKUP(VALUE(RIGHT(C303,3)),'SEG-COMP'!B:J,5,FALSE),IF(LEFT(C303,3)="CLI",VLOOKUP(VALUE(RIGHT(C303,3)),'CLI-COMP'!B:J,5,FALSE),IF(LEFT(C303,4)="IMPL",VLOOKUP(VALUE(RIGHT(C303,3)),'IMPL-COMP'!B:J,5,FALSE),IF(LEFT(C303,4)="SPDA",VLOOKUP(VALUE(RIGHT(C303,3)),'SPDA-COMP'!B:J,5,FALSE),IF(LEFT(C303,4)="SDAI",VLOOKUP(VALUE(RIGHT(C303,3)),'ADM-COMP'!B:J,5,FALSE),IF(LEFT(C303,5)="IMPER",VLOOKUP(VALUE(RIGHT(C303,3)),'IMPER-COMP'!B:J,5,FALSE),""))))))))))))))))</f>
        <v>M</v>
      </c>
      <c r="F303" s="599">
        <f>ROUND(VLOOKUP(A303,'MEM-LEVANT'!A291:I2844,9,FALSE),2)</f>
        <v>75</v>
      </c>
      <c r="G303" s="339">
        <f>IF(B303="IOPES",VLOOKUP(C303,'LABOR-SERVIÇOS'!A:H,7,FALSE),IF(B303="SINAPI",VLOOKUP(C303,'SINAPI-SERVIÇOS'!A:H,8,FALSE),IF(LEFT(C303,3)="ARQ",VLOOKUP(VALUE(RIGHT(C303,3)),'ARQ-COMP'!B:J,9,FALSE),IF(LEFT(C303,3)="SCI",VLOOKUP(VALUE(RIGHT(C303,3)),'GAS-COMP'!#REF!,9,FALSE),IF(LEFT(C303,3)="SCE",VLOOKUP(VALUE(RIGHT(C303,3)),'SCE-COMP'!B:J,9,FALSE),IF(LEFT(C303,3)="EST",VLOOKUP(VALUE(RIGHT(C303,3)),'EST-COMP'!B:J,9,FALSE),IF(LEFT(C303,3)="HID",VLOOKUP(VALUE(RIGHT(C303,3)),'HID-COMP'!B:J,9,FALSE),IF(LEFT(C303,3)="INC",VLOOKUP(VALUE(RIGHT(C303,3)),'INC-COMP'!B:J,9,FALSE),IF(LEFT(C303,3)="ELE",VLOOKUP(VALUE(RIGHT(C303,3)),#REF!,9,FALSE),IF(LEFT(C303,3)="CAB",VLOOKUP(VALUE(RIGHT(C303,3)),#REF!,9,FALSE),IF(LEFT(C303,3)="SEG",VLOOKUP(VALUE(RIGHT(C303,3)),'SEG-COMP'!B:J,9,FALSE),IF(LEFT(C303,3)="CLI",VLOOKUP(VALUE(RIGHT(C303,3)),'CLI-COMP'!B:J,9,FALSE),IF(LEFT(C303,4)="IMPL",VLOOKUP(VALUE(RIGHT(C303,3)),'IMPL-COMP'!B:J,9,FALSE),IF(LEFT(C303,4)="SPDA",VLOOKUP(VALUE(RIGHT(C303,3)),'SPDA-COMP'!B:J,9,FALSE),IF(LEFT(C303,4)="SDAI",VLOOKUP(VALUE(RIGHT(C303,3)),'ADM-COMP'!B:J,9,FALSE),IF(LEFT(C303,5)="IMPER",VLOOKUP(VALUE(RIGHT(C303,3)),'IMPER-COMP'!B:J,9,FALSE),""))))))))))))))))</f>
        <v>281.5</v>
      </c>
      <c r="H303" s="339">
        <f t="shared" si="105"/>
        <v>21112.5</v>
      </c>
      <c r="I303" s="374">
        <f t="shared" si="106"/>
        <v>1.2344392073758191E-3</v>
      </c>
      <c r="J303" s="314"/>
    </row>
    <row r="304" spans="1:10" ht="52.8">
      <c r="A304" s="613" t="s">
        <v>35398</v>
      </c>
      <c r="B304" s="337" t="s">
        <v>2879</v>
      </c>
      <c r="C304" s="540">
        <f>160632</f>
        <v>160632</v>
      </c>
      <c r="D304" s="539" t="str">
        <f>IF(B304="IOPES",VLOOKUP(C304,'LABOR-SERVIÇOS'!A:H,5,FALSE),IF(B304="SINAPI",VLOOKUP(C304,'SINAPI-SERVIÇOS'!A:D,2,FALSE),IF(LEFT(C304,3)="ARQ",VLOOKUP(VALUE(RIGHT(C304,3)),'ARQ-COMP'!B:J,4,FALSE),IF(LEFT(C304,3)="SCI",VLOOKUP(VALUE(RIGHT(C304,3)),'GAS-COMP'!#REF!,4,FALSE),IF(LEFT(C304,3)="SCE",VLOOKUP(VALUE(RIGHT(C304,3)),'SCE-COMP'!B:J,4,FALSE),IF(LEFT(C304,3)="EST",VLOOKUP(VALUE(RIGHT(C304,3)),'EST-COMP'!B:J,4,FALSE),IF(LEFT(C304,3)="HID",VLOOKUP(VALUE(RIGHT(C304,3)),'HID-COMP'!B:J,4,FALSE),IF(LEFT(C304,3)="INC",VLOOKUP(VALUE(RIGHT(C304,3)),'INC-COMP'!B:J,4,FALSE),IF(LEFT(C304,3)="ELE",VLOOKUP(VALUE(RIGHT(C304,3)),#REF!,4,FALSE),IF(LEFT(C304,3)="CAB",VLOOKUP(VALUE(RIGHT(C304,3)),#REF!,4,FALSE),IF(LEFT(C304,3)="SEG",VLOOKUP(VALUE(RIGHT(C304,3)),'SEG-COMP'!B:J,4,FALSE),IF(LEFT(C304,3)="CLI",VLOOKUP(VALUE(RIGHT(C304,3)),'CLI-COMP'!B:J,4,FALSE),IF(LEFT(C304,4)="IMPL",VLOOKUP(VALUE(RIGHT(C304,3)),'IMPL-COMP'!B:J,4,FALSE),IF(LEFT(C304,4)="SPDA",VLOOKUP(VALUE(RIGHT(C304,3)),'SPDA-COMP'!B:J,4,FALSE),IF(LEFT(C304,4)="SDAI",VLOOKUP(VALUE(RIGHT(C304,3)),'ADM-COMP'!B:J,4,FALSE),IF(LEFT(C304,5)="IMPER",VLOOKUP(VALUE(RIGHT(C304,3)),'IMPER-COMP'!B:J,4,FALSE),""))))))))))))))))</f>
        <v>TUBO DE AÇO CARBONO GALVANIZADO, COM COSTURA, CLASSE LEVE, DIÂMETRO 100MM (4"), INCLUSIVE PINTURA COM UMA DEMÃO DE PRIMER EPOXI E DUAS DEMÃOS DE TINTA À BASE DE EPOXI NA COR VERMELHA</v>
      </c>
      <c r="E304" s="338" t="str">
        <f>IF(B304="IOPES",VLOOKUP(C304,'LABOR-SERVIÇOS'!A:H,6,FALSE),IF(B304="SINAPI",VLOOKUP(C304,'SINAPI-SERVIÇOS'!A:D,3,FALSE),IF(LEFT(C304,3)="ARQ",VLOOKUP(VALUE(RIGHT(C304,3)),'ARQ-COMP'!B:J,5,FALSE),IF(LEFT(C304,3)="SCI",VLOOKUP(VALUE(RIGHT(C304,3)),'GAS-COMP'!#REF!,5,FALSE),IF(LEFT(C304,3)="SCE",VLOOKUP(VALUE(RIGHT(C304,3)),'SCE-COMP'!B:J,5,FALSE),IF(LEFT(C304,3)="EST",VLOOKUP(VALUE(RIGHT(C304,3)),'EST-COMP'!B:J,5,FALSE),IF(LEFT(C304,3)="HID",VLOOKUP(VALUE(RIGHT(C304,3)),'HID-COMP'!B:J,5,FALSE),IF(LEFT(C304,3)="INC",VLOOKUP(VALUE(RIGHT(C304,3)),'INC-COMP'!B:J,5,FALSE),IF(LEFT(C304,3)="ELE",VLOOKUP(VALUE(RIGHT(C304,3)),#REF!,5,FALSE),IF(LEFT(C304,3)="CAB",VLOOKUP(VALUE(RIGHT(C304,3)),#REF!,5,FALSE),IF(LEFT(C304,3)="SEG",VLOOKUP(VALUE(RIGHT(C304,3)),'SEG-COMP'!B:J,5,FALSE),IF(LEFT(C304,3)="CLI",VLOOKUP(VALUE(RIGHT(C304,3)),'CLI-COMP'!B:J,5,FALSE),IF(LEFT(C304,4)="IMPL",VLOOKUP(VALUE(RIGHT(C304,3)),'IMPL-COMP'!B:J,5,FALSE),IF(LEFT(C304,4)="SPDA",VLOOKUP(VALUE(RIGHT(C304,3)),'SPDA-COMP'!B:J,5,FALSE),IF(LEFT(C304,4)="SDAI",VLOOKUP(VALUE(RIGHT(C304,3)),'ADM-COMP'!B:J,5,FALSE),IF(LEFT(C304,5)="IMPER",VLOOKUP(VALUE(RIGHT(C304,3)),'IMPER-COMP'!B:J,5,FALSE),""))))))))))))))))</f>
        <v>M</v>
      </c>
      <c r="F304" s="599">
        <f>ROUND(VLOOKUP(A304,'MEM-LEVANT'!A292:I2845,9,FALSE),2)</f>
        <v>12</v>
      </c>
      <c r="G304" s="339">
        <f>IF(B304="IOPES",VLOOKUP(C304,'LABOR-SERVIÇOS'!A:H,7,FALSE),IF(B304="SINAPI",VLOOKUP(C304,'SINAPI-SERVIÇOS'!A:H,8,FALSE),IF(LEFT(C304,3)="ARQ",VLOOKUP(VALUE(RIGHT(C304,3)),'ARQ-COMP'!B:J,9,FALSE),IF(LEFT(C304,3)="SCI",VLOOKUP(VALUE(RIGHT(C304,3)),'GAS-COMP'!#REF!,9,FALSE),IF(LEFT(C304,3)="SCE",VLOOKUP(VALUE(RIGHT(C304,3)),'SCE-COMP'!B:J,9,FALSE),IF(LEFT(C304,3)="EST",VLOOKUP(VALUE(RIGHT(C304,3)),'EST-COMP'!B:J,9,FALSE),IF(LEFT(C304,3)="HID",VLOOKUP(VALUE(RIGHT(C304,3)),'HID-COMP'!B:J,9,FALSE),IF(LEFT(C304,3)="INC",VLOOKUP(VALUE(RIGHT(C304,3)),'INC-COMP'!B:J,9,FALSE),IF(LEFT(C304,3)="ELE",VLOOKUP(VALUE(RIGHT(C304,3)),#REF!,9,FALSE),IF(LEFT(C304,3)="CAB",VLOOKUP(VALUE(RIGHT(C304,3)),#REF!,9,FALSE),IF(LEFT(C304,3)="SEG",VLOOKUP(VALUE(RIGHT(C304,3)),'SEG-COMP'!B:J,9,FALSE),IF(LEFT(C304,3)="CLI",VLOOKUP(VALUE(RIGHT(C304,3)),'CLI-COMP'!B:J,9,FALSE),IF(LEFT(C304,4)="IMPL",VLOOKUP(VALUE(RIGHT(C304,3)),'IMPL-COMP'!B:J,9,FALSE),IF(LEFT(C304,4)="SPDA",VLOOKUP(VALUE(RIGHT(C304,3)),'SPDA-COMP'!B:J,9,FALSE),IF(LEFT(C304,4)="SDAI",VLOOKUP(VALUE(RIGHT(C304,3)),'ADM-COMP'!B:J,9,FALSE),IF(LEFT(C304,5)="IMPER",VLOOKUP(VALUE(RIGHT(C304,3)),'IMPER-COMP'!B:J,9,FALSE),""))))))))))))))))</f>
        <v>380.99</v>
      </c>
      <c r="H304" s="339">
        <f t="shared" si="105"/>
        <v>4571.88</v>
      </c>
      <c r="I304" s="374">
        <f t="shared" si="106"/>
        <v>2.6731594663906977E-4</v>
      </c>
      <c r="J304" s="314"/>
    </row>
    <row r="305" spans="1:10" ht="39.6">
      <c r="A305" s="613" t="s">
        <v>35399</v>
      </c>
      <c r="B305" s="337" t="s">
        <v>2879</v>
      </c>
      <c r="C305" s="540">
        <f>160633</f>
        <v>160633</v>
      </c>
      <c r="D305" s="539" t="str">
        <f>IF(B305="IOPES",VLOOKUP(C305,'LABOR-SERVIÇOS'!A:H,5,FALSE),IF(B305="SINAPI",VLOOKUP(C305,'SINAPI-SERVIÇOS'!A:D,2,FALSE),IF(LEFT(C305,3)="ARQ",VLOOKUP(VALUE(RIGHT(C305,3)),'ARQ-COMP'!B:J,4,FALSE),IF(LEFT(C305,3)="SCI",VLOOKUP(VALUE(RIGHT(C305,3)),'GAS-COMP'!#REF!,4,FALSE),IF(LEFT(C305,3)="SCE",VLOOKUP(VALUE(RIGHT(C305,3)),'SCE-COMP'!B:J,4,FALSE),IF(LEFT(C305,3)="EST",VLOOKUP(VALUE(RIGHT(C305,3)),'EST-COMP'!B:J,4,FALSE),IF(LEFT(C305,3)="HID",VLOOKUP(VALUE(RIGHT(C305,3)),'HID-COMP'!B:J,4,FALSE),IF(LEFT(C305,3)="INC",VLOOKUP(VALUE(RIGHT(C305,3)),'INC-COMP'!B:J,4,FALSE),IF(LEFT(C305,3)="ELE",VLOOKUP(VALUE(RIGHT(C305,3)),#REF!,4,FALSE),IF(LEFT(C305,3)="CAB",VLOOKUP(VALUE(RIGHT(C305,3)),#REF!,4,FALSE),IF(LEFT(C305,3)="SEG",VLOOKUP(VALUE(RIGHT(C305,3)),'SEG-COMP'!B:J,4,FALSE),IF(LEFT(C305,3)="CLI",VLOOKUP(VALUE(RIGHT(C305,3)),'CLI-COMP'!B:J,4,FALSE),IF(LEFT(C305,4)="IMPL",VLOOKUP(VALUE(RIGHT(C305,3)),'IMPL-COMP'!B:J,4,FALSE),IF(LEFT(C305,4)="SPDA",VLOOKUP(VALUE(RIGHT(C305,3)),'SPDA-COMP'!B:J,4,FALSE),IF(LEFT(C305,4)="SDAI",VLOOKUP(VALUE(RIGHT(C305,3)),'ADM-COMP'!B:J,4,FALSE),IF(LEFT(C305,5)="IMPER",VLOOKUP(VALUE(RIGHT(C305,3)),'IMPER-COMP'!B:J,4,FALSE),""))))))))))))))))</f>
        <v>REGISTRO DE GAVETA BRUTO DIÂMETRO 2" (50MM), VOLANTE EM AÇO COM ACABAMENTO PINTURA EPÓXI VERMELHA ? DOCOL, DECA OU EQUIVALENTE</v>
      </c>
      <c r="E305" s="338" t="str">
        <f>IF(B305="IOPES",VLOOKUP(C305,'LABOR-SERVIÇOS'!A:H,6,FALSE),IF(B305="SINAPI",VLOOKUP(C305,'SINAPI-SERVIÇOS'!A:D,3,FALSE),IF(LEFT(C305,3)="ARQ",VLOOKUP(VALUE(RIGHT(C305,3)),'ARQ-COMP'!B:J,5,FALSE),IF(LEFT(C305,3)="SCI",VLOOKUP(VALUE(RIGHT(C305,3)),'GAS-COMP'!#REF!,5,FALSE),IF(LEFT(C305,3)="SCE",VLOOKUP(VALUE(RIGHT(C305,3)),'SCE-COMP'!B:J,5,FALSE),IF(LEFT(C305,3)="EST",VLOOKUP(VALUE(RIGHT(C305,3)),'EST-COMP'!B:J,5,FALSE),IF(LEFT(C305,3)="HID",VLOOKUP(VALUE(RIGHT(C305,3)),'HID-COMP'!B:J,5,FALSE),IF(LEFT(C305,3)="INC",VLOOKUP(VALUE(RIGHT(C305,3)),'INC-COMP'!B:J,5,FALSE),IF(LEFT(C305,3)="ELE",VLOOKUP(VALUE(RIGHT(C305,3)),#REF!,5,FALSE),IF(LEFT(C305,3)="CAB",VLOOKUP(VALUE(RIGHT(C305,3)),#REF!,5,FALSE),IF(LEFT(C305,3)="SEG",VLOOKUP(VALUE(RIGHT(C305,3)),'SEG-COMP'!B:J,5,FALSE),IF(LEFT(C305,3)="CLI",VLOOKUP(VALUE(RIGHT(C305,3)),'CLI-COMP'!B:J,5,FALSE),IF(LEFT(C305,4)="IMPL",VLOOKUP(VALUE(RIGHT(C305,3)),'IMPL-COMP'!B:J,5,FALSE),IF(LEFT(C305,4)="SPDA",VLOOKUP(VALUE(RIGHT(C305,3)),'SPDA-COMP'!B:J,5,FALSE),IF(LEFT(C305,4)="SDAI",VLOOKUP(VALUE(RIGHT(C305,3)),'ADM-COMP'!B:J,5,FALSE),IF(LEFT(C305,5)="IMPER",VLOOKUP(VALUE(RIGHT(C305,3)),'IMPER-COMP'!B:J,5,FALSE),""))))))))))))))))</f>
        <v>UND</v>
      </c>
      <c r="F305" s="599">
        <f>ROUND(VLOOKUP(A305,'MEM-LEVANT'!A293:I2846,9,FALSE),2)</f>
        <v>6</v>
      </c>
      <c r="G305" s="339">
        <f>IF(B305="IOPES",VLOOKUP(C305,'LABOR-SERVIÇOS'!A:H,7,FALSE),IF(B305="SINAPI",VLOOKUP(C305,'SINAPI-SERVIÇOS'!A:H,8,FALSE),IF(LEFT(C305,3)="ARQ",VLOOKUP(VALUE(RIGHT(C305,3)),'ARQ-COMP'!B:J,9,FALSE),IF(LEFT(C305,3)="SCI",VLOOKUP(VALUE(RIGHT(C305,3)),'GAS-COMP'!#REF!,9,FALSE),IF(LEFT(C305,3)="SCE",VLOOKUP(VALUE(RIGHT(C305,3)),'SCE-COMP'!B:J,9,FALSE),IF(LEFT(C305,3)="EST",VLOOKUP(VALUE(RIGHT(C305,3)),'EST-COMP'!B:J,9,FALSE),IF(LEFT(C305,3)="HID",VLOOKUP(VALUE(RIGHT(C305,3)),'HID-COMP'!B:J,9,FALSE),IF(LEFT(C305,3)="INC",VLOOKUP(VALUE(RIGHT(C305,3)),'INC-COMP'!B:J,9,FALSE),IF(LEFT(C305,3)="ELE",VLOOKUP(VALUE(RIGHT(C305,3)),#REF!,9,FALSE),IF(LEFT(C305,3)="CAB",VLOOKUP(VALUE(RIGHT(C305,3)),#REF!,9,FALSE),IF(LEFT(C305,3)="SEG",VLOOKUP(VALUE(RIGHT(C305,3)),'SEG-COMP'!B:J,9,FALSE),IF(LEFT(C305,3)="CLI",VLOOKUP(VALUE(RIGHT(C305,3)),'CLI-COMP'!B:J,9,FALSE),IF(LEFT(C305,4)="IMPL",VLOOKUP(VALUE(RIGHT(C305,3)),'IMPL-COMP'!B:J,9,FALSE),IF(LEFT(C305,4)="SPDA",VLOOKUP(VALUE(RIGHT(C305,3)),'SPDA-COMP'!B:J,9,FALSE),IF(LEFT(C305,4)="SDAI",VLOOKUP(VALUE(RIGHT(C305,3)),'ADM-COMP'!B:J,9,FALSE),IF(LEFT(C305,5)="IMPER",VLOOKUP(VALUE(RIGHT(C305,3)),'IMPER-COMP'!B:J,9,FALSE),""))))))))))))))))</f>
        <v>301.85000000000002</v>
      </c>
      <c r="H305" s="339">
        <f t="shared" si="105"/>
        <v>1811.1</v>
      </c>
      <c r="I305" s="374">
        <f t="shared" si="106"/>
        <v>1.0589427346256227E-4</v>
      </c>
      <c r="J305" s="314"/>
    </row>
    <row r="306" spans="1:10" ht="39.6">
      <c r="A306" s="613" t="s">
        <v>35400</v>
      </c>
      <c r="B306" s="337" t="s">
        <v>2879</v>
      </c>
      <c r="C306" s="540">
        <f>160634</f>
        <v>160634</v>
      </c>
      <c r="D306" s="539" t="str">
        <f>IF(B306="IOPES",VLOOKUP(C306,'LABOR-SERVIÇOS'!A:H,5,FALSE),IF(B306="SINAPI",VLOOKUP(C306,'SINAPI-SERVIÇOS'!A:D,2,FALSE),IF(LEFT(C306,3)="ARQ",VLOOKUP(VALUE(RIGHT(C306,3)),'ARQ-COMP'!B:J,4,FALSE),IF(LEFT(C306,3)="SCI",VLOOKUP(VALUE(RIGHT(C306,3)),'GAS-COMP'!#REF!,4,FALSE),IF(LEFT(C306,3)="SCE",VLOOKUP(VALUE(RIGHT(C306,3)),'SCE-COMP'!B:J,4,FALSE),IF(LEFT(C306,3)="EST",VLOOKUP(VALUE(RIGHT(C306,3)),'EST-COMP'!B:J,4,FALSE),IF(LEFT(C306,3)="HID",VLOOKUP(VALUE(RIGHT(C306,3)),'HID-COMP'!B:J,4,FALSE),IF(LEFT(C306,3)="INC",VLOOKUP(VALUE(RIGHT(C306,3)),'INC-COMP'!B:J,4,FALSE),IF(LEFT(C306,3)="ELE",VLOOKUP(VALUE(RIGHT(C306,3)),#REF!,4,FALSE),IF(LEFT(C306,3)="CAB",VLOOKUP(VALUE(RIGHT(C306,3)),#REF!,4,FALSE),IF(LEFT(C306,3)="SEG",VLOOKUP(VALUE(RIGHT(C306,3)),'SEG-COMP'!B:J,4,FALSE),IF(LEFT(C306,3)="CLI",VLOOKUP(VALUE(RIGHT(C306,3)),'CLI-COMP'!B:J,4,FALSE),IF(LEFT(C306,4)="IMPL",VLOOKUP(VALUE(RIGHT(C306,3)),'IMPL-COMP'!B:J,4,FALSE),IF(LEFT(C306,4)="SPDA",VLOOKUP(VALUE(RIGHT(C306,3)),'SPDA-COMP'!B:J,4,FALSE),IF(LEFT(C306,4)="SDAI",VLOOKUP(VALUE(RIGHT(C306,3)),'ADM-COMP'!B:J,4,FALSE),IF(LEFT(C306,5)="IMPER",VLOOKUP(VALUE(RIGHT(C306,3)),'IMPER-COMP'!B:J,4,FALSE),""))))))))))))))))</f>
        <v>REGISTRO DE GAVETA BRUTO DIÂMETRO 2.1/2" (65MM), VOLANTE EM AÇO COM ACABAMENTO PINTURA EPÓXI VERMELHA ? DOCOL, DECA OU EQUIVALENTE</v>
      </c>
      <c r="E306" s="338" t="str">
        <f>IF(B306="IOPES",VLOOKUP(C306,'LABOR-SERVIÇOS'!A:H,6,FALSE),IF(B306="SINAPI",VLOOKUP(C306,'SINAPI-SERVIÇOS'!A:D,3,FALSE),IF(LEFT(C306,3)="ARQ",VLOOKUP(VALUE(RIGHT(C306,3)),'ARQ-COMP'!B:J,5,FALSE),IF(LEFT(C306,3)="SCI",VLOOKUP(VALUE(RIGHT(C306,3)),'GAS-COMP'!#REF!,5,FALSE),IF(LEFT(C306,3)="SCE",VLOOKUP(VALUE(RIGHT(C306,3)),'SCE-COMP'!B:J,5,FALSE),IF(LEFT(C306,3)="EST",VLOOKUP(VALUE(RIGHT(C306,3)),'EST-COMP'!B:J,5,FALSE),IF(LEFT(C306,3)="HID",VLOOKUP(VALUE(RIGHT(C306,3)),'HID-COMP'!B:J,5,FALSE),IF(LEFT(C306,3)="INC",VLOOKUP(VALUE(RIGHT(C306,3)),'INC-COMP'!B:J,5,FALSE),IF(LEFT(C306,3)="ELE",VLOOKUP(VALUE(RIGHT(C306,3)),#REF!,5,FALSE),IF(LEFT(C306,3)="CAB",VLOOKUP(VALUE(RIGHT(C306,3)),#REF!,5,FALSE),IF(LEFT(C306,3)="SEG",VLOOKUP(VALUE(RIGHT(C306,3)),'SEG-COMP'!B:J,5,FALSE),IF(LEFT(C306,3)="CLI",VLOOKUP(VALUE(RIGHT(C306,3)),'CLI-COMP'!B:J,5,FALSE),IF(LEFT(C306,4)="IMPL",VLOOKUP(VALUE(RIGHT(C306,3)),'IMPL-COMP'!B:J,5,FALSE),IF(LEFT(C306,4)="SPDA",VLOOKUP(VALUE(RIGHT(C306,3)),'SPDA-COMP'!B:J,5,FALSE),IF(LEFT(C306,4)="SDAI",VLOOKUP(VALUE(RIGHT(C306,3)),'ADM-COMP'!B:J,5,FALSE),IF(LEFT(C306,5)="IMPER",VLOOKUP(VALUE(RIGHT(C306,3)),'IMPER-COMP'!B:J,5,FALSE),""))))))))))))))))</f>
        <v>UND</v>
      </c>
      <c r="F306" s="599">
        <f>ROUND(VLOOKUP(A306,'MEM-LEVANT'!A294:I2847,9,FALSE),2)</f>
        <v>6</v>
      </c>
      <c r="G306" s="339">
        <f>IF(B306="IOPES",VLOOKUP(C306,'LABOR-SERVIÇOS'!A:H,7,FALSE),IF(B306="SINAPI",VLOOKUP(C306,'SINAPI-SERVIÇOS'!A:H,8,FALSE),IF(LEFT(C306,3)="ARQ",VLOOKUP(VALUE(RIGHT(C306,3)),'ARQ-COMP'!B:J,9,FALSE),IF(LEFT(C306,3)="SCI",VLOOKUP(VALUE(RIGHT(C306,3)),'GAS-COMP'!#REF!,9,FALSE),IF(LEFT(C306,3)="SCE",VLOOKUP(VALUE(RIGHT(C306,3)),'SCE-COMP'!B:J,9,FALSE),IF(LEFT(C306,3)="EST",VLOOKUP(VALUE(RIGHT(C306,3)),'EST-COMP'!B:J,9,FALSE),IF(LEFT(C306,3)="HID",VLOOKUP(VALUE(RIGHT(C306,3)),'HID-COMP'!B:J,9,FALSE),IF(LEFT(C306,3)="INC",VLOOKUP(VALUE(RIGHT(C306,3)),'INC-COMP'!B:J,9,FALSE),IF(LEFT(C306,3)="ELE",VLOOKUP(VALUE(RIGHT(C306,3)),#REF!,9,FALSE),IF(LEFT(C306,3)="CAB",VLOOKUP(VALUE(RIGHT(C306,3)),#REF!,9,FALSE),IF(LEFT(C306,3)="SEG",VLOOKUP(VALUE(RIGHT(C306,3)),'SEG-COMP'!B:J,9,FALSE),IF(LEFT(C306,3)="CLI",VLOOKUP(VALUE(RIGHT(C306,3)),'CLI-COMP'!B:J,9,FALSE),IF(LEFT(C306,4)="IMPL",VLOOKUP(VALUE(RIGHT(C306,3)),'IMPL-COMP'!B:J,9,FALSE),IF(LEFT(C306,4)="SPDA",VLOOKUP(VALUE(RIGHT(C306,3)),'SPDA-COMP'!B:J,9,FALSE),IF(LEFT(C306,4)="SDAI",VLOOKUP(VALUE(RIGHT(C306,3)),'ADM-COMP'!B:J,9,FALSE),IF(LEFT(C306,5)="IMPER",VLOOKUP(VALUE(RIGHT(C306,3)),'IMPER-COMP'!B:J,9,FALSE),""))))))))))))))))</f>
        <v>539.74</v>
      </c>
      <c r="H306" s="339">
        <f t="shared" si="105"/>
        <v>3238.44</v>
      </c>
      <c r="I306" s="374">
        <f t="shared" si="106"/>
        <v>1.8935025727574413E-4</v>
      </c>
      <c r="J306" s="314"/>
    </row>
    <row r="307" spans="1:10" ht="39.6">
      <c r="A307" s="613" t="s">
        <v>35401</v>
      </c>
      <c r="B307" s="337" t="s">
        <v>2879</v>
      </c>
      <c r="C307" s="540">
        <f>160636</f>
        <v>160636</v>
      </c>
      <c r="D307" s="539" t="str">
        <f>IF(B307="IOPES",VLOOKUP(C307,'LABOR-SERVIÇOS'!A:H,5,FALSE),IF(B307="SINAPI",VLOOKUP(C307,'SINAPI-SERVIÇOS'!A:D,2,FALSE),IF(LEFT(C307,3)="ARQ",VLOOKUP(VALUE(RIGHT(C307,3)),'ARQ-COMP'!B:J,4,FALSE),IF(LEFT(C307,3)="SCI",VLOOKUP(VALUE(RIGHT(C307,3)),'GAS-COMP'!#REF!,4,FALSE),IF(LEFT(C307,3)="SCE",VLOOKUP(VALUE(RIGHT(C307,3)),'SCE-COMP'!B:J,4,FALSE),IF(LEFT(C307,3)="EST",VLOOKUP(VALUE(RIGHT(C307,3)),'EST-COMP'!B:J,4,FALSE),IF(LEFT(C307,3)="HID",VLOOKUP(VALUE(RIGHT(C307,3)),'HID-COMP'!B:J,4,FALSE),IF(LEFT(C307,3)="INC",VLOOKUP(VALUE(RIGHT(C307,3)),'INC-COMP'!B:J,4,FALSE),IF(LEFT(C307,3)="ELE",VLOOKUP(VALUE(RIGHT(C307,3)),#REF!,4,FALSE),IF(LEFT(C307,3)="CAB",VLOOKUP(VALUE(RIGHT(C307,3)),#REF!,4,FALSE),IF(LEFT(C307,3)="SEG",VLOOKUP(VALUE(RIGHT(C307,3)),'SEG-COMP'!B:J,4,FALSE),IF(LEFT(C307,3)="CLI",VLOOKUP(VALUE(RIGHT(C307,3)),'CLI-COMP'!B:J,4,FALSE),IF(LEFT(C307,4)="IMPL",VLOOKUP(VALUE(RIGHT(C307,3)),'IMPL-COMP'!B:J,4,FALSE),IF(LEFT(C307,4)="SPDA",VLOOKUP(VALUE(RIGHT(C307,3)),'SPDA-COMP'!B:J,4,FALSE),IF(LEFT(C307,4)="SDAI",VLOOKUP(VALUE(RIGHT(C307,3)),'ADM-COMP'!B:J,4,FALSE),IF(LEFT(C307,5)="IMPER",VLOOKUP(VALUE(RIGHT(C307,3)),'IMPER-COMP'!B:J,4,FALSE),""))))))))))))))))</f>
        <v>REGISTRO DE GAVETA BRUTO DIÂMETRO 4" (100MM), VOLANTE EM AÇO COM ACABAMENTO PINTURA EPÓXI VERMELHA ? DOCOL, DECA OU EQUIVALENTE</v>
      </c>
      <c r="E307" s="338" t="str">
        <f>IF(B307="IOPES",VLOOKUP(C307,'LABOR-SERVIÇOS'!A:H,6,FALSE),IF(B307="SINAPI",VLOOKUP(C307,'SINAPI-SERVIÇOS'!A:D,3,FALSE),IF(LEFT(C307,3)="ARQ",VLOOKUP(VALUE(RIGHT(C307,3)),'ARQ-COMP'!B:J,5,FALSE),IF(LEFT(C307,3)="SCI",VLOOKUP(VALUE(RIGHT(C307,3)),'GAS-COMP'!#REF!,5,FALSE),IF(LEFT(C307,3)="SCE",VLOOKUP(VALUE(RIGHT(C307,3)),'SCE-COMP'!B:J,5,FALSE),IF(LEFT(C307,3)="EST",VLOOKUP(VALUE(RIGHT(C307,3)),'EST-COMP'!B:J,5,FALSE),IF(LEFT(C307,3)="HID",VLOOKUP(VALUE(RIGHT(C307,3)),'HID-COMP'!B:J,5,FALSE),IF(LEFT(C307,3)="INC",VLOOKUP(VALUE(RIGHT(C307,3)),'INC-COMP'!B:J,5,FALSE),IF(LEFT(C307,3)="ELE",VLOOKUP(VALUE(RIGHT(C307,3)),#REF!,5,FALSE),IF(LEFT(C307,3)="CAB",VLOOKUP(VALUE(RIGHT(C307,3)),#REF!,5,FALSE),IF(LEFT(C307,3)="SEG",VLOOKUP(VALUE(RIGHT(C307,3)),'SEG-COMP'!B:J,5,FALSE),IF(LEFT(C307,3)="CLI",VLOOKUP(VALUE(RIGHT(C307,3)),'CLI-COMP'!B:J,5,FALSE),IF(LEFT(C307,4)="IMPL",VLOOKUP(VALUE(RIGHT(C307,3)),'IMPL-COMP'!B:J,5,FALSE),IF(LEFT(C307,4)="SPDA",VLOOKUP(VALUE(RIGHT(C307,3)),'SPDA-COMP'!B:J,5,FALSE),IF(LEFT(C307,4)="SDAI",VLOOKUP(VALUE(RIGHT(C307,3)),'ADM-COMP'!B:J,5,FALSE),IF(LEFT(C307,5)="IMPER",VLOOKUP(VALUE(RIGHT(C307,3)),'IMPER-COMP'!B:J,5,FALSE),""))))))))))))))))</f>
        <v>UND</v>
      </c>
      <c r="F307" s="599">
        <f>ROUND(VLOOKUP(A307,'MEM-LEVANT'!A295:I2848,9,FALSE),2)</f>
        <v>2</v>
      </c>
      <c r="G307" s="339">
        <f>IF(B307="IOPES",VLOOKUP(C307,'LABOR-SERVIÇOS'!A:H,7,FALSE),IF(B307="SINAPI",VLOOKUP(C307,'SINAPI-SERVIÇOS'!A:H,8,FALSE),IF(LEFT(C307,3)="ARQ",VLOOKUP(VALUE(RIGHT(C307,3)),'ARQ-COMP'!B:J,9,FALSE),IF(LEFT(C307,3)="SCI",VLOOKUP(VALUE(RIGHT(C307,3)),'GAS-COMP'!#REF!,9,FALSE),IF(LEFT(C307,3)="SCE",VLOOKUP(VALUE(RIGHT(C307,3)),'SCE-COMP'!B:J,9,FALSE),IF(LEFT(C307,3)="EST",VLOOKUP(VALUE(RIGHT(C307,3)),'EST-COMP'!B:J,9,FALSE),IF(LEFT(C307,3)="HID",VLOOKUP(VALUE(RIGHT(C307,3)),'HID-COMP'!B:J,9,FALSE),IF(LEFT(C307,3)="INC",VLOOKUP(VALUE(RIGHT(C307,3)),'INC-COMP'!B:J,9,FALSE),IF(LEFT(C307,3)="ELE",VLOOKUP(VALUE(RIGHT(C307,3)),#REF!,9,FALSE),IF(LEFT(C307,3)="CAB",VLOOKUP(VALUE(RIGHT(C307,3)),#REF!,9,FALSE),IF(LEFT(C307,3)="SEG",VLOOKUP(VALUE(RIGHT(C307,3)),'SEG-COMP'!B:J,9,FALSE),IF(LEFT(C307,3)="CLI",VLOOKUP(VALUE(RIGHT(C307,3)),'CLI-COMP'!B:J,9,FALSE),IF(LEFT(C307,4)="IMPL",VLOOKUP(VALUE(RIGHT(C307,3)),'IMPL-COMP'!B:J,9,FALSE),IF(LEFT(C307,4)="SPDA",VLOOKUP(VALUE(RIGHT(C307,3)),'SPDA-COMP'!B:J,9,FALSE),IF(LEFT(C307,4)="SDAI",VLOOKUP(VALUE(RIGHT(C307,3)),'ADM-COMP'!B:J,9,FALSE),IF(LEFT(C307,5)="IMPER",VLOOKUP(VALUE(RIGHT(C307,3)),'IMPER-COMP'!B:J,9,FALSE),""))))))))))))))))</f>
        <v>1128.04</v>
      </c>
      <c r="H307" s="339">
        <f t="shared" si="105"/>
        <v>2256.08</v>
      </c>
      <c r="I307" s="374">
        <f t="shared" si="106"/>
        <v>1.3191207137839848E-4</v>
      </c>
      <c r="J307" s="314"/>
    </row>
    <row r="308" spans="1:10" ht="52.8">
      <c r="A308" s="613" t="s">
        <v>35402</v>
      </c>
      <c r="B308" s="337" t="s">
        <v>2879</v>
      </c>
      <c r="C308" s="540">
        <f>160637</f>
        <v>160637</v>
      </c>
      <c r="D308" s="539" t="str">
        <f>IF(B308="IOPES",VLOOKUP(C308,'LABOR-SERVIÇOS'!A:H,5,FALSE),IF(B308="SINAPI",VLOOKUP(C308,'SINAPI-SERVIÇOS'!A:D,2,FALSE),IF(LEFT(C308,3)="ARQ",VLOOKUP(VALUE(RIGHT(C308,3)),'ARQ-COMP'!B:J,4,FALSE),IF(LEFT(C308,3)="SCI",VLOOKUP(VALUE(RIGHT(C308,3)),'GAS-COMP'!#REF!,4,FALSE),IF(LEFT(C308,3)="SCE",VLOOKUP(VALUE(RIGHT(C308,3)),'SCE-COMP'!B:J,4,FALSE),IF(LEFT(C308,3)="EST",VLOOKUP(VALUE(RIGHT(C308,3)),'EST-COMP'!B:J,4,FALSE),IF(LEFT(C308,3)="HID",VLOOKUP(VALUE(RIGHT(C308,3)),'HID-COMP'!B:J,4,FALSE),IF(LEFT(C308,3)="INC",VLOOKUP(VALUE(RIGHT(C308,3)),'INC-COMP'!B:J,4,FALSE),IF(LEFT(C308,3)="ELE",VLOOKUP(VALUE(RIGHT(C308,3)),#REF!,4,FALSE),IF(LEFT(C308,3)="CAB",VLOOKUP(VALUE(RIGHT(C308,3)),#REF!,4,FALSE),IF(LEFT(C308,3)="SEG",VLOOKUP(VALUE(RIGHT(C308,3)),'SEG-COMP'!B:J,4,FALSE),IF(LEFT(C308,3)="CLI",VLOOKUP(VALUE(RIGHT(C308,3)),'CLI-COMP'!B:J,4,FALSE),IF(LEFT(C308,4)="IMPL",VLOOKUP(VALUE(RIGHT(C308,3)),'IMPL-COMP'!B:J,4,FALSE),IF(LEFT(C308,4)="SPDA",VLOOKUP(VALUE(RIGHT(C308,3)),'SPDA-COMP'!B:J,4,FALSE),IF(LEFT(C308,4)="SDAI",VLOOKUP(VALUE(RIGHT(C308,3)),'ADM-COMP'!B:J,4,FALSE),IF(LEFT(C308,5)="IMPER",VLOOKUP(VALUE(RIGHT(C308,3)),'IMPER-COMP'!B:J,4,FALSE),""))))))))))))))))</f>
        <v>TÊ DE FERRO FUNDIDO MALEÁVEL 90º CLASSE LEVE, DIÂMETRO 50MM (2"), INCLUSIVE PINTURA COM UMA DEMÃO DE PRIMER EPOXI E DUAS DEMÃOS DE TINTA À BASE DE EPOXI NA COR VERMELHA</v>
      </c>
      <c r="E308" s="338" t="str">
        <f>IF(B308="IOPES",VLOOKUP(C308,'LABOR-SERVIÇOS'!A:H,6,FALSE),IF(B308="SINAPI",VLOOKUP(C308,'SINAPI-SERVIÇOS'!A:D,3,FALSE),IF(LEFT(C308,3)="ARQ",VLOOKUP(VALUE(RIGHT(C308,3)),'ARQ-COMP'!B:J,5,FALSE),IF(LEFT(C308,3)="SCI",VLOOKUP(VALUE(RIGHT(C308,3)),'GAS-COMP'!#REF!,5,FALSE),IF(LEFT(C308,3)="SCE",VLOOKUP(VALUE(RIGHT(C308,3)),'SCE-COMP'!B:J,5,FALSE),IF(LEFT(C308,3)="EST",VLOOKUP(VALUE(RIGHT(C308,3)),'EST-COMP'!B:J,5,FALSE),IF(LEFT(C308,3)="HID",VLOOKUP(VALUE(RIGHT(C308,3)),'HID-COMP'!B:J,5,FALSE),IF(LEFT(C308,3)="INC",VLOOKUP(VALUE(RIGHT(C308,3)),'INC-COMP'!B:J,5,FALSE),IF(LEFT(C308,3)="ELE",VLOOKUP(VALUE(RIGHT(C308,3)),#REF!,5,FALSE),IF(LEFT(C308,3)="CAB",VLOOKUP(VALUE(RIGHT(C308,3)),#REF!,5,FALSE),IF(LEFT(C308,3)="SEG",VLOOKUP(VALUE(RIGHT(C308,3)),'SEG-COMP'!B:J,5,FALSE),IF(LEFT(C308,3)="CLI",VLOOKUP(VALUE(RIGHT(C308,3)),'CLI-COMP'!B:J,5,FALSE),IF(LEFT(C308,4)="IMPL",VLOOKUP(VALUE(RIGHT(C308,3)),'IMPL-COMP'!B:J,5,FALSE),IF(LEFT(C308,4)="SPDA",VLOOKUP(VALUE(RIGHT(C308,3)),'SPDA-COMP'!B:J,5,FALSE),IF(LEFT(C308,4)="SDAI",VLOOKUP(VALUE(RIGHT(C308,3)),'ADM-COMP'!B:J,5,FALSE),IF(LEFT(C308,5)="IMPER",VLOOKUP(VALUE(RIGHT(C308,3)),'IMPER-COMP'!B:J,5,FALSE),""))))))))))))))))</f>
        <v>UND</v>
      </c>
      <c r="F308" s="599">
        <f>ROUND(VLOOKUP(A308,'MEM-LEVANT'!A295:I2849,9,FALSE),2)</f>
        <v>5</v>
      </c>
      <c r="G308" s="339">
        <f>IF(B308="IOPES",VLOOKUP(C308,'LABOR-SERVIÇOS'!A:H,7,FALSE),IF(B308="SINAPI",VLOOKUP(C308,'SINAPI-SERVIÇOS'!A:H,8,FALSE),IF(LEFT(C308,3)="ARQ",VLOOKUP(VALUE(RIGHT(C308,3)),'ARQ-COMP'!B:J,9,FALSE),IF(LEFT(C308,3)="SCI",VLOOKUP(VALUE(RIGHT(C308,3)),'GAS-COMP'!#REF!,9,FALSE),IF(LEFT(C308,3)="SCE",VLOOKUP(VALUE(RIGHT(C308,3)),'SCE-COMP'!B:J,9,FALSE),IF(LEFT(C308,3)="EST",VLOOKUP(VALUE(RIGHT(C308,3)),'EST-COMP'!B:J,9,FALSE),IF(LEFT(C308,3)="HID",VLOOKUP(VALUE(RIGHT(C308,3)),'HID-COMP'!B:J,9,FALSE),IF(LEFT(C308,3)="INC",VLOOKUP(VALUE(RIGHT(C308,3)),'INC-COMP'!B:J,9,FALSE),IF(LEFT(C308,3)="ELE",VLOOKUP(VALUE(RIGHT(C308,3)),#REF!,9,FALSE),IF(LEFT(C308,3)="CAB",VLOOKUP(VALUE(RIGHT(C308,3)),#REF!,9,FALSE),IF(LEFT(C308,3)="SEG",VLOOKUP(VALUE(RIGHT(C308,3)),'SEG-COMP'!B:J,9,FALSE),IF(LEFT(C308,3)="CLI",VLOOKUP(VALUE(RIGHT(C308,3)),'CLI-COMP'!B:J,9,FALSE),IF(LEFT(C308,4)="IMPL",VLOOKUP(VALUE(RIGHT(C308,3)),'IMPL-COMP'!B:J,9,FALSE),IF(LEFT(C308,4)="SPDA",VLOOKUP(VALUE(RIGHT(C308,3)),'SPDA-COMP'!B:J,9,FALSE),IF(LEFT(C308,4)="SDAI",VLOOKUP(VALUE(RIGHT(C308,3)),'ADM-COMP'!B:J,9,FALSE),IF(LEFT(C308,5)="IMPER",VLOOKUP(VALUE(RIGHT(C308,3)),'IMPER-COMP'!B:J,9,FALSE),""))))))))))))))))</f>
        <v>124.06</v>
      </c>
      <c r="H308" s="339">
        <f t="shared" si="105"/>
        <v>620.29999999999995</v>
      </c>
      <c r="I308" s="374">
        <f t="shared" si="106"/>
        <v>3.6268686339146031E-5</v>
      </c>
      <c r="J308" s="314"/>
    </row>
    <row r="309" spans="1:10" ht="52.8">
      <c r="A309" s="613" t="s">
        <v>35403</v>
      </c>
      <c r="B309" s="337" t="s">
        <v>2879</v>
      </c>
      <c r="C309" s="540">
        <f>160638</f>
        <v>160638</v>
      </c>
      <c r="D309" s="539" t="str">
        <f>IF(B309="IOPES",VLOOKUP(C309,'LABOR-SERVIÇOS'!A:H,5,FALSE),IF(B309="SINAPI",VLOOKUP(C309,'SINAPI-SERVIÇOS'!A:D,2,FALSE),IF(LEFT(C309,3)="ARQ",VLOOKUP(VALUE(RIGHT(C309,3)),'ARQ-COMP'!B:J,4,FALSE),IF(LEFT(C309,3)="SCI",VLOOKUP(VALUE(RIGHT(C309,3)),'GAS-COMP'!#REF!,4,FALSE),IF(LEFT(C309,3)="SCE",VLOOKUP(VALUE(RIGHT(C309,3)),'SCE-COMP'!B:J,4,FALSE),IF(LEFT(C309,3)="EST",VLOOKUP(VALUE(RIGHT(C309,3)),'EST-COMP'!B:J,4,FALSE),IF(LEFT(C309,3)="HID",VLOOKUP(VALUE(RIGHT(C309,3)),'HID-COMP'!B:J,4,FALSE),IF(LEFT(C309,3)="INC",VLOOKUP(VALUE(RIGHT(C309,3)),'INC-COMP'!B:J,4,FALSE),IF(LEFT(C309,3)="ELE",VLOOKUP(VALUE(RIGHT(C309,3)),#REF!,4,FALSE),IF(LEFT(C309,3)="CAB",VLOOKUP(VALUE(RIGHT(C309,3)),#REF!,4,FALSE),IF(LEFT(C309,3)="SEG",VLOOKUP(VALUE(RIGHT(C309,3)),'SEG-COMP'!B:J,4,FALSE),IF(LEFT(C309,3)="CLI",VLOOKUP(VALUE(RIGHT(C309,3)),'CLI-COMP'!B:J,4,FALSE),IF(LEFT(C309,4)="IMPL",VLOOKUP(VALUE(RIGHT(C309,3)),'IMPL-COMP'!B:J,4,FALSE),IF(LEFT(C309,4)="SPDA",VLOOKUP(VALUE(RIGHT(C309,3)),'SPDA-COMP'!B:J,4,FALSE),IF(LEFT(C309,4)="SDAI",VLOOKUP(VALUE(RIGHT(C309,3)),'ADM-COMP'!B:J,4,FALSE),IF(LEFT(C309,5)="IMPER",VLOOKUP(VALUE(RIGHT(C309,3)),'IMPER-COMP'!B:J,4,FALSE),""))))))))))))))))</f>
        <v>TÊ DE FERRO FUNDIDO MALEÁVEL 90º CLASSE LEVE, DIÂMETRO 65MM (2.1/2"), INCLUSIVE PINTURA COM UMA DEMÃO DE PRIMER EPOXI E DUAS DEMÃOS DE TINTA À BASE DE EPOXI NA COR VERMELHA</v>
      </c>
      <c r="E309" s="338" t="str">
        <f>IF(B309="IOPES",VLOOKUP(C309,'LABOR-SERVIÇOS'!A:H,6,FALSE),IF(B309="SINAPI",VLOOKUP(C309,'SINAPI-SERVIÇOS'!A:D,3,FALSE),IF(LEFT(C309,3)="ARQ",VLOOKUP(VALUE(RIGHT(C309,3)),'ARQ-COMP'!B:J,5,FALSE),IF(LEFT(C309,3)="SCI",VLOOKUP(VALUE(RIGHT(C309,3)),'GAS-COMP'!#REF!,5,FALSE),IF(LEFT(C309,3)="SCE",VLOOKUP(VALUE(RIGHT(C309,3)),'SCE-COMP'!B:J,5,FALSE),IF(LEFT(C309,3)="EST",VLOOKUP(VALUE(RIGHT(C309,3)),'EST-COMP'!B:J,5,FALSE),IF(LEFT(C309,3)="HID",VLOOKUP(VALUE(RIGHT(C309,3)),'HID-COMP'!B:J,5,FALSE),IF(LEFT(C309,3)="INC",VLOOKUP(VALUE(RIGHT(C309,3)),'INC-COMP'!B:J,5,FALSE),IF(LEFT(C309,3)="ELE",VLOOKUP(VALUE(RIGHT(C309,3)),#REF!,5,FALSE),IF(LEFT(C309,3)="CAB",VLOOKUP(VALUE(RIGHT(C309,3)),#REF!,5,FALSE),IF(LEFT(C309,3)="SEG",VLOOKUP(VALUE(RIGHT(C309,3)),'SEG-COMP'!B:J,5,FALSE),IF(LEFT(C309,3)="CLI",VLOOKUP(VALUE(RIGHT(C309,3)),'CLI-COMP'!B:J,5,FALSE),IF(LEFT(C309,4)="IMPL",VLOOKUP(VALUE(RIGHT(C309,3)),'IMPL-COMP'!B:J,5,FALSE),IF(LEFT(C309,4)="SPDA",VLOOKUP(VALUE(RIGHT(C309,3)),'SPDA-COMP'!B:J,5,FALSE),IF(LEFT(C309,4)="SDAI",VLOOKUP(VALUE(RIGHT(C309,3)),'ADM-COMP'!B:J,5,FALSE),IF(LEFT(C309,5)="IMPER",VLOOKUP(VALUE(RIGHT(C309,3)),'IMPER-COMP'!B:J,5,FALSE),""))))))))))))))))</f>
        <v>UND</v>
      </c>
      <c r="F309" s="599">
        <f>ROUND(VLOOKUP(A309,'MEM-LEVANT'!A295:I2850,9,FALSE),2)</f>
        <v>3</v>
      </c>
      <c r="G309" s="339">
        <f>IF(B309="IOPES",VLOOKUP(C309,'LABOR-SERVIÇOS'!A:H,7,FALSE),IF(B309="SINAPI",VLOOKUP(C309,'SINAPI-SERVIÇOS'!A:H,8,FALSE),IF(LEFT(C309,3)="ARQ",VLOOKUP(VALUE(RIGHT(C309,3)),'ARQ-COMP'!B:J,9,FALSE),IF(LEFT(C309,3)="SCI",VLOOKUP(VALUE(RIGHT(C309,3)),'GAS-COMP'!#REF!,9,FALSE),IF(LEFT(C309,3)="SCE",VLOOKUP(VALUE(RIGHT(C309,3)),'SCE-COMP'!B:J,9,FALSE),IF(LEFT(C309,3)="EST",VLOOKUP(VALUE(RIGHT(C309,3)),'EST-COMP'!B:J,9,FALSE),IF(LEFT(C309,3)="HID",VLOOKUP(VALUE(RIGHT(C309,3)),'HID-COMP'!B:J,9,FALSE),IF(LEFT(C309,3)="INC",VLOOKUP(VALUE(RIGHT(C309,3)),'INC-COMP'!B:J,9,FALSE),IF(LEFT(C309,3)="ELE",VLOOKUP(VALUE(RIGHT(C309,3)),#REF!,9,FALSE),IF(LEFT(C309,3)="CAB",VLOOKUP(VALUE(RIGHT(C309,3)),#REF!,9,FALSE),IF(LEFT(C309,3)="SEG",VLOOKUP(VALUE(RIGHT(C309,3)),'SEG-COMP'!B:J,9,FALSE),IF(LEFT(C309,3)="CLI",VLOOKUP(VALUE(RIGHT(C309,3)),'CLI-COMP'!B:J,9,FALSE),IF(LEFT(C309,4)="IMPL",VLOOKUP(VALUE(RIGHT(C309,3)),'IMPL-COMP'!B:J,9,FALSE),IF(LEFT(C309,4)="SPDA",VLOOKUP(VALUE(RIGHT(C309,3)),'SPDA-COMP'!B:J,9,FALSE),IF(LEFT(C309,4)="SDAI",VLOOKUP(VALUE(RIGHT(C309,3)),'ADM-COMP'!B:J,9,FALSE),IF(LEFT(C309,5)="IMPER",VLOOKUP(VALUE(RIGHT(C309,3)),'IMPER-COMP'!B:J,9,FALSE),""))))))))))))))))</f>
        <v>189.07</v>
      </c>
      <c r="H309" s="339">
        <f t="shared" si="105"/>
        <v>567.21</v>
      </c>
      <c r="I309" s="374">
        <f t="shared" si="106"/>
        <v>3.3164535834962152E-5</v>
      </c>
      <c r="J309" s="314"/>
    </row>
    <row r="310" spans="1:10" ht="52.8">
      <c r="A310" s="613" t="s">
        <v>35404</v>
      </c>
      <c r="B310" s="337" t="s">
        <v>2879</v>
      </c>
      <c r="C310" s="540">
        <f>160649</f>
        <v>160649</v>
      </c>
      <c r="D310" s="539" t="str">
        <f>IF(B310="IOPES",VLOOKUP(C310,'LABOR-SERVIÇOS'!A:H,5,FALSE),IF(B310="SINAPI",VLOOKUP(C310,'SINAPI-SERVIÇOS'!A:D,2,FALSE),IF(LEFT(C310,3)="ARQ",VLOOKUP(VALUE(RIGHT(C310,3)),'ARQ-COMP'!B:J,4,FALSE),IF(LEFT(C310,3)="SCI",VLOOKUP(VALUE(RIGHT(C310,3)),'GAS-COMP'!#REF!,4,FALSE),IF(LEFT(C310,3)="SCE",VLOOKUP(VALUE(RIGHT(C310,3)),'SCE-COMP'!B:J,4,FALSE),IF(LEFT(C310,3)="EST",VLOOKUP(VALUE(RIGHT(C310,3)),'EST-COMP'!B:J,4,FALSE),IF(LEFT(C310,3)="HID",VLOOKUP(VALUE(RIGHT(C310,3)),'HID-COMP'!B:J,4,FALSE),IF(LEFT(C310,3)="INC",VLOOKUP(VALUE(RIGHT(C310,3)),'INC-COMP'!B:J,4,FALSE),IF(LEFT(C310,3)="ELE",VLOOKUP(VALUE(RIGHT(C310,3)),#REF!,4,FALSE),IF(LEFT(C310,3)="CAB",VLOOKUP(VALUE(RIGHT(C310,3)),#REF!,4,FALSE),IF(LEFT(C310,3)="SEG",VLOOKUP(VALUE(RIGHT(C310,3)),'SEG-COMP'!B:J,4,FALSE),IF(LEFT(C310,3)="CLI",VLOOKUP(VALUE(RIGHT(C310,3)),'CLI-COMP'!B:J,4,FALSE),IF(LEFT(C310,4)="IMPL",VLOOKUP(VALUE(RIGHT(C310,3)),'IMPL-COMP'!B:J,4,FALSE),IF(LEFT(C310,4)="SPDA",VLOOKUP(VALUE(RIGHT(C310,3)),'SPDA-COMP'!B:J,4,FALSE),IF(LEFT(C310,4)="SDAI",VLOOKUP(VALUE(RIGHT(C310,3)),'ADM-COMP'!B:J,4,FALSE),IF(LEFT(C310,5)="IMPER",VLOOKUP(VALUE(RIGHT(C310,3)),'IMPER-COMP'!B:J,4,FALSE),""))))))))))))))))</f>
        <v>VÁLVULA DE RETENÇÃO HORIZONTAL EM BRONZE, TIPO PORTINHOLA DIÂMETRO 2" (50MM), INCLUSIVE PINTURA COM UMA DEMÃO DE PRIMER EPOXI E DUAS DEMÃOS DE TINTA À BASE DE EPOXI NA COR VERMELHA</v>
      </c>
      <c r="E310" s="338" t="str">
        <f>IF(B310="IOPES",VLOOKUP(C310,'LABOR-SERVIÇOS'!A:H,6,FALSE),IF(B310="SINAPI",VLOOKUP(C310,'SINAPI-SERVIÇOS'!A:D,3,FALSE),IF(LEFT(C310,3)="ARQ",VLOOKUP(VALUE(RIGHT(C310,3)),'ARQ-COMP'!B:J,5,FALSE),IF(LEFT(C310,3)="SCI",VLOOKUP(VALUE(RIGHT(C310,3)),'GAS-COMP'!#REF!,5,FALSE),IF(LEFT(C310,3)="SCE",VLOOKUP(VALUE(RIGHT(C310,3)),'SCE-COMP'!B:J,5,FALSE),IF(LEFT(C310,3)="EST",VLOOKUP(VALUE(RIGHT(C310,3)),'EST-COMP'!B:J,5,FALSE),IF(LEFT(C310,3)="HID",VLOOKUP(VALUE(RIGHT(C310,3)),'HID-COMP'!B:J,5,FALSE),IF(LEFT(C310,3)="INC",VLOOKUP(VALUE(RIGHT(C310,3)),'INC-COMP'!B:J,5,FALSE),IF(LEFT(C310,3)="ELE",VLOOKUP(VALUE(RIGHT(C310,3)),#REF!,5,FALSE),IF(LEFT(C310,3)="CAB",VLOOKUP(VALUE(RIGHT(C310,3)),#REF!,5,FALSE),IF(LEFT(C310,3)="SEG",VLOOKUP(VALUE(RIGHT(C310,3)),'SEG-COMP'!B:J,5,FALSE),IF(LEFT(C310,3)="CLI",VLOOKUP(VALUE(RIGHT(C310,3)),'CLI-COMP'!B:J,5,FALSE),IF(LEFT(C310,4)="IMPL",VLOOKUP(VALUE(RIGHT(C310,3)),'IMPL-COMP'!B:J,5,FALSE),IF(LEFT(C310,4)="SPDA",VLOOKUP(VALUE(RIGHT(C310,3)),'SPDA-COMP'!B:J,5,FALSE),IF(LEFT(C310,4)="SDAI",VLOOKUP(VALUE(RIGHT(C310,3)),'ADM-COMP'!B:J,5,FALSE),IF(LEFT(C310,5)="IMPER",VLOOKUP(VALUE(RIGHT(C310,3)),'IMPER-COMP'!B:J,5,FALSE),""))))))))))))))))</f>
        <v>UND</v>
      </c>
      <c r="F310" s="599">
        <f>ROUND(VLOOKUP(A310,'MEM-LEVANT'!A295:I2851,9,FALSE),2)</f>
        <v>3</v>
      </c>
      <c r="G310" s="339">
        <f>IF(B310="IOPES",VLOOKUP(C310,'LABOR-SERVIÇOS'!A:H,7,FALSE),IF(B310="SINAPI",VLOOKUP(C310,'SINAPI-SERVIÇOS'!A:H,8,FALSE),IF(LEFT(C310,3)="ARQ",VLOOKUP(VALUE(RIGHT(C310,3)),'ARQ-COMP'!B:J,9,FALSE),IF(LEFT(C310,3)="SCI",VLOOKUP(VALUE(RIGHT(C310,3)),'GAS-COMP'!#REF!,9,FALSE),IF(LEFT(C310,3)="SCE",VLOOKUP(VALUE(RIGHT(C310,3)),'SCE-COMP'!B:J,9,FALSE),IF(LEFT(C310,3)="EST",VLOOKUP(VALUE(RIGHT(C310,3)),'EST-COMP'!B:J,9,FALSE),IF(LEFT(C310,3)="HID",VLOOKUP(VALUE(RIGHT(C310,3)),'HID-COMP'!B:J,9,FALSE),IF(LEFT(C310,3)="INC",VLOOKUP(VALUE(RIGHT(C310,3)),'INC-COMP'!B:J,9,FALSE),IF(LEFT(C310,3)="ELE",VLOOKUP(VALUE(RIGHT(C310,3)),#REF!,9,FALSE),IF(LEFT(C310,3)="CAB",VLOOKUP(VALUE(RIGHT(C310,3)),#REF!,9,FALSE),IF(LEFT(C310,3)="SEG",VLOOKUP(VALUE(RIGHT(C310,3)),'SEG-COMP'!B:J,9,FALSE),IF(LEFT(C310,3)="CLI",VLOOKUP(VALUE(RIGHT(C310,3)),'CLI-COMP'!B:J,9,FALSE),IF(LEFT(C310,4)="IMPL",VLOOKUP(VALUE(RIGHT(C310,3)),'IMPL-COMP'!B:J,9,FALSE),IF(LEFT(C310,4)="SPDA",VLOOKUP(VALUE(RIGHT(C310,3)),'SPDA-COMP'!B:J,9,FALSE),IF(LEFT(C310,4)="SDAI",VLOOKUP(VALUE(RIGHT(C310,3)),'ADM-COMP'!B:J,9,FALSE),IF(LEFT(C310,5)="IMPER",VLOOKUP(VALUE(RIGHT(C310,3)),'IMPER-COMP'!B:J,9,FALSE),""))))))))))))))))</f>
        <v>623.79999999999995</v>
      </c>
      <c r="H310" s="339">
        <f t="shared" si="105"/>
        <v>1871.4</v>
      </c>
      <c r="I310" s="374">
        <f t="shared" si="106"/>
        <v>1.0941998970671916E-4</v>
      </c>
      <c r="J310" s="314"/>
    </row>
    <row r="311" spans="1:10" ht="52.8">
      <c r="A311" s="613" t="s">
        <v>35405</v>
      </c>
      <c r="B311" s="337" t="s">
        <v>2879</v>
      </c>
      <c r="C311" s="540">
        <f>160650</f>
        <v>160650</v>
      </c>
      <c r="D311" s="539" t="str">
        <f>IF(B311="IOPES",VLOOKUP(C311,'LABOR-SERVIÇOS'!A:H,5,FALSE),IF(B311="SINAPI",VLOOKUP(C311,'SINAPI-SERVIÇOS'!A:D,2,FALSE),IF(LEFT(C311,3)="ARQ",VLOOKUP(VALUE(RIGHT(C311,3)),'ARQ-COMP'!B:J,4,FALSE),IF(LEFT(C311,3)="SCI",VLOOKUP(VALUE(RIGHT(C311,3)),'GAS-COMP'!#REF!,4,FALSE),IF(LEFT(C311,3)="SCE",VLOOKUP(VALUE(RIGHT(C311,3)),'SCE-COMP'!B:J,4,FALSE),IF(LEFT(C311,3)="EST",VLOOKUP(VALUE(RIGHT(C311,3)),'EST-COMP'!B:J,4,FALSE),IF(LEFT(C311,3)="HID",VLOOKUP(VALUE(RIGHT(C311,3)),'HID-COMP'!B:J,4,FALSE),IF(LEFT(C311,3)="INC",VLOOKUP(VALUE(RIGHT(C311,3)),'INC-COMP'!B:J,4,FALSE),IF(LEFT(C311,3)="ELE",VLOOKUP(VALUE(RIGHT(C311,3)),#REF!,4,FALSE),IF(LEFT(C311,3)="CAB",VLOOKUP(VALUE(RIGHT(C311,3)),#REF!,4,FALSE),IF(LEFT(C311,3)="SEG",VLOOKUP(VALUE(RIGHT(C311,3)),'SEG-COMP'!B:J,4,FALSE),IF(LEFT(C311,3)="CLI",VLOOKUP(VALUE(RIGHT(C311,3)),'CLI-COMP'!B:J,4,FALSE),IF(LEFT(C311,4)="IMPL",VLOOKUP(VALUE(RIGHT(C311,3)),'IMPL-COMP'!B:J,4,FALSE),IF(LEFT(C311,4)="SPDA",VLOOKUP(VALUE(RIGHT(C311,3)),'SPDA-COMP'!B:J,4,FALSE),IF(LEFT(C311,4)="SDAI",VLOOKUP(VALUE(RIGHT(C311,3)),'ADM-COMP'!B:J,4,FALSE),IF(LEFT(C311,5)="IMPER",VLOOKUP(VALUE(RIGHT(C311,3)),'IMPER-COMP'!B:J,4,FALSE),""))))))))))))))))</f>
        <v>VÁLVULA DE RETENÇÃO HORIZONTAL EM BRONZE, TIPO PORTINHOLA DIÂMETRO 2.1/2" (65MM), INCLUSIVE PINTURA COM UMA DEMÃO DE PRIMER EPOXI E DUAS DEMÃOS DE TINTA À BASE DE EPOXI NA COR VERMELHA</v>
      </c>
      <c r="E311" s="338" t="str">
        <f>IF(B311="IOPES",VLOOKUP(C311,'LABOR-SERVIÇOS'!A:H,6,FALSE),IF(B311="SINAPI",VLOOKUP(C311,'SINAPI-SERVIÇOS'!A:D,3,FALSE),IF(LEFT(C311,3)="ARQ",VLOOKUP(VALUE(RIGHT(C311,3)),'ARQ-COMP'!B:J,5,FALSE),IF(LEFT(C311,3)="SCI",VLOOKUP(VALUE(RIGHT(C311,3)),'GAS-COMP'!#REF!,5,FALSE),IF(LEFT(C311,3)="SCE",VLOOKUP(VALUE(RIGHT(C311,3)),'SCE-COMP'!B:J,5,FALSE),IF(LEFT(C311,3)="EST",VLOOKUP(VALUE(RIGHT(C311,3)),'EST-COMP'!B:J,5,FALSE),IF(LEFT(C311,3)="HID",VLOOKUP(VALUE(RIGHT(C311,3)),'HID-COMP'!B:J,5,FALSE),IF(LEFT(C311,3)="INC",VLOOKUP(VALUE(RIGHT(C311,3)),'INC-COMP'!B:J,5,FALSE),IF(LEFT(C311,3)="ELE",VLOOKUP(VALUE(RIGHT(C311,3)),#REF!,5,FALSE),IF(LEFT(C311,3)="CAB",VLOOKUP(VALUE(RIGHT(C311,3)),#REF!,5,FALSE),IF(LEFT(C311,3)="SEG",VLOOKUP(VALUE(RIGHT(C311,3)),'SEG-COMP'!B:J,5,FALSE),IF(LEFT(C311,3)="CLI",VLOOKUP(VALUE(RIGHT(C311,3)),'CLI-COMP'!B:J,5,FALSE),IF(LEFT(C311,4)="IMPL",VLOOKUP(VALUE(RIGHT(C311,3)),'IMPL-COMP'!B:J,5,FALSE),IF(LEFT(C311,4)="SPDA",VLOOKUP(VALUE(RIGHT(C311,3)),'SPDA-COMP'!B:J,5,FALSE),IF(LEFT(C311,4)="SDAI",VLOOKUP(VALUE(RIGHT(C311,3)),'ADM-COMP'!B:J,5,FALSE),IF(LEFT(C311,5)="IMPER",VLOOKUP(VALUE(RIGHT(C311,3)),'IMPER-COMP'!B:J,5,FALSE),""))))))))))))))))</f>
        <v>UND</v>
      </c>
      <c r="F311" s="599">
        <f>ROUND(VLOOKUP(A311,'MEM-LEVANT'!A295:I2852,9,FALSE),2)</f>
        <v>3</v>
      </c>
      <c r="G311" s="339">
        <f>IF(B311="IOPES",VLOOKUP(C311,'LABOR-SERVIÇOS'!A:H,7,FALSE),IF(B311="SINAPI",VLOOKUP(C311,'SINAPI-SERVIÇOS'!A:H,8,FALSE),IF(LEFT(C311,3)="ARQ",VLOOKUP(VALUE(RIGHT(C311,3)),'ARQ-COMP'!B:J,9,FALSE),IF(LEFT(C311,3)="SCI",VLOOKUP(VALUE(RIGHT(C311,3)),'GAS-COMP'!#REF!,9,FALSE),IF(LEFT(C311,3)="SCE",VLOOKUP(VALUE(RIGHT(C311,3)),'SCE-COMP'!B:J,9,FALSE),IF(LEFT(C311,3)="EST",VLOOKUP(VALUE(RIGHT(C311,3)),'EST-COMP'!B:J,9,FALSE),IF(LEFT(C311,3)="HID",VLOOKUP(VALUE(RIGHT(C311,3)),'HID-COMP'!B:J,9,FALSE),IF(LEFT(C311,3)="INC",VLOOKUP(VALUE(RIGHT(C311,3)),'INC-COMP'!B:J,9,FALSE),IF(LEFT(C311,3)="ELE",VLOOKUP(VALUE(RIGHT(C311,3)),#REF!,9,FALSE),IF(LEFT(C311,3)="CAB",VLOOKUP(VALUE(RIGHT(C311,3)),#REF!,9,FALSE),IF(LEFT(C311,3)="SEG",VLOOKUP(VALUE(RIGHT(C311,3)),'SEG-COMP'!B:J,9,FALSE),IF(LEFT(C311,3)="CLI",VLOOKUP(VALUE(RIGHT(C311,3)),'CLI-COMP'!B:J,9,FALSE),IF(LEFT(C311,4)="IMPL",VLOOKUP(VALUE(RIGHT(C311,3)),'IMPL-COMP'!B:J,9,FALSE),IF(LEFT(C311,4)="SPDA",VLOOKUP(VALUE(RIGHT(C311,3)),'SPDA-COMP'!B:J,9,FALSE),IF(LEFT(C311,4)="SDAI",VLOOKUP(VALUE(RIGHT(C311,3)),'ADM-COMP'!B:J,9,FALSE),IF(LEFT(C311,5)="IMPER",VLOOKUP(VALUE(RIGHT(C311,3)),'IMPER-COMP'!B:J,9,FALSE),""))))))))))))))))</f>
        <v>909.44</v>
      </c>
      <c r="H311" s="339">
        <f t="shared" si="105"/>
        <v>2728.32</v>
      </c>
      <c r="I311" s="374">
        <f t="shared" si="106"/>
        <v>1.5952375030278722E-4</v>
      </c>
      <c r="J311" s="314"/>
    </row>
    <row r="312" spans="1:10" ht="52.8">
      <c r="A312" s="613" t="s">
        <v>35406</v>
      </c>
      <c r="B312" s="337" t="s">
        <v>2879</v>
      </c>
      <c r="C312" s="540">
        <f>160651</f>
        <v>160651</v>
      </c>
      <c r="D312" s="539" t="str">
        <f>IF(B312="IOPES",VLOOKUP(C312,'LABOR-SERVIÇOS'!A:H,5,FALSE),IF(B312="SINAPI",VLOOKUP(C312,'SINAPI-SERVIÇOS'!A:D,2,FALSE),IF(LEFT(C312,3)="ARQ",VLOOKUP(VALUE(RIGHT(C312,3)),'ARQ-COMP'!B:J,4,FALSE),IF(LEFT(C312,3)="SCI",VLOOKUP(VALUE(RIGHT(C312,3)),'GAS-COMP'!#REF!,4,FALSE),IF(LEFT(C312,3)="SCE",VLOOKUP(VALUE(RIGHT(C312,3)),'SCE-COMP'!B:J,4,FALSE),IF(LEFT(C312,3)="EST",VLOOKUP(VALUE(RIGHT(C312,3)),'EST-COMP'!B:J,4,FALSE),IF(LEFT(C312,3)="HID",VLOOKUP(VALUE(RIGHT(C312,3)),'HID-COMP'!B:J,4,FALSE),IF(LEFT(C312,3)="INC",VLOOKUP(VALUE(RIGHT(C312,3)),'INC-COMP'!B:J,4,FALSE),IF(LEFT(C312,3)="ELE",VLOOKUP(VALUE(RIGHT(C312,3)),#REF!,4,FALSE),IF(LEFT(C312,3)="CAB",VLOOKUP(VALUE(RIGHT(C312,3)),#REF!,4,FALSE),IF(LEFT(C312,3)="SEG",VLOOKUP(VALUE(RIGHT(C312,3)),'SEG-COMP'!B:J,4,FALSE),IF(LEFT(C312,3)="CLI",VLOOKUP(VALUE(RIGHT(C312,3)),'CLI-COMP'!B:J,4,FALSE),IF(LEFT(C312,4)="IMPL",VLOOKUP(VALUE(RIGHT(C312,3)),'IMPL-COMP'!B:J,4,FALSE),IF(LEFT(C312,4)="SPDA",VLOOKUP(VALUE(RIGHT(C312,3)),'SPDA-COMP'!B:J,4,FALSE),IF(LEFT(C312,4)="SDAI",VLOOKUP(VALUE(RIGHT(C312,3)),'ADM-COMP'!B:J,4,FALSE),IF(LEFT(C312,5)="IMPER",VLOOKUP(VALUE(RIGHT(C312,3)),'IMPER-COMP'!B:J,4,FALSE),""))))))))))))))))</f>
        <v>VÁLVULA DE RETENÇÃO HORIZONTAL EM BRONZE, TIPO PORTINHOLA DIÂMETRO 3" (75MM), INCLUSIVE PINTURA COM UMA DEMÃO DE PRIMER EPOXI E DUAS DEMÃOS DE TINTA À BASE DE EPOXI NA COR VERMELHA</v>
      </c>
      <c r="E312" s="338" t="str">
        <f>IF(B312="IOPES",VLOOKUP(C312,'LABOR-SERVIÇOS'!A:H,6,FALSE),IF(B312="SINAPI",VLOOKUP(C312,'SINAPI-SERVIÇOS'!A:D,3,FALSE),IF(LEFT(C312,3)="ARQ",VLOOKUP(VALUE(RIGHT(C312,3)),'ARQ-COMP'!B:J,5,FALSE),IF(LEFT(C312,3)="SCI",VLOOKUP(VALUE(RIGHT(C312,3)),'GAS-COMP'!#REF!,5,FALSE),IF(LEFT(C312,3)="SCE",VLOOKUP(VALUE(RIGHT(C312,3)),'SCE-COMP'!B:J,5,FALSE),IF(LEFT(C312,3)="EST",VLOOKUP(VALUE(RIGHT(C312,3)),'EST-COMP'!B:J,5,FALSE),IF(LEFT(C312,3)="HID",VLOOKUP(VALUE(RIGHT(C312,3)),'HID-COMP'!B:J,5,FALSE),IF(LEFT(C312,3)="INC",VLOOKUP(VALUE(RIGHT(C312,3)),'INC-COMP'!B:J,5,FALSE),IF(LEFT(C312,3)="ELE",VLOOKUP(VALUE(RIGHT(C312,3)),#REF!,5,FALSE),IF(LEFT(C312,3)="CAB",VLOOKUP(VALUE(RIGHT(C312,3)),#REF!,5,FALSE),IF(LEFT(C312,3)="SEG",VLOOKUP(VALUE(RIGHT(C312,3)),'SEG-COMP'!B:J,5,FALSE),IF(LEFT(C312,3)="CLI",VLOOKUP(VALUE(RIGHT(C312,3)),'CLI-COMP'!B:J,5,FALSE),IF(LEFT(C312,4)="IMPL",VLOOKUP(VALUE(RIGHT(C312,3)),'IMPL-COMP'!B:J,5,FALSE),IF(LEFT(C312,4)="SPDA",VLOOKUP(VALUE(RIGHT(C312,3)),'SPDA-COMP'!B:J,5,FALSE),IF(LEFT(C312,4)="SDAI",VLOOKUP(VALUE(RIGHT(C312,3)),'ADM-COMP'!B:J,5,FALSE),IF(LEFT(C312,5)="IMPER",VLOOKUP(VALUE(RIGHT(C312,3)),'IMPER-COMP'!B:J,5,FALSE),""))))))))))))))))</f>
        <v>UND</v>
      </c>
      <c r="F312" s="599">
        <f>ROUND(VLOOKUP(A312,'MEM-LEVANT'!A295:I2853,9,FALSE),2)</f>
        <v>3</v>
      </c>
      <c r="G312" s="339">
        <f>IF(B312="IOPES",VLOOKUP(C312,'LABOR-SERVIÇOS'!A:H,7,FALSE),IF(B312="SINAPI",VLOOKUP(C312,'SINAPI-SERVIÇOS'!A:H,8,FALSE),IF(LEFT(C312,3)="ARQ",VLOOKUP(VALUE(RIGHT(C312,3)),'ARQ-COMP'!B:J,9,FALSE),IF(LEFT(C312,3)="SCI",VLOOKUP(VALUE(RIGHT(C312,3)),'GAS-COMP'!#REF!,9,FALSE),IF(LEFT(C312,3)="SCE",VLOOKUP(VALUE(RIGHT(C312,3)),'SCE-COMP'!B:J,9,FALSE),IF(LEFT(C312,3)="EST",VLOOKUP(VALUE(RIGHT(C312,3)),'EST-COMP'!B:J,9,FALSE),IF(LEFT(C312,3)="HID",VLOOKUP(VALUE(RIGHT(C312,3)),'HID-COMP'!B:J,9,FALSE),IF(LEFT(C312,3)="INC",VLOOKUP(VALUE(RIGHT(C312,3)),'INC-COMP'!B:J,9,FALSE),IF(LEFT(C312,3)="ELE",VLOOKUP(VALUE(RIGHT(C312,3)),#REF!,9,FALSE),IF(LEFT(C312,3)="CAB",VLOOKUP(VALUE(RIGHT(C312,3)),#REF!,9,FALSE),IF(LEFT(C312,3)="SEG",VLOOKUP(VALUE(RIGHT(C312,3)),'SEG-COMP'!B:J,9,FALSE),IF(LEFT(C312,3)="CLI",VLOOKUP(VALUE(RIGHT(C312,3)),'CLI-COMP'!B:J,9,FALSE),IF(LEFT(C312,4)="IMPL",VLOOKUP(VALUE(RIGHT(C312,3)),'IMPL-COMP'!B:J,9,FALSE),IF(LEFT(C312,4)="SPDA",VLOOKUP(VALUE(RIGHT(C312,3)),'SPDA-COMP'!B:J,9,FALSE),IF(LEFT(C312,4)="SDAI",VLOOKUP(VALUE(RIGHT(C312,3)),'ADM-COMP'!B:J,9,FALSE),IF(LEFT(C312,5)="IMPER",VLOOKUP(VALUE(RIGHT(C312,3)),'IMPER-COMP'!B:J,9,FALSE),""))))))))))))))))</f>
        <v>1317.55</v>
      </c>
      <c r="H312" s="339">
        <f t="shared" si="105"/>
        <v>3952.65</v>
      </c>
      <c r="I312" s="374">
        <f t="shared" si="106"/>
        <v>2.3110982276064093E-4</v>
      </c>
      <c r="J312" s="314"/>
    </row>
    <row r="313" spans="1:10" ht="52.8">
      <c r="A313" s="613" t="s">
        <v>35407</v>
      </c>
      <c r="B313" s="337" t="s">
        <v>2879</v>
      </c>
      <c r="C313" s="540">
        <f>160652</f>
        <v>160652</v>
      </c>
      <c r="D313" s="539" t="str">
        <f>IF(B313="IOPES",VLOOKUP(C313,'LABOR-SERVIÇOS'!A:H,5,FALSE),IF(B313="SINAPI",VLOOKUP(C313,'SINAPI-SERVIÇOS'!A:D,2,FALSE),IF(LEFT(C313,3)="ARQ",VLOOKUP(VALUE(RIGHT(C313,3)),'ARQ-COMP'!B:J,4,FALSE),IF(LEFT(C313,3)="SCI",VLOOKUP(VALUE(RIGHT(C313,3)),'GAS-COMP'!#REF!,4,FALSE),IF(LEFT(C313,3)="SCE",VLOOKUP(VALUE(RIGHT(C313,3)),'SCE-COMP'!B:J,4,FALSE),IF(LEFT(C313,3)="EST",VLOOKUP(VALUE(RIGHT(C313,3)),'EST-COMP'!B:J,4,FALSE),IF(LEFT(C313,3)="HID",VLOOKUP(VALUE(RIGHT(C313,3)),'HID-COMP'!B:J,4,FALSE),IF(LEFT(C313,3)="INC",VLOOKUP(VALUE(RIGHT(C313,3)),'INC-COMP'!B:J,4,FALSE),IF(LEFT(C313,3)="ELE",VLOOKUP(VALUE(RIGHT(C313,3)),#REF!,4,FALSE),IF(LEFT(C313,3)="CAB",VLOOKUP(VALUE(RIGHT(C313,3)),#REF!,4,FALSE),IF(LEFT(C313,3)="SEG",VLOOKUP(VALUE(RIGHT(C313,3)),'SEG-COMP'!B:J,4,FALSE),IF(LEFT(C313,3)="CLI",VLOOKUP(VALUE(RIGHT(C313,3)),'CLI-COMP'!B:J,4,FALSE),IF(LEFT(C313,4)="IMPL",VLOOKUP(VALUE(RIGHT(C313,3)),'IMPL-COMP'!B:J,4,FALSE),IF(LEFT(C313,4)="SPDA",VLOOKUP(VALUE(RIGHT(C313,3)),'SPDA-COMP'!B:J,4,FALSE),IF(LEFT(C313,4)="SDAI",VLOOKUP(VALUE(RIGHT(C313,3)),'ADM-COMP'!B:J,4,FALSE),IF(LEFT(C313,5)="IMPER",VLOOKUP(VALUE(RIGHT(C313,3)),'IMPER-COMP'!B:J,4,FALSE),""))))))))))))))))</f>
        <v>VÁLVULA DE RETENÇÃO HORIZONTAL EM BRONZE, TIPO PORTINHOLA DIÂMETRO 4" (100MM), INCLUSIVE PINTURA COM UMA DEMÃO DE PRIMER EPOXI E DUAS DEMÃOS DE TINTA À BASE DE EPOXI NA COR VERMELHA</v>
      </c>
      <c r="E313" s="338" t="str">
        <f>IF(B313="IOPES",VLOOKUP(C313,'LABOR-SERVIÇOS'!A:H,6,FALSE),IF(B313="SINAPI",VLOOKUP(C313,'SINAPI-SERVIÇOS'!A:D,3,FALSE),IF(LEFT(C313,3)="ARQ",VLOOKUP(VALUE(RIGHT(C313,3)),'ARQ-COMP'!B:J,5,FALSE),IF(LEFT(C313,3)="SCI",VLOOKUP(VALUE(RIGHT(C313,3)),'GAS-COMP'!#REF!,5,FALSE),IF(LEFT(C313,3)="SCE",VLOOKUP(VALUE(RIGHT(C313,3)),'SCE-COMP'!B:J,5,FALSE),IF(LEFT(C313,3)="EST",VLOOKUP(VALUE(RIGHT(C313,3)),'EST-COMP'!B:J,5,FALSE),IF(LEFT(C313,3)="HID",VLOOKUP(VALUE(RIGHT(C313,3)),'HID-COMP'!B:J,5,FALSE),IF(LEFT(C313,3)="INC",VLOOKUP(VALUE(RIGHT(C313,3)),'INC-COMP'!B:J,5,FALSE),IF(LEFT(C313,3)="ELE",VLOOKUP(VALUE(RIGHT(C313,3)),#REF!,5,FALSE),IF(LEFT(C313,3)="CAB",VLOOKUP(VALUE(RIGHT(C313,3)),#REF!,5,FALSE),IF(LEFT(C313,3)="SEG",VLOOKUP(VALUE(RIGHT(C313,3)),'SEG-COMP'!B:J,5,FALSE),IF(LEFT(C313,3)="CLI",VLOOKUP(VALUE(RIGHT(C313,3)),'CLI-COMP'!B:J,5,FALSE),IF(LEFT(C313,4)="IMPL",VLOOKUP(VALUE(RIGHT(C313,3)),'IMPL-COMP'!B:J,5,FALSE),IF(LEFT(C313,4)="SPDA",VLOOKUP(VALUE(RIGHT(C313,3)),'SPDA-COMP'!B:J,5,FALSE),IF(LEFT(C313,4)="SDAI",VLOOKUP(VALUE(RIGHT(C313,3)),'ADM-COMP'!B:J,5,FALSE),IF(LEFT(C313,5)="IMPER",VLOOKUP(VALUE(RIGHT(C313,3)),'IMPER-COMP'!B:J,5,FALSE),""))))))))))))))))</f>
        <v>UND</v>
      </c>
      <c r="F313" s="599">
        <f>ROUND(VLOOKUP(A313,'MEM-LEVANT'!A295:I2854,9,FALSE),2)</f>
        <v>1</v>
      </c>
      <c r="G313" s="339">
        <f>IF(B313="IOPES",VLOOKUP(C313,'LABOR-SERVIÇOS'!A:H,7,FALSE),IF(B313="SINAPI",VLOOKUP(C313,'SINAPI-SERVIÇOS'!A:H,8,FALSE),IF(LEFT(C313,3)="ARQ",VLOOKUP(VALUE(RIGHT(C313,3)),'ARQ-COMP'!B:J,9,FALSE),IF(LEFT(C313,3)="SCI",VLOOKUP(VALUE(RIGHT(C313,3)),'GAS-COMP'!#REF!,9,FALSE),IF(LEFT(C313,3)="SCE",VLOOKUP(VALUE(RIGHT(C313,3)),'SCE-COMP'!B:J,9,FALSE),IF(LEFT(C313,3)="EST",VLOOKUP(VALUE(RIGHT(C313,3)),'EST-COMP'!B:J,9,FALSE),IF(LEFT(C313,3)="HID",VLOOKUP(VALUE(RIGHT(C313,3)),'HID-COMP'!B:J,9,FALSE),IF(LEFT(C313,3)="INC",VLOOKUP(VALUE(RIGHT(C313,3)),'INC-COMP'!B:J,9,FALSE),IF(LEFT(C313,3)="ELE",VLOOKUP(VALUE(RIGHT(C313,3)),#REF!,9,FALSE),IF(LEFT(C313,3)="CAB",VLOOKUP(VALUE(RIGHT(C313,3)),#REF!,9,FALSE),IF(LEFT(C313,3)="SEG",VLOOKUP(VALUE(RIGHT(C313,3)),'SEG-COMP'!B:J,9,FALSE),IF(LEFT(C313,3)="CLI",VLOOKUP(VALUE(RIGHT(C313,3)),'CLI-COMP'!B:J,9,FALSE),IF(LEFT(C313,4)="IMPL",VLOOKUP(VALUE(RIGHT(C313,3)),'IMPL-COMP'!B:J,9,FALSE),IF(LEFT(C313,4)="SPDA",VLOOKUP(VALUE(RIGHT(C313,3)),'SPDA-COMP'!B:J,9,FALSE),IF(LEFT(C313,4)="SDAI",VLOOKUP(VALUE(RIGHT(C313,3)),'ADM-COMP'!B:J,9,FALSE),IF(LEFT(C313,5)="IMPER",VLOOKUP(VALUE(RIGHT(C313,3)),'IMPER-COMP'!B:J,9,FALSE),""))))))))))))))))</f>
        <v>1917.72</v>
      </c>
      <c r="H313" s="339">
        <f t="shared" si="105"/>
        <v>1917.72</v>
      </c>
      <c r="I313" s="374">
        <f t="shared" si="106"/>
        <v>1.121283010902904E-4</v>
      </c>
      <c r="J313" s="314"/>
    </row>
    <row r="314" spans="1:10" ht="52.8">
      <c r="A314" s="613" t="s">
        <v>35408</v>
      </c>
      <c r="B314" s="337" t="s">
        <v>2879</v>
      </c>
      <c r="C314" s="540">
        <f>160655</f>
        <v>160655</v>
      </c>
      <c r="D314" s="539" t="str">
        <f>IF(B314="IOPES",VLOOKUP(C314,'LABOR-SERVIÇOS'!A:H,5,FALSE),IF(B314="SINAPI",VLOOKUP(C314,'SINAPI-SERVIÇOS'!A:D,2,FALSE),IF(LEFT(C314,3)="ARQ",VLOOKUP(VALUE(RIGHT(C314,3)),'ARQ-COMP'!B:J,4,FALSE),IF(LEFT(C314,3)="SCI",VLOOKUP(VALUE(RIGHT(C314,3)),'GAS-COMP'!#REF!,4,FALSE),IF(LEFT(C314,3)="SCE",VLOOKUP(VALUE(RIGHT(C314,3)),'SCE-COMP'!B:J,4,FALSE),IF(LEFT(C314,3)="EST",VLOOKUP(VALUE(RIGHT(C314,3)),'EST-COMP'!B:J,4,FALSE),IF(LEFT(C314,3)="HID",VLOOKUP(VALUE(RIGHT(C314,3)),'HID-COMP'!B:J,4,FALSE),IF(LEFT(C314,3)="INC",VLOOKUP(VALUE(RIGHT(C314,3)),'INC-COMP'!B:J,4,FALSE),IF(LEFT(C314,3)="ELE",VLOOKUP(VALUE(RIGHT(C314,3)),#REF!,4,FALSE),IF(LEFT(C314,3)="CAB",VLOOKUP(VALUE(RIGHT(C314,3)),#REF!,4,FALSE),IF(LEFT(C314,3)="SEG",VLOOKUP(VALUE(RIGHT(C314,3)),'SEG-COMP'!B:J,4,FALSE),IF(LEFT(C314,3)="CLI",VLOOKUP(VALUE(RIGHT(C314,3)),'CLI-COMP'!B:J,4,FALSE),IF(LEFT(C314,4)="IMPL",VLOOKUP(VALUE(RIGHT(C314,3)),'IMPL-COMP'!B:J,4,FALSE),IF(LEFT(C314,4)="SPDA",VLOOKUP(VALUE(RIGHT(C314,3)),'SPDA-COMP'!B:J,4,FALSE),IF(LEFT(C314,4)="SDAI",VLOOKUP(VALUE(RIGHT(C314,3)),'ADM-COMP'!B:J,4,FALSE),IF(LEFT(C314,5)="IMPER",VLOOKUP(VALUE(RIGHT(C314,3)),'IMPER-COMP'!B:J,4,FALSE),""))))))))))))))))</f>
        <v>VÁLVULA DE RETENÇÃO VERTICAL EM BRONZE, CLASSE 125 DIÂMETRO 3" (75MM), INCLUSIVE PINTURA COM UMA DEMÃO DE PRIMER EPOXI E DUAS DEMÃOS DE TINTA À BASE DE EPOXI NA COR VERMELHA</v>
      </c>
      <c r="E314" s="338" t="str">
        <f>IF(B314="IOPES",VLOOKUP(C314,'LABOR-SERVIÇOS'!A:H,6,FALSE),IF(B314="SINAPI",VLOOKUP(C314,'SINAPI-SERVIÇOS'!A:D,3,FALSE),IF(LEFT(C314,3)="ARQ",VLOOKUP(VALUE(RIGHT(C314,3)),'ARQ-COMP'!B:J,5,FALSE),IF(LEFT(C314,3)="SCI",VLOOKUP(VALUE(RIGHT(C314,3)),'GAS-COMP'!#REF!,5,FALSE),IF(LEFT(C314,3)="SCE",VLOOKUP(VALUE(RIGHT(C314,3)),'SCE-COMP'!B:J,5,FALSE),IF(LEFT(C314,3)="EST",VLOOKUP(VALUE(RIGHT(C314,3)),'EST-COMP'!B:J,5,FALSE),IF(LEFT(C314,3)="HID",VLOOKUP(VALUE(RIGHT(C314,3)),'HID-COMP'!B:J,5,FALSE),IF(LEFT(C314,3)="INC",VLOOKUP(VALUE(RIGHT(C314,3)),'INC-COMP'!B:J,5,FALSE),IF(LEFT(C314,3)="ELE",VLOOKUP(VALUE(RIGHT(C314,3)),#REF!,5,FALSE),IF(LEFT(C314,3)="CAB",VLOOKUP(VALUE(RIGHT(C314,3)),#REF!,5,FALSE),IF(LEFT(C314,3)="SEG",VLOOKUP(VALUE(RIGHT(C314,3)),'SEG-COMP'!B:J,5,FALSE),IF(LEFT(C314,3)="CLI",VLOOKUP(VALUE(RIGHT(C314,3)),'CLI-COMP'!B:J,5,FALSE),IF(LEFT(C314,4)="IMPL",VLOOKUP(VALUE(RIGHT(C314,3)),'IMPL-COMP'!B:J,5,FALSE),IF(LEFT(C314,4)="SPDA",VLOOKUP(VALUE(RIGHT(C314,3)),'SPDA-COMP'!B:J,5,FALSE),IF(LEFT(C314,4)="SDAI",VLOOKUP(VALUE(RIGHT(C314,3)),'ADM-COMP'!B:J,5,FALSE),IF(LEFT(C314,5)="IMPER",VLOOKUP(VALUE(RIGHT(C314,3)),'IMPER-COMP'!B:J,5,FALSE),""))))))))))))))))</f>
        <v>UND</v>
      </c>
      <c r="F314" s="599">
        <f>ROUND(VLOOKUP(A314,'MEM-LEVANT'!A295:I2855,9,FALSE),2)</f>
        <v>1</v>
      </c>
      <c r="G314" s="339">
        <f>IF(B314="IOPES",VLOOKUP(C314,'LABOR-SERVIÇOS'!A:H,7,FALSE),IF(B314="SINAPI",VLOOKUP(C314,'SINAPI-SERVIÇOS'!A:H,8,FALSE),IF(LEFT(C314,3)="ARQ",VLOOKUP(VALUE(RIGHT(C314,3)),'ARQ-COMP'!B:J,9,FALSE),IF(LEFT(C314,3)="SCI",VLOOKUP(VALUE(RIGHT(C314,3)),'GAS-COMP'!#REF!,9,FALSE),IF(LEFT(C314,3)="SCE",VLOOKUP(VALUE(RIGHT(C314,3)),'SCE-COMP'!B:J,9,FALSE),IF(LEFT(C314,3)="EST",VLOOKUP(VALUE(RIGHT(C314,3)),'EST-COMP'!B:J,9,FALSE),IF(LEFT(C314,3)="HID",VLOOKUP(VALUE(RIGHT(C314,3)),'HID-COMP'!B:J,9,FALSE),IF(LEFT(C314,3)="INC",VLOOKUP(VALUE(RIGHT(C314,3)),'INC-COMP'!B:J,9,FALSE),IF(LEFT(C314,3)="ELE",VLOOKUP(VALUE(RIGHT(C314,3)),#REF!,9,FALSE),IF(LEFT(C314,3)="CAB",VLOOKUP(VALUE(RIGHT(C314,3)),#REF!,9,FALSE),IF(LEFT(C314,3)="SEG",VLOOKUP(VALUE(RIGHT(C314,3)),'SEG-COMP'!B:J,9,FALSE),IF(LEFT(C314,3)="CLI",VLOOKUP(VALUE(RIGHT(C314,3)),'CLI-COMP'!B:J,9,FALSE),IF(LEFT(C314,4)="IMPL",VLOOKUP(VALUE(RIGHT(C314,3)),'IMPL-COMP'!B:J,9,FALSE),IF(LEFT(C314,4)="SPDA",VLOOKUP(VALUE(RIGHT(C314,3)),'SPDA-COMP'!B:J,9,FALSE),IF(LEFT(C314,4)="SDAI",VLOOKUP(VALUE(RIGHT(C314,3)),'ADM-COMP'!B:J,9,FALSE),IF(LEFT(C314,5)="IMPER",VLOOKUP(VALUE(RIGHT(C314,3)),'IMPER-COMP'!B:J,9,FALSE),""))))))))))))))))</f>
        <v>901.41</v>
      </c>
      <c r="H314" s="339">
        <f t="shared" si="105"/>
        <v>901.41</v>
      </c>
      <c r="I314" s="374">
        <f t="shared" si="106"/>
        <v>5.270507263093604E-5</v>
      </c>
      <c r="J314" s="314"/>
    </row>
    <row r="315" spans="1:10" ht="52.8">
      <c r="A315" s="613" t="s">
        <v>35409</v>
      </c>
      <c r="B315" s="337" t="s">
        <v>2879</v>
      </c>
      <c r="C315" s="540">
        <f>160656</f>
        <v>160656</v>
      </c>
      <c r="D315" s="539" t="str">
        <f>IF(B315="IOPES",VLOOKUP(C315,'LABOR-SERVIÇOS'!A:H,5,FALSE),IF(B315="SINAPI",VLOOKUP(C315,'SINAPI-SERVIÇOS'!A:D,2,FALSE),IF(LEFT(C315,3)="ARQ",VLOOKUP(VALUE(RIGHT(C315,3)),'ARQ-COMP'!B:J,4,FALSE),IF(LEFT(C315,3)="SCI",VLOOKUP(VALUE(RIGHT(C315,3)),'GAS-COMP'!#REF!,4,FALSE),IF(LEFT(C315,3)="SCE",VLOOKUP(VALUE(RIGHT(C315,3)),'SCE-COMP'!B:J,4,FALSE),IF(LEFT(C315,3)="EST",VLOOKUP(VALUE(RIGHT(C315,3)),'EST-COMP'!B:J,4,FALSE),IF(LEFT(C315,3)="HID",VLOOKUP(VALUE(RIGHT(C315,3)),'HID-COMP'!B:J,4,FALSE),IF(LEFT(C315,3)="INC",VLOOKUP(VALUE(RIGHT(C315,3)),'INC-COMP'!B:J,4,FALSE),IF(LEFT(C315,3)="ELE",VLOOKUP(VALUE(RIGHT(C315,3)),#REF!,4,FALSE),IF(LEFT(C315,3)="CAB",VLOOKUP(VALUE(RIGHT(C315,3)),#REF!,4,FALSE),IF(LEFT(C315,3)="SEG",VLOOKUP(VALUE(RIGHT(C315,3)),'SEG-COMP'!B:J,4,FALSE),IF(LEFT(C315,3)="CLI",VLOOKUP(VALUE(RIGHT(C315,3)),'CLI-COMP'!B:J,4,FALSE),IF(LEFT(C315,4)="IMPL",VLOOKUP(VALUE(RIGHT(C315,3)),'IMPL-COMP'!B:J,4,FALSE),IF(LEFT(C315,4)="SPDA",VLOOKUP(VALUE(RIGHT(C315,3)),'SPDA-COMP'!B:J,4,FALSE),IF(LEFT(C315,4)="SDAI",VLOOKUP(VALUE(RIGHT(C315,3)),'ADM-COMP'!B:J,4,FALSE),IF(LEFT(C315,5)="IMPER",VLOOKUP(VALUE(RIGHT(C315,3)),'IMPER-COMP'!B:J,4,FALSE),""))))))))))))))))</f>
        <v>VÁLVULA DE RETENÇÃO VERTICAL EM BRONZE, CLASSE 125 DIÂMETRO 4" (100MM), INCLUSIVE PINTURA COM UMA DEMÃO DE PRIMER EPOXI E DUAS DEMÃOS DE TINTA À BASE DE EPOXI NA COR VERMELHA</v>
      </c>
      <c r="E315" s="338" t="str">
        <f>IF(B315="IOPES",VLOOKUP(C315,'LABOR-SERVIÇOS'!A:H,6,FALSE),IF(B315="SINAPI",VLOOKUP(C315,'SINAPI-SERVIÇOS'!A:D,3,FALSE),IF(LEFT(C315,3)="ARQ",VLOOKUP(VALUE(RIGHT(C315,3)),'ARQ-COMP'!B:J,5,FALSE),IF(LEFT(C315,3)="SCI",VLOOKUP(VALUE(RIGHT(C315,3)),'GAS-COMP'!#REF!,5,FALSE),IF(LEFT(C315,3)="SCE",VLOOKUP(VALUE(RIGHT(C315,3)),'SCE-COMP'!B:J,5,FALSE),IF(LEFT(C315,3)="EST",VLOOKUP(VALUE(RIGHT(C315,3)),'EST-COMP'!B:J,5,FALSE),IF(LEFT(C315,3)="HID",VLOOKUP(VALUE(RIGHT(C315,3)),'HID-COMP'!B:J,5,FALSE),IF(LEFT(C315,3)="INC",VLOOKUP(VALUE(RIGHT(C315,3)),'INC-COMP'!B:J,5,FALSE),IF(LEFT(C315,3)="ELE",VLOOKUP(VALUE(RIGHT(C315,3)),#REF!,5,FALSE),IF(LEFT(C315,3)="CAB",VLOOKUP(VALUE(RIGHT(C315,3)),#REF!,5,FALSE),IF(LEFT(C315,3)="SEG",VLOOKUP(VALUE(RIGHT(C315,3)),'SEG-COMP'!B:J,5,FALSE),IF(LEFT(C315,3)="CLI",VLOOKUP(VALUE(RIGHT(C315,3)),'CLI-COMP'!B:J,5,FALSE),IF(LEFT(C315,4)="IMPL",VLOOKUP(VALUE(RIGHT(C315,3)),'IMPL-COMP'!B:J,5,FALSE),IF(LEFT(C315,4)="SPDA",VLOOKUP(VALUE(RIGHT(C315,3)),'SPDA-COMP'!B:J,5,FALSE),IF(LEFT(C315,4)="SDAI",VLOOKUP(VALUE(RIGHT(C315,3)),'ADM-COMP'!B:J,5,FALSE),IF(LEFT(C315,5)="IMPER",VLOOKUP(VALUE(RIGHT(C315,3)),'IMPER-COMP'!B:J,5,FALSE),""))))))))))))))))</f>
        <v>UND</v>
      </c>
      <c r="F315" s="599">
        <f>ROUND(VLOOKUP(A315,'MEM-LEVANT'!A295:I2856,9,FALSE),2)</f>
        <v>1</v>
      </c>
      <c r="G315" s="339">
        <f>IF(B315="IOPES",VLOOKUP(C315,'LABOR-SERVIÇOS'!A:H,7,FALSE),IF(B315="SINAPI",VLOOKUP(C315,'SINAPI-SERVIÇOS'!A:H,8,FALSE),IF(LEFT(C315,3)="ARQ",VLOOKUP(VALUE(RIGHT(C315,3)),'ARQ-COMP'!B:J,9,FALSE),IF(LEFT(C315,3)="SCI",VLOOKUP(VALUE(RIGHT(C315,3)),'GAS-COMP'!#REF!,9,FALSE),IF(LEFT(C315,3)="SCE",VLOOKUP(VALUE(RIGHT(C315,3)),'SCE-COMP'!B:J,9,FALSE),IF(LEFT(C315,3)="EST",VLOOKUP(VALUE(RIGHT(C315,3)),'EST-COMP'!B:J,9,FALSE),IF(LEFT(C315,3)="HID",VLOOKUP(VALUE(RIGHT(C315,3)),'HID-COMP'!B:J,9,FALSE),IF(LEFT(C315,3)="INC",VLOOKUP(VALUE(RIGHT(C315,3)),'INC-COMP'!B:J,9,FALSE),IF(LEFT(C315,3)="ELE",VLOOKUP(VALUE(RIGHT(C315,3)),#REF!,9,FALSE),IF(LEFT(C315,3)="CAB",VLOOKUP(VALUE(RIGHT(C315,3)),#REF!,9,FALSE),IF(LEFT(C315,3)="SEG",VLOOKUP(VALUE(RIGHT(C315,3)),'SEG-COMP'!B:J,9,FALSE),IF(LEFT(C315,3)="CLI",VLOOKUP(VALUE(RIGHT(C315,3)),'CLI-COMP'!B:J,9,FALSE),IF(LEFT(C315,4)="IMPL",VLOOKUP(VALUE(RIGHT(C315,3)),'IMPL-COMP'!B:J,9,FALSE),IF(LEFT(C315,4)="SPDA",VLOOKUP(VALUE(RIGHT(C315,3)),'SPDA-COMP'!B:J,9,FALSE),IF(LEFT(C315,4)="SDAI",VLOOKUP(VALUE(RIGHT(C315,3)),'ADM-COMP'!B:J,9,FALSE),IF(LEFT(C315,5)="IMPER",VLOOKUP(VALUE(RIGHT(C315,3)),'IMPER-COMP'!B:J,9,FALSE),""))))))))))))))))</f>
        <v>1543.26</v>
      </c>
      <c r="H315" s="339">
        <f t="shared" si="105"/>
        <v>1543.26</v>
      </c>
      <c r="I315" s="374">
        <f t="shared" si="106"/>
        <v>9.02337786228446E-5</v>
      </c>
      <c r="J315" s="314"/>
    </row>
    <row r="316" spans="1:10" ht="39.6">
      <c r="A316" s="613" t="s">
        <v>35410</v>
      </c>
      <c r="B316" s="337" t="s">
        <v>2879</v>
      </c>
      <c r="C316" s="540">
        <f>160658</f>
        <v>160658</v>
      </c>
      <c r="D316" s="539" t="str">
        <f>IF(B316="IOPES",VLOOKUP(C316,'LABOR-SERVIÇOS'!A:H,5,FALSE),IF(B316="SINAPI",VLOOKUP(C316,'SINAPI-SERVIÇOS'!A:D,2,FALSE),IF(LEFT(C316,3)="ARQ",VLOOKUP(VALUE(RIGHT(C316,3)),'ARQ-COMP'!B:J,4,FALSE),IF(LEFT(C316,3)="SCI",VLOOKUP(VALUE(RIGHT(C316,3)),'GAS-COMP'!#REF!,4,FALSE),IF(LEFT(C316,3)="SCE",VLOOKUP(VALUE(RIGHT(C316,3)),'SCE-COMP'!B:J,4,FALSE),IF(LEFT(C316,3)="EST",VLOOKUP(VALUE(RIGHT(C316,3)),'EST-COMP'!B:J,4,FALSE),IF(LEFT(C316,3)="HID",VLOOKUP(VALUE(RIGHT(C316,3)),'HID-COMP'!B:J,4,FALSE),IF(LEFT(C316,3)="INC",VLOOKUP(VALUE(RIGHT(C316,3)),'INC-COMP'!B:J,4,FALSE),IF(LEFT(C316,3)="ELE",VLOOKUP(VALUE(RIGHT(C316,3)),#REF!,4,FALSE),IF(LEFT(C316,3)="CAB",VLOOKUP(VALUE(RIGHT(C316,3)),#REF!,4,FALSE),IF(LEFT(C316,3)="SEG",VLOOKUP(VALUE(RIGHT(C316,3)),'SEG-COMP'!B:J,4,FALSE),IF(LEFT(C316,3)="CLI",VLOOKUP(VALUE(RIGHT(C316,3)),'CLI-COMP'!B:J,4,FALSE),IF(LEFT(C316,4)="IMPL",VLOOKUP(VALUE(RIGHT(C316,3)),'IMPL-COMP'!B:J,4,FALSE),IF(LEFT(C316,4)="SPDA",VLOOKUP(VALUE(RIGHT(C316,3)),'SPDA-COMP'!B:J,4,FALSE),IF(LEFT(C316,4)="SDAI",VLOOKUP(VALUE(RIGHT(C316,3)),'ADM-COMP'!B:J,4,FALSE),IF(LEFT(C316,5)="IMPER",VLOOKUP(VALUE(RIGHT(C316,3)),'IMPER-COMP'!B:J,4,FALSE),""))))))))))))))))</f>
        <v>MANÔMETRO COM CAIXA E ANEL TIPO CRAVADO EM AÇO INOX, MOSTRADOR DUPLO 100 MM ESCALAS DE 0 À 7 KGF/CM2 E 0 À 100 PSI, SAÍDA TRASEIRA DE 1/4" BSP</v>
      </c>
      <c r="E316" s="338" t="str">
        <f>IF(B316="IOPES",VLOOKUP(C316,'LABOR-SERVIÇOS'!A:H,6,FALSE),IF(B316="SINAPI",VLOOKUP(C316,'SINAPI-SERVIÇOS'!A:D,3,FALSE),IF(LEFT(C316,3)="ARQ",VLOOKUP(VALUE(RIGHT(C316,3)),'ARQ-COMP'!B:J,5,FALSE),IF(LEFT(C316,3)="SCI",VLOOKUP(VALUE(RIGHT(C316,3)),'GAS-COMP'!#REF!,5,FALSE),IF(LEFT(C316,3)="SCE",VLOOKUP(VALUE(RIGHT(C316,3)),'SCE-COMP'!B:J,5,FALSE),IF(LEFT(C316,3)="EST",VLOOKUP(VALUE(RIGHT(C316,3)),'EST-COMP'!B:J,5,FALSE),IF(LEFT(C316,3)="HID",VLOOKUP(VALUE(RIGHT(C316,3)),'HID-COMP'!B:J,5,FALSE),IF(LEFT(C316,3)="INC",VLOOKUP(VALUE(RIGHT(C316,3)),'INC-COMP'!B:J,5,FALSE),IF(LEFT(C316,3)="ELE",VLOOKUP(VALUE(RIGHT(C316,3)),#REF!,5,FALSE),IF(LEFT(C316,3)="CAB",VLOOKUP(VALUE(RIGHT(C316,3)),#REF!,5,FALSE),IF(LEFT(C316,3)="SEG",VLOOKUP(VALUE(RIGHT(C316,3)),'SEG-COMP'!B:J,5,FALSE),IF(LEFT(C316,3)="CLI",VLOOKUP(VALUE(RIGHT(C316,3)),'CLI-COMP'!B:J,5,FALSE),IF(LEFT(C316,4)="IMPL",VLOOKUP(VALUE(RIGHT(C316,3)),'IMPL-COMP'!B:J,5,FALSE),IF(LEFT(C316,4)="SPDA",VLOOKUP(VALUE(RIGHT(C316,3)),'SPDA-COMP'!B:J,5,FALSE),IF(LEFT(C316,4)="SDAI",VLOOKUP(VALUE(RIGHT(C316,3)),'ADM-COMP'!B:J,5,FALSE),IF(LEFT(C316,5)="IMPER",VLOOKUP(VALUE(RIGHT(C316,3)),'IMPER-COMP'!B:J,5,FALSE),""))))))))))))))))</f>
        <v>UND</v>
      </c>
      <c r="F316" s="599">
        <f>ROUND(VLOOKUP(A316,'MEM-LEVANT'!A295:I2857,9,FALSE),2)</f>
        <v>3</v>
      </c>
      <c r="G316" s="339">
        <f>IF(B316="IOPES",VLOOKUP(C316,'LABOR-SERVIÇOS'!A:H,7,FALSE),IF(B316="SINAPI",VLOOKUP(C316,'SINAPI-SERVIÇOS'!A:H,8,FALSE),IF(LEFT(C316,3)="ARQ",VLOOKUP(VALUE(RIGHT(C316,3)),'ARQ-COMP'!B:J,9,FALSE),IF(LEFT(C316,3)="SCI",VLOOKUP(VALUE(RIGHT(C316,3)),'GAS-COMP'!#REF!,9,FALSE),IF(LEFT(C316,3)="SCE",VLOOKUP(VALUE(RIGHT(C316,3)),'SCE-COMP'!B:J,9,FALSE),IF(LEFT(C316,3)="EST",VLOOKUP(VALUE(RIGHT(C316,3)),'EST-COMP'!B:J,9,FALSE),IF(LEFT(C316,3)="HID",VLOOKUP(VALUE(RIGHT(C316,3)),'HID-COMP'!B:J,9,FALSE),IF(LEFT(C316,3)="INC",VLOOKUP(VALUE(RIGHT(C316,3)),'INC-COMP'!B:J,9,FALSE),IF(LEFT(C316,3)="ELE",VLOOKUP(VALUE(RIGHT(C316,3)),#REF!,9,FALSE),IF(LEFT(C316,3)="CAB",VLOOKUP(VALUE(RIGHT(C316,3)),#REF!,9,FALSE),IF(LEFT(C316,3)="SEG",VLOOKUP(VALUE(RIGHT(C316,3)),'SEG-COMP'!B:J,9,FALSE),IF(LEFT(C316,3)="CLI",VLOOKUP(VALUE(RIGHT(C316,3)),'CLI-COMP'!B:J,9,FALSE),IF(LEFT(C316,4)="IMPL",VLOOKUP(VALUE(RIGHT(C316,3)),'IMPL-COMP'!B:J,9,FALSE),IF(LEFT(C316,4)="SPDA",VLOOKUP(VALUE(RIGHT(C316,3)),'SPDA-COMP'!B:J,9,FALSE),IF(LEFT(C316,4)="SDAI",VLOOKUP(VALUE(RIGHT(C316,3)),'ADM-COMP'!B:J,9,FALSE),IF(LEFT(C316,5)="IMPER",VLOOKUP(VALUE(RIGHT(C316,3)),'IMPER-COMP'!B:J,9,FALSE),""))))))))))))))))</f>
        <v>411.84</v>
      </c>
      <c r="H316" s="339">
        <f t="shared" si="105"/>
        <v>1235.52</v>
      </c>
      <c r="I316" s="374">
        <f t="shared" si="106"/>
        <v>7.2240347163858953E-5</v>
      </c>
      <c r="J316" s="314"/>
    </row>
    <row r="317" spans="1:10" ht="26.4">
      <c r="A317" s="613" t="s">
        <v>35411</v>
      </c>
      <c r="B317" s="337" t="s">
        <v>2879</v>
      </c>
      <c r="C317" s="540">
        <f>160661</f>
        <v>160661</v>
      </c>
      <c r="D317" s="539" t="str">
        <f>IF(B317="IOPES",VLOOKUP(C317,'LABOR-SERVIÇOS'!A:H,5,FALSE),IF(B317="SINAPI",VLOOKUP(C317,'SINAPI-SERVIÇOS'!A:D,2,FALSE),IF(LEFT(C317,3)="ARQ",VLOOKUP(VALUE(RIGHT(C317,3)),'ARQ-COMP'!B:J,4,FALSE),IF(LEFT(C317,3)="SCI",VLOOKUP(VALUE(RIGHT(C317,3)),'GAS-COMP'!#REF!,4,FALSE),IF(LEFT(C317,3)="SCE",VLOOKUP(VALUE(RIGHT(C317,3)),'SCE-COMP'!B:J,4,FALSE),IF(LEFT(C317,3)="EST",VLOOKUP(VALUE(RIGHT(C317,3)),'EST-COMP'!B:J,4,FALSE),IF(LEFT(C317,3)="HID",VLOOKUP(VALUE(RIGHT(C317,3)),'HID-COMP'!B:J,4,FALSE),IF(LEFT(C317,3)="INC",VLOOKUP(VALUE(RIGHT(C317,3)),'INC-COMP'!B:J,4,FALSE),IF(LEFT(C317,3)="ELE",VLOOKUP(VALUE(RIGHT(C317,3)),#REF!,4,FALSE),IF(LEFT(C317,3)="CAB",VLOOKUP(VALUE(RIGHT(C317,3)),#REF!,4,FALSE),IF(LEFT(C317,3)="SEG",VLOOKUP(VALUE(RIGHT(C317,3)),'SEG-COMP'!B:J,4,FALSE),IF(LEFT(C317,3)="CLI",VLOOKUP(VALUE(RIGHT(C317,3)),'CLI-COMP'!B:J,4,FALSE),IF(LEFT(C317,4)="IMPL",VLOOKUP(VALUE(RIGHT(C317,3)),'IMPL-COMP'!B:J,4,FALSE),IF(LEFT(C317,4)="SPDA",VLOOKUP(VALUE(RIGHT(C317,3)),'SPDA-COMP'!B:J,4,FALSE),IF(LEFT(C317,4)="SDAI",VLOOKUP(VALUE(RIGHT(C317,3)),'ADM-COMP'!B:J,4,FALSE),IF(LEFT(C317,5)="IMPER",VLOOKUP(VALUE(RIGHT(C317,3)),'IMPER-COMP'!B:J,4,FALSE),""))))))))))))))))</f>
        <v>PRESSOSTATO 100 / 150 PSI SEM VÁLVULA, CAPACIDADE ELÉTRICA ATÉ 5CV EM 250VCA, MARGIRIUS OU EQUIVALENTE</v>
      </c>
      <c r="E317" s="338" t="str">
        <f>IF(B317="IOPES",VLOOKUP(C317,'LABOR-SERVIÇOS'!A:H,6,FALSE),IF(B317="SINAPI",VLOOKUP(C317,'SINAPI-SERVIÇOS'!A:D,3,FALSE),IF(LEFT(C317,3)="ARQ",VLOOKUP(VALUE(RIGHT(C317,3)),'ARQ-COMP'!B:J,5,FALSE),IF(LEFT(C317,3)="SCI",VLOOKUP(VALUE(RIGHT(C317,3)),'GAS-COMP'!#REF!,5,FALSE),IF(LEFT(C317,3)="SCE",VLOOKUP(VALUE(RIGHT(C317,3)),'SCE-COMP'!B:J,5,FALSE),IF(LEFT(C317,3)="EST",VLOOKUP(VALUE(RIGHT(C317,3)),'EST-COMP'!B:J,5,FALSE),IF(LEFT(C317,3)="HID",VLOOKUP(VALUE(RIGHT(C317,3)),'HID-COMP'!B:J,5,FALSE),IF(LEFT(C317,3)="INC",VLOOKUP(VALUE(RIGHT(C317,3)),'INC-COMP'!B:J,5,FALSE),IF(LEFT(C317,3)="ELE",VLOOKUP(VALUE(RIGHT(C317,3)),#REF!,5,FALSE),IF(LEFT(C317,3)="CAB",VLOOKUP(VALUE(RIGHT(C317,3)),#REF!,5,FALSE),IF(LEFT(C317,3)="SEG",VLOOKUP(VALUE(RIGHT(C317,3)),'SEG-COMP'!B:J,5,FALSE),IF(LEFT(C317,3)="CLI",VLOOKUP(VALUE(RIGHT(C317,3)),'CLI-COMP'!B:J,5,FALSE),IF(LEFT(C317,4)="IMPL",VLOOKUP(VALUE(RIGHT(C317,3)),'IMPL-COMP'!B:J,5,FALSE),IF(LEFT(C317,4)="SPDA",VLOOKUP(VALUE(RIGHT(C317,3)),'SPDA-COMP'!B:J,5,FALSE),IF(LEFT(C317,4)="SDAI",VLOOKUP(VALUE(RIGHT(C317,3)),'ADM-COMP'!B:J,5,FALSE),IF(LEFT(C317,5)="IMPER",VLOOKUP(VALUE(RIGHT(C317,3)),'IMPER-COMP'!B:J,5,FALSE),""))))))))))))))))</f>
        <v>UND</v>
      </c>
      <c r="F317" s="599">
        <f>ROUND(VLOOKUP(A317,'MEM-LEVANT'!A295:I2858,9,FALSE),2)</f>
        <v>3</v>
      </c>
      <c r="G317" s="339">
        <f>IF(B317="IOPES",VLOOKUP(C317,'LABOR-SERVIÇOS'!A:H,7,FALSE),IF(B317="SINAPI",VLOOKUP(C317,'SINAPI-SERVIÇOS'!A:H,8,FALSE),IF(LEFT(C317,3)="ARQ",VLOOKUP(VALUE(RIGHT(C317,3)),'ARQ-COMP'!B:J,9,FALSE),IF(LEFT(C317,3)="SCI",VLOOKUP(VALUE(RIGHT(C317,3)),'GAS-COMP'!#REF!,9,FALSE),IF(LEFT(C317,3)="SCE",VLOOKUP(VALUE(RIGHT(C317,3)),'SCE-COMP'!B:J,9,FALSE),IF(LEFT(C317,3)="EST",VLOOKUP(VALUE(RIGHT(C317,3)),'EST-COMP'!B:J,9,FALSE),IF(LEFT(C317,3)="HID",VLOOKUP(VALUE(RIGHT(C317,3)),'HID-COMP'!B:J,9,FALSE),IF(LEFT(C317,3)="INC",VLOOKUP(VALUE(RIGHT(C317,3)),'INC-COMP'!B:J,9,FALSE),IF(LEFT(C317,3)="ELE",VLOOKUP(VALUE(RIGHT(C317,3)),#REF!,9,FALSE),IF(LEFT(C317,3)="CAB",VLOOKUP(VALUE(RIGHT(C317,3)),#REF!,9,FALSE),IF(LEFT(C317,3)="SEG",VLOOKUP(VALUE(RIGHT(C317,3)),'SEG-COMP'!B:J,9,FALSE),IF(LEFT(C317,3)="CLI",VLOOKUP(VALUE(RIGHT(C317,3)),'CLI-COMP'!B:J,9,FALSE),IF(LEFT(C317,4)="IMPL",VLOOKUP(VALUE(RIGHT(C317,3)),'IMPL-COMP'!B:J,9,FALSE),IF(LEFT(C317,4)="SPDA",VLOOKUP(VALUE(RIGHT(C317,3)),'SPDA-COMP'!B:J,9,FALSE),IF(LEFT(C317,4)="SDAI",VLOOKUP(VALUE(RIGHT(C317,3)),'ADM-COMP'!B:J,9,FALSE),IF(LEFT(C317,5)="IMPER",VLOOKUP(VALUE(RIGHT(C317,3)),'IMPER-COMP'!B:J,9,FALSE),""))))))))))))))))</f>
        <v>181.47</v>
      </c>
      <c r="H317" s="339">
        <f t="shared" si="105"/>
        <v>544.41</v>
      </c>
      <c r="I317" s="374">
        <f t="shared" si="106"/>
        <v>3.1831429195380449E-5</v>
      </c>
      <c r="J317" s="314"/>
    </row>
    <row r="318" spans="1:10" ht="39.6">
      <c r="A318" s="613" t="s">
        <v>35412</v>
      </c>
      <c r="B318" s="337" t="s">
        <v>2879</v>
      </c>
      <c r="C318" s="540">
        <f>160663</f>
        <v>160663</v>
      </c>
      <c r="D318" s="539" t="str">
        <f>IF(B318="IOPES",VLOOKUP(C318,'LABOR-SERVIÇOS'!A:H,5,FALSE),IF(B318="SINAPI",VLOOKUP(C318,'SINAPI-SERVIÇOS'!A:D,2,FALSE),IF(LEFT(C318,3)="ARQ",VLOOKUP(VALUE(RIGHT(C318,3)),'ARQ-COMP'!B:J,4,FALSE),IF(LEFT(C318,3)="SCI",VLOOKUP(VALUE(RIGHT(C318,3)),'GAS-COMP'!#REF!,4,FALSE),IF(LEFT(C318,3)="SCE",VLOOKUP(VALUE(RIGHT(C318,3)),'SCE-COMP'!B:J,4,FALSE),IF(LEFT(C318,3)="EST",VLOOKUP(VALUE(RIGHT(C318,3)),'EST-COMP'!B:J,4,FALSE),IF(LEFT(C318,3)="HID",VLOOKUP(VALUE(RIGHT(C318,3)),'HID-COMP'!B:J,4,FALSE),IF(LEFT(C318,3)="INC",VLOOKUP(VALUE(RIGHT(C318,3)),'INC-COMP'!B:J,4,FALSE),IF(LEFT(C318,3)="ELE",VLOOKUP(VALUE(RIGHT(C318,3)),#REF!,4,FALSE),IF(LEFT(C318,3)="CAB",VLOOKUP(VALUE(RIGHT(C318,3)),#REF!,4,FALSE),IF(LEFT(C318,3)="SEG",VLOOKUP(VALUE(RIGHT(C318,3)),'SEG-COMP'!B:J,4,FALSE),IF(LEFT(C318,3)="CLI",VLOOKUP(VALUE(RIGHT(C318,3)),'CLI-COMP'!B:J,4,FALSE),IF(LEFT(C318,4)="IMPL",VLOOKUP(VALUE(RIGHT(C318,3)),'IMPL-COMP'!B:J,4,FALSE),IF(LEFT(C318,4)="SPDA",VLOOKUP(VALUE(RIGHT(C318,3)),'SPDA-COMP'!B:J,4,FALSE),IF(LEFT(C318,4)="SDAI",VLOOKUP(VALUE(RIGHT(C318,3)),'ADM-COMP'!B:J,4,FALSE),IF(LEFT(C318,5)="IMPER",VLOOKUP(VALUE(RIGHT(C318,3)),'IMPER-COMP'!B:J,4,FALSE),""))))))))))))))))</f>
        <v>FORNECIMENTO E INSTALAÇÃO DE BATERIA ESTACIONÁRIA 12V - 60 AH, PARA CENTRAIS DE ALARME / ILUMINAÇÃO DE EMERGÊNCIA, MOURA OU EQUIVALENTE</v>
      </c>
      <c r="E318" s="338" t="str">
        <f>IF(B318="IOPES",VLOOKUP(C318,'LABOR-SERVIÇOS'!A:H,6,FALSE),IF(B318="SINAPI",VLOOKUP(C318,'SINAPI-SERVIÇOS'!A:D,3,FALSE),IF(LEFT(C318,3)="ARQ",VLOOKUP(VALUE(RIGHT(C318,3)),'ARQ-COMP'!B:J,5,FALSE),IF(LEFT(C318,3)="SCI",VLOOKUP(VALUE(RIGHT(C318,3)),'GAS-COMP'!#REF!,5,FALSE),IF(LEFT(C318,3)="SCE",VLOOKUP(VALUE(RIGHT(C318,3)),'SCE-COMP'!B:J,5,FALSE),IF(LEFT(C318,3)="EST",VLOOKUP(VALUE(RIGHT(C318,3)),'EST-COMP'!B:J,5,FALSE),IF(LEFT(C318,3)="HID",VLOOKUP(VALUE(RIGHT(C318,3)),'HID-COMP'!B:J,5,FALSE),IF(LEFT(C318,3)="INC",VLOOKUP(VALUE(RIGHT(C318,3)),'INC-COMP'!B:J,5,FALSE),IF(LEFT(C318,3)="ELE",VLOOKUP(VALUE(RIGHT(C318,3)),#REF!,5,FALSE),IF(LEFT(C318,3)="CAB",VLOOKUP(VALUE(RIGHT(C318,3)),#REF!,5,FALSE),IF(LEFT(C318,3)="SEG",VLOOKUP(VALUE(RIGHT(C318,3)),'SEG-COMP'!B:J,5,FALSE),IF(LEFT(C318,3)="CLI",VLOOKUP(VALUE(RIGHT(C318,3)),'CLI-COMP'!B:J,5,FALSE),IF(LEFT(C318,4)="IMPL",VLOOKUP(VALUE(RIGHT(C318,3)),'IMPL-COMP'!B:J,5,FALSE),IF(LEFT(C318,4)="SPDA",VLOOKUP(VALUE(RIGHT(C318,3)),'SPDA-COMP'!B:J,5,FALSE),IF(LEFT(C318,4)="SDAI",VLOOKUP(VALUE(RIGHT(C318,3)),'ADM-COMP'!B:J,5,FALSE),IF(LEFT(C318,5)="IMPER",VLOOKUP(VALUE(RIGHT(C318,3)),'IMPER-COMP'!B:J,5,FALSE),""))))))))))))))))</f>
        <v>UND</v>
      </c>
      <c r="F318" s="599">
        <f>ROUND(VLOOKUP(A318,'MEM-LEVANT'!A295:I2859,9,FALSE),2)</f>
        <v>3</v>
      </c>
      <c r="G318" s="339">
        <f>IF(B318="IOPES",VLOOKUP(C318,'LABOR-SERVIÇOS'!A:H,7,FALSE),IF(B318="SINAPI",VLOOKUP(C318,'SINAPI-SERVIÇOS'!A:H,8,FALSE),IF(LEFT(C318,3)="ARQ",VLOOKUP(VALUE(RIGHT(C318,3)),'ARQ-COMP'!B:J,9,FALSE),IF(LEFT(C318,3)="SCI",VLOOKUP(VALUE(RIGHT(C318,3)),'GAS-COMP'!#REF!,9,FALSE),IF(LEFT(C318,3)="SCE",VLOOKUP(VALUE(RIGHT(C318,3)),'SCE-COMP'!B:J,9,FALSE),IF(LEFT(C318,3)="EST",VLOOKUP(VALUE(RIGHT(C318,3)),'EST-COMP'!B:J,9,FALSE),IF(LEFT(C318,3)="HID",VLOOKUP(VALUE(RIGHT(C318,3)),'HID-COMP'!B:J,9,FALSE),IF(LEFT(C318,3)="INC",VLOOKUP(VALUE(RIGHT(C318,3)),'INC-COMP'!B:J,9,FALSE),IF(LEFT(C318,3)="ELE",VLOOKUP(VALUE(RIGHT(C318,3)),#REF!,9,FALSE),IF(LEFT(C318,3)="CAB",VLOOKUP(VALUE(RIGHT(C318,3)),#REF!,9,FALSE),IF(LEFT(C318,3)="SEG",VLOOKUP(VALUE(RIGHT(C318,3)),'SEG-COMP'!B:J,9,FALSE),IF(LEFT(C318,3)="CLI",VLOOKUP(VALUE(RIGHT(C318,3)),'CLI-COMP'!B:J,9,FALSE),IF(LEFT(C318,4)="IMPL",VLOOKUP(VALUE(RIGHT(C318,3)),'IMPL-COMP'!B:J,9,FALSE),IF(LEFT(C318,4)="SPDA",VLOOKUP(VALUE(RIGHT(C318,3)),'SPDA-COMP'!B:J,9,FALSE),IF(LEFT(C318,4)="SDAI",VLOOKUP(VALUE(RIGHT(C318,3)),'ADM-COMP'!B:J,9,FALSE),IF(LEFT(C318,5)="IMPER",VLOOKUP(VALUE(RIGHT(C318,3)),'IMPER-COMP'!B:J,9,FALSE),""))))))))))))))))</f>
        <v>795.7</v>
      </c>
      <c r="H318" s="339">
        <f t="shared" si="105"/>
        <v>2387.1</v>
      </c>
      <c r="I318" s="374">
        <f t="shared" si="106"/>
        <v>1.3957275698883685E-4</v>
      </c>
      <c r="J318" s="314"/>
    </row>
    <row r="319" spans="1:10" ht="92.4">
      <c r="A319" s="613" t="s">
        <v>35413</v>
      </c>
      <c r="B319" s="337" t="s">
        <v>2879</v>
      </c>
      <c r="C319" s="540">
        <f>160671</f>
        <v>160671</v>
      </c>
      <c r="D319" s="539" t="str">
        <f>IF(B319="IOPES",VLOOKUP(C319,'LABOR-SERVIÇOS'!A:H,5,FALSE),IF(B319="SINAPI",VLOOKUP(C319,'SINAPI-SERVIÇOS'!A:D,2,FALSE),IF(LEFT(C319,3)="ARQ",VLOOKUP(VALUE(RIGHT(C319,3)),'ARQ-COMP'!B:J,4,FALSE),IF(LEFT(C319,3)="SCI",VLOOKUP(VALUE(RIGHT(C319,3)),'GAS-COMP'!#REF!,4,FALSE),IF(LEFT(C319,3)="SCE",VLOOKUP(VALUE(RIGHT(C319,3)),'SCE-COMP'!B:J,4,FALSE),IF(LEFT(C319,3)="EST",VLOOKUP(VALUE(RIGHT(C319,3)),'EST-COMP'!B:J,4,FALSE),IF(LEFT(C319,3)="HID",VLOOKUP(VALUE(RIGHT(C319,3)),'HID-COMP'!B:J,4,FALSE),IF(LEFT(C319,3)="INC",VLOOKUP(VALUE(RIGHT(C319,3)),'INC-COMP'!B:J,4,FALSE),IF(LEFT(C319,3)="ELE",VLOOKUP(VALUE(RIGHT(C319,3)),#REF!,4,FALSE),IF(LEFT(C319,3)="CAB",VLOOKUP(VALUE(RIGHT(C319,3)),#REF!,4,FALSE),IF(LEFT(C319,3)="SEG",VLOOKUP(VALUE(RIGHT(C319,3)),'SEG-COMP'!B:J,4,FALSE),IF(LEFT(C319,3)="CLI",VLOOKUP(VALUE(RIGHT(C319,3)),'CLI-COMP'!B:J,4,FALSE),IF(LEFT(C319,4)="IMPL",VLOOKUP(VALUE(RIGHT(C319,3)),'IMPL-COMP'!B:J,4,FALSE),IF(LEFT(C319,4)="SPDA",VLOOKUP(VALUE(RIGHT(C319,3)),'SPDA-COMP'!B:J,4,FALSE),IF(LEFT(C319,4)="SDAI",VLOOKUP(VALUE(RIGHT(C319,3)),'ADM-COMP'!B:J,4,FALSE),IF(LEFT(C319,5)="IMPER",VLOOKUP(VALUE(RIGHT(C319,3)),'IMPER-COMP'!B:J,4,FALSE),""))))))))))))))))</f>
        <v>ABRIGO DE PAREDE PARA HIDRANTE 80X90X17CM SOBREPOR, EM CHAPA DE AÇO COM PINTURA ELETROSTÁTICA VERMELHA, VISOR TRANSPARENTE E INSCRIÇÃO "HIDRANTE", REGISTRO GLOBO ANGULAR 45º 2.1/2? (63MM), ADAPTADOR EM LATÃO STORZ ENGATE RÁPIDO 2.1/2?, 2 (DUAS) MANGUEIRAS DE INCÊNDIO 15M ?2.1/2? - TIPO 2 E ESGUICHO REGULÁVEL EM LATÃO 2.1/2?, FORNECIMENTO E INSTALAÇÃO</v>
      </c>
      <c r="E319" s="338" t="str">
        <f>IF(B319="IOPES",VLOOKUP(C319,'LABOR-SERVIÇOS'!A:H,6,FALSE),IF(B319="SINAPI",VLOOKUP(C319,'SINAPI-SERVIÇOS'!A:D,3,FALSE),IF(LEFT(C319,3)="ARQ",VLOOKUP(VALUE(RIGHT(C319,3)),'ARQ-COMP'!B:J,5,FALSE),IF(LEFT(C319,3)="SCI",VLOOKUP(VALUE(RIGHT(C319,3)),'GAS-COMP'!#REF!,5,FALSE),IF(LEFT(C319,3)="SCE",VLOOKUP(VALUE(RIGHT(C319,3)),'SCE-COMP'!B:J,5,FALSE),IF(LEFT(C319,3)="EST",VLOOKUP(VALUE(RIGHT(C319,3)),'EST-COMP'!B:J,5,FALSE),IF(LEFT(C319,3)="HID",VLOOKUP(VALUE(RIGHT(C319,3)),'HID-COMP'!B:J,5,FALSE),IF(LEFT(C319,3)="INC",VLOOKUP(VALUE(RIGHT(C319,3)),'INC-COMP'!B:J,5,FALSE),IF(LEFT(C319,3)="ELE",VLOOKUP(VALUE(RIGHT(C319,3)),#REF!,5,FALSE),IF(LEFT(C319,3)="CAB",VLOOKUP(VALUE(RIGHT(C319,3)),#REF!,5,FALSE),IF(LEFT(C319,3)="SEG",VLOOKUP(VALUE(RIGHT(C319,3)),'SEG-COMP'!B:J,5,FALSE),IF(LEFT(C319,3)="CLI",VLOOKUP(VALUE(RIGHT(C319,3)),'CLI-COMP'!B:J,5,FALSE),IF(LEFT(C319,4)="IMPL",VLOOKUP(VALUE(RIGHT(C319,3)),'IMPL-COMP'!B:J,5,FALSE),IF(LEFT(C319,4)="SPDA",VLOOKUP(VALUE(RIGHT(C319,3)),'SPDA-COMP'!B:J,5,FALSE),IF(LEFT(C319,4)="SDAI",VLOOKUP(VALUE(RIGHT(C319,3)),'ADM-COMP'!B:J,5,FALSE),IF(LEFT(C319,5)="IMPER",VLOOKUP(VALUE(RIGHT(C319,3)),'IMPER-COMP'!B:J,5,FALSE),""))))))))))))))))</f>
        <v>UND</v>
      </c>
      <c r="F319" s="599">
        <f>ROUND(VLOOKUP(A319,'MEM-LEVANT'!A295:I2860,9,FALSE),2)</f>
        <v>3</v>
      </c>
      <c r="G319" s="339">
        <f>IF(B319="IOPES",VLOOKUP(C319,'LABOR-SERVIÇOS'!A:H,7,FALSE),IF(B319="SINAPI",VLOOKUP(C319,'SINAPI-SERVIÇOS'!A:H,8,FALSE),IF(LEFT(C319,3)="ARQ",VLOOKUP(VALUE(RIGHT(C319,3)),'ARQ-COMP'!B:J,9,FALSE),IF(LEFT(C319,3)="SCI",VLOOKUP(VALUE(RIGHT(C319,3)),'GAS-COMP'!#REF!,9,FALSE),IF(LEFT(C319,3)="SCE",VLOOKUP(VALUE(RIGHT(C319,3)),'SCE-COMP'!B:J,9,FALSE),IF(LEFT(C319,3)="EST",VLOOKUP(VALUE(RIGHT(C319,3)),'EST-COMP'!B:J,9,FALSE),IF(LEFT(C319,3)="HID",VLOOKUP(VALUE(RIGHT(C319,3)),'HID-COMP'!B:J,9,FALSE),IF(LEFT(C319,3)="INC",VLOOKUP(VALUE(RIGHT(C319,3)),'INC-COMP'!B:J,9,FALSE),IF(LEFT(C319,3)="ELE",VLOOKUP(VALUE(RIGHT(C319,3)),#REF!,9,FALSE),IF(LEFT(C319,3)="CAB",VLOOKUP(VALUE(RIGHT(C319,3)),#REF!,9,FALSE),IF(LEFT(C319,3)="SEG",VLOOKUP(VALUE(RIGHT(C319,3)),'SEG-COMP'!B:J,9,FALSE),IF(LEFT(C319,3)="CLI",VLOOKUP(VALUE(RIGHT(C319,3)),'CLI-COMP'!B:J,9,FALSE),IF(LEFT(C319,4)="IMPL",VLOOKUP(VALUE(RIGHT(C319,3)),'IMPL-COMP'!B:J,9,FALSE),IF(LEFT(C319,4)="SPDA",VLOOKUP(VALUE(RIGHT(C319,3)),'SPDA-COMP'!B:J,9,FALSE),IF(LEFT(C319,4)="SDAI",VLOOKUP(VALUE(RIGHT(C319,3)),'ADM-COMP'!B:J,9,FALSE),IF(LEFT(C319,5)="IMPER",VLOOKUP(VALUE(RIGHT(C319,3)),'IMPER-COMP'!B:J,9,FALSE),""))))))))))))))))</f>
        <v>3091.16</v>
      </c>
      <c r="H319" s="339">
        <f t="shared" si="105"/>
        <v>9273.48</v>
      </c>
      <c r="I319" s="374">
        <f t="shared" si="106"/>
        <v>5.422165684222859E-4</v>
      </c>
      <c r="J319" s="314"/>
    </row>
    <row r="320" spans="1:10" ht="52.8">
      <c r="A320" s="613" t="s">
        <v>35414</v>
      </c>
      <c r="B320" s="337" t="s">
        <v>2879</v>
      </c>
      <c r="C320" s="540">
        <f>160673</f>
        <v>160673</v>
      </c>
      <c r="D320" s="539" t="str">
        <f>IF(B320="IOPES",VLOOKUP(C320,'LABOR-SERVIÇOS'!A:H,5,FALSE),IF(B320="SINAPI",VLOOKUP(C320,'SINAPI-SERVIÇOS'!A:D,2,FALSE),IF(LEFT(C320,3)="ARQ",VLOOKUP(VALUE(RIGHT(C320,3)),'ARQ-COMP'!B:J,4,FALSE),IF(LEFT(C320,3)="SCI",VLOOKUP(VALUE(RIGHT(C320,3)),'GAS-COMP'!#REF!,4,FALSE),IF(LEFT(C320,3)="SCE",VLOOKUP(VALUE(RIGHT(C320,3)),'SCE-COMP'!B:J,4,FALSE),IF(LEFT(C320,3)="EST",VLOOKUP(VALUE(RIGHT(C320,3)),'EST-COMP'!B:J,4,FALSE),IF(LEFT(C320,3)="HID",VLOOKUP(VALUE(RIGHT(C320,3)),'HID-COMP'!B:J,4,FALSE),IF(LEFT(C320,3)="INC",VLOOKUP(VALUE(RIGHT(C320,3)),'INC-COMP'!B:J,4,FALSE),IF(LEFT(C320,3)="ELE",VLOOKUP(VALUE(RIGHT(C320,3)),#REF!,4,FALSE),IF(LEFT(C320,3)="CAB",VLOOKUP(VALUE(RIGHT(C320,3)),#REF!,4,FALSE),IF(LEFT(C320,3)="SEG",VLOOKUP(VALUE(RIGHT(C320,3)),'SEG-COMP'!B:J,4,FALSE),IF(LEFT(C320,3)="CLI",VLOOKUP(VALUE(RIGHT(C320,3)),'CLI-COMP'!B:J,4,FALSE),IF(LEFT(C320,4)="IMPL",VLOOKUP(VALUE(RIGHT(C320,3)),'IMPL-COMP'!B:J,4,FALSE),IF(LEFT(C320,4)="SPDA",VLOOKUP(VALUE(RIGHT(C320,3)),'SPDA-COMP'!B:J,4,FALSE),IF(LEFT(C320,4)="SDAI",VLOOKUP(VALUE(RIGHT(C320,3)),'ADM-COMP'!B:J,4,FALSE),IF(LEFT(C320,5)="IMPER",VLOOKUP(VALUE(RIGHT(C320,3)),'IMPER-COMP'!B:J,4,FALSE),""))))))))))))))))</f>
        <v>CENTRAL DE ALARME DE INCÊNDIO ENDEREÇÁVEL, COM CAPACIDADE PARA ATÉ 256 ENDEREÇOS, DISTRIBUÍDOS EM 4 LAÇOS, INCLUINDO FORNECIMENTO, INSTALAÇÃO E CONFIGURAÇÃO COMPLETA</v>
      </c>
      <c r="E320" s="338" t="str">
        <f>IF(B320="IOPES",VLOOKUP(C320,'LABOR-SERVIÇOS'!A:H,6,FALSE),IF(B320="SINAPI",VLOOKUP(C320,'SINAPI-SERVIÇOS'!A:D,3,FALSE),IF(LEFT(C320,3)="ARQ",VLOOKUP(VALUE(RIGHT(C320,3)),'ARQ-COMP'!B:J,5,FALSE),IF(LEFT(C320,3)="SCI",VLOOKUP(VALUE(RIGHT(C320,3)),'GAS-COMP'!#REF!,5,FALSE),IF(LEFT(C320,3)="SCE",VLOOKUP(VALUE(RIGHT(C320,3)),'SCE-COMP'!B:J,5,FALSE),IF(LEFT(C320,3)="EST",VLOOKUP(VALUE(RIGHT(C320,3)),'EST-COMP'!B:J,5,FALSE),IF(LEFT(C320,3)="HID",VLOOKUP(VALUE(RIGHT(C320,3)),'HID-COMP'!B:J,5,FALSE),IF(LEFT(C320,3)="INC",VLOOKUP(VALUE(RIGHT(C320,3)),'INC-COMP'!B:J,5,FALSE),IF(LEFT(C320,3)="ELE",VLOOKUP(VALUE(RIGHT(C320,3)),#REF!,5,FALSE),IF(LEFT(C320,3)="CAB",VLOOKUP(VALUE(RIGHT(C320,3)),#REF!,5,FALSE),IF(LEFT(C320,3)="SEG",VLOOKUP(VALUE(RIGHT(C320,3)),'SEG-COMP'!B:J,5,FALSE),IF(LEFT(C320,3)="CLI",VLOOKUP(VALUE(RIGHT(C320,3)),'CLI-COMP'!B:J,5,FALSE),IF(LEFT(C320,4)="IMPL",VLOOKUP(VALUE(RIGHT(C320,3)),'IMPL-COMP'!B:J,5,FALSE),IF(LEFT(C320,4)="SPDA",VLOOKUP(VALUE(RIGHT(C320,3)),'SPDA-COMP'!B:J,5,FALSE),IF(LEFT(C320,4)="SDAI",VLOOKUP(VALUE(RIGHT(C320,3)),'ADM-COMP'!B:J,5,FALSE),IF(LEFT(C320,5)="IMPER",VLOOKUP(VALUE(RIGHT(C320,3)),'IMPER-COMP'!B:J,5,FALSE),""))))))))))))))))</f>
        <v>UND</v>
      </c>
      <c r="F320" s="599">
        <f>ROUND(VLOOKUP(A320,'MEM-LEVANT'!A295:I2861,9,FALSE),2)</f>
        <v>2</v>
      </c>
      <c r="G320" s="339">
        <f>IF(B320="IOPES",VLOOKUP(C320,'LABOR-SERVIÇOS'!A:H,7,FALSE),IF(B320="SINAPI",VLOOKUP(C320,'SINAPI-SERVIÇOS'!A:H,8,FALSE),IF(LEFT(C320,3)="ARQ",VLOOKUP(VALUE(RIGHT(C320,3)),'ARQ-COMP'!B:J,9,FALSE),IF(LEFT(C320,3)="SCI",VLOOKUP(VALUE(RIGHT(C320,3)),'GAS-COMP'!#REF!,9,FALSE),IF(LEFT(C320,3)="SCE",VLOOKUP(VALUE(RIGHT(C320,3)),'SCE-COMP'!B:J,9,FALSE),IF(LEFT(C320,3)="EST",VLOOKUP(VALUE(RIGHT(C320,3)),'EST-COMP'!B:J,9,FALSE),IF(LEFT(C320,3)="HID",VLOOKUP(VALUE(RIGHT(C320,3)),'HID-COMP'!B:J,9,FALSE),IF(LEFT(C320,3)="INC",VLOOKUP(VALUE(RIGHT(C320,3)),'INC-COMP'!B:J,9,FALSE),IF(LEFT(C320,3)="ELE",VLOOKUP(VALUE(RIGHT(C320,3)),#REF!,9,FALSE),IF(LEFT(C320,3)="CAB",VLOOKUP(VALUE(RIGHT(C320,3)),#REF!,9,FALSE),IF(LEFT(C320,3)="SEG",VLOOKUP(VALUE(RIGHT(C320,3)),'SEG-COMP'!B:J,9,FALSE),IF(LEFT(C320,3)="CLI",VLOOKUP(VALUE(RIGHT(C320,3)),'CLI-COMP'!B:J,9,FALSE),IF(LEFT(C320,4)="IMPL",VLOOKUP(VALUE(RIGHT(C320,3)),'IMPL-COMP'!B:J,9,FALSE),IF(LEFT(C320,4)="SPDA",VLOOKUP(VALUE(RIGHT(C320,3)),'SPDA-COMP'!B:J,9,FALSE),IF(LEFT(C320,4)="SDAI",VLOOKUP(VALUE(RIGHT(C320,3)),'ADM-COMP'!B:J,9,FALSE),IF(LEFT(C320,5)="IMPER",VLOOKUP(VALUE(RIGHT(C320,3)),'IMPER-COMP'!B:J,9,FALSE),""))))))))))))))))</f>
        <v>3637.92</v>
      </c>
      <c r="H320" s="339">
        <f t="shared" si="105"/>
        <v>7275.84</v>
      </c>
      <c r="I320" s="374">
        <f t="shared" si="106"/>
        <v>4.2541537774272496E-4</v>
      </c>
      <c r="J320" s="314"/>
    </row>
    <row r="321" spans="1:10" ht="39.6">
      <c r="A321" s="613" t="s">
        <v>35415</v>
      </c>
      <c r="B321" s="337" t="s">
        <v>2879</v>
      </c>
      <c r="C321" s="540">
        <f>160674</f>
        <v>160674</v>
      </c>
      <c r="D321" s="539" t="str">
        <f>IF(B321="IOPES",VLOOKUP(C321,'LABOR-SERVIÇOS'!A:H,5,FALSE),IF(B321="SINAPI",VLOOKUP(C321,'SINAPI-SERVIÇOS'!A:D,2,FALSE),IF(LEFT(C321,3)="ARQ",VLOOKUP(VALUE(RIGHT(C321,3)),'ARQ-COMP'!B:J,4,FALSE),IF(LEFT(C321,3)="SCI",VLOOKUP(VALUE(RIGHT(C321,3)),'GAS-COMP'!#REF!,4,FALSE),IF(LEFT(C321,3)="SCE",VLOOKUP(VALUE(RIGHT(C321,3)),'SCE-COMP'!B:J,4,FALSE),IF(LEFT(C321,3)="EST",VLOOKUP(VALUE(RIGHT(C321,3)),'EST-COMP'!B:J,4,FALSE),IF(LEFT(C321,3)="HID",VLOOKUP(VALUE(RIGHT(C321,3)),'HID-COMP'!B:J,4,FALSE),IF(LEFT(C321,3)="INC",VLOOKUP(VALUE(RIGHT(C321,3)),'INC-COMP'!B:J,4,FALSE),IF(LEFT(C321,3)="ELE",VLOOKUP(VALUE(RIGHT(C321,3)),#REF!,4,FALSE),IF(LEFT(C321,3)="CAB",VLOOKUP(VALUE(RIGHT(C321,3)),#REF!,4,FALSE),IF(LEFT(C321,3)="SEG",VLOOKUP(VALUE(RIGHT(C321,3)),'SEG-COMP'!B:J,4,FALSE),IF(LEFT(C321,3)="CLI",VLOOKUP(VALUE(RIGHT(C321,3)),'CLI-COMP'!B:J,4,FALSE),IF(LEFT(C321,4)="IMPL",VLOOKUP(VALUE(RIGHT(C321,3)),'IMPL-COMP'!B:J,4,FALSE),IF(LEFT(C321,4)="SPDA",VLOOKUP(VALUE(RIGHT(C321,3)),'SPDA-COMP'!B:J,4,FALSE),IF(LEFT(C321,4)="SDAI",VLOOKUP(VALUE(RIGHT(C321,3)),'ADM-COMP'!B:J,4,FALSE),IF(LEFT(C321,5)="IMPER",VLOOKUP(VALUE(RIGHT(C321,3)),'IMPER-COMP'!B:J,4,FALSE),""))))))))))))))))</f>
        <v>ACIONADOR MANUAL DE ALARME DE INCÊNDIO ENDEREÇÁVEL, TIPO QUEBRA-VIDRO, NA COR VERMELHA, INCLUSO MARTELO ? FORNECIMENTO, INSTALAÇÃO E CONFIGURAÇÃO</v>
      </c>
      <c r="E321" s="338" t="str">
        <f>IF(B321="IOPES",VLOOKUP(C321,'LABOR-SERVIÇOS'!A:H,6,FALSE),IF(B321="SINAPI",VLOOKUP(C321,'SINAPI-SERVIÇOS'!A:D,3,FALSE),IF(LEFT(C321,3)="ARQ",VLOOKUP(VALUE(RIGHT(C321,3)),'ARQ-COMP'!B:J,5,FALSE),IF(LEFT(C321,3)="SCI",VLOOKUP(VALUE(RIGHT(C321,3)),'GAS-COMP'!#REF!,5,FALSE),IF(LEFT(C321,3)="SCE",VLOOKUP(VALUE(RIGHT(C321,3)),'SCE-COMP'!B:J,5,FALSE),IF(LEFT(C321,3)="EST",VLOOKUP(VALUE(RIGHT(C321,3)),'EST-COMP'!B:J,5,FALSE),IF(LEFT(C321,3)="HID",VLOOKUP(VALUE(RIGHT(C321,3)),'HID-COMP'!B:J,5,FALSE),IF(LEFT(C321,3)="INC",VLOOKUP(VALUE(RIGHT(C321,3)),'INC-COMP'!B:J,5,FALSE),IF(LEFT(C321,3)="ELE",VLOOKUP(VALUE(RIGHT(C321,3)),#REF!,5,FALSE),IF(LEFT(C321,3)="CAB",VLOOKUP(VALUE(RIGHT(C321,3)),#REF!,5,FALSE),IF(LEFT(C321,3)="SEG",VLOOKUP(VALUE(RIGHT(C321,3)),'SEG-COMP'!B:J,5,FALSE),IF(LEFT(C321,3)="CLI",VLOOKUP(VALUE(RIGHT(C321,3)),'CLI-COMP'!B:J,5,FALSE),IF(LEFT(C321,4)="IMPL",VLOOKUP(VALUE(RIGHT(C321,3)),'IMPL-COMP'!B:J,5,FALSE),IF(LEFT(C321,4)="SPDA",VLOOKUP(VALUE(RIGHT(C321,3)),'SPDA-COMP'!B:J,5,FALSE),IF(LEFT(C321,4)="SDAI",VLOOKUP(VALUE(RIGHT(C321,3)),'ADM-COMP'!B:J,5,FALSE),IF(LEFT(C321,5)="IMPER",VLOOKUP(VALUE(RIGHT(C321,3)),'IMPER-COMP'!B:J,5,FALSE),""))))))))))))))))</f>
        <v>UND</v>
      </c>
      <c r="F321" s="599">
        <f>ROUND(VLOOKUP(A321,'MEM-LEVANT'!A295:I2862,9,FALSE),2)</f>
        <v>6</v>
      </c>
      <c r="G321" s="339">
        <f>IF(B321="IOPES",VLOOKUP(C321,'LABOR-SERVIÇOS'!A:H,7,FALSE),IF(B321="SINAPI",VLOOKUP(C321,'SINAPI-SERVIÇOS'!A:H,8,FALSE),IF(LEFT(C321,3)="ARQ",VLOOKUP(VALUE(RIGHT(C321,3)),'ARQ-COMP'!B:J,9,FALSE),IF(LEFT(C321,3)="SCI",VLOOKUP(VALUE(RIGHT(C321,3)),'GAS-COMP'!#REF!,9,FALSE),IF(LEFT(C321,3)="SCE",VLOOKUP(VALUE(RIGHT(C321,3)),'SCE-COMP'!B:J,9,FALSE),IF(LEFT(C321,3)="EST",VLOOKUP(VALUE(RIGHT(C321,3)),'EST-COMP'!B:J,9,FALSE),IF(LEFT(C321,3)="HID",VLOOKUP(VALUE(RIGHT(C321,3)),'HID-COMP'!B:J,9,FALSE),IF(LEFT(C321,3)="INC",VLOOKUP(VALUE(RIGHT(C321,3)),'INC-COMP'!B:J,9,FALSE),IF(LEFT(C321,3)="ELE",VLOOKUP(VALUE(RIGHT(C321,3)),#REF!,9,FALSE),IF(LEFT(C321,3)="CAB",VLOOKUP(VALUE(RIGHT(C321,3)),#REF!,9,FALSE),IF(LEFT(C321,3)="SEG",VLOOKUP(VALUE(RIGHT(C321,3)),'SEG-COMP'!B:J,9,FALSE),IF(LEFT(C321,3)="CLI",VLOOKUP(VALUE(RIGHT(C321,3)),'CLI-COMP'!B:J,9,FALSE),IF(LEFT(C321,4)="IMPL",VLOOKUP(VALUE(RIGHT(C321,3)),'IMPL-COMP'!B:J,9,FALSE),IF(LEFT(C321,4)="SPDA",VLOOKUP(VALUE(RIGHT(C321,3)),'SPDA-COMP'!B:J,9,FALSE),IF(LEFT(C321,4)="SDAI",VLOOKUP(VALUE(RIGHT(C321,3)),'ADM-COMP'!B:J,9,FALSE),IF(LEFT(C321,5)="IMPER",VLOOKUP(VALUE(RIGHT(C321,3)),'IMPER-COMP'!B:J,9,FALSE),""))))))))))))))))</f>
        <v>192.63</v>
      </c>
      <c r="H321" s="339">
        <f t="shared" si="105"/>
        <v>1155.78</v>
      </c>
      <c r="I321" s="374">
        <f t="shared" si="106"/>
        <v>6.7577982100690316E-5</v>
      </c>
      <c r="J321" s="314"/>
    </row>
    <row r="322" spans="1:10" ht="39.6">
      <c r="A322" s="613" t="s">
        <v>35416</v>
      </c>
      <c r="B322" s="337" t="s">
        <v>2879</v>
      </c>
      <c r="C322" s="540">
        <f>160675</f>
        <v>160675</v>
      </c>
      <c r="D322" s="539" t="str">
        <f>IF(B322="IOPES",VLOOKUP(C322,'LABOR-SERVIÇOS'!A:H,5,FALSE),IF(B322="SINAPI",VLOOKUP(C322,'SINAPI-SERVIÇOS'!A:D,2,FALSE),IF(LEFT(C322,3)="ARQ",VLOOKUP(VALUE(RIGHT(C322,3)),'ARQ-COMP'!B:J,4,FALSE),IF(LEFT(C322,3)="SCI",VLOOKUP(VALUE(RIGHT(C322,3)),'GAS-COMP'!#REF!,4,FALSE),IF(LEFT(C322,3)="SCE",VLOOKUP(VALUE(RIGHT(C322,3)),'SCE-COMP'!B:J,4,FALSE),IF(LEFT(C322,3)="EST",VLOOKUP(VALUE(RIGHT(C322,3)),'EST-COMP'!B:J,4,FALSE),IF(LEFT(C322,3)="HID",VLOOKUP(VALUE(RIGHT(C322,3)),'HID-COMP'!B:J,4,FALSE),IF(LEFT(C322,3)="INC",VLOOKUP(VALUE(RIGHT(C322,3)),'INC-COMP'!B:J,4,FALSE),IF(LEFT(C322,3)="ELE",VLOOKUP(VALUE(RIGHT(C322,3)),#REF!,4,FALSE),IF(LEFT(C322,3)="CAB",VLOOKUP(VALUE(RIGHT(C322,3)),#REF!,4,FALSE),IF(LEFT(C322,3)="SEG",VLOOKUP(VALUE(RIGHT(C322,3)),'SEG-COMP'!B:J,4,FALSE),IF(LEFT(C322,3)="CLI",VLOOKUP(VALUE(RIGHT(C322,3)),'CLI-COMP'!B:J,4,FALSE),IF(LEFT(C322,4)="IMPL",VLOOKUP(VALUE(RIGHT(C322,3)),'IMPL-COMP'!B:J,4,FALSE),IF(LEFT(C322,4)="SPDA",VLOOKUP(VALUE(RIGHT(C322,3)),'SPDA-COMP'!B:J,4,FALSE),IF(LEFT(C322,4)="SDAI",VLOOKUP(VALUE(RIGHT(C322,3)),'ADM-COMP'!B:J,4,FALSE),IF(LEFT(C322,5)="IMPER",VLOOKUP(VALUE(RIGHT(C322,3)),'IMPER-COMP'!B:J,4,FALSE),""))))))))))))))))</f>
        <v>DETECTOR DE FUMAÇA ÓPTICO (FOTOELÉTRICO) ENDEREÇÁVEL, ALIMENTAÇÃO BIVOLT 12/24V ? FORNECIMENTO, INSTALAÇÃO E CONFIGURAÇÃO</v>
      </c>
      <c r="E322" s="338" t="str">
        <f>IF(B322="IOPES",VLOOKUP(C322,'LABOR-SERVIÇOS'!A:H,6,FALSE),IF(B322="SINAPI",VLOOKUP(C322,'SINAPI-SERVIÇOS'!A:D,3,FALSE),IF(LEFT(C322,3)="ARQ",VLOOKUP(VALUE(RIGHT(C322,3)),'ARQ-COMP'!B:J,5,FALSE),IF(LEFT(C322,3)="SCI",VLOOKUP(VALUE(RIGHT(C322,3)),'GAS-COMP'!#REF!,5,FALSE),IF(LEFT(C322,3)="SCE",VLOOKUP(VALUE(RIGHT(C322,3)),'SCE-COMP'!B:J,5,FALSE),IF(LEFT(C322,3)="EST",VLOOKUP(VALUE(RIGHT(C322,3)),'EST-COMP'!B:J,5,FALSE),IF(LEFT(C322,3)="HID",VLOOKUP(VALUE(RIGHT(C322,3)),'HID-COMP'!B:J,5,FALSE),IF(LEFT(C322,3)="INC",VLOOKUP(VALUE(RIGHT(C322,3)),'INC-COMP'!B:J,5,FALSE),IF(LEFT(C322,3)="ELE",VLOOKUP(VALUE(RIGHT(C322,3)),#REF!,5,FALSE),IF(LEFT(C322,3)="CAB",VLOOKUP(VALUE(RIGHT(C322,3)),#REF!,5,FALSE),IF(LEFT(C322,3)="SEG",VLOOKUP(VALUE(RIGHT(C322,3)),'SEG-COMP'!B:J,5,FALSE),IF(LEFT(C322,3)="CLI",VLOOKUP(VALUE(RIGHT(C322,3)),'CLI-COMP'!B:J,5,FALSE),IF(LEFT(C322,4)="IMPL",VLOOKUP(VALUE(RIGHT(C322,3)),'IMPL-COMP'!B:J,5,FALSE),IF(LEFT(C322,4)="SPDA",VLOOKUP(VALUE(RIGHT(C322,3)),'SPDA-COMP'!B:J,5,FALSE),IF(LEFT(C322,4)="SDAI",VLOOKUP(VALUE(RIGHT(C322,3)),'ADM-COMP'!B:J,5,FALSE),IF(LEFT(C322,5)="IMPER",VLOOKUP(VALUE(RIGHT(C322,3)),'IMPER-COMP'!B:J,5,FALSE),""))))))))))))))))</f>
        <v>UND</v>
      </c>
      <c r="F322" s="599">
        <f>ROUND(VLOOKUP(A322,'MEM-LEVANT'!A295:I2863,9,FALSE),2)</f>
        <v>7</v>
      </c>
      <c r="G322" s="339">
        <f>IF(B322="IOPES",VLOOKUP(C322,'LABOR-SERVIÇOS'!A:H,7,FALSE),IF(B322="SINAPI",VLOOKUP(C322,'SINAPI-SERVIÇOS'!A:H,8,FALSE),IF(LEFT(C322,3)="ARQ",VLOOKUP(VALUE(RIGHT(C322,3)),'ARQ-COMP'!B:J,9,FALSE),IF(LEFT(C322,3)="SCI",VLOOKUP(VALUE(RIGHT(C322,3)),'GAS-COMP'!#REF!,9,FALSE),IF(LEFT(C322,3)="SCE",VLOOKUP(VALUE(RIGHT(C322,3)),'SCE-COMP'!B:J,9,FALSE),IF(LEFT(C322,3)="EST",VLOOKUP(VALUE(RIGHT(C322,3)),'EST-COMP'!B:J,9,FALSE),IF(LEFT(C322,3)="HID",VLOOKUP(VALUE(RIGHT(C322,3)),'HID-COMP'!B:J,9,FALSE),IF(LEFT(C322,3)="INC",VLOOKUP(VALUE(RIGHT(C322,3)),'INC-COMP'!B:J,9,FALSE),IF(LEFT(C322,3)="ELE",VLOOKUP(VALUE(RIGHT(C322,3)),#REF!,9,FALSE),IF(LEFT(C322,3)="CAB",VLOOKUP(VALUE(RIGHT(C322,3)),#REF!,9,FALSE),IF(LEFT(C322,3)="SEG",VLOOKUP(VALUE(RIGHT(C322,3)),'SEG-COMP'!B:J,9,FALSE),IF(LEFT(C322,3)="CLI",VLOOKUP(VALUE(RIGHT(C322,3)),'CLI-COMP'!B:J,9,FALSE),IF(LEFT(C322,4)="IMPL",VLOOKUP(VALUE(RIGHT(C322,3)),'IMPL-COMP'!B:J,9,FALSE),IF(LEFT(C322,4)="SPDA",VLOOKUP(VALUE(RIGHT(C322,3)),'SPDA-COMP'!B:J,9,FALSE),IF(LEFT(C322,4)="SDAI",VLOOKUP(VALUE(RIGHT(C322,3)),'ADM-COMP'!B:J,9,FALSE),IF(LEFT(C322,5)="IMPER",VLOOKUP(VALUE(RIGHT(C322,3)),'IMPER-COMP'!B:J,9,FALSE),""))))))))))))))))</f>
        <v>261.92</v>
      </c>
      <c r="H322" s="339">
        <f t="shared" si="105"/>
        <v>1833.44</v>
      </c>
      <c r="I322" s="374">
        <f t="shared" si="106"/>
        <v>1.0720048409099453E-4</v>
      </c>
      <c r="J322" s="314"/>
    </row>
    <row r="323" spans="1:10" ht="26.4">
      <c r="A323" s="613" t="s">
        <v>35417</v>
      </c>
      <c r="B323" s="337" t="s">
        <v>2879</v>
      </c>
      <c r="C323" s="540">
        <f>160676</f>
        <v>160676</v>
      </c>
      <c r="D323" s="539" t="str">
        <f>IF(B323="IOPES",VLOOKUP(C323,'LABOR-SERVIÇOS'!A:H,5,FALSE),IF(B323="SINAPI",VLOOKUP(C323,'SINAPI-SERVIÇOS'!A:D,2,FALSE),IF(LEFT(C323,3)="ARQ",VLOOKUP(VALUE(RIGHT(C323,3)),'ARQ-COMP'!B:J,4,FALSE),IF(LEFT(C323,3)="SCI",VLOOKUP(VALUE(RIGHT(C323,3)),'GAS-COMP'!#REF!,4,FALSE),IF(LEFT(C323,3)="SCE",VLOOKUP(VALUE(RIGHT(C323,3)),'SCE-COMP'!B:J,4,FALSE),IF(LEFT(C323,3)="EST",VLOOKUP(VALUE(RIGHT(C323,3)),'EST-COMP'!B:J,4,FALSE),IF(LEFT(C323,3)="HID",VLOOKUP(VALUE(RIGHT(C323,3)),'HID-COMP'!B:J,4,FALSE),IF(LEFT(C323,3)="INC",VLOOKUP(VALUE(RIGHT(C323,3)),'INC-COMP'!B:J,4,FALSE),IF(LEFT(C323,3)="ELE",VLOOKUP(VALUE(RIGHT(C323,3)),#REF!,4,FALSE),IF(LEFT(C323,3)="CAB",VLOOKUP(VALUE(RIGHT(C323,3)),#REF!,4,FALSE),IF(LEFT(C323,3)="SEG",VLOOKUP(VALUE(RIGHT(C323,3)),'SEG-COMP'!B:J,4,FALSE),IF(LEFT(C323,3)="CLI",VLOOKUP(VALUE(RIGHT(C323,3)),'CLI-COMP'!B:J,4,FALSE),IF(LEFT(C323,4)="IMPL",VLOOKUP(VALUE(RIGHT(C323,3)),'IMPL-COMP'!B:J,4,FALSE),IF(LEFT(C323,4)="SPDA",VLOOKUP(VALUE(RIGHT(C323,3)),'SPDA-COMP'!B:J,4,FALSE),IF(LEFT(C323,4)="SDAI",VLOOKUP(VALUE(RIGHT(C323,3)),'ADM-COMP'!B:J,4,FALSE),IF(LEFT(C323,5)="IMPER",VLOOKUP(VALUE(RIGHT(C323,3)),'IMPER-COMP'!B:J,4,FALSE),""))))))))))))))))</f>
        <v>SIRENE ELETRÔNICA MÉDIA TIPO CORNETA EM ABS, IP52 ? 12 E 24V ? FORNECIMENTO E INSTALAÇÃO</v>
      </c>
      <c r="E323" s="338" t="str">
        <f>IF(B323="IOPES",VLOOKUP(C323,'LABOR-SERVIÇOS'!A:H,6,FALSE),IF(B323="SINAPI",VLOOKUP(C323,'SINAPI-SERVIÇOS'!A:D,3,FALSE),IF(LEFT(C323,3)="ARQ",VLOOKUP(VALUE(RIGHT(C323,3)),'ARQ-COMP'!B:J,5,FALSE),IF(LEFT(C323,3)="SCI",VLOOKUP(VALUE(RIGHT(C323,3)),'GAS-COMP'!#REF!,5,FALSE),IF(LEFT(C323,3)="SCE",VLOOKUP(VALUE(RIGHT(C323,3)),'SCE-COMP'!B:J,5,FALSE),IF(LEFT(C323,3)="EST",VLOOKUP(VALUE(RIGHT(C323,3)),'EST-COMP'!B:J,5,FALSE),IF(LEFT(C323,3)="HID",VLOOKUP(VALUE(RIGHT(C323,3)),'HID-COMP'!B:J,5,FALSE),IF(LEFT(C323,3)="INC",VLOOKUP(VALUE(RIGHT(C323,3)),'INC-COMP'!B:J,5,FALSE),IF(LEFT(C323,3)="ELE",VLOOKUP(VALUE(RIGHT(C323,3)),#REF!,5,FALSE),IF(LEFT(C323,3)="CAB",VLOOKUP(VALUE(RIGHT(C323,3)),#REF!,5,FALSE),IF(LEFT(C323,3)="SEG",VLOOKUP(VALUE(RIGHT(C323,3)),'SEG-COMP'!B:J,5,FALSE),IF(LEFT(C323,3)="CLI",VLOOKUP(VALUE(RIGHT(C323,3)),'CLI-COMP'!B:J,5,FALSE),IF(LEFT(C323,4)="IMPL",VLOOKUP(VALUE(RIGHT(C323,3)),'IMPL-COMP'!B:J,5,FALSE),IF(LEFT(C323,4)="SPDA",VLOOKUP(VALUE(RIGHT(C323,3)),'SPDA-COMP'!B:J,5,FALSE),IF(LEFT(C323,4)="SDAI",VLOOKUP(VALUE(RIGHT(C323,3)),'ADM-COMP'!B:J,5,FALSE),IF(LEFT(C323,5)="IMPER",VLOOKUP(VALUE(RIGHT(C323,3)),'IMPER-COMP'!B:J,5,FALSE),""))))))))))))))))</f>
        <v>UND</v>
      </c>
      <c r="F323" s="599">
        <f>ROUND(VLOOKUP(A323,'MEM-LEVANT'!A295:I2864,9,FALSE),2)</f>
        <v>2</v>
      </c>
      <c r="G323" s="339">
        <f>IF(B323="IOPES",VLOOKUP(C323,'LABOR-SERVIÇOS'!A:H,7,FALSE),IF(B323="SINAPI",VLOOKUP(C323,'SINAPI-SERVIÇOS'!A:H,8,FALSE),IF(LEFT(C323,3)="ARQ",VLOOKUP(VALUE(RIGHT(C323,3)),'ARQ-COMP'!B:J,9,FALSE),IF(LEFT(C323,3)="SCI",VLOOKUP(VALUE(RIGHT(C323,3)),'GAS-COMP'!#REF!,9,FALSE),IF(LEFT(C323,3)="SCE",VLOOKUP(VALUE(RIGHT(C323,3)),'SCE-COMP'!B:J,9,FALSE),IF(LEFT(C323,3)="EST",VLOOKUP(VALUE(RIGHT(C323,3)),'EST-COMP'!B:J,9,FALSE),IF(LEFT(C323,3)="HID",VLOOKUP(VALUE(RIGHT(C323,3)),'HID-COMP'!B:J,9,FALSE),IF(LEFT(C323,3)="INC",VLOOKUP(VALUE(RIGHT(C323,3)),'INC-COMP'!B:J,9,FALSE),IF(LEFT(C323,3)="ELE",VLOOKUP(VALUE(RIGHT(C323,3)),#REF!,9,FALSE),IF(LEFT(C323,3)="CAB",VLOOKUP(VALUE(RIGHT(C323,3)),#REF!,9,FALSE),IF(LEFT(C323,3)="SEG",VLOOKUP(VALUE(RIGHT(C323,3)),'SEG-COMP'!B:J,9,FALSE),IF(LEFT(C323,3)="CLI",VLOOKUP(VALUE(RIGHT(C323,3)),'CLI-COMP'!B:J,9,FALSE),IF(LEFT(C323,4)="IMPL",VLOOKUP(VALUE(RIGHT(C323,3)),'IMPL-COMP'!B:J,9,FALSE),IF(LEFT(C323,4)="SPDA",VLOOKUP(VALUE(RIGHT(C323,3)),'SPDA-COMP'!B:J,9,FALSE),IF(LEFT(C323,4)="SDAI",VLOOKUP(VALUE(RIGHT(C323,3)),'ADM-COMP'!B:J,9,FALSE),IF(LEFT(C323,5)="IMPER",VLOOKUP(VALUE(RIGHT(C323,3)),'IMPER-COMP'!B:J,9,FALSE),""))))))))))))))))</f>
        <v>113.52</v>
      </c>
      <c r="H323" s="339">
        <f t="shared" si="105"/>
        <v>227.04</v>
      </c>
      <c r="I323" s="374">
        <f t="shared" si="106"/>
        <v>1.3274935589939892E-5</v>
      </c>
      <c r="J323" s="314"/>
    </row>
    <row r="324" spans="1:10">
      <c r="A324" s="553" t="s">
        <v>27428</v>
      </c>
      <c r="B324" s="554"/>
      <c r="C324" s="555"/>
      <c r="D324" s="556" t="s">
        <v>27422</v>
      </c>
      <c r="E324" s="557"/>
      <c r="F324" s="598"/>
      <c r="G324" s="558"/>
      <c r="H324" s="559"/>
      <c r="I324" s="560"/>
      <c r="J324" s="314"/>
    </row>
    <row r="325" spans="1:10" ht="26.4">
      <c r="A325" s="613" t="s">
        <v>35418</v>
      </c>
      <c r="B325" s="337" t="s">
        <v>2879</v>
      </c>
      <c r="C325" s="540">
        <f>160816</f>
        <v>160816</v>
      </c>
      <c r="D325" s="539" t="str">
        <f>IF(B325="IOPES",VLOOKUP(C325,'LABOR-SERVIÇOS'!A:H,5,FALSE),IF(B325="SINAPI",VLOOKUP(C325,'SINAPI-SERVIÇOS'!A:D,2,FALSE),IF(LEFT(C325,3)="ARQ",VLOOKUP(VALUE(RIGHT(C325,3)),'ARQ-COMP'!B:J,4,FALSE),IF(LEFT(C325,3)="SCI",VLOOKUP(VALUE(RIGHT(C325,3)),'GAS-COMP'!#REF!,4,FALSE),IF(LEFT(C325,3)="SCE",VLOOKUP(VALUE(RIGHT(C325,3)),'SCE-COMP'!B:J,4,FALSE),IF(LEFT(C325,3)="EST",VLOOKUP(VALUE(RIGHT(C325,3)),'EST-COMP'!B:J,4,FALSE),IF(LEFT(C325,3)="HID",VLOOKUP(VALUE(RIGHT(C325,3)),'HID-COMP'!B:J,4,FALSE),IF(LEFT(C325,3)="INC",VLOOKUP(VALUE(RIGHT(C325,3)),'INC-COMP'!B:J,4,FALSE),IF(LEFT(C325,3)="ELE",VLOOKUP(VALUE(RIGHT(C325,3)),#REF!,4,FALSE),IF(LEFT(C325,3)="CAB",VLOOKUP(VALUE(RIGHT(C325,3)),#REF!,4,FALSE),IF(LEFT(C325,3)="SEG",VLOOKUP(VALUE(RIGHT(C325,3)),'SEG-COMP'!B:J,4,FALSE),IF(LEFT(C325,3)="CLI",VLOOKUP(VALUE(RIGHT(C325,3)),'CLI-COMP'!B:J,4,FALSE),IF(LEFT(C325,4)="IMPL",VLOOKUP(VALUE(RIGHT(C325,3)),'IMPL-COMP'!B:J,4,FALSE),IF(LEFT(C325,4)="SPDA",VLOOKUP(VALUE(RIGHT(C325,3)),'SPDA-COMP'!B:J,4,FALSE),IF(LEFT(C325,4)="SDAI",VLOOKUP(VALUE(RIGHT(C325,3)),'ADM-COMP'!B:J,4,FALSE),IF(LEFT(C325,5)="IMPER",VLOOKUP(VALUE(RIGHT(C325,3)),'IMPER-COMP'!B:J,4,FALSE),""))))))))))))))))</f>
        <v>FORNECIMENTO E INSTALAÇÃO DE RACK DE PISO FECHADO PADRÃO 19" - 44 U´S X 670MM</v>
      </c>
      <c r="E325" s="338" t="str">
        <f>IF(B325="IOPES",VLOOKUP(C325,'LABOR-SERVIÇOS'!A:H,6,FALSE),IF(B325="SINAPI",VLOOKUP(C325,'SINAPI-SERVIÇOS'!A:D,3,FALSE),IF(LEFT(C325,3)="ARQ",VLOOKUP(VALUE(RIGHT(C325,3)),'ARQ-COMP'!B:J,5,FALSE),IF(LEFT(C325,3)="SCI",VLOOKUP(VALUE(RIGHT(C325,3)),'GAS-COMP'!#REF!,5,FALSE),IF(LEFT(C325,3)="SCE",VLOOKUP(VALUE(RIGHT(C325,3)),'SCE-COMP'!B:J,5,FALSE),IF(LEFT(C325,3)="EST",VLOOKUP(VALUE(RIGHT(C325,3)),'EST-COMP'!B:J,5,FALSE),IF(LEFT(C325,3)="HID",VLOOKUP(VALUE(RIGHT(C325,3)),'HID-COMP'!B:J,5,FALSE),IF(LEFT(C325,3)="INC",VLOOKUP(VALUE(RIGHT(C325,3)),'INC-COMP'!B:J,5,FALSE),IF(LEFT(C325,3)="ELE",VLOOKUP(VALUE(RIGHT(C325,3)),#REF!,5,FALSE),IF(LEFT(C325,3)="CAB",VLOOKUP(VALUE(RIGHT(C325,3)),#REF!,5,FALSE),IF(LEFT(C325,3)="SEG",VLOOKUP(VALUE(RIGHT(C325,3)),'SEG-COMP'!B:J,5,FALSE),IF(LEFT(C325,3)="CLI",VLOOKUP(VALUE(RIGHT(C325,3)),'CLI-COMP'!B:J,5,FALSE),IF(LEFT(C325,4)="IMPL",VLOOKUP(VALUE(RIGHT(C325,3)),'IMPL-COMP'!B:J,5,FALSE),IF(LEFT(C325,4)="SPDA",VLOOKUP(VALUE(RIGHT(C325,3)),'SPDA-COMP'!B:J,5,FALSE),IF(LEFT(C325,4)="SDAI",VLOOKUP(VALUE(RIGHT(C325,3)),'ADM-COMP'!B:J,5,FALSE),IF(LEFT(C325,5)="IMPER",VLOOKUP(VALUE(RIGHT(C325,3)),'IMPER-COMP'!B:J,5,FALSE),""))))))))))))))))</f>
        <v>UND</v>
      </c>
      <c r="F325" s="599">
        <f>ROUND(VLOOKUP(A325,'MEM-LEVANT'!A276:I2829,9,FALSE),2)</f>
        <v>4</v>
      </c>
      <c r="G325" s="339">
        <f>IF(B325="IOPES",VLOOKUP(C325,'LABOR-SERVIÇOS'!A:H,7,FALSE),IF(B325="SINAPI",VLOOKUP(C325,'SINAPI-SERVIÇOS'!A:H,8,FALSE),IF(LEFT(C325,3)="ARQ",VLOOKUP(VALUE(RIGHT(C325,3)),'ARQ-COMP'!B:J,9,FALSE),IF(LEFT(C325,3)="SCI",VLOOKUP(VALUE(RIGHT(C325,3)),'GAS-COMP'!#REF!,9,FALSE),IF(LEFT(C325,3)="SCE",VLOOKUP(VALUE(RIGHT(C325,3)),'SCE-COMP'!B:J,9,FALSE),IF(LEFT(C325,3)="EST",VLOOKUP(VALUE(RIGHT(C325,3)),'EST-COMP'!B:J,9,FALSE),IF(LEFT(C325,3)="HID",VLOOKUP(VALUE(RIGHT(C325,3)),'HID-COMP'!B:J,9,FALSE),IF(LEFT(C325,3)="INC",VLOOKUP(VALUE(RIGHT(C325,3)),'INC-COMP'!B:J,9,FALSE),IF(LEFT(C325,3)="ELE",VLOOKUP(VALUE(RIGHT(C325,3)),#REF!,9,FALSE),IF(LEFT(C325,3)="CAB",VLOOKUP(VALUE(RIGHT(C325,3)),#REF!,9,FALSE),IF(LEFT(C325,3)="SEG",VLOOKUP(VALUE(RIGHT(C325,3)),'SEG-COMP'!B:J,9,FALSE),IF(LEFT(C325,3)="CLI",VLOOKUP(VALUE(RIGHT(C325,3)),'CLI-COMP'!B:J,9,FALSE),IF(LEFT(C325,4)="IMPL",VLOOKUP(VALUE(RIGHT(C325,3)),'IMPL-COMP'!B:J,9,FALSE),IF(LEFT(C325,4)="SPDA",VLOOKUP(VALUE(RIGHT(C325,3)),'SPDA-COMP'!B:J,9,FALSE),IF(LEFT(C325,4)="SDAI",VLOOKUP(VALUE(RIGHT(C325,3)),'ADM-COMP'!B:J,9,FALSE),IF(LEFT(C325,5)="IMPER",VLOOKUP(VALUE(RIGHT(C325,3)),'IMPER-COMP'!B:J,9,FALSE),""))))))))))))))))</f>
        <v>2804.45</v>
      </c>
      <c r="H325" s="339">
        <f t="shared" ref="H325" si="107">ROUND(F325*G325,2)</f>
        <v>11217.8</v>
      </c>
      <c r="I325" s="374">
        <f t="shared" ref="I325:I342" si="108">H325/$H$441</f>
        <v>6.559001605920883E-4</v>
      </c>
      <c r="J325" s="314"/>
    </row>
    <row r="326" spans="1:10" ht="26.4">
      <c r="A326" s="613" t="s">
        <v>35419</v>
      </c>
      <c r="B326" s="337" t="s">
        <v>2879</v>
      </c>
      <c r="C326" s="540">
        <f>160823</f>
        <v>160823</v>
      </c>
      <c r="D326" s="539" t="str">
        <f>IF(B326="IOPES",VLOOKUP(C326,'LABOR-SERVIÇOS'!A:H,5,FALSE),IF(B326="SINAPI",VLOOKUP(C326,'SINAPI-SERVIÇOS'!A:D,2,FALSE),IF(LEFT(C326,3)="ARQ",VLOOKUP(VALUE(RIGHT(C326,3)),'ARQ-COMP'!B:J,4,FALSE),IF(LEFT(C326,3)="SCI",VLOOKUP(VALUE(RIGHT(C326,3)),'GAS-COMP'!#REF!,4,FALSE),IF(LEFT(C326,3)="SCE",VLOOKUP(VALUE(RIGHT(C326,3)),'SCE-COMP'!B:J,4,FALSE),IF(LEFT(C326,3)="EST",VLOOKUP(VALUE(RIGHT(C326,3)),'EST-COMP'!B:J,4,FALSE),IF(LEFT(C326,3)="HID",VLOOKUP(VALUE(RIGHT(C326,3)),'HID-COMP'!B:J,4,FALSE),IF(LEFT(C326,3)="INC",VLOOKUP(VALUE(RIGHT(C326,3)),'INC-COMP'!B:J,4,FALSE),IF(LEFT(C326,3)="ELE",VLOOKUP(VALUE(RIGHT(C326,3)),#REF!,4,FALSE),IF(LEFT(C326,3)="CAB",VLOOKUP(VALUE(RIGHT(C326,3)),#REF!,4,FALSE),IF(LEFT(C326,3)="SEG",VLOOKUP(VALUE(RIGHT(C326,3)),'SEG-COMP'!B:J,4,FALSE),IF(LEFT(C326,3)="CLI",VLOOKUP(VALUE(RIGHT(C326,3)),'CLI-COMP'!B:J,4,FALSE),IF(LEFT(C326,4)="IMPL",VLOOKUP(VALUE(RIGHT(C326,3)),'IMPL-COMP'!B:J,4,FALSE),IF(LEFT(C326,4)="SPDA",VLOOKUP(VALUE(RIGHT(C326,3)),'SPDA-COMP'!B:J,4,FALSE),IF(LEFT(C326,4)="SDAI",VLOOKUP(VALUE(RIGHT(C326,3)),'ADM-COMP'!B:J,4,FALSE),IF(LEFT(C326,5)="IMPER",VLOOKUP(VALUE(RIGHT(C326,3)),'IMPER-COMP'!B:J,4,FALSE),""))))))))))))))))</f>
        <v>CALHA COM 8 TOMADAS 20A, INCLUSIVE FIXAÇÃO EM RACK PADRÃO 19", COM CHICOTE DE 2 METROS DE COMPRIMENTO</v>
      </c>
      <c r="E326" s="338" t="str">
        <f>IF(B326="IOPES",VLOOKUP(C326,'LABOR-SERVIÇOS'!A:H,6,FALSE),IF(B326="SINAPI",VLOOKUP(C326,'SINAPI-SERVIÇOS'!A:D,3,FALSE),IF(LEFT(C326,3)="ARQ",VLOOKUP(VALUE(RIGHT(C326,3)),'ARQ-COMP'!B:J,5,FALSE),IF(LEFT(C326,3)="SCI",VLOOKUP(VALUE(RIGHT(C326,3)),'GAS-COMP'!#REF!,5,FALSE),IF(LEFT(C326,3)="SCE",VLOOKUP(VALUE(RIGHT(C326,3)),'SCE-COMP'!B:J,5,FALSE),IF(LEFT(C326,3)="EST",VLOOKUP(VALUE(RIGHT(C326,3)),'EST-COMP'!B:J,5,FALSE),IF(LEFT(C326,3)="HID",VLOOKUP(VALUE(RIGHT(C326,3)),'HID-COMP'!B:J,5,FALSE),IF(LEFT(C326,3)="INC",VLOOKUP(VALUE(RIGHT(C326,3)),'INC-COMP'!B:J,5,FALSE),IF(LEFT(C326,3)="ELE",VLOOKUP(VALUE(RIGHT(C326,3)),#REF!,5,FALSE),IF(LEFT(C326,3)="CAB",VLOOKUP(VALUE(RIGHT(C326,3)),#REF!,5,FALSE),IF(LEFT(C326,3)="SEG",VLOOKUP(VALUE(RIGHT(C326,3)),'SEG-COMP'!B:J,5,FALSE),IF(LEFT(C326,3)="CLI",VLOOKUP(VALUE(RIGHT(C326,3)),'CLI-COMP'!B:J,5,FALSE),IF(LEFT(C326,4)="IMPL",VLOOKUP(VALUE(RIGHT(C326,3)),'IMPL-COMP'!B:J,5,FALSE),IF(LEFT(C326,4)="SPDA",VLOOKUP(VALUE(RIGHT(C326,3)),'SPDA-COMP'!B:J,5,FALSE),IF(LEFT(C326,4)="SDAI",VLOOKUP(VALUE(RIGHT(C326,3)),'ADM-COMP'!B:J,5,FALSE),IF(LEFT(C326,5)="IMPER",VLOOKUP(VALUE(RIGHT(C326,3)),'IMPER-COMP'!B:J,5,FALSE),""))))))))))))))))</f>
        <v>UND</v>
      </c>
      <c r="F326" s="599">
        <f>ROUND(VLOOKUP(A326,'MEM-LEVANT'!A277:I2830,9,FALSE),2)</f>
        <v>24</v>
      </c>
      <c r="G326" s="339">
        <f>IF(B326="IOPES",VLOOKUP(C326,'LABOR-SERVIÇOS'!A:H,7,FALSE),IF(B326="SINAPI",VLOOKUP(C326,'SINAPI-SERVIÇOS'!A:H,8,FALSE),IF(LEFT(C326,3)="ARQ",VLOOKUP(VALUE(RIGHT(C326,3)),'ARQ-COMP'!B:J,9,FALSE),IF(LEFT(C326,3)="SCI",VLOOKUP(VALUE(RIGHT(C326,3)),'GAS-COMP'!#REF!,9,FALSE),IF(LEFT(C326,3)="SCE",VLOOKUP(VALUE(RIGHT(C326,3)),'SCE-COMP'!B:J,9,FALSE),IF(LEFT(C326,3)="EST",VLOOKUP(VALUE(RIGHT(C326,3)),'EST-COMP'!B:J,9,FALSE),IF(LEFT(C326,3)="HID",VLOOKUP(VALUE(RIGHT(C326,3)),'HID-COMP'!B:J,9,FALSE),IF(LEFT(C326,3)="INC",VLOOKUP(VALUE(RIGHT(C326,3)),'INC-COMP'!B:J,9,FALSE),IF(LEFT(C326,3)="ELE",VLOOKUP(VALUE(RIGHT(C326,3)),#REF!,9,FALSE),IF(LEFT(C326,3)="CAB",VLOOKUP(VALUE(RIGHT(C326,3)),#REF!,9,FALSE),IF(LEFT(C326,3)="SEG",VLOOKUP(VALUE(RIGHT(C326,3)),'SEG-COMP'!B:J,9,FALSE),IF(LEFT(C326,3)="CLI",VLOOKUP(VALUE(RIGHT(C326,3)),'CLI-COMP'!B:J,9,FALSE),IF(LEFT(C326,4)="IMPL",VLOOKUP(VALUE(RIGHT(C326,3)),'IMPL-COMP'!B:J,9,FALSE),IF(LEFT(C326,4)="SPDA",VLOOKUP(VALUE(RIGHT(C326,3)),'SPDA-COMP'!B:J,9,FALSE),IF(LEFT(C326,4)="SDAI",VLOOKUP(VALUE(RIGHT(C326,3)),'ADM-COMP'!B:J,9,FALSE),IF(LEFT(C326,5)="IMPER",VLOOKUP(VALUE(RIGHT(C326,3)),'IMPER-COMP'!B:J,9,FALSE),""))))))))))))))))</f>
        <v>157.83000000000001</v>
      </c>
      <c r="H326" s="339">
        <f t="shared" ref="H326:H329" si="109">ROUND(F326*G326,2)</f>
        <v>3787.92</v>
      </c>
      <c r="I326" s="374">
        <f t="shared" si="108"/>
        <v>2.2147812728966315E-4</v>
      </c>
      <c r="J326" s="314"/>
    </row>
    <row r="327" spans="1:10" ht="26.4">
      <c r="A327" s="613" t="s">
        <v>35420</v>
      </c>
      <c r="B327" s="337" t="s">
        <v>2879</v>
      </c>
      <c r="C327" s="540">
        <f>160826</f>
        <v>160826</v>
      </c>
      <c r="D327" s="539" t="str">
        <f>IF(B327="IOPES",VLOOKUP(C327,'LABOR-SERVIÇOS'!A:H,5,FALSE),IF(B327="SINAPI",VLOOKUP(C327,'SINAPI-SERVIÇOS'!A:D,2,FALSE),IF(LEFT(C327,3)="ARQ",VLOOKUP(VALUE(RIGHT(C327,3)),'ARQ-COMP'!B:J,4,FALSE),IF(LEFT(C327,3)="SCI",VLOOKUP(VALUE(RIGHT(C327,3)),'GAS-COMP'!#REF!,4,FALSE),IF(LEFT(C327,3)="SCE",VLOOKUP(VALUE(RIGHT(C327,3)),'SCE-COMP'!B:J,4,FALSE),IF(LEFT(C327,3)="EST",VLOOKUP(VALUE(RIGHT(C327,3)),'EST-COMP'!B:J,4,FALSE),IF(LEFT(C327,3)="HID",VLOOKUP(VALUE(RIGHT(C327,3)),'HID-COMP'!B:J,4,FALSE),IF(LEFT(C327,3)="INC",VLOOKUP(VALUE(RIGHT(C327,3)),'INC-COMP'!B:J,4,FALSE),IF(LEFT(C327,3)="ELE",VLOOKUP(VALUE(RIGHT(C327,3)),#REF!,4,FALSE),IF(LEFT(C327,3)="CAB",VLOOKUP(VALUE(RIGHT(C327,3)),#REF!,4,FALSE),IF(LEFT(C327,3)="SEG",VLOOKUP(VALUE(RIGHT(C327,3)),'SEG-COMP'!B:J,4,FALSE),IF(LEFT(C327,3)="CLI",VLOOKUP(VALUE(RIGHT(C327,3)),'CLI-COMP'!B:J,4,FALSE),IF(LEFT(C327,4)="IMPL",VLOOKUP(VALUE(RIGHT(C327,3)),'IMPL-COMP'!B:J,4,FALSE),IF(LEFT(C327,4)="SPDA",VLOOKUP(VALUE(RIGHT(C327,3)),'SPDA-COMP'!B:J,4,FALSE),IF(LEFT(C327,4)="SDAI",VLOOKUP(VALUE(RIGHT(C327,3)),'ADM-COMP'!B:J,4,FALSE),IF(LEFT(C327,5)="IMPER",VLOOKUP(VALUE(RIGHT(C327,3)),'IMPER-COMP'!B:J,4,FALSE),""))))))))))))))))</f>
        <v>GUIA DE CABOS FECHADO HORIZONTAL PADRÃO 19" - 2 U´S, INCLUSIVE FIXAÇÃO EM RACK 19"</v>
      </c>
      <c r="E327" s="338" t="str">
        <f>IF(B327="IOPES",VLOOKUP(C327,'LABOR-SERVIÇOS'!A:H,6,FALSE),IF(B327="SINAPI",VLOOKUP(C327,'SINAPI-SERVIÇOS'!A:D,3,FALSE),IF(LEFT(C327,3)="ARQ",VLOOKUP(VALUE(RIGHT(C327,3)),'ARQ-COMP'!B:J,5,FALSE),IF(LEFT(C327,3)="SCI",VLOOKUP(VALUE(RIGHT(C327,3)),'GAS-COMP'!#REF!,5,FALSE),IF(LEFT(C327,3)="SCE",VLOOKUP(VALUE(RIGHT(C327,3)),'SCE-COMP'!B:J,5,FALSE),IF(LEFT(C327,3)="EST",VLOOKUP(VALUE(RIGHT(C327,3)),'EST-COMP'!B:J,5,FALSE),IF(LEFT(C327,3)="HID",VLOOKUP(VALUE(RIGHT(C327,3)),'HID-COMP'!B:J,5,FALSE),IF(LEFT(C327,3)="INC",VLOOKUP(VALUE(RIGHT(C327,3)),'INC-COMP'!B:J,5,FALSE),IF(LEFT(C327,3)="ELE",VLOOKUP(VALUE(RIGHT(C327,3)),#REF!,5,FALSE),IF(LEFT(C327,3)="CAB",VLOOKUP(VALUE(RIGHT(C327,3)),#REF!,5,FALSE),IF(LEFT(C327,3)="SEG",VLOOKUP(VALUE(RIGHT(C327,3)),'SEG-COMP'!B:J,5,FALSE),IF(LEFT(C327,3)="CLI",VLOOKUP(VALUE(RIGHT(C327,3)),'CLI-COMP'!B:J,5,FALSE),IF(LEFT(C327,4)="IMPL",VLOOKUP(VALUE(RIGHT(C327,3)),'IMPL-COMP'!B:J,5,FALSE),IF(LEFT(C327,4)="SPDA",VLOOKUP(VALUE(RIGHT(C327,3)),'SPDA-COMP'!B:J,5,FALSE),IF(LEFT(C327,4)="SDAI",VLOOKUP(VALUE(RIGHT(C327,3)),'ADM-COMP'!B:J,5,FALSE),IF(LEFT(C327,5)="IMPER",VLOOKUP(VALUE(RIGHT(C327,3)),'IMPER-COMP'!B:J,5,FALSE),""))))))))))))))))</f>
        <v>UND</v>
      </c>
      <c r="F327" s="599">
        <f>ROUND(VLOOKUP(A327,'MEM-LEVANT'!A278:I2831,9,FALSE),2)</f>
        <v>24</v>
      </c>
      <c r="G327" s="339">
        <f>IF(B327="IOPES",VLOOKUP(C327,'LABOR-SERVIÇOS'!A:H,7,FALSE),IF(B327="SINAPI",VLOOKUP(C327,'SINAPI-SERVIÇOS'!A:H,8,FALSE),IF(LEFT(C327,3)="ARQ",VLOOKUP(VALUE(RIGHT(C327,3)),'ARQ-COMP'!B:J,9,FALSE),IF(LEFT(C327,3)="SCI",VLOOKUP(VALUE(RIGHT(C327,3)),'GAS-COMP'!#REF!,9,FALSE),IF(LEFT(C327,3)="SCE",VLOOKUP(VALUE(RIGHT(C327,3)),'SCE-COMP'!B:J,9,FALSE),IF(LEFT(C327,3)="EST",VLOOKUP(VALUE(RIGHT(C327,3)),'EST-COMP'!B:J,9,FALSE),IF(LEFT(C327,3)="HID",VLOOKUP(VALUE(RIGHT(C327,3)),'HID-COMP'!B:J,9,FALSE),IF(LEFT(C327,3)="INC",VLOOKUP(VALUE(RIGHT(C327,3)),'INC-COMP'!B:J,9,FALSE),IF(LEFT(C327,3)="ELE",VLOOKUP(VALUE(RIGHT(C327,3)),#REF!,9,FALSE),IF(LEFT(C327,3)="CAB",VLOOKUP(VALUE(RIGHT(C327,3)),#REF!,9,FALSE),IF(LEFT(C327,3)="SEG",VLOOKUP(VALUE(RIGHT(C327,3)),'SEG-COMP'!B:J,9,FALSE),IF(LEFT(C327,3)="CLI",VLOOKUP(VALUE(RIGHT(C327,3)),'CLI-COMP'!B:J,9,FALSE),IF(LEFT(C327,4)="IMPL",VLOOKUP(VALUE(RIGHT(C327,3)),'IMPL-COMP'!B:J,9,FALSE),IF(LEFT(C327,4)="SPDA",VLOOKUP(VALUE(RIGHT(C327,3)),'SPDA-COMP'!B:J,9,FALSE),IF(LEFT(C327,4)="SDAI",VLOOKUP(VALUE(RIGHT(C327,3)),'ADM-COMP'!B:J,9,FALSE),IF(LEFT(C327,5)="IMPER",VLOOKUP(VALUE(RIGHT(C327,3)),'IMPER-COMP'!B:J,9,FALSE),""))))))))))))))))</f>
        <v>63.43</v>
      </c>
      <c r="H327" s="339">
        <f t="shared" si="109"/>
        <v>1522.32</v>
      </c>
      <c r="I327" s="374">
        <f t="shared" si="108"/>
        <v>8.9009425419649826E-5</v>
      </c>
      <c r="J327" s="314"/>
    </row>
    <row r="328" spans="1:10" ht="52.8">
      <c r="A328" s="613" t="s">
        <v>35421</v>
      </c>
      <c r="B328" s="337" t="s">
        <v>29</v>
      </c>
      <c r="C328" s="540" t="s">
        <v>6345</v>
      </c>
      <c r="D328" s="539" t="str">
        <f>IF(B328="IOPES",VLOOKUP(C328,'LABOR-SERVIÇOS'!A:H,5,FALSE),IF(B328="SINAPI",VLOOKUP(C328,'SINAPI-SERVIÇOS'!A:D,2,FALSE),IF(LEFT(C328,3)="ARQ",VLOOKUP(VALUE(RIGHT(C328,3)),'ARQ-COMP'!B:J,4,FALSE),IF(LEFT(C328,3)="SCI",VLOOKUP(VALUE(RIGHT(C328,3)),'GAS-COMP'!#REF!,4,FALSE),IF(LEFT(C328,3)="SCE",VLOOKUP(VALUE(RIGHT(C328,3)),'SCE-COMP'!B:J,4,FALSE),IF(LEFT(C328,3)="EST",VLOOKUP(VALUE(RIGHT(C328,3)),'EST-COMP'!B:J,4,FALSE),IF(LEFT(C328,3)="HID",VLOOKUP(VALUE(RIGHT(C328,3)),'HID-COMP'!B:J,4,FALSE),IF(LEFT(C328,3)="INC",VLOOKUP(VALUE(RIGHT(C328,3)),'INC-COMP'!B:J,4,FALSE),IF(LEFT(C328,3)="ELE",VLOOKUP(VALUE(RIGHT(C328,3)),#REF!,4,FALSE),IF(LEFT(C328,3)="CAB",VLOOKUP(VALUE(RIGHT(C328,3)),#REF!,4,FALSE),IF(LEFT(C328,3)="SEG",VLOOKUP(VALUE(RIGHT(C328,3)),'SEG-COMP'!B:J,4,FALSE),IF(LEFT(C328,3)="CLI",VLOOKUP(VALUE(RIGHT(C328,3)),'CLI-COMP'!B:J,4,FALSE),IF(LEFT(C328,4)="IMPL",VLOOKUP(VALUE(RIGHT(C328,3)),'IMPL-COMP'!B:J,4,FALSE),IF(LEFT(C328,4)="SPDA",VLOOKUP(VALUE(RIGHT(C328,3)),'SPDA-COMP'!B:J,4,FALSE),IF(LEFT(C328,4)="SDAI",VLOOKUP(VALUE(RIGHT(C328,3)),'ADM-COMP'!B:J,4,FALSE),IF(LEFT(C328,5)="IMPER",VLOOKUP(VALUE(RIGHT(C328,3)),'IMPER-COMP'!B:J,4,FALSE),""))))))))))))))))</f>
        <v>SUPORTE PARA ELETROCALHA LISA OU PERFURADA EM AÇO GALVANIZADO, LARGURA 400 MM, EM PERFILADO COM COMPRIMENTO DE 45 CM FIXADO EM LAJE, POR METRO DE ELETROCALHA FIXADA. AF_09/2023</v>
      </c>
      <c r="E328" s="338" t="str">
        <f>IF(B328="IOPES",VLOOKUP(C328,'LABOR-SERVIÇOS'!A:H,6,FALSE),IF(B328="SINAPI",VLOOKUP(C328,'SINAPI-SERVIÇOS'!A:D,3,FALSE),IF(LEFT(C328,3)="ARQ",VLOOKUP(VALUE(RIGHT(C328,3)),'ARQ-COMP'!B:J,5,FALSE),IF(LEFT(C328,3)="SCI",VLOOKUP(VALUE(RIGHT(C328,3)),'GAS-COMP'!#REF!,5,FALSE),IF(LEFT(C328,3)="SCE",VLOOKUP(VALUE(RIGHT(C328,3)),'SCE-COMP'!B:J,5,FALSE),IF(LEFT(C328,3)="EST",VLOOKUP(VALUE(RIGHT(C328,3)),'EST-COMP'!B:J,5,FALSE),IF(LEFT(C328,3)="HID",VLOOKUP(VALUE(RIGHT(C328,3)),'HID-COMP'!B:J,5,FALSE),IF(LEFT(C328,3)="INC",VLOOKUP(VALUE(RIGHT(C328,3)),'INC-COMP'!B:J,5,FALSE),IF(LEFT(C328,3)="ELE",VLOOKUP(VALUE(RIGHT(C328,3)),#REF!,5,FALSE),IF(LEFT(C328,3)="CAB",VLOOKUP(VALUE(RIGHT(C328,3)),#REF!,5,FALSE),IF(LEFT(C328,3)="SEG",VLOOKUP(VALUE(RIGHT(C328,3)),'SEG-COMP'!B:J,5,FALSE),IF(LEFT(C328,3)="CLI",VLOOKUP(VALUE(RIGHT(C328,3)),'CLI-COMP'!B:J,5,FALSE),IF(LEFT(C328,4)="IMPL",VLOOKUP(VALUE(RIGHT(C328,3)),'IMPL-COMP'!B:J,5,FALSE),IF(LEFT(C328,4)="SPDA",VLOOKUP(VALUE(RIGHT(C328,3)),'SPDA-COMP'!B:J,5,FALSE),IF(LEFT(C328,4)="SDAI",VLOOKUP(VALUE(RIGHT(C328,3)),'ADM-COMP'!B:J,5,FALSE),IF(LEFT(C328,5)="IMPER",VLOOKUP(VALUE(RIGHT(C328,3)),'IMPER-COMP'!B:J,5,FALSE),""))))))))))))))))</f>
        <v>M</v>
      </c>
      <c r="F328" s="599">
        <f>ROUND(VLOOKUP(A328,'MEM-LEVANT'!A279:I2832,9,FALSE),2)</f>
        <v>60</v>
      </c>
      <c r="G328" s="339">
        <f>IF(B328="IOPES",VLOOKUP(C328,'LABOR-SERVIÇOS'!A:H,7,FALSE),IF(B328="SINAPI",VLOOKUP(C328,'SINAPI-SERVIÇOS'!A:H,8,FALSE),IF(LEFT(C328,3)="ARQ",VLOOKUP(VALUE(RIGHT(C328,3)),'ARQ-COMP'!B:J,9,FALSE),IF(LEFT(C328,3)="SCI",VLOOKUP(VALUE(RIGHT(C328,3)),'GAS-COMP'!#REF!,9,FALSE),IF(LEFT(C328,3)="SCE",VLOOKUP(VALUE(RIGHT(C328,3)),'SCE-COMP'!B:J,9,FALSE),IF(LEFT(C328,3)="EST",VLOOKUP(VALUE(RIGHT(C328,3)),'EST-COMP'!B:J,9,FALSE),IF(LEFT(C328,3)="HID",VLOOKUP(VALUE(RIGHT(C328,3)),'HID-COMP'!B:J,9,FALSE),IF(LEFT(C328,3)="INC",VLOOKUP(VALUE(RIGHT(C328,3)),'INC-COMP'!B:J,9,FALSE),IF(LEFT(C328,3)="ELE",VLOOKUP(VALUE(RIGHT(C328,3)),#REF!,9,FALSE),IF(LEFT(C328,3)="CAB",VLOOKUP(VALUE(RIGHT(C328,3)),#REF!,9,FALSE),IF(LEFT(C328,3)="SEG",VLOOKUP(VALUE(RIGHT(C328,3)),'SEG-COMP'!B:J,9,FALSE),IF(LEFT(C328,3)="CLI",VLOOKUP(VALUE(RIGHT(C328,3)),'CLI-COMP'!B:J,9,FALSE),IF(LEFT(C328,4)="IMPL",VLOOKUP(VALUE(RIGHT(C328,3)),'IMPL-COMP'!B:J,9,FALSE),IF(LEFT(C328,4)="SPDA",VLOOKUP(VALUE(RIGHT(C328,3)),'SPDA-COMP'!B:J,9,FALSE),IF(LEFT(C328,4)="SDAI",VLOOKUP(VALUE(RIGHT(C328,3)),'ADM-COMP'!B:J,9,FALSE),IF(LEFT(C328,5)="IMPER",VLOOKUP(VALUE(RIGHT(C328,3)),'IMPER-COMP'!B:J,9,FALSE),""))))))))))))))))</f>
        <v>74.900000000000006</v>
      </c>
      <c r="H328" s="339">
        <f t="shared" si="109"/>
        <v>4494</v>
      </c>
      <c r="I328" s="374">
        <f t="shared" si="108"/>
        <v>2.6276233501228803E-4</v>
      </c>
      <c r="J328" s="314"/>
    </row>
    <row r="329" spans="1:10" ht="26.4">
      <c r="A329" s="613" t="s">
        <v>35422</v>
      </c>
      <c r="B329" s="337" t="s">
        <v>2879</v>
      </c>
      <c r="C329" s="540">
        <f>160828</f>
        <v>160828</v>
      </c>
      <c r="D329" s="539" t="str">
        <f>IF(B329="IOPES",VLOOKUP(C329,'LABOR-SERVIÇOS'!A:H,5,FALSE),IF(B329="SINAPI",VLOOKUP(C329,'SINAPI-SERVIÇOS'!A:D,2,FALSE),IF(LEFT(C329,3)="ARQ",VLOOKUP(VALUE(RIGHT(C329,3)),'ARQ-COMP'!B:J,4,FALSE),IF(LEFT(C329,3)="SCI",VLOOKUP(VALUE(RIGHT(C329,3)),'GAS-COMP'!#REF!,4,FALSE),IF(LEFT(C329,3)="SCE",VLOOKUP(VALUE(RIGHT(C329,3)),'SCE-COMP'!B:J,4,FALSE),IF(LEFT(C329,3)="EST",VLOOKUP(VALUE(RIGHT(C329,3)),'EST-COMP'!B:J,4,FALSE),IF(LEFT(C329,3)="HID",VLOOKUP(VALUE(RIGHT(C329,3)),'HID-COMP'!B:J,4,FALSE),IF(LEFT(C329,3)="INC",VLOOKUP(VALUE(RIGHT(C329,3)),'INC-COMP'!B:J,4,FALSE),IF(LEFT(C329,3)="ELE",VLOOKUP(VALUE(RIGHT(C329,3)),#REF!,4,FALSE),IF(LEFT(C329,3)="CAB",VLOOKUP(VALUE(RIGHT(C329,3)),#REF!,4,FALSE),IF(LEFT(C329,3)="SEG",VLOOKUP(VALUE(RIGHT(C329,3)),'SEG-COMP'!B:J,4,FALSE),IF(LEFT(C329,3)="CLI",VLOOKUP(VALUE(RIGHT(C329,3)),'CLI-COMP'!B:J,4,FALSE),IF(LEFT(C329,4)="IMPL",VLOOKUP(VALUE(RIGHT(C329,3)),'IMPL-COMP'!B:J,4,FALSE),IF(LEFT(C329,4)="SPDA",VLOOKUP(VALUE(RIGHT(C329,3)),'SPDA-COMP'!B:J,4,FALSE),IF(LEFT(C329,4)="SDAI",VLOOKUP(VALUE(RIGHT(C329,3)),'ADM-COMP'!B:J,4,FALSE),IF(LEFT(C329,5)="IMPER",VLOOKUP(VALUE(RIGHT(C329,3)),'IMPER-COMP'!B:J,4,FALSE),""))))))))))))))))</f>
        <v>GUIA DE CABOS VERTICAL PARA RACK ABERTO PADRÃO 19" - 44 U´S X 1940 X 50MM</v>
      </c>
      <c r="E329" s="338" t="str">
        <f>IF(B329="IOPES",VLOOKUP(C329,'LABOR-SERVIÇOS'!A:H,6,FALSE),IF(B329="SINAPI",VLOOKUP(C329,'SINAPI-SERVIÇOS'!A:D,3,FALSE),IF(LEFT(C329,3)="ARQ",VLOOKUP(VALUE(RIGHT(C329,3)),'ARQ-COMP'!B:J,5,FALSE),IF(LEFT(C329,3)="SCI",VLOOKUP(VALUE(RIGHT(C329,3)),'GAS-COMP'!#REF!,5,FALSE),IF(LEFT(C329,3)="SCE",VLOOKUP(VALUE(RIGHT(C329,3)),'SCE-COMP'!B:J,5,FALSE),IF(LEFT(C329,3)="EST",VLOOKUP(VALUE(RIGHT(C329,3)),'EST-COMP'!B:J,5,FALSE),IF(LEFT(C329,3)="HID",VLOOKUP(VALUE(RIGHT(C329,3)),'HID-COMP'!B:J,5,FALSE),IF(LEFT(C329,3)="INC",VLOOKUP(VALUE(RIGHT(C329,3)),'INC-COMP'!B:J,5,FALSE),IF(LEFT(C329,3)="ELE",VLOOKUP(VALUE(RIGHT(C329,3)),#REF!,5,FALSE),IF(LEFT(C329,3)="CAB",VLOOKUP(VALUE(RIGHT(C329,3)),#REF!,5,FALSE),IF(LEFT(C329,3)="SEG",VLOOKUP(VALUE(RIGHT(C329,3)),'SEG-COMP'!B:J,5,FALSE),IF(LEFT(C329,3)="CLI",VLOOKUP(VALUE(RIGHT(C329,3)),'CLI-COMP'!B:J,5,FALSE),IF(LEFT(C329,4)="IMPL",VLOOKUP(VALUE(RIGHT(C329,3)),'IMPL-COMP'!B:J,5,FALSE),IF(LEFT(C329,4)="SPDA",VLOOKUP(VALUE(RIGHT(C329,3)),'SPDA-COMP'!B:J,5,FALSE),IF(LEFT(C329,4)="SDAI",VLOOKUP(VALUE(RIGHT(C329,3)),'ADM-COMP'!B:J,5,FALSE),IF(LEFT(C329,5)="IMPER",VLOOKUP(VALUE(RIGHT(C329,3)),'IMPER-COMP'!B:J,5,FALSE),""))))))))))))))))</f>
        <v>UND</v>
      </c>
      <c r="F329" s="599">
        <f>ROUND(VLOOKUP(A329,'MEM-LEVANT'!A280:I2833,9,FALSE),2)</f>
        <v>24</v>
      </c>
      <c r="G329" s="339">
        <f>IF(B329="IOPES",VLOOKUP(C329,'LABOR-SERVIÇOS'!A:H,7,FALSE),IF(B329="SINAPI",VLOOKUP(C329,'SINAPI-SERVIÇOS'!A:H,8,FALSE),IF(LEFT(C329,3)="ARQ",VLOOKUP(VALUE(RIGHT(C329,3)),'ARQ-COMP'!B:J,9,FALSE),IF(LEFT(C329,3)="SCI",VLOOKUP(VALUE(RIGHT(C329,3)),'GAS-COMP'!#REF!,9,FALSE),IF(LEFT(C329,3)="SCE",VLOOKUP(VALUE(RIGHT(C329,3)),'SCE-COMP'!B:J,9,FALSE),IF(LEFT(C329,3)="EST",VLOOKUP(VALUE(RIGHT(C329,3)),'EST-COMP'!B:J,9,FALSE),IF(LEFT(C329,3)="HID",VLOOKUP(VALUE(RIGHT(C329,3)),'HID-COMP'!B:J,9,FALSE),IF(LEFT(C329,3)="INC",VLOOKUP(VALUE(RIGHT(C329,3)),'INC-COMP'!B:J,9,FALSE),IF(LEFT(C329,3)="ELE",VLOOKUP(VALUE(RIGHT(C329,3)),#REF!,9,FALSE),IF(LEFT(C329,3)="CAB",VLOOKUP(VALUE(RIGHT(C329,3)),#REF!,9,FALSE),IF(LEFT(C329,3)="SEG",VLOOKUP(VALUE(RIGHT(C329,3)),'SEG-COMP'!B:J,9,FALSE),IF(LEFT(C329,3)="CLI",VLOOKUP(VALUE(RIGHT(C329,3)),'CLI-COMP'!B:J,9,FALSE),IF(LEFT(C329,4)="IMPL",VLOOKUP(VALUE(RIGHT(C329,3)),'IMPL-COMP'!B:J,9,FALSE),IF(LEFT(C329,4)="SPDA",VLOOKUP(VALUE(RIGHT(C329,3)),'SPDA-COMP'!B:J,9,FALSE),IF(LEFT(C329,4)="SDAI",VLOOKUP(VALUE(RIGHT(C329,3)),'ADM-COMP'!B:J,9,FALSE),IF(LEFT(C329,5)="IMPER",VLOOKUP(VALUE(RIGHT(C329,3)),'IMPER-COMP'!B:J,9,FALSE),""))))))))))))))))</f>
        <v>558.97</v>
      </c>
      <c r="H329" s="339">
        <f t="shared" si="109"/>
        <v>13415.28</v>
      </c>
      <c r="I329" s="374">
        <f t="shared" si="108"/>
        <v>7.8438591402840404E-4</v>
      </c>
      <c r="J329" s="314"/>
    </row>
    <row r="330" spans="1:10" ht="26.4">
      <c r="A330" s="613" t="s">
        <v>35423</v>
      </c>
      <c r="B330" s="337" t="s">
        <v>2879</v>
      </c>
      <c r="C330" s="540">
        <f>160830</f>
        <v>160830</v>
      </c>
      <c r="D330" s="539" t="str">
        <f>IF(B330="IOPES",VLOOKUP(C330,'LABOR-SERVIÇOS'!A:H,5,FALSE),IF(B330="SINAPI",VLOOKUP(C330,'SINAPI-SERVIÇOS'!A:D,2,FALSE),IF(LEFT(C330,3)="ARQ",VLOOKUP(VALUE(RIGHT(C330,3)),'ARQ-COMP'!B:J,4,FALSE),IF(LEFT(C330,3)="SCI",VLOOKUP(VALUE(RIGHT(C330,3)),'GAS-COMP'!#REF!,4,FALSE),IF(LEFT(C330,3)="SCE",VLOOKUP(VALUE(RIGHT(C330,3)),'SCE-COMP'!B:J,4,FALSE),IF(LEFT(C330,3)="EST",VLOOKUP(VALUE(RIGHT(C330,3)),'EST-COMP'!B:J,4,FALSE),IF(LEFT(C330,3)="HID",VLOOKUP(VALUE(RIGHT(C330,3)),'HID-COMP'!B:J,4,FALSE),IF(LEFT(C330,3)="INC",VLOOKUP(VALUE(RIGHT(C330,3)),'INC-COMP'!B:J,4,FALSE),IF(LEFT(C330,3)="ELE",VLOOKUP(VALUE(RIGHT(C330,3)),#REF!,4,FALSE),IF(LEFT(C330,3)="CAB",VLOOKUP(VALUE(RIGHT(C330,3)),#REF!,4,FALSE),IF(LEFT(C330,3)="SEG",VLOOKUP(VALUE(RIGHT(C330,3)),'SEG-COMP'!B:J,4,FALSE),IF(LEFT(C330,3)="CLI",VLOOKUP(VALUE(RIGHT(C330,3)),'CLI-COMP'!B:J,4,FALSE),IF(LEFT(C330,4)="IMPL",VLOOKUP(VALUE(RIGHT(C330,3)),'IMPL-COMP'!B:J,4,FALSE),IF(LEFT(C330,4)="SPDA",VLOOKUP(VALUE(RIGHT(C330,3)),'SPDA-COMP'!B:J,4,FALSE),IF(LEFT(C330,4)="SDAI",VLOOKUP(VALUE(RIGHT(C330,3)),'ADM-COMP'!B:J,4,FALSE),IF(LEFT(C330,5)="IMPER",VLOOKUP(VALUE(RIGHT(C330,3)),'IMPER-COMP'!B:J,4,FALSE),""))))))))))))))))</f>
        <v>PAINEL DE FECHAMENTO FRONTAL 2 US, INCLUSIVE FIXAÇÃO EM RACK 19"</v>
      </c>
      <c r="E330" s="338" t="str">
        <f>IF(B330="IOPES",VLOOKUP(C330,'LABOR-SERVIÇOS'!A:H,6,FALSE),IF(B330="SINAPI",VLOOKUP(C330,'SINAPI-SERVIÇOS'!A:D,3,FALSE),IF(LEFT(C330,3)="ARQ",VLOOKUP(VALUE(RIGHT(C330,3)),'ARQ-COMP'!B:J,5,FALSE),IF(LEFT(C330,3)="SCI",VLOOKUP(VALUE(RIGHT(C330,3)),'GAS-COMP'!#REF!,5,FALSE),IF(LEFT(C330,3)="SCE",VLOOKUP(VALUE(RIGHT(C330,3)),'SCE-COMP'!B:J,5,FALSE),IF(LEFT(C330,3)="EST",VLOOKUP(VALUE(RIGHT(C330,3)),'EST-COMP'!B:J,5,FALSE),IF(LEFT(C330,3)="HID",VLOOKUP(VALUE(RIGHT(C330,3)),'HID-COMP'!B:J,5,FALSE),IF(LEFT(C330,3)="INC",VLOOKUP(VALUE(RIGHT(C330,3)),'INC-COMP'!B:J,5,FALSE),IF(LEFT(C330,3)="ELE",VLOOKUP(VALUE(RIGHT(C330,3)),#REF!,5,FALSE),IF(LEFT(C330,3)="CAB",VLOOKUP(VALUE(RIGHT(C330,3)),#REF!,5,FALSE),IF(LEFT(C330,3)="SEG",VLOOKUP(VALUE(RIGHT(C330,3)),'SEG-COMP'!B:J,5,FALSE),IF(LEFT(C330,3)="CLI",VLOOKUP(VALUE(RIGHT(C330,3)),'CLI-COMP'!B:J,5,FALSE),IF(LEFT(C330,4)="IMPL",VLOOKUP(VALUE(RIGHT(C330,3)),'IMPL-COMP'!B:J,5,FALSE),IF(LEFT(C330,4)="SPDA",VLOOKUP(VALUE(RIGHT(C330,3)),'SPDA-COMP'!B:J,5,FALSE),IF(LEFT(C330,4)="SDAI",VLOOKUP(VALUE(RIGHT(C330,3)),'ADM-COMP'!B:J,5,FALSE),IF(LEFT(C330,5)="IMPER",VLOOKUP(VALUE(RIGHT(C330,3)),'IMPER-COMP'!B:J,5,FALSE),""))))))))))))))))</f>
        <v>UND</v>
      </c>
      <c r="F330" s="599">
        <f>ROUND(VLOOKUP(A330,'MEM-LEVANT'!A281:I2834,9,FALSE),2)</f>
        <v>24</v>
      </c>
      <c r="G330" s="339">
        <f>IF(B330="IOPES",VLOOKUP(C330,'LABOR-SERVIÇOS'!A:H,7,FALSE),IF(B330="SINAPI",VLOOKUP(C330,'SINAPI-SERVIÇOS'!A:H,8,FALSE),IF(LEFT(C330,3)="ARQ",VLOOKUP(VALUE(RIGHT(C330,3)),'ARQ-COMP'!B:J,9,FALSE),IF(LEFT(C330,3)="SCI",VLOOKUP(VALUE(RIGHT(C330,3)),'GAS-COMP'!#REF!,9,FALSE),IF(LEFT(C330,3)="SCE",VLOOKUP(VALUE(RIGHT(C330,3)),'SCE-COMP'!B:J,9,FALSE),IF(LEFT(C330,3)="EST",VLOOKUP(VALUE(RIGHT(C330,3)),'EST-COMP'!B:J,9,FALSE),IF(LEFT(C330,3)="HID",VLOOKUP(VALUE(RIGHT(C330,3)),'HID-COMP'!B:J,9,FALSE),IF(LEFT(C330,3)="INC",VLOOKUP(VALUE(RIGHT(C330,3)),'INC-COMP'!B:J,9,FALSE),IF(LEFT(C330,3)="ELE",VLOOKUP(VALUE(RIGHT(C330,3)),#REF!,9,FALSE),IF(LEFT(C330,3)="CAB",VLOOKUP(VALUE(RIGHT(C330,3)),#REF!,9,FALSE),IF(LEFT(C330,3)="SEG",VLOOKUP(VALUE(RIGHT(C330,3)),'SEG-COMP'!B:J,9,FALSE),IF(LEFT(C330,3)="CLI",VLOOKUP(VALUE(RIGHT(C330,3)),'CLI-COMP'!B:J,9,FALSE),IF(LEFT(C330,4)="IMPL",VLOOKUP(VALUE(RIGHT(C330,3)),'IMPL-COMP'!B:J,9,FALSE),IF(LEFT(C330,4)="SPDA",VLOOKUP(VALUE(RIGHT(C330,3)),'SPDA-COMP'!B:J,9,FALSE),IF(LEFT(C330,4)="SDAI",VLOOKUP(VALUE(RIGHT(C330,3)),'ADM-COMP'!B:J,9,FALSE),IF(LEFT(C330,5)="IMPER",VLOOKUP(VALUE(RIGHT(C330,3)),'IMPER-COMP'!B:J,9,FALSE),""))))))))))))))))</f>
        <v>29.39</v>
      </c>
      <c r="H330" s="339">
        <f t="shared" ref="H330:H331" si="110">ROUND(F330*G330,2)</f>
        <v>705.36</v>
      </c>
      <c r="I330" s="374">
        <f t="shared" si="108"/>
        <v>4.1242109618217067E-5</v>
      </c>
      <c r="J330" s="314"/>
    </row>
    <row r="331" spans="1:10" ht="26.4">
      <c r="A331" s="613" t="s">
        <v>35424</v>
      </c>
      <c r="B331" s="337" t="s">
        <v>2879</v>
      </c>
      <c r="C331" s="540">
        <f>160834</f>
        <v>160834</v>
      </c>
      <c r="D331" s="539" t="str">
        <f>IF(B331="IOPES",VLOOKUP(C331,'LABOR-SERVIÇOS'!A:H,5,FALSE),IF(B331="SINAPI",VLOOKUP(C331,'SINAPI-SERVIÇOS'!A:D,2,FALSE),IF(LEFT(C331,3)="ARQ",VLOOKUP(VALUE(RIGHT(C331,3)),'ARQ-COMP'!B:J,4,FALSE),IF(LEFT(C331,3)="SCI",VLOOKUP(VALUE(RIGHT(C331,3)),'GAS-COMP'!#REF!,4,FALSE),IF(LEFT(C331,3)="SCE",VLOOKUP(VALUE(RIGHT(C331,3)),'SCE-COMP'!B:J,4,FALSE),IF(LEFT(C331,3)="EST",VLOOKUP(VALUE(RIGHT(C331,3)),'EST-COMP'!B:J,4,FALSE),IF(LEFT(C331,3)="HID",VLOOKUP(VALUE(RIGHT(C331,3)),'HID-COMP'!B:J,4,FALSE),IF(LEFT(C331,3)="INC",VLOOKUP(VALUE(RIGHT(C331,3)),'INC-COMP'!B:J,4,FALSE),IF(LEFT(C331,3)="ELE",VLOOKUP(VALUE(RIGHT(C331,3)),#REF!,4,FALSE),IF(LEFT(C331,3)="CAB",VLOOKUP(VALUE(RIGHT(C331,3)),#REF!,4,FALSE),IF(LEFT(C331,3)="SEG",VLOOKUP(VALUE(RIGHT(C331,3)),'SEG-COMP'!B:J,4,FALSE),IF(LEFT(C331,3)="CLI",VLOOKUP(VALUE(RIGHT(C331,3)),'CLI-COMP'!B:J,4,FALSE),IF(LEFT(C331,4)="IMPL",VLOOKUP(VALUE(RIGHT(C331,3)),'IMPL-COMP'!B:J,4,FALSE),IF(LEFT(C331,4)="SPDA",VLOOKUP(VALUE(RIGHT(C331,3)),'SPDA-COMP'!B:J,4,FALSE),IF(LEFT(C331,4)="SDAI",VLOOKUP(VALUE(RIGHT(C331,3)),'ADM-COMP'!B:J,4,FALSE),IF(LEFT(C331,5)="IMPER",VLOOKUP(VALUE(RIGHT(C331,3)),'IMPER-COMP'!B:J,4,FALSE),""))))))))))))))))</f>
        <v>BANDEJA DESLIZANTE 1 U X 500MM CARGA MÁXIMA 20KG, INCLUSIVE FIXAÇÃO EM RACK 19"</v>
      </c>
      <c r="E331" s="338" t="str">
        <f>IF(B331="IOPES",VLOOKUP(C331,'LABOR-SERVIÇOS'!A:H,6,FALSE),IF(B331="SINAPI",VLOOKUP(C331,'SINAPI-SERVIÇOS'!A:D,3,FALSE),IF(LEFT(C331,3)="ARQ",VLOOKUP(VALUE(RIGHT(C331,3)),'ARQ-COMP'!B:J,5,FALSE),IF(LEFT(C331,3)="SCI",VLOOKUP(VALUE(RIGHT(C331,3)),'GAS-COMP'!#REF!,5,FALSE),IF(LEFT(C331,3)="SCE",VLOOKUP(VALUE(RIGHT(C331,3)),'SCE-COMP'!B:J,5,FALSE),IF(LEFT(C331,3)="EST",VLOOKUP(VALUE(RIGHT(C331,3)),'EST-COMP'!B:J,5,FALSE),IF(LEFT(C331,3)="HID",VLOOKUP(VALUE(RIGHT(C331,3)),'HID-COMP'!B:J,5,FALSE),IF(LEFT(C331,3)="INC",VLOOKUP(VALUE(RIGHT(C331,3)),'INC-COMP'!B:J,5,FALSE),IF(LEFT(C331,3)="ELE",VLOOKUP(VALUE(RIGHT(C331,3)),#REF!,5,FALSE),IF(LEFT(C331,3)="CAB",VLOOKUP(VALUE(RIGHT(C331,3)),#REF!,5,FALSE),IF(LEFT(C331,3)="SEG",VLOOKUP(VALUE(RIGHT(C331,3)),'SEG-COMP'!B:J,5,FALSE),IF(LEFT(C331,3)="CLI",VLOOKUP(VALUE(RIGHT(C331,3)),'CLI-COMP'!B:J,5,FALSE),IF(LEFT(C331,4)="IMPL",VLOOKUP(VALUE(RIGHT(C331,3)),'IMPL-COMP'!B:J,5,FALSE),IF(LEFT(C331,4)="SPDA",VLOOKUP(VALUE(RIGHT(C331,3)),'SPDA-COMP'!B:J,5,FALSE),IF(LEFT(C331,4)="SDAI",VLOOKUP(VALUE(RIGHT(C331,3)),'ADM-COMP'!B:J,5,FALSE),IF(LEFT(C331,5)="IMPER",VLOOKUP(VALUE(RIGHT(C331,3)),'IMPER-COMP'!B:J,5,FALSE),""))))))))))))))))</f>
        <v>UND</v>
      </c>
      <c r="F331" s="599">
        <f>ROUND(VLOOKUP(A331,'MEM-LEVANT'!A282:I2835,9,FALSE),2)</f>
        <v>12</v>
      </c>
      <c r="G331" s="339">
        <f>IF(B331="IOPES",VLOOKUP(C331,'LABOR-SERVIÇOS'!A:H,7,FALSE),IF(B331="SINAPI",VLOOKUP(C331,'SINAPI-SERVIÇOS'!A:H,8,FALSE),IF(LEFT(C331,3)="ARQ",VLOOKUP(VALUE(RIGHT(C331,3)),'ARQ-COMP'!B:J,9,FALSE),IF(LEFT(C331,3)="SCI",VLOOKUP(VALUE(RIGHT(C331,3)),'GAS-COMP'!#REF!,9,FALSE),IF(LEFT(C331,3)="SCE",VLOOKUP(VALUE(RIGHT(C331,3)),'SCE-COMP'!B:J,9,FALSE),IF(LEFT(C331,3)="EST",VLOOKUP(VALUE(RIGHT(C331,3)),'EST-COMP'!B:J,9,FALSE),IF(LEFT(C331,3)="HID",VLOOKUP(VALUE(RIGHT(C331,3)),'HID-COMP'!B:J,9,FALSE),IF(LEFT(C331,3)="INC",VLOOKUP(VALUE(RIGHT(C331,3)),'INC-COMP'!B:J,9,FALSE),IF(LEFT(C331,3)="ELE",VLOOKUP(VALUE(RIGHT(C331,3)),#REF!,9,FALSE),IF(LEFT(C331,3)="CAB",VLOOKUP(VALUE(RIGHT(C331,3)),#REF!,9,FALSE),IF(LEFT(C331,3)="SEG",VLOOKUP(VALUE(RIGHT(C331,3)),'SEG-COMP'!B:J,9,FALSE),IF(LEFT(C331,3)="CLI",VLOOKUP(VALUE(RIGHT(C331,3)),'CLI-COMP'!B:J,9,FALSE),IF(LEFT(C331,4)="IMPL",VLOOKUP(VALUE(RIGHT(C331,3)),'IMPL-COMP'!B:J,9,FALSE),IF(LEFT(C331,4)="SPDA",VLOOKUP(VALUE(RIGHT(C331,3)),'SPDA-COMP'!B:J,9,FALSE),IF(LEFT(C331,4)="SDAI",VLOOKUP(VALUE(RIGHT(C331,3)),'ADM-COMP'!B:J,9,FALSE),IF(LEFT(C331,5)="IMPER",VLOOKUP(VALUE(RIGHT(C331,3)),'IMPER-COMP'!B:J,9,FALSE),""))))))))))))))))</f>
        <v>254.23</v>
      </c>
      <c r="H331" s="339">
        <f t="shared" si="110"/>
        <v>3050.76</v>
      </c>
      <c r="I331" s="374">
        <f t="shared" si="108"/>
        <v>1.7837668472676634E-4</v>
      </c>
      <c r="J331" s="314"/>
    </row>
    <row r="332" spans="1:10" ht="26.4">
      <c r="A332" s="613" t="s">
        <v>35425</v>
      </c>
      <c r="B332" s="337" t="s">
        <v>2879</v>
      </c>
      <c r="C332" s="540">
        <f>160836</f>
        <v>160836</v>
      </c>
      <c r="D332" s="539" t="str">
        <f>IF(B332="IOPES",VLOOKUP(C332,'LABOR-SERVIÇOS'!A:H,5,FALSE),IF(B332="SINAPI",VLOOKUP(C332,'SINAPI-SERVIÇOS'!A:D,2,FALSE),IF(LEFT(C332,3)="ARQ",VLOOKUP(VALUE(RIGHT(C332,3)),'ARQ-COMP'!B:J,4,FALSE),IF(LEFT(C332,3)="SCI",VLOOKUP(VALUE(RIGHT(C332,3)),'GAS-COMP'!#REF!,4,FALSE),IF(LEFT(C332,3)="SCE",VLOOKUP(VALUE(RIGHT(C332,3)),'SCE-COMP'!B:J,4,FALSE),IF(LEFT(C332,3)="EST",VLOOKUP(VALUE(RIGHT(C332,3)),'EST-COMP'!B:J,4,FALSE),IF(LEFT(C332,3)="HID",VLOOKUP(VALUE(RIGHT(C332,3)),'HID-COMP'!B:J,4,FALSE),IF(LEFT(C332,3)="INC",VLOOKUP(VALUE(RIGHT(C332,3)),'INC-COMP'!B:J,4,FALSE),IF(LEFT(C332,3)="ELE",VLOOKUP(VALUE(RIGHT(C332,3)),#REF!,4,FALSE),IF(LEFT(C332,3)="CAB",VLOOKUP(VALUE(RIGHT(C332,3)),#REF!,4,FALSE),IF(LEFT(C332,3)="SEG",VLOOKUP(VALUE(RIGHT(C332,3)),'SEG-COMP'!B:J,4,FALSE),IF(LEFT(C332,3)="CLI",VLOOKUP(VALUE(RIGHT(C332,3)),'CLI-COMP'!B:J,4,FALSE),IF(LEFT(C332,4)="IMPL",VLOOKUP(VALUE(RIGHT(C332,3)),'IMPL-COMP'!B:J,4,FALSE),IF(LEFT(C332,4)="SPDA",VLOOKUP(VALUE(RIGHT(C332,3)),'SPDA-COMP'!B:J,4,FALSE),IF(LEFT(C332,4)="SDAI",VLOOKUP(VALUE(RIGHT(C332,3)),'ADM-COMP'!B:J,4,FALSE),IF(LEFT(C332,5)="IMPER",VLOOKUP(VALUE(RIGHT(C332,3)),'IMPER-COMP'!B:J,4,FALSE),""))))))))))))))))</f>
        <v>KIT VENTILAÇÃO COMPOSTO POR 4 VENTILADORES BI-VOLTS, INCLUSIVE FIXAÇÃO EM RACK 19"</v>
      </c>
      <c r="E332" s="338" t="str">
        <f>IF(B332="IOPES",VLOOKUP(C332,'LABOR-SERVIÇOS'!A:H,6,FALSE),IF(B332="SINAPI",VLOOKUP(C332,'SINAPI-SERVIÇOS'!A:D,3,FALSE),IF(LEFT(C332,3)="ARQ",VLOOKUP(VALUE(RIGHT(C332,3)),'ARQ-COMP'!B:J,5,FALSE),IF(LEFT(C332,3)="SCI",VLOOKUP(VALUE(RIGHT(C332,3)),'GAS-COMP'!#REF!,5,FALSE),IF(LEFT(C332,3)="SCE",VLOOKUP(VALUE(RIGHT(C332,3)),'SCE-COMP'!B:J,5,FALSE),IF(LEFT(C332,3)="EST",VLOOKUP(VALUE(RIGHT(C332,3)),'EST-COMP'!B:J,5,FALSE),IF(LEFT(C332,3)="HID",VLOOKUP(VALUE(RIGHT(C332,3)),'HID-COMP'!B:J,5,FALSE),IF(LEFT(C332,3)="INC",VLOOKUP(VALUE(RIGHT(C332,3)),'INC-COMP'!B:J,5,FALSE),IF(LEFT(C332,3)="ELE",VLOOKUP(VALUE(RIGHT(C332,3)),#REF!,5,FALSE),IF(LEFT(C332,3)="CAB",VLOOKUP(VALUE(RIGHT(C332,3)),#REF!,5,FALSE),IF(LEFT(C332,3)="SEG",VLOOKUP(VALUE(RIGHT(C332,3)),'SEG-COMP'!B:J,5,FALSE),IF(LEFT(C332,3)="CLI",VLOOKUP(VALUE(RIGHT(C332,3)),'CLI-COMP'!B:J,5,FALSE),IF(LEFT(C332,4)="IMPL",VLOOKUP(VALUE(RIGHT(C332,3)),'IMPL-COMP'!B:J,5,FALSE),IF(LEFT(C332,4)="SPDA",VLOOKUP(VALUE(RIGHT(C332,3)),'SPDA-COMP'!B:J,5,FALSE),IF(LEFT(C332,4)="SDAI",VLOOKUP(VALUE(RIGHT(C332,3)),'ADM-COMP'!B:J,5,FALSE),IF(LEFT(C332,5)="IMPER",VLOOKUP(VALUE(RIGHT(C332,3)),'IMPER-COMP'!B:J,5,FALSE),""))))))))))))))))</f>
        <v>UND</v>
      </c>
      <c r="F332" s="599">
        <f>ROUND(VLOOKUP(A332,'MEM-LEVANT'!A283:I2836,9,FALSE),2)</f>
        <v>12</v>
      </c>
      <c r="G332" s="339">
        <f>IF(B332="IOPES",VLOOKUP(C332,'LABOR-SERVIÇOS'!A:H,7,FALSE),IF(B332="SINAPI",VLOOKUP(C332,'SINAPI-SERVIÇOS'!A:H,8,FALSE),IF(LEFT(C332,3)="ARQ",VLOOKUP(VALUE(RIGHT(C332,3)),'ARQ-COMP'!B:J,9,FALSE),IF(LEFT(C332,3)="SCI",VLOOKUP(VALUE(RIGHT(C332,3)),'GAS-COMP'!#REF!,9,FALSE),IF(LEFT(C332,3)="SCE",VLOOKUP(VALUE(RIGHT(C332,3)),'SCE-COMP'!B:J,9,FALSE),IF(LEFT(C332,3)="EST",VLOOKUP(VALUE(RIGHT(C332,3)),'EST-COMP'!B:J,9,FALSE),IF(LEFT(C332,3)="HID",VLOOKUP(VALUE(RIGHT(C332,3)),'HID-COMP'!B:J,9,FALSE),IF(LEFT(C332,3)="INC",VLOOKUP(VALUE(RIGHT(C332,3)),'INC-COMP'!B:J,9,FALSE),IF(LEFT(C332,3)="ELE",VLOOKUP(VALUE(RIGHT(C332,3)),#REF!,9,FALSE),IF(LEFT(C332,3)="CAB",VLOOKUP(VALUE(RIGHT(C332,3)),#REF!,9,FALSE),IF(LEFT(C332,3)="SEG",VLOOKUP(VALUE(RIGHT(C332,3)),'SEG-COMP'!B:J,9,FALSE),IF(LEFT(C332,3)="CLI",VLOOKUP(VALUE(RIGHT(C332,3)),'CLI-COMP'!B:J,9,FALSE),IF(LEFT(C332,4)="IMPL",VLOOKUP(VALUE(RIGHT(C332,3)),'IMPL-COMP'!B:J,9,FALSE),IF(LEFT(C332,4)="SPDA",VLOOKUP(VALUE(RIGHT(C332,3)),'SPDA-COMP'!B:J,9,FALSE),IF(LEFT(C332,4)="SDAI",VLOOKUP(VALUE(RIGHT(C332,3)),'ADM-COMP'!B:J,9,FALSE),IF(LEFT(C332,5)="IMPER",VLOOKUP(VALUE(RIGHT(C332,3)),'IMPER-COMP'!B:J,9,FALSE),""))))))))))))))))</f>
        <v>666.85</v>
      </c>
      <c r="H332" s="339">
        <f t="shared" ref="H332" si="111">ROUND(F332*G332,2)</f>
        <v>8002.2</v>
      </c>
      <c r="I332" s="374">
        <f t="shared" si="108"/>
        <v>4.678853487395041E-4</v>
      </c>
      <c r="J332" s="314"/>
    </row>
    <row r="333" spans="1:10" ht="26.4">
      <c r="A333" s="613" t="s">
        <v>35426</v>
      </c>
      <c r="B333" s="337" t="s">
        <v>2879</v>
      </c>
      <c r="C333" s="540">
        <f>160844</f>
        <v>160844</v>
      </c>
      <c r="D333" s="539" t="str">
        <f>IF(B333="IOPES",VLOOKUP(C333,'LABOR-SERVIÇOS'!A:H,5,FALSE),IF(B333="SINAPI",VLOOKUP(C333,'SINAPI-SERVIÇOS'!A:D,2,FALSE),IF(LEFT(C333,3)="ARQ",VLOOKUP(VALUE(RIGHT(C333,3)),'ARQ-COMP'!B:J,4,FALSE),IF(LEFT(C333,3)="SCI",VLOOKUP(VALUE(RIGHT(C333,3)),'GAS-COMP'!#REF!,4,FALSE),IF(LEFT(C333,3)="SCE",VLOOKUP(VALUE(RIGHT(C333,3)),'SCE-COMP'!B:J,4,FALSE),IF(LEFT(C333,3)="EST",VLOOKUP(VALUE(RIGHT(C333,3)),'EST-COMP'!B:J,4,FALSE),IF(LEFT(C333,3)="HID",VLOOKUP(VALUE(RIGHT(C333,3)),'HID-COMP'!B:J,4,FALSE),IF(LEFT(C333,3)="INC",VLOOKUP(VALUE(RIGHT(C333,3)),'INC-COMP'!B:J,4,FALSE),IF(LEFT(C333,3)="ELE",VLOOKUP(VALUE(RIGHT(C333,3)),#REF!,4,FALSE),IF(LEFT(C333,3)="CAB",VLOOKUP(VALUE(RIGHT(C333,3)),#REF!,4,FALSE),IF(LEFT(C333,3)="SEG",VLOOKUP(VALUE(RIGHT(C333,3)),'SEG-COMP'!B:J,4,FALSE),IF(LEFT(C333,3)="CLI",VLOOKUP(VALUE(RIGHT(C333,3)),'CLI-COMP'!B:J,4,FALSE),IF(LEFT(C333,4)="IMPL",VLOOKUP(VALUE(RIGHT(C333,3)),'IMPL-COMP'!B:J,4,FALSE),IF(LEFT(C333,4)="SPDA",VLOOKUP(VALUE(RIGHT(C333,3)),'SPDA-COMP'!B:J,4,FALSE),IF(LEFT(C333,4)="SDAI",VLOOKUP(VALUE(RIGHT(C333,3)),'ADM-COMP'!B:J,4,FALSE),IF(LEFT(C333,5)="IMPER",VLOOKUP(VALUE(RIGHT(C333,3)),'IMPER-COMP'!B:J,4,FALSE),""))))))))))))))))</f>
        <v>PATCH PANEL 48 PORTAS RJ45/IDC CAT.6, INCLUSIVE FIXAÇÃO EM RACK 19"</v>
      </c>
      <c r="E333" s="338" t="str">
        <f>IF(B333="IOPES",VLOOKUP(C333,'LABOR-SERVIÇOS'!A:H,6,FALSE),IF(B333="SINAPI",VLOOKUP(C333,'SINAPI-SERVIÇOS'!A:D,3,FALSE),IF(LEFT(C333,3)="ARQ",VLOOKUP(VALUE(RIGHT(C333,3)),'ARQ-COMP'!B:J,5,FALSE),IF(LEFT(C333,3)="SCI",VLOOKUP(VALUE(RIGHT(C333,3)),'GAS-COMP'!#REF!,5,FALSE),IF(LEFT(C333,3)="SCE",VLOOKUP(VALUE(RIGHT(C333,3)),'SCE-COMP'!B:J,5,FALSE),IF(LEFT(C333,3)="EST",VLOOKUP(VALUE(RIGHT(C333,3)),'EST-COMP'!B:J,5,FALSE),IF(LEFT(C333,3)="HID",VLOOKUP(VALUE(RIGHT(C333,3)),'HID-COMP'!B:J,5,FALSE),IF(LEFT(C333,3)="INC",VLOOKUP(VALUE(RIGHT(C333,3)),'INC-COMP'!B:J,5,FALSE),IF(LEFT(C333,3)="ELE",VLOOKUP(VALUE(RIGHT(C333,3)),#REF!,5,FALSE),IF(LEFT(C333,3)="CAB",VLOOKUP(VALUE(RIGHT(C333,3)),#REF!,5,FALSE),IF(LEFT(C333,3)="SEG",VLOOKUP(VALUE(RIGHT(C333,3)),'SEG-COMP'!B:J,5,FALSE),IF(LEFT(C333,3)="CLI",VLOOKUP(VALUE(RIGHT(C333,3)),'CLI-COMP'!B:J,5,FALSE),IF(LEFT(C333,4)="IMPL",VLOOKUP(VALUE(RIGHT(C333,3)),'IMPL-COMP'!B:J,5,FALSE),IF(LEFT(C333,4)="SPDA",VLOOKUP(VALUE(RIGHT(C333,3)),'SPDA-COMP'!B:J,5,FALSE),IF(LEFT(C333,4)="SDAI",VLOOKUP(VALUE(RIGHT(C333,3)),'ADM-COMP'!B:J,5,FALSE),IF(LEFT(C333,5)="IMPER",VLOOKUP(VALUE(RIGHT(C333,3)),'IMPER-COMP'!B:J,5,FALSE),""))))))))))))))))</f>
        <v>UND</v>
      </c>
      <c r="F333" s="599">
        <f>ROUND(VLOOKUP(A333,'MEM-LEVANT'!A284:I2837,9,FALSE),2)</f>
        <v>24</v>
      </c>
      <c r="G333" s="339">
        <f>IF(B333="IOPES",VLOOKUP(C333,'LABOR-SERVIÇOS'!A:H,7,FALSE),IF(B333="SINAPI",VLOOKUP(C333,'SINAPI-SERVIÇOS'!A:H,8,FALSE),IF(LEFT(C333,3)="ARQ",VLOOKUP(VALUE(RIGHT(C333,3)),'ARQ-COMP'!B:J,9,FALSE),IF(LEFT(C333,3)="SCI",VLOOKUP(VALUE(RIGHT(C333,3)),'GAS-COMP'!#REF!,9,FALSE),IF(LEFT(C333,3)="SCE",VLOOKUP(VALUE(RIGHT(C333,3)),'SCE-COMP'!B:J,9,FALSE),IF(LEFT(C333,3)="EST",VLOOKUP(VALUE(RIGHT(C333,3)),'EST-COMP'!B:J,9,FALSE),IF(LEFT(C333,3)="HID",VLOOKUP(VALUE(RIGHT(C333,3)),'HID-COMP'!B:J,9,FALSE),IF(LEFT(C333,3)="INC",VLOOKUP(VALUE(RIGHT(C333,3)),'INC-COMP'!B:J,9,FALSE),IF(LEFT(C333,3)="ELE",VLOOKUP(VALUE(RIGHT(C333,3)),#REF!,9,FALSE),IF(LEFT(C333,3)="CAB",VLOOKUP(VALUE(RIGHT(C333,3)),#REF!,9,FALSE),IF(LEFT(C333,3)="SEG",VLOOKUP(VALUE(RIGHT(C333,3)),'SEG-COMP'!B:J,9,FALSE),IF(LEFT(C333,3)="CLI",VLOOKUP(VALUE(RIGHT(C333,3)),'CLI-COMP'!B:J,9,FALSE),IF(LEFT(C333,4)="IMPL",VLOOKUP(VALUE(RIGHT(C333,3)),'IMPL-COMP'!B:J,9,FALSE),IF(LEFT(C333,4)="SPDA",VLOOKUP(VALUE(RIGHT(C333,3)),'SPDA-COMP'!B:J,9,FALSE),IF(LEFT(C333,4)="SDAI",VLOOKUP(VALUE(RIGHT(C333,3)),'ADM-COMP'!B:J,9,FALSE),IF(LEFT(C333,5)="IMPER",VLOOKUP(VALUE(RIGHT(C333,3)),'IMPER-COMP'!B:J,9,FALSE),""))))))))))))))))</f>
        <v>783.82</v>
      </c>
      <c r="H333" s="339">
        <f t="shared" ref="H333:H342" si="112">ROUND(F333*G333,2)</f>
        <v>18811.68</v>
      </c>
      <c r="I333" s="374">
        <f t="shared" si="108"/>
        <v>1.0999112065651889E-3</v>
      </c>
      <c r="J333" s="314"/>
    </row>
    <row r="334" spans="1:10" ht="26.4">
      <c r="A334" s="613" t="s">
        <v>35427</v>
      </c>
      <c r="B334" s="337" t="s">
        <v>2879</v>
      </c>
      <c r="C334" s="540">
        <f>160847</f>
        <v>160847</v>
      </c>
      <c r="D334" s="539" t="str">
        <f>IF(B334="IOPES",VLOOKUP(C334,'LABOR-SERVIÇOS'!A:H,5,FALSE),IF(B334="SINAPI",VLOOKUP(C334,'SINAPI-SERVIÇOS'!A:D,2,FALSE),IF(LEFT(C334,3)="ARQ",VLOOKUP(VALUE(RIGHT(C334,3)),'ARQ-COMP'!B:J,4,FALSE),IF(LEFT(C334,3)="SCI",VLOOKUP(VALUE(RIGHT(C334,3)),'GAS-COMP'!#REF!,4,FALSE),IF(LEFT(C334,3)="SCE",VLOOKUP(VALUE(RIGHT(C334,3)),'SCE-COMP'!B:J,4,FALSE),IF(LEFT(C334,3)="EST",VLOOKUP(VALUE(RIGHT(C334,3)),'EST-COMP'!B:J,4,FALSE),IF(LEFT(C334,3)="HID",VLOOKUP(VALUE(RIGHT(C334,3)),'HID-COMP'!B:J,4,FALSE),IF(LEFT(C334,3)="INC",VLOOKUP(VALUE(RIGHT(C334,3)),'INC-COMP'!B:J,4,FALSE),IF(LEFT(C334,3)="ELE",VLOOKUP(VALUE(RIGHT(C334,3)),#REF!,4,FALSE),IF(LEFT(C334,3)="CAB",VLOOKUP(VALUE(RIGHT(C334,3)),#REF!,4,FALSE),IF(LEFT(C334,3)="SEG",VLOOKUP(VALUE(RIGHT(C334,3)),'SEG-COMP'!B:J,4,FALSE),IF(LEFT(C334,3)="CLI",VLOOKUP(VALUE(RIGHT(C334,3)),'CLI-COMP'!B:J,4,FALSE),IF(LEFT(C334,4)="IMPL",VLOOKUP(VALUE(RIGHT(C334,3)),'IMPL-COMP'!B:J,4,FALSE),IF(LEFT(C334,4)="SPDA",VLOOKUP(VALUE(RIGHT(C334,3)),'SPDA-COMP'!B:J,4,FALSE),IF(LEFT(C334,4)="SDAI",VLOOKUP(VALUE(RIGHT(C334,3)),'ADM-COMP'!B:J,4,FALSE),IF(LEFT(C334,5)="IMPER",VLOOKUP(VALUE(RIGHT(C334,3)),'IMPER-COMP'!B:J,4,FALSE),""))))))))))))))))</f>
        <v>PATCH CORD GIGALAN EXTRA FLEXÍVEL CAT 6 U/UTP RJ-45 - 1,50 M</v>
      </c>
      <c r="E334" s="338" t="str">
        <f>IF(B334="IOPES",VLOOKUP(C334,'LABOR-SERVIÇOS'!A:H,6,FALSE),IF(B334="SINAPI",VLOOKUP(C334,'SINAPI-SERVIÇOS'!A:D,3,FALSE),IF(LEFT(C334,3)="ARQ",VLOOKUP(VALUE(RIGHT(C334,3)),'ARQ-COMP'!B:J,5,FALSE),IF(LEFT(C334,3)="SCI",VLOOKUP(VALUE(RIGHT(C334,3)),'GAS-COMP'!#REF!,5,FALSE),IF(LEFT(C334,3)="SCE",VLOOKUP(VALUE(RIGHT(C334,3)),'SCE-COMP'!B:J,5,FALSE),IF(LEFT(C334,3)="EST",VLOOKUP(VALUE(RIGHT(C334,3)),'EST-COMP'!B:J,5,FALSE),IF(LEFT(C334,3)="HID",VLOOKUP(VALUE(RIGHT(C334,3)),'HID-COMP'!B:J,5,FALSE),IF(LEFT(C334,3)="INC",VLOOKUP(VALUE(RIGHT(C334,3)),'INC-COMP'!B:J,5,FALSE),IF(LEFT(C334,3)="ELE",VLOOKUP(VALUE(RIGHT(C334,3)),#REF!,5,FALSE),IF(LEFT(C334,3)="CAB",VLOOKUP(VALUE(RIGHT(C334,3)),#REF!,5,FALSE),IF(LEFT(C334,3)="SEG",VLOOKUP(VALUE(RIGHT(C334,3)),'SEG-COMP'!B:J,5,FALSE),IF(LEFT(C334,3)="CLI",VLOOKUP(VALUE(RIGHT(C334,3)),'CLI-COMP'!B:J,5,FALSE),IF(LEFT(C334,4)="IMPL",VLOOKUP(VALUE(RIGHT(C334,3)),'IMPL-COMP'!B:J,5,FALSE),IF(LEFT(C334,4)="SPDA",VLOOKUP(VALUE(RIGHT(C334,3)),'SPDA-COMP'!B:J,5,FALSE),IF(LEFT(C334,4)="SDAI",VLOOKUP(VALUE(RIGHT(C334,3)),'ADM-COMP'!B:J,5,FALSE),IF(LEFT(C334,5)="IMPER",VLOOKUP(VALUE(RIGHT(C334,3)),'IMPER-COMP'!B:J,5,FALSE),""))))))))))))))))</f>
        <v>UND</v>
      </c>
      <c r="F334" s="599">
        <f>ROUND(VLOOKUP(A334,'MEM-LEVANT'!A285:I2838,9,FALSE),2)</f>
        <v>150</v>
      </c>
      <c r="G334" s="339">
        <f>IF(B334="IOPES",VLOOKUP(C334,'LABOR-SERVIÇOS'!A:H,7,FALSE),IF(B334="SINAPI",VLOOKUP(C334,'SINAPI-SERVIÇOS'!A:H,8,FALSE),IF(LEFT(C334,3)="ARQ",VLOOKUP(VALUE(RIGHT(C334,3)),'ARQ-COMP'!B:J,9,FALSE),IF(LEFT(C334,3)="SCI",VLOOKUP(VALUE(RIGHT(C334,3)),'GAS-COMP'!#REF!,9,FALSE),IF(LEFT(C334,3)="SCE",VLOOKUP(VALUE(RIGHT(C334,3)),'SCE-COMP'!B:J,9,FALSE),IF(LEFT(C334,3)="EST",VLOOKUP(VALUE(RIGHT(C334,3)),'EST-COMP'!B:J,9,FALSE),IF(LEFT(C334,3)="HID",VLOOKUP(VALUE(RIGHT(C334,3)),'HID-COMP'!B:J,9,FALSE),IF(LEFT(C334,3)="INC",VLOOKUP(VALUE(RIGHT(C334,3)),'INC-COMP'!B:J,9,FALSE),IF(LEFT(C334,3)="ELE",VLOOKUP(VALUE(RIGHT(C334,3)),#REF!,9,FALSE),IF(LEFT(C334,3)="CAB",VLOOKUP(VALUE(RIGHT(C334,3)),#REF!,9,FALSE),IF(LEFT(C334,3)="SEG",VLOOKUP(VALUE(RIGHT(C334,3)),'SEG-COMP'!B:J,9,FALSE),IF(LEFT(C334,3)="CLI",VLOOKUP(VALUE(RIGHT(C334,3)),'CLI-COMP'!B:J,9,FALSE),IF(LEFT(C334,4)="IMPL",VLOOKUP(VALUE(RIGHT(C334,3)),'IMPL-COMP'!B:J,9,FALSE),IF(LEFT(C334,4)="SPDA",VLOOKUP(VALUE(RIGHT(C334,3)),'SPDA-COMP'!B:J,9,FALSE),IF(LEFT(C334,4)="SDAI",VLOOKUP(VALUE(RIGHT(C334,3)),'ADM-COMP'!B:J,9,FALSE),IF(LEFT(C334,5)="IMPER",VLOOKUP(VALUE(RIGHT(C334,3)),'IMPER-COMP'!B:J,9,FALSE),""))))))))))))))))</f>
        <v>41.79</v>
      </c>
      <c r="H334" s="339">
        <f t="shared" si="112"/>
        <v>6268.5</v>
      </c>
      <c r="I334" s="374">
        <f t="shared" si="108"/>
        <v>3.6651662150078497E-4</v>
      </c>
      <c r="J334" s="314"/>
    </row>
    <row r="335" spans="1:10" ht="26.4">
      <c r="A335" s="613" t="s">
        <v>35428</v>
      </c>
      <c r="B335" s="337" t="s">
        <v>2879</v>
      </c>
      <c r="C335" s="540">
        <f>160848</f>
        <v>160848</v>
      </c>
      <c r="D335" s="539" t="str">
        <f>IF(B335="IOPES",VLOOKUP(C335,'LABOR-SERVIÇOS'!A:H,5,FALSE),IF(B335="SINAPI",VLOOKUP(C335,'SINAPI-SERVIÇOS'!A:D,2,FALSE),IF(LEFT(C335,3)="ARQ",VLOOKUP(VALUE(RIGHT(C335,3)),'ARQ-COMP'!B:J,4,FALSE),IF(LEFT(C335,3)="SCI",VLOOKUP(VALUE(RIGHT(C335,3)),'GAS-COMP'!#REF!,4,FALSE),IF(LEFT(C335,3)="SCE",VLOOKUP(VALUE(RIGHT(C335,3)),'SCE-COMP'!B:J,4,FALSE),IF(LEFT(C335,3)="EST",VLOOKUP(VALUE(RIGHT(C335,3)),'EST-COMP'!B:J,4,FALSE),IF(LEFT(C335,3)="HID",VLOOKUP(VALUE(RIGHT(C335,3)),'HID-COMP'!B:J,4,FALSE),IF(LEFT(C335,3)="INC",VLOOKUP(VALUE(RIGHT(C335,3)),'INC-COMP'!B:J,4,FALSE),IF(LEFT(C335,3)="ELE",VLOOKUP(VALUE(RIGHT(C335,3)),#REF!,4,FALSE),IF(LEFT(C335,3)="CAB",VLOOKUP(VALUE(RIGHT(C335,3)),#REF!,4,FALSE),IF(LEFT(C335,3)="SEG",VLOOKUP(VALUE(RIGHT(C335,3)),'SEG-COMP'!B:J,4,FALSE),IF(LEFT(C335,3)="CLI",VLOOKUP(VALUE(RIGHT(C335,3)),'CLI-COMP'!B:J,4,FALSE),IF(LEFT(C335,4)="IMPL",VLOOKUP(VALUE(RIGHT(C335,3)),'IMPL-COMP'!B:J,4,FALSE),IF(LEFT(C335,4)="SPDA",VLOOKUP(VALUE(RIGHT(C335,3)),'SPDA-COMP'!B:J,4,FALSE),IF(LEFT(C335,4)="SDAI",VLOOKUP(VALUE(RIGHT(C335,3)),'ADM-COMP'!B:J,4,FALSE),IF(LEFT(C335,5)="IMPER",VLOOKUP(VALUE(RIGHT(C335,3)),'IMPER-COMP'!B:J,4,FALSE),""))))))))))))))))</f>
        <v>PATCH CORD GIGALAN EXTRA FLEXÍVEL CAT 6 U/UTP RJ-45 - 3,00 M</v>
      </c>
      <c r="E335" s="338" t="str">
        <f>IF(B335="IOPES",VLOOKUP(C335,'LABOR-SERVIÇOS'!A:H,6,FALSE),IF(B335="SINAPI",VLOOKUP(C335,'SINAPI-SERVIÇOS'!A:D,3,FALSE),IF(LEFT(C335,3)="ARQ",VLOOKUP(VALUE(RIGHT(C335,3)),'ARQ-COMP'!B:J,5,FALSE),IF(LEFT(C335,3)="SCI",VLOOKUP(VALUE(RIGHT(C335,3)),'GAS-COMP'!#REF!,5,FALSE),IF(LEFT(C335,3)="SCE",VLOOKUP(VALUE(RIGHT(C335,3)),'SCE-COMP'!B:J,5,FALSE),IF(LEFT(C335,3)="EST",VLOOKUP(VALUE(RIGHT(C335,3)),'EST-COMP'!B:J,5,FALSE),IF(LEFT(C335,3)="HID",VLOOKUP(VALUE(RIGHT(C335,3)),'HID-COMP'!B:J,5,FALSE),IF(LEFT(C335,3)="INC",VLOOKUP(VALUE(RIGHT(C335,3)),'INC-COMP'!B:J,5,FALSE),IF(LEFT(C335,3)="ELE",VLOOKUP(VALUE(RIGHT(C335,3)),#REF!,5,FALSE),IF(LEFT(C335,3)="CAB",VLOOKUP(VALUE(RIGHT(C335,3)),#REF!,5,FALSE),IF(LEFT(C335,3)="SEG",VLOOKUP(VALUE(RIGHT(C335,3)),'SEG-COMP'!B:J,5,FALSE),IF(LEFT(C335,3)="CLI",VLOOKUP(VALUE(RIGHT(C335,3)),'CLI-COMP'!B:J,5,FALSE),IF(LEFT(C335,4)="IMPL",VLOOKUP(VALUE(RIGHT(C335,3)),'IMPL-COMP'!B:J,5,FALSE),IF(LEFT(C335,4)="SPDA",VLOOKUP(VALUE(RIGHT(C335,3)),'SPDA-COMP'!B:J,5,FALSE),IF(LEFT(C335,4)="SDAI",VLOOKUP(VALUE(RIGHT(C335,3)),'ADM-COMP'!B:J,5,FALSE),IF(LEFT(C335,5)="IMPER",VLOOKUP(VALUE(RIGHT(C335,3)),'IMPER-COMP'!B:J,5,FALSE),""))))))))))))))))</f>
        <v>UND</v>
      </c>
      <c r="F335" s="599">
        <f>ROUND(VLOOKUP(A335,'MEM-LEVANT'!A286:I2839,9,FALSE),2)</f>
        <v>50</v>
      </c>
      <c r="G335" s="339">
        <f>IF(B335="IOPES",VLOOKUP(C335,'LABOR-SERVIÇOS'!A:H,7,FALSE),IF(B335="SINAPI",VLOOKUP(C335,'SINAPI-SERVIÇOS'!A:H,8,FALSE),IF(LEFT(C335,3)="ARQ",VLOOKUP(VALUE(RIGHT(C335,3)),'ARQ-COMP'!B:J,9,FALSE),IF(LEFT(C335,3)="SCI",VLOOKUP(VALUE(RIGHT(C335,3)),'GAS-COMP'!#REF!,9,FALSE),IF(LEFT(C335,3)="SCE",VLOOKUP(VALUE(RIGHT(C335,3)),'SCE-COMP'!B:J,9,FALSE),IF(LEFT(C335,3)="EST",VLOOKUP(VALUE(RIGHT(C335,3)),'EST-COMP'!B:J,9,FALSE),IF(LEFT(C335,3)="HID",VLOOKUP(VALUE(RIGHT(C335,3)),'HID-COMP'!B:J,9,FALSE),IF(LEFT(C335,3)="INC",VLOOKUP(VALUE(RIGHT(C335,3)),'INC-COMP'!B:J,9,FALSE),IF(LEFT(C335,3)="ELE",VLOOKUP(VALUE(RIGHT(C335,3)),#REF!,9,FALSE),IF(LEFT(C335,3)="CAB",VLOOKUP(VALUE(RIGHT(C335,3)),#REF!,9,FALSE),IF(LEFT(C335,3)="SEG",VLOOKUP(VALUE(RIGHT(C335,3)),'SEG-COMP'!B:J,9,FALSE),IF(LEFT(C335,3)="CLI",VLOOKUP(VALUE(RIGHT(C335,3)),'CLI-COMP'!B:J,9,FALSE),IF(LEFT(C335,4)="IMPL",VLOOKUP(VALUE(RIGHT(C335,3)),'IMPL-COMP'!B:J,9,FALSE),IF(LEFT(C335,4)="SPDA",VLOOKUP(VALUE(RIGHT(C335,3)),'SPDA-COMP'!B:J,9,FALSE),IF(LEFT(C335,4)="SDAI",VLOOKUP(VALUE(RIGHT(C335,3)),'ADM-COMP'!B:J,9,FALSE),IF(LEFT(C335,5)="IMPER",VLOOKUP(VALUE(RIGHT(C335,3)),'IMPER-COMP'!B:J,9,FALSE),""))))))))))))))))</f>
        <v>72.19</v>
      </c>
      <c r="H335" s="339">
        <f t="shared" si="112"/>
        <v>3609.5</v>
      </c>
      <c r="I335" s="374">
        <f t="shared" si="108"/>
        <v>2.1104598313904178E-4</v>
      </c>
      <c r="J335" s="314"/>
    </row>
    <row r="336" spans="1:10" ht="26.4">
      <c r="A336" s="613" t="s">
        <v>35429</v>
      </c>
      <c r="B336" s="337" t="s">
        <v>2879</v>
      </c>
      <c r="C336" s="540">
        <f>160851</f>
        <v>160851</v>
      </c>
      <c r="D336" s="539" t="str">
        <f>IF(B336="IOPES",VLOOKUP(C336,'LABOR-SERVIÇOS'!A:H,5,FALSE),IF(B336="SINAPI",VLOOKUP(C336,'SINAPI-SERVIÇOS'!A:D,2,FALSE),IF(LEFT(C336,3)="ARQ",VLOOKUP(VALUE(RIGHT(C336,3)),'ARQ-COMP'!B:J,4,FALSE),IF(LEFT(C336,3)="SCI",VLOOKUP(VALUE(RIGHT(C336,3)),'GAS-COMP'!#REF!,4,FALSE),IF(LEFT(C336,3)="SCE",VLOOKUP(VALUE(RIGHT(C336,3)),'SCE-COMP'!B:J,4,FALSE),IF(LEFT(C336,3)="EST",VLOOKUP(VALUE(RIGHT(C336,3)),'EST-COMP'!B:J,4,FALSE),IF(LEFT(C336,3)="HID",VLOOKUP(VALUE(RIGHT(C336,3)),'HID-COMP'!B:J,4,FALSE),IF(LEFT(C336,3)="INC",VLOOKUP(VALUE(RIGHT(C336,3)),'INC-COMP'!B:J,4,FALSE),IF(LEFT(C336,3)="ELE",VLOOKUP(VALUE(RIGHT(C336,3)),#REF!,4,FALSE),IF(LEFT(C336,3)="CAB",VLOOKUP(VALUE(RIGHT(C336,3)),#REF!,4,FALSE),IF(LEFT(C336,3)="SEG",VLOOKUP(VALUE(RIGHT(C336,3)),'SEG-COMP'!B:J,4,FALSE),IF(LEFT(C336,3)="CLI",VLOOKUP(VALUE(RIGHT(C336,3)),'CLI-COMP'!B:J,4,FALSE),IF(LEFT(C336,4)="IMPL",VLOOKUP(VALUE(RIGHT(C336,3)),'IMPL-COMP'!B:J,4,FALSE),IF(LEFT(C336,4)="SPDA",VLOOKUP(VALUE(RIGHT(C336,3)),'SPDA-COMP'!B:J,4,FALSE),IF(LEFT(C336,4)="SDAI",VLOOKUP(VALUE(RIGHT(C336,3)),'ADM-COMP'!B:J,4,FALSE),IF(LEFT(C336,5)="IMPER",VLOOKUP(VALUE(RIGHT(C336,3)),'IMPER-COMP'!B:J,4,FALSE),""))))))))))))))))</f>
        <v>FORNECIMENTO E INSTALAÇÃO DE CABO DE REDE PAR TRANÇADO 4 PARES CATEGORIA 6</v>
      </c>
      <c r="E336" s="338" t="str">
        <f>IF(B336="IOPES",VLOOKUP(C336,'LABOR-SERVIÇOS'!A:H,6,FALSE),IF(B336="SINAPI",VLOOKUP(C336,'SINAPI-SERVIÇOS'!A:D,3,FALSE),IF(LEFT(C336,3)="ARQ",VLOOKUP(VALUE(RIGHT(C336,3)),'ARQ-COMP'!B:J,5,FALSE),IF(LEFT(C336,3)="SCI",VLOOKUP(VALUE(RIGHT(C336,3)),'GAS-COMP'!#REF!,5,FALSE),IF(LEFT(C336,3)="SCE",VLOOKUP(VALUE(RIGHT(C336,3)),'SCE-COMP'!B:J,5,FALSE),IF(LEFT(C336,3)="EST",VLOOKUP(VALUE(RIGHT(C336,3)),'EST-COMP'!B:J,5,FALSE),IF(LEFT(C336,3)="HID",VLOOKUP(VALUE(RIGHT(C336,3)),'HID-COMP'!B:J,5,FALSE),IF(LEFT(C336,3)="INC",VLOOKUP(VALUE(RIGHT(C336,3)),'INC-COMP'!B:J,5,FALSE),IF(LEFT(C336,3)="ELE",VLOOKUP(VALUE(RIGHT(C336,3)),#REF!,5,FALSE),IF(LEFT(C336,3)="CAB",VLOOKUP(VALUE(RIGHT(C336,3)),#REF!,5,FALSE),IF(LEFT(C336,3)="SEG",VLOOKUP(VALUE(RIGHT(C336,3)),'SEG-COMP'!B:J,5,FALSE),IF(LEFT(C336,3)="CLI",VLOOKUP(VALUE(RIGHT(C336,3)),'CLI-COMP'!B:J,5,FALSE),IF(LEFT(C336,4)="IMPL",VLOOKUP(VALUE(RIGHT(C336,3)),'IMPL-COMP'!B:J,5,FALSE),IF(LEFT(C336,4)="SPDA",VLOOKUP(VALUE(RIGHT(C336,3)),'SPDA-COMP'!B:J,5,FALSE),IF(LEFT(C336,4)="SDAI",VLOOKUP(VALUE(RIGHT(C336,3)),'ADM-COMP'!B:J,5,FALSE),IF(LEFT(C336,5)="IMPER",VLOOKUP(VALUE(RIGHT(C336,3)),'IMPER-COMP'!B:J,5,FALSE),""))))))))))))))))</f>
        <v>M</v>
      </c>
      <c r="F336" s="599">
        <f>ROUND(VLOOKUP(A336,'MEM-LEVANT'!A287:I2840,9,FALSE),2)</f>
        <v>3000</v>
      </c>
      <c r="G336" s="339">
        <f>IF(B336="IOPES",VLOOKUP(C336,'LABOR-SERVIÇOS'!A:H,7,FALSE),IF(B336="SINAPI",VLOOKUP(C336,'SINAPI-SERVIÇOS'!A:H,8,FALSE),IF(LEFT(C336,3)="ARQ",VLOOKUP(VALUE(RIGHT(C336,3)),'ARQ-COMP'!B:J,9,FALSE),IF(LEFT(C336,3)="SCI",VLOOKUP(VALUE(RIGHT(C336,3)),'GAS-COMP'!#REF!,9,FALSE),IF(LEFT(C336,3)="SCE",VLOOKUP(VALUE(RIGHT(C336,3)),'SCE-COMP'!B:J,9,FALSE),IF(LEFT(C336,3)="EST",VLOOKUP(VALUE(RIGHT(C336,3)),'EST-COMP'!B:J,9,FALSE),IF(LEFT(C336,3)="HID",VLOOKUP(VALUE(RIGHT(C336,3)),'HID-COMP'!B:J,9,FALSE),IF(LEFT(C336,3)="INC",VLOOKUP(VALUE(RIGHT(C336,3)),'INC-COMP'!B:J,9,FALSE),IF(LEFT(C336,3)="ELE",VLOOKUP(VALUE(RIGHT(C336,3)),#REF!,9,FALSE),IF(LEFT(C336,3)="CAB",VLOOKUP(VALUE(RIGHT(C336,3)),#REF!,9,FALSE),IF(LEFT(C336,3)="SEG",VLOOKUP(VALUE(RIGHT(C336,3)),'SEG-COMP'!B:J,9,FALSE),IF(LEFT(C336,3)="CLI",VLOOKUP(VALUE(RIGHT(C336,3)),'CLI-COMP'!B:J,9,FALSE),IF(LEFT(C336,4)="IMPL",VLOOKUP(VALUE(RIGHT(C336,3)),'IMPL-COMP'!B:J,9,FALSE),IF(LEFT(C336,4)="SPDA",VLOOKUP(VALUE(RIGHT(C336,3)),'SPDA-COMP'!B:J,9,FALSE),IF(LEFT(C336,4)="SDAI",VLOOKUP(VALUE(RIGHT(C336,3)),'ADM-COMP'!B:J,9,FALSE),IF(LEFT(C336,5)="IMPER",VLOOKUP(VALUE(RIGHT(C336,3)),'IMPER-COMP'!B:J,9,FALSE),""))))))))))))))))</f>
        <v>7.5</v>
      </c>
      <c r="H336" s="339">
        <f t="shared" si="112"/>
        <v>22500</v>
      </c>
      <c r="I336" s="374">
        <f t="shared" si="108"/>
        <v>1.3155657627451005E-3</v>
      </c>
      <c r="J336" s="314"/>
    </row>
    <row r="337" spans="1:10" ht="26.4">
      <c r="A337" s="613" t="s">
        <v>35430</v>
      </c>
      <c r="B337" s="337" t="s">
        <v>2879</v>
      </c>
      <c r="C337" s="540">
        <f>160864</f>
        <v>160864</v>
      </c>
      <c r="D337" s="539" t="str">
        <f>IF(B337="IOPES",VLOOKUP(C337,'LABOR-SERVIÇOS'!A:H,5,FALSE),IF(B337="SINAPI",VLOOKUP(C337,'SINAPI-SERVIÇOS'!A:D,2,FALSE),IF(LEFT(C337,3)="ARQ",VLOOKUP(VALUE(RIGHT(C337,3)),'ARQ-COMP'!B:J,4,FALSE),IF(LEFT(C337,3)="SCI",VLOOKUP(VALUE(RIGHT(C337,3)),'GAS-COMP'!#REF!,4,FALSE),IF(LEFT(C337,3)="SCE",VLOOKUP(VALUE(RIGHT(C337,3)),'SCE-COMP'!B:J,4,FALSE),IF(LEFT(C337,3)="EST",VLOOKUP(VALUE(RIGHT(C337,3)),'EST-COMP'!B:J,4,FALSE),IF(LEFT(C337,3)="HID",VLOOKUP(VALUE(RIGHT(C337,3)),'HID-COMP'!B:J,4,FALSE),IF(LEFT(C337,3)="INC",VLOOKUP(VALUE(RIGHT(C337,3)),'INC-COMP'!B:J,4,FALSE),IF(LEFT(C337,3)="ELE",VLOOKUP(VALUE(RIGHT(C337,3)),#REF!,4,FALSE),IF(LEFT(C337,3)="CAB",VLOOKUP(VALUE(RIGHT(C337,3)),#REF!,4,FALSE),IF(LEFT(C337,3)="SEG",VLOOKUP(VALUE(RIGHT(C337,3)),'SEG-COMP'!B:J,4,FALSE),IF(LEFT(C337,3)="CLI",VLOOKUP(VALUE(RIGHT(C337,3)),'CLI-COMP'!B:J,4,FALSE),IF(LEFT(C337,4)="IMPL",VLOOKUP(VALUE(RIGHT(C337,3)),'IMPL-COMP'!B:J,4,FALSE),IF(LEFT(C337,4)="SPDA",VLOOKUP(VALUE(RIGHT(C337,3)),'SPDA-COMP'!B:J,4,FALSE),IF(LEFT(C337,4)="SDAI",VLOOKUP(VALUE(RIGHT(C337,3)),'ADM-COMP'!B:J,4,FALSE),IF(LEFT(C337,5)="IMPER",VLOOKUP(VALUE(RIGHT(C337,3)),'IMPER-COMP'!B:J,4,FALSE),""))))))))))))))))</f>
        <v>SWITCH 24 PORTAS RJ-45 10/100 + 2 10/100/1000, INCLUSIVE FIXAÇÃO EM RACK 19"</v>
      </c>
      <c r="E337" s="338" t="str">
        <f>IF(B337="IOPES",VLOOKUP(C337,'LABOR-SERVIÇOS'!A:H,6,FALSE),IF(B337="SINAPI",VLOOKUP(C337,'SINAPI-SERVIÇOS'!A:D,3,FALSE),IF(LEFT(C337,3)="ARQ",VLOOKUP(VALUE(RIGHT(C337,3)),'ARQ-COMP'!B:J,5,FALSE),IF(LEFT(C337,3)="SCI",VLOOKUP(VALUE(RIGHT(C337,3)),'GAS-COMP'!#REF!,5,FALSE),IF(LEFT(C337,3)="SCE",VLOOKUP(VALUE(RIGHT(C337,3)),'SCE-COMP'!B:J,5,FALSE),IF(LEFT(C337,3)="EST",VLOOKUP(VALUE(RIGHT(C337,3)),'EST-COMP'!B:J,5,FALSE),IF(LEFT(C337,3)="HID",VLOOKUP(VALUE(RIGHT(C337,3)),'HID-COMP'!B:J,5,FALSE),IF(LEFT(C337,3)="INC",VLOOKUP(VALUE(RIGHT(C337,3)),'INC-COMP'!B:J,5,FALSE),IF(LEFT(C337,3)="ELE",VLOOKUP(VALUE(RIGHT(C337,3)),#REF!,5,FALSE),IF(LEFT(C337,3)="CAB",VLOOKUP(VALUE(RIGHT(C337,3)),#REF!,5,FALSE),IF(LEFT(C337,3)="SEG",VLOOKUP(VALUE(RIGHT(C337,3)),'SEG-COMP'!B:J,5,FALSE),IF(LEFT(C337,3)="CLI",VLOOKUP(VALUE(RIGHT(C337,3)),'CLI-COMP'!B:J,5,FALSE),IF(LEFT(C337,4)="IMPL",VLOOKUP(VALUE(RIGHT(C337,3)),'IMPL-COMP'!B:J,5,FALSE),IF(LEFT(C337,4)="SPDA",VLOOKUP(VALUE(RIGHT(C337,3)),'SPDA-COMP'!B:J,5,FALSE),IF(LEFT(C337,4)="SDAI",VLOOKUP(VALUE(RIGHT(C337,3)),'ADM-COMP'!B:J,5,FALSE),IF(LEFT(C337,5)="IMPER",VLOOKUP(VALUE(RIGHT(C337,3)),'IMPER-COMP'!B:J,5,FALSE),""))))))))))))))))</f>
        <v>UND</v>
      </c>
      <c r="F337" s="599">
        <f>ROUND(VLOOKUP(A337,'MEM-LEVANT'!A288:I2841,9,FALSE),2)</f>
        <v>12</v>
      </c>
      <c r="G337" s="339">
        <f>IF(B337="IOPES",VLOOKUP(C337,'LABOR-SERVIÇOS'!A:H,7,FALSE),IF(B337="SINAPI",VLOOKUP(C337,'SINAPI-SERVIÇOS'!A:H,8,FALSE),IF(LEFT(C337,3)="ARQ",VLOOKUP(VALUE(RIGHT(C337,3)),'ARQ-COMP'!B:J,9,FALSE),IF(LEFT(C337,3)="SCI",VLOOKUP(VALUE(RIGHT(C337,3)),'GAS-COMP'!#REF!,9,FALSE),IF(LEFT(C337,3)="SCE",VLOOKUP(VALUE(RIGHT(C337,3)),'SCE-COMP'!B:J,9,FALSE),IF(LEFT(C337,3)="EST",VLOOKUP(VALUE(RIGHT(C337,3)),'EST-COMP'!B:J,9,FALSE),IF(LEFT(C337,3)="HID",VLOOKUP(VALUE(RIGHT(C337,3)),'HID-COMP'!B:J,9,FALSE),IF(LEFT(C337,3)="INC",VLOOKUP(VALUE(RIGHT(C337,3)),'INC-COMP'!B:J,9,FALSE),IF(LEFT(C337,3)="ELE",VLOOKUP(VALUE(RIGHT(C337,3)),#REF!,9,FALSE),IF(LEFT(C337,3)="CAB",VLOOKUP(VALUE(RIGHT(C337,3)),#REF!,9,FALSE),IF(LEFT(C337,3)="SEG",VLOOKUP(VALUE(RIGHT(C337,3)),'SEG-COMP'!B:J,9,FALSE),IF(LEFT(C337,3)="CLI",VLOOKUP(VALUE(RIGHT(C337,3)),'CLI-COMP'!B:J,9,FALSE),IF(LEFT(C337,4)="IMPL",VLOOKUP(VALUE(RIGHT(C337,3)),'IMPL-COMP'!B:J,9,FALSE),IF(LEFT(C337,4)="SPDA",VLOOKUP(VALUE(RIGHT(C337,3)),'SPDA-COMP'!B:J,9,FALSE),IF(LEFT(C337,4)="SDAI",VLOOKUP(VALUE(RIGHT(C337,3)),'ADM-COMP'!B:J,9,FALSE),IF(LEFT(C337,5)="IMPER",VLOOKUP(VALUE(RIGHT(C337,3)),'IMPER-COMP'!B:J,9,FALSE),""))))))))))))))))</f>
        <v>1436.73</v>
      </c>
      <c r="H337" s="339">
        <f t="shared" si="112"/>
        <v>17240.759999999998</v>
      </c>
      <c r="I337" s="374">
        <f t="shared" si="108"/>
        <v>1.0080601590980096E-3</v>
      </c>
      <c r="J337" s="314"/>
    </row>
    <row r="338" spans="1:10" ht="26.4">
      <c r="A338" s="613" t="s">
        <v>35431</v>
      </c>
      <c r="B338" s="337" t="s">
        <v>2879</v>
      </c>
      <c r="C338" s="540">
        <f>160865</f>
        <v>160865</v>
      </c>
      <c r="D338" s="539" t="str">
        <f>IF(B338="IOPES",VLOOKUP(C338,'LABOR-SERVIÇOS'!A:H,5,FALSE),IF(B338="SINAPI",VLOOKUP(C338,'SINAPI-SERVIÇOS'!A:D,2,FALSE),IF(LEFT(C338,3)="ARQ",VLOOKUP(VALUE(RIGHT(C338,3)),'ARQ-COMP'!B:J,4,FALSE),IF(LEFT(C338,3)="SCI",VLOOKUP(VALUE(RIGHT(C338,3)),'GAS-COMP'!#REF!,4,FALSE),IF(LEFT(C338,3)="SCE",VLOOKUP(VALUE(RIGHT(C338,3)),'SCE-COMP'!B:J,4,FALSE),IF(LEFT(C338,3)="EST",VLOOKUP(VALUE(RIGHT(C338,3)),'EST-COMP'!B:J,4,FALSE),IF(LEFT(C338,3)="HID",VLOOKUP(VALUE(RIGHT(C338,3)),'HID-COMP'!B:J,4,FALSE),IF(LEFT(C338,3)="INC",VLOOKUP(VALUE(RIGHT(C338,3)),'INC-COMP'!B:J,4,FALSE),IF(LEFT(C338,3)="ELE",VLOOKUP(VALUE(RIGHT(C338,3)),#REF!,4,FALSE),IF(LEFT(C338,3)="CAB",VLOOKUP(VALUE(RIGHT(C338,3)),#REF!,4,FALSE),IF(LEFT(C338,3)="SEG",VLOOKUP(VALUE(RIGHT(C338,3)),'SEG-COMP'!B:J,4,FALSE),IF(LEFT(C338,3)="CLI",VLOOKUP(VALUE(RIGHT(C338,3)),'CLI-COMP'!B:J,4,FALSE),IF(LEFT(C338,4)="IMPL",VLOOKUP(VALUE(RIGHT(C338,3)),'IMPL-COMP'!B:J,4,FALSE),IF(LEFT(C338,4)="SPDA",VLOOKUP(VALUE(RIGHT(C338,3)),'SPDA-COMP'!B:J,4,FALSE),IF(LEFT(C338,4)="SDAI",VLOOKUP(VALUE(RIGHT(C338,3)),'ADM-COMP'!B:J,4,FALSE),IF(LEFT(C338,5)="IMPER",VLOOKUP(VALUE(RIGHT(C338,3)),'IMPER-COMP'!B:J,4,FALSE),""))))))))))))))))</f>
        <v>SWITCH 48 PORTAS RJ-45 10/100 + 2 10/100/1000, INCLUSIVE FIXAÇÃO EM RACK 19"</v>
      </c>
      <c r="E338" s="338" t="str">
        <f>IF(B338="IOPES",VLOOKUP(C338,'LABOR-SERVIÇOS'!A:H,6,FALSE),IF(B338="SINAPI",VLOOKUP(C338,'SINAPI-SERVIÇOS'!A:D,3,FALSE),IF(LEFT(C338,3)="ARQ",VLOOKUP(VALUE(RIGHT(C338,3)),'ARQ-COMP'!B:J,5,FALSE),IF(LEFT(C338,3)="SCI",VLOOKUP(VALUE(RIGHT(C338,3)),'GAS-COMP'!#REF!,5,FALSE),IF(LEFT(C338,3)="SCE",VLOOKUP(VALUE(RIGHT(C338,3)),'SCE-COMP'!B:J,5,FALSE),IF(LEFT(C338,3)="EST",VLOOKUP(VALUE(RIGHT(C338,3)),'EST-COMP'!B:J,5,FALSE),IF(LEFT(C338,3)="HID",VLOOKUP(VALUE(RIGHT(C338,3)),'HID-COMP'!B:J,5,FALSE),IF(LEFT(C338,3)="INC",VLOOKUP(VALUE(RIGHT(C338,3)),'INC-COMP'!B:J,5,FALSE),IF(LEFT(C338,3)="ELE",VLOOKUP(VALUE(RIGHT(C338,3)),#REF!,5,FALSE),IF(LEFT(C338,3)="CAB",VLOOKUP(VALUE(RIGHT(C338,3)),#REF!,5,FALSE),IF(LEFT(C338,3)="SEG",VLOOKUP(VALUE(RIGHT(C338,3)),'SEG-COMP'!B:J,5,FALSE),IF(LEFT(C338,3)="CLI",VLOOKUP(VALUE(RIGHT(C338,3)),'CLI-COMP'!B:J,5,FALSE),IF(LEFT(C338,4)="IMPL",VLOOKUP(VALUE(RIGHT(C338,3)),'IMPL-COMP'!B:J,5,FALSE),IF(LEFT(C338,4)="SPDA",VLOOKUP(VALUE(RIGHT(C338,3)),'SPDA-COMP'!B:J,5,FALSE),IF(LEFT(C338,4)="SDAI",VLOOKUP(VALUE(RIGHT(C338,3)),'ADM-COMP'!B:J,5,FALSE),IF(LEFT(C338,5)="IMPER",VLOOKUP(VALUE(RIGHT(C338,3)),'IMPER-COMP'!B:J,5,FALSE),""))))))))))))))))</f>
        <v>UND</v>
      </c>
      <c r="F338" s="599">
        <f>ROUND(VLOOKUP(A338,'MEM-LEVANT'!A289:I2842,9,FALSE),2)</f>
        <v>6</v>
      </c>
      <c r="G338" s="339">
        <f>IF(B338="IOPES",VLOOKUP(C338,'LABOR-SERVIÇOS'!A:H,7,FALSE),IF(B338="SINAPI",VLOOKUP(C338,'SINAPI-SERVIÇOS'!A:H,8,FALSE),IF(LEFT(C338,3)="ARQ",VLOOKUP(VALUE(RIGHT(C338,3)),'ARQ-COMP'!B:J,9,FALSE),IF(LEFT(C338,3)="SCI",VLOOKUP(VALUE(RIGHT(C338,3)),'GAS-COMP'!#REF!,9,FALSE),IF(LEFT(C338,3)="SCE",VLOOKUP(VALUE(RIGHT(C338,3)),'SCE-COMP'!B:J,9,FALSE),IF(LEFT(C338,3)="EST",VLOOKUP(VALUE(RIGHT(C338,3)),'EST-COMP'!B:J,9,FALSE),IF(LEFT(C338,3)="HID",VLOOKUP(VALUE(RIGHT(C338,3)),'HID-COMP'!B:J,9,FALSE),IF(LEFT(C338,3)="INC",VLOOKUP(VALUE(RIGHT(C338,3)),'INC-COMP'!B:J,9,FALSE),IF(LEFT(C338,3)="ELE",VLOOKUP(VALUE(RIGHT(C338,3)),#REF!,9,FALSE),IF(LEFT(C338,3)="CAB",VLOOKUP(VALUE(RIGHT(C338,3)),#REF!,9,FALSE),IF(LEFT(C338,3)="SEG",VLOOKUP(VALUE(RIGHT(C338,3)),'SEG-COMP'!B:J,9,FALSE),IF(LEFT(C338,3)="CLI",VLOOKUP(VALUE(RIGHT(C338,3)),'CLI-COMP'!B:J,9,FALSE),IF(LEFT(C338,4)="IMPL",VLOOKUP(VALUE(RIGHT(C338,3)),'IMPL-COMP'!B:J,9,FALSE),IF(LEFT(C338,4)="SPDA",VLOOKUP(VALUE(RIGHT(C338,3)),'SPDA-COMP'!B:J,9,FALSE),IF(LEFT(C338,4)="SDAI",VLOOKUP(VALUE(RIGHT(C338,3)),'ADM-COMP'!B:J,9,FALSE),IF(LEFT(C338,5)="IMPER",VLOOKUP(VALUE(RIGHT(C338,3)),'IMPER-COMP'!B:J,9,FALSE),""))))))))))))))))</f>
        <v>3216.06</v>
      </c>
      <c r="H338" s="339">
        <f t="shared" si="112"/>
        <v>19296.36</v>
      </c>
      <c r="I338" s="374">
        <f t="shared" si="108"/>
        <v>1.1282502471824021E-3</v>
      </c>
      <c r="J338" s="314"/>
    </row>
    <row r="339" spans="1:10" ht="39.6">
      <c r="A339" s="613" t="s">
        <v>35432</v>
      </c>
      <c r="B339" s="337" t="s">
        <v>2879</v>
      </c>
      <c r="C339" s="540">
        <f>160867</f>
        <v>160867</v>
      </c>
      <c r="D339" s="539" t="str">
        <f>IF(B339="IOPES",VLOOKUP(C339,'LABOR-SERVIÇOS'!A:H,5,FALSE),IF(B339="SINAPI",VLOOKUP(C339,'SINAPI-SERVIÇOS'!A:D,2,FALSE),IF(LEFT(C339,3)="ARQ",VLOOKUP(VALUE(RIGHT(C339,3)),'ARQ-COMP'!B:J,4,FALSE),IF(LEFT(C339,3)="SCI",VLOOKUP(VALUE(RIGHT(C339,3)),'GAS-COMP'!#REF!,4,FALSE),IF(LEFT(C339,3)="SCE",VLOOKUP(VALUE(RIGHT(C339,3)),'SCE-COMP'!B:J,4,FALSE),IF(LEFT(C339,3)="EST",VLOOKUP(VALUE(RIGHT(C339,3)),'EST-COMP'!B:J,4,FALSE),IF(LEFT(C339,3)="HID",VLOOKUP(VALUE(RIGHT(C339,3)),'HID-COMP'!B:J,4,FALSE),IF(LEFT(C339,3)="INC",VLOOKUP(VALUE(RIGHT(C339,3)),'INC-COMP'!B:J,4,FALSE),IF(LEFT(C339,3)="ELE",VLOOKUP(VALUE(RIGHT(C339,3)),#REF!,4,FALSE),IF(LEFT(C339,3)="CAB",VLOOKUP(VALUE(RIGHT(C339,3)),#REF!,4,FALSE),IF(LEFT(C339,3)="SEG",VLOOKUP(VALUE(RIGHT(C339,3)),'SEG-COMP'!B:J,4,FALSE),IF(LEFT(C339,3)="CLI",VLOOKUP(VALUE(RIGHT(C339,3)),'CLI-COMP'!B:J,4,FALSE),IF(LEFT(C339,4)="IMPL",VLOOKUP(VALUE(RIGHT(C339,3)),'IMPL-COMP'!B:J,4,FALSE),IF(LEFT(C339,4)="SPDA",VLOOKUP(VALUE(RIGHT(C339,3)),'SPDA-COMP'!B:J,4,FALSE),IF(LEFT(C339,4)="SDAI",VLOOKUP(VALUE(RIGHT(C339,3)),'ADM-COMP'!B:J,4,FALSE),IF(LEFT(C339,5)="IMPER",VLOOKUP(VALUE(RIGHT(C339,3)),'IMPER-COMP'!B:J,4,FALSE),""))))))))))))))))</f>
        <v>NO BREAK 2200VA (1980W) SENOIDAL, TENSÃO DE ENTRADA: 220V E TENSÃO DE SAIDA: 220V, INTERFACE PORT DB-9 RS-232, SMARTSLOT, USB, INCLUSIVE FIXAÇÃO EM RACK 19"</v>
      </c>
      <c r="E339" s="338" t="str">
        <f>IF(B339="IOPES",VLOOKUP(C339,'LABOR-SERVIÇOS'!A:H,6,FALSE),IF(B339="SINAPI",VLOOKUP(C339,'SINAPI-SERVIÇOS'!A:D,3,FALSE),IF(LEFT(C339,3)="ARQ",VLOOKUP(VALUE(RIGHT(C339,3)),'ARQ-COMP'!B:J,5,FALSE),IF(LEFT(C339,3)="SCI",VLOOKUP(VALUE(RIGHT(C339,3)),'GAS-COMP'!#REF!,5,FALSE),IF(LEFT(C339,3)="SCE",VLOOKUP(VALUE(RIGHT(C339,3)),'SCE-COMP'!B:J,5,FALSE),IF(LEFT(C339,3)="EST",VLOOKUP(VALUE(RIGHT(C339,3)),'EST-COMP'!B:J,5,FALSE),IF(LEFT(C339,3)="HID",VLOOKUP(VALUE(RIGHT(C339,3)),'HID-COMP'!B:J,5,FALSE),IF(LEFT(C339,3)="INC",VLOOKUP(VALUE(RIGHT(C339,3)),'INC-COMP'!B:J,5,FALSE),IF(LEFT(C339,3)="ELE",VLOOKUP(VALUE(RIGHT(C339,3)),#REF!,5,FALSE),IF(LEFT(C339,3)="CAB",VLOOKUP(VALUE(RIGHT(C339,3)),#REF!,5,FALSE),IF(LEFT(C339,3)="SEG",VLOOKUP(VALUE(RIGHT(C339,3)),'SEG-COMP'!B:J,5,FALSE),IF(LEFT(C339,3)="CLI",VLOOKUP(VALUE(RIGHT(C339,3)),'CLI-COMP'!B:J,5,FALSE),IF(LEFT(C339,4)="IMPL",VLOOKUP(VALUE(RIGHT(C339,3)),'IMPL-COMP'!B:J,5,FALSE),IF(LEFT(C339,4)="SPDA",VLOOKUP(VALUE(RIGHT(C339,3)),'SPDA-COMP'!B:J,5,FALSE),IF(LEFT(C339,4)="SDAI",VLOOKUP(VALUE(RIGHT(C339,3)),'ADM-COMP'!B:J,5,FALSE),IF(LEFT(C339,5)="IMPER",VLOOKUP(VALUE(RIGHT(C339,3)),'IMPER-COMP'!B:J,5,FALSE),""))))))))))))))))</f>
        <v>UND</v>
      </c>
      <c r="F339" s="599">
        <f>ROUND(VLOOKUP(A339,'MEM-LEVANT'!A290:I2843,9,FALSE),2)</f>
        <v>5</v>
      </c>
      <c r="G339" s="339">
        <f>IF(B339="IOPES",VLOOKUP(C339,'LABOR-SERVIÇOS'!A:H,7,FALSE),IF(B339="SINAPI",VLOOKUP(C339,'SINAPI-SERVIÇOS'!A:H,8,FALSE),IF(LEFT(C339,3)="ARQ",VLOOKUP(VALUE(RIGHT(C339,3)),'ARQ-COMP'!B:J,9,FALSE),IF(LEFT(C339,3)="SCI",VLOOKUP(VALUE(RIGHT(C339,3)),'GAS-COMP'!#REF!,9,FALSE),IF(LEFT(C339,3)="SCE",VLOOKUP(VALUE(RIGHT(C339,3)),'SCE-COMP'!B:J,9,FALSE),IF(LEFT(C339,3)="EST",VLOOKUP(VALUE(RIGHT(C339,3)),'EST-COMP'!B:J,9,FALSE),IF(LEFT(C339,3)="HID",VLOOKUP(VALUE(RIGHT(C339,3)),'HID-COMP'!B:J,9,FALSE),IF(LEFT(C339,3)="INC",VLOOKUP(VALUE(RIGHT(C339,3)),'INC-COMP'!B:J,9,FALSE),IF(LEFT(C339,3)="ELE",VLOOKUP(VALUE(RIGHT(C339,3)),#REF!,9,FALSE),IF(LEFT(C339,3)="CAB",VLOOKUP(VALUE(RIGHT(C339,3)),#REF!,9,FALSE),IF(LEFT(C339,3)="SEG",VLOOKUP(VALUE(RIGHT(C339,3)),'SEG-COMP'!B:J,9,FALSE),IF(LEFT(C339,3)="CLI",VLOOKUP(VALUE(RIGHT(C339,3)),'CLI-COMP'!B:J,9,FALSE),IF(LEFT(C339,4)="IMPL",VLOOKUP(VALUE(RIGHT(C339,3)),'IMPL-COMP'!B:J,9,FALSE),IF(LEFT(C339,4)="SPDA",VLOOKUP(VALUE(RIGHT(C339,3)),'SPDA-COMP'!B:J,9,FALSE),IF(LEFT(C339,4)="SDAI",VLOOKUP(VALUE(RIGHT(C339,3)),'ADM-COMP'!B:J,9,FALSE),IF(LEFT(C339,5)="IMPER",VLOOKUP(VALUE(RIGHT(C339,3)),'IMPER-COMP'!B:J,9,FALSE),""))))))))))))))))</f>
        <v>7396.23</v>
      </c>
      <c r="H339" s="339">
        <f t="shared" si="112"/>
        <v>36981.15</v>
      </c>
      <c r="I339" s="374">
        <f t="shared" si="108"/>
        <v>2.1622726580862654E-3</v>
      </c>
      <c r="J339" s="314"/>
    </row>
    <row r="340" spans="1:10" ht="26.4">
      <c r="A340" s="613" t="s">
        <v>35433</v>
      </c>
      <c r="B340" s="337" t="s">
        <v>2879</v>
      </c>
      <c r="C340" s="540">
        <f>160870</f>
        <v>160870</v>
      </c>
      <c r="D340" s="539" t="str">
        <f>IF(B340="IOPES",VLOOKUP(C340,'LABOR-SERVIÇOS'!A:H,5,FALSE),IF(B340="SINAPI",VLOOKUP(C340,'SINAPI-SERVIÇOS'!A:D,2,FALSE),IF(LEFT(C340,3)="ARQ",VLOOKUP(VALUE(RIGHT(C340,3)),'ARQ-COMP'!B:J,4,FALSE),IF(LEFT(C340,3)="SCI",VLOOKUP(VALUE(RIGHT(C340,3)),'GAS-COMP'!#REF!,4,FALSE),IF(LEFT(C340,3)="SCE",VLOOKUP(VALUE(RIGHT(C340,3)),'SCE-COMP'!B:J,4,FALSE),IF(LEFT(C340,3)="EST",VLOOKUP(VALUE(RIGHT(C340,3)),'EST-COMP'!B:J,4,FALSE),IF(LEFT(C340,3)="HID",VLOOKUP(VALUE(RIGHT(C340,3)),'HID-COMP'!B:J,4,FALSE),IF(LEFT(C340,3)="INC",VLOOKUP(VALUE(RIGHT(C340,3)),'INC-COMP'!B:J,4,FALSE),IF(LEFT(C340,3)="ELE",VLOOKUP(VALUE(RIGHT(C340,3)),#REF!,4,FALSE),IF(LEFT(C340,3)="CAB",VLOOKUP(VALUE(RIGHT(C340,3)),#REF!,4,FALSE),IF(LEFT(C340,3)="SEG",VLOOKUP(VALUE(RIGHT(C340,3)),'SEG-COMP'!B:J,4,FALSE),IF(LEFT(C340,3)="CLI",VLOOKUP(VALUE(RIGHT(C340,3)),'CLI-COMP'!B:J,4,FALSE),IF(LEFT(C340,4)="IMPL",VLOOKUP(VALUE(RIGHT(C340,3)),'IMPL-COMP'!B:J,4,FALSE),IF(LEFT(C340,4)="SPDA",VLOOKUP(VALUE(RIGHT(C340,3)),'SPDA-COMP'!B:J,4,FALSE),IF(LEFT(C340,4)="SDAI",VLOOKUP(VALUE(RIGHT(C340,3)),'ADM-COMP'!B:J,4,FALSE),IF(LEFT(C340,5)="IMPER",VLOOKUP(VALUE(RIGHT(C340,3)),'IMPER-COMP'!B:J,4,FALSE),""))))))))))))))))</f>
        <v>CERTIFICAÇÃO AVULSA DOS PONTOS COM EMISSÃO DE RELATÓRIO DO EQUIPAMENTO DE TESTE MAIS DE 101 PONTOS</v>
      </c>
      <c r="E340" s="338" t="str">
        <f>IF(B340="IOPES",VLOOKUP(C340,'LABOR-SERVIÇOS'!A:H,6,FALSE),IF(B340="SINAPI",VLOOKUP(C340,'SINAPI-SERVIÇOS'!A:D,3,FALSE),IF(LEFT(C340,3)="ARQ",VLOOKUP(VALUE(RIGHT(C340,3)),'ARQ-COMP'!B:J,5,FALSE),IF(LEFT(C340,3)="SCI",VLOOKUP(VALUE(RIGHT(C340,3)),'GAS-COMP'!#REF!,5,FALSE),IF(LEFT(C340,3)="SCE",VLOOKUP(VALUE(RIGHT(C340,3)),'SCE-COMP'!B:J,5,FALSE),IF(LEFT(C340,3)="EST",VLOOKUP(VALUE(RIGHT(C340,3)),'EST-COMP'!B:J,5,FALSE),IF(LEFT(C340,3)="HID",VLOOKUP(VALUE(RIGHT(C340,3)),'HID-COMP'!B:J,5,FALSE),IF(LEFT(C340,3)="INC",VLOOKUP(VALUE(RIGHT(C340,3)),'INC-COMP'!B:J,5,FALSE),IF(LEFT(C340,3)="ELE",VLOOKUP(VALUE(RIGHT(C340,3)),#REF!,5,FALSE),IF(LEFT(C340,3)="CAB",VLOOKUP(VALUE(RIGHT(C340,3)),#REF!,5,FALSE),IF(LEFT(C340,3)="SEG",VLOOKUP(VALUE(RIGHT(C340,3)),'SEG-COMP'!B:J,5,FALSE),IF(LEFT(C340,3)="CLI",VLOOKUP(VALUE(RIGHT(C340,3)),'CLI-COMP'!B:J,5,FALSE),IF(LEFT(C340,4)="IMPL",VLOOKUP(VALUE(RIGHT(C340,3)),'IMPL-COMP'!B:J,5,FALSE),IF(LEFT(C340,4)="SPDA",VLOOKUP(VALUE(RIGHT(C340,3)),'SPDA-COMP'!B:J,5,FALSE),IF(LEFT(C340,4)="SDAI",VLOOKUP(VALUE(RIGHT(C340,3)),'ADM-COMP'!B:J,5,FALSE),IF(LEFT(C340,5)="IMPER",VLOOKUP(VALUE(RIGHT(C340,3)),'IMPER-COMP'!B:J,5,FALSE),""))))))))))))))))</f>
        <v>UND</v>
      </c>
      <c r="F340" s="599">
        <f>ROUND(VLOOKUP(A340,'MEM-LEVANT'!A291:I2844,9,FALSE),2)</f>
        <v>150</v>
      </c>
      <c r="G340" s="339">
        <f>IF(B340="IOPES",VLOOKUP(C340,'LABOR-SERVIÇOS'!A:H,7,FALSE),IF(B340="SINAPI",VLOOKUP(C340,'SINAPI-SERVIÇOS'!A:H,8,FALSE),IF(LEFT(C340,3)="ARQ",VLOOKUP(VALUE(RIGHT(C340,3)),'ARQ-COMP'!B:J,9,FALSE),IF(LEFT(C340,3)="SCI",VLOOKUP(VALUE(RIGHT(C340,3)),'GAS-COMP'!#REF!,9,FALSE),IF(LEFT(C340,3)="SCE",VLOOKUP(VALUE(RIGHT(C340,3)),'SCE-COMP'!B:J,9,FALSE),IF(LEFT(C340,3)="EST",VLOOKUP(VALUE(RIGHT(C340,3)),'EST-COMP'!B:J,9,FALSE),IF(LEFT(C340,3)="HID",VLOOKUP(VALUE(RIGHT(C340,3)),'HID-COMP'!B:J,9,FALSE),IF(LEFT(C340,3)="INC",VLOOKUP(VALUE(RIGHT(C340,3)),'INC-COMP'!B:J,9,FALSE),IF(LEFT(C340,3)="ELE",VLOOKUP(VALUE(RIGHT(C340,3)),#REF!,9,FALSE),IF(LEFT(C340,3)="CAB",VLOOKUP(VALUE(RIGHT(C340,3)),#REF!,9,FALSE),IF(LEFT(C340,3)="SEG",VLOOKUP(VALUE(RIGHT(C340,3)),'SEG-COMP'!B:J,9,FALSE),IF(LEFT(C340,3)="CLI",VLOOKUP(VALUE(RIGHT(C340,3)),'CLI-COMP'!B:J,9,FALSE),IF(LEFT(C340,4)="IMPL",VLOOKUP(VALUE(RIGHT(C340,3)),'IMPL-COMP'!B:J,9,FALSE),IF(LEFT(C340,4)="SPDA",VLOOKUP(VALUE(RIGHT(C340,3)),'SPDA-COMP'!B:J,9,FALSE),IF(LEFT(C340,4)="SDAI",VLOOKUP(VALUE(RIGHT(C340,3)),'ADM-COMP'!B:J,9,FALSE),IF(LEFT(C340,5)="IMPER",VLOOKUP(VALUE(RIGHT(C340,3)),'IMPER-COMP'!B:J,9,FALSE),""))))))))))))))))</f>
        <v>41.61</v>
      </c>
      <c r="H340" s="339">
        <f t="shared" si="112"/>
        <v>6241.5</v>
      </c>
      <c r="I340" s="374">
        <f t="shared" si="108"/>
        <v>3.6493794258549085E-4</v>
      </c>
      <c r="J340" s="314"/>
    </row>
    <row r="341" spans="1:10">
      <c r="A341" s="613" t="s">
        <v>35434</v>
      </c>
      <c r="B341" s="337" t="s">
        <v>2879</v>
      </c>
      <c r="C341" s="540">
        <f>160872</f>
        <v>160872</v>
      </c>
      <c r="D341" s="539" t="str">
        <f>IF(B341="IOPES",VLOOKUP(C341,'LABOR-SERVIÇOS'!A:H,5,FALSE),IF(B341="SINAPI",VLOOKUP(C341,'SINAPI-SERVIÇOS'!A:D,2,FALSE),IF(LEFT(C341,3)="ARQ",VLOOKUP(VALUE(RIGHT(C341,3)),'ARQ-COMP'!B:J,4,FALSE),IF(LEFT(C341,3)="SCI",VLOOKUP(VALUE(RIGHT(C341,3)),'GAS-COMP'!#REF!,4,FALSE),IF(LEFT(C341,3)="SCE",VLOOKUP(VALUE(RIGHT(C341,3)),'SCE-COMP'!B:J,4,FALSE),IF(LEFT(C341,3)="EST",VLOOKUP(VALUE(RIGHT(C341,3)),'EST-COMP'!B:J,4,FALSE),IF(LEFT(C341,3)="HID",VLOOKUP(VALUE(RIGHT(C341,3)),'HID-COMP'!B:J,4,FALSE),IF(LEFT(C341,3)="INC",VLOOKUP(VALUE(RIGHT(C341,3)),'INC-COMP'!B:J,4,FALSE),IF(LEFT(C341,3)="ELE",VLOOKUP(VALUE(RIGHT(C341,3)),#REF!,4,FALSE),IF(LEFT(C341,3)="CAB",VLOOKUP(VALUE(RIGHT(C341,3)),#REF!,4,FALSE),IF(LEFT(C341,3)="SEG",VLOOKUP(VALUE(RIGHT(C341,3)),'SEG-COMP'!B:J,4,FALSE),IF(LEFT(C341,3)="CLI",VLOOKUP(VALUE(RIGHT(C341,3)),'CLI-COMP'!B:J,4,FALSE),IF(LEFT(C341,4)="IMPL",VLOOKUP(VALUE(RIGHT(C341,3)),'IMPL-COMP'!B:J,4,FALSE),IF(LEFT(C341,4)="SPDA",VLOOKUP(VALUE(RIGHT(C341,3)),'SPDA-COMP'!B:J,4,FALSE),IF(LEFT(C341,4)="SDAI",VLOOKUP(VALUE(RIGHT(C341,3)),'ADM-COMP'!B:J,4,FALSE),IF(LEFT(C341,5)="IMPER",VLOOKUP(VALUE(RIGHT(C341,3)),'IMPER-COMP'!B:J,4,FALSE),""))))))))))))))))</f>
        <v>ESPELHO 4" X 2" COM CONECTOR RJ 45 FÊMEA CAT. 6</v>
      </c>
      <c r="E341" s="338" t="str">
        <f>IF(B341="IOPES",VLOOKUP(C341,'LABOR-SERVIÇOS'!A:H,6,FALSE),IF(B341="SINAPI",VLOOKUP(C341,'SINAPI-SERVIÇOS'!A:D,3,FALSE),IF(LEFT(C341,3)="ARQ",VLOOKUP(VALUE(RIGHT(C341,3)),'ARQ-COMP'!B:J,5,FALSE),IF(LEFT(C341,3)="SCI",VLOOKUP(VALUE(RIGHT(C341,3)),'GAS-COMP'!#REF!,5,FALSE),IF(LEFT(C341,3)="SCE",VLOOKUP(VALUE(RIGHT(C341,3)),'SCE-COMP'!B:J,5,FALSE),IF(LEFT(C341,3)="EST",VLOOKUP(VALUE(RIGHT(C341,3)),'EST-COMP'!B:J,5,FALSE),IF(LEFT(C341,3)="HID",VLOOKUP(VALUE(RIGHT(C341,3)),'HID-COMP'!B:J,5,FALSE),IF(LEFT(C341,3)="INC",VLOOKUP(VALUE(RIGHT(C341,3)),'INC-COMP'!B:J,5,FALSE),IF(LEFT(C341,3)="ELE",VLOOKUP(VALUE(RIGHT(C341,3)),#REF!,5,FALSE),IF(LEFT(C341,3)="CAB",VLOOKUP(VALUE(RIGHT(C341,3)),#REF!,5,FALSE),IF(LEFT(C341,3)="SEG",VLOOKUP(VALUE(RIGHT(C341,3)),'SEG-COMP'!B:J,5,FALSE),IF(LEFT(C341,3)="CLI",VLOOKUP(VALUE(RIGHT(C341,3)),'CLI-COMP'!B:J,5,FALSE),IF(LEFT(C341,4)="IMPL",VLOOKUP(VALUE(RIGHT(C341,3)),'IMPL-COMP'!B:J,5,FALSE),IF(LEFT(C341,4)="SPDA",VLOOKUP(VALUE(RIGHT(C341,3)),'SPDA-COMP'!B:J,5,FALSE),IF(LEFT(C341,4)="SDAI",VLOOKUP(VALUE(RIGHT(C341,3)),'ADM-COMP'!B:J,5,FALSE),IF(LEFT(C341,5)="IMPER",VLOOKUP(VALUE(RIGHT(C341,3)),'IMPER-COMP'!B:J,5,FALSE),""))))))))))))))))</f>
        <v>UND</v>
      </c>
      <c r="F341" s="599">
        <f>ROUND(VLOOKUP(A341,'MEM-LEVANT'!A292:I2845,9,FALSE),2)</f>
        <v>100</v>
      </c>
      <c r="G341" s="339">
        <f>IF(B341="IOPES",VLOOKUP(C341,'LABOR-SERVIÇOS'!A:H,7,FALSE),IF(B341="SINAPI",VLOOKUP(C341,'SINAPI-SERVIÇOS'!A:H,8,FALSE),IF(LEFT(C341,3)="ARQ",VLOOKUP(VALUE(RIGHT(C341,3)),'ARQ-COMP'!B:J,9,FALSE),IF(LEFT(C341,3)="SCI",VLOOKUP(VALUE(RIGHT(C341,3)),'GAS-COMP'!#REF!,9,FALSE),IF(LEFT(C341,3)="SCE",VLOOKUP(VALUE(RIGHT(C341,3)),'SCE-COMP'!B:J,9,FALSE),IF(LEFT(C341,3)="EST",VLOOKUP(VALUE(RIGHT(C341,3)),'EST-COMP'!B:J,9,FALSE),IF(LEFT(C341,3)="HID",VLOOKUP(VALUE(RIGHT(C341,3)),'HID-COMP'!B:J,9,FALSE),IF(LEFT(C341,3)="INC",VLOOKUP(VALUE(RIGHT(C341,3)),'INC-COMP'!B:J,9,FALSE),IF(LEFT(C341,3)="ELE",VLOOKUP(VALUE(RIGHT(C341,3)),#REF!,9,FALSE),IF(LEFT(C341,3)="CAB",VLOOKUP(VALUE(RIGHT(C341,3)),#REF!,9,FALSE),IF(LEFT(C341,3)="SEG",VLOOKUP(VALUE(RIGHT(C341,3)),'SEG-COMP'!B:J,9,FALSE),IF(LEFT(C341,3)="CLI",VLOOKUP(VALUE(RIGHT(C341,3)),'CLI-COMP'!B:J,9,FALSE),IF(LEFT(C341,4)="IMPL",VLOOKUP(VALUE(RIGHT(C341,3)),'IMPL-COMP'!B:J,9,FALSE),IF(LEFT(C341,4)="SPDA",VLOOKUP(VALUE(RIGHT(C341,3)),'SPDA-COMP'!B:J,9,FALSE),IF(LEFT(C341,4)="SDAI",VLOOKUP(VALUE(RIGHT(C341,3)),'ADM-COMP'!B:J,9,FALSE),IF(LEFT(C341,5)="IMPER",VLOOKUP(VALUE(RIGHT(C341,3)),'IMPER-COMP'!B:J,9,FALSE),""))))))))))))))))</f>
        <v>41.69</v>
      </c>
      <c r="H341" s="339">
        <f t="shared" ref="H341" si="113">ROUND(F341*G341,2)</f>
        <v>4169</v>
      </c>
      <c r="I341" s="374">
        <f t="shared" si="108"/>
        <v>2.4375971843930327E-4</v>
      </c>
      <c r="J341" s="314"/>
    </row>
    <row r="342" spans="1:10">
      <c r="A342" s="613" t="s">
        <v>35435</v>
      </c>
      <c r="B342" s="337" t="s">
        <v>2879</v>
      </c>
      <c r="C342" s="540">
        <f>160873</f>
        <v>160873</v>
      </c>
      <c r="D342" s="539" t="str">
        <f>IF(B342="IOPES",VLOOKUP(C342,'LABOR-SERVIÇOS'!A:H,5,FALSE),IF(B342="SINAPI",VLOOKUP(C342,'SINAPI-SERVIÇOS'!A:D,2,FALSE),IF(LEFT(C342,3)="ARQ",VLOOKUP(VALUE(RIGHT(C342,3)),'ARQ-COMP'!B:J,4,FALSE),IF(LEFT(C342,3)="SCI",VLOOKUP(VALUE(RIGHT(C342,3)),'GAS-COMP'!#REF!,4,FALSE),IF(LEFT(C342,3)="SCE",VLOOKUP(VALUE(RIGHT(C342,3)),'SCE-COMP'!B:J,4,FALSE),IF(LEFT(C342,3)="EST",VLOOKUP(VALUE(RIGHT(C342,3)),'EST-COMP'!B:J,4,FALSE),IF(LEFT(C342,3)="HID",VLOOKUP(VALUE(RIGHT(C342,3)),'HID-COMP'!B:J,4,FALSE),IF(LEFT(C342,3)="INC",VLOOKUP(VALUE(RIGHT(C342,3)),'INC-COMP'!B:J,4,FALSE),IF(LEFT(C342,3)="ELE",VLOOKUP(VALUE(RIGHT(C342,3)),#REF!,4,FALSE),IF(LEFT(C342,3)="CAB",VLOOKUP(VALUE(RIGHT(C342,3)),#REF!,4,FALSE),IF(LEFT(C342,3)="SEG",VLOOKUP(VALUE(RIGHT(C342,3)),'SEG-COMP'!B:J,4,FALSE),IF(LEFT(C342,3)="CLI",VLOOKUP(VALUE(RIGHT(C342,3)),'CLI-COMP'!B:J,4,FALSE),IF(LEFT(C342,4)="IMPL",VLOOKUP(VALUE(RIGHT(C342,3)),'IMPL-COMP'!B:J,4,FALSE),IF(LEFT(C342,4)="SPDA",VLOOKUP(VALUE(RIGHT(C342,3)),'SPDA-COMP'!B:J,4,FALSE),IF(LEFT(C342,4)="SDAI",VLOOKUP(VALUE(RIGHT(C342,3)),'ADM-COMP'!B:J,4,FALSE),IF(LEFT(C342,5)="IMPER",VLOOKUP(VALUE(RIGHT(C342,3)),'IMPER-COMP'!B:J,4,FALSE),""))))))))))))))))</f>
        <v>ESPELHO 4" X 4" COM 2 CONECTORES RJ 45 FÊMEA CAT. 6</v>
      </c>
      <c r="E342" s="338" t="str">
        <f>IF(B342="IOPES",VLOOKUP(C342,'LABOR-SERVIÇOS'!A:H,6,FALSE),IF(B342="SINAPI",VLOOKUP(C342,'SINAPI-SERVIÇOS'!A:D,3,FALSE),IF(LEFT(C342,3)="ARQ",VLOOKUP(VALUE(RIGHT(C342,3)),'ARQ-COMP'!B:J,5,FALSE),IF(LEFT(C342,3)="SCI",VLOOKUP(VALUE(RIGHT(C342,3)),'GAS-COMP'!#REF!,5,FALSE),IF(LEFT(C342,3)="SCE",VLOOKUP(VALUE(RIGHT(C342,3)),'SCE-COMP'!B:J,5,FALSE),IF(LEFT(C342,3)="EST",VLOOKUP(VALUE(RIGHT(C342,3)),'EST-COMP'!B:J,5,FALSE),IF(LEFT(C342,3)="HID",VLOOKUP(VALUE(RIGHT(C342,3)),'HID-COMP'!B:J,5,FALSE),IF(LEFT(C342,3)="INC",VLOOKUP(VALUE(RIGHT(C342,3)),'INC-COMP'!B:J,5,FALSE),IF(LEFT(C342,3)="ELE",VLOOKUP(VALUE(RIGHT(C342,3)),#REF!,5,FALSE),IF(LEFT(C342,3)="CAB",VLOOKUP(VALUE(RIGHT(C342,3)),#REF!,5,FALSE),IF(LEFT(C342,3)="SEG",VLOOKUP(VALUE(RIGHT(C342,3)),'SEG-COMP'!B:J,5,FALSE),IF(LEFT(C342,3)="CLI",VLOOKUP(VALUE(RIGHT(C342,3)),'CLI-COMP'!B:J,5,FALSE),IF(LEFT(C342,4)="IMPL",VLOOKUP(VALUE(RIGHT(C342,3)),'IMPL-COMP'!B:J,5,FALSE),IF(LEFT(C342,4)="SPDA",VLOOKUP(VALUE(RIGHT(C342,3)),'SPDA-COMP'!B:J,5,FALSE),IF(LEFT(C342,4)="SDAI",VLOOKUP(VALUE(RIGHT(C342,3)),'ADM-COMP'!B:J,5,FALSE),IF(LEFT(C342,5)="IMPER",VLOOKUP(VALUE(RIGHT(C342,3)),'IMPER-COMP'!B:J,5,FALSE),""))))))))))))))))</f>
        <v>UND</v>
      </c>
      <c r="F342" s="599">
        <f>ROUND(VLOOKUP(A342,'MEM-LEVANT'!A292:I2845,9,FALSE),2)</f>
        <v>50</v>
      </c>
      <c r="G342" s="339">
        <f>IF(B342="IOPES",VLOOKUP(C342,'LABOR-SERVIÇOS'!A:H,7,FALSE),IF(B342="SINAPI",VLOOKUP(C342,'SINAPI-SERVIÇOS'!A:H,8,FALSE),IF(LEFT(C342,3)="ARQ",VLOOKUP(VALUE(RIGHT(C342,3)),'ARQ-COMP'!B:J,9,FALSE),IF(LEFT(C342,3)="SCI",VLOOKUP(VALUE(RIGHT(C342,3)),'GAS-COMP'!#REF!,9,FALSE),IF(LEFT(C342,3)="SCE",VLOOKUP(VALUE(RIGHT(C342,3)),'SCE-COMP'!B:J,9,FALSE),IF(LEFT(C342,3)="EST",VLOOKUP(VALUE(RIGHT(C342,3)),'EST-COMP'!B:J,9,FALSE),IF(LEFT(C342,3)="HID",VLOOKUP(VALUE(RIGHT(C342,3)),'HID-COMP'!B:J,9,FALSE),IF(LEFT(C342,3)="INC",VLOOKUP(VALUE(RIGHT(C342,3)),'INC-COMP'!B:J,9,FALSE),IF(LEFT(C342,3)="ELE",VLOOKUP(VALUE(RIGHT(C342,3)),#REF!,9,FALSE),IF(LEFT(C342,3)="CAB",VLOOKUP(VALUE(RIGHT(C342,3)),#REF!,9,FALSE),IF(LEFT(C342,3)="SEG",VLOOKUP(VALUE(RIGHT(C342,3)),'SEG-COMP'!B:J,9,FALSE),IF(LEFT(C342,3)="CLI",VLOOKUP(VALUE(RIGHT(C342,3)),'CLI-COMP'!B:J,9,FALSE),IF(LEFT(C342,4)="IMPL",VLOOKUP(VALUE(RIGHT(C342,3)),'IMPL-COMP'!B:J,9,FALSE),IF(LEFT(C342,4)="SPDA",VLOOKUP(VALUE(RIGHT(C342,3)),'SPDA-COMP'!B:J,9,FALSE),IF(LEFT(C342,4)="SDAI",VLOOKUP(VALUE(RIGHT(C342,3)),'ADM-COMP'!B:J,9,FALSE),IF(LEFT(C342,5)="IMPER",VLOOKUP(VALUE(RIGHT(C342,3)),'IMPER-COMP'!B:J,9,FALSE),""))))))))))))))))</f>
        <v>55.61</v>
      </c>
      <c r="H342" s="339">
        <f t="shared" si="112"/>
        <v>2780.5</v>
      </c>
      <c r="I342" s="374">
        <f t="shared" si="108"/>
        <v>1.6257469348056675E-4</v>
      </c>
      <c r="J342" s="314"/>
    </row>
    <row r="343" spans="1:10">
      <c r="A343" s="553" t="s">
        <v>27429</v>
      </c>
      <c r="B343" s="554"/>
      <c r="C343" s="555"/>
      <c r="D343" s="556" t="s">
        <v>23631</v>
      </c>
      <c r="E343" s="557"/>
      <c r="F343" s="598"/>
      <c r="G343" s="558"/>
      <c r="H343" s="559"/>
      <c r="I343" s="560"/>
      <c r="J343" s="314"/>
    </row>
    <row r="344" spans="1:10">
      <c r="A344" s="613" t="s">
        <v>35436</v>
      </c>
      <c r="B344" s="337" t="s">
        <v>2879</v>
      </c>
      <c r="C344" s="540">
        <f>161004</f>
        <v>161004</v>
      </c>
      <c r="D344" s="539" t="str">
        <f>IF(B344="IOPES",VLOOKUP(C344,'LABOR-SERVIÇOS'!A:H,5,FALSE),IF(B344="SINAPI",VLOOKUP(C344,'SINAPI-SERVIÇOS'!A:D,2,FALSE),IF(LEFT(C344,3)="ARQ",VLOOKUP(VALUE(RIGHT(C344,3)),'ARQ-COMP'!B:J,4,FALSE),IF(LEFT(C344,3)="SCI",VLOOKUP(VALUE(RIGHT(C344,3)),'GAS-COMP'!#REF!,4,FALSE),IF(LEFT(C344,3)="SCE",VLOOKUP(VALUE(RIGHT(C344,3)),'SCE-COMP'!B:J,4,FALSE),IF(LEFT(C344,3)="EST",VLOOKUP(VALUE(RIGHT(C344,3)),'EST-COMP'!B:J,4,FALSE),IF(LEFT(C344,3)="HID",VLOOKUP(VALUE(RIGHT(C344,3)),'HID-COMP'!B:J,4,FALSE),IF(LEFT(C344,3)="INC",VLOOKUP(VALUE(RIGHT(C344,3)),'INC-COMP'!B:J,4,FALSE),IF(LEFT(C344,3)="ELE",VLOOKUP(VALUE(RIGHT(C344,3)),#REF!,4,FALSE),IF(LEFT(C344,3)="CAB",VLOOKUP(VALUE(RIGHT(C344,3)),#REF!,4,FALSE),IF(LEFT(C344,3)="SEG",VLOOKUP(VALUE(RIGHT(C344,3)),'SEG-COMP'!B:J,4,FALSE),IF(LEFT(C344,3)="CLI",VLOOKUP(VALUE(RIGHT(C344,3)),'CLI-COMP'!B:J,4,FALSE),IF(LEFT(C344,4)="IMPL",VLOOKUP(VALUE(RIGHT(C344,3)),'IMPL-COMP'!B:J,4,FALSE),IF(LEFT(C344,4)="SPDA",VLOOKUP(VALUE(RIGHT(C344,3)),'SPDA-COMP'!B:J,4,FALSE),IF(LEFT(C344,4)="SDAI",VLOOKUP(VALUE(RIGHT(C344,3)),'ADM-COMP'!B:J,4,FALSE),IF(LEFT(C344,5)="IMPER",VLOOKUP(VALUE(RIGHT(C344,3)),'IMPER-COMP'!B:J,4,FALSE),""))))))))))))))))</f>
        <v>TUBO DE COBRE COM ISOLAMENTO TÉRMICO - Ø 5/8" ESP. 9MM</v>
      </c>
      <c r="E344" s="338" t="str">
        <f>IF(B344="IOPES",VLOOKUP(C344,'LABOR-SERVIÇOS'!A:H,6,FALSE),IF(B344="SINAPI",VLOOKUP(C344,'SINAPI-SERVIÇOS'!A:D,3,FALSE),IF(LEFT(C344,3)="ARQ",VLOOKUP(VALUE(RIGHT(C344,3)),'ARQ-COMP'!B:J,5,FALSE),IF(LEFT(C344,3)="SCI",VLOOKUP(VALUE(RIGHT(C344,3)),'GAS-COMP'!#REF!,5,FALSE),IF(LEFT(C344,3)="SCE",VLOOKUP(VALUE(RIGHT(C344,3)),'SCE-COMP'!B:J,5,FALSE),IF(LEFT(C344,3)="EST",VLOOKUP(VALUE(RIGHT(C344,3)),'EST-COMP'!B:J,5,FALSE),IF(LEFT(C344,3)="HID",VLOOKUP(VALUE(RIGHT(C344,3)),'HID-COMP'!B:J,5,FALSE),IF(LEFT(C344,3)="INC",VLOOKUP(VALUE(RIGHT(C344,3)),'INC-COMP'!B:J,5,FALSE),IF(LEFT(C344,3)="ELE",VLOOKUP(VALUE(RIGHT(C344,3)),#REF!,5,FALSE),IF(LEFT(C344,3)="CAB",VLOOKUP(VALUE(RIGHT(C344,3)),#REF!,5,FALSE),IF(LEFT(C344,3)="SEG",VLOOKUP(VALUE(RIGHT(C344,3)),'SEG-COMP'!B:J,5,FALSE),IF(LEFT(C344,3)="CLI",VLOOKUP(VALUE(RIGHT(C344,3)),'CLI-COMP'!B:J,5,FALSE),IF(LEFT(C344,4)="IMPL",VLOOKUP(VALUE(RIGHT(C344,3)),'IMPL-COMP'!B:J,5,FALSE),IF(LEFT(C344,4)="SPDA",VLOOKUP(VALUE(RIGHT(C344,3)),'SPDA-COMP'!B:J,5,FALSE),IF(LEFT(C344,4)="SDAI",VLOOKUP(VALUE(RIGHT(C344,3)),'ADM-COMP'!B:J,5,FALSE),IF(LEFT(C344,5)="IMPER",VLOOKUP(VALUE(RIGHT(C344,3)),'IMPER-COMP'!B:J,5,FALSE),""))))))))))))))))</f>
        <v>M</v>
      </c>
      <c r="F344" s="599">
        <f>ROUND(VLOOKUP(A344,'MEM-LEVANT'!A295:I2848,9,FALSE),2)</f>
        <v>200</v>
      </c>
      <c r="G344" s="339">
        <f>IF(B344="IOPES",VLOOKUP(C344,'LABOR-SERVIÇOS'!A:H,7,FALSE),IF(B344="SINAPI",VLOOKUP(C344,'SINAPI-SERVIÇOS'!A:H,8,FALSE),IF(LEFT(C344,3)="ARQ",VLOOKUP(VALUE(RIGHT(C344,3)),'ARQ-COMP'!B:J,9,FALSE),IF(LEFT(C344,3)="SCI",VLOOKUP(VALUE(RIGHT(C344,3)),'GAS-COMP'!#REF!,9,FALSE),IF(LEFT(C344,3)="SCE",VLOOKUP(VALUE(RIGHT(C344,3)),'SCE-COMP'!B:J,9,FALSE),IF(LEFT(C344,3)="EST",VLOOKUP(VALUE(RIGHT(C344,3)),'EST-COMP'!B:J,9,FALSE),IF(LEFT(C344,3)="HID",VLOOKUP(VALUE(RIGHT(C344,3)),'HID-COMP'!B:J,9,FALSE),IF(LEFT(C344,3)="INC",VLOOKUP(VALUE(RIGHT(C344,3)),'INC-COMP'!B:J,9,FALSE),IF(LEFT(C344,3)="ELE",VLOOKUP(VALUE(RIGHT(C344,3)),#REF!,9,FALSE),IF(LEFT(C344,3)="CAB",VLOOKUP(VALUE(RIGHT(C344,3)),#REF!,9,FALSE),IF(LEFT(C344,3)="SEG",VLOOKUP(VALUE(RIGHT(C344,3)),'SEG-COMP'!B:J,9,FALSE),IF(LEFT(C344,3)="CLI",VLOOKUP(VALUE(RIGHT(C344,3)),'CLI-COMP'!B:J,9,FALSE),IF(LEFT(C344,4)="IMPL",VLOOKUP(VALUE(RIGHT(C344,3)),'IMPL-COMP'!B:J,9,FALSE),IF(LEFT(C344,4)="SPDA",VLOOKUP(VALUE(RIGHT(C344,3)),'SPDA-COMP'!B:J,9,FALSE),IF(LEFT(C344,4)="SDAI",VLOOKUP(VALUE(RIGHT(C344,3)),'ADM-COMP'!B:J,9,FALSE),IF(LEFT(C344,5)="IMPER",VLOOKUP(VALUE(RIGHT(C344,3)),'IMPER-COMP'!B:J,9,FALSE),""))))))))))))))))</f>
        <v>74.569999999999993</v>
      </c>
      <c r="H344" s="339">
        <f t="shared" ref="H344" si="114">ROUND(F344*G344,2)</f>
        <v>14914</v>
      </c>
      <c r="I344" s="374">
        <f t="shared" ref="I344:I351" si="115">H344/$H$441</f>
        <v>8.7201545713690783E-4</v>
      </c>
      <c r="J344" s="314"/>
    </row>
    <row r="345" spans="1:10">
      <c r="A345" s="613" t="s">
        <v>35437</v>
      </c>
      <c r="B345" s="337" t="s">
        <v>2879</v>
      </c>
      <c r="C345" s="540">
        <f>161005</f>
        <v>161005</v>
      </c>
      <c r="D345" s="539" t="str">
        <f>IF(B345="IOPES",VLOOKUP(C345,'LABOR-SERVIÇOS'!A:H,5,FALSE),IF(B345="SINAPI",VLOOKUP(C345,'SINAPI-SERVIÇOS'!A:D,2,FALSE),IF(LEFT(C345,3)="ARQ",VLOOKUP(VALUE(RIGHT(C345,3)),'ARQ-COMP'!B:J,4,FALSE),IF(LEFT(C345,3)="SCI",VLOOKUP(VALUE(RIGHT(C345,3)),'GAS-COMP'!#REF!,4,FALSE),IF(LEFT(C345,3)="SCE",VLOOKUP(VALUE(RIGHT(C345,3)),'SCE-COMP'!B:J,4,FALSE),IF(LEFT(C345,3)="EST",VLOOKUP(VALUE(RIGHT(C345,3)),'EST-COMP'!B:J,4,FALSE),IF(LEFT(C345,3)="HID",VLOOKUP(VALUE(RIGHT(C345,3)),'HID-COMP'!B:J,4,FALSE),IF(LEFT(C345,3)="INC",VLOOKUP(VALUE(RIGHT(C345,3)),'INC-COMP'!B:J,4,FALSE),IF(LEFT(C345,3)="ELE",VLOOKUP(VALUE(RIGHT(C345,3)),#REF!,4,FALSE),IF(LEFT(C345,3)="CAB",VLOOKUP(VALUE(RIGHT(C345,3)),#REF!,4,FALSE),IF(LEFT(C345,3)="SEG",VLOOKUP(VALUE(RIGHT(C345,3)),'SEG-COMP'!B:J,4,FALSE),IF(LEFT(C345,3)="CLI",VLOOKUP(VALUE(RIGHT(C345,3)),'CLI-COMP'!B:J,4,FALSE),IF(LEFT(C345,4)="IMPL",VLOOKUP(VALUE(RIGHT(C345,3)),'IMPL-COMP'!B:J,4,FALSE),IF(LEFT(C345,4)="SPDA",VLOOKUP(VALUE(RIGHT(C345,3)),'SPDA-COMP'!B:J,4,FALSE),IF(LEFT(C345,4)="SDAI",VLOOKUP(VALUE(RIGHT(C345,3)),'ADM-COMP'!B:J,4,FALSE),IF(LEFT(C345,5)="IMPER",VLOOKUP(VALUE(RIGHT(C345,3)),'IMPER-COMP'!B:J,4,FALSE),""))))))))))))))))</f>
        <v>TUBO DE COBRE COM ISOLAMENTO TÉRMICO - Ø 3/4" ESP. 9MM</v>
      </c>
      <c r="E345" s="338" t="str">
        <f>IF(B345="IOPES",VLOOKUP(C345,'LABOR-SERVIÇOS'!A:H,6,FALSE),IF(B345="SINAPI",VLOOKUP(C345,'SINAPI-SERVIÇOS'!A:D,3,FALSE),IF(LEFT(C345,3)="ARQ",VLOOKUP(VALUE(RIGHT(C345,3)),'ARQ-COMP'!B:J,5,FALSE),IF(LEFT(C345,3)="SCI",VLOOKUP(VALUE(RIGHT(C345,3)),'GAS-COMP'!#REF!,5,FALSE),IF(LEFT(C345,3)="SCE",VLOOKUP(VALUE(RIGHT(C345,3)),'SCE-COMP'!B:J,5,FALSE),IF(LEFT(C345,3)="EST",VLOOKUP(VALUE(RIGHT(C345,3)),'EST-COMP'!B:J,5,FALSE),IF(LEFT(C345,3)="HID",VLOOKUP(VALUE(RIGHT(C345,3)),'HID-COMP'!B:J,5,FALSE),IF(LEFT(C345,3)="INC",VLOOKUP(VALUE(RIGHT(C345,3)),'INC-COMP'!B:J,5,FALSE),IF(LEFT(C345,3)="ELE",VLOOKUP(VALUE(RIGHT(C345,3)),#REF!,5,FALSE),IF(LEFT(C345,3)="CAB",VLOOKUP(VALUE(RIGHT(C345,3)),#REF!,5,FALSE),IF(LEFT(C345,3)="SEG",VLOOKUP(VALUE(RIGHT(C345,3)),'SEG-COMP'!B:J,5,FALSE),IF(LEFT(C345,3)="CLI",VLOOKUP(VALUE(RIGHT(C345,3)),'CLI-COMP'!B:J,5,FALSE),IF(LEFT(C345,4)="IMPL",VLOOKUP(VALUE(RIGHT(C345,3)),'IMPL-COMP'!B:J,5,FALSE),IF(LEFT(C345,4)="SPDA",VLOOKUP(VALUE(RIGHT(C345,3)),'SPDA-COMP'!B:J,5,FALSE),IF(LEFT(C345,4)="SDAI",VLOOKUP(VALUE(RIGHT(C345,3)),'ADM-COMP'!B:J,5,FALSE),IF(LEFT(C345,5)="IMPER",VLOOKUP(VALUE(RIGHT(C345,3)),'IMPER-COMP'!B:J,5,FALSE),""))))))))))))))))</f>
        <v>M</v>
      </c>
      <c r="F345" s="599">
        <f>ROUND(VLOOKUP(A345,'MEM-LEVANT'!A295:I2849,9,FALSE),2)</f>
        <v>160</v>
      </c>
      <c r="G345" s="339">
        <f>IF(B345="IOPES",VLOOKUP(C345,'LABOR-SERVIÇOS'!A:H,7,FALSE),IF(B345="SINAPI",VLOOKUP(C345,'SINAPI-SERVIÇOS'!A:H,8,FALSE),IF(LEFT(C345,3)="ARQ",VLOOKUP(VALUE(RIGHT(C345,3)),'ARQ-COMP'!B:J,9,FALSE),IF(LEFT(C345,3)="SCI",VLOOKUP(VALUE(RIGHT(C345,3)),'GAS-COMP'!#REF!,9,FALSE),IF(LEFT(C345,3)="SCE",VLOOKUP(VALUE(RIGHT(C345,3)),'SCE-COMP'!B:J,9,FALSE),IF(LEFT(C345,3)="EST",VLOOKUP(VALUE(RIGHT(C345,3)),'EST-COMP'!B:J,9,FALSE),IF(LEFT(C345,3)="HID",VLOOKUP(VALUE(RIGHT(C345,3)),'HID-COMP'!B:J,9,FALSE),IF(LEFT(C345,3)="INC",VLOOKUP(VALUE(RIGHT(C345,3)),'INC-COMP'!B:J,9,FALSE),IF(LEFT(C345,3)="ELE",VLOOKUP(VALUE(RIGHT(C345,3)),#REF!,9,FALSE),IF(LEFT(C345,3)="CAB",VLOOKUP(VALUE(RIGHT(C345,3)),#REF!,9,FALSE),IF(LEFT(C345,3)="SEG",VLOOKUP(VALUE(RIGHT(C345,3)),'SEG-COMP'!B:J,9,FALSE),IF(LEFT(C345,3)="CLI",VLOOKUP(VALUE(RIGHT(C345,3)),'CLI-COMP'!B:J,9,FALSE),IF(LEFT(C345,4)="IMPL",VLOOKUP(VALUE(RIGHT(C345,3)),'IMPL-COMP'!B:J,9,FALSE),IF(LEFT(C345,4)="SPDA",VLOOKUP(VALUE(RIGHT(C345,3)),'SPDA-COMP'!B:J,9,FALSE),IF(LEFT(C345,4)="SDAI",VLOOKUP(VALUE(RIGHT(C345,3)),'ADM-COMP'!B:J,9,FALSE),IF(LEFT(C345,5)="IMPER",VLOOKUP(VALUE(RIGHT(C345,3)),'IMPER-COMP'!B:J,9,FALSE),""))))))))))))))))</f>
        <v>87.41</v>
      </c>
      <c r="H345" s="339">
        <f t="shared" ref="H345:H350" si="116">ROUND(F345*G345,2)</f>
        <v>13985.6</v>
      </c>
      <c r="I345" s="374">
        <f t="shared" si="115"/>
        <v>8.1773229028657228E-4</v>
      </c>
      <c r="J345" s="314"/>
    </row>
    <row r="346" spans="1:10">
      <c r="A346" s="613" t="s">
        <v>35438</v>
      </c>
      <c r="B346" s="337" t="s">
        <v>2879</v>
      </c>
      <c r="C346" s="540">
        <f>161006</f>
        <v>161006</v>
      </c>
      <c r="D346" s="539" t="str">
        <f>IF(B346="IOPES",VLOOKUP(C346,'LABOR-SERVIÇOS'!A:H,5,FALSE),IF(B346="SINAPI",VLOOKUP(C346,'SINAPI-SERVIÇOS'!A:D,2,FALSE),IF(LEFT(C346,3)="ARQ",VLOOKUP(VALUE(RIGHT(C346,3)),'ARQ-COMP'!B:J,4,FALSE),IF(LEFT(C346,3)="SCI",VLOOKUP(VALUE(RIGHT(C346,3)),'GAS-COMP'!#REF!,4,FALSE),IF(LEFT(C346,3)="SCE",VLOOKUP(VALUE(RIGHT(C346,3)),'SCE-COMP'!B:J,4,FALSE),IF(LEFT(C346,3)="EST",VLOOKUP(VALUE(RIGHT(C346,3)),'EST-COMP'!B:J,4,FALSE),IF(LEFT(C346,3)="HID",VLOOKUP(VALUE(RIGHT(C346,3)),'HID-COMP'!B:J,4,FALSE),IF(LEFT(C346,3)="INC",VLOOKUP(VALUE(RIGHT(C346,3)),'INC-COMP'!B:J,4,FALSE),IF(LEFT(C346,3)="ELE",VLOOKUP(VALUE(RIGHT(C346,3)),#REF!,4,FALSE),IF(LEFT(C346,3)="CAB",VLOOKUP(VALUE(RIGHT(C346,3)),#REF!,4,FALSE),IF(LEFT(C346,3)="SEG",VLOOKUP(VALUE(RIGHT(C346,3)),'SEG-COMP'!B:J,4,FALSE),IF(LEFT(C346,3)="CLI",VLOOKUP(VALUE(RIGHT(C346,3)),'CLI-COMP'!B:J,4,FALSE),IF(LEFT(C346,4)="IMPL",VLOOKUP(VALUE(RIGHT(C346,3)),'IMPL-COMP'!B:J,4,FALSE),IF(LEFT(C346,4)="SPDA",VLOOKUP(VALUE(RIGHT(C346,3)),'SPDA-COMP'!B:J,4,FALSE),IF(LEFT(C346,4)="SDAI",VLOOKUP(VALUE(RIGHT(C346,3)),'ADM-COMP'!B:J,4,FALSE),IF(LEFT(C346,5)="IMPER",VLOOKUP(VALUE(RIGHT(C346,3)),'IMPER-COMP'!B:J,4,FALSE),""))))))))))))))))</f>
        <v>TUBO DE COBRE COM ISOLAMENTO TÉRMICO - Ø 7/8" ESP. 9MM</v>
      </c>
      <c r="E346" s="338" t="str">
        <f>IF(B346="IOPES",VLOOKUP(C346,'LABOR-SERVIÇOS'!A:H,6,FALSE),IF(B346="SINAPI",VLOOKUP(C346,'SINAPI-SERVIÇOS'!A:D,3,FALSE),IF(LEFT(C346,3)="ARQ",VLOOKUP(VALUE(RIGHT(C346,3)),'ARQ-COMP'!B:J,5,FALSE),IF(LEFT(C346,3)="SCI",VLOOKUP(VALUE(RIGHT(C346,3)),'GAS-COMP'!#REF!,5,FALSE),IF(LEFT(C346,3)="SCE",VLOOKUP(VALUE(RIGHT(C346,3)),'SCE-COMP'!B:J,5,FALSE),IF(LEFT(C346,3)="EST",VLOOKUP(VALUE(RIGHT(C346,3)),'EST-COMP'!B:J,5,FALSE),IF(LEFT(C346,3)="HID",VLOOKUP(VALUE(RIGHT(C346,3)),'HID-COMP'!B:J,5,FALSE),IF(LEFT(C346,3)="INC",VLOOKUP(VALUE(RIGHT(C346,3)),'INC-COMP'!B:J,5,FALSE),IF(LEFT(C346,3)="ELE",VLOOKUP(VALUE(RIGHT(C346,3)),#REF!,5,FALSE),IF(LEFT(C346,3)="CAB",VLOOKUP(VALUE(RIGHT(C346,3)),#REF!,5,FALSE),IF(LEFT(C346,3)="SEG",VLOOKUP(VALUE(RIGHT(C346,3)),'SEG-COMP'!B:J,5,FALSE),IF(LEFT(C346,3)="CLI",VLOOKUP(VALUE(RIGHT(C346,3)),'CLI-COMP'!B:J,5,FALSE),IF(LEFT(C346,4)="IMPL",VLOOKUP(VALUE(RIGHT(C346,3)),'IMPL-COMP'!B:J,5,FALSE),IF(LEFT(C346,4)="SPDA",VLOOKUP(VALUE(RIGHT(C346,3)),'SPDA-COMP'!B:J,5,FALSE),IF(LEFT(C346,4)="SDAI",VLOOKUP(VALUE(RIGHT(C346,3)),'ADM-COMP'!B:J,5,FALSE),IF(LEFT(C346,5)="IMPER",VLOOKUP(VALUE(RIGHT(C346,3)),'IMPER-COMP'!B:J,5,FALSE),""))))))))))))))))</f>
        <v>M</v>
      </c>
      <c r="F346" s="599">
        <f>ROUND(VLOOKUP(A346,'MEM-LEVANT'!A295:I2850,9,FALSE),2)</f>
        <v>160</v>
      </c>
      <c r="G346" s="339">
        <f>IF(B346="IOPES",VLOOKUP(C346,'LABOR-SERVIÇOS'!A:H,7,FALSE),IF(B346="SINAPI",VLOOKUP(C346,'SINAPI-SERVIÇOS'!A:H,8,FALSE),IF(LEFT(C346,3)="ARQ",VLOOKUP(VALUE(RIGHT(C346,3)),'ARQ-COMP'!B:J,9,FALSE),IF(LEFT(C346,3)="SCI",VLOOKUP(VALUE(RIGHT(C346,3)),'GAS-COMP'!#REF!,9,FALSE),IF(LEFT(C346,3)="SCE",VLOOKUP(VALUE(RIGHT(C346,3)),'SCE-COMP'!B:J,9,FALSE),IF(LEFT(C346,3)="EST",VLOOKUP(VALUE(RIGHT(C346,3)),'EST-COMP'!B:J,9,FALSE),IF(LEFT(C346,3)="HID",VLOOKUP(VALUE(RIGHT(C346,3)),'HID-COMP'!B:J,9,FALSE),IF(LEFT(C346,3)="INC",VLOOKUP(VALUE(RIGHT(C346,3)),'INC-COMP'!B:J,9,FALSE),IF(LEFT(C346,3)="ELE",VLOOKUP(VALUE(RIGHT(C346,3)),#REF!,9,FALSE),IF(LEFT(C346,3)="CAB",VLOOKUP(VALUE(RIGHT(C346,3)),#REF!,9,FALSE),IF(LEFT(C346,3)="SEG",VLOOKUP(VALUE(RIGHT(C346,3)),'SEG-COMP'!B:J,9,FALSE),IF(LEFT(C346,3)="CLI",VLOOKUP(VALUE(RIGHT(C346,3)),'CLI-COMP'!B:J,9,FALSE),IF(LEFT(C346,4)="IMPL",VLOOKUP(VALUE(RIGHT(C346,3)),'IMPL-COMP'!B:J,9,FALSE),IF(LEFT(C346,4)="SPDA",VLOOKUP(VALUE(RIGHT(C346,3)),'SPDA-COMP'!B:J,9,FALSE),IF(LEFT(C346,4)="SDAI",VLOOKUP(VALUE(RIGHT(C346,3)),'ADM-COMP'!B:J,9,FALSE),IF(LEFT(C346,5)="IMPER",VLOOKUP(VALUE(RIGHT(C346,3)),'IMPER-COMP'!B:J,9,FALSE),""))))))))))))))))</f>
        <v>97.5</v>
      </c>
      <c r="H346" s="339">
        <f t="shared" si="116"/>
        <v>15600</v>
      </c>
      <c r="I346" s="374">
        <f t="shared" si="115"/>
        <v>9.1212559550326959E-4</v>
      </c>
      <c r="J346" s="314"/>
    </row>
    <row r="347" spans="1:10" ht="26.4">
      <c r="A347" s="613" t="s">
        <v>35439</v>
      </c>
      <c r="B347" s="337" t="s">
        <v>2879</v>
      </c>
      <c r="C347" s="540">
        <f>161007</f>
        <v>161007</v>
      </c>
      <c r="D347" s="539" t="str">
        <f>IF(B347="IOPES",VLOOKUP(C347,'LABOR-SERVIÇOS'!A:H,5,FALSE),IF(B347="SINAPI",VLOOKUP(C347,'SINAPI-SERVIÇOS'!A:D,2,FALSE),IF(LEFT(C347,3)="ARQ",VLOOKUP(VALUE(RIGHT(C347,3)),'ARQ-COMP'!B:J,4,FALSE),IF(LEFT(C347,3)="SCI",VLOOKUP(VALUE(RIGHT(C347,3)),'GAS-COMP'!#REF!,4,FALSE),IF(LEFT(C347,3)="SCE",VLOOKUP(VALUE(RIGHT(C347,3)),'SCE-COMP'!B:J,4,FALSE),IF(LEFT(C347,3)="EST",VLOOKUP(VALUE(RIGHT(C347,3)),'EST-COMP'!B:J,4,FALSE),IF(LEFT(C347,3)="HID",VLOOKUP(VALUE(RIGHT(C347,3)),'HID-COMP'!B:J,4,FALSE),IF(LEFT(C347,3)="INC",VLOOKUP(VALUE(RIGHT(C347,3)),'INC-COMP'!B:J,4,FALSE),IF(LEFT(C347,3)="ELE",VLOOKUP(VALUE(RIGHT(C347,3)),#REF!,4,FALSE),IF(LEFT(C347,3)="CAB",VLOOKUP(VALUE(RIGHT(C347,3)),#REF!,4,FALSE),IF(LEFT(C347,3)="SEG",VLOOKUP(VALUE(RIGHT(C347,3)),'SEG-COMP'!B:J,4,FALSE),IF(LEFT(C347,3)="CLI",VLOOKUP(VALUE(RIGHT(C347,3)),'CLI-COMP'!B:J,4,FALSE),IF(LEFT(C347,4)="IMPL",VLOOKUP(VALUE(RIGHT(C347,3)),'IMPL-COMP'!B:J,4,FALSE),IF(LEFT(C347,4)="SPDA",VLOOKUP(VALUE(RIGHT(C347,3)),'SPDA-COMP'!B:J,4,FALSE),IF(LEFT(C347,4)="SDAI",VLOOKUP(VALUE(RIGHT(C347,3)),'ADM-COMP'!B:J,4,FALSE),IF(LEFT(C347,5)="IMPER",VLOOKUP(VALUE(RIGHT(C347,3)),'IMPER-COMP'!B:J,4,FALSE),""))))))))))))))))</f>
        <v>TUBO DE COBRE COM ISOLAMENTO TÉRMICO - Ø 1.1/8" ESP. 9MM</v>
      </c>
      <c r="E347" s="338" t="str">
        <f>IF(B347="IOPES",VLOOKUP(C347,'LABOR-SERVIÇOS'!A:H,6,FALSE),IF(B347="SINAPI",VLOOKUP(C347,'SINAPI-SERVIÇOS'!A:D,3,FALSE),IF(LEFT(C347,3)="ARQ",VLOOKUP(VALUE(RIGHT(C347,3)),'ARQ-COMP'!B:J,5,FALSE),IF(LEFT(C347,3)="SCI",VLOOKUP(VALUE(RIGHT(C347,3)),'GAS-COMP'!#REF!,5,FALSE),IF(LEFT(C347,3)="SCE",VLOOKUP(VALUE(RIGHT(C347,3)),'SCE-COMP'!B:J,5,FALSE),IF(LEFT(C347,3)="EST",VLOOKUP(VALUE(RIGHT(C347,3)),'EST-COMP'!B:J,5,FALSE),IF(LEFT(C347,3)="HID",VLOOKUP(VALUE(RIGHT(C347,3)),'HID-COMP'!B:J,5,FALSE),IF(LEFT(C347,3)="INC",VLOOKUP(VALUE(RIGHT(C347,3)),'INC-COMP'!B:J,5,FALSE),IF(LEFT(C347,3)="ELE",VLOOKUP(VALUE(RIGHT(C347,3)),#REF!,5,FALSE),IF(LEFT(C347,3)="CAB",VLOOKUP(VALUE(RIGHT(C347,3)),#REF!,5,FALSE),IF(LEFT(C347,3)="SEG",VLOOKUP(VALUE(RIGHT(C347,3)),'SEG-COMP'!B:J,5,FALSE),IF(LEFT(C347,3)="CLI",VLOOKUP(VALUE(RIGHT(C347,3)),'CLI-COMP'!B:J,5,FALSE),IF(LEFT(C347,4)="IMPL",VLOOKUP(VALUE(RIGHT(C347,3)),'IMPL-COMP'!B:J,5,FALSE),IF(LEFT(C347,4)="SPDA",VLOOKUP(VALUE(RIGHT(C347,3)),'SPDA-COMP'!B:J,5,FALSE),IF(LEFT(C347,4)="SDAI",VLOOKUP(VALUE(RIGHT(C347,3)),'ADM-COMP'!B:J,5,FALSE),IF(LEFT(C347,5)="IMPER",VLOOKUP(VALUE(RIGHT(C347,3)),'IMPER-COMP'!B:J,5,FALSE),""))))))))))))))))</f>
        <v>M</v>
      </c>
      <c r="F347" s="599">
        <f>ROUND(VLOOKUP(A347,'MEM-LEVANT'!A295:I2851,9,FALSE),2)</f>
        <v>100</v>
      </c>
      <c r="G347" s="339">
        <f>IF(B347="IOPES",VLOOKUP(C347,'LABOR-SERVIÇOS'!A:H,7,FALSE),IF(B347="SINAPI",VLOOKUP(C347,'SINAPI-SERVIÇOS'!A:H,8,FALSE),IF(LEFT(C347,3)="ARQ",VLOOKUP(VALUE(RIGHT(C347,3)),'ARQ-COMP'!B:J,9,FALSE),IF(LEFT(C347,3)="SCI",VLOOKUP(VALUE(RIGHT(C347,3)),'GAS-COMP'!#REF!,9,FALSE),IF(LEFT(C347,3)="SCE",VLOOKUP(VALUE(RIGHT(C347,3)),'SCE-COMP'!B:J,9,FALSE),IF(LEFT(C347,3)="EST",VLOOKUP(VALUE(RIGHT(C347,3)),'EST-COMP'!B:J,9,FALSE),IF(LEFT(C347,3)="HID",VLOOKUP(VALUE(RIGHT(C347,3)),'HID-COMP'!B:J,9,FALSE),IF(LEFT(C347,3)="INC",VLOOKUP(VALUE(RIGHT(C347,3)),'INC-COMP'!B:J,9,FALSE),IF(LEFT(C347,3)="ELE",VLOOKUP(VALUE(RIGHT(C347,3)),#REF!,9,FALSE),IF(LEFT(C347,3)="CAB",VLOOKUP(VALUE(RIGHT(C347,3)),#REF!,9,FALSE),IF(LEFT(C347,3)="SEG",VLOOKUP(VALUE(RIGHT(C347,3)),'SEG-COMP'!B:J,9,FALSE),IF(LEFT(C347,3)="CLI",VLOOKUP(VALUE(RIGHT(C347,3)),'CLI-COMP'!B:J,9,FALSE),IF(LEFT(C347,4)="IMPL",VLOOKUP(VALUE(RIGHT(C347,3)),'IMPL-COMP'!B:J,9,FALSE),IF(LEFT(C347,4)="SPDA",VLOOKUP(VALUE(RIGHT(C347,3)),'SPDA-COMP'!B:J,9,FALSE),IF(LEFT(C347,4)="SDAI",VLOOKUP(VALUE(RIGHT(C347,3)),'ADM-COMP'!B:J,9,FALSE),IF(LEFT(C347,5)="IMPER",VLOOKUP(VALUE(RIGHT(C347,3)),'IMPER-COMP'!B:J,9,FALSE),""))))))))))))))))</f>
        <v>121.3</v>
      </c>
      <c r="H347" s="339">
        <f t="shared" si="116"/>
        <v>12130</v>
      </c>
      <c r="I347" s="374">
        <f t="shared" si="115"/>
        <v>7.0923612009324744E-4</v>
      </c>
      <c r="J347" s="314"/>
    </row>
    <row r="348" spans="1:10" ht="26.4">
      <c r="A348" s="613" t="s">
        <v>35440</v>
      </c>
      <c r="B348" s="337" t="s">
        <v>2879</v>
      </c>
      <c r="C348" s="540">
        <f>161011</f>
        <v>161011</v>
      </c>
      <c r="D348" s="539" t="str">
        <f>IF(B348="IOPES",VLOOKUP(C348,'LABOR-SERVIÇOS'!A:H,5,FALSE),IF(B348="SINAPI",VLOOKUP(C348,'SINAPI-SERVIÇOS'!A:D,2,FALSE),IF(LEFT(C348,3)="ARQ",VLOOKUP(VALUE(RIGHT(C348,3)),'ARQ-COMP'!B:J,4,FALSE),IF(LEFT(C348,3)="SCI",VLOOKUP(VALUE(RIGHT(C348,3)),'GAS-COMP'!#REF!,4,FALSE),IF(LEFT(C348,3)="SCE",VLOOKUP(VALUE(RIGHT(C348,3)),'SCE-COMP'!B:J,4,FALSE),IF(LEFT(C348,3)="EST",VLOOKUP(VALUE(RIGHT(C348,3)),'EST-COMP'!B:J,4,FALSE),IF(LEFT(C348,3)="HID",VLOOKUP(VALUE(RIGHT(C348,3)),'HID-COMP'!B:J,4,FALSE),IF(LEFT(C348,3)="INC",VLOOKUP(VALUE(RIGHT(C348,3)),'INC-COMP'!B:J,4,FALSE),IF(LEFT(C348,3)="ELE",VLOOKUP(VALUE(RIGHT(C348,3)),#REF!,4,FALSE),IF(LEFT(C348,3)="CAB",VLOOKUP(VALUE(RIGHT(C348,3)),#REF!,4,FALSE),IF(LEFT(C348,3)="SEG",VLOOKUP(VALUE(RIGHT(C348,3)),'SEG-COMP'!B:J,4,FALSE),IF(LEFT(C348,3)="CLI",VLOOKUP(VALUE(RIGHT(C348,3)),'CLI-COMP'!B:J,4,FALSE),IF(LEFT(C348,4)="IMPL",VLOOKUP(VALUE(RIGHT(C348,3)),'IMPL-COMP'!B:J,4,FALSE),IF(LEFT(C348,4)="SPDA",VLOOKUP(VALUE(RIGHT(C348,3)),'SPDA-COMP'!B:J,4,FALSE),IF(LEFT(C348,4)="SDAI",VLOOKUP(VALUE(RIGHT(C348,3)),'ADM-COMP'!B:J,4,FALSE),IF(LEFT(C348,5)="IMPER",VLOOKUP(VALUE(RIGHT(C348,3)),'IMPER-COMP'!B:J,4,FALSE),""))))))))))))))))</f>
        <v>EMENDA DE TUBOS E CONEXÕES DE COBRE POR PROCESSO DE SOLDA - Ø 5/8" ATÉ 7/8"</v>
      </c>
      <c r="E348" s="338" t="str">
        <f>IF(B348="IOPES",VLOOKUP(C348,'LABOR-SERVIÇOS'!A:H,6,FALSE),IF(B348="SINAPI",VLOOKUP(C348,'SINAPI-SERVIÇOS'!A:D,3,FALSE),IF(LEFT(C348,3)="ARQ",VLOOKUP(VALUE(RIGHT(C348,3)),'ARQ-COMP'!B:J,5,FALSE),IF(LEFT(C348,3)="SCI",VLOOKUP(VALUE(RIGHT(C348,3)),'GAS-COMP'!#REF!,5,FALSE),IF(LEFT(C348,3)="SCE",VLOOKUP(VALUE(RIGHT(C348,3)),'SCE-COMP'!B:J,5,FALSE),IF(LEFT(C348,3)="EST",VLOOKUP(VALUE(RIGHT(C348,3)),'EST-COMP'!B:J,5,FALSE),IF(LEFT(C348,3)="HID",VLOOKUP(VALUE(RIGHT(C348,3)),'HID-COMP'!B:J,5,FALSE),IF(LEFT(C348,3)="INC",VLOOKUP(VALUE(RIGHT(C348,3)),'INC-COMP'!B:J,5,FALSE),IF(LEFT(C348,3)="ELE",VLOOKUP(VALUE(RIGHT(C348,3)),#REF!,5,FALSE),IF(LEFT(C348,3)="CAB",VLOOKUP(VALUE(RIGHT(C348,3)),#REF!,5,FALSE),IF(LEFT(C348,3)="SEG",VLOOKUP(VALUE(RIGHT(C348,3)),'SEG-COMP'!B:J,5,FALSE),IF(LEFT(C348,3)="CLI",VLOOKUP(VALUE(RIGHT(C348,3)),'CLI-COMP'!B:J,5,FALSE),IF(LEFT(C348,4)="IMPL",VLOOKUP(VALUE(RIGHT(C348,3)),'IMPL-COMP'!B:J,5,FALSE),IF(LEFT(C348,4)="SPDA",VLOOKUP(VALUE(RIGHT(C348,3)),'SPDA-COMP'!B:J,5,FALSE),IF(LEFT(C348,4)="SDAI",VLOOKUP(VALUE(RIGHT(C348,3)),'ADM-COMP'!B:J,5,FALSE),IF(LEFT(C348,5)="IMPER",VLOOKUP(VALUE(RIGHT(C348,3)),'IMPER-COMP'!B:J,5,FALSE),""))))))))))))))))</f>
        <v>UND</v>
      </c>
      <c r="F348" s="599">
        <f>ROUND(VLOOKUP(A348,'MEM-LEVANT'!A295:I2852,9,FALSE),2)</f>
        <v>200</v>
      </c>
      <c r="G348" s="339">
        <f>IF(B348="IOPES",VLOOKUP(C348,'LABOR-SERVIÇOS'!A:H,7,FALSE),IF(B348="SINAPI",VLOOKUP(C348,'SINAPI-SERVIÇOS'!A:H,8,FALSE),IF(LEFT(C348,3)="ARQ",VLOOKUP(VALUE(RIGHT(C348,3)),'ARQ-COMP'!B:J,9,FALSE),IF(LEFT(C348,3)="SCI",VLOOKUP(VALUE(RIGHT(C348,3)),'GAS-COMP'!#REF!,9,FALSE),IF(LEFT(C348,3)="SCE",VLOOKUP(VALUE(RIGHT(C348,3)),'SCE-COMP'!B:J,9,FALSE),IF(LEFT(C348,3)="EST",VLOOKUP(VALUE(RIGHT(C348,3)),'EST-COMP'!B:J,9,FALSE),IF(LEFT(C348,3)="HID",VLOOKUP(VALUE(RIGHT(C348,3)),'HID-COMP'!B:J,9,FALSE),IF(LEFT(C348,3)="INC",VLOOKUP(VALUE(RIGHT(C348,3)),'INC-COMP'!B:J,9,FALSE),IF(LEFT(C348,3)="ELE",VLOOKUP(VALUE(RIGHT(C348,3)),#REF!,9,FALSE),IF(LEFT(C348,3)="CAB",VLOOKUP(VALUE(RIGHT(C348,3)),#REF!,9,FALSE),IF(LEFT(C348,3)="SEG",VLOOKUP(VALUE(RIGHT(C348,3)),'SEG-COMP'!B:J,9,FALSE),IF(LEFT(C348,3)="CLI",VLOOKUP(VALUE(RIGHT(C348,3)),'CLI-COMP'!B:J,9,FALSE),IF(LEFT(C348,4)="IMPL",VLOOKUP(VALUE(RIGHT(C348,3)),'IMPL-COMP'!B:J,9,FALSE),IF(LEFT(C348,4)="SPDA",VLOOKUP(VALUE(RIGHT(C348,3)),'SPDA-COMP'!B:J,9,FALSE),IF(LEFT(C348,4)="SDAI",VLOOKUP(VALUE(RIGHT(C348,3)),'ADM-COMP'!B:J,9,FALSE),IF(LEFT(C348,5)="IMPER",VLOOKUP(VALUE(RIGHT(C348,3)),'IMPER-COMP'!B:J,9,FALSE),""))))))))))))))))</f>
        <v>38.43</v>
      </c>
      <c r="H348" s="339">
        <f t="shared" si="116"/>
        <v>7686</v>
      </c>
      <c r="I348" s="374">
        <f t="shared" si="115"/>
        <v>4.4939726455372629E-4</v>
      </c>
      <c r="J348" s="314"/>
    </row>
    <row r="349" spans="1:10">
      <c r="A349" s="613" t="s">
        <v>35441</v>
      </c>
      <c r="B349" s="337" t="s">
        <v>2879</v>
      </c>
      <c r="C349" s="540">
        <f>161014</f>
        <v>161014</v>
      </c>
      <c r="D349" s="539" t="str">
        <f>IF(B349="IOPES",VLOOKUP(C349,'LABOR-SERVIÇOS'!A:H,5,FALSE),IF(B349="SINAPI",VLOOKUP(C349,'SINAPI-SERVIÇOS'!A:D,2,FALSE),IF(LEFT(C349,3)="ARQ",VLOOKUP(VALUE(RIGHT(C349,3)),'ARQ-COMP'!B:J,4,FALSE),IF(LEFT(C349,3)="SCI",VLOOKUP(VALUE(RIGHT(C349,3)),'GAS-COMP'!#REF!,4,FALSE),IF(LEFT(C349,3)="SCE",VLOOKUP(VALUE(RIGHT(C349,3)),'SCE-COMP'!B:J,4,FALSE),IF(LEFT(C349,3)="EST",VLOOKUP(VALUE(RIGHT(C349,3)),'EST-COMP'!B:J,4,FALSE),IF(LEFT(C349,3)="HID",VLOOKUP(VALUE(RIGHT(C349,3)),'HID-COMP'!B:J,4,FALSE),IF(LEFT(C349,3)="INC",VLOOKUP(VALUE(RIGHT(C349,3)),'INC-COMP'!B:J,4,FALSE),IF(LEFT(C349,3)="ELE",VLOOKUP(VALUE(RIGHT(C349,3)),#REF!,4,FALSE),IF(LEFT(C349,3)="CAB",VLOOKUP(VALUE(RIGHT(C349,3)),#REF!,4,FALSE),IF(LEFT(C349,3)="SEG",VLOOKUP(VALUE(RIGHT(C349,3)),'SEG-COMP'!B:J,4,FALSE),IF(LEFT(C349,3)="CLI",VLOOKUP(VALUE(RIGHT(C349,3)),'CLI-COMP'!B:J,4,FALSE),IF(LEFT(C349,4)="IMPL",VLOOKUP(VALUE(RIGHT(C349,3)),'IMPL-COMP'!B:J,4,FALSE),IF(LEFT(C349,4)="SPDA",VLOOKUP(VALUE(RIGHT(C349,3)),'SPDA-COMP'!B:J,4,FALSE),IF(LEFT(C349,4)="SDAI",VLOOKUP(VALUE(RIGHT(C349,3)),'ADM-COMP'!B:J,4,FALSE),IF(LEFT(C349,5)="IMPER",VLOOKUP(VALUE(RIGHT(C349,3)),'IMPER-COMP'!B:J,4,FALSE),""))))))))))))))))</f>
        <v>GÁS REFRIGERANTE R407</v>
      </c>
      <c r="E349" s="338" t="str">
        <f>IF(B349="IOPES",VLOOKUP(C349,'LABOR-SERVIÇOS'!A:H,6,FALSE),IF(B349="SINAPI",VLOOKUP(C349,'SINAPI-SERVIÇOS'!A:D,3,FALSE),IF(LEFT(C349,3)="ARQ",VLOOKUP(VALUE(RIGHT(C349,3)),'ARQ-COMP'!B:J,5,FALSE),IF(LEFT(C349,3)="SCI",VLOOKUP(VALUE(RIGHT(C349,3)),'GAS-COMP'!#REF!,5,FALSE),IF(LEFT(C349,3)="SCE",VLOOKUP(VALUE(RIGHT(C349,3)),'SCE-COMP'!B:J,5,FALSE),IF(LEFT(C349,3)="EST",VLOOKUP(VALUE(RIGHT(C349,3)),'EST-COMP'!B:J,5,FALSE),IF(LEFT(C349,3)="HID",VLOOKUP(VALUE(RIGHT(C349,3)),'HID-COMP'!B:J,5,FALSE),IF(LEFT(C349,3)="INC",VLOOKUP(VALUE(RIGHT(C349,3)),'INC-COMP'!B:J,5,FALSE),IF(LEFT(C349,3)="ELE",VLOOKUP(VALUE(RIGHT(C349,3)),#REF!,5,FALSE),IF(LEFT(C349,3)="CAB",VLOOKUP(VALUE(RIGHT(C349,3)),#REF!,5,FALSE),IF(LEFT(C349,3)="SEG",VLOOKUP(VALUE(RIGHT(C349,3)),'SEG-COMP'!B:J,5,FALSE),IF(LEFT(C349,3)="CLI",VLOOKUP(VALUE(RIGHT(C349,3)),'CLI-COMP'!B:J,5,FALSE),IF(LEFT(C349,4)="IMPL",VLOOKUP(VALUE(RIGHT(C349,3)),'IMPL-COMP'!B:J,5,FALSE),IF(LEFT(C349,4)="SPDA",VLOOKUP(VALUE(RIGHT(C349,3)),'SPDA-COMP'!B:J,5,FALSE),IF(LEFT(C349,4)="SDAI",VLOOKUP(VALUE(RIGHT(C349,3)),'ADM-COMP'!B:J,5,FALSE),IF(LEFT(C349,5)="IMPER",VLOOKUP(VALUE(RIGHT(C349,3)),'IMPER-COMP'!B:J,5,FALSE),""))))))))))))))))</f>
        <v>KG</v>
      </c>
      <c r="F349" s="599">
        <f>ROUND(VLOOKUP(A349,'MEM-LEVANT'!A295:I2853,9,FALSE),2)</f>
        <v>50</v>
      </c>
      <c r="G349" s="339">
        <f>IF(B349="IOPES",VLOOKUP(C349,'LABOR-SERVIÇOS'!A:H,7,FALSE),IF(B349="SINAPI",VLOOKUP(C349,'SINAPI-SERVIÇOS'!A:H,8,FALSE),IF(LEFT(C349,3)="ARQ",VLOOKUP(VALUE(RIGHT(C349,3)),'ARQ-COMP'!B:J,9,FALSE),IF(LEFT(C349,3)="SCI",VLOOKUP(VALUE(RIGHT(C349,3)),'GAS-COMP'!#REF!,9,FALSE),IF(LEFT(C349,3)="SCE",VLOOKUP(VALUE(RIGHT(C349,3)),'SCE-COMP'!B:J,9,FALSE),IF(LEFT(C349,3)="EST",VLOOKUP(VALUE(RIGHT(C349,3)),'EST-COMP'!B:J,9,FALSE),IF(LEFT(C349,3)="HID",VLOOKUP(VALUE(RIGHT(C349,3)),'HID-COMP'!B:J,9,FALSE),IF(LEFT(C349,3)="INC",VLOOKUP(VALUE(RIGHT(C349,3)),'INC-COMP'!B:J,9,FALSE),IF(LEFT(C349,3)="ELE",VLOOKUP(VALUE(RIGHT(C349,3)),#REF!,9,FALSE),IF(LEFT(C349,3)="CAB",VLOOKUP(VALUE(RIGHT(C349,3)),#REF!,9,FALSE),IF(LEFT(C349,3)="SEG",VLOOKUP(VALUE(RIGHT(C349,3)),'SEG-COMP'!B:J,9,FALSE),IF(LEFT(C349,3)="CLI",VLOOKUP(VALUE(RIGHT(C349,3)),'CLI-COMP'!B:J,9,FALSE),IF(LEFT(C349,4)="IMPL",VLOOKUP(VALUE(RIGHT(C349,3)),'IMPL-COMP'!B:J,9,FALSE),IF(LEFT(C349,4)="SPDA",VLOOKUP(VALUE(RIGHT(C349,3)),'SPDA-COMP'!B:J,9,FALSE),IF(LEFT(C349,4)="SDAI",VLOOKUP(VALUE(RIGHT(C349,3)),'ADM-COMP'!B:J,9,FALSE),IF(LEFT(C349,5)="IMPER",VLOOKUP(VALUE(RIGHT(C349,3)),'IMPER-COMP'!B:J,9,FALSE),""))))))))))))))))</f>
        <v>126.53</v>
      </c>
      <c r="H349" s="339">
        <f t="shared" si="116"/>
        <v>6326.5</v>
      </c>
      <c r="I349" s="374">
        <f t="shared" si="115"/>
        <v>3.6990785768919456E-4</v>
      </c>
      <c r="J349" s="314"/>
    </row>
    <row r="350" spans="1:10" ht="66">
      <c r="A350" s="613" t="s">
        <v>35442</v>
      </c>
      <c r="B350" s="337" t="s">
        <v>2879</v>
      </c>
      <c r="C350" s="540">
        <f>161016</f>
        <v>161016</v>
      </c>
      <c r="D350" s="539" t="str">
        <f>IF(B350="IOPES",VLOOKUP(C350,'LABOR-SERVIÇOS'!A:H,5,FALSE),IF(B350="SINAPI",VLOOKUP(C350,'SINAPI-SERVIÇOS'!A:D,2,FALSE),IF(LEFT(C350,3)="ARQ",VLOOKUP(VALUE(RIGHT(C350,3)),'ARQ-COMP'!B:J,4,FALSE),IF(LEFT(C350,3)="SCI",VLOOKUP(VALUE(RIGHT(C350,3)),'GAS-COMP'!#REF!,4,FALSE),IF(LEFT(C350,3)="SCE",VLOOKUP(VALUE(RIGHT(C350,3)),'SCE-COMP'!B:J,4,FALSE),IF(LEFT(C350,3)="EST",VLOOKUP(VALUE(RIGHT(C350,3)),'EST-COMP'!B:J,4,FALSE),IF(LEFT(C350,3)="HID",VLOOKUP(VALUE(RIGHT(C350,3)),'HID-COMP'!B:J,4,FALSE),IF(LEFT(C350,3)="INC",VLOOKUP(VALUE(RIGHT(C350,3)),'INC-COMP'!B:J,4,FALSE),IF(LEFT(C350,3)="ELE",VLOOKUP(VALUE(RIGHT(C350,3)),#REF!,4,FALSE),IF(LEFT(C350,3)="CAB",VLOOKUP(VALUE(RIGHT(C350,3)),#REF!,4,FALSE),IF(LEFT(C350,3)="SEG",VLOOKUP(VALUE(RIGHT(C350,3)),'SEG-COMP'!B:J,4,FALSE),IF(LEFT(C350,3)="CLI",VLOOKUP(VALUE(RIGHT(C350,3)),'CLI-COMP'!B:J,4,FALSE),IF(LEFT(C350,4)="IMPL",VLOOKUP(VALUE(RIGHT(C350,3)),'IMPL-COMP'!B:J,4,FALSE),IF(LEFT(C350,4)="SPDA",VLOOKUP(VALUE(RIGHT(C350,3)),'SPDA-COMP'!B:J,4,FALSE),IF(LEFT(C350,4)="SDAI",VLOOKUP(VALUE(RIGHT(C350,3)),'ADM-COMP'!B:J,4,FALSE),IF(LEFT(C350,5)="IMPER",VLOOKUP(VALUE(RIGHT(C350,3)),'IMPER-COMP'!B:J,4,FALSE),""))))))))))))))))</f>
        <v>INSTALAÇÃO DE LINHA FRIGORÍGENA PARA INTERLIGAÇÃO DO SISTEMA DE CLIMATIZAÇÃO INCL. ACESSÓRIOS DE FIXAÇÃO, FITA PVC AUTO-ADERENTE E CABO PP, EXCLUSIVE TUBOS DE COBRE DA LINHA LIQUIDA E SUCÇÃO, ESPUMA ELASTOMÉRICA FLEXIVEL, EXCLUSIVE GÁS REFRIGERANTE</v>
      </c>
      <c r="E350" s="338" t="str">
        <f>IF(B350="IOPES",VLOOKUP(C350,'LABOR-SERVIÇOS'!A:H,6,FALSE),IF(B350="SINAPI",VLOOKUP(C350,'SINAPI-SERVIÇOS'!A:D,3,FALSE),IF(LEFT(C350,3)="ARQ",VLOOKUP(VALUE(RIGHT(C350,3)),'ARQ-COMP'!B:J,5,FALSE),IF(LEFT(C350,3)="SCI",VLOOKUP(VALUE(RIGHT(C350,3)),'GAS-COMP'!#REF!,5,FALSE),IF(LEFT(C350,3)="SCE",VLOOKUP(VALUE(RIGHT(C350,3)),'SCE-COMP'!B:J,5,FALSE),IF(LEFT(C350,3)="EST",VLOOKUP(VALUE(RIGHT(C350,3)),'EST-COMP'!B:J,5,FALSE),IF(LEFT(C350,3)="HID",VLOOKUP(VALUE(RIGHT(C350,3)),'HID-COMP'!B:J,5,FALSE),IF(LEFT(C350,3)="INC",VLOOKUP(VALUE(RIGHT(C350,3)),'INC-COMP'!B:J,5,FALSE),IF(LEFT(C350,3)="ELE",VLOOKUP(VALUE(RIGHT(C350,3)),#REF!,5,FALSE),IF(LEFT(C350,3)="CAB",VLOOKUP(VALUE(RIGHT(C350,3)),#REF!,5,FALSE),IF(LEFT(C350,3)="SEG",VLOOKUP(VALUE(RIGHT(C350,3)),'SEG-COMP'!B:J,5,FALSE),IF(LEFT(C350,3)="CLI",VLOOKUP(VALUE(RIGHT(C350,3)),'CLI-COMP'!B:J,5,FALSE),IF(LEFT(C350,4)="IMPL",VLOOKUP(VALUE(RIGHT(C350,3)),'IMPL-COMP'!B:J,5,FALSE),IF(LEFT(C350,4)="SPDA",VLOOKUP(VALUE(RIGHT(C350,3)),'SPDA-COMP'!B:J,5,FALSE),IF(LEFT(C350,4)="SDAI",VLOOKUP(VALUE(RIGHT(C350,3)),'ADM-COMP'!B:J,5,FALSE),IF(LEFT(C350,5)="IMPER",VLOOKUP(VALUE(RIGHT(C350,3)),'IMPER-COMP'!B:J,5,FALSE),""))))))))))))))))</f>
        <v>M</v>
      </c>
      <c r="F350" s="599">
        <f>ROUND(VLOOKUP(A350,'MEM-LEVANT'!A295:I2854,9,FALSE),2)</f>
        <v>1000</v>
      </c>
      <c r="G350" s="339">
        <f>IF(B350="IOPES",VLOOKUP(C350,'LABOR-SERVIÇOS'!A:H,7,FALSE),IF(B350="SINAPI",VLOOKUP(C350,'SINAPI-SERVIÇOS'!A:H,8,FALSE),IF(LEFT(C350,3)="ARQ",VLOOKUP(VALUE(RIGHT(C350,3)),'ARQ-COMP'!B:J,9,FALSE),IF(LEFT(C350,3)="SCI",VLOOKUP(VALUE(RIGHT(C350,3)),'GAS-COMP'!#REF!,9,FALSE),IF(LEFT(C350,3)="SCE",VLOOKUP(VALUE(RIGHT(C350,3)),'SCE-COMP'!B:J,9,FALSE),IF(LEFT(C350,3)="EST",VLOOKUP(VALUE(RIGHT(C350,3)),'EST-COMP'!B:J,9,FALSE),IF(LEFT(C350,3)="HID",VLOOKUP(VALUE(RIGHT(C350,3)),'HID-COMP'!B:J,9,FALSE),IF(LEFT(C350,3)="INC",VLOOKUP(VALUE(RIGHT(C350,3)),'INC-COMP'!B:J,9,FALSE),IF(LEFT(C350,3)="ELE",VLOOKUP(VALUE(RIGHT(C350,3)),#REF!,9,FALSE),IF(LEFT(C350,3)="CAB",VLOOKUP(VALUE(RIGHT(C350,3)),#REF!,9,FALSE),IF(LEFT(C350,3)="SEG",VLOOKUP(VALUE(RIGHT(C350,3)),'SEG-COMP'!B:J,9,FALSE),IF(LEFT(C350,3)="CLI",VLOOKUP(VALUE(RIGHT(C350,3)),'CLI-COMP'!B:J,9,FALSE),IF(LEFT(C350,4)="IMPL",VLOOKUP(VALUE(RIGHT(C350,3)),'IMPL-COMP'!B:J,9,FALSE),IF(LEFT(C350,4)="SPDA",VLOOKUP(VALUE(RIGHT(C350,3)),'SPDA-COMP'!B:J,9,FALSE),IF(LEFT(C350,4)="SDAI",VLOOKUP(VALUE(RIGHT(C350,3)),'ADM-COMP'!B:J,9,FALSE),IF(LEFT(C350,5)="IMPER",VLOOKUP(VALUE(RIGHT(C350,3)),'IMPER-COMP'!B:J,9,FALSE),""))))))))))))))))</f>
        <v>161.55000000000001</v>
      </c>
      <c r="H350" s="339">
        <f t="shared" si="116"/>
        <v>161550</v>
      </c>
      <c r="I350" s="374">
        <f t="shared" si="115"/>
        <v>9.4457621765098206E-3</v>
      </c>
      <c r="J350" s="314"/>
    </row>
    <row r="351" spans="1:10">
      <c r="A351" s="570"/>
      <c r="B351" s="569"/>
      <c r="C351" s="569"/>
      <c r="D351" s="571" t="s">
        <v>27430</v>
      </c>
      <c r="E351" s="572"/>
      <c r="F351" s="600"/>
      <c r="G351" s="573"/>
      <c r="H351" s="574">
        <f>SUM(H281:H350)</f>
        <v>787987.22</v>
      </c>
      <c r="I351" s="575">
        <f t="shared" si="115"/>
        <v>4.6073289249452941E-2</v>
      </c>
      <c r="J351" s="314"/>
    </row>
    <row r="352" spans="1:10">
      <c r="A352" s="561" t="s">
        <v>23682</v>
      </c>
      <c r="B352" s="562"/>
      <c r="C352" s="563"/>
      <c r="D352" s="564" t="s">
        <v>1557</v>
      </c>
      <c r="E352" s="565"/>
      <c r="F352" s="597"/>
      <c r="G352" s="566"/>
      <c r="H352" s="567"/>
      <c r="I352" s="568"/>
      <c r="J352" s="314"/>
    </row>
    <row r="353" spans="1:10">
      <c r="A353" s="553" t="s">
        <v>27431</v>
      </c>
      <c r="B353" s="554"/>
      <c r="C353" s="555"/>
      <c r="D353" s="556" t="s">
        <v>1558</v>
      </c>
      <c r="E353" s="557"/>
      <c r="F353" s="598"/>
      <c r="G353" s="558"/>
      <c r="H353" s="559"/>
      <c r="I353" s="560"/>
      <c r="J353" s="314"/>
    </row>
    <row r="354" spans="1:10" ht="39.6">
      <c r="A354" s="613" t="s">
        <v>23683</v>
      </c>
      <c r="B354" s="337" t="s">
        <v>2879</v>
      </c>
      <c r="C354" s="540">
        <f>170107</f>
        <v>170107</v>
      </c>
      <c r="D354" s="539" t="str">
        <f>IF(B354="IOPES",VLOOKUP(C354,'LABOR-SERVIÇOS'!A:H,5,FALSE),IF(B354="SINAPI",VLOOKUP(C354,'SINAPI-SERVIÇOS'!A:D,2,FALSE),IF(LEFT(C354,3)="ARQ",VLOOKUP(VALUE(RIGHT(C354,3)),'ARQ-COMP'!B:J,4,FALSE),IF(LEFT(C354,3)="SCI",VLOOKUP(VALUE(RIGHT(C354,3)),'GAS-COMP'!#REF!,4,FALSE),IF(LEFT(C354,3)="SCE",VLOOKUP(VALUE(RIGHT(C354,3)),'SCE-COMP'!B:J,4,FALSE),IF(LEFT(C354,3)="EST",VLOOKUP(VALUE(RIGHT(C354,3)),'EST-COMP'!B:J,4,FALSE),IF(LEFT(C354,3)="HID",VLOOKUP(VALUE(RIGHT(C354,3)),'HID-COMP'!B:J,4,FALSE),IF(LEFT(C354,3)="INC",VLOOKUP(VALUE(RIGHT(C354,3)),'INC-COMP'!B:J,4,FALSE),IF(LEFT(C354,3)="ELE",VLOOKUP(VALUE(RIGHT(C354,3)),#REF!,4,FALSE),IF(LEFT(C354,3)="CAB",VLOOKUP(VALUE(RIGHT(C354,3)),#REF!,4,FALSE),IF(LEFT(C354,3)="SEG",VLOOKUP(VALUE(RIGHT(C354,3)),'SEG-COMP'!B:J,4,FALSE),IF(LEFT(C354,3)="CLI",VLOOKUP(VALUE(RIGHT(C354,3)),'CLI-COMP'!B:J,4,FALSE),IF(LEFT(C354,4)="IMPL",VLOOKUP(VALUE(RIGHT(C354,3)),'IMPL-COMP'!B:J,4,FALSE),IF(LEFT(C354,4)="SPDA",VLOOKUP(VALUE(RIGHT(C354,3)),'SPDA-COMP'!B:J,4,FALSE),IF(LEFT(C354,4)="SDAI",VLOOKUP(VALUE(RIGHT(C354,3)),'ADM-COMP'!B:J,4,FALSE),IF(LEFT(C354,5)="IMPER",VLOOKUP(VALUE(RIGHT(C354,3)),'IMPER-COMP'!B:J,4,FALSE),""))))))))))))))))</f>
        <v>MICTÓRIO DE LOUÇA BRANCA COM SIFÃO INTEGRADO ANTIVANDALISMO - M715 - DECA OU EQUIVALENTE, INCLUSIVE ENGATE FLEXÍVEL TRANÇADO INOX 1/2? X 30CM</v>
      </c>
      <c r="E354" s="338" t="str">
        <f>IF(B354="IOPES",VLOOKUP(C354,'LABOR-SERVIÇOS'!A:H,6,FALSE),IF(B354="SINAPI",VLOOKUP(C354,'SINAPI-SERVIÇOS'!A:D,3,FALSE),IF(LEFT(C354,3)="ARQ",VLOOKUP(VALUE(RIGHT(C354,3)),'ARQ-COMP'!B:J,5,FALSE),IF(LEFT(C354,3)="SCI",VLOOKUP(VALUE(RIGHT(C354,3)),'GAS-COMP'!#REF!,5,FALSE),IF(LEFT(C354,3)="SCE",VLOOKUP(VALUE(RIGHT(C354,3)),'SCE-COMP'!B:J,5,FALSE),IF(LEFT(C354,3)="EST",VLOOKUP(VALUE(RIGHT(C354,3)),'EST-COMP'!B:J,5,FALSE),IF(LEFT(C354,3)="HID",VLOOKUP(VALUE(RIGHT(C354,3)),'HID-COMP'!B:J,5,FALSE),IF(LEFT(C354,3)="INC",VLOOKUP(VALUE(RIGHT(C354,3)),'INC-COMP'!B:J,5,FALSE),IF(LEFT(C354,3)="ELE",VLOOKUP(VALUE(RIGHT(C354,3)),#REF!,5,FALSE),IF(LEFT(C354,3)="CAB",VLOOKUP(VALUE(RIGHT(C354,3)),#REF!,5,FALSE),IF(LEFT(C354,3)="SEG",VLOOKUP(VALUE(RIGHT(C354,3)),'SEG-COMP'!B:J,5,FALSE),IF(LEFT(C354,3)="CLI",VLOOKUP(VALUE(RIGHT(C354,3)),'CLI-COMP'!B:J,5,FALSE),IF(LEFT(C354,4)="IMPL",VLOOKUP(VALUE(RIGHT(C354,3)),'IMPL-COMP'!B:J,5,FALSE),IF(LEFT(C354,4)="SPDA",VLOOKUP(VALUE(RIGHT(C354,3)),'SPDA-COMP'!B:J,5,FALSE),IF(LEFT(C354,4)="SDAI",VLOOKUP(VALUE(RIGHT(C354,3)),'ADM-COMP'!B:J,5,FALSE),IF(LEFT(C354,5)="IMPER",VLOOKUP(VALUE(RIGHT(C354,3)),'IMPER-COMP'!B:J,5,FALSE),""))))))))))))))))</f>
        <v>UND</v>
      </c>
      <c r="F354" s="599">
        <f>ROUND(VLOOKUP(A354,'MEM-LEVANT'!A279:I2832,9,FALSE),2)</f>
        <v>11</v>
      </c>
      <c r="G354" s="339">
        <f>IF(B354="IOPES",VLOOKUP(C354,'LABOR-SERVIÇOS'!A:H,7,FALSE),IF(B354="SINAPI",VLOOKUP(C354,'SINAPI-SERVIÇOS'!A:H,8,FALSE),IF(LEFT(C354,3)="ARQ",VLOOKUP(VALUE(RIGHT(C354,3)),'ARQ-COMP'!B:J,9,FALSE),IF(LEFT(C354,3)="SCI",VLOOKUP(VALUE(RIGHT(C354,3)),'GAS-COMP'!#REF!,9,FALSE),IF(LEFT(C354,3)="SCE",VLOOKUP(VALUE(RIGHT(C354,3)),'SCE-COMP'!B:J,9,FALSE),IF(LEFT(C354,3)="EST",VLOOKUP(VALUE(RIGHT(C354,3)),'EST-COMP'!B:J,9,FALSE),IF(LEFT(C354,3)="HID",VLOOKUP(VALUE(RIGHT(C354,3)),'HID-COMP'!B:J,9,FALSE),IF(LEFT(C354,3)="INC",VLOOKUP(VALUE(RIGHT(C354,3)),'INC-COMP'!B:J,9,FALSE),IF(LEFT(C354,3)="ELE",VLOOKUP(VALUE(RIGHT(C354,3)),#REF!,9,FALSE),IF(LEFT(C354,3)="CAB",VLOOKUP(VALUE(RIGHT(C354,3)),#REF!,9,FALSE),IF(LEFT(C354,3)="SEG",VLOOKUP(VALUE(RIGHT(C354,3)),'SEG-COMP'!B:J,9,FALSE),IF(LEFT(C354,3)="CLI",VLOOKUP(VALUE(RIGHT(C354,3)),'CLI-COMP'!B:J,9,FALSE),IF(LEFT(C354,4)="IMPL",VLOOKUP(VALUE(RIGHT(C354,3)),'IMPL-COMP'!B:J,9,FALSE),IF(LEFT(C354,4)="SPDA",VLOOKUP(VALUE(RIGHT(C354,3)),'SPDA-COMP'!B:J,9,FALSE),IF(LEFT(C354,4)="SDAI",VLOOKUP(VALUE(RIGHT(C354,3)),'ADM-COMP'!B:J,9,FALSE),IF(LEFT(C354,5)="IMPER",VLOOKUP(VALUE(RIGHT(C354,3)),'IMPER-COMP'!B:J,9,FALSE),""))))))))))))))))</f>
        <v>1084.18</v>
      </c>
      <c r="H354" s="339">
        <f t="shared" ref="H354:H358" si="117">ROUND(F354*G354,2)</f>
        <v>11925.98</v>
      </c>
      <c r="I354" s="374">
        <f>H354/$H$441</f>
        <v>6.9730715445256942E-4</v>
      </c>
      <c r="J354" s="314"/>
    </row>
    <row r="355" spans="1:10" ht="66">
      <c r="A355" s="613" t="s">
        <v>27020</v>
      </c>
      <c r="B355" s="337" t="s">
        <v>2879</v>
      </c>
      <c r="C355" s="540">
        <f>170124</f>
        <v>170124</v>
      </c>
      <c r="D355" s="539" t="str">
        <f>IF(B355="IOPES",VLOOKUP(C355,'LABOR-SERVIÇOS'!A:H,5,FALSE),IF(B355="SINAPI",VLOOKUP(C355,'SINAPI-SERVIÇOS'!A:D,2,FALSE),IF(LEFT(C355,3)="ARQ",VLOOKUP(VALUE(RIGHT(C355,3)),'ARQ-COMP'!B:J,4,FALSE),IF(LEFT(C355,3)="SCI",VLOOKUP(VALUE(RIGHT(C355,3)),'GAS-COMP'!#REF!,4,FALSE),IF(LEFT(C355,3)="SCE",VLOOKUP(VALUE(RIGHT(C355,3)),'SCE-COMP'!B:J,4,FALSE),IF(LEFT(C355,3)="EST",VLOOKUP(VALUE(RIGHT(C355,3)),'EST-COMP'!B:J,4,FALSE),IF(LEFT(C355,3)="HID",VLOOKUP(VALUE(RIGHT(C355,3)),'HID-COMP'!B:J,4,FALSE),IF(LEFT(C355,3)="INC",VLOOKUP(VALUE(RIGHT(C355,3)),'INC-COMP'!B:J,4,FALSE),IF(LEFT(C355,3)="ELE",VLOOKUP(VALUE(RIGHT(C355,3)),#REF!,4,FALSE),IF(LEFT(C355,3)="CAB",VLOOKUP(VALUE(RIGHT(C355,3)),#REF!,4,FALSE),IF(LEFT(C355,3)="SEG",VLOOKUP(VALUE(RIGHT(C355,3)),'SEG-COMP'!B:J,4,FALSE),IF(LEFT(C355,3)="CLI",VLOOKUP(VALUE(RIGHT(C355,3)),'CLI-COMP'!B:J,4,FALSE),IF(LEFT(C355,4)="IMPL",VLOOKUP(VALUE(RIGHT(C355,3)),'IMPL-COMP'!B:J,4,FALSE),IF(LEFT(C355,4)="SPDA",VLOOKUP(VALUE(RIGHT(C355,3)),'SPDA-COMP'!B:J,4,FALSE),IF(LEFT(C355,4)="SDAI",VLOOKUP(VALUE(RIGHT(C355,3)),'ADM-COMP'!B:J,4,FALSE),IF(LEFT(C355,5)="IMPER",VLOOKUP(VALUE(RIGHT(C355,3)),'IMPER-COMP'!B:J,4,FALSE),""))))))))))))))))</f>
        <v>LAVATÓRIO SUSPENSO DE CANTO - IZY - L101 - DECA OU EQUIVALENTE, INCLUSIVE VÁLVULA DE SAÍDA CROMADA 1?, SIFÃO EM METAL CROMADO 1? X 1/2", ENGATE FLEXÍVEL TRANÇADO INOX 1/2? X 30CM E PARAFUSOS PARA FIXAÇÃO, EXCLUSIVE TORNEIRA</v>
      </c>
      <c r="E355" s="338" t="str">
        <f>IF(B355="IOPES",VLOOKUP(C355,'LABOR-SERVIÇOS'!A:H,6,FALSE),IF(B355="SINAPI",VLOOKUP(C355,'SINAPI-SERVIÇOS'!A:D,3,FALSE),IF(LEFT(C355,3)="ARQ",VLOOKUP(VALUE(RIGHT(C355,3)),'ARQ-COMP'!B:J,5,FALSE),IF(LEFT(C355,3)="SCI",VLOOKUP(VALUE(RIGHT(C355,3)),'GAS-COMP'!#REF!,5,FALSE),IF(LEFT(C355,3)="SCE",VLOOKUP(VALUE(RIGHT(C355,3)),'SCE-COMP'!B:J,5,FALSE),IF(LEFT(C355,3)="EST",VLOOKUP(VALUE(RIGHT(C355,3)),'EST-COMP'!B:J,5,FALSE),IF(LEFT(C355,3)="HID",VLOOKUP(VALUE(RIGHT(C355,3)),'HID-COMP'!B:J,5,FALSE),IF(LEFT(C355,3)="INC",VLOOKUP(VALUE(RIGHT(C355,3)),'INC-COMP'!B:J,5,FALSE),IF(LEFT(C355,3)="ELE",VLOOKUP(VALUE(RIGHT(C355,3)),#REF!,5,FALSE),IF(LEFT(C355,3)="CAB",VLOOKUP(VALUE(RIGHT(C355,3)),#REF!,5,FALSE),IF(LEFT(C355,3)="SEG",VLOOKUP(VALUE(RIGHT(C355,3)),'SEG-COMP'!B:J,5,FALSE),IF(LEFT(C355,3)="CLI",VLOOKUP(VALUE(RIGHT(C355,3)),'CLI-COMP'!B:J,5,FALSE),IF(LEFT(C355,4)="IMPL",VLOOKUP(VALUE(RIGHT(C355,3)),'IMPL-COMP'!B:J,5,FALSE),IF(LEFT(C355,4)="SPDA",VLOOKUP(VALUE(RIGHT(C355,3)),'SPDA-COMP'!B:J,5,FALSE),IF(LEFT(C355,4)="SDAI",VLOOKUP(VALUE(RIGHT(C355,3)),'ADM-COMP'!B:J,5,FALSE),IF(LEFT(C355,5)="IMPER",VLOOKUP(VALUE(RIGHT(C355,3)),'IMPER-COMP'!B:J,5,FALSE),""))))))))))))))))</f>
        <v>UND</v>
      </c>
      <c r="F355" s="599">
        <f>ROUND(VLOOKUP(A355,'MEM-LEVANT'!A280:I2833,9,FALSE),2)</f>
        <v>4</v>
      </c>
      <c r="G355" s="339">
        <f>IF(B355="IOPES",VLOOKUP(C355,'LABOR-SERVIÇOS'!A:H,7,FALSE),IF(B355="SINAPI",VLOOKUP(C355,'SINAPI-SERVIÇOS'!A:H,8,FALSE),IF(LEFT(C355,3)="ARQ",VLOOKUP(VALUE(RIGHT(C355,3)),'ARQ-COMP'!B:J,9,FALSE),IF(LEFT(C355,3)="SCI",VLOOKUP(VALUE(RIGHT(C355,3)),'GAS-COMP'!#REF!,9,FALSE),IF(LEFT(C355,3)="SCE",VLOOKUP(VALUE(RIGHT(C355,3)),'SCE-COMP'!B:J,9,FALSE),IF(LEFT(C355,3)="EST",VLOOKUP(VALUE(RIGHT(C355,3)),'EST-COMP'!B:J,9,FALSE),IF(LEFT(C355,3)="HID",VLOOKUP(VALUE(RIGHT(C355,3)),'HID-COMP'!B:J,9,FALSE),IF(LEFT(C355,3)="INC",VLOOKUP(VALUE(RIGHT(C355,3)),'INC-COMP'!B:J,9,FALSE),IF(LEFT(C355,3)="ELE",VLOOKUP(VALUE(RIGHT(C355,3)),#REF!,9,FALSE),IF(LEFT(C355,3)="CAB",VLOOKUP(VALUE(RIGHT(C355,3)),#REF!,9,FALSE),IF(LEFT(C355,3)="SEG",VLOOKUP(VALUE(RIGHT(C355,3)),'SEG-COMP'!B:J,9,FALSE),IF(LEFT(C355,3)="CLI",VLOOKUP(VALUE(RIGHT(C355,3)),'CLI-COMP'!B:J,9,FALSE),IF(LEFT(C355,4)="IMPL",VLOOKUP(VALUE(RIGHT(C355,3)),'IMPL-COMP'!B:J,9,FALSE),IF(LEFT(C355,4)="SPDA",VLOOKUP(VALUE(RIGHT(C355,3)),'SPDA-COMP'!B:J,9,FALSE),IF(LEFT(C355,4)="SDAI",VLOOKUP(VALUE(RIGHT(C355,3)),'ADM-COMP'!B:J,9,FALSE),IF(LEFT(C355,5)="IMPER",VLOOKUP(VALUE(RIGHT(C355,3)),'IMPER-COMP'!B:J,9,FALSE),""))))))))))))))))</f>
        <v>767.75</v>
      </c>
      <c r="H355" s="339">
        <f t="shared" si="117"/>
        <v>3071</v>
      </c>
      <c r="I355" s="374">
        <f>H355/$H$441</f>
        <v>1.7956010921734236E-4</v>
      </c>
      <c r="J355" s="314"/>
    </row>
    <row r="356" spans="1:10" ht="79.2">
      <c r="A356" s="613" t="s">
        <v>27021</v>
      </c>
      <c r="B356" s="337" t="s">
        <v>2879</v>
      </c>
      <c r="C356" s="540">
        <f>170126</f>
        <v>170126</v>
      </c>
      <c r="D356" s="539" t="str">
        <f>IF(B356="IOPES",VLOOKUP(C356,'LABOR-SERVIÇOS'!A:H,5,FALSE),IF(B356="SINAPI",VLOOKUP(C356,'SINAPI-SERVIÇOS'!A:D,2,FALSE),IF(LEFT(C356,3)="ARQ",VLOOKUP(VALUE(RIGHT(C356,3)),'ARQ-COMP'!B:J,4,FALSE),IF(LEFT(C356,3)="SCI",VLOOKUP(VALUE(RIGHT(C356,3)),'GAS-COMP'!#REF!,4,FALSE),IF(LEFT(C356,3)="SCE",VLOOKUP(VALUE(RIGHT(C356,3)),'SCE-COMP'!B:J,4,FALSE),IF(LEFT(C356,3)="EST",VLOOKUP(VALUE(RIGHT(C356,3)),'EST-COMP'!B:J,4,FALSE),IF(LEFT(C356,3)="HID",VLOOKUP(VALUE(RIGHT(C356,3)),'HID-COMP'!B:J,4,FALSE),IF(LEFT(C356,3)="INC",VLOOKUP(VALUE(RIGHT(C356,3)),'INC-COMP'!B:J,4,FALSE),IF(LEFT(C356,3)="ELE",VLOOKUP(VALUE(RIGHT(C356,3)),#REF!,4,FALSE),IF(LEFT(C356,3)="CAB",VLOOKUP(VALUE(RIGHT(C356,3)),#REF!,4,FALSE),IF(LEFT(C356,3)="SEG",VLOOKUP(VALUE(RIGHT(C356,3)),'SEG-COMP'!B:J,4,FALSE),IF(LEFT(C356,3)="CLI",VLOOKUP(VALUE(RIGHT(C356,3)),'CLI-COMP'!B:J,4,FALSE),IF(LEFT(C356,4)="IMPL",VLOOKUP(VALUE(RIGHT(C356,3)),'IMPL-COMP'!B:J,4,FALSE),IF(LEFT(C356,4)="SPDA",VLOOKUP(VALUE(RIGHT(C356,3)),'SPDA-COMP'!B:J,4,FALSE),IF(LEFT(C356,4)="SDAI",VLOOKUP(VALUE(RIGHT(C356,3)),'ADM-COMP'!B:J,4,FALSE),IF(LEFT(C356,5)="IMPER",VLOOKUP(VALUE(RIGHT(C356,3)),'IMPER-COMP'!B:J,4,FALSE),""))))))))))))))))</f>
        <v>BACIA CONVENCIONAL DE LOUÇA BRANCA SEM ABERTURA FRONTAL PARA PORTADORES DE NECESSIDADES ESPECIAIS, VOGUE PLUS CONFORTO - P510, INCLUSIVE ASSENTO EM POLIÉSTER, REF. AP51 - DECA OU EQUIVALENTE, TUBO DE LIGAÇÃO METAL CROMADO COM CANOPLA, ANEL DE VEDAÇÃO E PARAFUSOS PARA FIXAÇÃO</v>
      </c>
      <c r="E356" s="338" t="str">
        <f>IF(B356="IOPES",VLOOKUP(C356,'LABOR-SERVIÇOS'!A:H,6,FALSE),IF(B356="SINAPI",VLOOKUP(C356,'SINAPI-SERVIÇOS'!A:D,3,FALSE),IF(LEFT(C356,3)="ARQ",VLOOKUP(VALUE(RIGHT(C356,3)),'ARQ-COMP'!B:J,5,FALSE),IF(LEFT(C356,3)="SCI",VLOOKUP(VALUE(RIGHT(C356,3)),'GAS-COMP'!#REF!,5,FALSE),IF(LEFT(C356,3)="SCE",VLOOKUP(VALUE(RIGHT(C356,3)),'SCE-COMP'!B:J,5,FALSE),IF(LEFT(C356,3)="EST",VLOOKUP(VALUE(RIGHT(C356,3)),'EST-COMP'!B:J,5,FALSE),IF(LEFT(C356,3)="HID",VLOOKUP(VALUE(RIGHT(C356,3)),'HID-COMP'!B:J,5,FALSE),IF(LEFT(C356,3)="INC",VLOOKUP(VALUE(RIGHT(C356,3)),'INC-COMP'!B:J,5,FALSE),IF(LEFT(C356,3)="ELE",VLOOKUP(VALUE(RIGHT(C356,3)),#REF!,5,FALSE),IF(LEFT(C356,3)="CAB",VLOOKUP(VALUE(RIGHT(C356,3)),#REF!,5,FALSE),IF(LEFT(C356,3)="SEG",VLOOKUP(VALUE(RIGHT(C356,3)),'SEG-COMP'!B:J,5,FALSE),IF(LEFT(C356,3)="CLI",VLOOKUP(VALUE(RIGHT(C356,3)),'CLI-COMP'!B:J,5,FALSE),IF(LEFT(C356,4)="IMPL",VLOOKUP(VALUE(RIGHT(C356,3)),'IMPL-COMP'!B:J,5,FALSE),IF(LEFT(C356,4)="SPDA",VLOOKUP(VALUE(RIGHT(C356,3)),'SPDA-COMP'!B:J,5,FALSE),IF(LEFT(C356,4)="SDAI",VLOOKUP(VALUE(RIGHT(C356,3)),'ADM-COMP'!B:J,5,FALSE),IF(LEFT(C356,5)="IMPER",VLOOKUP(VALUE(RIGHT(C356,3)),'IMPER-COMP'!B:J,5,FALSE),""))))))))))))))))</f>
        <v>UND</v>
      </c>
      <c r="F356" s="599">
        <f>ROUND(VLOOKUP(A356,'MEM-LEVANT'!A281:I2834,9,FALSE),2)</f>
        <v>4</v>
      </c>
      <c r="G356" s="339">
        <f>IF(B356="IOPES",VLOOKUP(C356,'LABOR-SERVIÇOS'!A:H,7,FALSE),IF(B356="SINAPI",VLOOKUP(C356,'SINAPI-SERVIÇOS'!A:H,8,FALSE),IF(LEFT(C356,3)="ARQ",VLOOKUP(VALUE(RIGHT(C356,3)),'ARQ-COMP'!B:J,9,FALSE),IF(LEFT(C356,3)="SCI",VLOOKUP(VALUE(RIGHT(C356,3)),'GAS-COMP'!#REF!,9,FALSE),IF(LEFT(C356,3)="SCE",VLOOKUP(VALUE(RIGHT(C356,3)),'SCE-COMP'!B:J,9,FALSE),IF(LEFT(C356,3)="EST",VLOOKUP(VALUE(RIGHT(C356,3)),'EST-COMP'!B:J,9,FALSE),IF(LEFT(C356,3)="HID",VLOOKUP(VALUE(RIGHT(C356,3)),'HID-COMP'!B:J,9,FALSE),IF(LEFT(C356,3)="INC",VLOOKUP(VALUE(RIGHT(C356,3)),'INC-COMP'!B:J,9,FALSE),IF(LEFT(C356,3)="ELE",VLOOKUP(VALUE(RIGHT(C356,3)),#REF!,9,FALSE),IF(LEFT(C356,3)="CAB",VLOOKUP(VALUE(RIGHT(C356,3)),#REF!,9,FALSE),IF(LEFT(C356,3)="SEG",VLOOKUP(VALUE(RIGHT(C356,3)),'SEG-COMP'!B:J,9,FALSE),IF(LEFT(C356,3)="CLI",VLOOKUP(VALUE(RIGHT(C356,3)),'CLI-COMP'!B:J,9,FALSE),IF(LEFT(C356,4)="IMPL",VLOOKUP(VALUE(RIGHT(C356,3)),'IMPL-COMP'!B:J,9,FALSE),IF(LEFT(C356,4)="SPDA",VLOOKUP(VALUE(RIGHT(C356,3)),'SPDA-COMP'!B:J,9,FALSE),IF(LEFT(C356,4)="SDAI",VLOOKUP(VALUE(RIGHT(C356,3)),'ADM-COMP'!B:J,9,FALSE),IF(LEFT(C356,5)="IMPER",VLOOKUP(VALUE(RIGHT(C356,3)),'IMPER-COMP'!B:J,9,FALSE),""))))))))))))))))</f>
        <v>4878.1099999999997</v>
      </c>
      <c r="H356" s="339">
        <f t="shared" si="117"/>
        <v>19512.439999999999</v>
      </c>
      <c r="I356" s="374">
        <f>H356/$H$441</f>
        <v>1.1408843560719113E-3</v>
      </c>
      <c r="J356" s="314"/>
    </row>
    <row r="357" spans="1:10" ht="52.8">
      <c r="A357" s="613" t="s">
        <v>27022</v>
      </c>
      <c r="B357" s="337" t="s">
        <v>2879</v>
      </c>
      <c r="C357" s="540">
        <f>170133</f>
        <v>170133</v>
      </c>
      <c r="D357" s="539" t="str">
        <f>IF(B357="IOPES",VLOOKUP(C357,'LABOR-SERVIÇOS'!A:H,5,FALSE),IF(B357="SINAPI",VLOOKUP(C357,'SINAPI-SERVIÇOS'!A:D,2,FALSE),IF(LEFT(C357,3)="ARQ",VLOOKUP(VALUE(RIGHT(C357,3)),'ARQ-COMP'!B:J,4,FALSE),IF(LEFT(C357,3)="SCI",VLOOKUP(VALUE(RIGHT(C357,3)),'GAS-COMP'!#REF!,4,FALSE),IF(LEFT(C357,3)="SCE",VLOOKUP(VALUE(RIGHT(C357,3)),'SCE-COMP'!B:J,4,FALSE),IF(LEFT(C357,3)="EST",VLOOKUP(VALUE(RIGHT(C357,3)),'EST-COMP'!B:J,4,FALSE),IF(LEFT(C357,3)="HID",VLOOKUP(VALUE(RIGHT(C357,3)),'HID-COMP'!B:J,4,FALSE),IF(LEFT(C357,3)="INC",VLOOKUP(VALUE(RIGHT(C357,3)),'INC-COMP'!B:J,4,FALSE),IF(LEFT(C357,3)="ELE",VLOOKUP(VALUE(RIGHT(C357,3)),#REF!,4,FALSE),IF(LEFT(C357,3)="CAB",VLOOKUP(VALUE(RIGHT(C357,3)),#REF!,4,FALSE),IF(LEFT(C357,3)="SEG",VLOOKUP(VALUE(RIGHT(C357,3)),'SEG-COMP'!B:J,4,FALSE),IF(LEFT(C357,3)="CLI",VLOOKUP(VALUE(RIGHT(C357,3)),'CLI-COMP'!B:J,4,FALSE),IF(LEFT(C357,4)="IMPL",VLOOKUP(VALUE(RIGHT(C357,3)),'IMPL-COMP'!B:J,4,FALSE),IF(LEFT(C357,4)="SPDA",VLOOKUP(VALUE(RIGHT(C357,3)),'SPDA-COMP'!B:J,4,FALSE),IF(LEFT(C357,4)="SDAI",VLOOKUP(VALUE(RIGHT(C357,3)),'ADM-COMP'!B:J,4,FALSE),IF(LEFT(C357,5)="IMPER",VLOOKUP(VALUE(RIGHT(C357,3)),'IMPER-COMP'!B:J,4,FALSE),""))))))))))))))))</f>
        <v>CUBA DE LOUÇA BRANCA DE EMBUTIR OVAL - L37 - DECA OU EQUIVALENTE, INCLUSIVE VÁLVULA DE SAÍDA CROMADA 1?, SIFÃO EM METÁLICO TIPO COPO CROMADO 1? X 1/2" E ENGATE FLEXÍVEL TRANÇADO INOX 1/2? X 30CM, EXCLUSIVE TORNEIRA</v>
      </c>
      <c r="E357" s="338" t="str">
        <f>IF(B357="IOPES",VLOOKUP(C357,'LABOR-SERVIÇOS'!A:H,6,FALSE),IF(B357="SINAPI",VLOOKUP(C357,'SINAPI-SERVIÇOS'!A:D,3,FALSE),IF(LEFT(C357,3)="ARQ",VLOOKUP(VALUE(RIGHT(C357,3)),'ARQ-COMP'!B:J,5,FALSE),IF(LEFT(C357,3)="SCI",VLOOKUP(VALUE(RIGHT(C357,3)),'GAS-COMP'!#REF!,5,FALSE),IF(LEFT(C357,3)="SCE",VLOOKUP(VALUE(RIGHT(C357,3)),'SCE-COMP'!B:J,5,FALSE),IF(LEFT(C357,3)="EST",VLOOKUP(VALUE(RIGHT(C357,3)),'EST-COMP'!B:J,5,FALSE),IF(LEFT(C357,3)="HID",VLOOKUP(VALUE(RIGHT(C357,3)),'HID-COMP'!B:J,5,FALSE),IF(LEFT(C357,3)="INC",VLOOKUP(VALUE(RIGHT(C357,3)),'INC-COMP'!B:J,5,FALSE),IF(LEFT(C357,3)="ELE",VLOOKUP(VALUE(RIGHT(C357,3)),#REF!,5,FALSE),IF(LEFT(C357,3)="CAB",VLOOKUP(VALUE(RIGHT(C357,3)),#REF!,5,FALSE),IF(LEFT(C357,3)="SEG",VLOOKUP(VALUE(RIGHT(C357,3)),'SEG-COMP'!B:J,5,FALSE),IF(LEFT(C357,3)="CLI",VLOOKUP(VALUE(RIGHT(C357,3)),'CLI-COMP'!B:J,5,FALSE),IF(LEFT(C357,4)="IMPL",VLOOKUP(VALUE(RIGHT(C357,3)),'IMPL-COMP'!B:J,5,FALSE),IF(LEFT(C357,4)="SPDA",VLOOKUP(VALUE(RIGHT(C357,3)),'SPDA-COMP'!B:J,5,FALSE),IF(LEFT(C357,4)="SDAI",VLOOKUP(VALUE(RIGHT(C357,3)),'ADM-COMP'!B:J,5,FALSE),IF(LEFT(C357,5)="IMPER",VLOOKUP(VALUE(RIGHT(C357,3)),'IMPER-COMP'!B:J,5,FALSE),""))))))))))))))))</f>
        <v>UND</v>
      </c>
      <c r="F357" s="599">
        <f>ROUND(VLOOKUP(A357,'MEM-LEVANT'!A283:I2836,9,FALSE),2)</f>
        <v>20</v>
      </c>
      <c r="G357" s="339">
        <f>IF(B357="IOPES",VLOOKUP(C357,'LABOR-SERVIÇOS'!A:H,7,FALSE),IF(B357="SINAPI",VLOOKUP(C357,'SINAPI-SERVIÇOS'!A:H,8,FALSE),IF(LEFT(C357,3)="ARQ",VLOOKUP(VALUE(RIGHT(C357,3)),'ARQ-COMP'!B:J,9,FALSE),IF(LEFT(C357,3)="SCI",VLOOKUP(VALUE(RIGHT(C357,3)),'GAS-COMP'!#REF!,9,FALSE),IF(LEFT(C357,3)="SCE",VLOOKUP(VALUE(RIGHT(C357,3)),'SCE-COMP'!B:J,9,FALSE),IF(LEFT(C357,3)="EST",VLOOKUP(VALUE(RIGHT(C357,3)),'EST-COMP'!B:J,9,FALSE),IF(LEFT(C357,3)="HID",VLOOKUP(VALUE(RIGHT(C357,3)),'HID-COMP'!B:J,9,FALSE),IF(LEFT(C357,3)="INC",VLOOKUP(VALUE(RIGHT(C357,3)),'INC-COMP'!B:J,9,FALSE),IF(LEFT(C357,3)="ELE",VLOOKUP(VALUE(RIGHT(C357,3)),#REF!,9,FALSE),IF(LEFT(C357,3)="CAB",VLOOKUP(VALUE(RIGHT(C357,3)),#REF!,9,FALSE),IF(LEFT(C357,3)="SEG",VLOOKUP(VALUE(RIGHT(C357,3)),'SEG-COMP'!B:J,9,FALSE),IF(LEFT(C357,3)="CLI",VLOOKUP(VALUE(RIGHT(C357,3)),'CLI-COMP'!B:J,9,FALSE),IF(LEFT(C357,4)="IMPL",VLOOKUP(VALUE(RIGHT(C357,3)),'IMPL-COMP'!B:J,9,FALSE),IF(LEFT(C357,4)="SPDA",VLOOKUP(VALUE(RIGHT(C357,3)),'SPDA-COMP'!B:J,9,FALSE),IF(LEFT(C357,4)="SDAI",VLOOKUP(VALUE(RIGHT(C357,3)),'ADM-COMP'!B:J,9,FALSE),IF(LEFT(C357,5)="IMPER",VLOOKUP(VALUE(RIGHT(C357,3)),'IMPER-COMP'!B:J,9,FALSE),""))))))))))))))))</f>
        <v>515.72</v>
      </c>
      <c r="H357" s="339">
        <f t="shared" si="117"/>
        <v>10314.4</v>
      </c>
      <c r="I357" s="374">
        <f>H357/$H$441</f>
        <v>6.0307873347813614E-4</v>
      </c>
      <c r="J357" s="314"/>
    </row>
    <row r="358" spans="1:10" ht="79.2">
      <c r="A358" s="613" t="s">
        <v>27023</v>
      </c>
      <c r="B358" s="337" t="s">
        <v>2879</v>
      </c>
      <c r="C358" s="540">
        <f>170136</f>
        <v>170136</v>
      </c>
      <c r="D358" s="539" t="str">
        <f>IF(B358="IOPES",VLOOKUP(C358,'LABOR-SERVIÇOS'!A:H,5,FALSE),IF(B358="SINAPI",VLOOKUP(C358,'SINAPI-SERVIÇOS'!A:D,2,FALSE),IF(LEFT(C358,3)="ARQ",VLOOKUP(VALUE(RIGHT(C358,3)),'ARQ-COMP'!B:J,4,FALSE),IF(LEFT(C358,3)="SCI",VLOOKUP(VALUE(RIGHT(C358,3)),'GAS-COMP'!#REF!,4,FALSE),IF(LEFT(C358,3)="SCE",VLOOKUP(VALUE(RIGHT(C358,3)),'SCE-COMP'!B:J,4,FALSE),IF(LEFT(C358,3)="EST",VLOOKUP(VALUE(RIGHT(C358,3)),'EST-COMP'!B:J,4,FALSE),IF(LEFT(C358,3)="HID",VLOOKUP(VALUE(RIGHT(C358,3)),'HID-COMP'!B:J,4,FALSE),IF(LEFT(C358,3)="INC",VLOOKUP(VALUE(RIGHT(C358,3)),'INC-COMP'!B:J,4,FALSE),IF(LEFT(C358,3)="ELE",VLOOKUP(VALUE(RIGHT(C358,3)),#REF!,4,FALSE),IF(LEFT(C358,3)="CAB",VLOOKUP(VALUE(RIGHT(C358,3)),#REF!,4,FALSE),IF(LEFT(C358,3)="SEG",VLOOKUP(VALUE(RIGHT(C358,3)),'SEG-COMP'!B:J,4,FALSE),IF(LEFT(C358,3)="CLI",VLOOKUP(VALUE(RIGHT(C358,3)),'CLI-COMP'!B:J,4,FALSE),IF(LEFT(C358,4)="IMPL",VLOOKUP(VALUE(RIGHT(C358,3)),'IMPL-COMP'!B:J,4,FALSE),IF(LEFT(C358,4)="SPDA",VLOOKUP(VALUE(RIGHT(C358,3)),'SPDA-COMP'!B:J,4,FALSE),IF(LEFT(C358,4)="SDAI",VLOOKUP(VALUE(RIGHT(C358,3)),'ADM-COMP'!B:J,4,FALSE),IF(LEFT(C358,5)="IMPER",VLOOKUP(VALUE(RIGHT(C358,3)),'IMPER-COMP'!B:J,4,FALSE),""))))))))))))))))</f>
        <v>BACIA SANITÁRIA DE LOUÇA BRANCA COM CAIXA ACOPLADA E VÁLVULA DE DUPLO ACIONAMENTO, RAVENA - P9 - DECA OU EQUIVALENTE, INCLUSIVE ASSENTO PLÁSTICO, TUBO DE LIGAÇÃO METAL CROMADO COM CANOPLA, ENGATE FLEXÍVEL TRANÇADO INOX 1/2? X 30CM, ANEL DE VEDAÇÃO E PARAFUSOS PARA FIXAÇÃO</v>
      </c>
      <c r="E358" s="338" t="str">
        <f>IF(B358="IOPES",VLOOKUP(C358,'LABOR-SERVIÇOS'!A:H,6,FALSE),IF(B358="SINAPI",VLOOKUP(C358,'SINAPI-SERVIÇOS'!A:D,3,FALSE),IF(LEFT(C358,3)="ARQ",VLOOKUP(VALUE(RIGHT(C358,3)),'ARQ-COMP'!B:J,5,FALSE),IF(LEFT(C358,3)="SCI",VLOOKUP(VALUE(RIGHT(C358,3)),'GAS-COMP'!#REF!,5,FALSE),IF(LEFT(C358,3)="SCE",VLOOKUP(VALUE(RIGHT(C358,3)),'SCE-COMP'!B:J,5,FALSE),IF(LEFT(C358,3)="EST",VLOOKUP(VALUE(RIGHT(C358,3)),'EST-COMP'!B:J,5,FALSE),IF(LEFT(C358,3)="HID",VLOOKUP(VALUE(RIGHT(C358,3)),'HID-COMP'!B:J,5,FALSE),IF(LEFT(C358,3)="INC",VLOOKUP(VALUE(RIGHT(C358,3)),'INC-COMP'!B:J,5,FALSE),IF(LEFT(C358,3)="ELE",VLOOKUP(VALUE(RIGHT(C358,3)),#REF!,5,FALSE),IF(LEFT(C358,3)="CAB",VLOOKUP(VALUE(RIGHT(C358,3)),#REF!,5,FALSE),IF(LEFT(C358,3)="SEG",VLOOKUP(VALUE(RIGHT(C358,3)),'SEG-COMP'!B:J,5,FALSE),IF(LEFT(C358,3)="CLI",VLOOKUP(VALUE(RIGHT(C358,3)),'CLI-COMP'!B:J,5,FALSE),IF(LEFT(C358,4)="IMPL",VLOOKUP(VALUE(RIGHT(C358,3)),'IMPL-COMP'!B:J,5,FALSE),IF(LEFT(C358,4)="SPDA",VLOOKUP(VALUE(RIGHT(C358,3)),'SPDA-COMP'!B:J,5,FALSE),IF(LEFT(C358,4)="SDAI",VLOOKUP(VALUE(RIGHT(C358,3)),'ADM-COMP'!B:J,5,FALSE),IF(LEFT(C358,5)="IMPER",VLOOKUP(VALUE(RIGHT(C358,3)),'IMPER-COMP'!B:J,5,FALSE),""))))))))))))))))</f>
        <v>UND</v>
      </c>
      <c r="F358" s="599">
        <f>ROUND(VLOOKUP(A358,'MEM-LEVANT'!A284:I2837,9,FALSE),2)</f>
        <v>28</v>
      </c>
      <c r="G358" s="339">
        <f>IF(B358="IOPES",VLOOKUP(C358,'LABOR-SERVIÇOS'!A:H,7,FALSE),IF(B358="SINAPI",VLOOKUP(C358,'SINAPI-SERVIÇOS'!A:H,8,FALSE),IF(LEFT(C358,3)="ARQ",VLOOKUP(VALUE(RIGHT(C358,3)),'ARQ-COMP'!B:J,9,FALSE),IF(LEFT(C358,3)="SCI",VLOOKUP(VALUE(RIGHT(C358,3)),'GAS-COMP'!#REF!,9,FALSE),IF(LEFT(C358,3)="SCE",VLOOKUP(VALUE(RIGHT(C358,3)),'SCE-COMP'!B:J,9,FALSE),IF(LEFT(C358,3)="EST",VLOOKUP(VALUE(RIGHT(C358,3)),'EST-COMP'!B:J,9,FALSE),IF(LEFT(C358,3)="HID",VLOOKUP(VALUE(RIGHT(C358,3)),'HID-COMP'!B:J,9,FALSE),IF(LEFT(C358,3)="INC",VLOOKUP(VALUE(RIGHT(C358,3)),'INC-COMP'!B:J,9,FALSE),IF(LEFT(C358,3)="ELE",VLOOKUP(VALUE(RIGHT(C358,3)),#REF!,9,FALSE),IF(LEFT(C358,3)="CAB",VLOOKUP(VALUE(RIGHT(C358,3)),#REF!,9,FALSE),IF(LEFT(C358,3)="SEG",VLOOKUP(VALUE(RIGHT(C358,3)),'SEG-COMP'!B:J,9,FALSE),IF(LEFT(C358,3)="CLI",VLOOKUP(VALUE(RIGHT(C358,3)),'CLI-COMP'!B:J,9,FALSE),IF(LEFT(C358,4)="IMPL",VLOOKUP(VALUE(RIGHT(C358,3)),'IMPL-COMP'!B:J,9,FALSE),IF(LEFT(C358,4)="SPDA",VLOOKUP(VALUE(RIGHT(C358,3)),'SPDA-COMP'!B:J,9,FALSE),IF(LEFT(C358,4)="SDAI",VLOOKUP(VALUE(RIGHT(C358,3)),'ADM-COMP'!B:J,9,FALSE),IF(LEFT(C358,5)="IMPER",VLOOKUP(VALUE(RIGHT(C358,3)),'IMPER-COMP'!B:J,9,FALSE),""))))))))))))))))</f>
        <v>1587.58</v>
      </c>
      <c r="H358" s="339">
        <f t="shared" si="117"/>
        <v>44452.24</v>
      </c>
      <c r="I358" s="374">
        <f>H358/$H$441</f>
        <v>2.5991042231701448E-3</v>
      </c>
      <c r="J358" s="314"/>
    </row>
    <row r="359" spans="1:10">
      <c r="A359" s="553" t="s">
        <v>27432</v>
      </c>
      <c r="B359" s="554"/>
      <c r="C359" s="555"/>
      <c r="D359" s="556" t="s">
        <v>55</v>
      </c>
      <c r="E359" s="557"/>
      <c r="F359" s="598"/>
      <c r="G359" s="558"/>
      <c r="H359" s="559"/>
      <c r="I359" s="560"/>
      <c r="J359" s="314"/>
    </row>
    <row r="360" spans="1:10">
      <c r="A360" s="613" t="s">
        <v>35443</v>
      </c>
      <c r="B360" s="337" t="s">
        <v>2879</v>
      </c>
      <c r="C360" s="540">
        <f>170220</f>
        <v>170220</v>
      </c>
      <c r="D360" s="539" t="str">
        <f>IF(B360="IOPES",VLOOKUP(C360,'LABOR-SERVIÇOS'!A:H,5,FALSE),IF(B360="SINAPI",VLOOKUP(C360,'SINAPI-SERVIÇOS'!A:D,2,FALSE),IF(LEFT(C360,3)="ARQ",VLOOKUP(VALUE(RIGHT(C360,3)),'ARQ-COMP'!B:J,4,FALSE),IF(LEFT(C360,3)="SCI",VLOOKUP(VALUE(RIGHT(C360,3)),'GAS-COMP'!#REF!,4,FALSE),IF(LEFT(C360,3)="SCE",VLOOKUP(VALUE(RIGHT(C360,3)),'SCE-COMP'!B:J,4,FALSE),IF(LEFT(C360,3)="EST",VLOOKUP(VALUE(RIGHT(C360,3)),'EST-COMP'!B:J,4,FALSE),IF(LEFT(C360,3)="HID",VLOOKUP(VALUE(RIGHT(C360,3)),'HID-COMP'!B:J,4,FALSE),IF(LEFT(C360,3)="INC",VLOOKUP(VALUE(RIGHT(C360,3)),'INC-COMP'!B:J,4,FALSE),IF(LEFT(C360,3)="ELE",VLOOKUP(VALUE(RIGHT(C360,3)),#REF!,4,FALSE),IF(LEFT(C360,3)="CAB",VLOOKUP(VALUE(RIGHT(C360,3)),#REF!,4,FALSE),IF(LEFT(C360,3)="SEG",VLOOKUP(VALUE(RIGHT(C360,3)),'SEG-COMP'!B:J,4,FALSE),IF(LEFT(C360,3)="CLI",VLOOKUP(VALUE(RIGHT(C360,3)),'CLI-COMP'!B:J,4,FALSE),IF(LEFT(C360,4)="IMPL",VLOOKUP(VALUE(RIGHT(C360,3)),'IMPL-COMP'!B:J,4,FALSE),IF(LEFT(C360,4)="SPDA",VLOOKUP(VALUE(RIGHT(C360,3)),'SPDA-COMP'!B:J,4,FALSE),IF(LEFT(C360,4)="SDAI",VLOOKUP(VALUE(RIGHT(C360,3)),'ADM-COMP'!B:J,4,FALSE),IF(LEFT(C360,5)="IMPER",VLOOKUP(VALUE(RIGHT(C360,3)),'IMPER-COMP'!B:J,4,FALSE),""))))))))))))))))</f>
        <v>BANCADA DE GRANITO COM ESPESSURA DE 2 CM</v>
      </c>
      <c r="E360" s="338" t="str">
        <f>IF(B360="IOPES",VLOOKUP(C360,'LABOR-SERVIÇOS'!A:H,6,FALSE),IF(B360="SINAPI",VLOOKUP(C360,'SINAPI-SERVIÇOS'!A:D,3,FALSE),IF(LEFT(C360,3)="ARQ",VLOOKUP(VALUE(RIGHT(C360,3)),'ARQ-COMP'!B:J,5,FALSE),IF(LEFT(C360,3)="SCI",VLOOKUP(VALUE(RIGHT(C360,3)),'GAS-COMP'!#REF!,5,FALSE),IF(LEFT(C360,3)="SCE",VLOOKUP(VALUE(RIGHT(C360,3)),'SCE-COMP'!B:J,5,FALSE),IF(LEFT(C360,3)="EST",VLOOKUP(VALUE(RIGHT(C360,3)),'EST-COMP'!B:J,5,FALSE),IF(LEFT(C360,3)="HID",VLOOKUP(VALUE(RIGHT(C360,3)),'HID-COMP'!B:J,5,FALSE),IF(LEFT(C360,3)="INC",VLOOKUP(VALUE(RIGHT(C360,3)),'INC-COMP'!B:J,5,FALSE),IF(LEFT(C360,3)="ELE",VLOOKUP(VALUE(RIGHT(C360,3)),#REF!,5,FALSE),IF(LEFT(C360,3)="CAB",VLOOKUP(VALUE(RIGHT(C360,3)),#REF!,5,FALSE),IF(LEFT(C360,3)="SEG",VLOOKUP(VALUE(RIGHT(C360,3)),'SEG-COMP'!B:J,5,FALSE),IF(LEFT(C360,3)="CLI",VLOOKUP(VALUE(RIGHT(C360,3)),'CLI-COMP'!B:J,5,FALSE),IF(LEFT(C360,4)="IMPL",VLOOKUP(VALUE(RIGHT(C360,3)),'IMPL-COMP'!B:J,5,FALSE),IF(LEFT(C360,4)="SPDA",VLOOKUP(VALUE(RIGHT(C360,3)),'SPDA-COMP'!B:J,5,FALSE),IF(LEFT(C360,4)="SDAI",VLOOKUP(VALUE(RIGHT(C360,3)),'ADM-COMP'!B:J,5,FALSE),IF(LEFT(C360,5)="IMPER",VLOOKUP(VALUE(RIGHT(C360,3)),'IMPER-COMP'!B:J,5,FALSE),""))))))))))))))))</f>
        <v>M2</v>
      </c>
      <c r="F360" s="599">
        <f>ROUND(VLOOKUP(A360,'MEM-LEVANT'!A286:I2839,9,FALSE),2)</f>
        <v>54.36</v>
      </c>
      <c r="G360" s="339">
        <f>IF(B360="IOPES",VLOOKUP(C360,'LABOR-SERVIÇOS'!A:H,7,FALSE),IF(B360="SINAPI",VLOOKUP(C360,'SINAPI-SERVIÇOS'!A:H,8,FALSE),IF(LEFT(C360,3)="ARQ",VLOOKUP(VALUE(RIGHT(C360,3)),'ARQ-COMP'!B:J,9,FALSE),IF(LEFT(C360,3)="SCI",VLOOKUP(VALUE(RIGHT(C360,3)),'GAS-COMP'!#REF!,9,FALSE),IF(LEFT(C360,3)="SCE",VLOOKUP(VALUE(RIGHT(C360,3)),'SCE-COMP'!B:J,9,FALSE),IF(LEFT(C360,3)="EST",VLOOKUP(VALUE(RIGHT(C360,3)),'EST-COMP'!B:J,9,FALSE),IF(LEFT(C360,3)="HID",VLOOKUP(VALUE(RIGHT(C360,3)),'HID-COMP'!B:J,9,FALSE),IF(LEFT(C360,3)="INC",VLOOKUP(VALUE(RIGHT(C360,3)),'INC-COMP'!B:J,9,FALSE),IF(LEFT(C360,3)="ELE",VLOOKUP(VALUE(RIGHT(C360,3)),#REF!,9,FALSE),IF(LEFT(C360,3)="CAB",VLOOKUP(VALUE(RIGHT(C360,3)),#REF!,9,FALSE),IF(LEFT(C360,3)="SEG",VLOOKUP(VALUE(RIGHT(C360,3)),'SEG-COMP'!B:J,9,FALSE),IF(LEFT(C360,3)="CLI",VLOOKUP(VALUE(RIGHT(C360,3)),'CLI-COMP'!B:J,9,FALSE),IF(LEFT(C360,4)="IMPL",VLOOKUP(VALUE(RIGHT(C360,3)),'IMPL-COMP'!B:J,9,FALSE),IF(LEFT(C360,4)="SPDA",VLOOKUP(VALUE(RIGHT(C360,3)),'SPDA-COMP'!B:J,9,FALSE),IF(LEFT(C360,4)="SDAI",VLOOKUP(VALUE(RIGHT(C360,3)),'ADM-COMP'!B:J,9,FALSE),IF(LEFT(C360,5)="IMPER",VLOOKUP(VALUE(RIGHT(C360,3)),'IMPER-COMP'!B:J,9,FALSE),""))))))))))))))))</f>
        <v>642.28</v>
      </c>
      <c r="H360" s="339">
        <f t="shared" ref="H360" si="118">ROUND(F360*G360,2)</f>
        <v>34914.339999999997</v>
      </c>
      <c r="I360" s="374">
        <f>H360/$H$441</f>
        <v>2.0414271259040786E-3</v>
      </c>
      <c r="J360" s="314"/>
    </row>
    <row r="361" spans="1:10">
      <c r="A361" s="553" t="s">
        <v>27433</v>
      </c>
      <c r="B361" s="554"/>
      <c r="C361" s="555"/>
      <c r="D361" s="556" t="s">
        <v>1563</v>
      </c>
      <c r="E361" s="557"/>
      <c r="F361" s="598"/>
      <c r="G361" s="558"/>
      <c r="H361" s="559"/>
      <c r="I361" s="560"/>
      <c r="J361" s="314"/>
    </row>
    <row r="362" spans="1:10" ht="42.6" customHeight="1">
      <c r="A362" s="613" t="s">
        <v>35444</v>
      </c>
      <c r="B362" s="337" t="s">
        <v>2879</v>
      </c>
      <c r="C362" s="540">
        <f>170304</f>
        <v>170304</v>
      </c>
      <c r="D362" s="539" t="str">
        <f>IF(B362="IOPES",VLOOKUP(C362,'LABOR-SERVIÇOS'!A:H,5,FALSE),IF(B362="SINAPI",VLOOKUP(C362,'SINAPI-SERVIÇOS'!A:D,2,FALSE),IF(LEFT(C362,3)="ARQ",VLOOKUP(VALUE(RIGHT(C362,3)),'ARQ-COMP'!B:J,4,FALSE),IF(LEFT(C362,3)="SCI",VLOOKUP(VALUE(RIGHT(C362,3)),'GAS-COMP'!#REF!,4,FALSE),IF(LEFT(C362,3)="SCE",VLOOKUP(VALUE(RIGHT(C362,3)),'SCE-COMP'!B:J,4,FALSE),IF(LEFT(C362,3)="EST",VLOOKUP(VALUE(RIGHT(C362,3)),'EST-COMP'!B:J,4,FALSE),IF(LEFT(C362,3)="HID",VLOOKUP(VALUE(RIGHT(C362,3)),'HID-COMP'!B:J,4,FALSE),IF(LEFT(C362,3)="INC",VLOOKUP(VALUE(RIGHT(C362,3)),'INC-COMP'!B:J,4,FALSE),IF(LEFT(C362,3)="ELE",VLOOKUP(VALUE(RIGHT(C362,3)),#REF!,4,FALSE),IF(LEFT(C362,3)="CAB",VLOOKUP(VALUE(RIGHT(C362,3)),#REF!,4,FALSE),IF(LEFT(C362,3)="SEG",VLOOKUP(VALUE(RIGHT(C362,3)),'SEG-COMP'!B:J,4,FALSE),IF(LEFT(C362,3)="CLI",VLOOKUP(VALUE(RIGHT(C362,3)),'CLI-COMP'!B:J,4,FALSE),IF(LEFT(C362,4)="IMPL",VLOOKUP(VALUE(RIGHT(C362,3)),'IMPL-COMP'!B:J,4,FALSE),IF(LEFT(C362,4)="SPDA",VLOOKUP(VALUE(RIGHT(C362,3)),'SPDA-COMP'!B:J,4,FALSE),IF(LEFT(C362,4)="SDAI",VLOOKUP(VALUE(RIGHT(C362,3)),'ADM-COMP'!B:J,4,FALSE),IF(LEFT(C362,5)="IMPER",VLOOKUP(VALUE(RIGHT(C362,3)),'IMPER-COMP'!B:J,4,FALSE),""))))))))))))))))</f>
        <v>TORNEIRA BICA BAIXA DE MESA PARA LAVATÓRIO PRESSMATIC ALFA - DOCOL, DECAMATIC SMART - DECA OU EQUIVALENTE</v>
      </c>
      <c r="E362" s="338" t="str">
        <f>IF(B362="IOPES",VLOOKUP(C362,'LABOR-SERVIÇOS'!A:H,6,FALSE),IF(B362="SINAPI",VLOOKUP(C362,'SINAPI-SERVIÇOS'!A:D,3,FALSE),IF(LEFT(C362,3)="ARQ",VLOOKUP(VALUE(RIGHT(C362,3)),'ARQ-COMP'!B:J,5,FALSE),IF(LEFT(C362,3)="SCI",VLOOKUP(VALUE(RIGHT(C362,3)),'GAS-COMP'!#REF!,5,FALSE),IF(LEFT(C362,3)="SCE",VLOOKUP(VALUE(RIGHT(C362,3)),'SCE-COMP'!B:J,5,FALSE),IF(LEFT(C362,3)="EST",VLOOKUP(VALUE(RIGHT(C362,3)),'EST-COMP'!B:J,5,FALSE),IF(LEFT(C362,3)="HID",VLOOKUP(VALUE(RIGHT(C362,3)),'HID-COMP'!B:J,5,FALSE),IF(LEFT(C362,3)="INC",VLOOKUP(VALUE(RIGHT(C362,3)),'INC-COMP'!B:J,5,FALSE),IF(LEFT(C362,3)="ELE",VLOOKUP(VALUE(RIGHT(C362,3)),#REF!,5,FALSE),IF(LEFT(C362,3)="CAB",VLOOKUP(VALUE(RIGHT(C362,3)),#REF!,5,FALSE),IF(LEFT(C362,3)="SEG",VLOOKUP(VALUE(RIGHT(C362,3)),'SEG-COMP'!B:J,5,FALSE),IF(LEFT(C362,3)="CLI",VLOOKUP(VALUE(RIGHT(C362,3)),'CLI-COMP'!B:J,5,FALSE),IF(LEFT(C362,4)="IMPL",VLOOKUP(VALUE(RIGHT(C362,3)),'IMPL-COMP'!B:J,5,FALSE),IF(LEFT(C362,4)="SPDA",VLOOKUP(VALUE(RIGHT(C362,3)),'SPDA-COMP'!B:J,5,FALSE),IF(LEFT(C362,4)="SDAI",VLOOKUP(VALUE(RIGHT(C362,3)),'ADM-COMP'!B:J,5,FALSE),IF(LEFT(C362,5)="IMPER",VLOOKUP(VALUE(RIGHT(C362,3)),'IMPER-COMP'!B:J,5,FALSE),""))))))))))))))))</f>
        <v>UND</v>
      </c>
      <c r="F362" s="599">
        <f>ROUND(VLOOKUP(A362,'MEM-LEVANT'!A288:I2841,9,FALSE),2)</f>
        <v>22</v>
      </c>
      <c r="G362" s="339">
        <f>IF(B362="IOPES",VLOOKUP(C362,'LABOR-SERVIÇOS'!A:H,7,FALSE),IF(B362="SINAPI",VLOOKUP(C362,'SINAPI-SERVIÇOS'!A:H,8,FALSE),IF(LEFT(C362,3)="ARQ",VLOOKUP(VALUE(RIGHT(C362,3)),'ARQ-COMP'!B:J,9,FALSE),IF(LEFT(C362,3)="SCI",VLOOKUP(VALUE(RIGHT(C362,3)),'GAS-COMP'!#REF!,9,FALSE),IF(LEFT(C362,3)="SCE",VLOOKUP(VALUE(RIGHT(C362,3)),'SCE-COMP'!B:J,9,FALSE),IF(LEFT(C362,3)="EST",VLOOKUP(VALUE(RIGHT(C362,3)),'EST-COMP'!B:J,9,FALSE),IF(LEFT(C362,3)="HID",VLOOKUP(VALUE(RIGHT(C362,3)),'HID-COMP'!B:J,9,FALSE),IF(LEFT(C362,3)="INC",VLOOKUP(VALUE(RIGHT(C362,3)),'INC-COMP'!B:J,9,FALSE),IF(LEFT(C362,3)="ELE",VLOOKUP(VALUE(RIGHT(C362,3)),#REF!,9,FALSE),IF(LEFT(C362,3)="CAB",VLOOKUP(VALUE(RIGHT(C362,3)),#REF!,9,FALSE),IF(LEFT(C362,3)="SEG",VLOOKUP(VALUE(RIGHT(C362,3)),'SEG-COMP'!B:J,9,FALSE),IF(LEFT(C362,3)="CLI",VLOOKUP(VALUE(RIGHT(C362,3)),'CLI-COMP'!B:J,9,FALSE),IF(LEFT(C362,4)="IMPL",VLOOKUP(VALUE(RIGHT(C362,3)),'IMPL-COMP'!B:J,9,FALSE),IF(LEFT(C362,4)="SPDA",VLOOKUP(VALUE(RIGHT(C362,3)),'SPDA-COMP'!B:J,9,FALSE),IF(LEFT(C362,4)="SDAI",VLOOKUP(VALUE(RIGHT(C362,3)),'ADM-COMP'!B:J,9,FALSE),IF(LEFT(C362,5)="IMPER",VLOOKUP(VALUE(RIGHT(C362,3)),'IMPER-COMP'!B:J,9,FALSE),""))))))))))))))))</f>
        <v>324.97000000000003</v>
      </c>
      <c r="H362" s="339">
        <f t="shared" ref="H362:H365" si="119">ROUND(F362*G362,2)</f>
        <v>7149.34</v>
      </c>
      <c r="I362" s="374">
        <f>H362/$H$441</f>
        <v>4.1801897467662471E-4</v>
      </c>
      <c r="J362" s="314"/>
    </row>
    <row r="363" spans="1:10" ht="26.4">
      <c r="A363" s="613" t="s">
        <v>35445</v>
      </c>
      <c r="B363" s="337" t="s">
        <v>2879</v>
      </c>
      <c r="C363" s="540">
        <f>170306</f>
        <v>170306</v>
      </c>
      <c r="D363" s="539" t="str">
        <f>IF(B363="IOPES",VLOOKUP(C363,'LABOR-SERVIÇOS'!A:H,5,FALSE),IF(B363="SINAPI",VLOOKUP(C363,'SINAPI-SERVIÇOS'!A:D,2,FALSE),IF(LEFT(C363,3)="ARQ",VLOOKUP(VALUE(RIGHT(C363,3)),'ARQ-COMP'!B:J,4,FALSE),IF(LEFT(C363,3)="SCI",VLOOKUP(VALUE(RIGHT(C363,3)),'GAS-COMP'!#REF!,4,FALSE),IF(LEFT(C363,3)="SCE",VLOOKUP(VALUE(RIGHT(C363,3)),'SCE-COMP'!B:J,4,FALSE),IF(LEFT(C363,3)="EST",VLOOKUP(VALUE(RIGHT(C363,3)),'EST-COMP'!B:J,4,FALSE),IF(LEFT(C363,3)="HID",VLOOKUP(VALUE(RIGHT(C363,3)),'HID-COMP'!B:J,4,FALSE),IF(LEFT(C363,3)="INC",VLOOKUP(VALUE(RIGHT(C363,3)),'INC-COMP'!B:J,4,FALSE),IF(LEFT(C363,3)="ELE",VLOOKUP(VALUE(RIGHT(C363,3)),#REF!,4,FALSE),IF(LEFT(C363,3)="CAB",VLOOKUP(VALUE(RIGHT(C363,3)),#REF!,4,FALSE),IF(LEFT(C363,3)="SEG",VLOOKUP(VALUE(RIGHT(C363,3)),'SEG-COMP'!B:J,4,FALSE),IF(LEFT(C363,3)="CLI",VLOOKUP(VALUE(RIGHT(C363,3)),'CLI-COMP'!B:J,4,FALSE),IF(LEFT(C363,4)="IMPL",VLOOKUP(VALUE(RIGHT(C363,3)),'IMPL-COMP'!B:J,4,FALSE),IF(LEFT(C363,4)="SPDA",VLOOKUP(VALUE(RIGHT(C363,3)),'SPDA-COMP'!B:J,4,FALSE),IF(LEFT(C363,4)="SDAI",VLOOKUP(VALUE(RIGHT(C363,3)),'ADM-COMP'!B:J,4,FALSE),IF(LEFT(C363,5)="IMPER",VLOOKUP(VALUE(RIGHT(C363,3)),'IMPER-COMP'!B:J,4,FALSE),""))))))))))))))))</f>
        <v>TORNEIRA DE PAREDE PARA TANQUE LONGA 3/4" 1158 PRIMOR - DOCOL OU EQUIVALENTE</v>
      </c>
      <c r="E363" s="338" t="str">
        <f>IF(B363="IOPES",VLOOKUP(C363,'LABOR-SERVIÇOS'!A:H,6,FALSE),IF(B363="SINAPI",VLOOKUP(C363,'SINAPI-SERVIÇOS'!A:D,3,FALSE),IF(LEFT(C363,3)="ARQ",VLOOKUP(VALUE(RIGHT(C363,3)),'ARQ-COMP'!B:J,5,FALSE),IF(LEFT(C363,3)="SCI",VLOOKUP(VALUE(RIGHT(C363,3)),'GAS-COMP'!#REF!,5,FALSE),IF(LEFT(C363,3)="SCE",VLOOKUP(VALUE(RIGHT(C363,3)),'SCE-COMP'!B:J,5,FALSE),IF(LEFT(C363,3)="EST",VLOOKUP(VALUE(RIGHT(C363,3)),'EST-COMP'!B:J,5,FALSE),IF(LEFT(C363,3)="HID",VLOOKUP(VALUE(RIGHT(C363,3)),'HID-COMP'!B:J,5,FALSE),IF(LEFT(C363,3)="INC",VLOOKUP(VALUE(RIGHT(C363,3)),'INC-COMP'!B:J,5,FALSE),IF(LEFT(C363,3)="ELE",VLOOKUP(VALUE(RIGHT(C363,3)),#REF!,5,FALSE),IF(LEFT(C363,3)="CAB",VLOOKUP(VALUE(RIGHT(C363,3)),#REF!,5,FALSE),IF(LEFT(C363,3)="SEG",VLOOKUP(VALUE(RIGHT(C363,3)),'SEG-COMP'!B:J,5,FALSE),IF(LEFT(C363,3)="CLI",VLOOKUP(VALUE(RIGHT(C363,3)),'CLI-COMP'!B:J,5,FALSE),IF(LEFT(C363,4)="IMPL",VLOOKUP(VALUE(RIGHT(C363,3)),'IMPL-COMP'!B:J,5,FALSE),IF(LEFT(C363,4)="SPDA",VLOOKUP(VALUE(RIGHT(C363,3)),'SPDA-COMP'!B:J,5,FALSE),IF(LEFT(C363,4)="SDAI",VLOOKUP(VALUE(RIGHT(C363,3)),'ADM-COMP'!B:J,5,FALSE),IF(LEFT(C363,5)="IMPER",VLOOKUP(VALUE(RIGHT(C363,3)),'IMPER-COMP'!B:J,5,FALSE),""))))))))))))))))</f>
        <v>UND</v>
      </c>
      <c r="F363" s="599">
        <f>ROUND(VLOOKUP(A363,'MEM-LEVANT'!A289:I2842,9,FALSE),2)</f>
        <v>2</v>
      </c>
      <c r="G363" s="339">
        <f>IF(B363="IOPES",VLOOKUP(C363,'LABOR-SERVIÇOS'!A:H,7,FALSE),IF(B363="SINAPI",VLOOKUP(C363,'SINAPI-SERVIÇOS'!A:H,8,FALSE),IF(LEFT(C363,3)="ARQ",VLOOKUP(VALUE(RIGHT(C363,3)),'ARQ-COMP'!B:J,9,FALSE),IF(LEFT(C363,3)="SCI",VLOOKUP(VALUE(RIGHT(C363,3)),'GAS-COMP'!#REF!,9,FALSE),IF(LEFT(C363,3)="SCE",VLOOKUP(VALUE(RIGHT(C363,3)),'SCE-COMP'!B:J,9,FALSE),IF(LEFT(C363,3)="EST",VLOOKUP(VALUE(RIGHT(C363,3)),'EST-COMP'!B:J,9,FALSE),IF(LEFT(C363,3)="HID",VLOOKUP(VALUE(RIGHT(C363,3)),'HID-COMP'!B:J,9,FALSE),IF(LEFT(C363,3)="INC",VLOOKUP(VALUE(RIGHT(C363,3)),'INC-COMP'!B:J,9,FALSE),IF(LEFT(C363,3)="ELE",VLOOKUP(VALUE(RIGHT(C363,3)),#REF!,9,FALSE),IF(LEFT(C363,3)="CAB",VLOOKUP(VALUE(RIGHT(C363,3)),#REF!,9,FALSE),IF(LEFT(C363,3)="SEG",VLOOKUP(VALUE(RIGHT(C363,3)),'SEG-COMP'!B:J,9,FALSE),IF(LEFT(C363,3)="CLI",VLOOKUP(VALUE(RIGHT(C363,3)),'CLI-COMP'!B:J,9,FALSE),IF(LEFT(C363,4)="IMPL",VLOOKUP(VALUE(RIGHT(C363,3)),'IMPL-COMP'!B:J,9,FALSE),IF(LEFT(C363,4)="SPDA",VLOOKUP(VALUE(RIGHT(C363,3)),'SPDA-COMP'!B:J,9,FALSE),IF(LEFT(C363,4)="SDAI",VLOOKUP(VALUE(RIGHT(C363,3)),'ADM-COMP'!B:J,9,FALSE),IF(LEFT(C363,5)="IMPER",VLOOKUP(VALUE(RIGHT(C363,3)),'IMPER-COMP'!B:J,9,FALSE),""))))))))))))))))</f>
        <v>266.5</v>
      </c>
      <c r="H363" s="339">
        <f t="shared" si="119"/>
        <v>533</v>
      </c>
      <c r="I363" s="374">
        <f>H363/$H$441</f>
        <v>3.1164291179695042E-5</v>
      </c>
      <c r="J363" s="314"/>
    </row>
    <row r="364" spans="1:10" ht="26.4">
      <c r="A364" s="613" t="s">
        <v>35446</v>
      </c>
      <c r="B364" s="337" t="s">
        <v>2879</v>
      </c>
      <c r="C364" s="540">
        <f>170310</f>
        <v>170310</v>
      </c>
      <c r="D364" s="539" t="str">
        <f>IF(B364="IOPES",VLOOKUP(C364,'LABOR-SERVIÇOS'!A:H,5,FALSE),IF(B364="SINAPI",VLOOKUP(C364,'SINAPI-SERVIÇOS'!A:D,2,FALSE),IF(LEFT(C364,3)="ARQ",VLOOKUP(VALUE(RIGHT(C364,3)),'ARQ-COMP'!B:J,4,FALSE),IF(LEFT(C364,3)="SCI",VLOOKUP(VALUE(RIGHT(C364,3)),'GAS-COMP'!#REF!,4,FALSE),IF(LEFT(C364,3)="SCE",VLOOKUP(VALUE(RIGHT(C364,3)),'SCE-COMP'!B:J,4,FALSE),IF(LEFT(C364,3)="EST",VLOOKUP(VALUE(RIGHT(C364,3)),'EST-COMP'!B:J,4,FALSE),IF(LEFT(C364,3)="HID",VLOOKUP(VALUE(RIGHT(C364,3)),'HID-COMP'!B:J,4,FALSE),IF(LEFT(C364,3)="INC",VLOOKUP(VALUE(RIGHT(C364,3)),'INC-COMP'!B:J,4,FALSE),IF(LEFT(C364,3)="ELE",VLOOKUP(VALUE(RIGHT(C364,3)),#REF!,4,FALSE),IF(LEFT(C364,3)="CAB",VLOOKUP(VALUE(RIGHT(C364,3)),#REF!,4,FALSE),IF(LEFT(C364,3)="SEG",VLOOKUP(VALUE(RIGHT(C364,3)),'SEG-COMP'!B:J,4,FALSE),IF(LEFT(C364,3)="CLI",VLOOKUP(VALUE(RIGHT(C364,3)),'CLI-COMP'!B:J,4,FALSE),IF(LEFT(C364,4)="IMPL",VLOOKUP(VALUE(RIGHT(C364,3)),'IMPL-COMP'!B:J,4,FALSE),IF(LEFT(C364,4)="SPDA",VLOOKUP(VALUE(RIGHT(C364,3)),'SPDA-COMP'!B:J,4,FALSE),IF(LEFT(C364,4)="SDAI",VLOOKUP(VALUE(RIGHT(C364,3)),'ADM-COMP'!B:J,4,FALSE),IF(LEFT(C364,5)="IMPER",VLOOKUP(VALUE(RIGHT(C364,3)),'IMPER-COMP'!B:J,4,FALSE),""))))))))))))))))</f>
        <v>TORNEIRA PARA USO GERAL 1130 TRIO - DOCOL OU EQUIVALENTE</v>
      </c>
      <c r="E364" s="338" t="str">
        <f>IF(B364="IOPES",VLOOKUP(C364,'LABOR-SERVIÇOS'!A:H,6,FALSE),IF(B364="SINAPI",VLOOKUP(C364,'SINAPI-SERVIÇOS'!A:D,3,FALSE),IF(LEFT(C364,3)="ARQ",VLOOKUP(VALUE(RIGHT(C364,3)),'ARQ-COMP'!B:J,5,FALSE),IF(LEFT(C364,3)="SCI",VLOOKUP(VALUE(RIGHT(C364,3)),'GAS-COMP'!#REF!,5,FALSE),IF(LEFT(C364,3)="SCE",VLOOKUP(VALUE(RIGHT(C364,3)),'SCE-COMP'!B:J,5,FALSE),IF(LEFT(C364,3)="EST",VLOOKUP(VALUE(RIGHT(C364,3)),'EST-COMP'!B:J,5,FALSE),IF(LEFT(C364,3)="HID",VLOOKUP(VALUE(RIGHT(C364,3)),'HID-COMP'!B:J,5,FALSE),IF(LEFT(C364,3)="INC",VLOOKUP(VALUE(RIGHT(C364,3)),'INC-COMP'!B:J,5,FALSE),IF(LEFT(C364,3)="ELE",VLOOKUP(VALUE(RIGHT(C364,3)),#REF!,5,FALSE),IF(LEFT(C364,3)="CAB",VLOOKUP(VALUE(RIGHT(C364,3)),#REF!,5,FALSE),IF(LEFT(C364,3)="SEG",VLOOKUP(VALUE(RIGHT(C364,3)),'SEG-COMP'!B:J,5,FALSE),IF(LEFT(C364,3)="CLI",VLOOKUP(VALUE(RIGHT(C364,3)),'CLI-COMP'!B:J,5,FALSE),IF(LEFT(C364,4)="IMPL",VLOOKUP(VALUE(RIGHT(C364,3)),'IMPL-COMP'!B:J,5,FALSE),IF(LEFT(C364,4)="SPDA",VLOOKUP(VALUE(RIGHT(C364,3)),'SPDA-COMP'!B:J,5,FALSE),IF(LEFT(C364,4)="SDAI",VLOOKUP(VALUE(RIGHT(C364,3)),'ADM-COMP'!B:J,5,FALSE),IF(LEFT(C364,5)="IMPER",VLOOKUP(VALUE(RIGHT(C364,3)),'IMPER-COMP'!B:J,5,FALSE),""))))))))))))))))</f>
        <v>UND</v>
      </c>
      <c r="F364" s="599">
        <f>ROUND(VLOOKUP(A364,'MEM-LEVANT'!A290:I2843,9,FALSE),2)</f>
        <v>6</v>
      </c>
      <c r="G364" s="339">
        <f>IF(B364="IOPES",VLOOKUP(C364,'LABOR-SERVIÇOS'!A:H,7,FALSE),IF(B364="SINAPI",VLOOKUP(C364,'SINAPI-SERVIÇOS'!A:H,8,FALSE),IF(LEFT(C364,3)="ARQ",VLOOKUP(VALUE(RIGHT(C364,3)),'ARQ-COMP'!B:J,9,FALSE),IF(LEFT(C364,3)="SCI",VLOOKUP(VALUE(RIGHT(C364,3)),'GAS-COMP'!#REF!,9,FALSE),IF(LEFT(C364,3)="SCE",VLOOKUP(VALUE(RIGHT(C364,3)),'SCE-COMP'!B:J,9,FALSE),IF(LEFT(C364,3)="EST",VLOOKUP(VALUE(RIGHT(C364,3)),'EST-COMP'!B:J,9,FALSE),IF(LEFT(C364,3)="HID",VLOOKUP(VALUE(RIGHT(C364,3)),'HID-COMP'!B:J,9,FALSE),IF(LEFT(C364,3)="INC",VLOOKUP(VALUE(RIGHT(C364,3)),'INC-COMP'!B:J,9,FALSE),IF(LEFT(C364,3)="ELE",VLOOKUP(VALUE(RIGHT(C364,3)),#REF!,9,FALSE),IF(LEFT(C364,3)="CAB",VLOOKUP(VALUE(RIGHT(C364,3)),#REF!,9,FALSE),IF(LEFT(C364,3)="SEG",VLOOKUP(VALUE(RIGHT(C364,3)),'SEG-COMP'!B:J,9,FALSE),IF(LEFT(C364,3)="CLI",VLOOKUP(VALUE(RIGHT(C364,3)),'CLI-COMP'!B:J,9,FALSE),IF(LEFT(C364,4)="IMPL",VLOOKUP(VALUE(RIGHT(C364,3)),'IMPL-COMP'!B:J,9,FALSE),IF(LEFT(C364,4)="SPDA",VLOOKUP(VALUE(RIGHT(C364,3)),'SPDA-COMP'!B:J,9,FALSE),IF(LEFT(C364,4)="SDAI",VLOOKUP(VALUE(RIGHT(C364,3)),'ADM-COMP'!B:J,9,FALSE),IF(LEFT(C364,5)="IMPER",VLOOKUP(VALUE(RIGHT(C364,3)),'IMPER-COMP'!B:J,9,FALSE),""))))))))))))))))</f>
        <v>312.75</v>
      </c>
      <c r="H364" s="339">
        <f t="shared" si="119"/>
        <v>1876.5</v>
      </c>
      <c r="I364" s="374">
        <f>H364/$H$441</f>
        <v>1.0971818461294137E-4</v>
      </c>
      <c r="J364" s="314"/>
    </row>
    <row r="365" spans="1:10" ht="26.4">
      <c r="A365" s="613" t="s">
        <v>35447</v>
      </c>
      <c r="B365" s="337" t="s">
        <v>2879</v>
      </c>
      <c r="C365" s="540">
        <f>170329</f>
        <v>170329</v>
      </c>
      <c r="D365" s="539" t="str">
        <f>IF(B365="IOPES",VLOOKUP(C365,'LABOR-SERVIÇOS'!A:H,5,FALSE),IF(B365="SINAPI",VLOOKUP(C365,'SINAPI-SERVIÇOS'!A:D,2,FALSE),IF(LEFT(C365,3)="ARQ",VLOOKUP(VALUE(RIGHT(C365,3)),'ARQ-COMP'!B:J,4,FALSE),IF(LEFT(C365,3)="SCI",VLOOKUP(VALUE(RIGHT(C365,3)),'GAS-COMP'!#REF!,4,FALSE),IF(LEFT(C365,3)="SCE",VLOOKUP(VALUE(RIGHT(C365,3)),'SCE-COMP'!B:J,4,FALSE),IF(LEFT(C365,3)="EST",VLOOKUP(VALUE(RIGHT(C365,3)),'EST-COMP'!B:J,4,FALSE),IF(LEFT(C365,3)="HID",VLOOKUP(VALUE(RIGHT(C365,3)),'HID-COMP'!B:J,4,FALSE),IF(LEFT(C365,3)="INC",VLOOKUP(VALUE(RIGHT(C365,3)),'INC-COMP'!B:J,4,FALSE),IF(LEFT(C365,3)="ELE",VLOOKUP(VALUE(RIGHT(C365,3)),#REF!,4,FALSE),IF(LEFT(C365,3)="CAB",VLOOKUP(VALUE(RIGHT(C365,3)),#REF!,4,FALSE),IF(LEFT(C365,3)="SEG",VLOOKUP(VALUE(RIGHT(C365,3)),'SEG-COMP'!B:J,4,FALSE),IF(LEFT(C365,3)="CLI",VLOOKUP(VALUE(RIGHT(C365,3)),'CLI-COMP'!B:J,4,FALSE),IF(LEFT(C365,4)="IMPL",VLOOKUP(VALUE(RIGHT(C365,3)),'IMPL-COMP'!B:J,4,FALSE),IF(LEFT(C365,4)="SPDA",VLOOKUP(VALUE(RIGHT(C365,3)),'SPDA-COMP'!B:J,4,FALSE),IF(LEFT(C365,4)="SDAI",VLOOKUP(VALUE(RIGHT(C365,3)),'ADM-COMP'!B:J,4,FALSE),IF(LEFT(C365,5)="IMPER",VLOOKUP(VALUE(RIGHT(C365,3)),'IMPER-COMP'!B:J,4,FALSE),""))))))))))))))))</f>
        <v>REGISTRO DE GAVETA COM CANOPLA CROMADA DIAM. 25MM (1"), MARCAS DE REFERÊNCIA FABRIMAR, DECA OU DOCOL</v>
      </c>
      <c r="E365" s="338" t="str">
        <f>IF(B365="IOPES",VLOOKUP(C365,'LABOR-SERVIÇOS'!A:H,6,FALSE),IF(B365="SINAPI",VLOOKUP(C365,'SINAPI-SERVIÇOS'!A:D,3,FALSE),IF(LEFT(C365,3)="ARQ",VLOOKUP(VALUE(RIGHT(C365,3)),'ARQ-COMP'!B:J,5,FALSE),IF(LEFT(C365,3)="SCI",VLOOKUP(VALUE(RIGHT(C365,3)),'GAS-COMP'!#REF!,5,FALSE),IF(LEFT(C365,3)="SCE",VLOOKUP(VALUE(RIGHT(C365,3)),'SCE-COMP'!B:J,5,FALSE),IF(LEFT(C365,3)="EST",VLOOKUP(VALUE(RIGHT(C365,3)),'EST-COMP'!B:J,5,FALSE),IF(LEFT(C365,3)="HID",VLOOKUP(VALUE(RIGHT(C365,3)),'HID-COMP'!B:J,5,FALSE),IF(LEFT(C365,3)="INC",VLOOKUP(VALUE(RIGHT(C365,3)),'INC-COMP'!B:J,5,FALSE),IF(LEFT(C365,3)="ELE",VLOOKUP(VALUE(RIGHT(C365,3)),#REF!,5,FALSE),IF(LEFT(C365,3)="CAB",VLOOKUP(VALUE(RIGHT(C365,3)),#REF!,5,FALSE),IF(LEFT(C365,3)="SEG",VLOOKUP(VALUE(RIGHT(C365,3)),'SEG-COMP'!B:J,5,FALSE),IF(LEFT(C365,3)="CLI",VLOOKUP(VALUE(RIGHT(C365,3)),'CLI-COMP'!B:J,5,FALSE),IF(LEFT(C365,4)="IMPL",VLOOKUP(VALUE(RIGHT(C365,3)),'IMPL-COMP'!B:J,5,FALSE),IF(LEFT(C365,4)="SPDA",VLOOKUP(VALUE(RIGHT(C365,3)),'SPDA-COMP'!B:J,5,FALSE),IF(LEFT(C365,4)="SDAI",VLOOKUP(VALUE(RIGHT(C365,3)),'ADM-COMP'!B:J,5,FALSE),IF(LEFT(C365,5)="IMPER",VLOOKUP(VALUE(RIGHT(C365,3)),'IMPER-COMP'!B:J,5,FALSE),""))))))))))))))))</f>
        <v>UND</v>
      </c>
      <c r="F365" s="599">
        <f>ROUND(VLOOKUP(A365,'MEM-LEVANT'!A291:I2844,9,FALSE),2)</f>
        <v>18</v>
      </c>
      <c r="G365" s="339">
        <f>IF(B365="IOPES",VLOOKUP(C365,'LABOR-SERVIÇOS'!A:H,7,FALSE),IF(B365="SINAPI",VLOOKUP(C365,'SINAPI-SERVIÇOS'!A:H,8,FALSE),IF(LEFT(C365,3)="ARQ",VLOOKUP(VALUE(RIGHT(C365,3)),'ARQ-COMP'!B:J,9,FALSE),IF(LEFT(C365,3)="SCI",VLOOKUP(VALUE(RIGHT(C365,3)),'GAS-COMP'!#REF!,9,FALSE),IF(LEFT(C365,3)="SCE",VLOOKUP(VALUE(RIGHT(C365,3)),'SCE-COMP'!B:J,9,FALSE),IF(LEFT(C365,3)="EST",VLOOKUP(VALUE(RIGHT(C365,3)),'EST-COMP'!B:J,9,FALSE),IF(LEFT(C365,3)="HID",VLOOKUP(VALUE(RIGHT(C365,3)),'HID-COMP'!B:J,9,FALSE),IF(LEFT(C365,3)="INC",VLOOKUP(VALUE(RIGHT(C365,3)),'INC-COMP'!B:J,9,FALSE),IF(LEFT(C365,3)="ELE",VLOOKUP(VALUE(RIGHT(C365,3)),#REF!,9,FALSE),IF(LEFT(C365,3)="CAB",VLOOKUP(VALUE(RIGHT(C365,3)),#REF!,9,FALSE),IF(LEFT(C365,3)="SEG",VLOOKUP(VALUE(RIGHT(C365,3)),'SEG-COMP'!B:J,9,FALSE),IF(LEFT(C365,3)="CLI",VLOOKUP(VALUE(RIGHT(C365,3)),'CLI-COMP'!B:J,9,FALSE),IF(LEFT(C365,4)="IMPL",VLOOKUP(VALUE(RIGHT(C365,3)),'IMPL-COMP'!B:J,9,FALSE),IF(LEFT(C365,4)="SPDA",VLOOKUP(VALUE(RIGHT(C365,3)),'SPDA-COMP'!B:J,9,FALSE),IF(LEFT(C365,4)="SDAI",VLOOKUP(VALUE(RIGHT(C365,3)),'ADM-COMP'!B:J,9,FALSE),IF(LEFT(C365,5)="IMPER",VLOOKUP(VALUE(RIGHT(C365,3)),'IMPER-COMP'!B:J,9,FALSE),""))))))))))))))))</f>
        <v>233.2</v>
      </c>
      <c r="H365" s="339">
        <f t="shared" si="119"/>
        <v>4197.6000000000004</v>
      </c>
      <c r="I365" s="374">
        <f>H365/$H$441</f>
        <v>2.4543194869772596E-4</v>
      </c>
      <c r="J365" s="314"/>
    </row>
    <row r="366" spans="1:10" ht="26.4">
      <c r="A366" s="613" t="s">
        <v>35448</v>
      </c>
      <c r="B366" s="337" t="s">
        <v>2879</v>
      </c>
      <c r="C366" s="540">
        <f>170330</f>
        <v>170330</v>
      </c>
      <c r="D366" s="539" t="str">
        <f>IF(B366="IOPES",VLOOKUP(C366,'LABOR-SERVIÇOS'!A:H,5,FALSE),IF(B366="SINAPI",VLOOKUP(C366,'SINAPI-SERVIÇOS'!A:D,2,FALSE),IF(LEFT(C366,3)="ARQ",VLOOKUP(VALUE(RIGHT(C366,3)),'ARQ-COMP'!B:J,4,FALSE),IF(LEFT(C366,3)="SCI",VLOOKUP(VALUE(RIGHT(C366,3)),'GAS-COMP'!#REF!,4,FALSE),IF(LEFT(C366,3)="SCE",VLOOKUP(VALUE(RIGHT(C366,3)),'SCE-COMP'!B:J,4,FALSE),IF(LEFT(C366,3)="EST",VLOOKUP(VALUE(RIGHT(C366,3)),'EST-COMP'!B:J,4,FALSE),IF(LEFT(C366,3)="HID",VLOOKUP(VALUE(RIGHT(C366,3)),'HID-COMP'!B:J,4,FALSE),IF(LEFT(C366,3)="INC",VLOOKUP(VALUE(RIGHT(C366,3)),'INC-COMP'!B:J,4,FALSE),IF(LEFT(C366,3)="ELE",VLOOKUP(VALUE(RIGHT(C366,3)),#REF!,4,FALSE),IF(LEFT(C366,3)="CAB",VLOOKUP(VALUE(RIGHT(C366,3)),#REF!,4,FALSE),IF(LEFT(C366,3)="SEG",VLOOKUP(VALUE(RIGHT(C366,3)),'SEG-COMP'!B:J,4,FALSE),IF(LEFT(C366,3)="CLI",VLOOKUP(VALUE(RIGHT(C366,3)),'CLI-COMP'!B:J,4,FALSE),IF(LEFT(C366,4)="IMPL",VLOOKUP(VALUE(RIGHT(C366,3)),'IMPL-COMP'!B:J,4,FALSE),IF(LEFT(C366,4)="SPDA",VLOOKUP(VALUE(RIGHT(C366,3)),'SPDA-COMP'!B:J,4,FALSE),IF(LEFT(C366,4)="SDAI",VLOOKUP(VALUE(RIGHT(C366,3)),'ADM-COMP'!B:J,4,FALSE),IF(LEFT(C366,5)="IMPER",VLOOKUP(VALUE(RIGHT(C366,3)),'IMPER-COMP'!B:J,4,FALSE),""))))))))))))))))</f>
        <v>REGISTRO DE GAVETA COM CANOPLA CROMADA DIAM 32MM (11/4"), MARCAS DE REFERÊNCIA FABRIMAR, DECA OU DOCOL</v>
      </c>
      <c r="E366" s="338" t="str">
        <f>IF(B366="IOPES",VLOOKUP(C366,'LABOR-SERVIÇOS'!A:H,6,FALSE),IF(B366="SINAPI",VLOOKUP(C366,'SINAPI-SERVIÇOS'!A:D,3,FALSE),IF(LEFT(C366,3)="ARQ",VLOOKUP(VALUE(RIGHT(C366,3)),'ARQ-COMP'!B:J,5,FALSE),IF(LEFT(C366,3)="SCI",VLOOKUP(VALUE(RIGHT(C366,3)),'GAS-COMP'!#REF!,5,FALSE),IF(LEFT(C366,3)="SCE",VLOOKUP(VALUE(RIGHT(C366,3)),'SCE-COMP'!B:J,5,FALSE),IF(LEFT(C366,3)="EST",VLOOKUP(VALUE(RIGHT(C366,3)),'EST-COMP'!B:J,5,FALSE),IF(LEFT(C366,3)="HID",VLOOKUP(VALUE(RIGHT(C366,3)),'HID-COMP'!B:J,5,FALSE),IF(LEFT(C366,3)="INC",VLOOKUP(VALUE(RIGHT(C366,3)),'INC-COMP'!B:J,5,FALSE),IF(LEFT(C366,3)="ELE",VLOOKUP(VALUE(RIGHT(C366,3)),#REF!,5,FALSE),IF(LEFT(C366,3)="CAB",VLOOKUP(VALUE(RIGHT(C366,3)),#REF!,5,FALSE),IF(LEFT(C366,3)="SEG",VLOOKUP(VALUE(RIGHT(C366,3)),'SEG-COMP'!B:J,5,FALSE),IF(LEFT(C366,3)="CLI",VLOOKUP(VALUE(RIGHT(C366,3)),'CLI-COMP'!B:J,5,FALSE),IF(LEFT(C366,4)="IMPL",VLOOKUP(VALUE(RIGHT(C366,3)),'IMPL-COMP'!B:J,5,FALSE),IF(LEFT(C366,4)="SPDA",VLOOKUP(VALUE(RIGHT(C366,3)),'SPDA-COMP'!B:J,5,FALSE),IF(LEFT(C366,4)="SDAI",VLOOKUP(VALUE(RIGHT(C366,3)),'ADM-COMP'!B:J,5,FALSE),IF(LEFT(C366,5)="IMPER",VLOOKUP(VALUE(RIGHT(C366,3)),'IMPER-COMP'!B:J,5,FALSE),""))))))))))))))))</f>
        <v>UND</v>
      </c>
      <c r="F366" s="599">
        <f>ROUND(VLOOKUP(A366,'MEM-LEVANT'!A292:I2845,9,FALSE),2)</f>
        <v>18</v>
      </c>
      <c r="G366" s="339">
        <f>IF(B366="IOPES",VLOOKUP(C366,'LABOR-SERVIÇOS'!A:H,7,FALSE),IF(B366="SINAPI",VLOOKUP(C366,'SINAPI-SERVIÇOS'!A:H,8,FALSE),IF(LEFT(C366,3)="ARQ",VLOOKUP(VALUE(RIGHT(C366,3)),'ARQ-COMP'!B:J,9,FALSE),IF(LEFT(C366,3)="SCI",VLOOKUP(VALUE(RIGHT(C366,3)),'GAS-COMP'!#REF!,9,FALSE),IF(LEFT(C366,3)="SCE",VLOOKUP(VALUE(RIGHT(C366,3)),'SCE-COMP'!B:J,9,FALSE),IF(LEFT(C366,3)="EST",VLOOKUP(VALUE(RIGHT(C366,3)),'EST-COMP'!B:J,9,FALSE),IF(LEFT(C366,3)="HID",VLOOKUP(VALUE(RIGHT(C366,3)),'HID-COMP'!B:J,9,FALSE),IF(LEFT(C366,3)="INC",VLOOKUP(VALUE(RIGHT(C366,3)),'INC-COMP'!B:J,9,FALSE),IF(LEFT(C366,3)="ELE",VLOOKUP(VALUE(RIGHT(C366,3)),#REF!,9,FALSE),IF(LEFT(C366,3)="CAB",VLOOKUP(VALUE(RIGHT(C366,3)),#REF!,9,FALSE),IF(LEFT(C366,3)="SEG",VLOOKUP(VALUE(RIGHT(C366,3)),'SEG-COMP'!B:J,9,FALSE),IF(LEFT(C366,3)="CLI",VLOOKUP(VALUE(RIGHT(C366,3)),'CLI-COMP'!B:J,9,FALSE),IF(LEFT(C366,4)="IMPL",VLOOKUP(VALUE(RIGHT(C366,3)),'IMPL-COMP'!B:J,9,FALSE),IF(LEFT(C366,4)="SPDA",VLOOKUP(VALUE(RIGHT(C366,3)),'SPDA-COMP'!B:J,9,FALSE),IF(LEFT(C366,4)="SDAI",VLOOKUP(VALUE(RIGHT(C366,3)),'ADM-COMP'!B:J,9,FALSE),IF(LEFT(C366,5)="IMPER",VLOOKUP(VALUE(RIGHT(C366,3)),'IMPER-COMP'!B:J,9,FALSE),""))))))))))))))))</f>
        <v>295.95</v>
      </c>
      <c r="H366" s="339">
        <f t="shared" ref="H366" si="120">ROUND(F366*G366,2)</f>
        <v>5327.1</v>
      </c>
      <c r="I366" s="374">
        <f>H366/$H$441</f>
        <v>3.1147334998753E-4</v>
      </c>
      <c r="J366" s="314"/>
    </row>
    <row r="367" spans="1:10">
      <c r="A367" s="553" t="s">
        <v>27434</v>
      </c>
      <c r="B367" s="554"/>
      <c r="C367" s="555"/>
      <c r="D367" s="556" t="s">
        <v>1570</v>
      </c>
      <c r="E367" s="557"/>
      <c r="F367" s="598"/>
      <c r="G367" s="558"/>
      <c r="H367" s="559"/>
      <c r="I367" s="560"/>
      <c r="J367" s="314"/>
    </row>
    <row r="368" spans="1:10" ht="52.8">
      <c r="A368" s="613" t="s">
        <v>35449</v>
      </c>
      <c r="B368" s="337" t="s">
        <v>2879</v>
      </c>
      <c r="C368" s="540">
        <f>170510</f>
        <v>170510</v>
      </c>
      <c r="D368" s="539" t="str">
        <f>IF(B368="IOPES",VLOOKUP(C368,'LABOR-SERVIÇOS'!A:H,5,FALSE),IF(B368="SINAPI",VLOOKUP(C368,'SINAPI-SERVIÇOS'!A:D,2,FALSE),IF(LEFT(C368,3)="ARQ",VLOOKUP(VALUE(RIGHT(C368,3)),'ARQ-COMP'!B:J,4,FALSE),IF(LEFT(C368,3)="SCI",VLOOKUP(VALUE(RIGHT(C368,3)),'GAS-COMP'!#REF!,4,FALSE),IF(LEFT(C368,3)="SCE",VLOOKUP(VALUE(RIGHT(C368,3)),'SCE-COMP'!B:J,4,FALSE),IF(LEFT(C368,3)="EST",VLOOKUP(VALUE(RIGHT(C368,3)),'EST-COMP'!B:J,4,FALSE),IF(LEFT(C368,3)="HID",VLOOKUP(VALUE(RIGHT(C368,3)),'HID-COMP'!B:J,4,FALSE),IF(LEFT(C368,3)="INC",VLOOKUP(VALUE(RIGHT(C368,3)),'INC-COMP'!B:J,4,FALSE),IF(LEFT(C368,3)="ELE",VLOOKUP(VALUE(RIGHT(C368,3)),#REF!,4,FALSE),IF(LEFT(C368,3)="CAB",VLOOKUP(VALUE(RIGHT(C368,3)),#REF!,4,FALSE),IF(LEFT(C368,3)="SEG",VLOOKUP(VALUE(RIGHT(C368,3)),'SEG-COMP'!B:J,4,FALSE),IF(LEFT(C368,3)="CLI",VLOOKUP(VALUE(RIGHT(C368,3)),'CLI-COMP'!B:J,4,FALSE),IF(LEFT(C368,4)="IMPL",VLOOKUP(VALUE(RIGHT(C368,3)),'IMPL-COMP'!B:J,4,FALSE),IF(LEFT(C368,4)="SPDA",VLOOKUP(VALUE(RIGHT(C368,3)),'SPDA-COMP'!B:J,4,FALSE),IF(LEFT(C368,4)="SDAI",VLOOKUP(VALUE(RIGHT(C368,3)),'ADM-COMP'!B:J,4,FALSE),IF(LEFT(C368,5)="IMPER",VLOOKUP(VALUE(RIGHT(C368,3)),'IMPER-COMP'!B:J,4,FALSE),""))))))))))))))))</f>
        <v>BEBEDOURO DE AÇO INOX, MARCAS DE REFERÊNCIA FISHER, METALPRESS OU MEKAL, INCLUSIVE VÁLVULA, SIFÃO CROMADO E TORNEIRAS, EXCLUSIVE ALVENARIA, DIM. 0.45X2.75 M, CONFORME DETALHE EM PROJETO</v>
      </c>
      <c r="E368" s="338" t="str">
        <f>IF(B368="IOPES",VLOOKUP(C368,'LABOR-SERVIÇOS'!A:H,6,FALSE),IF(B368="SINAPI",VLOOKUP(C368,'SINAPI-SERVIÇOS'!A:D,3,FALSE),IF(LEFT(C368,3)="ARQ",VLOOKUP(VALUE(RIGHT(C368,3)),'ARQ-COMP'!B:J,5,FALSE),IF(LEFT(C368,3)="SCI",VLOOKUP(VALUE(RIGHT(C368,3)),'GAS-COMP'!#REF!,5,FALSE),IF(LEFT(C368,3)="SCE",VLOOKUP(VALUE(RIGHT(C368,3)),'SCE-COMP'!B:J,5,FALSE),IF(LEFT(C368,3)="EST",VLOOKUP(VALUE(RIGHT(C368,3)),'EST-COMP'!B:J,5,FALSE),IF(LEFT(C368,3)="HID",VLOOKUP(VALUE(RIGHT(C368,3)),'HID-COMP'!B:J,5,FALSE),IF(LEFT(C368,3)="INC",VLOOKUP(VALUE(RIGHT(C368,3)),'INC-COMP'!B:J,5,FALSE),IF(LEFT(C368,3)="ELE",VLOOKUP(VALUE(RIGHT(C368,3)),#REF!,5,FALSE),IF(LEFT(C368,3)="CAB",VLOOKUP(VALUE(RIGHT(C368,3)),#REF!,5,FALSE),IF(LEFT(C368,3)="SEG",VLOOKUP(VALUE(RIGHT(C368,3)),'SEG-COMP'!B:J,5,FALSE),IF(LEFT(C368,3)="CLI",VLOOKUP(VALUE(RIGHT(C368,3)),'CLI-COMP'!B:J,5,FALSE),IF(LEFT(C368,4)="IMPL",VLOOKUP(VALUE(RIGHT(C368,3)),'IMPL-COMP'!B:J,5,FALSE),IF(LEFT(C368,4)="SPDA",VLOOKUP(VALUE(RIGHT(C368,3)),'SPDA-COMP'!B:J,5,FALSE),IF(LEFT(C368,4)="SDAI",VLOOKUP(VALUE(RIGHT(C368,3)),'ADM-COMP'!B:J,5,FALSE),IF(LEFT(C368,5)="IMPER",VLOOKUP(VALUE(RIGHT(C368,3)),'IMPER-COMP'!B:J,5,FALSE),""))))))))))))))))</f>
        <v>UND</v>
      </c>
      <c r="F368" s="599">
        <f>ROUND(VLOOKUP(A368,'MEM-LEVANT'!A295:I2848,9,FALSE),2)</f>
        <v>8</v>
      </c>
      <c r="G368" s="339">
        <f>IF(B368="IOPES",VLOOKUP(C368,'LABOR-SERVIÇOS'!A:H,7,FALSE),IF(B368="SINAPI",VLOOKUP(C368,'SINAPI-SERVIÇOS'!A:H,8,FALSE),IF(LEFT(C368,3)="ARQ",VLOOKUP(VALUE(RIGHT(C368,3)),'ARQ-COMP'!B:J,9,FALSE),IF(LEFT(C368,3)="SCI",VLOOKUP(VALUE(RIGHT(C368,3)),'GAS-COMP'!#REF!,9,FALSE),IF(LEFT(C368,3)="SCE",VLOOKUP(VALUE(RIGHT(C368,3)),'SCE-COMP'!B:J,9,FALSE),IF(LEFT(C368,3)="EST",VLOOKUP(VALUE(RIGHT(C368,3)),'EST-COMP'!B:J,9,FALSE),IF(LEFT(C368,3)="HID",VLOOKUP(VALUE(RIGHT(C368,3)),'HID-COMP'!B:J,9,FALSE),IF(LEFT(C368,3)="INC",VLOOKUP(VALUE(RIGHT(C368,3)),'INC-COMP'!B:J,9,FALSE),IF(LEFT(C368,3)="ELE",VLOOKUP(VALUE(RIGHT(C368,3)),#REF!,9,FALSE),IF(LEFT(C368,3)="CAB",VLOOKUP(VALUE(RIGHT(C368,3)),#REF!,9,FALSE),IF(LEFT(C368,3)="SEG",VLOOKUP(VALUE(RIGHT(C368,3)),'SEG-COMP'!B:J,9,FALSE),IF(LEFT(C368,3)="CLI",VLOOKUP(VALUE(RIGHT(C368,3)),'CLI-COMP'!B:J,9,FALSE),IF(LEFT(C368,4)="IMPL",VLOOKUP(VALUE(RIGHT(C368,3)),'IMPL-COMP'!B:J,9,FALSE),IF(LEFT(C368,4)="SPDA",VLOOKUP(VALUE(RIGHT(C368,3)),'SPDA-COMP'!B:J,9,FALSE),IF(LEFT(C368,4)="SDAI",VLOOKUP(VALUE(RIGHT(C368,3)),'ADM-COMP'!B:J,9,FALSE),IF(LEFT(C368,5)="IMPER",VLOOKUP(VALUE(RIGHT(C368,3)),'IMPER-COMP'!B:J,9,FALSE),""))))))))))))))))</f>
        <v>6905.93</v>
      </c>
      <c r="H368" s="339">
        <f t="shared" ref="H368:H373" si="121">ROUND(F368*G368,2)</f>
        <v>55247.44</v>
      </c>
      <c r="I368" s="374">
        <f t="shared" ref="I368:I373" si="122">H368/$H$441</f>
        <v>3.2302951352584076E-3</v>
      </c>
      <c r="J368" s="314"/>
    </row>
    <row r="369" spans="1:10" ht="52.8">
      <c r="A369" s="613" t="s">
        <v>35450</v>
      </c>
      <c r="B369" s="337" t="s">
        <v>2879</v>
      </c>
      <c r="C369" s="540">
        <f>170512</f>
        <v>170512</v>
      </c>
      <c r="D369" s="539" t="str">
        <f>IF(B369="IOPES",VLOOKUP(C369,'LABOR-SERVIÇOS'!A:H,5,FALSE),IF(B369="SINAPI",VLOOKUP(C369,'SINAPI-SERVIÇOS'!A:D,2,FALSE),IF(LEFT(C369,3)="ARQ",VLOOKUP(VALUE(RIGHT(C369,3)),'ARQ-COMP'!B:J,4,FALSE),IF(LEFT(C369,3)="SCI",VLOOKUP(VALUE(RIGHT(C369,3)),'GAS-COMP'!#REF!,4,FALSE),IF(LEFT(C369,3)="SCE",VLOOKUP(VALUE(RIGHT(C369,3)),'SCE-COMP'!B:J,4,FALSE),IF(LEFT(C369,3)="EST",VLOOKUP(VALUE(RIGHT(C369,3)),'EST-COMP'!B:J,4,FALSE),IF(LEFT(C369,3)="HID",VLOOKUP(VALUE(RIGHT(C369,3)),'HID-COMP'!B:J,4,FALSE),IF(LEFT(C369,3)="INC",VLOOKUP(VALUE(RIGHT(C369,3)),'INC-COMP'!B:J,4,FALSE),IF(LEFT(C369,3)="ELE",VLOOKUP(VALUE(RIGHT(C369,3)),#REF!,4,FALSE),IF(LEFT(C369,3)="CAB",VLOOKUP(VALUE(RIGHT(C369,3)),#REF!,4,FALSE),IF(LEFT(C369,3)="SEG",VLOOKUP(VALUE(RIGHT(C369,3)),'SEG-COMP'!B:J,4,FALSE),IF(LEFT(C369,3)="CLI",VLOOKUP(VALUE(RIGHT(C369,3)),'CLI-COMP'!B:J,4,FALSE),IF(LEFT(C369,4)="IMPL",VLOOKUP(VALUE(RIGHT(C369,3)),'IMPL-COMP'!B:J,4,FALSE),IF(LEFT(C369,4)="SPDA",VLOOKUP(VALUE(RIGHT(C369,3)),'SPDA-COMP'!B:J,4,FALSE),IF(LEFT(C369,4)="SDAI",VLOOKUP(VALUE(RIGHT(C369,3)),'ADM-COMP'!B:J,4,FALSE),IF(LEFT(C369,5)="IMPER",VLOOKUP(VALUE(RIGHT(C369,3)),'IMPER-COMP'!B:J,4,FALSE),""))))))))))))))))</f>
        <v>CUBA DE AÇO INOX N° 1(DIM.460X300X150)MM, MARCAS DE REFERÊNCIA FRANKE, STRAKE, TRAMONTINA, INCLUSIVE VÁLVULA DE METAL 31/2" E SIFÃO CROMADO 1 X 1/2", EXCL. TORNEIRA</v>
      </c>
      <c r="E369" s="338" t="str">
        <f>IF(B369="IOPES",VLOOKUP(C369,'LABOR-SERVIÇOS'!A:H,6,FALSE),IF(B369="SINAPI",VLOOKUP(C369,'SINAPI-SERVIÇOS'!A:D,3,FALSE),IF(LEFT(C369,3)="ARQ",VLOOKUP(VALUE(RIGHT(C369,3)),'ARQ-COMP'!B:J,5,FALSE),IF(LEFT(C369,3)="SCI",VLOOKUP(VALUE(RIGHT(C369,3)),'GAS-COMP'!#REF!,5,FALSE),IF(LEFT(C369,3)="SCE",VLOOKUP(VALUE(RIGHT(C369,3)),'SCE-COMP'!B:J,5,FALSE),IF(LEFT(C369,3)="EST",VLOOKUP(VALUE(RIGHT(C369,3)),'EST-COMP'!B:J,5,FALSE),IF(LEFT(C369,3)="HID",VLOOKUP(VALUE(RIGHT(C369,3)),'HID-COMP'!B:J,5,FALSE),IF(LEFT(C369,3)="INC",VLOOKUP(VALUE(RIGHT(C369,3)),'INC-COMP'!B:J,5,FALSE),IF(LEFT(C369,3)="ELE",VLOOKUP(VALUE(RIGHT(C369,3)),#REF!,5,FALSE),IF(LEFT(C369,3)="CAB",VLOOKUP(VALUE(RIGHT(C369,3)),#REF!,5,FALSE),IF(LEFT(C369,3)="SEG",VLOOKUP(VALUE(RIGHT(C369,3)),'SEG-COMP'!B:J,5,FALSE),IF(LEFT(C369,3)="CLI",VLOOKUP(VALUE(RIGHT(C369,3)),'CLI-COMP'!B:J,5,FALSE),IF(LEFT(C369,4)="IMPL",VLOOKUP(VALUE(RIGHT(C369,3)),'IMPL-COMP'!B:J,5,FALSE),IF(LEFT(C369,4)="SPDA",VLOOKUP(VALUE(RIGHT(C369,3)),'SPDA-COMP'!B:J,5,FALSE),IF(LEFT(C369,4)="SDAI",VLOOKUP(VALUE(RIGHT(C369,3)),'ADM-COMP'!B:J,5,FALSE),IF(LEFT(C369,5)="IMPER",VLOOKUP(VALUE(RIGHT(C369,3)),'IMPER-COMP'!B:J,5,FALSE),""))))))))))))))))</f>
        <v>UND</v>
      </c>
      <c r="F369" s="599">
        <f>ROUND(VLOOKUP(A369,'MEM-LEVANT'!A295:I2849,9,FALSE),2)</f>
        <v>6</v>
      </c>
      <c r="G369" s="339">
        <f>IF(B369="IOPES",VLOOKUP(C369,'LABOR-SERVIÇOS'!A:H,7,FALSE),IF(B369="SINAPI",VLOOKUP(C369,'SINAPI-SERVIÇOS'!A:H,8,FALSE),IF(LEFT(C369,3)="ARQ",VLOOKUP(VALUE(RIGHT(C369,3)),'ARQ-COMP'!B:J,9,FALSE),IF(LEFT(C369,3)="SCI",VLOOKUP(VALUE(RIGHT(C369,3)),'GAS-COMP'!#REF!,9,FALSE),IF(LEFT(C369,3)="SCE",VLOOKUP(VALUE(RIGHT(C369,3)),'SCE-COMP'!B:J,9,FALSE),IF(LEFT(C369,3)="EST",VLOOKUP(VALUE(RIGHT(C369,3)),'EST-COMP'!B:J,9,FALSE),IF(LEFT(C369,3)="HID",VLOOKUP(VALUE(RIGHT(C369,3)),'HID-COMP'!B:J,9,FALSE),IF(LEFT(C369,3)="INC",VLOOKUP(VALUE(RIGHT(C369,3)),'INC-COMP'!B:J,9,FALSE),IF(LEFT(C369,3)="ELE",VLOOKUP(VALUE(RIGHT(C369,3)),#REF!,9,FALSE),IF(LEFT(C369,3)="CAB",VLOOKUP(VALUE(RIGHT(C369,3)),#REF!,9,FALSE),IF(LEFT(C369,3)="SEG",VLOOKUP(VALUE(RIGHT(C369,3)),'SEG-COMP'!B:J,9,FALSE),IF(LEFT(C369,3)="CLI",VLOOKUP(VALUE(RIGHT(C369,3)),'CLI-COMP'!B:J,9,FALSE),IF(LEFT(C369,4)="IMPL",VLOOKUP(VALUE(RIGHT(C369,3)),'IMPL-COMP'!B:J,9,FALSE),IF(LEFT(C369,4)="SPDA",VLOOKUP(VALUE(RIGHT(C369,3)),'SPDA-COMP'!B:J,9,FALSE),IF(LEFT(C369,4)="SDAI",VLOOKUP(VALUE(RIGHT(C369,3)),'ADM-COMP'!B:J,9,FALSE),IF(LEFT(C369,5)="IMPER",VLOOKUP(VALUE(RIGHT(C369,3)),'IMPER-COMP'!B:J,9,FALSE),""))))))))))))))))</f>
        <v>685.68</v>
      </c>
      <c r="H369" s="339">
        <f t="shared" si="121"/>
        <v>4114.08</v>
      </c>
      <c r="I369" s="374">
        <f t="shared" si="122"/>
        <v>2.4054856858641611E-4</v>
      </c>
      <c r="J369" s="314"/>
    </row>
    <row r="370" spans="1:10" ht="52.8">
      <c r="A370" s="613" t="s">
        <v>35451</v>
      </c>
      <c r="B370" s="337" t="s">
        <v>2879</v>
      </c>
      <c r="C370" s="540">
        <f>170514</f>
        <v>170514</v>
      </c>
      <c r="D370" s="539" t="str">
        <f>IF(B370="IOPES",VLOOKUP(C370,'LABOR-SERVIÇOS'!A:H,5,FALSE),IF(B370="SINAPI",VLOOKUP(C370,'SINAPI-SERVIÇOS'!A:D,2,FALSE),IF(LEFT(C370,3)="ARQ",VLOOKUP(VALUE(RIGHT(C370,3)),'ARQ-COMP'!B:J,4,FALSE),IF(LEFT(C370,3)="SCI",VLOOKUP(VALUE(RIGHT(C370,3)),'GAS-COMP'!#REF!,4,FALSE),IF(LEFT(C370,3)="SCE",VLOOKUP(VALUE(RIGHT(C370,3)),'SCE-COMP'!B:J,4,FALSE),IF(LEFT(C370,3)="EST",VLOOKUP(VALUE(RIGHT(C370,3)),'EST-COMP'!B:J,4,FALSE),IF(LEFT(C370,3)="HID",VLOOKUP(VALUE(RIGHT(C370,3)),'HID-COMP'!B:J,4,FALSE),IF(LEFT(C370,3)="INC",VLOOKUP(VALUE(RIGHT(C370,3)),'INC-COMP'!B:J,4,FALSE),IF(LEFT(C370,3)="ELE",VLOOKUP(VALUE(RIGHT(C370,3)),#REF!,4,FALSE),IF(LEFT(C370,3)="CAB",VLOOKUP(VALUE(RIGHT(C370,3)),#REF!,4,FALSE),IF(LEFT(C370,3)="SEG",VLOOKUP(VALUE(RIGHT(C370,3)),'SEG-COMP'!B:J,4,FALSE),IF(LEFT(C370,3)="CLI",VLOOKUP(VALUE(RIGHT(C370,3)),'CLI-COMP'!B:J,4,FALSE),IF(LEFT(C370,4)="IMPL",VLOOKUP(VALUE(RIGHT(C370,3)),'IMPL-COMP'!B:J,4,FALSE),IF(LEFT(C370,4)="SPDA",VLOOKUP(VALUE(RIGHT(C370,3)),'SPDA-COMP'!B:J,4,FALSE),IF(LEFT(C370,4)="SDAI",VLOOKUP(VALUE(RIGHT(C370,3)),'ADM-COMP'!B:J,4,FALSE),IF(LEFT(C370,5)="IMPER",VLOOKUP(VALUE(RIGHT(C370,3)),'IMPER-COMP'!B:J,4,FALSE),""))))))))))))))))</f>
        <v>TANQUE SIMPLES DE AÇO INOX FISCHER, MOD. TQ1-S AISI 304, OU EQUIVALENTE NAS MARCAS METALPRESS OU MEKAL, INCLUSIVE VÁLVULA DE METAL 1 1/4" E SIFÃO CROMADO 2", EXCL. TORNEIRA</v>
      </c>
      <c r="E370" s="338" t="str">
        <f>IF(B370="IOPES",VLOOKUP(C370,'LABOR-SERVIÇOS'!A:H,6,FALSE),IF(B370="SINAPI",VLOOKUP(C370,'SINAPI-SERVIÇOS'!A:D,3,FALSE),IF(LEFT(C370,3)="ARQ",VLOOKUP(VALUE(RIGHT(C370,3)),'ARQ-COMP'!B:J,5,FALSE),IF(LEFT(C370,3)="SCI",VLOOKUP(VALUE(RIGHT(C370,3)),'GAS-COMP'!#REF!,5,FALSE),IF(LEFT(C370,3)="SCE",VLOOKUP(VALUE(RIGHT(C370,3)),'SCE-COMP'!B:J,5,FALSE),IF(LEFT(C370,3)="EST",VLOOKUP(VALUE(RIGHT(C370,3)),'EST-COMP'!B:J,5,FALSE),IF(LEFT(C370,3)="HID",VLOOKUP(VALUE(RIGHT(C370,3)),'HID-COMP'!B:J,5,FALSE),IF(LEFT(C370,3)="INC",VLOOKUP(VALUE(RIGHT(C370,3)),'INC-COMP'!B:J,5,FALSE),IF(LEFT(C370,3)="ELE",VLOOKUP(VALUE(RIGHT(C370,3)),#REF!,5,FALSE),IF(LEFT(C370,3)="CAB",VLOOKUP(VALUE(RIGHT(C370,3)),#REF!,5,FALSE),IF(LEFT(C370,3)="SEG",VLOOKUP(VALUE(RIGHT(C370,3)),'SEG-COMP'!B:J,5,FALSE),IF(LEFT(C370,3)="CLI",VLOOKUP(VALUE(RIGHT(C370,3)),'CLI-COMP'!B:J,5,FALSE),IF(LEFT(C370,4)="IMPL",VLOOKUP(VALUE(RIGHT(C370,3)),'IMPL-COMP'!B:J,5,FALSE),IF(LEFT(C370,4)="SPDA",VLOOKUP(VALUE(RIGHT(C370,3)),'SPDA-COMP'!B:J,5,FALSE),IF(LEFT(C370,4)="SDAI",VLOOKUP(VALUE(RIGHT(C370,3)),'ADM-COMP'!B:J,5,FALSE),IF(LEFT(C370,5)="IMPER",VLOOKUP(VALUE(RIGHT(C370,3)),'IMPER-COMP'!B:J,5,FALSE),""))))))))))))))))</f>
        <v>UND</v>
      </c>
      <c r="F370" s="599">
        <f>ROUND(VLOOKUP(A370,'MEM-LEVANT'!A295:I2850,9,FALSE),2)</f>
        <v>2</v>
      </c>
      <c r="G370" s="339">
        <f>IF(B370="IOPES",VLOOKUP(C370,'LABOR-SERVIÇOS'!A:H,7,FALSE),IF(B370="SINAPI",VLOOKUP(C370,'SINAPI-SERVIÇOS'!A:H,8,FALSE),IF(LEFT(C370,3)="ARQ",VLOOKUP(VALUE(RIGHT(C370,3)),'ARQ-COMP'!B:J,9,FALSE),IF(LEFT(C370,3)="SCI",VLOOKUP(VALUE(RIGHT(C370,3)),'GAS-COMP'!#REF!,9,FALSE),IF(LEFT(C370,3)="SCE",VLOOKUP(VALUE(RIGHT(C370,3)),'SCE-COMP'!B:J,9,FALSE),IF(LEFT(C370,3)="EST",VLOOKUP(VALUE(RIGHT(C370,3)),'EST-COMP'!B:J,9,FALSE),IF(LEFT(C370,3)="HID",VLOOKUP(VALUE(RIGHT(C370,3)),'HID-COMP'!B:J,9,FALSE),IF(LEFT(C370,3)="INC",VLOOKUP(VALUE(RIGHT(C370,3)),'INC-COMP'!B:J,9,FALSE),IF(LEFT(C370,3)="ELE",VLOOKUP(VALUE(RIGHT(C370,3)),#REF!,9,FALSE),IF(LEFT(C370,3)="CAB",VLOOKUP(VALUE(RIGHT(C370,3)),#REF!,9,FALSE),IF(LEFT(C370,3)="SEG",VLOOKUP(VALUE(RIGHT(C370,3)),'SEG-COMP'!B:J,9,FALSE),IF(LEFT(C370,3)="CLI",VLOOKUP(VALUE(RIGHT(C370,3)),'CLI-COMP'!B:J,9,FALSE),IF(LEFT(C370,4)="IMPL",VLOOKUP(VALUE(RIGHT(C370,3)),'IMPL-COMP'!B:J,9,FALSE),IF(LEFT(C370,4)="SPDA",VLOOKUP(VALUE(RIGHT(C370,3)),'SPDA-COMP'!B:J,9,FALSE),IF(LEFT(C370,4)="SDAI",VLOOKUP(VALUE(RIGHT(C370,3)),'ADM-COMP'!B:J,9,FALSE),IF(LEFT(C370,5)="IMPER",VLOOKUP(VALUE(RIGHT(C370,3)),'IMPER-COMP'!B:J,9,FALSE),""))))))))))))))))</f>
        <v>2562.4899999999998</v>
      </c>
      <c r="H370" s="339">
        <f t="shared" si="121"/>
        <v>5124.9799999999996</v>
      </c>
      <c r="I370" s="374">
        <f t="shared" si="122"/>
        <v>2.9965547656681706E-4</v>
      </c>
      <c r="J370" s="314"/>
    </row>
    <row r="371" spans="1:10" ht="39.6">
      <c r="A371" s="613" t="s">
        <v>35452</v>
      </c>
      <c r="B371" s="337" t="s">
        <v>2879</v>
      </c>
      <c r="C371" s="540">
        <f>170561</f>
        <v>170561</v>
      </c>
      <c r="D371" s="539" t="str">
        <f>IF(B371="IOPES",VLOOKUP(C371,'LABOR-SERVIÇOS'!A:H,5,FALSE),IF(B371="SINAPI",VLOOKUP(C371,'SINAPI-SERVIÇOS'!A:D,2,FALSE),IF(LEFT(C371,3)="ARQ",VLOOKUP(VALUE(RIGHT(C371,3)),'ARQ-COMP'!B:J,4,FALSE),IF(LEFT(C371,3)="SCI",VLOOKUP(VALUE(RIGHT(C371,3)),'GAS-COMP'!#REF!,4,FALSE),IF(LEFT(C371,3)="SCE",VLOOKUP(VALUE(RIGHT(C371,3)),'SCE-COMP'!B:J,4,FALSE),IF(LEFT(C371,3)="EST",VLOOKUP(VALUE(RIGHT(C371,3)),'EST-COMP'!B:J,4,FALSE),IF(LEFT(C371,3)="HID",VLOOKUP(VALUE(RIGHT(C371,3)),'HID-COMP'!B:J,4,FALSE),IF(LEFT(C371,3)="INC",VLOOKUP(VALUE(RIGHT(C371,3)),'INC-COMP'!B:J,4,FALSE),IF(LEFT(C371,3)="ELE",VLOOKUP(VALUE(RIGHT(C371,3)),#REF!,4,FALSE),IF(LEFT(C371,3)="CAB",VLOOKUP(VALUE(RIGHT(C371,3)),#REF!,4,FALSE),IF(LEFT(C371,3)="SEG",VLOOKUP(VALUE(RIGHT(C371,3)),'SEG-COMP'!B:J,4,FALSE),IF(LEFT(C371,3)="CLI",VLOOKUP(VALUE(RIGHT(C371,3)),'CLI-COMP'!B:J,4,FALSE),IF(LEFT(C371,4)="IMPL",VLOOKUP(VALUE(RIGHT(C371,3)),'IMPL-COMP'!B:J,4,FALSE),IF(LEFT(C371,4)="SPDA",VLOOKUP(VALUE(RIGHT(C371,3)),'SPDA-COMP'!B:J,4,FALSE),IF(LEFT(C371,4)="SDAI",VLOOKUP(VALUE(RIGHT(C371,3)),'ADM-COMP'!B:J,4,FALSE),IF(LEFT(C371,5)="IMPER",VLOOKUP(VALUE(RIGHT(C371,3)),'IMPER-COMP'!B:J,4,FALSE),""))))))))))))))))</f>
        <v>RESERVATÓRIO DE POLIETILENO DE 15.000L, INCLUSIVE PEÇA DE MADEIRA 5 X 16CM PARA APOIO, EXCLUSIVE FLANGES E TORNEIRAS DE BOIA</v>
      </c>
      <c r="E371" s="338" t="str">
        <f>IF(B371="IOPES",VLOOKUP(C371,'LABOR-SERVIÇOS'!A:H,6,FALSE),IF(B371="SINAPI",VLOOKUP(C371,'SINAPI-SERVIÇOS'!A:D,3,FALSE),IF(LEFT(C371,3)="ARQ",VLOOKUP(VALUE(RIGHT(C371,3)),'ARQ-COMP'!B:J,5,FALSE),IF(LEFT(C371,3)="SCI",VLOOKUP(VALUE(RIGHT(C371,3)),'GAS-COMP'!#REF!,5,FALSE),IF(LEFT(C371,3)="SCE",VLOOKUP(VALUE(RIGHT(C371,3)),'SCE-COMP'!B:J,5,FALSE),IF(LEFT(C371,3)="EST",VLOOKUP(VALUE(RIGHT(C371,3)),'EST-COMP'!B:J,5,FALSE),IF(LEFT(C371,3)="HID",VLOOKUP(VALUE(RIGHT(C371,3)),'HID-COMP'!B:J,5,FALSE),IF(LEFT(C371,3)="INC",VLOOKUP(VALUE(RIGHT(C371,3)),'INC-COMP'!B:J,5,FALSE),IF(LEFT(C371,3)="ELE",VLOOKUP(VALUE(RIGHT(C371,3)),#REF!,5,FALSE),IF(LEFT(C371,3)="CAB",VLOOKUP(VALUE(RIGHT(C371,3)),#REF!,5,FALSE),IF(LEFT(C371,3)="SEG",VLOOKUP(VALUE(RIGHT(C371,3)),'SEG-COMP'!B:J,5,FALSE),IF(LEFT(C371,3)="CLI",VLOOKUP(VALUE(RIGHT(C371,3)),'CLI-COMP'!B:J,5,FALSE),IF(LEFT(C371,4)="IMPL",VLOOKUP(VALUE(RIGHT(C371,3)),'IMPL-COMP'!B:J,5,FALSE),IF(LEFT(C371,4)="SPDA",VLOOKUP(VALUE(RIGHT(C371,3)),'SPDA-COMP'!B:J,5,FALSE),IF(LEFT(C371,4)="SDAI",VLOOKUP(VALUE(RIGHT(C371,3)),'ADM-COMP'!B:J,5,FALSE),IF(LEFT(C371,5)="IMPER",VLOOKUP(VALUE(RIGHT(C371,3)),'IMPER-COMP'!B:J,5,FALSE),""))))))))))))))))</f>
        <v>UND</v>
      </c>
      <c r="F371" s="599">
        <f>ROUND(VLOOKUP(A371,'MEM-LEVANT'!A295:I2851,9,FALSE),2)</f>
        <v>6</v>
      </c>
      <c r="G371" s="339">
        <f>IF(B371="IOPES",VLOOKUP(C371,'LABOR-SERVIÇOS'!A:H,7,FALSE),IF(B371="SINAPI",VLOOKUP(C371,'SINAPI-SERVIÇOS'!A:H,8,FALSE),IF(LEFT(C371,3)="ARQ",VLOOKUP(VALUE(RIGHT(C371,3)),'ARQ-COMP'!B:J,9,FALSE),IF(LEFT(C371,3)="SCI",VLOOKUP(VALUE(RIGHT(C371,3)),'GAS-COMP'!#REF!,9,FALSE),IF(LEFT(C371,3)="SCE",VLOOKUP(VALUE(RIGHT(C371,3)),'SCE-COMP'!B:J,9,FALSE),IF(LEFT(C371,3)="EST",VLOOKUP(VALUE(RIGHT(C371,3)),'EST-COMP'!B:J,9,FALSE),IF(LEFT(C371,3)="HID",VLOOKUP(VALUE(RIGHT(C371,3)),'HID-COMP'!B:J,9,FALSE),IF(LEFT(C371,3)="INC",VLOOKUP(VALUE(RIGHT(C371,3)),'INC-COMP'!B:J,9,FALSE),IF(LEFT(C371,3)="ELE",VLOOKUP(VALUE(RIGHT(C371,3)),#REF!,9,FALSE),IF(LEFT(C371,3)="CAB",VLOOKUP(VALUE(RIGHT(C371,3)),#REF!,9,FALSE),IF(LEFT(C371,3)="SEG",VLOOKUP(VALUE(RIGHT(C371,3)),'SEG-COMP'!B:J,9,FALSE),IF(LEFT(C371,3)="CLI",VLOOKUP(VALUE(RIGHT(C371,3)),'CLI-COMP'!B:J,9,FALSE),IF(LEFT(C371,4)="IMPL",VLOOKUP(VALUE(RIGHT(C371,3)),'IMPL-COMP'!B:J,9,FALSE),IF(LEFT(C371,4)="SPDA",VLOOKUP(VALUE(RIGHT(C371,3)),'SPDA-COMP'!B:J,9,FALSE),IF(LEFT(C371,4)="SDAI",VLOOKUP(VALUE(RIGHT(C371,3)),'ADM-COMP'!B:J,9,FALSE),IF(LEFT(C371,5)="IMPER",VLOOKUP(VALUE(RIGHT(C371,3)),'IMPER-COMP'!B:J,9,FALSE),""))))))))))))))))</f>
        <v>16363.27</v>
      </c>
      <c r="H371" s="339">
        <f t="shared" si="121"/>
        <v>98179.62</v>
      </c>
      <c r="I371" s="374">
        <f t="shared" si="122"/>
        <v>5.7405220742810714E-3</v>
      </c>
      <c r="J371" s="314"/>
    </row>
    <row r="372" spans="1:10" ht="26.4">
      <c r="A372" s="613" t="s">
        <v>35453</v>
      </c>
      <c r="B372" s="337" t="s">
        <v>2879</v>
      </c>
      <c r="C372" s="540">
        <f>170562</f>
        <v>170562</v>
      </c>
      <c r="D372" s="539" t="str">
        <f>IF(B372="IOPES",VLOOKUP(C372,'LABOR-SERVIÇOS'!A:H,5,FALSE),IF(B372="SINAPI",VLOOKUP(C372,'SINAPI-SERVIÇOS'!A:D,2,FALSE),IF(LEFT(C372,3)="ARQ",VLOOKUP(VALUE(RIGHT(C372,3)),'ARQ-COMP'!B:J,4,FALSE),IF(LEFT(C372,3)="SCI",VLOOKUP(VALUE(RIGHT(C372,3)),'GAS-COMP'!#REF!,4,FALSE),IF(LEFT(C372,3)="SCE",VLOOKUP(VALUE(RIGHT(C372,3)),'SCE-COMP'!B:J,4,FALSE),IF(LEFT(C372,3)="EST",VLOOKUP(VALUE(RIGHT(C372,3)),'EST-COMP'!B:J,4,FALSE),IF(LEFT(C372,3)="HID",VLOOKUP(VALUE(RIGHT(C372,3)),'HID-COMP'!B:J,4,FALSE),IF(LEFT(C372,3)="INC",VLOOKUP(VALUE(RIGHT(C372,3)),'INC-COMP'!B:J,4,FALSE),IF(LEFT(C372,3)="ELE",VLOOKUP(VALUE(RIGHT(C372,3)),#REF!,4,FALSE),IF(LEFT(C372,3)="CAB",VLOOKUP(VALUE(RIGHT(C372,3)),#REF!,4,FALSE),IF(LEFT(C372,3)="SEG",VLOOKUP(VALUE(RIGHT(C372,3)),'SEG-COMP'!B:J,4,FALSE),IF(LEFT(C372,3)="CLI",VLOOKUP(VALUE(RIGHT(C372,3)),'CLI-COMP'!B:J,4,FALSE),IF(LEFT(C372,4)="IMPL",VLOOKUP(VALUE(RIGHT(C372,3)),'IMPL-COMP'!B:J,4,FALSE),IF(LEFT(C372,4)="SPDA",VLOOKUP(VALUE(RIGHT(C372,3)),'SPDA-COMP'!B:J,4,FALSE),IF(LEFT(C372,4)="SDAI",VLOOKUP(VALUE(RIGHT(C372,3)),'ADM-COMP'!B:J,4,FALSE),IF(LEFT(C372,5)="IMPER",VLOOKUP(VALUE(RIGHT(C372,3)),'IMPER-COMP'!B:J,4,FALSE),""))))))))))))))))</f>
        <v>BEBEDOURO ELÉTRICO DE PRESSÃO PARA ACESSIBILIDADE BDF300 PNE ? IBBL OU EQUIVALENTE</v>
      </c>
      <c r="E372" s="338" t="str">
        <f>IF(B372="IOPES",VLOOKUP(C372,'LABOR-SERVIÇOS'!A:H,6,FALSE),IF(B372="SINAPI",VLOOKUP(C372,'SINAPI-SERVIÇOS'!A:D,3,FALSE),IF(LEFT(C372,3)="ARQ",VLOOKUP(VALUE(RIGHT(C372,3)),'ARQ-COMP'!B:J,5,FALSE),IF(LEFT(C372,3)="SCI",VLOOKUP(VALUE(RIGHT(C372,3)),'GAS-COMP'!#REF!,5,FALSE),IF(LEFT(C372,3)="SCE",VLOOKUP(VALUE(RIGHT(C372,3)),'SCE-COMP'!B:J,5,FALSE),IF(LEFT(C372,3)="EST",VLOOKUP(VALUE(RIGHT(C372,3)),'EST-COMP'!B:J,5,FALSE),IF(LEFT(C372,3)="HID",VLOOKUP(VALUE(RIGHT(C372,3)),'HID-COMP'!B:J,5,FALSE),IF(LEFT(C372,3)="INC",VLOOKUP(VALUE(RIGHT(C372,3)),'INC-COMP'!B:J,5,FALSE),IF(LEFT(C372,3)="ELE",VLOOKUP(VALUE(RIGHT(C372,3)),#REF!,5,FALSE),IF(LEFT(C372,3)="CAB",VLOOKUP(VALUE(RIGHT(C372,3)),#REF!,5,FALSE),IF(LEFT(C372,3)="SEG",VLOOKUP(VALUE(RIGHT(C372,3)),'SEG-COMP'!B:J,5,FALSE),IF(LEFT(C372,3)="CLI",VLOOKUP(VALUE(RIGHT(C372,3)),'CLI-COMP'!B:J,5,FALSE),IF(LEFT(C372,4)="IMPL",VLOOKUP(VALUE(RIGHT(C372,3)),'IMPL-COMP'!B:J,5,FALSE),IF(LEFT(C372,4)="SPDA",VLOOKUP(VALUE(RIGHT(C372,3)),'SPDA-COMP'!B:J,5,FALSE),IF(LEFT(C372,4)="SDAI",VLOOKUP(VALUE(RIGHT(C372,3)),'ADM-COMP'!B:J,5,FALSE),IF(LEFT(C372,5)="IMPER",VLOOKUP(VALUE(RIGHT(C372,3)),'IMPER-COMP'!B:J,5,FALSE),""))))))))))))))))</f>
        <v>UND</v>
      </c>
      <c r="F372" s="599">
        <f>ROUND(VLOOKUP(A372,'MEM-LEVANT'!A295:I2852,9,FALSE),2)</f>
        <v>4</v>
      </c>
      <c r="G372" s="339">
        <f>IF(B372="IOPES",VLOOKUP(C372,'LABOR-SERVIÇOS'!A:H,7,FALSE),IF(B372="SINAPI",VLOOKUP(C372,'SINAPI-SERVIÇOS'!A:H,8,FALSE),IF(LEFT(C372,3)="ARQ",VLOOKUP(VALUE(RIGHT(C372,3)),'ARQ-COMP'!B:J,9,FALSE),IF(LEFT(C372,3)="SCI",VLOOKUP(VALUE(RIGHT(C372,3)),'GAS-COMP'!#REF!,9,FALSE),IF(LEFT(C372,3)="SCE",VLOOKUP(VALUE(RIGHT(C372,3)),'SCE-COMP'!B:J,9,FALSE),IF(LEFT(C372,3)="EST",VLOOKUP(VALUE(RIGHT(C372,3)),'EST-COMP'!B:J,9,FALSE),IF(LEFT(C372,3)="HID",VLOOKUP(VALUE(RIGHT(C372,3)),'HID-COMP'!B:J,9,FALSE),IF(LEFT(C372,3)="INC",VLOOKUP(VALUE(RIGHT(C372,3)),'INC-COMP'!B:J,9,FALSE),IF(LEFT(C372,3)="ELE",VLOOKUP(VALUE(RIGHT(C372,3)),#REF!,9,FALSE),IF(LEFT(C372,3)="CAB",VLOOKUP(VALUE(RIGHT(C372,3)),#REF!,9,FALSE),IF(LEFT(C372,3)="SEG",VLOOKUP(VALUE(RIGHT(C372,3)),'SEG-COMP'!B:J,9,FALSE),IF(LEFT(C372,3)="CLI",VLOOKUP(VALUE(RIGHT(C372,3)),'CLI-COMP'!B:J,9,FALSE),IF(LEFT(C372,4)="IMPL",VLOOKUP(VALUE(RIGHT(C372,3)),'IMPL-COMP'!B:J,9,FALSE),IF(LEFT(C372,4)="SPDA",VLOOKUP(VALUE(RIGHT(C372,3)),'SPDA-COMP'!B:J,9,FALSE),IF(LEFT(C372,4)="SDAI",VLOOKUP(VALUE(RIGHT(C372,3)),'ADM-COMP'!B:J,9,FALSE),IF(LEFT(C372,5)="IMPER",VLOOKUP(VALUE(RIGHT(C372,3)),'IMPER-COMP'!B:J,9,FALSE),""))))))))))))))))</f>
        <v>3782.74</v>
      </c>
      <c r="H372" s="339">
        <f t="shared" si="121"/>
        <v>15130.96</v>
      </c>
      <c r="I372" s="374">
        <f t="shared" si="122"/>
        <v>8.8470101926513788E-4</v>
      </c>
      <c r="J372" s="314"/>
    </row>
    <row r="373" spans="1:10" ht="66">
      <c r="A373" s="613" t="s">
        <v>35454</v>
      </c>
      <c r="B373" s="337" t="s">
        <v>2879</v>
      </c>
      <c r="C373" s="540">
        <f>170563</f>
        <v>170563</v>
      </c>
      <c r="D373" s="539" t="str">
        <f>IF(B373="IOPES",VLOOKUP(C373,'LABOR-SERVIÇOS'!A:H,5,FALSE),IF(B373="SINAPI",VLOOKUP(C373,'SINAPI-SERVIÇOS'!A:D,2,FALSE),IF(LEFT(C373,3)="ARQ",VLOOKUP(VALUE(RIGHT(C373,3)),'ARQ-COMP'!B:J,4,FALSE),IF(LEFT(C373,3)="SCI",VLOOKUP(VALUE(RIGHT(C373,3)),'GAS-COMP'!#REF!,4,FALSE),IF(LEFT(C373,3)="SCE",VLOOKUP(VALUE(RIGHT(C373,3)),'SCE-COMP'!B:J,4,FALSE),IF(LEFT(C373,3)="EST",VLOOKUP(VALUE(RIGHT(C373,3)),'EST-COMP'!B:J,4,FALSE),IF(LEFT(C373,3)="HID",VLOOKUP(VALUE(RIGHT(C373,3)),'HID-COMP'!B:J,4,FALSE),IF(LEFT(C373,3)="INC",VLOOKUP(VALUE(RIGHT(C373,3)),'INC-COMP'!B:J,4,FALSE),IF(LEFT(C373,3)="ELE",VLOOKUP(VALUE(RIGHT(C373,3)),#REF!,4,FALSE),IF(LEFT(C373,3)="CAB",VLOOKUP(VALUE(RIGHT(C373,3)),#REF!,4,FALSE),IF(LEFT(C373,3)="SEG",VLOOKUP(VALUE(RIGHT(C373,3)),'SEG-COMP'!B:J,4,FALSE),IF(LEFT(C373,3)="CLI",VLOOKUP(VALUE(RIGHT(C373,3)),'CLI-COMP'!B:J,4,FALSE),IF(LEFT(C373,4)="IMPL",VLOOKUP(VALUE(RIGHT(C373,3)),'IMPL-COMP'!B:J,4,FALSE),IF(LEFT(C373,4)="SPDA",VLOOKUP(VALUE(RIGHT(C373,3)),'SPDA-COMP'!B:J,4,FALSE),IF(LEFT(C373,4)="SDAI",VLOOKUP(VALUE(RIGHT(C373,3)),'ADM-COMP'!B:J,4,FALSE),IF(LEFT(C373,5)="IMPER",VLOOKUP(VALUE(RIGHT(C373,3)),'IMPER-COMP'!B:J,4,FALSE),""))))))))))))))))</f>
        <v>TANQUE CILÍNDRICO VERTICAL EM POLIETILENO, CAPACIDADE DE 20.000 LITROS, COM BOCA DE INSPEÇÃO 60CM, TAMPA DE 1/4 DE VOLTA E VEDAÇÃO TOTAL, INCLUSIVE TRANSPORTE HORIZONTAL MANUAL ATÉ BASE DE TORRE, TRANSPORTE VERTICAL COM GUINDASTE HIDRÁULICO</v>
      </c>
      <c r="E373" s="338" t="str">
        <f>IF(B373="IOPES",VLOOKUP(C373,'LABOR-SERVIÇOS'!A:H,6,FALSE),IF(B373="SINAPI",VLOOKUP(C373,'SINAPI-SERVIÇOS'!A:D,3,FALSE),IF(LEFT(C373,3)="ARQ",VLOOKUP(VALUE(RIGHT(C373,3)),'ARQ-COMP'!B:J,5,FALSE),IF(LEFT(C373,3)="SCI",VLOOKUP(VALUE(RIGHT(C373,3)),'GAS-COMP'!#REF!,5,FALSE),IF(LEFT(C373,3)="SCE",VLOOKUP(VALUE(RIGHT(C373,3)),'SCE-COMP'!B:J,5,FALSE),IF(LEFT(C373,3)="EST",VLOOKUP(VALUE(RIGHT(C373,3)),'EST-COMP'!B:J,5,FALSE),IF(LEFT(C373,3)="HID",VLOOKUP(VALUE(RIGHT(C373,3)),'HID-COMP'!B:J,5,FALSE),IF(LEFT(C373,3)="INC",VLOOKUP(VALUE(RIGHT(C373,3)),'INC-COMP'!B:J,5,FALSE),IF(LEFT(C373,3)="ELE",VLOOKUP(VALUE(RIGHT(C373,3)),#REF!,5,FALSE),IF(LEFT(C373,3)="CAB",VLOOKUP(VALUE(RIGHT(C373,3)),#REF!,5,FALSE),IF(LEFT(C373,3)="SEG",VLOOKUP(VALUE(RIGHT(C373,3)),'SEG-COMP'!B:J,5,FALSE),IF(LEFT(C373,3)="CLI",VLOOKUP(VALUE(RIGHT(C373,3)),'CLI-COMP'!B:J,5,FALSE),IF(LEFT(C373,4)="IMPL",VLOOKUP(VALUE(RIGHT(C373,3)),'IMPL-COMP'!B:J,5,FALSE),IF(LEFT(C373,4)="SPDA",VLOOKUP(VALUE(RIGHT(C373,3)),'SPDA-COMP'!B:J,5,FALSE),IF(LEFT(C373,4)="SDAI",VLOOKUP(VALUE(RIGHT(C373,3)),'ADM-COMP'!B:J,5,FALSE),IF(LEFT(C373,5)="IMPER",VLOOKUP(VALUE(RIGHT(C373,3)),'IMPER-COMP'!B:J,5,FALSE),""))))))))))))))))</f>
        <v>UND</v>
      </c>
      <c r="F373" s="599">
        <f>ROUND(VLOOKUP(A373,'MEM-LEVANT'!A295:I2853,9,FALSE),2)</f>
        <v>3</v>
      </c>
      <c r="G373" s="339">
        <f>IF(B373="IOPES",VLOOKUP(C373,'LABOR-SERVIÇOS'!A:H,7,FALSE),IF(B373="SINAPI",VLOOKUP(C373,'SINAPI-SERVIÇOS'!A:H,8,FALSE),IF(LEFT(C373,3)="ARQ",VLOOKUP(VALUE(RIGHT(C373,3)),'ARQ-COMP'!B:J,9,FALSE),IF(LEFT(C373,3)="SCI",VLOOKUP(VALUE(RIGHT(C373,3)),'GAS-COMP'!#REF!,9,FALSE),IF(LEFT(C373,3)="SCE",VLOOKUP(VALUE(RIGHT(C373,3)),'SCE-COMP'!B:J,9,FALSE),IF(LEFT(C373,3)="EST",VLOOKUP(VALUE(RIGHT(C373,3)),'EST-COMP'!B:J,9,FALSE),IF(LEFT(C373,3)="HID",VLOOKUP(VALUE(RIGHT(C373,3)),'HID-COMP'!B:J,9,FALSE),IF(LEFT(C373,3)="INC",VLOOKUP(VALUE(RIGHT(C373,3)),'INC-COMP'!B:J,9,FALSE),IF(LEFT(C373,3)="ELE",VLOOKUP(VALUE(RIGHT(C373,3)),#REF!,9,FALSE),IF(LEFT(C373,3)="CAB",VLOOKUP(VALUE(RIGHT(C373,3)),#REF!,9,FALSE),IF(LEFT(C373,3)="SEG",VLOOKUP(VALUE(RIGHT(C373,3)),'SEG-COMP'!B:J,9,FALSE),IF(LEFT(C373,3)="CLI",VLOOKUP(VALUE(RIGHT(C373,3)),'CLI-COMP'!B:J,9,FALSE),IF(LEFT(C373,4)="IMPL",VLOOKUP(VALUE(RIGHT(C373,3)),'IMPL-COMP'!B:J,9,FALSE),IF(LEFT(C373,4)="SPDA",VLOOKUP(VALUE(RIGHT(C373,3)),'SPDA-COMP'!B:J,9,FALSE),IF(LEFT(C373,4)="SDAI",VLOOKUP(VALUE(RIGHT(C373,3)),'ADM-COMP'!B:J,9,FALSE),IF(LEFT(C373,5)="IMPER",VLOOKUP(VALUE(RIGHT(C373,3)),'IMPER-COMP'!B:J,9,FALSE),""))))))))))))))))</f>
        <v>23262.560000000001</v>
      </c>
      <c r="H373" s="339">
        <f t="shared" si="121"/>
        <v>69787.679999999993</v>
      </c>
      <c r="I373" s="374">
        <f t="shared" si="122"/>
        <v>4.0804569986404877E-3</v>
      </c>
      <c r="J373" s="314"/>
    </row>
    <row r="374" spans="1:10">
      <c r="A374" s="553" t="s">
        <v>27435</v>
      </c>
      <c r="B374" s="554"/>
      <c r="C374" s="555"/>
      <c r="D374" s="556" t="s">
        <v>23650</v>
      </c>
      <c r="E374" s="557"/>
      <c r="F374" s="598"/>
      <c r="G374" s="558"/>
      <c r="H374" s="559"/>
      <c r="I374" s="560"/>
      <c r="J374" s="314"/>
    </row>
    <row r="375" spans="1:10" ht="39.6">
      <c r="A375" s="613" t="s">
        <v>35455</v>
      </c>
      <c r="B375" s="337" t="s">
        <v>2879</v>
      </c>
      <c r="C375" s="540">
        <f>170603</f>
        <v>170603</v>
      </c>
      <c r="D375" s="539" t="str">
        <f>IF(B375="IOPES",VLOOKUP(C375,'LABOR-SERVIÇOS'!A:H,5,FALSE),IF(B375="SINAPI",VLOOKUP(C375,'SINAPI-SERVIÇOS'!A:D,2,FALSE),IF(LEFT(C375,3)="ARQ",VLOOKUP(VALUE(RIGHT(C375,3)),'ARQ-COMP'!B:J,4,FALSE),IF(LEFT(C375,3)="SCI",VLOOKUP(VALUE(RIGHT(C375,3)),'GAS-COMP'!#REF!,4,FALSE),IF(LEFT(C375,3)="SCE",VLOOKUP(VALUE(RIGHT(C375,3)),'SCE-COMP'!B:J,4,FALSE),IF(LEFT(C375,3)="EST",VLOOKUP(VALUE(RIGHT(C375,3)),'EST-COMP'!B:J,4,FALSE),IF(LEFT(C375,3)="HID",VLOOKUP(VALUE(RIGHT(C375,3)),'HID-COMP'!B:J,4,FALSE),IF(LEFT(C375,3)="INC",VLOOKUP(VALUE(RIGHT(C375,3)),'INC-COMP'!B:J,4,FALSE),IF(LEFT(C375,3)="ELE",VLOOKUP(VALUE(RIGHT(C375,3)),#REF!,4,FALSE),IF(LEFT(C375,3)="CAB",VLOOKUP(VALUE(RIGHT(C375,3)),#REF!,4,FALSE),IF(LEFT(C375,3)="SEG",VLOOKUP(VALUE(RIGHT(C375,3)),'SEG-COMP'!B:J,4,FALSE),IF(LEFT(C375,3)="CLI",VLOOKUP(VALUE(RIGHT(C375,3)),'CLI-COMP'!B:J,4,FALSE),IF(LEFT(C375,4)="IMPL",VLOOKUP(VALUE(RIGHT(C375,3)),'IMPL-COMP'!B:J,4,FALSE),IF(LEFT(C375,4)="SPDA",VLOOKUP(VALUE(RIGHT(C375,3)),'SPDA-COMP'!B:J,4,FALSE),IF(LEFT(C375,4)="SDAI",VLOOKUP(VALUE(RIGHT(C375,3)),'ADM-COMP'!B:J,4,FALSE),IF(LEFT(C375,5)="IMPER",VLOOKUP(VALUE(RIGHT(C375,3)),'IMPER-COMP'!B:J,4,FALSE),""))))))))))))))))</f>
        <v>BARRA DE APOIO RETA, EM AÇO INOX POLIDO AISI 304, COMPRIMENTO 80 CM, CONFORME REQUISITOS DE ACESSIBILIDADE DA NBR 9050 - FORNECIMENTO E INSTALAÇÃO</v>
      </c>
      <c r="E375" s="338" t="str">
        <f>IF(B375="IOPES",VLOOKUP(C375,'LABOR-SERVIÇOS'!A:H,6,FALSE),IF(B375="SINAPI",VLOOKUP(C375,'SINAPI-SERVIÇOS'!A:D,3,FALSE),IF(LEFT(C375,3)="ARQ",VLOOKUP(VALUE(RIGHT(C375,3)),'ARQ-COMP'!B:J,5,FALSE),IF(LEFT(C375,3)="SCI",VLOOKUP(VALUE(RIGHT(C375,3)),'GAS-COMP'!#REF!,5,FALSE),IF(LEFT(C375,3)="SCE",VLOOKUP(VALUE(RIGHT(C375,3)),'SCE-COMP'!B:J,5,FALSE),IF(LEFT(C375,3)="EST",VLOOKUP(VALUE(RIGHT(C375,3)),'EST-COMP'!B:J,5,FALSE),IF(LEFT(C375,3)="HID",VLOOKUP(VALUE(RIGHT(C375,3)),'HID-COMP'!B:J,5,FALSE),IF(LEFT(C375,3)="INC",VLOOKUP(VALUE(RIGHT(C375,3)),'INC-COMP'!B:J,5,FALSE),IF(LEFT(C375,3)="ELE",VLOOKUP(VALUE(RIGHT(C375,3)),#REF!,5,FALSE),IF(LEFT(C375,3)="CAB",VLOOKUP(VALUE(RIGHT(C375,3)),#REF!,5,FALSE),IF(LEFT(C375,3)="SEG",VLOOKUP(VALUE(RIGHT(C375,3)),'SEG-COMP'!B:J,5,FALSE),IF(LEFT(C375,3)="CLI",VLOOKUP(VALUE(RIGHT(C375,3)),'CLI-COMP'!B:J,5,FALSE),IF(LEFT(C375,4)="IMPL",VLOOKUP(VALUE(RIGHT(C375,3)),'IMPL-COMP'!B:J,5,FALSE),IF(LEFT(C375,4)="SPDA",VLOOKUP(VALUE(RIGHT(C375,3)),'SPDA-COMP'!B:J,5,FALSE),IF(LEFT(C375,4)="SDAI",VLOOKUP(VALUE(RIGHT(C375,3)),'ADM-COMP'!B:J,5,FALSE),IF(LEFT(C375,5)="IMPER",VLOOKUP(VALUE(RIGHT(C375,3)),'IMPER-COMP'!B:J,5,FALSE),""))))))))))))))))</f>
        <v>UND</v>
      </c>
      <c r="F375" s="599">
        <f>ROUND(VLOOKUP(A375,'MEM-LEVANT'!A295:I2855,9,FALSE),2)</f>
        <v>12</v>
      </c>
      <c r="G375" s="339">
        <f>IF(B375="IOPES",VLOOKUP(C375,'LABOR-SERVIÇOS'!A:H,7,FALSE),IF(B375="SINAPI",VLOOKUP(C375,'SINAPI-SERVIÇOS'!A:H,8,FALSE),IF(LEFT(C375,3)="ARQ",VLOOKUP(VALUE(RIGHT(C375,3)),'ARQ-COMP'!B:J,9,FALSE),IF(LEFT(C375,3)="SCI",VLOOKUP(VALUE(RIGHT(C375,3)),'GAS-COMP'!#REF!,9,FALSE),IF(LEFT(C375,3)="SCE",VLOOKUP(VALUE(RIGHT(C375,3)),'SCE-COMP'!B:J,9,FALSE),IF(LEFT(C375,3)="EST",VLOOKUP(VALUE(RIGHT(C375,3)),'EST-COMP'!B:J,9,FALSE),IF(LEFT(C375,3)="HID",VLOOKUP(VALUE(RIGHT(C375,3)),'HID-COMP'!B:J,9,FALSE),IF(LEFT(C375,3)="INC",VLOOKUP(VALUE(RIGHT(C375,3)),'INC-COMP'!B:J,9,FALSE),IF(LEFT(C375,3)="ELE",VLOOKUP(VALUE(RIGHT(C375,3)),#REF!,9,FALSE),IF(LEFT(C375,3)="CAB",VLOOKUP(VALUE(RIGHT(C375,3)),#REF!,9,FALSE),IF(LEFT(C375,3)="SEG",VLOOKUP(VALUE(RIGHT(C375,3)),'SEG-COMP'!B:J,9,FALSE),IF(LEFT(C375,3)="CLI",VLOOKUP(VALUE(RIGHT(C375,3)),'CLI-COMP'!B:J,9,FALSE),IF(LEFT(C375,4)="IMPL",VLOOKUP(VALUE(RIGHT(C375,3)),'IMPL-COMP'!B:J,9,FALSE),IF(LEFT(C375,4)="SPDA",VLOOKUP(VALUE(RIGHT(C375,3)),'SPDA-COMP'!B:J,9,FALSE),IF(LEFT(C375,4)="SDAI",VLOOKUP(VALUE(RIGHT(C375,3)),'ADM-COMP'!B:J,9,FALSE),IF(LEFT(C375,5)="IMPER",VLOOKUP(VALUE(RIGHT(C375,3)),'IMPER-COMP'!B:J,9,FALSE),""))))))))))))))))</f>
        <v>214.71</v>
      </c>
      <c r="H375" s="339">
        <f t="shared" ref="H375" si="123">ROUND(F375*G375,2)</f>
        <v>2576.52</v>
      </c>
      <c r="I375" s="374">
        <f>H375/$H$441</f>
        <v>1.5064806662346694E-4</v>
      </c>
      <c r="J375" s="314"/>
    </row>
    <row r="376" spans="1:10" ht="52.8">
      <c r="A376" s="613" t="s">
        <v>35456</v>
      </c>
      <c r="B376" s="337" t="s">
        <v>2879</v>
      </c>
      <c r="C376" s="540">
        <f>170614</f>
        <v>170614</v>
      </c>
      <c r="D376" s="539" t="str">
        <f>IF(B376="IOPES",VLOOKUP(C376,'LABOR-SERVIÇOS'!A:H,5,FALSE),IF(B376="SINAPI",VLOOKUP(C376,'SINAPI-SERVIÇOS'!A:D,2,FALSE),IF(LEFT(C376,3)="ARQ",VLOOKUP(VALUE(RIGHT(C376,3)),'ARQ-COMP'!B:J,4,FALSE),IF(LEFT(C376,3)="SCI",VLOOKUP(VALUE(RIGHT(C376,3)),'GAS-COMP'!#REF!,4,FALSE),IF(LEFT(C376,3)="SCE",VLOOKUP(VALUE(RIGHT(C376,3)),'SCE-COMP'!B:J,4,FALSE),IF(LEFT(C376,3)="EST",VLOOKUP(VALUE(RIGHT(C376,3)),'EST-COMP'!B:J,4,FALSE),IF(LEFT(C376,3)="HID",VLOOKUP(VALUE(RIGHT(C376,3)),'HID-COMP'!B:J,4,FALSE),IF(LEFT(C376,3)="INC",VLOOKUP(VALUE(RIGHT(C376,3)),'INC-COMP'!B:J,4,FALSE),IF(LEFT(C376,3)="ELE",VLOOKUP(VALUE(RIGHT(C376,3)),#REF!,4,FALSE),IF(LEFT(C376,3)="CAB",VLOOKUP(VALUE(RIGHT(C376,3)),#REF!,4,FALSE),IF(LEFT(C376,3)="SEG",VLOOKUP(VALUE(RIGHT(C376,3)),'SEG-COMP'!B:J,4,FALSE),IF(LEFT(C376,3)="CLI",VLOOKUP(VALUE(RIGHT(C376,3)),'CLI-COMP'!B:J,4,FALSE),IF(LEFT(C376,4)="IMPL",VLOOKUP(VALUE(RIGHT(C376,3)),'IMPL-COMP'!B:J,4,FALSE),IF(LEFT(C376,4)="SPDA",VLOOKUP(VALUE(RIGHT(C376,3)),'SPDA-COMP'!B:J,4,FALSE),IF(LEFT(C376,4)="SDAI",VLOOKUP(VALUE(RIGHT(C376,3)),'ADM-COMP'!B:J,4,FALSE),IF(LEFT(C376,5)="IMPER",VLOOKUP(VALUE(RIGHT(C376,3)),'IMPER-COMP'!B:J,4,FALSE),""))))))))))))))))</f>
        <v>KIT COMPOSTO POR (02) DUAS BARRA DE APOIO LATERAL FIXA EM FORMATO "U", EM AÇO INOX POLIDO AISI 304, 30 CM, PARA INSTALAÇÃO EM LAVATÓRIOS, CONFORME REQUISITOS DE ACESSIBILIDADE DA NBR 9050 - FORNECIMENTO E INSTALAÇÃO</v>
      </c>
      <c r="E376" s="338" t="str">
        <f>IF(B376="IOPES",VLOOKUP(C376,'LABOR-SERVIÇOS'!A:H,6,FALSE),IF(B376="SINAPI",VLOOKUP(C376,'SINAPI-SERVIÇOS'!A:D,3,FALSE),IF(LEFT(C376,3)="ARQ",VLOOKUP(VALUE(RIGHT(C376,3)),'ARQ-COMP'!B:J,5,FALSE),IF(LEFT(C376,3)="SCI",VLOOKUP(VALUE(RIGHT(C376,3)),'GAS-COMP'!#REF!,5,FALSE),IF(LEFT(C376,3)="SCE",VLOOKUP(VALUE(RIGHT(C376,3)),'SCE-COMP'!B:J,5,FALSE),IF(LEFT(C376,3)="EST",VLOOKUP(VALUE(RIGHT(C376,3)),'EST-COMP'!B:J,5,FALSE),IF(LEFT(C376,3)="HID",VLOOKUP(VALUE(RIGHT(C376,3)),'HID-COMP'!B:J,5,FALSE),IF(LEFT(C376,3)="INC",VLOOKUP(VALUE(RIGHT(C376,3)),'INC-COMP'!B:J,5,FALSE),IF(LEFT(C376,3)="ELE",VLOOKUP(VALUE(RIGHT(C376,3)),#REF!,5,FALSE),IF(LEFT(C376,3)="CAB",VLOOKUP(VALUE(RIGHT(C376,3)),#REF!,5,FALSE),IF(LEFT(C376,3)="SEG",VLOOKUP(VALUE(RIGHT(C376,3)),'SEG-COMP'!B:J,5,FALSE),IF(LEFT(C376,3)="CLI",VLOOKUP(VALUE(RIGHT(C376,3)),'CLI-COMP'!B:J,5,FALSE),IF(LEFT(C376,4)="IMPL",VLOOKUP(VALUE(RIGHT(C376,3)),'IMPL-COMP'!B:J,5,FALSE),IF(LEFT(C376,4)="SPDA",VLOOKUP(VALUE(RIGHT(C376,3)),'SPDA-COMP'!B:J,5,FALSE),IF(LEFT(C376,4)="SDAI",VLOOKUP(VALUE(RIGHT(C376,3)),'ADM-COMP'!B:J,5,FALSE),IF(LEFT(C376,5)="IMPER",VLOOKUP(VALUE(RIGHT(C376,3)),'IMPER-COMP'!B:J,5,FALSE),""))))))))))))))))</f>
        <v>UND</v>
      </c>
      <c r="F376" s="599">
        <f>ROUND(VLOOKUP(A376,'MEM-LEVANT'!A295:I2856,9,FALSE),2)</f>
        <v>3</v>
      </c>
      <c r="G376" s="339">
        <f>IF(B376="IOPES",VLOOKUP(C376,'LABOR-SERVIÇOS'!A:H,7,FALSE),IF(B376="SINAPI",VLOOKUP(C376,'SINAPI-SERVIÇOS'!A:H,8,FALSE),IF(LEFT(C376,3)="ARQ",VLOOKUP(VALUE(RIGHT(C376,3)),'ARQ-COMP'!B:J,9,FALSE),IF(LEFT(C376,3)="SCI",VLOOKUP(VALUE(RIGHT(C376,3)),'GAS-COMP'!#REF!,9,FALSE),IF(LEFT(C376,3)="SCE",VLOOKUP(VALUE(RIGHT(C376,3)),'SCE-COMP'!B:J,9,FALSE),IF(LEFT(C376,3)="EST",VLOOKUP(VALUE(RIGHT(C376,3)),'EST-COMP'!B:J,9,FALSE),IF(LEFT(C376,3)="HID",VLOOKUP(VALUE(RIGHT(C376,3)),'HID-COMP'!B:J,9,FALSE),IF(LEFT(C376,3)="INC",VLOOKUP(VALUE(RIGHT(C376,3)),'INC-COMP'!B:J,9,FALSE),IF(LEFT(C376,3)="ELE",VLOOKUP(VALUE(RIGHT(C376,3)),#REF!,9,FALSE),IF(LEFT(C376,3)="CAB",VLOOKUP(VALUE(RIGHT(C376,3)),#REF!,9,FALSE),IF(LEFT(C376,3)="SEG",VLOOKUP(VALUE(RIGHT(C376,3)),'SEG-COMP'!B:J,9,FALSE),IF(LEFT(C376,3)="CLI",VLOOKUP(VALUE(RIGHT(C376,3)),'CLI-COMP'!B:J,9,FALSE),IF(LEFT(C376,4)="IMPL",VLOOKUP(VALUE(RIGHT(C376,3)),'IMPL-COMP'!B:J,9,FALSE),IF(LEFT(C376,4)="SPDA",VLOOKUP(VALUE(RIGHT(C376,3)),'SPDA-COMP'!B:J,9,FALSE),IF(LEFT(C376,4)="SDAI",VLOOKUP(VALUE(RIGHT(C376,3)),'ADM-COMP'!B:J,9,FALSE),IF(LEFT(C376,5)="IMPER",VLOOKUP(VALUE(RIGHT(C376,3)),'IMPER-COMP'!B:J,9,FALSE),""))))))))))))))))</f>
        <v>414.03</v>
      </c>
      <c r="H376" s="339">
        <f t="shared" ref="H376:H377" si="124">ROUND(F376*G376,2)</f>
        <v>1242.0899999999999</v>
      </c>
      <c r="I376" s="374">
        <f>H376/$H$441</f>
        <v>7.2624492366580519E-5</v>
      </c>
      <c r="J376" s="314"/>
    </row>
    <row r="377" spans="1:10" ht="39.6">
      <c r="A377" s="613" t="s">
        <v>35457</v>
      </c>
      <c r="B377" s="337" t="s">
        <v>2879</v>
      </c>
      <c r="C377" s="540">
        <f>170615</f>
        <v>170615</v>
      </c>
      <c r="D377" s="539" t="str">
        <f>IF(B377="IOPES",VLOOKUP(C377,'LABOR-SERVIÇOS'!A:H,5,FALSE),IF(B377="SINAPI",VLOOKUP(C377,'SINAPI-SERVIÇOS'!A:D,2,FALSE),IF(LEFT(C377,3)="ARQ",VLOOKUP(VALUE(RIGHT(C377,3)),'ARQ-COMP'!B:J,4,FALSE),IF(LEFT(C377,3)="SCI",VLOOKUP(VALUE(RIGHT(C377,3)),'GAS-COMP'!#REF!,4,FALSE),IF(LEFT(C377,3)="SCE",VLOOKUP(VALUE(RIGHT(C377,3)),'SCE-COMP'!B:J,4,FALSE),IF(LEFT(C377,3)="EST",VLOOKUP(VALUE(RIGHT(C377,3)),'EST-COMP'!B:J,4,FALSE),IF(LEFT(C377,3)="HID",VLOOKUP(VALUE(RIGHT(C377,3)),'HID-COMP'!B:J,4,FALSE),IF(LEFT(C377,3)="INC",VLOOKUP(VALUE(RIGHT(C377,3)),'INC-COMP'!B:J,4,FALSE),IF(LEFT(C377,3)="ELE",VLOOKUP(VALUE(RIGHT(C377,3)),#REF!,4,FALSE),IF(LEFT(C377,3)="CAB",VLOOKUP(VALUE(RIGHT(C377,3)),#REF!,4,FALSE),IF(LEFT(C377,3)="SEG",VLOOKUP(VALUE(RIGHT(C377,3)),'SEG-COMP'!B:J,4,FALSE),IF(LEFT(C377,3)="CLI",VLOOKUP(VALUE(RIGHT(C377,3)),'CLI-COMP'!B:J,4,FALSE),IF(LEFT(C377,4)="IMPL",VLOOKUP(VALUE(RIGHT(C377,3)),'IMPL-COMP'!B:J,4,FALSE),IF(LEFT(C377,4)="SPDA",VLOOKUP(VALUE(RIGHT(C377,3)),'SPDA-COMP'!B:J,4,FALSE),IF(LEFT(C377,4)="SDAI",VLOOKUP(VALUE(RIGHT(C377,3)),'ADM-COMP'!B:J,4,FALSE),IF(LEFT(C377,5)="IMPER",VLOOKUP(VALUE(RIGHT(C377,3)),'IMPER-COMP'!B:J,4,FALSE),""))))))))))))))))</f>
        <v>BARRA DE APOIO RETA, EM AÇO INOX POLIDO AISI 304, COMPRIMENTO 70 CM, CONFORME REQUISITOS DE ACESSIBILIDADE DA NBR 9050 - FORNECIMENTO E INSTALAÇÃO</v>
      </c>
      <c r="E377" s="338" t="str">
        <f>IF(B377="IOPES",VLOOKUP(C377,'LABOR-SERVIÇOS'!A:H,6,FALSE),IF(B377="SINAPI",VLOOKUP(C377,'SINAPI-SERVIÇOS'!A:D,3,FALSE),IF(LEFT(C377,3)="ARQ",VLOOKUP(VALUE(RIGHT(C377,3)),'ARQ-COMP'!B:J,5,FALSE),IF(LEFT(C377,3)="SCI",VLOOKUP(VALUE(RIGHT(C377,3)),'GAS-COMP'!#REF!,5,FALSE),IF(LEFT(C377,3)="SCE",VLOOKUP(VALUE(RIGHT(C377,3)),'SCE-COMP'!B:J,5,FALSE),IF(LEFT(C377,3)="EST",VLOOKUP(VALUE(RIGHT(C377,3)),'EST-COMP'!B:J,5,FALSE),IF(LEFT(C377,3)="HID",VLOOKUP(VALUE(RIGHT(C377,3)),'HID-COMP'!B:J,5,FALSE),IF(LEFT(C377,3)="INC",VLOOKUP(VALUE(RIGHT(C377,3)),'INC-COMP'!B:J,5,FALSE),IF(LEFT(C377,3)="ELE",VLOOKUP(VALUE(RIGHT(C377,3)),#REF!,5,FALSE),IF(LEFT(C377,3)="CAB",VLOOKUP(VALUE(RIGHT(C377,3)),#REF!,5,FALSE),IF(LEFT(C377,3)="SEG",VLOOKUP(VALUE(RIGHT(C377,3)),'SEG-COMP'!B:J,5,FALSE),IF(LEFT(C377,3)="CLI",VLOOKUP(VALUE(RIGHT(C377,3)),'CLI-COMP'!B:J,5,FALSE),IF(LEFT(C377,4)="IMPL",VLOOKUP(VALUE(RIGHT(C377,3)),'IMPL-COMP'!B:J,5,FALSE),IF(LEFT(C377,4)="SPDA",VLOOKUP(VALUE(RIGHT(C377,3)),'SPDA-COMP'!B:J,5,FALSE),IF(LEFT(C377,4)="SDAI",VLOOKUP(VALUE(RIGHT(C377,3)),'ADM-COMP'!B:J,5,FALSE),IF(LEFT(C377,5)="IMPER",VLOOKUP(VALUE(RIGHT(C377,3)),'IMPER-COMP'!B:J,5,FALSE),""))))))))))))))))</f>
        <v>UND</v>
      </c>
      <c r="F377" s="599">
        <f>ROUND(VLOOKUP(A377,'MEM-LEVANT'!A295:I2857,9,FALSE),2)</f>
        <v>3</v>
      </c>
      <c r="G377" s="339">
        <f>IF(B377="IOPES",VLOOKUP(C377,'LABOR-SERVIÇOS'!A:H,7,FALSE),IF(B377="SINAPI",VLOOKUP(C377,'SINAPI-SERVIÇOS'!A:H,8,FALSE),IF(LEFT(C377,3)="ARQ",VLOOKUP(VALUE(RIGHT(C377,3)),'ARQ-COMP'!B:J,9,FALSE),IF(LEFT(C377,3)="SCI",VLOOKUP(VALUE(RIGHT(C377,3)),'GAS-COMP'!#REF!,9,FALSE),IF(LEFT(C377,3)="SCE",VLOOKUP(VALUE(RIGHT(C377,3)),'SCE-COMP'!B:J,9,FALSE),IF(LEFT(C377,3)="EST",VLOOKUP(VALUE(RIGHT(C377,3)),'EST-COMP'!B:J,9,FALSE),IF(LEFT(C377,3)="HID",VLOOKUP(VALUE(RIGHT(C377,3)),'HID-COMP'!B:J,9,FALSE),IF(LEFT(C377,3)="INC",VLOOKUP(VALUE(RIGHT(C377,3)),'INC-COMP'!B:J,9,FALSE),IF(LEFT(C377,3)="ELE",VLOOKUP(VALUE(RIGHT(C377,3)),#REF!,9,FALSE),IF(LEFT(C377,3)="CAB",VLOOKUP(VALUE(RIGHT(C377,3)),#REF!,9,FALSE),IF(LEFT(C377,3)="SEG",VLOOKUP(VALUE(RIGHT(C377,3)),'SEG-COMP'!B:J,9,FALSE),IF(LEFT(C377,3)="CLI",VLOOKUP(VALUE(RIGHT(C377,3)),'CLI-COMP'!B:J,9,FALSE),IF(LEFT(C377,4)="IMPL",VLOOKUP(VALUE(RIGHT(C377,3)),'IMPL-COMP'!B:J,9,FALSE),IF(LEFT(C377,4)="SPDA",VLOOKUP(VALUE(RIGHT(C377,3)),'SPDA-COMP'!B:J,9,FALSE),IF(LEFT(C377,4)="SDAI",VLOOKUP(VALUE(RIGHT(C377,3)),'ADM-COMP'!B:J,9,FALSE),IF(LEFT(C377,5)="IMPER",VLOOKUP(VALUE(RIGHT(C377,3)),'IMPER-COMP'!B:J,9,FALSE),""))))))))))))))))</f>
        <v>202.47</v>
      </c>
      <c r="H377" s="339">
        <f t="shared" si="124"/>
        <v>607.41</v>
      </c>
      <c r="I377" s="374">
        <f>H377/$H$441</f>
        <v>3.5515013331066727E-5</v>
      </c>
      <c r="J377" s="314"/>
    </row>
    <row r="378" spans="1:10">
      <c r="A378" s="570"/>
      <c r="B378" s="569"/>
      <c r="C378" s="569"/>
      <c r="D378" s="571" t="s">
        <v>27436</v>
      </c>
      <c r="E378" s="572"/>
      <c r="F378" s="600"/>
      <c r="G378" s="573"/>
      <c r="H378" s="574">
        <f>SUM(H354:H377)</f>
        <v>395284.72000000003</v>
      </c>
      <c r="I378" s="575">
        <f>H378/$H$441</f>
        <v>2.3112135296368155E-2</v>
      </c>
      <c r="J378" s="314"/>
    </row>
    <row r="379" spans="1:10">
      <c r="A379" s="613"/>
      <c r="B379" s="337"/>
      <c r="C379" s="540"/>
      <c r="D379" s="539"/>
      <c r="E379" s="338"/>
      <c r="F379" s="599"/>
      <c r="G379" s="339"/>
      <c r="H379" s="339"/>
      <c r="I379" s="374"/>
      <c r="J379" s="314"/>
    </row>
    <row r="380" spans="1:10">
      <c r="A380" s="561" t="s">
        <v>23684</v>
      </c>
      <c r="B380" s="562"/>
      <c r="C380" s="563"/>
      <c r="D380" s="564" t="s">
        <v>620</v>
      </c>
      <c r="E380" s="565"/>
      <c r="F380" s="597"/>
      <c r="G380" s="566"/>
      <c r="H380" s="567"/>
      <c r="I380" s="568"/>
      <c r="J380" s="314"/>
    </row>
    <row r="381" spans="1:10">
      <c r="A381" s="553" t="s">
        <v>27437</v>
      </c>
      <c r="B381" s="554"/>
      <c r="C381" s="555"/>
      <c r="D381" s="556" t="s">
        <v>1602</v>
      </c>
      <c r="E381" s="557"/>
      <c r="F381" s="598"/>
      <c r="G381" s="558"/>
      <c r="H381" s="559"/>
      <c r="I381" s="560"/>
      <c r="J381" s="314"/>
    </row>
    <row r="382" spans="1:10" ht="26.4">
      <c r="A382" s="613" t="s">
        <v>23685</v>
      </c>
      <c r="B382" s="337" t="s">
        <v>2879</v>
      </c>
      <c r="C382" s="540">
        <f>180301</f>
        <v>180301</v>
      </c>
      <c r="D382" s="539" t="str">
        <f>IF(B382="IOPES",VLOOKUP(C382,'LABOR-SERVIÇOS'!A:H,5,FALSE),IF(B382="SINAPI",VLOOKUP(C382,'SINAPI-SERVIÇOS'!A:D,2,FALSE),IF(LEFT(C382,3)="ARQ",VLOOKUP(VALUE(RIGHT(C382,3)),'ARQ-COMP'!B:J,4,FALSE),IF(LEFT(C382,3)="SCI",VLOOKUP(VALUE(RIGHT(C382,3)),'GAS-COMP'!#REF!,4,FALSE),IF(LEFT(C382,3)="SCE",VLOOKUP(VALUE(RIGHT(C382,3)),'SCE-COMP'!B:J,4,FALSE),IF(LEFT(C382,3)="EST",VLOOKUP(VALUE(RIGHT(C382,3)),'EST-COMP'!B:J,4,FALSE),IF(LEFT(C382,3)="HID",VLOOKUP(VALUE(RIGHT(C382,3)),'HID-COMP'!B:J,4,FALSE),IF(LEFT(C382,3)="INC",VLOOKUP(VALUE(RIGHT(C382,3)),'INC-COMP'!B:J,4,FALSE),IF(LEFT(C382,3)="ELE",VLOOKUP(VALUE(RIGHT(C382,3)),#REF!,4,FALSE),IF(LEFT(C382,3)="CAB",VLOOKUP(VALUE(RIGHT(C382,3)),#REF!,4,FALSE),IF(LEFT(C382,3)="SEG",VLOOKUP(VALUE(RIGHT(C382,3)),'SEG-COMP'!B:J,4,FALSE),IF(LEFT(C382,3)="CLI",VLOOKUP(VALUE(RIGHT(C382,3)),'CLI-COMP'!B:J,4,FALSE),IF(LEFT(C382,4)="IMPL",VLOOKUP(VALUE(RIGHT(C382,3)),'IMPL-COMP'!B:J,4,FALSE),IF(LEFT(C382,4)="SPDA",VLOOKUP(VALUE(RIGHT(C382,3)),'SPDA-COMP'!B:J,4,FALSE),IF(LEFT(C382,4)="SDAI",VLOOKUP(VALUE(RIGHT(C382,3)),'ADM-COMP'!B:J,4,FALSE),IF(LEFT(C382,5)="IMPER",VLOOKUP(VALUE(RIGHT(C382,3)),'IMPER-COMP'!B:J,4,FALSE),""))))))))))))))))</f>
        <v>BOMBA CENTRÍFUGA TRIFÁSICA 5CV, MODELO 620 DANCOR, OU EQUIVALENTE</v>
      </c>
      <c r="E382" s="338" t="str">
        <f>IF(B382="IOPES",VLOOKUP(C382,'LABOR-SERVIÇOS'!A:H,6,FALSE),IF(B382="SINAPI",VLOOKUP(C382,'SINAPI-SERVIÇOS'!A:D,3,FALSE),IF(LEFT(C382,3)="ARQ",VLOOKUP(VALUE(RIGHT(C382,3)),'ARQ-COMP'!B:J,5,FALSE),IF(LEFT(C382,3)="SCI",VLOOKUP(VALUE(RIGHT(C382,3)),'GAS-COMP'!#REF!,5,FALSE),IF(LEFT(C382,3)="SCE",VLOOKUP(VALUE(RIGHT(C382,3)),'SCE-COMP'!B:J,5,FALSE),IF(LEFT(C382,3)="EST",VLOOKUP(VALUE(RIGHT(C382,3)),'EST-COMP'!B:J,5,FALSE),IF(LEFT(C382,3)="HID",VLOOKUP(VALUE(RIGHT(C382,3)),'HID-COMP'!B:J,5,FALSE),IF(LEFT(C382,3)="INC",VLOOKUP(VALUE(RIGHT(C382,3)),'INC-COMP'!B:J,5,FALSE),IF(LEFT(C382,3)="ELE",VLOOKUP(VALUE(RIGHT(C382,3)),#REF!,5,FALSE),IF(LEFT(C382,3)="CAB",VLOOKUP(VALUE(RIGHT(C382,3)),#REF!,5,FALSE),IF(LEFT(C382,3)="SEG",VLOOKUP(VALUE(RIGHT(C382,3)),'SEG-COMP'!B:J,5,FALSE),IF(LEFT(C382,3)="CLI",VLOOKUP(VALUE(RIGHT(C382,3)),'CLI-COMP'!B:J,5,FALSE),IF(LEFT(C382,4)="IMPL",VLOOKUP(VALUE(RIGHT(C382,3)),'IMPL-COMP'!B:J,5,FALSE),IF(LEFT(C382,4)="SPDA",VLOOKUP(VALUE(RIGHT(C382,3)),'SPDA-COMP'!B:J,5,FALSE),IF(LEFT(C382,4)="SDAI",VLOOKUP(VALUE(RIGHT(C382,3)),'ADM-COMP'!B:J,5,FALSE),IF(LEFT(C382,5)="IMPER",VLOOKUP(VALUE(RIGHT(C382,3)),'IMPER-COMP'!B:J,5,FALSE),""))))))))))))))))</f>
        <v>UND</v>
      </c>
      <c r="F382" s="599">
        <f>ROUND(VLOOKUP(A382,'MEM-LEVANT'!A288:I2841,9,FALSE),2)</f>
        <v>6</v>
      </c>
      <c r="G382" s="339">
        <f>IF(B382="IOPES",VLOOKUP(C382,'LABOR-SERVIÇOS'!A:H,7,FALSE),IF(B382="SINAPI",VLOOKUP(C382,'SINAPI-SERVIÇOS'!A:H,8,FALSE),IF(LEFT(C382,3)="ARQ",VLOOKUP(VALUE(RIGHT(C382,3)),'ARQ-COMP'!B:J,9,FALSE),IF(LEFT(C382,3)="SCI",VLOOKUP(VALUE(RIGHT(C382,3)),'GAS-COMP'!#REF!,9,FALSE),IF(LEFT(C382,3)="SCE",VLOOKUP(VALUE(RIGHT(C382,3)),'SCE-COMP'!B:J,9,FALSE),IF(LEFT(C382,3)="EST",VLOOKUP(VALUE(RIGHT(C382,3)),'EST-COMP'!B:J,9,FALSE),IF(LEFT(C382,3)="HID",VLOOKUP(VALUE(RIGHT(C382,3)),'HID-COMP'!B:J,9,FALSE),IF(LEFT(C382,3)="INC",VLOOKUP(VALUE(RIGHT(C382,3)),'INC-COMP'!B:J,9,FALSE),IF(LEFT(C382,3)="ELE",VLOOKUP(VALUE(RIGHT(C382,3)),#REF!,9,FALSE),IF(LEFT(C382,3)="CAB",VLOOKUP(VALUE(RIGHT(C382,3)),#REF!,9,FALSE),IF(LEFT(C382,3)="SEG",VLOOKUP(VALUE(RIGHT(C382,3)),'SEG-COMP'!B:J,9,FALSE),IF(LEFT(C382,3)="CLI",VLOOKUP(VALUE(RIGHT(C382,3)),'CLI-COMP'!B:J,9,FALSE),IF(LEFT(C382,4)="IMPL",VLOOKUP(VALUE(RIGHT(C382,3)),'IMPL-COMP'!B:J,9,FALSE),IF(LEFT(C382,4)="SPDA",VLOOKUP(VALUE(RIGHT(C382,3)),'SPDA-COMP'!B:J,9,FALSE),IF(LEFT(C382,4)="SDAI",VLOOKUP(VALUE(RIGHT(C382,3)),'ADM-COMP'!B:J,9,FALSE),IF(LEFT(C382,5)="IMPER",VLOOKUP(VALUE(RIGHT(C382,3)),'IMPER-COMP'!B:J,9,FALSE),""))))))))))))))))</f>
        <v>6026.39</v>
      </c>
      <c r="H382" s="339">
        <f t="shared" ref="H382" si="125">ROUND(F382*G382,2)</f>
        <v>36158.339999999997</v>
      </c>
      <c r="I382" s="374">
        <f>H382/$H$441</f>
        <v>2.1141632951865185E-3</v>
      </c>
      <c r="J382" s="314"/>
    </row>
    <row r="383" spans="1:10">
      <c r="A383" s="553" t="s">
        <v>35458</v>
      </c>
      <c r="B383" s="554"/>
      <c r="C383" s="555"/>
      <c r="D383" s="556" t="s">
        <v>14923</v>
      </c>
      <c r="E383" s="557"/>
      <c r="F383" s="598"/>
      <c r="G383" s="558"/>
      <c r="H383" s="559"/>
      <c r="I383" s="560"/>
      <c r="J383" s="314"/>
    </row>
    <row r="384" spans="1:10" ht="66">
      <c r="A384" s="613" t="s">
        <v>35459</v>
      </c>
      <c r="B384" s="337" t="s">
        <v>2879</v>
      </c>
      <c r="C384" s="540">
        <f>181003</f>
        <v>181003</v>
      </c>
      <c r="D384" s="539" t="str">
        <f>IF(B384="IOPES",VLOOKUP(C384,'LABOR-SERVIÇOS'!A:H,5,FALSE),IF(B384="SINAPI",VLOOKUP(C384,'SINAPI-SERVIÇOS'!A:D,2,FALSE),IF(LEFT(C384,3)="ARQ",VLOOKUP(VALUE(RIGHT(C384,3)),'ARQ-COMP'!B:J,4,FALSE),IF(LEFT(C384,3)="SCI",VLOOKUP(VALUE(RIGHT(C384,3)),'GAS-COMP'!#REF!,4,FALSE),IF(LEFT(C384,3)="SCE",VLOOKUP(VALUE(RIGHT(C384,3)),'SCE-COMP'!B:J,4,FALSE),IF(LEFT(C384,3)="EST",VLOOKUP(VALUE(RIGHT(C384,3)),'EST-COMP'!B:J,4,FALSE),IF(LEFT(C384,3)="HID",VLOOKUP(VALUE(RIGHT(C384,3)),'HID-COMP'!B:J,4,FALSE),IF(LEFT(C384,3)="INC",VLOOKUP(VALUE(RIGHT(C384,3)),'INC-COMP'!B:J,4,FALSE),IF(LEFT(C384,3)="ELE",VLOOKUP(VALUE(RIGHT(C384,3)),#REF!,4,FALSE),IF(LEFT(C384,3)="CAB",VLOOKUP(VALUE(RIGHT(C384,3)),#REF!,4,FALSE),IF(LEFT(C384,3)="SEG",VLOOKUP(VALUE(RIGHT(C384,3)),'SEG-COMP'!B:J,4,FALSE),IF(LEFT(C384,3)="CLI",VLOOKUP(VALUE(RIGHT(C384,3)),'CLI-COMP'!B:J,4,FALSE),IF(LEFT(C384,4)="IMPL",VLOOKUP(VALUE(RIGHT(C384,3)),'IMPL-COMP'!B:J,4,FALSE),IF(LEFT(C384,4)="SPDA",VLOOKUP(VALUE(RIGHT(C384,3)),'SPDA-COMP'!B:J,4,FALSE),IF(LEFT(C384,4)="SDAI",VLOOKUP(VALUE(RIGHT(C384,3)),'ADM-COMP'!B:J,4,FALSE),IF(LEFT(C384,5)="IMPER",VLOOKUP(VALUE(RIGHT(C384,3)),'IMPER-COMP'!B:J,4,FALSE),""))))))))))))))))</f>
        <v>LUMINARIA EMBUTIR COMPL., CORPO CH. AÇO PINTADA BRANCA, REFLETOR ALETAS PARABÓLICAS ALUM.ALTA PUREZA E REFLETÂNCIA INCLUSIVE 2 LÂMPADAS LED T8 9W TEMP. DE COR 5000K C/ 60CM - REF. CE216AL-N - AMES, 6024 - LUMAVI OU EQUIVALENTE</v>
      </c>
      <c r="E384" s="338" t="str">
        <f>IF(B384="IOPES",VLOOKUP(C384,'LABOR-SERVIÇOS'!A:H,6,FALSE),IF(B384="SINAPI",VLOOKUP(C384,'SINAPI-SERVIÇOS'!A:D,3,FALSE),IF(LEFT(C384,3)="ARQ",VLOOKUP(VALUE(RIGHT(C384,3)),'ARQ-COMP'!B:J,5,FALSE),IF(LEFT(C384,3)="SCI",VLOOKUP(VALUE(RIGHT(C384,3)),'GAS-COMP'!#REF!,5,FALSE),IF(LEFT(C384,3)="SCE",VLOOKUP(VALUE(RIGHT(C384,3)),'SCE-COMP'!B:J,5,FALSE),IF(LEFT(C384,3)="EST",VLOOKUP(VALUE(RIGHT(C384,3)),'EST-COMP'!B:J,5,FALSE),IF(LEFT(C384,3)="HID",VLOOKUP(VALUE(RIGHT(C384,3)),'HID-COMP'!B:J,5,FALSE),IF(LEFT(C384,3)="INC",VLOOKUP(VALUE(RIGHT(C384,3)),'INC-COMP'!B:J,5,FALSE),IF(LEFT(C384,3)="ELE",VLOOKUP(VALUE(RIGHT(C384,3)),#REF!,5,FALSE),IF(LEFT(C384,3)="CAB",VLOOKUP(VALUE(RIGHT(C384,3)),#REF!,5,FALSE),IF(LEFT(C384,3)="SEG",VLOOKUP(VALUE(RIGHT(C384,3)),'SEG-COMP'!B:J,5,FALSE),IF(LEFT(C384,3)="CLI",VLOOKUP(VALUE(RIGHT(C384,3)),'CLI-COMP'!B:J,5,FALSE),IF(LEFT(C384,4)="IMPL",VLOOKUP(VALUE(RIGHT(C384,3)),'IMPL-COMP'!B:J,5,FALSE),IF(LEFT(C384,4)="SPDA",VLOOKUP(VALUE(RIGHT(C384,3)),'SPDA-COMP'!B:J,5,FALSE),IF(LEFT(C384,4)="SDAI",VLOOKUP(VALUE(RIGHT(C384,3)),'ADM-COMP'!B:J,5,FALSE),IF(LEFT(C384,5)="IMPER",VLOOKUP(VALUE(RIGHT(C384,3)),'IMPER-COMP'!B:J,5,FALSE),""))))))))))))))))</f>
        <v>UND</v>
      </c>
      <c r="F384" s="599">
        <f>ROUND(VLOOKUP(A384,'MEM-LEVANT'!A290:I2843,9,FALSE),2)</f>
        <v>55</v>
      </c>
      <c r="G384" s="339">
        <f>IF(B384="IOPES",VLOOKUP(C384,'LABOR-SERVIÇOS'!A:H,7,FALSE),IF(B384="SINAPI",VLOOKUP(C384,'SINAPI-SERVIÇOS'!A:H,8,FALSE),IF(LEFT(C384,3)="ARQ",VLOOKUP(VALUE(RIGHT(C384,3)),'ARQ-COMP'!B:J,9,FALSE),IF(LEFT(C384,3)="SCI",VLOOKUP(VALUE(RIGHT(C384,3)),'GAS-COMP'!#REF!,9,FALSE),IF(LEFT(C384,3)="SCE",VLOOKUP(VALUE(RIGHT(C384,3)),'SCE-COMP'!B:J,9,FALSE),IF(LEFT(C384,3)="EST",VLOOKUP(VALUE(RIGHT(C384,3)),'EST-COMP'!B:J,9,FALSE),IF(LEFT(C384,3)="HID",VLOOKUP(VALUE(RIGHT(C384,3)),'HID-COMP'!B:J,9,FALSE),IF(LEFT(C384,3)="INC",VLOOKUP(VALUE(RIGHT(C384,3)),'INC-COMP'!B:J,9,FALSE),IF(LEFT(C384,3)="ELE",VLOOKUP(VALUE(RIGHT(C384,3)),#REF!,9,FALSE),IF(LEFT(C384,3)="CAB",VLOOKUP(VALUE(RIGHT(C384,3)),#REF!,9,FALSE),IF(LEFT(C384,3)="SEG",VLOOKUP(VALUE(RIGHT(C384,3)),'SEG-COMP'!B:J,9,FALSE),IF(LEFT(C384,3)="CLI",VLOOKUP(VALUE(RIGHT(C384,3)),'CLI-COMP'!B:J,9,FALSE),IF(LEFT(C384,4)="IMPL",VLOOKUP(VALUE(RIGHT(C384,3)),'IMPL-COMP'!B:J,9,FALSE),IF(LEFT(C384,4)="SPDA",VLOOKUP(VALUE(RIGHT(C384,3)),'SPDA-COMP'!B:J,9,FALSE),IF(LEFT(C384,4)="SDAI",VLOOKUP(VALUE(RIGHT(C384,3)),'ADM-COMP'!B:J,9,FALSE),IF(LEFT(C384,5)="IMPER",VLOOKUP(VALUE(RIGHT(C384,3)),'IMPER-COMP'!B:J,9,FALSE),""))))))))))))))))</f>
        <v>172.92</v>
      </c>
      <c r="H384" s="339">
        <f t="shared" ref="H384" si="126">ROUND(F384*G384,2)</f>
        <v>9510.6</v>
      </c>
      <c r="I384" s="374">
        <f>H384/$H$441</f>
        <v>5.5608087747393566E-4</v>
      </c>
      <c r="J384" s="314"/>
    </row>
    <row r="385" spans="1:10" ht="66">
      <c r="A385" s="613" t="s">
        <v>35460</v>
      </c>
      <c r="B385" s="337" t="s">
        <v>2879</v>
      </c>
      <c r="C385" s="540">
        <f>181007</f>
        <v>181007</v>
      </c>
      <c r="D385" s="539" t="str">
        <f>IF(B385="IOPES",VLOOKUP(C385,'LABOR-SERVIÇOS'!A:H,5,FALSE),IF(B385="SINAPI",VLOOKUP(C385,'SINAPI-SERVIÇOS'!A:D,2,FALSE),IF(LEFT(C385,3)="ARQ",VLOOKUP(VALUE(RIGHT(C385,3)),'ARQ-COMP'!B:J,4,FALSE),IF(LEFT(C385,3)="SCI",VLOOKUP(VALUE(RIGHT(C385,3)),'GAS-COMP'!#REF!,4,FALSE),IF(LEFT(C385,3)="SCE",VLOOKUP(VALUE(RIGHT(C385,3)),'SCE-COMP'!B:J,4,FALSE),IF(LEFT(C385,3)="EST",VLOOKUP(VALUE(RIGHT(C385,3)),'EST-COMP'!B:J,4,FALSE),IF(LEFT(C385,3)="HID",VLOOKUP(VALUE(RIGHT(C385,3)),'HID-COMP'!B:J,4,FALSE),IF(LEFT(C385,3)="INC",VLOOKUP(VALUE(RIGHT(C385,3)),'INC-COMP'!B:J,4,FALSE),IF(LEFT(C385,3)="ELE",VLOOKUP(VALUE(RIGHT(C385,3)),#REF!,4,FALSE),IF(LEFT(C385,3)="CAB",VLOOKUP(VALUE(RIGHT(C385,3)),#REF!,4,FALSE),IF(LEFT(C385,3)="SEG",VLOOKUP(VALUE(RIGHT(C385,3)),'SEG-COMP'!B:J,4,FALSE),IF(LEFT(C385,3)="CLI",VLOOKUP(VALUE(RIGHT(C385,3)),'CLI-COMP'!B:J,4,FALSE),IF(LEFT(C385,4)="IMPL",VLOOKUP(VALUE(RIGHT(C385,3)),'IMPL-COMP'!B:J,4,FALSE),IF(LEFT(C385,4)="SPDA",VLOOKUP(VALUE(RIGHT(C385,3)),'SPDA-COMP'!B:J,4,FALSE),IF(LEFT(C385,4)="SDAI",VLOOKUP(VALUE(RIGHT(C385,3)),'ADM-COMP'!B:J,4,FALSE),IF(LEFT(C385,5)="IMPER",VLOOKUP(VALUE(RIGHT(C385,3)),'IMPER-COMP'!B:J,4,FALSE),""))))))))))))))))</f>
        <v>LUMINÁRIA EMBUTIR COMPL., CORPO CH. AÇO PINTADA BRANCA, REFLETOR,ALETAS PARABÓLICAS ALUM.ALTA PUREZA E REFLETÂNCIA NCLUSIVE 4 LÂMPADAS LED T8 9W TEMP. DE COR 5000K - REF.CE416AL-N - AMES, 6026 - LUMAVI OU EQUIVALENTE</v>
      </c>
      <c r="E385" s="338" t="str">
        <f>IF(B385="IOPES",VLOOKUP(C385,'LABOR-SERVIÇOS'!A:H,6,FALSE),IF(B385="SINAPI",VLOOKUP(C385,'SINAPI-SERVIÇOS'!A:D,3,FALSE),IF(LEFT(C385,3)="ARQ",VLOOKUP(VALUE(RIGHT(C385,3)),'ARQ-COMP'!B:J,5,FALSE),IF(LEFT(C385,3)="SCI",VLOOKUP(VALUE(RIGHT(C385,3)),'GAS-COMP'!#REF!,5,FALSE),IF(LEFT(C385,3)="SCE",VLOOKUP(VALUE(RIGHT(C385,3)),'SCE-COMP'!B:J,5,FALSE),IF(LEFT(C385,3)="EST",VLOOKUP(VALUE(RIGHT(C385,3)),'EST-COMP'!B:J,5,FALSE),IF(LEFT(C385,3)="HID",VLOOKUP(VALUE(RIGHT(C385,3)),'HID-COMP'!B:J,5,FALSE),IF(LEFT(C385,3)="INC",VLOOKUP(VALUE(RIGHT(C385,3)),'INC-COMP'!B:J,5,FALSE),IF(LEFT(C385,3)="ELE",VLOOKUP(VALUE(RIGHT(C385,3)),#REF!,5,FALSE),IF(LEFT(C385,3)="CAB",VLOOKUP(VALUE(RIGHT(C385,3)),#REF!,5,FALSE),IF(LEFT(C385,3)="SEG",VLOOKUP(VALUE(RIGHT(C385,3)),'SEG-COMP'!B:J,5,FALSE),IF(LEFT(C385,3)="CLI",VLOOKUP(VALUE(RIGHT(C385,3)),'CLI-COMP'!B:J,5,FALSE),IF(LEFT(C385,4)="IMPL",VLOOKUP(VALUE(RIGHT(C385,3)),'IMPL-COMP'!B:J,5,FALSE),IF(LEFT(C385,4)="SPDA",VLOOKUP(VALUE(RIGHT(C385,3)),'SPDA-COMP'!B:J,5,FALSE),IF(LEFT(C385,4)="SDAI",VLOOKUP(VALUE(RIGHT(C385,3)),'ADM-COMP'!B:J,5,FALSE),IF(LEFT(C385,5)="IMPER",VLOOKUP(VALUE(RIGHT(C385,3)),'IMPER-COMP'!B:J,5,FALSE),""))))))))))))))))</f>
        <v>UND</v>
      </c>
      <c r="F385" s="599">
        <f>ROUND(VLOOKUP(A385,'MEM-LEVANT'!A291:I2844,9,FALSE),2)</f>
        <v>309</v>
      </c>
      <c r="G385" s="339">
        <f>IF(B385="IOPES",VLOOKUP(C385,'LABOR-SERVIÇOS'!A:H,7,FALSE),IF(B385="SINAPI",VLOOKUP(C385,'SINAPI-SERVIÇOS'!A:H,8,FALSE),IF(LEFT(C385,3)="ARQ",VLOOKUP(VALUE(RIGHT(C385,3)),'ARQ-COMP'!B:J,9,FALSE),IF(LEFT(C385,3)="SCI",VLOOKUP(VALUE(RIGHT(C385,3)),'GAS-COMP'!#REF!,9,FALSE),IF(LEFT(C385,3)="SCE",VLOOKUP(VALUE(RIGHT(C385,3)),'SCE-COMP'!B:J,9,FALSE),IF(LEFT(C385,3)="EST",VLOOKUP(VALUE(RIGHT(C385,3)),'EST-COMP'!B:J,9,FALSE),IF(LEFT(C385,3)="HID",VLOOKUP(VALUE(RIGHT(C385,3)),'HID-COMP'!B:J,9,FALSE),IF(LEFT(C385,3)="INC",VLOOKUP(VALUE(RIGHT(C385,3)),'INC-COMP'!B:J,9,FALSE),IF(LEFT(C385,3)="ELE",VLOOKUP(VALUE(RIGHT(C385,3)),#REF!,9,FALSE),IF(LEFT(C385,3)="CAB",VLOOKUP(VALUE(RIGHT(C385,3)),#REF!,9,FALSE),IF(LEFT(C385,3)="SEG",VLOOKUP(VALUE(RIGHT(C385,3)),'SEG-COMP'!B:J,9,FALSE),IF(LEFT(C385,3)="CLI",VLOOKUP(VALUE(RIGHT(C385,3)),'CLI-COMP'!B:J,9,FALSE),IF(LEFT(C385,4)="IMPL",VLOOKUP(VALUE(RIGHT(C385,3)),'IMPL-COMP'!B:J,9,FALSE),IF(LEFT(C385,4)="SPDA",VLOOKUP(VALUE(RIGHT(C385,3)),'SPDA-COMP'!B:J,9,FALSE),IF(LEFT(C385,4)="SDAI",VLOOKUP(VALUE(RIGHT(C385,3)),'ADM-COMP'!B:J,9,FALSE),IF(LEFT(C385,5)="IMPER",VLOOKUP(VALUE(RIGHT(C385,3)),'IMPER-COMP'!B:J,9,FALSE),""))))))))))))))))</f>
        <v>318.08</v>
      </c>
      <c r="H385" s="339">
        <f t="shared" ref="H385" si="127">ROUND(F385*G385,2)</f>
        <v>98286.720000000001</v>
      </c>
      <c r="I385" s="374">
        <f>H385/$H$441</f>
        <v>5.7467841673117387E-3</v>
      </c>
      <c r="J385" s="314"/>
    </row>
    <row r="386" spans="1:10">
      <c r="A386" s="570"/>
      <c r="B386" s="569"/>
      <c r="C386" s="569"/>
      <c r="D386" s="571" t="s">
        <v>27438</v>
      </c>
      <c r="E386" s="572"/>
      <c r="F386" s="600"/>
      <c r="G386" s="573"/>
      <c r="H386" s="574">
        <f>SUM(H382:H385)</f>
        <v>143955.66</v>
      </c>
      <c r="I386" s="575">
        <f>H386/$H$441</f>
        <v>8.4170283399721928E-3</v>
      </c>
      <c r="J386" s="314"/>
    </row>
    <row r="387" spans="1:10">
      <c r="A387" s="613"/>
      <c r="B387" s="337"/>
      <c r="C387" s="337"/>
      <c r="D387" s="539"/>
      <c r="E387" s="338"/>
      <c r="F387" s="599"/>
      <c r="G387" s="339"/>
      <c r="H387" s="339"/>
      <c r="I387" s="374"/>
      <c r="J387" s="314"/>
    </row>
    <row r="388" spans="1:10">
      <c r="A388" s="561" t="s">
        <v>23686</v>
      </c>
      <c r="B388" s="562"/>
      <c r="C388" s="563"/>
      <c r="D388" s="564" t="s">
        <v>53</v>
      </c>
      <c r="E388" s="565"/>
      <c r="F388" s="597"/>
      <c r="G388" s="566"/>
      <c r="H388" s="567"/>
      <c r="I388" s="568"/>
      <c r="J388" s="314"/>
    </row>
    <row r="389" spans="1:10">
      <c r="A389" s="553" t="s">
        <v>9760</v>
      </c>
      <c r="B389" s="554"/>
      <c r="C389" s="555"/>
      <c r="D389" s="556" t="s">
        <v>1612</v>
      </c>
      <c r="E389" s="557"/>
      <c r="F389" s="598"/>
      <c r="G389" s="558"/>
      <c r="H389" s="559"/>
      <c r="I389" s="560"/>
      <c r="J389" s="314"/>
    </row>
    <row r="390" spans="1:10" ht="66">
      <c r="A390" s="613" t="s">
        <v>23687</v>
      </c>
      <c r="B390" s="337" t="s">
        <v>2879</v>
      </c>
      <c r="C390" s="540">
        <f>190101</f>
        <v>190101</v>
      </c>
      <c r="D390" s="539" t="str">
        <f>IF(B390="IOPES",VLOOKUP(C390,'LABOR-SERVIÇOS'!A:H,5,FALSE),IF(B390="SINAPI",VLOOKUP(C390,'SINAPI-SERVIÇOS'!A:D,2,FALSE),IF(LEFT(C390,3)="ARQ",VLOOKUP(VALUE(RIGHT(C390,3)),'ARQ-COMP'!B:J,4,FALSE),IF(LEFT(C390,3)="SCI",VLOOKUP(VALUE(RIGHT(C390,3)),'GAS-COMP'!#REF!,4,FALSE),IF(LEFT(C390,3)="SCE",VLOOKUP(VALUE(RIGHT(C390,3)),'SCE-COMP'!B:J,4,FALSE),IF(LEFT(C390,3)="EST",VLOOKUP(VALUE(RIGHT(C390,3)),'EST-COMP'!B:J,4,FALSE),IF(LEFT(C390,3)="HID",VLOOKUP(VALUE(RIGHT(C390,3)),'HID-COMP'!B:J,4,FALSE),IF(LEFT(C390,3)="INC",VLOOKUP(VALUE(RIGHT(C390,3)),'INC-COMP'!B:J,4,FALSE),IF(LEFT(C390,3)="ELE",VLOOKUP(VALUE(RIGHT(C390,3)),#REF!,4,FALSE),IF(LEFT(C390,3)="CAB",VLOOKUP(VALUE(RIGHT(C390,3)),#REF!,4,FALSE),IF(LEFT(C390,3)="SEG",VLOOKUP(VALUE(RIGHT(C390,3)),'SEG-COMP'!B:J,4,FALSE),IF(LEFT(C390,3)="CLI",VLOOKUP(VALUE(RIGHT(C390,3)),'CLI-COMP'!B:J,4,FALSE),IF(LEFT(C390,4)="IMPL",VLOOKUP(VALUE(RIGHT(C390,3)),'IMPL-COMP'!B:J,4,FALSE),IF(LEFT(C390,4)="SPDA",VLOOKUP(VALUE(RIGHT(C390,3)),'SPDA-COMP'!B:J,4,FALSE),IF(LEFT(C390,4)="SDAI",VLOOKUP(VALUE(RIGHT(C390,3)),'ADM-COMP'!B:J,4,FALSE),IF(LEFT(C390,5)="IMPER",VLOOKUP(VALUE(RIGHT(C390,3)),'IMPER-COMP'!B:J,4,FALSE),""))))))))))))))))</f>
        <v>EMASSAMENTO DE PAREDES E FORROS, COM DUAS DEMÃOS DE MASSA CORRIDA, REFERÊNCIA SUVINIL, CORAL, METALATEX OU EQUIVALENTE, INCLUSIVE UMA DEMÃO DE LIQUIDO SELADOR PVA, REFERÊNCIA SUVINIL, CORAL OU METALATEX OU EQUIVALENTE</v>
      </c>
      <c r="E390" s="338" t="str">
        <f>IF(B390="IOPES",VLOOKUP(C390,'LABOR-SERVIÇOS'!A:H,6,FALSE),IF(B390="SINAPI",VLOOKUP(C390,'SINAPI-SERVIÇOS'!A:D,3,FALSE),IF(LEFT(C390,3)="ARQ",VLOOKUP(VALUE(RIGHT(C390,3)),'ARQ-COMP'!B:J,5,FALSE),IF(LEFT(C390,3)="SCI",VLOOKUP(VALUE(RIGHT(C390,3)),'GAS-COMP'!#REF!,5,FALSE),IF(LEFT(C390,3)="SCE",VLOOKUP(VALUE(RIGHT(C390,3)),'SCE-COMP'!B:J,5,FALSE),IF(LEFT(C390,3)="EST",VLOOKUP(VALUE(RIGHT(C390,3)),'EST-COMP'!B:J,5,FALSE),IF(LEFT(C390,3)="HID",VLOOKUP(VALUE(RIGHT(C390,3)),'HID-COMP'!B:J,5,FALSE),IF(LEFT(C390,3)="INC",VLOOKUP(VALUE(RIGHT(C390,3)),'INC-COMP'!B:J,5,FALSE),IF(LEFT(C390,3)="ELE",VLOOKUP(VALUE(RIGHT(C390,3)),#REF!,5,FALSE),IF(LEFT(C390,3)="CAB",VLOOKUP(VALUE(RIGHT(C390,3)),#REF!,5,FALSE),IF(LEFT(C390,3)="SEG",VLOOKUP(VALUE(RIGHT(C390,3)),'SEG-COMP'!B:J,5,FALSE),IF(LEFT(C390,3)="CLI",VLOOKUP(VALUE(RIGHT(C390,3)),'CLI-COMP'!B:J,5,FALSE),IF(LEFT(C390,4)="IMPL",VLOOKUP(VALUE(RIGHT(C390,3)),'IMPL-COMP'!B:J,5,FALSE),IF(LEFT(C390,4)="SPDA",VLOOKUP(VALUE(RIGHT(C390,3)),'SPDA-COMP'!B:J,5,FALSE),IF(LEFT(C390,4)="SDAI",VLOOKUP(VALUE(RIGHT(C390,3)),'ADM-COMP'!B:J,5,FALSE),IF(LEFT(C390,5)="IMPER",VLOOKUP(VALUE(RIGHT(C390,3)),'IMPER-COMP'!B:J,5,FALSE),""))))))))))))))))</f>
        <v>M2</v>
      </c>
      <c r="F390" s="599">
        <f>ROUND(VLOOKUP(A390,'MEM-LEVANT'!A295:I2849,9,FALSE),2)</f>
        <v>2693.48</v>
      </c>
      <c r="G390" s="339">
        <f>IF(B390="IOPES",VLOOKUP(C390,'LABOR-SERVIÇOS'!A:H,7,FALSE),IF(B390="SINAPI",VLOOKUP(C390,'SINAPI-SERVIÇOS'!A:H,8,FALSE),IF(LEFT(C390,3)="ARQ",VLOOKUP(VALUE(RIGHT(C390,3)),'ARQ-COMP'!B:J,9,FALSE),IF(LEFT(C390,3)="SCI",VLOOKUP(VALUE(RIGHT(C390,3)),'GAS-COMP'!#REF!,9,FALSE),IF(LEFT(C390,3)="SCE",VLOOKUP(VALUE(RIGHT(C390,3)),'SCE-COMP'!B:J,9,FALSE),IF(LEFT(C390,3)="EST",VLOOKUP(VALUE(RIGHT(C390,3)),'EST-COMP'!B:J,9,FALSE),IF(LEFT(C390,3)="HID",VLOOKUP(VALUE(RIGHT(C390,3)),'HID-COMP'!B:J,9,FALSE),IF(LEFT(C390,3)="INC",VLOOKUP(VALUE(RIGHT(C390,3)),'INC-COMP'!B:J,9,FALSE),IF(LEFT(C390,3)="ELE",VLOOKUP(VALUE(RIGHT(C390,3)),#REF!,9,FALSE),IF(LEFT(C390,3)="CAB",VLOOKUP(VALUE(RIGHT(C390,3)),#REF!,9,FALSE),IF(LEFT(C390,3)="SEG",VLOOKUP(VALUE(RIGHT(C390,3)),'SEG-COMP'!B:J,9,FALSE),IF(LEFT(C390,3)="CLI",VLOOKUP(VALUE(RIGHT(C390,3)),'CLI-COMP'!B:J,9,FALSE),IF(LEFT(C390,4)="IMPL",VLOOKUP(VALUE(RIGHT(C390,3)),'IMPL-COMP'!B:J,9,FALSE),IF(LEFT(C390,4)="SPDA",VLOOKUP(VALUE(RIGHT(C390,3)),'SPDA-COMP'!B:J,9,FALSE),IF(LEFT(C390,4)="SDAI",VLOOKUP(VALUE(RIGHT(C390,3)),'ADM-COMP'!B:J,9,FALSE),IF(LEFT(C390,5)="IMPER",VLOOKUP(VALUE(RIGHT(C390,3)),'IMPER-COMP'!B:J,9,FALSE),""))))))))))))))))</f>
        <v>26.1</v>
      </c>
      <c r="H390" s="339">
        <f t="shared" ref="H390" si="128">ROUND(F390*G390,2)</f>
        <v>70299.83</v>
      </c>
      <c r="I390" s="374">
        <f>H390/$H$441</f>
        <v>4.11040219888004E-3</v>
      </c>
      <c r="J390" s="314"/>
    </row>
    <row r="391" spans="1:10" ht="66">
      <c r="A391" s="613" t="s">
        <v>27024</v>
      </c>
      <c r="B391" s="337" t="s">
        <v>2879</v>
      </c>
      <c r="C391" s="540">
        <f>190103</f>
        <v>190103</v>
      </c>
      <c r="D391" s="539" t="str">
        <f>IF(B391="IOPES",VLOOKUP(C391,'LABOR-SERVIÇOS'!A:H,5,FALSE),IF(B391="SINAPI",VLOOKUP(C391,'SINAPI-SERVIÇOS'!A:D,2,FALSE),IF(LEFT(C391,3)="ARQ",VLOOKUP(VALUE(RIGHT(C391,3)),'ARQ-COMP'!B:J,4,FALSE),IF(LEFT(C391,3)="SCI",VLOOKUP(VALUE(RIGHT(C391,3)),'GAS-COMP'!#REF!,4,FALSE),IF(LEFT(C391,3)="SCE",VLOOKUP(VALUE(RIGHT(C391,3)),'SCE-COMP'!B:J,4,FALSE),IF(LEFT(C391,3)="EST",VLOOKUP(VALUE(RIGHT(C391,3)),'EST-COMP'!B:J,4,FALSE),IF(LEFT(C391,3)="HID",VLOOKUP(VALUE(RIGHT(C391,3)),'HID-COMP'!B:J,4,FALSE),IF(LEFT(C391,3)="INC",VLOOKUP(VALUE(RIGHT(C391,3)),'INC-COMP'!B:J,4,FALSE),IF(LEFT(C391,3)="ELE",VLOOKUP(VALUE(RIGHT(C391,3)),#REF!,4,FALSE),IF(LEFT(C391,3)="CAB",VLOOKUP(VALUE(RIGHT(C391,3)),#REF!,4,FALSE),IF(LEFT(C391,3)="SEG",VLOOKUP(VALUE(RIGHT(C391,3)),'SEG-COMP'!B:J,4,FALSE),IF(LEFT(C391,3)="CLI",VLOOKUP(VALUE(RIGHT(C391,3)),'CLI-COMP'!B:J,4,FALSE),IF(LEFT(C391,4)="IMPL",VLOOKUP(VALUE(RIGHT(C391,3)),'IMPL-COMP'!B:J,4,FALSE),IF(LEFT(C391,4)="SPDA",VLOOKUP(VALUE(RIGHT(C391,3)),'SPDA-COMP'!B:J,4,FALSE),IF(LEFT(C391,4)="SDAI",VLOOKUP(VALUE(RIGHT(C391,3)),'ADM-COMP'!B:J,4,FALSE),IF(LEFT(C391,5)="IMPER",VLOOKUP(VALUE(RIGHT(C391,3)),'IMPER-COMP'!B:J,4,FALSE),""))))))))))))))))</f>
        <v>EMASSAMENTO DE PAREDES E FORROS, COM DUAS DEMÃOS DE MASSA ACRÍLICA PREMIUM, REFERÊNCIA SUVINIL, CORAL OU SHERWIN WILLIAMS OU EQUIVALENTE, INCLUSIVE UMA DEMÃO DE LIQUIDO SELADOR ACRÍLICO, REFERÊNCIA SUVINIL, CORAL OU METALATEX OU EQUIVALENTE</v>
      </c>
      <c r="E391" s="338" t="str">
        <f>IF(B391="IOPES",VLOOKUP(C391,'LABOR-SERVIÇOS'!A:H,6,FALSE),IF(B391="SINAPI",VLOOKUP(C391,'SINAPI-SERVIÇOS'!A:D,3,FALSE),IF(LEFT(C391,3)="ARQ",VLOOKUP(VALUE(RIGHT(C391,3)),'ARQ-COMP'!B:J,5,FALSE),IF(LEFT(C391,3)="SCI",VLOOKUP(VALUE(RIGHT(C391,3)),'GAS-COMP'!#REF!,5,FALSE),IF(LEFT(C391,3)="SCE",VLOOKUP(VALUE(RIGHT(C391,3)),'SCE-COMP'!B:J,5,FALSE),IF(LEFT(C391,3)="EST",VLOOKUP(VALUE(RIGHT(C391,3)),'EST-COMP'!B:J,5,FALSE),IF(LEFT(C391,3)="HID",VLOOKUP(VALUE(RIGHT(C391,3)),'HID-COMP'!B:J,5,FALSE),IF(LEFT(C391,3)="INC",VLOOKUP(VALUE(RIGHT(C391,3)),'INC-COMP'!B:J,5,FALSE),IF(LEFT(C391,3)="ELE",VLOOKUP(VALUE(RIGHT(C391,3)),#REF!,5,FALSE),IF(LEFT(C391,3)="CAB",VLOOKUP(VALUE(RIGHT(C391,3)),#REF!,5,FALSE),IF(LEFT(C391,3)="SEG",VLOOKUP(VALUE(RIGHT(C391,3)),'SEG-COMP'!B:J,5,FALSE),IF(LEFT(C391,3)="CLI",VLOOKUP(VALUE(RIGHT(C391,3)),'CLI-COMP'!B:J,5,FALSE),IF(LEFT(C391,4)="IMPL",VLOOKUP(VALUE(RIGHT(C391,3)),'IMPL-COMP'!B:J,5,FALSE),IF(LEFT(C391,4)="SPDA",VLOOKUP(VALUE(RIGHT(C391,3)),'SPDA-COMP'!B:J,5,FALSE),IF(LEFT(C391,4)="SDAI",VLOOKUP(VALUE(RIGHT(C391,3)),'ADM-COMP'!B:J,5,FALSE),IF(LEFT(C391,5)="IMPER",VLOOKUP(VALUE(RIGHT(C391,3)),'IMPER-COMP'!B:J,5,FALSE),""))))))))))))))))</f>
        <v>M2</v>
      </c>
      <c r="F391" s="599">
        <f>ROUND(VLOOKUP(A391,'MEM-LEVANT'!A295:I2850,9,FALSE),2)</f>
        <v>1172.42</v>
      </c>
      <c r="G391" s="339">
        <f>IF(B391="IOPES",VLOOKUP(C391,'LABOR-SERVIÇOS'!A:H,7,FALSE),IF(B391="SINAPI",VLOOKUP(C391,'SINAPI-SERVIÇOS'!A:H,8,FALSE),IF(LEFT(C391,3)="ARQ",VLOOKUP(VALUE(RIGHT(C391,3)),'ARQ-COMP'!B:J,9,FALSE),IF(LEFT(C391,3)="SCI",VLOOKUP(VALUE(RIGHT(C391,3)),'GAS-COMP'!#REF!,9,FALSE),IF(LEFT(C391,3)="SCE",VLOOKUP(VALUE(RIGHT(C391,3)),'SCE-COMP'!B:J,9,FALSE),IF(LEFT(C391,3)="EST",VLOOKUP(VALUE(RIGHT(C391,3)),'EST-COMP'!B:J,9,FALSE),IF(LEFT(C391,3)="HID",VLOOKUP(VALUE(RIGHT(C391,3)),'HID-COMP'!B:J,9,FALSE),IF(LEFT(C391,3)="INC",VLOOKUP(VALUE(RIGHT(C391,3)),'INC-COMP'!B:J,9,FALSE),IF(LEFT(C391,3)="ELE",VLOOKUP(VALUE(RIGHT(C391,3)),#REF!,9,FALSE),IF(LEFT(C391,3)="CAB",VLOOKUP(VALUE(RIGHT(C391,3)),#REF!,9,FALSE),IF(LEFT(C391,3)="SEG",VLOOKUP(VALUE(RIGHT(C391,3)),'SEG-COMP'!B:J,9,FALSE),IF(LEFT(C391,3)="CLI",VLOOKUP(VALUE(RIGHT(C391,3)),'CLI-COMP'!B:J,9,FALSE),IF(LEFT(C391,4)="IMPL",VLOOKUP(VALUE(RIGHT(C391,3)),'IMPL-COMP'!B:J,9,FALSE),IF(LEFT(C391,4)="SPDA",VLOOKUP(VALUE(RIGHT(C391,3)),'SPDA-COMP'!B:J,9,FALSE),IF(LEFT(C391,4)="SDAI",VLOOKUP(VALUE(RIGHT(C391,3)),'ADM-COMP'!B:J,9,FALSE),IF(LEFT(C391,5)="IMPER",VLOOKUP(VALUE(RIGHT(C391,3)),'IMPER-COMP'!B:J,9,FALSE),""))))))))))))))))</f>
        <v>31.75</v>
      </c>
      <c r="H391" s="339">
        <f t="shared" ref="H391:H393" si="129">ROUND(F391*G391,2)</f>
        <v>37224.339999999997</v>
      </c>
      <c r="I391" s="374">
        <f>H391/$H$441</f>
        <v>2.1764918775459088E-3</v>
      </c>
      <c r="J391" s="314"/>
    </row>
    <row r="392" spans="1:10" ht="66">
      <c r="A392" s="613" t="s">
        <v>27025</v>
      </c>
      <c r="B392" s="337" t="s">
        <v>2879</v>
      </c>
      <c r="C392" s="540">
        <f>190104</f>
        <v>190104</v>
      </c>
      <c r="D392" s="539" t="str">
        <f>IF(B392="IOPES",VLOOKUP(C392,'LABOR-SERVIÇOS'!A:H,5,FALSE),IF(B392="SINAPI",VLOOKUP(C392,'SINAPI-SERVIÇOS'!A:D,2,FALSE),IF(LEFT(C392,3)="ARQ",VLOOKUP(VALUE(RIGHT(C392,3)),'ARQ-COMP'!B:J,4,FALSE),IF(LEFT(C392,3)="SCI",VLOOKUP(VALUE(RIGHT(C392,3)),'GAS-COMP'!#REF!,4,FALSE),IF(LEFT(C392,3)="SCE",VLOOKUP(VALUE(RIGHT(C392,3)),'SCE-COMP'!B:J,4,FALSE),IF(LEFT(C392,3)="EST",VLOOKUP(VALUE(RIGHT(C392,3)),'EST-COMP'!B:J,4,FALSE),IF(LEFT(C392,3)="HID",VLOOKUP(VALUE(RIGHT(C392,3)),'HID-COMP'!B:J,4,FALSE),IF(LEFT(C392,3)="INC",VLOOKUP(VALUE(RIGHT(C392,3)),'INC-COMP'!B:J,4,FALSE),IF(LEFT(C392,3)="ELE",VLOOKUP(VALUE(RIGHT(C392,3)),#REF!,4,FALSE),IF(LEFT(C392,3)="CAB",VLOOKUP(VALUE(RIGHT(C392,3)),#REF!,4,FALSE),IF(LEFT(C392,3)="SEG",VLOOKUP(VALUE(RIGHT(C392,3)),'SEG-COMP'!B:J,4,FALSE),IF(LEFT(C392,3)="CLI",VLOOKUP(VALUE(RIGHT(C392,3)),'CLI-COMP'!B:J,4,FALSE),IF(LEFT(C392,4)="IMPL",VLOOKUP(VALUE(RIGHT(C392,3)),'IMPL-COMP'!B:J,4,FALSE),IF(LEFT(C392,4)="SPDA",VLOOKUP(VALUE(RIGHT(C392,3)),'SPDA-COMP'!B:J,4,FALSE),IF(LEFT(C392,4)="SDAI",VLOOKUP(VALUE(RIGHT(C392,3)),'ADM-COMP'!B:J,4,FALSE),IF(LEFT(C392,5)="IMPER",VLOOKUP(VALUE(RIGHT(C392,3)),'IMPER-COMP'!B:J,4,FALSE),""))))))))))))))))</f>
        <v>PINTURA EM PAREDES E FORROS, APLICAÇÃO MANUAL, COM TRÊS DEMÃOS DE TINTA LÁTEX PREMIUM, REFERÊNCIA SUVINIL, CORAL E METALATEX, INCLUSIVE UMA DEMÃO DE LIQUIDO SELADOR PVA, REFERÊNCIA SUVINIL, CORAL OU METALATEX OU EQUIVALENTE</v>
      </c>
      <c r="E392" s="338" t="str">
        <f>IF(B392="IOPES",VLOOKUP(C392,'LABOR-SERVIÇOS'!A:H,6,FALSE),IF(B392="SINAPI",VLOOKUP(C392,'SINAPI-SERVIÇOS'!A:D,3,FALSE),IF(LEFT(C392,3)="ARQ",VLOOKUP(VALUE(RIGHT(C392,3)),'ARQ-COMP'!B:J,5,FALSE),IF(LEFT(C392,3)="SCI",VLOOKUP(VALUE(RIGHT(C392,3)),'GAS-COMP'!#REF!,5,FALSE),IF(LEFT(C392,3)="SCE",VLOOKUP(VALUE(RIGHT(C392,3)),'SCE-COMP'!B:J,5,FALSE),IF(LEFT(C392,3)="EST",VLOOKUP(VALUE(RIGHT(C392,3)),'EST-COMP'!B:J,5,FALSE),IF(LEFT(C392,3)="HID",VLOOKUP(VALUE(RIGHT(C392,3)),'HID-COMP'!B:J,5,FALSE),IF(LEFT(C392,3)="INC",VLOOKUP(VALUE(RIGHT(C392,3)),'INC-COMP'!B:J,5,FALSE),IF(LEFT(C392,3)="ELE",VLOOKUP(VALUE(RIGHT(C392,3)),#REF!,5,FALSE),IF(LEFT(C392,3)="CAB",VLOOKUP(VALUE(RIGHT(C392,3)),#REF!,5,FALSE),IF(LEFT(C392,3)="SEG",VLOOKUP(VALUE(RIGHT(C392,3)),'SEG-COMP'!B:J,5,FALSE),IF(LEFT(C392,3)="CLI",VLOOKUP(VALUE(RIGHT(C392,3)),'CLI-COMP'!B:J,5,FALSE),IF(LEFT(C392,4)="IMPL",VLOOKUP(VALUE(RIGHT(C392,3)),'IMPL-COMP'!B:J,5,FALSE),IF(LEFT(C392,4)="SPDA",VLOOKUP(VALUE(RIGHT(C392,3)),'SPDA-COMP'!B:J,5,FALSE),IF(LEFT(C392,4)="SDAI",VLOOKUP(VALUE(RIGHT(C392,3)),'ADM-COMP'!B:J,5,FALSE),IF(LEFT(C392,5)="IMPER",VLOOKUP(VALUE(RIGHT(C392,3)),'IMPER-COMP'!B:J,5,FALSE),""))))))))))))))))</f>
        <v>M2</v>
      </c>
      <c r="F392" s="599">
        <f>ROUND(VLOOKUP(A392,'MEM-LEVANT'!A295:I2851,9,FALSE),2)</f>
        <v>2693.48</v>
      </c>
      <c r="G392" s="339">
        <f>IF(B392="IOPES",VLOOKUP(C392,'LABOR-SERVIÇOS'!A:H,7,FALSE),IF(B392="SINAPI",VLOOKUP(C392,'SINAPI-SERVIÇOS'!A:H,8,FALSE),IF(LEFT(C392,3)="ARQ",VLOOKUP(VALUE(RIGHT(C392,3)),'ARQ-COMP'!B:J,9,FALSE),IF(LEFT(C392,3)="SCI",VLOOKUP(VALUE(RIGHT(C392,3)),'GAS-COMP'!#REF!,9,FALSE),IF(LEFT(C392,3)="SCE",VLOOKUP(VALUE(RIGHT(C392,3)),'SCE-COMP'!B:J,9,FALSE),IF(LEFT(C392,3)="EST",VLOOKUP(VALUE(RIGHT(C392,3)),'EST-COMP'!B:J,9,FALSE),IF(LEFT(C392,3)="HID",VLOOKUP(VALUE(RIGHT(C392,3)),'HID-COMP'!B:J,9,FALSE),IF(LEFT(C392,3)="INC",VLOOKUP(VALUE(RIGHT(C392,3)),'INC-COMP'!B:J,9,FALSE),IF(LEFT(C392,3)="ELE",VLOOKUP(VALUE(RIGHT(C392,3)),#REF!,9,FALSE),IF(LEFT(C392,3)="CAB",VLOOKUP(VALUE(RIGHT(C392,3)),#REF!,9,FALSE),IF(LEFT(C392,3)="SEG",VLOOKUP(VALUE(RIGHT(C392,3)),'SEG-COMP'!B:J,9,FALSE),IF(LEFT(C392,3)="CLI",VLOOKUP(VALUE(RIGHT(C392,3)),'CLI-COMP'!B:J,9,FALSE),IF(LEFT(C392,4)="IMPL",VLOOKUP(VALUE(RIGHT(C392,3)),'IMPL-COMP'!B:J,9,FALSE),IF(LEFT(C392,4)="SPDA",VLOOKUP(VALUE(RIGHT(C392,3)),'SPDA-COMP'!B:J,9,FALSE),IF(LEFT(C392,4)="SDAI",VLOOKUP(VALUE(RIGHT(C392,3)),'ADM-COMP'!B:J,9,FALSE),IF(LEFT(C392,5)="IMPER",VLOOKUP(VALUE(RIGHT(C392,3)),'IMPER-COMP'!B:J,9,FALSE),""))))))))))))))))</f>
        <v>38.340000000000003</v>
      </c>
      <c r="H392" s="339">
        <f t="shared" si="129"/>
        <v>103268.02</v>
      </c>
      <c r="I392" s="374">
        <f>H392/$H$441</f>
        <v>6.0380387332656131E-3</v>
      </c>
      <c r="J392" s="314"/>
    </row>
    <row r="393" spans="1:10" ht="66">
      <c r="A393" s="613" t="s">
        <v>27026</v>
      </c>
      <c r="B393" s="337" t="s">
        <v>2879</v>
      </c>
      <c r="C393" s="540">
        <f>190106</f>
        <v>190106</v>
      </c>
      <c r="D393" s="539" t="str">
        <f>IF(B393="IOPES",VLOOKUP(C393,'LABOR-SERVIÇOS'!A:H,5,FALSE),IF(B393="SINAPI",VLOOKUP(C393,'SINAPI-SERVIÇOS'!A:D,2,FALSE),IF(LEFT(C393,3)="ARQ",VLOOKUP(VALUE(RIGHT(C393,3)),'ARQ-COMP'!B:J,4,FALSE),IF(LEFT(C393,3)="SCI",VLOOKUP(VALUE(RIGHT(C393,3)),'GAS-COMP'!#REF!,4,FALSE),IF(LEFT(C393,3)="SCE",VLOOKUP(VALUE(RIGHT(C393,3)),'SCE-COMP'!B:J,4,FALSE),IF(LEFT(C393,3)="EST",VLOOKUP(VALUE(RIGHT(C393,3)),'EST-COMP'!B:J,4,FALSE),IF(LEFT(C393,3)="HID",VLOOKUP(VALUE(RIGHT(C393,3)),'HID-COMP'!B:J,4,FALSE),IF(LEFT(C393,3)="INC",VLOOKUP(VALUE(RIGHT(C393,3)),'INC-COMP'!B:J,4,FALSE),IF(LEFT(C393,3)="ELE",VLOOKUP(VALUE(RIGHT(C393,3)),#REF!,4,FALSE),IF(LEFT(C393,3)="CAB",VLOOKUP(VALUE(RIGHT(C393,3)),#REF!,4,FALSE),IF(LEFT(C393,3)="SEG",VLOOKUP(VALUE(RIGHT(C393,3)),'SEG-COMP'!B:J,4,FALSE),IF(LEFT(C393,3)="CLI",VLOOKUP(VALUE(RIGHT(C393,3)),'CLI-COMP'!B:J,4,FALSE),IF(LEFT(C393,4)="IMPL",VLOOKUP(VALUE(RIGHT(C393,3)),'IMPL-COMP'!B:J,4,FALSE),IF(LEFT(C393,4)="SPDA",VLOOKUP(VALUE(RIGHT(C393,3)),'SPDA-COMP'!B:J,4,FALSE),IF(LEFT(C393,4)="SDAI",VLOOKUP(VALUE(RIGHT(C393,3)),'ADM-COMP'!B:J,4,FALSE),IF(LEFT(C393,5)="IMPER",VLOOKUP(VALUE(RIGHT(C393,3)),'IMPER-COMP'!B:J,4,FALSE),""))))))))))))))))</f>
        <v>PINTURA EM PAREDES E FORROS, APLICAÇÃO MANUAL, COM TRÊS DEMÃO DE TINTA LÁTEX ACRÍLICO PREMIUM, REFERÊNCIA CORAL E METALATEX, INCLUSIVE UMA DEMÃO DE LIQUIDO SELADOR ACRÍLICO, REFERÊNCIA SUVINIL, CORAL OU METALATEX OU EQUIVALENTE</v>
      </c>
      <c r="E393" s="338" t="str">
        <f>IF(B393="IOPES",VLOOKUP(C393,'LABOR-SERVIÇOS'!A:H,6,FALSE),IF(B393="SINAPI",VLOOKUP(C393,'SINAPI-SERVIÇOS'!A:D,3,FALSE),IF(LEFT(C393,3)="ARQ",VLOOKUP(VALUE(RIGHT(C393,3)),'ARQ-COMP'!B:J,5,FALSE),IF(LEFT(C393,3)="SCI",VLOOKUP(VALUE(RIGHT(C393,3)),'GAS-COMP'!#REF!,5,FALSE),IF(LEFT(C393,3)="SCE",VLOOKUP(VALUE(RIGHT(C393,3)),'SCE-COMP'!B:J,5,FALSE),IF(LEFT(C393,3)="EST",VLOOKUP(VALUE(RIGHT(C393,3)),'EST-COMP'!B:J,5,FALSE),IF(LEFT(C393,3)="HID",VLOOKUP(VALUE(RIGHT(C393,3)),'HID-COMP'!B:J,5,FALSE),IF(LEFT(C393,3)="INC",VLOOKUP(VALUE(RIGHT(C393,3)),'INC-COMP'!B:J,5,FALSE),IF(LEFT(C393,3)="ELE",VLOOKUP(VALUE(RIGHT(C393,3)),#REF!,5,FALSE),IF(LEFT(C393,3)="CAB",VLOOKUP(VALUE(RIGHT(C393,3)),#REF!,5,FALSE),IF(LEFT(C393,3)="SEG",VLOOKUP(VALUE(RIGHT(C393,3)),'SEG-COMP'!B:J,5,FALSE),IF(LEFT(C393,3)="CLI",VLOOKUP(VALUE(RIGHT(C393,3)),'CLI-COMP'!B:J,5,FALSE),IF(LEFT(C393,4)="IMPL",VLOOKUP(VALUE(RIGHT(C393,3)),'IMPL-COMP'!B:J,5,FALSE),IF(LEFT(C393,4)="SPDA",VLOOKUP(VALUE(RIGHT(C393,3)),'SPDA-COMP'!B:J,5,FALSE),IF(LEFT(C393,4)="SDAI",VLOOKUP(VALUE(RIGHT(C393,3)),'ADM-COMP'!B:J,5,FALSE),IF(LEFT(C393,5)="IMPER",VLOOKUP(VALUE(RIGHT(C393,3)),'IMPER-COMP'!B:J,5,FALSE),""))))))))))))))))</f>
        <v>M2</v>
      </c>
      <c r="F393" s="599">
        <f>ROUND(VLOOKUP(A393,'MEM-LEVANT'!A295:I2852,9,FALSE),2)</f>
        <v>1172.42</v>
      </c>
      <c r="G393" s="339">
        <f>IF(B393="IOPES",VLOOKUP(C393,'LABOR-SERVIÇOS'!A:H,7,FALSE),IF(B393="SINAPI",VLOOKUP(C393,'SINAPI-SERVIÇOS'!A:H,8,FALSE),IF(LEFT(C393,3)="ARQ",VLOOKUP(VALUE(RIGHT(C393,3)),'ARQ-COMP'!B:J,9,FALSE),IF(LEFT(C393,3)="SCI",VLOOKUP(VALUE(RIGHT(C393,3)),'GAS-COMP'!#REF!,9,FALSE),IF(LEFT(C393,3)="SCE",VLOOKUP(VALUE(RIGHT(C393,3)),'SCE-COMP'!B:J,9,FALSE),IF(LEFT(C393,3)="EST",VLOOKUP(VALUE(RIGHT(C393,3)),'EST-COMP'!B:J,9,FALSE),IF(LEFT(C393,3)="HID",VLOOKUP(VALUE(RIGHT(C393,3)),'HID-COMP'!B:J,9,FALSE),IF(LEFT(C393,3)="INC",VLOOKUP(VALUE(RIGHT(C393,3)),'INC-COMP'!B:J,9,FALSE),IF(LEFT(C393,3)="ELE",VLOOKUP(VALUE(RIGHT(C393,3)),#REF!,9,FALSE),IF(LEFT(C393,3)="CAB",VLOOKUP(VALUE(RIGHT(C393,3)),#REF!,9,FALSE),IF(LEFT(C393,3)="SEG",VLOOKUP(VALUE(RIGHT(C393,3)),'SEG-COMP'!B:J,9,FALSE),IF(LEFT(C393,3)="CLI",VLOOKUP(VALUE(RIGHT(C393,3)),'CLI-COMP'!B:J,9,FALSE),IF(LEFT(C393,4)="IMPL",VLOOKUP(VALUE(RIGHT(C393,3)),'IMPL-COMP'!B:J,9,FALSE),IF(LEFT(C393,4)="SPDA",VLOOKUP(VALUE(RIGHT(C393,3)),'SPDA-COMP'!B:J,9,FALSE),IF(LEFT(C393,4)="SDAI",VLOOKUP(VALUE(RIGHT(C393,3)),'ADM-COMP'!B:J,9,FALSE),IF(LEFT(C393,5)="IMPER",VLOOKUP(VALUE(RIGHT(C393,3)),'IMPER-COMP'!B:J,9,FALSE),""))))))))))))))))</f>
        <v>39.229999999999997</v>
      </c>
      <c r="H393" s="339">
        <f t="shared" si="129"/>
        <v>45994.04</v>
      </c>
      <c r="I393" s="374">
        <f>H393/$H$441</f>
        <v>2.6892526361923848E-3</v>
      </c>
      <c r="J393" s="314"/>
    </row>
    <row r="394" spans="1:10">
      <c r="A394" s="553" t="s">
        <v>27439</v>
      </c>
      <c r="B394" s="554"/>
      <c r="C394" s="555"/>
      <c r="D394" s="556" t="s">
        <v>35466</v>
      </c>
      <c r="E394" s="557"/>
      <c r="F394" s="598"/>
      <c r="G394" s="558"/>
      <c r="H394" s="559"/>
      <c r="I394" s="560"/>
      <c r="J394" s="314"/>
    </row>
    <row r="395" spans="1:10" ht="52.8">
      <c r="A395" s="613" t="s">
        <v>35461</v>
      </c>
      <c r="B395" s="337" t="s">
        <v>2879</v>
      </c>
      <c r="C395" s="540">
        <f>190201</f>
        <v>190201</v>
      </c>
      <c r="D395" s="539" t="str">
        <f>IF(B395="IOPES",VLOOKUP(C395,'LABOR-SERVIÇOS'!A:H,5,FALSE),IF(B395="SINAPI",VLOOKUP(C395,'SINAPI-SERVIÇOS'!A:D,2,FALSE),IF(LEFT(C395,3)="ARQ",VLOOKUP(VALUE(RIGHT(C395,3)),'ARQ-COMP'!B:J,4,FALSE),IF(LEFT(C395,3)="SCI",VLOOKUP(VALUE(RIGHT(C395,3)),'GAS-COMP'!#REF!,4,FALSE),IF(LEFT(C395,3)="SCE",VLOOKUP(VALUE(RIGHT(C395,3)),'SCE-COMP'!B:J,4,FALSE),IF(LEFT(C395,3)="EST",VLOOKUP(VALUE(RIGHT(C395,3)),'EST-COMP'!B:J,4,FALSE),IF(LEFT(C395,3)="HID",VLOOKUP(VALUE(RIGHT(C395,3)),'HID-COMP'!B:J,4,FALSE),IF(LEFT(C395,3)="INC",VLOOKUP(VALUE(RIGHT(C395,3)),'INC-COMP'!B:J,4,FALSE),IF(LEFT(C395,3)="ELE",VLOOKUP(VALUE(RIGHT(C395,3)),#REF!,4,FALSE),IF(LEFT(C395,3)="CAB",VLOOKUP(VALUE(RIGHT(C395,3)),#REF!,4,FALSE),IF(LEFT(C395,3)="SEG",VLOOKUP(VALUE(RIGHT(C395,3)),'SEG-COMP'!B:J,4,FALSE),IF(LEFT(C395,3)="CLI",VLOOKUP(VALUE(RIGHT(C395,3)),'CLI-COMP'!B:J,4,FALSE),IF(LEFT(C395,4)="IMPL",VLOOKUP(VALUE(RIGHT(C395,3)),'IMPL-COMP'!B:J,4,FALSE),IF(LEFT(C395,4)="SPDA",VLOOKUP(VALUE(RIGHT(C395,3)),'SPDA-COMP'!B:J,4,FALSE),IF(LEFT(C395,4)="SDAI",VLOOKUP(VALUE(RIGHT(C395,3)),'ADM-COMP'!B:J,4,FALSE),IF(LEFT(C395,5)="IMPER",VLOOKUP(VALUE(RIGHT(C395,3)),'IMPER-COMP'!B:J,4,FALSE),""))))))))))))))))</f>
        <v>PINTURA SOBRE CONCRETO OU BLOCOS CERÂMICOS APARENTES, APLICAÇÃO MANUAL, COM DUAS DEMÃOS DE VERNIZ ACRÍLICO A BASE DE ÁGUA, ACABAMENTO FOSCO, REFERÊNCIA SUVINIL, CORAL, METALATEX OU EQUIVALENTE</v>
      </c>
      <c r="E395" s="338" t="str">
        <f>IF(B395="IOPES",VLOOKUP(C395,'LABOR-SERVIÇOS'!A:H,6,FALSE),IF(B395="SINAPI",VLOOKUP(C395,'SINAPI-SERVIÇOS'!A:D,3,FALSE),IF(LEFT(C395,3)="ARQ",VLOOKUP(VALUE(RIGHT(C395,3)),'ARQ-COMP'!B:J,5,FALSE),IF(LEFT(C395,3)="SCI",VLOOKUP(VALUE(RIGHT(C395,3)),'GAS-COMP'!#REF!,5,FALSE),IF(LEFT(C395,3)="SCE",VLOOKUP(VALUE(RIGHT(C395,3)),'SCE-COMP'!B:J,5,FALSE),IF(LEFT(C395,3)="EST",VLOOKUP(VALUE(RIGHT(C395,3)),'EST-COMP'!B:J,5,FALSE),IF(LEFT(C395,3)="HID",VLOOKUP(VALUE(RIGHT(C395,3)),'HID-COMP'!B:J,5,FALSE),IF(LEFT(C395,3)="INC",VLOOKUP(VALUE(RIGHT(C395,3)),'INC-COMP'!B:J,5,FALSE),IF(LEFT(C395,3)="ELE",VLOOKUP(VALUE(RIGHT(C395,3)),#REF!,5,FALSE),IF(LEFT(C395,3)="CAB",VLOOKUP(VALUE(RIGHT(C395,3)),#REF!,5,FALSE),IF(LEFT(C395,3)="SEG",VLOOKUP(VALUE(RIGHT(C395,3)),'SEG-COMP'!B:J,5,FALSE),IF(LEFT(C395,3)="CLI",VLOOKUP(VALUE(RIGHT(C395,3)),'CLI-COMP'!B:J,5,FALSE),IF(LEFT(C395,4)="IMPL",VLOOKUP(VALUE(RIGHT(C395,3)),'IMPL-COMP'!B:J,5,FALSE),IF(LEFT(C395,4)="SPDA",VLOOKUP(VALUE(RIGHT(C395,3)),'SPDA-COMP'!B:J,5,FALSE),IF(LEFT(C395,4)="SDAI",VLOOKUP(VALUE(RIGHT(C395,3)),'ADM-COMP'!B:J,5,FALSE),IF(LEFT(C395,5)="IMPER",VLOOKUP(VALUE(RIGHT(C395,3)),'IMPER-COMP'!B:J,5,FALSE),""))))))))))))))))</f>
        <v>M2</v>
      </c>
      <c r="F395" s="599">
        <f>ROUND(VLOOKUP(A395,'MEM-LEVANT'!A295:I2854,9,FALSE),2)</f>
        <v>209.2</v>
      </c>
      <c r="G395" s="339">
        <f>IF(B395="IOPES",VLOOKUP(C395,'LABOR-SERVIÇOS'!A:H,7,FALSE),IF(B395="SINAPI",VLOOKUP(C395,'SINAPI-SERVIÇOS'!A:H,8,FALSE),IF(LEFT(C395,3)="ARQ",VLOOKUP(VALUE(RIGHT(C395,3)),'ARQ-COMP'!B:J,9,FALSE),IF(LEFT(C395,3)="SCI",VLOOKUP(VALUE(RIGHT(C395,3)),'GAS-COMP'!#REF!,9,FALSE),IF(LEFT(C395,3)="SCE",VLOOKUP(VALUE(RIGHT(C395,3)),'SCE-COMP'!B:J,9,FALSE),IF(LEFT(C395,3)="EST",VLOOKUP(VALUE(RIGHT(C395,3)),'EST-COMP'!B:J,9,FALSE),IF(LEFT(C395,3)="HID",VLOOKUP(VALUE(RIGHT(C395,3)),'HID-COMP'!B:J,9,FALSE),IF(LEFT(C395,3)="INC",VLOOKUP(VALUE(RIGHT(C395,3)),'INC-COMP'!B:J,9,FALSE),IF(LEFT(C395,3)="ELE",VLOOKUP(VALUE(RIGHT(C395,3)),#REF!,9,FALSE),IF(LEFT(C395,3)="CAB",VLOOKUP(VALUE(RIGHT(C395,3)),#REF!,9,FALSE),IF(LEFT(C395,3)="SEG",VLOOKUP(VALUE(RIGHT(C395,3)),'SEG-COMP'!B:J,9,FALSE),IF(LEFT(C395,3)="CLI",VLOOKUP(VALUE(RIGHT(C395,3)),'CLI-COMP'!B:J,9,FALSE),IF(LEFT(C395,4)="IMPL",VLOOKUP(VALUE(RIGHT(C395,3)),'IMPL-COMP'!B:J,9,FALSE),IF(LEFT(C395,4)="SPDA",VLOOKUP(VALUE(RIGHT(C395,3)),'SPDA-COMP'!B:J,9,FALSE),IF(LEFT(C395,4)="SDAI",VLOOKUP(VALUE(RIGHT(C395,3)),'ADM-COMP'!B:J,9,FALSE),IF(LEFT(C395,5)="IMPER",VLOOKUP(VALUE(RIGHT(C395,3)),'IMPER-COMP'!B:J,9,FALSE),""))))))))))))))))</f>
        <v>20.32</v>
      </c>
      <c r="H395" s="339">
        <f>ROUND(F395*G395,2)</f>
        <v>4250.9399999999996</v>
      </c>
      <c r="I395" s="374">
        <f>H395/$H$441</f>
        <v>2.4855071659927362E-4</v>
      </c>
      <c r="J395" s="314"/>
    </row>
    <row r="396" spans="1:10" ht="82.8" customHeight="1">
      <c r="A396" s="613" t="s">
        <v>35462</v>
      </c>
      <c r="B396" s="337" t="s">
        <v>2879</v>
      </c>
      <c r="C396" s="540">
        <f>190204</f>
        <v>190204</v>
      </c>
      <c r="D396" s="539" t="str">
        <f>IF(B396="IOPES",VLOOKUP(C396,'LABOR-SERVIÇOS'!A:H,5,FALSE),IF(B396="SINAPI",VLOOKUP(C396,'SINAPI-SERVIÇOS'!A:D,2,FALSE),IF(LEFT(C396,3)="ARQ",VLOOKUP(VALUE(RIGHT(C396,3)),'ARQ-COMP'!B:J,4,FALSE),IF(LEFT(C396,3)="SCI",VLOOKUP(VALUE(RIGHT(C396,3)),'GAS-COMP'!#REF!,4,FALSE),IF(LEFT(C396,3)="SCE",VLOOKUP(VALUE(RIGHT(C396,3)),'SCE-COMP'!B:J,4,FALSE),IF(LEFT(C396,3)="EST",VLOOKUP(VALUE(RIGHT(C396,3)),'EST-COMP'!B:J,4,FALSE),IF(LEFT(C396,3)="HID",VLOOKUP(VALUE(RIGHT(C396,3)),'HID-COMP'!B:J,4,FALSE),IF(LEFT(C396,3)="INC",VLOOKUP(VALUE(RIGHT(C396,3)),'INC-COMP'!B:J,4,FALSE),IF(LEFT(C396,3)="ELE",VLOOKUP(VALUE(RIGHT(C396,3)),#REF!,4,FALSE),IF(LEFT(C396,3)="CAB",VLOOKUP(VALUE(RIGHT(C396,3)),#REF!,4,FALSE),IF(LEFT(C396,3)="SEG",VLOOKUP(VALUE(RIGHT(C396,3)),'SEG-COMP'!B:J,4,FALSE),IF(LEFT(C396,3)="CLI",VLOOKUP(VALUE(RIGHT(C396,3)),'CLI-COMP'!B:J,4,FALSE),IF(LEFT(C396,4)="IMPL",VLOOKUP(VALUE(RIGHT(C396,3)),'IMPL-COMP'!B:J,4,FALSE),IF(LEFT(C396,4)="SPDA",VLOOKUP(VALUE(RIGHT(C396,3)),'SPDA-COMP'!B:J,4,FALSE),IF(LEFT(C396,4)="SDAI",VLOOKUP(VALUE(RIGHT(C396,3)),'ADM-COMP'!B:J,4,FALSE),IF(LEFT(C396,5)="IMPER",VLOOKUP(VALUE(RIGHT(C396,3)),'IMPER-COMP'!B:J,4,FALSE),""))))))))))))))))</f>
        <v>PINTURA SOBRE COBOGÓS DE CONCRETO, APLICAÇÃO MANUAL, COM DUAS DEMÃOS DE TINTA LÁTEX ACRÍLICO PREMIUM, REFERÊNCIA SUVINIL, CORAL E METALATEX, INCLUSIVE UMA DEMÃO DE LIQUIDO SELADOR ACRÍLICO, REFERÊNCIA SUVINIL, CORAL OU METALATEX OU EQUIVALENTE</v>
      </c>
      <c r="E396" s="338" t="str">
        <f>IF(B396="IOPES",VLOOKUP(C396,'LABOR-SERVIÇOS'!A:H,6,FALSE),IF(B396="SINAPI",VLOOKUP(C396,'SINAPI-SERVIÇOS'!A:D,3,FALSE),IF(LEFT(C396,3)="ARQ",VLOOKUP(VALUE(RIGHT(C396,3)),'ARQ-COMP'!B:J,5,FALSE),IF(LEFT(C396,3)="SCI",VLOOKUP(VALUE(RIGHT(C396,3)),'GAS-COMP'!#REF!,5,FALSE),IF(LEFT(C396,3)="SCE",VLOOKUP(VALUE(RIGHT(C396,3)),'SCE-COMP'!B:J,5,FALSE),IF(LEFT(C396,3)="EST",VLOOKUP(VALUE(RIGHT(C396,3)),'EST-COMP'!B:J,5,FALSE),IF(LEFT(C396,3)="HID",VLOOKUP(VALUE(RIGHT(C396,3)),'HID-COMP'!B:J,5,FALSE),IF(LEFT(C396,3)="INC",VLOOKUP(VALUE(RIGHT(C396,3)),'INC-COMP'!B:J,5,FALSE),IF(LEFT(C396,3)="ELE",VLOOKUP(VALUE(RIGHT(C396,3)),#REF!,5,FALSE),IF(LEFT(C396,3)="CAB",VLOOKUP(VALUE(RIGHT(C396,3)),#REF!,5,FALSE),IF(LEFT(C396,3)="SEG",VLOOKUP(VALUE(RIGHT(C396,3)),'SEG-COMP'!B:J,5,FALSE),IF(LEFT(C396,3)="CLI",VLOOKUP(VALUE(RIGHT(C396,3)),'CLI-COMP'!B:J,5,FALSE),IF(LEFT(C396,4)="IMPL",VLOOKUP(VALUE(RIGHT(C396,3)),'IMPL-COMP'!B:J,5,FALSE),IF(LEFT(C396,4)="SPDA",VLOOKUP(VALUE(RIGHT(C396,3)),'SPDA-COMP'!B:J,5,FALSE),IF(LEFT(C396,4)="SDAI",VLOOKUP(VALUE(RIGHT(C396,3)),'ADM-COMP'!B:J,5,FALSE),IF(LEFT(C396,5)="IMPER",VLOOKUP(VALUE(RIGHT(C396,3)),'IMPER-COMP'!B:J,5,FALSE),""))))))))))))))))</f>
        <v>M2</v>
      </c>
      <c r="F396" s="599">
        <f>ROUND(VLOOKUP(A396,'MEM-LEVANT'!A295:I2855,9,FALSE),2)</f>
        <v>54.45</v>
      </c>
      <c r="G396" s="339">
        <f>IF(B396="IOPES",VLOOKUP(C396,'LABOR-SERVIÇOS'!A:H,7,FALSE),IF(B396="SINAPI",VLOOKUP(C396,'SINAPI-SERVIÇOS'!A:H,8,FALSE),IF(LEFT(C396,3)="ARQ",VLOOKUP(VALUE(RIGHT(C396,3)),'ARQ-COMP'!B:J,9,FALSE),IF(LEFT(C396,3)="SCI",VLOOKUP(VALUE(RIGHT(C396,3)),'GAS-COMP'!#REF!,9,FALSE),IF(LEFT(C396,3)="SCE",VLOOKUP(VALUE(RIGHT(C396,3)),'SCE-COMP'!B:J,9,FALSE),IF(LEFT(C396,3)="EST",VLOOKUP(VALUE(RIGHT(C396,3)),'EST-COMP'!B:J,9,FALSE),IF(LEFT(C396,3)="HID",VLOOKUP(VALUE(RIGHT(C396,3)),'HID-COMP'!B:J,9,FALSE),IF(LEFT(C396,3)="INC",VLOOKUP(VALUE(RIGHT(C396,3)),'INC-COMP'!B:J,9,FALSE),IF(LEFT(C396,3)="ELE",VLOOKUP(VALUE(RIGHT(C396,3)),#REF!,9,FALSE),IF(LEFT(C396,3)="CAB",VLOOKUP(VALUE(RIGHT(C396,3)),#REF!,9,FALSE),IF(LEFT(C396,3)="SEG",VLOOKUP(VALUE(RIGHT(C396,3)),'SEG-COMP'!B:J,9,FALSE),IF(LEFT(C396,3)="CLI",VLOOKUP(VALUE(RIGHT(C396,3)),'CLI-COMP'!B:J,9,FALSE),IF(LEFT(C396,4)="IMPL",VLOOKUP(VALUE(RIGHT(C396,3)),'IMPL-COMP'!B:J,9,FALSE),IF(LEFT(C396,4)="SPDA",VLOOKUP(VALUE(RIGHT(C396,3)),'SPDA-COMP'!B:J,9,FALSE),IF(LEFT(C396,4)="SDAI",VLOOKUP(VALUE(RIGHT(C396,3)),'ADM-COMP'!B:J,9,FALSE),IF(LEFT(C396,5)="IMPER",VLOOKUP(VALUE(RIGHT(C396,3)),'IMPER-COMP'!B:J,9,FALSE),""))))))))))))))))</f>
        <v>47.86</v>
      </c>
      <c r="H396" s="339">
        <f>ROUND(F396*G396,2)</f>
        <v>2605.98</v>
      </c>
      <c r="I396" s="374">
        <f>H396/$H$441</f>
        <v>1.5237058072882118E-4</v>
      </c>
      <c r="J396" s="314"/>
    </row>
    <row r="397" spans="1:10" ht="26.4">
      <c r="A397" s="613" t="s">
        <v>35463</v>
      </c>
      <c r="B397" s="337" t="s">
        <v>2879</v>
      </c>
      <c r="C397" s="540">
        <f>190205</f>
        <v>190205</v>
      </c>
      <c r="D397" s="539" t="str">
        <f>IF(B397="IOPES",VLOOKUP(C397,'LABOR-SERVIÇOS'!A:H,5,FALSE),IF(B397="SINAPI",VLOOKUP(C397,'SINAPI-SERVIÇOS'!A:D,2,FALSE),IF(LEFT(C397,3)="ARQ",VLOOKUP(VALUE(RIGHT(C397,3)),'ARQ-COMP'!B:J,4,FALSE),IF(LEFT(C397,3)="SCI",VLOOKUP(VALUE(RIGHT(C397,3)),'GAS-COMP'!#REF!,4,FALSE),IF(LEFT(C397,3)="SCE",VLOOKUP(VALUE(RIGHT(C397,3)),'SCE-COMP'!B:J,4,FALSE),IF(LEFT(C397,3)="EST",VLOOKUP(VALUE(RIGHT(C397,3)),'EST-COMP'!B:J,4,FALSE),IF(LEFT(C397,3)="HID",VLOOKUP(VALUE(RIGHT(C397,3)),'HID-COMP'!B:J,4,FALSE),IF(LEFT(C397,3)="INC",VLOOKUP(VALUE(RIGHT(C397,3)),'INC-COMP'!B:J,4,FALSE),IF(LEFT(C397,3)="ELE",VLOOKUP(VALUE(RIGHT(C397,3)),#REF!,4,FALSE),IF(LEFT(C397,3)="CAB",VLOOKUP(VALUE(RIGHT(C397,3)),#REF!,4,FALSE),IF(LEFT(C397,3)="SEG",VLOOKUP(VALUE(RIGHT(C397,3)),'SEG-COMP'!B:J,4,FALSE),IF(LEFT(C397,3)="CLI",VLOOKUP(VALUE(RIGHT(C397,3)),'CLI-COMP'!B:J,4,FALSE),IF(LEFT(C397,4)="IMPL",VLOOKUP(VALUE(RIGHT(C397,3)),'IMPL-COMP'!B:J,4,FALSE),IF(LEFT(C397,4)="SPDA",VLOOKUP(VALUE(RIGHT(C397,3)),'SPDA-COMP'!B:J,4,FALSE),IF(LEFT(C397,4)="SDAI",VLOOKUP(VALUE(RIGHT(C397,3)),'ADM-COMP'!B:J,4,FALSE),IF(LEFT(C397,5)="IMPER",VLOOKUP(VALUE(RIGHT(C397,3)),'IMPER-COMP'!B:J,4,FALSE),""))))))))))))))))</f>
        <v>PINTURA A CAL DE MEIO-FIO (TIPO A CAIAÇÃO), APLICAÇÃO MANUAL, A TRÊS DEMÃOS</v>
      </c>
      <c r="E397" s="338" t="str">
        <f>IF(B397="IOPES",VLOOKUP(C397,'LABOR-SERVIÇOS'!A:H,6,FALSE),IF(B397="SINAPI",VLOOKUP(C397,'SINAPI-SERVIÇOS'!A:D,3,FALSE),IF(LEFT(C397,3)="ARQ",VLOOKUP(VALUE(RIGHT(C397,3)),'ARQ-COMP'!B:J,5,FALSE),IF(LEFT(C397,3)="SCI",VLOOKUP(VALUE(RIGHT(C397,3)),'GAS-COMP'!#REF!,5,FALSE),IF(LEFT(C397,3)="SCE",VLOOKUP(VALUE(RIGHT(C397,3)),'SCE-COMP'!B:J,5,FALSE),IF(LEFT(C397,3)="EST",VLOOKUP(VALUE(RIGHT(C397,3)),'EST-COMP'!B:J,5,FALSE),IF(LEFT(C397,3)="HID",VLOOKUP(VALUE(RIGHT(C397,3)),'HID-COMP'!B:J,5,FALSE),IF(LEFT(C397,3)="INC",VLOOKUP(VALUE(RIGHT(C397,3)),'INC-COMP'!B:J,5,FALSE),IF(LEFT(C397,3)="ELE",VLOOKUP(VALUE(RIGHT(C397,3)),#REF!,5,FALSE),IF(LEFT(C397,3)="CAB",VLOOKUP(VALUE(RIGHT(C397,3)),#REF!,5,FALSE),IF(LEFT(C397,3)="SEG",VLOOKUP(VALUE(RIGHT(C397,3)),'SEG-COMP'!B:J,5,FALSE),IF(LEFT(C397,3)="CLI",VLOOKUP(VALUE(RIGHT(C397,3)),'CLI-COMP'!B:J,5,FALSE),IF(LEFT(C397,4)="IMPL",VLOOKUP(VALUE(RIGHT(C397,3)),'IMPL-COMP'!B:J,5,FALSE),IF(LEFT(C397,4)="SPDA",VLOOKUP(VALUE(RIGHT(C397,3)),'SPDA-COMP'!B:J,5,FALSE),IF(LEFT(C397,4)="SDAI",VLOOKUP(VALUE(RIGHT(C397,3)),'ADM-COMP'!B:J,5,FALSE),IF(LEFT(C397,5)="IMPER",VLOOKUP(VALUE(RIGHT(C397,3)),'IMPER-COMP'!B:J,5,FALSE),""))))))))))))))))</f>
        <v>M2</v>
      </c>
      <c r="F397" s="599">
        <f>ROUND(VLOOKUP(A397,'MEM-LEVANT'!A295:I2856,9,FALSE),2)</f>
        <v>209.2</v>
      </c>
      <c r="G397" s="339">
        <f>IF(B397="IOPES",VLOOKUP(C397,'LABOR-SERVIÇOS'!A:H,7,FALSE),IF(B397="SINAPI",VLOOKUP(C397,'SINAPI-SERVIÇOS'!A:H,8,FALSE),IF(LEFT(C397,3)="ARQ",VLOOKUP(VALUE(RIGHT(C397,3)),'ARQ-COMP'!B:J,9,FALSE),IF(LEFT(C397,3)="SCI",VLOOKUP(VALUE(RIGHT(C397,3)),'GAS-COMP'!#REF!,9,FALSE),IF(LEFT(C397,3)="SCE",VLOOKUP(VALUE(RIGHT(C397,3)),'SCE-COMP'!B:J,9,FALSE),IF(LEFT(C397,3)="EST",VLOOKUP(VALUE(RIGHT(C397,3)),'EST-COMP'!B:J,9,FALSE),IF(LEFT(C397,3)="HID",VLOOKUP(VALUE(RIGHT(C397,3)),'HID-COMP'!B:J,9,FALSE),IF(LEFT(C397,3)="INC",VLOOKUP(VALUE(RIGHT(C397,3)),'INC-COMP'!B:J,9,FALSE),IF(LEFT(C397,3)="ELE",VLOOKUP(VALUE(RIGHT(C397,3)),#REF!,9,FALSE),IF(LEFT(C397,3)="CAB",VLOOKUP(VALUE(RIGHT(C397,3)),#REF!,9,FALSE),IF(LEFT(C397,3)="SEG",VLOOKUP(VALUE(RIGHT(C397,3)),'SEG-COMP'!B:J,9,FALSE),IF(LEFT(C397,3)="CLI",VLOOKUP(VALUE(RIGHT(C397,3)),'CLI-COMP'!B:J,9,FALSE),IF(LEFT(C397,4)="IMPL",VLOOKUP(VALUE(RIGHT(C397,3)),'IMPL-COMP'!B:J,9,FALSE),IF(LEFT(C397,4)="SPDA",VLOOKUP(VALUE(RIGHT(C397,3)),'SPDA-COMP'!B:J,9,FALSE),IF(LEFT(C397,4)="SDAI",VLOOKUP(VALUE(RIGHT(C397,3)),'ADM-COMP'!B:J,9,FALSE),IF(LEFT(C397,5)="IMPER",VLOOKUP(VALUE(RIGHT(C397,3)),'IMPER-COMP'!B:J,9,FALSE),""))))))))))))))))</f>
        <v>16.420000000000002</v>
      </c>
      <c r="H397" s="339">
        <f>ROUND(F397*G397,2)</f>
        <v>3435.06</v>
      </c>
      <c r="I397" s="374">
        <f>H397/$H$441</f>
        <v>2.0084654795445264E-4</v>
      </c>
      <c r="J397" s="314"/>
    </row>
    <row r="398" spans="1:10">
      <c r="A398" s="553" t="s">
        <v>27440</v>
      </c>
      <c r="B398" s="554"/>
      <c r="C398" s="555"/>
      <c r="D398" s="556" t="s">
        <v>1616</v>
      </c>
      <c r="E398" s="557"/>
      <c r="F398" s="598"/>
      <c r="G398" s="558"/>
      <c r="H398" s="559"/>
      <c r="I398" s="560"/>
      <c r="J398" s="314"/>
    </row>
    <row r="399" spans="1:10" ht="79.2">
      <c r="A399" s="613" t="s">
        <v>35464</v>
      </c>
      <c r="B399" s="337" t="s">
        <v>2879</v>
      </c>
      <c r="C399" s="540">
        <f>190301</f>
        <v>190301</v>
      </c>
      <c r="D399" s="539" t="str">
        <f>IF(B399="IOPES",VLOOKUP(C399,'LABOR-SERVIÇOS'!A:H,5,FALSE),IF(B399="SINAPI",VLOOKUP(C399,'SINAPI-SERVIÇOS'!A:D,2,FALSE),IF(LEFT(C399,3)="ARQ",VLOOKUP(VALUE(RIGHT(C399,3)),'ARQ-COMP'!B:J,4,FALSE),IF(LEFT(C399,3)="SCI",VLOOKUP(VALUE(RIGHT(C399,3)),'GAS-COMP'!#REF!,4,FALSE),IF(LEFT(C399,3)="SCE",VLOOKUP(VALUE(RIGHT(C399,3)),'SCE-COMP'!B:J,4,FALSE),IF(LEFT(C399,3)="EST",VLOOKUP(VALUE(RIGHT(C399,3)),'EST-COMP'!B:J,4,FALSE),IF(LEFT(C399,3)="HID",VLOOKUP(VALUE(RIGHT(C399,3)),'HID-COMP'!B:J,4,FALSE),IF(LEFT(C399,3)="INC",VLOOKUP(VALUE(RIGHT(C399,3)),'INC-COMP'!B:J,4,FALSE),IF(LEFT(C399,3)="ELE",VLOOKUP(VALUE(RIGHT(C399,3)),#REF!,4,FALSE),IF(LEFT(C399,3)="CAB",VLOOKUP(VALUE(RIGHT(C399,3)),#REF!,4,FALSE),IF(LEFT(C399,3)="SEG",VLOOKUP(VALUE(RIGHT(C399,3)),'SEG-COMP'!B:J,4,FALSE),IF(LEFT(C399,3)="CLI",VLOOKUP(VALUE(RIGHT(C399,3)),'CLI-COMP'!B:J,4,FALSE),IF(LEFT(C399,4)="IMPL",VLOOKUP(VALUE(RIGHT(C399,3)),'IMPL-COMP'!B:J,4,FALSE),IF(LEFT(C399,4)="SPDA",VLOOKUP(VALUE(RIGHT(C399,3)),'SPDA-COMP'!B:J,4,FALSE),IF(LEFT(C399,4)="SDAI",VLOOKUP(VALUE(RIGHT(C399,3)),'ADM-COMP'!B:J,4,FALSE),IF(LEFT(C399,5)="IMPER",VLOOKUP(VALUE(RIGHT(C399,3)),'IMPER-COMP'!B:J,4,FALSE),""))))))))))))))))</f>
        <v>EMASSAMENTO DE ESQUADRIAS E ELEMENTOS DE MADEIRA, COM DUAS DEMÃOS DE MASSA À BASE ÁGUA, REFERÊNCIA SUVINIL, CORAL, SHERWIN WILLIAMS OU EQUIVALENTE, INCLUSIVE UMA DEMÃO DE FUNDO NIVELADOR ALQUÍDICO BRANCO, REFERÊNCIA SUVINIL, CORAL OU METALATEX OU EQUIVALENTE</v>
      </c>
      <c r="E399" s="338" t="str">
        <f>IF(B399="IOPES",VLOOKUP(C399,'LABOR-SERVIÇOS'!A:H,6,FALSE),IF(B399="SINAPI",VLOOKUP(C399,'SINAPI-SERVIÇOS'!A:D,3,FALSE),IF(LEFT(C399,3)="ARQ",VLOOKUP(VALUE(RIGHT(C399,3)),'ARQ-COMP'!B:J,5,FALSE),IF(LEFT(C399,3)="SCI",VLOOKUP(VALUE(RIGHT(C399,3)),'GAS-COMP'!#REF!,5,FALSE),IF(LEFT(C399,3)="SCE",VLOOKUP(VALUE(RIGHT(C399,3)),'SCE-COMP'!B:J,5,FALSE),IF(LEFT(C399,3)="EST",VLOOKUP(VALUE(RIGHT(C399,3)),'EST-COMP'!B:J,5,FALSE),IF(LEFT(C399,3)="HID",VLOOKUP(VALUE(RIGHT(C399,3)),'HID-COMP'!B:J,5,FALSE),IF(LEFT(C399,3)="INC",VLOOKUP(VALUE(RIGHT(C399,3)),'INC-COMP'!B:J,5,FALSE),IF(LEFT(C399,3)="ELE",VLOOKUP(VALUE(RIGHT(C399,3)),#REF!,5,FALSE),IF(LEFT(C399,3)="CAB",VLOOKUP(VALUE(RIGHT(C399,3)),#REF!,5,FALSE),IF(LEFT(C399,3)="SEG",VLOOKUP(VALUE(RIGHT(C399,3)),'SEG-COMP'!B:J,5,FALSE),IF(LEFT(C399,3)="CLI",VLOOKUP(VALUE(RIGHT(C399,3)),'CLI-COMP'!B:J,5,FALSE),IF(LEFT(C399,4)="IMPL",VLOOKUP(VALUE(RIGHT(C399,3)),'IMPL-COMP'!B:J,5,FALSE),IF(LEFT(C399,4)="SPDA",VLOOKUP(VALUE(RIGHT(C399,3)),'SPDA-COMP'!B:J,5,FALSE),IF(LEFT(C399,4)="SDAI",VLOOKUP(VALUE(RIGHT(C399,3)),'ADM-COMP'!B:J,5,FALSE),IF(LEFT(C399,5)="IMPER",VLOOKUP(VALUE(RIGHT(C399,3)),'IMPER-COMP'!B:J,5,FALSE),""))))))))))))))))</f>
        <v>M2</v>
      </c>
      <c r="F399" s="599">
        <f>ROUND(VLOOKUP(A399,'MEM-LEVANT'!A295:I2858,9,FALSE),2)</f>
        <v>5</v>
      </c>
      <c r="G399" s="339">
        <f>IF(B399="IOPES",VLOOKUP(C399,'LABOR-SERVIÇOS'!A:H,7,FALSE),IF(B399="SINAPI",VLOOKUP(C399,'SINAPI-SERVIÇOS'!A:H,8,FALSE),IF(LEFT(C399,3)="ARQ",VLOOKUP(VALUE(RIGHT(C399,3)),'ARQ-COMP'!B:J,9,FALSE),IF(LEFT(C399,3)="SCI",VLOOKUP(VALUE(RIGHT(C399,3)),'GAS-COMP'!#REF!,9,FALSE),IF(LEFT(C399,3)="SCE",VLOOKUP(VALUE(RIGHT(C399,3)),'SCE-COMP'!B:J,9,FALSE),IF(LEFT(C399,3)="EST",VLOOKUP(VALUE(RIGHT(C399,3)),'EST-COMP'!B:J,9,FALSE),IF(LEFT(C399,3)="HID",VLOOKUP(VALUE(RIGHT(C399,3)),'HID-COMP'!B:J,9,FALSE),IF(LEFT(C399,3)="INC",VLOOKUP(VALUE(RIGHT(C399,3)),'INC-COMP'!B:J,9,FALSE),IF(LEFT(C399,3)="ELE",VLOOKUP(VALUE(RIGHT(C399,3)),#REF!,9,FALSE),IF(LEFT(C399,3)="CAB",VLOOKUP(VALUE(RIGHT(C399,3)),#REF!,9,FALSE),IF(LEFT(C399,3)="SEG",VLOOKUP(VALUE(RIGHT(C399,3)),'SEG-COMP'!B:J,9,FALSE),IF(LEFT(C399,3)="CLI",VLOOKUP(VALUE(RIGHT(C399,3)),'CLI-COMP'!B:J,9,FALSE),IF(LEFT(C399,4)="IMPL",VLOOKUP(VALUE(RIGHT(C399,3)),'IMPL-COMP'!B:J,9,FALSE),IF(LEFT(C399,4)="SPDA",VLOOKUP(VALUE(RIGHT(C399,3)),'SPDA-COMP'!B:J,9,FALSE),IF(LEFT(C399,4)="SDAI",VLOOKUP(VALUE(RIGHT(C399,3)),'ADM-COMP'!B:J,9,FALSE),IF(LEFT(C399,5)="IMPER",VLOOKUP(VALUE(RIGHT(C399,3)),'IMPER-COMP'!B:J,9,FALSE),""))))))))))))))))</f>
        <v>48.49</v>
      </c>
      <c r="H399" s="339">
        <f>ROUND(F399*G399,2)</f>
        <v>242.45</v>
      </c>
      <c r="I399" s="374">
        <f>H399/$H$441</f>
        <v>1.4175951963446647E-5</v>
      </c>
      <c r="J399" s="314"/>
    </row>
    <row r="400" spans="1:10" ht="66">
      <c r="A400" s="613" t="s">
        <v>35465</v>
      </c>
      <c r="B400" s="337" t="s">
        <v>2879</v>
      </c>
      <c r="C400" s="540">
        <f>190302</f>
        <v>190302</v>
      </c>
      <c r="D400" s="539" t="str">
        <f>IF(B400="IOPES",VLOOKUP(C400,'LABOR-SERVIÇOS'!A:H,5,FALSE),IF(B400="SINAPI",VLOOKUP(C400,'SINAPI-SERVIÇOS'!A:D,2,FALSE),IF(LEFT(C400,3)="ARQ",VLOOKUP(VALUE(RIGHT(C400,3)),'ARQ-COMP'!B:J,4,FALSE),IF(LEFT(C400,3)="SCI",VLOOKUP(VALUE(RIGHT(C400,3)),'GAS-COMP'!#REF!,4,FALSE),IF(LEFT(C400,3)="SCE",VLOOKUP(VALUE(RIGHT(C400,3)),'SCE-COMP'!B:J,4,FALSE),IF(LEFT(C400,3)="EST",VLOOKUP(VALUE(RIGHT(C400,3)),'EST-COMP'!B:J,4,FALSE),IF(LEFT(C400,3)="HID",VLOOKUP(VALUE(RIGHT(C400,3)),'HID-COMP'!B:J,4,FALSE),IF(LEFT(C400,3)="INC",VLOOKUP(VALUE(RIGHT(C400,3)),'INC-COMP'!B:J,4,FALSE),IF(LEFT(C400,3)="ELE",VLOOKUP(VALUE(RIGHT(C400,3)),#REF!,4,FALSE),IF(LEFT(C400,3)="CAB",VLOOKUP(VALUE(RIGHT(C400,3)),#REF!,4,FALSE),IF(LEFT(C400,3)="SEG",VLOOKUP(VALUE(RIGHT(C400,3)),'SEG-COMP'!B:J,4,FALSE),IF(LEFT(C400,3)="CLI",VLOOKUP(VALUE(RIGHT(C400,3)),'CLI-COMP'!B:J,4,FALSE),IF(LEFT(C400,4)="IMPL",VLOOKUP(VALUE(RIGHT(C400,3)),'IMPL-COMP'!B:J,4,FALSE),IF(LEFT(C400,4)="SPDA",VLOOKUP(VALUE(RIGHT(C400,3)),'SPDA-COMP'!B:J,4,FALSE),IF(LEFT(C400,4)="SDAI",VLOOKUP(VALUE(RIGHT(C400,3)),'ADM-COMP'!B:J,4,FALSE),IF(LEFT(C400,5)="IMPER",VLOOKUP(VALUE(RIGHT(C400,3)),'IMPER-COMP'!B:J,4,FALSE),""))))))))))))))))</f>
        <v>PINTURA DE ESQUADRIAS E ELEMENTOS DE MADEIRA, APLICAÇÃO MANUAL, COM DUAS DEMÃOS DE TINTA ESMALTE SINTÉTICO REFERÊNCIA SUVINIL, CORAL OU METALATEX, INCLUSIVE FUNDO BRANCO NIVELADOR, REFERÊNCIA SUVINIL, CORAL E METALATEX OU EQUIVALENTE</v>
      </c>
      <c r="E400" s="338" t="str">
        <f>IF(B400="IOPES",VLOOKUP(C400,'LABOR-SERVIÇOS'!A:H,6,FALSE),IF(B400="SINAPI",VLOOKUP(C400,'SINAPI-SERVIÇOS'!A:D,3,FALSE),IF(LEFT(C400,3)="ARQ",VLOOKUP(VALUE(RIGHT(C400,3)),'ARQ-COMP'!B:J,5,FALSE),IF(LEFT(C400,3)="SCI",VLOOKUP(VALUE(RIGHT(C400,3)),'GAS-COMP'!#REF!,5,FALSE),IF(LEFT(C400,3)="SCE",VLOOKUP(VALUE(RIGHT(C400,3)),'SCE-COMP'!B:J,5,FALSE),IF(LEFT(C400,3)="EST",VLOOKUP(VALUE(RIGHT(C400,3)),'EST-COMP'!B:J,5,FALSE),IF(LEFT(C400,3)="HID",VLOOKUP(VALUE(RIGHT(C400,3)),'HID-COMP'!B:J,5,FALSE),IF(LEFT(C400,3)="INC",VLOOKUP(VALUE(RIGHT(C400,3)),'INC-COMP'!B:J,5,FALSE),IF(LEFT(C400,3)="ELE",VLOOKUP(VALUE(RIGHT(C400,3)),#REF!,5,FALSE),IF(LEFT(C400,3)="CAB",VLOOKUP(VALUE(RIGHT(C400,3)),#REF!,5,FALSE),IF(LEFT(C400,3)="SEG",VLOOKUP(VALUE(RIGHT(C400,3)),'SEG-COMP'!B:J,5,FALSE),IF(LEFT(C400,3)="CLI",VLOOKUP(VALUE(RIGHT(C400,3)),'CLI-COMP'!B:J,5,FALSE),IF(LEFT(C400,4)="IMPL",VLOOKUP(VALUE(RIGHT(C400,3)),'IMPL-COMP'!B:J,5,FALSE),IF(LEFT(C400,4)="SPDA",VLOOKUP(VALUE(RIGHT(C400,3)),'SPDA-COMP'!B:J,5,FALSE),IF(LEFT(C400,4)="SDAI",VLOOKUP(VALUE(RIGHT(C400,3)),'ADM-COMP'!B:J,5,FALSE),IF(LEFT(C400,5)="IMPER",VLOOKUP(VALUE(RIGHT(C400,3)),'IMPER-COMP'!B:J,5,FALSE),""))))))))))))))))</f>
        <v>M2</v>
      </c>
      <c r="F400" s="599">
        <f>ROUND(VLOOKUP(A400,'MEM-LEVANT'!A295:I2859,9,FALSE),2)</f>
        <v>5</v>
      </c>
      <c r="G400" s="339">
        <f>IF(B400="IOPES",VLOOKUP(C400,'LABOR-SERVIÇOS'!A:H,7,FALSE),IF(B400="SINAPI",VLOOKUP(C400,'SINAPI-SERVIÇOS'!A:H,8,FALSE),IF(LEFT(C400,3)="ARQ",VLOOKUP(VALUE(RIGHT(C400,3)),'ARQ-COMP'!B:J,9,FALSE),IF(LEFT(C400,3)="SCI",VLOOKUP(VALUE(RIGHT(C400,3)),'GAS-COMP'!#REF!,9,FALSE),IF(LEFT(C400,3)="SCE",VLOOKUP(VALUE(RIGHT(C400,3)),'SCE-COMP'!B:J,9,FALSE),IF(LEFT(C400,3)="EST",VLOOKUP(VALUE(RIGHT(C400,3)),'EST-COMP'!B:J,9,FALSE),IF(LEFT(C400,3)="HID",VLOOKUP(VALUE(RIGHT(C400,3)),'HID-COMP'!B:J,9,FALSE),IF(LEFT(C400,3)="INC",VLOOKUP(VALUE(RIGHT(C400,3)),'INC-COMP'!B:J,9,FALSE),IF(LEFT(C400,3)="ELE",VLOOKUP(VALUE(RIGHT(C400,3)),#REF!,9,FALSE),IF(LEFT(C400,3)="CAB",VLOOKUP(VALUE(RIGHT(C400,3)),#REF!,9,FALSE),IF(LEFT(C400,3)="SEG",VLOOKUP(VALUE(RIGHT(C400,3)),'SEG-COMP'!B:J,9,FALSE),IF(LEFT(C400,3)="CLI",VLOOKUP(VALUE(RIGHT(C400,3)),'CLI-COMP'!B:J,9,FALSE),IF(LEFT(C400,4)="IMPL",VLOOKUP(VALUE(RIGHT(C400,3)),'IMPL-COMP'!B:J,9,FALSE),IF(LEFT(C400,4)="SPDA",VLOOKUP(VALUE(RIGHT(C400,3)),'SPDA-COMP'!B:J,9,FALSE),IF(LEFT(C400,4)="SDAI",VLOOKUP(VALUE(RIGHT(C400,3)),'ADM-COMP'!B:J,9,FALSE),IF(LEFT(C400,5)="IMPER",VLOOKUP(VALUE(RIGHT(C400,3)),'IMPER-COMP'!B:J,9,FALSE),""))))))))))))))))</f>
        <v>43.16</v>
      </c>
      <c r="H400" s="339">
        <f>ROUND(F400*G400,2)</f>
        <v>215.8</v>
      </c>
      <c r="I400" s="374">
        <f>H400/$H$441</f>
        <v>1.2617737404461897E-5</v>
      </c>
      <c r="J400" s="314"/>
    </row>
    <row r="401" spans="1:10">
      <c r="A401" s="553" t="s">
        <v>27441</v>
      </c>
      <c r="B401" s="554"/>
      <c r="C401" s="555"/>
      <c r="D401" s="556" t="s">
        <v>1620</v>
      </c>
      <c r="E401" s="557"/>
      <c r="F401" s="598"/>
      <c r="G401" s="558"/>
      <c r="H401" s="559"/>
      <c r="I401" s="560"/>
      <c r="J401" s="314"/>
    </row>
    <row r="402" spans="1:10" ht="52.8">
      <c r="A402" s="613" t="s">
        <v>35467</v>
      </c>
      <c r="B402" s="337" t="s">
        <v>2879</v>
      </c>
      <c r="C402" s="540">
        <f>190601</f>
        <v>190601</v>
      </c>
      <c r="D402" s="539" t="str">
        <f>IF(B402="IOPES",VLOOKUP(C402,'LABOR-SERVIÇOS'!A:H,5,FALSE),IF(B402="SINAPI",VLOOKUP(C402,'SINAPI-SERVIÇOS'!A:D,2,FALSE),IF(LEFT(C402,3)="ARQ",VLOOKUP(VALUE(RIGHT(C402,3)),'ARQ-COMP'!B:J,4,FALSE),IF(LEFT(C402,3)="SCI",VLOOKUP(VALUE(RIGHT(C402,3)),'GAS-COMP'!#REF!,4,FALSE),IF(LEFT(C402,3)="SCE",VLOOKUP(VALUE(RIGHT(C402,3)),'SCE-COMP'!B:J,4,FALSE),IF(LEFT(C402,3)="EST",VLOOKUP(VALUE(RIGHT(C402,3)),'EST-COMP'!B:J,4,FALSE),IF(LEFT(C402,3)="HID",VLOOKUP(VALUE(RIGHT(C402,3)),'HID-COMP'!B:J,4,FALSE),IF(LEFT(C402,3)="INC",VLOOKUP(VALUE(RIGHT(C402,3)),'INC-COMP'!B:J,4,FALSE),IF(LEFT(C402,3)="ELE",VLOOKUP(VALUE(RIGHT(C402,3)),#REF!,4,FALSE),IF(LEFT(C402,3)="CAB",VLOOKUP(VALUE(RIGHT(C402,3)),#REF!,4,FALSE),IF(LEFT(C402,3)="SEG",VLOOKUP(VALUE(RIGHT(C402,3)),'SEG-COMP'!B:J,4,FALSE),IF(LEFT(C402,3)="CLI",VLOOKUP(VALUE(RIGHT(C402,3)),'CLI-COMP'!B:J,4,FALSE),IF(LEFT(C402,4)="IMPL",VLOOKUP(VALUE(RIGHT(C402,3)),'IMPL-COMP'!B:J,4,FALSE),IF(LEFT(C402,4)="SPDA",VLOOKUP(VALUE(RIGHT(C402,3)),'SPDA-COMP'!B:J,4,FALSE),IF(LEFT(C402,4)="SDAI",VLOOKUP(VALUE(RIGHT(C402,3)),'ADM-COMP'!B:J,4,FALSE),IF(LEFT(C402,5)="IMPER",VLOOKUP(VALUE(RIGHT(C402,3)),'IMPER-COMP'!B:J,4,FALSE),""))))))))))))))))</f>
        <v>PINTURA SOBRE PISO, APLICAÇÃO MANUAL, PARA EXECUÇÃO DE FAIXA DEMARCATÓRIA L=5CM, COM TRÊS DEMÃOS DE TINTA À BASE DE EPÓXI, MARCAS DE REFERÊNCIA SUVINIL, CORAL OU METALATEX OU EQUIVALENTE</v>
      </c>
      <c r="E402" s="338" t="str">
        <f>IF(B402="IOPES",VLOOKUP(C402,'LABOR-SERVIÇOS'!A:H,6,FALSE),IF(B402="SINAPI",VLOOKUP(C402,'SINAPI-SERVIÇOS'!A:D,3,FALSE),IF(LEFT(C402,3)="ARQ",VLOOKUP(VALUE(RIGHT(C402,3)),'ARQ-COMP'!B:J,5,FALSE),IF(LEFT(C402,3)="SCI",VLOOKUP(VALUE(RIGHT(C402,3)),'GAS-COMP'!#REF!,5,FALSE),IF(LEFT(C402,3)="SCE",VLOOKUP(VALUE(RIGHT(C402,3)),'SCE-COMP'!B:J,5,FALSE),IF(LEFT(C402,3)="EST",VLOOKUP(VALUE(RIGHT(C402,3)),'EST-COMP'!B:J,5,FALSE),IF(LEFT(C402,3)="HID",VLOOKUP(VALUE(RIGHT(C402,3)),'HID-COMP'!B:J,5,FALSE),IF(LEFT(C402,3)="INC",VLOOKUP(VALUE(RIGHT(C402,3)),'INC-COMP'!B:J,5,FALSE),IF(LEFT(C402,3)="ELE",VLOOKUP(VALUE(RIGHT(C402,3)),#REF!,5,FALSE),IF(LEFT(C402,3)="CAB",VLOOKUP(VALUE(RIGHT(C402,3)),#REF!,5,FALSE),IF(LEFT(C402,3)="SEG",VLOOKUP(VALUE(RIGHT(C402,3)),'SEG-COMP'!B:J,5,FALSE),IF(LEFT(C402,3)="CLI",VLOOKUP(VALUE(RIGHT(C402,3)),'CLI-COMP'!B:J,5,FALSE),IF(LEFT(C402,4)="IMPL",VLOOKUP(VALUE(RIGHT(C402,3)),'IMPL-COMP'!B:J,5,FALSE),IF(LEFT(C402,4)="SPDA",VLOOKUP(VALUE(RIGHT(C402,3)),'SPDA-COMP'!B:J,5,FALSE),IF(LEFT(C402,4)="SDAI",VLOOKUP(VALUE(RIGHT(C402,3)),'ADM-COMP'!B:J,5,FALSE),IF(LEFT(C402,5)="IMPER",VLOOKUP(VALUE(RIGHT(C402,3)),'IMPER-COMP'!B:J,5,FALSE),""))))))))))))))))</f>
        <v>M</v>
      </c>
      <c r="F402" s="599">
        <f>ROUND(VLOOKUP(A402,'MEM-LEVANT'!A295:I2861,9,FALSE),2)</f>
        <v>1980</v>
      </c>
      <c r="G402" s="339">
        <f>IF(B402="IOPES",VLOOKUP(C402,'LABOR-SERVIÇOS'!A:H,7,FALSE),IF(B402="SINAPI",VLOOKUP(C402,'SINAPI-SERVIÇOS'!A:H,8,FALSE),IF(LEFT(C402,3)="ARQ",VLOOKUP(VALUE(RIGHT(C402,3)),'ARQ-COMP'!B:J,9,FALSE),IF(LEFT(C402,3)="SCI",VLOOKUP(VALUE(RIGHT(C402,3)),'GAS-COMP'!#REF!,9,FALSE),IF(LEFT(C402,3)="SCE",VLOOKUP(VALUE(RIGHT(C402,3)),'SCE-COMP'!B:J,9,FALSE),IF(LEFT(C402,3)="EST",VLOOKUP(VALUE(RIGHT(C402,3)),'EST-COMP'!B:J,9,FALSE),IF(LEFT(C402,3)="HID",VLOOKUP(VALUE(RIGHT(C402,3)),'HID-COMP'!B:J,9,FALSE),IF(LEFT(C402,3)="INC",VLOOKUP(VALUE(RIGHT(C402,3)),'INC-COMP'!B:J,9,FALSE),IF(LEFT(C402,3)="ELE",VLOOKUP(VALUE(RIGHT(C402,3)),#REF!,9,FALSE),IF(LEFT(C402,3)="CAB",VLOOKUP(VALUE(RIGHT(C402,3)),#REF!,9,FALSE),IF(LEFT(C402,3)="SEG",VLOOKUP(VALUE(RIGHT(C402,3)),'SEG-COMP'!B:J,9,FALSE),IF(LEFT(C402,3)="CLI",VLOOKUP(VALUE(RIGHT(C402,3)),'CLI-COMP'!B:J,9,FALSE),IF(LEFT(C402,4)="IMPL",VLOOKUP(VALUE(RIGHT(C402,3)),'IMPL-COMP'!B:J,9,FALSE),IF(LEFT(C402,4)="SPDA",VLOOKUP(VALUE(RIGHT(C402,3)),'SPDA-COMP'!B:J,9,FALSE),IF(LEFT(C402,4)="SDAI",VLOOKUP(VALUE(RIGHT(C402,3)),'ADM-COMP'!B:J,9,FALSE),IF(LEFT(C402,5)="IMPER",VLOOKUP(VALUE(RIGHT(C402,3)),'IMPER-COMP'!B:J,9,FALSE),""))))))))))))))))</f>
        <v>10.46</v>
      </c>
      <c r="H402" s="339">
        <f>ROUND(F402*G402,2)</f>
        <v>20710.8</v>
      </c>
      <c r="I402" s="374">
        <f>H402/$H$441</f>
        <v>1.2109519732916099E-3</v>
      </c>
      <c r="J402" s="314"/>
    </row>
    <row r="403" spans="1:10" ht="52.8">
      <c r="A403" s="613" t="s">
        <v>35468</v>
      </c>
      <c r="B403" s="337" t="s">
        <v>2879</v>
      </c>
      <c r="C403" s="540">
        <f>190604</f>
        <v>190604</v>
      </c>
      <c r="D403" s="539" t="str">
        <f>IF(B403="IOPES",VLOOKUP(C403,'LABOR-SERVIÇOS'!A:H,5,FALSE),IF(B403="SINAPI",VLOOKUP(C403,'SINAPI-SERVIÇOS'!A:D,2,FALSE),IF(LEFT(C403,3)="ARQ",VLOOKUP(VALUE(RIGHT(C403,3)),'ARQ-COMP'!B:J,4,FALSE),IF(LEFT(C403,3)="SCI",VLOOKUP(VALUE(RIGHT(C403,3)),'GAS-COMP'!#REF!,4,FALSE),IF(LEFT(C403,3)="SCE",VLOOKUP(VALUE(RIGHT(C403,3)),'SCE-COMP'!B:J,4,FALSE),IF(LEFT(C403,3)="EST",VLOOKUP(VALUE(RIGHT(C403,3)),'EST-COMP'!B:J,4,FALSE),IF(LEFT(C403,3)="HID",VLOOKUP(VALUE(RIGHT(C403,3)),'HID-COMP'!B:J,4,FALSE),IF(LEFT(C403,3)="INC",VLOOKUP(VALUE(RIGHT(C403,3)),'INC-COMP'!B:J,4,FALSE),IF(LEFT(C403,3)="ELE",VLOOKUP(VALUE(RIGHT(C403,3)),#REF!,4,FALSE),IF(LEFT(C403,3)="CAB",VLOOKUP(VALUE(RIGHT(C403,3)),#REF!,4,FALSE),IF(LEFT(C403,3)="SEG",VLOOKUP(VALUE(RIGHT(C403,3)),'SEG-COMP'!B:J,4,FALSE),IF(LEFT(C403,3)="CLI",VLOOKUP(VALUE(RIGHT(C403,3)),'CLI-COMP'!B:J,4,FALSE),IF(LEFT(C403,4)="IMPL",VLOOKUP(VALUE(RIGHT(C403,3)),'IMPL-COMP'!B:J,4,FALSE),IF(LEFT(C403,4)="SPDA",VLOOKUP(VALUE(RIGHT(C403,3)),'SPDA-COMP'!B:J,4,FALSE),IF(LEFT(C403,4)="SDAI",VLOOKUP(VALUE(RIGHT(C403,3)),'ADM-COMP'!B:J,4,FALSE),IF(LEFT(C403,5)="IMPER",VLOOKUP(VALUE(RIGHT(C403,3)),'IMPER-COMP'!B:J,4,FALSE),""))))))))))))))))</f>
        <v>PINTURA SOBRE PISO, APLICAÇÃO MANUAL, PARA EXECUÇÃO DE FAIXA DEMARCATÓRIA L=8CM, COM TRÊS DEMÃOS DE TINTA À BASE DE EPÓXI, MARCAS DE REFERÊNCIA SUVINIL, CORAL OU METALATEX OU EQUIVALENTE</v>
      </c>
      <c r="E403" s="338" t="str">
        <f>IF(B403="IOPES",VLOOKUP(C403,'LABOR-SERVIÇOS'!A:H,6,FALSE),IF(B403="SINAPI",VLOOKUP(C403,'SINAPI-SERVIÇOS'!A:D,3,FALSE),IF(LEFT(C403,3)="ARQ",VLOOKUP(VALUE(RIGHT(C403,3)),'ARQ-COMP'!B:J,5,FALSE),IF(LEFT(C403,3)="SCI",VLOOKUP(VALUE(RIGHT(C403,3)),'GAS-COMP'!#REF!,5,FALSE),IF(LEFT(C403,3)="SCE",VLOOKUP(VALUE(RIGHT(C403,3)),'SCE-COMP'!B:J,5,FALSE),IF(LEFT(C403,3)="EST",VLOOKUP(VALUE(RIGHT(C403,3)),'EST-COMP'!B:J,5,FALSE),IF(LEFT(C403,3)="HID",VLOOKUP(VALUE(RIGHT(C403,3)),'HID-COMP'!B:J,5,FALSE),IF(LEFT(C403,3)="INC",VLOOKUP(VALUE(RIGHT(C403,3)),'INC-COMP'!B:J,5,FALSE),IF(LEFT(C403,3)="ELE",VLOOKUP(VALUE(RIGHT(C403,3)),#REF!,5,FALSE),IF(LEFT(C403,3)="CAB",VLOOKUP(VALUE(RIGHT(C403,3)),#REF!,5,FALSE),IF(LEFT(C403,3)="SEG",VLOOKUP(VALUE(RIGHT(C403,3)),'SEG-COMP'!B:J,5,FALSE),IF(LEFT(C403,3)="CLI",VLOOKUP(VALUE(RIGHT(C403,3)),'CLI-COMP'!B:J,5,FALSE),IF(LEFT(C403,4)="IMPL",VLOOKUP(VALUE(RIGHT(C403,3)),'IMPL-COMP'!B:J,5,FALSE),IF(LEFT(C403,4)="SPDA",VLOOKUP(VALUE(RIGHT(C403,3)),'SPDA-COMP'!B:J,5,FALSE),IF(LEFT(C403,4)="SDAI",VLOOKUP(VALUE(RIGHT(C403,3)),'ADM-COMP'!B:J,5,FALSE),IF(LEFT(C403,5)="IMPER",VLOOKUP(VALUE(RIGHT(C403,3)),'IMPER-COMP'!B:J,5,FALSE),""))))))))))))))))</f>
        <v>M</v>
      </c>
      <c r="F403" s="599">
        <f>ROUND(VLOOKUP(A403,'MEM-LEVANT'!A295:I2862,9,FALSE),2)</f>
        <v>1000</v>
      </c>
      <c r="G403" s="339">
        <f>IF(B403="IOPES",VLOOKUP(C403,'LABOR-SERVIÇOS'!A:H,7,FALSE),IF(B403="SINAPI",VLOOKUP(C403,'SINAPI-SERVIÇOS'!A:H,8,FALSE),IF(LEFT(C403,3)="ARQ",VLOOKUP(VALUE(RIGHT(C403,3)),'ARQ-COMP'!B:J,9,FALSE),IF(LEFT(C403,3)="SCI",VLOOKUP(VALUE(RIGHT(C403,3)),'GAS-COMP'!#REF!,9,FALSE),IF(LEFT(C403,3)="SCE",VLOOKUP(VALUE(RIGHT(C403,3)),'SCE-COMP'!B:J,9,FALSE),IF(LEFT(C403,3)="EST",VLOOKUP(VALUE(RIGHT(C403,3)),'EST-COMP'!B:J,9,FALSE),IF(LEFT(C403,3)="HID",VLOOKUP(VALUE(RIGHT(C403,3)),'HID-COMP'!B:J,9,FALSE),IF(LEFT(C403,3)="INC",VLOOKUP(VALUE(RIGHT(C403,3)),'INC-COMP'!B:J,9,FALSE),IF(LEFT(C403,3)="ELE",VLOOKUP(VALUE(RIGHT(C403,3)),#REF!,9,FALSE),IF(LEFT(C403,3)="CAB",VLOOKUP(VALUE(RIGHT(C403,3)),#REF!,9,FALSE),IF(LEFT(C403,3)="SEG",VLOOKUP(VALUE(RIGHT(C403,3)),'SEG-COMP'!B:J,9,FALSE),IF(LEFT(C403,3)="CLI",VLOOKUP(VALUE(RIGHT(C403,3)),'CLI-COMP'!B:J,9,FALSE),IF(LEFT(C403,4)="IMPL",VLOOKUP(VALUE(RIGHT(C403,3)),'IMPL-COMP'!B:J,9,FALSE),IF(LEFT(C403,4)="SPDA",VLOOKUP(VALUE(RIGHT(C403,3)),'SPDA-COMP'!B:J,9,FALSE),IF(LEFT(C403,4)="SDAI",VLOOKUP(VALUE(RIGHT(C403,3)),'ADM-COMP'!B:J,9,FALSE),IF(LEFT(C403,5)="IMPER",VLOOKUP(VALUE(RIGHT(C403,3)),'IMPER-COMP'!B:J,9,FALSE),""))))))))))))))))</f>
        <v>11.52</v>
      </c>
      <c r="H403" s="339">
        <f>ROUND(F403*G403,2)</f>
        <v>11520</v>
      </c>
      <c r="I403" s="374">
        <f>H403/$H$441</f>
        <v>6.7356967052549141E-4</v>
      </c>
      <c r="J403" s="314"/>
    </row>
    <row r="404" spans="1:10" ht="52.8">
      <c r="A404" s="613" t="s">
        <v>35804</v>
      </c>
      <c r="B404" s="337" t="s">
        <v>2879</v>
      </c>
      <c r="C404" s="540">
        <f>'LABOR-SERVIÇOS'!A1260</f>
        <v>190602</v>
      </c>
      <c r="D404" s="539" t="str">
        <f>IF(B404="IOPES",VLOOKUP(C404,'LABOR-SERVIÇOS'!A:H,5,FALSE),IF(B404="SINAPI",VLOOKUP(C404,'SINAPI-SERVIÇOS'!A:D,2,FALSE),IF(LEFT(C404,3)="ARQ",VLOOKUP(VALUE(RIGHT(C404,3)),'ARQ-COMP'!B:J,4,FALSE),IF(LEFT(C404,3)="SCI",VLOOKUP(VALUE(RIGHT(C404,3)),'GAS-COMP'!#REF!,4,FALSE),IF(LEFT(C404,3)="SCE",VLOOKUP(VALUE(RIGHT(C404,3)),'SCE-COMP'!B:J,4,FALSE),IF(LEFT(C404,3)="EST",VLOOKUP(VALUE(RIGHT(C404,3)),'EST-COMP'!B:J,4,FALSE),IF(LEFT(C404,3)="HID",VLOOKUP(VALUE(RIGHT(C404,3)),'HID-COMP'!B:J,4,FALSE),IF(LEFT(C404,3)="INC",VLOOKUP(VALUE(RIGHT(C404,3)),'INC-COMP'!B:J,4,FALSE),IF(LEFT(C404,3)="ELE",VLOOKUP(VALUE(RIGHT(C404,3)),#REF!,4,FALSE),IF(LEFT(C404,3)="CAB",VLOOKUP(VALUE(RIGHT(C404,3)),#REF!,4,FALSE),IF(LEFT(C404,3)="SEG",VLOOKUP(VALUE(RIGHT(C404,3)),'SEG-COMP'!B:J,4,FALSE),IF(LEFT(C404,3)="CLI",VLOOKUP(VALUE(RIGHT(C404,3)),'CLI-COMP'!B:J,4,FALSE),IF(LEFT(C404,4)="IMPL",VLOOKUP(VALUE(RIGHT(C404,3)),'IMPL-COMP'!B:J,4,FALSE),IF(LEFT(C404,4)="SPDA",VLOOKUP(VALUE(RIGHT(C404,3)),'SPDA-COMP'!B:J,4,FALSE),IF(LEFT(C404,4)="SDAI",VLOOKUP(VALUE(RIGHT(C404,3)),'ADM-COMP'!B:J,4,FALSE),IF(LEFT(C404,5)="IMPER",VLOOKUP(VALUE(RIGHT(C404,3)),'IMPER-COMP'!B:J,4,FALSE),""))))))))))))))))</f>
        <v>PINTURA SOBRE PISO, APLICAÇÃO MANUAL, COM DUAS DEMÃOS DE TINTA À BASE DE RESINAS ACRÍLICAS, MARCAS DE REFERÊNCIA SUVINIL, CORAL, SHERWIN WILLIAMS NOVACOR, METALATEX OU EQUIVALENTE</v>
      </c>
      <c r="E404" s="338" t="str">
        <f>IF(B404="IOPES",VLOOKUP(C404,'LABOR-SERVIÇOS'!A:H,6,FALSE),IF(B404="SINAPI",VLOOKUP(C404,'SINAPI-SERVIÇOS'!A:D,3,FALSE),IF(LEFT(C404,3)="ARQ",VLOOKUP(VALUE(RIGHT(C404,3)),'ARQ-COMP'!B:J,5,FALSE),IF(LEFT(C404,3)="SCI",VLOOKUP(VALUE(RIGHT(C404,3)),'GAS-COMP'!#REF!,5,FALSE),IF(LEFT(C404,3)="SCE",VLOOKUP(VALUE(RIGHT(C404,3)),'SCE-COMP'!B:J,5,FALSE),IF(LEFT(C404,3)="EST",VLOOKUP(VALUE(RIGHT(C404,3)),'EST-COMP'!B:J,5,FALSE),IF(LEFT(C404,3)="HID",VLOOKUP(VALUE(RIGHT(C404,3)),'HID-COMP'!B:J,5,FALSE),IF(LEFT(C404,3)="INC",VLOOKUP(VALUE(RIGHT(C404,3)),'INC-COMP'!B:J,5,FALSE),IF(LEFT(C404,3)="ELE",VLOOKUP(VALUE(RIGHT(C404,3)),#REF!,5,FALSE),IF(LEFT(C404,3)="CAB",VLOOKUP(VALUE(RIGHT(C404,3)),#REF!,5,FALSE),IF(LEFT(C404,3)="SEG",VLOOKUP(VALUE(RIGHT(C404,3)),'SEG-COMP'!B:J,5,FALSE),IF(LEFT(C404,3)="CLI",VLOOKUP(VALUE(RIGHT(C404,3)),'CLI-COMP'!B:J,5,FALSE),IF(LEFT(C404,4)="IMPL",VLOOKUP(VALUE(RIGHT(C404,3)),'IMPL-COMP'!B:J,5,FALSE),IF(LEFT(C404,4)="SPDA",VLOOKUP(VALUE(RIGHT(C404,3)),'SPDA-COMP'!B:J,5,FALSE),IF(LEFT(C404,4)="SDAI",VLOOKUP(VALUE(RIGHT(C404,3)),'ADM-COMP'!B:J,5,FALSE),IF(LEFT(C404,5)="IMPER",VLOOKUP(VALUE(RIGHT(C404,3)),'IMPER-COMP'!B:J,5,FALSE),""))))))))))))))))</f>
        <v>M2</v>
      </c>
      <c r="F404" s="599">
        <f>ROUND(VLOOKUP(A404,'MEM-LEVANT'!A296:I2863,9,FALSE),2)</f>
        <v>4024.44</v>
      </c>
      <c r="G404" s="339">
        <f>IF(B404="IOPES",VLOOKUP(C404,'LABOR-SERVIÇOS'!A:H,7,FALSE),IF(B404="SINAPI",VLOOKUP(C404,'SINAPI-SERVIÇOS'!A:H,8,FALSE),IF(LEFT(C404,3)="ARQ",VLOOKUP(VALUE(RIGHT(C404,3)),'ARQ-COMP'!B:J,9,FALSE),IF(LEFT(C404,3)="SCI",VLOOKUP(VALUE(RIGHT(C404,3)),'GAS-COMP'!#REF!,9,FALSE),IF(LEFT(C404,3)="SCE",VLOOKUP(VALUE(RIGHT(C404,3)),'SCE-COMP'!B:J,9,FALSE),IF(LEFT(C404,3)="EST",VLOOKUP(VALUE(RIGHT(C404,3)),'EST-COMP'!B:J,9,FALSE),IF(LEFT(C404,3)="HID",VLOOKUP(VALUE(RIGHT(C404,3)),'HID-COMP'!B:J,9,FALSE),IF(LEFT(C404,3)="INC",VLOOKUP(VALUE(RIGHT(C404,3)),'INC-COMP'!B:J,9,FALSE),IF(LEFT(C404,3)="ELE",VLOOKUP(VALUE(RIGHT(C404,3)),#REF!,9,FALSE),IF(LEFT(C404,3)="CAB",VLOOKUP(VALUE(RIGHT(C404,3)),#REF!,9,FALSE),IF(LEFT(C404,3)="SEG",VLOOKUP(VALUE(RIGHT(C404,3)),'SEG-COMP'!B:J,9,FALSE),IF(LEFT(C404,3)="CLI",VLOOKUP(VALUE(RIGHT(C404,3)),'CLI-COMP'!B:J,9,FALSE),IF(LEFT(C404,4)="IMPL",VLOOKUP(VALUE(RIGHT(C404,3)),'IMPL-COMP'!B:J,9,FALSE),IF(LEFT(C404,4)="SPDA",VLOOKUP(VALUE(RIGHT(C404,3)),'SPDA-COMP'!B:J,9,FALSE),IF(LEFT(C404,4)="SDAI",VLOOKUP(VALUE(RIGHT(C404,3)),'ADM-COMP'!B:J,9,FALSE),IF(LEFT(C404,5)="IMPER",VLOOKUP(VALUE(RIGHT(C404,3)),'IMPER-COMP'!B:J,9,FALSE),""))))))))))))))))</f>
        <v>19.68</v>
      </c>
      <c r="H404" s="339">
        <f>ROUND(F404*G404,2)</f>
        <v>79200.98</v>
      </c>
      <c r="I404" s="374">
        <f>H404/$H$441</f>
        <v>4.6308487850604194E-3</v>
      </c>
      <c r="J404" s="314"/>
    </row>
    <row r="405" spans="1:10">
      <c r="A405" s="570"/>
      <c r="B405" s="569"/>
      <c r="C405" s="569"/>
      <c r="D405" s="571" t="s">
        <v>27442</v>
      </c>
      <c r="E405" s="572"/>
      <c r="F405" s="600"/>
      <c r="G405" s="573"/>
      <c r="H405" s="574">
        <f>SUM(H390:H404)</f>
        <v>378968.24</v>
      </c>
      <c r="I405" s="575">
        <f>H405/$H$441</f>
        <v>2.2158117409411923E-2</v>
      </c>
      <c r="J405" s="314"/>
    </row>
    <row r="406" spans="1:10">
      <c r="A406" s="613"/>
      <c r="B406" s="337"/>
      <c r="C406" s="540"/>
      <c r="D406" s="539"/>
      <c r="E406" s="338"/>
      <c r="F406" s="599"/>
      <c r="G406" s="339"/>
      <c r="H406" s="339"/>
      <c r="I406" s="374"/>
      <c r="J406" s="314"/>
    </row>
    <row r="407" spans="1:10">
      <c r="A407" s="561" t="s">
        <v>27028</v>
      </c>
      <c r="B407" s="562"/>
      <c r="C407" s="563"/>
      <c r="D407" s="564" t="s">
        <v>35469</v>
      </c>
      <c r="E407" s="565"/>
      <c r="F407" s="597"/>
      <c r="G407" s="566"/>
      <c r="H407" s="567"/>
      <c r="I407" s="568"/>
      <c r="J407" s="314"/>
    </row>
    <row r="408" spans="1:10">
      <c r="A408" s="553" t="s">
        <v>27029</v>
      </c>
      <c r="B408" s="554"/>
      <c r="C408" s="555"/>
      <c r="D408" s="556" t="s">
        <v>56</v>
      </c>
      <c r="E408" s="557"/>
      <c r="F408" s="598"/>
      <c r="G408" s="558"/>
      <c r="H408" s="559"/>
      <c r="I408" s="560"/>
      <c r="J408" s="314"/>
    </row>
    <row r="409" spans="1:10" ht="39.6">
      <c r="A409" s="613" t="s">
        <v>27030</v>
      </c>
      <c r="B409" s="337" t="s">
        <v>2879</v>
      </c>
      <c r="C409" s="540">
        <f>200130</f>
        <v>200130</v>
      </c>
      <c r="D409" s="539" t="str">
        <f>IF(B409="IOPES",VLOOKUP(C409,'LABOR-SERVIÇOS'!A:H,5,FALSE),IF(B409="SINAPI",VLOOKUP(C409,'SINAPI-SERVIÇOS'!A:D,2,FALSE),IF(LEFT(C409,3)="ARQ",VLOOKUP(VALUE(RIGHT(C409,3)),'ARQ-COMP'!B:J,4,FALSE),IF(LEFT(C409,3)="SCI",VLOOKUP(VALUE(RIGHT(C409,3)),'GAS-COMP'!#REF!,4,FALSE),IF(LEFT(C409,3)="SCE",VLOOKUP(VALUE(RIGHT(C409,3)),'SCE-COMP'!B:J,4,FALSE),IF(LEFT(C409,3)="EST",VLOOKUP(VALUE(RIGHT(C409,3)),'EST-COMP'!B:J,4,FALSE),IF(LEFT(C409,3)="HID",VLOOKUP(VALUE(RIGHT(C409,3)),'HID-COMP'!B:J,4,FALSE),IF(LEFT(C409,3)="INC",VLOOKUP(VALUE(RIGHT(C409,3)),'INC-COMP'!B:J,4,FALSE),IF(LEFT(C409,3)="ELE",VLOOKUP(VALUE(RIGHT(C409,3)),#REF!,4,FALSE),IF(LEFT(C409,3)="CAB",VLOOKUP(VALUE(RIGHT(C409,3)),#REF!,4,FALSE),IF(LEFT(C409,3)="SEG",VLOOKUP(VALUE(RIGHT(C409,3)),'SEG-COMP'!B:J,4,FALSE),IF(LEFT(C409,3)="CLI",VLOOKUP(VALUE(RIGHT(C409,3)),'CLI-COMP'!B:J,4,FALSE),IF(LEFT(C409,4)="IMPL",VLOOKUP(VALUE(RIGHT(C409,3)),'IMPL-COMP'!B:J,4,FALSE),IF(LEFT(C409,4)="SPDA",VLOOKUP(VALUE(RIGHT(C409,3)),'SPDA-COMP'!B:J,4,FALSE),IF(LEFT(C409,4)="SDAI",VLOOKUP(VALUE(RIGHT(C409,3)),'ADM-COMP'!B:J,4,FALSE),IF(LEFT(C409,5)="IMPER",VLOOKUP(VALUE(RIGHT(C409,3)),'IMPER-COMP'!B:J,4,FALSE),""))))))))))))))))</f>
        <v>GRADIL H = 1.90M PADRÃO SEDU EM TUDO DE FG 2" E BARRA CHATA DE 11/2"X1/4", PARA FIXAÇÃO SOBRE MURETA CONFORME PROJETO, EXCLUSIVE A MURETA.</v>
      </c>
      <c r="E409" s="338" t="str">
        <f>IF(B409="IOPES",VLOOKUP(C409,'LABOR-SERVIÇOS'!A:H,6,FALSE),IF(B409="SINAPI",VLOOKUP(C409,'SINAPI-SERVIÇOS'!A:D,3,FALSE),IF(LEFT(C409,3)="ARQ",VLOOKUP(VALUE(RIGHT(C409,3)),'ARQ-COMP'!B:J,5,FALSE),IF(LEFT(C409,3)="SCI",VLOOKUP(VALUE(RIGHT(C409,3)),'GAS-COMP'!#REF!,5,FALSE),IF(LEFT(C409,3)="SCE",VLOOKUP(VALUE(RIGHT(C409,3)),'SCE-COMP'!B:J,5,FALSE),IF(LEFT(C409,3)="EST",VLOOKUP(VALUE(RIGHT(C409,3)),'EST-COMP'!B:J,5,FALSE),IF(LEFT(C409,3)="HID",VLOOKUP(VALUE(RIGHT(C409,3)),'HID-COMP'!B:J,5,FALSE),IF(LEFT(C409,3)="INC",VLOOKUP(VALUE(RIGHT(C409,3)),'INC-COMP'!B:J,5,FALSE),IF(LEFT(C409,3)="ELE",VLOOKUP(VALUE(RIGHT(C409,3)),#REF!,5,FALSE),IF(LEFT(C409,3)="CAB",VLOOKUP(VALUE(RIGHT(C409,3)),#REF!,5,FALSE),IF(LEFT(C409,3)="SEG",VLOOKUP(VALUE(RIGHT(C409,3)),'SEG-COMP'!B:J,5,FALSE),IF(LEFT(C409,3)="CLI",VLOOKUP(VALUE(RIGHT(C409,3)),'CLI-COMP'!B:J,5,FALSE),IF(LEFT(C409,4)="IMPL",VLOOKUP(VALUE(RIGHT(C409,3)),'IMPL-COMP'!B:J,5,FALSE),IF(LEFT(C409,4)="SPDA",VLOOKUP(VALUE(RIGHT(C409,3)),'SPDA-COMP'!B:J,5,FALSE),IF(LEFT(C409,4)="SDAI",VLOOKUP(VALUE(RIGHT(C409,3)),'ADM-COMP'!B:J,5,FALSE),IF(LEFT(C409,5)="IMPER",VLOOKUP(VALUE(RIGHT(C409,3)),'IMPER-COMP'!B:J,5,FALSE),""))))))))))))))))</f>
        <v>M</v>
      </c>
      <c r="F409" s="599">
        <f>ROUND(VLOOKUP(A409,'MEM-LEVANT'!A295:I2867,9,FALSE),2)</f>
        <v>334.27</v>
      </c>
      <c r="G409" s="339">
        <f>IF(B409="IOPES",VLOOKUP(C409,'LABOR-SERVIÇOS'!A:H,7,FALSE),IF(B409="SINAPI",VLOOKUP(C409,'SINAPI-SERVIÇOS'!A:H,8,FALSE),IF(LEFT(C409,3)="ARQ",VLOOKUP(VALUE(RIGHT(C409,3)),'ARQ-COMP'!B:J,9,FALSE),IF(LEFT(C409,3)="SCI",VLOOKUP(VALUE(RIGHT(C409,3)),'GAS-COMP'!#REF!,9,FALSE),IF(LEFT(C409,3)="SCE",VLOOKUP(VALUE(RIGHT(C409,3)),'SCE-COMP'!B:J,9,FALSE),IF(LEFT(C409,3)="EST",VLOOKUP(VALUE(RIGHT(C409,3)),'EST-COMP'!B:J,9,FALSE),IF(LEFT(C409,3)="HID",VLOOKUP(VALUE(RIGHT(C409,3)),'HID-COMP'!B:J,9,FALSE),IF(LEFT(C409,3)="INC",VLOOKUP(VALUE(RIGHT(C409,3)),'INC-COMP'!B:J,9,FALSE),IF(LEFT(C409,3)="ELE",VLOOKUP(VALUE(RIGHT(C409,3)),#REF!,9,FALSE),IF(LEFT(C409,3)="CAB",VLOOKUP(VALUE(RIGHT(C409,3)),#REF!,9,FALSE),IF(LEFT(C409,3)="SEG",VLOOKUP(VALUE(RIGHT(C409,3)),'SEG-COMP'!B:J,9,FALSE),IF(LEFT(C409,3)="CLI",VLOOKUP(VALUE(RIGHT(C409,3)),'CLI-COMP'!B:J,9,FALSE),IF(LEFT(C409,4)="IMPL",VLOOKUP(VALUE(RIGHT(C409,3)),'IMPL-COMP'!B:J,9,FALSE),IF(LEFT(C409,4)="SPDA",VLOOKUP(VALUE(RIGHT(C409,3)),'SPDA-COMP'!B:J,9,FALSE),IF(LEFT(C409,4)="SDAI",VLOOKUP(VALUE(RIGHT(C409,3)),'ADM-COMP'!B:J,9,FALSE),IF(LEFT(C409,5)="IMPER",VLOOKUP(VALUE(RIGHT(C409,3)),'IMPER-COMP'!B:J,9,FALSE),""))))))))))))))))</f>
        <v>1094.68</v>
      </c>
      <c r="H409" s="339">
        <f>ROUND(F409*G409,2)</f>
        <v>365918.68</v>
      </c>
      <c r="I409" s="374">
        <f>H409/$H$441</f>
        <v>2.1395114993639126E-2</v>
      </c>
      <c r="J409" s="314"/>
    </row>
    <row r="410" spans="1:10">
      <c r="A410" s="553" t="s">
        <v>27031</v>
      </c>
      <c r="B410" s="554"/>
      <c r="C410" s="555"/>
      <c r="D410" s="556" t="s">
        <v>51</v>
      </c>
      <c r="E410" s="557"/>
      <c r="F410" s="598"/>
      <c r="G410" s="558"/>
      <c r="H410" s="559"/>
      <c r="I410" s="560"/>
      <c r="J410" s="314"/>
    </row>
    <row r="411" spans="1:10" ht="39.6">
      <c r="A411" s="613" t="s">
        <v>27032</v>
      </c>
      <c r="B411" s="337" t="s">
        <v>2879</v>
      </c>
      <c r="C411" s="540">
        <f>200202</f>
        <v>200202</v>
      </c>
      <c r="D411" s="539" t="str">
        <f>IF(B411="IOPES",VLOOKUP(C411,'LABOR-SERVIÇOS'!A:H,5,FALSE),IF(B411="SINAPI",VLOOKUP(C411,'SINAPI-SERVIÇOS'!A:D,2,FALSE),IF(LEFT(C411,3)="ARQ",VLOOKUP(VALUE(RIGHT(C411,3)),'ARQ-COMP'!B:J,4,FALSE),IF(LEFT(C411,3)="SCI",VLOOKUP(VALUE(RIGHT(C411,3)),'GAS-COMP'!#REF!,4,FALSE),IF(LEFT(C411,3)="SCE",VLOOKUP(VALUE(RIGHT(C411,3)),'SCE-COMP'!B:J,4,FALSE),IF(LEFT(C411,3)="EST",VLOOKUP(VALUE(RIGHT(C411,3)),'EST-COMP'!B:J,4,FALSE),IF(LEFT(C411,3)="HID",VLOOKUP(VALUE(RIGHT(C411,3)),'HID-COMP'!B:J,4,FALSE),IF(LEFT(C411,3)="INC",VLOOKUP(VALUE(RIGHT(C411,3)),'INC-COMP'!B:J,4,FALSE),IF(LEFT(C411,3)="ELE",VLOOKUP(VALUE(RIGHT(C411,3)),#REF!,4,FALSE),IF(LEFT(C411,3)="CAB",VLOOKUP(VALUE(RIGHT(C411,3)),#REF!,4,FALSE),IF(LEFT(C411,3)="SEG",VLOOKUP(VALUE(RIGHT(C411,3)),'SEG-COMP'!B:J,4,FALSE),IF(LEFT(C411,3)="CLI",VLOOKUP(VALUE(RIGHT(C411,3)),'CLI-COMP'!B:J,4,FALSE),IF(LEFT(C411,4)="IMPL",VLOOKUP(VALUE(RIGHT(C411,3)),'IMPL-COMP'!B:J,4,FALSE),IF(LEFT(C411,4)="SPDA",VLOOKUP(VALUE(RIGHT(C411,3)),'SPDA-COMP'!B:J,4,FALSE),IF(LEFT(C411,4)="SDAI",VLOOKUP(VALUE(RIGHT(C411,3)),'ADM-COMP'!B:J,4,FALSE),IF(LEFT(C411,5)="IMPER",VLOOKUP(VALUE(RIGHT(C411,3)),'IMPER-COMP'!B:J,4,FALSE),""))))))))))))))))</f>
        <v>ASSENTAMENTO DE MEIO-FIO PRÉ-MOLDADO DE CONCRETO COM DIMENSÕES DE 15 X 12 X 30 X 100 CM, REJUNTADO COM ARGAMASSA DE CIMENTO E AREIA NO TRAÇO 1:3</v>
      </c>
      <c r="E411" s="338" t="str">
        <f>IF(B411="IOPES",VLOOKUP(C411,'LABOR-SERVIÇOS'!A:H,6,FALSE),IF(B411="SINAPI",VLOOKUP(C411,'SINAPI-SERVIÇOS'!A:D,3,FALSE),IF(LEFT(C411,3)="ARQ",VLOOKUP(VALUE(RIGHT(C411,3)),'ARQ-COMP'!B:J,5,FALSE),IF(LEFT(C411,3)="SCI",VLOOKUP(VALUE(RIGHT(C411,3)),'GAS-COMP'!#REF!,5,FALSE),IF(LEFT(C411,3)="SCE",VLOOKUP(VALUE(RIGHT(C411,3)),'SCE-COMP'!B:J,5,FALSE),IF(LEFT(C411,3)="EST",VLOOKUP(VALUE(RIGHT(C411,3)),'EST-COMP'!B:J,5,FALSE),IF(LEFT(C411,3)="HID",VLOOKUP(VALUE(RIGHT(C411,3)),'HID-COMP'!B:J,5,FALSE),IF(LEFT(C411,3)="INC",VLOOKUP(VALUE(RIGHT(C411,3)),'INC-COMP'!B:J,5,FALSE),IF(LEFT(C411,3)="ELE",VLOOKUP(VALUE(RIGHT(C411,3)),#REF!,5,FALSE),IF(LEFT(C411,3)="CAB",VLOOKUP(VALUE(RIGHT(C411,3)),#REF!,5,FALSE),IF(LEFT(C411,3)="SEG",VLOOKUP(VALUE(RIGHT(C411,3)),'SEG-COMP'!B:J,5,FALSE),IF(LEFT(C411,3)="CLI",VLOOKUP(VALUE(RIGHT(C411,3)),'CLI-COMP'!B:J,5,FALSE),IF(LEFT(C411,4)="IMPL",VLOOKUP(VALUE(RIGHT(C411,3)),'IMPL-COMP'!B:J,5,FALSE),IF(LEFT(C411,4)="SPDA",VLOOKUP(VALUE(RIGHT(C411,3)),'SPDA-COMP'!B:J,5,FALSE),IF(LEFT(C411,4)="SDAI",VLOOKUP(VALUE(RIGHT(C411,3)),'ADM-COMP'!B:J,5,FALSE),IF(LEFT(C411,5)="IMPER",VLOOKUP(VALUE(RIGHT(C411,3)),'IMPER-COMP'!B:J,5,FALSE),""))))))))))))))))</f>
        <v>M</v>
      </c>
      <c r="F411" s="599">
        <f>ROUND(VLOOKUP(A411,'MEM-LEVANT'!A295:I2869,9,FALSE),2)</f>
        <v>334.27</v>
      </c>
      <c r="G411" s="339">
        <f>IF(B411="IOPES",VLOOKUP(C411,'LABOR-SERVIÇOS'!A:H,7,FALSE),IF(B411="SINAPI",VLOOKUP(C411,'SINAPI-SERVIÇOS'!A:H,8,FALSE),IF(LEFT(C411,3)="ARQ",VLOOKUP(VALUE(RIGHT(C411,3)),'ARQ-COMP'!B:J,9,FALSE),IF(LEFT(C411,3)="SCI",VLOOKUP(VALUE(RIGHT(C411,3)),'GAS-COMP'!#REF!,9,FALSE),IF(LEFT(C411,3)="SCE",VLOOKUP(VALUE(RIGHT(C411,3)),'SCE-COMP'!B:J,9,FALSE),IF(LEFT(C411,3)="EST",VLOOKUP(VALUE(RIGHT(C411,3)),'EST-COMP'!B:J,9,FALSE),IF(LEFT(C411,3)="HID",VLOOKUP(VALUE(RIGHT(C411,3)),'HID-COMP'!B:J,9,FALSE),IF(LEFT(C411,3)="INC",VLOOKUP(VALUE(RIGHT(C411,3)),'INC-COMP'!B:J,9,FALSE),IF(LEFT(C411,3)="ELE",VLOOKUP(VALUE(RIGHT(C411,3)),#REF!,9,FALSE),IF(LEFT(C411,3)="CAB",VLOOKUP(VALUE(RIGHT(C411,3)),#REF!,9,FALSE),IF(LEFT(C411,3)="SEG",VLOOKUP(VALUE(RIGHT(C411,3)),'SEG-COMP'!B:J,9,FALSE),IF(LEFT(C411,3)="CLI",VLOOKUP(VALUE(RIGHT(C411,3)),'CLI-COMP'!B:J,9,FALSE),IF(LEFT(C411,4)="IMPL",VLOOKUP(VALUE(RIGHT(C411,3)),'IMPL-COMP'!B:J,9,FALSE),IF(LEFT(C411,4)="SPDA",VLOOKUP(VALUE(RIGHT(C411,3)),'SPDA-COMP'!B:J,9,FALSE),IF(LEFT(C411,4)="SDAI",VLOOKUP(VALUE(RIGHT(C411,3)),'ADM-COMP'!B:J,9,FALSE),IF(LEFT(C411,5)="IMPER",VLOOKUP(VALUE(RIGHT(C411,3)),'IMPER-COMP'!B:J,9,FALSE),""))))))))))))))))</f>
        <v>69.77</v>
      </c>
      <c r="H411" s="339">
        <f>ROUND(F411*G411,2)</f>
        <v>23322.02</v>
      </c>
      <c r="I411" s="374">
        <f>H411/$H$441</f>
        <v>1.3636289346691771E-3</v>
      </c>
      <c r="J411" s="314"/>
    </row>
    <row r="412" spans="1:10" ht="79.2">
      <c r="A412" s="613" t="s">
        <v>35470</v>
      </c>
      <c r="B412" s="337" t="s">
        <v>2879</v>
      </c>
      <c r="C412" s="540">
        <f>200206</f>
        <v>200206</v>
      </c>
      <c r="D412" s="539" t="str">
        <f>IF(B412="IOPES",VLOOKUP(C412,'LABOR-SERVIÇOS'!A:H,5,FALSE),IF(B412="SINAPI",VLOOKUP(C412,'SINAPI-SERVIÇOS'!A:D,2,FALSE),IF(LEFT(C412,3)="ARQ",VLOOKUP(VALUE(RIGHT(C412,3)),'ARQ-COMP'!B:J,4,FALSE),IF(LEFT(C412,3)="SCI",VLOOKUP(VALUE(RIGHT(C412,3)),'GAS-COMP'!#REF!,4,FALSE),IF(LEFT(C412,3)="SCE",VLOOKUP(VALUE(RIGHT(C412,3)),'SCE-COMP'!B:J,4,FALSE),IF(LEFT(C412,3)="EST",VLOOKUP(VALUE(RIGHT(C412,3)),'EST-COMP'!B:J,4,FALSE),IF(LEFT(C412,3)="HID",VLOOKUP(VALUE(RIGHT(C412,3)),'HID-COMP'!B:J,4,FALSE),IF(LEFT(C412,3)="INC",VLOOKUP(VALUE(RIGHT(C412,3)),'INC-COMP'!B:J,4,FALSE),IF(LEFT(C412,3)="ELE",VLOOKUP(VALUE(RIGHT(C412,3)),#REF!,4,FALSE),IF(LEFT(C412,3)="CAB",VLOOKUP(VALUE(RIGHT(C412,3)),#REF!,4,FALSE),IF(LEFT(C412,3)="SEG",VLOOKUP(VALUE(RIGHT(C412,3)),'SEG-COMP'!B:J,4,FALSE),IF(LEFT(C412,3)="CLI",VLOOKUP(VALUE(RIGHT(C412,3)),'CLI-COMP'!B:J,4,FALSE),IF(LEFT(C412,4)="IMPL",VLOOKUP(VALUE(RIGHT(C412,3)),'IMPL-COMP'!B:J,4,FALSE),IF(LEFT(C412,4)="SPDA",VLOOKUP(VALUE(RIGHT(C412,3)),'SPDA-COMP'!B:J,4,FALSE),IF(LEFT(C412,4)="SDAI",VLOOKUP(VALUE(RIGHT(C412,3)),'ADM-COMP'!B:J,4,FALSE),IF(LEFT(C412,5)="IMPER",VLOOKUP(VALUE(RIGHT(C412,3)),'IMPER-COMP'!B:J,4,FALSE),""))))))))))))))))</f>
        <v>EXECUÇÃO DE PAVIMENTAÇÃO COM BLOCOS INTERTRAVADOS DE CONCRETO TIPO PAVI-S, ESPESSURA DE 8 CM E RESISTÊNCIA MÍNIMA DE 35 MPA, ASSENTADOS SOBRE COLCHÃO DE PÓ DE PEDRA DE 10 CM, COM REJUNTAMENTO EM AREIA, COMPACTAÇÃO COM PLACA VIBRATÓRIA E CORTES COM CORTADORA DE PISO</v>
      </c>
      <c r="E412" s="338" t="str">
        <f>IF(B412="IOPES",VLOOKUP(C412,'LABOR-SERVIÇOS'!A:H,6,FALSE),IF(B412="SINAPI",VLOOKUP(C412,'SINAPI-SERVIÇOS'!A:D,3,FALSE),IF(LEFT(C412,3)="ARQ",VLOOKUP(VALUE(RIGHT(C412,3)),'ARQ-COMP'!B:J,5,FALSE),IF(LEFT(C412,3)="SCI",VLOOKUP(VALUE(RIGHT(C412,3)),'GAS-COMP'!#REF!,5,FALSE),IF(LEFT(C412,3)="SCE",VLOOKUP(VALUE(RIGHT(C412,3)),'SCE-COMP'!B:J,5,FALSE),IF(LEFT(C412,3)="EST",VLOOKUP(VALUE(RIGHT(C412,3)),'EST-COMP'!B:J,5,FALSE),IF(LEFT(C412,3)="HID",VLOOKUP(VALUE(RIGHT(C412,3)),'HID-COMP'!B:J,5,FALSE),IF(LEFT(C412,3)="INC",VLOOKUP(VALUE(RIGHT(C412,3)),'INC-COMP'!B:J,5,FALSE),IF(LEFT(C412,3)="ELE",VLOOKUP(VALUE(RIGHT(C412,3)),#REF!,5,FALSE),IF(LEFT(C412,3)="CAB",VLOOKUP(VALUE(RIGHT(C412,3)),#REF!,5,FALSE),IF(LEFT(C412,3)="SEG",VLOOKUP(VALUE(RIGHT(C412,3)),'SEG-COMP'!B:J,5,FALSE),IF(LEFT(C412,3)="CLI",VLOOKUP(VALUE(RIGHT(C412,3)),'CLI-COMP'!B:J,5,FALSE),IF(LEFT(C412,4)="IMPL",VLOOKUP(VALUE(RIGHT(C412,3)),'IMPL-COMP'!B:J,5,FALSE),IF(LEFT(C412,4)="SPDA",VLOOKUP(VALUE(RIGHT(C412,3)),'SPDA-COMP'!B:J,5,FALSE),IF(LEFT(C412,4)="SDAI",VLOOKUP(VALUE(RIGHT(C412,3)),'ADM-COMP'!B:J,5,FALSE),IF(LEFT(C412,5)="IMPER",VLOOKUP(VALUE(RIGHT(C412,3)),'IMPER-COMP'!B:J,5,FALSE),""))))))))))))))))</f>
        <v>M2</v>
      </c>
      <c r="F412" s="599">
        <f>ROUND(VLOOKUP(A412,'MEM-LEVANT'!A295:I2870,9,FALSE),2)</f>
        <v>4024.44</v>
      </c>
      <c r="G412" s="339">
        <f>IF(B412="IOPES",VLOOKUP(C412,'LABOR-SERVIÇOS'!A:H,7,FALSE),IF(B412="SINAPI",VLOOKUP(C412,'SINAPI-SERVIÇOS'!A:H,8,FALSE),IF(LEFT(C412,3)="ARQ",VLOOKUP(VALUE(RIGHT(C412,3)),'ARQ-COMP'!B:J,9,FALSE),IF(LEFT(C412,3)="SCI",VLOOKUP(VALUE(RIGHT(C412,3)),'GAS-COMP'!#REF!,9,FALSE),IF(LEFT(C412,3)="SCE",VLOOKUP(VALUE(RIGHT(C412,3)),'SCE-COMP'!B:J,9,FALSE),IF(LEFT(C412,3)="EST",VLOOKUP(VALUE(RIGHT(C412,3)),'EST-COMP'!B:J,9,FALSE),IF(LEFT(C412,3)="HID",VLOOKUP(VALUE(RIGHT(C412,3)),'HID-COMP'!B:J,9,FALSE),IF(LEFT(C412,3)="INC",VLOOKUP(VALUE(RIGHT(C412,3)),'INC-COMP'!B:J,9,FALSE),IF(LEFT(C412,3)="ELE",VLOOKUP(VALUE(RIGHT(C412,3)),#REF!,9,FALSE),IF(LEFT(C412,3)="CAB",VLOOKUP(VALUE(RIGHT(C412,3)),#REF!,9,FALSE),IF(LEFT(C412,3)="SEG",VLOOKUP(VALUE(RIGHT(C412,3)),'SEG-COMP'!B:J,9,FALSE),IF(LEFT(C412,3)="CLI",VLOOKUP(VALUE(RIGHT(C412,3)),'CLI-COMP'!B:J,9,FALSE),IF(LEFT(C412,4)="IMPL",VLOOKUP(VALUE(RIGHT(C412,3)),'IMPL-COMP'!B:J,9,FALSE),IF(LEFT(C412,4)="SPDA",VLOOKUP(VALUE(RIGHT(C412,3)),'SPDA-COMP'!B:J,9,FALSE),IF(LEFT(C412,4)="SDAI",VLOOKUP(VALUE(RIGHT(C412,3)),'ADM-COMP'!B:J,9,FALSE),IF(LEFT(C412,5)="IMPER",VLOOKUP(VALUE(RIGHT(C412,3)),'IMPER-COMP'!B:J,9,FALSE),""))))))))))))))))</f>
        <v>110.35</v>
      </c>
      <c r="H412" s="339">
        <f>ROUND(F412*G412,2)</f>
        <v>444096.95</v>
      </c>
      <c r="I412" s="374">
        <f>H412/$H$441</f>
        <v>2.5966166344867678E-2</v>
      </c>
      <c r="J412" s="314"/>
    </row>
    <row r="413" spans="1:10" ht="52.8">
      <c r="A413" s="613" t="s">
        <v>35471</v>
      </c>
      <c r="B413" s="337" t="s">
        <v>2879</v>
      </c>
      <c r="C413" s="540">
        <f>200209</f>
        <v>200209</v>
      </c>
      <c r="D413" s="539" t="str">
        <f>IF(B413="IOPES",VLOOKUP(C413,'LABOR-SERVIÇOS'!A:H,5,FALSE),IF(B413="SINAPI",VLOOKUP(C413,'SINAPI-SERVIÇOS'!A:D,2,FALSE),IF(LEFT(C413,3)="ARQ",VLOOKUP(VALUE(RIGHT(C413,3)),'ARQ-COMP'!B:J,4,FALSE),IF(LEFT(C413,3)="SCI",VLOOKUP(VALUE(RIGHT(C413,3)),'GAS-COMP'!#REF!,4,FALSE),IF(LEFT(C413,3)="SCE",VLOOKUP(VALUE(RIGHT(C413,3)),'SCE-COMP'!B:J,4,FALSE),IF(LEFT(C413,3)="EST",VLOOKUP(VALUE(RIGHT(C413,3)),'EST-COMP'!B:J,4,FALSE),IF(LEFT(C413,3)="HID",VLOOKUP(VALUE(RIGHT(C413,3)),'HID-COMP'!B:J,4,FALSE),IF(LEFT(C413,3)="INC",VLOOKUP(VALUE(RIGHT(C413,3)),'INC-COMP'!B:J,4,FALSE),IF(LEFT(C413,3)="ELE",VLOOKUP(VALUE(RIGHT(C413,3)),#REF!,4,FALSE),IF(LEFT(C413,3)="CAB",VLOOKUP(VALUE(RIGHT(C413,3)),#REF!,4,FALSE),IF(LEFT(C413,3)="SEG",VLOOKUP(VALUE(RIGHT(C413,3)),'SEG-COMP'!B:J,4,FALSE),IF(LEFT(C413,3)="CLI",VLOOKUP(VALUE(RIGHT(C413,3)),'CLI-COMP'!B:J,4,FALSE),IF(LEFT(C413,4)="IMPL",VLOOKUP(VALUE(RIGHT(C413,3)),'IMPL-COMP'!B:J,4,FALSE),IF(LEFT(C413,4)="SPDA",VLOOKUP(VALUE(RIGHT(C413,3)),'SPDA-COMP'!B:J,4,FALSE),IF(LEFT(C413,4)="SDAI",VLOOKUP(VALUE(RIGHT(C413,3)),'ADM-COMP'!B:J,4,FALSE),IF(LEFT(C413,5)="IMPER",VLOOKUP(VALUE(RIGHT(C413,3)),'IMPER-COMP'!B:J,4,FALSE),""))))))))))))))))</f>
        <v>EXECUÇÃO DE PASSEIO CIMENTADO COM ACABAMENTO CAMURÇADO, EM ARGAMASSA TRAÇO 1:3 (CIMENTO E AREIA) COM 1,5 CM DE ESPESSURA, SOBRE LASTRO DE CONCRETO DE 8 CM, INCLUINDO PREPARO DA CAIXA.</v>
      </c>
      <c r="E413" s="338" t="str">
        <f>IF(B413="IOPES",VLOOKUP(C413,'LABOR-SERVIÇOS'!A:H,6,FALSE),IF(B413="SINAPI",VLOOKUP(C413,'SINAPI-SERVIÇOS'!A:D,3,FALSE),IF(LEFT(C413,3)="ARQ",VLOOKUP(VALUE(RIGHT(C413,3)),'ARQ-COMP'!B:J,5,FALSE),IF(LEFT(C413,3)="SCI",VLOOKUP(VALUE(RIGHT(C413,3)),'GAS-COMP'!#REF!,5,FALSE),IF(LEFT(C413,3)="SCE",VLOOKUP(VALUE(RIGHT(C413,3)),'SCE-COMP'!B:J,5,FALSE),IF(LEFT(C413,3)="EST",VLOOKUP(VALUE(RIGHT(C413,3)),'EST-COMP'!B:J,5,FALSE),IF(LEFT(C413,3)="HID",VLOOKUP(VALUE(RIGHT(C413,3)),'HID-COMP'!B:J,5,FALSE),IF(LEFT(C413,3)="INC",VLOOKUP(VALUE(RIGHT(C413,3)),'INC-COMP'!B:J,5,FALSE),IF(LEFT(C413,3)="ELE",VLOOKUP(VALUE(RIGHT(C413,3)),#REF!,5,FALSE),IF(LEFT(C413,3)="CAB",VLOOKUP(VALUE(RIGHT(C413,3)),#REF!,5,FALSE),IF(LEFT(C413,3)="SEG",VLOOKUP(VALUE(RIGHT(C413,3)),'SEG-COMP'!B:J,5,FALSE),IF(LEFT(C413,3)="CLI",VLOOKUP(VALUE(RIGHT(C413,3)),'CLI-COMP'!B:J,5,FALSE),IF(LEFT(C413,4)="IMPL",VLOOKUP(VALUE(RIGHT(C413,3)),'IMPL-COMP'!B:J,5,FALSE),IF(LEFT(C413,4)="SPDA",VLOOKUP(VALUE(RIGHT(C413,3)),'SPDA-COMP'!B:J,5,FALSE),IF(LEFT(C413,4)="SDAI",VLOOKUP(VALUE(RIGHT(C413,3)),'ADM-COMP'!B:J,5,FALSE),IF(LEFT(C413,5)="IMPER",VLOOKUP(VALUE(RIGHT(C413,3)),'IMPER-COMP'!B:J,5,FALSE),""))))))))))))))))</f>
        <v>M2</v>
      </c>
      <c r="F413" s="599">
        <f>ROUND(VLOOKUP(A413,'MEM-LEVANT'!A295:I2871,9,FALSE),2)</f>
        <v>209.2</v>
      </c>
      <c r="G413" s="339">
        <f>IF(B413="IOPES",VLOOKUP(C413,'LABOR-SERVIÇOS'!A:H,7,FALSE),IF(B413="SINAPI",VLOOKUP(C413,'SINAPI-SERVIÇOS'!A:H,8,FALSE),IF(LEFT(C413,3)="ARQ",VLOOKUP(VALUE(RIGHT(C413,3)),'ARQ-COMP'!B:J,9,FALSE),IF(LEFT(C413,3)="SCI",VLOOKUP(VALUE(RIGHT(C413,3)),'GAS-COMP'!#REF!,9,FALSE),IF(LEFT(C413,3)="SCE",VLOOKUP(VALUE(RIGHT(C413,3)),'SCE-COMP'!B:J,9,FALSE),IF(LEFT(C413,3)="EST",VLOOKUP(VALUE(RIGHT(C413,3)),'EST-COMP'!B:J,9,FALSE),IF(LEFT(C413,3)="HID",VLOOKUP(VALUE(RIGHT(C413,3)),'HID-COMP'!B:J,9,FALSE),IF(LEFT(C413,3)="INC",VLOOKUP(VALUE(RIGHT(C413,3)),'INC-COMP'!B:J,9,FALSE),IF(LEFT(C413,3)="ELE",VLOOKUP(VALUE(RIGHT(C413,3)),#REF!,9,FALSE),IF(LEFT(C413,3)="CAB",VLOOKUP(VALUE(RIGHT(C413,3)),#REF!,9,FALSE),IF(LEFT(C413,3)="SEG",VLOOKUP(VALUE(RIGHT(C413,3)),'SEG-COMP'!B:J,9,FALSE),IF(LEFT(C413,3)="CLI",VLOOKUP(VALUE(RIGHT(C413,3)),'CLI-COMP'!B:J,9,FALSE),IF(LEFT(C413,4)="IMPL",VLOOKUP(VALUE(RIGHT(C413,3)),'IMPL-COMP'!B:J,9,FALSE),IF(LEFT(C413,4)="SPDA",VLOOKUP(VALUE(RIGHT(C413,3)),'SPDA-COMP'!B:J,9,FALSE),IF(LEFT(C413,4)="SDAI",VLOOKUP(VALUE(RIGHT(C413,3)),'ADM-COMP'!B:J,9,FALSE),IF(LEFT(C413,5)="IMPER",VLOOKUP(VALUE(RIGHT(C413,3)),'IMPER-COMP'!B:J,9,FALSE),""))))))))))))))))</f>
        <v>162.47</v>
      </c>
      <c r="H413" s="339">
        <f>ROUND(F413*G413,2)</f>
        <v>33988.720000000001</v>
      </c>
      <c r="I413" s="374">
        <f>H413/$H$441</f>
        <v>1.9873065045124291E-3</v>
      </c>
      <c r="J413" s="314"/>
    </row>
    <row r="414" spans="1:10" ht="52.8">
      <c r="A414" s="613" t="s">
        <v>35472</v>
      </c>
      <c r="B414" s="337" t="s">
        <v>2879</v>
      </c>
      <c r="C414" s="540">
        <f>200253</f>
        <v>200253</v>
      </c>
      <c r="D414" s="539" t="str">
        <f>IF(B414="IOPES",VLOOKUP(C414,'LABOR-SERVIÇOS'!A:H,5,FALSE),IF(B414="SINAPI",VLOOKUP(C414,'SINAPI-SERVIÇOS'!A:D,2,FALSE),IF(LEFT(C414,3)="ARQ",VLOOKUP(VALUE(RIGHT(C414,3)),'ARQ-COMP'!B:J,4,FALSE),IF(LEFT(C414,3)="SCI",VLOOKUP(VALUE(RIGHT(C414,3)),'GAS-COMP'!#REF!,4,FALSE),IF(LEFT(C414,3)="SCE",VLOOKUP(VALUE(RIGHT(C414,3)),'SCE-COMP'!B:J,4,FALSE),IF(LEFT(C414,3)="EST",VLOOKUP(VALUE(RIGHT(C414,3)),'EST-COMP'!B:J,4,FALSE),IF(LEFT(C414,3)="HID",VLOOKUP(VALUE(RIGHT(C414,3)),'HID-COMP'!B:J,4,FALSE),IF(LEFT(C414,3)="INC",VLOOKUP(VALUE(RIGHT(C414,3)),'INC-COMP'!B:J,4,FALSE),IF(LEFT(C414,3)="ELE",VLOOKUP(VALUE(RIGHT(C414,3)),#REF!,4,FALSE),IF(LEFT(C414,3)="CAB",VLOOKUP(VALUE(RIGHT(C414,3)),#REF!,4,FALSE),IF(LEFT(C414,3)="SEG",VLOOKUP(VALUE(RIGHT(C414,3)),'SEG-COMP'!B:J,4,FALSE),IF(LEFT(C414,3)="CLI",VLOOKUP(VALUE(RIGHT(C414,3)),'CLI-COMP'!B:J,4,FALSE),IF(LEFT(C414,4)="IMPL",VLOOKUP(VALUE(RIGHT(C414,3)),'IMPL-COMP'!B:J,4,FALSE),IF(LEFT(C414,4)="SPDA",VLOOKUP(VALUE(RIGHT(C414,3)),'SPDA-COMP'!B:J,4,FALSE),IF(LEFT(C414,4)="SDAI",VLOOKUP(VALUE(RIGHT(C414,3)),'ADM-COMP'!B:J,4,FALSE),IF(LEFT(C414,5)="IMPER",VLOOKUP(VALUE(RIGHT(C414,3)),'IMPER-COMP'!B:J,4,FALSE),""))))))))))))))))</f>
        <v>FORNECIMENTO E ASSENTAMENTO DE LADRILHO HIDRÁULICO PASTILHADO (TÁTIL DE ALERTA), VERMELHO, DIM. 20X20 CM, ESP. 1.5CM, ASSENTADO COM PASTA DE CIMENTO COLANTE AC-I, EXCLUSIVE REGULARIZAÇÃO E LASTRO</v>
      </c>
      <c r="E414" s="338" t="str">
        <f>IF(B414="IOPES",VLOOKUP(C414,'LABOR-SERVIÇOS'!A:H,6,FALSE),IF(B414="SINAPI",VLOOKUP(C414,'SINAPI-SERVIÇOS'!A:D,3,FALSE),IF(LEFT(C414,3)="ARQ",VLOOKUP(VALUE(RIGHT(C414,3)),'ARQ-COMP'!B:J,5,FALSE),IF(LEFT(C414,3)="SCI",VLOOKUP(VALUE(RIGHT(C414,3)),'GAS-COMP'!#REF!,5,FALSE),IF(LEFT(C414,3)="SCE",VLOOKUP(VALUE(RIGHT(C414,3)),'SCE-COMP'!B:J,5,FALSE),IF(LEFT(C414,3)="EST",VLOOKUP(VALUE(RIGHT(C414,3)),'EST-COMP'!B:J,5,FALSE),IF(LEFT(C414,3)="HID",VLOOKUP(VALUE(RIGHT(C414,3)),'HID-COMP'!B:J,5,FALSE),IF(LEFT(C414,3)="INC",VLOOKUP(VALUE(RIGHT(C414,3)),'INC-COMP'!B:J,5,FALSE),IF(LEFT(C414,3)="ELE",VLOOKUP(VALUE(RIGHT(C414,3)),#REF!,5,FALSE),IF(LEFT(C414,3)="CAB",VLOOKUP(VALUE(RIGHT(C414,3)),#REF!,5,FALSE),IF(LEFT(C414,3)="SEG",VLOOKUP(VALUE(RIGHT(C414,3)),'SEG-COMP'!B:J,5,FALSE),IF(LEFT(C414,3)="CLI",VLOOKUP(VALUE(RIGHT(C414,3)),'CLI-COMP'!B:J,5,FALSE),IF(LEFT(C414,4)="IMPL",VLOOKUP(VALUE(RIGHT(C414,3)),'IMPL-COMP'!B:J,5,FALSE),IF(LEFT(C414,4)="SPDA",VLOOKUP(VALUE(RIGHT(C414,3)),'SPDA-COMP'!B:J,5,FALSE),IF(LEFT(C414,4)="SDAI",VLOOKUP(VALUE(RIGHT(C414,3)),'ADM-COMP'!B:J,5,FALSE),IF(LEFT(C414,5)="IMPER",VLOOKUP(VALUE(RIGHT(C414,3)),'IMPER-COMP'!B:J,5,FALSE),""))))))))))))))))</f>
        <v>M2</v>
      </c>
      <c r="F414" s="599">
        <f>ROUND(VLOOKUP(A414,'MEM-LEVANT'!A295:I2872,9,FALSE),2)</f>
        <v>83.68</v>
      </c>
      <c r="G414" s="339">
        <f>IF(B414="IOPES",VLOOKUP(C414,'LABOR-SERVIÇOS'!A:H,7,FALSE),IF(B414="SINAPI",VLOOKUP(C414,'SINAPI-SERVIÇOS'!A:H,8,FALSE),IF(LEFT(C414,3)="ARQ",VLOOKUP(VALUE(RIGHT(C414,3)),'ARQ-COMP'!B:J,9,FALSE),IF(LEFT(C414,3)="SCI",VLOOKUP(VALUE(RIGHT(C414,3)),'GAS-COMP'!#REF!,9,FALSE),IF(LEFT(C414,3)="SCE",VLOOKUP(VALUE(RIGHT(C414,3)),'SCE-COMP'!B:J,9,FALSE),IF(LEFT(C414,3)="EST",VLOOKUP(VALUE(RIGHT(C414,3)),'EST-COMP'!B:J,9,FALSE),IF(LEFT(C414,3)="HID",VLOOKUP(VALUE(RIGHT(C414,3)),'HID-COMP'!B:J,9,FALSE),IF(LEFT(C414,3)="INC",VLOOKUP(VALUE(RIGHT(C414,3)),'INC-COMP'!B:J,9,FALSE),IF(LEFT(C414,3)="ELE",VLOOKUP(VALUE(RIGHT(C414,3)),#REF!,9,FALSE),IF(LEFT(C414,3)="CAB",VLOOKUP(VALUE(RIGHT(C414,3)),#REF!,9,FALSE),IF(LEFT(C414,3)="SEG",VLOOKUP(VALUE(RIGHT(C414,3)),'SEG-COMP'!B:J,9,FALSE),IF(LEFT(C414,3)="CLI",VLOOKUP(VALUE(RIGHT(C414,3)),'CLI-COMP'!B:J,9,FALSE),IF(LEFT(C414,4)="IMPL",VLOOKUP(VALUE(RIGHT(C414,3)),'IMPL-COMP'!B:J,9,FALSE),IF(LEFT(C414,4)="SPDA",VLOOKUP(VALUE(RIGHT(C414,3)),'SPDA-COMP'!B:J,9,FALSE),IF(LEFT(C414,4)="SDAI",VLOOKUP(VALUE(RIGHT(C414,3)),'ADM-COMP'!B:J,9,FALSE),IF(LEFT(C414,5)="IMPER",VLOOKUP(VALUE(RIGHT(C414,3)),'IMPER-COMP'!B:J,9,FALSE),""))))))))))))))))</f>
        <v>86.41</v>
      </c>
      <c r="H414" s="339">
        <f>ROUND(F414*G414,2)</f>
        <v>7230.79</v>
      </c>
      <c r="I414" s="374">
        <f>H414/$H$441</f>
        <v>4.2278132273776197E-4</v>
      </c>
      <c r="J414" s="314"/>
    </row>
    <row r="415" spans="1:10" ht="52.8">
      <c r="A415" s="613" t="s">
        <v>35473</v>
      </c>
      <c r="B415" s="337" t="s">
        <v>2879</v>
      </c>
      <c r="C415" s="540">
        <f>200254</f>
        <v>200254</v>
      </c>
      <c r="D415" s="539" t="str">
        <f>IF(B415="IOPES",VLOOKUP(C415,'LABOR-SERVIÇOS'!A:H,5,FALSE),IF(B415="SINAPI",VLOOKUP(C415,'SINAPI-SERVIÇOS'!A:D,2,FALSE),IF(LEFT(C415,3)="ARQ",VLOOKUP(VALUE(RIGHT(C415,3)),'ARQ-COMP'!B:J,4,FALSE),IF(LEFT(C415,3)="SCI",VLOOKUP(VALUE(RIGHT(C415,3)),'GAS-COMP'!#REF!,4,FALSE),IF(LEFT(C415,3)="SCE",VLOOKUP(VALUE(RIGHT(C415,3)),'SCE-COMP'!B:J,4,FALSE),IF(LEFT(C415,3)="EST",VLOOKUP(VALUE(RIGHT(C415,3)),'EST-COMP'!B:J,4,FALSE),IF(LEFT(C415,3)="HID",VLOOKUP(VALUE(RIGHT(C415,3)),'HID-COMP'!B:J,4,FALSE),IF(LEFT(C415,3)="INC",VLOOKUP(VALUE(RIGHT(C415,3)),'INC-COMP'!B:J,4,FALSE),IF(LEFT(C415,3)="ELE",VLOOKUP(VALUE(RIGHT(C415,3)),#REF!,4,FALSE),IF(LEFT(C415,3)="CAB",VLOOKUP(VALUE(RIGHT(C415,3)),#REF!,4,FALSE),IF(LEFT(C415,3)="SEG",VLOOKUP(VALUE(RIGHT(C415,3)),'SEG-COMP'!B:J,4,FALSE),IF(LEFT(C415,3)="CLI",VLOOKUP(VALUE(RIGHT(C415,3)),'CLI-COMP'!B:J,4,FALSE),IF(LEFT(C415,4)="IMPL",VLOOKUP(VALUE(RIGHT(C415,3)),'IMPL-COMP'!B:J,4,FALSE),IF(LEFT(C415,4)="SPDA",VLOOKUP(VALUE(RIGHT(C415,3)),'SPDA-COMP'!B:J,4,FALSE),IF(LEFT(C415,4)="SDAI",VLOOKUP(VALUE(RIGHT(C415,3)),'ADM-COMP'!B:J,4,FALSE),IF(LEFT(C415,5)="IMPER",VLOOKUP(VALUE(RIGHT(C415,3)),'IMPER-COMP'!B:J,4,FALSE),""))))))))))))))))</f>
        <v>FORNECIMENTO E ASSENTAMENTO DE LADRILHO HIDRÁULICO RANHURADO (TÁTIL DIRECIONAL), VERMELHO, DIM. 20X20 CM, ESP. 1.5CM, ASSENTADO COM PASTA DE CIMENTO COLANTE AC-I, EXCLUSIVE REGULARIZAÇÃO E LASTRO</v>
      </c>
      <c r="E415" s="338" t="str">
        <f>IF(B415="IOPES",VLOOKUP(C415,'LABOR-SERVIÇOS'!A:H,6,FALSE),IF(B415="SINAPI",VLOOKUP(C415,'SINAPI-SERVIÇOS'!A:D,3,FALSE),IF(LEFT(C415,3)="ARQ",VLOOKUP(VALUE(RIGHT(C415,3)),'ARQ-COMP'!B:J,5,FALSE),IF(LEFT(C415,3)="SCI",VLOOKUP(VALUE(RIGHT(C415,3)),'GAS-COMP'!#REF!,5,FALSE),IF(LEFT(C415,3)="SCE",VLOOKUP(VALUE(RIGHT(C415,3)),'SCE-COMP'!B:J,5,FALSE),IF(LEFT(C415,3)="EST",VLOOKUP(VALUE(RIGHT(C415,3)),'EST-COMP'!B:J,5,FALSE),IF(LEFT(C415,3)="HID",VLOOKUP(VALUE(RIGHT(C415,3)),'HID-COMP'!B:J,5,FALSE),IF(LEFT(C415,3)="INC",VLOOKUP(VALUE(RIGHT(C415,3)),'INC-COMP'!B:J,5,FALSE),IF(LEFT(C415,3)="ELE",VLOOKUP(VALUE(RIGHT(C415,3)),#REF!,5,FALSE),IF(LEFT(C415,3)="CAB",VLOOKUP(VALUE(RIGHT(C415,3)),#REF!,5,FALSE),IF(LEFT(C415,3)="SEG",VLOOKUP(VALUE(RIGHT(C415,3)),'SEG-COMP'!B:J,5,FALSE),IF(LEFT(C415,3)="CLI",VLOOKUP(VALUE(RIGHT(C415,3)),'CLI-COMP'!B:J,5,FALSE),IF(LEFT(C415,4)="IMPL",VLOOKUP(VALUE(RIGHT(C415,3)),'IMPL-COMP'!B:J,5,FALSE),IF(LEFT(C415,4)="SPDA",VLOOKUP(VALUE(RIGHT(C415,3)),'SPDA-COMP'!B:J,5,FALSE),IF(LEFT(C415,4)="SDAI",VLOOKUP(VALUE(RIGHT(C415,3)),'ADM-COMP'!B:J,5,FALSE),IF(LEFT(C415,5)="IMPER",VLOOKUP(VALUE(RIGHT(C415,3)),'IMPER-COMP'!B:J,5,FALSE),""))))))))))))))))</f>
        <v>M2</v>
      </c>
      <c r="F415" s="599">
        <f>ROUND(VLOOKUP(A415,'MEM-LEVANT'!A295:I2873,9,FALSE),2)</f>
        <v>41.84</v>
      </c>
      <c r="G415" s="339">
        <f>IF(B415="IOPES",VLOOKUP(C415,'LABOR-SERVIÇOS'!A:H,7,FALSE),IF(B415="SINAPI",VLOOKUP(C415,'SINAPI-SERVIÇOS'!A:H,8,FALSE),IF(LEFT(C415,3)="ARQ",VLOOKUP(VALUE(RIGHT(C415,3)),'ARQ-COMP'!B:J,9,FALSE),IF(LEFT(C415,3)="SCI",VLOOKUP(VALUE(RIGHT(C415,3)),'GAS-COMP'!#REF!,9,FALSE),IF(LEFT(C415,3)="SCE",VLOOKUP(VALUE(RIGHT(C415,3)),'SCE-COMP'!B:J,9,FALSE),IF(LEFT(C415,3)="EST",VLOOKUP(VALUE(RIGHT(C415,3)),'EST-COMP'!B:J,9,FALSE),IF(LEFT(C415,3)="HID",VLOOKUP(VALUE(RIGHT(C415,3)),'HID-COMP'!B:J,9,FALSE),IF(LEFT(C415,3)="INC",VLOOKUP(VALUE(RIGHT(C415,3)),'INC-COMP'!B:J,9,FALSE),IF(LEFT(C415,3)="ELE",VLOOKUP(VALUE(RIGHT(C415,3)),#REF!,9,FALSE),IF(LEFT(C415,3)="CAB",VLOOKUP(VALUE(RIGHT(C415,3)),#REF!,9,FALSE),IF(LEFT(C415,3)="SEG",VLOOKUP(VALUE(RIGHT(C415,3)),'SEG-COMP'!B:J,9,FALSE),IF(LEFT(C415,3)="CLI",VLOOKUP(VALUE(RIGHT(C415,3)),'CLI-COMP'!B:J,9,FALSE),IF(LEFT(C415,4)="IMPL",VLOOKUP(VALUE(RIGHT(C415,3)),'IMPL-COMP'!B:J,9,FALSE),IF(LEFT(C415,4)="SPDA",VLOOKUP(VALUE(RIGHT(C415,3)),'SPDA-COMP'!B:J,9,FALSE),IF(LEFT(C415,4)="SDAI",VLOOKUP(VALUE(RIGHT(C415,3)),'ADM-COMP'!B:J,9,FALSE),IF(LEFT(C415,5)="IMPER",VLOOKUP(VALUE(RIGHT(C415,3)),'IMPER-COMP'!B:J,9,FALSE),""))))))))))))))))</f>
        <v>83.89</v>
      </c>
      <c r="H415" s="339">
        <f>ROUND(F415*G415,2)</f>
        <v>3509.96</v>
      </c>
      <c r="I415" s="374">
        <f>H415/$H$441</f>
        <v>2.0522592020465744E-4</v>
      </c>
      <c r="J415" s="314"/>
    </row>
    <row r="416" spans="1:10">
      <c r="A416" s="553" t="s">
        <v>35474</v>
      </c>
      <c r="B416" s="554"/>
      <c r="C416" s="555"/>
      <c r="D416" s="556" t="s">
        <v>58</v>
      </c>
      <c r="E416" s="557"/>
      <c r="F416" s="598"/>
      <c r="G416" s="558"/>
      <c r="H416" s="559"/>
      <c r="I416" s="560"/>
      <c r="J416" s="314"/>
    </row>
    <row r="417" spans="1:10" ht="26.4">
      <c r="A417" s="613" t="s">
        <v>35475</v>
      </c>
      <c r="B417" s="337" t="s">
        <v>2879</v>
      </c>
      <c r="C417" s="540">
        <f>200326</f>
        <v>200326</v>
      </c>
      <c r="D417" s="539" t="str">
        <f>IF(B417="IOPES",VLOOKUP(C417,'LABOR-SERVIÇOS'!A:H,5,FALSE),IF(B417="SINAPI",VLOOKUP(C417,'SINAPI-SERVIÇOS'!A:D,2,FALSE),IF(LEFT(C417,3)="ARQ",VLOOKUP(VALUE(RIGHT(C417,3)),'ARQ-COMP'!B:J,4,FALSE),IF(LEFT(C417,3)="SCI",VLOOKUP(VALUE(RIGHT(C417,3)),'GAS-COMP'!#REF!,4,FALSE),IF(LEFT(C417,3)="SCE",VLOOKUP(VALUE(RIGHT(C417,3)),'SCE-COMP'!B:J,4,FALSE),IF(LEFT(C417,3)="EST",VLOOKUP(VALUE(RIGHT(C417,3)),'EST-COMP'!B:J,4,FALSE),IF(LEFT(C417,3)="HID",VLOOKUP(VALUE(RIGHT(C417,3)),'HID-COMP'!B:J,4,FALSE),IF(LEFT(C417,3)="INC",VLOOKUP(VALUE(RIGHT(C417,3)),'INC-COMP'!B:J,4,FALSE),IF(LEFT(C417,3)="ELE",VLOOKUP(VALUE(RIGHT(C417,3)),#REF!,4,FALSE),IF(LEFT(C417,3)="CAB",VLOOKUP(VALUE(RIGHT(C417,3)),#REF!,4,FALSE),IF(LEFT(C417,3)="SEG",VLOOKUP(VALUE(RIGHT(C417,3)),'SEG-COMP'!B:J,4,FALSE),IF(LEFT(C417,3)="CLI",VLOOKUP(VALUE(RIGHT(C417,3)),'CLI-COMP'!B:J,4,FALSE),IF(LEFT(C417,4)="IMPL",VLOOKUP(VALUE(RIGHT(C417,3)),'IMPL-COMP'!B:J,4,FALSE),IF(LEFT(C417,4)="SPDA",VLOOKUP(VALUE(RIGHT(C417,3)),'SPDA-COMP'!B:J,4,FALSE),IF(LEFT(C417,4)="SDAI",VLOOKUP(VALUE(RIGHT(C417,3)),'ADM-COMP'!B:J,4,FALSE),IF(LEFT(C417,5)="IMPER",VLOOKUP(VALUE(RIGHT(C417,3)),'IMPER-COMP'!B:J,4,FALSE),""))))))))))))))))</f>
        <v>FORNECIMENTO E PLANTIO DE GRAMA EM PLACAS TIPO ESMERALDA, INCLUSIVE FORNECIMENTO DE TERRA VEGETAL</v>
      </c>
      <c r="E417" s="338" t="str">
        <f>IF(B417="IOPES",VLOOKUP(C417,'LABOR-SERVIÇOS'!A:H,6,FALSE),IF(B417="SINAPI",VLOOKUP(C417,'SINAPI-SERVIÇOS'!A:D,3,FALSE),IF(LEFT(C417,3)="ARQ",VLOOKUP(VALUE(RIGHT(C417,3)),'ARQ-COMP'!B:J,5,FALSE),IF(LEFT(C417,3)="SCI",VLOOKUP(VALUE(RIGHT(C417,3)),'GAS-COMP'!#REF!,5,FALSE),IF(LEFT(C417,3)="SCE",VLOOKUP(VALUE(RIGHT(C417,3)),'SCE-COMP'!B:J,5,FALSE),IF(LEFT(C417,3)="EST",VLOOKUP(VALUE(RIGHT(C417,3)),'EST-COMP'!B:J,5,FALSE),IF(LEFT(C417,3)="HID",VLOOKUP(VALUE(RIGHT(C417,3)),'HID-COMP'!B:J,5,FALSE),IF(LEFT(C417,3)="INC",VLOOKUP(VALUE(RIGHT(C417,3)),'INC-COMP'!B:J,5,FALSE),IF(LEFT(C417,3)="ELE",VLOOKUP(VALUE(RIGHT(C417,3)),#REF!,5,FALSE),IF(LEFT(C417,3)="CAB",VLOOKUP(VALUE(RIGHT(C417,3)),#REF!,5,FALSE),IF(LEFT(C417,3)="SEG",VLOOKUP(VALUE(RIGHT(C417,3)),'SEG-COMP'!B:J,5,FALSE),IF(LEFT(C417,3)="CLI",VLOOKUP(VALUE(RIGHT(C417,3)),'CLI-COMP'!B:J,5,FALSE),IF(LEFT(C417,4)="IMPL",VLOOKUP(VALUE(RIGHT(C417,3)),'IMPL-COMP'!B:J,5,FALSE),IF(LEFT(C417,4)="SPDA",VLOOKUP(VALUE(RIGHT(C417,3)),'SPDA-COMP'!B:J,5,FALSE),IF(LEFT(C417,4)="SDAI",VLOOKUP(VALUE(RIGHT(C417,3)),'ADM-COMP'!B:J,5,FALSE),IF(LEFT(C417,5)="IMPER",VLOOKUP(VALUE(RIGHT(C417,3)),'IMPER-COMP'!B:J,5,FALSE),""))))))))))))))))</f>
        <v>M2</v>
      </c>
      <c r="F417" s="599">
        <f>ROUND(VLOOKUP(A417,'MEM-LEVANT'!A295:I2877,9,FALSE),2)</f>
        <v>2500</v>
      </c>
      <c r="G417" s="339">
        <f>IF(B417="IOPES",VLOOKUP(C417,'LABOR-SERVIÇOS'!A:H,7,FALSE),IF(B417="SINAPI",VLOOKUP(C417,'SINAPI-SERVIÇOS'!A:H,8,FALSE),IF(LEFT(C417,3)="ARQ",VLOOKUP(VALUE(RIGHT(C417,3)),'ARQ-COMP'!B:J,9,FALSE),IF(LEFT(C417,3)="SCI",VLOOKUP(VALUE(RIGHT(C417,3)),'GAS-COMP'!#REF!,9,FALSE),IF(LEFT(C417,3)="SCE",VLOOKUP(VALUE(RIGHT(C417,3)),'SCE-COMP'!B:J,9,FALSE),IF(LEFT(C417,3)="EST",VLOOKUP(VALUE(RIGHT(C417,3)),'EST-COMP'!B:J,9,FALSE),IF(LEFT(C417,3)="HID",VLOOKUP(VALUE(RIGHT(C417,3)),'HID-COMP'!B:J,9,FALSE),IF(LEFT(C417,3)="INC",VLOOKUP(VALUE(RIGHT(C417,3)),'INC-COMP'!B:J,9,FALSE),IF(LEFT(C417,3)="ELE",VLOOKUP(VALUE(RIGHT(C417,3)),#REF!,9,FALSE),IF(LEFT(C417,3)="CAB",VLOOKUP(VALUE(RIGHT(C417,3)),#REF!,9,FALSE),IF(LEFT(C417,3)="SEG",VLOOKUP(VALUE(RIGHT(C417,3)),'SEG-COMP'!B:J,9,FALSE),IF(LEFT(C417,3)="CLI",VLOOKUP(VALUE(RIGHT(C417,3)),'CLI-COMP'!B:J,9,FALSE),IF(LEFT(C417,4)="IMPL",VLOOKUP(VALUE(RIGHT(C417,3)),'IMPL-COMP'!B:J,9,FALSE),IF(LEFT(C417,4)="SPDA",VLOOKUP(VALUE(RIGHT(C417,3)),'SPDA-COMP'!B:J,9,FALSE),IF(LEFT(C417,4)="SDAI",VLOOKUP(VALUE(RIGHT(C417,3)),'ADM-COMP'!B:J,9,FALSE),IF(LEFT(C417,5)="IMPER",VLOOKUP(VALUE(RIGHT(C417,3)),'IMPER-COMP'!B:J,9,FALSE),""))))))))))))))))</f>
        <v>31.97</v>
      </c>
      <c r="H417" s="339">
        <f>ROUND(F417*G417,2)</f>
        <v>79925</v>
      </c>
      <c r="I417" s="374">
        <f>H417/$H$441</f>
        <v>4.673181937217873E-3</v>
      </c>
      <c r="J417" s="314"/>
    </row>
    <row r="418" spans="1:10">
      <c r="A418" s="553" t="s">
        <v>35476</v>
      </c>
      <c r="B418" s="554"/>
      <c r="C418" s="555"/>
      <c r="D418" s="556" t="s">
        <v>1638</v>
      </c>
      <c r="E418" s="557"/>
      <c r="F418" s="598"/>
      <c r="G418" s="558"/>
      <c r="H418" s="559"/>
      <c r="I418" s="560"/>
      <c r="J418" s="314"/>
    </row>
    <row r="419" spans="1:10">
      <c r="A419" s="613" t="s">
        <v>35477</v>
      </c>
      <c r="B419" s="337" t="s">
        <v>2879</v>
      </c>
      <c r="C419" s="540">
        <f>200401</f>
        <v>200401</v>
      </c>
      <c r="D419" s="539" t="str">
        <f>IF(B419="IOPES",VLOOKUP(C419,'LABOR-SERVIÇOS'!A:H,5,FALSE),IF(B419="SINAPI",VLOOKUP(C419,'SINAPI-SERVIÇOS'!A:D,2,FALSE),IF(LEFT(C419,3)="ARQ",VLOOKUP(VALUE(RIGHT(C419,3)),'ARQ-COMP'!B:J,4,FALSE),IF(LEFT(C419,3)="SCI",VLOOKUP(VALUE(RIGHT(C419,3)),'GAS-COMP'!#REF!,4,FALSE),IF(LEFT(C419,3)="SCE",VLOOKUP(VALUE(RIGHT(C419,3)),'SCE-COMP'!B:J,4,FALSE),IF(LEFT(C419,3)="EST",VLOOKUP(VALUE(RIGHT(C419,3)),'EST-COMP'!B:J,4,FALSE),IF(LEFT(C419,3)="HID",VLOOKUP(VALUE(RIGHT(C419,3)),'HID-COMP'!B:J,4,FALSE),IF(LEFT(C419,3)="INC",VLOOKUP(VALUE(RIGHT(C419,3)),'INC-COMP'!B:J,4,FALSE),IF(LEFT(C419,3)="ELE",VLOOKUP(VALUE(RIGHT(C419,3)),#REF!,4,FALSE),IF(LEFT(C419,3)="CAB",VLOOKUP(VALUE(RIGHT(C419,3)),#REF!,4,FALSE),IF(LEFT(C419,3)="SEG",VLOOKUP(VALUE(RIGHT(C419,3)),'SEG-COMP'!B:J,4,FALSE),IF(LEFT(C419,3)="CLI",VLOOKUP(VALUE(RIGHT(C419,3)),'CLI-COMP'!B:J,4,FALSE),IF(LEFT(C419,4)="IMPL",VLOOKUP(VALUE(RIGHT(C419,3)),'IMPL-COMP'!B:J,4,FALSE),IF(LEFT(C419,4)="SPDA",VLOOKUP(VALUE(RIGHT(C419,3)),'SPDA-COMP'!B:J,4,FALSE),IF(LEFT(C419,4)="SDAI",VLOOKUP(VALUE(RIGHT(C419,3)),'ADM-COMP'!B:J,4,FALSE),IF(LEFT(C419,5)="IMPER",VLOOKUP(VALUE(RIGHT(C419,3)),'IMPER-COMP'!B:J,4,FALSE),""))))))))))))))))</f>
        <v>LIMPEZA GERAL DA OBRA (EDIFICAÇÃO)</v>
      </c>
      <c r="E419" s="338" t="str">
        <f>IF(B419="IOPES",VLOOKUP(C419,'LABOR-SERVIÇOS'!A:H,6,FALSE),IF(B419="SINAPI",VLOOKUP(C419,'SINAPI-SERVIÇOS'!A:D,3,FALSE),IF(LEFT(C419,3)="ARQ",VLOOKUP(VALUE(RIGHT(C419,3)),'ARQ-COMP'!B:J,5,FALSE),IF(LEFT(C419,3)="SCI",VLOOKUP(VALUE(RIGHT(C419,3)),'GAS-COMP'!#REF!,5,FALSE),IF(LEFT(C419,3)="SCE",VLOOKUP(VALUE(RIGHT(C419,3)),'SCE-COMP'!B:J,5,FALSE),IF(LEFT(C419,3)="EST",VLOOKUP(VALUE(RIGHT(C419,3)),'EST-COMP'!B:J,5,FALSE),IF(LEFT(C419,3)="HID",VLOOKUP(VALUE(RIGHT(C419,3)),'HID-COMP'!B:J,5,FALSE),IF(LEFT(C419,3)="INC",VLOOKUP(VALUE(RIGHT(C419,3)),'INC-COMP'!B:J,5,FALSE),IF(LEFT(C419,3)="ELE",VLOOKUP(VALUE(RIGHT(C419,3)),#REF!,5,FALSE),IF(LEFT(C419,3)="CAB",VLOOKUP(VALUE(RIGHT(C419,3)),#REF!,5,FALSE),IF(LEFT(C419,3)="SEG",VLOOKUP(VALUE(RIGHT(C419,3)),'SEG-COMP'!B:J,5,FALSE),IF(LEFT(C419,3)="CLI",VLOOKUP(VALUE(RIGHT(C419,3)),'CLI-COMP'!B:J,5,FALSE),IF(LEFT(C419,4)="IMPL",VLOOKUP(VALUE(RIGHT(C419,3)),'IMPL-COMP'!B:J,5,FALSE),IF(LEFT(C419,4)="SPDA",VLOOKUP(VALUE(RIGHT(C419,3)),'SPDA-COMP'!B:J,5,FALSE),IF(LEFT(C419,4)="SDAI",VLOOKUP(VALUE(RIGHT(C419,3)),'ADM-COMP'!B:J,5,FALSE),IF(LEFT(C419,5)="IMPER",VLOOKUP(VALUE(RIGHT(C419,3)),'IMPER-COMP'!B:J,5,FALSE),""))))))))))))))))</f>
        <v>M2</v>
      </c>
      <c r="F419" s="599">
        <f>ROUND(VLOOKUP(A419,'MEM-LEVANT'!A295:I2879,9,FALSE),2)</f>
        <v>2014.11</v>
      </c>
      <c r="G419" s="339">
        <f>IF(B419="IOPES",VLOOKUP(C419,'LABOR-SERVIÇOS'!A:H,7,FALSE),IF(B419="SINAPI",VLOOKUP(C419,'SINAPI-SERVIÇOS'!A:H,8,FALSE),IF(LEFT(C419,3)="ARQ",VLOOKUP(VALUE(RIGHT(C419,3)),'ARQ-COMP'!B:J,9,FALSE),IF(LEFT(C419,3)="SCI",VLOOKUP(VALUE(RIGHT(C419,3)),'GAS-COMP'!#REF!,9,FALSE),IF(LEFT(C419,3)="SCE",VLOOKUP(VALUE(RIGHT(C419,3)),'SCE-COMP'!B:J,9,FALSE),IF(LEFT(C419,3)="EST",VLOOKUP(VALUE(RIGHT(C419,3)),'EST-COMP'!B:J,9,FALSE),IF(LEFT(C419,3)="HID",VLOOKUP(VALUE(RIGHT(C419,3)),'HID-COMP'!B:J,9,FALSE),IF(LEFT(C419,3)="INC",VLOOKUP(VALUE(RIGHT(C419,3)),'INC-COMP'!B:J,9,FALSE),IF(LEFT(C419,3)="ELE",VLOOKUP(VALUE(RIGHT(C419,3)),#REF!,9,FALSE),IF(LEFT(C419,3)="CAB",VLOOKUP(VALUE(RIGHT(C419,3)),#REF!,9,FALSE),IF(LEFT(C419,3)="SEG",VLOOKUP(VALUE(RIGHT(C419,3)),'SEG-COMP'!B:J,9,FALSE),IF(LEFT(C419,3)="CLI",VLOOKUP(VALUE(RIGHT(C419,3)),'CLI-COMP'!B:J,9,FALSE),IF(LEFT(C419,4)="IMPL",VLOOKUP(VALUE(RIGHT(C419,3)),'IMPL-COMP'!B:J,9,FALSE),IF(LEFT(C419,4)="SPDA",VLOOKUP(VALUE(RIGHT(C419,3)),'SPDA-COMP'!B:J,9,FALSE),IF(LEFT(C419,4)="SDAI",VLOOKUP(VALUE(RIGHT(C419,3)),'ADM-COMP'!B:J,9,FALSE),IF(LEFT(C419,5)="IMPER",VLOOKUP(VALUE(RIGHT(C419,3)),'IMPER-COMP'!B:J,9,FALSE),""))))))))))))))))</f>
        <v>9.89</v>
      </c>
      <c r="H419" s="339">
        <f>ROUND(F419*G419,2)</f>
        <v>19919.55</v>
      </c>
      <c r="I419" s="374">
        <f>H419/$H$441</f>
        <v>1.164687910635074E-3</v>
      </c>
      <c r="J419" s="314"/>
    </row>
    <row r="420" spans="1:10">
      <c r="A420" s="613" t="s">
        <v>35478</v>
      </c>
      <c r="B420" s="337" t="s">
        <v>2879</v>
      </c>
      <c r="C420" s="540">
        <f>200402</f>
        <v>200402</v>
      </c>
      <c r="D420" s="539" t="str">
        <f>IF(B420="IOPES",VLOOKUP(C420,'LABOR-SERVIÇOS'!A:H,5,FALSE),IF(B420="SINAPI",VLOOKUP(C420,'SINAPI-SERVIÇOS'!A:D,2,FALSE),IF(LEFT(C420,3)="ARQ",VLOOKUP(VALUE(RIGHT(C420,3)),'ARQ-COMP'!B:J,4,FALSE),IF(LEFT(C420,3)="SCI",VLOOKUP(VALUE(RIGHT(C420,3)),'GAS-COMP'!#REF!,4,FALSE),IF(LEFT(C420,3)="SCE",VLOOKUP(VALUE(RIGHT(C420,3)),'SCE-COMP'!B:J,4,FALSE),IF(LEFT(C420,3)="EST",VLOOKUP(VALUE(RIGHT(C420,3)),'EST-COMP'!B:J,4,FALSE),IF(LEFT(C420,3)="HID",VLOOKUP(VALUE(RIGHT(C420,3)),'HID-COMP'!B:J,4,FALSE),IF(LEFT(C420,3)="INC",VLOOKUP(VALUE(RIGHT(C420,3)),'INC-COMP'!B:J,4,FALSE),IF(LEFT(C420,3)="ELE",VLOOKUP(VALUE(RIGHT(C420,3)),#REF!,4,FALSE),IF(LEFT(C420,3)="CAB",VLOOKUP(VALUE(RIGHT(C420,3)),#REF!,4,FALSE),IF(LEFT(C420,3)="SEG",VLOOKUP(VALUE(RIGHT(C420,3)),'SEG-COMP'!B:J,4,FALSE),IF(LEFT(C420,3)="CLI",VLOOKUP(VALUE(RIGHT(C420,3)),'CLI-COMP'!B:J,4,FALSE),IF(LEFT(C420,4)="IMPL",VLOOKUP(VALUE(RIGHT(C420,3)),'IMPL-COMP'!B:J,4,FALSE),IF(LEFT(C420,4)="SPDA",VLOOKUP(VALUE(RIGHT(C420,3)),'SPDA-COMP'!B:J,4,FALSE),IF(LEFT(C420,4)="SDAI",VLOOKUP(VALUE(RIGHT(C420,3)),'ADM-COMP'!B:J,4,FALSE),IF(LEFT(C420,5)="IMPER",VLOOKUP(VALUE(RIGHT(C420,3)),'IMPER-COMP'!B:J,4,FALSE),""))))))))))))))))</f>
        <v>LIMPEZA GERAL DE OBRAS (QUADRAS, PRAÇAS E JARDINS)</v>
      </c>
      <c r="E420" s="338" t="str">
        <f>IF(B420="IOPES",VLOOKUP(C420,'LABOR-SERVIÇOS'!A:H,6,FALSE),IF(B420="SINAPI",VLOOKUP(C420,'SINAPI-SERVIÇOS'!A:D,3,FALSE),IF(LEFT(C420,3)="ARQ",VLOOKUP(VALUE(RIGHT(C420,3)),'ARQ-COMP'!B:J,5,FALSE),IF(LEFT(C420,3)="SCI",VLOOKUP(VALUE(RIGHT(C420,3)),'GAS-COMP'!#REF!,5,FALSE),IF(LEFT(C420,3)="SCE",VLOOKUP(VALUE(RIGHT(C420,3)),'SCE-COMP'!B:J,5,FALSE),IF(LEFT(C420,3)="EST",VLOOKUP(VALUE(RIGHT(C420,3)),'EST-COMP'!B:J,5,FALSE),IF(LEFT(C420,3)="HID",VLOOKUP(VALUE(RIGHT(C420,3)),'HID-COMP'!B:J,5,FALSE),IF(LEFT(C420,3)="INC",VLOOKUP(VALUE(RIGHT(C420,3)),'INC-COMP'!B:J,5,FALSE),IF(LEFT(C420,3)="ELE",VLOOKUP(VALUE(RIGHT(C420,3)),#REF!,5,FALSE),IF(LEFT(C420,3)="CAB",VLOOKUP(VALUE(RIGHT(C420,3)),#REF!,5,FALSE),IF(LEFT(C420,3)="SEG",VLOOKUP(VALUE(RIGHT(C420,3)),'SEG-COMP'!B:J,5,FALSE),IF(LEFT(C420,3)="CLI",VLOOKUP(VALUE(RIGHT(C420,3)),'CLI-COMP'!B:J,5,FALSE),IF(LEFT(C420,4)="IMPL",VLOOKUP(VALUE(RIGHT(C420,3)),'IMPL-COMP'!B:J,5,FALSE),IF(LEFT(C420,4)="SPDA",VLOOKUP(VALUE(RIGHT(C420,3)),'SPDA-COMP'!B:J,5,FALSE),IF(LEFT(C420,4)="SDAI",VLOOKUP(VALUE(RIGHT(C420,3)),'ADM-COMP'!B:J,5,FALSE),IF(LEFT(C420,5)="IMPER",VLOOKUP(VALUE(RIGHT(C420,3)),'IMPER-COMP'!B:J,5,FALSE),""))))))))))))))))</f>
        <v>M2</v>
      </c>
      <c r="F420" s="599">
        <f>ROUND(VLOOKUP(A420,'MEM-LEVANT'!A295:I2880,9,FALSE),2)</f>
        <v>2014.11</v>
      </c>
      <c r="G420" s="339">
        <f>IF(B420="IOPES",VLOOKUP(C420,'LABOR-SERVIÇOS'!A:H,7,FALSE),IF(B420="SINAPI",VLOOKUP(C420,'SINAPI-SERVIÇOS'!A:H,8,FALSE),IF(LEFT(C420,3)="ARQ",VLOOKUP(VALUE(RIGHT(C420,3)),'ARQ-COMP'!B:J,9,FALSE),IF(LEFT(C420,3)="SCI",VLOOKUP(VALUE(RIGHT(C420,3)),'GAS-COMP'!#REF!,9,FALSE),IF(LEFT(C420,3)="SCE",VLOOKUP(VALUE(RIGHT(C420,3)),'SCE-COMP'!B:J,9,FALSE),IF(LEFT(C420,3)="EST",VLOOKUP(VALUE(RIGHT(C420,3)),'EST-COMP'!B:J,9,FALSE),IF(LEFT(C420,3)="HID",VLOOKUP(VALUE(RIGHT(C420,3)),'HID-COMP'!B:J,9,FALSE),IF(LEFT(C420,3)="INC",VLOOKUP(VALUE(RIGHT(C420,3)),'INC-COMP'!B:J,9,FALSE),IF(LEFT(C420,3)="ELE",VLOOKUP(VALUE(RIGHT(C420,3)),#REF!,9,FALSE),IF(LEFT(C420,3)="CAB",VLOOKUP(VALUE(RIGHT(C420,3)),#REF!,9,FALSE),IF(LEFT(C420,3)="SEG",VLOOKUP(VALUE(RIGHT(C420,3)),'SEG-COMP'!B:J,9,FALSE),IF(LEFT(C420,3)="CLI",VLOOKUP(VALUE(RIGHT(C420,3)),'CLI-COMP'!B:J,9,FALSE),IF(LEFT(C420,4)="IMPL",VLOOKUP(VALUE(RIGHT(C420,3)),'IMPL-COMP'!B:J,9,FALSE),IF(LEFT(C420,4)="SPDA",VLOOKUP(VALUE(RIGHT(C420,3)),'SPDA-COMP'!B:J,9,FALSE),IF(LEFT(C420,4)="SDAI",VLOOKUP(VALUE(RIGHT(C420,3)),'ADM-COMP'!B:J,9,FALSE),IF(LEFT(C420,5)="IMPER",VLOOKUP(VALUE(RIGHT(C420,3)),'IMPER-COMP'!B:J,9,FALSE),""))))))))))))))))</f>
        <v>1.37</v>
      </c>
      <c r="H420" s="339">
        <f>ROUND(F420*G420,2)</f>
        <v>2759.33</v>
      </c>
      <c r="I420" s="374">
        <f>H420/$H$441</f>
        <v>1.6133689227179723E-4</v>
      </c>
      <c r="J420" s="314"/>
    </row>
    <row r="421" spans="1:10" ht="39.6">
      <c r="A421" s="613" t="s">
        <v>35479</v>
      </c>
      <c r="B421" s="337" t="s">
        <v>2879</v>
      </c>
      <c r="C421" s="540">
        <f>200404</f>
        <v>200404</v>
      </c>
      <c r="D421" s="539" t="str">
        <f>IF(B421="IOPES",VLOOKUP(C421,'LABOR-SERVIÇOS'!A:H,5,FALSE),IF(B421="SINAPI",VLOOKUP(C421,'SINAPI-SERVIÇOS'!A:D,2,FALSE),IF(LEFT(C421,3)="ARQ",VLOOKUP(VALUE(RIGHT(C421,3)),'ARQ-COMP'!B:J,4,FALSE),IF(LEFT(C421,3)="SCI",VLOOKUP(VALUE(RIGHT(C421,3)),'GAS-COMP'!#REF!,4,FALSE),IF(LEFT(C421,3)="SCE",VLOOKUP(VALUE(RIGHT(C421,3)),'SCE-COMP'!B:J,4,FALSE),IF(LEFT(C421,3)="EST",VLOOKUP(VALUE(RIGHT(C421,3)),'EST-COMP'!B:J,4,FALSE),IF(LEFT(C421,3)="HID",VLOOKUP(VALUE(RIGHT(C421,3)),'HID-COMP'!B:J,4,FALSE),IF(LEFT(C421,3)="INC",VLOOKUP(VALUE(RIGHT(C421,3)),'INC-COMP'!B:J,4,FALSE),IF(LEFT(C421,3)="ELE",VLOOKUP(VALUE(RIGHT(C421,3)),#REF!,4,FALSE),IF(LEFT(C421,3)="CAB",VLOOKUP(VALUE(RIGHT(C421,3)),#REF!,4,FALSE),IF(LEFT(C421,3)="SEG",VLOOKUP(VALUE(RIGHT(C421,3)),'SEG-COMP'!B:J,4,FALSE),IF(LEFT(C421,3)="CLI",VLOOKUP(VALUE(RIGHT(C421,3)),'CLI-COMP'!B:J,4,FALSE),IF(LEFT(C421,4)="IMPL",VLOOKUP(VALUE(RIGHT(C421,3)),'IMPL-COMP'!B:J,4,FALSE),IF(LEFT(C421,4)="SPDA",VLOOKUP(VALUE(RIGHT(C421,3)),'SPDA-COMP'!B:J,4,FALSE),IF(LEFT(C421,4)="SDAI",VLOOKUP(VALUE(RIGHT(C421,3)),'ADM-COMP'!B:J,4,FALSE),IF(LEFT(C421,5)="IMPER",VLOOKUP(VALUE(RIGHT(C421,3)),'IMPER-COMP'!B:J,4,FALSE),""))))))))))))))))</f>
        <v>LIMPEZA DE PISOS E REVESTIMENTOS CERÂMICOS, UTILIZANDO DETERGENTE NEUTRO, ESCOVAÇÃO MANUAL E VASSOURA A SECO</v>
      </c>
      <c r="E421" s="338" t="str">
        <f>IF(B421="IOPES",VLOOKUP(C421,'LABOR-SERVIÇOS'!A:H,6,FALSE),IF(B421="SINAPI",VLOOKUP(C421,'SINAPI-SERVIÇOS'!A:D,3,FALSE),IF(LEFT(C421,3)="ARQ",VLOOKUP(VALUE(RIGHT(C421,3)),'ARQ-COMP'!B:J,5,FALSE),IF(LEFT(C421,3)="SCI",VLOOKUP(VALUE(RIGHT(C421,3)),'GAS-COMP'!#REF!,5,FALSE),IF(LEFT(C421,3)="SCE",VLOOKUP(VALUE(RIGHT(C421,3)),'SCE-COMP'!B:J,5,FALSE),IF(LEFT(C421,3)="EST",VLOOKUP(VALUE(RIGHT(C421,3)),'EST-COMP'!B:J,5,FALSE),IF(LEFT(C421,3)="HID",VLOOKUP(VALUE(RIGHT(C421,3)),'HID-COMP'!B:J,5,FALSE),IF(LEFT(C421,3)="INC",VLOOKUP(VALUE(RIGHT(C421,3)),'INC-COMP'!B:J,5,FALSE),IF(LEFT(C421,3)="ELE",VLOOKUP(VALUE(RIGHT(C421,3)),#REF!,5,FALSE),IF(LEFT(C421,3)="CAB",VLOOKUP(VALUE(RIGHT(C421,3)),#REF!,5,FALSE),IF(LEFT(C421,3)="SEG",VLOOKUP(VALUE(RIGHT(C421,3)),'SEG-COMP'!B:J,5,FALSE),IF(LEFT(C421,3)="CLI",VLOOKUP(VALUE(RIGHT(C421,3)),'CLI-COMP'!B:J,5,FALSE),IF(LEFT(C421,4)="IMPL",VLOOKUP(VALUE(RIGHT(C421,3)),'IMPL-COMP'!B:J,5,FALSE),IF(LEFT(C421,4)="SPDA",VLOOKUP(VALUE(RIGHT(C421,3)),'SPDA-COMP'!B:J,5,FALSE),IF(LEFT(C421,4)="SDAI",VLOOKUP(VALUE(RIGHT(C421,3)),'ADM-COMP'!B:J,5,FALSE),IF(LEFT(C421,5)="IMPER",VLOOKUP(VALUE(RIGHT(C421,3)),'IMPER-COMP'!B:J,5,FALSE),""))))))))))))))))</f>
        <v>M2</v>
      </c>
      <c r="F421" s="599">
        <f>ROUND(VLOOKUP(A421,'MEM-LEVANT'!A295:I2881,9,FALSE),2)</f>
        <v>126.36</v>
      </c>
      <c r="G421" s="339">
        <f>IF(B421="IOPES",VLOOKUP(C421,'LABOR-SERVIÇOS'!A:H,7,FALSE),IF(B421="SINAPI",VLOOKUP(C421,'SINAPI-SERVIÇOS'!A:H,8,FALSE),IF(LEFT(C421,3)="ARQ",VLOOKUP(VALUE(RIGHT(C421,3)),'ARQ-COMP'!B:J,9,FALSE),IF(LEFT(C421,3)="SCI",VLOOKUP(VALUE(RIGHT(C421,3)),'GAS-COMP'!#REF!,9,FALSE),IF(LEFT(C421,3)="SCE",VLOOKUP(VALUE(RIGHT(C421,3)),'SCE-COMP'!B:J,9,FALSE),IF(LEFT(C421,3)="EST",VLOOKUP(VALUE(RIGHT(C421,3)),'EST-COMP'!B:J,9,FALSE),IF(LEFT(C421,3)="HID",VLOOKUP(VALUE(RIGHT(C421,3)),'HID-COMP'!B:J,9,FALSE),IF(LEFT(C421,3)="INC",VLOOKUP(VALUE(RIGHT(C421,3)),'INC-COMP'!B:J,9,FALSE),IF(LEFT(C421,3)="ELE",VLOOKUP(VALUE(RIGHT(C421,3)),#REF!,9,FALSE),IF(LEFT(C421,3)="CAB",VLOOKUP(VALUE(RIGHT(C421,3)),#REF!,9,FALSE),IF(LEFT(C421,3)="SEG",VLOOKUP(VALUE(RIGHT(C421,3)),'SEG-COMP'!B:J,9,FALSE),IF(LEFT(C421,3)="CLI",VLOOKUP(VALUE(RIGHT(C421,3)),'CLI-COMP'!B:J,9,FALSE),IF(LEFT(C421,4)="IMPL",VLOOKUP(VALUE(RIGHT(C421,3)),'IMPL-COMP'!B:J,9,FALSE),IF(LEFT(C421,4)="SPDA",VLOOKUP(VALUE(RIGHT(C421,3)),'SPDA-COMP'!B:J,9,FALSE),IF(LEFT(C421,4)="SDAI",VLOOKUP(VALUE(RIGHT(C421,3)),'ADM-COMP'!B:J,9,FALSE),IF(LEFT(C421,5)="IMPER",VLOOKUP(VALUE(RIGHT(C421,3)),'IMPER-COMP'!B:J,9,FALSE),""))))))))))))))))</f>
        <v>5.42</v>
      </c>
      <c r="H421" s="339">
        <f>ROUND(F421*G421,2)</f>
        <v>684.87</v>
      </c>
      <c r="I421" s="374">
        <f>H421/$H$441</f>
        <v>4.0044067730277195E-5</v>
      </c>
      <c r="J421" s="314"/>
    </row>
    <row r="422" spans="1:10">
      <c r="A422" s="553" t="s">
        <v>35480</v>
      </c>
      <c r="B422" s="554"/>
      <c r="C422" s="555"/>
      <c r="D422" s="556" t="s">
        <v>59</v>
      </c>
      <c r="E422" s="557"/>
      <c r="F422" s="598"/>
      <c r="G422" s="558"/>
      <c r="H422" s="559"/>
      <c r="I422" s="560"/>
      <c r="J422" s="314"/>
    </row>
    <row r="423" spans="1:10" ht="39.6">
      <c r="A423" s="613" t="s">
        <v>35481</v>
      </c>
      <c r="B423" s="337" t="s">
        <v>2879</v>
      </c>
      <c r="C423" s="540">
        <f>200513</f>
        <v>200513</v>
      </c>
      <c r="D423" s="539" t="str">
        <f>IF(B423="IOPES",VLOOKUP(C423,'LABOR-SERVIÇOS'!A:H,5,FALSE),IF(B423="SINAPI",VLOOKUP(C423,'SINAPI-SERVIÇOS'!A:D,2,FALSE),IF(LEFT(C423,3)="ARQ",VLOOKUP(VALUE(RIGHT(C423,3)),'ARQ-COMP'!B:J,4,FALSE),IF(LEFT(C423,3)="SCI",VLOOKUP(VALUE(RIGHT(C423,3)),'GAS-COMP'!#REF!,4,FALSE),IF(LEFT(C423,3)="SCE",VLOOKUP(VALUE(RIGHT(C423,3)),'SCE-COMP'!B:J,4,FALSE),IF(LEFT(C423,3)="EST",VLOOKUP(VALUE(RIGHT(C423,3)),'EST-COMP'!B:J,4,FALSE),IF(LEFT(C423,3)="HID",VLOOKUP(VALUE(RIGHT(C423,3)),'HID-COMP'!B:J,4,FALSE),IF(LEFT(C423,3)="INC",VLOOKUP(VALUE(RIGHT(C423,3)),'INC-COMP'!B:J,4,FALSE),IF(LEFT(C423,3)="ELE",VLOOKUP(VALUE(RIGHT(C423,3)),#REF!,4,FALSE),IF(LEFT(C423,3)="CAB",VLOOKUP(VALUE(RIGHT(C423,3)),#REF!,4,FALSE),IF(LEFT(C423,3)="SEG",VLOOKUP(VALUE(RIGHT(C423,3)),'SEG-COMP'!B:J,4,FALSE),IF(LEFT(C423,3)="CLI",VLOOKUP(VALUE(RIGHT(C423,3)),'CLI-COMP'!B:J,4,FALSE),IF(LEFT(C423,4)="IMPL",VLOOKUP(VALUE(RIGHT(C423,3)),'IMPL-COMP'!B:J,4,FALSE),IF(LEFT(C423,4)="SPDA",VLOOKUP(VALUE(RIGHT(C423,3)),'SPDA-COMP'!B:J,4,FALSE),IF(LEFT(C423,4)="SDAI",VLOOKUP(VALUE(RIGHT(C423,3)),'ADM-COMP'!B:J,4,FALSE),IF(LEFT(C423,5)="IMPER",VLOOKUP(VALUE(RIGHT(C423,3)),'IMPER-COMP'!B:J,4,FALSE),""))))))))))))))))</f>
        <v>ESCADA TIPO MARINHEIRO DE TUBO DE FERRO 1" E 3/4", COM H=4.20M, PARA ACESSO A CAIXA DÁGUA, INCLUSIVE PINTURA EM ESMALTE SINTÉTICO, CONFORME DETALHE EM PROJETO</v>
      </c>
      <c r="E423" s="338" t="str">
        <f>IF(B423="IOPES",VLOOKUP(C423,'LABOR-SERVIÇOS'!A:H,6,FALSE),IF(B423="SINAPI",VLOOKUP(C423,'SINAPI-SERVIÇOS'!A:D,3,FALSE),IF(LEFT(C423,3)="ARQ",VLOOKUP(VALUE(RIGHT(C423,3)),'ARQ-COMP'!B:J,5,FALSE),IF(LEFT(C423,3)="SCI",VLOOKUP(VALUE(RIGHT(C423,3)),'GAS-COMP'!#REF!,5,FALSE),IF(LEFT(C423,3)="SCE",VLOOKUP(VALUE(RIGHT(C423,3)),'SCE-COMP'!B:J,5,FALSE),IF(LEFT(C423,3)="EST",VLOOKUP(VALUE(RIGHT(C423,3)),'EST-COMP'!B:J,5,FALSE),IF(LEFT(C423,3)="HID",VLOOKUP(VALUE(RIGHT(C423,3)),'HID-COMP'!B:J,5,FALSE),IF(LEFT(C423,3)="INC",VLOOKUP(VALUE(RIGHT(C423,3)),'INC-COMP'!B:J,5,FALSE),IF(LEFT(C423,3)="ELE",VLOOKUP(VALUE(RIGHT(C423,3)),#REF!,5,FALSE),IF(LEFT(C423,3)="CAB",VLOOKUP(VALUE(RIGHT(C423,3)),#REF!,5,FALSE),IF(LEFT(C423,3)="SEG",VLOOKUP(VALUE(RIGHT(C423,3)),'SEG-COMP'!B:J,5,FALSE),IF(LEFT(C423,3)="CLI",VLOOKUP(VALUE(RIGHT(C423,3)),'CLI-COMP'!B:J,5,FALSE),IF(LEFT(C423,4)="IMPL",VLOOKUP(VALUE(RIGHT(C423,3)),'IMPL-COMP'!B:J,5,FALSE),IF(LEFT(C423,4)="SPDA",VLOOKUP(VALUE(RIGHT(C423,3)),'SPDA-COMP'!B:J,5,FALSE),IF(LEFT(C423,4)="SDAI",VLOOKUP(VALUE(RIGHT(C423,3)),'ADM-COMP'!B:J,5,FALSE),IF(LEFT(C423,5)="IMPER",VLOOKUP(VALUE(RIGHT(C423,3)),'IMPER-COMP'!B:J,5,FALSE),""))))))))))))))))</f>
        <v>UND</v>
      </c>
      <c r="F423" s="599">
        <f>ROUND(VLOOKUP(A423,'MEM-LEVANT'!A295:I2883,9,FALSE),2)</f>
        <v>4</v>
      </c>
      <c r="G423" s="339">
        <f>IF(B423="IOPES",VLOOKUP(C423,'LABOR-SERVIÇOS'!A:H,7,FALSE),IF(B423="SINAPI",VLOOKUP(C423,'SINAPI-SERVIÇOS'!A:H,8,FALSE),IF(LEFT(C423,3)="ARQ",VLOOKUP(VALUE(RIGHT(C423,3)),'ARQ-COMP'!B:J,9,FALSE),IF(LEFT(C423,3)="SCI",VLOOKUP(VALUE(RIGHT(C423,3)),'GAS-COMP'!#REF!,9,FALSE),IF(LEFT(C423,3)="SCE",VLOOKUP(VALUE(RIGHT(C423,3)),'SCE-COMP'!B:J,9,FALSE),IF(LEFT(C423,3)="EST",VLOOKUP(VALUE(RIGHT(C423,3)),'EST-COMP'!B:J,9,FALSE),IF(LEFT(C423,3)="HID",VLOOKUP(VALUE(RIGHT(C423,3)),'HID-COMP'!B:J,9,FALSE),IF(LEFT(C423,3)="INC",VLOOKUP(VALUE(RIGHT(C423,3)),'INC-COMP'!B:J,9,FALSE),IF(LEFT(C423,3)="ELE",VLOOKUP(VALUE(RIGHT(C423,3)),#REF!,9,FALSE),IF(LEFT(C423,3)="CAB",VLOOKUP(VALUE(RIGHT(C423,3)),#REF!,9,FALSE),IF(LEFT(C423,3)="SEG",VLOOKUP(VALUE(RIGHT(C423,3)),'SEG-COMP'!B:J,9,FALSE),IF(LEFT(C423,3)="CLI",VLOOKUP(VALUE(RIGHT(C423,3)),'CLI-COMP'!B:J,9,FALSE),IF(LEFT(C423,4)="IMPL",VLOOKUP(VALUE(RIGHT(C423,3)),'IMPL-COMP'!B:J,9,FALSE),IF(LEFT(C423,4)="SPDA",VLOOKUP(VALUE(RIGHT(C423,3)),'SPDA-COMP'!B:J,9,FALSE),IF(LEFT(C423,4)="SDAI",VLOOKUP(VALUE(RIGHT(C423,3)),'ADM-COMP'!B:J,9,FALSE),IF(LEFT(C423,5)="IMPER",VLOOKUP(VALUE(RIGHT(C423,3)),'IMPER-COMP'!B:J,9,FALSE),""))))))))))))))))</f>
        <v>1909.4</v>
      </c>
      <c r="H423" s="339">
        <f>ROUND(F423*G423,2)</f>
        <v>7637.6</v>
      </c>
      <c r="I423" s="374">
        <f>H423/$H$441</f>
        <v>4.4656733642408795E-4</v>
      </c>
      <c r="J423" s="314"/>
    </row>
    <row r="424" spans="1:10" ht="39.6">
      <c r="A424" s="613" t="s">
        <v>35482</v>
      </c>
      <c r="B424" s="337" t="s">
        <v>2879</v>
      </c>
      <c r="C424" s="540">
        <f>200576</f>
        <v>200576</v>
      </c>
      <c r="D424" s="539" t="str">
        <f>IF(B424="IOPES",VLOOKUP(C424,'LABOR-SERVIÇOS'!A:H,5,FALSE),IF(B424="SINAPI",VLOOKUP(C424,'SINAPI-SERVIÇOS'!A:D,2,FALSE),IF(LEFT(C424,3)="ARQ",VLOOKUP(VALUE(RIGHT(C424,3)),'ARQ-COMP'!B:J,4,FALSE),IF(LEFT(C424,3)="SCI",VLOOKUP(VALUE(RIGHT(C424,3)),'GAS-COMP'!#REF!,4,FALSE),IF(LEFT(C424,3)="SCE",VLOOKUP(VALUE(RIGHT(C424,3)),'SCE-COMP'!B:J,4,FALSE),IF(LEFT(C424,3)="EST",VLOOKUP(VALUE(RIGHT(C424,3)),'EST-COMP'!B:J,4,FALSE),IF(LEFT(C424,3)="HID",VLOOKUP(VALUE(RIGHT(C424,3)),'HID-COMP'!B:J,4,FALSE),IF(LEFT(C424,3)="INC",VLOOKUP(VALUE(RIGHT(C424,3)),'INC-COMP'!B:J,4,FALSE),IF(LEFT(C424,3)="ELE",VLOOKUP(VALUE(RIGHT(C424,3)),#REF!,4,FALSE),IF(LEFT(C424,3)="CAB",VLOOKUP(VALUE(RIGHT(C424,3)),#REF!,4,FALSE),IF(LEFT(C424,3)="SEG",VLOOKUP(VALUE(RIGHT(C424,3)),'SEG-COMP'!B:J,4,FALSE),IF(LEFT(C424,3)="CLI",VLOOKUP(VALUE(RIGHT(C424,3)),'CLI-COMP'!B:J,4,FALSE),IF(LEFT(C424,4)="IMPL",VLOOKUP(VALUE(RIGHT(C424,3)),'IMPL-COMP'!B:J,4,FALSE),IF(LEFT(C424,4)="SPDA",VLOOKUP(VALUE(RIGHT(C424,3)),'SPDA-COMP'!B:J,4,FALSE),IF(LEFT(C424,4)="SDAI",VLOOKUP(VALUE(RIGHT(C424,3)),'ADM-COMP'!B:J,4,FALSE),IF(LEFT(C424,5)="IMPER",VLOOKUP(VALUE(RIGHT(C424,3)),'IMPER-COMP'!B:J,4,FALSE),""))))))))))))))))</f>
        <v>PLACA PARA INAUGURAÇÃO DE OBRA EM ALUMÍNIO POLIDO E=4MM, DIMENSÕES 40 X 50 CM, GRAVAÇÃO EM BAIXO RELEVO, INCLUSIVE PINTURA E FIXAÇÃO</v>
      </c>
      <c r="E424" s="338" t="str">
        <f>IF(B424="IOPES",VLOOKUP(C424,'LABOR-SERVIÇOS'!A:H,6,FALSE),IF(B424="SINAPI",VLOOKUP(C424,'SINAPI-SERVIÇOS'!A:D,3,FALSE),IF(LEFT(C424,3)="ARQ",VLOOKUP(VALUE(RIGHT(C424,3)),'ARQ-COMP'!B:J,5,FALSE),IF(LEFT(C424,3)="SCI",VLOOKUP(VALUE(RIGHT(C424,3)),'GAS-COMP'!#REF!,5,FALSE),IF(LEFT(C424,3)="SCE",VLOOKUP(VALUE(RIGHT(C424,3)),'SCE-COMP'!B:J,5,FALSE),IF(LEFT(C424,3)="EST",VLOOKUP(VALUE(RIGHT(C424,3)),'EST-COMP'!B:J,5,FALSE),IF(LEFT(C424,3)="HID",VLOOKUP(VALUE(RIGHT(C424,3)),'HID-COMP'!B:J,5,FALSE),IF(LEFT(C424,3)="INC",VLOOKUP(VALUE(RIGHT(C424,3)),'INC-COMP'!B:J,5,FALSE),IF(LEFT(C424,3)="ELE",VLOOKUP(VALUE(RIGHT(C424,3)),#REF!,5,FALSE),IF(LEFT(C424,3)="CAB",VLOOKUP(VALUE(RIGHT(C424,3)),#REF!,5,FALSE),IF(LEFT(C424,3)="SEG",VLOOKUP(VALUE(RIGHT(C424,3)),'SEG-COMP'!B:J,5,FALSE),IF(LEFT(C424,3)="CLI",VLOOKUP(VALUE(RIGHT(C424,3)),'CLI-COMP'!B:J,5,FALSE),IF(LEFT(C424,4)="IMPL",VLOOKUP(VALUE(RIGHT(C424,3)),'IMPL-COMP'!B:J,5,FALSE),IF(LEFT(C424,4)="SPDA",VLOOKUP(VALUE(RIGHT(C424,3)),'SPDA-COMP'!B:J,5,FALSE),IF(LEFT(C424,4)="SDAI",VLOOKUP(VALUE(RIGHT(C424,3)),'ADM-COMP'!B:J,5,FALSE),IF(LEFT(C424,5)="IMPER",VLOOKUP(VALUE(RIGHT(C424,3)),'IMPER-COMP'!B:J,5,FALSE),""))))))))))))))))</f>
        <v>UND</v>
      </c>
      <c r="F424" s="599">
        <f>ROUND(VLOOKUP(A424,'MEM-LEVANT'!A296:I2884,9,FALSE),2)</f>
        <v>1</v>
      </c>
      <c r="G424" s="339">
        <f>IF(B424="IOPES",VLOOKUP(C424,'LABOR-SERVIÇOS'!A:H,7,FALSE),IF(B424="SINAPI",VLOOKUP(C424,'SINAPI-SERVIÇOS'!A:H,8,FALSE),IF(LEFT(C424,3)="ARQ",VLOOKUP(VALUE(RIGHT(C424,3)),'ARQ-COMP'!B:J,9,FALSE),IF(LEFT(C424,3)="SCI",VLOOKUP(VALUE(RIGHT(C424,3)),'GAS-COMP'!#REF!,9,FALSE),IF(LEFT(C424,3)="SCE",VLOOKUP(VALUE(RIGHT(C424,3)),'SCE-COMP'!B:J,9,FALSE),IF(LEFT(C424,3)="EST",VLOOKUP(VALUE(RIGHT(C424,3)),'EST-COMP'!B:J,9,FALSE),IF(LEFT(C424,3)="HID",VLOOKUP(VALUE(RIGHT(C424,3)),'HID-COMP'!B:J,9,FALSE),IF(LEFT(C424,3)="INC",VLOOKUP(VALUE(RIGHT(C424,3)),'INC-COMP'!B:J,9,FALSE),IF(LEFT(C424,3)="ELE",VLOOKUP(VALUE(RIGHT(C424,3)),#REF!,9,FALSE),IF(LEFT(C424,3)="CAB",VLOOKUP(VALUE(RIGHT(C424,3)),#REF!,9,FALSE),IF(LEFT(C424,3)="SEG",VLOOKUP(VALUE(RIGHT(C424,3)),'SEG-COMP'!B:J,9,FALSE),IF(LEFT(C424,3)="CLI",VLOOKUP(VALUE(RIGHT(C424,3)),'CLI-COMP'!B:J,9,FALSE),IF(LEFT(C424,4)="IMPL",VLOOKUP(VALUE(RIGHT(C424,3)),'IMPL-COMP'!B:J,9,FALSE),IF(LEFT(C424,4)="SPDA",VLOOKUP(VALUE(RIGHT(C424,3)),'SPDA-COMP'!B:J,9,FALSE),IF(LEFT(C424,4)="SDAI",VLOOKUP(VALUE(RIGHT(C424,3)),'ADM-COMP'!B:J,9,FALSE),IF(LEFT(C424,5)="IMPER",VLOOKUP(VALUE(RIGHT(C424,3)),'IMPER-COMP'!B:J,9,FALSE),""))))))))))))))))</f>
        <v>674.41</v>
      </c>
      <c r="H424" s="339">
        <f>ROUND(F424*G424,2)</f>
        <v>674.41</v>
      </c>
      <c r="I424" s="374">
        <f>H424/$H$441</f>
        <v>3.9432475824574361E-5</v>
      </c>
      <c r="J424" s="314"/>
    </row>
    <row r="425" spans="1:10" ht="39.6">
      <c r="A425" s="613" t="s">
        <v>35483</v>
      </c>
      <c r="B425" s="337" t="s">
        <v>2879</v>
      </c>
      <c r="C425" s="540">
        <f>200581</f>
        <v>200581</v>
      </c>
      <c r="D425" s="539" t="str">
        <f>IF(B425="IOPES",VLOOKUP(C425,'LABOR-SERVIÇOS'!A:H,5,FALSE),IF(B425="SINAPI",VLOOKUP(C425,'SINAPI-SERVIÇOS'!A:D,2,FALSE),IF(LEFT(C425,3)="ARQ",VLOOKUP(VALUE(RIGHT(C425,3)),'ARQ-COMP'!B:J,4,FALSE),IF(LEFT(C425,3)="SCI",VLOOKUP(VALUE(RIGHT(C425,3)),'GAS-COMP'!#REF!,4,FALSE),IF(LEFT(C425,3)="SCE",VLOOKUP(VALUE(RIGHT(C425,3)),'SCE-COMP'!B:J,4,FALSE),IF(LEFT(C425,3)="EST",VLOOKUP(VALUE(RIGHT(C425,3)),'EST-COMP'!B:J,4,FALSE),IF(LEFT(C425,3)="HID",VLOOKUP(VALUE(RIGHT(C425,3)),'HID-COMP'!B:J,4,FALSE),IF(LEFT(C425,3)="INC",VLOOKUP(VALUE(RIGHT(C425,3)),'INC-COMP'!B:J,4,FALSE),IF(LEFT(C425,3)="ELE",VLOOKUP(VALUE(RIGHT(C425,3)),#REF!,4,FALSE),IF(LEFT(C425,3)="CAB",VLOOKUP(VALUE(RIGHT(C425,3)),#REF!,4,FALSE),IF(LEFT(C425,3)="SEG",VLOOKUP(VALUE(RIGHT(C425,3)),'SEG-COMP'!B:J,4,FALSE),IF(LEFT(C425,3)="CLI",VLOOKUP(VALUE(RIGHT(C425,3)),'CLI-COMP'!B:J,4,FALSE),IF(LEFT(C425,4)="IMPL",VLOOKUP(VALUE(RIGHT(C425,3)),'IMPL-COMP'!B:J,4,FALSE),IF(LEFT(C425,4)="SPDA",VLOOKUP(VALUE(RIGHT(C425,3)),'SPDA-COMP'!B:J,4,FALSE),IF(LEFT(C425,4)="SDAI",VLOOKUP(VALUE(RIGHT(C425,3)),'ADM-COMP'!B:J,4,FALSE),IF(LEFT(C425,5)="IMPER",VLOOKUP(VALUE(RIGHT(C425,3)),'IMPER-COMP'!B:J,4,FALSE),""))))))))))))))))</f>
        <v>LETRA TIPO CAIXA EM CHAPA DE AÇO INOX 304 ESCOVADO N16 - LARGURA: 7,5 CM, ALTURA: 15CM E PROF. 3CM, INCLUSIVE FIXAÇÃO INVISÍVEL</v>
      </c>
      <c r="E425" s="338" t="str">
        <f>IF(B425="IOPES",VLOOKUP(C425,'LABOR-SERVIÇOS'!A:H,6,FALSE),IF(B425="SINAPI",VLOOKUP(C425,'SINAPI-SERVIÇOS'!A:D,3,FALSE),IF(LEFT(C425,3)="ARQ",VLOOKUP(VALUE(RIGHT(C425,3)),'ARQ-COMP'!B:J,5,FALSE),IF(LEFT(C425,3)="SCI",VLOOKUP(VALUE(RIGHT(C425,3)),'GAS-COMP'!#REF!,5,FALSE),IF(LEFT(C425,3)="SCE",VLOOKUP(VALUE(RIGHT(C425,3)),'SCE-COMP'!B:J,5,FALSE),IF(LEFT(C425,3)="EST",VLOOKUP(VALUE(RIGHT(C425,3)),'EST-COMP'!B:J,5,FALSE),IF(LEFT(C425,3)="HID",VLOOKUP(VALUE(RIGHT(C425,3)),'HID-COMP'!B:J,5,FALSE),IF(LEFT(C425,3)="INC",VLOOKUP(VALUE(RIGHT(C425,3)),'INC-COMP'!B:J,5,FALSE),IF(LEFT(C425,3)="ELE",VLOOKUP(VALUE(RIGHT(C425,3)),#REF!,5,FALSE),IF(LEFT(C425,3)="CAB",VLOOKUP(VALUE(RIGHT(C425,3)),#REF!,5,FALSE),IF(LEFT(C425,3)="SEG",VLOOKUP(VALUE(RIGHT(C425,3)),'SEG-COMP'!B:J,5,FALSE),IF(LEFT(C425,3)="CLI",VLOOKUP(VALUE(RIGHT(C425,3)),'CLI-COMP'!B:J,5,FALSE),IF(LEFT(C425,4)="IMPL",VLOOKUP(VALUE(RIGHT(C425,3)),'IMPL-COMP'!B:J,5,FALSE),IF(LEFT(C425,4)="SPDA",VLOOKUP(VALUE(RIGHT(C425,3)),'SPDA-COMP'!B:J,5,FALSE),IF(LEFT(C425,4)="SDAI",VLOOKUP(VALUE(RIGHT(C425,3)),'ADM-COMP'!B:J,5,FALSE),IF(LEFT(C425,5)="IMPER",VLOOKUP(VALUE(RIGHT(C425,3)),'IMPER-COMP'!B:J,5,FALSE),""))))))))))))))))</f>
        <v>UND</v>
      </c>
      <c r="F425" s="599">
        <f>ROUND(VLOOKUP(A425,'MEM-LEVANT'!A297:I2885,9,FALSE),2)</f>
        <v>70</v>
      </c>
      <c r="G425" s="339">
        <f>IF(B425="IOPES",VLOOKUP(C425,'LABOR-SERVIÇOS'!A:H,7,FALSE),IF(B425="SINAPI",VLOOKUP(C425,'SINAPI-SERVIÇOS'!A:H,8,FALSE),IF(LEFT(C425,3)="ARQ",VLOOKUP(VALUE(RIGHT(C425,3)),'ARQ-COMP'!B:J,9,FALSE),IF(LEFT(C425,3)="SCI",VLOOKUP(VALUE(RIGHT(C425,3)),'GAS-COMP'!#REF!,9,FALSE),IF(LEFT(C425,3)="SCE",VLOOKUP(VALUE(RIGHT(C425,3)),'SCE-COMP'!B:J,9,FALSE),IF(LEFT(C425,3)="EST",VLOOKUP(VALUE(RIGHT(C425,3)),'EST-COMP'!B:J,9,FALSE),IF(LEFT(C425,3)="HID",VLOOKUP(VALUE(RIGHT(C425,3)),'HID-COMP'!B:J,9,FALSE),IF(LEFT(C425,3)="INC",VLOOKUP(VALUE(RIGHT(C425,3)),'INC-COMP'!B:J,9,FALSE),IF(LEFT(C425,3)="ELE",VLOOKUP(VALUE(RIGHT(C425,3)),#REF!,9,FALSE),IF(LEFT(C425,3)="CAB",VLOOKUP(VALUE(RIGHT(C425,3)),#REF!,9,FALSE),IF(LEFT(C425,3)="SEG",VLOOKUP(VALUE(RIGHT(C425,3)),'SEG-COMP'!B:J,9,FALSE),IF(LEFT(C425,3)="CLI",VLOOKUP(VALUE(RIGHT(C425,3)),'CLI-COMP'!B:J,9,FALSE),IF(LEFT(C425,4)="IMPL",VLOOKUP(VALUE(RIGHT(C425,3)),'IMPL-COMP'!B:J,9,FALSE),IF(LEFT(C425,4)="SPDA",VLOOKUP(VALUE(RIGHT(C425,3)),'SPDA-COMP'!B:J,9,FALSE),IF(LEFT(C425,4)="SDAI",VLOOKUP(VALUE(RIGHT(C425,3)),'ADM-COMP'!B:J,9,FALSE),IF(LEFT(C425,5)="IMPER",VLOOKUP(VALUE(RIGHT(C425,3)),'IMPER-COMP'!B:J,9,FALSE),""))))))))))))))))</f>
        <v>261.36</v>
      </c>
      <c r="H425" s="339">
        <f>ROUND(F425*G425,2)</f>
        <v>18295.2</v>
      </c>
      <c r="I425" s="374">
        <f>H425/$H$441</f>
        <v>1.0697128330032961E-3</v>
      </c>
      <c r="J425" s="314"/>
    </row>
    <row r="426" spans="1:10" ht="39.6">
      <c r="A426" s="613" t="s">
        <v>35484</v>
      </c>
      <c r="B426" s="337" t="s">
        <v>29</v>
      </c>
      <c r="C426" s="540">
        <v>95995</v>
      </c>
      <c r="D426" s="539" t="s">
        <v>11682</v>
      </c>
      <c r="E426" s="338" t="s">
        <v>83</v>
      </c>
      <c r="F426" s="599">
        <f>ROUND(VLOOKUP(A426,'MEM-LEVANT'!A298:I2886,9,FALSE),2)</f>
        <v>190</v>
      </c>
      <c r="G426" s="339">
        <f>1970.15*(1+$K$4)</f>
        <v>2581.093515</v>
      </c>
      <c r="H426" s="339">
        <f>ROUND(F426*G426,2)</f>
        <v>490407.77</v>
      </c>
      <c r="I426" s="374">
        <f>H426/$H$441</f>
        <v>2.8673940977607722E-2</v>
      </c>
      <c r="J426" s="314"/>
    </row>
    <row r="427" spans="1:10">
      <c r="A427" s="553" t="s">
        <v>35808</v>
      </c>
      <c r="B427" s="554"/>
      <c r="C427" s="555"/>
      <c r="D427" s="556" t="s">
        <v>35809</v>
      </c>
      <c r="E427" s="557"/>
      <c r="F427" s="598"/>
      <c r="G427" s="558"/>
      <c r="H427" s="559"/>
      <c r="I427" s="560"/>
      <c r="J427" s="314"/>
    </row>
    <row r="428" spans="1:10" ht="46.2" customHeight="1">
      <c r="A428" s="613" t="s">
        <v>35810</v>
      </c>
      <c r="B428" s="337" t="s">
        <v>29</v>
      </c>
      <c r="C428" s="540">
        <v>99841</v>
      </c>
      <c r="D428" s="662" t="s">
        <v>24198</v>
      </c>
      <c r="E428" s="338" t="s">
        <v>75</v>
      </c>
      <c r="F428" s="599">
        <f>ROUND(VLOOKUP(A428,'MEM-LEVANT'!A299:I2887,9,FALSE),2)</f>
        <v>51.2</v>
      </c>
      <c r="G428" s="339">
        <f>1142.3*(1+$K$4)</f>
        <v>1496.5272299999999</v>
      </c>
      <c r="H428" s="339">
        <f>ROUND(F428*G428,2)</f>
        <v>76622.19</v>
      </c>
      <c r="I428" s="374">
        <f>H428/$H$441</f>
        <v>4.4800679924688891E-3</v>
      </c>
      <c r="J428" s="314"/>
    </row>
    <row r="429" spans="1:10" ht="39.6">
      <c r="A429" s="613" t="s">
        <v>35811</v>
      </c>
      <c r="B429" s="337" t="s">
        <v>2879</v>
      </c>
      <c r="C429" s="540">
        <f>'LABOR-SERVIÇOS'!A1343</f>
        <v>210302</v>
      </c>
      <c r="D429" s="539" t="str">
        <f>IF(B429="IOPES",VLOOKUP(C429,'LABOR-SERVIÇOS'!A:H,5,FALSE),IF(B429="SINAPI",VLOOKUP(C429,'SINAPI-SERVIÇOS'!A:D,2,FALSE),IF(LEFT(C429,3)="ARQ",VLOOKUP(VALUE(RIGHT(C429,3)),'ARQ-COMP'!B:J,4,FALSE),IF(LEFT(C429,3)="SCI",VLOOKUP(VALUE(RIGHT(C429,3)),'GAS-COMP'!#REF!,4,FALSE),IF(LEFT(C429,3)="SCE",VLOOKUP(VALUE(RIGHT(C429,3)),'SCE-COMP'!B:J,4,FALSE),IF(LEFT(C429,3)="EST",VLOOKUP(VALUE(RIGHT(C429,3)),'EST-COMP'!B:J,4,FALSE),IF(LEFT(C429,3)="HID",VLOOKUP(VALUE(RIGHT(C429,3)),'HID-COMP'!B:J,4,FALSE),IF(LEFT(C429,3)="INC",VLOOKUP(VALUE(RIGHT(C429,3)),'INC-COMP'!B:J,4,FALSE),IF(LEFT(C429,3)="ELE",VLOOKUP(VALUE(RIGHT(C429,3)),#REF!,4,FALSE),IF(LEFT(C429,3)="CAB",VLOOKUP(VALUE(RIGHT(C429,3)),#REF!,4,FALSE),IF(LEFT(C429,3)="SEG",VLOOKUP(VALUE(RIGHT(C429,3)),'SEG-COMP'!B:J,4,FALSE),IF(LEFT(C429,3)="CLI",VLOOKUP(VALUE(RIGHT(C429,3)),'CLI-COMP'!B:J,4,FALSE),IF(LEFT(C429,4)="IMPL",VLOOKUP(VALUE(RIGHT(C429,3)),'IMPL-COMP'!B:J,4,FALSE),IF(LEFT(C429,4)="SPDA",VLOOKUP(VALUE(RIGHT(C429,3)),'SPDA-COMP'!B:J,4,FALSE),IF(LEFT(C429,4)="SDAI",VLOOKUP(VALUE(RIGHT(C429,3)),'ADM-COMP'!B:J,4,FALSE),IF(LEFT(C429,5)="IMPER",VLOOKUP(VALUE(RIGHT(C429,3)),'IMPER-COMP'!B:J,4,FALSE),""))))))))))))))))</f>
        <v>CORRIMÃO DE TUBO DE FERRO GALVANIZADO DIÂMETRO 3" FIXADO NA PAREDE A CADA 1.50M, INCLUSIVE PINTURA A ÓLEO OU ESMALTE</v>
      </c>
      <c r="E429" s="338" t="str">
        <f>IF(B429="IOPES",VLOOKUP(C429,'LABOR-SERVIÇOS'!A:H,6,FALSE),IF(B429="SINAPI",VLOOKUP(C429,'SINAPI-SERVIÇOS'!A:D,3,FALSE),IF(LEFT(C429,3)="ARQ",VLOOKUP(VALUE(RIGHT(C429,3)),'ARQ-COMP'!B:J,5,FALSE),IF(LEFT(C429,3)="SCI",VLOOKUP(VALUE(RIGHT(C429,3)),'GAS-COMP'!#REF!,5,FALSE),IF(LEFT(C429,3)="SCE",VLOOKUP(VALUE(RIGHT(C429,3)),'SCE-COMP'!B:J,5,FALSE),IF(LEFT(C429,3)="EST",VLOOKUP(VALUE(RIGHT(C429,3)),'EST-COMP'!B:J,5,FALSE),IF(LEFT(C429,3)="HID",VLOOKUP(VALUE(RIGHT(C429,3)),'HID-COMP'!B:J,5,FALSE),IF(LEFT(C429,3)="INC",VLOOKUP(VALUE(RIGHT(C429,3)),'INC-COMP'!B:J,5,FALSE),IF(LEFT(C429,3)="ELE",VLOOKUP(VALUE(RIGHT(C429,3)),#REF!,5,FALSE),IF(LEFT(C429,3)="CAB",VLOOKUP(VALUE(RIGHT(C429,3)),#REF!,5,FALSE),IF(LEFT(C429,3)="SEG",VLOOKUP(VALUE(RIGHT(C429,3)),'SEG-COMP'!B:J,5,FALSE),IF(LEFT(C429,3)="CLI",VLOOKUP(VALUE(RIGHT(C429,3)),'CLI-COMP'!B:J,5,FALSE),IF(LEFT(C429,4)="IMPL",VLOOKUP(VALUE(RIGHT(C429,3)),'IMPL-COMP'!B:J,5,FALSE),IF(LEFT(C429,4)="SPDA",VLOOKUP(VALUE(RIGHT(C429,3)),'SPDA-COMP'!B:J,5,FALSE),IF(LEFT(C429,4)="SDAI",VLOOKUP(VALUE(RIGHT(C429,3)),'ADM-COMP'!B:J,5,FALSE),IF(LEFT(C429,5)="IMPER",VLOOKUP(VALUE(RIGHT(C429,3)),'IMPER-COMP'!B:J,5,FALSE),""))))))))))))))))</f>
        <v>M</v>
      </c>
      <c r="F429" s="599">
        <f>ROUND(VLOOKUP(A429,'MEM-LEVANT'!A300:I2888,9,FALSE),2)</f>
        <v>91.2</v>
      </c>
      <c r="G429" s="339">
        <f>IF(B429="IOPES",VLOOKUP(C429,'LABOR-SERVIÇOS'!A:H,7,FALSE),IF(B429="SINAPI",VLOOKUP(C429,'SINAPI-SERVIÇOS'!A:H,8,FALSE),IF(LEFT(C429,3)="ARQ",VLOOKUP(VALUE(RIGHT(C429,3)),'ARQ-COMP'!B:J,9,FALSE),IF(LEFT(C429,3)="SCI",VLOOKUP(VALUE(RIGHT(C429,3)),'GAS-COMP'!#REF!,9,FALSE),IF(LEFT(C429,3)="SCE",VLOOKUP(VALUE(RIGHT(C429,3)),'SCE-COMP'!B:J,9,FALSE),IF(LEFT(C429,3)="EST",VLOOKUP(VALUE(RIGHT(C429,3)),'EST-COMP'!B:J,9,FALSE),IF(LEFT(C429,3)="HID",VLOOKUP(VALUE(RIGHT(C429,3)),'HID-COMP'!B:J,9,FALSE),IF(LEFT(C429,3)="INC",VLOOKUP(VALUE(RIGHT(C429,3)),'INC-COMP'!B:J,9,FALSE),IF(LEFT(C429,3)="ELE",VLOOKUP(VALUE(RIGHT(C429,3)),#REF!,9,FALSE),IF(LEFT(C429,3)="CAB",VLOOKUP(VALUE(RIGHT(C429,3)),#REF!,9,FALSE),IF(LEFT(C429,3)="SEG",VLOOKUP(VALUE(RIGHT(C429,3)),'SEG-COMP'!B:J,9,FALSE),IF(LEFT(C429,3)="CLI",VLOOKUP(VALUE(RIGHT(C429,3)),'CLI-COMP'!B:J,9,FALSE),IF(LEFT(C429,4)="IMPL",VLOOKUP(VALUE(RIGHT(C429,3)),'IMPL-COMP'!B:J,9,FALSE),IF(LEFT(C429,4)="SPDA",VLOOKUP(VALUE(RIGHT(C429,3)),'SPDA-COMP'!B:J,9,FALSE),IF(LEFT(C429,4)="SDAI",VLOOKUP(VALUE(RIGHT(C429,3)),'ADM-COMP'!B:J,9,FALSE),IF(LEFT(C429,5)="IMPER",VLOOKUP(VALUE(RIGHT(C429,3)),'IMPER-COMP'!B:J,9,FALSE),""))))))))))))))))</f>
        <v>318.54000000000002</v>
      </c>
      <c r="H429" s="339">
        <f>ROUND(F429*G429,2)</f>
        <v>29050.85</v>
      </c>
      <c r="I429" s="374">
        <f>H429/$H$441</f>
        <v>1.6985912728285999E-3</v>
      </c>
      <c r="J429" s="314"/>
    </row>
    <row r="430" spans="1:10" ht="66">
      <c r="A430" s="613" t="s">
        <v>35812</v>
      </c>
      <c r="B430" s="337" t="s">
        <v>7511</v>
      </c>
      <c r="C430" s="540">
        <v>13585</v>
      </c>
      <c r="D430" s="539" t="str">
        <f>UPPER("Elevador social para 08 passageiros ou 600 kg com acionamento convencional sem casa de máquinas no fosso, 04 paradas - dist. 14,57m, dim. cabine 1100x1400x2200mm, velocidade de 0,75m/s, 01 entrada, acabamento em aço inox. Obra")</f>
        <v>ELEVADOR SOCIAL PARA 08 PASSAGEIROS OU 600 KG COM ACIONAMENTO CONVENCIONAL SEM CASA DE MÁQUINAS NO FOSSO, 04 PARADAS - DIST. 14,57M, DIM. CABINE 1100X1400X2200MM, VELOCIDADE DE 0,75M/S, 01 ENTRADA, ACABAMENTO EM AÇO INOX. OBRA</v>
      </c>
      <c r="E430" s="338" t="s">
        <v>7992</v>
      </c>
      <c r="F430" s="599">
        <f>ROUND(VLOOKUP(A430,'MEM-LEVANT'!A301:I2889,9,FALSE),2)</f>
        <v>1</v>
      </c>
      <c r="G430" s="339">
        <f>109870*(1+$M$4)</f>
        <v>126976.75899999999</v>
      </c>
      <c r="H430" s="339">
        <f>ROUND(F430*G430,2)</f>
        <v>126976.76</v>
      </c>
      <c r="I430" s="374">
        <f>H430/$H$441</f>
        <v>7.4242790275689573E-3</v>
      </c>
      <c r="J430" s="314"/>
    </row>
    <row r="431" spans="1:10">
      <c r="A431" s="570"/>
      <c r="B431" s="569"/>
      <c r="C431" s="569"/>
      <c r="D431" s="571" t="s">
        <v>27443</v>
      </c>
      <c r="E431" s="572"/>
      <c r="F431" s="600"/>
      <c r="G431" s="573"/>
      <c r="H431" s="574">
        <f>SUM(H409:H430)</f>
        <v>1731020.6500000001</v>
      </c>
      <c r="I431" s="575">
        <f>H431/$H$441</f>
        <v>0.10121206674421199</v>
      </c>
      <c r="J431" s="314"/>
    </row>
    <row r="432" spans="1:10">
      <c r="A432" s="613"/>
      <c r="B432" s="337"/>
      <c r="C432" s="540"/>
      <c r="D432" s="539"/>
      <c r="E432" s="338"/>
      <c r="F432" s="599"/>
      <c r="G432" s="339"/>
      <c r="H432" s="339"/>
      <c r="I432" s="374"/>
      <c r="J432" s="314"/>
    </row>
    <row r="433" spans="1:10">
      <c r="A433" s="561" t="s">
        <v>27033</v>
      </c>
      <c r="B433" s="562"/>
      <c r="C433" s="563"/>
      <c r="D433" s="564" t="s">
        <v>27425</v>
      </c>
      <c r="E433" s="565"/>
      <c r="F433" s="597"/>
      <c r="G433" s="566"/>
      <c r="H433" s="567"/>
      <c r="I433" s="568"/>
      <c r="J433" s="314"/>
    </row>
    <row r="434" spans="1:10">
      <c r="A434" s="553" t="s">
        <v>27034</v>
      </c>
      <c r="B434" s="554"/>
      <c r="C434" s="555"/>
      <c r="D434" s="556" t="s">
        <v>1612</v>
      </c>
      <c r="E434" s="557"/>
      <c r="F434" s="598"/>
      <c r="G434" s="558"/>
      <c r="H434" s="559"/>
      <c r="I434" s="560"/>
      <c r="J434" s="314"/>
    </row>
    <row r="435" spans="1:10" ht="26.4">
      <c r="A435" s="613" t="s">
        <v>27035</v>
      </c>
      <c r="B435" s="337" t="s">
        <v>29</v>
      </c>
      <c r="C435" s="540" t="s">
        <v>6523</v>
      </c>
      <c r="D435" s="539" t="str">
        <f>IF(B435="IOPES",VLOOKUP(C435,'LABOR-SERVIÇOS'!A:H,5,FALSE),IF(B435="SINAPI",VLOOKUP(C435,'SINAPI-SERVIÇOS'!A:D,2,FALSE),IF(LEFT(C435,3)="ARQ",VLOOKUP(VALUE(RIGHT(C435,3)),'ARQ-COMP'!B:J,4,FALSE),IF(LEFT(C435,3)="SCI",VLOOKUP(VALUE(RIGHT(C435,3)),'GAS-COMP'!#REF!,4,FALSE),IF(LEFT(C435,3)="SCE",VLOOKUP(VALUE(RIGHT(C435,3)),'SCE-COMP'!B:J,4,FALSE),IF(LEFT(C435,3)="EST",VLOOKUP(VALUE(RIGHT(C435,3)),'EST-COMP'!B:J,4,FALSE),IF(LEFT(C435,3)="HID",VLOOKUP(VALUE(RIGHT(C435,3)),'HID-COMP'!B:J,4,FALSE),IF(LEFT(C435,3)="INC",VLOOKUP(VALUE(RIGHT(C435,3)),'INC-COMP'!B:J,4,FALSE),IF(LEFT(C435,3)="ELE",VLOOKUP(VALUE(RIGHT(C435,3)),#REF!,4,FALSE),IF(LEFT(C435,3)="CAB",VLOOKUP(VALUE(RIGHT(C435,3)),#REF!,4,FALSE),IF(LEFT(C435,3)="SEG",VLOOKUP(VALUE(RIGHT(C435,3)),'SEG-COMP'!B:J,4,FALSE),IF(LEFT(C435,3)="CLI",VLOOKUP(VALUE(RIGHT(C435,3)),'CLI-COMP'!B:J,4,FALSE),IF(LEFT(C435,4)="IMPL",VLOOKUP(VALUE(RIGHT(C435,3)),'IMPL-COMP'!B:J,4,FALSE),IF(LEFT(C435,4)="SPDA",VLOOKUP(VALUE(RIGHT(C435,3)),'SPDA-COMP'!B:J,4,FALSE),IF(LEFT(C435,4)="SDAI",VLOOKUP(VALUE(RIGHT(C435,3)),'ADM-COMP'!B:J,4,FALSE),IF(LEFT(C435,5)="IMPER",VLOOKUP(VALUE(RIGHT(C435,3)),'IMPER-COMP'!B:J,4,FALSE),""))))))))))))))))</f>
        <v>FUNDO SELADOR ACRÍLICO, APLICAÇÃO MANUAL EM PAREDE, UMA DEMÃO. AF_04/2023</v>
      </c>
      <c r="E435" s="338" t="str">
        <f>IF(B435="IOPES",VLOOKUP(C435,'LABOR-SERVIÇOS'!A:H,6,FALSE),IF(B435="SINAPI",VLOOKUP(C435,'SINAPI-SERVIÇOS'!A:D,3,FALSE),IF(LEFT(C435,3)="ARQ",VLOOKUP(VALUE(RIGHT(C435,3)),'ARQ-COMP'!B:J,5,FALSE),IF(LEFT(C435,3)="SCI",VLOOKUP(VALUE(RIGHT(C435,3)),'GAS-COMP'!#REF!,5,FALSE),IF(LEFT(C435,3)="SCE",VLOOKUP(VALUE(RIGHT(C435,3)),'SCE-COMP'!B:J,5,FALSE),IF(LEFT(C435,3)="EST",VLOOKUP(VALUE(RIGHT(C435,3)),'EST-COMP'!B:J,5,FALSE),IF(LEFT(C435,3)="HID",VLOOKUP(VALUE(RIGHT(C435,3)),'HID-COMP'!B:J,5,FALSE),IF(LEFT(C435,3)="INC",VLOOKUP(VALUE(RIGHT(C435,3)),'INC-COMP'!B:J,5,FALSE),IF(LEFT(C435,3)="ELE",VLOOKUP(VALUE(RIGHT(C435,3)),#REF!,5,FALSE),IF(LEFT(C435,3)="CAB",VLOOKUP(VALUE(RIGHT(C435,3)),#REF!,5,FALSE),IF(LEFT(C435,3)="SEG",VLOOKUP(VALUE(RIGHT(C435,3)),'SEG-COMP'!B:J,5,FALSE),IF(LEFT(C435,3)="CLI",VLOOKUP(VALUE(RIGHT(C435,3)),'CLI-COMP'!B:J,5,FALSE),IF(LEFT(C435,4)="IMPL",VLOOKUP(VALUE(RIGHT(C435,3)),'IMPL-COMP'!B:J,5,FALSE),IF(LEFT(C435,4)="SPDA",VLOOKUP(VALUE(RIGHT(C435,3)),'SPDA-COMP'!B:J,5,FALSE),IF(LEFT(C435,4)="SDAI",VLOOKUP(VALUE(RIGHT(C435,3)),'ADM-COMP'!B:J,5,FALSE),IF(LEFT(C435,5)="IMPER",VLOOKUP(VALUE(RIGHT(C435,3)),'IMPER-COMP'!B:J,5,FALSE),""))))))))))))))))</f>
        <v>M2</v>
      </c>
      <c r="F435" s="606">
        <f>ROUND(VLOOKUP(A435,'MEM-LEVANT'!A283:I2836,9,FALSE),2)</f>
        <v>813.12</v>
      </c>
      <c r="G435" s="339">
        <f>IF(B435="IOPES",VLOOKUP(C435,'LABOR-SERVIÇOS'!A:H,7,FALSE),IF(B435="SINAPI",VLOOKUP(C435,'SINAPI-SERVIÇOS'!A:H,8,FALSE),IF(LEFT(C435,3)="ARQ",VLOOKUP(VALUE(RIGHT(C435,3)),'ARQ-COMP'!B:J,9,FALSE),IF(LEFT(C435,3)="SCI",VLOOKUP(VALUE(RIGHT(C435,3)),'GAS-COMP'!#REF!,9,FALSE),IF(LEFT(C435,3)="SCE",VLOOKUP(VALUE(RIGHT(C435,3)),'SCE-COMP'!B:J,9,FALSE),IF(LEFT(C435,3)="EST",VLOOKUP(VALUE(RIGHT(C435,3)),'EST-COMP'!B:J,9,FALSE),IF(LEFT(C435,3)="HID",VLOOKUP(VALUE(RIGHT(C435,3)),'HID-COMP'!B:J,9,FALSE),IF(LEFT(C435,3)="INC",VLOOKUP(VALUE(RIGHT(C435,3)),'INC-COMP'!B:J,9,FALSE),IF(LEFT(C435,3)="ELE",VLOOKUP(VALUE(RIGHT(C435,3)),#REF!,9,FALSE),IF(LEFT(C435,3)="CAB",VLOOKUP(VALUE(RIGHT(C435,3)),#REF!,9,FALSE),IF(LEFT(C435,3)="SEG",VLOOKUP(VALUE(RIGHT(C435,3)),'SEG-COMP'!B:J,9,FALSE),IF(LEFT(C435,3)="CLI",VLOOKUP(VALUE(RIGHT(C435,3)),'CLI-COMP'!B:J,9,FALSE),IF(LEFT(C435,4)="IMPL",VLOOKUP(VALUE(RIGHT(C435,3)),'IMPL-COMP'!B:J,9,FALSE),IF(LEFT(C435,4)="SPDA",VLOOKUP(VALUE(RIGHT(C435,3)),'SPDA-COMP'!B:J,9,FALSE),IF(LEFT(C435,4)="SDAI",VLOOKUP(VALUE(RIGHT(C435,3)),'ADM-COMP'!B:J,9,FALSE),IF(LEFT(C435,5)="IMPER",VLOOKUP(VALUE(RIGHT(C435,3)),'IMPER-COMP'!B:J,9,FALSE),""))))))))))))))))</f>
        <v>6.44</v>
      </c>
      <c r="H435" s="339">
        <f t="shared" ref="H435:H437" si="130">ROUND(F435*G435,2)</f>
        <v>5236.49</v>
      </c>
      <c r="I435" s="374">
        <f t="shared" ref="I435:I437" si="131">H435/$H$441</f>
        <v>3.0617542048698182E-4</v>
      </c>
      <c r="J435" s="314"/>
    </row>
    <row r="436" spans="1:10" ht="39.6">
      <c r="A436" s="613" t="s">
        <v>35555</v>
      </c>
      <c r="B436" s="337" t="s">
        <v>29</v>
      </c>
      <c r="C436" s="540" t="s">
        <v>6546</v>
      </c>
      <c r="D436" s="539" t="str">
        <f>IF(B436="IOPES",VLOOKUP(C436,'LABOR-SERVIÇOS'!A:H,5,FALSE),IF(B436="SINAPI",VLOOKUP(C436,'SINAPI-SERVIÇOS'!A:D,2,FALSE),IF(LEFT(C436,3)="ARQ",VLOOKUP(VALUE(RIGHT(C436,3)),'ARQ-COMP'!B:J,4,FALSE),IF(LEFT(C436,3)="SCI",VLOOKUP(VALUE(RIGHT(C436,3)),'GAS-COMP'!#REF!,4,FALSE),IF(LEFT(C436,3)="SCE",VLOOKUP(VALUE(RIGHT(C436,3)),'SCE-COMP'!B:J,4,FALSE),IF(LEFT(C436,3)="EST",VLOOKUP(VALUE(RIGHT(C436,3)),'EST-COMP'!B:J,4,FALSE),IF(LEFT(C436,3)="HID",VLOOKUP(VALUE(RIGHT(C436,3)),'HID-COMP'!B:J,4,FALSE),IF(LEFT(C436,3)="INC",VLOOKUP(VALUE(RIGHT(C436,3)),'INC-COMP'!B:J,4,FALSE),IF(LEFT(C436,3)="ELE",VLOOKUP(VALUE(RIGHT(C436,3)),#REF!,4,FALSE),IF(LEFT(C436,3)="CAB",VLOOKUP(VALUE(RIGHT(C436,3)),#REF!,4,FALSE),IF(LEFT(C436,3)="SEG",VLOOKUP(VALUE(RIGHT(C436,3)),'SEG-COMP'!B:J,4,FALSE),IF(LEFT(C436,3)="CLI",VLOOKUP(VALUE(RIGHT(C436,3)),'CLI-COMP'!B:J,4,FALSE),IF(LEFT(C436,4)="IMPL",VLOOKUP(VALUE(RIGHT(C436,3)),'IMPL-COMP'!B:J,4,FALSE),IF(LEFT(C436,4)="SPDA",VLOOKUP(VALUE(RIGHT(C436,3)),'SPDA-COMP'!B:J,4,FALSE),IF(LEFT(C436,4)="SDAI",VLOOKUP(VALUE(RIGHT(C436,3)),'ADM-COMP'!B:J,4,FALSE),IF(LEFT(C436,5)="IMPER",VLOOKUP(VALUE(RIGHT(C436,3)),'IMPER-COMP'!B:J,4,FALSE),""))))))))))))))))</f>
        <v>APLICAÇÃO MANUAL DE MASSA ACRÍLICA EM PANOS DE FACHADA COM PRESENÇA DE VÃOS, DE EDIFÍCIOS DE MÚLTIPLOS PAVIMENTOS, DUAS DEMÃOS. AF_03/2024</v>
      </c>
      <c r="E436" s="338" t="str">
        <f>IF(B436="IOPES",VLOOKUP(C436,'LABOR-SERVIÇOS'!A:H,6,FALSE),IF(B436="SINAPI",VLOOKUP(C436,'SINAPI-SERVIÇOS'!A:D,3,FALSE),IF(LEFT(C436,3)="ARQ",VLOOKUP(VALUE(RIGHT(C436,3)),'ARQ-COMP'!B:J,5,FALSE),IF(LEFT(C436,3)="SCI",VLOOKUP(VALUE(RIGHT(C436,3)),'GAS-COMP'!#REF!,5,FALSE),IF(LEFT(C436,3)="SCE",VLOOKUP(VALUE(RIGHT(C436,3)),'SCE-COMP'!B:J,5,FALSE),IF(LEFT(C436,3)="EST",VLOOKUP(VALUE(RIGHT(C436,3)),'EST-COMP'!B:J,5,FALSE),IF(LEFT(C436,3)="HID",VLOOKUP(VALUE(RIGHT(C436,3)),'HID-COMP'!B:J,5,FALSE),IF(LEFT(C436,3)="INC",VLOOKUP(VALUE(RIGHT(C436,3)),'INC-COMP'!B:J,5,FALSE),IF(LEFT(C436,3)="ELE",VLOOKUP(VALUE(RIGHT(C436,3)),#REF!,5,FALSE),IF(LEFT(C436,3)="CAB",VLOOKUP(VALUE(RIGHT(C436,3)),#REF!,5,FALSE),IF(LEFT(C436,3)="SEG",VLOOKUP(VALUE(RIGHT(C436,3)),'SEG-COMP'!B:J,5,FALSE),IF(LEFT(C436,3)="CLI",VLOOKUP(VALUE(RIGHT(C436,3)),'CLI-COMP'!B:J,5,FALSE),IF(LEFT(C436,4)="IMPL",VLOOKUP(VALUE(RIGHT(C436,3)),'IMPL-COMP'!B:J,5,FALSE),IF(LEFT(C436,4)="SPDA",VLOOKUP(VALUE(RIGHT(C436,3)),'SPDA-COMP'!B:J,5,FALSE),IF(LEFT(C436,4)="SDAI",VLOOKUP(VALUE(RIGHT(C436,3)),'ADM-COMP'!B:J,5,FALSE),IF(LEFT(C436,5)="IMPER",VLOOKUP(VALUE(RIGHT(C436,3)),'IMPER-COMP'!B:J,5,FALSE),""))))))))))))))))</f>
        <v>M2</v>
      </c>
      <c r="F436" s="606">
        <f>ROUND(VLOOKUP(A436,'MEM-LEVANT'!A284:I2837,9,FALSE),2)</f>
        <v>813.12</v>
      </c>
      <c r="G436" s="339">
        <f>IF(B436="IOPES",VLOOKUP(C436,'LABOR-SERVIÇOS'!A:H,7,FALSE),IF(B436="SINAPI",VLOOKUP(C436,'SINAPI-SERVIÇOS'!A:H,8,FALSE),IF(LEFT(C436,3)="ARQ",VLOOKUP(VALUE(RIGHT(C436,3)),'ARQ-COMP'!B:J,9,FALSE),IF(LEFT(C436,3)="SCI",VLOOKUP(VALUE(RIGHT(C436,3)),'GAS-COMP'!#REF!,9,FALSE),IF(LEFT(C436,3)="SCE",VLOOKUP(VALUE(RIGHT(C436,3)),'SCE-COMP'!B:J,9,FALSE),IF(LEFT(C436,3)="EST",VLOOKUP(VALUE(RIGHT(C436,3)),'EST-COMP'!B:J,9,FALSE),IF(LEFT(C436,3)="HID",VLOOKUP(VALUE(RIGHT(C436,3)),'HID-COMP'!B:J,9,FALSE),IF(LEFT(C436,3)="INC",VLOOKUP(VALUE(RIGHT(C436,3)),'INC-COMP'!B:J,9,FALSE),IF(LEFT(C436,3)="ELE",VLOOKUP(VALUE(RIGHT(C436,3)),#REF!,9,FALSE),IF(LEFT(C436,3)="CAB",VLOOKUP(VALUE(RIGHT(C436,3)),#REF!,9,FALSE),IF(LEFT(C436,3)="SEG",VLOOKUP(VALUE(RIGHT(C436,3)),'SEG-COMP'!B:J,9,FALSE),IF(LEFT(C436,3)="CLI",VLOOKUP(VALUE(RIGHT(C436,3)),'CLI-COMP'!B:J,9,FALSE),IF(LEFT(C436,4)="IMPL",VLOOKUP(VALUE(RIGHT(C436,3)),'IMPL-COMP'!B:J,9,FALSE),IF(LEFT(C436,4)="SPDA",VLOOKUP(VALUE(RIGHT(C436,3)),'SPDA-COMP'!B:J,9,FALSE),IF(LEFT(C436,4)="SDAI",VLOOKUP(VALUE(RIGHT(C436,3)),'ADM-COMP'!B:J,9,FALSE),IF(LEFT(C436,5)="IMPER",VLOOKUP(VALUE(RIGHT(C436,3)),'IMPER-COMP'!B:J,9,FALSE),""))))))))))))))))</f>
        <v>44.12</v>
      </c>
      <c r="H436" s="339">
        <f t="shared" si="130"/>
        <v>35874.85</v>
      </c>
      <c r="I436" s="374">
        <f t="shared" si="131"/>
        <v>2.0975877512718248E-3</v>
      </c>
      <c r="J436" s="314"/>
    </row>
    <row r="437" spans="1:10" ht="39.6">
      <c r="A437" s="613" t="s">
        <v>35556</v>
      </c>
      <c r="B437" s="337" t="s">
        <v>29</v>
      </c>
      <c r="C437" s="540" t="s">
        <v>6536</v>
      </c>
      <c r="D437" s="539" t="str">
        <f>IF(B437="IOPES",VLOOKUP(C437,'LABOR-SERVIÇOS'!A:H,5,FALSE),IF(B437="SINAPI",VLOOKUP(C437,'SINAPI-SERVIÇOS'!A:D,2,FALSE),IF(LEFT(C437,3)="ARQ",VLOOKUP(VALUE(RIGHT(C437,3)),'ARQ-COMP'!B:J,4,FALSE),IF(LEFT(C437,3)="SCI",VLOOKUP(VALUE(RIGHT(C437,3)),'GAS-COMP'!#REF!,4,FALSE),IF(LEFT(C437,3)="SCE",VLOOKUP(VALUE(RIGHT(C437,3)),'SCE-COMP'!B:J,4,FALSE),IF(LEFT(C437,3)="EST",VLOOKUP(VALUE(RIGHT(C437,3)),'EST-COMP'!B:J,4,FALSE),IF(LEFT(C437,3)="HID",VLOOKUP(VALUE(RIGHT(C437,3)),'HID-COMP'!B:J,4,FALSE),IF(LEFT(C437,3)="INC",VLOOKUP(VALUE(RIGHT(C437,3)),'INC-COMP'!B:J,4,FALSE),IF(LEFT(C437,3)="ELE",VLOOKUP(VALUE(RIGHT(C437,3)),#REF!,4,FALSE),IF(LEFT(C437,3)="CAB",VLOOKUP(VALUE(RIGHT(C437,3)),#REF!,4,FALSE),IF(LEFT(C437,3)="SEG",VLOOKUP(VALUE(RIGHT(C437,3)),'SEG-COMP'!B:J,4,FALSE),IF(LEFT(C437,3)="CLI",VLOOKUP(VALUE(RIGHT(C437,3)),'CLI-COMP'!B:J,4,FALSE),IF(LEFT(C437,4)="IMPL",VLOOKUP(VALUE(RIGHT(C437,3)),'IMPL-COMP'!B:J,4,FALSE),IF(LEFT(C437,4)="SPDA",VLOOKUP(VALUE(RIGHT(C437,3)),'SPDA-COMP'!B:J,4,FALSE),IF(LEFT(C437,4)="SDAI",VLOOKUP(VALUE(RIGHT(C437,3)),'ADM-COMP'!B:J,4,FALSE),IF(LEFT(C437,5)="IMPER",VLOOKUP(VALUE(RIGHT(C437,3)),'IMPER-COMP'!B:J,4,FALSE),""))))))))))))))))</f>
        <v>APLICAÇÃO MANUAL DE TINTA LÁTEX ACRÍLICA EM PANOS COM PRESENÇA DE VÃOS DE EDIFÍCIOS DE MÚLTIPLOS PAVIMENTOS, DUAS DEMÃOS. AF_03/2024</v>
      </c>
      <c r="E437" s="338" t="str">
        <f>IF(B437="IOPES",VLOOKUP(C437,'LABOR-SERVIÇOS'!A:H,6,FALSE),IF(B437="SINAPI",VLOOKUP(C437,'SINAPI-SERVIÇOS'!A:D,3,FALSE),IF(LEFT(C437,3)="ARQ",VLOOKUP(VALUE(RIGHT(C437,3)),'ARQ-COMP'!B:J,5,FALSE),IF(LEFT(C437,3)="SCI",VLOOKUP(VALUE(RIGHT(C437,3)),'GAS-COMP'!#REF!,5,FALSE),IF(LEFT(C437,3)="SCE",VLOOKUP(VALUE(RIGHT(C437,3)),'SCE-COMP'!B:J,5,FALSE),IF(LEFT(C437,3)="EST",VLOOKUP(VALUE(RIGHT(C437,3)),'EST-COMP'!B:J,5,FALSE),IF(LEFT(C437,3)="HID",VLOOKUP(VALUE(RIGHT(C437,3)),'HID-COMP'!B:J,5,FALSE),IF(LEFT(C437,3)="INC",VLOOKUP(VALUE(RIGHT(C437,3)),'INC-COMP'!B:J,5,FALSE),IF(LEFT(C437,3)="ELE",VLOOKUP(VALUE(RIGHT(C437,3)),#REF!,5,FALSE),IF(LEFT(C437,3)="CAB",VLOOKUP(VALUE(RIGHT(C437,3)),#REF!,5,FALSE),IF(LEFT(C437,3)="SEG",VLOOKUP(VALUE(RIGHT(C437,3)),'SEG-COMP'!B:J,5,FALSE),IF(LEFT(C437,3)="CLI",VLOOKUP(VALUE(RIGHT(C437,3)),'CLI-COMP'!B:J,5,FALSE),IF(LEFT(C437,4)="IMPL",VLOOKUP(VALUE(RIGHT(C437,3)),'IMPL-COMP'!B:J,5,FALSE),IF(LEFT(C437,4)="SPDA",VLOOKUP(VALUE(RIGHT(C437,3)),'SPDA-COMP'!B:J,5,FALSE),IF(LEFT(C437,4)="SDAI",VLOOKUP(VALUE(RIGHT(C437,3)),'ADM-COMP'!B:J,5,FALSE),IF(LEFT(C437,5)="IMPER",VLOOKUP(VALUE(RIGHT(C437,3)),'IMPER-COMP'!B:J,5,FALSE),""))))))))))))))))</f>
        <v>M2</v>
      </c>
      <c r="F437" s="606">
        <f>ROUND(VLOOKUP(A437,'MEM-LEVANT'!A285:I2838,9,FALSE),2)</f>
        <v>813.12</v>
      </c>
      <c r="G437" s="339">
        <f>IF(B437="IOPES",VLOOKUP(C437,'LABOR-SERVIÇOS'!A:H,7,FALSE),IF(B437="SINAPI",VLOOKUP(C437,'SINAPI-SERVIÇOS'!A:H,8,FALSE),IF(LEFT(C437,3)="ARQ",VLOOKUP(VALUE(RIGHT(C437,3)),'ARQ-COMP'!B:J,9,FALSE),IF(LEFT(C437,3)="SCI",VLOOKUP(VALUE(RIGHT(C437,3)),'GAS-COMP'!#REF!,9,FALSE),IF(LEFT(C437,3)="SCE",VLOOKUP(VALUE(RIGHT(C437,3)),'SCE-COMP'!B:J,9,FALSE),IF(LEFT(C437,3)="EST",VLOOKUP(VALUE(RIGHT(C437,3)),'EST-COMP'!B:J,9,FALSE),IF(LEFT(C437,3)="HID",VLOOKUP(VALUE(RIGHT(C437,3)),'HID-COMP'!B:J,9,FALSE),IF(LEFT(C437,3)="INC",VLOOKUP(VALUE(RIGHT(C437,3)),'INC-COMP'!B:J,9,FALSE),IF(LEFT(C437,3)="ELE",VLOOKUP(VALUE(RIGHT(C437,3)),#REF!,9,FALSE),IF(LEFT(C437,3)="CAB",VLOOKUP(VALUE(RIGHT(C437,3)),#REF!,9,FALSE),IF(LEFT(C437,3)="SEG",VLOOKUP(VALUE(RIGHT(C437,3)),'SEG-COMP'!B:J,9,FALSE),IF(LEFT(C437,3)="CLI",VLOOKUP(VALUE(RIGHT(C437,3)),'CLI-COMP'!B:J,9,FALSE),IF(LEFT(C437,4)="IMPL",VLOOKUP(VALUE(RIGHT(C437,3)),'IMPL-COMP'!B:J,9,FALSE),IF(LEFT(C437,4)="SPDA",VLOOKUP(VALUE(RIGHT(C437,3)),'SPDA-COMP'!B:J,9,FALSE),IF(LEFT(C437,4)="SDAI",VLOOKUP(VALUE(RIGHT(C437,3)),'ADM-COMP'!B:J,9,FALSE),IF(LEFT(C437,5)="IMPER",VLOOKUP(VALUE(RIGHT(C437,3)),'IMPER-COMP'!B:J,9,FALSE),""))))))))))))))))</f>
        <v>20.329999999999998</v>
      </c>
      <c r="H437" s="339">
        <f t="shared" si="130"/>
        <v>16530.73</v>
      </c>
      <c r="I437" s="374">
        <f t="shared" si="131"/>
        <v>9.665449964970361E-4</v>
      </c>
      <c r="J437" s="314"/>
    </row>
    <row r="438" spans="1:10" ht="39.6">
      <c r="A438" s="613" t="s">
        <v>35807</v>
      </c>
      <c r="B438" s="337" t="s">
        <v>29</v>
      </c>
      <c r="C438" s="540">
        <v>104590</v>
      </c>
      <c r="D438" s="539" t="s">
        <v>34765</v>
      </c>
      <c r="E438" s="338" t="s">
        <v>73</v>
      </c>
      <c r="F438" s="606">
        <f>ROUND(VLOOKUP(A438,'MEM-LEVANT'!A286:I2839,9,FALSE),2)</f>
        <v>783.36</v>
      </c>
      <c r="G438" s="339">
        <f>228.19*(1+$K$4)</f>
        <v>298.95171900000003</v>
      </c>
      <c r="H438" s="339">
        <f t="shared" ref="H438" si="132">ROUND(F438*G438,2)</f>
        <v>234186.82</v>
      </c>
      <c r="I438" s="374">
        <f t="shared" ref="I438" si="133">H438/$H$441</f>
        <v>1.369280722125109E-2</v>
      </c>
      <c r="J438" s="314"/>
    </row>
    <row r="439" spans="1:10">
      <c r="A439" s="570"/>
      <c r="B439" s="569"/>
      <c r="C439" s="569"/>
      <c r="D439" s="571" t="s">
        <v>35485</v>
      </c>
      <c r="E439" s="572"/>
      <c r="F439" s="600"/>
      <c r="G439" s="573"/>
      <c r="H439" s="574">
        <f>SUM(H435:H438)</f>
        <v>291828.89</v>
      </c>
      <c r="I439" s="575">
        <f>H439/$H$441</f>
        <v>1.7063115389506934E-2</v>
      </c>
      <c r="J439" s="314"/>
    </row>
    <row r="440" spans="1:10">
      <c r="A440" s="373"/>
      <c r="B440" s="337"/>
      <c r="C440" s="337"/>
      <c r="D440" s="578"/>
      <c r="E440" s="338"/>
      <c r="F440" s="606"/>
      <c r="G440" s="339"/>
      <c r="H440" s="375"/>
      <c r="I440" s="579"/>
      <c r="J440" s="314"/>
    </row>
    <row r="441" spans="1:10">
      <c r="A441" s="712" t="s">
        <v>35819</v>
      </c>
      <c r="B441" s="713"/>
      <c r="C441" s="713"/>
      <c r="D441" s="713"/>
      <c r="E441" s="713"/>
      <c r="F441" s="713"/>
      <c r="G441" s="714"/>
      <c r="H441" s="576">
        <f>H439+H431+H405+H386+H378+H351+H277+H208+H156+H144+H134+H129+H123+H109+H91+H80+H44+H57</f>
        <v>17102907.841756843</v>
      </c>
      <c r="I441" s="577">
        <f>I439+I431+I405+I386+I378+I351+I277+I208+I156+I144+I134+I129+I123+I109+I91+I80+I44</f>
        <v>0.97526312169167706</v>
      </c>
      <c r="J441" s="314"/>
    </row>
    <row r="442" spans="1:10">
      <c r="A442" s="613"/>
      <c r="B442" s="337"/>
      <c r="C442" s="540"/>
      <c r="D442" s="539"/>
      <c r="E442" s="338"/>
      <c r="F442" s="599"/>
      <c r="G442" s="339"/>
      <c r="H442" s="339"/>
      <c r="I442" s="374"/>
      <c r="J442" s="314"/>
    </row>
    <row r="443" spans="1:10" s="12" customFormat="1">
      <c r="A443" s="700"/>
      <c r="B443" s="701"/>
      <c r="C443" s="701"/>
      <c r="D443" s="701"/>
      <c r="E443" s="701"/>
      <c r="F443" s="701"/>
      <c r="G443" s="701"/>
      <c r="H443" s="702"/>
      <c r="I443" s="379"/>
    </row>
    <row r="444" spans="1:10" s="12" customFormat="1">
      <c r="A444" s="700" t="s">
        <v>11209</v>
      </c>
      <c r="B444" s="701"/>
      <c r="C444" s="701"/>
      <c r="D444" s="701"/>
      <c r="E444" s="701"/>
      <c r="F444" s="701"/>
      <c r="G444" s="701"/>
      <c r="H444" s="702"/>
      <c r="I444" s="379"/>
    </row>
    <row r="445" spans="1:10" s="12" customFormat="1" ht="15.6">
      <c r="A445" s="709"/>
      <c r="B445" s="710"/>
      <c r="C445" s="710"/>
      <c r="D445" s="710"/>
      <c r="E445" s="710"/>
      <c r="F445" s="710"/>
      <c r="G445" s="710"/>
      <c r="H445" s="710"/>
      <c r="I445" s="711"/>
    </row>
    <row r="446" spans="1:10" s="12" customFormat="1" ht="15.75" customHeight="1">
      <c r="A446" s="709"/>
      <c r="B446" s="710"/>
      <c r="C446" s="710"/>
      <c r="D446" s="710"/>
      <c r="E446" s="710"/>
      <c r="F446" s="710"/>
      <c r="G446" s="710"/>
      <c r="H446" s="710"/>
      <c r="I446" s="711"/>
    </row>
    <row r="447" spans="1:10" s="12" customFormat="1" ht="16.2" thickBot="1">
      <c r="A447" s="685"/>
      <c r="B447" s="686"/>
      <c r="C447" s="686"/>
      <c r="D447" s="686"/>
      <c r="E447" s="686"/>
      <c r="F447" s="686"/>
      <c r="G447" s="686"/>
      <c r="H447" s="687"/>
      <c r="I447" s="380"/>
    </row>
    <row r="448" spans="1:10" s="12" customFormat="1" ht="20.100000000000001" customHeight="1" thickTop="1">
      <c r="A448" s="528"/>
      <c r="B448" s="528"/>
      <c r="C448" s="180"/>
      <c r="D448" s="532"/>
      <c r="E448" s="180"/>
      <c r="F448" s="602"/>
      <c r="G448" s="251"/>
      <c r="H448" s="251"/>
    </row>
    <row r="449" spans="1:8" s="12" customFormat="1" ht="20.100000000000001" customHeight="1">
      <c r="A449" s="178"/>
      <c r="B449" s="178"/>
      <c r="C449" s="178"/>
      <c r="D449" s="533"/>
      <c r="E449" s="178"/>
      <c r="F449" s="603"/>
      <c r="G449" s="252"/>
      <c r="H449" s="253"/>
    </row>
    <row r="451" spans="1:8">
      <c r="H451" s="313"/>
    </row>
  </sheetData>
  <autoFilter ref="A5:I447" xr:uid="{00000000-0001-0000-0100-000000000000}"/>
  <mergeCells count="11">
    <mergeCell ref="A447:H447"/>
    <mergeCell ref="A1:I1"/>
    <mergeCell ref="G2:I2"/>
    <mergeCell ref="G3:I3"/>
    <mergeCell ref="A4:I4"/>
    <mergeCell ref="A444:H444"/>
    <mergeCell ref="A443:H443"/>
    <mergeCell ref="A2:F3"/>
    <mergeCell ref="A445:I445"/>
    <mergeCell ref="A446:I446"/>
    <mergeCell ref="A441:G441"/>
  </mergeCells>
  <phoneticPr fontId="125" type="noConversion"/>
  <printOptions horizontalCentered="1" gridLines="1"/>
  <pageMargins left="0.23622047244094491" right="0.23622047244094491" top="0.74803149606299213" bottom="0.74803149606299213" header="0.31496062992125984" footer="0.31496062992125984"/>
  <pageSetup paperSize="9" scale="60" orientation="portrait" r:id="rId1"/>
  <headerFooter>
    <oddFooter>&amp;C&amp;P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2613"/>
  <sheetViews>
    <sheetView view="pageBreakPreview" topLeftCell="A309" zoomScaleSheetLayoutView="100" workbookViewId="0">
      <selection activeCell="I334" sqref="I334"/>
    </sheetView>
  </sheetViews>
  <sheetFormatPr defaultRowHeight="14.4"/>
  <cols>
    <col min="1" max="1" width="12.5546875" bestFit="1" customWidth="1"/>
    <col min="2" max="2" width="64.5546875" style="13" customWidth="1"/>
    <col min="3" max="3" width="12" bestFit="1" customWidth="1"/>
    <col min="4" max="4" width="14.33203125" style="284" bestFit="1" customWidth="1"/>
    <col min="5" max="5" width="9.109375" style="284"/>
    <col min="6" max="6" width="10.109375" style="284" bestFit="1" customWidth="1"/>
    <col min="7" max="7" width="12.5546875" style="284" customWidth="1"/>
    <col min="8" max="8" width="10.5546875" style="284" bestFit="1" customWidth="1"/>
    <col min="9" max="9" width="16" style="284" bestFit="1" customWidth="1"/>
    <col min="11" max="11" width="10.5546875" style="15" bestFit="1" customWidth="1"/>
    <col min="12" max="12" width="9.5546875" bestFit="1" customWidth="1"/>
    <col min="14" max="14" width="10.5546875" bestFit="1" customWidth="1"/>
  </cols>
  <sheetData>
    <row r="1" spans="1:11" ht="45" customHeight="1">
      <c r="A1" s="723"/>
      <c r="B1" s="724"/>
      <c r="C1" s="724"/>
      <c r="D1" s="724"/>
      <c r="E1" s="724"/>
      <c r="F1" s="724"/>
      <c r="G1" s="724"/>
      <c r="H1" s="724"/>
      <c r="I1" s="725"/>
      <c r="K1"/>
    </row>
    <row r="2" spans="1:11" ht="15.6">
      <c r="A2" s="154"/>
      <c r="B2" s="735">
        <f>GLOBAL!A2</f>
        <v>0</v>
      </c>
      <c r="C2" s="735"/>
      <c r="D2" s="735"/>
      <c r="E2" s="735"/>
      <c r="F2" s="735"/>
      <c r="G2" s="735"/>
      <c r="H2" s="735"/>
      <c r="I2" s="260"/>
      <c r="K2"/>
    </row>
    <row r="3" spans="1:11">
      <c r="A3" s="726"/>
      <c r="B3" s="727"/>
      <c r="C3" s="727"/>
      <c r="D3" s="727"/>
      <c r="E3" s="727"/>
      <c r="F3" s="727"/>
      <c r="G3" s="727"/>
      <c r="H3" s="727"/>
      <c r="I3" s="728"/>
      <c r="K3"/>
    </row>
    <row r="4" spans="1:11">
      <c r="A4" s="77"/>
      <c r="B4" s="76"/>
      <c r="C4" s="76"/>
      <c r="D4" s="261"/>
      <c r="E4" s="261"/>
      <c r="F4" s="261"/>
      <c r="G4" s="262"/>
      <c r="H4" s="261"/>
      <c r="I4" s="263"/>
      <c r="K4"/>
    </row>
    <row r="5" spans="1:11" ht="15.6">
      <c r="A5" s="729" t="s">
        <v>62</v>
      </c>
      <c r="B5" s="730"/>
      <c r="C5" s="730"/>
      <c r="D5" s="730"/>
      <c r="E5" s="730"/>
      <c r="F5" s="730"/>
      <c r="G5" s="730"/>
      <c r="H5" s="730"/>
      <c r="I5" s="731"/>
      <c r="K5"/>
    </row>
    <row r="6" spans="1:11" ht="28.8">
      <c r="A6" s="119" t="s">
        <v>25</v>
      </c>
      <c r="B6" s="153" t="s">
        <v>63</v>
      </c>
      <c r="C6" s="119" t="s">
        <v>64</v>
      </c>
      <c r="D6" s="732" t="s">
        <v>1785</v>
      </c>
      <c r="E6" s="733"/>
      <c r="F6" s="733"/>
      <c r="G6" s="733"/>
      <c r="H6" s="734"/>
      <c r="I6" s="264" t="s">
        <v>65</v>
      </c>
    </row>
    <row r="7" spans="1:11">
      <c r="A7" s="173" t="s">
        <v>6</v>
      </c>
      <c r="B7" s="171" t="str">
        <f>VLOOKUP(A7,GLOBAL!A:H,4,FALSE)</f>
        <v>SERVIÇOS PRELIMINARES</v>
      </c>
      <c r="C7" s="172"/>
      <c r="D7" s="265"/>
      <c r="E7" s="265"/>
      <c r="F7" s="265"/>
      <c r="G7" s="265"/>
      <c r="H7" s="265"/>
      <c r="I7" s="266"/>
    </row>
    <row r="8" spans="1:11">
      <c r="A8" s="173" t="s">
        <v>27</v>
      </c>
      <c r="B8" s="171" t="str">
        <f>VLOOKUP(A8,GLOBAL!A:H,4,FALSE)</f>
        <v>LIMPEZA DO TERRENO</v>
      </c>
      <c r="C8" s="172"/>
      <c r="D8" s="265"/>
      <c r="E8" s="265"/>
      <c r="F8" s="265"/>
      <c r="G8" s="265"/>
      <c r="H8" s="265"/>
      <c r="I8" s="266"/>
    </row>
    <row r="9" spans="1:11">
      <c r="A9" s="119" t="s">
        <v>28</v>
      </c>
      <c r="B9" s="120" t="str">
        <f>VLOOKUP(A9,GLOBAL!A:H,4,FALSE)</f>
        <v>CORTE DE CAPOEIRA FINA, A FOICE (MANUAL)</v>
      </c>
      <c r="C9" s="119" t="str">
        <f>VLOOKUP(A9,GLOBAL!A:H,5,FALSE)</f>
        <v>M2</v>
      </c>
      <c r="D9" s="267" t="s">
        <v>66</v>
      </c>
      <c r="E9" s="267" t="s">
        <v>70</v>
      </c>
      <c r="F9" s="267" t="s">
        <v>67</v>
      </c>
      <c r="G9" s="267" t="s">
        <v>68</v>
      </c>
      <c r="H9" s="267"/>
      <c r="I9" s="268">
        <f>ROUND(SUM(I10:I12),2)</f>
        <v>5355.9</v>
      </c>
    </row>
    <row r="10" spans="1:11">
      <c r="A10" s="194"/>
      <c r="B10" s="187" t="s">
        <v>2874</v>
      </c>
      <c r="C10" s="188"/>
      <c r="D10" s="368"/>
      <c r="E10" s="368"/>
      <c r="F10" s="269"/>
      <c r="G10" s="269"/>
      <c r="H10" s="269"/>
      <c r="I10" s="270"/>
    </row>
    <row r="11" spans="1:11">
      <c r="A11" s="195"/>
      <c r="B11" s="189" t="s">
        <v>35486</v>
      </c>
      <c r="C11" s="367"/>
      <c r="D11" s="721">
        <v>5355.9</v>
      </c>
      <c r="E11" s="722"/>
      <c r="F11" s="279"/>
      <c r="G11" s="271"/>
      <c r="H11" s="271"/>
      <c r="I11" s="259">
        <f>D11</f>
        <v>5355.9</v>
      </c>
    </row>
    <row r="12" spans="1:11">
      <c r="A12" s="196"/>
      <c r="B12" s="191"/>
      <c r="C12" s="192"/>
      <c r="D12" s="369"/>
      <c r="E12" s="369"/>
      <c r="F12" s="272"/>
      <c r="G12" s="273"/>
      <c r="H12" s="273"/>
      <c r="I12" s="274"/>
    </row>
    <row r="13" spans="1:11">
      <c r="A13" s="135"/>
      <c r="B13" s="170"/>
      <c r="C13" s="136"/>
      <c r="D13" s="275"/>
      <c r="E13" s="275"/>
      <c r="F13" s="275"/>
      <c r="G13" s="276"/>
      <c r="H13" s="276"/>
      <c r="I13" s="277"/>
    </row>
    <row r="14" spans="1:11">
      <c r="A14" s="119" t="s">
        <v>30</v>
      </c>
      <c r="B14" s="120" t="str">
        <f>VLOOKUP(A14,GLOBAL!A:H,4,FALSE)</f>
        <v>CORTE E DESTOCAMENTO DE ÁRVORES COM DIÂMETRO DE ATÉ 15 CM</v>
      </c>
      <c r="C14" s="119" t="str">
        <f>VLOOKUP(A14,GLOBAL!A:H,5,FALSE)</f>
        <v>UND</v>
      </c>
      <c r="D14" s="267" t="s">
        <v>66</v>
      </c>
      <c r="E14" s="267" t="s">
        <v>70</v>
      </c>
      <c r="F14" s="267" t="s">
        <v>67</v>
      </c>
      <c r="G14" s="267" t="s">
        <v>68</v>
      </c>
      <c r="H14" s="267"/>
      <c r="I14" s="268">
        <f>ROUND(SUM(I15:I17),2)</f>
        <v>5</v>
      </c>
    </row>
    <row r="15" spans="1:11">
      <c r="A15" s="194"/>
      <c r="B15" s="187" t="s">
        <v>2874</v>
      </c>
      <c r="C15" s="188"/>
      <c r="D15" s="368"/>
      <c r="E15" s="368"/>
      <c r="F15" s="269"/>
      <c r="G15" s="269"/>
      <c r="H15" s="269"/>
      <c r="I15" s="270"/>
    </row>
    <row r="16" spans="1:11">
      <c r="A16" s="195"/>
      <c r="B16" s="189" t="s">
        <v>35488</v>
      </c>
      <c r="C16" s="367"/>
      <c r="D16" s="721"/>
      <c r="E16" s="722"/>
      <c r="F16" s="279"/>
      <c r="G16" s="271">
        <v>5</v>
      </c>
      <c r="H16" s="271"/>
      <c r="I16" s="259">
        <f>G16</f>
        <v>5</v>
      </c>
    </row>
    <row r="17" spans="1:9">
      <c r="A17" s="196"/>
      <c r="B17" s="191"/>
      <c r="C17" s="192"/>
      <c r="D17" s="369"/>
      <c r="E17" s="369"/>
      <c r="F17" s="272"/>
      <c r="G17" s="273"/>
      <c r="H17" s="273"/>
      <c r="I17" s="274"/>
    </row>
    <row r="18" spans="1:9">
      <c r="A18" s="135"/>
      <c r="B18" s="170"/>
      <c r="C18" s="136"/>
      <c r="D18" s="275"/>
      <c r="E18" s="275"/>
      <c r="F18" s="275"/>
      <c r="G18" s="276"/>
      <c r="H18" s="276"/>
      <c r="I18" s="277"/>
    </row>
    <row r="19" spans="1:9" ht="28.8">
      <c r="A19" s="119" t="s">
        <v>32</v>
      </c>
      <c r="B19" s="120" t="str">
        <f>VLOOKUP(A19,GLOBAL!A:H,4,FALSE)</f>
        <v>CORTE E DESTOCAMENTO DE ÁRVORES COM DIÂMETRO SUPERIOR A 30 CM</v>
      </c>
      <c r="C19" s="119" t="str">
        <f>VLOOKUP(A19,GLOBAL!A:H,5,FALSE)</f>
        <v>UND</v>
      </c>
      <c r="D19" s="267" t="s">
        <v>66</v>
      </c>
      <c r="E19" s="267" t="s">
        <v>70</v>
      </c>
      <c r="F19" s="267" t="s">
        <v>67</v>
      </c>
      <c r="G19" s="267" t="s">
        <v>68</v>
      </c>
      <c r="H19" s="267"/>
      <c r="I19" s="268">
        <f>ROUND(SUM(I20:I22),2)</f>
        <v>1</v>
      </c>
    </row>
    <row r="20" spans="1:9">
      <c r="A20" s="194"/>
      <c r="B20" s="187" t="s">
        <v>2874</v>
      </c>
      <c r="C20" s="188"/>
      <c r="D20" s="368"/>
      <c r="E20" s="368"/>
      <c r="F20" s="269"/>
      <c r="G20" s="269"/>
      <c r="H20" s="269"/>
      <c r="I20" s="270"/>
    </row>
    <row r="21" spans="1:9">
      <c r="A21" s="195"/>
      <c r="B21" s="189" t="s">
        <v>35488</v>
      </c>
      <c r="C21" s="367"/>
      <c r="D21" s="721"/>
      <c r="E21" s="722"/>
      <c r="F21" s="279"/>
      <c r="G21" s="271">
        <v>1</v>
      </c>
      <c r="H21" s="271"/>
      <c r="I21" s="259">
        <f>G21</f>
        <v>1</v>
      </c>
    </row>
    <row r="22" spans="1:9">
      <c r="A22" s="196"/>
      <c r="B22" s="191"/>
      <c r="C22" s="192"/>
      <c r="D22" s="369"/>
      <c r="E22" s="369"/>
      <c r="F22" s="272"/>
      <c r="G22" s="273"/>
      <c r="H22" s="273"/>
      <c r="I22" s="274"/>
    </row>
    <row r="23" spans="1:9">
      <c r="A23" s="135"/>
      <c r="B23" s="170"/>
      <c r="C23" s="136"/>
      <c r="D23" s="275"/>
      <c r="E23" s="275"/>
      <c r="F23" s="275"/>
      <c r="G23" s="276"/>
      <c r="H23" s="276"/>
      <c r="I23" s="277"/>
    </row>
    <row r="24" spans="1:9">
      <c r="A24" s="119" t="s">
        <v>33</v>
      </c>
      <c r="B24" s="120" t="str">
        <f>VLOOKUP(A24,GLOBAL!A:H,4,FALSE)</f>
        <v>REGULARIZAÇÃO DE SUPERFÍCIES COM MOTONIVELADORA. AF_09/2024</v>
      </c>
      <c r="C24" s="119" t="str">
        <f>VLOOKUP(A24,GLOBAL!A:H,5,FALSE)</f>
        <v>M2</v>
      </c>
      <c r="D24" s="267" t="s">
        <v>66</v>
      </c>
      <c r="E24" s="267" t="s">
        <v>70</v>
      </c>
      <c r="F24" s="267" t="s">
        <v>67</v>
      </c>
      <c r="G24" s="267" t="s">
        <v>68</v>
      </c>
      <c r="H24" s="267"/>
      <c r="I24" s="268">
        <f>ROUND(SUM(I25:I27),2)</f>
        <v>5355.9</v>
      </c>
    </row>
    <row r="25" spans="1:9">
      <c r="A25" s="194"/>
      <c r="B25" s="187" t="s">
        <v>2874</v>
      </c>
      <c r="C25" s="188"/>
      <c r="D25" s="368"/>
      <c r="E25" s="368"/>
      <c r="F25" s="269"/>
      <c r="G25" s="269"/>
      <c r="H25" s="269"/>
      <c r="I25" s="270"/>
    </row>
    <row r="26" spans="1:9">
      <c r="A26" s="195"/>
      <c r="B26" s="189" t="s">
        <v>35487</v>
      </c>
      <c r="C26" s="367"/>
      <c r="D26" s="721">
        <v>5355.9</v>
      </c>
      <c r="E26" s="722"/>
      <c r="F26" s="279"/>
      <c r="G26" s="271">
        <v>1</v>
      </c>
      <c r="H26" s="271"/>
      <c r="I26" s="259">
        <f>D26</f>
        <v>5355.9</v>
      </c>
    </row>
    <row r="27" spans="1:9">
      <c r="A27" s="196"/>
      <c r="B27" s="191"/>
      <c r="C27" s="192"/>
      <c r="D27" s="369"/>
      <c r="E27" s="369"/>
      <c r="F27" s="272"/>
      <c r="G27" s="273"/>
      <c r="H27" s="273"/>
      <c r="I27" s="274"/>
    </row>
    <row r="28" spans="1:9">
      <c r="A28" s="135"/>
      <c r="B28" s="170"/>
      <c r="C28" s="136"/>
      <c r="D28" s="275"/>
      <c r="E28" s="275"/>
      <c r="F28" s="275"/>
      <c r="G28" s="276"/>
      <c r="H28" s="276"/>
      <c r="I28" s="277"/>
    </row>
    <row r="29" spans="1:9">
      <c r="A29" s="173" t="s">
        <v>15127</v>
      </c>
      <c r="B29" s="171" t="str">
        <f>VLOOKUP(A29,GLOBAL!A:H,4,FALSE)</f>
        <v>LOCAÇÃO</v>
      </c>
      <c r="C29" s="172"/>
      <c r="D29" s="265"/>
      <c r="E29" s="265"/>
      <c r="F29" s="265"/>
      <c r="G29" s="265"/>
      <c r="H29" s="265"/>
      <c r="I29" s="266"/>
    </row>
    <row r="30" spans="1:9">
      <c r="A30" s="119" t="s">
        <v>15128</v>
      </c>
      <c r="B30" s="258" t="str">
        <f>VLOOKUP(A30,GLOBAL!A:H,4,FALSE)</f>
        <v>LOCAÇÃO DE OBRA COM GABARITO DE MADEIRA</v>
      </c>
      <c r="C30" s="119" t="str">
        <f>VLOOKUP(A30,GLOBAL!A:H,5,FALSE)</f>
        <v>M2</v>
      </c>
      <c r="D30" s="267" t="s">
        <v>66</v>
      </c>
      <c r="E30" s="267" t="s">
        <v>70</v>
      </c>
      <c r="F30" s="267" t="s">
        <v>67</v>
      </c>
      <c r="G30" s="267" t="s">
        <v>68</v>
      </c>
      <c r="H30" s="267"/>
      <c r="I30" s="268">
        <f>ROUND(SUM(I31:I34),2)</f>
        <v>1502.79</v>
      </c>
    </row>
    <row r="31" spans="1:9">
      <c r="A31" s="194"/>
      <c r="B31" s="187" t="s">
        <v>2874</v>
      </c>
      <c r="C31" s="188"/>
      <c r="D31" s="269"/>
      <c r="E31" s="269"/>
      <c r="F31" s="269"/>
      <c r="G31" s="269"/>
      <c r="H31" s="269"/>
      <c r="I31" s="270"/>
    </row>
    <row r="32" spans="1:9">
      <c r="A32" s="195"/>
      <c r="B32" s="189" t="s">
        <v>35489</v>
      </c>
      <c r="C32" s="367"/>
      <c r="D32" s="365">
        <f>32.3+8</f>
        <v>40.299999999999997</v>
      </c>
      <c r="E32" s="278">
        <v>25.3</v>
      </c>
      <c r="F32" s="365"/>
      <c r="G32" s="271">
        <v>1</v>
      </c>
      <c r="H32" s="271"/>
      <c r="I32" s="259">
        <f>D32*E32</f>
        <v>1019.5899999999999</v>
      </c>
    </row>
    <row r="33" spans="1:9">
      <c r="A33" s="195"/>
      <c r="B33" s="189" t="s">
        <v>35489</v>
      </c>
      <c r="C33" s="367"/>
      <c r="D33" s="365">
        <v>32</v>
      </c>
      <c r="E33" s="278">
        <v>15.1</v>
      </c>
      <c r="F33" s="365"/>
      <c r="G33" s="271">
        <v>1</v>
      </c>
      <c r="H33" s="271"/>
      <c r="I33" s="259">
        <f>D33*E33</f>
        <v>483.2</v>
      </c>
    </row>
    <row r="34" spans="1:9">
      <c r="A34" s="196"/>
      <c r="B34" s="193"/>
      <c r="C34" s="192"/>
      <c r="D34" s="272"/>
      <c r="E34" s="272"/>
      <c r="F34" s="272"/>
      <c r="G34" s="273"/>
      <c r="H34" s="273"/>
      <c r="I34" s="274"/>
    </row>
    <row r="35" spans="1:9">
      <c r="A35" s="135"/>
      <c r="B35" s="170"/>
      <c r="C35" s="136"/>
      <c r="D35" s="275"/>
      <c r="E35" s="275"/>
      <c r="F35" s="275"/>
      <c r="G35" s="276"/>
      <c r="H35" s="276"/>
      <c r="I35" s="277"/>
    </row>
    <row r="36" spans="1:9" ht="43.2">
      <c r="A36" s="119" t="s">
        <v>35253</v>
      </c>
      <c r="B36" s="258" t="str">
        <f>VLOOKUP(A36,GLOBAL!A:H,4,FALSE)</f>
        <v>EQUIPE TOPOGRÁFICA PARA SERVIÇOS SIMPLES DE LOCAÇÃO E NIVELAMENTO (INCLUINDO EQUIPAMENTO, TRANSPORTE E PROFISSIONAIS NIVEL MÉDIO)</v>
      </c>
      <c r="C36" s="119" t="str">
        <f>VLOOKUP(A36,GLOBAL!A:H,5,FALSE)</f>
        <v>MÊS</v>
      </c>
      <c r="D36" s="267" t="s">
        <v>66</v>
      </c>
      <c r="E36" s="267" t="s">
        <v>70</v>
      </c>
      <c r="F36" s="267" t="s">
        <v>67</v>
      </c>
      <c r="G36" s="267" t="s">
        <v>68</v>
      </c>
      <c r="H36" s="267"/>
      <c r="I36" s="268">
        <f>ROUND(SUM(I37:I39),2)</f>
        <v>0.35</v>
      </c>
    </row>
    <row r="37" spans="1:9">
      <c r="A37" s="194"/>
      <c r="B37" s="187" t="s">
        <v>2874</v>
      </c>
      <c r="C37" s="188"/>
      <c r="D37" s="269"/>
      <c r="E37" s="269"/>
      <c r="F37" s="269"/>
      <c r="G37" s="269"/>
      <c r="H37" s="269"/>
      <c r="I37" s="270"/>
    </row>
    <row r="38" spans="1:9">
      <c r="A38" s="195"/>
      <c r="B38" s="189" t="s">
        <v>35493</v>
      </c>
      <c r="C38" s="367"/>
      <c r="D38" s="365"/>
      <c r="E38" s="278"/>
      <c r="F38" s="365"/>
      <c r="G38" s="271">
        <v>0.35</v>
      </c>
      <c r="H38" s="271"/>
      <c r="I38" s="259">
        <f>G38</f>
        <v>0.35</v>
      </c>
    </row>
    <row r="39" spans="1:9">
      <c r="A39" s="196"/>
      <c r="B39" s="193"/>
      <c r="C39" s="192"/>
      <c r="D39" s="272"/>
      <c r="E39" s="272"/>
      <c r="F39" s="272"/>
      <c r="G39" s="273"/>
      <c r="H39" s="273"/>
      <c r="I39" s="274"/>
    </row>
    <row r="40" spans="1:9">
      <c r="A40" s="135"/>
      <c r="B40" s="170"/>
      <c r="C40" s="136"/>
      <c r="D40" s="275"/>
      <c r="E40" s="275"/>
      <c r="F40" s="275"/>
      <c r="G40" s="276"/>
      <c r="H40" s="276"/>
      <c r="I40" s="277"/>
    </row>
    <row r="41" spans="1:9">
      <c r="A41" s="173" t="s">
        <v>27067</v>
      </c>
      <c r="B41" s="171" t="str">
        <f>VLOOKUP(A41,GLOBAL!A:H,4,FALSE)</f>
        <v>INSTALAÇÃO DO CANTEIRO DE OBRAS</v>
      </c>
      <c r="C41" s="172"/>
      <c r="D41" s="265"/>
      <c r="E41" s="265"/>
      <c r="F41" s="265"/>
      <c r="G41" s="265"/>
      <c r="H41" s="265"/>
      <c r="I41" s="266"/>
    </row>
    <row r="42" spans="1:9">
      <c r="A42" s="119" t="s">
        <v>27068</v>
      </c>
      <c r="B42" s="258" t="str">
        <f>VLOOKUP(A42,GLOBAL!A:H,4,FALSE)</f>
        <v>PLACA DE OBRA NAS DIMENSÕES DE 2.0 X 4.0 M, PADRÃO DER</v>
      </c>
      <c r="C42" s="119" t="str">
        <f>VLOOKUP(A42,GLOBAL!A:H,5,FALSE)</f>
        <v>M2</v>
      </c>
      <c r="D42" s="267" t="s">
        <v>66</v>
      </c>
      <c r="E42" s="267" t="s">
        <v>70</v>
      </c>
      <c r="F42" s="267" t="s">
        <v>67</v>
      </c>
      <c r="G42" s="267" t="s">
        <v>68</v>
      </c>
      <c r="H42" s="267"/>
      <c r="I42" s="268">
        <f>ROUND(SUM(I43:I45),2)</f>
        <v>8</v>
      </c>
    </row>
    <row r="43" spans="1:9">
      <c r="A43" s="194"/>
      <c r="B43" s="187" t="s">
        <v>2874</v>
      </c>
      <c r="C43" s="188"/>
      <c r="D43" s="269"/>
      <c r="E43" s="269"/>
      <c r="F43" s="269"/>
      <c r="G43" s="269"/>
      <c r="H43" s="269"/>
      <c r="I43" s="270"/>
    </row>
    <row r="44" spans="1:9">
      <c r="A44" s="195"/>
      <c r="B44" s="189" t="s">
        <v>35490</v>
      </c>
      <c r="C44" s="367"/>
      <c r="D44" s="365">
        <v>2</v>
      </c>
      <c r="E44" s="278">
        <v>4</v>
      </c>
      <c r="F44" s="365"/>
      <c r="G44" s="271">
        <v>1</v>
      </c>
      <c r="H44" s="271"/>
      <c r="I44" s="259">
        <f>D44*E44</f>
        <v>8</v>
      </c>
    </row>
    <row r="45" spans="1:9">
      <c r="A45" s="196"/>
      <c r="B45" s="193"/>
      <c r="C45" s="192"/>
      <c r="D45" s="272"/>
      <c r="E45" s="272"/>
      <c r="F45" s="272"/>
      <c r="G45" s="273"/>
      <c r="H45" s="273"/>
      <c r="I45" s="274"/>
    </row>
    <row r="46" spans="1:9">
      <c r="A46" s="135"/>
      <c r="B46" s="170"/>
      <c r="C46" s="136"/>
      <c r="D46" s="275"/>
      <c r="E46" s="275"/>
      <c r="F46" s="275"/>
      <c r="G46" s="276"/>
      <c r="H46" s="276"/>
      <c r="I46" s="277"/>
    </row>
    <row r="47" spans="1:9" ht="57.6">
      <c r="A47" s="119" t="s">
        <v>27377</v>
      </c>
      <c r="B47" s="258" t="str">
        <f>VLOOKUP(A47,GLOBAL!A:H,4,FALSE)</f>
        <v>TAPUME TELHA METÁLICA ONDULADA EM AÇO GALVALUME 0,50MM BRANCA H=2,20M, INCL. MONTAGEM ESTR. MAD. 8"X8", C/ADESIVO "DER-ES" 60X60CM A CADA 10M, INCL. FAIXAS PINT. ESMALTE SINT. CORES AZUL C/ H=30CM E ROSA C/ H=10CM (REAPROVEITAMENTO 2X)</v>
      </c>
      <c r="C47" s="119" t="str">
        <f>VLOOKUP(A47,GLOBAL!A:H,5,FALSE)</f>
        <v>M</v>
      </c>
      <c r="D47" s="267" t="s">
        <v>66</v>
      </c>
      <c r="E47" s="267" t="s">
        <v>70</v>
      </c>
      <c r="F47" s="267" t="s">
        <v>67</v>
      </c>
      <c r="G47" s="267" t="s">
        <v>68</v>
      </c>
      <c r="H47" s="267"/>
      <c r="I47" s="268">
        <f>ROUND(SUM(I48:I50),2)</f>
        <v>335</v>
      </c>
    </row>
    <row r="48" spans="1:9">
      <c r="A48" s="194"/>
      <c r="B48" s="187" t="s">
        <v>2874</v>
      </c>
      <c r="C48" s="188"/>
      <c r="D48" s="269"/>
      <c r="E48" s="269"/>
      <c r="F48" s="269"/>
      <c r="G48" s="269"/>
      <c r="H48" s="269"/>
      <c r="I48" s="270"/>
    </row>
    <row r="49" spans="1:9">
      <c r="A49" s="195"/>
      <c r="B49" s="189" t="s">
        <v>35491</v>
      </c>
      <c r="C49" s="367"/>
      <c r="D49" s="365">
        <v>335</v>
      </c>
      <c r="E49" s="278"/>
      <c r="F49" s="365"/>
      <c r="G49" s="271">
        <v>1</v>
      </c>
      <c r="H49" s="271"/>
      <c r="I49" s="259">
        <f>D49*G49</f>
        <v>335</v>
      </c>
    </row>
    <row r="50" spans="1:9">
      <c r="A50" s="196"/>
      <c r="B50" s="193"/>
      <c r="C50" s="192"/>
      <c r="D50" s="272"/>
      <c r="E50" s="272"/>
      <c r="F50" s="272"/>
      <c r="G50" s="273"/>
      <c r="H50" s="273"/>
      <c r="I50" s="274"/>
    </row>
    <row r="51" spans="1:9">
      <c r="A51" s="135"/>
      <c r="B51" s="170"/>
      <c r="C51" s="136"/>
      <c r="D51" s="275"/>
      <c r="E51" s="275"/>
      <c r="F51" s="275"/>
      <c r="G51" s="276"/>
      <c r="H51" s="276"/>
      <c r="I51" s="277"/>
    </row>
    <row r="52" spans="1:9" ht="43.2">
      <c r="A52" s="119" t="s">
        <v>27378</v>
      </c>
      <c r="B52" s="258" t="str">
        <f>VLOOKUP(A52,GLOBAL!A:H,4,FALSE)</f>
        <v>LOCAÇÃO DE ANDAIME METÁLICO PARA TRABALHO EM FACHADA DE EDIFÍCO (ALUGUEL DE 1 M² POR 1 MÊS) INCLUSIVE FRETE, MONTAGEM E DESMONTAGEM</v>
      </c>
      <c r="C52" s="119" t="str">
        <f>VLOOKUP(A52,GLOBAL!A:H,5,FALSE)</f>
        <v>M2</v>
      </c>
      <c r="D52" s="267" t="s">
        <v>66</v>
      </c>
      <c r="E52" s="267" t="s">
        <v>70</v>
      </c>
      <c r="F52" s="267" t="s">
        <v>67</v>
      </c>
      <c r="G52" s="267" t="s">
        <v>68</v>
      </c>
      <c r="H52" s="267"/>
      <c r="I52" s="268">
        <f>ROUND(SUM(I53:I55),2)</f>
        <v>3000</v>
      </c>
    </row>
    <row r="53" spans="1:9">
      <c r="A53" s="194"/>
      <c r="B53" s="187" t="s">
        <v>2874</v>
      </c>
      <c r="C53" s="188"/>
      <c r="D53" s="269"/>
      <c r="E53" s="269"/>
      <c r="F53" s="269"/>
      <c r="G53" s="269"/>
      <c r="H53" s="269"/>
      <c r="I53" s="270"/>
    </row>
    <row r="54" spans="1:9">
      <c r="A54" s="195"/>
      <c r="B54" s="189" t="s">
        <v>35492</v>
      </c>
      <c r="C54" s="367"/>
      <c r="D54" s="736">
        <v>300</v>
      </c>
      <c r="E54" s="722"/>
      <c r="F54" s="365"/>
      <c r="G54" s="271">
        <v>10</v>
      </c>
      <c r="H54" s="271"/>
      <c r="I54" s="259">
        <f>D54*G54</f>
        <v>3000</v>
      </c>
    </row>
    <row r="55" spans="1:9">
      <c r="A55" s="196"/>
      <c r="B55" s="193"/>
      <c r="C55" s="192"/>
      <c r="D55" s="272"/>
      <c r="E55" s="272"/>
      <c r="F55" s="272"/>
      <c r="G55" s="273"/>
      <c r="H55" s="273"/>
      <c r="I55" s="274"/>
    </row>
    <row r="56" spans="1:9">
      <c r="A56" s="135"/>
      <c r="B56" s="170"/>
      <c r="C56" s="136"/>
      <c r="D56" s="275"/>
      <c r="E56" s="275"/>
      <c r="F56" s="275"/>
      <c r="G56" s="276"/>
      <c r="H56" s="276"/>
      <c r="I56" s="277"/>
    </row>
    <row r="57" spans="1:9" ht="57.6">
      <c r="A57" s="119" t="s">
        <v>27379</v>
      </c>
      <c r="B57" s="258" t="str">
        <f>VLOOKUP(A57,GLOBAL!A:H,4,FALSE)</f>
        <v>BARRACÃO PARA ESCRITÓRIO COM SANITÁRIO ÁREA DE 14.50 M2, DE CHAPA DE COMPENS. 12MM E PONTALETE 8X8CM, PISO CIMENTADO E COBERTURA DE TELHA DE FIBROC. 6MM, INCL. PONTO DE LUZ E CX. DE INSPEÇÃO, CONF. PROJETO (1 UTILIZAÇÃO)</v>
      </c>
      <c r="C57" s="119" t="str">
        <f>VLOOKUP(A57,GLOBAL!A:H,5,FALSE)</f>
        <v>M2</v>
      </c>
      <c r="D57" s="267" t="s">
        <v>66</v>
      </c>
      <c r="E57" s="267" t="s">
        <v>70</v>
      </c>
      <c r="F57" s="267" t="s">
        <v>67</v>
      </c>
      <c r="G57" s="267" t="s">
        <v>68</v>
      </c>
      <c r="H57" s="267"/>
      <c r="I57" s="268">
        <f>ROUND(SUM(I58:I60),2)</f>
        <v>14.5</v>
      </c>
    </row>
    <row r="58" spans="1:9">
      <c r="A58" s="194"/>
      <c r="B58" s="187" t="s">
        <v>2874</v>
      </c>
      <c r="C58" s="188"/>
      <c r="D58" s="269"/>
      <c r="E58" s="269"/>
      <c r="F58" s="269"/>
      <c r="G58" s="269"/>
      <c r="H58" s="269"/>
      <c r="I58" s="270"/>
    </row>
    <row r="59" spans="1:9">
      <c r="A59" s="195"/>
      <c r="B59" s="189" t="s">
        <v>35653</v>
      </c>
      <c r="C59" s="367"/>
      <c r="D59" s="736">
        <v>14.5</v>
      </c>
      <c r="E59" s="722"/>
      <c r="F59" s="365"/>
      <c r="G59" s="271"/>
      <c r="H59" s="271"/>
      <c r="I59" s="259">
        <f>D59</f>
        <v>14.5</v>
      </c>
    </row>
    <row r="60" spans="1:9">
      <c r="A60" s="196"/>
      <c r="B60" s="193"/>
      <c r="C60" s="192"/>
      <c r="D60" s="272"/>
      <c r="E60" s="272"/>
      <c r="F60" s="272"/>
      <c r="G60" s="273"/>
      <c r="H60" s="273"/>
      <c r="I60" s="274"/>
    </row>
    <row r="61" spans="1:9">
      <c r="A61" s="135"/>
      <c r="B61" s="170"/>
      <c r="C61" s="136"/>
      <c r="D61" s="275"/>
      <c r="E61" s="275"/>
      <c r="F61" s="275"/>
      <c r="G61" s="276"/>
      <c r="H61" s="276"/>
      <c r="I61" s="277"/>
    </row>
    <row r="62" spans="1:9" ht="28.8">
      <c r="A62" s="119" t="s">
        <v>27380</v>
      </c>
      <c r="B62" s="258" t="str">
        <f>VLOOKUP(A62,GLOBAL!A:H,4,FALSE)</f>
        <v>MOBILIZAÇÃO E DESMOBILIZAÇÃO DE CONTEINER LOCADO PARA BARRACÃO DE OBRA</v>
      </c>
      <c r="C62" s="119" t="str">
        <f>VLOOKUP(A62,GLOBAL!A:H,5,FALSE)</f>
        <v>UND</v>
      </c>
      <c r="D62" s="267" t="s">
        <v>66</v>
      </c>
      <c r="E62" s="267" t="s">
        <v>70</v>
      </c>
      <c r="F62" s="267" t="s">
        <v>67</v>
      </c>
      <c r="G62" s="267" t="s">
        <v>68</v>
      </c>
      <c r="H62" s="267"/>
      <c r="I62" s="268">
        <f>ROUND(SUM(I63:I65),2)</f>
        <v>3</v>
      </c>
    </row>
    <row r="63" spans="1:9">
      <c r="A63" s="194"/>
      <c r="B63" s="187" t="s">
        <v>2874</v>
      </c>
      <c r="C63" s="188"/>
      <c r="D63" s="269"/>
      <c r="E63" s="269"/>
      <c r="F63" s="269"/>
      <c r="G63" s="269"/>
      <c r="H63" s="269"/>
      <c r="I63" s="270"/>
    </row>
    <row r="64" spans="1:9">
      <c r="A64" s="195"/>
      <c r="B64" s="189" t="s">
        <v>35494</v>
      </c>
      <c r="C64" s="367"/>
      <c r="D64" s="736"/>
      <c r="E64" s="722"/>
      <c r="F64" s="365"/>
      <c r="G64" s="271">
        <v>3</v>
      </c>
      <c r="H64" s="271"/>
      <c r="I64" s="259">
        <f>G64</f>
        <v>3</v>
      </c>
    </row>
    <row r="65" spans="1:9">
      <c r="A65" s="196"/>
      <c r="B65" s="193"/>
      <c r="C65" s="192"/>
      <c r="D65" s="272"/>
      <c r="E65" s="272"/>
      <c r="F65" s="272"/>
      <c r="G65" s="273"/>
      <c r="H65" s="273"/>
      <c r="I65" s="274"/>
    </row>
    <row r="66" spans="1:9">
      <c r="A66" s="135"/>
      <c r="B66" s="170"/>
      <c r="C66" s="136"/>
      <c r="D66" s="275"/>
      <c r="E66" s="275"/>
      <c r="F66" s="275"/>
      <c r="G66" s="276"/>
      <c r="H66" s="276"/>
      <c r="I66" s="277"/>
    </row>
    <row r="67" spans="1:9" ht="57.6">
      <c r="A67" s="119" t="s">
        <v>27381</v>
      </c>
      <c r="B67" s="258" t="str">
        <f>VLOOKUP(A67,GLOBAL!A:H,4,FALSE)</f>
        <v>REDE DE LUZ, INCL. PADRÃO ENTRADA DE ENERGIA TRIFÁS., CABO DE LIGAÇÃO ATÉ BARRACÕES, QUADRO DE DISTRIB., DISJ. E CHAVE DE FORÇA (QUANDO NECESSÁRIO), CONS. 20M ENTRE PADRÃO ENTRADA E QDG, CONF. PROJETO (1 UTILIZAÇÃO)</v>
      </c>
      <c r="C67" s="119" t="str">
        <f>VLOOKUP(A67,GLOBAL!A:H,5,FALSE)</f>
        <v>M</v>
      </c>
      <c r="D67" s="267" t="s">
        <v>66</v>
      </c>
      <c r="E67" s="267" t="s">
        <v>70</v>
      </c>
      <c r="F67" s="267" t="s">
        <v>67</v>
      </c>
      <c r="G67" s="267" t="s">
        <v>68</v>
      </c>
      <c r="H67" s="267"/>
      <c r="I67" s="268">
        <f>ROUND(SUM(I68:I70),2)</f>
        <v>20</v>
      </c>
    </row>
    <row r="68" spans="1:9">
      <c r="A68" s="194"/>
      <c r="B68" s="187" t="s">
        <v>2874</v>
      </c>
      <c r="C68" s="188"/>
      <c r="D68" s="269"/>
      <c r="E68" s="269"/>
      <c r="F68" s="269"/>
      <c r="G68" s="269"/>
      <c r="H68" s="269"/>
      <c r="I68" s="270"/>
    </row>
    <row r="69" spans="1:9">
      <c r="A69" s="195"/>
      <c r="B69" s="189" t="s">
        <v>35495</v>
      </c>
      <c r="C69" s="367"/>
      <c r="D69" s="736">
        <v>20</v>
      </c>
      <c r="E69" s="722"/>
      <c r="F69" s="365"/>
      <c r="G69" s="271">
        <v>1</v>
      </c>
      <c r="H69" s="271"/>
      <c r="I69" s="259">
        <f>D69*G69</f>
        <v>20</v>
      </c>
    </row>
    <row r="70" spans="1:9">
      <c r="A70" s="196"/>
      <c r="B70" s="193"/>
      <c r="C70" s="192"/>
      <c r="D70" s="272"/>
      <c r="E70" s="272"/>
      <c r="F70" s="272"/>
      <c r="G70" s="273"/>
      <c r="H70" s="273"/>
      <c r="I70" s="274"/>
    </row>
    <row r="71" spans="1:9">
      <c r="A71" s="135"/>
      <c r="B71" s="170"/>
      <c r="C71" s="136"/>
      <c r="D71" s="275"/>
      <c r="E71" s="275"/>
      <c r="F71" s="275"/>
      <c r="G71" s="276"/>
      <c r="H71" s="276"/>
      <c r="I71" s="277"/>
    </row>
    <row r="72" spans="1:9" ht="57.6">
      <c r="A72" s="119" t="s">
        <v>27382</v>
      </c>
      <c r="B72" s="258" t="str">
        <f>VLOOKUP(A72,GLOBAL!A:H,4,FALSE)</f>
        <v>REFEITÓRIO COM PAREDES DE CHAPA DE COMPENS. 12MM E PONTALETES 8X8CM, PISO CIMENT. E COBERT. DE TELHAS FIBROC. 6MM, INCL. PONTO DE LUZ E CX. DE INSPEÇÃO (CONS. 1.21M2/FUNC./TURNO), CONF. PROJETO (2 UTILIZAÇÃO)</v>
      </c>
      <c r="C72" s="119" t="str">
        <f>VLOOKUP(A72,GLOBAL!A:H,5,FALSE)</f>
        <v>M2</v>
      </c>
      <c r="D72" s="267" t="s">
        <v>66</v>
      </c>
      <c r="E72" s="267" t="s">
        <v>70</v>
      </c>
      <c r="F72" s="267" t="s">
        <v>67</v>
      </c>
      <c r="G72" s="267" t="s">
        <v>68</v>
      </c>
      <c r="H72" s="267"/>
      <c r="I72" s="268">
        <f>ROUND(SUM(I73:I75),2)</f>
        <v>36.299999999999997</v>
      </c>
    </row>
    <row r="73" spans="1:9">
      <c r="A73" s="194"/>
      <c r="B73" s="187" t="s">
        <v>2874</v>
      </c>
      <c r="C73" s="188"/>
      <c r="D73" s="269"/>
      <c r="E73" s="269"/>
      <c r="F73" s="269"/>
      <c r="G73" s="269"/>
      <c r="H73" s="269"/>
      <c r="I73" s="270"/>
    </row>
    <row r="74" spans="1:9">
      <c r="A74" s="195"/>
      <c r="B74" s="189" t="s">
        <v>35504</v>
      </c>
      <c r="C74" s="367"/>
      <c r="D74" s="736">
        <v>1.21</v>
      </c>
      <c r="E74" s="722"/>
      <c r="F74" s="365"/>
      <c r="G74" s="271">
        <v>30</v>
      </c>
      <c r="H74" s="271"/>
      <c r="I74" s="259">
        <f>D74*G74</f>
        <v>36.299999999999997</v>
      </c>
    </row>
    <row r="75" spans="1:9">
      <c r="A75" s="196"/>
      <c r="B75" s="193"/>
      <c r="C75" s="192"/>
      <c r="D75" s="272"/>
      <c r="E75" s="272"/>
      <c r="F75" s="272"/>
      <c r="G75" s="273"/>
      <c r="H75" s="273"/>
      <c r="I75" s="274"/>
    </row>
    <row r="76" spans="1:9">
      <c r="A76" s="135"/>
      <c r="B76" s="170"/>
      <c r="C76" s="136"/>
      <c r="D76" s="275"/>
      <c r="E76" s="275"/>
      <c r="F76" s="275"/>
      <c r="G76" s="276"/>
      <c r="H76" s="276"/>
      <c r="I76" s="277"/>
    </row>
    <row r="77" spans="1:9" ht="57.6">
      <c r="A77" s="119" t="s">
        <v>27383</v>
      </c>
      <c r="B77" s="258" t="str">
        <f>VLOOKUP(A77,GLOBAL!A:H,4,FALSE)</f>
        <v>ALUGUEL MENSAL CONTAINER PARA VESTIÁRIO, INCL. PORTA, VENEZIANAS DE CIRCULAÇÃO, 1 PT ILUMINAÇÃO, ISOLAMENTO TÉRMICO (TETO), PISO EM COMP. NAVAL PINTADO, CERT. NR18, INCL. LAUDO DESCONTAMINAÇÃO.</v>
      </c>
      <c r="C77" s="119" t="str">
        <f>VLOOKUP(A77,GLOBAL!A:H,5,FALSE)</f>
        <v>MS</v>
      </c>
      <c r="D77" s="267" t="s">
        <v>66</v>
      </c>
      <c r="E77" s="267" t="s">
        <v>70</v>
      </c>
      <c r="F77" s="267" t="s">
        <v>67</v>
      </c>
      <c r="G77" s="267" t="s">
        <v>68</v>
      </c>
      <c r="H77" s="267"/>
      <c r="I77" s="268">
        <f>ROUND(SUM(I78:I80),2)</f>
        <v>18</v>
      </c>
    </row>
    <row r="78" spans="1:9">
      <c r="A78" s="194"/>
      <c r="B78" s="187" t="s">
        <v>2874</v>
      </c>
      <c r="C78" s="188"/>
      <c r="D78" s="269"/>
      <c r="E78" s="269"/>
      <c r="F78" s="269"/>
      <c r="G78" s="269"/>
      <c r="H78" s="269"/>
      <c r="I78" s="270"/>
    </row>
    <row r="79" spans="1:9">
      <c r="A79" s="195"/>
      <c r="B79" s="189" t="s">
        <v>35496</v>
      </c>
      <c r="C79" s="367"/>
      <c r="D79" s="736"/>
      <c r="E79" s="722"/>
      <c r="F79" s="365"/>
      <c r="G79" s="271">
        <v>18</v>
      </c>
      <c r="H79" s="271"/>
      <c r="I79" s="259">
        <f>G79</f>
        <v>18</v>
      </c>
    </row>
    <row r="80" spans="1:9">
      <c r="A80" s="196"/>
      <c r="B80" s="193"/>
      <c r="C80" s="192"/>
      <c r="D80" s="272"/>
      <c r="E80" s="272"/>
      <c r="F80" s="272"/>
      <c r="G80" s="273"/>
      <c r="H80" s="273"/>
      <c r="I80" s="274"/>
    </row>
    <row r="81" spans="1:9">
      <c r="A81" s="135"/>
      <c r="B81" s="170"/>
      <c r="C81" s="136"/>
      <c r="D81" s="275"/>
      <c r="E81" s="275"/>
      <c r="F81" s="275"/>
      <c r="G81" s="276"/>
      <c r="H81" s="276"/>
      <c r="I81" s="277"/>
    </row>
    <row r="82" spans="1:9" ht="57.6">
      <c r="A82" s="119" t="s">
        <v>27384</v>
      </c>
      <c r="B82" s="258" t="str">
        <f>VLOOKUP(A82,GLOBAL!A:H,4,FALSE)</f>
        <v>ALUGUEL MENSAL CONTAINER SANITÁRIO, INCL PORTA, BÁSC, 2 PTOS LUZ, 1 PTO ATERRAM., 3VASOS, 3LAVATÓRIOS, CALHA MICTÓRIO, 6 CHUVEIROS (1 ELETRICO), TORN.,REGISTROS, PISO COMP. NAVAL PINTADO, CERT NR18 E LAUDO DESCONTAMINAÇÃO</v>
      </c>
      <c r="C82" s="119" t="str">
        <f>VLOOKUP(A82,GLOBAL!A:H,5,FALSE)</f>
        <v>MS</v>
      </c>
      <c r="D82" s="267" t="s">
        <v>66</v>
      </c>
      <c r="E82" s="267" t="s">
        <v>70</v>
      </c>
      <c r="F82" s="267" t="s">
        <v>67</v>
      </c>
      <c r="G82" s="267" t="s">
        <v>68</v>
      </c>
      <c r="H82" s="267"/>
      <c r="I82" s="268">
        <f>ROUND(SUM(I83:I85),2)</f>
        <v>18</v>
      </c>
    </row>
    <row r="83" spans="1:9">
      <c r="A83" s="194"/>
      <c r="B83" s="187" t="s">
        <v>2874</v>
      </c>
      <c r="C83" s="188"/>
      <c r="D83" s="269"/>
      <c r="E83" s="269"/>
      <c r="F83" s="269"/>
      <c r="G83" s="269"/>
      <c r="H83" s="269"/>
      <c r="I83" s="270"/>
    </row>
    <row r="84" spans="1:9">
      <c r="A84" s="195"/>
      <c r="B84" s="189" t="s">
        <v>35497</v>
      </c>
      <c r="C84" s="367"/>
      <c r="D84" s="736"/>
      <c r="E84" s="722"/>
      <c r="F84" s="365"/>
      <c r="G84" s="271">
        <v>18</v>
      </c>
      <c r="H84" s="271"/>
      <c r="I84" s="259">
        <f>G84</f>
        <v>18</v>
      </c>
    </row>
    <row r="85" spans="1:9">
      <c r="A85" s="196"/>
      <c r="B85" s="193"/>
      <c r="C85" s="192"/>
      <c r="D85" s="272"/>
      <c r="E85" s="272"/>
      <c r="F85" s="272"/>
      <c r="G85" s="273"/>
      <c r="H85" s="273"/>
      <c r="I85" s="274"/>
    </row>
    <row r="86" spans="1:9">
      <c r="A86" s="135"/>
      <c r="B86" s="170"/>
      <c r="C86" s="136"/>
      <c r="D86" s="275"/>
      <c r="E86" s="275"/>
      <c r="F86" s="275"/>
      <c r="G86" s="276"/>
      <c r="H86" s="276"/>
      <c r="I86" s="277"/>
    </row>
    <row r="87" spans="1:9" ht="57.6">
      <c r="A87" s="119" t="s">
        <v>35254</v>
      </c>
      <c r="B87" s="258" t="str">
        <f>VLOOKUP(A87,GLOBAL!A:H,4,FALSE)</f>
        <v>BARRACÃO PARA ALMOXARIFADO ÁREA DE 10.90M2, DE CHAPA DE COMPENSADO DE 12MM E PONTALETE 8X8CM, PISO CIMENTADO E COBERTURA DE TELHAS DE FIBROCIMENTO DE 6MM, INCL. PONTO DE LUZ, CONF. PROJETO (1 UTILIZAÇÃO)</v>
      </c>
      <c r="C87" s="119" t="str">
        <f>VLOOKUP(A87,GLOBAL!A:H,5,FALSE)</f>
        <v>M2</v>
      </c>
      <c r="D87" s="267" t="s">
        <v>66</v>
      </c>
      <c r="E87" s="267" t="s">
        <v>70</v>
      </c>
      <c r="F87" s="267" t="s">
        <v>67</v>
      </c>
      <c r="G87" s="267" t="s">
        <v>68</v>
      </c>
      <c r="H87" s="267"/>
      <c r="I87" s="268">
        <f>ROUND(SUM(I88:I90),2)</f>
        <v>10.9</v>
      </c>
    </row>
    <row r="88" spans="1:9">
      <c r="A88" s="194"/>
      <c r="B88" s="187" t="s">
        <v>2874</v>
      </c>
      <c r="C88" s="188"/>
      <c r="D88" s="269"/>
      <c r="E88" s="269"/>
      <c r="F88" s="269"/>
      <c r="G88" s="269"/>
      <c r="H88" s="269"/>
      <c r="I88" s="270"/>
    </row>
    <row r="89" spans="1:9">
      <c r="A89" s="195"/>
      <c r="B89" s="189" t="s">
        <v>35498</v>
      </c>
      <c r="C89" s="367"/>
      <c r="D89" s="736">
        <v>10.9</v>
      </c>
      <c r="E89" s="722"/>
      <c r="F89" s="365"/>
      <c r="G89" s="271"/>
      <c r="H89" s="271"/>
      <c r="I89" s="259">
        <f>D89</f>
        <v>10.9</v>
      </c>
    </row>
    <row r="90" spans="1:9">
      <c r="A90" s="196"/>
      <c r="B90" s="193"/>
      <c r="C90" s="192"/>
      <c r="D90" s="272"/>
      <c r="E90" s="272"/>
      <c r="F90" s="272"/>
      <c r="G90" s="273"/>
      <c r="H90" s="273"/>
      <c r="I90" s="274"/>
    </row>
    <row r="91" spans="1:9">
      <c r="A91" s="135"/>
      <c r="B91" s="170"/>
      <c r="C91" s="136"/>
      <c r="D91" s="275"/>
      <c r="E91" s="275"/>
      <c r="F91" s="275"/>
      <c r="G91" s="276"/>
      <c r="H91" s="276"/>
      <c r="I91" s="277"/>
    </row>
    <row r="92" spans="1:9" ht="57.6">
      <c r="A92" s="119" t="s">
        <v>35255</v>
      </c>
      <c r="B92" s="258" t="str">
        <f>VLOOKUP(A92,GLOBAL!A:H,4,FALSE)</f>
        <v>GALPÃO PARA SERRARIA E CARPINTARIA ÁREA 12.00M2, EM PEÇA DE MADEIRA 8X8CM E CONTRAVENTAMENTO DE 5X7CM, COBERTURA DE TELHA DE FIBROC. DE 6MM, INCLUSIVE PONTO E CABO DE ALIMENTAÇÃO DA MÁQUINA, CONF. PROJETO (1 UTILIZAÇÃO)</v>
      </c>
      <c r="C92" s="119" t="str">
        <f>VLOOKUP(A92,GLOBAL!A:H,5,FALSE)</f>
        <v>M2</v>
      </c>
      <c r="D92" s="267" t="s">
        <v>66</v>
      </c>
      <c r="E92" s="267" t="s">
        <v>70</v>
      </c>
      <c r="F92" s="267" t="s">
        <v>67</v>
      </c>
      <c r="G92" s="267" t="s">
        <v>68</v>
      </c>
      <c r="H92" s="267"/>
      <c r="I92" s="268">
        <f>ROUND(SUM(I93:I95),2)</f>
        <v>12</v>
      </c>
    </row>
    <row r="93" spans="1:9">
      <c r="A93" s="194"/>
      <c r="B93" s="187" t="s">
        <v>2874</v>
      </c>
      <c r="C93" s="188"/>
      <c r="D93" s="269"/>
      <c r="E93" s="269"/>
      <c r="F93" s="269"/>
      <c r="G93" s="269"/>
      <c r="H93" s="269"/>
      <c r="I93" s="270"/>
    </row>
    <row r="94" spans="1:9">
      <c r="A94" s="195"/>
      <c r="B94" s="189" t="s">
        <v>35499</v>
      </c>
      <c r="C94" s="367"/>
      <c r="D94" s="736">
        <v>12</v>
      </c>
      <c r="E94" s="722"/>
      <c r="F94" s="365"/>
      <c r="G94" s="271">
        <v>1</v>
      </c>
      <c r="H94" s="271"/>
      <c r="I94" s="259">
        <f>D94*G94</f>
        <v>12</v>
      </c>
    </row>
    <row r="95" spans="1:9">
      <c r="A95" s="196"/>
      <c r="B95" s="193"/>
      <c r="C95" s="192"/>
      <c r="D95" s="272"/>
      <c r="E95" s="272"/>
      <c r="F95" s="272"/>
      <c r="G95" s="273"/>
      <c r="H95" s="273"/>
      <c r="I95" s="274"/>
    </row>
    <row r="96" spans="1:9">
      <c r="A96" s="135"/>
      <c r="B96" s="170"/>
      <c r="C96" s="136"/>
      <c r="D96" s="275"/>
      <c r="E96" s="275"/>
      <c r="F96" s="275"/>
      <c r="G96" s="276"/>
      <c r="H96" s="276"/>
      <c r="I96" s="277"/>
    </row>
    <row r="97" spans="1:9" ht="57.6">
      <c r="A97" s="119" t="s">
        <v>35256</v>
      </c>
      <c r="B97" s="258" t="str">
        <f>VLOOKUP(A97,GLOBAL!A:H,4,FALSE)</f>
        <v>GALPÃO PARA CORTE E ARMAÇÃO COM ÁREA DE 6.00M2, EM PEÇAS DE MADEIRA 8X8CM E CONTRAVENTAMENTO DE 5X7CM, COBERTURA DE TELHAS DE FIBROC. DE 6MM, INCLUSIVE PONTO E CABO DE ALIMENTAÇÃO DA MÁQUINA, CONF. PROJETO (1 UTILIZAÇÃO)</v>
      </c>
      <c r="C97" s="119" t="str">
        <f>VLOOKUP(A97,GLOBAL!A:H,5,FALSE)</f>
        <v>M2</v>
      </c>
      <c r="D97" s="267" t="s">
        <v>66</v>
      </c>
      <c r="E97" s="267" t="s">
        <v>70</v>
      </c>
      <c r="F97" s="267" t="s">
        <v>67</v>
      </c>
      <c r="G97" s="267" t="s">
        <v>68</v>
      </c>
      <c r="H97" s="267"/>
      <c r="I97" s="268">
        <f>ROUND(SUM(I98:I100),2)</f>
        <v>6</v>
      </c>
    </row>
    <row r="98" spans="1:9">
      <c r="A98" s="194"/>
      <c r="B98" s="187" t="s">
        <v>2874</v>
      </c>
      <c r="C98" s="188"/>
      <c r="D98" s="269"/>
      <c r="E98" s="269"/>
      <c r="F98" s="269"/>
      <c r="G98" s="269"/>
      <c r="H98" s="269"/>
      <c r="I98" s="270"/>
    </row>
    <row r="99" spans="1:9">
      <c r="A99" s="195"/>
      <c r="B99" s="189" t="s">
        <v>35500</v>
      </c>
      <c r="C99" s="367"/>
      <c r="D99" s="736">
        <v>6</v>
      </c>
      <c r="E99" s="722"/>
      <c r="F99" s="365"/>
      <c r="G99" s="271">
        <v>1</v>
      </c>
      <c r="H99" s="271"/>
      <c r="I99" s="259">
        <f>D99*G99</f>
        <v>6</v>
      </c>
    </row>
    <row r="100" spans="1:9">
      <c r="A100" s="196"/>
      <c r="B100" s="193"/>
      <c r="C100" s="192"/>
      <c r="D100" s="272"/>
      <c r="E100" s="272"/>
      <c r="F100" s="272"/>
      <c r="G100" s="273"/>
      <c r="H100" s="273"/>
      <c r="I100" s="274"/>
    </row>
    <row r="101" spans="1:9">
      <c r="A101" s="135"/>
      <c r="B101" s="170"/>
      <c r="C101" s="136"/>
      <c r="D101" s="275"/>
      <c r="E101" s="275"/>
      <c r="F101" s="275"/>
      <c r="G101" s="276"/>
      <c r="H101" s="276"/>
      <c r="I101" s="277"/>
    </row>
    <row r="102" spans="1:9" ht="28.8">
      <c r="A102" s="119" t="s">
        <v>35257</v>
      </c>
      <c r="B102" s="258" t="str">
        <f>VLOOKUP(A102,GLOBAL!A:H,4,FALSE)</f>
        <v>RESERVATÓRIO DE POLIESTILENO DE 1000 L, INCL. SUPORTE EM MADEIRA DE 7X12CM E 8X7CM, ELEVADO DE 4M, CONF. PROJETO (1 UTILIZAÇÃO)</v>
      </c>
      <c r="C102" s="119" t="str">
        <f>VLOOKUP(A102,GLOBAL!A:H,5,FALSE)</f>
        <v>UND</v>
      </c>
      <c r="D102" s="267" t="s">
        <v>66</v>
      </c>
      <c r="E102" s="267" t="s">
        <v>70</v>
      </c>
      <c r="F102" s="267" t="s">
        <v>67</v>
      </c>
      <c r="G102" s="267" t="s">
        <v>68</v>
      </c>
      <c r="H102" s="267"/>
      <c r="I102" s="268">
        <f>ROUND(SUM(I103:I105),2)</f>
        <v>2</v>
      </c>
    </row>
    <row r="103" spans="1:9">
      <c r="A103" s="194"/>
      <c r="B103" s="187" t="s">
        <v>2874</v>
      </c>
      <c r="C103" s="188"/>
      <c r="D103" s="269"/>
      <c r="E103" s="269"/>
      <c r="F103" s="269"/>
      <c r="G103" s="269"/>
      <c r="H103" s="269"/>
      <c r="I103" s="270"/>
    </row>
    <row r="104" spans="1:9">
      <c r="A104" s="195"/>
      <c r="B104" s="189" t="s">
        <v>35501</v>
      </c>
      <c r="C104" s="367"/>
      <c r="D104" s="736"/>
      <c r="E104" s="722"/>
      <c r="F104" s="365"/>
      <c r="G104" s="271">
        <v>2</v>
      </c>
      <c r="H104" s="271"/>
      <c r="I104" s="259">
        <f>G104</f>
        <v>2</v>
      </c>
    </row>
    <row r="105" spans="1:9">
      <c r="A105" s="196"/>
      <c r="B105" s="193"/>
      <c r="C105" s="192"/>
      <c r="D105" s="272"/>
      <c r="E105" s="272"/>
      <c r="F105" s="272"/>
      <c r="G105" s="273"/>
      <c r="H105" s="273"/>
      <c r="I105" s="274"/>
    </row>
    <row r="106" spans="1:9">
      <c r="A106" s="135"/>
      <c r="B106" s="170"/>
      <c r="C106" s="136"/>
      <c r="D106" s="275"/>
      <c r="E106" s="275"/>
      <c r="F106" s="275"/>
      <c r="G106" s="276"/>
      <c r="H106" s="276"/>
      <c r="I106" s="277"/>
    </row>
    <row r="107" spans="1:9" ht="57.6">
      <c r="A107" s="119" t="s">
        <v>35258</v>
      </c>
      <c r="B107" s="258" t="str">
        <f>VLOOKUP(A107,GLOBAL!A:H,4,FALSE)</f>
        <v>REDE DE ÁGUA COM PADRÃO DE ENTRADA DÁGUA DIÂM. 3/4", CONF. ESPEC. CESAN, INCL. TUBOS E CONEXÕES PARA ALIMENTAÇÃO, DISTRIBUIÇÃO, EXTRAVASOR E LIMPEZA, CONS. O PADRÃO A 25M, CONF. PROJETO (1 UTILIZAÇÃO)</v>
      </c>
      <c r="C107" s="119" t="str">
        <f>VLOOKUP(A107,GLOBAL!A:H,5,FALSE)</f>
        <v>M</v>
      </c>
      <c r="D107" s="267" t="s">
        <v>66</v>
      </c>
      <c r="E107" s="267" t="s">
        <v>70</v>
      </c>
      <c r="F107" s="267" t="s">
        <v>67</v>
      </c>
      <c r="G107" s="267" t="s">
        <v>68</v>
      </c>
      <c r="H107" s="267"/>
      <c r="I107" s="268">
        <f>ROUND(SUM(I108:I110),2)</f>
        <v>25</v>
      </c>
    </row>
    <row r="108" spans="1:9">
      <c r="A108" s="194"/>
      <c r="B108" s="187" t="s">
        <v>2874</v>
      </c>
      <c r="C108" s="188"/>
      <c r="D108" s="269"/>
      <c r="E108" s="269"/>
      <c r="F108" s="269"/>
      <c r="G108" s="269"/>
      <c r="H108" s="269"/>
      <c r="I108" s="270"/>
    </row>
    <row r="109" spans="1:9">
      <c r="A109" s="195"/>
      <c r="B109" s="189" t="s">
        <v>35502</v>
      </c>
      <c r="C109" s="367"/>
      <c r="D109" s="736">
        <v>25</v>
      </c>
      <c r="E109" s="722"/>
      <c r="F109" s="365"/>
      <c r="G109" s="271">
        <v>1</v>
      </c>
      <c r="H109" s="271"/>
      <c r="I109" s="259">
        <f>D109*G109</f>
        <v>25</v>
      </c>
    </row>
    <row r="110" spans="1:9">
      <c r="A110" s="196"/>
      <c r="B110" s="193"/>
      <c r="C110" s="192"/>
      <c r="D110" s="272"/>
      <c r="E110" s="272"/>
      <c r="F110" s="272"/>
      <c r="G110" s="273"/>
      <c r="H110" s="273"/>
      <c r="I110" s="274"/>
    </row>
    <row r="111" spans="1:9">
      <c r="A111" s="135"/>
      <c r="B111" s="170"/>
      <c r="C111" s="136"/>
      <c r="D111" s="275"/>
      <c r="E111" s="275"/>
      <c r="F111" s="275"/>
      <c r="G111" s="276"/>
      <c r="H111" s="276"/>
      <c r="I111" s="277"/>
    </row>
    <row r="112" spans="1:9" ht="43.2">
      <c r="A112" s="119" t="s">
        <v>35259</v>
      </c>
      <c r="B112" s="258" t="str">
        <f>VLOOKUP(A112,GLOBAL!A:H,4,FALSE)</f>
        <v>REDE DE ESGOTO, CONTENDO FOSSA E FILTRO, INCLUSIVE TUBOS E CONEXÕES DE LIGAÇÃO ENTRE CAIXAS, CONSIDERANDO DISTÂNCIA DE 25M, CONFORME PROJETO (1 UTILIZAÇÃO)</v>
      </c>
      <c r="C112" s="119" t="str">
        <f>VLOOKUP(A112,GLOBAL!A:H,5,FALSE)</f>
        <v>M</v>
      </c>
      <c r="D112" s="267" t="s">
        <v>66</v>
      </c>
      <c r="E112" s="267" t="s">
        <v>70</v>
      </c>
      <c r="F112" s="267" t="s">
        <v>67</v>
      </c>
      <c r="G112" s="267" t="s">
        <v>68</v>
      </c>
      <c r="H112" s="267"/>
      <c r="I112" s="268">
        <f>ROUND(SUM(I113:I115),2)</f>
        <v>25</v>
      </c>
    </row>
    <row r="113" spans="1:9">
      <c r="A113" s="194"/>
      <c r="B113" s="187" t="s">
        <v>2874</v>
      </c>
      <c r="C113" s="188"/>
      <c r="D113" s="269"/>
      <c r="E113" s="269"/>
      <c r="F113" s="269"/>
      <c r="G113" s="269"/>
      <c r="H113" s="269"/>
      <c r="I113" s="270"/>
    </row>
    <row r="114" spans="1:9">
      <c r="A114" s="195"/>
      <c r="B114" s="189" t="s">
        <v>35503</v>
      </c>
      <c r="C114" s="367"/>
      <c r="D114" s="736">
        <v>25</v>
      </c>
      <c r="E114" s="722"/>
      <c r="F114" s="365"/>
      <c r="G114" s="271">
        <v>1</v>
      </c>
      <c r="H114" s="271"/>
      <c r="I114" s="259">
        <f>D114*G114</f>
        <v>25</v>
      </c>
    </row>
    <row r="115" spans="1:9">
      <c r="A115" s="196"/>
      <c r="B115" s="193"/>
      <c r="C115" s="192"/>
      <c r="D115" s="272"/>
      <c r="E115" s="272"/>
      <c r="F115" s="272"/>
      <c r="G115" s="273"/>
      <c r="H115" s="273"/>
      <c r="I115" s="274"/>
    </row>
    <row r="116" spans="1:9">
      <c r="A116" s="135"/>
      <c r="B116" s="170"/>
      <c r="C116" s="136"/>
      <c r="D116" s="275"/>
      <c r="E116" s="275"/>
      <c r="F116" s="275"/>
      <c r="G116" s="276"/>
      <c r="H116" s="276"/>
      <c r="I116" s="277"/>
    </row>
    <row r="117" spans="1:9">
      <c r="A117" s="173" t="s">
        <v>27385</v>
      </c>
      <c r="B117" s="171" t="str">
        <f>VLOOKUP(A117,GLOBAL!A:H,4,FALSE)</f>
        <v>PROJETOS EXECUTIVOS</v>
      </c>
      <c r="C117" s="172"/>
      <c r="D117" s="265"/>
      <c r="E117" s="265"/>
      <c r="F117" s="265"/>
      <c r="G117" s="265"/>
      <c r="H117" s="265"/>
      <c r="I117" s="266"/>
    </row>
    <row r="118" spans="1:9">
      <c r="A118" s="119" t="s">
        <v>27386</v>
      </c>
      <c r="B118" s="258" t="str">
        <f>VLOOKUP(A118,GLOBAL!A:H,4,FALSE)</f>
        <v>PROJETO ARQUITETÔNICO</v>
      </c>
      <c r="C118" s="119" t="str">
        <f>VLOOKUP(A118,GLOBAL!A:H,5,FALSE)</f>
        <v>M2</v>
      </c>
      <c r="D118" s="267" t="s">
        <v>66</v>
      </c>
      <c r="E118" s="267" t="s">
        <v>70</v>
      </c>
      <c r="F118" s="267" t="s">
        <v>67</v>
      </c>
      <c r="G118" s="267" t="s">
        <v>68</v>
      </c>
      <c r="H118" s="267"/>
      <c r="I118" s="268">
        <f>ROUND(SUM(I119:I122),2)</f>
        <v>3139.7</v>
      </c>
    </row>
    <row r="119" spans="1:9">
      <c r="A119" s="194"/>
      <c r="B119" s="187" t="s">
        <v>2874</v>
      </c>
      <c r="C119" s="188"/>
      <c r="D119" s="269"/>
      <c r="E119" s="269"/>
      <c r="F119" s="269"/>
      <c r="G119" s="269"/>
      <c r="H119" s="269"/>
      <c r="I119" s="270"/>
    </row>
    <row r="120" spans="1:9">
      <c r="A120" s="195"/>
      <c r="B120" s="189" t="s">
        <v>35761</v>
      </c>
      <c r="C120" s="367"/>
      <c r="D120" s="736">
        <f>(25.3*(32.3+3.15+4.95)+(25.3*32.3*2))</f>
        <v>2656.5</v>
      </c>
      <c r="E120" s="722"/>
      <c r="F120" s="365"/>
      <c r="G120" s="271">
        <v>1</v>
      </c>
      <c r="H120" s="271"/>
      <c r="I120" s="259">
        <f>D120*G120</f>
        <v>2656.5</v>
      </c>
    </row>
    <row r="121" spans="1:9">
      <c r="A121" s="195"/>
      <c r="B121" s="189" t="s">
        <v>35762</v>
      </c>
      <c r="C121" s="367"/>
      <c r="D121" s="736">
        <f>15.1*32</f>
        <v>483.2</v>
      </c>
      <c r="E121" s="722"/>
      <c r="F121" s="365"/>
      <c r="G121" s="271">
        <v>1</v>
      </c>
      <c r="H121" s="271"/>
      <c r="I121" s="259">
        <f>D121*G121</f>
        <v>483.2</v>
      </c>
    </row>
    <row r="122" spans="1:9">
      <c r="A122" s="196"/>
      <c r="B122" s="193"/>
      <c r="C122" s="192"/>
      <c r="D122" s="272"/>
      <c r="E122" s="272"/>
      <c r="F122" s="272"/>
      <c r="G122" s="273"/>
      <c r="H122" s="273"/>
      <c r="I122" s="274"/>
    </row>
    <row r="123" spans="1:9">
      <c r="A123" s="135"/>
      <c r="B123" s="170"/>
      <c r="C123" s="136"/>
      <c r="D123" s="275"/>
      <c r="E123" s="275"/>
      <c r="F123" s="275"/>
      <c r="G123" s="276"/>
      <c r="H123" s="276"/>
      <c r="I123" s="277"/>
    </row>
    <row r="124" spans="1:9">
      <c r="A124" s="119" t="s">
        <v>27389</v>
      </c>
      <c r="B124" s="258" t="str">
        <f>VLOOKUP(A124,GLOBAL!A:H,4,FALSE)</f>
        <v>PROJETO ESTRUTURAL, INCLUSIVE FUNDAÇÃO</v>
      </c>
      <c r="C124" s="119" t="str">
        <f>VLOOKUP(A124,GLOBAL!A:H,5,FALSE)</f>
        <v>M2</v>
      </c>
      <c r="D124" s="267" t="s">
        <v>66</v>
      </c>
      <c r="E124" s="267" t="s">
        <v>70</v>
      </c>
      <c r="F124" s="267" t="s">
        <v>67</v>
      </c>
      <c r="G124" s="267" t="s">
        <v>68</v>
      </c>
      <c r="H124" s="267"/>
      <c r="I124" s="268">
        <f>ROUND(SUM(I125:I128),2)</f>
        <v>3139.7</v>
      </c>
    </row>
    <row r="125" spans="1:9">
      <c r="A125" s="194"/>
      <c r="B125" s="187" t="s">
        <v>2874</v>
      </c>
      <c r="C125" s="188"/>
      <c r="D125" s="269"/>
      <c r="E125" s="269"/>
      <c r="F125" s="269"/>
      <c r="G125" s="269"/>
      <c r="H125" s="269"/>
      <c r="I125" s="270"/>
    </row>
    <row r="126" spans="1:9">
      <c r="A126" s="195"/>
      <c r="B126" s="189" t="s">
        <v>35761</v>
      </c>
      <c r="C126" s="367"/>
      <c r="D126" s="736">
        <f>(25.3*(32.3+3.15+4.95)+(25.3*32.3*2))</f>
        <v>2656.5</v>
      </c>
      <c r="E126" s="722"/>
      <c r="F126" s="365"/>
      <c r="G126" s="271">
        <v>1</v>
      </c>
      <c r="H126" s="271"/>
      <c r="I126" s="259">
        <f>D126*G126</f>
        <v>2656.5</v>
      </c>
    </row>
    <row r="127" spans="1:9">
      <c r="A127" s="195"/>
      <c r="B127" s="189" t="s">
        <v>35762</v>
      </c>
      <c r="C127" s="367"/>
      <c r="D127" s="736">
        <f>15.1*32</f>
        <v>483.2</v>
      </c>
      <c r="E127" s="722"/>
      <c r="F127" s="365"/>
      <c r="G127" s="271">
        <v>1</v>
      </c>
      <c r="H127" s="271"/>
      <c r="I127" s="259">
        <f>D127*G127</f>
        <v>483.2</v>
      </c>
    </row>
    <row r="128" spans="1:9">
      <c r="A128" s="196"/>
      <c r="B128" s="193"/>
      <c r="C128" s="192"/>
      <c r="D128" s="272"/>
      <c r="E128" s="272"/>
      <c r="F128" s="272"/>
      <c r="G128" s="273"/>
      <c r="H128" s="273"/>
      <c r="I128" s="274"/>
    </row>
    <row r="129" spans="1:9">
      <c r="A129" s="135"/>
      <c r="B129" s="170"/>
      <c r="C129" s="136"/>
      <c r="D129" s="275"/>
      <c r="E129" s="275"/>
      <c r="F129" s="275"/>
      <c r="G129" s="276"/>
      <c r="H129" s="276"/>
      <c r="I129" s="277"/>
    </row>
    <row r="130" spans="1:9">
      <c r="A130" s="119" t="s">
        <v>27391</v>
      </c>
      <c r="B130" s="258" t="str">
        <f>VLOOKUP(A130,GLOBAL!A:H,4,FALSE)</f>
        <v>PROJETO HIDROSSANITÁRIO</v>
      </c>
      <c r="C130" s="119" t="str">
        <f>VLOOKUP(A130,GLOBAL!A:H,5,FALSE)</f>
        <v>M2</v>
      </c>
      <c r="D130" s="267" t="s">
        <v>66</v>
      </c>
      <c r="E130" s="267" t="s">
        <v>70</v>
      </c>
      <c r="F130" s="267" t="s">
        <v>67</v>
      </c>
      <c r="G130" s="267" t="s">
        <v>68</v>
      </c>
      <c r="H130" s="267"/>
      <c r="I130" s="268">
        <f>ROUND(SUM(I131:I134),2)</f>
        <v>3139.7</v>
      </c>
    </row>
    <row r="131" spans="1:9">
      <c r="A131" s="194"/>
      <c r="B131" s="187" t="s">
        <v>2874</v>
      </c>
      <c r="C131" s="188"/>
      <c r="D131" s="269"/>
      <c r="E131" s="269"/>
      <c r="F131" s="269"/>
      <c r="G131" s="269"/>
      <c r="H131" s="269"/>
      <c r="I131" s="270"/>
    </row>
    <row r="132" spans="1:9">
      <c r="A132" s="195"/>
      <c r="B132" s="189" t="s">
        <v>35761</v>
      </c>
      <c r="C132" s="367"/>
      <c r="D132" s="736">
        <f>(25.3*(32.3+3.15+4.95)+(25.3*32.3*2))</f>
        <v>2656.5</v>
      </c>
      <c r="E132" s="722"/>
      <c r="F132" s="365"/>
      <c r="G132" s="271">
        <v>1</v>
      </c>
      <c r="H132" s="271"/>
      <c r="I132" s="259">
        <f>D132*G132</f>
        <v>2656.5</v>
      </c>
    </row>
    <row r="133" spans="1:9">
      <c r="A133" s="195"/>
      <c r="B133" s="189" t="s">
        <v>35762</v>
      </c>
      <c r="C133" s="367"/>
      <c r="D133" s="736">
        <f>15.1*32</f>
        <v>483.2</v>
      </c>
      <c r="E133" s="722"/>
      <c r="F133" s="365"/>
      <c r="G133" s="271">
        <v>1</v>
      </c>
      <c r="H133" s="271"/>
      <c r="I133" s="259">
        <f>D133*G133</f>
        <v>483.2</v>
      </c>
    </row>
    <row r="134" spans="1:9">
      <c r="A134" s="196"/>
      <c r="B134" s="193"/>
      <c r="C134" s="192"/>
      <c r="D134" s="272"/>
      <c r="E134" s="272"/>
      <c r="F134" s="272"/>
      <c r="G134" s="273"/>
      <c r="H134" s="273"/>
      <c r="I134" s="274"/>
    </row>
    <row r="135" spans="1:9">
      <c r="A135" s="135"/>
      <c r="B135" s="170"/>
      <c r="C135" s="136"/>
      <c r="D135" s="275"/>
      <c r="E135" s="275"/>
      <c r="F135" s="275"/>
      <c r="G135" s="276"/>
      <c r="H135" s="276"/>
      <c r="I135" s="277"/>
    </row>
    <row r="136" spans="1:9">
      <c r="A136" s="119" t="s">
        <v>27392</v>
      </c>
      <c r="B136" s="258" t="str">
        <f>VLOOKUP(A136,GLOBAL!A:H,4,FALSE)</f>
        <v>PROJETO REDES ELÉTRICAS</v>
      </c>
      <c r="C136" s="119" t="str">
        <f>VLOOKUP(A136,GLOBAL!A:H,5,FALSE)</f>
        <v>M2</v>
      </c>
      <c r="D136" s="267" t="s">
        <v>66</v>
      </c>
      <c r="E136" s="267" t="s">
        <v>70</v>
      </c>
      <c r="F136" s="267" t="s">
        <v>67</v>
      </c>
      <c r="G136" s="267" t="s">
        <v>68</v>
      </c>
      <c r="H136" s="267"/>
      <c r="I136" s="268">
        <f>ROUND(SUM(I137:I140),2)</f>
        <v>3139.7</v>
      </c>
    </row>
    <row r="137" spans="1:9">
      <c r="A137" s="194"/>
      <c r="B137" s="187" t="s">
        <v>2874</v>
      </c>
      <c r="C137" s="188"/>
      <c r="D137" s="269"/>
      <c r="E137" s="269"/>
      <c r="F137" s="269"/>
      <c r="G137" s="269"/>
      <c r="H137" s="269"/>
      <c r="I137" s="270"/>
    </row>
    <row r="138" spans="1:9">
      <c r="A138" s="195"/>
      <c r="B138" s="189" t="s">
        <v>35761</v>
      </c>
      <c r="C138" s="367"/>
      <c r="D138" s="736">
        <f>(25.3*(32.3+3.15+4.95)+(25.3*32.3*2))</f>
        <v>2656.5</v>
      </c>
      <c r="E138" s="722"/>
      <c r="F138" s="365"/>
      <c r="G138" s="271">
        <v>1</v>
      </c>
      <c r="H138" s="271"/>
      <c r="I138" s="259">
        <f>D138*G138</f>
        <v>2656.5</v>
      </c>
    </row>
    <row r="139" spans="1:9">
      <c r="A139" s="195"/>
      <c r="B139" s="189" t="s">
        <v>35762</v>
      </c>
      <c r="C139" s="367"/>
      <c r="D139" s="736">
        <f>15.1*32</f>
        <v>483.2</v>
      </c>
      <c r="E139" s="722"/>
      <c r="F139" s="365"/>
      <c r="G139" s="271">
        <v>1</v>
      </c>
      <c r="H139" s="271"/>
      <c r="I139" s="259">
        <f>D139*G139</f>
        <v>483.2</v>
      </c>
    </row>
    <row r="140" spans="1:9">
      <c r="A140" s="196"/>
      <c r="B140" s="193"/>
      <c r="C140" s="192"/>
      <c r="D140" s="272"/>
      <c r="E140" s="272"/>
      <c r="F140" s="272"/>
      <c r="G140" s="273"/>
      <c r="H140" s="273"/>
      <c r="I140" s="274"/>
    </row>
    <row r="141" spans="1:9">
      <c r="A141" s="135"/>
      <c r="B141" s="170"/>
      <c r="C141" s="136"/>
      <c r="D141" s="275"/>
      <c r="E141" s="275"/>
      <c r="F141" s="275"/>
      <c r="G141" s="276"/>
      <c r="H141" s="276"/>
      <c r="I141" s="277"/>
    </row>
    <row r="142" spans="1:9" ht="28.8">
      <c r="A142" s="119" t="s">
        <v>27393</v>
      </c>
      <c r="B142" s="258" t="str">
        <f>VLOOKUP(A142,GLOBAL!A:H,4,FALSE)</f>
        <v>PROJETO DO SIST. DE CABEAMENTO ESTRUTURADO (VOZ, DADOS E SONORIZAÇÃO)</v>
      </c>
      <c r="C142" s="119" t="str">
        <f>VLOOKUP(A142,GLOBAL!A:H,5,FALSE)</f>
        <v>M2</v>
      </c>
      <c r="D142" s="267" t="s">
        <v>66</v>
      </c>
      <c r="E142" s="267" t="s">
        <v>70</v>
      </c>
      <c r="F142" s="267" t="s">
        <v>67</v>
      </c>
      <c r="G142" s="267" t="s">
        <v>68</v>
      </c>
      <c r="H142" s="267"/>
      <c r="I142" s="268">
        <f>ROUND(SUM(I143:I146),2)</f>
        <v>3139.7</v>
      </c>
    </row>
    <row r="143" spans="1:9">
      <c r="A143" s="194"/>
      <c r="B143" s="187" t="s">
        <v>2874</v>
      </c>
      <c r="C143" s="188"/>
      <c r="D143" s="269"/>
      <c r="E143" s="269"/>
      <c r="F143" s="269"/>
      <c r="G143" s="269"/>
      <c r="H143" s="269"/>
      <c r="I143" s="270"/>
    </row>
    <row r="144" spans="1:9">
      <c r="A144" s="195"/>
      <c r="B144" s="189" t="s">
        <v>35761</v>
      </c>
      <c r="C144" s="367"/>
      <c r="D144" s="736">
        <f>(25.3*(32.3+3.15+4.95)+(25.3*32.3*2))</f>
        <v>2656.5</v>
      </c>
      <c r="E144" s="722"/>
      <c r="F144" s="365"/>
      <c r="G144" s="271">
        <v>1</v>
      </c>
      <c r="H144" s="271"/>
      <c r="I144" s="259">
        <f>D144*G144</f>
        <v>2656.5</v>
      </c>
    </row>
    <row r="145" spans="1:9">
      <c r="A145" s="195"/>
      <c r="B145" s="189" t="s">
        <v>35762</v>
      </c>
      <c r="C145" s="367"/>
      <c r="D145" s="736">
        <f>15.1*32</f>
        <v>483.2</v>
      </c>
      <c r="E145" s="722"/>
      <c r="F145" s="365"/>
      <c r="G145" s="271">
        <v>1</v>
      </c>
      <c r="H145" s="271"/>
      <c r="I145" s="259">
        <f>D145*G145</f>
        <v>483.2</v>
      </c>
    </row>
    <row r="146" spans="1:9">
      <c r="A146" s="196"/>
      <c r="B146" s="193"/>
      <c r="C146" s="192"/>
      <c r="D146" s="272"/>
      <c r="E146" s="272"/>
      <c r="F146" s="272"/>
      <c r="G146" s="273"/>
      <c r="H146" s="273"/>
      <c r="I146" s="274"/>
    </row>
    <row r="147" spans="1:9">
      <c r="A147" s="135"/>
      <c r="B147" s="170"/>
      <c r="C147" s="136"/>
      <c r="D147" s="275"/>
      <c r="E147" s="275"/>
      <c r="F147" s="275"/>
      <c r="G147" s="276"/>
      <c r="H147" s="276"/>
      <c r="I147" s="277"/>
    </row>
    <row r="148" spans="1:9">
      <c r="A148" s="119" t="s">
        <v>27394</v>
      </c>
      <c r="B148" s="258" t="str">
        <f>VLOOKUP(A148,GLOBAL!A:H,4,FALSE)</f>
        <v>PROJETO DE PREVENÇÃO E COMBATE A INCÊNDIO</v>
      </c>
      <c r="C148" s="119" t="str">
        <f>VLOOKUP(A148,GLOBAL!A:H,5,FALSE)</f>
        <v>M2</v>
      </c>
      <c r="D148" s="267" t="s">
        <v>66</v>
      </c>
      <c r="E148" s="267" t="s">
        <v>70</v>
      </c>
      <c r="F148" s="267" t="s">
        <v>67</v>
      </c>
      <c r="G148" s="267" t="s">
        <v>68</v>
      </c>
      <c r="H148" s="267"/>
      <c r="I148" s="268">
        <f>ROUND(SUM(I149:I152),2)</f>
        <v>3139.7</v>
      </c>
    </row>
    <row r="149" spans="1:9">
      <c r="A149" s="194"/>
      <c r="B149" s="187" t="s">
        <v>2874</v>
      </c>
      <c r="C149" s="188"/>
      <c r="D149" s="269"/>
      <c r="E149" s="269"/>
      <c r="F149" s="269"/>
      <c r="G149" s="269"/>
      <c r="H149" s="269"/>
      <c r="I149" s="270"/>
    </row>
    <row r="150" spans="1:9">
      <c r="A150" s="195"/>
      <c r="B150" s="189" t="s">
        <v>35761</v>
      </c>
      <c r="C150" s="367"/>
      <c r="D150" s="736">
        <f>(25.3*(32.3+3.15+4.95)+(25.3*32.3*2))</f>
        <v>2656.5</v>
      </c>
      <c r="E150" s="722"/>
      <c r="F150" s="365"/>
      <c r="G150" s="271">
        <v>1</v>
      </c>
      <c r="H150" s="271"/>
      <c r="I150" s="259">
        <f>D150*G150</f>
        <v>2656.5</v>
      </c>
    </row>
    <row r="151" spans="1:9">
      <c r="A151" s="195"/>
      <c r="B151" s="189" t="s">
        <v>35762</v>
      </c>
      <c r="C151" s="367"/>
      <c r="D151" s="736">
        <f>15.1*32</f>
        <v>483.2</v>
      </c>
      <c r="E151" s="722"/>
      <c r="F151" s="365"/>
      <c r="G151" s="271">
        <v>1</v>
      </c>
      <c r="H151" s="271"/>
      <c r="I151" s="259">
        <f>D151*G151</f>
        <v>483.2</v>
      </c>
    </row>
    <row r="152" spans="1:9">
      <c r="A152" s="196"/>
      <c r="B152" s="193"/>
      <c r="C152" s="192"/>
      <c r="D152" s="272"/>
      <c r="E152" s="272"/>
      <c r="F152" s="272"/>
      <c r="G152" s="273"/>
      <c r="H152" s="273"/>
      <c r="I152" s="274"/>
    </row>
    <row r="153" spans="1:9">
      <c r="A153" s="135"/>
      <c r="B153" s="170"/>
      <c r="C153" s="136"/>
      <c r="D153" s="275"/>
      <c r="E153" s="275"/>
      <c r="F153" s="275"/>
      <c r="G153" s="276"/>
      <c r="H153" s="276"/>
      <c r="I153" s="277"/>
    </row>
    <row r="154" spans="1:9">
      <c r="A154" s="119" t="s">
        <v>27395</v>
      </c>
      <c r="B154" s="258" t="str">
        <f>VLOOKUP(A154,GLOBAL!A:H,4,FALSE)</f>
        <v>PROJETO DE CLIMATIZAÇÃO E CONFORTO AMBIENTAL</v>
      </c>
      <c r="C154" s="119" t="str">
        <f>VLOOKUP(A154,GLOBAL!A:H,5,FALSE)</f>
        <v>M2</v>
      </c>
      <c r="D154" s="267" t="s">
        <v>66</v>
      </c>
      <c r="E154" s="267" t="s">
        <v>70</v>
      </c>
      <c r="F154" s="267" t="s">
        <v>67</v>
      </c>
      <c r="G154" s="267" t="s">
        <v>68</v>
      </c>
      <c r="H154" s="267"/>
      <c r="I154" s="268">
        <f>ROUND(SUM(I155:I158),2)</f>
        <v>3139.7</v>
      </c>
    </row>
    <row r="155" spans="1:9">
      <c r="A155" s="194"/>
      <c r="B155" s="187" t="s">
        <v>2874</v>
      </c>
      <c r="C155" s="188"/>
      <c r="D155" s="269"/>
      <c r="E155" s="269"/>
      <c r="F155" s="269"/>
      <c r="G155" s="269"/>
      <c r="H155" s="269"/>
      <c r="I155" s="270"/>
    </row>
    <row r="156" spans="1:9">
      <c r="A156" s="195"/>
      <c r="B156" s="189" t="s">
        <v>35761</v>
      </c>
      <c r="C156" s="367"/>
      <c r="D156" s="736">
        <f>(25.3*(32.3+3.15+4.95)+(25.3*32.3*2))</f>
        <v>2656.5</v>
      </c>
      <c r="E156" s="722"/>
      <c r="F156" s="365"/>
      <c r="G156" s="271">
        <v>1</v>
      </c>
      <c r="H156" s="271"/>
      <c r="I156" s="259">
        <f>D156*G156</f>
        <v>2656.5</v>
      </c>
    </row>
    <row r="157" spans="1:9">
      <c r="A157" s="195"/>
      <c r="B157" s="189" t="s">
        <v>35762</v>
      </c>
      <c r="C157" s="367"/>
      <c r="D157" s="736">
        <f>15.1*32</f>
        <v>483.2</v>
      </c>
      <c r="E157" s="722"/>
      <c r="F157" s="365"/>
      <c r="G157" s="271">
        <v>1</v>
      </c>
      <c r="H157" s="271"/>
      <c r="I157" s="259">
        <f>D157*G157</f>
        <v>483.2</v>
      </c>
    </row>
    <row r="158" spans="1:9">
      <c r="A158" s="196"/>
      <c r="B158" s="193"/>
      <c r="C158" s="192"/>
      <c r="D158" s="272"/>
      <c r="E158" s="272"/>
      <c r="F158" s="272"/>
      <c r="G158" s="273"/>
      <c r="H158" s="273"/>
      <c r="I158" s="274"/>
    </row>
    <row r="159" spans="1:9">
      <c r="A159" s="135"/>
      <c r="B159" s="170"/>
      <c r="C159" s="136"/>
      <c r="D159" s="275"/>
      <c r="E159" s="275"/>
      <c r="F159" s="275"/>
      <c r="G159" s="276"/>
      <c r="H159" s="276"/>
      <c r="I159" s="277"/>
    </row>
    <row r="160" spans="1:9">
      <c r="A160" s="119" t="s">
        <v>27396</v>
      </c>
      <c r="B160" s="258" t="str">
        <f>VLOOKUP(A160,GLOBAL!A:H,4,FALSE)</f>
        <v>PROJETO SPDA (PARARRAIO)</v>
      </c>
      <c r="C160" s="119" t="str">
        <f>VLOOKUP(A160,GLOBAL!A:H,5,FALSE)</f>
        <v>M2</v>
      </c>
      <c r="D160" s="267" t="s">
        <v>66</v>
      </c>
      <c r="E160" s="267" t="s">
        <v>70</v>
      </c>
      <c r="F160" s="267" t="s">
        <v>67</v>
      </c>
      <c r="G160" s="267" t="s">
        <v>68</v>
      </c>
      <c r="H160" s="267"/>
      <c r="I160" s="268">
        <f>ROUND(SUM(I161:I164),2)</f>
        <v>3139.7</v>
      </c>
    </row>
    <row r="161" spans="1:9">
      <c r="A161" s="194"/>
      <c r="B161" s="187" t="s">
        <v>2874</v>
      </c>
      <c r="C161" s="188"/>
      <c r="D161" s="269"/>
      <c r="E161" s="269"/>
      <c r="F161" s="269"/>
      <c r="G161" s="269"/>
      <c r="H161" s="269"/>
      <c r="I161" s="270"/>
    </row>
    <row r="162" spans="1:9">
      <c r="A162" s="195"/>
      <c r="B162" s="189" t="s">
        <v>35761</v>
      </c>
      <c r="C162" s="367"/>
      <c r="D162" s="736">
        <f>(25.3*(32.3+3.15+4.95)+(25.3*32.3*2))</f>
        <v>2656.5</v>
      </c>
      <c r="E162" s="722"/>
      <c r="F162" s="365"/>
      <c r="G162" s="271">
        <v>1</v>
      </c>
      <c r="H162" s="271"/>
      <c r="I162" s="259">
        <f>D162*G162</f>
        <v>2656.5</v>
      </c>
    </row>
    <row r="163" spans="1:9">
      <c r="A163" s="195"/>
      <c r="B163" s="189" t="s">
        <v>35762</v>
      </c>
      <c r="C163" s="367"/>
      <c r="D163" s="736">
        <f>15.1*32</f>
        <v>483.2</v>
      </c>
      <c r="E163" s="722"/>
      <c r="F163" s="365"/>
      <c r="G163" s="271">
        <v>1</v>
      </c>
      <c r="H163" s="271"/>
      <c r="I163" s="259">
        <f>D163*G163</f>
        <v>483.2</v>
      </c>
    </row>
    <row r="164" spans="1:9">
      <c r="A164" s="196"/>
      <c r="B164" s="193"/>
      <c r="C164" s="192"/>
      <c r="D164" s="272"/>
      <c r="E164" s="272"/>
      <c r="F164" s="272"/>
      <c r="G164" s="273"/>
      <c r="H164" s="273"/>
      <c r="I164" s="274"/>
    </row>
    <row r="165" spans="1:9">
      <c r="A165" s="135"/>
      <c r="B165" s="170"/>
      <c r="C165" s="136"/>
      <c r="D165" s="275"/>
      <c r="E165" s="275"/>
      <c r="F165" s="275"/>
      <c r="G165" s="276"/>
      <c r="H165" s="276"/>
      <c r="I165" s="277"/>
    </row>
    <row r="166" spans="1:9">
      <c r="A166" s="119" t="s">
        <v>35322</v>
      </c>
      <c r="B166" s="258" t="str">
        <f>VLOOKUP(A166,GLOBAL!A:H,4,FALSE)</f>
        <v>IMPLEMENTOS EXTERNOS - PROJETO ELÉTRICO</v>
      </c>
      <c r="C166" s="119" t="str">
        <f>VLOOKUP(A166,GLOBAL!A:H,5,FALSE)</f>
        <v>M2</v>
      </c>
      <c r="D166" s="267" t="s">
        <v>66</v>
      </c>
      <c r="E166" s="267" t="s">
        <v>70</v>
      </c>
      <c r="F166" s="267" t="s">
        <v>67</v>
      </c>
      <c r="G166" s="267" t="s">
        <v>68</v>
      </c>
      <c r="H166" s="267"/>
      <c r="I166" s="268">
        <f>ROUND(SUM(I167:I169),2)</f>
        <v>4148.68</v>
      </c>
    </row>
    <row r="167" spans="1:9">
      <c r="A167" s="194"/>
      <c r="B167" s="187" t="s">
        <v>2874</v>
      </c>
      <c r="C167" s="188"/>
      <c r="D167" s="269"/>
      <c r="E167" s="269"/>
      <c r="F167" s="269"/>
      <c r="G167" s="269"/>
      <c r="H167" s="269"/>
      <c r="I167" s="270"/>
    </row>
    <row r="168" spans="1:9">
      <c r="A168" s="195"/>
      <c r="B168" s="189" t="s">
        <v>26988</v>
      </c>
      <c r="C168" s="367"/>
      <c r="D168" s="736">
        <v>4148.68</v>
      </c>
      <c r="E168" s="722"/>
      <c r="F168" s="365"/>
      <c r="G168" s="271">
        <v>1</v>
      </c>
      <c r="H168" s="271"/>
      <c r="I168" s="259">
        <f>D168*G168</f>
        <v>4148.68</v>
      </c>
    </row>
    <row r="169" spans="1:9">
      <c r="A169" s="196"/>
      <c r="B169" s="193"/>
      <c r="C169" s="192"/>
      <c r="D169" s="272"/>
      <c r="E169" s="272"/>
      <c r="F169" s="272"/>
      <c r="G169" s="273"/>
      <c r="H169" s="273"/>
      <c r="I169" s="274"/>
    </row>
    <row r="170" spans="1:9">
      <c r="A170" s="135"/>
      <c r="B170" s="170"/>
      <c r="C170" s="136"/>
      <c r="D170" s="275"/>
      <c r="E170" s="275"/>
      <c r="F170" s="275"/>
      <c r="G170" s="276"/>
      <c r="H170" s="276"/>
      <c r="I170" s="277"/>
    </row>
    <row r="171" spans="1:9">
      <c r="A171" s="119" t="s">
        <v>35323</v>
      </c>
      <c r="B171" s="258" t="str">
        <f>VLOOKUP(A171,GLOBAL!A:H,4,FALSE)</f>
        <v>IMPLEMENTOS EXTERNOS - PROJETO DRENAGEM</v>
      </c>
      <c r="C171" s="119" t="str">
        <f>VLOOKUP(A171,GLOBAL!A:H,5,FALSE)</f>
        <v>M2</v>
      </c>
      <c r="D171" s="267" t="s">
        <v>66</v>
      </c>
      <c r="E171" s="267" t="s">
        <v>70</v>
      </c>
      <c r="F171" s="267" t="s">
        <v>67</v>
      </c>
      <c r="G171" s="267" t="s">
        <v>68</v>
      </c>
      <c r="H171" s="267"/>
      <c r="I171" s="268">
        <f>ROUND(SUM(I172:I174),2)</f>
        <v>4148.68</v>
      </c>
    </row>
    <row r="172" spans="1:9">
      <c r="A172" s="194"/>
      <c r="B172" s="187" t="s">
        <v>2874</v>
      </c>
      <c r="C172" s="188"/>
      <c r="D172" s="269"/>
      <c r="E172" s="269"/>
      <c r="F172" s="269"/>
      <c r="G172" s="269"/>
      <c r="H172" s="269"/>
      <c r="I172" s="270"/>
    </row>
    <row r="173" spans="1:9">
      <c r="A173" s="195"/>
      <c r="B173" s="189" t="s">
        <v>35506</v>
      </c>
      <c r="C173" s="367"/>
      <c r="D173" s="736">
        <v>4148.68</v>
      </c>
      <c r="E173" s="722"/>
      <c r="F173" s="365"/>
      <c r="G173" s="271">
        <v>1</v>
      </c>
      <c r="H173" s="271"/>
      <c r="I173" s="259">
        <f>D173*G173</f>
        <v>4148.68</v>
      </c>
    </row>
    <row r="174" spans="1:9">
      <c r="A174" s="196"/>
      <c r="B174" s="193"/>
      <c r="C174" s="192"/>
      <c r="D174" s="272"/>
      <c r="E174" s="272"/>
      <c r="F174" s="272"/>
      <c r="G174" s="273"/>
      <c r="H174" s="273"/>
      <c r="I174" s="274"/>
    </row>
    <row r="175" spans="1:9">
      <c r="A175" s="135"/>
      <c r="B175" s="170"/>
      <c r="C175" s="136"/>
      <c r="D175" s="275"/>
      <c r="E175" s="275"/>
      <c r="F175" s="275"/>
      <c r="G175" s="276"/>
      <c r="H175" s="276"/>
      <c r="I175" s="277"/>
    </row>
    <row r="176" spans="1:9">
      <c r="A176" s="119" t="s">
        <v>35324</v>
      </c>
      <c r="B176" s="258" t="str">
        <f>VLOOKUP(A176,GLOBAL!A:H,4,FALSE)</f>
        <v>IMPLEMENTOS EXTERNOS - PROJETO URBANIZAÇÃO</v>
      </c>
      <c r="C176" s="119" t="str">
        <f>VLOOKUP(A176,GLOBAL!A:H,5,FALSE)</f>
        <v>M2</v>
      </c>
      <c r="D176" s="267" t="s">
        <v>66</v>
      </c>
      <c r="E176" s="267" t="s">
        <v>70</v>
      </c>
      <c r="F176" s="267" t="s">
        <v>67</v>
      </c>
      <c r="G176" s="267" t="s">
        <v>68</v>
      </c>
      <c r="H176" s="267"/>
      <c r="I176" s="268">
        <f>ROUND(SUM(I177:I179),2)</f>
        <v>4148.68</v>
      </c>
    </row>
    <row r="177" spans="1:15">
      <c r="A177" s="194"/>
      <c r="B177" s="187" t="s">
        <v>2874</v>
      </c>
      <c r="C177" s="188"/>
      <c r="D177" s="269"/>
      <c r="E177" s="269"/>
      <c r="F177" s="269"/>
      <c r="G177" s="269"/>
      <c r="H177" s="269"/>
      <c r="I177" s="270"/>
    </row>
    <row r="178" spans="1:15">
      <c r="A178" s="195"/>
      <c r="B178" s="189" t="s">
        <v>35506</v>
      </c>
      <c r="C178" s="367"/>
      <c r="D178" s="736">
        <v>4148.68</v>
      </c>
      <c r="E178" s="722"/>
      <c r="F178" s="365"/>
      <c r="G178" s="271">
        <v>1</v>
      </c>
      <c r="H178" s="271"/>
      <c r="I178" s="259">
        <f>D178*G178</f>
        <v>4148.68</v>
      </c>
    </row>
    <row r="179" spans="1:15">
      <c r="A179" s="196"/>
      <c r="B179" s="193"/>
      <c r="C179" s="192"/>
      <c r="D179" s="272"/>
      <c r="E179" s="272"/>
      <c r="F179" s="272"/>
      <c r="G179" s="273"/>
      <c r="H179" s="273"/>
      <c r="I179" s="274"/>
    </row>
    <row r="180" spans="1:15">
      <c r="A180" s="135"/>
      <c r="B180" s="170"/>
      <c r="C180" s="136"/>
      <c r="D180" s="275"/>
      <c r="E180" s="275"/>
      <c r="F180" s="275"/>
      <c r="G180" s="276"/>
      <c r="H180" s="276"/>
      <c r="I180" s="277"/>
    </row>
    <row r="181" spans="1:15">
      <c r="A181" s="119" t="s">
        <v>35325</v>
      </c>
      <c r="B181" s="258" t="str">
        <f>VLOOKUP(A181,GLOBAL!A:H,4,FALSE)</f>
        <v>IMPLEMENTOS EXTERNOS - PROJETO PAISAGISMO</v>
      </c>
      <c r="C181" s="119" t="str">
        <f>VLOOKUP(A181,GLOBAL!A:H,5,FALSE)</f>
        <v>M2</v>
      </c>
      <c r="D181" s="267" t="s">
        <v>66</v>
      </c>
      <c r="E181" s="267" t="s">
        <v>70</v>
      </c>
      <c r="F181" s="267" t="s">
        <v>67</v>
      </c>
      <c r="G181" s="267" t="s">
        <v>68</v>
      </c>
      <c r="H181" s="267"/>
      <c r="I181" s="268">
        <f>ROUND(SUM(I182:I184),2)</f>
        <v>4148.68</v>
      </c>
    </row>
    <row r="182" spans="1:15">
      <c r="A182" s="194"/>
      <c r="B182" s="187" t="s">
        <v>2874</v>
      </c>
      <c r="C182" s="188"/>
      <c r="D182" s="269"/>
      <c r="E182" s="269"/>
      <c r="F182" s="269"/>
      <c r="G182" s="269"/>
      <c r="H182" s="269"/>
      <c r="I182" s="270"/>
    </row>
    <row r="183" spans="1:15">
      <c r="A183" s="195"/>
      <c r="B183" s="189" t="s">
        <v>35506</v>
      </c>
      <c r="C183" s="367"/>
      <c r="D183" s="736">
        <v>4148.68</v>
      </c>
      <c r="E183" s="722"/>
      <c r="F183" s="365"/>
      <c r="G183" s="271">
        <v>1</v>
      </c>
      <c r="H183" s="271"/>
      <c r="I183" s="259">
        <f>D183*G183</f>
        <v>4148.68</v>
      </c>
    </row>
    <row r="184" spans="1:15">
      <c r="A184" s="196"/>
      <c r="B184" s="193"/>
      <c r="C184" s="192"/>
      <c r="D184" s="272"/>
      <c r="E184" s="272"/>
      <c r="F184" s="272"/>
      <c r="G184" s="273"/>
      <c r="H184" s="273"/>
      <c r="I184" s="274"/>
    </row>
    <row r="185" spans="1:15">
      <c r="A185" s="135"/>
      <c r="B185" s="170"/>
      <c r="C185" s="136"/>
      <c r="D185" s="275"/>
      <c r="E185" s="275"/>
      <c r="F185" s="275"/>
      <c r="G185" s="276"/>
      <c r="H185" s="276"/>
      <c r="I185" s="277"/>
    </row>
    <row r="186" spans="1:15">
      <c r="A186" s="184" t="s">
        <v>7</v>
      </c>
      <c r="B186" s="171" t="str">
        <f>VLOOKUP(A186,GLOBAL!A:H,4,FALSE)</f>
        <v>MOVIMENTO DE TERRA</v>
      </c>
      <c r="C186" s="172"/>
      <c r="D186" s="265"/>
      <c r="E186" s="265"/>
      <c r="F186" s="265"/>
      <c r="G186" s="265"/>
      <c r="H186" s="265"/>
      <c r="I186" s="266"/>
    </row>
    <row r="187" spans="1:15">
      <c r="A187" s="173" t="s">
        <v>10362</v>
      </c>
      <c r="B187" s="171" t="str">
        <f>VLOOKUP(A187,GLOBAL!A:H,4,FALSE)</f>
        <v>ESCAVAÇÕES</v>
      </c>
      <c r="C187" s="172"/>
      <c r="D187" s="265"/>
      <c r="E187" s="265"/>
      <c r="F187" s="265"/>
      <c r="G187" s="265"/>
      <c r="H187" s="265"/>
      <c r="I187" s="266"/>
    </row>
    <row r="188" spans="1:15" ht="28.8">
      <c r="A188" s="119" t="s">
        <v>37</v>
      </c>
      <c r="B188" s="256" t="str">
        <f>VLOOKUP(A188,GLOBAL!A:H,4,FALSE)</f>
        <v>ESCAVAÇÃO MANUAL EM MATERIAL DE 1A. CATEGORIA, ATÉ 1.50 M DE PROFUNDIDADE</v>
      </c>
      <c r="C188" s="119" t="str">
        <f>VLOOKUP(A188,GLOBAL!A:H,5,FALSE)</f>
        <v>M3</v>
      </c>
      <c r="D188" s="267" t="s">
        <v>66</v>
      </c>
      <c r="E188" s="267" t="s">
        <v>70</v>
      </c>
      <c r="F188" s="267" t="s">
        <v>67</v>
      </c>
      <c r="G188" s="267" t="s">
        <v>68</v>
      </c>
      <c r="H188" s="267"/>
      <c r="I188" s="268">
        <f>ROUND(SUM(I189:I193),2)</f>
        <v>850</v>
      </c>
      <c r="O188" s="510"/>
    </row>
    <row r="189" spans="1:15">
      <c r="A189" s="194"/>
      <c r="B189" s="187" t="s">
        <v>2874</v>
      </c>
      <c r="C189" s="188"/>
      <c r="D189" s="269"/>
      <c r="E189" s="269"/>
      <c r="F189" s="269"/>
      <c r="G189" s="269"/>
      <c r="H189" s="269"/>
      <c r="I189" s="270"/>
    </row>
    <row r="190" spans="1:15">
      <c r="A190" s="195"/>
      <c r="B190" s="189" t="s">
        <v>35507</v>
      </c>
      <c r="C190" s="190"/>
      <c r="D190" s="279">
        <v>2.5</v>
      </c>
      <c r="E190" s="278">
        <v>2.5</v>
      </c>
      <c r="F190" s="271">
        <v>2</v>
      </c>
      <c r="G190" s="271">
        <v>42</v>
      </c>
      <c r="H190" s="271"/>
      <c r="I190" s="259">
        <f>D190*E190*F190*G190</f>
        <v>525</v>
      </c>
    </row>
    <row r="191" spans="1:15">
      <c r="A191" s="195"/>
      <c r="B191" s="636" t="s">
        <v>35654</v>
      </c>
      <c r="C191" s="637"/>
      <c r="D191" s="638">
        <v>2.5</v>
      </c>
      <c r="E191" s="639">
        <v>2.5</v>
      </c>
      <c r="F191" s="640">
        <v>2</v>
      </c>
      <c r="G191" s="640">
        <v>26</v>
      </c>
      <c r="H191" s="640"/>
      <c r="I191" s="259">
        <f>D191*E191*F191*G191</f>
        <v>325</v>
      </c>
    </row>
    <row r="192" spans="1:15">
      <c r="A192" s="195"/>
      <c r="B192" s="636" t="s">
        <v>35763</v>
      </c>
      <c r="C192" s="637"/>
      <c r="D192" s="640"/>
      <c r="E192" s="639"/>
      <c r="F192" s="640"/>
      <c r="G192" s="640"/>
      <c r="H192" s="640"/>
      <c r="I192" s="259">
        <f t="shared" ref="I192" si="0">D192*E192*F192</f>
        <v>0</v>
      </c>
    </row>
    <row r="193" spans="1:15">
      <c r="A193" s="196"/>
      <c r="B193" s="193"/>
      <c r="C193" s="192"/>
      <c r="D193" s="273"/>
      <c r="E193" s="273"/>
      <c r="F193" s="273"/>
      <c r="G193" s="273"/>
      <c r="H193" s="273"/>
      <c r="I193" s="274"/>
    </row>
    <row r="194" spans="1:15">
      <c r="A194" s="135"/>
      <c r="B194" s="170"/>
      <c r="C194" s="136"/>
      <c r="D194" s="275"/>
      <c r="E194" s="275"/>
      <c r="F194" s="275"/>
      <c r="G194" s="276"/>
      <c r="H194" s="276"/>
      <c r="I194" s="277"/>
    </row>
    <row r="195" spans="1:15">
      <c r="A195" s="119" t="s">
        <v>7509</v>
      </c>
      <c r="B195" s="256" t="str">
        <f>VLOOKUP(A195,GLOBAL!A:H,4,FALSE)</f>
        <v>ESCAVAÇÃO MECÂNICA EM MATERIAL DE 1A. CATEGORIA</v>
      </c>
      <c r="C195" s="119" t="str">
        <f>VLOOKUP(A195,GLOBAL!A:H,5,FALSE)</f>
        <v>M3</v>
      </c>
      <c r="D195" s="267" t="s">
        <v>66</v>
      </c>
      <c r="E195" s="267" t="s">
        <v>70</v>
      </c>
      <c r="F195" s="267" t="s">
        <v>67</v>
      </c>
      <c r="G195" s="267" t="s">
        <v>68</v>
      </c>
      <c r="H195" s="267"/>
      <c r="I195" s="268">
        <f>ROUND(SUM(I196:I200),2)</f>
        <v>848.1</v>
      </c>
      <c r="O195" s="510"/>
    </row>
    <row r="196" spans="1:15">
      <c r="A196" s="194"/>
      <c r="B196" s="187" t="s">
        <v>2874</v>
      </c>
      <c r="C196" s="188"/>
      <c r="D196" s="269"/>
      <c r="E196" s="269"/>
      <c r="F196" s="269"/>
      <c r="G196" s="269"/>
      <c r="H196" s="269"/>
      <c r="I196" s="270"/>
    </row>
    <row r="197" spans="1:15">
      <c r="A197" s="195"/>
      <c r="B197" s="189" t="s">
        <v>35507</v>
      </c>
      <c r="C197" s="190"/>
      <c r="D197" s="736">
        <f>(25.3*(32.3+3.15+4.95))</f>
        <v>1022.12</v>
      </c>
      <c r="E197" s="722"/>
      <c r="F197" s="271">
        <v>0.15</v>
      </c>
      <c r="G197" s="271"/>
      <c r="H197" s="271"/>
      <c r="I197" s="259">
        <f>D197*F197</f>
        <v>153.31799999999998</v>
      </c>
    </row>
    <row r="198" spans="1:15">
      <c r="A198" s="195"/>
      <c r="B198" s="636" t="s">
        <v>35654</v>
      </c>
      <c r="C198" s="637"/>
      <c r="D198" s="736">
        <f>15.1*32</f>
        <v>483.2</v>
      </c>
      <c r="E198" s="722"/>
      <c r="F198" s="640">
        <v>0.15</v>
      </c>
      <c r="G198" s="640"/>
      <c r="H198" s="640"/>
      <c r="I198" s="259">
        <f>D198*F198</f>
        <v>72.47999999999999</v>
      </c>
    </row>
    <row r="199" spans="1:15">
      <c r="A199" s="195"/>
      <c r="B199" s="636" t="s">
        <v>35764</v>
      </c>
      <c r="C199" s="637"/>
      <c r="D199" s="721">
        <f>D183</f>
        <v>4148.68</v>
      </c>
      <c r="E199" s="722"/>
      <c r="F199" s="640">
        <v>0.15</v>
      </c>
      <c r="G199" s="640"/>
      <c r="H199" s="640"/>
      <c r="I199" s="259">
        <f>D199*F199</f>
        <v>622.30200000000002</v>
      </c>
    </row>
    <row r="200" spans="1:15">
      <c r="A200" s="196"/>
      <c r="B200" s="193"/>
      <c r="C200" s="192"/>
      <c r="D200" s="273"/>
      <c r="E200" s="273"/>
      <c r="F200" s="273"/>
      <c r="G200" s="273"/>
      <c r="H200" s="273"/>
      <c r="I200" s="274"/>
    </row>
    <row r="201" spans="1:15">
      <c r="A201" s="135"/>
      <c r="B201" s="170"/>
      <c r="C201" s="136"/>
      <c r="D201" s="275"/>
      <c r="E201" s="275"/>
      <c r="F201" s="275"/>
      <c r="G201" s="276"/>
      <c r="H201" s="276"/>
      <c r="I201" s="277"/>
    </row>
    <row r="202" spans="1:15">
      <c r="A202" s="173" t="s">
        <v>27404</v>
      </c>
      <c r="B202" s="171" t="str">
        <f>VLOOKUP(A202,GLOBAL!A:H,4,FALSE)</f>
        <v>REATERRO E COMPACTAÇÃO</v>
      </c>
      <c r="C202" s="172"/>
      <c r="D202" s="265"/>
      <c r="E202" s="265"/>
      <c r="F202" s="265"/>
      <c r="G202" s="265"/>
      <c r="H202" s="265"/>
      <c r="I202" s="266"/>
    </row>
    <row r="203" spans="1:15">
      <c r="A203" s="119" t="s">
        <v>30314</v>
      </c>
      <c r="B203" s="256" t="str">
        <f>VLOOKUP(A203,GLOBAL!A:H,4,FALSE)</f>
        <v>REATERRO APILOADO DE CAVAS DE FUNDAÇÃO, EM CAMADAS DE 20 CM</v>
      </c>
      <c r="C203" s="119" t="str">
        <f>VLOOKUP(A203,GLOBAL!A:H,5,FALSE)</f>
        <v>M3</v>
      </c>
      <c r="D203" s="267" t="s">
        <v>66</v>
      </c>
      <c r="E203" s="267" t="s">
        <v>70</v>
      </c>
      <c r="F203" s="267" t="s">
        <v>67</v>
      </c>
      <c r="G203" s="267" t="s">
        <v>68</v>
      </c>
      <c r="H203" s="267"/>
      <c r="I203" s="268">
        <f>ROUND(SUM(I204:I208),2)</f>
        <v>425</v>
      </c>
      <c r="O203" s="510"/>
    </row>
    <row r="204" spans="1:15">
      <c r="A204" s="194"/>
      <c r="B204" s="187" t="s">
        <v>2874</v>
      </c>
      <c r="C204" s="188"/>
      <c r="D204" s="269"/>
      <c r="E204" s="269"/>
      <c r="F204" s="269"/>
      <c r="G204" s="269"/>
      <c r="H204" s="269"/>
      <c r="I204" s="270"/>
    </row>
    <row r="205" spans="1:15">
      <c r="A205" s="195"/>
      <c r="B205" s="189" t="s">
        <v>35507</v>
      </c>
      <c r="C205" s="190"/>
      <c r="D205" s="279">
        <v>2.5</v>
      </c>
      <c r="E205" s="278">
        <v>2.5</v>
      </c>
      <c r="F205" s="271">
        <v>1</v>
      </c>
      <c r="G205" s="271">
        <v>42</v>
      </c>
      <c r="H205" s="271"/>
      <c r="I205" s="259">
        <f>D205*E205*F205*G205</f>
        <v>262.5</v>
      </c>
    </row>
    <row r="206" spans="1:15">
      <c r="A206" s="195"/>
      <c r="B206" s="636" t="s">
        <v>35654</v>
      </c>
      <c r="C206" s="637"/>
      <c r="D206" s="638">
        <v>2.5</v>
      </c>
      <c r="E206" s="639">
        <v>2.5</v>
      </c>
      <c r="F206" s="640">
        <v>1</v>
      </c>
      <c r="G206" s="640">
        <v>26</v>
      </c>
      <c r="H206" s="640"/>
      <c r="I206" s="259">
        <f>D206*E206*F206*G206</f>
        <v>162.5</v>
      </c>
    </row>
    <row r="207" spans="1:15">
      <c r="A207" s="195"/>
      <c r="B207" s="636" t="s">
        <v>35763</v>
      </c>
      <c r="C207" s="637"/>
      <c r="D207" s="640"/>
      <c r="E207" s="639"/>
      <c r="F207" s="640"/>
      <c r="G207" s="640"/>
      <c r="H207" s="640"/>
      <c r="I207" s="259">
        <f t="shared" ref="I207" si="1">D207*E207*F207</f>
        <v>0</v>
      </c>
    </row>
    <row r="208" spans="1:15">
      <c r="A208" s="196"/>
      <c r="B208" s="193"/>
      <c r="C208" s="192"/>
      <c r="D208" s="273"/>
      <c r="E208" s="273"/>
      <c r="F208" s="273"/>
      <c r="G208" s="273"/>
      <c r="H208" s="273"/>
      <c r="I208" s="274"/>
    </row>
    <row r="209" spans="1:15">
      <c r="A209" s="135"/>
      <c r="B209" s="170"/>
      <c r="C209" s="136"/>
      <c r="D209" s="275"/>
      <c r="E209" s="275"/>
      <c r="F209" s="275"/>
      <c r="G209" s="276"/>
      <c r="H209" s="276"/>
      <c r="I209" s="277"/>
    </row>
    <row r="210" spans="1:15">
      <c r="A210" s="119" t="s">
        <v>27405</v>
      </c>
      <c r="B210" s="256" t="str">
        <f>VLOOKUP(A210,GLOBAL!A:H,4,FALSE)</f>
        <v>LASTRO DE BRITA 3 E 4, APILOADO MANUALMENTE</v>
      </c>
      <c r="C210" s="119" t="str">
        <f>VLOOKUP(A210,GLOBAL!A:H,5,FALSE)</f>
        <v>M3</v>
      </c>
      <c r="D210" s="267" t="s">
        <v>66</v>
      </c>
      <c r="E210" s="267" t="s">
        <v>70</v>
      </c>
      <c r="F210" s="267" t="s">
        <v>67</v>
      </c>
      <c r="G210" s="267" t="s">
        <v>68</v>
      </c>
      <c r="H210" s="267"/>
      <c r="I210" s="268">
        <f>ROUND(SUM(I211:I214),2)</f>
        <v>201.22</v>
      </c>
      <c r="O210" s="510"/>
    </row>
    <row r="211" spans="1:15">
      <c r="A211" s="194"/>
      <c r="B211" s="187" t="s">
        <v>2874</v>
      </c>
      <c r="C211" s="188"/>
      <c r="D211" s="269"/>
      <c r="E211" s="269"/>
      <c r="F211" s="269"/>
      <c r="G211" s="269"/>
      <c r="H211" s="269"/>
      <c r="I211" s="270"/>
    </row>
    <row r="212" spans="1:15">
      <c r="A212" s="195"/>
      <c r="B212" s="189" t="s">
        <v>35765</v>
      </c>
      <c r="C212" s="190"/>
      <c r="D212" s="721">
        <v>471.87</v>
      </c>
      <c r="E212" s="722"/>
      <c r="F212" s="271">
        <v>0.05</v>
      </c>
      <c r="G212" s="271"/>
      <c r="H212" s="271"/>
      <c r="I212" s="259">
        <f>D212*F212</f>
        <v>23.593500000000002</v>
      </c>
    </row>
    <row r="213" spans="1:15">
      <c r="A213" s="195"/>
      <c r="B213" s="189" t="s">
        <v>35765</v>
      </c>
      <c r="C213" s="190"/>
      <c r="D213" s="721">
        <v>3552.57</v>
      </c>
      <c r="E213" s="722"/>
      <c r="F213" s="271">
        <v>0.05</v>
      </c>
      <c r="G213" s="271"/>
      <c r="H213" s="271"/>
      <c r="I213" s="259">
        <f>D213*F213</f>
        <v>177.62850000000003</v>
      </c>
    </row>
    <row r="214" spans="1:15">
      <c r="A214" s="196"/>
      <c r="B214" s="193"/>
      <c r="C214" s="192"/>
      <c r="D214" s="273"/>
      <c r="E214" s="273"/>
      <c r="F214" s="273"/>
      <c r="G214" s="273"/>
      <c r="H214" s="273"/>
      <c r="I214" s="274"/>
    </row>
    <row r="215" spans="1:15">
      <c r="A215" s="135"/>
      <c r="B215" s="170"/>
      <c r="C215" s="136"/>
      <c r="D215" s="275"/>
      <c r="E215" s="275"/>
      <c r="F215" s="275"/>
      <c r="G215" s="276"/>
      <c r="H215" s="276"/>
      <c r="I215" s="277"/>
    </row>
    <row r="216" spans="1:15" ht="43.2">
      <c r="A216" s="119" t="s">
        <v>35260</v>
      </c>
      <c r="B216" s="256" t="str">
        <f>VLOOKUP(A216,GLOBAL!A:H,4,FALSE)</f>
        <v>ATERRO MANUAL PARA REGULARIZAÇÃO DO TERRENO EM ARGILA, INCLUSIVE ADENSAMENTO MANUAL E FORNECIMENTO DO MATERIAL (MÁXIMO DE 100M3)</v>
      </c>
      <c r="C216" s="119" t="str">
        <f>VLOOKUP(A216,GLOBAL!A:H,5,FALSE)</f>
        <v>M3</v>
      </c>
      <c r="D216" s="267" t="s">
        <v>66</v>
      </c>
      <c r="E216" s="267" t="s">
        <v>70</v>
      </c>
      <c r="F216" s="267" t="s">
        <v>67</v>
      </c>
      <c r="G216" s="267" t="s">
        <v>68</v>
      </c>
      <c r="H216" s="267"/>
      <c r="I216" s="268">
        <f>ROUND(SUM(I217:I219),2)</f>
        <v>535.59</v>
      </c>
    </row>
    <row r="217" spans="1:15">
      <c r="A217" s="194"/>
      <c r="B217" s="187" t="s">
        <v>2874</v>
      </c>
      <c r="C217" s="188"/>
      <c r="D217" s="269"/>
      <c r="E217" s="269"/>
      <c r="F217" s="269"/>
      <c r="G217" s="269"/>
      <c r="H217" s="269"/>
      <c r="I217" s="270"/>
    </row>
    <row r="218" spans="1:15">
      <c r="A218" s="195"/>
      <c r="B218" s="189" t="s">
        <v>35766</v>
      </c>
      <c r="C218" s="234"/>
      <c r="D218" s="721">
        <v>5355.9</v>
      </c>
      <c r="E218" s="722"/>
      <c r="F218" s="279">
        <v>0.1</v>
      </c>
      <c r="G218" s="279"/>
      <c r="H218" s="279"/>
      <c r="I218" s="280">
        <f>D218*F218</f>
        <v>535.59</v>
      </c>
    </row>
    <row r="219" spans="1:15">
      <c r="A219" s="196"/>
      <c r="B219" s="193"/>
      <c r="C219" s="192"/>
      <c r="D219" s="272"/>
      <c r="E219" s="272"/>
      <c r="F219" s="272"/>
      <c r="G219" s="273"/>
      <c r="H219" s="273"/>
      <c r="I219" s="274"/>
    </row>
    <row r="220" spans="1:15">
      <c r="A220" s="135"/>
      <c r="B220" s="170"/>
      <c r="C220" s="136"/>
      <c r="D220" s="275"/>
      <c r="E220" s="275"/>
      <c r="F220" s="275"/>
      <c r="G220" s="276"/>
      <c r="H220" s="276"/>
      <c r="I220" s="277"/>
    </row>
    <row r="221" spans="1:15" ht="28.8">
      <c r="A221" s="119" t="s">
        <v>35261</v>
      </c>
      <c r="B221" s="256" t="str">
        <f>VLOOKUP(A221,GLOBAL!A:H,4,FALSE)</f>
        <v>ATERRO COMPACTADO UTILIZANDO COMPACTADOR DE PLACA VIBRATÓRIA COM REAPROVEITAMENTO DO MATERIAL</v>
      </c>
      <c r="C221" s="119" t="str">
        <f>VLOOKUP(A221,GLOBAL!A:H,5,FALSE)</f>
        <v>M3</v>
      </c>
      <c r="D221" s="267" t="s">
        <v>66</v>
      </c>
      <c r="E221" s="267" t="s">
        <v>70</v>
      </c>
      <c r="F221" s="267" t="s">
        <v>67</v>
      </c>
      <c r="G221" s="267" t="s">
        <v>68</v>
      </c>
      <c r="H221" s="267"/>
      <c r="I221" s="268">
        <f>ROUND(SUM(I222:I224),2)</f>
        <v>225.8</v>
      </c>
    </row>
    <row r="222" spans="1:15">
      <c r="A222" s="194"/>
      <c r="B222" s="187" t="s">
        <v>2874</v>
      </c>
      <c r="C222" s="188"/>
      <c r="D222" s="269"/>
      <c r="E222" s="269"/>
      <c r="F222" s="269"/>
      <c r="G222" s="269"/>
      <c r="H222" s="269"/>
      <c r="I222" s="270"/>
    </row>
    <row r="223" spans="1:15">
      <c r="A223" s="195"/>
      <c r="B223" s="189" t="s">
        <v>35767</v>
      </c>
      <c r="C223" s="234"/>
      <c r="D223" s="736">
        <f>(25.3*(32.3+3.15+4.95))</f>
        <v>1022.12</v>
      </c>
      <c r="E223" s="722"/>
      <c r="F223" s="279">
        <v>0.15</v>
      </c>
      <c r="G223" s="279"/>
      <c r="H223" s="279"/>
      <c r="I223" s="280">
        <f>D223*F223</f>
        <v>153.31799999999998</v>
      </c>
    </row>
    <row r="224" spans="1:15">
      <c r="A224" s="195"/>
      <c r="B224" s="189" t="s">
        <v>35768</v>
      </c>
      <c r="C224" s="234"/>
      <c r="D224" s="721">
        <f>15.1*32</f>
        <v>483.2</v>
      </c>
      <c r="E224" s="722"/>
      <c r="F224" s="279">
        <v>0.15</v>
      </c>
      <c r="G224" s="279"/>
      <c r="H224" s="279"/>
      <c r="I224" s="280">
        <f>D224*F224</f>
        <v>72.47999999999999</v>
      </c>
    </row>
    <row r="225" spans="1:15">
      <c r="A225" s="196"/>
      <c r="B225" s="193"/>
      <c r="C225" s="192"/>
      <c r="D225" s="272"/>
      <c r="E225" s="272"/>
      <c r="F225" s="272"/>
      <c r="G225" s="273"/>
      <c r="H225" s="273"/>
      <c r="I225" s="274"/>
    </row>
    <row r="226" spans="1:15">
      <c r="A226" s="135"/>
      <c r="B226" s="170"/>
      <c r="C226" s="136"/>
      <c r="D226" s="275"/>
      <c r="E226" s="275"/>
      <c r="F226" s="275"/>
      <c r="G226" s="276"/>
      <c r="H226" s="276"/>
      <c r="I226" s="277"/>
    </row>
    <row r="227" spans="1:15">
      <c r="A227" s="173" t="s">
        <v>27406</v>
      </c>
      <c r="B227" s="171" t="str">
        <f>VLOOKUP(A227,GLOBAL!A:H,4,FALSE)</f>
        <v>TRANSPORTES</v>
      </c>
      <c r="C227" s="172"/>
      <c r="D227" s="265"/>
      <c r="E227" s="265"/>
      <c r="F227" s="265"/>
      <c r="G227" s="265"/>
      <c r="H227" s="265"/>
      <c r="I227" s="266"/>
    </row>
    <row r="228" spans="1:15" ht="57.6">
      <c r="A228" s="119" t="s">
        <v>27407</v>
      </c>
      <c r="B228" s="256" t="str">
        <f>VLOOKUP(A228,GLOBAL!A:H,4,FALSE)</f>
        <v>ÍNDICE DE PREÇO PARA REMOÇÃO DE ENTULHO DECORRENTE DA EXECUÇÃO DE OBRAS (CLASSE A CONAMA - NBR 10.004 - CLASSE II-B), INCLUINDO ALUGUEL DA CAÇAMBA, CARGA, TRANSPORTE E DESCARGA EM ÁREA LICENCIADA</v>
      </c>
      <c r="C228" s="119" t="str">
        <f>VLOOKUP(A228,GLOBAL!A:H,5,FALSE)</f>
        <v>M3</v>
      </c>
      <c r="D228" s="267" t="s">
        <v>66</v>
      </c>
      <c r="E228" s="267" t="s">
        <v>70</v>
      </c>
      <c r="F228" s="267" t="s">
        <v>67</v>
      </c>
      <c r="G228" s="267" t="s">
        <v>68</v>
      </c>
      <c r="H228" s="267"/>
      <c r="I228" s="268">
        <f>ROUND(SUM(I229:I231),2)</f>
        <v>800</v>
      </c>
      <c r="O228" s="510"/>
    </row>
    <row r="229" spans="1:15">
      <c r="A229" s="194"/>
      <c r="B229" s="187" t="s">
        <v>2874</v>
      </c>
      <c r="C229" s="188"/>
      <c r="D229" s="269"/>
      <c r="E229" s="269"/>
      <c r="F229" s="269"/>
      <c r="G229" s="269"/>
      <c r="H229" s="269"/>
      <c r="I229" s="270"/>
    </row>
    <row r="230" spans="1:15">
      <c r="A230" s="195"/>
      <c r="B230" s="189" t="s">
        <v>35769</v>
      </c>
      <c r="C230" s="190"/>
      <c r="D230" s="721">
        <v>20</v>
      </c>
      <c r="E230" s="722"/>
      <c r="F230" s="271"/>
      <c r="G230" s="271">
        <v>40</v>
      </c>
      <c r="H230" s="271"/>
      <c r="I230" s="259">
        <f>D230*G230</f>
        <v>800</v>
      </c>
    </row>
    <row r="231" spans="1:15">
      <c r="A231" s="196"/>
      <c r="B231" s="193"/>
      <c r="C231" s="192"/>
      <c r="D231" s="273"/>
      <c r="E231" s="273"/>
      <c r="F231" s="273"/>
      <c r="G231" s="273"/>
      <c r="H231" s="273"/>
      <c r="I231" s="274"/>
    </row>
    <row r="232" spans="1:15">
      <c r="A232" s="135"/>
      <c r="B232" s="170"/>
      <c r="C232" s="136"/>
      <c r="D232" s="275"/>
      <c r="E232" s="275"/>
      <c r="F232" s="275"/>
      <c r="G232" s="276"/>
      <c r="H232" s="276"/>
      <c r="I232" s="277"/>
    </row>
    <row r="233" spans="1:15">
      <c r="A233" s="184" t="s">
        <v>8</v>
      </c>
      <c r="B233" s="171" t="str">
        <f>VLOOKUP(A233,GLOBAL!A:H,4,FALSE)</f>
        <v>ESTRUTURAS</v>
      </c>
      <c r="C233" s="172"/>
      <c r="D233" s="265"/>
      <c r="E233" s="265"/>
      <c r="F233" s="265"/>
      <c r="G233" s="265"/>
      <c r="H233" s="265"/>
      <c r="I233" s="266"/>
    </row>
    <row r="234" spans="1:15">
      <c r="A234" s="173" t="s">
        <v>39</v>
      </c>
      <c r="B234" s="171" t="str">
        <f>VLOOKUP(A234,GLOBAL!A:H,4,FALSE)</f>
        <v>INFRA-ESTRUTURA (FUNDAÇÃO)</v>
      </c>
      <c r="C234" s="172"/>
      <c r="D234" s="265"/>
      <c r="E234" s="265"/>
      <c r="F234" s="265"/>
      <c r="G234" s="265"/>
      <c r="H234" s="265"/>
      <c r="I234" s="266"/>
    </row>
    <row r="235" spans="1:15" ht="43.2">
      <c r="A235" s="119" t="s">
        <v>40</v>
      </c>
      <c r="B235" s="256" t="str">
        <f>VLOOKUP(A235,GLOBAL!A:H,4,FALSE)</f>
        <v>FORNECIMENTO, PREPARO E APLICAÇÃO DE CONCRETO MAGRO COM CONSUMO MÍNIMO DE CIMENTO DE 250 KG/M3 (BRITA 1 E 2) - (5% DE PERDAS JÁ INCLUÍDO NO CUSTO)</v>
      </c>
      <c r="C235" s="119" t="str">
        <f>VLOOKUP(A235,GLOBAL!A:H,5,FALSE)</f>
        <v>M3</v>
      </c>
      <c r="D235" s="267" t="s">
        <v>66</v>
      </c>
      <c r="E235" s="267" t="s">
        <v>70</v>
      </c>
      <c r="F235" s="267" t="s">
        <v>67</v>
      </c>
      <c r="G235" s="267" t="s">
        <v>68</v>
      </c>
      <c r="H235" s="267"/>
      <c r="I235" s="268">
        <f>ROUND(SUM(I236:I239),2)</f>
        <v>21.25</v>
      </c>
      <c r="O235" s="510"/>
    </row>
    <row r="236" spans="1:15">
      <c r="A236" s="194"/>
      <c r="B236" s="187" t="s">
        <v>2874</v>
      </c>
      <c r="C236" s="188"/>
      <c r="D236" s="269"/>
      <c r="E236" s="269"/>
      <c r="F236" s="269"/>
      <c r="G236" s="269"/>
      <c r="H236" s="269"/>
      <c r="I236" s="270"/>
    </row>
    <row r="237" spans="1:15">
      <c r="A237" s="195"/>
      <c r="B237" s="189" t="s">
        <v>35770</v>
      </c>
      <c r="C237" s="190"/>
      <c r="D237" s="279">
        <v>2.5</v>
      </c>
      <c r="E237" s="278">
        <v>2.5</v>
      </c>
      <c r="F237" s="271">
        <v>0.05</v>
      </c>
      <c r="G237" s="271">
        <v>42</v>
      </c>
      <c r="H237" s="271"/>
      <c r="I237" s="259">
        <f>D237*E237*F237*G237</f>
        <v>13.125</v>
      </c>
    </row>
    <row r="238" spans="1:15">
      <c r="A238" s="195"/>
      <c r="B238" s="189" t="s">
        <v>35771</v>
      </c>
      <c r="C238" s="190"/>
      <c r="D238" s="279">
        <v>2.5</v>
      </c>
      <c r="E238" s="278">
        <v>2.5</v>
      </c>
      <c r="F238" s="271">
        <v>0.05</v>
      </c>
      <c r="G238" s="271">
        <v>26</v>
      </c>
      <c r="H238" s="271"/>
      <c r="I238" s="259">
        <f>D238*E238*F238*G238</f>
        <v>8.125</v>
      </c>
    </row>
    <row r="239" spans="1:15">
      <c r="A239" s="196"/>
      <c r="B239" s="193"/>
      <c r="C239" s="192"/>
      <c r="D239" s="273"/>
      <c r="E239" s="273"/>
      <c r="F239" s="273"/>
      <c r="G239" s="273"/>
      <c r="H239" s="273"/>
      <c r="I239" s="274"/>
    </row>
    <row r="240" spans="1:15">
      <c r="A240" s="135"/>
      <c r="B240" s="170"/>
      <c r="C240" s="136"/>
      <c r="D240" s="275"/>
      <c r="E240" s="275"/>
      <c r="F240" s="275"/>
      <c r="G240" s="276"/>
      <c r="H240" s="276"/>
      <c r="I240" s="277"/>
    </row>
    <row r="241" spans="1:15" ht="43.2">
      <c r="A241" s="119" t="s">
        <v>7380</v>
      </c>
      <c r="B241" s="256" t="str">
        <f>VLOOKUP(A241,GLOBAL!A:H,4,FALSE)</f>
        <v>FÔRMA DE TÁBUA DE MADEIRA DE 2.5X30.0CM, LEVANDO-SE EM CONTA UTILIZAÇÃO 3 VEZES (INCLUINDO O MATERIAL, CORTE, MONTAGEM, ESCORAMENTO E DESFORMA)</v>
      </c>
      <c r="C241" s="119" t="str">
        <f>VLOOKUP(A241,GLOBAL!A:H,5,FALSE)</f>
        <v>M2</v>
      </c>
      <c r="D241" s="267" t="s">
        <v>66</v>
      </c>
      <c r="E241" s="267" t="s">
        <v>70</v>
      </c>
      <c r="F241" s="267" t="s">
        <v>67</v>
      </c>
      <c r="G241" s="267" t="s">
        <v>68</v>
      </c>
      <c r="H241" s="267"/>
      <c r="I241" s="268">
        <f>ROUND(SUM(I242:I245),2)</f>
        <v>1142.28</v>
      </c>
    </row>
    <row r="242" spans="1:15">
      <c r="A242" s="194"/>
      <c r="B242" s="187" t="s">
        <v>2874</v>
      </c>
      <c r="C242" s="188"/>
      <c r="D242" s="269"/>
      <c r="E242" s="269"/>
      <c r="F242" s="269"/>
      <c r="G242" s="269"/>
      <c r="H242" s="269"/>
      <c r="I242" s="270"/>
    </row>
    <row r="243" spans="1:15">
      <c r="A243" s="195"/>
      <c r="B243" s="233" t="s">
        <v>1826</v>
      </c>
      <c r="C243" s="234"/>
      <c r="D243" s="279">
        <v>634.6</v>
      </c>
      <c r="E243" s="278"/>
      <c r="F243" s="279"/>
      <c r="G243" s="279"/>
      <c r="H243" s="279"/>
      <c r="I243" s="280">
        <f>D243</f>
        <v>634.6</v>
      </c>
    </row>
    <row r="244" spans="1:15">
      <c r="A244" s="195"/>
      <c r="B244" s="233" t="s">
        <v>35654</v>
      </c>
      <c r="C244" s="234"/>
      <c r="D244" s="279">
        <f>D243*0.8</f>
        <v>507.68000000000006</v>
      </c>
      <c r="E244" s="278"/>
      <c r="F244" s="279"/>
      <c r="G244" s="279"/>
      <c r="H244" s="279"/>
      <c r="I244" s="280">
        <f>D244</f>
        <v>507.68000000000006</v>
      </c>
    </row>
    <row r="245" spans="1:15">
      <c r="A245" s="196"/>
      <c r="B245" s="193"/>
      <c r="C245" s="192"/>
      <c r="D245" s="272"/>
      <c r="E245" s="272"/>
      <c r="F245" s="272"/>
      <c r="G245" s="273"/>
      <c r="H245" s="273"/>
      <c r="I245" s="274"/>
    </row>
    <row r="246" spans="1:15">
      <c r="A246" s="135"/>
      <c r="B246" s="170"/>
      <c r="C246" s="136"/>
      <c r="D246" s="275"/>
      <c r="E246" s="275"/>
      <c r="F246" s="275"/>
      <c r="G246" s="276"/>
      <c r="H246" s="276"/>
      <c r="I246" s="277"/>
    </row>
    <row r="247" spans="1:15" ht="43.2">
      <c r="A247" s="119" t="s">
        <v>7381</v>
      </c>
      <c r="B247" s="256" t="str">
        <f>VLOOKUP(A247,GLOBAL!A:H,4,FALSE)</f>
        <v>FORNECIMENTO E APLICAÇÃO DE CONCRETO USINADO FCK=30 MPA - CONSIDERANDO LANÇAMENTO MANUAL PARA INFRA-ESTRUTURA (5% DE PERDAS JÁ INCLUÍDO NO CUSTO)</v>
      </c>
      <c r="C247" s="119" t="str">
        <f>VLOOKUP(A247,GLOBAL!A:H,5,FALSE)</f>
        <v>M3</v>
      </c>
      <c r="D247" s="267" t="s">
        <v>66</v>
      </c>
      <c r="E247" s="267" t="s">
        <v>70</v>
      </c>
      <c r="F247" s="267" t="s">
        <v>67</v>
      </c>
      <c r="G247" s="267" t="s">
        <v>68</v>
      </c>
      <c r="H247" s="267"/>
      <c r="I247" s="268">
        <f>ROUND(SUM(I248:I251),2)</f>
        <v>414.5</v>
      </c>
    </row>
    <row r="248" spans="1:15">
      <c r="A248" s="194"/>
      <c r="B248" s="187" t="s">
        <v>2874</v>
      </c>
      <c r="C248" s="188"/>
      <c r="D248" s="269"/>
      <c r="E248" s="269"/>
      <c r="F248" s="269"/>
      <c r="G248" s="269"/>
      <c r="H248" s="269"/>
      <c r="I248" s="270"/>
    </row>
    <row r="249" spans="1:15">
      <c r="A249" s="195"/>
      <c r="B249" s="233" t="s">
        <v>1826</v>
      </c>
      <c r="C249" s="234"/>
      <c r="D249" s="721">
        <f>191.9*1.2</f>
        <v>230.28</v>
      </c>
      <c r="E249" s="736"/>
      <c r="F249" s="722"/>
      <c r="G249" s="279"/>
      <c r="H249" s="279"/>
      <c r="I249" s="280">
        <f>D249</f>
        <v>230.28</v>
      </c>
    </row>
    <row r="250" spans="1:15">
      <c r="A250" s="195"/>
      <c r="B250" s="233" t="s">
        <v>35654</v>
      </c>
      <c r="C250" s="234"/>
      <c r="D250" s="721">
        <f>D249*0.8</f>
        <v>184.22400000000002</v>
      </c>
      <c r="E250" s="736"/>
      <c r="F250" s="722"/>
      <c r="G250" s="279"/>
      <c r="H250" s="279"/>
      <c r="I250" s="280">
        <f>D250</f>
        <v>184.22400000000002</v>
      </c>
    </row>
    <row r="251" spans="1:15">
      <c r="A251" s="195"/>
      <c r="B251" s="233"/>
      <c r="C251" s="234"/>
      <c r="D251" s="279"/>
      <c r="E251" s="278"/>
      <c r="F251" s="279"/>
      <c r="G251" s="279"/>
      <c r="H251" s="279"/>
      <c r="I251" s="280">
        <f>D251*E251*F251*G251</f>
        <v>0</v>
      </c>
    </row>
    <row r="252" spans="1:15">
      <c r="A252" s="135"/>
      <c r="B252" s="170"/>
      <c r="C252" s="136"/>
      <c r="D252" s="275"/>
      <c r="E252" s="275"/>
      <c r="F252" s="275"/>
      <c r="G252" s="276"/>
      <c r="H252" s="276"/>
      <c r="I252" s="277"/>
    </row>
    <row r="253" spans="1:15" ht="28.8">
      <c r="A253" s="119" t="s">
        <v>7506</v>
      </c>
      <c r="B253" s="256" t="str">
        <f>VLOOKUP(A253,GLOBAL!A:H,4,FALSE)</f>
        <v>FORNECIMENTO, DOBRAGEM E COLOCAÇÃO EM FÔRMA, DE ARMADURA CA-50 A MÉDIA, DIÂMETRO DE 6.3 A 10.0 MM</v>
      </c>
      <c r="C253" s="119" t="str">
        <f>VLOOKUP(A253,GLOBAL!A:H,5,FALSE)</f>
        <v>KG</v>
      </c>
      <c r="D253" s="267" t="s">
        <v>66</v>
      </c>
      <c r="E253" s="267" t="s">
        <v>70</v>
      </c>
      <c r="F253" s="267" t="s">
        <v>67</v>
      </c>
      <c r="G253" s="267" t="s">
        <v>68</v>
      </c>
      <c r="H253" s="267" t="s">
        <v>35772</v>
      </c>
      <c r="I253" s="268">
        <f>ROUND(SUM(I254:I256),2)</f>
        <v>1913.58</v>
      </c>
      <c r="O253" s="510"/>
    </row>
    <row r="254" spans="1:15">
      <c r="A254" s="194"/>
      <c r="B254" s="187" t="s">
        <v>2874</v>
      </c>
      <c r="C254" s="188"/>
      <c r="D254" s="269"/>
      <c r="E254" s="269"/>
      <c r="F254" s="269"/>
      <c r="G254" s="269"/>
      <c r="H254" s="269"/>
      <c r="I254" s="270"/>
    </row>
    <row r="255" spans="1:15">
      <c r="A255" s="195"/>
      <c r="B255" s="233" t="s">
        <v>1826</v>
      </c>
      <c r="C255" s="190"/>
      <c r="D255" s="279"/>
      <c r="E255" s="278"/>
      <c r="F255" s="271"/>
      <c r="G255" s="271"/>
      <c r="H255" s="271">
        <f>216.4+114.9+13.9+172.6+170.6+72.6+115.5+181.2+5.4</f>
        <v>1063.1000000000001</v>
      </c>
      <c r="I255" s="259">
        <f>H255</f>
        <v>1063.1000000000001</v>
      </c>
    </row>
    <row r="256" spans="1:15">
      <c r="A256" s="196"/>
      <c r="B256" s="233" t="s">
        <v>35654</v>
      </c>
      <c r="C256" s="192"/>
      <c r="D256" s="273"/>
      <c r="E256" s="273"/>
      <c r="F256" s="273"/>
      <c r="G256" s="273"/>
      <c r="H256" s="273">
        <f>H255*0.8</f>
        <v>850.48000000000013</v>
      </c>
      <c r="I256" s="274">
        <f>H256</f>
        <v>850.48000000000013</v>
      </c>
    </row>
    <row r="257" spans="1:9">
      <c r="A257" s="135"/>
      <c r="B257" s="170"/>
      <c r="C257" s="136"/>
      <c r="D257" s="275"/>
      <c r="E257" s="275"/>
      <c r="F257" s="275"/>
      <c r="G257" s="276"/>
      <c r="H257" s="276"/>
      <c r="I257" s="277"/>
    </row>
    <row r="258" spans="1:9" ht="28.8">
      <c r="A258" s="119" t="s">
        <v>7990</v>
      </c>
      <c r="B258" s="256" t="str">
        <f>VLOOKUP(A258,GLOBAL!A:H,4,FALSE)</f>
        <v>FORNECIMENTO, DOBRAGEM E COLOCAÇÃO EM FÔRMA, DE ARMADURA CA-50 A GROSSA DIÂMETRO DE 12.5 A 25.0 MM (1/2 A 1")</v>
      </c>
      <c r="C258" s="119" t="str">
        <f>VLOOKUP(A258,GLOBAL!A:H,5,FALSE)</f>
        <v>KG</v>
      </c>
      <c r="D258" s="267" t="s">
        <v>66</v>
      </c>
      <c r="E258" s="267" t="s">
        <v>70</v>
      </c>
      <c r="F258" s="267" t="s">
        <v>67</v>
      </c>
      <c r="G258" s="267" t="s">
        <v>68</v>
      </c>
      <c r="H258" s="267" t="s">
        <v>35772</v>
      </c>
      <c r="I258" s="268">
        <f>ROUND(SUM(I259:I261),2)</f>
        <v>14513.22</v>
      </c>
    </row>
    <row r="259" spans="1:9">
      <c r="A259" s="194"/>
      <c r="B259" s="187" t="s">
        <v>2874</v>
      </c>
      <c r="C259" s="188"/>
      <c r="D259" s="269"/>
      <c r="E259" s="269"/>
      <c r="F259" s="269"/>
      <c r="G259" s="269"/>
      <c r="H259" s="269"/>
      <c r="I259" s="270"/>
    </row>
    <row r="260" spans="1:9">
      <c r="A260" s="195"/>
      <c r="B260" s="233" t="s">
        <v>1826</v>
      </c>
      <c r="C260" s="234"/>
      <c r="D260" s="279"/>
      <c r="E260" s="278"/>
      <c r="F260" s="279"/>
      <c r="G260" s="279"/>
      <c r="H260" s="279">
        <f>524.9+279.3+450.4+284.8+420.6+253.9+1496.5+1359.9+1425.6+866.7+700.3</f>
        <v>8062.9</v>
      </c>
      <c r="I260" s="280">
        <f>H260</f>
        <v>8062.9</v>
      </c>
    </row>
    <row r="261" spans="1:9">
      <c r="A261" s="196"/>
      <c r="B261" s="233" t="s">
        <v>35654</v>
      </c>
      <c r="C261" s="192"/>
      <c r="D261" s="272"/>
      <c r="E261" s="272"/>
      <c r="F261" s="272"/>
      <c r="G261" s="273"/>
      <c r="H261" s="273">
        <f>H260*0.8</f>
        <v>6450.32</v>
      </c>
      <c r="I261" s="274">
        <f>H261</f>
        <v>6450.32</v>
      </c>
    </row>
    <row r="262" spans="1:9">
      <c r="A262" s="135"/>
      <c r="B262" s="170"/>
      <c r="C262" s="136"/>
      <c r="D262" s="275"/>
      <c r="E262" s="275"/>
      <c r="F262" s="275"/>
      <c r="G262" s="276"/>
      <c r="H262" s="276"/>
      <c r="I262" s="277"/>
    </row>
    <row r="263" spans="1:9" ht="28.8">
      <c r="A263" s="119" t="s">
        <v>8010</v>
      </c>
      <c r="B263" s="256" t="str">
        <f>VLOOKUP(A263,GLOBAL!A:H,4,FALSE)</f>
        <v>FORNECIMENTO, DOBRAGEM E COLOCAÇÃO EM FÔRMA, DE ARMADURA CA-60 B FINA, DIÂMETRO DE 4.0 A 7.0MM</v>
      </c>
      <c r="C263" s="119" t="str">
        <f>VLOOKUP(A263,GLOBAL!A:H,5,FALSE)</f>
        <v>KG</v>
      </c>
      <c r="D263" s="267" t="s">
        <v>66</v>
      </c>
      <c r="E263" s="267" t="s">
        <v>70</v>
      </c>
      <c r="F263" s="267" t="s">
        <v>67</v>
      </c>
      <c r="G263" s="267" t="s">
        <v>68</v>
      </c>
      <c r="H263" s="267" t="s">
        <v>7512</v>
      </c>
      <c r="I263" s="268">
        <f>ROUND(SUM(I264:I267),2)</f>
        <v>1472.4</v>
      </c>
    </row>
    <row r="264" spans="1:9">
      <c r="A264" s="194"/>
      <c r="B264" s="187" t="s">
        <v>2874</v>
      </c>
      <c r="C264" s="188"/>
      <c r="D264" s="269"/>
      <c r="E264" s="269"/>
      <c r="F264" s="269"/>
      <c r="G264" s="269"/>
      <c r="H264" s="269"/>
      <c r="I264" s="270"/>
    </row>
    <row r="265" spans="1:9">
      <c r="A265" s="195"/>
      <c r="B265" s="233" t="s">
        <v>1826</v>
      </c>
      <c r="C265" s="234"/>
      <c r="D265" s="279"/>
      <c r="E265" s="278"/>
      <c r="F265" s="279"/>
      <c r="G265" s="279"/>
      <c r="H265" s="279">
        <f>279.3+284.8+253.9</f>
        <v>818</v>
      </c>
      <c r="I265" s="280">
        <f>H265</f>
        <v>818</v>
      </c>
    </row>
    <row r="266" spans="1:9">
      <c r="A266" s="195"/>
      <c r="B266" s="233" t="s">
        <v>35654</v>
      </c>
      <c r="C266" s="234"/>
      <c r="D266" s="279"/>
      <c r="E266" s="278"/>
      <c r="F266" s="279"/>
      <c r="G266" s="279"/>
      <c r="H266" s="279">
        <f>H265*0.8</f>
        <v>654.40000000000009</v>
      </c>
      <c r="I266" s="280">
        <f>H266</f>
        <v>654.40000000000009</v>
      </c>
    </row>
    <row r="267" spans="1:9">
      <c r="A267" s="195"/>
      <c r="B267" s="233"/>
      <c r="C267" s="234"/>
      <c r="D267" s="279"/>
      <c r="E267" s="278"/>
      <c r="F267" s="279"/>
      <c r="G267" s="279"/>
      <c r="H267" s="279"/>
      <c r="I267" s="280">
        <f>D267*E267*F267*G267</f>
        <v>0</v>
      </c>
    </row>
    <row r="268" spans="1:9">
      <c r="A268" s="135"/>
      <c r="B268" s="170"/>
      <c r="C268" s="136"/>
      <c r="D268" s="275"/>
      <c r="E268" s="275"/>
      <c r="F268" s="275"/>
      <c r="G268" s="276"/>
      <c r="H268" s="276"/>
      <c r="I268" s="277"/>
    </row>
    <row r="269" spans="1:9">
      <c r="A269" s="173" t="s">
        <v>7383</v>
      </c>
      <c r="B269" s="171" t="str">
        <f>VLOOKUP(A269,GLOBAL!A:H,4,FALSE)</f>
        <v>SUPER-ESTRUTURA</v>
      </c>
      <c r="C269" s="172"/>
      <c r="D269" s="265"/>
      <c r="E269" s="265"/>
      <c r="F269" s="265"/>
      <c r="G269" s="265"/>
      <c r="H269" s="265"/>
      <c r="I269" s="266"/>
    </row>
    <row r="270" spans="1:9" ht="28.8">
      <c r="A270" s="119" t="s">
        <v>7384</v>
      </c>
      <c r="B270" s="258" t="str">
        <f>VLOOKUP(A270,GLOBAL!A:H,4,FALSE)</f>
        <v>FORNECIMENTO, DOBRAGEM E COLOCAÇÃO EM FÔRMA, DE ARMADURA CA-50 A MÉDIA, DIÂMETRO DE 6.3 A 10.0 MM</v>
      </c>
      <c r="C270" s="119" t="str">
        <f>VLOOKUP(A270,GLOBAL!A:H,5,FALSE)</f>
        <v>KG</v>
      </c>
      <c r="D270" s="267" t="s">
        <v>66</v>
      </c>
      <c r="E270" s="267" t="s">
        <v>70</v>
      </c>
      <c r="F270" s="267" t="s">
        <v>67</v>
      </c>
      <c r="G270" s="267" t="s">
        <v>68</v>
      </c>
      <c r="H270" s="267" t="s">
        <v>7512</v>
      </c>
      <c r="I270" s="268">
        <f>ROUND(SUM(I271:I273),2)</f>
        <v>10533.6</v>
      </c>
    </row>
    <row r="271" spans="1:9">
      <c r="A271" s="194"/>
      <c r="B271" s="187" t="s">
        <v>2874</v>
      </c>
      <c r="C271" s="188"/>
      <c r="D271" s="269"/>
      <c r="E271" s="269"/>
      <c r="F271" s="269"/>
      <c r="G271" s="269"/>
      <c r="H271" s="269"/>
      <c r="I271" s="270"/>
    </row>
    <row r="272" spans="1:9">
      <c r="A272" s="195"/>
      <c r="B272" s="233" t="s">
        <v>1826</v>
      </c>
      <c r="C272" s="234"/>
      <c r="D272" s="721"/>
      <c r="E272" s="736"/>
      <c r="F272" s="722"/>
      <c r="G272" s="279"/>
      <c r="H272" s="279">
        <v>7022.4</v>
      </c>
      <c r="I272" s="280">
        <f>H272</f>
        <v>7022.4</v>
      </c>
    </row>
    <row r="273" spans="1:9">
      <c r="A273" s="196"/>
      <c r="B273" s="233" t="s">
        <v>35654</v>
      </c>
      <c r="C273" s="192"/>
      <c r="D273" s="737"/>
      <c r="E273" s="738"/>
      <c r="F273" s="739"/>
      <c r="G273" s="273"/>
      <c r="H273" s="273">
        <v>3511.2</v>
      </c>
      <c r="I273" s="280">
        <f>H273</f>
        <v>3511.2</v>
      </c>
    </row>
    <row r="274" spans="1:9">
      <c r="A274" s="135"/>
      <c r="B274" s="170"/>
      <c r="C274" s="136"/>
      <c r="D274" s="275"/>
      <c r="E274" s="275"/>
      <c r="F274" s="275"/>
      <c r="G274" s="276"/>
      <c r="H274" s="276"/>
      <c r="I274" s="277"/>
    </row>
    <row r="275" spans="1:9" ht="43.2">
      <c r="A275" s="119" t="s">
        <v>7385</v>
      </c>
      <c r="B275" s="258" t="str">
        <f>VLOOKUP(A275,GLOBAL!A:H,4,FALSE)</f>
        <v>FORNECIMENTO E APLICAÇÃO DE CONCRETO USINADO FCK=30 MPA - CONSIDERANDO BOMBEAMENTO (5% DE PERDAS JÁ INCLUÍDO NO CUSTO) (6% DE TAXA P/ CONCR. BOMBEAVEL)</v>
      </c>
      <c r="C275" s="119" t="str">
        <f>VLOOKUP(A275,GLOBAL!A:H,5,FALSE)</f>
        <v>M3</v>
      </c>
      <c r="D275" s="267" t="s">
        <v>66</v>
      </c>
      <c r="E275" s="267" t="s">
        <v>70</v>
      </c>
      <c r="F275" s="267" t="s">
        <v>67</v>
      </c>
      <c r="G275" s="267" t="s">
        <v>68</v>
      </c>
      <c r="H275" s="267"/>
      <c r="I275" s="268">
        <f>ROUND(SUM(I276:I278),2)</f>
        <v>722.7</v>
      </c>
    </row>
    <row r="276" spans="1:9">
      <c r="A276" s="194"/>
      <c r="B276" s="187" t="s">
        <v>2874</v>
      </c>
      <c r="C276" s="188"/>
      <c r="D276" s="269"/>
      <c r="E276" s="269"/>
      <c r="F276" s="269"/>
      <c r="G276" s="269"/>
      <c r="H276" s="269"/>
      <c r="I276" s="270"/>
    </row>
    <row r="277" spans="1:9">
      <c r="A277" s="195"/>
      <c r="B277" s="233" t="s">
        <v>1826</v>
      </c>
      <c r="C277" s="234"/>
      <c r="D277" s="721">
        <f>481.8</f>
        <v>481.8</v>
      </c>
      <c r="E277" s="736"/>
      <c r="F277" s="722"/>
      <c r="G277" s="279"/>
      <c r="H277" s="279"/>
      <c r="I277" s="280">
        <f>D277</f>
        <v>481.8</v>
      </c>
    </row>
    <row r="278" spans="1:9">
      <c r="A278" s="196"/>
      <c r="B278" s="233" t="s">
        <v>35654</v>
      </c>
      <c r="C278" s="192"/>
      <c r="D278" s="737">
        <f>D277*0.5</f>
        <v>240.9</v>
      </c>
      <c r="E278" s="738"/>
      <c r="F278" s="739"/>
      <c r="G278" s="273"/>
      <c r="H278" s="273"/>
      <c r="I278" s="280">
        <f>D278</f>
        <v>240.9</v>
      </c>
    </row>
    <row r="279" spans="1:9">
      <c r="A279" s="135"/>
      <c r="B279" s="170"/>
      <c r="C279" s="136"/>
      <c r="D279" s="275"/>
      <c r="E279" s="275"/>
      <c r="F279" s="275"/>
      <c r="G279" s="276"/>
      <c r="H279" s="276"/>
      <c r="I279" s="277"/>
    </row>
    <row r="280" spans="1:9" ht="28.8">
      <c r="A280" s="119" t="s">
        <v>7386</v>
      </c>
      <c r="B280" s="258" t="str">
        <f>VLOOKUP(A280,GLOBAL!A:H,4,FALSE)</f>
        <v>FORNECIMENTO, DOBRAGEM E COLOCAÇÃO EM FÔRMA, DE ARMADURA CA-50 A GROSSA, DIÂMETRO DE 12.5 A 25.0MM</v>
      </c>
      <c r="C280" s="119" t="str">
        <f>VLOOKUP(A280,GLOBAL!A:H,5,FALSE)</f>
        <v>KG</v>
      </c>
      <c r="D280" s="267" t="s">
        <v>66</v>
      </c>
      <c r="E280" s="267" t="s">
        <v>70</v>
      </c>
      <c r="F280" s="267" t="s">
        <v>67</v>
      </c>
      <c r="G280" s="267" t="s">
        <v>68</v>
      </c>
      <c r="H280" s="267" t="s">
        <v>7512</v>
      </c>
      <c r="I280" s="268">
        <f>ROUND(SUM(I281:I283),2)</f>
        <v>28651.95</v>
      </c>
    </row>
    <row r="281" spans="1:9">
      <c r="A281" s="194"/>
      <c r="B281" s="187" t="s">
        <v>2874</v>
      </c>
      <c r="C281" s="188"/>
      <c r="D281" s="269"/>
      <c r="E281" s="269"/>
      <c r="F281" s="269"/>
      <c r="G281" s="269"/>
      <c r="H281" s="269"/>
      <c r="I281" s="270"/>
    </row>
    <row r="282" spans="1:9">
      <c r="A282" s="195"/>
      <c r="B282" s="233" t="s">
        <v>1826</v>
      </c>
      <c r="C282" s="234"/>
      <c r="D282" s="721"/>
      <c r="E282" s="736"/>
      <c r="F282" s="722"/>
      <c r="G282" s="279"/>
      <c r="H282" s="279">
        <v>19101.299999999996</v>
      </c>
      <c r="I282" s="280">
        <f>H282</f>
        <v>19101.299999999996</v>
      </c>
    </row>
    <row r="283" spans="1:9">
      <c r="A283" s="196"/>
      <c r="B283" s="233" t="s">
        <v>35654</v>
      </c>
      <c r="C283" s="192"/>
      <c r="D283" s="272"/>
      <c r="E283" s="272"/>
      <c r="F283" s="272"/>
      <c r="G283" s="273"/>
      <c r="H283" s="273">
        <f>H282*0.5</f>
        <v>9550.6499999999978</v>
      </c>
      <c r="I283" s="274">
        <f>H283</f>
        <v>9550.6499999999978</v>
      </c>
    </row>
    <row r="284" spans="1:9">
      <c r="A284" s="135"/>
      <c r="B284" s="170"/>
      <c r="C284" s="136"/>
      <c r="D284" s="275"/>
      <c r="E284" s="275"/>
      <c r="F284" s="275"/>
      <c r="G284" s="276"/>
      <c r="H284" s="276"/>
      <c r="I284" s="277"/>
    </row>
    <row r="285" spans="1:9" ht="28.8">
      <c r="A285" s="119" t="s">
        <v>9467</v>
      </c>
      <c r="B285" s="258" t="str">
        <f>VLOOKUP(A285,GLOBAL!A:H,4,FALSE)</f>
        <v>FORNECIMENTO, DOBRAGEM E COLOCAÇÃO EM FÔRMA, DE ARMADURA CA-60 B FINA, DIÂMETRO DE 4.0 A 7.0MM</v>
      </c>
      <c r="C285" s="119" t="str">
        <f>VLOOKUP(A285,GLOBAL!A:H,5,FALSE)</f>
        <v>KG</v>
      </c>
      <c r="D285" s="267" t="s">
        <v>66</v>
      </c>
      <c r="E285" s="267" t="s">
        <v>70</v>
      </c>
      <c r="F285" s="267" t="s">
        <v>67</v>
      </c>
      <c r="G285" s="267" t="s">
        <v>68</v>
      </c>
      <c r="H285" s="267" t="s">
        <v>7512</v>
      </c>
      <c r="I285" s="268">
        <f>ROUND(SUM(I286:I288),2)</f>
        <v>3224.4</v>
      </c>
    </row>
    <row r="286" spans="1:9">
      <c r="A286" s="194"/>
      <c r="B286" s="187" t="s">
        <v>2874</v>
      </c>
      <c r="C286" s="188"/>
      <c r="D286" s="269"/>
      <c r="E286" s="269"/>
      <c r="F286" s="269"/>
      <c r="G286" s="269"/>
      <c r="H286" s="269"/>
      <c r="I286" s="270"/>
    </row>
    <row r="287" spans="1:9">
      <c r="A287" s="195"/>
      <c r="B287" s="233" t="s">
        <v>1826</v>
      </c>
      <c r="C287" s="234"/>
      <c r="D287" s="721">
        <f>I259*0.1</f>
        <v>0</v>
      </c>
      <c r="E287" s="736"/>
      <c r="F287" s="722"/>
      <c r="G287" s="279"/>
      <c r="H287" s="279">
        <v>2149.6</v>
      </c>
      <c r="I287" s="280">
        <f>H287</f>
        <v>2149.6</v>
      </c>
    </row>
    <row r="288" spans="1:9">
      <c r="A288" s="196"/>
      <c r="B288" s="233" t="s">
        <v>35654</v>
      </c>
      <c r="C288" s="192"/>
      <c r="D288" s="272"/>
      <c r="E288" s="272"/>
      <c r="F288" s="272"/>
      <c r="G288" s="273"/>
      <c r="H288" s="273">
        <f>H287*0.5</f>
        <v>1074.8</v>
      </c>
      <c r="I288" s="274">
        <f>H288</f>
        <v>1074.8</v>
      </c>
    </row>
    <row r="289" spans="1:9">
      <c r="A289" s="135"/>
      <c r="B289" s="170"/>
      <c r="C289" s="136"/>
      <c r="D289" s="275"/>
      <c r="E289" s="275"/>
      <c r="F289" s="275"/>
      <c r="G289" s="276"/>
      <c r="H289" s="276"/>
      <c r="I289" s="277"/>
    </row>
    <row r="290" spans="1:9" ht="57.6">
      <c r="A290" s="119" t="s">
        <v>9688</v>
      </c>
      <c r="B290" s="258" t="str">
        <f>VLOOKUP(A290,GLOBAL!A:H,4,FALSE)</f>
        <v>FORMA DE CHAPAS MADEIRA COMPENSADA RESINADA, ESP. 12MM, LEVANDO-SE EM CONTA A UTILIZAÇÃO 3 VEZES, REFORÇADAS COM SARRAFOS DE MADEIRA DE 2.5 X 10.0CM (INCL MATERIAL, CORTE, MONTAGEM, ESCORAS EM EUCALIPTO E DESFORMA)</v>
      </c>
      <c r="C290" s="119" t="str">
        <f>VLOOKUP(A290,GLOBAL!A:H,5,FALSE)</f>
        <v>M2</v>
      </c>
      <c r="D290" s="267" t="s">
        <v>66</v>
      </c>
      <c r="E290" s="267" t="s">
        <v>70</v>
      </c>
      <c r="F290" s="267" t="s">
        <v>67</v>
      </c>
      <c r="G290" s="267" t="s">
        <v>68</v>
      </c>
      <c r="H290" s="267"/>
      <c r="I290" s="268">
        <f>ROUND(SUM(I291:I293),2)</f>
        <v>1216.3499999999999</v>
      </c>
    </row>
    <row r="291" spans="1:9">
      <c r="A291" s="194"/>
      <c r="B291" s="187" t="s">
        <v>2874</v>
      </c>
      <c r="C291" s="188"/>
      <c r="D291" s="269"/>
      <c r="E291" s="269"/>
      <c r="F291" s="269"/>
      <c r="G291" s="269"/>
      <c r="H291" s="269"/>
      <c r="I291" s="270"/>
    </row>
    <row r="292" spans="1:9">
      <c r="A292" s="195"/>
      <c r="B292" s="233" t="s">
        <v>1826</v>
      </c>
      <c r="C292" s="234"/>
      <c r="D292" s="721">
        <f>1445.5-D243</f>
        <v>810.9</v>
      </c>
      <c r="E292" s="736"/>
      <c r="F292" s="278"/>
      <c r="G292" s="279"/>
      <c r="H292" s="279"/>
      <c r="I292" s="280">
        <f>D292</f>
        <v>810.9</v>
      </c>
    </row>
    <row r="293" spans="1:9">
      <c r="A293" s="196"/>
      <c r="B293" s="233" t="s">
        <v>35654</v>
      </c>
      <c r="C293" s="192"/>
      <c r="D293" s="721">
        <f>D292*0.5</f>
        <v>405.45</v>
      </c>
      <c r="E293" s="736"/>
      <c r="F293" s="272"/>
      <c r="G293" s="273"/>
      <c r="H293" s="273"/>
      <c r="I293" s="274">
        <f>D293</f>
        <v>405.45</v>
      </c>
    </row>
    <row r="294" spans="1:9">
      <c r="A294" s="135"/>
      <c r="B294" s="170"/>
      <c r="C294" s="136"/>
      <c r="D294" s="275"/>
      <c r="E294" s="275"/>
      <c r="F294" s="275"/>
      <c r="G294" s="276"/>
      <c r="H294" s="276"/>
      <c r="I294" s="277"/>
    </row>
    <row r="295" spans="1:9">
      <c r="A295" s="173" t="s">
        <v>10361</v>
      </c>
      <c r="B295" s="171" t="str">
        <f>VLOOKUP(A295,GLOBAL!A:H,4,FALSE)</f>
        <v xml:space="preserve">LAJES </v>
      </c>
      <c r="C295" s="172"/>
      <c r="D295" s="265"/>
      <c r="E295" s="265"/>
      <c r="F295" s="265"/>
      <c r="G295" s="265"/>
      <c r="H295" s="265"/>
      <c r="I295" s="266"/>
    </row>
    <row r="296" spans="1:9" ht="43.2">
      <c r="A296" s="119" t="s">
        <v>9649</v>
      </c>
      <c r="B296" s="256" t="str">
        <f>VLOOKUP(A296,GLOBAL!A:H,4,FALSE)</f>
        <v>MONTAGEM E DESMONTAGEM DE FÔRMA DE LAJE NERVURADA COM CUBETA E ASSOALHO, PÉ-DIREITO SIMPLES, EM CHAPA DE MADEIRA COMPENSADA RESINADA, 8 UTILIZAÇÕES. AF_09/2020</v>
      </c>
      <c r="C296" s="119" t="str">
        <f>VLOOKUP(A296,GLOBAL!A:H,5,FALSE)</f>
        <v>M2</v>
      </c>
      <c r="D296" s="267" t="s">
        <v>66</v>
      </c>
      <c r="E296" s="267" t="s">
        <v>70</v>
      </c>
      <c r="F296" s="267" t="s">
        <v>67</v>
      </c>
      <c r="G296" s="267" t="s">
        <v>23690</v>
      </c>
      <c r="H296" s="267"/>
      <c r="I296" s="268">
        <f>ROUND(SUM(I297:I302),2)</f>
        <v>2656.5</v>
      </c>
    </row>
    <row r="297" spans="1:9">
      <c r="A297" s="194"/>
      <c r="B297" s="187" t="s">
        <v>2874</v>
      </c>
      <c r="C297" s="188"/>
      <c r="D297" s="269"/>
      <c r="E297" s="269"/>
      <c r="F297" s="269"/>
      <c r="G297" s="269"/>
      <c r="H297" s="269"/>
      <c r="I297" s="270"/>
    </row>
    <row r="298" spans="1:9">
      <c r="A298" s="195"/>
      <c r="B298" s="233" t="s">
        <v>35512</v>
      </c>
      <c r="C298" s="234"/>
      <c r="D298" s="641"/>
      <c r="E298" s="641"/>
      <c r="F298" s="279"/>
      <c r="G298" s="279"/>
      <c r="H298" s="279"/>
      <c r="I298" s="280"/>
    </row>
    <row r="299" spans="1:9">
      <c r="A299" s="195"/>
      <c r="B299" s="233" t="s">
        <v>35509</v>
      </c>
      <c r="C299" s="234"/>
      <c r="D299" s="365">
        <v>25.3</v>
      </c>
      <c r="E299" s="278">
        <f>(32.3+3.15+4.95)</f>
        <v>40.4</v>
      </c>
      <c r="F299" s="279"/>
      <c r="G299" s="279"/>
      <c r="H299" s="279"/>
      <c r="I299" s="280">
        <f>D299*E299</f>
        <v>1022.12</v>
      </c>
    </row>
    <row r="300" spans="1:9">
      <c r="A300" s="195"/>
      <c r="B300" s="233" t="s">
        <v>35510</v>
      </c>
      <c r="C300" s="234"/>
      <c r="D300" s="365">
        <v>25.3</v>
      </c>
      <c r="E300" s="278">
        <v>32.299999999999997</v>
      </c>
      <c r="F300" s="279"/>
      <c r="G300" s="279"/>
      <c r="H300" s="279"/>
      <c r="I300" s="280">
        <f>D300*E300</f>
        <v>817.18999999999994</v>
      </c>
    </row>
    <row r="301" spans="1:9">
      <c r="A301" s="195"/>
      <c r="B301" s="233" t="s">
        <v>35511</v>
      </c>
      <c r="C301" s="234"/>
      <c r="D301" s="365">
        <v>25.3</v>
      </c>
      <c r="E301" s="278">
        <v>32.299999999999997</v>
      </c>
      <c r="F301" s="279"/>
      <c r="G301" s="279"/>
      <c r="H301" s="279"/>
      <c r="I301" s="280">
        <f>D301*E301</f>
        <v>817.18999999999994</v>
      </c>
    </row>
    <row r="302" spans="1:9">
      <c r="A302" s="196"/>
      <c r="B302" s="233"/>
      <c r="C302" s="192"/>
      <c r="D302" s="272"/>
      <c r="E302" s="272"/>
      <c r="F302" s="272"/>
      <c r="G302" s="273"/>
      <c r="H302" s="273"/>
      <c r="I302" s="274"/>
    </row>
    <row r="303" spans="1:9">
      <c r="A303" s="135"/>
      <c r="B303" s="170"/>
      <c r="C303" s="136"/>
      <c r="D303" s="275"/>
      <c r="E303" s="275"/>
      <c r="F303" s="275"/>
      <c r="G303" s="276"/>
      <c r="H303" s="276"/>
      <c r="I303" s="277"/>
    </row>
    <row r="304" spans="1:9" ht="28.8">
      <c r="A304" s="119" t="s">
        <v>9650</v>
      </c>
      <c r="B304" s="256" t="str">
        <f>VLOOKUP(A304,GLOBAL!A:H,4,FALSE)</f>
        <v>FORNECIMENTO, DOBRAGEM E COLOCAÇÃO EM FÔRMA, DE ARMADURA CA-50 A GROSSA, DIÂMETRO DE 12.5 A 25.0MM</v>
      </c>
      <c r="C304" s="119" t="str">
        <f>VLOOKUP(A304,GLOBAL!A:H,5,FALSE)</f>
        <v>KG</v>
      </c>
      <c r="D304" s="267" t="s">
        <v>66</v>
      </c>
      <c r="E304" s="267" t="s">
        <v>70</v>
      </c>
      <c r="F304" s="267" t="s">
        <v>67</v>
      </c>
      <c r="G304" s="267" t="s">
        <v>23690</v>
      </c>
      <c r="H304" s="267" t="s">
        <v>7512</v>
      </c>
      <c r="I304" s="268">
        <f>ROUND(SUM(I305:I307),2)</f>
        <v>11510.46</v>
      </c>
    </row>
    <row r="305" spans="1:9">
      <c r="A305" s="194"/>
      <c r="B305" s="187" t="s">
        <v>2874</v>
      </c>
      <c r="C305" s="188"/>
      <c r="D305" s="269"/>
      <c r="E305" s="269"/>
      <c r="F305" s="269"/>
      <c r="G305" s="269"/>
      <c r="H305" s="269"/>
      <c r="I305" s="270"/>
    </row>
    <row r="306" spans="1:9">
      <c r="A306" s="195"/>
      <c r="B306" s="233" t="s">
        <v>1826</v>
      </c>
      <c r="C306" s="234"/>
      <c r="D306" s="721"/>
      <c r="E306" s="722"/>
      <c r="F306" s="279"/>
      <c r="G306" s="279"/>
      <c r="H306" s="279">
        <f>4795.7+2998.1+1060.4</f>
        <v>8854.1999999999989</v>
      </c>
      <c r="I306" s="280">
        <f>H306</f>
        <v>8854.1999999999989</v>
      </c>
    </row>
    <row r="307" spans="1:9">
      <c r="A307" s="196"/>
      <c r="B307" s="233" t="s">
        <v>35654</v>
      </c>
      <c r="C307" s="192"/>
      <c r="D307" s="272"/>
      <c r="E307" s="272"/>
      <c r="F307" s="272"/>
      <c r="G307" s="273"/>
      <c r="H307" s="273">
        <f>H306*0.3</f>
        <v>2656.2599999999998</v>
      </c>
      <c r="I307" s="274">
        <f>H307</f>
        <v>2656.2599999999998</v>
      </c>
    </row>
    <row r="308" spans="1:9">
      <c r="A308" s="135"/>
      <c r="B308" s="170"/>
      <c r="C308" s="136"/>
      <c r="D308" s="275"/>
      <c r="E308" s="275"/>
      <c r="F308" s="275"/>
      <c r="G308" s="276"/>
      <c r="H308" s="276"/>
      <c r="I308" s="277"/>
    </row>
    <row r="309" spans="1:9" ht="43.2">
      <c r="A309" s="119" t="s">
        <v>9651</v>
      </c>
      <c r="B309" s="256" t="str">
        <f>VLOOKUP(A309,GLOBAL!A:H,4,FALSE)</f>
        <v>FORNECIMENTO E APLICAÇÃO DE CONCRETO USINADO FCK=30 MPA - CONSIDERANDO BOMBEAMENTO (5% DE PERDAS JÁ INCLUÍDO NO CUSTO) (6% DE TAXA P/ CONCR. BOMBEAVEL)</v>
      </c>
      <c r="C309" s="119" t="str">
        <f>VLOOKUP(A309,GLOBAL!A:H,5,FALSE)</f>
        <v>M3</v>
      </c>
      <c r="D309" s="267" t="s">
        <v>66</v>
      </c>
      <c r="E309" s="267" t="s">
        <v>70</v>
      </c>
      <c r="F309" s="267" t="s">
        <v>67</v>
      </c>
      <c r="G309" s="267" t="s">
        <v>23690</v>
      </c>
      <c r="H309" s="267"/>
      <c r="I309" s="268">
        <f>ROUND(SUM(I310:I315),2)</f>
        <v>223.08</v>
      </c>
    </row>
    <row r="310" spans="1:9">
      <c r="A310" s="194"/>
      <c r="B310" s="187" t="s">
        <v>2874</v>
      </c>
      <c r="C310" s="188"/>
      <c r="D310" s="269"/>
      <c r="E310" s="269"/>
      <c r="F310" s="269"/>
      <c r="G310" s="269"/>
      <c r="H310" s="269"/>
      <c r="I310" s="270"/>
    </row>
    <row r="311" spans="1:9">
      <c r="A311" s="195"/>
      <c r="B311" s="233" t="s">
        <v>35512</v>
      </c>
      <c r="C311" s="234"/>
      <c r="D311" s="641"/>
      <c r="E311" s="641"/>
      <c r="F311" s="279"/>
      <c r="G311" s="279"/>
      <c r="H311" s="279"/>
      <c r="I311" s="280"/>
    </row>
    <row r="312" spans="1:9">
      <c r="A312" s="195"/>
      <c r="B312" s="233" t="s">
        <v>35509</v>
      </c>
      <c r="C312" s="234"/>
      <c r="D312" s="721">
        <v>171.08</v>
      </c>
      <c r="E312" s="736"/>
      <c r="F312" s="722"/>
      <c r="G312" s="279"/>
      <c r="H312" s="279"/>
      <c r="I312" s="280">
        <f>D312</f>
        <v>171.08</v>
      </c>
    </row>
    <row r="313" spans="1:9">
      <c r="A313" s="195"/>
      <c r="B313" s="233" t="s">
        <v>35510</v>
      </c>
      <c r="C313" s="234"/>
      <c r="D313" s="721">
        <v>15.24</v>
      </c>
      <c r="E313" s="736"/>
      <c r="F313" s="722"/>
      <c r="G313" s="279"/>
      <c r="H313" s="279"/>
      <c r="I313" s="280">
        <f t="shared" ref="I313:I314" si="2">D313</f>
        <v>15.24</v>
      </c>
    </row>
    <row r="314" spans="1:9" ht="13.8" customHeight="1">
      <c r="A314" s="195"/>
      <c r="B314" s="233" t="s">
        <v>35511</v>
      </c>
      <c r="C314" s="234"/>
      <c r="D314" s="721">
        <v>15.24</v>
      </c>
      <c r="E314" s="736"/>
      <c r="F314" s="722"/>
      <c r="G314" s="279"/>
      <c r="H314" s="279"/>
      <c r="I314" s="280">
        <f t="shared" si="2"/>
        <v>15.24</v>
      </c>
    </row>
    <row r="315" spans="1:9">
      <c r="A315" s="196"/>
      <c r="B315" s="233" t="s">
        <v>35654</v>
      </c>
      <c r="C315" s="192"/>
      <c r="D315" s="272">
        <f>3.25+1.5</f>
        <v>4.75</v>
      </c>
      <c r="E315" s="272">
        <v>15.1</v>
      </c>
      <c r="F315" s="272">
        <v>0.15</v>
      </c>
      <c r="G315" s="273">
        <v>2</v>
      </c>
      <c r="H315" s="273"/>
      <c r="I315" s="274">
        <f>D315*E315*F315*G315</f>
        <v>21.517499999999998</v>
      </c>
    </row>
    <row r="316" spans="1:9">
      <c r="A316" s="135"/>
      <c r="B316" s="170"/>
      <c r="C316" s="136"/>
      <c r="D316" s="275"/>
      <c r="E316" s="275"/>
      <c r="F316" s="275"/>
      <c r="G316" s="276"/>
      <c r="H316" s="276"/>
      <c r="I316" s="277"/>
    </row>
    <row r="317" spans="1:9" ht="43.2">
      <c r="A317" s="119" t="s">
        <v>9652</v>
      </c>
      <c r="B317" s="256" t="str">
        <f>VLOOKUP(A317,GLOBAL!A:H,4,FALSE)</f>
        <v>EXECUÇÃO DE JUNTA DE DILATAÇÃO 2 X 2 CM CONSIDERANDO 1CM DE APLICAÇÃO DE ISOPOR E 1CM DE APLICAÇÃO DE MASTIQUE ELÁSTICO DO TIPO SIKAFLEX 1A OU EQUIVALENTE</v>
      </c>
      <c r="C317" s="119" t="str">
        <f>VLOOKUP(A317,GLOBAL!A:H,5,FALSE)</f>
        <v>M</v>
      </c>
      <c r="D317" s="267" t="s">
        <v>66</v>
      </c>
      <c r="E317" s="267" t="s">
        <v>70</v>
      </c>
      <c r="F317" s="267" t="s">
        <v>67</v>
      </c>
      <c r="G317" s="267" t="s">
        <v>23690</v>
      </c>
      <c r="H317" s="267"/>
      <c r="I317" s="268">
        <f>ROUND(SUM(I318:I320),2)</f>
        <v>200</v>
      </c>
    </row>
    <row r="318" spans="1:9">
      <c r="A318" s="194"/>
      <c r="B318" s="187" t="s">
        <v>2874</v>
      </c>
      <c r="C318" s="188"/>
      <c r="D318" s="269"/>
      <c r="E318" s="269"/>
      <c r="F318" s="269"/>
      <c r="G318" s="269"/>
      <c r="H318" s="269"/>
      <c r="I318" s="270"/>
    </row>
    <row r="319" spans="1:9">
      <c r="A319" s="195"/>
      <c r="B319" s="233"/>
      <c r="C319" s="234"/>
      <c r="D319" s="721"/>
      <c r="E319" s="722"/>
      <c r="F319" s="279"/>
      <c r="G319" s="279"/>
      <c r="H319" s="279"/>
      <c r="I319" s="280">
        <v>200</v>
      </c>
    </row>
    <row r="320" spans="1:9">
      <c r="A320" s="196"/>
      <c r="B320" s="193"/>
      <c r="C320" s="192"/>
      <c r="D320" s="272"/>
      <c r="E320" s="272"/>
      <c r="F320" s="272"/>
      <c r="G320" s="273"/>
      <c r="H320" s="273"/>
      <c r="I320" s="274"/>
    </row>
    <row r="321" spans="1:9">
      <c r="A321" s="135"/>
      <c r="B321" s="170"/>
      <c r="C321" s="136"/>
      <c r="D321" s="275"/>
      <c r="E321" s="275"/>
      <c r="F321" s="275"/>
      <c r="G321" s="276"/>
      <c r="H321" s="276"/>
      <c r="I321" s="277"/>
    </row>
    <row r="322" spans="1:9" ht="43.2">
      <c r="A322" s="119" t="s">
        <v>9653</v>
      </c>
      <c r="B322" s="256" t="str">
        <f>VLOOKUP(A322,GLOBAL!A:H,4,FALSE)</f>
        <v>LAJE PRÉ-FABRICADA TRELIÇADA (H=8CM), SOBRECARGA 300 KG/M2, VÃO DE 3.5 A 4.3M, CAPEAMENTO 4CM, ELEMENTO DE ENCHIMENTO EM BLOCO CERÂMICO, ESPESSURA FINAL DA LAJE ? 12CM, FCK = 150 KG/CM2</v>
      </c>
      <c r="C322" s="119" t="str">
        <f>VLOOKUP(A322,GLOBAL!A:H,5,FALSE)</f>
        <v>M2</v>
      </c>
      <c r="D322" s="267" t="s">
        <v>66</v>
      </c>
      <c r="E322" s="267" t="s">
        <v>70</v>
      </c>
      <c r="F322" s="267" t="s">
        <v>67</v>
      </c>
      <c r="G322" s="267" t="s">
        <v>23690</v>
      </c>
      <c r="H322" s="267"/>
      <c r="I322" s="268">
        <f>ROUND(SUM(I323:I329),2)</f>
        <v>324.23</v>
      </c>
    </row>
    <row r="323" spans="1:9">
      <c r="A323" s="194"/>
      <c r="B323" s="187" t="s">
        <v>2874</v>
      </c>
      <c r="C323" s="188"/>
      <c r="D323" s="269"/>
      <c r="E323" s="269"/>
      <c r="F323" s="269"/>
      <c r="G323" s="269"/>
      <c r="H323" s="269"/>
      <c r="I323" s="270"/>
    </row>
    <row r="324" spans="1:9">
      <c r="A324" s="195"/>
      <c r="B324" s="233" t="s">
        <v>35822</v>
      </c>
      <c r="C324" s="234"/>
      <c r="D324" s="658">
        <v>25.3</v>
      </c>
      <c r="E324" s="641">
        <v>5</v>
      </c>
      <c r="F324" s="279"/>
      <c r="G324" s="279"/>
      <c r="H324" s="279"/>
      <c r="I324" s="280">
        <f>D324*E324</f>
        <v>126.5</v>
      </c>
    </row>
    <row r="325" spans="1:9">
      <c r="A325" s="195"/>
      <c r="B325" s="233" t="s">
        <v>35823</v>
      </c>
      <c r="C325" s="234"/>
      <c r="D325" s="658">
        <v>4.5</v>
      </c>
      <c r="E325" s="641">
        <v>8.4</v>
      </c>
      <c r="F325" s="279"/>
      <c r="G325" s="279"/>
      <c r="H325" s="279"/>
      <c r="I325" s="280">
        <f t="shared" ref="I325:I326" si="3">D325*E325</f>
        <v>37.800000000000004</v>
      </c>
    </row>
    <row r="326" spans="1:9">
      <c r="A326" s="195"/>
      <c r="B326" s="233" t="s">
        <v>35824</v>
      </c>
      <c r="C326" s="234"/>
      <c r="D326" s="658">
        <v>6.5</v>
      </c>
      <c r="E326" s="641">
        <v>3</v>
      </c>
      <c r="F326" s="279"/>
      <c r="G326" s="279"/>
      <c r="H326" s="279"/>
      <c r="I326" s="280">
        <f t="shared" si="3"/>
        <v>19.5</v>
      </c>
    </row>
    <row r="327" spans="1:9">
      <c r="A327" s="195"/>
      <c r="B327" s="233" t="s">
        <v>35825</v>
      </c>
      <c r="C327" s="234"/>
      <c r="D327" s="658">
        <v>5.3</v>
      </c>
      <c r="E327" s="641">
        <v>15.1</v>
      </c>
      <c r="F327" s="279"/>
      <c r="G327" s="279"/>
      <c r="H327" s="279"/>
      <c r="I327" s="280">
        <f t="shared" ref="I327" si="4">D327*E327</f>
        <v>80.03</v>
      </c>
    </row>
    <row r="328" spans="1:9">
      <c r="A328" s="195"/>
      <c r="B328" s="233" t="s">
        <v>35825</v>
      </c>
      <c r="C328" s="234"/>
      <c r="D328" s="658">
        <v>4</v>
      </c>
      <c r="E328" s="641">
        <v>15.1</v>
      </c>
      <c r="F328" s="279"/>
      <c r="G328" s="279"/>
      <c r="H328" s="279"/>
      <c r="I328" s="280">
        <f t="shared" ref="I328" si="5">D328*E328</f>
        <v>60.4</v>
      </c>
    </row>
    <row r="329" spans="1:9">
      <c r="A329" s="196"/>
      <c r="B329" s="193"/>
      <c r="C329" s="192"/>
      <c r="D329" s="272"/>
      <c r="E329" s="272"/>
      <c r="F329" s="272"/>
      <c r="G329" s="273"/>
      <c r="H329" s="273"/>
      <c r="I329" s="274"/>
    </row>
    <row r="330" spans="1:9">
      <c r="A330" s="135"/>
      <c r="B330" s="170"/>
      <c r="C330" s="136"/>
      <c r="D330" s="275"/>
      <c r="E330" s="275"/>
      <c r="F330" s="275"/>
      <c r="G330" s="276"/>
      <c r="H330" s="276"/>
      <c r="I330" s="277"/>
    </row>
    <row r="331" spans="1:9">
      <c r="A331" s="119" t="s">
        <v>35882</v>
      </c>
      <c r="B331" s="256" t="str">
        <f>VLOOKUP(A331,GLOBAL!A:H,4,FALSE)</f>
        <v xml:space="preserve">ESCORAMENTO METÁLICO - LAJE NERVURADA </v>
      </c>
      <c r="C331" s="119" t="str">
        <f>VLOOKUP(A331,GLOBAL!A:H,5,FALSE)</f>
        <v>MENSAL</v>
      </c>
      <c r="D331" s="267" t="s">
        <v>66</v>
      </c>
      <c r="E331" s="267" t="s">
        <v>70</v>
      </c>
      <c r="F331" s="267" t="s">
        <v>67</v>
      </c>
      <c r="G331" s="267" t="s">
        <v>23690</v>
      </c>
      <c r="H331" s="267"/>
      <c r="I331" s="268">
        <f>ROUND(SUM(I332:I334),2)</f>
        <v>1</v>
      </c>
    </row>
    <row r="332" spans="1:9">
      <c r="A332" s="194"/>
      <c r="B332" s="187" t="s">
        <v>2874</v>
      </c>
      <c r="C332" s="188"/>
      <c r="D332" s="269"/>
      <c r="E332" s="269"/>
      <c r="F332" s="269"/>
      <c r="G332" s="269"/>
      <c r="H332" s="269"/>
      <c r="I332" s="270"/>
    </row>
    <row r="333" spans="1:9">
      <c r="A333" s="195"/>
      <c r="B333" s="233" t="s">
        <v>35883</v>
      </c>
      <c r="C333" s="234"/>
      <c r="D333" s="658"/>
      <c r="E333" s="641"/>
      <c r="F333" s="279"/>
      <c r="G333" s="279"/>
      <c r="H333" s="279">
        <v>1</v>
      </c>
      <c r="I333" s="280">
        <f>H333</f>
        <v>1</v>
      </c>
    </row>
    <row r="334" spans="1:9">
      <c r="A334" s="196"/>
      <c r="B334" s="193"/>
      <c r="C334" s="192"/>
      <c r="D334" s="272"/>
      <c r="E334" s="272"/>
      <c r="F334" s="272"/>
      <c r="G334" s="273"/>
      <c r="H334" s="273"/>
      <c r="I334" s="274"/>
    </row>
    <row r="335" spans="1:9">
      <c r="A335" s="135"/>
      <c r="B335" s="170"/>
      <c r="C335" s="136"/>
      <c r="D335" s="275"/>
      <c r="E335" s="275"/>
      <c r="F335" s="275"/>
      <c r="G335" s="276"/>
      <c r="H335" s="276"/>
      <c r="I335" s="277"/>
    </row>
    <row r="336" spans="1:9">
      <c r="A336" s="184" t="s">
        <v>9</v>
      </c>
      <c r="B336" s="171" t="str">
        <f>VLOOKUP(A336,GLOBAL!A:H,4,FALSE)</f>
        <v>PAREDES E PAINÉIS</v>
      </c>
      <c r="C336" s="172"/>
      <c r="D336" s="265"/>
      <c r="E336" s="265"/>
      <c r="F336" s="265"/>
      <c r="G336" s="265"/>
      <c r="H336" s="265"/>
      <c r="I336" s="266"/>
    </row>
    <row r="337" spans="1:11">
      <c r="A337" s="173" t="s">
        <v>41</v>
      </c>
      <c r="B337" s="171" t="str">
        <f>VLOOKUP(A337,GLOBAL!A:H,4,FALSE)</f>
        <v>ALVENARIA DE VEDAÇÃO</v>
      </c>
      <c r="C337" s="172"/>
      <c r="D337" s="265"/>
      <c r="E337" s="265"/>
      <c r="F337" s="265"/>
      <c r="G337" s="265"/>
      <c r="H337" s="265"/>
      <c r="I337" s="266"/>
    </row>
    <row r="338" spans="1:11" ht="72">
      <c r="A338" s="119" t="s">
        <v>42</v>
      </c>
      <c r="B338" s="258" t="str">
        <f>VLOOKUP(A338,GLOBAL!A:H,4,FALSE)</f>
        <v>ALVENARIA DE VEDAÇÃO COM BLOCOS CERÂMICOS FURADOS 9X19X19CM, ASSENTADOS C/ ARGAMASSA DE CIMENTO, CAL HIDRATADA CH1 E AREIA NO TRAÇO 1:0,5:8, PREPARO COM BETONEIRA, JUNTAS 10MM E ESP. DAS PAREDES S/REVESTIMENTO, 19CM, BLOCO DEITADO (BLOCO COMPRADO FÁBRICA, POSTO OBRA)</v>
      </c>
      <c r="C338" s="119" t="str">
        <f>VLOOKUP(A338,GLOBAL!A:H,5,FALSE)</f>
        <v>M2</v>
      </c>
      <c r="D338" s="267" t="s">
        <v>66</v>
      </c>
      <c r="E338" s="267" t="s">
        <v>70</v>
      </c>
      <c r="F338" s="267" t="s">
        <v>67</v>
      </c>
      <c r="G338" s="267" t="s">
        <v>68</v>
      </c>
      <c r="H338" s="267"/>
      <c r="I338" s="268">
        <f>ROUND(SUM(I339:I368),2)</f>
        <v>2812.97</v>
      </c>
    </row>
    <row r="339" spans="1:11">
      <c r="A339" s="194"/>
      <c r="B339" s="187" t="s">
        <v>2874</v>
      </c>
      <c r="C339" s="188"/>
      <c r="D339" s="269"/>
      <c r="E339" s="269"/>
      <c r="F339" s="269"/>
      <c r="G339" s="269"/>
      <c r="H339" s="269"/>
      <c r="I339" s="270"/>
    </row>
    <row r="340" spans="1:11" s="650" customFormat="1">
      <c r="A340" s="644"/>
      <c r="B340" s="645" t="s">
        <v>35512</v>
      </c>
      <c r="C340" s="646"/>
      <c r="D340" s="647"/>
      <c r="E340" s="647"/>
      <c r="F340" s="648"/>
      <c r="G340" s="648"/>
      <c r="H340" s="648"/>
      <c r="I340" s="649"/>
      <c r="K340" s="651"/>
    </row>
    <row r="341" spans="1:11">
      <c r="A341" s="195"/>
      <c r="B341" s="233" t="s">
        <v>35513</v>
      </c>
      <c r="C341" s="234"/>
      <c r="D341" s="365">
        <f>32.3+8.15</f>
        <v>40.449999999999996</v>
      </c>
      <c r="E341" s="278">
        <v>25.3</v>
      </c>
      <c r="F341" s="279">
        <v>3.3</v>
      </c>
      <c r="G341" s="279"/>
      <c r="H341" s="279"/>
      <c r="I341" s="280">
        <f>(D341+E341)*2*F341</f>
        <v>433.95</v>
      </c>
    </row>
    <row r="342" spans="1:11">
      <c r="A342" s="195"/>
      <c r="B342" s="233" t="s">
        <v>35514</v>
      </c>
      <c r="C342" s="234"/>
      <c r="D342" s="279">
        <v>4.6500000000000004</v>
      </c>
      <c r="E342" s="278">
        <v>4.0999999999999996</v>
      </c>
      <c r="F342" s="279">
        <v>3.3</v>
      </c>
      <c r="G342" s="279"/>
      <c r="H342" s="279"/>
      <c r="I342" s="280">
        <f>(D342+D342+E342)*F342</f>
        <v>44.22</v>
      </c>
    </row>
    <row r="343" spans="1:11">
      <c r="A343" s="195"/>
      <c r="B343" s="233" t="s">
        <v>35515</v>
      </c>
      <c r="C343" s="234"/>
      <c r="D343" s="279">
        <v>4.6500000000000004</v>
      </c>
      <c r="E343" s="278">
        <v>4.0999999999999996</v>
      </c>
      <c r="F343" s="279">
        <v>3.3</v>
      </c>
      <c r="G343" s="279"/>
      <c r="H343" s="279"/>
      <c r="I343" s="280">
        <f>(D343+D343+E343)*F343</f>
        <v>44.22</v>
      </c>
    </row>
    <row r="344" spans="1:11">
      <c r="A344" s="195"/>
      <c r="B344" s="233" t="s">
        <v>35516</v>
      </c>
      <c r="C344" s="234"/>
      <c r="D344" s="279">
        <v>2</v>
      </c>
      <c r="E344" s="278">
        <v>3.5</v>
      </c>
      <c r="F344" s="279">
        <v>3.3</v>
      </c>
      <c r="G344" s="279"/>
      <c r="H344" s="279"/>
      <c r="I344" s="280">
        <f>D344*2*F344</f>
        <v>13.2</v>
      </c>
    </row>
    <row r="345" spans="1:11">
      <c r="A345" s="195"/>
      <c r="B345" s="233" t="s">
        <v>35517</v>
      </c>
      <c r="C345" s="234"/>
      <c r="D345" s="279">
        <v>4.6500000000000004</v>
      </c>
      <c r="E345" s="278">
        <v>5.0999999999999996</v>
      </c>
      <c r="F345" s="279">
        <v>3.3</v>
      </c>
      <c r="G345" s="279"/>
      <c r="H345" s="279"/>
      <c r="I345" s="280">
        <f>(D345+E345)*F345</f>
        <v>32.174999999999997</v>
      </c>
    </row>
    <row r="346" spans="1:11">
      <c r="A346" s="195"/>
      <c r="B346" s="233" t="s">
        <v>35517</v>
      </c>
      <c r="C346" s="234"/>
      <c r="D346" s="279">
        <v>4.3</v>
      </c>
      <c r="E346" s="278">
        <v>2.5</v>
      </c>
      <c r="F346" s="279">
        <v>3.3</v>
      </c>
      <c r="G346" s="279"/>
      <c r="H346" s="279"/>
      <c r="I346" s="280">
        <f>(D346+(E346*3))*F346</f>
        <v>38.94</v>
      </c>
    </row>
    <row r="347" spans="1:11">
      <c r="A347" s="195"/>
      <c r="B347" s="233" t="s">
        <v>35518</v>
      </c>
      <c r="C347" s="234"/>
      <c r="D347" s="279">
        <v>2.4</v>
      </c>
      <c r="E347" s="278">
        <v>1.8</v>
      </c>
      <c r="F347" s="279">
        <v>3.3</v>
      </c>
      <c r="G347" s="279"/>
      <c r="H347" s="279"/>
      <c r="I347" s="280">
        <f>(D347+E347+D347)*3</f>
        <v>19.799999999999997</v>
      </c>
    </row>
    <row r="348" spans="1:11">
      <c r="A348" s="195"/>
      <c r="B348" s="233" t="s">
        <v>35504</v>
      </c>
      <c r="C348" s="234"/>
      <c r="D348" s="279">
        <v>9.35</v>
      </c>
      <c r="E348" s="278">
        <v>4.3499999999999996</v>
      </c>
      <c r="F348" s="279">
        <v>3.3</v>
      </c>
      <c r="G348" s="279"/>
      <c r="H348" s="279"/>
      <c r="I348" s="280">
        <f>(D348+E348)*2*F348</f>
        <v>90.419999999999987</v>
      </c>
    </row>
    <row r="349" spans="1:11">
      <c r="A349" s="195"/>
      <c r="B349" s="233" t="s">
        <v>35519</v>
      </c>
      <c r="C349" s="234"/>
      <c r="D349" s="279">
        <v>3.45</v>
      </c>
      <c r="E349" s="278">
        <v>2.4</v>
      </c>
      <c r="F349" s="279">
        <v>3.3</v>
      </c>
      <c r="G349" s="279"/>
      <c r="H349" s="279"/>
      <c r="I349" s="280">
        <f>(D349+D349+E349)*F349</f>
        <v>30.69</v>
      </c>
    </row>
    <row r="350" spans="1:11">
      <c r="A350" s="195"/>
      <c r="B350" s="233" t="s">
        <v>35520</v>
      </c>
      <c r="C350" s="234"/>
      <c r="D350" s="279">
        <v>1.5</v>
      </c>
      <c r="E350" s="278">
        <v>4.3499999999999996</v>
      </c>
      <c r="F350" s="279">
        <v>3.3</v>
      </c>
      <c r="G350" s="279"/>
      <c r="H350" s="279"/>
      <c r="I350" s="280">
        <f>D350*2*F350</f>
        <v>9.8999999999999986</v>
      </c>
    </row>
    <row r="351" spans="1:11">
      <c r="A351" s="195"/>
      <c r="B351" s="233" t="s">
        <v>35773</v>
      </c>
      <c r="C351" s="234"/>
      <c r="D351" s="641">
        <f>6.3+0.3</f>
        <v>6.6</v>
      </c>
      <c r="E351" s="278">
        <v>3.3</v>
      </c>
      <c r="F351" s="279">
        <v>3.3</v>
      </c>
      <c r="G351" s="279"/>
      <c r="H351" s="279"/>
      <c r="I351" s="280">
        <f>D351*2*F351</f>
        <v>43.559999999999995</v>
      </c>
    </row>
    <row r="352" spans="1:11">
      <c r="A352" s="195"/>
      <c r="B352" s="233" t="s">
        <v>35521</v>
      </c>
      <c r="C352" s="234"/>
      <c r="D352" s="365">
        <v>32.299999999999997</v>
      </c>
      <c r="E352" s="278">
        <v>25.3</v>
      </c>
      <c r="F352" s="279">
        <v>3.3</v>
      </c>
      <c r="G352" s="279"/>
      <c r="H352" s="279"/>
      <c r="I352" s="280">
        <f>(D352+E352)*2*F352</f>
        <v>380.15999999999997</v>
      </c>
    </row>
    <row r="353" spans="1:11">
      <c r="A353" s="195"/>
      <c r="B353" s="233" t="s">
        <v>35522</v>
      </c>
      <c r="C353" s="234"/>
      <c r="D353" s="279">
        <v>4.6500000000000004</v>
      </c>
      <c r="E353" s="278">
        <v>4.0999999999999996</v>
      </c>
      <c r="F353" s="279">
        <v>3.3</v>
      </c>
      <c r="G353" s="279"/>
      <c r="H353" s="279"/>
      <c r="I353" s="280">
        <f>(D353+D353+E353)*F353</f>
        <v>44.22</v>
      </c>
    </row>
    <row r="354" spans="1:11">
      <c r="A354" s="195"/>
      <c r="B354" s="233" t="s">
        <v>35523</v>
      </c>
      <c r="C354" s="234"/>
      <c r="D354" s="279">
        <v>4.6500000000000004</v>
      </c>
      <c r="E354" s="278">
        <v>4.0999999999999996</v>
      </c>
      <c r="F354" s="279">
        <v>3.3</v>
      </c>
      <c r="G354" s="279"/>
      <c r="H354" s="279"/>
      <c r="I354" s="280">
        <f>(D354+D354+E354)*F354</f>
        <v>44.22</v>
      </c>
    </row>
    <row r="355" spans="1:11">
      <c r="A355" s="195"/>
      <c r="B355" s="233" t="s">
        <v>35524</v>
      </c>
      <c r="C355" s="234"/>
      <c r="D355" s="279">
        <v>2</v>
      </c>
      <c r="E355" s="278">
        <v>3.5</v>
      </c>
      <c r="F355" s="279">
        <v>3.3</v>
      </c>
      <c r="G355" s="279"/>
      <c r="H355" s="279"/>
      <c r="I355" s="280">
        <f>D355*2*F355</f>
        <v>13.2</v>
      </c>
    </row>
    <row r="356" spans="1:11">
      <c r="A356" s="195"/>
      <c r="B356" s="233" t="s">
        <v>35525</v>
      </c>
      <c r="C356" s="234"/>
      <c r="D356" s="279">
        <v>4.3</v>
      </c>
      <c r="E356" s="278">
        <v>2.5</v>
      </c>
      <c r="F356" s="279">
        <v>3.3</v>
      </c>
      <c r="G356" s="279"/>
      <c r="H356" s="279"/>
      <c r="I356" s="280">
        <f>(D356+E356)*2*F356</f>
        <v>44.879999999999995</v>
      </c>
    </row>
    <row r="357" spans="1:11">
      <c r="A357" s="195"/>
      <c r="B357" s="233" t="s">
        <v>35526</v>
      </c>
      <c r="C357" s="234"/>
      <c r="D357" s="365">
        <v>32.299999999999997</v>
      </c>
      <c r="E357" s="278">
        <v>25.3</v>
      </c>
      <c r="F357" s="279">
        <v>3.3</v>
      </c>
      <c r="G357" s="279"/>
      <c r="H357" s="279"/>
      <c r="I357" s="280">
        <f>(D357+E357)*2*F357</f>
        <v>380.15999999999997</v>
      </c>
    </row>
    <row r="358" spans="1:11">
      <c r="A358" s="195"/>
      <c r="B358" s="233" t="s">
        <v>35527</v>
      </c>
      <c r="C358" s="234"/>
      <c r="D358" s="279">
        <v>4.6500000000000004</v>
      </c>
      <c r="E358" s="278">
        <v>4.0999999999999996</v>
      </c>
      <c r="F358" s="279">
        <v>3.3</v>
      </c>
      <c r="G358" s="279"/>
      <c r="H358" s="279"/>
      <c r="I358" s="280">
        <f>(D358+D358+E358)*F358</f>
        <v>44.22</v>
      </c>
    </row>
    <row r="359" spans="1:11">
      <c r="A359" s="195"/>
      <c r="B359" s="233" t="s">
        <v>35528</v>
      </c>
      <c r="C359" s="234"/>
      <c r="D359" s="279">
        <v>4.6500000000000004</v>
      </c>
      <c r="E359" s="278">
        <v>4.0999999999999996</v>
      </c>
      <c r="F359" s="279">
        <v>3.3</v>
      </c>
      <c r="G359" s="279"/>
      <c r="H359" s="279"/>
      <c r="I359" s="280">
        <f>(D359+D359+E359)*F359</f>
        <v>44.22</v>
      </c>
    </row>
    <row r="360" spans="1:11">
      <c r="A360" s="195"/>
      <c r="B360" s="233" t="s">
        <v>35529</v>
      </c>
      <c r="C360" s="234"/>
      <c r="D360" s="279">
        <v>2</v>
      </c>
      <c r="E360" s="278">
        <v>3.5</v>
      </c>
      <c r="F360" s="279">
        <v>3.3</v>
      </c>
      <c r="G360" s="279"/>
      <c r="H360" s="279"/>
      <c r="I360" s="280">
        <f>D360*2*F360</f>
        <v>13.2</v>
      </c>
    </row>
    <row r="361" spans="1:11">
      <c r="A361" s="195"/>
      <c r="B361" s="233" t="s">
        <v>35530</v>
      </c>
      <c r="C361" s="234"/>
      <c r="D361" s="279">
        <v>4.3</v>
      </c>
      <c r="E361" s="278">
        <v>2.5</v>
      </c>
      <c r="F361" s="279">
        <v>3.3</v>
      </c>
      <c r="G361" s="279"/>
      <c r="H361" s="279"/>
      <c r="I361" s="280">
        <f>(D361+E361)*2*F361</f>
        <v>44.879999999999995</v>
      </c>
    </row>
    <row r="362" spans="1:11" s="650" customFormat="1">
      <c r="A362" s="652"/>
      <c r="B362" s="653" t="s">
        <v>35654</v>
      </c>
      <c r="C362" s="654"/>
      <c r="D362" s="655"/>
      <c r="E362" s="655"/>
      <c r="F362" s="655"/>
      <c r="G362" s="656"/>
      <c r="H362" s="656"/>
      <c r="I362" s="657"/>
      <c r="K362" s="651"/>
    </row>
    <row r="363" spans="1:11">
      <c r="A363" s="195"/>
      <c r="B363" s="233" t="s">
        <v>35774</v>
      </c>
      <c r="C363" s="234"/>
      <c r="D363" s="365">
        <v>32</v>
      </c>
      <c r="E363" s="278">
        <v>15.1</v>
      </c>
      <c r="F363" s="279">
        <v>8</v>
      </c>
      <c r="G363" s="279"/>
      <c r="H363" s="279"/>
      <c r="I363" s="280">
        <f>(D363+E363)*2*F363</f>
        <v>753.6</v>
      </c>
    </row>
    <row r="364" spans="1:11">
      <c r="A364" s="195"/>
      <c r="B364" s="233" t="s">
        <v>35631</v>
      </c>
      <c r="C364" s="234"/>
      <c r="D364" s="279">
        <v>3.25</v>
      </c>
      <c r="E364" s="278">
        <v>4.9000000000000004</v>
      </c>
      <c r="F364" s="279">
        <v>3.3</v>
      </c>
      <c r="G364" s="279"/>
      <c r="H364" s="279"/>
      <c r="I364" s="280">
        <f>(D364+D364+E364)*F364</f>
        <v>37.619999999999997</v>
      </c>
    </row>
    <row r="365" spans="1:11">
      <c r="A365" s="195"/>
      <c r="B365" s="233" t="s">
        <v>35632</v>
      </c>
      <c r="C365" s="234"/>
      <c r="D365" s="279">
        <v>3.25</v>
      </c>
      <c r="E365" s="278">
        <v>4.9000000000000004</v>
      </c>
      <c r="F365" s="279">
        <v>3.3</v>
      </c>
      <c r="G365" s="279"/>
      <c r="H365" s="279"/>
      <c r="I365" s="280">
        <f>(D365+D365+E365)*F365</f>
        <v>37.619999999999997</v>
      </c>
    </row>
    <row r="366" spans="1:11">
      <c r="A366" s="195"/>
      <c r="B366" s="233" t="s">
        <v>35775</v>
      </c>
      <c r="C366" s="234"/>
      <c r="D366" s="279">
        <v>1.6</v>
      </c>
      <c r="E366" s="278">
        <v>4.9000000000000004</v>
      </c>
      <c r="F366" s="279">
        <v>3.3</v>
      </c>
      <c r="G366" s="279"/>
      <c r="H366" s="279"/>
      <c r="I366" s="280">
        <f>(D366+D366+E366)*F366</f>
        <v>26.730000000000004</v>
      </c>
    </row>
    <row r="367" spans="1:11">
      <c r="A367" s="195"/>
      <c r="B367" s="233" t="s">
        <v>35776</v>
      </c>
      <c r="C367" s="234"/>
      <c r="D367" s="279">
        <v>1.6</v>
      </c>
      <c r="E367" s="278">
        <v>4.9000000000000004</v>
      </c>
      <c r="F367" s="279">
        <v>3.3</v>
      </c>
      <c r="G367" s="279"/>
      <c r="H367" s="279"/>
      <c r="I367" s="280">
        <f>(D367+D367+E367)*F367</f>
        <v>26.730000000000004</v>
      </c>
    </row>
    <row r="368" spans="1:11">
      <c r="A368" s="195"/>
      <c r="B368" s="233" t="s">
        <v>35777</v>
      </c>
      <c r="C368" s="234"/>
      <c r="D368" s="279">
        <v>4</v>
      </c>
      <c r="E368" s="278">
        <v>15.1</v>
      </c>
      <c r="F368" s="279">
        <v>3.3</v>
      </c>
      <c r="G368" s="279"/>
      <c r="H368" s="279"/>
      <c r="I368" s="280">
        <f>(D368+D368+E368)*F368</f>
        <v>76.23</v>
      </c>
    </row>
    <row r="369" spans="1:9">
      <c r="A369" s="135"/>
      <c r="B369" s="170"/>
      <c r="C369" s="136"/>
      <c r="D369" s="275"/>
      <c r="E369" s="275"/>
      <c r="F369" s="275"/>
      <c r="G369" s="276"/>
      <c r="H369" s="276"/>
      <c r="I369" s="277"/>
    </row>
    <row r="370" spans="1:9" ht="57.6">
      <c r="A370" s="119" t="s">
        <v>43</v>
      </c>
      <c r="B370" s="258" t="str">
        <f>VLOOKUP(A370,GLOBAL!A:H,4,FALSE)</f>
        <v>ELEMENTO VAZADO DE CONCRETO (COBOGÓ) 20 X 20 X 10CM, TIPO CRUZETA,ASSENTADOS COM ARGAMASSA DE CIMENTO E AREIA PENEIRADA NO TRAÇO 1:3, ESPESSURA DAS JUNTAS 15 MM, PREPARO MANUAL</v>
      </c>
      <c r="C370" s="119" t="str">
        <f>VLOOKUP(A370,GLOBAL!A:H,5,FALSE)</f>
        <v>M2</v>
      </c>
      <c r="D370" s="267" t="s">
        <v>66</v>
      </c>
      <c r="E370" s="267" t="s">
        <v>70</v>
      </c>
      <c r="F370" s="267" t="s">
        <v>67</v>
      </c>
      <c r="G370" s="267" t="s">
        <v>68</v>
      </c>
      <c r="H370" s="267"/>
      <c r="I370" s="268">
        <f>ROUND(SUM(I371:I374),2)</f>
        <v>50.49</v>
      </c>
    </row>
    <row r="371" spans="1:9">
      <c r="A371" s="194"/>
      <c r="B371" s="187" t="s">
        <v>2874</v>
      </c>
      <c r="C371" s="188"/>
      <c r="D371" s="269"/>
      <c r="E371" s="269"/>
      <c r="F371" s="269"/>
      <c r="G371" s="269"/>
      <c r="H371" s="269"/>
      <c r="I371" s="270"/>
    </row>
    <row r="372" spans="1:9">
      <c r="A372" s="195"/>
      <c r="B372" s="233" t="s">
        <v>35778</v>
      </c>
      <c r="C372" s="234"/>
      <c r="D372" s="279">
        <v>10.3</v>
      </c>
      <c r="E372" s="278"/>
      <c r="F372" s="279">
        <v>3.3</v>
      </c>
      <c r="G372" s="279"/>
      <c r="H372" s="279"/>
      <c r="I372" s="280">
        <f>D372*F372</f>
        <v>33.99</v>
      </c>
    </row>
    <row r="373" spans="1:9">
      <c r="A373" s="195"/>
      <c r="B373" s="233" t="s">
        <v>35601</v>
      </c>
      <c r="C373" s="234"/>
      <c r="D373" s="279">
        <v>2.5</v>
      </c>
      <c r="E373" s="278"/>
      <c r="F373" s="279">
        <v>3.3</v>
      </c>
      <c r="G373" s="279">
        <v>2</v>
      </c>
      <c r="H373" s="279"/>
      <c r="I373" s="280">
        <f>D373*F373*G373</f>
        <v>16.5</v>
      </c>
    </row>
    <row r="374" spans="1:9">
      <c r="A374" s="196"/>
      <c r="B374" s="193"/>
      <c r="C374" s="192"/>
      <c r="D374" s="272"/>
      <c r="E374" s="272"/>
      <c r="F374" s="272"/>
      <c r="G374" s="273"/>
      <c r="H374" s="273"/>
      <c r="I374" s="274"/>
    </row>
    <row r="375" spans="1:9">
      <c r="A375" s="135"/>
      <c r="B375" s="170"/>
      <c r="C375" s="136"/>
      <c r="D375" s="275"/>
      <c r="E375" s="275"/>
      <c r="F375" s="275"/>
      <c r="G375" s="276"/>
      <c r="H375" s="276"/>
      <c r="I375" s="277"/>
    </row>
    <row r="376" spans="1:9" ht="28.8">
      <c r="A376" s="119" t="s">
        <v>44</v>
      </c>
      <c r="B376" s="258" t="str">
        <f>VLOOKUP(A376,GLOBAL!A:H,4,FALSE)</f>
        <v>DIVISÓRIA SANITÁRIA DE GRANITO CINZA ANDORINHA ESP. 3 CM, FIXADA COM CANTONEIRA DE FERRO CROMADO</v>
      </c>
      <c r="C376" s="119" t="str">
        <f>VLOOKUP(A376,GLOBAL!A:H,5,FALSE)</f>
        <v>M2</v>
      </c>
      <c r="D376" s="267" t="s">
        <v>66</v>
      </c>
      <c r="E376" s="267" t="s">
        <v>70</v>
      </c>
      <c r="F376" s="267" t="s">
        <v>67</v>
      </c>
      <c r="G376" s="267" t="s">
        <v>68</v>
      </c>
      <c r="H376" s="267"/>
      <c r="I376" s="268">
        <f>ROUND(SUM(I377:I390),2)</f>
        <v>176.26</v>
      </c>
    </row>
    <row r="377" spans="1:9">
      <c r="A377" s="194"/>
      <c r="B377" s="187" t="s">
        <v>2874</v>
      </c>
      <c r="C377" s="188"/>
      <c r="D377" s="269"/>
      <c r="E377" s="269"/>
      <c r="F377" s="269"/>
      <c r="G377" s="269"/>
      <c r="H377" s="269"/>
      <c r="I377" s="270"/>
    </row>
    <row r="378" spans="1:9">
      <c r="A378" s="195"/>
      <c r="B378" s="233" t="s">
        <v>35514</v>
      </c>
      <c r="C378" s="234"/>
      <c r="D378" s="279">
        <f>(2.85+1.05+1.65+1.65+1.65+1.65)</f>
        <v>10.500000000000002</v>
      </c>
      <c r="E378" s="278"/>
      <c r="F378" s="279">
        <v>1.8</v>
      </c>
      <c r="G378" s="279"/>
      <c r="H378" s="279"/>
      <c r="I378" s="280">
        <f>D378*F378</f>
        <v>18.900000000000002</v>
      </c>
    </row>
    <row r="379" spans="1:9">
      <c r="A379" s="195"/>
      <c r="B379" s="233" t="s">
        <v>35514</v>
      </c>
      <c r="C379" s="234"/>
      <c r="D379" s="279">
        <f>0.55+0.55+0.8</f>
        <v>1.9000000000000001</v>
      </c>
      <c r="E379" s="278"/>
      <c r="F379" s="279">
        <v>1.2</v>
      </c>
      <c r="G379" s="279"/>
      <c r="H379" s="279"/>
      <c r="I379" s="280">
        <f t="shared" ref="I379:I390" si="6">D379*F379</f>
        <v>2.2800000000000002</v>
      </c>
    </row>
    <row r="380" spans="1:9">
      <c r="A380" s="195"/>
      <c r="B380" s="233" t="s">
        <v>35515</v>
      </c>
      <c r="C380" s="234"/>
      <c r="D380" s="279">
        <f>(3.1*2)+(1.65*6)</f>
        <v>16.099999999999998</v>
      </c>
      <c r="E380" s="278"/>
      <c r="F380" s="279">
        <v>1.8</v>
      </c>
      <c r="G380" s="279"/>
      <c r="H380" s="279"/>
      <c r="I380" s="280">
        <f t="shared" si="6"/>
        <v>28.979999999999997</v>
      </c>
    </row>
    <row r="381" spans="1:9">
      <c r="A381" s="195"/>
      <c r="B381" s="233" t="s">
        <v>35522</v>
      </c>
      <c r="C381" s="234"/>
      <c r="D381" s="279">
        <f>(2.85+1.05+1.65+1.65+1.65+1.65)</f>
        <v>10.500000000000002</v>
      </c>
      <c r="E381" s="278"/>
      <c r="F381" s="279">
        <v>1.8</v>
      </c>
      <c r="G381" s="279"/>
      <c r="H381" s="279"/>
      <c r="I381" s="280">
        <f t="shared" si="6"/>
        <v>18.900000000000002</v>
      </c>
    </row>
    <row r="382" spans="1:9">
      <c r="A382" s="195"/>
      <c r="B382" s="233" t="s">
        <v>35522</v>
      </c>
      <c r="C382" s="234"/>
      <c r="D382" s="279">
        <f t="shared" ref="D382" si="7">0.55+0.55+0.8</f>
        <v>1.9000000000000001</v>
      </c>
      <c r="E382" s="278"/>
      <c r="F382" s="279">
        <v>1.2</v>
      </c>
      <c r="G382" s="279"/>
      <c r="H382" s="279"/>
      <c r="I382" s="280">
        <f t="shared" si="6"/>
        <v>2.2800000000000002</v>
      </c>
    </row>
    <row r="383" spans="1:9">
      <c r="A383" s="195"/>
      <c r="B383" s="233" t="s">
        <v>35523</v>
      </c>
      <c r="C383" s="234"/>
      <c r="D383" s="279">
        <f t="shared" ref="D383" si="8">(3.1*2)+(1.65*6)</f>
        <v>16.099999999999998</v>
      </c>
      <c r="E383" s="278"/>
      <c r="F383" s="279">
        <v>1.8</v>
      </c>
      <c r="G383" s="279"/>
      <c r="H383" s="279"/>
      <c r="I383" s="280">
        <f t="shared" si="6"/>
        <v>28.979999999999997</v>
      </c>
    </row>
    <row r="384" spans="1:9">
      <c r="A384" s="195"/>
      <c r="B384" s="233" t="s">
        <v>35527</v>
      </c>
      <c r="C384" s="234"/>
      <c r="D384" s="279">
        <f>(2.85+1.05+1.65+1.65+1.65+1.65)</f>
        <v>10.500000000000002</v>
      </c>
      <c r="E384" s="278"/>
      <c r="F384" s="279">
        <v>1.8</v>
      </c>
      <c r="G384" s="279"/>
      <c r="H384" s="279"/>
      <c r="I384" s="280">
        <f t="shared" si="6"/>
        <v>18.900000000000002</v>
      </c>
    </row>
    <row r="385" spans="1:9">
      <c r="A385" s="195"/>
      <c r="B385" s="233" t="s">
        <v>35527</v>
      </c>
      <c r="C385" s="234"/>
      <c r="D385" s="279">
        <f t="shared" ref="D385" si="9">0.55+0.55+0.8</f>
        <v>1.9000000000000001</v>
      </c>
      <c r="E385" s="278"/>
      <c r="F385" s="279">
        <v>1.2</v>
      </c>
      <c r="G385" s="279"/>
      <c r="H385" s="279"/>
      <c r="I385" s="280">
        <f t="shared" si="6"/>
        <v>2.2800000000000002</v>
      </c>
    </row>
    <row r="386" spans="1:9">
      <c r="A386" s="195"/>
      <c r="B386" s="233" t="s">
        <v>35528</v>
      </c>
      <c r="C386" s="234"/>
      <c r="D386" s="279">
        <f t="shared" ref="D386" si="10">(3.1*2)+(1.65*6)</f>
        <v>16.099999999999998</v>
      </c>
      <c r="E386" s="278"/>
      <c r="F386" s="279">
        <v>1.8</v>
      </c>
      <c r="G386" s="279"/>
      <c r="H386" s="279"/>
      <c r="I386" s="280">
        <f t="shared" si="6"/>
        <v>28.979999999999997</v>
      </c>
    </row>
    <row r="387" spans="1:9">
      <c r="A387" s="195"/>
      <c r="B387" s="233" t="s">
        <v>35654</v>
      </c>
      <c r="C387" s="234"/>
      <c r="D387" s="279"/>
      <c r="E387" s="278"/>
      <c r="F387" s="279"/>
      <c r="G387" s="279"/>
      <c r="H387" s="279"/>
      <c r="I387" s="280"/>
    </row>
    <row r="388" spans="1:9">
      <c r="A388" s="195"/>
      <c r="B388" s="233" t="s">
        <v>35514</v>
      </c>
      <c r="C388" s="234"/>
      <c r="D388" s="279">
        <f>(1.65*2)+1.9</f>
        <v>5.1999999999999993</v>
      </c>
      <c r="E388" s="278"/>
      <c r="F388" s="279">
        <v>1.8</v>
      </c>
      <c r="G388" s="279"/>
      <c r="H388" s="279"/>
      <c r="I388" s="280">
        <f t="shared" si="6"/>
        <v>9.36</v>
      </c>
    </row>
    <row r="389" spans="1:9">
      <c r="A389" s="195"/>
      <c r="B389" s="233" t="s">
        <v>35514</v>
      </c>
      <c r="C389" s="234"/>
      <c r="D389" s="279">
        <v>0.63</v>
      </c>
      <c r="E389" s="278"/>
      <c r="F389" s="279">
        <v>1.2</v>
      </c>
      <c r="G389" s="279"/>
      <c r="H389" s="279"/>
      <c r="I389" s="280">
        <f t="shared" si="6"/>
        <v>0.75600000000000001</v>
      </c>
    </row>
    <row r="390" spans="1:9">
      <c r="A390" s="195"/>
      <c r="B390" s="233" t="s">
        <v>35515</v>
      </c>
      <c r="C390" s="234"/>
      <c r="D390" s="279">
        <f>(3.75)+(1.65*3)</f>
        <v>8.6999999999999993</v>
      </c>
      <c r="E390" s="278"/>
      <c r="F390" s="279">
        <v>1.8</v>
      </c>
      <c r="G390" s="279"/>
      <c r="H390" s="279"/>
      <c r="I390" s="280">
        <f t="shared" si="6"/>
        <v>15.659999999999998</v>
      </c>
    </row>
    <row r="391" spans="1:9">
      <c r="A391" s="135"/>
      <c r="B391" s="170"/>
      <c r="C391" s="136"/>
      <c r="D391" s="275"/>
      <c r="E391" s="275"/>
      <c r="F391" s="275"/>
      <c r="G391" s="276"/>
      <c r="H391" s="276"/>
      <c r="I391" s="277"/>
    </row>
    <row r="392" spans="1:9" ht="57.6">
      <c r="A392" s="119" t="s">
        <v>7510</v>
      </c>
      <c r="B392" s="258" t="str">
        <f>VLOOKUP(A392,GLOBAL!A:H,4,FALSE)</f>
        <v>PAREDE COM SISTEMA EM CHAPAS DE GESSO PARA DRYWALL, USO INTERNO, COM UMA FACE SIMPLES E ESTRUTURA METÁLICA COM GUIAS SIMPLES PARA PAREDES COM ÁREA LÍQUIDA MENOR QUE 6 M2, COM VÃOS. AF_07/2023_PS</v>
      </c>
      <c r="C392" s="119" t="str">
        <f>VLOOKUP(A392,GLOBAL!A:H,5,FALSE)</f>
        <v>M2</v>
      </c>
      <c r="D392" s="267" t="s">
        <v>66</v>
      </c>
      <c r="E392" s="267" t="s">
        <v>70</v>
      </c>
      <c r="F392" s="267" t="s">
        <v>67</v>
      </c>
      <c r="G392" s="267" t="s">
        <v>68</v>
      </c>
      <c r="H392" s="267"/>
      <c r="I392" s="268">
        <f>ROUND(SUM(I393:I414),2)</f>
        <v>1799.62</v>
      </c>
    </row>
    <row r="393" spans="1:9">
      <c r="A393" s="194"/>
      <c r="B393" s="187" t="s">
        <v>2874</v>
      </c>
      <c r="C393" s="188"/>
      <c r="D393" s="269"/>
      <c r="E393" s="269"/>
      <c r="F393" s="269"/>
      <c r="G393" s="269"/>
      <c r="H393" s="269"/>
      <c r="I393" s="270"/>
    </row>
    <row r="394" spans="1:9">
      <c r="A394" s="195"/>
      <c r="B394" s="233" t="s">
        <v>35832</v>
      </c>
      <c r="C394" s="234"/>
      <c r="D394" s="279"/>
      <c r="E394" s="641"/>
      <c r="F394" s="279"/>
      <c r="G394" s="279"/>
      <c r="H394" s="279"/>
      <c r="I394" s="280"/>
    </row>
    <row r="395" spans="1:9">
      <c r="A395" s="195"/>
      <c r="B395" s="233" t="s">
        <v>35605</v>
      </c>
      <c r="C395" s="234"/>
      <c r="D395" s="279">
        <v>3.45</v>
      </c>
      <c r="E395" s="278">
        <v>0</v>
      </c>
      <c r="F395" s="279">
        <v>3.3</v>
      </c>
      <c r="G395" s="279"/>
      <c r="H395" s="279"/>
      <c r="I395" s="280">
        <f>(D395+E395)*F395</f>
        <v>11.385</v>
      </c>
    </row>
    <row r="396" spans="1:9">
      <c r="A396" s="195"/>
      <c r="B396" s="233" t="s">
        <v>35606</v>
      </c>
      <c r="C396" s="234"/>
      <c r="D396" s="279">
        <v>3.4</v>
      </c>
      <c r="E396" s="278">
        <v>4.7</v>
      </c>
      <c r="F396" s="279">
        <v>3.3</v>
      </c>
      <c r="G396" s="279"/>
      <c r="H396" s="279"/>
      <c r="I396" s="280">
        <f t="shared" ref="I396:I407" si="11">(D396+E396)*F396</f>
        <v>26.729999999999997</v>
      </c>
    </row>
    <row r="397" spans="1:9">
      <c r="A397" s="195"/>
      <c r="B397" s="233" t="s">
        <v>35826</v>
      </c>
      <c r="C397" s="234"/>
      <c r="D397" s="279">
        <v>5.15</v>
      </c>
      <c r="E397" s="278">
        <v>4.2</v>
      </c>
      <c r="F397" s="279">
        <v>3.3</v>
      </c>
      <c r="G397" s="279"/>
      <c r="H397" s="279"/>
      <c r="I397" s="280">
        <f t="shared" si="11"/>
        <v>30.855000000000004</v>
      </c>
    </row>
    <row r="398" spans="1:9">
      <c r="A398" s="195"/>
      <c r="B398" s="233" t="s">
        <v>35608</v>
      </c>
      <c r="C398" s="234"/>
      <c r="D398" s="279">
        <v>4.4000000000000004</v>
      </c>
      <c r="E398" s="278">
        <v>4.2</v>
      </c>
      <c r="F398" s="279">
        <v>3.3</v>
      </c>
      <c r="G398" s="279"/>
      <c r="H398" s="279"/>
      <c r="I398" s="280">
        <f t="shared" si="11"/>
        <v>28.380000000000003</v>
      </c>
    </row>
    <row r="399" spans="1:9">
      <c r="A399" s="195"/>
      <c r="B399" s="233" t="s">
        <v>35609</v>
      </c>
      <c r="C399" s="234"/>
      <c r="D399" s="279">
        <v>9.65</v>
      </c>
      <c r="E399" s="278">
        <v>4.2</v>
      </c>
      <c r="F399" s="279">
        <v>3.3</v>
      </c>
      <c r="G399" s="279"/>
      <c r="H399" s="279"/>
      <c r="I399" s="280">
        <f t="shared" si="11"/>
        <v>45.705000000000005</v>
      </c>
    </row>
    <row r="400" spans="1:9">
      <c r="A400" s="195"/>
      <c r="B400" s="233" t="s">
        <v>35610</v>
      </c>
      <c r="C400" s="234"/>
      <c r="D400" s="279">
        <v>3.62</v>
      </c>
      <c r="E400" s="278">
        <v>5</v>
      </c>
      <c r="F400" s="279">
        <v>3.3</v>
      </c>
      <c r="G400" s="279"/>
      <c r="H400" s="279"/>
      <c r="I400" s="280">
        <f>((D400*2)+E400)*F400</f>
        <v>40.391999999999996</v>
      </c>
    </row>
    <row r="401" spans="1:9">
      <c r="A401" s="195"/>
      <c r="B401" s="233" t="s">
        <v>35827</v>
      </c>
      <c r="C401" s="234"/>
      <c r="D401" s="279">
        <v>3.2</v>
      </c>
      <c r="E401" s="278">
        <v>5</v>
      </c>
      <c r="F401" s="279">
        <v>3.3</v>
      </c>
      <c r="G401" s="279"/>
      <c r="H401" s="279"/>
      <c r="I401" s="280">
        <f t="shared" ref="I401:I402" si="12">((D401*2)+E401)*F401</f>
        <v>37.619999999999997</v>
      </c>
    </row>
    <row r="402" spans="1:9">
      <c r="A402" s="195"/>
      <c r="B402" s="233" t="s">
        <v>35612</v>
      </c>
      <c r="C402" s="234"/>
      <c r="D402" s="279">
        <v>2.6</v>
      </c>
      <c r="E402" s="278">
        <v>5</v>
      </c>
      <c r="F402" s="279">
        <v>3.3</v>
      </c>
      <c r="G402" s="279"/>
      <c r="H402" s="279"/>
      <c r="I402" s="280">
        <f t="shared" si="12"/>
        <v>33.659999999999997</v>
      </c>
    </row>
    <row r="403" spans="1:9">
      <c r="A403" s="195"/>
      <c r="B403" s="233" t="s">
        <v>35614</v>
      </c>
      <c r="C403" s="234"/>
      <c r="D403" s="279">
        <v>3.5</v>
      </c>
      <c r="E403" s="278">
        <f>2.5+2.7</f>
        <v>5.2</v>
      </c>
      <c r="F403" s="279">
        <v>3.3</v>
      </c>
      <c r="G403" s="279"/>
      <c r="H403" s="279"/>
      <c r="I403" s="280">
        <f t="shared" si="11"/>
        <v>28.709999999999997</v>
      </c>
    </row>
    <row r="404" spans="1:9">
      <c r="A404" s="195"/>
      <c r="B404" s="233" t="s">
        <v>35828</v>
      </c>
      <c r="C404" s="234"/>
      <c r="D404" s="279">
        <v>4.8</v>
      </c>
      <c r="E404" s="278">
        <v>3.5</v>
      </c>
      <c r="F404" s="279">
        <v>3.3</v>
      </c>
      <c r="G404" s="279"/>
      <c r="H404" s="279"/>
      <c r="I404" s="280">
        <f>((E404*2)+D404)*F404</f>
        <v>38.94</v>
      </c>
    </row>
    <row r="405" spans="1:9">
      <c r="A405" s="195"/>
      <c r="B405" s="233" t="s">
        <v>35829</v>
      </c>
      <c r="C405" s="234"/>
      <c r="D405" s="279">
        <v>6.3</v>
      </c>
      <c r="E405" s="278">
        <v>7.3</v>
      </c>
      <c r="F405" s="279">
        <v>3.3</v>
      </c>
      <c r="G405" s="279"/>
      <c r="H405" s="279"/>
      <c r="I405" s="280">
        <f t="shared" si="11"/>
        <v>44.879999999999995</v>
      </c>
    </row>
    <row r="406" spans="1:9">
      <c r="A406" s="195"/>
      <c r="B406" s="233" t="s">
        <v>35830</v>
      </c>
      <c r="C406" s="234"/>
      <c r="D406" s="279">
        <v>5.35</v>
      </c>
      <c r="E406" s="278">
        <v>4.8</v>
      </c>
      <c r="F406" s="279">
        <v>3.3</v>
      </c>
      <c r="G406" s="279"/>
      <c r="H406" s="279"/>
      <c r="I406" s="280">
        <f t="shared" si="11"/>
        <v>33.49499999999999</v>
      </c>
    </row>
    <row r="407" spans="1:9">
      <c r="A407" s="195"/>
      <c r="B407" s="233" t="s">
        <v>35622</v>
      </c>
      <c r="C407" s="234"/>
      <c r="D407" s="279">
        <f>2.5+0.1+4.9</f>
        <v>7.5</v>
      </c>
      <c r="E407" s="278"/>
      <c r="F407" s="279">
        <v>3.3</v>
      </c>
      <c r="G407" s="279"/>
      <c r="H407" s="279"/>
      <c r="I407" s="280">
        <f t="shared" si="11"/>
        <v>24.75</v>
      </c>
    </row>
    <row r="408" spans="1:9">
      <c r="A408" s="195"/>
      <c r="B408" s="233" t="s">
        <v>35623</v>
      </c>
      <c r="C408" s="234"/>
      <c r="D408" s="279">
        <v>2.5</v>
      </c>
      <c r="E408" s="278">
        <v>3.5</v>
      </c>
      <c r="F408" s="279">
        <v>3.3</v>
      </c>
      <c r="G408" s="279"/>
      <c r="H408" s="279"/>
      <c r="I408" s="280">
        <f t="shared" ref="I408" si="13">(D408+E408)*F408</f>
        <v>19.799999999999997</v>
      </c>
    </row>
    <row r="409" spans="1:9">
      <c r="A409" s="195"/>
      <c r="B409" s="233" t="s">
        <v>35831</v>
      </c>
      <c r="C409" s="234"/>
      <c r="D409" s="279">
        <v>4.9000000000000004</v>
      </c>
      <c r="E409" s="278">
        <v>0</v>
      </c>
      <c r="F409" s="279">
        <v>3.3</v>
      </c>
      <c r="G409" s="279"/>
      <c r="H409" s="279"/>
      <c r="I409" s="280">
        <f t="shared" ref="I409" si="14">(D409+E409)*F409</f>
        <v>16.170000000000002</v>
      </c>
    </row>
    <row r="410" spans="1:9">
      <c r="A410" s="195"/>
      <c r="B410" s="233" t="s">
        <v>35833</v>
      </c>
      <c r="C410" s="234"/>
      <c r="D410" s="279"/>
      <c r="E410" s="641"/>
      <c r="F410" s="279"/>
      <c r="G410" s="279"/>
      <c r="H410" s="279"/>
      <c r="I410" s="280"/>
    </row>
    <row r="411" spans="1:9">
      <c r="A411" s="195"/>
      <c r="B411" s="233" t="s">
        <v>35834</v>
      </c>
      <c r="C411" s="234"/>
      <c r="D411" s="279">
        <v>6.65</v>
      </c>
      <c r="E411" s="278">
        <v>3.25</v>
      </c>
      <c r="F411" s="279">
        <v>3.3</v>
      </c>
      <c r="G411" s="279">
        <f>24</f>
        <v>24</v>
      </c>
      <c r="H411" s="279"/>
      <c r="I411" s="280">
        <f>(D411+E411)*F411*G411</f>
        <v>784.08</v>
      </c>
    </row>
    <row r="412" spans="1:9">
      <c r="A412" s="195"/>
      <c r="B412" s="233" t="s">
        <v>35835</v>
      </c>
      <c r="C412" s="234"/>
      <c r="D412" s="279">
        <v>3</v>
      </c>
      <c r="E412" s="278">
        <v>3.25</v>
      </c>
      <c r="F412" s="279">
        <v>3.3</v>
      </c>
      <c r="G412" s="279">
        <v>24</v>
      </c>
      <c r="H412" s="279"/>
      <c r="I412" s="280">
        <f>(D412+E412)*F412*G412</f>
        <v>495</v>
      </c>
    </row>
    <row r="413" spans="1:9">
      <c r="A413" s="195"/>
      <c r="B413" s="233" t="s">
        <v>35836</v>
      </c>
      <c r="C413" s="234"/>
      <c r="D413" s="279">
        <v>2</v>
      </c>
      <c r="E413" s="278">
        <v>0</v>
      </c>
      <c r="F413" s="279">
        <v>3.3</v>
      </c>
      <c r="G413" s="279">
        <v>2</v>
      </c>
      <c r="H413" s="279"/>
      <c r="I413" s="280">
        <f>(D413+E413)*F413*G413</f>
        <v>13.2</v>
      </c>
    </row>
    <row r="414" spans="1:9">
      <c r="A414" s="195"/>
      <c r="B414" s="233" t="s">
        <v>35616</v>
      </c>
      <c r="C414" s="234"/>
      <c r="D414" s="279">
        <v>6.95</v>
      </c>
      <c r="E414" s="278">
        <v>0</v>
      </c>
      <c r="F414" s="279">
        <v>3.3</v>
      </c>
      <c r="G414" s="279">
        <v>2</v>
      </c>
      <c r="H414" s="279"/>
      <c r="I414" s="280">
        <f>(D414+E414)*F414*G414</f>
        <v>45.87</v>
      </c>
    </row>
    <row r="415" spans="1:9">
      <c r="A415" s="135"/>
      <c r="B415" s="170"/>
      <c r="C415" s="136"/>
      <c r="D415" s="275"/>
      <c r="E415" s="275"/>
      <c r="F415" s="275"/>
      <c r="G415" s="276"/>
      <c r="H415" s="276"/>
      <c r="I415" s="277"/>
    </row>
    <row r="416" spans="1:9" ht="43.2">
      <c r="A416" s="119" t="s">
        <v>7991</v>
      </c>
      <c r="B416" s="258" t="str">
        <f>VLOOKUP(A416,GLOBAL!A:H,4,FALSE)</f>
        <v>FORNECIMENTO E MONTAGEM DE DRYWALL MONTADO COM PLACA CIMENTÍCIA E=12,5MM, INCLUSIVE PERFI L = 0,95MM. INCLUSIVE MONTAGEM</v>
      </c>
      <c r="C416" s="119" t="str">
        <f>VLOOKUP(A416,GLOBAL!A:H,5,FALSE)</f>
        <v>M2</v>
      </c>
      <c r="D416" s="267" t="s">
        <v>66</v>
      </c>
      <c r="E416" s="267" t="s">
        <v>70</v>
      </c>
      <c r="F416" s="267" t="s">
        <v>67</v>
      </c>
      <c r="G416" s="267" t="s">
        <v>68</v>
      </c>
      <c r="H416" s="267"/>
      <c r="I416" s="268">
        <f>ROUND(SUM(I417:I421),2)</f>
        <v>628.12</v>
      </c>
    </row>
    <row r="417" spans="1:9">
      <c r="A417" s="194"/>
      <c r="B417" s="187" t="s">
        <v>2874</v>
      </c>
      <c r="C417" s="188"/>
      <c r="D417" s="269"/>
      <c r="E417" s="269"/>
      <c r="F417" s="269"/>
      <c r="G417" s="269"/>
      <c r="H417" s="269"/>
      <c r="I417" s="270"/>
    </row>
    <row r="418" spans="1:9">
      <c r="A418" s="195"/>
      <c r="B418" s="233" t="s">
        <v>35837</v>
      </c>
      <c r="C418" s="234"/>
      <c r="D418" s="279"/>
      <c r="E418" s="641"/>
      <c r="F418" s="279"/>
      <c r="G418" s="279"/>
      <c r="H418" s="279"/>
      <c r="I418" s="280"/>
    </row>
    <row r="419" spans="1:9">
      <c r="A419" s="195"/>
      <c r="B419" s="233" t="s">
        <v>35838</v>
      </c>
      <c r="C419" s="234"/>
      <c r="D419" s="279">
        <v>0.5</v>
      </c>
      <c r="E419" s="278">
        <v>8.1999999999999993</v>
      </c>
      <c r="F419" s="279">
        <v>24</v>
      </c>
      <c r="G419" s="279"/>
      <c r="H419" s="279"/>
      <c r="I419" s="280">
        <f>D419*E419*F419</f>
        <v>98.399999999999991</v>
      </c>
    </row>
    <row r="420" spans="1:9">
      <c r="A420" s="195"/>
      <c r="B420" s="233" t="s">
        <v>35838</v>
      </c>
      <c r="C420" s="234"/>
      <c r="D420" s="279">
        <v>2.2999999999999998</v>
      </c>
      <c r="E420" s="278">
        <v>8.1999999999999993</v>
      </c>
      <c r="F420" s="279">
        <v>24</v>
      </c>
      <c r="G420" s="279"/>
      <c r="H420" s="279"/>
      <c r="I420" s="280">
        <f>D420*E420*F420</f>
        <v>452.63999999999987</v>
      </c>
    </row>
    <row r="421" spans="1:9">
      <c r="A421" s="195"/>
      <c r="B421" s="233" t="s">
        <v>35838</v>
      </c>
      <c r="C421" s="234"/>
      <c r="D421" s="279">
        <v>4.7</v>
      </c>
      <c r="E421" s="278">
        <v>8.1999999999999993</v>
      </c>
      <c r="F421" s="279">
        <v>2</v>
      </c>
      <c r="G421" s="279"/>
      <c r="H421" s="279"/>
      <c r="I421" s="280">
        <f>D421*E421*F421</f>
        <v>77.08</v>
      </c>
    </row>
    <row r="422" spans="1:9">
      <c r="A422" s="135"/>
      <c r="B422" s="170"/>
      <c r="C422" s="136"/>
      <c r="D422" s="275"/>
      <c r="E422" s="275"/>
      <c r="F422" s="275"/>
      <c r="G422" s="276"/>
      <c r="H422" s="276"/>
      <c r="I422" s="277"/>
    </row>
    <row r="423" spans="1:9">
      <c r="A423" s="173" t="s">
        <v>9746</v>
      </c>
      <c r="B423" s="171" t="str">
        <f>VLOOKUP(A423,GLOBAL!A:H,4,FALSE)</f>
        <v>VERGAS/CONTRAVERGA</v>
      </c>
      <c r="C423" s="172"/>
      <c r="D423" s="265"/>
      <c r="E423" s="265"/>
      <c r="F423" s="265"/>
      <c r="G423" s="265"/>
      <c r="H423" s="265"/>
      <c r="I423" s="266"/>
    </row>
    <row r="424" spans="1:9" ht="43.2">
      <c r="A424" s="119" t="s">
        <v>9747</v>
      </c>
      <c r="B424" s="258" t="str">
        <f>VLOOKUP(A424,GLOBAL!A:H,4,FALSE)</f>
        <v>VERGA/CONTRAVERGA RETA DE CONCRETO ARMADO MOLDADA IN LOCO 10 X 5 CM, FCK = 15 MPA, INCLUSIVE FORMA, ARMAÇÃO E DESFORMA, COMPRIMENTO INFERIOR A 2.0 METROS</v>
      </c>
      <c r="C424" s="119" t="str">
        <f>VLOOKUP(A424,GLOBAL!A:H,5,FALSE)</f>
        <v>M</v>
      </c>
      <c r="D424" s="267" t="s">
        <v>66</v>
      </c>
      <c r="E424" s="267" t="s">
        <v>70</v>
      </c>
      <c r="F424" s="267" t="s">
        <v>67</v>
      </c>
      <c r="G424" s="267" t="s">
        <v>68</v>
      </c>
      <c r="H424" s="267"/>
      <c r="I424" s="268">
        <f>ROUND(SUM(I425:I433),2)</f>
        <v>20.7</v>
      </c>
    </row>
    <row r="425" spans="1:9">
      <c r="A425" s="194"/>
      <c r="B425" s="187" t="s">
        <v>2874</v>
      </c>
      <c r="C425" s="188"/>
      <c r="D425" s="269"/>
      <c r="E425" s="269"/>
      <c r="F425" s="269"/>
      <c r="G425" s="269"/>
      <c r="H425" s="269"/>
      <c r="I425" s="270"/>
    </row>
    <row r="426" spans="1:9">
      <c r="A426" s="195"/>
      <c r="B426" s="233" t="s">
        <v>35531</v>
      </c>
      <c r="C426" s="234"/>
      <c r="D426" s="279"/>
      <c r="E426" s="641"/>
      <c r="F426" s="279"/>
      <c r="G426" s="279"/>
      <c r="H426" s="279"/>
      <c r="I426" s="280"/>
    </row>
    <row r="427" spans="1:9">
      <c r="A427" s="195"/>
      <c r="B427" s="233" t="s">
        <v>11352</v>
      </c>
      <c r="C427" s="234"/>
      <c r="D427" s="279">
        <v>0.8</v>
      </c>
      <c r="E427" s="278"/>
      <c r="F427" s="279"/>
      <c r="G427" s="279">
        <v>8</v>
      </c>
      <c r="H427" s="279"/>
      <c r="I427" s="280">
        <f>D427*G427</f>
        <v>6.4</v>
      </c>
    </row>
    <row r="428" spans="1:9">
      <c r="A428" s="195"/>
      <c r="B428" s="233" t="s">
        <v>11353</v>
      </c>
      <c r="C428" s="234"/>
      <c r="D428" s="279">
        <v>1.5</v>
      </c>
      <c r="E428" s="278"/>
      <c r="F428" s="279"/>
      <c r="G428" s="279">
        <v>1</v>
      </c>
      <c r="H428" s="279"/>
      <c r="I428" s="280">
        <f t="shared" ref="I428:I430" si="15">D428*G428</f>
        <v>1.5</v>
      </c>
    </row>
    <row r="429" spans="1:9">
      <c r="A429" s="195"/>
      <c r="B429" s="233" t="s">
        <v>35532</v>
      </c>
      <c r="C429" s="234"/>
      <c r="D429" s="279"/>
      <c r="E429" s="278"/>
      <c r="F429" s="279"/>
      <c r="G429" s="279"/>
      <c r="H429" s="279"/>
      <c r="I429" s="280">
        <f t="shared" si="15"/>
        <v>0</v>
      </c>
    </row>
    <row r="430" spans="1:9">
      <c r="A430" s="195"/>
      <c r="B430" s="233" t="s">
        <v>11352</v>
      </c>
      <c r="C430" s="234"/>
      <c r="D430" s="279">
        <v>0.8</v>
      </c>
      <c r="E430" s="278"/>
      <c r="F430" s="279"/>
      <c r="G430" s="279">
        <v>3</v>
      </c>
      <c r="H430" s="279"/>
      <c r="I430" s="280">
        <f t="shared" si="15"/>
        <v>2.4000000000000004</v>
      </c>
    </row>
    <row r="431" spans="1:9">
      <c r="A431" s="195"/>
      <c r="B431" s="233" t="s">
        <v>35533</v>
      </c>
      <c r="C431" s="234"/>
      <c r="D431" s="279"/>
      <c r="E431" s="278"/>
      <c r="F431" s="279"/>
      <c r="G431" s="279"/>
      <c r="H431" s="279"/>
      <c r="I431" s="280">
        <f t="shared" ref="I431:I432" si="16">D431*G431</f>
        <v>0</v>
      </c>
    </row>
    <row r="432" spans="1:9">
      <c r="A432" s="195"/>
      <c r="B432" s="233" t="s">
        <v>11352</v>
      </c>
      <c r="C432" s="234"/>
      <c r="D432" s="279">
        <v>0.8</v>
      </c>
      <c r="E432" s="278"/>
      <c r="F432" s="279"/>
      <c r="G432" s="279">
        <v>3</v>
      </c>
      <c r="H432" s="279"/>
      <c r="I432" s="280">
        <f t="shared" si="16"/>
        <v>2.4000000000000004</v>
      </c>
    </row>
    <row r="433" spans="1:9">
      <c r="A433" s="196"/>
      <c r="B433" s="233" t="s">
        <v>35654</v>
      </c>
      <c r="C433" s="192"/>
      <c r="D433" s="272"/>
      <c r="E433" s="272"/>
      <c r="F433" s="272"/>
      <c r="G433" s="273"/>
      <c r="H433" s="273"/>
      <c r="I433" s="274">
        <v>8</v>
      </c>
    </row>
    <row r="434" spans="1:9">
      <c r="A434" s="135"/>
      <c r="B434" s="170"/>
      <c r="C434" s="136"/>
      <c r="D434" s="275"/>
      <c r="E434" s="275"/>
      <c r="F434" s="275"/>
      <c r="G434" s="276"/>
      <c r="H434" s="276"/>
      <c r="I434" s="277"/>
    </row>
    <row r="435" spans="1:9">
      <c r="A435" s="521" t="s">
        <v>10</v>
      </c>
      <c r="B435" s="522" t="str">
        <f>VLOOKUP(A435,GLOBAL!A:H,4,FALSE)</f>
        <v>ESQUADRIAS</v>
      </c>
      <c r="C435" s="172"/>
      <c r="D435" s="265"/>
      <c r="E435" s="265"/>
      <c r="F435" s="265"/>
      <c r="G435" s="265"/>
      <c r="H435" s="265"/>
      <c r="I435" s="266"/>
    </row>
    <row r="436" spans="1:9">
      <c r="A436" s="173" t="s">
        <v>10351</v>
      </c>
      <c r="B436" s="171" t="str">
        <f>VLOOKUP(A436,GLOBAL!A:H,4,FALSE)</f>
        <v>ESQUADRIAS DE MADEIRA</v>
      </c>
      <c r="C436" s="172"/>
      <c r="D436" s="265"/>
      <c r="E436" s="265"/>
      <c r="F436" s="265"/>
      <c r="G436" s="265"/>
      <c r="H436" s="265"/>
      <c r="I436" s="266"/>
    </row>
    <row r="437" spans="1:9" ht="86.4">
      <c r="A437" s="605" t="s">
        <v>2876</v>
      </c>
      <c r="B437" s="256" t="str">
        <f>VLOOKUP(A437,GLOBAL!A:H,4,FALSE)</f>
        <v>PORTA EM MADEIRA DE LEI ANGELIM PEDRA OU EQUIVALENTE, ESP. 30 A 35MM C/ ENCHIMENTO EM MADEIRA DE 1ª QUALIDADE, TIPO SARRAFEADA COM VISOR 0,40X0,60 M, INCLUSIVE ALIZARES, DOBRADIÇAS E FECHADURAS TIPO ALAVANCA EM LATÃO CROMADO LA FONTE OU EQUIVALENTE, EXCLUSIVE MARCO, NAS DIMENSÕES: 0,80 X 2,10 M</v>
      </c>
      <c r="C437" s="119" t="str">
        <f>VLOOKUP(A437,GLOBAL!A:H,5,FALSE)</f>
        <v>UND</v>
      </c>
      <c r="D437" s="267" t="s">
        <v>66</v>
      </c>
      <c r="E437" s="267" t="s">
        <v>70</v>
      </c>
      <c r="F437" s="267" t="s">
        <v>67</v>
      </c>
      <c r="G437" s="267" t="s">
        <v>68</v>
      </c>
      <c r="H437" s="267"/>
      <c r="I437" s="268">
        <f>ROUND(SUM(I438:I445),2)</f>
        <v>67</v>
      </c>
    </row>
    <row r="438" spans="1:9">
      <c r="A438" s="194"/>
      <c r="B438" s="187" t="s">
        <v>2874</v>
      </c>
      <c r="C438" s="188"/>
      <c r="D438" s="269"/>
      <c r="E438" s="269"/>
      <c r="F438" s="269"/>
      <c r="G438" s="269"/>
      <c r="H438" s="269"/>
      <c r="I438" s="270"/>
    </row>
    <row r="439" spans="1:9">
      <c r="A439" s="195"/>
      <c r="B439" s="233" t="s">
        <v>35531</v>
      </c>
      <c r="C439" s="234"/>
      <c r="D439" s="279"/>
      <c r="E439" s="641"/>
      <c r="F439" s="279"/>
      <c r="G439" s="279"/>
      <c r="H439" s="279"/>
      <c r="I439" s="280"/>
    </row>
    <row r="440" spans="1:9">
      <c r="A440" s="195"/>
      <c r="B440" s="233" t="s">
        <v>11352</v>
      </c>
      <c r="C440" s="234"/>
      <c r="D440" s="279">
        <v>0.8</v>
      </c>
      <c r="E440" s="278"/>
      <c r="F440" s="279"/>
      <c r="G440" s="279">
        <v>17</v>
      </c>
      <c r="H440" s="279"/>
      <c r="I440" s="280">
        <f>G440</f>
        <v>17</v>
      </c>
    </row>
    <row r="441" spans="1:9">
      <c r="A441" s="195"/>
      <c r="B441" s="233" t="s">
        <v>35532</v>
      </c>
      <c r="C441" s="234"/>
      <c r="D441" s="279"/>
      <c r="E441" s="278"/>
      <c r="F441" s="279"/>
      <c r="G441" s="279"/>
      <c r="H441" s="279"/>
      <c r="I441" s="280"/>
    </row>
    <row r="442" spans="1:9">
      <c r="A442" s="195"/>
      <c r="B442" s="233" t="s">
        <v>11352</v>
      </c>
      <c r="C442" s="234"/>
      <c r="D442" s="279">
        <v>0.8</v>
      </c>
      <c r="E442" s="278"/>
      <c r="F442" s="279"/>
      <c r="G442" s="279">
        <v>25</v>
      </c>
      <c r="H442" s="279"/>
      <c r="I442" s="280">
        <f t="shared" ref="I442:I444" si="17">G442</f>
        <v>25</v>
      </c>
    </row>
    <row r="443" spans="1:9">
      <c r="A443" s="195"/>
      <c r="B443" s="233" t="s">
        <v>35533</v>
      </c>
      <c r="C443" s="234"/>
      <c r="D443" s="279"/>
      <c r="E443" s="278"/>
      <c r="F443" s="279"/>
      <c r="G443" s="279"/>
      <c r="H443" s="279"/>
      <c r="I443" s="280"/>
    </row>
    <row r="444" spans="1:9">
      <c r="A444" s="195"/>
      <c r="B444" s="233" t="s">
        <v>11352</v>
      </c>
      <c r="C444" s="234"/>
      <c r="D444" s="279">
        <v>0.8</v>
      </c>
      <c r="E444" s="278"/>
      <c r="F444" s="279"/>
      <c r="G444" s="279">
        <v>25</v>
      </c>
      <c r="H444" s="279"/>
      <c r="I444" s="280">
        <f t="shared" si="17"/>
        <v>25</v>
      </c>
    </row>
    <row r="445" spans="1:9">
      <c r="A445" s="195"/>
      <c r="B445" s="233" t="s">
        <v>35654</v>
      </c>
      <c r="C445" s="234"/>
      <c r="D445" s="279"/>
      <c r="E445" s="278"/>
      <c r="F445" s="279"/>
      <c r="G445" s="279"/>
      <c r="H445" s="279"/>
      <c r="I445" s="280"/>
    </row>
    <row r="446" spans="1:9">
      <c r="A446" s="195"/>
      <c r="B446" s="233" t="s">
        <v>11352</v>
      </c>
      <c r="C446" s="234"/>
      <c r="D446" s="279">
        <v>0.8</v>
      </c>
      <c r="E446" s="278"/>
      <c r="F446" s="279"/>
      <c r="G446" s="279">
        <v>3</v>
      </c>
      <c r="H446" s="279"/>
      <c r="I446" s="280">
        <f t="shared" ref="I446" si="18">G446</f>
        <v>3</v>
      </c>
    </row>
    <row r="447" spans="1:9">
      <c r="A447" s="135"/>
      <c r="B447" s="170"/>
      <c r="C447" s="136"/>
      <c r="D447" s="275"/>
      <c r="E447" s="275"/>
      <c r="F447" s="275"/>
      <c r="G447" s="276"/>
      <c r="H447" s="276"/>
      <c r="I447" s="277"/>
    </row>
    <row r="448" spans="1:9" ht="72">
      <c r="A448" s="605" t="s">
        <v>7980</v>
      </c>
      <c r="B448" s="256" t="str">
        <f>VLOOKUP(A448,GLOBAL!A:H,4,FALSE)</f>
        <v>PORTA EM MADEIRA DE LEI TIPO ANGELIM PEDRA OU EQUIVALENTE,ESP. 30 A 35MM C/ ENCHIMENTO EM MADEIRA 1A QUALIDADE, TIPO SARRAFEADA PARA PINTURA, INCLUSIVE ALIZARES, DOBRADIÇAS E FECHADURA TIPO ALAVANCA EM LATÃO CROMADO LAFONTE OU EQUIVALENTE, EXCLUSIVE MARCO, NAS DIMENSÕES: 0,60 X 2,10 M</v>
      </c>
      <c r="C448" s="119" t="str">
        <f>VLOOKUP(A448,GLOBAL!A:H,5,FALSE)</f>
        <v>UND</v>
      </c>
      <c r="D448" s="267" t="s">
        <v>66</v>
      </c>
      <c r="E448" s="267" t="s">
        <v>70</v>
      </c>
      <c r="F448" s="267" t="s">
        <v>67</v>
      </c>
      <c r="G448" s="267" t="s">
        <v>68</v>
      </c>
      <c r="H448" s="267"/>
      <c r="I448" s="268">
        <f>ROUND(SUM(I449:I456),2)</f>
        <v>4</v>
      </c>
    </row>
    <row r="449" spans="1:9">
      <c r="A449" s="194"/>
      <c r="B449" s="187" t="s">
        <v>2874</v>
      </c>
      <c r="C449" s="188"/>
      <c r="D449" s="269"/>
      <c r="E449" s="269"/>
      <c r="F449" s="269"/>
      <c r="G449" s="269"/>
      <c r="H449" s="269"/>
      <c r="I449" s="270"/>
    </row>
    <row r="450" spans="1:9">
      <c r="A450" s="195"/>
      <c r="B450" s="233" t="s">
        <v>35531</v>
      </c>
      <c r="C450" s="234"/>
      <c r="D450" s="279"/>
      <c r="E450" s="641"/>
      <c r="F450" s="279"/>
      <c r="G450" s="279"/>
      <c r="H450" s="279"/>
      <c r="I450" s="280"/>
    </row>
    <row r="451" spans="1:9">
      <c r="A451" s="195"/>
      <c r="B451" s="233" t="s">
        <v>11351</v>
      </c>
      <c r="C451" s="234"/>
      <c r="D451" s="279">
        <v>0.6</v>
      </c>
      <c r="E451" s="278"/>
      <c r="F451" s="279"/>
      <c r="G451" s="279">
        <v>2</v>
      </c>
      <c r="H451" s="279"/>
      <c r="I451" s="280">
        <f>G451</f>
        <v>2</v>
      </c>
    </row>
    <row r="452" spans="1:9">
      <c r="A452" s="195"/>
      <c r="B452" s="233" t="s">
        <v>35532</v>
      </c>
      <c r="C452" s="234"/>
      <c r="D452" s="279"/>
      <c r="E452" s="278"/>
      <c r="F452" s="279"/>
      <c r="G452" s="279"/>
      <c r="H452" s="279"/>
      <c r="I452" s="280"/>
    </row>
    <row r="453" spans="1:9">
      <c r="A453" s="195"/>
      <c r="B453" s="233" t="s">
        <v>11351</v>
      </c>
      <c r="C453" s="234"/>
      <c r="D453" s="279">
        <v>0.6</v>
      </c>
      <c r="E453" s="278"/>
      <c r="F453" s="279"/>
      <c r="G453" s="279">
        <v>1</v>
      </c>
      <c r="H453" s="279"/>
      <c r="I453" s="280">
        <f t="shared" ref="I453" si="19">G453</f>
        <v>1</v>
      </c>
    </row>
    <row r="454" spans="1:9">
      <c r="A454" s="195"/>
      <c r="B454" s="233" t="s">
        <v>35533</v>
      </c>
      <c r="C454" s="234"/>
      <c r="D454" s="279"/>
      <c r="E454" s="278"/>
      <c r="F454" s="279"/>
      <c r="G454" s="279"/>
      <c r="H454" s="279"/>
      <c r="I454" s="280"/>
    </row>
    <row r="455" spans="1:9">
      <c r="A455" s="195"/>
      <c r="B455" s="233" t="s">
        <v>11351</v>
      </c>
      <c r="C455" s="234"/>
      <c r="D455" s="279">
        <v>0.6</v>
      </c>
      <c r="E455" s="278"/>
      <c r="F455" s="279"/>
      <c r="G455" s="279">
        <v>1</v>
      </c>
      <c r="H455" s="279"/>
      <c r="I455" s="280">
        <f t="shared" ref="I455" si="20">G455</f>
        <v>1</v>
      </c>
    </row>
    <row r="456" spans="1:9">
      <c r="A456" s="196"/>
      <c r="B456" s="193"/>
      <c r="C456" s="192"/>
      <c r="D456" s="272"/>
      <c r="E456" s="272"/>
      <c r="F456" s="272"/>
      <c r="G456" s="273"/>
      <c r="H456" s="273"/>
      <c r="I456" s="274"/>
    </row>
    <row r="457" spans="1:9">
      <c r="A457" s="135"/>
      <c r="B457" s="170"/>
      <c r="C457" s="136"/>
      <c r="D457" s="275"/>
      <c r="E457" s="275"/>
      <c r="F457" s="275"/>
      <c r="G457" s="276"/>
      <c r="H457" s="276"/>
      <c r="I457" s="277"/>
    </row>
    <row r="458" spans="1:9" ht="43.2">
      <c r="A458" s="605" t="s">
        <v>7982</v>
      </c>
      <c r="B458" s="256" t="str">
        <f>VLOOKUP(A458,GLOBAL!A:H,4,FALSE)</f>
        <v>MARCO EM MADEIRA DE LEI TIPO PEROBA, IPÊ, ANGELIM PEDRA OU EQUIVALENTE, COM 15 X 3CM DE BATENTE, NAS DIMENSÕES: 0,80 X 2,10 M</v>
      </c>
      <c r="C458" s="119" t="str">
        <f>VLOOKUP(A458,GLOBAL!A:H,5,FALSE)</f>
        <v>UND</v>
      </c>
      <c r="D458" s="267" t="s">
        <v>66</v>
      </c>
      <c r="E458" s="267" t="s">
        <v>70</v>
      </c>
      <c r="F458" s="267" t="s">
        <v>67</v>
      </c>
      <c r="G458" s="267" t="s">
        <v>68</v>
      </c>
      <c r="H458" s="267"/>
      <c r="I458" s="268">
        <f>ROUND(SUM(I459:I466),2)</f>
        <v>67</v>
      </c>
    </row>
    <row r="459" spans="1:9">
      <c r="A459" s="194"/>
      <c r="B459" s="187" t="s">
        <v>2874</v>
      </c>
      <c r="C459" s="188"/>
      <c r="D459" s="269"/>
      <c r="E459" s="269"/>
      <c r="F459" s="269"/>
      <c r="G459" s="269"/>
      <c r="H459" s="269"/>
      <c r="I459" s="270"/>
    </row>
    <row r="460" spans="1:9">
      <c r="A460" s="195"/>
      <c r="B460" s="233" t="s">
        <v>35531</v>
      </c>
      <c r="C460" s="234"/>
      <c r="D460" s="279"/>
      <c r="E460" s="641"/>
      <c r="F460" s="279"/>
      <c r="G460" s="279"/>
      <c r="H460" s="279"/>
      <c r="I460" s="280"/>
    </row>
    <row r="461" spans="1:9">
      <c r="A461" s="195"/>
      <c r="B461" s="233" t="s">
        <v>11352</v>
      </c>
      <c r="C461" s="234"/>
      <c r="D461" s="279">
        <v>0.8</v>
      </c>
      <c r="E461" s="278"/>
      <c r="F461" s="279"/>
      <c r="G461" s="279">
        <v>17</v>
      </c>
      <c r="H461" s="279"/>
      <c r="I461" s="280">
        <f>G461</f>
        <v>17</v>
      </c>
    </row>
    <row r="462" spans="1:9">
      <c r="A462" s="195"/>
      <c r="B462" s="233" t="s">
        <v>35532</v>
      </c>
      <c r="C462" s="234"/>
      <c r="D462" s="279"/>
      <c r="E462" s="278"/>
      <c r="F462" s="279"/>
      <c r="G462" s="279"/>
      <c r="H462" s="279"/>
      <c r="I462" s="280"/>
    </row>
    <row r="463" spans="1:9">
      <c r="A463" s="195"/>
      <c r="B463" s="233" t="s">
        <v>11352</v>
      </c>
      <c r="C463" s="234"/>
      <c r="D463" s="279">
        <v>0.8</v>
      </c>
      <c r="E463" s="278"/>
      <c r="F463" s="279"/>
      <c r="G463" s="279">
        <v>25</v>
      </c>
      <c r="H463" s="279"/>
      <c r="I463" s="280">
        <f t="shared" ref="I463" si="21">G463</f>
        <v>25</v>
      </c>
    </row>
    <row r="464" spans="1:9">
      <c r="A464" s="195"/>
      <c r="B464" s="233" t="s">
        <v>35533</v>
      </c>
      <c r="C464" s="234"/>
      <c r="D464" s="279"/>
      <c r="E464" s="278"/>
      <c r="F464" s="279"/>
      <c r="G464" s="279"/>
      <c r="H464" s="279"/>
      <c r="I464" s="280"/>
    </row>
    <row r="465" spans="1:9">
      <c r="A465" s="195"/>
      <c r="B465" s="233" t="s">
        <v>11352</v>
      </c>
      <c r="C465" s="234"/>
      <c r="D465" s="279">
        <v>0.8</v>
      </c>
      <c r="E465" s="278"/>
      <c r="F465" s="279"/>
      <c r="G465" s="279">
        <v>25</v>
      </c>
      <c r="H465" s="279"/>
      <c r="I465" s="280">
        <f t="shared" ref="I465" si="22">G465</f>
        <v>25</v>
      </c>
    </row>
    <row r="466" spans="1:9">
      <c r="A466" s="195"/>
      <c r="B466" s="233" t="s">
        <v>35654</v>
      </c>
      <c r="C466" s="234"/>
      <c r="D466" s="279"/>
      <c r="E466" s="278"/>
      <c r="F466" s="279"/>
      <c r="G466" s="279"/>
      <c r="H466" s="279"/>
      <c r="I466" s="280"/>
    </row>
    <row r="467" spans="1:9">
      <c r="A467" s="195"/>
      <c r="B467" s="233" t="s">
        <v>11352</v>
      </c>
      <c r="C467" s="234"/>
      <c r="D467" s="279">
        <v>0.8</v>
      </c>
      <c r="E467" s="278"/>
      <c r="F467" s="279"/>
      <c r="G467" s="279">
        <v>3</v>
      </c>
      <c r="H467" s="279"/>
      <c r="I467" s="280">
        <f t="shared" ref="I467" si="23">G467</f>
        <v>3</v>
      </c>
    </row>
    <row r="468" spans="1:9">
      <c r="A468" s="135"/>
      <c r="B468" s="170"/>
      <c r="C468" s="136"/>
      <c r="D468" s="275"/>
      <c r="E468" s="275"/>
      <c r="F468" s="275"/>
      <c r="G468" s="276"/>
      <c r="H468" s="276"/>
      <c r="I468" s="277"/>
    </row>
    <row r="469" spans="1:9" ht="43.2">
      <c r="A469" s="605" t="s">
        <v>7983</v>
      </c>
      <c r="B469" s="256" t="str">
        <f>VLOOKUP(A469,GLOBAL!A:H,4,FALSE)</f>
        <v>MARCO EM MADEIRA DE LEI TIPO PEROBA, IPÊ, ANGELIM PEDRA OU EQUIVALENTE, COM 15 X 3CM DE BATENTE, NAS DIMENSÕES: 0,60 X 2,10 M</v>
      </c>
      <c r="C469" s="119" t="str">
        <f>VLOOKUP(A469,GLOBAL!A:H,5,FALSE)</f>
        <v>UND</v>
      </c>
      <c r="D469" s="267" t="s">
        <v>66</v>
      </c>
      <c r="E469" s="267" t="s">
        <v>70</v>
      </c>
      <c r="F469" s="267" t="s">
        <v>67</v>
      </c>
      <c r="G469" s="267" t="s">
        <v>68</v>
      </c>
      <c r="H469" s="267"/>
      <c r="I469" s="268">
        <f>ROUND(SUM(I470:I477),2)</f>
        <v>4</v>
      </c>
    </row>
    <row r="470" spans="1:9">
      <c r="A470" s="194"/>
      <c r="B470" s="187" t="s">
        <v>2874</v>
      </c>
      <c r="C470" s="188"/>
      <c r="D470" s="269"/>
      <c r="E470" s="269"/>
      <c r="F470" s="269"/>
      <c r="G470" s="269"/>
      <c r="H470" s="269"/>
      <c r="I470" s="270"/>
    </row>
    <row r="471" spans="1:9">
      <c r="A471" s="195"/>
      <c r="B471" s="233" t="s">
        <v>35531</v>
      </c>
      <c r="C471" s="234"/>
      <c r="D471" s="279"/>
      <c r="E471" s="641"/>
      <c r="F471" s="279"/>
      <c r="G471" s="279"/>
      <c r="H471" s="279"/>
      <c r="I471" s="280"/>
    </row>
    <row r="472" spans="1:9">
      <c r="A472" s="195"/>
      <c r="B472" s="233" t="s">
        <v>11351</v>
      </c>
      <c r="C472" s="234"/>
      <c r="D472" s="279">
        <v>0.6</v>
      </c>
      <c r="E472" s="278"/>
      <c r="F472" s="279"/>
      <c r="G472" s="279">
        <v>2</v>
      </c>
      <c r="H472" s="279"/>
      <c r="I472" s="280">
        <f>G472</f>
        <v>2</v>
      </c>
    </row>
    <row r="473" spans="1:9">
      <c r="A473" s="195"/>
      <c r="B473" s="233" t="s">
        <v>35532</v>
      </c>
      <c r="C473" s="234"/>
      <c r="D473" s="279"/>
      <c r="E473" s="278"/>
      <c r="F473" s="279"/>
      <c r="G473" s="279"/>
      <c r="H473" s="279"/>
      <c r="I473" s="280"/>
    </row>
    <row r="474" spans="1:9">
      <c r="A474" s="195"/>
      <c r="B474" s="233" t="s">
        <v>11351</v>
      </c>
      <c r="C474" s="234"/>
      <c r="D474" s="279">
        <v>0.6</v>
      </c>
      <c r="E474" s="278"/>
      <c r="F474" s="279"/>
      <c r="G474" s="279">
        <v>1</v>
      </c>
      <c r="H474" s="279"/>
      <c r="I474" s="280">
        <f t="shared" ref="I474" si="24">G474</f>
        <v>1</v>
      </c>
    </row>
    <row r="475" spans="1:9">
      <c r="A475" s="195"/>
      <c r="B475" s="233" t="s">
        <v>35533</v>
      </c>
      <c r="C475" s="234"/>
      <c r="D475" s="279"/>
      <c r="E475" s="278"/>
      <c r="F475" s="279"/>
      <c r="G475" s="279"/>
      <c r="H475" s="279"/>
      <c r="I475" s="280"/>
    </row>
    <row r="476" spans="1:9">
      <c r="A476" s="195"/>
      <c r="B476" s="233" t="s">
        <v>11351</v>
      </c>
      <c r="C476" s="234"/>
      <c r="D476" s="279">
        <v>0.6</v>
      </c>
      <c r="E476" s="278"/>
      <c r="F476" s="279"/>
      <c r="G476" s="279">
        <v>1</v>
      </c>
      <c r="H476" s="279"/>
      <c r="I476" s="280">
        <f t="shared" ref="I476" si="25">G476</f>
        <v>1</v>
      </c>
    </row>
    <row r="477" spans="1:9">
      <c r="A477" s="196"/>
      <c r="B477" s="193"/>
      <c r="C477" s="192"/>
      <c r="D477" s="272"/>
      <c r="E477" s="272"/>
      <c r="F477" s="272"/>
      <c r="G477" s="273"/>
      <c r="H477" s="273"/>
      <c r="I477" s="274"/>
    </row>
    <row r="478" spans="1:9">
      <c r="A478" s="135"/>
      <c r="B478" s="170"/>
      <c r="C478" s="136"/>
      <c r="D478" s="275"/>
      <c r="E478" s="275"/>
      <c r="F478" s="275"/>
      <c r="G478" s="276"/>
      <c r="H478" s="276"/>
      <c r="I478" s="277"/>
    </row>
    <row r="479" spans="1:9">
      <c r="A479" s="605" t="s">
        <v>10352</v>
      </c>
      <c r="B479" s="256" t="str">
        <f>VLOOKUP(A479,GLOBAL!A:H,4,FALSE)</f>
        <v>ESQUADRIAS METÁLICAS</v>
      </c>
      <c r="C479" s="119"/>
      <c r="D479" s="267"/>
      <c r="E479" s="267"/>
      <c r="F479" s="267"/>
      <c r="G479" s="267"/>
      <c r="H479" s="267"/>
      <c r="I479" s="268"/>
    </row>
    <row r="480" spans="1:9" ht="57.6">
      <c r="A480" s="119" t="s">
        <v>7996</v>
      </c>
      <c r="B480" s="258" t="str">
        <f>VLOOKUP(A480,GLOBAL!A:H,4,FALSE)</f>
        <v>CAIXILHO FIXO DE ALUMÍNIO PARA VIDRO (VIDRO INCLUSO), BATENTE/ REQUADRO DE 4 A 14 CM, SEM GUARNIÇÃO/ ALIZAR, FIXAÇÃO COM PARAFUSOS, VEDAÇÃO COM SILICONE, EXCLUSIVE CONTRAMARCO - FORNECIMENTO E INSTALAÇÃO. AF_11/2024</v>
      </c>
      <c r="C480" s="119" t="str">
        <f>VLOOKUP(A480,GLOBAL!A:H,5,FALSE)</f>
        <v>M2</v>
      </c>
      <c r="D480" s="267" t="s">
        <v>66</v>
      </c>
      <c r="E480" s="267" t="s">
        <v>70</v>
      </c>
      <c r="F480" s="267" t="s">
        <v>67</v>
      </c>
      <c r="G480" s="267" t="s">
        <v>15751</v>
      </c>
      <c r="H480" s="267" t="s">
        <v>35534</v>
      </c>
      <c r="I480" s="268">
        <f>ROUND(SUM(I481:I488),2)</f>
        <v>60</v>
      </c>
    </row>
    <row r="481" spans="1:9">
      <c r="A481" s="194"/>
      <c r="B481" s="187" t="s">
        <v>2874</v>
      </c>
      <c r="C481" s="188"/>
      <c r="D481" s="269"/>
      <c r="E481" s="269"/>
      <c r="F481" s="269"/>
      <c r="G481" s="269"/>
      <c r="H481" s="269"/>
      <c r="I481" s="270"/>
    </row>
    <row r="482" spans="1:9">
      <c r="A482" s="195"/>
      <c r="B482" s="233" t="s">
        <v>35778</v>
      </c>
      <c r="C482" s="234"/>
      <c r="D482" s="658"/>
      <c r="E482" s="659"/>
      <c r="F482" s="641"/>
      <c r="G482" s="279"/>
      <c r="H482" s="279"/>
      <c r="I482" s="280"/>
    </row>
    <row r="483" spans="1:9">
      <c r="A483" s="195"/>
      <c r="B483" s="189" t="s">
        <v>35598</v>
      </c>
      <c r="C483" s="190"/>
      <c r="D483" s="293">
        <v>1</v>
      </c>
      <c r="E483" s="608"/>
      <c r="F483" s="278">
        <v>1.5</v>
      </c>
      <c r="G483" s="271"/>
      <c r="H483" s="271">
        <v>3</v>
      </c>
      <c r="I483" s="259">
        <f>D483*F483*H483</f>
        <v>4.5</v>
      </c>
    </row>
    <row r="484" spans="1:9">
      <c r="A484" s="195"/>
      <c r="B484" s="189" t="s">
        <v>35782</v>
      </c>
      <c r="C484" s="190"/>
      <c r="D484" s="293">
        <v>1</v>
      </c>
      <c r="E484" s="608"/>
      <c r="F484" s="278">
        <v>1.5</v>
      </c>
      <c r="G484" s="271"/>
      <c r="H484" s="271">
        <v>17</v>
      </c>
      <c r="I484" s="259">
        <f>D484*F484*H484</f>
        <v>25.5</v>
      </c>
    </row>
    <row r="485" spans="1:9">
      <c r="A485" s="195"/>
      <c r="B485" s="189" t="s">
        <v>35783</v>
      </c>
      <c r="C485" s="190"/>
      <c r="D485" s="293">
        <v>1</v>
      </c>
      <c r="E485" s="608"/>
      <c r="F485" s="278">
        <v>1.5</v>
      </c>
      <c r="G485" s="271"/>
      <c r="H485" s="271">
        <v>17</v>
      </c>
      <c r="I485" s="259">
        <f>D485*F485*H485</f>
        <v>25.5</v>
      </c>
    </row>
    <row r="486" spans="1:9">
      <c r="A486" s="195"/>
      <c r="B486" s="233" t="s">
        <v>35601</v>
      </c>
      <c r="C486" s="234"/>
      <c r="D486" s="658"/>
      <c r="E486" s="659"/>
      <c r="F486" s="641"/>
      <c r="G486" s="279"/>
      <c r="H486" s="279"/>
      <c r="I486" s="280"/>
    </row>
    <row r="487" spans="1:9">
      <c r="A487" s="195"/>
      <c r="B487" s="189" t="s">
        <v>35598</v>
      </c>
      <c r="C487" s="190"/>
      <c r="D487" s="293">
        <v>1</v>
      </c>
      <c r="E487" s="608"/>
      <c r="F487" s="278">
        <v>1.5</v>
      </c>
      <c r="G487" s="271"/>
      <c r="H487" s="271">
        <v>3</v>
      </c>
      <c r="I487" s="259">
        <f>D487*F487*H487</f>
        <v>4.5</v>
      </c>
    </row>
    <row r="488" spans="1:9">
      <c r="A488" s="196"/>
      <c r="B488" s="193"/>
      <c r="C488" s="192"/>
      <c r="D488" s="272"/>
      <c r="E488" s="272"/>
      <c r="F488" s="272"/>
      <c r="G488" s="273"/>
      <c r="H488" s="273"/>
      <c r="I488" s="274"/>
    </row>
    <row r="489" spans="1:9">
      <c r="A489" s="135"/>
      <c r="B489" s="170"/>
      <c r="C489" s="136"/>
      <c r="D489" s="275"/>
      <c r="E489" s="275"/>
      <c r="F489" s="275"/>
      <c r="G489" s="276"/>
      <c r="H489" s="276"/>
      <c r="I489" s="277"/>
    </row>
    <row r="490" spans="1:9" ht="28.8">
      <c r="A490" s="119" t="s">
        <v>7997</v>
      </c>
      <c r="B490" s="258" t="str">
        <f>VLOOKUP(A490,GLOBAL!A:H,4,FALSE)</f>
        <v>CONTRAMARCO DE ALUMÍNIO, FIXAÇÃO COM ARGAMASSA - FORNECIMENTO E INSTALAÇÃO. AF_11/2024</v>
      </c>
      <c r="C490" s="119" t="str">
        <f>VLOOKUP(A490,GLOBAL!A:H,5,FALSE)</f>
        <v xml:space="preserve">M </v>
      </c>
      <c r="D490" s="267" t="s">
        <v>66</v>
      </c>
      <c r="E490" s="267" t="s">
        <v>70</v>
      </c>
      <c r="F490" s="267" t="s">
        <v>67</v>
      </c>
      <c r="G490" s="267" t="s">
        <v>35534</v>
      </c>
      <c r="H490" s="267" t="s">
        <v>15752</v>
      </c>
      <c r="I490" s="268">
        <f>ROUND(SUM(I491:I498),2)</f>
        <v>320</v>
      </c>
    </row>
    <row r="491" spans="1:9">
      <c r="A491" s="194"/>
      <c r="B491" s="187" t="s">
        <v>2874</v>
      </c>
      <c r="C491" s="188"/>
      <c r="D491" s="269"/>
      <c r="E491" s="269"/>
      <c r="F491" s="269"/>
      <c r="G491" s="269"/>
      <c r="H491" s="269"/>
      <c r="I491" s="270"/>
    </row>
    <row r="492" spans="1:9">
      <c r="A492" s="195"/>
      <c r="B492" s="233" t="s">
        <v>35778</v>
      </c>
      <c r="C492" s="234"/>
      <c r="D492" s="658"/>
      <c r="E492" s="659"/>
      <c r="F492" s="641"/>
      <c r="G492" s="279"/>
      <c r="H492" s="279"/>
      <c r="I492" s="280"/>
    </row>
    <row r="493" spans="1:9">
      <c r="A493" s="195"/>
      <c r="B493" s="189" t="s">
        <v>35598</v>
      </c>
      <c r="C493" s="190"/>
      <c r="D493" s="293">
        <v>1</v>
      </c>
      <c r="E493" s="608"/>
      <c r="F493" s="278">
        <v>3</v>
      </c>
      <c r="G493" s="271"/>
      <c r="H493" s="271">
        <v>3</v>
      </c>
      <c r="I493" s="259">
        <f>(D493+F493)*2*H493</f>
        <v>24</v>
      </c>
    </row>
    <row r="494" spans="1:9">
      <c r="A494" s="195"/>
      <c r="B494" s="189" t="s">
        <v>35782</v>
      </c>
      <c r="C494" s="190"/>
      <c r="D494" s="293">
        <v>1</v>
      </c>
      <c r="E494" s="608"/>
      <c r="F494" s="278">
        <v>3</v>
      </c>
      <c r="G494" s="271"/>
      <c r="H494" s="271">
        <v>17</v>
      </c>
      <c r="I494" s="259">
        <f t="shared" ref="I494:I497" si="26">(D494+F494)*2*H494</f>
        <v>136</v>
      </c>
    </row>
    <row r="495" spans="1:9">
      <c r="A495" s="195"/>
      <c r="B495" s="189" t="s">
        <v>35783</v>
      </c>
      <c r="C495" s="190"/>
      <c r="D495" s="293">
        <v>1</v>
      </c>
      <c r="E495" s="608"/>
      <c r="F495" s="278">
        <v>3</v>
      </c>
      <c r="G495" s="271"/>
      <c r="H495" s="271">
        <v>17</v>
      </c>
      <c r="I495" s="259">
        <f t="shared" si="26"/>
        <v>136</v>
      </c>
    </row>
    <row r="496" spans="1:9">
      <c r="A496" s="195"/>
      <c r="B496" s="233" t="s">
        <v>35601</v>
      </c>
      <c r="C496" s="234"/>
      <c r="D496" s="658"/>
      <c r="E496" s="659"/>
      <c r="F496" s="641"/>
      <c r="G496" s="279"/>
      <c r="H496" s="279"/>
      <c r="I496" s="259">
        <f t="shared" si="26"/>
        <v>0</v>
      </c>
    </row>
    <row r="497" spans="1:9">
      <c r="A497" s="195"/>
      <c r="B497" s="189" t="s">
        <v>35598</v>
      </c>
      <c r="C497" s="190"/>
      <c r="D497" s="293">
        <v>1</v>
      </c>
      <c r="E497" s="608"/>
      <c r="F497" s="278">
        <v>3</v>
      </c>
      <c r="G497" s="271"/>
      <c r="H497" s="271">
        <v>3</v>
      </c>
      <c r="I497" s="259">
        <f t="shared" si="26"/>
        <v>24</v>
      </c>
    </row>
    <row r="498" spans="1:9">
      <c r="A498" s="196"/>
      <c r="B498" s="193"/>
      <c r="C498" s="192"/>
      <c r="D498" s="272"/>
      <c r="E498" s="272"/>
      <c r="F498" s="272"/>
      <c r="G498" s="273"/>
      <c r="H498" s="273"/>
      <c r="I498" s="274"/>
    </row>
    <row r="499" spans="1:9">
      <c r="A499" s="135"/>
      <c r="B499" s="170"/>
      <c r="C499" s="136"/>
      <c r="D499" s="275"/>
      <c r="E499" s="275"/>
      <c r="F499" s="275"/>
      <c r="G499" s="276"/>
      <c r="H499" s="276"/>
      <c r="I499" s="277"/>
    </row>
    <row r="500" spans="1:9" ht="72">
      <c r="A500" s="119" t="s">
        <v>7998</v>
      </c>
      <c r="B500" s="258" t="str">
        <f>VLOOKUP(A500,GLOBAL!A:H,4,FALSE)</f>
        <v>JANELA DE ALUMÍNIO TIPO MAXIM-AR, BATENTE/ REQUADRO 3 A 14 CM, VIDRO INCLUSO, FIXAÇÃO COM PARAFUSO, SEM GUARNIÇÃO/ ALIZAR, DIMENSÕES 60X80 (A X L) CM, SEM ACABAMENTO, VEDAÇÃO COM SILICONE, EXCLUSIVE CONTRAMARCO - FORNECIMENTO E INSTALAÇÃO. AF_11/2024</v>
      </c>
      <c r="C500" s="119" t="str">
        <f>VLOOKUP(A500,GLOBAL!A:H,5,FALSE)</f>
        <v>M2</v>
      </c>
      <c r="D500" s="267" t="s">
        <v>66</v>
      </c>
      <c r="E500" s="267" t="s">
        <v>70</v>
      </c>
      <c r="F500" s="267" t="s">
        <v>67</v>
      </c>
      <c r="G500" s="267" t="s">
        <v>35534</v>
      </c>
      <c r="H500" s="267" t="s">
        <v>15752</v>
      </c>
      <c r="I500" s="268">
        <f>ROUND(SUM(I501:I508),2)</f>
        <v>60</v>
      </c>
    </row>
    <row r="501" spans="1:9">
      <c r="A501" s="194"/>
      <c r="B501" s="187" t="s">
        <v>2874</v>
      </c>
      <c r="C501" s="188"/>
      <c r="D501" s="269"/>
      <c r="E501" s="269"/>
      <c r="F501" s="269"/>
      <c r="G501" s="269"/>
      <c r="H501" s="269"/>
      <c r="I501" s="270"/>
    </row>
    <row r="502" spans="1:9">
      <c r="A502" s="195"/>
      <c r="B502" s="233" t="s">
        <v>35778</v>
      </c>
      <c r="C502" s="234"/>
      <c r="D502" s="658"/>
      <c r="E502" s="659"/>
      <c r="F502" s="641"/>
      <c r="G502" s="279"/>
      <c r="H502" s="279"/>
      <c r="I502" s="280"/>
    </row>
    <row r="503" spans="1:9">
      <c r="A503" s="195"/>
      <c r="B503" s="189" t="s">
        <v>35598</v>
      </c>
      <c r="C503" s="190"/>
      <c r="D503" s="293">
        <v>1</v>
      </c>
      <c r="E503" s="608"/>
      <c r="F503" s="278">
        <v>1.5</v>
      </c>
      <c r="G503" s="271"/>
      <c r="H503" s="271">
        <v>3</v>
      </c>
      <c r="I503" s="259">
        <f>D503*F503*H503</f>
        <v>4.5</v>
      </c>
    </row>
    <row r="504" spans="1:9">
      <c r="A504" s="195"/>
      <c r="B504" s="189" t="s">
        <v>35782</v>
      </c>
      <c r="C504" s="190"/>
      <c r="D504" s="293">
        <v>1</v>
      </c>
      <c r="E504" s="608"/>
      <c r="F504" s="278">
        <v>1.5</v>
      </c>
      <c r="G504" s="271"/>
      <c r="H504" s="271">
        <v>17</v>
      </c>
      <c r="I504" s="259">
        <f>D504*F504*H504</f>
        <v>25.5</v>
      </c>
    </row>
    <row r="505" spans="1:9">
      <c r="A505" s="195"/>
      <c r="B505" s="189" t="s">
        <v>35783</v>
      </c>
      <c r="C505" s="190"/>
      <c r="D505" s="293">
        <v>1</v>
      </c>
      <c r="E505" s="608"/>
      <c r="F505" s="278">
        <v>1.5</v>
      </c>
      <c r="G505" s="271"/>
      <c r="H505" s="271">
        <v>17</v>
      </c>
      <c r="I505" s="259">
        <f>D505*F505*H505</f>
        <v>25.5</v>
      </c>
    </row>
    <row r="506" spans="1:9">
      <c r="A506" s="195"/>
      <c r="B506" s="233" t="s">
        <v>35601</v>
      </c>
      <c r="C506" s="234"/>
      <c r="D506" s="658"/>
      <c r="E506" s="659"/>
      <c r="F506" s="641"/>
      <c r="G506" s="279"/>
      <c r="H506" s="279"/>
      <c r="I506" s="280"/>
    </row>
    <row r="507" spans="1:9">
      <c r="A507" s="195"/>
      <c r="B507" s="189" t="s">
        <v>35598</v>
      </c>
      <c r="C507" s="190"/>
      <c r="D507" s="293">
        <v>1</v>
      </c>
      <c r="E507" s="608"/>
      <c r="F507" s="278">
        <v>1.5</v>
      </c>
      <c r="G507" s="271"/>
      <c r="H507" s="271">
        <v>3</v>
      </c>
      <c r="I507" s="259">
        <f>D507*F507*H507</f>
        <v>4.5</v>
      </c>
    </row>
    <row r="508" spans="1:9">
      <c r="A508" s="196"/>
      <c r="B508" s="193"/>
      <c r="C508" s="192"/>
      <c r="D508" s="272"/>
      <c r="E508" s="272"/>
      <c r="F508" s="272"/>
      <c r="G508" s="273"/>
      <c r="H508" s="273"/>
      <c r="I508" s="274"/>
    </row>
    <row r="509" spans="1:9">
      <c r="A509" s="135"/>
      <c r="B509" s="170"/>
      <c r="C509" s="136"/>
      <c r="D509" s="275"/>
      <c r="E509" s="275"/>
      <c r="F509" s="275"/>
      <c r="G509" s="276"/>
      <c r="H509" s="276"/>
      <c r="I509" s="277"/>
    </row>
    <row r="510" spans="1:9" ht="43.2">
      <c r="A510" s="119" t="s">
        <v>7999</v>
      </c>
      <c r="B510" s="258" t="str">
        <f>VLOOKUP(A510,GLOBAL!A:H,4,FALSE)</f>
        <v>PORTA DE ABRIR COM MOLA HIDRÁULICA, EM VIDRO TEMPERADO, 2 FOLHAS DE 90X210 CM, ESPESSURA DD 10MM, INCLUSIVE ACESSÓRIOS. AF_01/2021</v>
      </c>
      <c r="C510" s="119" t="str">
        <f>VLOOKUP(A510,GLOBAL!A:H,5,FALSE)</f>
        <v xml:space="preserve">UND </v>
      </c>
      <c r="D510" s="267" t="s">
        <v>66</v>
      </c>
      <c r="E510" s="267" t="s">
        <v>70</v>
      </c>
      <c r="F510" s="267" t="s">
        <v>67</v>
      </c>
      <c r="G510" s="267" t="s">
        <v>15751</v>
      </c>
      <c r="H510" s="267" t="s">
        <v>35784</v>
      </c>
      <c r="I510" s="268">
        <f>ROUND(SUM(I511:I518),2)</f>
        <v>10</v>
      </c>
    </row>
    <row r="511" spans="1:9">
      <c r="A511" s="194"/>
      <c r="B511" s="187" t="s">
        <v>2874</v>
      </c>
      <c r="C511" s="188"/>
      <c r="D511" s="269"/>
      <c r="E511" s="269"/>
      <c r="F511" s="269"/>
      <c r="G511" s="269"/>
      <c r="H511" s="269"/>
      <c r="I511" s="270"/>
    </row>
    <row r="512" spans="1:9">
      <c r="A512" s="195"/>
      <c r="B512" s="233" t="s">
        <v>35778</v>
      </c>
      <c r="C512" s="234"/>
      <c r="D512" s="658"/>
      <c r="E512" s="659"/>
      <c r="F512" s="641"/>
      <c r="G512" s="279"/>
      <c r="H512" s="279"/>
      <c r="I512" s="280"/>
    </row>
    <row r="513" spans="1:9">
      <c r="A513" s="195"/>
      <c r="B513" s="189" t="s">
        <v>35598</v>
      </c>
      <c r="C513" s="190"/>
      <c r="D513" s="293"/>
      <c r="E513" s="608"/>
      <c r="F513" s="278"/>
      <c r="G513" s="271"/>
      <c r="H513" s="271">
        <v>5</v>
      </c>
      <c r="I513" s="259">
        <f>H513</f>
        <v>5</v>
      </c>
    </row>
    <row r="514" spans="1:9">
      <c r="A514" s="195"/>
      <c r="B514" s="189" t="s">
        <v>35782</v>
      </c>
      <c r="C514" s="190"/>
      <c r="D514" s="293"/>
      <c r="E514" s="608"/>
      <c r="F514" s="278"/>
      <c r="G514" s="271"/>
      <c r="H514" s="271">
        <v>1</v>
      </c>
      <c r="I514" s="259">
        <f t="shared" ref="I514:I517" si="27">H514</f>
        <v>1</v>
      </c>
    </row>
    <row r="515" spans="1:9">
      <c r="A515" s="195"/>
      <c r="B515" s="189" t="s">
        <v>35783</v>
      </c>
      <c r="C515" s="190"/>
      <c r="D515" s="293"/>
      <c r="E515" s="608"/>
      <c r="F515" s="278"/>
      <c r="G515" s="271"/>
      <c r="H515" s="271">
        <v>1</v>
      </c>
      <c r="I515" s="259">
        <f t="shared" si="27"/>
        <v>1</v>
      </c>
    </row>
    <row r="516" spans="1:9">
      <c r="A516" s="195"/>
      <c r="B516" s="233" t="s">
        <v>35601</v>
      </c>
      <c r="C516" s="234"/>
      <c r="D516" s="658"/>
      <c r="E516" s="659"/>
      <c r="F516" s="641"/>
      <c r="G516" s="279"/>
      <c r="H516" s="279"/>
      <c r="I516" s="259">
        <f t="shared" si="27"/>
        <v>0</v>
      </c>
    </row>
    <row r="517" spans="1:9">
      <c r="A517" s="195"/>
      <c r="B517" s="189" t="s">
        <v>35598</v>
      </c>
      <c r="C517" s="190"/>
      <c r="D517" s="293"/>
      <c r="E517" s="608"/>
      <c r="F517" s="278"/>
      <c r="G517" s="271"/>
      <c r="H517" s="271">
        <v>3</v>
      </c>
      <c r="I517" s="259">
        <f t="shared" si="27"/>
        <v>3</v>
      </c>
    </row>
    <row r="518" spans="1:9">
      <c r="A518" s="196"/>
      <c r="B518" s="193"/>
      <c r="C518" s="192"/>
      <c r="D518" s="272"/>
      <c r="E518" s="272"/>
      <c r="F518" s="272"/>
      <c r="G518" s="273"/>
      <c r="H518" s="273"/>
      <c r="I518" s="274"/>
    </row>
    <row r="519" spans="1:9">
      <c r="A519" s="135"/>
      <c r="B519" s="170"/>
      <c r="C519" s="136"/>
      <c r="D519" s="275"/>
      <c r="E519" s="275"/>
      <c r="F519" s="275"/>
      <c r="G519" s="276"/>
      <c r="H519" s="276"/>
      <c r="I519" s="277"/>
    </row>
    <row r="520" spans="1:9" ht="43.2">
      <c r="A520" s="119" t="s">
        <v>8011</v>
      </c>
      <c r="B520" s="258" t="str">
        <f>VLOOKUP(A520,GLOBAL!A:H,4,FALSE)</f>
        <v>FACHADA CORTINA EM VIDRO NO SISTEMA STICK, CONSIDERANDO MODULAÇÃO DE 1,25 X 3,20 M, COM ABERTURA, ACABAMENTO ANODIZADO OU PINTADO - FORNECIMENTO E INSTALAÇÃO. AF_06/2022</v>
      </c>
      <c r="C520" s="119" t="str">
        <f>VLOOKUP(A520,GLOBAL!A:H,5,FALSE)</f>
        <v>M2</v>
      </c>
      <c r="D520" s="267" t="s">
        <v>66</v>
      </c>
      <c r="E520" s="267" t="s">
        <v>70</v>
      </c>
      <c r="F520" s="267" t="s">
        <v>67</v>
      </c>
      <c r="G520" s="267" t="s">
        <v>35534</v>
      </c>
      <c r="H520" s="267" t="s">
        <v>15752</v>
      </c>
      <c r="I520" s="268">
        <f>ROUND(SUM(I521:I526),2)</f>
        <v>261.25</v>
      </c>
    </row>
    <row r="521" spans="1:9">
      <c r="A521" s="194"/>
      <c r="B521" s="187" t="s">
        <v>2874</v>
      </c>
      <c r="C521" s="188"/>
      <c r="D521" s="269"/>
      <c r="E521" s="269"/>
      <c r="F521" s="269"/>
      <c r="G521" s="269"/>
      <c r="H521" s="269"/>
      <c r="I521" s="270"/>
    </row>
    <row r="522" spans="1:9">
      <c r="A522" s="195"/>
      <c r="B522" s="189" t="s">
        <v>35778</v>
      </c>
      <c r="C522" s="190"/>
      <c r="D522" s="293">
        <v>4.8499999999999996</v>
      </c>
      <c r="E522" s="608">
        <v>4.95</v>
      </c>
      <c r="F522" s="278">
        <v>11</v>
      </c>
      <c r="G522" s="271"/>
      <c r="H522" s="271"/>
      <c r="I522" s="259">
        <f>(D522*F522)+(E522*F522)</f>
        <v>107.8</v>
      </c>
    </row>
    <row r="523" spans="1:9">
      <c r="A523" s="195"/>
      <c r="B523" s="189" t="s">
        <v>35778</v>
      </c>
      <c r="C523" s="190"/>
      <c r="D523" s="293">
        <v>5.75</v>
      </c>
      <c r="E523" s="608">
        <v>0</v>
      </c>
      <c r="F523" s="278">
        <v>3</v>
      </c>
      <c r="G523" s="271"/>
      <c r="H523" s="271"/>
      <c r="I523" s="259">
        <f>(D523*F523)+(E523*F523)</f>
        <v>17.25</v>
      </c>
    </row>
    <row r="524" spans="1:9">
      <c r="A524" s="195"/>
      <c r="B524" s="189" t="s">
        <v>35778</v>
      </c>
      <c r="C524" s="190"/>
      <c r="D524" s="293">
        <v>18.5</v>
      </c>
      <c r="E524" s="608">
        <v>0</v>
      </c>
      <c r="F524" s="278">
        <v>3</v>
      </c>
      <c r="G524" s="271"/>
      <c r="H524" s="271"/>
      <c r="I524" s="259">
        <f>(D524*F524)+(E524*F524)</f>
        <v>55.5</v>
      </c>
    </row>
    <row r="525" spans="1:9">
      <c r="A525" s="195"/>
      <c r="B525" s="189" t="s">
        <v>35785</v>
      </c>
      <c r="C525" s="190"/>
      <c r="D525" s="293">
        <v>13.45</v>
      </c>
      <c r="E525" s="608"/>
      <c r="F525" s="278">
        <v>3</v>
      </c>
      <c r="G525" s="271">
        <v>2</v>
      </c>
      <c r="H525" s="271"/>
      <c r="I525" s="259">
        <f>D525*F525*G525</f>
        <v>80.699999999999989</v>
      </c>
    </row>
    <row r="526" spans="1:9">
      <c r="A526" s="196"/>
      <c r="B526" s="193"/>
      <c r="C526" s="192"/>
      <c r="D526" s="272"/>
      <c r="E526" s="272"/>
      <c r="F526" s="272"/>
      <c r="G526" s="273"/>
      <c r="H526" s="273"/>
      <c r="I526" s="274"/>
    </row>
    <row r="527" spans="1:9">
      <c r="A527" s="135"/>
      <c r="B527" s="170"/>
      <c r="C527" s="136"/>
      <c r="D527" s="275"/>
      <c r="E527" s="275"/>
      <c r="F527" s="275"/>
      <c r="G527" s="276"/>
      <c r="H527" s="276"/>
      <c r="I527" s="277"/>
    </row>
    <row r="528" spans="1:9" ht="43.2">
      <c r="A528" s="119" t="s">
        <v>9662</v>
      </c>
      <c r="B528" s="258" t="str">
        <f>VLOOKUP(A528,GLOBAL!A:H,4,FALSE)</f>
        <v>PORTA DE ABRIR TIPO VENEZIANA EM ALUMÍNIO ANODIZADO, LINHA 25, COMPLETA, INCL. PUXADOR COM TRANCA, CAIXILHO, ALIZAR E CONTRAMARCO</v>
      </c>
      <c r="C528" s="119" t="str">
        <f>VLOOKUP(A528,GLOBAL!A:H,5,FALSE)</f>
        <v>M2</v>
      </c>
      <c r="D528" s="267" t="s">
        <v>66</v>
      </c>
      <c r="E528" s="267" t="s">
        <v>70</v>
      </c>
      <c r="F528" s="267" t="s">
        <v>67</v>
      </c>
      <c r="G528" s="267" t="s">
        <v>35534</v>
      </c>
      <c r="H528" s="267" t="s">
        <v>15752</v>
      </c>
      <c r="I528" s="268">
        <f>ROUND(SUM(I529:I557),2)</f>
        <v>77.040000000000006</v>
      </c>
    </row>
    <row r="529" spans="1:9">
      <c r="A529" s="194"/>
      <c r="B529" s="187" t="s">
        <v>2874</v>
      </c>
      <c r="C529" s="188"/>
      <c r="D529" s="269"/>
      <c r="E529" s="269"/>
      <c r="F529" s="269"/>
      <c r="G529" s="269"/>
      <c r="H529" s="269"/>
      <c r="I529" s="270"/>
    </row>
    <row r="530" spans="1:9">
      <c r="A530" s="195"/>
      <c r="B530" s="189" t="s">
        <v>35778</v>
      </c>
      <c r="C530" s="190"/>
      <c r="D530" s="293"/>
      <c r="E530" s="608"/>
      <c r="F530" s="278"/>
      <c r="G530" s="271"/>
      <c r="H530" s="271"/>
      <c r="I530" s="259"/>
    </row>
    <row r="531" spans="1:9">
      <c r="A531" s="195"/>
      <c r="B531" s="189" t="s">
        <v>35787</v>
      </c>
      <c r="C531" s="190"/>
      <c r="D531" s="293"/>
      <c r="E531" s="608"/>
      <c r="F531" s="278"/>
      <c r="G531" s="271"/>
      <c r="H531" s="271"/>
      <c r="I531" s="259"/>
    </row>
    <row r="532" spans="1:9">
      <c r="A532" s="195"/>
      <c r="B532" s="189" t="s">
        <v>35587</v>
      </c>
      <c r="C532" s="190"/>
      <c r="D532" s="293">
        <v>0.8</v>
      </c>
      <c r="E532" s="608"/>
      <c r="F532" s="278">
        <v>2.1</v>
      </c>
      <c r="G532" s="271">
        <v>1</v>
      </c>
      <c r="H532" s="271"/>
      <c r="I532" s="259">
        <f>(D532*F532*G532)</f>
        <v>1.6800000000000002</v>
      </c>
    </row>
    <row r="533" spans="1:9">
      <c r="A533" s="195"/>
      <c r="B533" s="189" t="s">
        <v>35587</v>
      </c>
      <c r="C533" s="190"/>
      <c r="D533" s="293">
        <v>0.8</v>
      </c>
      <c r="E533" s="608"/>
      <c r="F533" s="278">
        <v>1.8</v>
      </c>
      <c r="G533" s="271">
        <v>4</v>
      </c>
      <c r="H533" s="271"/>
      <c r="I533" s="259">
        <f t="shared" ref="I533:I537" si="28">(D533*F533*G533)</f>
        <v>5.7600000000000007</v>
      </c>
    </row>
    <row r="534" spans="1:9">
      <c r="A534" s="195"/>
      <c r="B534" s="189" t="s">
        <v>35632</v>
      </c>
      <c r="C534" s="190"/>
      <c r="D534" s="293">
        <v>0.8</v>
      </c>
      <c r="E534" s="608"/>
      <c r="F534" s="278">
        <v>2.1</v>
      </c>
      <c r="G534" s="271">
        <v>1</v>
      </c>
      <c r="H534" s="271"/>
      <c r="I534" s="259">
        <f t="shared" si="28"/>
        <v>1.6800000000000002</v>
      </c>
    </row>
    <row r="535" spans="1:9">
      <c r="A535" s="195"/>
      <c r="B535" s="189" t="s">
        <v>35632</v>
      </c>
      <c r="C535" s="190"/>
      <c r="D535" s="293">
        <v>0.8</v>
      </c>
      <c r="E535" s="608"/>
      <c r="F535" s="278">
        <v>1.8</v>
      </c>
      <c r="G535" s="271">
        <v>6</v>
      </c>
      <c r="H535" s="271"/>
      <c r="I535" s="259">
        <f t="shared" si="28"/>
        <v>8.64</v>
      </c>
    </row>
    <row r="536" spans="1:9">
      <c r="A536" s="195"/>
      <c r="B536" s="189" t="s">
        <v>35588</v>
      </c>
      <c r="C536" s="190"/>
      <c r="D536" s="293">
        <v>0.8</v>
      </c>
      <c r="E536" s="608"/>
      <c r="F536" s="278">
        <v>2.1</v>
      </c>
      <c r="G536" s="271">
        <v>1</v>
      </c>
      <c r="H536" s="271"/>
      <c r="I536" s="259">
        <f t="shared" si="28"/>
        <v>1.6800000000000002</v>
      </c>
    </row>
    <row r="537" spans="1:9">
      <c r="A537" s="195"/>
      <c r="B537" s="189" t="s">
        <v>35786</v>
      </c>
      <c r="C537" s="190"/>
      <c r="D537" s="293">
        <v>0.8</v>
      </c>
      <c r="E537" s="608"/>
      <c r="F537" s="278">
        <v>2.1</v>
      </c>
      <c r="G537" s="271">
        <v>2</v>
      </c>
      <c r="H537" s="271"/>
      <c r="I537" s="259">
        <f t="shared" si="28"/>
        <v>3.3600000000000003</v>
      </c>
    </row>
    <row r="538" spans="1:9">
      <c r="A538" s="195"/>
      <c r="B538" s="189" t="s">
        <v>35599</v>
      </c>
      <c r="C538" s="190"/>
      <c r="D538" s="293"/>
      <c r="E538" s="608"/>
      <c r="F538" s="278"/>
      <c r="G538" s="271"/>
      <c r="H538" s="271"/>
      <c r="I538" s="259"/>
    </row>
    <row r="539" spans="1:9">
      <c r="A539" s="195"/>
      <c r="B539" s="189" t="s">
        <v>35587</v>
      </c>
      <c r="C539" s="190"/>
      <c r="D539" s="293">
        <v>0.8</v>
      </c>
      <c r="E539" s="608"/>
      <c r="F539" s="278">
        <v>2.1</v>
      </c>
      <c r="G539" s="271">
        <v>1</v>
      </c>
      <c r="H539" s="271"/>
      <c r="I539" s="259">
        <f>(D539*F539*G539)</f>
        <v>1.6800000000000002</v>
      </c>
    </row>
    <row r="540" spans="1:9">
      <c r="A540" s="195"/>
      <c r="B540" s="189" t="s">
        <v>35587</v>
      </c>
      <c r="C540" s="190"/>
      <c r="D540" s="293">
        <v>0.8</v>
      </c>
      <c r="E540" s="608"/>
      <c r="F540" s="278">
        <v>1.8</v>
      </c>
      <c r="G540" s="271">
        <v>4</v>
      </c>
      <c r="H540" s="271"/>
      <c r="I540" s="259">
        <f t="shared" ref="I540:I543" si="29">(D540*F540*G540)</f>
        <v>5.7600000000000007</v>
      </c>
    </row>
    <row r="541" spans="1:9">
      <c r="A541" s="195"/>
      <c r="B541" s="189" t="s">
        <v>35632</v>
      </c>
      <c r="C541" s="190"/>
      <c r="D541" s="293">
        <v>0.8</v>
      </c>
      <c r="E541" s="608"/>
      <c r="F541" s="278">
        <v>2.1</v>
      </c>
      <c r="G541" s="271">
        <v>1</v>
      </c>
      <c r="H541" s="271"/>
      <c r="I541" s="259">
        <f t="shared" si="29"/>
        <v>1.6800000000000002</v>
      </c>
    </row>
    <row r="542" spans="1:9">
      <c r="A542" s="195"/>
      <c r="B542" s="189" t="s">
        <v>35632</v>
      </c>
      <c r="C542" s="190"/>
      <c r="D542" s="293">
        <v>0.8</v>
      </c>
      <c r="E542" s="608"/>
      <c r="F542" s="278">
        <v>1.8</v>
      </c>
      <c r="G542" s="271">
        <v>6</v>
      </c>
      <c r="H542" s="271"/>
      <c r="I542" s="259">
        <f t="shared" si="29"/>
        <v>8.64</v>
      </c>
    </row>
    <row r="543" spans="1:9">
      <c r="A543" s="195"/>
      <c r="B543" s="189" t="s">
        <v>35588</v>
      </c>
      <c r="C543" s="190"/>
      <c r="D543" s="293">
        <v>0.8</v>
      </c>
      <c r="E543" s="608"/>
      <c r="F543" s="278">
        <v>2.1</v>
      </c>
      <c r="G543" s="271">
        <v>1</v>
      </c>
      <c r="H543" s="271"/>
      <c r="I543" s="259">
        <f t="shared" si="29"/>
        <v>1.6800000000000002</v>
      </c>
    </row>
    <row r="544" spans="1:9">
      <c r="A544" s="195"/>
      <c r="B544" s="189" t="s">
        <v>35600</v>
      </c>
      <c r="C544" s="190"/>
      <c r="D544" s="293"/>
      <c r="E544" s="608"/>
      <c r="F544" s="278"/>
      <c r="G544" s="271"/>
      <c r="H544" s="271"/>
      <c r="I544" s="259"/>
    </row>
    <row r="545" spans="1:9">
      <c r="A545" s="195"/>
      <c r="B545" s="189" t="s">
        <v>35587</v>
      </c>
      <c r="C545" s="190"/>
      <c r="D545" s="293">
        <v>0.8</v>
      </c>
      <c r="E545" s="608"/>
      <c r="F545" s="278">
        <v>2.1</v>
      </c>
      <c r="G545" s="271">
        <v>1</v>
      </c>
      <c r="H545" s="271"/>
      <c r="I545" s="259">
        <f>(D545*F545*G545)</f>
        <v>1.6800000000000002</v>
      </c>
    </row>
    <row r="546" spans="1:9">
      <c r="A546" s="195"/>
      <c r="B546" s="189" t="s">
        <v>35587</v>
      </c>
      <c r="C546" s="190"/>
      <c r="D546" s="293">
        <v>0.8</v>
      </c>
      <c r="E546" s="608"/>
      <c r="F546" s="278">
        <v>1.8</v>
      </c>
      <c r="G546" s="271">
        <v>4</v>
      </c>
      <c r="H546" s="271"/>
      <c r="I546" s="259">
        <f t="shared" ref="I546:I549" si="30">(D546*F546*G546)</f>
        <v>5.7600000000000007</v>
      </c>
    </row>
    <row r="547" spans="1:9">
      <c r="A547" s="195"/>
      <c r="B547" s="189" t="s">
        <v>35632</v>
      </c>
      <c r="C547" s="190"/>
      <c r="D547" s="293">
        <v>0.8</v>
      </c>
      <c r="E547" s="608"/>
      <c r="F547" s="278">
        <v>2.1</v>
      </c>
      <c r="G547" s="271">
        <v>1</v>
      </c>
      <c r="H547" s="271"/>
      <c r="I547" s="259">
        <f t="shared" si="30"/>
        <v>1.6800000000000002</v>
      </c>
    </row>
    <row r="548" spans="1:9">
      <c r="A548" s="195"/>
      <c r="B548" s="189" t="s">
        <v>35632</v>
      </c>
      <c r="C548" s="190"/>
      <c r="D548" s="293">
        <v>0.8</v>
      </c>
      <c r="E548" s="608"/>
      <c r="F548" s="278">
        <v>1.8</v>
      </c>
      <c r="G548" s="271">
        <v>6</v>
      </c>
      <c r="H548" s="271"/>
      <c r="I548" s="259">
        <f t="shared" si="30"/>
        <v>8.64</v>
      </c>
    </row>
    <row r="549" spans="1:9">
      <c r="A549" s="195"/>
      <c r="B549" s="189" t="s">
        <v>35588</v>
      </c>
      <c r="C549" s="190"/>
      <c r="D549" s="293">
        <v>0.8</v>
      </c>
      <c r="E549" s="608"/>
      <c r="F549" s="278">
        <v>2.1</v>
      </c>
      <c r="G549" s="271">
        <v>1</v>
      </c>
      <c r="H549" s="271"/>
      <c r="I549" s="259">
        <f t="shared" si="30"/>
        <v>1.6800000000000002</v>
      </c>
    </row>
    <row r="550" spans="1:9">
      <c r="A550" s="195"/>
      <c r="B550" s="189" t="s">
        <v>35785</v>
      </c>
      <c r="C550" s="190"/>
      <c r="D550" s="293"/>
      <c r="E550" s="608"/>
      <c r="F550" s="278"/>
      <c r="G550" s="271"/>
      <c r="H550" s="271"/>
      <c r="I550" s="259"/>
    </row>
    <row r="551" spans="1:9">
      <c r="A551" s="195"/>
      <c r="B551" s="189" t="s">
        <v>35787</v>
      </c>
      <c r="C551" s="190"/>
      <c r="D551" s="293"/>
      <c r="E551" s="608"/>
      <c r="F551" s="278"/>
      <c r="G551" s="271"/>
      <c r="H551" s="271"/>
      <c r="I551" s="259"/>
    </row>
    <row r="552" spans="1:9">
      <c r="A552" s="195"/>
      <c r="B552" s="189" t="s">
        <v>35587</v>
      </c>
      <c r="C552" s="190"/>
      <c r="D552" s="293">
        <v>0.8</v>
      </c>
      <c r="E552" s="608"/>
      <c r="F552" s="278">
        <v>2.1</v>
      </c>
      <c r="G552" s="271">
        <v>1</v>
      </c>
      <c r="H552" s="271"/>
      <c r="I552" s="259">
        <f>(D552*F552*G552)</f>
        <v>1.6800000000000002</v>
      </c>
    </row>
    <row r="553" spans="1:9">
      <c r="A553" s="195"/>
      <c r="B553" s="189" t="s">
        <v>35587</v>
      </c>
      <c r="C553" s="190"/>
      <c r="D553" s="293">
        <v>0.8</v>
      </c>
      <c r="E553" s="608"/>
      <c r="F553" s="278">
        <v>1.8</v>
      </c>
      <c r="G553" s="271">
        <v>2</v>
      </c>
      <c r="H553" s="271"/>
      <c r="I553" s="259">
        <f t="shared" ref="I553:I556" si="31">(D553*F553*G553)</f>
        <v>2.8800000000000003</v>
      </c>
    </row>
    <row r="554" spans="1:9">
      <c r="A554" s="195"/>
      <c r="B554" s="189" t="s">
        <v>35632</v>
      </c>
      <c r="C554" s="190"/>
      <c r="D554" s="293">
        <v>0.8</v>
      </c>
      <c r="E554" s="608"/>
      <c r="F554" s="278">
        <v>2.1</v>
      </c>
      <c r="G554" s="271">
        <v>1</v>
      </c>
      <c r="H554" s="271"/>
      <c r="I554" s="259">
        <f t="shared" si="31"/>
        <v>1.6800000000000002</v>
      </c>
    </row>
    <row r="555" spans="1:9">
      <c r="A555" s="195"/>
      <c r="B555" s="189" t="s">
        <v>35632</v>
      </c>
      <c r="C555" s="190"/>
      <c r="D555" s="293">
        <v>0.8</v>
      </c>
      <c r="E555" s="608"/>
      <c r="F555" s="278">
        <v>1.8</v>
      </c>
      <c r="G555" s="271">
        <v>4</v>
      </c>
      <c r="H555" s="271"/>
      <c r="I555" s="259">
        <f t="shared" si="31"/>
        <v>5.7600000000000007</v>
      </c>
    </row>
    <row r="556" spans="1:9">
      <c r="A556" s="195"/>
      <c r="B556" s="189" t="s">
        <v>35788</v>
      </c>
      <c r="C556" s="190"/>
      <c r="D556" s="293">
        <v>0.8</v>
      </c>
      <c r="E556" s="608"/>
      <c r="F556" s="278">
        <v>2.1</v>
      </c>
      <c r="G556" s="271">
        <v>2</v>
      </c>
      <c r="H556" s="271"/>
      <c r="I556" s="259">
        <f t="shared" si="31"/>
        <v>3.3600000000000003</v>
      </c>
    </row>
    <row r="557" spans="1:9">
      <c r="A557" s="196"/>
      <c r="B557" s="193"/>
      <c r="C557" s="192"/>
      <c r="D557" s="272"/>
      <c r="E557" s="272"/>
      <c r="F557" s="272"/>
      <c r="G557" s="273"/>
      <c r="H557" s="273"/>
      <c r="I557" s="274"/>
    </row>
    <row r="558" spans="1:9">
      <c r="A558" s="135"/>
      <c r="B558" s="170"/>
      <c r="C558" s="136"/>
      <c r="D558" s="275"/>
      <c r="E558" s="275"/>
      <c r="F558" s="275"/>
      <c r="G558" s="276"/>
      <c r="H558" s="276"/>
      <c r="I558" s="277"/>
    </row>
    <row r="559" spans="1:9" ht="43.2">
      <c r="A559" s="119" t="s">
        <v>9702</v>
      </c>
      <c r="B559" s="258" t="str">
        <f>VLOOKUP(A559,GLOBAL!A:H,4,FALSE)</f>
        <v>BRISE EM ALUMÍNIO TUBULAR, COR BRONZE 1002, COM FECHAMENTO EM TUBINHOS HORIZONTAIS, COM ESTRUTURA AUXILIAR DE ALUMÍNIO, COM TUBOS DE 2 X 1.1/2, CONFORME PROJETO.</v>
      </c>
      <c r="C559" s="119" t="str">
        <f>VLOOKUP(A559,GLOBAL!A:H,5,FALSE)</f>
        <v>M2</v>
      </c>
      <c r="D559" s="267" t="s">
        <v>66</v>
      </c>
      <c r="E559" s="267" t="s">
        <v>70</v>
      </c>
      <c r="F559" s="267" t="s">
        <v>67</v>
      </c>
      <c r="G559" s="267" t="s">
        <v>35534</v>
      </c>
      <c r="H559" s="267" t="s">
        <v>15752</v>
      </c>
      <c r="I559" s="268">
        <f>ROUND(SUM(I560:I562),2)</f>
        <v>428.61</v>
      </c>
    </row>
    <row r="560" spans="1:9">
      <c r="A560" s="194"/>
      <c r="B560" s="187" t="s">
        <v>2874</v>
      </c>
      <c r="C560" s="188"/>
      <c r="D560" s="269"/>
      <c r="E560" s="269"/>
      <c r="F560" s="269"/>
      <c r="G560" s="269"/>
      <c r="H560" s="269"/>
      <c r="I560" s="270"/>
    </row>
    <row r="561" spans="1:9">
      <c r="A561" s="195"/>
      <c r="B561" s="189" t="s">
        <v>35785</v>
      </c>
      <c r="C561" s="190"/>
      <c r="D561" s="293">
        <v>32</v>
      </c>
      <c r="E561" s="608">
        <v>15.1</v>
      </c>
      <c r="F561" s="278">
        <v>4.55</v>
      </c>
      <c r="G561" s="271">
        <v>1</v>
      </c>
      <c r="H561" s="271"/>
      <c r="I561" s="259">
        <f>(D561+E561)*2*F561</f>
        <v>428.61</v>
      </c>
    </row>
    <row r="562" spans="1:9">
      <c r="A562" s="196"/>
      <c r="B562" s="193"/>
      <c r="C562" s="192"/>
      <c r="D562" s="272"/>
      <c r="E562" s="272"/>
      <c r="F562" s="272"/>
      <c r="G562" s="273"/>
      <c r="H562" s="273"/>
      <c r="I562" s="274"/>
    </row>
    <row r="563" spans="1:9">
      <c r="A563" s="135"/>
      <c r="B563" s="170"/>
      <c r="C563" s="136"/>
      <c r="D563" s="275"/>
      <c r="E563" s="275"/>
      <c r="F563" s="275"/>
      <c r="G563" s="276"/>
      <c r="H563" s="276"/>
      <c r="I563" s="277"/>
    </row>
    <row r="564" spans="1:9">
      <c r="A564" s="605" t="s">
        <v>27411</v>
      </c>
      <c r="B564" s="256" t="str">
        <f>VLOOKUP(A564,GLOBAL!A:H,4,FALSE)</f>
        <v>ESPELHOS/VIDROS</v>
      </c>
      <c r="C564" s="119"/>
      <c r="D564" s="267"/>
      <c r="E564" s="267"/>
      <c r="F564" s="267"/>
      <c r="G564" s="267"/>
      <c r="H564" s="267"/>
      <c r="I564" s="268"/>
    </row>
    <row r="565" spans="1:9" ht="43.2">
      <c r="A565" s="119" t="s">
        <v>9663</v>
      </c>
      <c r="B565" s="258" t="str">
        <f>VLOOKUP(A565,GLOBAL!A:H,4,FALSE)</f>
        <v>ESPELHO ESPESSURA 4 MM, INCLUINDO CHAPA COMPENSADA 6MM, MOLDURA DE PEÇA DE MADEIRA 7X2.5CM FIXADA COM PARAFUSO E BUCHA CONFORME DETALHE EM PROJETO</v>
      </c>
      <c r="C565" s="119" t="str">
        <f>VLOOKUP(A565,GLOBAL!A:H,5,FALSE)</f>
        <v>M2</v>
      </c>
      <c r="D565" s="267" t="s">
        <v>66</v>
      </c>
      <c r="E565" s="267" t="s">
        <v>70</v>
      </c>
      <c r="F565" s="267" t="s">
        <v>67</v>
      </c>
      <c r="G565" s="267" t="s">
        <v>15751</v>
      </c>
      <c r="H565" s="267" t="s">
        <v>15752</v>
      </c>
      <c r="I565" s="268">
        <f>ROUND(SUM(I566:I583),2)</f>
        <v>49.33</v>
      </c>
    </row>
    <row r="566" spans="1:9">
      <c r="A566" s="194"/>
      <c r="B566" s="187" t="s">
        <v>2874</v>
      </c>
      <c r="C566" s="188"/>
      <c r="D566" s="269"/>
      <c r="E566" s="269"/>
      <c r="F566" s="269"/>
      <c r="G566" s="269"/>
      <c r="H566" s="269"/>
      <c r="I566" s="270"/>
    </row>
    <row r="567" spans="1:9">
      <c r="A567" s="195"/>
      <c r="B567" s="189" t="s">
        <v>35778</v>
      </c>
      <c r="C567" s="190"/>
      <c r="D567" s="293"/>
      <c r="E567" s="608"/>
      <c r="F567" s="278"/>
      <c r="G567" s="271"/>
      <c r="H567" s="271"/>
      <c r="I567" s="259">
        <f>D567*F567*G567</f>
        <v>0</v>
      </c>
    </row>
    <row r="568" spans="1:9">
      <c r="A568" s="195"/>
      <c r="B568" s="189" t="s">
        <v>35787</v>
      </c>
      <c r="C568" s="190"/>
      <c r="D568" s="293"/>
      <c r="E568" s="608"/>
      <c r="F568" s="278"/>
      <c r="G568" s="271"/>
      <c r="H568" s="271"/>
      <c r="I568" s="259"/>
    </row>
    <row r="569" spans="1:9">
      <c r="A569" s="195"/>
      <c r="B569" s="189" t="s">
        <v>35587</v>
      </c>
      <c r="C569" s="190"/>
      <c r="D569" s="293">
        <v>2.5</v>
      </c>
      <c r="E569" s="608"/>
      <c r="F569" s="278">
        <v>1.8</v>
      </c>
      <c r="G569" s="271"/>
      <c r="H569" s="271"/>
      <c r="I569" s="259">
        <f>D569*F569</f>
        <v>4.5</v>
      </c>
    </row>
    <row r="570" spans="1:9">
      <c r="A570" s="195"/>
      <c r="B570" s="189" t="s">
        <v>35632</v>
      </c>
      <c r="C570" s="190"/>
      <c r="D570" s="293">
        <v>2.5</v>
      </c>
      <c r="E570" s="608"/>
      <c r="F570" s="278">
        <v>1.8</v>
      </c>
      <c r="G570" s="271"/>
      <c r="H570" s="271"/>
      <c r="I570" s="259">
        <f t="shared" ref="I570:I571" si="32">D570*F570</f>
        <v>4.5</v>
      </c>
    </row>
    <row r="571" spans="1:9">
      <c r="A571" s="195"/>
      <c r="B571" s="189" t="s">
        <v>35633</v>
      </c>
      <c r="C571" s="190"/>
      <c r="D571" s="293">
        <v>1.5</v>
      </c>
      <c r="E571" s="608"/>
      <c r="F571" s="278">
        <v>1.8</v>
      </c>
      <c r="G571" s="271"/>
      <c r="H571" s="271"/>
      <c r="I571" s="259">
        <f t="shared" si="32"/>
        <v>2.7</v>
      </c>
    </row>
    <row r="572" spans="1:9">
      <c r="A572" s="195"/>
      <c r="B572" s="189" t="s">
        <v>35599</v>
      </c>
      <c r="C572" s="190"/>
      <c r="D572" s="293"/>
      <c r="E572" s="608"/>
      <c r="F572" s="278"/>
      <c r="G572" s="271"/>
      <c r="H572" s="271"/>
      <c r="I572" s="259"/>
    </row>
    <row r="573" spans="1:9">
      <c r="A573" s="195"/>
      <c r="B573" s="189" t="s">
        <v>35587</v>
      </c>
      <c r="C573" s="190"/>
      <c r="D573" s="293">
        <v>2.5</v>
      </c>
      <c r="E573" s="608"/>
      <c r="F573" s="278">
        <v>1.8</v>
      </c>
      <c r="G573" s="271"/>
      <c r="H573" s="271"/>
      <c r="I573" s="259">
        <f>D573*F573</f>
        <v>4.5</v>
      </c>
    </row>
    <row r="574" spans="1:9">
      <c r="A574" s="195"/>
      <c r="B574" s="189" t="s">
        <v>35632</v>
      </c>
      <c r="C574" s="190"/>
      <c r="D574" s="293">
        <v>2.5</v>
      </c>
      <c r="E574" s="608"/>
      <c r="F574" s="278">
        <v>1.8</v>
      </c>
      <c r="G574" s="271"/>
      <c r="H574" s="271"/>
      <c r="I574" s="259">
        <f t="shared" ref="I574:I575" si="33">D574*F574</f>
        <v>4.5</v>
      </c>
    </row>
    <row r="575" spans="1:9">
      <c r="A575" s="195"/>
      <c r="B575" s="189" t="s">
        <v>35633</v>
      </c>
      <c r="C575" s="190"/>
      <c r="D575" s="293">
        <v>1.5</v>
      </c>
      <c r="E575" s="608"/>
      <c r="F575" s="278">
        <v>1.8</v>
      </c>
      <c r="G575" s="271"/>
      <c r="H575" s="271"/>
      <c r="I575" s="259">
        <f t="shared" si="33"/>
        <v>2.7</v>
      </c>
    </row>
    <row r="576" spans="1:9">
      <c r="A576" s="195"/>
      <c r="B576" s="189" t="s">
        <v>35600</v>
      </c>
      <c r="C576" s="190"/>
      <c r="D576" s="293"/>
      <c r="E576" s="608"/>
      <c r="F576" s="278"/>
      <c r="G576" s="271"/>
      <c r="H576" s="271"/>
      <c r="I576" s="259"/>
    </row>
    <row r="577" spans="1:9">
      <c r="A577" s="195"/>
      <c r="B577" s="189" t="s">
        <v>35587</v>
      </c>
      <c r="C577" s="190"/>
      <c r="D577" s="293">
        <v>2.5</v>
      </c>
      <c r="E577" s="608"/>
      <c r="F577" s="278">
        <v>1.8</v>
      </c>
      <c r="G577" s="271"/>
      <c r="H577" s="271"/>
      <c r="I577" s="259">
        <f>D577*F577</f>
        <v>4.5</v>
      </c>
    </row>
    <row r="578" spans="1:9">
      <c r="A578" s="195"/>
      <c r="B578" s="189" t="s">
        <v>35632</v>
      </c>
      <c r="C578" s="190"/>
      <c r="D578" s="293">
        <v>2.5</v>
      </c>
      <c r="E578" s="608"/>
      <c r="F578" s="278">
        <v>1.8</v>
      </c>
      <c r="G578" s="271"/>
      <c r="H578" s="271"/>
      <c r="I578" s="259">
        <f t="shared" ref="I578:I579" si="34">D578*F578</f>
        <v>4.5</v>
      </c>
    </row>
    <row r="579" spans="1:9">
      <c r="A579" s="195"/>
      <c r="B579" s="189" t="s">
        <v>35633</v>
      </c>
      <c r="C579" s="190"/>
      <c r="D579" s="293">
        <v>1.5</v>
      </c>
      <c r="E579" s="608"/>
      <c r="F579" s="278">
        <v>1.8</v>
      </c>
      <c r="G579" s="271"/>
      <c r="H579" s="271"/>
      <c r="I579" s="259">
        <f t="shared" si="34"/>
        <v>2.7</v>
      </c>
    </row>
    <row r="580" spans="1:9">
      <c r="A580" s="195"/>
      <c r="B580" s="189" t="s">
        <v>35785</v>
      </c>
      <c r="C580" s="190"/>
      <c r="D580" s="293"/>
      <c r="E580" s="608"/>
      <c r="F580" s="278"/>
      <c r="G580" s="271"/>
      <c r="H580" s="271"/>
      <c r="I580" s="259">
        <f>D580*F580*G580</f>
        <v>0</v>
      </c>
    </row>
    <row r="581" spans="1:9">
      <c r="A581" s="195"/>
      <c r="B581" s="189" t="s">
        <v>35587</v>
      </c>
      <c r="C581" s="190"/>
      <c r="D581" s="293">
        <v>3.75</v>
      </c>
      <c r="E581" s="608"/>
      <c r="F581" s="278">
        <v>1.8</v>
      </c>
      <c r="G581" s="271"/>
      <c r="H581" s="271"/>
      <c r="I581" s="259">
        <f>D581*F581</f>
        <v>6.75</v>
      </c>
    </row>
    <row r="582" spans="1:9">
      <c r="A582" s="195"/>
      <c r="B582" s="189" t="s">
        <v>35632</v>
      </c>
      <c r="C582" s="190"/>
      <c r="D582" s="293">
        <v>3.8</v>
      </c>
      <c r="E582" s="608"/>
      <c r="F582" s="278">
        <v>1.8</v>
      </c>
      <c r="G582" s="271"/>
      <c r="H582" s="271"/>
      <c r="I582" s="259">
        <f t="shared" ref="I582:I583" si="35">D582*F582</f>
        <v>6.84</v>
      </c>
    </row>
    <row r="583" spans="1:9">
      <c r="A583" s="195"/>
      <c r="B583" s="189" t="s">
        <v>35633</v>
      </c>
      <c r="C583" s="190"/>
      <c r="D583" s="293">
        <v>0.8</v>
      </c>
      <c r="E583" s="608"/>
      <c r="F583" s="278">
        <v>0.8</v>
      </c>
      <c r="G583" s="271"/>
      <c r="H583" s="271"/>
      <c r="I583" s="259">
        <f t="shared" si="35"/>
        <v>0.64000000000000012</v>
      </c>
    </row>
    <row r="584" spans="1:9">
      <c r="A584" s="135"/>
      <c r="B584" s="170"/>
      <c r="C584" s="136"/>
      <c r="D584" s="275"/>
      <c r="E584" s="275"/>
      <c r="F584" s="275"/>
      <c r="G584" s="276"/>
      <c r="H584" s="276"/>
      <c r="I584" s="277"/>
    </row>
    <row r="585" spans="1:9">
      <c r="A585" s="184" t="s">
        <v>11</v>
      </c>
      <c r="B585" s="171" t="str">
        <f>VLOOKUP(A585,GLOBAL!A:H,4,FALSE)</f>
        <v>COBERTURA</v>
      </c>
      <c r="C585" s="172"/>
      <c r="D585" s="265"/>
      <c r="E585" s="265"/>
      <c r="F585" s="265"/>
      <c r="G585" s="265"/>
      <c r="H585" s="265"/>
      <c r="I585" s="266"/>
    </row>
    <row r="586" spans="1:9">
      <c r="A586" s="184" t="s">
        <v>9748</v>
      </c>
      <c r="B586" s="171" t="str">
        <f>VLOOKUP(A586,GLOBAL!A:H,4,FALSE)</f>
        <v>ESTRUTURA PARA TELHADO</v>
      </c>
      <c r="C586" s="172"/>
      <c r="D586" s="265"/>
      <c r="E586" s="265"/>
      <c r="F586" s="265"/>
      <c r="G586" s="265"/>
      <c r="H586" s="265"/>
      <c r="I586" s="266"/>
    </row>
    <row r="587" spans="1:9" ht="43.2">
      <c r="A587" s="119" t="s">
        <v>46</v>
      </c>
      <c r="B587" s="256" t="str">
        <f>VLOOKUP(A587,GLOBAL!A:H,4,FALSE)</f>
        <v>FABRICAÇÃO E INSTALAÇÃO DE TESOURA INTEIRA EM AÇO, VÃO DE 12 M, PARA TELHA ONDULADA DE FIBROCIMENTO, METÁLICA, PLÁSTICA OU TERMOACÚSTICA, INCLUSO IÇAMENTO. AF_07/2019</v>
      </c>
      <c r="C587" s="119" t="str">
        <f>VLOOKUP(A587,GLOBAL!A:H,5,FALSE)</f>
        <v xml:space="preserve">UND </v>
      </c>
      <c r="D587" s="267" t="s">
        <v>66</v>
      </c>
      <c r="E587" s="267" t="s">
        <v>70</v>
      </c>
      <c r="F587" s="267" t="s">
        <v>67</v>
      </c>
      <c r="G587" s="267" t="s">
        <v>68</v>
      </c>
      <c r="H587" s="267"/>
      <c r="I587" s="268">
        <f>ROUND(SUM(I588:I590),2)</f>
        <v>6</v>
      </c>
    </row>
    <row r="588" spans="1:9">
      <c r="A588" s="198"/>
      <c r="B588" s="200" t="s">
        <v>2874</v>
      </c>
      <c r="C588" s="199"/>
      <c r="D588" s="281"/>
      <c r="E588" s="282"/>
      <c r="F588" s="281"/>
      <c r="G588" s="281"/>
      <c r="H588" s="281"/>
      <c r="I588" s="283"/>
    </row>
    <row r="589" spans="1:9">
      <c r="A589" s="195"/>
      <c r="B589" s="189" t="s">
        <v>35654</v>
      </c>
      <c r="C589" s="190"/>
      <c r="D589" s="715"/>
      <c r="E589" s="716"/>
      <c r="F589" s="278"/>
      <c r="G589" s="271">
        <v>6</v>
      </c>
      <c r="H589" s="271"/>
      <c r="I589" s="259">
        <f>G589</f>
        <v>6</v>
      </c>
    </row>
    <row r="590" spans="1:9">
      <c r="A590" s="197"/>
      <c r="B590" s="189"/>
      <c r="C590" s="190"/>
      <c r="D590" s="271"/>
      <c r="E590" s="235"/>
      <c r="F590" s="271"/>
      <c r="G590" s="271"/>
      <c r="H590" s="271"/>
      <c r="I590" s="259"/>
    </row>
    <row r="591" spans="1:9">
      <c r="A591" s="135"/>
      <c r="B591" s="170"/>
      <c r="C591" s="136"/>
      <c r="D591" s="275"/>
      <c r="E591" s="275"/>
      <c r="F591" s="275"/>
      <c r="G591" s="276"/>
      <c r="H591" s="276"/>
      <c r="I591" s="277"/>
    </row>
    <row r="592" spans="1:9" ht="57.6">
      <c r="A592" s="119" t="s">
        <v>7378</v>
      </c>
      <c r="B592" s="256" t="str">
        <f>VLOOKUP(A592,GLOBAL!A:H,4,FALSE)</f>
        <v>TRAMA DE AÇO COMPOSTA POR TERÇAS PARA TELHADOS DE ATÉ 2 ÁGUAS PARA TELHA ONDULADA DE FIBROCIMENTO, METÁLICA, PLÁSTICA OU TERMOACÚSTICA, INCLUSO TRANSPORTE VERTICAL. AF_07/2019</v>
      </c>
      <c r="C592" s="119" t="str">
        <f>VLOOKUP(A592,GLOBAL!A:H,5,FALSE)</f>
        <v>M2</v>
      </c>
      <c r="D592" s="267" t="s">
        <v>66</v>
      </c>
      <c r="E592" s="267" t="s">
        <v>70</v>
      </c>
      <c r="F592" s="267" t="s">
        <v>67</v>
      </c>
      <c r="G592" s="267" t="s">
        <v>68</v>
      </c>
      <c r="H592" s="267"/>
      <c r="I592" s="268">
        <f>ROUND(SUM(I593:I595),2)</f>
        <v>1180.22</v>
      </c>
    </row>
    <row r="593" spans="1:9">
      <c r="A593" s="198"/>
      <c r="B593" s="200" t="s">
        <v>2874</v>
      </c>
      <c r="C593" s="199"/>
      <c r="D593" s="281"/>
      <c r="E593" s="282"/>
      <c r="F593" s="281"/>
      <c r="G593" s="281"/>
      <c r="H593" s="281"/>
      <c r="I593" s="283"/>
    </row>
    <row r="594" spans="1:9">
      <c r="A594" s="195"/>
      <c r="B594" s="189" t="s">
        <v>35789</v>
      </c>
      <c r="C594" s="190"/>
      <c r="D594" s="715">
        <f>25.3*27.55</f>
        <v>697.01499999999999</v>
      </c>
      <c r="E594" s="716"/>
      <c r="F594" s="278"/>
      <c r="G594" s="271">
        <v>1</v>
      </c>
      <c r="H594" s="271"/>
      <c r="I594" s="259">
        <f>D594*G594</f>
        <v>697.01499999999999</v>
      </c>
    </row>
    <row r="595" spans="1:9">
      <c r="A595" s="197"/>
      <c r="B595" s="189" t="s">
        <v>35790</v>
      </c>
      <c r="C595" s="190"/>
      <c r="D595" s="717">
        <f>32*15.1</f>
        <v>483.2</v>
      </c>
      <c r="E595" s="718"/>
      <c r="F595" s="271"/>
      <c r="G595" s="271"/>
      <c r="H595" s="271"/>
      <c r="I595" s="259">
        <f>D595</f>
        <v>483.2</v>
      </c>
    </row>
    <row r="596" spans="1:9">
      <c r="A596" s="135"/>
      <c r="B596" s="170"/>
      <c r="C596" s="136"/>
      <c r="D596" s="275"/>
      <c r="E596" s="275"/>
      <c r="F596" s="275"/>
      <c r="G596" s="276"/>
      <c r="H596" s="276"/>
      <c r="I596" s="277"/>
    </row>
    <row r="597" spans="1:9" ht="57.6">
      <c r="A597" s="119" t="s">
        <v>8000</v>
      </c>
      <c r="B597" s="256" t="str">
        <f>VLOOKUP(A597,GLOBAL!A:H,4,FALSE)</f>
        <v>ESTRUTURA METÁLICA EM AÇO P/ MEZANINOS E PLATAFORMAS, VÃO LIVRE ATÉ 6,00M, ÁREA SUPERIOR A 50 M2, SOBRECARGA 300 KG/M2, PINTURA 01 DEMÃO DE EPOXI FUNDO ÓXIDO DE FERRO + 02 DEMÃOS DE ESMALTE EPOXI BRANCO. REV 03_03/2022</v>
      </c>
      <c r="C597" s="119" t="str">
        <f>VLOOKUP(A597,GLOBAL!A:H,5,FALSE)</f>
        <v>M2</v>
      </c>
      <c r="D597" s="267" t="s">
        <v>66</v>
      </c>
      <c r="E597" s="267" t="s">
        <v>70</v>
      </c>
      <c r="F597" s="267" t="s">
        <v>67</v>
      </c>
      <c r="G597" s="267" t="s">
        <v>68</v>
      </c>
      <c r="H597" s="267"/>
      <c r="I597" s="268">
        <f>ROUND(SUM(I598:I600),2)</f>
        <v>420</v>
      </c>
    </row>
    <row r="598" spans="1:9">
      <c r="A598" s="198"/>
      <c r="B598" s="200" t="s">
        <v>2874</v>
      </c>
      <c r="C598" s="199"/>
      <c r="D598" s="281"/>
      <c r="E598" s="282"/>
      <c r="F598" s="281"/>
      <c r="G598" s="281"/>
      <c r="H598" s="281"/>
      <c r="I598" s="283"/>
    </row>
    <row r="599" spans="1:9">
      <c r="A599" s="195"/>
      <c r="B599" s="189" t="s">
        <v>35815</v>
      </c>
      <c r="C599" s="190"/>
      <c r="D599" s="715">
        <v>420</v>
      </c>
      <c r="E599" s="716"/>
      <c r="F599" s="278"/>
      <c r="G599" s="271">
        <v>1</v>
      </c>
      <c r="H599" s="271"/>
      <c r="I599" s="259">
        <f>D599*G599</f>
        <v>420</v>
      </c>
    </row>
    <row r="600" spans="1:9">
      <c r="A600" s="197"/>
      <c r="B600" s="189"/>
      <c r="C600" s="190"/>
      <c r="D600" s="717"/>
      <c r="E600" s="718"/>
      <c r="F600" s="271"/>
      <c r="G600" s="271"/>
      <c r="H600" s="271"/>
      <c r="I600" s="259"/>
    </row>
    <row r="601" spans="1:9">
      <c r="A601" s="135"/>
      <c r="B601" s="170"/>
      <c r="C601" s="136"/>
      <c r="D601" s="275"/>
      <c r="E601" s="275"/>
      <c r="F601" s="275"/>
      <c r="G601" s="276"/>
      <c r="H601" s="276"/>
      <c r="I601" s="277"/>
    </row>
    <row r="602" spans="1:9" ht="28.8">
      <c r="A602" s="119" t="s">
        <v>8006</v>
      </c>
      <c r="B602" s="256" t="str">
        <f>VLOOKUP(A602,GLOBAL!A:H,4,FALSE)</f>
        <v>PAINEL FIXO DE VIDRO TEMPERADO E = 10MM INCOLOR, INCLUSIVE PERFIS PARA FIXAÇÃO</v>
      </c>
      <c r="C602" s="119" t="str">
        <f>VLOOKUP(A602,GLOBAL!A:H,5,FALSE)</f>
        <v>M2</v>
      </c>
      <c r="D602" s="267" t="s">
        <v>66</v>
      </c>
      <c r="E602" s="267" t="s">
        <v>70</v>
      </c>
      <c r="F602" s="267" t="s">
        <v>67</v>
      </c>
      <c r="G602" s="267" t="s">
        <v>68</v>
      </c>
      <c r="H602" s="267"/>
      <c r="I602" s="268">
        <f>ROUND(SUM(I603:I606),2)</f>
        <v>111.6</v>
      </c>
    </row>
    <row r="603" spans="1:9">
      <c r="A603" s="198"/>
      <c r="B603" s="200" t="s">
        <v>2874</v>
      </c>
      <c r="C603" s="199"/>
      <c r="D603" s="281"/>
      <c r="E603" s="282"/>
      <c r="F603" s="281"/>
      <c r="G603" s="281"/>
      <c r="H603" s="281"/>
      <c r="I603" s="283"/>
    </row>
    <row r="604" spans="1:9">
      <c r="A604" s="195"/>
      <c r="B604" s="189" t="s">
        <v>35816</v>
      </c>
      <c r="C604" s="190"/>
      <c r="D604" s="715">
        <f>15*6</f>
        <v>90</v>
      </c>
      <c r="E604" s="716"/>
      <c r="F604" s="278"/>
      <c r="G604" s="271">
        <v>1</v>
      </c>
      <c r="H604" s="271"/>
      <c r="I604" s="259">
        <f>D604*G604</f>
        <v>90</v>
      </c>
    </row>
    <row r="605" spans="1:9">
      <c r="A605" s="195"/>
      <c r="B605" s="189" t="s">
        <v>35817</v>
      </c>
      <c r="C605" s="190"/>
      <c r="D605" s="715">
        <f>2.16*10</f>
        <v>21.6</v>
      </c>
      <c r="E605" s="716"/>
      <c r="F605" s="278"/>
      <c r="G605" s="271">
        <v>1</v>
      </c>
      <c r="H605" s="271"/>
      <c r="I605" s="259">
        <f>D605*G605</f>
        <v>21.6</v>
      </c>
    </row>
    <row r="606" spans="1:9">
      <c r="A606" s="197"/>
      <c r="B606" s="189"/>
      <c r="C606" s="190"/>
      <c r="D606" s="717"/>
      <c r="E606" s="718"/>
      <c r="F606" s="271"/>
      <c r="G606" s="271"/>
      <c r="H606" s="271"/>
      <c r="I606" s="259"/>
    </row>
    <row r="607" spans="1:9">
      <c r="A607" s="135"/>
      <c r="B607" s="170"/>
      <c r="C607" s="136"/>
      <c r="D607" s="275"/>
      <c r="E607" s="275"/>
      <c r="F607" s="275"/>
      <c r="G607" s="276"/>
      <c r="H607" s="276"/>
      <c r="I607" s="277"/>
    </row>
    <row r="608" spans="1:9">
      <c r="A608" s="184" t="s">
        <v>15129</v>
      </c>
      <c r="B608" s="171" t="str">
        <f>VLOOKUP(A608,GLOBAL!A:H,4,FALSE)</f>
        <v>TELHADO</v>
      </c>
      <c r="C608" s="172"/>
      <c r="D608" s="265"/>
      <c r="E608" s="265"/>
      <c r="F608" s="265"/>
      <c r="G608" s="265"/>
      <c r="H608" s="265"/>
      <c r="I608" s="266"/>
    </row>
    <row r="609" spans="1:9" ht="57.6">
      <c r="A609" s="119" t="s">
        <v>8001</v>
      </c>
      <c r="B609" s="256" t="str">
        <f>VLOOKUP(A609,GLOBAL!A:H,4,FALSE)</f>
        <v>COBERTURA COM TELHA EM AÇO GALVALUME TRAPEZOIDAL 40, ESPESSURA: 0.50 MM, PINTURA COR BRANCA NAS DUAS FACES, INCLUSIVE ACESSÓRIO DE FIXAÇÃO -SANTO ANDRÉ, ETERNIT, METFORM OU EQUIVALENTE</v>
      </c>
      <c r="C609" s="119" t="str">
        <f>VLOOKUP(A609,GLOBAL!A:H,5,FALSE)</f>
        <v>M2</v>
      </c>
      <c r="D609" s="267" t="s">
        <v>66</v>
      </c>
      <c r="E609" s="267" t="s">
        <v>70</v>
      </c>
      <c r="F609" s="267" t="s">
        <v>67</v>
      </c>
      <c r="G609" s="267" t="s">
        <v>68</v>
      </c>
      <c r="H609" s="267" t="s">
        <v>2875</v>
      </c>
      <c r="I609" s="268">
        <f>ROUND(SUM(I610:I612),2)</f>
        <v>1180.22</v>
      </c>
    </row>
    <row r="610" spans="1:9">
      <c r="A610" s="198"/>
      <c r="B610" s="200" t="s">
        <v>2874</v>
      </c>
      <c r="C610" s="199"/>
      <c r="D610" s="281"/>
      <c r="E610" s="282"/>
      <c r="F610" s="281"/>
      <c r="G610" s="281"/>
      <c r="H610" s="281"/>
      <c r="I610" s="283"/>
    </row>
    <row r="611" spans="1:9">
      <c r="A611" s="195"/>
      <c r="B611" s="189" t="s">
        <v>35789</v>
      </c>
      <c r="C611" s="190"/>
      <c r="D611" s="715">
        <f>25.3*27.55</f>
        <v>697.01499999999999</v>
      </c>
      <c r="E611" s="716"/>
      <c r="F611" s="278"/>
      <c r="G611" s="271"/>
      <c r="H611" s="271"/>
      <c r="I611" s="259">
        <f>D611</f>
        <v>697.01499999999999</v>
      </c>
    </row>
    <row r="612" spans="1:9">
      <c r="A612" s="197"/>
      <c r="B612" s="189" t="s">
        <v>35790</v>
      </c>
      <c r="C612" s="190"/>
      <c r="D612" s="717">
        <f>32*15.1</f>
        <v>483.2</v>
      </c>
      <c r="E612" s="718"/>
      <c r="F612" s="271"/>
      <c r="G612" s="271"/>
      <c r="H612" s="271"/>
      <c r="I612" s="259">
        <f>D612</f>
        <v>483.2</v>
      </c>
    </row>
    <row r="613" spans="1:9">
      <c r="A613" s="135"/>
      <c r="B613" s="170"/>
      <c r="C613" s="136"/>
      <c r="D613" s="275"/>
      <c r="E613" s="275"/>
      <c r="F613" s="275"/>
      <c r="G613" s="276"/>
      <c r="H613" s="276"/>
      <c r="I613" s="277"/>
    </row>
    <row r="614" spans="1:9">
      <c r="A614" s="184" t="s">
        <v>15130</v>
      </c>
      <c r="B614" s="171" t="str">
        <f>VLOOKUP(A614,GLOBAL!A:H,4,FALSE)</f>
        <v>RUFOS E CALHAS</v>
      </c>
      <c r="C614" s="172"/>
      <c r="D614" s="265"/>
      <c r="E614" s="265"/>
      <c r="F614" s="265"/>
      <c r="G614" s="265"/>
      <c r="H614" s="265"/>
      <c r="I614" s="266"/>
    </row>
    <row r="615" spans="1:9">
      <c r="A615" s="119" t="s">
        <v>15131</v>
      </c>
      <c r="B615" s="258" t="str">
        <f>VLOOKUP(A615,GLOBAL!A:H,4,FALSE)</f>
        <v>CALHA EM CHAPA GALVANIZADA COM LARGURA DE 40 CM</v>
      </c>
      <c r="C615" s="119" t="str">
        <f>VLOOKUP(A615,GLOBAL!A:H,5,FALSE)</f>
        <v>M</v>
      </c>
      <c r="D615" s="267" t="s">
        <v>66</v>
      </c>
      <c r="E615" s="267" t="s">
        <v>70</v>
      </c>
      <c r="F615" s="267" t="s">
        <v>67</v>
      </c>
      <c r="G615" s="267" t="s">
        <v>68</v>
      </c>
      <c r="H615" s="267" t="s">
        <v>7512</v>
      </c>
      <c r="I615" s="268">
        <f>ROUND(SUM(I616:I618),2)</f>
        <v>76</v>
      </c>
    </row>
    <row r="616" spans="1:9">
      <c r="A616" s="198"/>
      <c r="B616" s="200" t="s">
        <v>2874</v>
      </c>
      <c r="C616" s="199"/>
      <c r="D616" s="281"/>
      <c r="E616" s="282"/>
      <c r="F616" s="281"/>
      <c r="G616" s="281"/>
      <c r="H616" s="281"/>
      <c r="I616" s="283"/>
    </row>
    <row r="617" spans="1:9">
      <c r="A617" s="195"/>
      <c r="B617" s="189" t="s">
        <v>35791</v>
      </c>
      <c r="C617" s="190"/>
      <c r="D617" s="271">
        <v>22</v>
      </c>
      <c r="E617" s="271"/>
      <c r="F617" s="271"/>
      <c r="G617" s="271">
        <v>2</v>
      </c>
      <c r="H617" s="271"/>
      <c r="I617" s="259">
        <f>D617*G617</f>
        <v>44</v>
      </c>
    </row>
    <row r="618" spans="1:9">
      <c r="A618" s="197"/>
      <c r="B618" s="189" t="s">
        <v>35792</v>
      </c>
      <c r="C618" s="190"/>
      <c r="D618" s="271">
        <v>32</v>
      </c>
      <c r="E618" s="235"/>
      <c r="F618" s="271"/>
      <c r="G618" s="271">
        <v>1</v>
      </c>
      <c r="H618" s="271"/>
      <c r="I618" s="259">
        <f>D618*G618</f>
        <v>32</v>
      </c>
    </row>
    <row r="619" spans="1:9">
      <c r="A619" s="135"/>
      <c r="B619" s="170"/>
      <c r="C619" s="136"/>
      <c r="D619" s="275"/>
      <c r="E619" s="275"/>
      <c r="F619" s="275"/>
      <c r="G619" s="276"/>
      <c r="H619" s="276"/>
      <c r="I619" s="277"/>
    </row>
    <row r="620" spans="1:9">
      <c r="A620" s="119" t="s">
        <v>27413</v>
      </c>
      <c r="B620" s="258" t="str">
        <f>VLOOKUP(A620,GLOBAL!A:H,4,FALSE)</f>
        <v>RUFO DE CHAPA DE ALUMÍNIO ESP. 0.5MM, LARGURA DE 30CM</v>
      </c>
      <c r="C620" s="119" t="str">
        <f>VLOOKUP(A620,GLOBAL!A:H,5,FALSE)</f>
        <v>M</v>
      </c>
      <c r="D620" s="267" t="s">
        <v>66</v>
      </c>
      <c r="E620" s="267" t="s">
        <v>70</v>
      </c>
      <c r="F620" s="267" t="s">
        <v>67</v>
      </c>
      <c r="G620" s="267" t="s">
        <v>68</v>
      </c>
      <c r="H620" s="267" t="s">
        <v>7512</v>
      </c>
      <c r="I620" s="268">
        <f>ROUND(SUM(I621:I623),2)</f>
        <v>133</v>
      </c>
    </row>
    <row r="621" spans="1:9">
      <c r="A621" s="198"/>
      <c r="B621" s="200" t="s">
        <v>2874</v>
      </c>
      <c r="C621" s="199"/>
      <c r="D621" s="281"/>
      <c r="E621" s="282"/>
      <c r="F621" s="281"/>
      <c r="G621" s="281"/>
      <c r="H621" s="281"/>
      <c r="I621" s="283"/>
    </row>
    <row r="622" spans="1:9">
      <c r="A622" s="195"/>
      <c r="B622" s="189" t="s">
        <v>35535</v>
      </c>
      <c r="C622" s="190"/>
      <c r="D622" s="271">
        <v>22</v>
      </c>
      <c r="E622" s="271">
        <v>11</v>
      </c>
      <c r="F622" s="271"/>
      <c r="G622" s="271">
        <v>2</v>
      </c>
      <c r="H622" s="271"/>
      <c r="I622" s="259">
        <f>(D622+E622+E622)*G622</f>
        <v>88</v>
      </c>
    </row>
    <row r="623" spans="1:9">
      <c r="A623" s="197"/>
      <c r="B623" s="189" t="s">
        <v>35654</v>
      </c>
      <c r="C623" s="190"/>
      <c r="D623" s="271"/>
      <c r="E623" s="235"/>
      <c r="F623" s="271"/>
      <c r="G623" s="271"/>
      <c r="H623" s="271"/>
      <c r="I623" s="259">
        <v>45</v>
      </c>
    </row>
    <row r="624" spans="1:9">
      <c r="A624" s="135"/>
      <c r="B624" s="170"/>
      <c r="C624" s="136"/>
      <c r="D624" s="275"/>
      <c r="E624" s="275"/>
      <c r="F624" s="275"/>
      <c r="G624" s="276"/>
      <c r="H624" s="276"/>
      <c r="I624" s="277"/>
    </row>
    <row r="625" spans="1:9" ht="57.6">
      <c r="A625" s="119" t="s">
        <v>35262</v>
      </c>
      <c r="B625" s="258" t="str">
        <f>VLOOKUP(A625,GLOBAL!A:H,4,FALSE)</f>
        <v>PLATIBANDA DE ALVENARIA DE BLOCO CERÂMICO 10X20X20CM, ASSENTADO COM ARGAMASSA DE CIMENTO, CAL HIDRATADA CH1 E AREIA NO TRAÇO 1:0,5:8, AMARRADA COM PILARETES EM CONC. ARM. A CADA 2M (H=1.0M), EXCL. REVEST.</v>
      </c>
      <c r="C625" s="119" t="str">
        <f>VLOOKUP(A625,GLOBAL!A:H,5,FALSE)</f>
        <v>M</v>
      </c>
      <c r="D625" s="267" t="s">
        <v>66</v>
      </c>
      <c r="E625" s="267" t="s">
        <v>70</v>
      </c>
      <c r="F625" s="267" t="s">
        <v>67</v>
      </c>
      <c r="G625" s="267" t="s">
        <v>68</v>
      </c>
      <c r="H625" s="267" t="s">
        <v>7512</v>
      </c>
      <c r="I625" s="268">
        <f>ROUND(SUM(I626:I628),2)</f>
        <v>134.75</v>
      </c>
    </row>
    <row r="626" spans="1:9">
      <c r="A626" s="198"/>
      <c r="B626" s="200" t="s">
        <v>2874</v>
      </c>
      <c r="C626" s="199"/>
      <c r="D626" s="281"/>
      <c r="E626" s="282"/>
      <c r="F626" s="281"/>
      <c r="G626" s="281"/>
      <c r="H626" s="281"/>
      <c r="I626" s="283"/>
    </row>
    <row r="627" spans="1:9">
      <c r="A627" s="195"/>
      <c r="B627" s="189" t="s">
        <v>35536</v>
      </c>
      <c r="C627" s="190"/>
      <c r="D627" s="271">
        <v>22</v>
      </c>
      <c r="E627" s="271">
        <v>25.3</v>
      </c>
      <c r="F627" s="271"/>
      <c r="G627" s="271">
        <v>1</v>
      </c>
      <c r="H627" s="271"/>
      <c r="I627" s="259">
        <f>D627+E627+D627</f>
        <v>69.3</v>
      </c>
    </row>
    <row r="628" spans="1:9">
      <c r="A628" s="195"/>
      <c r="B628" s="189" t="s">
        <v>35536</v>
      </c>
      <c r="C628" s="190"/>
      <c r="D628" s="271">
        <v>4.95</v>
      </c>
      <c r="E628" s="271">
        <v>25.3</v>
      </c>
      <c r="F628" s="271"/>
      <c r="G628" s="271">
        <v>1</v>
      </c>
      <c r="H628" s="271"/>
      <c r="I628" s="259">
        <f>E628+E628+D628+D628+D628</f>
        <v>65.45</v>
      </c>
    </row>
    <row r="629" spans="1:9">
      <c r="A629" s="135"/>
      <c r="B629" s="170"/>
      <c r="C629" s="136"/>
      <c r="D629" s="275"/>
      <c r="E629" s="275"/>
      <c r="F629" s="275"/>
      <c r="G629" s="276"/>
      <c r="H629" s="276"/>
      <c r="I629" s="277"/>
    </row>
    <row r="630" spans="1:9">
      <c r="A630" s="184" t="s">
        <v>12</v>
      </c>
      <c r="B630" s="171" t="str">
        <f>VLOOKUP(A630,GLOBAL!A:H,4,FALSE)</f>
        <v>IMPERMEABILIZAÇÃO</v>
      </c>
      <c r="C630" s="172"/>
      <c r="D630" s="265"/>
      <c r="E630" s="265"/>
      <c r="F630" s="265"/>
      <c r="G630" s="265"/>
      <c r="H630" s="265"/>
      <c r="I630" s="266"/>
    </row>
    <row r="631" spans="1:9" ht="28.8">
      <c r="A631" s="184" t="s">
        <v>7981</v>
      </c>
      <c r="B631" s="171" t="str">
        <f>VLOOKUP(A631,GLOBAL!A:H,4,FALSE)</f>
        <v>IMPERMEABILIZAÇÃO DE CALHAS, LAJES DESCOBERTAS, BALDRAMES, PAREDES E JARDINEIRAS</v>
      </c>
      <c r="C631" s="172"/>
      <c r="D631" s="265"/>
      <c r="E631" s="265"/>
      <c r="F631" s="265"/>
      <c r="G631" s="265"/>
      <c r="H631" s="265"/>
      <c r="I631" s="266"/>
    </row>
    <row r="632" spans="1:9" ht="28.8">
      <c r="A632" s="119" t="s">
        <v>2873</v>
      </c>
      <c r="B632" s="256" t="str">
        <f>VLOOKUP(A632,GLOBAL!A:H,4,FALSE)</f>
        <v>PINTURA IMPERMEABILIZANTE COM IGOLFLEX OU EQUIVALENTE A 3 DEMÃOS</v>
      </c>
      <c r="C632" s="119" t="str">
        <f>VLOOKUP(A632,GLOBAL!A:H,5,FALSE)</f>
        <v>M2</v>
      </c>
      <c r="D632" s="267" t="s">
        <v>66</v>
      </c>
      <c r="E632" s="267" t="s">
        <v>70</v>
      </c>
      <c r="F632" s="267" t="s">
        <v>67</v>
      </c>
      <c r="G632" s="267" t="s">
        <v>68</v>
      </c>
      <c r="H632" s="267" t="s">
        <v>2875</v>
      </c>
      <c r="I632" s="268">
        <f>ROUND(SUM(I633:I635),2)</f>
        <v>643.02</v>
      </c>
    </row>
    <row r="633" spans="1:9">
      <c r="A633" s="198"/>
      <c r="B633" s="200" t="s">
        <v>2874</v>
      </c>
      <c r="C633" s="199"/>
      <c r="D633" s="281"/>
      <c r="E633" s="282"/>
      <c r="F633" s="281"/>
      <c r="G633" s="281"/>
      <c r="H633" s="281"/>
      <c r="I633" s="283"/>
    </row>
    <row r="634" spans="1:9">
      <c r="A634" s="197"/>
      <c r="B634" s="189" t="s">
        <v>35537</v>
      </c>
      <c r="C634" s="190"/>
      <c r="D634" s="721">
        <f>35.3*25.3*0.4</f>
        <v>357.23599999999999</v>
      </c>
      <c r="E634" s="722"/>
      <c r="F634" s="278"/>
      <c r="G634" s="271"/>
      <c r="H634" s="271"/>
      <c r="I634" s="259">
        <f>D634</f>
        <v>357.23599999999999</v>
      </c>
    </row>
    <row r="635" spans="1:9">
      <c r="A635" s="197"/>
      <c r="B635" s="189" t="s">
        <v>35654</v>
      </c>
      <c r="C635" s="190"/>
      <c r="D635" s="717">
        <f>D634*0.8</f>
        <v>285.78879999999998</v>
      </c>
      <c r="E635" s="718"/>
      <c r="F635" s="271"/>
      <c r="G635" s="271"/>
      <c r="H635" s="271"/>
      <c r="I635" s="259">
        <f>D635</f>
        <v>285.78879999999998</v>
      </c>
    </row>
    <row r="636" spans="1:9">
      <c r="A636" s="135"/>
      <c r="B636" s="170"/>
      <c r="C636" s="136"/>
      <c r="D636" s="275"/>
      <c r="E636" s="275"/>
      <c r="F636" s="275"/>
      <c r="G636" s="276"/>
      <c r="H636" s="276"/>
      <c r="I636" s="277"/>
    </row>
    <row r="637" spans="1:9" ht="28.8">
      <c r="A637" s="119" t="s">
        <v>23689</v>
      </c>
      <c r="B637" s="256" t="str">
        <f>VLOOKUP(A637,GLOBAL!A:H,4,FALSE)</f>
        <v>PINTURA IMPERMEABILIZANTE COM IGOLFLEX OU EQUIVALENTE A 3 DEMÃOS</v>
      </c>
      <c r="C637" s="119" t="str">
        <f>VLOOKUP(A637,GLOBAL!A:H,5,FALSE)</f>
        <v>M2</v>
      </c>
      <c r="D637" s="267" t="s">
        <v>66</v>
      </c>
      <c r="E637" s="267" t="s">
        <v>70</v>
      </c>
      <c r="F637" s="267" t="s">
        <v>67</v>
      </c>
      <c r="G637" s="267" t="s">
        <v>68</v>
      </c>
      <c r="H637" s="267" t="s">
        <v>2875</v>
      </c>
      <c r="I637" s="268">
        <f>ROUND(SUM(I638:I641),2)</f>
        <v>205.4</v>
      </c>
    </row>
    <row r="638" spans="1:9">
      <c r="A638" s="198"/>
      <c r="B638" s="200" t="s">
        <v>2874</v>
      </c>
      <c r="C638" s="199"/>
      <c r="D638" s="281"/>
      <c r="E638" s="282"/>
      <c r="F638" s="281"/>
      <c r="G638" s="281"/>
      <c r="H638" s="281"/>
      <c r="I638" s="283"/>
    </row>
    <row r="639" spans="1:9">
      <c r="A639" s="197"/>
      <c r="B639" s="189" t="s">
        <v>35501</v>
      </c>
      <c r="C639" s="190"/>
      <c r="D639" s="721">
        <v>93.46</v>
      </c>
      <c r="E639" s="722"/>
      <c r="F639" s="278"/>
      <c r="G639" s="271"/>
      <c r="H639" s="271"/>
      <c r="I639" s="259">
        <f>D639</f>
        <v>93.46</v>
      </c>
    </row>
    <row r="640" spans="1:9">
      <c r="A640" s="197"/>
      <c r="B640" s="189" t="s">
        <v>35538</v>
      </c>
      <c r="C640" s="190"/>
      <c r="D640" s="721">
        <v>21.34</v>
      </c>
      <c r="E640" s="722"/>
      <c r="F640" s="278"/>
      <c r="G640" s="271"/>
      <c r="H640" s="271"/>
      <c r="I640" s="259">
        <f>D640</f>
        <v>21.34</v>
      </c>
    </row>
    <row r="641" spans="1:9">
      <c r="A641" s="197"/>
      <c r="B641" s="189" t="s">
        <v>35654</v>
      </c>
      <c r="C641" s="190"/>
      <c r="D641" s="717">
        <f>6*15.1</f>
        <v>90.6</v>
      </c>
      <c r="E641" s="718"/>
      <c r="F641" s="271"/>
      <c r="G641" s="271"/>
      <c r="H641" s="271"/>
      <c r="I641" s="259">
        <f>D641</f>
        <v>90.6</v>
      </c>
    </row>
    <row r="642" spans="1:9">
      <c r="A642" s="135"/>
      <c r="B642" s="170"/>
      <c r="C642" s="136"/>
      <c r="D642" s="275"/>
      <c r="E642" s="275"/>
      <c r="F642" s="275"/>
      <c r="G642" s="276"/>
      <c r="H642" s="276"/>
      <c r="I642" s="277"/>
    </row>
    <row r="643" spans="1:9">
      <c r="A643" s="184" t="s">
        <v>9750</v>
      </c>
      <c r="B643" s="171" t="str">
        <f>VLOOKUP(A643,GLOBAL!A:H,4,FALSE)</f>
        <v>TETOS E FORROS</v>
      </c>
      <c r="C643" s="172"/>
      <c r="D643" s="265"/>
      <c r="E643" s="265"/>
      <c r="F643" s="265"/>
      <c r="G643" s="265"/>
      <c r="H643" s="265"/>
      <c r="I643" s="266"/>
    </row>
    <row r="644" spans="1:9">
      <c r="A644" s="173" t="s">
        <v>9749</v>
      </c>
      <c r="B644" s="171" t="str">
        <f>VLOOKUP(A644,GLOBAL!A:H,4,FALSE)</f>
        <v xml:space="preserve">ACABAMENTOS </v>
      </c>
      <c r="C644" s="172"/>
      <c r="D644" s="265"/>
      <c r="E644" s="265"/>
      <c r="F644" s="265"/>
      <c r="G644" s="265"/>
      <c r="H644" s="265"/>
      <c r="I644" s="266"/>
    </row>
    <row r="645" spans="1:9" ht="28.8">
      <c r="A645" s="605" t="s">
        <v>10358</v>
      </c>
      <c r="B645" s="256" t="str">
        <f>VLOOKUP(A645,GLOBAL!A:H,4,FALSE)</f>
        <v>FORRO EM DRYWALL, PARA AMBIENTES COMERCIAIS, INCLUSIVE ESTRUTURA BIRECIONAL DE FIXAÇÃO. AF_08/2023_PS</v>
      </c>
      <c r="C645" s="119" t="str">
        <f>VLOOKUP(A645,GLOBAL!A:H,5,FALSE)</f>
        <v>M2</v>
      </c>
      <c r="D645" s="267" t="s">
        <v>66</v>
      </c>
      <c r="E645" s="267" t="s">
        <v>70</v>
      </c>
      <c r="F645" s="267" t="s">
        <v>67</v>
      </c>
      <c r="G645" s="267" t="s">
        <v>68</v>
      </c>
      <c r="H645" s="267" t="s">
        <v>35793</v>
      </c>
      <c r="I645" s="268">
        <f>ROUND(SUM(I646:I653),2)</f>
        <v>2873.25</v>
      </c>
    </row>
    <row r="646" spans="1:9">
      <c r="A646" s="198"/>
      <c r="B646" s="200" t="s">
        <v>2874</v>
      </c>
      <c r="C646" s="199"/>
      <c r="D646" s="281"/>
      <c r="E646" s="282"/>
      <c r="F646" s="281"/>
      <c r="G646" s="281"/>
      <c r="H646" s="281"/>
      <c r="I646" s="283"/>
    </row>
    <row r="647" spans="1:9">
      <c r="A647" s="198"/>
      <c r="B647" s="189" t="s">
        <v>35778</v>
      </c>
      <c r="C647" s="199"/>
      <c r="D647" s="660"/>
      <c r="E647" s="661"/>
      <c r="F647" s="281"/>
      <c r="G647" s="281"/>
      <c r="H647" s="281"/>
      <c r="I647" s="607"/>
    </row>
    <row r="648" spans="1:9">
      <c r="A648" s="198"/>
      <c r="B648" s="189" t="s">
        <v>35598</v>
      </c>
      <c r="C648" s="199"/>
      <c r="D648" s="660">
        <v>32.299999999999997</v>
      </c>
      <c r="E648" s="661">
        <v>25.3</v>
      </c>
      <c r="F648" s="281"/>
      <c r="G648" s="281"/>
      <c r="H648" s="281">
        <f>(4.65*4.95)+(2.2*10.6)</f>
        <v>46.337500000000006</v>
      </c>
      <c r="I648" s="607">
        <f>D648*E648-H648</f>
        <v>770.85249999999996</v>
      </c>
    </row>
    <row r="649" spans="1:9">
      <c r="A649" s="198"/>
      <c r="B649" s="189" t="s">
        <v>35599</v>
      </c>
      <c r="C649" s="199"/>
      <c r="D649" s="660">
        <v>27.25</v>
      </c>
      <c r="E649" s="661">
        <v>25.3</v>
      </c>
      <c r="F649" s="281"/>
      <c r="G649" s="281"/>
      <c r="H649" s="281">
        <f>(4.65*4.95)+(2.2*10.6)</f>
        <v>46.337500000000006</v>
      </c>
      <c r="I649" s="607">
        <f>D649*E649-H649</f>
        <v>643.08750000000009</v>
      </c>
    </row>
    <row r="650" spans="1:9">
      <c r="A650" s="198"/>
      <c r="B650" s="189" t="s">
        <v>35600</v>
      </c>
      <c r="C650" s="199"/>
      <c r="D650" s="660">
        <v>27.25</v>
      </c>
      <c r="E650" s="661">
        <v>25.3</v>
      </c>
      <c r="F650" s="281"/>
      <c r="G650" s="281"/>
      <c r="H650" s="281">
        <f>(2.2*10.6)</f>
        <v>23.32</v>
      </c>
      <c r="I650" s="607">
        <f>D650*E650-H650</f>
        <v>666.10500000000002</v>
      </c>
    </row>
    <row r="651" spans="1:9">
      <c r="A651" s="195"/>
      <c r="B651" s="189" t="s">
        <v>35654</v>
      </c>
      <c r="C651" s="190"/>
      <c r="D651" s="271"/>
      <c r="E651" s="271"/>
      <c r="F651" s="271"/>
      <c r="G651" s="271"/>
      <c r="H651" s="271"/>
      <c r="I651" s="259"/>
    </row>
    <row r="652" spans="1:9">
      <c r="A652" s="198"/>
      <c r="B652" s="189" t="s">
        <v>35598</v>
      </c>
      <c r="C652" s="199"/>
      <c r="D652" s="660">
        <v>32</v>
      </c>
      <c r="E652" s="661">
        <v>15.1</v>
      </c>
      <c r="F652" s="281"/>
      <c r="G652" s="281"/>
      <c r="H652" s="281">
        <v>0</v>
      </c>
      <c r="I652" s="607">
        <f>D652*E652-H652</f>
        <v>483.2</v>
      </c>
    </row>
    <row r="653" spans="1:9">
      <c r="A653" s="198"/>
      <c r="B653" s="189" t="s">
        <v>35820</v>
      </c>
      <c r="C653" s="199"/>
      <c r="D653" s="719">
        <v>310</v>
      </c>
      <c r="E653" s="720"/>
      <c r="F653" s="281"/>
      <c r="G653" s="281"/>
      <c r="H653" s="281">
        <v>0</v>
      </c>
      <c r="I653" s="607">
        <f>D653</f>
        <v>310</v>
      </c>
    </row>
    <row r="654" spans="1:9">
      <c r="A654" s="135"/>
      <c r="B654" s="170"/>
      <c r="C654" s="136"/>
      <c r="D654" s="275"/>
      <c r="E654" s="275"/>
      <c r="F654" s="275"/>
      <c r="G654" s="276"/>
      <c r="H654" s="276"/>
      <c r="I654" s="277"/>
    </row>
    <row r="655" spans="1:9">
      <c r="A655" s="344" t="s">
        <v>9751</v>
      </c>
      <c r="B655" s="340" t="str">
        <f>VLOOKUP(A655,GLOBAL!A:H,4,FALSE)</f>
        <v>REVESTIMENTOS DE PAREDE</v>
      </c>
      <c r="C655" s="130"/>
      <c r="D655" s="341"/>
      <c r="E655" s="341"/>
      <c r="F655" s="341"/>
      <c r="G655" s="341"/>
      <c r="H655" s="341"/>
      <c r="I655" s="342"/>
    </row>
    <row r="656" spans="1:9">
      <c r="A656" s="122" t="s">
        <v>9752</v>
      </c>
      <c r="B656" s="340" t="str">
        <f>VLOOKUP(A656,GLOBAL!A:H,4,FALSE)</f>
        <v>REVESTIMENTOS COM ARGAMASSA</v>
      </c>
      <c r="C656" s="130"/>
      <c r="D656" s="341"/>
      <c r="E656" s="341"/>
      <c r="F656" s="341"/>
      <c r="G656" s="341"/>
      <c r="H656" s="341"/>
      <c r="I656" s="342"/>
    </row>
    <row r="657" spans="1:9" ht="28.8">
      <c r="A657" s="119" t="s">
        <v>9753</v>
      </c>
      <c r="B657" s="258" t="str">
        <f>VLOOKUP(A657,GLOBAL!A:H,4,FALSE)</f>
        <v>CHAPISCO DE ARGAMASSA DE CIMENTO E AREIA MÉDIA OU GROSSA LAVADA, NO TRAÇO 1:3, ESPESSURA 5 MM</v>
      </c>
      <c r="C657" s="119" t="str">
        <f>VLOOKUP(A657,GLOBAL!A:H,5,FALSE)</f>
        <v>M2</v>
      </c>
      <c r="D657" s="267" t="s">
        <v>66</v>
      </c>
      <c r="E657" s="267" t="s">
        <v>70</v>
      </c>
      <c r="F657" s="267" t="s">
        <v>67</v>
      </c>
      <c r="G657" s="267" t="s">
        <v>68</v>
      </c>
      <c r="H657" s="267" t="s">
        <v>7512</v>
      </c>
      <c r="I657" s="268">
        <f>ROUND(SUM(I659:I685),2)*2</f>
        <v>5559.94</v>
      </c>
    </row>
    <row r="658" spans="1:9">
      <c r="A658" s="198"/>
      <c r="B658" s="200" t="s">
        <v>2874</v>
      </c>
      <c r="C658" s="199"/>
      <c r="D658" s="281"/>
      <c r="E658" s="345"/>
      <c r="F658" s="281"/>
      <c r="G658" s="281"/>
      <c r="H658" s="281"/>
      <c r="I658" s="283"/>
    </row>
    <row r="659" spans="1:9">
      <c r="A659" s="195"/>
      <c r="B659" s="642" t="s">
        <v>35512</v>
      </c>
      <c r="C659" s="234"/>
      <c r="D659" s="641"/>
      <c r="E659" s="641"/>
      <c r="F659" s="279"/>
      <c r="G659" s="279"/>
      <c r="H659" s="279"/>
      <c r="I659" s="280"/>
    </row>
    <row r="660" spans="1:9">
      <c r="A660" s="195"/>
      <c r="B660" s="233" t="s">
        <v>35513</v>
      </c>
      <c r="C660" s="234"/>
      <c r="D660" s="365">
        <f>32.3+8.3</f>
        <v>40.599999999999994</v>
      </c>
      <c r="E660" s="278">
        <v>25.3</v>
      </c>
      <c r="F660" s="279">
        <v>3.3</v>
      </c>
      <c r="G660" s="279">
        <v>2</v>
      </c>
      <c r="H660" s="279"/>
      <c r="I660" s="280">
        <f>(D660+E660)*2*F660</f>
        <v>434.93999999999994</v>
      </c>
    </row>
    <row r="661" spans="1:9">
      <c r="A661" s="195"/>
      <c r="B661" s="233" t="s">
        <v>35514</v>
      </c>
      <c r="C661" s="234"/>
      <c r="D661" s="279">
        <v>4.6500000000000004</v>
      </c>
      <c r="E661" s="278">
        <v>4.0999999999999996</v>
      </c>
      <c r="F661" s="279">
        <v>3.3</v>
      </c>
      <c r="G661" s="279">
        <v>2</v>
      </c>
      <c r="H661" s="279"/>
      <c r="I661" s="280">
        <f>(D661+D661+E661)*F661</f>
        <v>44.22</v>
      </c>
    </row>
    <row r="662" spans="1:9">
      <c r="A662" s="195"/>
      <c r="B662" s="233" t="s">
        <v>35515</v>
      </c>
      <c r="C662" s="234"/>
      <c r="D662" s="279">
        <v>4.6500000000000004</v>
      </c>
      <c r="E662" s="278">
        <v>4.0999999999999996</v>
      </c>
      <c r="F662" s="279">
        <v>3.3</v>
      </c>
      <c r="G662" s="279">
        <v>2</v>
      </c>
      <c r="H662" s="279"/>
      <c r="I662" s="280">
        <f>(D662+D662+E662)*F662</f>
        <v>44.22</v>
      </c>
    </row>
    <row r="663" spans="1:9">
      <c r="A663" s="195"/>
      <c r="B663" s="233" t="s">
        <v>35516</v>
      </c>
      <c r="C663" s="234"/>
      <c r="D663" s="279">
        <v>2</v>
      </c>
      <c r="E663" s="278">
        <v>3</v>
      </c>
      <c r="F663" s="279">
        <v>3.3</v>
      </c>
      <c r="G663" s="279">
        <v>2</v>
      </c>
      <c r="H663" s="279"/>
      <c r="I663" s="280">
        <f>D663*2*F663</f>
        <v>13.2</v>
      </c>
    </row>
    <row r="664" spans="1:9">
      <c r="A664" s="195"/>
      <c r="B664" s="233" t="s">
        <v>35517</v>
      </c>
      <c r="C664" s="234"/>
      <c r="D664" s="279">
        <v>4.6500000000000004</v>
      </c>
      <c r="E664" s="278">
        <v>5.0999999999999996</v>
      </c>
      <c r="F664" s="279">
        <v>3.3</v>
      </c>
      <c r="G664" s="279">
        <v>2</v>
      </c>
      <c r="H664" s="279"/>
      <c r="I664" s="280">
        <f>(D664+E664)*F664</f>
        <v>32.174999999999997</v>
      </c>
    </row>
    <row r="665" spans="1:9">
      <c r="A665" s="195"/>
      <c r="B665" s="233" t="s">
        <v>35517</v>
      </c>
      <c r="C665" s="234"/>
      <c r="D665" s="279">
        <v>4.3</v>
      </c>
      <c r="E665" s="278">
        <v>2.5</v>
      </c>
      <c r="F665" s="279">
        <v>3.3</v>
      </c>
      <c r="G665" s="279">
        <v>2</v>
      </c>
      <c r="H665" s="279"/>
      <c r="I665" s="280">
        <f>(D665+(E665*3))*F665</f>
        <v>38.94</v>
      </c>
    </row>
    <row r="666" spans="1:9">
      <c r="A666" s="195"/>
      <c r="B666" s="233" t="s">
        <v>35518</v>
      </c>
      <c r="C666" s="234"/>
      <c r="D666" s="279">
        <v>1.8</v>
      </c>
      <c r="E666" s="278">
        <v>2.4</v>
      </c>
      <c r="F666" s="279">
        <v>3.3</v>
      </c>
      <c r="G666" s="279">
        <v>2</v>
      </c>
      <c r="H666" s="279"/>
      <c r="I666" s="280">
        <f>(D666+E666+D666)*3</f>
        <v>18</v>
      </c>
    </row>
    <row r="667" spans="1:9">
      <c r="A667" s="195"/>
      <c r="B667" s="233" t="s">
        <v>35504</v>
      </c>
      <c r="C667" s="234"/>
      <c r="D667" s="279">
        <v>9.35</v>
      </c>
      <c r="E667" s="278">
        <v>4.3499999999999996</v>
      </c>
      <c r="F667" s="279">
        <v>3.3</v>
      </c>
      <c r="G667" s="279">
        <v>2</v>
      </c>
      <c r="H667" s="279"/>
      <c r="I667" s="280">
        <f>(D667+E667)*2*F667</f>
        <v>90.419999999999987</v>
      </c>
    </row>
    <row r="668" spans="1:9">
      <c r="A668" s="195"/>
      <c r="B668" s="233" t="s">
        <v>35519</v>
      </c>
      <c r="C668" s="234"/>
      <c r="D668" s="279">
        <v>3.45</v>
      </c>
      <c r="E668" s="278">
        <v>2.4</v>
      </c>
      <c r="F668" s="279">
        <v>3.3</v>
      </c>
      <c r="G668" s="279">
        <v>2</v>
      </c>
      <c r="H668" s="279"/>
      <c r="I668" s="280">
        <f>(D668+D668+E668)*F668</f>
        <v>30.69</v>
      </c>
    </row>
    <row r="669" spans="1:9">
      <c r="A669" s="195"/>
      <c r="B669" s="233" t="s">
        <v>35520</v>
      </c>
      <c r="C669" s="234"/>
      <c r="D669" s="279">
        <v>1.5</v>
      </c>
      <c r="E669" s="278">
        <v>4.3499999999999996</v>
      </c>
      <c r="F669" s="279">
        <v>3.3</v>
      </c>
      <c r="G669" s="279">
        <v>2</v>
      </c>
      <c r="H669" s="279"/>
      <c r="I669" s="280">
        <f>D669*2*F669</f>
        <v>9.8999999999999986</v>
      </c>
    </row>
    <row r="670" spans="1:9">
      <c r="A670" s="195"/>
      <c r="B670" s="233" t="s">
        <v>35521</v>
      </c>
      <c r="C670" s="234"/>
      <c r="D670" s="365">
        <v>32.299999999999997</v>
      </c>
      <c r="E670" s="278">
        <v>25.3</v>
      </c>
      <c r="F670" s="279">
        <v>3.3</v>
      </c>
      <c r="G670" s="279">
        <v>2</v>
      </c>
      <c r="H670" s="279"/>
      <c r="I670" s="280">
        <f>(D670+E670)*2*F670</f>
        <v>380.15999999999997</v>
      </c>
    </row>
    <row r="671" spans="1:9">
      <c r="A671" s="195"/>
      <c r="B671" s="233" t="s">
        <v>35522</v>
      </c>
      <c r="C671" s="234"/>
      <c r="D671" s="279">
        <v>4.6500000000000004</v>
      </c>
      <c r="E671" s="278">
        <v>4.0999999999999996</v>
      </c>
      <c r="F671" s="279">
        <v>3.3</v>
      </c>
      <c r="G671" s="279">
        <v>2</v>
      </c>
      <c r="H671" s="279"/>
      <c r="I671" s="280">
        <f>(D671+D671+E671)*F671</f>
        <v>44.22</v>
      </c>
    </row>
    <row r="672" spans="1:9">
      <c r="A672" s="195"/>
      <c r="B672" s="233" t="s">
        <v>35523</v>
      </c>
      <c r="C672" s="234"/>
      <c r="D672" s="279">
        <v>4.6500000000000004</v>
      </c>
      <c r="E672" s="278">
        <v>4.0999999999999996</v>
      </c>
      <c r="F672" s="279">
        <v>3.3</v>
      </c>
      <c r="G672" s="279">
        <v>2</v>
      </c>
      <c r="H672" s="279"/>
      <c r="I672" s="280">
        <f>(D672+D672+E672)*F672</f>
        <v>44.22</v>
      </c>
    </row>
    <row r="673" spans="1:9">
      <c r="A673" s="195"/>
      <c r="B673" s="233" t="s">
        <v>35524</v>
      </c>
      <c r="C673" s="234"/>
      <c r="D673" s="279">
        <v>2</v>
      </c>
      <c r="E673" s="278">
        <v>3</v>
      </c>
      <c r="F673" s="279">
        <v>3.3</v>
      </c>
      <c r="G673" s="279">
        <v>2</v>
      </c>
      <c r="H673" s="279"/>
      <c r="I673" s="280">
        <f>D673*2*F673</f>
        <v>13.2</v>
      </c>
    </row>
    <row r="674" spans="1:9">
      <c r="A674" s="195"/>
      <c r="B674" s="233" t="s">
        <v>35525</v>
      </c>
      <c r="C674" s="234"/>
      <c r="D674" s="279">
        <v>4.3</v>
      </c>
      <c r="E674" s="278">
        <v>2.5</v>
      </c>
      <c r="F674" s="279">
        <v>3.3</v>
      </c>
      <c r="G674" s="279">
        <v>2</v>
      </c>
      <c r="H674" s="279"/>
      <c r="I674" s="280">
        <f>(D674+E674)*2*F674</f>
        <v>44.879999999999995</v>
      </c>
    </row>
    <row r="675" spans="1:9">
      <c r="A675" s="195"/>
      <c r="B675" s="233" t="s">
        <v>35526</v>
      </c>
      <c r="C675" s="234"/>
      <c r="D675" s="365">
        <v>32.299999999999997</v>
      </c>
      <c r="E675" s="278">
        <v>25.3</v>
      </c>
      <c r="F675" s="279">
        <v>3.3</v>
      </c>
      <c r="G675" s="279">
        <v>2</v>
      </c>
      <c r="H675" s="279"/>
      <c r="I675" s="280">
        <f>(D675+E675)*2*F675</f>
        <v>380.15999999999997</v>
      </c>
    </row>
    <row r="676" spans="1:9">
      <c r="A676" s="195"/>
      <c r="B676" s="233" t="s">
        <v>35527</v>
      </c>
      <c r="C676" s="234"/>
      <c r="D676" s="279">
        <v>4.6500000000000004</v>
      </c>
      <c r="E676" s="278">
        <v>4.0999999999999996</v>
      </c>
      <c r="F676" s="279">
        <v>3.3</v>
      </c>
      <c r="G676" s="279">
        <v>2</v>
      </c>
      <c r="H676" s="279"/>
      <c r="I676" s="280">
        <f>(D676+D676+E676)*F676</f>
        <v>44.22</v>
      </c>
    </row>
    <row r="677" spans="1:9">
      <c r="A677" s="195"/>
      <c r="B677" s="233" t="s">
        <v>35528</v>
      </c>
      <c r="C677" s="234"/>
      <c r="D677" s="279">
        <v>4.6500000000000004</v>
      </c>
      <c r="E677" s="278">
        <v>4.0999999999999996</v>
      </c>
      <c r="F677" s="279">
        <v>3.3</v>
      </c>
      <c r="G677" s="279">
        <v>2</v>
      </c>
      <c r="H677" s="279"/>
      <c r="I677" s="280">
        <f>(D677+D677+E677)*F677</f>
        <v>44.22</v>
      </c>
    </row>
    <row r="678" spans="1:9">
      <c r="A678" s="195"/>
      <c r="B678" s="233" t="s">
        <v>35529</v>
      </c>
      <c r="C678" s="234"/>
      <c r="D678" s="279">
        <v>2</v>
      </c>
      <c r="E678" s="278">
        <v>3</v>
      </c>
      <c r="F678" s="279">
        <v>3.3</v>
      </c>
      <c r="G678" s="279">
        <v>2</v>
      </c>
      <c r="H678" s="279"/>
      <c r="I678" s="280">
        <f>D678*2*F678</f>
        <v>13.2</v>
      </c>
    </row>
    <row r="679" spans="1:9">
      <c r="A679" s="195"/>
      <c r="B679" s="233" t="s">
        <v>35530</v>
      </c>
      <c r="C679" s="234"/>
      <c r="D679" s="279">
        <v>4.3</v>
      </c>
      <c r="E679" s="278">
        <v>2.5</v>
      </c>
      <c r="F679" s="279">
        <v>3.3</v>
      </c>
      <c r="G679" s="279">
        <v>2</v>
      </c>
      <c r="H679" s="279"/>
      <c r="I679" s="280">
        <f>(D679+E679)*2*F679</f>
        <v>44.879999999999995</v>
      </c>
    </row>
    <row r="680" spans="1:9">
      <c r="A680" s="346"/>
      <c r="B680" s="189" t="s">
        <v>35654</v>
      </c>
      <c r="C680" s="190"/>
      <c r="D680" s="271"/>
      <c r="E680" s="347"/>
      <c r="F680" s="271"/>
      <c r="G680" s="271"/>
      <c r="H680" s="271"/>
      <c r="I680" s="259"/>
    </row>
    <row r="681" spans="1:9">
      <c r="A681" s="346"/>
      <c r="B681" s="189" t="s">
        <v>35794</v>
      </c>
      <c r="C681" s="190"/>
      <c r="D681" s="271">
        <v>32</v>
      </c>
      <c r="E681" s="347">
        <v>15.1</v>
      </c>
      <c r="F681" s="271">
        <v>8</v>
      </c>
      <c r="G681" s="271">
        <v>2</v>
      </c>
      <c r="H681" s="271"/>
      <c r="I681" s="280">
        <f>(D681+E681)*2*F681</f>
        <v>753.6</v>
      </c>
    </row>
    <row r="682" spans="1:9">
      <c r="A682" s="346"/>
      <c r="B682" s="189" t="s">
        <v>35632</v>
      </c>
      <c r="C682" s="190"/>
      <c r="D682" s="271">
        <f>3.25</f>
        <v>3.25</v>
      </c>
      <c r="E682" s="347">
        <v>4.9000000000000004</v>
      </c>
      <c r="F682" s="271">
        <v>3.5</v>
      </c>
      <c r="G682" s="271">
        <v>2</v>
      </c>
      <c r="H682" s="271"/>
      <c r="I682" s="280">
        <f>(D682+E682)*2*F682</f>
        <v>57.050000000000004</v>
      </c>
    </row>
    <row r="683" spans="1:9">
      <c r="A683" s="346"/>
      <c r="B683" s="189" t="s">
        <v>35631</v>
      </c>
      <c r="C683" s="190"/>
      <c r="D683" s="271">
        <v>3.25</v>
      </c>
      <c r="E683" s="347">
        <v>4.9000000000000004</v>
      </c>
      <c r="F683" s="271">
        <v>3.5</v>
      </c>
      <c r="G683" s="271">
        <v>2</v>
      </c>
      <c r="H683" s="271"/>
      <c r="I683" s="280">
        <f>(D683+E683)*2*F683</f>
        <v>57.050000000000004</v>
      </c>
    </row>
    <row r="684" spans="1:9">
      <c r="A684" s="346"/>
      <c r="B684" s="189" t="s">
        <v>35795</v>
      </c>
      <c r="C684" s="190"/>
      <c r="D684" s="271">
        <f>1.6*2</f>
        <v>3.2</v>
      </c>
      <c r="E684" s="347">
        <v>4.9000000000000004</v>
      </c>
      <c r="F684" s="271">
        <v>3.5</v>
      </c>
      <c r="G684" s="271">
        <v>2</v>
      </c>
      <c r="H684" s="271"/>
      <c r="I684" s="280">
        <f>(D684+E684)*2*F684</f>
        <v>56.70000000000001</v>
      </c>
    </row>
    <row r="685" spans="1:9">
      <c r="A685" s="346"/>
      <c r="B685" s="189" t="s">
        <v>35788</v>
      </c>
      <c r="C685" s="190"/>
      <c r="D685" s="271">
        <v>1.6</v>
      </c>
      <c r="E685" s="347">
        <v>4.9000000000000004</v>
      </c>
      <c r="F685" s="271">
        <v>3.5</v>
      </c>
      <c r="G685" s="271">
        <v>2</v>
      </c>
      <c r="H685" s="271"/>
      <c r="I685" s="280">
        <f>(D685+E685)*2*F685</f>
        <v>45.5</v>
      </c>
    </row>
    <row r="686" spans="1:9">
      <c r="A686" s="135"/>
      <c r="B686" s="170"/>
      <c r="C686" s="136"/>
      <c r="D686" s="275"/>
      <c r="E686" s="275"/>
      <c r="F686" s="275"/>
      <c r="G686" s="276"/>
      <c r="H686" s="276"/>
      <c r="I686" s="277"/>
    </row>
    <row r="687" spans="1:9">
      <c r="A687" s="122" t="s">
        <v>9754</v>
      </c>
      <c r="B687" s="340" t="str">
        <f>VLOOKUP(A687,GLOBAL!A:H,4,FALSE)</f>
        <v>ACABAMENTOS</v>
      </c>
      <c r="C687" s="130"/>
      <c r="D687" s="341"/>
      <c r="E687" s="341"/>
      <c r="F687" s="341"/>
      <c r="G687" s="341"/>
      <c r="H687" s="341"/>
      <c r="I687" s="342"/>
    </row>
    <row r="688" spans="1:9" ht="57.6">
      <c r="A688" s="605" t="s">
        <v>9755</v>
      </c>
      <c r="B688" s="258" t="str">
        <f>VLOOKUP(A688,GLOBAL!A:H,4,FALSE)</f>
        <v>CERÂMICA RETIFICADA, ACABAMENTO BRILHANTE, DIM. 32X60CM, REF. TRADIZIONALLE BIANCO BIANCOGRES/EQUIV. ASSENTADO COM ARGAMASSA DE CIMENTO COLANTE, INCLUSIVE REJUNTAMENTO COM ARGAMASSAPRE-FABRICADA PARA REJUNTE</v>
      </c>
      <c r="C688" s="119" t="str">
        <f>VLOOKUP(A688,GLOBAL!A:H,5,FALSE)</f>
        <v>M2</v>
      </c>
      <c r="D688" s="267" t="s">
        <v>66</v>
      </c>
      <c r="E688" s="267" t="s">
        <v>70</v>
      </c>
      <c r="F688" s="267" t="s">
        <v>67</v>
      </c>
      <c r="G688" s="267" t="s">
        <v>68</v>
      </c>
      <c r="H688" s="267" t="s">
        <v>7512</v>
      </c>
      <c r="I688" s="268">
        <f>ROUND(SUM(I689:I708),2)</f>
        <v>999.56</v>
      </c>
    </row>
    <row r="689" spans="1:9">
      <c r="A689" s="198"/>
      <c r="B689" s="200" t="s">
        <v>2874</v>
      </c>
      <c r="C689" s="199"/>
      <c r="D689" s="281"/>
      <c r="E689" s="345"/>
      <c r="F689" s="281"/>
      <c r="G689" s="281"/>
      <c r="H689" s="281"/>
      <c r="I689" s="283"/>
    </row>
    <row r="690" spans="1:9">
      <c r="A690" s="195"/>
      <c r="B690" s="642" t="s">
        <v>35512</v>
      </c>
      <c r="C690" s="234"/>
      <c r="D690" s="641"/>
      <c r="E690" s="641"/>
      <c r="F690" s="279"/>
      <c r="G690" s="279"/>
      <c r="H690" s="279"/>
      <c r="I690" s="280"/>
    </row>
    <row r="691" spans="1:9">
      <c r="A691" s="195"/>
      <c r="B691" s="233" t="s">
        <v>35514</v>
      </c>
      <c r="C691" s="234"/>
      <c r="D691" s="279">
        <v>4.6500000000000004</v>
      </c>
      <c r="E691" s="278">
        <v>4.0999999999999996</v>
      </c>
      <c r="F691" s="279">
        <v>2.8</v>
      </c>
      <c r="G691" s="279"/>
      <c r="H691" s="279"/>
      <c r="I691" s="280">
        <f>(D691+E691)*2*F691</f>
        <v>49</v>
      </c>
    </row>
    <row r="692" spans="1:9">
      <c r="A692" s="195"/>
      <c r="B692" s="233" t="s">
        <v>35515</v>
      </c>
      <c r="C692" s="234"/>
      <c r="D692" s="279">
        <v>4.6500000000000004</v>
      </c>
      <c r="E692" s="278">
        <v>4.0999999999999996</v>
      </c>
      <c r="F692" s="279">
        <v>2.8</v>
      </c>
      <c r="G692" s="279"/>
      <c r="H692" s="279"/>
      <c r="I692" s="280">
        <f t="shared" ref="I692:I703" si="36">(D692+E692)*2*F692</f>
        <v>49</v>
      </c>
    </row>
    <row r="693" spans="1:9">
      <c r="A693" s="195"/>
      <c r="B693" s="233" t="s">
        <v>35516</v>
      </c>
      <c r="C693" s="234"/>
      <c r="D693" s="279">
        <v>2</v>
      </c>
      <c r="E693" s="278">
        <v>3</v>
      </c>
      <c r="F693" s="279">
        <v>2.8</v>
      </c>
      <c r="G693" s="279"/>
      <c r="H693" s="279"/>
      <c r="I693" s="280">
        <f t="shared" si="36"/>
        <v>28</v>
      </c>
    </row>
    <row r="694" spans="1:9">
      <c r="A694" s="195"/>
      <c r="B694" s="233" t="s">
        <v>35518</v>
      </c>
      <c r="C694" s="234"/>
      <c r="D694" s="279">
        <v>1.8</v>
      </c>
      <c r="E694" s="278">
        <v>2.4</v>
      </c>
      <c r="F694" s="279">
        <v>2.8</v>
      </c>
      <c r="G694" s="279"/>
      <c r="H694" s="279"/>
      <c r="I694" s="280">
        <f t="shared" si="36"/>
        <v>23.52</v>
      </c>
    </row>
    <row r="695" spans="1:9">
      <c r="A695" s="195"/>
      <c r="B695" s="233" t="s">
        <v>35504</v>
      </c>
      <c r="C695" s="234"/>
      <c r="D695" s="279">
        <v>9.35</v>
      </c>
      <c r="E695" s="278">
        <v>4.3499999999999996</v>
      </c>
      <c r="F695" s="279">
        <v>2.8</v>
      </c>
      <c r="G695" s="279"/>
      <c r="H695" s="279"/>
      <c r="I695" s="280">
        <f t="shared" si="36"/>
        <v>76.719999999999985</v>
      </c>
    </row>
    <row r="696" spans="1:9">
      <c r="A696" s="195"/>
      <c r="B696" s="233" t="s">
        <v>35519</v>
      </c>
      <c r="C696" s="234"/>
      <c r="D696" s="279">
        <v>3.45</v>
      </c>
      <c r="E696" s="278">
        <v>2.4</v>
      </c>
      <c r="F696" s="279">
        <v>2.8</v>
      </c>
      <c r="G696" s="279"/>
      <c r="H696" s="279"/>
      <c r="I696" s="280">
        <f t="shared" si="36"/>
        <v>32.76</v>
      </c>
    </row>
    <row r="697" spans="1:9">
      <c r="A697" s="195"/>
      <c r="B697" s="233" t="s">
        <v>35520</v>
      </c>
      <c r="C697" s="234"/>
      <c r="D697" s="279">
        <v>1.5</v>
      </c>
      <c r="E697" s="278">
        <v>4.3499999999999996</v>
      </c>
      <c r="F697" s="279">
        <v>2.8</v>
      </c>
      <c r="G697" s="279"/>
      <c r="H697" s="279"/>
      <c r="I697" s="280">
        <f t="shared" si="36"/>
        <v>32.76</v>
      </c>
    </row>
    <row r="698" spans="1:9">
      <c r="A698" s="195"/>
      <c r="B698" s="233" t="s">
        <v>35522</v>
      </c>
      <c r="C698" s="234"/>
      <c r="D698" s="279">
        <v>4.6500000000000004</v>
      </c>
      <c r="E698" s="278">
        <v>4.0999999999999996</v>
      </c>
      <c r="F698" s="279">
        <v>2.8</v>
      </c>
      <c r="G698" s="279"/>
      <c r="H698" s="279"/>
      <c r="I698" s="280">
        <f t="shared" si="36"/>
        <v>49</v>
      </c>
    </row>
    <row r="699" spans="1:9">
      <c r="A699" s="195"/>
      <c r="B699" s="233" t="s">
        <v>35523</v>
      </c>
      <c r="C699" s="234"/>
      <c r="D699" s="279">
        <v>4.6500000000000004</v>
      </c>
      <c r="E699" s="278">
        <v>4.0999999999999996</v>
      </c>
      <c r="F699" s="279">
        <v>2.8</v>
      </c>
      <c r="G699" s="279"/>
      <c r="H699" s="279"/>
      <c r="I699" s="280">
        <f t="shared" si="36"/>
        <v>49</v>
      </c>
    </row>
    <row r="700" spans="1:9">
      <c r="A700" s="195"/>
      <c r="B700" s="233" t="s">
        <v>35524</v>
      </c>
      <c r="C700" s="234"/>
      <c r="D700" s="279">
        <v>2</v>
      </c>
      <c r="E700" s="278">
        <v>3</v>
      </c>
      <c r="F700" s="279">
        <v>2.8</v>
      </c>
      <c r="G700" s="279"/>
      <c r="H700" s="279"/>
      <c r="I700" s="280">
        <f t="shared" si="36"/>
        <v>28</v>
      </c>
    </row>
    <row r="701" spans="1:9">
      <c r="A701" s="195"/>
      <c r="B701" s="233" t="s">
        <v>35527</v>
      </c>
      <c r="C701" s="234"/>
      <c r="D701" s="279">
        <v>4.6500000000000004</v>
      </c>
      <c r="E701" s="278">
        <v>4.0999999999999996</v>
      </c>
      <c r="F701" s="279">
        <v>2.8</v>
      </c>
      <c r="G701" s="279"/>
      <c r="H701" s="279"/>
      <c r="I701" s="280">
        <f t="shared" si="36"/>
        <v>49</v>
      </c>
    </row>
    <row r="702" spans="1:9">
      <c r="A702" s="195"/>
      <c r="B702" s="233" t="s">
        <v>35528</v>
      </c>
      <c r="C702" s="234"/>
      <c r="D702" s="279">
        <v>4.6500000000000004</v>
      </c>
      <c r="E702" s="278">
        <v>4.0999999999999996</v>
      </c>
      <c r="F702" s="279">
        <v>2.8</v>
      </c>
      <c r="G702" s="279"/>
      <c r="H702" s="279"/>
      <c r="I702" s="280">
        <f t="shared" si="36"/>
        <v>49</v>
      </c>
    </row>
    <row r="703" spans="1:9">
      <c r="A703" s="195"/>
      <c r="B703" s="233" t="s">
        <v>35529</v>
      </c>
      <c r="C703" s="234"/>
      <c r="D703" s="279">
        <v>2</v>
      </c>
      <c r="E703" s="278">
        <v>3</v>
      </c>
      <c r="F703" s="279">
        <v>2.8</v>
      </c>
      <c r="G703" s="279"/>
      <c r="H703" s="279"/>
      <c r="I703" s="280">
        <f t="shared" si="36"/>
        <v>28</v>
      </c>
    </row>
    <row r="704" spans="1:9">
      <c r="A704" s="346"/>
      <c r="B704" s="189" t="s">
        <v>35654</v>
      </c>
      <c r="C704" s="190"/>
      <c r="D704" s="271"/>
      <c r="E704" s="347"/>
      <c r="F704" s="271"/>
      <c r="G704" s="271"/>
      <c r="H704" s="271"/>
      <c r="I704" s="259">
        <v>320</v>
      </c>
    </row>
    <row r="705" spans="1:9">
      <c r="A705" s="195"/>
      <c r="B705" s="233" t="s">
        <v>35514</v>
      </c>
      <c r="C705" s="234"/>
      <c r="D705" s="279">
        <v>3.25</v>
      </c>
      <c r="E705" s="278">
        <v>4.9000000000000004</v>
      </c>
      <c r="F705" s="279">
        <v>2.8</v>
      </c>
      <c r="G705" s="279"/>
      <c r="H705" s="279"/>
      <c r="I705" s="280">
        <f>(D705+E705)*2*F705</f>
        <v>45.64</v>
      </c>
    </row>
    <row r="706" spans="1:9">
      <c r="A706" s="195"/>
      <c r="B706" s="233" t="s">
        <v>35515</v>
      </c>
      <c r="C706" s="234"/>
      <c r="D706" s="279">
        <v>3.25</v>
      </c>
      <c r="E706" s="278">
        <v>4.9000000000000004</v>
      </c>
      <c r="F706" s="279">
        <v>2.8</v>
      </c>
      <c r="G706" s="279"/>
      <c r="H706" s="279"/>
      <c r="I706" s="280">
        <f t="shared" ref="I706:I707" si="37">(D706+E706)*2*F706</f>
        <v>45.64</v>
      </c>
    </row>
    <row r="707" spans="1:9">
      <c r="A707" s="195"/>
      <c r="B707" s="233" t="s">
        <v>35516</v>
      </c>
      <c r="C707" s="234"/>
      <c r="D707" s="279">
        <v>2.4500000000000002</v>
      </c>
      <c r="E707" s="278">
        <v>1.6</v>
      </c>
      <c r="F707" s="279">
        <v>2.8</v>
      </c>
      <c r="G707" s="279"/>
      <c r="H707" s="279"/>
      <c r="I707" s="280">
        <f t="shared" si="37"/>
        <v>22.680000000000003</v>
      </c>
    </row>
    <row r="708" spans="1:9">
      <c r="A708" s="195"/>
      <c r="B708" s="233" t="s">
        <v>35776</v>
      </c>
      <c r="C708" s="234"/>
      <c r="D708" s="279">
        <v>2.2999999999999998</v>
      </c>
      <c r="E708" s="278">
        <v>1.6</v>
      </c>
      <c r="F708" s="279">
        <v>2.8</v>
      </c>
      <c r="G708" s="279"/>
      <c r="H708" s="279"/>
      <c r="I708" s="280">
        <f t="shared" ref="I708" si="38">(D708+E708)*2*F708</f>
        <v>21.84</v>
      </c>
    </row>
    <row r="709" spans="1:9">
      <c r="A709" s="135"/>
      <c r="B709" s="170"/>
      <c r="C709" s="136"/>
      <c r="D709" s="275"/>
      <c r="E709" s="275"/>
      <c r="F709" s="275"/>
      <c r="G709" s="276"/>
      <c r="H709" s="276"/>
      <c r="I709" s="277"/>
    </row>
    <row r="710" spans="1:9">
      <c r="A710" s="173" t="s">
        <v>10354</v>
      </c>
      <c r="B710" s="171" t="str">
        <f>VLOOKUP(A710,GLOBAL!A:H,4,FALSE)</f>
        <v>REVESTIMENTOS EMPREGANDO ARGAMASSA DE CIMENTO, CAL E AREIA</v>
      </c>
      <c r="C710" s="172"/>
      <c r="D710" s="265"/>
      <c r="E710" s="265"/>
      <c r="F710" s="265"/>
      <c r="G710" s="265"/>
      <c r="H710" s="265"/>
      <c r="I710" s="266"/>
    </row>
    <row r="711" spans="1:9" ht="28.8">
      <c r="A711" s="119" t="s">
        <v>10355</v>
      </c>
      <c r="B711" s="258" t="str">
        <f>VLOOKUP(A711,GLOBAL!A:H,4,FALSE)</f>
        <v>EMBOÇO DE ARGAMASSA DE CIMENTO, CAL HIDRATADA CH1 E AREIA MÉDIA OU GROSSA LAVADA NO TRAÇO 1:0.5:6, ESPESSURA 20 MM</v>
      </c>
      <c r="C711" s="119" t="str">
        <f>VLOOKUP(A711,GLOBAL!A:H,5,FALSE)</f>
        <v>M2</v>
      </c>
      <c r="D711" s="267" t="s">
        <v>66</v>
      </c>
      <c r="E711" s="267" t="s">
        <v>70</v>
      </c>
      <c r="F711" s="267" t="s">
        <v>67</v>
      </c>
      <c r="G711" s="267" t="s">
        <v>68</v>
      </c>
      <c r="H711" s="267" t="s">
        <v>71</v>
      </c>
      <c r="I711" s="268">
        <f>ROUND(SUM(I712:I731),2)</f>
        <v>1038.4000000000001</v>
      </c>
    </row>
    <row r="712" spans="1:9">
      <c r="A712" s="198"/>
      <c r="B712" s="200" t="s">
        <v>2874</v>
      </c>
      <c r="C712" s="199"/>
      <c r="D712" s="281"/>
      <c r="E712" s="282"/>
      <c r="F712" s="281"/>
      <c r="G712" s="281"/>
      <c r="H712" s="281"/>
      <c r="I712" s="283"/>
    </row>
    <row r="713" spans="1:9">
      <c r="A713" s="195"/>
      <c r="B713" s="642" t="s">
        <v>35512</v>
      </c>
      <c r="C713" s="234"/>
      <c r="D713" s="641"/>
      <c r="E713" s="641"/>
      <c r="F713" s="279"/>
      <c r="G713" s="279"/>
      <c r="H713" s="279"/>
      <c r="I713" s="280"/>
    </row>
    <row r="714" spans="1:9">
      <c r="A714" s="195"/>
      <c r="B714" s="233" t="s">
        <v>35514</v>
      </c>
      <c r="C714" s="234"/>
      <c r="D714" s="279">
        <v>4.6500000000000004</v>
      </c>
      <c r="E714" s="278">
        <v>4.0999999999999996</v>
      </c>
      <c r="F714" s="279">
        <v>3</v>
      </c>
      <c r="G714" s="279"/>
      <c r="H714" s="279"/>
      <c r="I714" s="280">
        <f>(D714+E714)*2*F714</f>
        <v>52.5</v>
      </c>
    </row>
    <row r="715" spans="1:9">
      <c r="A715" s="195"/>
      <c r="B715" s="233" t="s">
        <v>35515</v>
      </c>
      <c r="C715" s="234"/>
      <c r="D715" s="279">
        <v>4.6500000000000004</v>
      </c>
      <c r="E715" s="278">
        <v>4.0999999999999996</v>
      </c>
      <c r="F715" s="279">
        <v>3</v>
      </c>
      <c r="G715" s="279"/>
      <c r="H715" s="279"/>
      <c r="I715" s="280">
        <f t="shared" ref="I715:I726" si="39">(D715+E715)*2*F715</f>
        <v>52.5</v>
      </c>
    </row>
    <row r="716" spans="1:9">
      <c r="A716" s="195"/>
      <c r="B716" s="233" t="s">
        <v>35516</v>
      </c>
      <c r="C716" s="234"/>
      <c r="D716" s="279">
        <v>2</v>
      </c>
      <c r="E716" s="278">
        <v>3</v>
      </c>
      <c r="F716" s="279">
        <v>3</v>
      </c>
      <c r="G716" s="279"/>
      <c r="H716" s="279"/>
      <c r="I716" s="280">
        <f t="shared" si="39"/>
        <v>30</v>
      </c>
    </row>
    <row r="717" spans="1:9">
      <c r="A717" s="195"/>
      <c r="B717" s="233" t="s">
        <v>35518</v>
      </c>
      <c r="C717" s="234"/>
      <c r="D717" s="279">
        <v>1.8</v>
      </c>
      <c r="E717" s="278">
        <v>2.4</v>
      </c>
      <c r="F717" s="279">
        <v>3</v>
      </c>
      <c r="G717" s="279"/>
      <c r="H717" s="279"/>
      <c r="I717" s="280">
        <f t="shared" si="39"/>
        <v>25.200000000000003</v>
      </c>
    </row>
    <row r="718" spans="1:9">
      <c r="A718" s="195"/>
      <c r="B718" s="233" t="s">
        <v>35504</v>
      </c>
      <c r="C718" s="234"/>
      <c r="D718" s="279">
        <v>9.35</v>
      </c>
      <c r="E718" s="278">
        <v>4.3499999999999996</v>
      </c>
      <c r="F718" s="279">
        <v>3</v>
      </c>
      <c r="G718" s="279"/>
      <c r="H718" s="279"/>
      <c r="I718" s="280">
        <f t="shared" si="39"/>
        <v>82.199999999999989</v>
      </c>
    </row>
    <row r="719" spans="1:9">
      <c r="A719" s="195"/>
      <c r="B719" s="233" t="s">
        <v>35519</v>
      </c>
      <c r="C719" s="234"/>
      <c r="D719" s="279">
        <v>3.45</v>
      </c>
      <c r="E719" s="278">
        <v>2.4</v>
      </c>
      <c r="F719" s="279">
        <v>3</v>
      </c>
      <c r="G719" s="279"/>
      <c r="H719" s="279"/>
      <c r="I719" s="280">
        <f t="shared" si="39"/>
        <v>35.099999999999994</v>
      </c>
    </row>
    <row r="720" spans="1:9">
      <c r="A720" s="195"/>
      <c r="B720" s="233" t="s">
        <v>35520</v>
      </c>
      <c r="C720" s="234"/>
      <c r="D720" s="279">
        <v>1.5</v>
      </c>
      <c r="E720" s="278">
        <v>4.3499999999999996</v>
      </c>
      <c r="F720" s="279">
        <v>3</v>
      </c>
      <c r="G720" s="279"/>
      <c r="H720" s="279"/>
      <c r="I720" s="280">
        <f t="shared" si="39"/>
        <v>35.099999999999994</v>
      </c>
    </row>
    <row r="721" spans="1:9">
      <c r="A721" s="195"/>
      <c r="B721" s="233" t="s">
        <v>35522</v>
      </c>
      <c r="C721" s="234"/>
      <c r="D721" s="279">
        <v>4.6500000000000004</v>
      </c>
      <c r="E721" s="278">
        <v>4.0999999999999996</v>
      </c>
      <c r="F721" s="279">
        <v>3</v>
      </c>
      <c r="G721" s="279"/>
      <c r="H721" s="279"/>
      <c r="I721" s="280">
        <f t="shared" si="39"/>
        <v>52.5</v>
      </c>
    </row>
    <row r="722" spans="1:9">
      <c r="A722" s="195"/>
      <c r="B722" s="233" t="s">
        <v>35523</v>
      </c>
      <c r="C722" s="234"/>
      <c r="D722" s="279">
        <v>4.6500000000000004</v>
      </c>
      <c r="E722" s="278">
        <v>4.0999999999999996</v>
      </c>
      <c r="F722" s="279">
        <v>3</v>
      </c>
      <c r="G722" s="279"/>
      <c r="H722" s="279"/>
      <c r="I722" s="280">
        <f t="shared" si="39"/>
        <v>52.5</v>
      </c>
    </row>
    <row r="723" spans="1:9">
      <c r="A723" s="195"/>
      <c r="B723" s="233" t="s">
        <v>35524</v>
      </c>
      <c r="C723" s="234"/>
      <c r="D723" s="279">
        <v>2</v>
      </c>
      <c r="E723" s="278">
        <v>3</v>
      </c>
      <c r="F723" s="279">
        <v>3</v>
      </c>
      <c r="G723" s="279"/>
      <c r="H723" s="279"/>
      <c r="I723" s="280">
        <f t="shared" si="39"/>
        <v>30</v>
      </c>
    </row>
    <row r="724" spans="1:9">
      <c r="A724" s="195"/>
      <c r="B724" s="233" t="s">
        <v>35527</v>
      </c>
      <c r="C724" s="234"/>
      <c r="D724" s="279">
        <v>4.6500000000000004</v>
      </c>
      <c r="E724" s="278">
        <v>4.0999999999999996</v>
      </c>
      <c r="F724" s="279">
        <v>3</v>
      </c>
      <c r="G724" s="279"/>
      <c r="H724" s="279"/>
      <c r="I724" s="280">
        <f t="shared" si="39"/>
        <v>52.5</v>
      </c>
    </row>
    <row r="725" spans="1:9">
      <c r="A725" s="195"/>
      <c r="B725" s="233" t="s">
        <v>35528</v>
      </c>
      <c r="C725" s="234"/>
      <c r="D725" s="279">
        <v>4.6500000000000004</v>
      </c>
      <c r="E725" s="278">
        <v>4.0999999999999996</v>
      </c>
      <c r="F725" s="279">
        <v>3</v>
      </c>
      <c r="G725" s="279"/>
      <c r="H725" s="279"/>
      <c r="I725" s="280">
        <f t="shared" si="39"/>
        <v>52.5</v>
      </c>
    </row>
    <row r="726" spans="1:9">
      <c r="A726" s="195"/>
      <c r="B726" s="233" t="s">
        <v>35529</v>
      </c>
      <c r="C726" s="234"/>
      <c r="D726" s="279">
        <v>2</v>
      </c>
      <c r="E726" s="278">
        <v>3</v>
      </c>
      <c r="F726" s="279">
        <v>3</v>
      </c>
      <c r="G726" s="279"/>
      <c r="H726" s="279"/>
      <c r="I726" s="280">
        <f t="shared" si="39"/>
        <v>30</v>
      </c>
    </row>
    <row r="727" spans="1:9">
      <c r="A727" s="195"/>
      <c r="B727" s="189" t="s">
        <v>35654</v>
      </c>
      <c r="C727" s="190"/>
      <c r="D727" s="271"/>
      <c r="E727" s="271"/>
      <c r="F727" s="271"/>
      <c r="G727" s="271"/>
      <c r="H727" s="271"/>
      <c r="I727" s="259">
        <v>320</v>
      </c>
    </row>
    <row r="728" spans="1:9">
      <c r="A728" s="195"/>
      <c r="B728" s="233" t="s">
        <v>35514</v>
      </c>
      <c r="C728" s="234"/>
      <c r="D728" s="279">
        <v>3.25</v>
      </c>
      <c r="E728" s="278">
        <v>4.9000000000000004</v>
      </c>
      <c r="F728" s="279">
        <v>2.8</v>
      </c>
      <c r="G728" s="279"/>
      <c r="H728" s="279"/>
      <c r="I728" s="280">
        <f>(D728+E728)*2*F728</f>
        <v>45.64</v>
      </c>
    </row>
    <row r="729" spans="1:9">
      <c r="A729" s="195"/>
      <c r="B729" s="233" t="s">
        <v>35515</v>
      </c>
      <c r="C729" s="234"/>
      <c r="D729" s="279">
        <v>3.25</v>
      </c>
      <c r="E729" s="278">
        <v>4.9000000000000004</v>
      </c>
      <c r="F729" s="279">
        <v>2.8</v>
      </c>
      <c r="G729" s="279"/>
      <c r="H729" s="279"/>
      <c r="I729" s="280">
        <f t="shared" ref="I729:I731" si="40">(D729+E729)*2*F729</f>
        <v>45.64</v>
      </c>
    </row>
    <row r="730" spans="1:9">
      <c r="A730" s="195"/>
      <c r="B730" s="233" t="s">
        <v>35516</v>
      </c>
      <c r="C730" s="234"/>
      <c r="D730" s="279">
        <v>2.4500000000000002</v>
      </c>
      <c r="E730" s="278">
        <v>1.6</v>
      </c>
      <c r="F730" s="279">
        <v>2.8</v>
      </c>
      <c r="G730" s="279"/>
      <c r="H730" s="279"/>
      <c r="I730" s="280">
        <f t="shared" si="40"/>
        <v>22.680000000000003</v>
      </c>
    </row>
    <row r="731" spans="1:9">
      <c r="A731" s="195"/>
      <c r="B731" s="233" t="s">
        <v>35776</v>
      </c>
      <c r="C731" s="234"/>
      <c r="D731" s="279">
        <v>2.2999999999999998</v>
      </c>
      <c r="E731" s="278">
        <v>1.6</v>
      </c>
      <c r="F731" s="279">
        <v>2.8</v>
      </c>
      <c r="G731" s="279"/>
      <c r="H731" s="279"/>
      <c r="I731" s="280">
        <f t="shared" si="40"/>
        <v>21.84</v>
      </c>
    </row>
    <row r="732" spans="1:9">
      <c r="A732" s="135"/>
      <c r="B732" s="170"/>
      <c r="C732" s="136"/>
      <c r="D732" s="275"/>
      <c r="E732" s="275"/>
      <c r="F732" s="275"/>
      <c r="G732" s="276"/>
      <c r="H732" s="276"/>
      <c r="I732" s="277"/>
    </row>
    <row r="733" spans="1:9" ht="43.2">
      <c r="A733" s="119" t="s">
        <v>10356</v>
      </c>
      <c r="B733" s="258" t="str">
        <f>VLOOKUP(A733,GLOBAL!A:H,4,FALSE)</f>
        <v>REBOCO TIPO PAULISTA DE ARGAMASSA DE CIMENTO, CAL HIDRATADA CH1 E AREIA MÉDIA OU GROSSA LAVADA NO TRAÇO 1:0.5:6, ESPESSURA 25 MM</v>
      </c>
      <c r="C733" s="119" t="str">
        <f>VLOOKUP(A733,GLOBAL!A:H,5,FALSE)</f>
        <v>M2</v>
      </c>
      <c r="D733" s="267" t="s">
        <v>66</v>
      </c>
      <c r="E733" s="267" t="s">
        <v>70</v>
      </c>
      <c r="F733" s="267" t="s">
        <v>67</v>
      </c>
      <c r="G733" s="267" t="s">
        <v>68</v>
      </c>
      <c r="H733" s="267" t="s">
        <v>71</v>
      </c>
      <c r="I733" s="268">
        <f>ROUND(SUM(I735:I744),2)</f>
        <v>4787.1499999999996</v>
      </c>
    </row>
    <row r="734" spans="1:9">
      <c r="A734" s="198"/>
      <c r="B734" s="200" t="s">
        <v>2874</v>
      </c>
      <c r="C734" s="199"/>
      <c r="D734" s="281"/>
      <c r="E734" s="282"/>
      <c r="F734" s="281"/>
      <c r="G734" s="281"/>
      <c r="H734" s="281"/>
      <c r="I734" s="283"/>
    </row>
    <row r="735" spans="1:9">
      <c r="A735" s="195"/>
      <c r="B735" s="642" t="s">
        <v>35512</v>
      </c>
      <c r="C735" s="234"/>
      <c r="D735" s="641"/>
      <c r="E735" s="641"/>
      <c r="F735" s="279"/>
      <c r="G735" s="279"/>
      <c r="H735" s="279"/>
      <c r="I735" s="280"/>
    </row>
    <row r="736" spans="1:9">
      <c r="A736" s="195"/>
      <c r="B736" s="233" t="s">
        <v>35513</v>
      </c>
      <c r="C736" s="234"/>
      <c r="D736" s="365">
        <v>32.299999999999997</v>
      </c>
      <c r="E736" s="278">
        <v>25.3</v>
      </c>
      <c r="F736" s="279">
        <v>3.3</v>
      </c>
      <c r="G736" s="279">
        <v>2</v>
      </c>
      <c r="H736" s="279"/>
      <c r="I736" s="280">
        <f>(D736+E736)*2*F736*G736</f>
        <v>760.31999999999994</v>
      </c>
    </row>
    <row r="737" spans="1:9">
      <c r="A737" s="195"/>
      <c r="B737" s="233" t="s">
        <v>35517</v>
      </c>
      <c r="C737" s="234"/>
      <c r="D737" s="279">
        <v>4.6500000000000004</v>
      </c>
      <c r="E737" s="278">
        <v>5.0999999999999996</v>
      </c>
      <c r="F737" s="279">
        <v>3.3</v>
      </c>
      <c r="G737" s="279"/>
      <c r="H737" s="279"/>
      <c r="I737" s="280">
        <f t="shared" ref="I737:I742" si="41">(D737+E737)*2*F737</f>
        <v>64.349999999999994</v>
      </c>
    </row>
    <row r="738" spans="1:9">
      <c r="A738" s="195"/>
      <c r="B738" s="233" t="s">
        <v>35517</v>
      </c>
      <c r="C738" s="234"/>
      <c r="D738" s="279">
        <v>4.3</v>
      </c>
      <c r="E738" s="278">
        <v>2.5</v>
      </c>
      <c r="F738" s="279">
        <v>3.3</v>
      </c>
      <c r="G738" s="279"/>
      <c r="H738" s="279"/>
      <c r="I738" s="280">
        <f t="shared" si="41"/>
        <v>44.879999999999995</v>
      </c>
    </row>
    <row r="739" spans="1:9">
      <c r="A739" s="195"/>
      <c r="B739" s="233" t="s">
        <v>35521</v>
      </c>
      <c r="C739" s="234"/>
      <c r="D739" s="365">
        <v>32.299999999999997</v>
      </c>
      <c r="E739" s="278">
        <v>25.3</v>
      </c>
      <c r="F739" s="279">
        <v>3.3</v>
      </c>
      <c r="G739" s="279">
        <v>2</v>
      </c>
      <c r="H739" s="279"/>
      <c r="I739" s="280">
        <f>(D739+E739)*2*F739*G739</f>
        <v>760.31999999999994</v>
      </c>
    </row>
    <row r="740" spans="1:9">
      <c r="A740" s="195"/>
      <c r="B740" s="233" t="s">
        <v>35525</v>
      </c>
      <c r="C740" s="234"/>
      <c r="D740" s="279">
        <v>4.3</v>
      </c>
      <c r="E740" s="278">
        <v>2.5</v>
      </c>
      <c r="F740" s="279">
        <v>3.3</v>
      </c>
      <c r="G740" s="279"/>
      <c r="H740" s="279"/>
      <c r="I740" s="280">
        <f t="shared" si="41"/>
        <v>44.879999999999995</v>
      </c>
    </row>
    <row r="741" spans="1:9">
      <c r="A741" s="195"/>
      <c r="B741" s="233" t="s">
        <v>35526</v>
      </c>
      <c r="C741" s="234"/>
      <c r="D741" s="365">
        <v>32.299999999999997</v>
      </c>
      <c r="E741" s="278">
        <v>25.3</v>
      </c>
      <c r="F741" s="279">
        <v>3.3</v>
      </c>
      <c r="G741" s="279">
        <v>2</v>
      </c>
      <c r="H741" s="279"/>
      <c r="I741" s="280">
        <f>(D741+E741)*2*F741*G741</f>
        <v>760.31999999999994</v>
      </c>
    </row>
    <row r="742" spans="1:9">
      <c r="A742" s="195"/>
      <c r="B742" s="233" t="s">
        <v>35530</v>
      </c>
      <c r="C742" s="234"/>
      <c r="D742" s="279">
        <v>4.3</v>
      </c>
      <c r="E742" s="278">
        <v>2.5</v>
      </c>
      <c r="F742" s="279">
        <v>3.3</v>
      </c>
      <c r="G742" s="279"/>
      <c r="H742" s="279"/>
      <c r="I742" s="280">
        <f t="shared" si="41"/>
        <v>44.879999999999995</v>
      </c>
    </row>
    <row r="743" spans="1:9">
      <c r="A743" s="195"/>
      <c r="B743" s="189" t="s">
        <v>35654</v>
      </c>
      <c r="C743" s="190"/>
      <c r="D743" s="271"/>
      <c r="E743" s="271"/>
      <c r="F743" s="271"/>
      <c r="G743" s="271"/>
      <c r="H743" s="271"/>
      <c r="I743" s="259">
        <v>800</v>
      </c>
    </row>
    <row r="744" spans="1:9">
      <c r="A744" s="346"/>
      <c r="B744" s="189" t="s">
        <v>35794</v>
      </c>
      <c r="C744" s="190"/>
      <c r="D744" s="271">
        <v>32</v>
      </c>
      <c r="E744" s="347">
        <v>15.1</v>
      </c>
      <c r="F744" s="271">
        <v>8</v>
      </c>
      <c r="G744" s="271">
        <v>2</v>
      </c>
      <c r="H744" s="271"/>
      <c r="I744" s="280">
        <f>(D744+E744)*2*F744*G744</f>
        <v>1507.2</v>
      </c>
    </row>
    <row r="745" spans="1:9">
      <c r="A745" s="135"/>
      <c r="B745" s="170"/>
      <c r="C745" s="136"/>
      <c r="D745" s="275"/>
      <c r="E745" s="275"/>
      <c r="F745" s="275"/>
      <c r="G745" s="276"/>
      <c r="H745" s="276"/>
      <c r="I745" s="277"/>
    </row>
    <row r="746" spans="1:9">
      <c r="A746" s="344" t="s">
        <v>15756</v>
      </c>
      <c r="B746" s="340" t="str">
        <f>VLOOKUP(A746,GLOBAL!A:H,4,FALSE)</f>
        <v>PISOS INTERNOS E EXTERNOS</v>
      </c>
      <c r="C746" s="130"/>
      <c r="D746" s="341"/>
      <c r="E746" s="341"/>
      <c r="F746" s="341"/>
      <c r="G746" s="341"/>
      <c r="H746" s="341"/>
      <c r="I746" s="342"/>
    </row>
    <row r="747" spans="1:9">
      <c r="A747" s="122" t="s">
        <v>9756</v>
      </c>
      <c r="B747" s="340" t="str">
        <f>VLOOKUP(A747,GLOBAL!A:H,4,FALSE)</f>
        <v>LASTRO DE CONTRAPISO</v>
      </c>
      <c r="C747" s="130"/>
      <c r="D747" s="341"/>
      <c r="E747" s="341"/>
      <c r="F747" s="341"/>
      <c r="G747" s="341"/>
      <c r="H747" s="341"/>
      <c r="I747" s="342"/>
    </row>
    <row r="748" spans="1:9" ht="57.6">
      <c r="A748" s="119" t="s">
        <v>15759</v>
      </c>
      <c r="B748" s="258" t="str">
        <f>VLOOKUP(A748,GLOBAL!A:H,4,FALSE)</f>
        <v>CONTRAPISO EM ARGAMASSA TRAÇO 1:4 (CIMENTO E AREIA), PREPARO MECÂNICO COM BETONEIRA 400 L, APLICADO EM ÁREAS MOLHADAS SOBRE LAJE, ADERIDO, ACABAMENTO NÃO REFORÇADO, ESPESSURA 3CM. AF_07/2021</v>
      </c>
      <c r="C748" s="119" t="str">
        <f>VLOOKUP(A748,GLOBAL!A:H,5,FALSE)</f>
        <v>M2</v>
      </c>
      <c r="D748" s="267" t="s">
        <v>66</v>
      </c>
      <c r="E748" s="267" t="s">
        <v>70</v>
      </c>
      <c r="F748" s="267" t="s">
        <v>67</v>
      </c>
      <c r="G748" s="267" t="s">
        <v>68</v>
      </c>
      <c r="H748" s="267" t="s">
        <v>71</v>
      </c>
      <c r="I748" s="268">
        <f>ROUND(SUM(I749:I755),2)</f>
        <v>2563.25</v>
      </c>
    </row>
    <row r="749" spans="1:9">
      <c r="A749" s="198"/>
      <c r="B749" s="200" t="s">
        <v>2874</v>
      </c>
      <c r="C749" s="199"/>
      <c r="D749" s="281"/>
      <c r="E749" s="282"/>
      <c r="F749" s="281"/>
      <c r="G749" s="281"/>
      <c r="H749" s="281"/>
      <c r="I749" s="283"/>
    </row>
    <row r="750" spans="1:9">
      <c r="A750" s="198"/>
      <c r="B750" s="189" t="s">
        <v>35778</v>
      </c>
      <c r="C750" s="199"/>
      <c r="D750" s="660"/>
      <c r="E750" s="661"/>
      <c r="F750" s="281"/>
      <c r="G750" s="281"/>
      <c r="H750" s="281"/>
      <c r="I750" s="607"/>
    </row>
    <row r="751" spans="1:9">
      <c r="A751" s="198"/>
      <c r="B751" s="189" t="s">
        <v>35598</v>
      </c>
      <c r="C751" s="199"/>
      <c r="D751" s="660">
        <v>32.299999999999997</v>
      </c>
      <c r="E751" s="661">
        <v>25.3</v>
      </c>
      <c r="F751" s="281"/>
      <c r="G751" s="281"/>
      <c r="H751" s="281">
        <f>(4.65*4.95)+(2.2*10.6)</f>
        <v>46.337500000000006</v>
      </c>
      <c r="I751" s="607">
        <f>D751*E751-H751</f>
        <v>770.85249999999996</v>
      </c>
    </row>
    <row r="752" spans="1:9">
      <c r="A752" s="198"/>
      <c r="B752" s="189" t="s">
        <v>35599</v>
      </c>
      <c r="C752" s="199"/>
      <c r="D752" s="660">
        <v>27.25</v>
      </c>
      <c r="E752" s="661">
        <v>25.3</v>
      </c>
      <c r="F752" s="281"/>
      <c r="G752" s="281"/>
      <c r="H752" s="281">
        <f>(4.65*4.95)+(2.2*10.6)</f>
        <v>46.337500000000006</v>
      </c>
      <c r="I752" s="607">
        <f>D752*E752-H752</f>
        <v>643.08750000000009</v>
      </c>
    </row>
    <row r="753" spans="1:9">
      <c r="A753" s="198"/>
      <c r="B753" s="189" t="s">
        <v>35600</v>
      </c>
      <c r="C753" s="199"/>
      <c r="D753" s="660">
        <v>27.25</v>
      </c>
      <c r="E753" s="661">
        <v>25.3</v>
      </c>
      <c r="F753" s="281"/>
      <c r="G753" s="281"/>
      <c r="H753" s="281">
        <f>(2.2*10.6)</f>
        <v>23.32</v>
      </c>
      <c r="I753" s="607">
        <f>D753*E753-H753</f>
        <v>666.10500000000002</v>
      </c>
    </row>
    <row r="754" spans="1:9">
      <c r="A754" s="195"/>
      <c r="B754" s="189" t="s">
        <v>35654</v>
      </c>
      <c r="C754" s="190"/>
      <c r="D754" s="271"/>
      <c r="E754" s="271"/>
      <c r="F754" s="271"/>
      <c r="G754" s="271"/>
      <c r="H754" s="271"/>
      <c r="I754" s="259"/>
    </row>
    <row r="755" spans="1:9">
      <c r="A755" s="198"/>
      <c r="B755" s="189" t="s">
        <v>35598</v>
      </c>
      <c r="C755" s="199"/>
      <c r="D755" s="660">
        <v>32</v>
      </c>
      <c r="E755" s="661">
        <v>15.1</v>
      </c>
      <c r="F755" s="281"/>
      <c r="G755" s="281"/>
      <c r="H755" s="281">
        <v>0</v>
      </c>
      <c r="I755" s="607">
        <f>D755*E755-H755</f>
        <v>483.2</v>
      </c>
    </row>
    <row r="756" spans="1:9">
      <c r="A756" s="135"/>
      <c r="B756" s="170"/>
      <c r="C756" s="136"/>
      <c r="D756" s="275"/>
      <c r="E756" s="275"/>
      <c r="F756" s="275"/>
      <c r="G756" s="276"/>
      <c r="H756" s="276"/>
      <c r="I756" s="277"/>
    </row>
    <row r="757" spans="1:9">
      <c r="A757" s="122" t="s">
        <v>35267</v>
      </c>
      <c r="B757" s="340" t="str">
        <f>VLOOKUP(A757,GLOBAL!A:H,4,FALSE)</f>
        <v>ACABAMENTOS</v>
      </c>
      <c r="C757" s="130"/>
      <c r="D757" s="341"/>
      <c r="E757" s="341"/>
      <c r="F757" s="341"/>
      <c r="G757" s="341"/>
      <c r="H757" s="341"/>
      <c r="I757" s="342"/>
    </row>
    <row r="758" spans="1:9" ht="43.2">
      <c r="A758" s="605" t="s">
        <v>35269</v>
      </c>
      <c r="B758" s="258" t="str">
        <f>VLOOKUP(A758,GLOBAL!A:H,4,FALSE)</f>
        <v>PISO CIMENTADO LISO COM 1.5 CM DE ESPESSURA, DE ARGAMASSA DE CIMENTO E AREIA NO TRAÇO 1:3 E JUNTAS PLÁSTICAS EM QUADROS DE 1 M</v>
      </c>
      <c r="C758" s="119" t="str">
        <f>VLOOKUP(A758,GLOBAL!A:H,5,FALSE)</f>
        <v>M2</v>
      </c>
      <c r="D758" s="267" t="s">
        <v>66</v>
      </c>
      <c r="E758" s="267" t="s">
        <v>70</v>
      </c>
      <c r="F758" s="267" t="s">
        <v>67</v>
      </c>
      <c r="G758" s="267" t="s">
        <v>68</v>
      </c>
      <c r="H758" s="267" t="s">
        <v>71</v>
      </c>
      <c r="I758" s="268">
        <f>ROUND(SUM(I759:I761),2)</f>
        <v>1090.3699999999999</v>
      </c>
    </row>
    <row r="759" spans="1:9">
      <c r="A759" s="198"/>
      <c r="B759" s="200" t="s">
        <v>2874</v>
      </c>
      <c r="C759" s="199"/>
      <c r="D759" s="281"/>
      <c r="E759" s="282"/>
      <c r="F759" s="281"/>
      <c r="G759" s="281"/>
      <c r="H759" s="281"/>
      <c r="I759" s="283"/>
    </row>
    <row r="760" spans="1:9">
      <c r="A760" s="195"/>
      <c r="B760" s="233" t="s">
        <v>35796</v>
      </c>
      <c r="C760" s="234"/>
      <c r="D760" s="721">
        <v>1090.3699999999999</v>
      </c>
      <c r="E760" s="722"/>
      <c r="F760" s="279"/>
      <c r="G760" s="279"/>
      <c r="H760" s="279"/>
      <c r="I760" s="280">
        <f>D760</f>
        <v>1090.3699999999999</v>
      </c>
    </row>
    <row r="761" spans="1:9">
      <c r="A761" s="195"/>
      <c r="B761" s="189"/>
      <c r="C761" s="190"/>
      <c r="D761" s="271"/>
      <c r="E761" s="271"/>
      <c r="F761" s="271"/>
      <c r="G761" s="271"/>
      <c r="H761" s="271"/>
      <c r="I761" s="259"/>
    </row>
    <row r="762" spans="1:9">
      <c r="A762" s="135"/>
      <c r="B762" s="170"/>
      <c r="C762" s="136"/>
      <c r="D762" s="275"/>
      <c r="E762" s="275"/>
      <c r="F762" s="275"/>
      <c r="G762" s="276"/>
      <c r="H762" s="276"/>
      <c r="I762" s="277"/>
    </row>
    <row r="763" spans="1:9" ht="57.6">
      <c r="A763" s="605" t="s">
        <v>35270</v>
      </c>
      <c r="B763" s="258" t="str">
        <f>VLOOKUP(A763,GLOBAL!A:H,4,FALSE)</f>
        <v>PISO ARGAMASSA ALTA RESISTÊNCIA TIPO GRANILITE OU EQUIV DE QUALIDADE COMPROVADA, ESP DE 10MM, COM JUNTAS PLÁSTICA EM QUADROS DE 1M, NA COR NATURAL, COM ACABAMENTO POLIDO MECANIZADO, INCLUSIVE REGULARIZAÇÃO E=3.0CM</v>
      </c>
      <c r="C763" s="119" t="str">
        <f>VLOOKUP(A763,GLOBAL!A:H,5,FALSE)</f>
        <v>M2</v>
      </c>
      <c r="D763" s="267" t="s">
        <v>66</v>
      </c>
      <c r="E763" s="267" t="s">
        <v>70</v>
      </c>
      <c r="F763" s="267" t="s">
        <v>67</v>
      </c>
      <c r="G763" s="267" t="s">
        <v>68</v>
      </c>
      <c r="H763" s="267" t="s">
        <v>71</v>
      </c>
      <c r="I763" s="268">
        <f>ROUND(SUM(I764:I770),2)</f>
        <v>2563.25</v>
      </c>
    </row>
    <row r="764" spans="1:9">
      <c r="A764" s="198"/>
      <c r="B764" s="200" t="s">
        <v>2874</v>
      </c>
      <c r="C764" s="199"/>
      <c r="D764" s="281"/>
      <c r="E764" s="282"/>
      <c r="F764" s="281"/>
      <c r="G764" s="281"/>
      <c r="H764" s="281"/>
      <c r="I764" s="283"/>
    </row>
    <row r="765" spans="1:9">
      <c r="A765" s="198"/>
      <c r="B765" s="189" t="s">
        <v>35778</v>
      </c>
      <c r="C765" s="199"/>
      <c r="D765" s="660"/>
      <c r="E765" s="661"/>
      <c r="F765" s="281"/>
      <c r="G765" s="281"/>
      <c r="H765" s="281"/>
      <c r="I765" s="607"/>
    </row>
    <row r="766" spans="1:9">
      <c r="A766" s="198"/>
      <c r="B766" s="189" t="s">
        <v>35598</v>
      </c>
      <c r="C766" s="199"/>
      <c r="D766" s="660">
        <v>32.299999999999997</v>
      </c>
      <c r="E766" s="661">
        <v>25.3</v>
      </c>
      <c r="F766" s="281"/>
      <c r="G766" s="281"/>
      <c r="H766" s="281">
        <f>(4.65*4.95)+(2.2*10.6)</f>
        <v>46.337500000000006</v>
      </c>
      <c r="I766" s="607">
        <f>D766*E766-H766</f>
        <v>770.85249999999996</v>
      </c>
    </row>
    <row r="767" spans="1:9">
      <c r="A767" s="198"/>
      <c r="B767" s="189" t="s">
        <v>35599</v>
      </c>
      <c r="C767" s="199"/>
      <c r="D767" s="660">
        <v>27.25</v>
      </c>
      <c r="E767" s="661">
        <v>25.3</v>
      </c>
      <c r="F767" s="281"/>
      <c r="G767" s="281"/>
      <c r="H767" s="281">
        <f>(4.65*4.95)+(2.2*10.6)</f>
        <v>46.337500000000006</v>
      </c>
      <c r="I767" s="607">
        <f>D767*E767-H767</f>
        <v>643.08750000000009</v>
      </c>
    </row>
    <row r="768" spans="1:9">
      <c r="A768" s="198"/>
      <c r="B768" s="189" t="s">
        <v>35600</v>
      </c>
      <c r="C768" s="199"/>
      <c r="D768" s="660">
        <v>27.25</v>
      </c>
      <c r="E768" s="661">
        <v>25.3</v>
      </c>
      <c r="F768" s="281"/>
      <c r="G768" s="281"/>
      <c r="H768" s="281">
        <f>(2.2*10.6)</f>
        <v>23.32</v>
      </c>
      <c r="I768" s="607">
        <f>D768*E768-H768</f>
        <v>666.10500000000002</v>
      </c>
    </row>
    <row r="769" spans="1:9">
      <c r="A769" s="195"/>
      <c r="B769" s="189" t="s">
        <v>35654</v>
      </c>
      <c r="C769" s="190"/>
      <c r="D769" s="271"/>
      <c r="E769" s="271"/>
      <c r="F769" s="271"/>
      <c r="G769" s="271"/>
      <c r="H769" s="271"/>
      <c r="I769" s="259"/>
    </row>
    <row r="770" spans="1:9">
      <c r="A770" s="198"/>
      <c r="B770" s="189" t="s">
        <v>35598</v>
      </c>
      <c r="C770" s="199"/>
      <c r="D770" s="660">
        <v>32</v>
      </c>
      <c r="E770" s="661">
        <v>15.1</v>
      </c>
      <c r="F770" s="281"/>
      <c r="G770" s="281"/>
      <c r="H770" s="281">
        <v>0</v>
      </c>
      <c r="I770" s="607">
        <f>D770*E770-H770</f>
        <v>483.2</v>
      </c>
    </row>
    <row r="771" spans="1:9">
      <c r="A771" s="135"/>
      <c r="B771" s="170"/>
      <c r="C771" s="136"/>
      <c r="D771" s="275"/>
      <c r="E771" s="275"/>
      <c r="F771" s="275"/>
      <c r="G771" s="276"/>
      <c r="H771" s="276"/>
      <c r="I771" s="277"/>
    </row>
    <row r="772" spans="1:9">
      <c r="A772" s="344" t="s">
        <v>35268</v>
      </c>
      <c r="B772" s="340" t="str">
        <f>VLOOKUP(A772,GLOBAL!A:H,4,FALSE)</f>
        <v>DEGRAUS, RODAPÉS, SOLEIRAS E PEITORIS</v>
      </c>
      <c r="C772" s="130"/>
      <c r="D772" s="341"/>
      <c r="E772" s="341"/>
      <c r="F772" s="341"/>
      <c r="G772" s="341"/>
      <c r="H772" s="341"/>
      <c r="I772" s="342"/>
    </row>
    <row r="773" spans="1:9">
      <c r="A773" s="605" t="s">
        <v>35271</v>
      </c>
      <c r="B773" s="258" t="str">
        <f>VLOOKUP(A773,GLOBAL!A:H,4,FALSE)</f>
        <v>SOLEIRA DE GRANITO ESP. 2 CM E LARGURA DE 15 CM</v>
      </c>
      <c r="C773" s="119" t="str">
        <f>VLOOKUP(A773,GLOBAL!A:H,5,FALSE)</f>
        <v>M</v>
      </c>
      <c r="D773" s="267" t="s">
        <v>66</v>
      </c>
      <c r="E773" s="267" t="s">
        <v>70</v>
      </c>
      <c r="F773" s="267" t="s">
        <v>67</v>
      </c>
      <c r="G773" s="267" t="s">
        <v>68</v>
      </c>
      <c r="H773" s="267" t="s">
        <v>71</v>
      </c>
      <c r="I773" s="268">
        <f>ROUND(SUM(I775:I778),2)</f>
        <v>9.8000000000000007</v>
      </c>
    </row>
    <row r="774" spans="1:9">
      <c r="A774" s="198"/>
      <c r="B774" s="200" t="s">
        <v>2874</v>
      </c>
      <c r="C774" s="199"/>
      <c r="D774" s="281"/>
      <c r="E774" s="282"/>
      <c r="F774" s="281"/>
      <c r="G774" s="281"/>
      <c r="H774" s="281"/>
      <c r="I774" s="283"/>
    </row>
    <row r="775" spans="1:9">
      <c r="A775" s="197"/>
      <c r="B775" s="189" t="s">
        <v>35540</v>
      </c>
      <c r="C775" s="190"/>
      <c r="D775" s="271">
        <v>4.8</v>
      </c>
      <c r="E775" s="235"/>
      <c r="F775" s="271"/>
      <c r="G775" s="271"/>
      <c r="H775" s="281"/>
      <c r="I775" s="257">
        <f>D775</f>
        <v>4.8</v>
      </c>
    </row>
    <row r="776" spans="1:9">
      <c r="A776" s="197"/>
      <c r="B776" s="189" t="s">
        <v>35540</v>
      </c>
      <c r="C776" s="190"/>
      <c r="D776" s="271">
        <v>1.2</v>
      </c>
      <c r="E776" s="235"/>
      <c r="F776" s="271"/>
      <c r="G776" s="271"/>
      <c r="H776" s="281"/>
      <c r="I776" s="257">
        <f>D776</f>
        <v>1.2</v>
      </c>
    </row>
    <row r="777" spans="1:9">
      <c r="A777" s="197"/>
      <c r="B777" s="189" t="s">
        <v>35540</v>
      </c>
      <c r="C777" s="190"/>
      <c r="D777" s="271">
        <v>0.8</v>
      </c>
      <c r="E777" s="235"/>
      <c r="F777" s="271"/>
      <c r="G777" s="271"/>
      <c r="H777" s="281"/>
      <c r="I777" s="257">
        <f>D777</f>
        <v>0.8</v>
      </c>
    </row>
    <row r="778" spans="1:9">
      <c r="A778" s="195"/>
      <c r="B778" s="189" t="s">
        <v>35654</v>
      </c>
      <c r="C778" s="190"/>
      <c r="D778" s="271"/>
      <c r="E778" s="271"/>
      <c r="F778" s="271"/>
      <c r="G778" s="271"/>
      <c r="H778" s="271"/>
      <c r="I778" s="259">
        <v>3</v>
      </c>
    </row>
    <row r="779" spans="1:9">
      <c r="A779" s="135"/>
      <c r="B779" s="170"/>
      <c r="C779" s="136"/>
      <c r="D779" s="275"/>
      <c r="E779" s="275"/>
      <c r="F779" s="275"/>
      <c r="G779" s="276"/>
      <c r="H779" s="276"/>
      <c r="I779" s="277"/>
    </row>
    <row r="780" spans="1:9">
      <c r="A780" s="605" t="s">
        <v>35272</v>
      </c>
      <c r="B780" s="258" t="str">
        <f>VLOOKUP(A780,GLOBAL!A:H,4,FALSE)</f>
        <v>PEITORIL DE GRANITO CINZA POLIDO, 15 CM, ESP. 3CM</v>
      </c>
      <c r="C780" s="119" t="str">
        <f>VLOOKUP(A780,GLOBAL!A:H,5,FALSE)</f>
        <v>M</v>
      </c>
      <c r="D780" s="267" t="s">
        <v>66</v>
      </c>
      <c r="E780" s="267" t="s">
        <v>70</v>
      </c>
      <c r="F780" s="267" t="s">
        <v>67</v>
      </c>
      <c r="G780" s="267" t="s">
        <v>68</v>
      </c>
      <c r="H780" s="267" t="s">
        <v>71</v>
      </c>
      <c r="I780" s="268">
        <f>ROUND(SUM(I781:I784),2)</f>
        <v>251.2</v>
      </c>
    </row>
    <row r="781" spans="1:9">
      <c r="A781" s="198"/>
      <c r="B781" s="200" t="s">
        <v>2874</v>
      </c>
      <c r="C781" s="199"/>
      <c r="D781" s="281"/>
      <c r="E781" s="282"/>
      <c r="F781" s="281"/>
      <c r="G781" s="281"/>
      <c r="H781" s="281"/>
      <c r="I781" s="283"/>
    </row>
    <row r="782" spans="1:9">
      <c r="A782" s="195"/>
      <c r="B782" s="233" t="s">
        <v>35541</v>
      </c>
      <c r="C782" s="234"/>
      <c r="D782" s="279">
        <v>35.299999999999997</v>
      </c>
      <c r="E782" s="278">
        <v>25.3</v>
      </c>
      <c r="F782" s="279"/>
      <c r="G782" s="279"/>
      <c r="H782" s="279"/>
      <c r="I782" s="280">
        <f>(D782+E782)*2</f>
        <v>121.19999999999999</v>
      </c>
    </row>
    <row r="783" spans="1:9">
      <c r="A783" s="195"/>
      <c r="B783" s="233" t="s">
        <v>35542</v>
      </c>
      <c r="C783" s="234"/>
      <c r="D783" s="279">
        <v>5.25</v>
      </c>
      <c r="E783" s="278">
        <v>25.3</v>
      </c>
      <c r="F783" s="279"/>
      <c r="G783" s="279"/>
      <c r="H783" s="279"/>
      <c r="I783" s="280">
        <f>(D783+D783+E783)</f>
        <v>35.799999999999997</v>
      </c>
    </row>
    <row r="784" spans="1:9">
      <c r="A784" s="195"/>
      <c r="B784" s="189" t="s">
        <v>35654</v>
      </c>
      <c r="C784" s="190"/>
      <c r="D784" s="271">
        <v>32</v>
      </c>
      <c r="E784" s="271">
        <v>15.1</v>
      </c>
      <c r="F784" s="271"/>
      <c r="G784" s="271"/>
      <c r="H784" s="271"/>
      <c r="I784" s="280">
        <f>(D784+E784)*2</f>
        <v>94.2</v>
      </c>
    </row>
    <row r="785" spans="1:9">
      <c r="A785" s="135"/>
      <c r="B785" s="170"/>
      <c r="C785" s="136"/>
      <c r="D785" s="275"/>
      <c r="E785" s="275"/>
      <c r="F785" s="275"/>
      <c r="G785" s="276"/>
      <c r="H785" s="276"/>
      <c r="I785" s="277"/>
    </row>
    <row r="786" spans="1:9" ht="57.6">
      <c r="A786" s="605" t="s">
        <v>35273</v>
      </c>
      <c r="B786" s="258" t="str">
        <f>VLOOKUP(A786,GLOBAL!A:H,4,FALSE)</f>
        <v>RODAPÉ DE ARGAMASSA DE ALTA RESISTÊNCIA TIPO GRANILITE OU EQUIVALENTE DE QUALIDADE COMPROVADA, ALTURA DE 10 CM E ESPESSURA DE 10 MM, COM CANTOS BOLEADOS, EXECUTADO COM CIMENTO E GRANITINA GRANA N.1, INCLUSIVE POLIMENTO</v>
      </c>
      <c r="C786" s="119" t="str">
        <f>VLOOKUP(A786,GLOBAL!A:H,5,FALSE)</f>
        <v>M</v>
      </c>
      <c r="D786" s="267" t="s">
        <v>66</v>
      </c>
      <c r="E786" s="267" t="s">
        <v>70</v>
      </c>
      <c r="F786" s="267" t="s">
        <v>67</v>
      </c>
      <c r="G786" s="267" t="s">
        <v>68</v>
      </c>
      <c r="H786" s="267" t="s">
        <v>71</v>
      </c>
      <c r="I786" s="268">
        <f>ROUND(SUM(I788:I805),2)</f>
        <v>651.20000000000005</v>
      </c>
    </row>
    <row r="787" spans="1:9">
      <c r="A787" s="198"/>
      <c r="B787" s="200" t="s">
        <v>2874</v>
      </c>
      <c r="C787" s="199"/>
      <c r="D787" s="281"/>
      <c r="E787" s="282"/>
      <c r="F787" s="281"/>
      <c r="G787" s="281"/>
      <c r="H787" s="281"/>
      <c r="I787" s="283"/>
    </row>
    <row r="788" spans="1:9">
      <c r="A788" s="195"/>
      <c r="B788" s="642" t="s">
        <v>35512</v>
      </c>
      <c r="C788" s="234"/>
      <c r="D788" s="641"/>
      <c r="E788" s="641"/>
      <c r="F788" s="279"/>
      <c r="G788" s="279"/>
      <c r="H788" s="279"/>
      <c r="I788" s="280"/>
    </row>
    <row r="789" spans="1:9">
      <c r="A789" s="195"/>
      <c r="B789" s="233" t="s">
        <v>35514</v>
      </c>
      <c r="C789" s="234"/>
      <c r="D789" s="279">
        <v>4.6500000000000004</v>
      </c>
      <c r="E789" s="278">
        <v>4.0999999999999996</v>
      </c>
      <c r="F789" s="279"/>
      <c r="G789" s="279"/>
      <c r="H789" s="279"/>
      <c r="I789" s="280">
        <f>(D789+E789)*2</f>
        <v>17.5</v>
      </c>
    </row>
    <row r="790" spans="1:9">
      <c r="A790" s="195"/>
      <c r="B790" s="233" t="s">
        <v>35515</v>
      </c>
      <c r="C790" s="234"/>
      <c r="D790" s="279">
        <v>4.6500000000000004</v>
      </c>
      <c r="E790" s="278">
        <v>4.0999999999999996</v>
      </c>
      <c r="F790" s="279"/>
      <c r="G790" s="279"/>
      <c r="H790" s="279"/>
      <c r="I790" s="280">
        <f t="shared" ref="I790:I801" si="42">(D790+E790)*2</f>
        <v>17.5</v>
      </c>
    </row>
    <row r="791" spans="1:9">
      <c r="A791" s="195"/>
      <c r="B791" s="233" t="s">
        <v>35516</v>
      </c>
      <c r="C791" s="234"/>
      <c r="D791" s="279">
        <v>2</v>
      </c>
      <c r="E791" s="278">
        <v>2.1</v>
      </c>
      <c r="F791" s="279"/>
      <c r="G791" s="279"/>
      <c r="H791" s="279"/>
      <c r="I791" s="280">
        <f t="shared" si="42"/>
        <v>8.1999999999999993</v>
      </c>
    </row>
    <row r="792" spans="1:9">
      <c r="A792" s="195"/>
      <c r="B792" s="233" t="s">
        <v>35518</v>
      </c>
      <c r="C792" s="234"/>
      <c r="D792" s="279">
        <v>1.8</v>
      </c>
      <c r="E792" s="278">
        <v>2.4</v>
      </c>
      <c r="F792" s="279"/>
      <c r="G792" s="279"/>
      <c r="H792" s="279"/>
      <c r="I792" s="280">
        <f t="shared" si="42"/>
        <v>8.4</v>
      </c>
    </row>
    <row r="793" spans="1:9">
      <c r="A793" s="195"/>
      <c r="B793" s="233" t="s">
        <v>35504</v>
      </c>
      <c r="C793" s="234"/>
      <c r="D793" s="279">
        <v>9.35</v>
      </c>
      <c r="E793" s="278">
        <v>4.3499999999999996</v>
      </c>
      <c r="F793" s="279"/>
      <c r="G793" s="279"/>
      <c r="H793" s="279"/>
      <c r="I793" s="280">
        <f t="shared" si="42"/>
        <v>27.4</v>
      </c>
    </row>
    <row r="794" spans="1:9">
      <c r="A794" s="195"/>
      <c r="B794" s="233" t="s">
        <v>35519</v>
      </c>
      <c r="C794" s="234"/>
      <c r="D794" s="279">
        <v>3.45</v>
      </c>
      <c r="E794" s="278">
        <v>2.4</v>
      </c>
      <c r="F794" s="279"/>
      <c r="G794" s="279"/>
      <c r="H794" s="279"/>
      <c r="I794" s="280">
        <f t="shared" si="42"/>
        <v>11.7</v>
      </c>
    </row>
    <row r="795" spans="1:9">
      <c r="A795" s="195"/>
      <c r="B795" s="233" t="s">
        <v>35520</v>
      </c>
      <c r="C795" s="234"/>
      <c r="D795" s="279">
        <v>1.5</v>
      </c>
      <c r="E795" s="278">
        <v>4.3499999999999996</v>
      </c>
      <c r="F795" s="279"/>
      <c r="G795" s="279"/>
      <c r="H795" s="279"/>
      <c r="I795" s="280">
        <f t="shared" si="42"/>
        <v>11.7</v>
      </c>
    </row>
    <row r="796" spans="1:9">
      <c r="A796" s="195"/>
      <c r="B796" s="233" t="s">
        <v>35522</v>
      </c>
      <c r="C796" s="234"/>
      <c r="D796" s="279">
        <v>4.6500000000000004</v>
      </c>
      <c r="E796" s="278">
        <v>4.0999999999999996</v>
      </c>
      <c r="F796" s="279"/>
      <c r="G796" s="279"/>
      <c r="H796" s="279"/>
      <c r="I796" s="280">
        <f t="shared" si="42"/>
        <v>17.5</v>
      </c>
    </row>
    <row r="797" spans="1:9">
      <c r="A797" s="195"/>
      <c r="B797" s="233" t="s">
        <v>35523</v>
      </c>
      <c r="C797" s="234"/>
      <c r="D797" s="279">
        <v>4.6500000000000004</v>
      </c>
      <c r="E797" s="278">
        <v>4.0999999999999996</v>
      </c>
      <c r="F797" s="279"/>
      <c r="G797" s="279"/>
      <c r="H797" s="279"/>
      <c r="I797" s="280">
        <f t="shared" si="42"/>
        <v>17.5</v>
      </c>
    </row>
    <row r="798" spans="1:9">
      <c r="A798" s="195"/>
      <c r="B798" s="233" t="s">
        <v>35524</v>
      </c>
      <c r="C798" s="234"/>
      <c r="D798" s="279">
        <v>2</v>
      </c>
      <c r="E798" s="278">
        <v>2.1</v>
      </c>
      <c r="F798" s="279"/>
      <c r="G798" s="279"/>
      <c r="H798" s="279"/>
      <c r="I798" s="280">
        <f t="shared" si="42"/>
        <v>8.1999999999999993</v>
      </c>
    </row>
    <row r="799" spans="1:9">
      <c r="A799" s="195"/>
      <c r="B799" s="233" t="s">
        <v>35527</v>
      </c>
      <c r="C799" s="234"/>
      <c r="D799" s="279">
        <v>4.6500000000000004</v>
      </c>
      <c r="E799" s="278">
        <v>4.0999999999999996</v>
      </c>
      <c r="F799" s="279"/>
      <c r="G799" s="279"/>
      <c r="H799" s="279"/>
      <c r="I799" s="280">
        <f t="shared" si="42"/>
        <v>17.5</v>
      </c>
    </row>
    <row r="800" spans="1:9">
      <c r="A800" s="195"/>
      <c r="B800" s="233" t="s">
        <v>35528</v>
      </c>
      <c r="C800" s="234"/>
      <c r="D800" s="279">
        <v>4.6500000000000004</v>
      </c>
      <c r="E800" s="278">
        <v>4.0999999999999996</v>
      </c>
      <c r="F800" s="279"/>
      <c r="G800" s="279"/>
      <c r="H800" s="279"/>
      <c r="I800" s="280">
        <f t="shared" si="42"/>
        <v>17.5</v>
      </c>
    </row>
    <row r="801" spans="1:9">
      <c r="A801" s="195"/>
      <c r="B801" s="233" t="s">
        <v>35529</v>
      </c>
      <c r="C801" s="234"/>
      <c r="D801" s="279">
        <v>2</v>
      </c>
      <c r="E801" s="278">
        <v>2.1</v>
      </c>
      <c r="F801" s="279"/>
      <c r="G801" s="279"/>
      <c r="H801" s="279"/>
      <c r="I801" s="280">
        <f t="shared" si="42"/>
        <v>8.1999999999999993</v>
      </c>
    </row>
    <row r="802" spans="1:9">
      <c r="A802" s="197"/>
      <c r="B802" s="189" t="s">
        <v>35543</v>
      </c>
      <c r="C802" s="190"/>
      <c r="D802" s="279">
        <v>35.299999999999997</v>
      </c>
      <c r="E802" s="278">
        <v>25.3</v>
      </c>
      <c r="F802" s="271"/>
      <c r="G802" s="271"/>
      <c r="H802" s="281"/>
      <c r="I802" s="257">
        <f>(D802+E802)*2</f>
        <v>121.19999999999999</v>
      </c>
    </row>
    <row r="803" spans="1:9">
      <c r="A803" s="197"/>
      <c r="B803" s="189" t="s">
        <v>35543</v>
      </c>
      <c r="C803" s="190"/>
      <c r="D803" s="279">
        <v>26.9</v>
      </c>
      <c r="E803" s="278">
        <v>25.3</v>
      </c>
      <c r="F803" s="271"/>
      <c r="G803" s="271">
        <v>2</v>
      </c>
      <c r="H803" s="281"/>
      <c r="I803" s="257">
        <f>(D803+E803)*2*G803</f>
        <v>208.8</v>
      </c>
    </row>
    <row r="804" spans="1:9">
      <c r="A804" s="195"/>
      <c r="B804" s="189" t="s">
        <v>35654</v>
      </c>
      <c r="C804" s="190"/>
      <c r="D804" s="271">
        <v>32</v>
      </c>
      <c r="E804" s="271">
        <v>15.1</v>
      </c>
      <c r="F804" s="271"/>
      <c r="G804" s="271"/>
      <c r="H804" s="271"/>
      <c r="I804" s="259">
        <f>(D804+E804)*2</f>
        <v>94.2</v>
      </c>
    </row>
    <row r="805" spans="1:9">
      <c r="A805" s="195"/>
      <c r="B805" s="189" t="s">
        <v>35797</v>
      </c>
      <c r="C805" s="190"/>
      <c r="D805" s="271">
        <v>4</v>
      </c>
      <c r="E805" s="271">
        <v>15.1</v>
      </c>
      <c r="F805" s="271"/>
      <c r="G805" s="271"/>
      <c r="H805" s="271"/>
      <c r="I805" s="259">
        <f>(D805+E805)*2</f>
        <v>38.200000000000003</v>
      </c>
    </row>
    <row r="806" spans="1:9">
      <c r="A806" s="135"/>
      <c r="B806" s="170"/>
      <c r="C806" s="136"/>
      <c r="D806" s="275"/>
      <c r="E806" s="275"/>
      <c r="F806" s="275"/>
      <c r="G806" s="276"/>
      <c r="H806" s="276"/>
      <c r="I806" s="277"/>
    </row>
    <row r="807" spans="1:9">
      <c r="A807" s="344" t="s">
        <v>15757</v>
      </c>
      <c r="B807" s="340" t="str">
        <f>VLOOKUP(A807,GLOBAL!A:H,4,FALSE)</f>
        <v>INSTALAÇÕES HIDROSSANITÁRIAS</v>
      </c>
      <c r="C807" s="130"/>
      <c r="D807" s="341"/>
      <c r="E807" s="341"/>
      <c r="F807" s="341"/>
      <c r="G807" s="341"/>
      <c r="H807" s="341"/>
      <c r="I807" s="342"/>
    </row>
    <row r="808" spans="1:9">
      <c r="A808" s="122" t="s">
        <v>9757</v>
      </c>
      <c r="B808" s="340" t="str">
        <f>VLOOKUP(A808,GLOBAL!A:H,4,FALSE)</f>
        <v>ENTRADA DE ÁGUA / PONTOS HIDROSSANITÁRIOS</v>
      </c>
      <c r="C808" s="130"/>
      <c r="D808" s="341"/>
      <c r="E808" s="341"/>
      <c r="F808" s="341"/>
      <c r="G808" s="341"/>
      <c r="H808" s="341"/>
      <c r="I808" s="342"/>
    </row>
    <row r="809" spans="1:9" ht="57.6">
      <c r="A809" s="119" t="s">
        <v>10357</v>
      </c>
      <c r="B809" s="258" t="str">
        <f>VLOOKUP(A809,GLOBAL!A:H,4,FALSE)</f>
        <v>PADRÃO ENTRADA DÁGUA COM CAIXA ENTERRADA PARA HIDRÔMETRO COM DIÂMETRO DE 1" - PADRÃO 2B DA CESAN. CAIXA EM ALVENARIA 60X80X40CM E COM TAMPA ARTICULADA DE FERRO FUNDIDO, REGISTRO E CONEXÕES PARA INSTALAÇÃO DE HIDRÔMETRO. CONFERIR DETALHE</v>
      </c>
      <c r="C809" s="119" t="str">
        <f>VLOOKUP(A809,GLOBAL!A:H,5,FALSE)</f>
        <v>UND</v>
      </c>
      <c r="D809" s="267" t="s">
        <v>66</v>
      </c>
      <c r="E809" s="267" t="s">
        <v>70</v>
      </c>
      <c r="F809" s="267" t="s">
        <v>67</v>
      </c>
      <c r="G809" s="267" t="s">
        <v>68</v>
      </c>
      <c r="H809" s="267" t="s">
        <v>71</v>
      </c>
      <c r="I809" s="268">
        <f>ROUND(SUM(I811:I812),2)</f>
        <v>1</v>
      </c>
    </row>
    <row r="810" spans="1:9">
      <c r="A810" s="198"/>
      <c r="B810" s="200" t="s">
        <v>2874</v>
      </c>
      <c r="C810" s="199"/>
      <c r="D810" s="281"/>
      <c r="E810" s="282"/>
      <c r="F810" s="281"/>
      <c r="G810" s="281"/>
      <c r="H810" s="281"/>
      <c r="I810" s="283"/>
    </row>
    <row r="811" spans="1:9">
      <c r="A811" s="197"/>
      <c r="B811" s="189" t="s">
        <v>35544</v>
      </c>
      <c r="C811" s="370"/>
      <c r="D811" s="721"/>
      <c r="E811" s="722"/>
      <c r="F811" s="271"/>
      <c r="G811" s="271">
        <v>1</v>
      </c>
      <c r="H811" s="281"/>
      <c r="I811" s="257">
        <f>G811</f>
        <v>1</v>
      </c>
    </row>
    <row r="812" spans="1:9">
      <c r="A812" s="195"/>
      <c r="B812" s="189"/>
      <c r="C812" s="190"/>
      <c r="D812" s="271"/>
      <c r="E812" s="271"/>
      <c r="F812" s="271"/>
      <c r="G812" s="271"/>
      <c r="H812" s="271"/>
      <c r="I812" s="259"/>
    </row>
    <row r="813" spans="1:9">
      <c r="A813" s="135"/>
      <c r="B813" s="170"/>
      <c r="C813" s="136"/>
      <c r="D813" s="275"/>
      <c r="E813" s="275"/>
      <c r="F813" s="275"/>
      <c r="G813" s="276"/>
      <c r="H813" s="276"/>
      <c r="I813" s="277"/>
    </row>
    <row r="814" spans="1:9">
      <c r="A814" s="119" t="s">
        <v>35274</v>
      </c>
      <c r="B814" s="258" t="str">
        <f>VLOOKUP(A814,GLOBAL!A:H,4,FALSE)</f>
        <v>PONTO DE ÁGUA FRIA (LAVATÓRIO, TANQUE, PIA DE COZINHA, ETC...)</v>
      </c>
      <c r="C814" s="119" t="str">
        <f>VLOOKUP(A814,GLOBAL!A:H,5,FALSE)</f>
        <v>PT</v>
      </c>
      <c r="D814" s="267" t="s">
        <v>66</v>
      </c>
      <c r="E814" s="267" t="s">
        <v>70</v>
      </c>
      <c r="F814" s="267" t="s">
        <v>67</v>
      </c>
      <c r="G814" s="267" t="s">
        <v>68</v>
      </c>
      <c r="H814" s="267" t="s">
        <v>71</v>
      </c>
      <c r="I814" s="268">
        <f>ROUND(SUM(I816:I836),2)</f>
        <v>32</v>
      </c>
    </row>
    <row r="815" spans="1:9">
      <c r="A815" s="198"/>
      <c r="B815" s="200" t="s">
        <v>2874</v>
      </c>
      <c r="C815" s="199"/>
      <c r="D815" s="281"/>
      <c r="E815" s="282"/>
      <c r="F815" s="281"/>
      <c r="G815" s="281"/>
      <c r="H815" s="281"/>
      <c r="I815" s="283"/>
    </row>
    <row r="816" spans="1:9">
      <c r="A816" s="195"/>
      <c r="B816" s="642" t="s">
        <v>35512</v>
      </c>
      <c r="C816" s="234"/>
      <c r="D816" s="641"/>
      <c r="E816" s="641"/>
      <c r="F816" s="279"/>
      <c r="G816" s="279"/>
      <c r="H816" s="279"/>
      <c r="I816" s="280"/>
    </row>
    <row r="817" spans="1:9">
      <c r="A817" s="195"/>
      <c r="B817" s="233" t="s">
        <v>35514</v>
      </c>
      <c r="C817" s="234"/>
      <c r="D817" s="279"/>
      <c r="E817" s="278"/>
      <c r="F817" s="279"/>
      <c r="G817" s="279">
        <v>2</v>
      </c>
      <c r="H817" s="279"/>
      <c r="I817" s="280">
        <f>G817</f>
        <v>2</v>
      </c>
    </row>
    <row r="818" spans="1:9">
      <c r="A818" s="195"/>
      <c r="B818" s="233" t="s">
        <v>35515</v>
      </c>
      <c r="C818" s="234"/>
      <c r="D818" s="279"/>
      <c r="E818" s="278"/>
      <c r="F818" s="279"/>
      <c r="G818" s="279">
        <v>2</v>
      </c>
      <c r="H818" s="279"/>
      <c r="I818" s="280">
        <f t="shared" ref="I818:I831" si="43">G818</f>
        <v>2</v>
      </c>
    </row>
    <row r="819" spans="1:9">
      <c r="A819" s="195"/>
      <c r="B819" s="233" t="s">
        <v>35516</v>
      </c>
      <c r="C819" s="234"/>
      <c r="D819" s="279"/>
      <c r="E819" s="278"/>
      <c r="F819" s="279"/>
      <c r="G819" s="279">
        <v>1</v>
      </c>
      <c r="H819" s="279"/>
      <c r="I819" s="280">
        <f t="shared" si="43"/>
        <v>1</v>
      </c>
    </row>
    <row r="820" spans="1:9">
      <c r="A820" s="195"/>
      <c r="B820" s="233" t="s">
        <v>35518</v>
      </c>
      <c r="C820" s="234"/>
      <c r="D820" s="279"/>
      <c r="E820" s="278"/>
      <c r="F820" s="279"/>
      <c r="G820" s="279">
        <v>1</v>
      </c>
      <c r="H820" s="279"/>
      <c r="I820" s="280">
        <f t="shared" si="43"/>
        <v>1</v>
      </c>
    </row>
    <row r="821" spans="1:9">
      <c r="A821" s="195"/>
      <c r="B821" s="233" t="s">
        <v>35504</v>
      </c>
      <c r="C821" s="234"/>
      <c r="D821" s="279"/>
      <c r="E821" s="278"/>
      <c r="F821" s="279"/>
      <c r="G821" s="279"/>
      <c r="H821" s="279"/>
      <c r="I821" s="280">
        <f t="shared" si="43"/>
        <v>0</v>
      </c>
    </row>
    <row r="822" spans="1:9">
      <c r="A822" s="195"/>
      <c r="B822" s="233" t="s">
        <v>35519</v>
      </c>
      <c r="C822" s="234"/>
      <c r="D822" s="279"/>
      <c r="E822" s="278"/>
      <c r="F822" s="279"/>
      <c r="G822" s="279">
        <v>2</v>
      </c>
      <c r="H822" s="279"/>
      <c r="I822" s="280">
        <f t="shared" si="43"/>
        <v>2</v>
      </c>
    </row>
    <row r="823" spans="1:9">
      <c r="A823" s="195"/>
      <c r="B823" s="233" t="s">
        <v>35520</v>
      </c>
      <c r="C823" s="234"/>
      <c r="D823" s="279"/>
      <c r="E823" s="278"/>
      <c r="F823" s="279"/>
      <c r="G823" s="279">
        <v>4</v>
      </c>
      <c r="H823" s="279"/>
      <c r="I823" s="280">
        <f t="shared" si="43"/>
        <v>4</v>
      </c>
    </row>
    <row r="824" spans="1:9">
      <c r="A824" s="195"/>
      <c r="B824" s="233" t="s">
        <v>35522</v>
      </c>
      <c r="C824" s="234"/>
      <c r="D824" s="279"/>
      <c r="E824" s="278"/>
      <c r="F824" s="279"/>
      <c r="G824" s="279">
        <v>2</v>
      </c>
      <c r="H824" s="279"/>
      <c r="I824" s="280">
        <f t="shared" si="43"/>
        <v>2</v>
      </c>
    </row>
    <row r="825" spans="1:9">
      <c r="A825" s="195"/>
      <c r="B825" s="233" t="s">
        <v>35523</v>
      </c>
      <c r="C825" s="234"/>
      <c r="D825" s="279"/>
      <c r="E825" s="278"/>
      <c r="F825" s="279"/>
      <c r="G825" s="279">
        <v>2</v>
      </c>
      <c r="H825" s="279"/>
      <c r="I825" s="280">
        <f t="shared" si="43"/>
        <v>2</v>
      </c>
    </row>
    <row r="826" spans="1:9">
      <c r="A826" s="195"/>
      <c r="B826" s="233" t="s">
        <v>35524</v>
      </c>
      <c r="C826" s="234"/>
      <c r="D826" s="279"/>
      <c r="E826" s="278"/>
      <c r="F826" s="279"/>
      <c r="G826" s="279">
        <v>1</v>
      </c>
      <c r="H826" s="279"/>
      <c r="I826" s="280">
        <f t="shared" si="43"/>
        <v>1</v>
      </c>
    </row>
    <row r="827" spans="1:9">
      <c r="A827" s="195"/>
      <c r="B827" s="233" t="s">
        <v>35545</v>
      </c>
      <c r="C827" s="234"/>
      <c r="D827" s="279"/>
      <c r="E827" s="278"/>
      <c r="F827" s="279"/>
      <c r="G827" s="279">
        <v>1</v>
      </c>
      <c r="H827" s="279"/>
      <c r="I827" s="280">
        <f t="shared" si="43"/>
        <v>1</v>
      </c>
    </row>
    <row r="828" spans="1:9">
      <c r="A828" s="195"/>
      <c r="B828" s="233" t="s">
        <v>35527</v>
      </c>
      <c r="C828" s="234"/>
      <c r="D828" s="279"/>
      <c r="E828" s="278"/>
      <c r="F828" s="279"/>
      <c r="G828" s="279">
        <v>2</v>
      </c>
      <c r="H828" s="279"/>
      <c r="I828" s="280">
        <f t="shared" si="43"/>
        <v>2</v>
      </c>
    </row>
    <row r="829" spans="1:9">
      <c r="A829" s="195"/>
      <c r="B829" s="233" t="s">
        <v>35528</v>
      </c>
      <c r="C829" s="234"/>
      <c r="D829" s="279"/>
      <c r="E829" s="278"/>
      <c r="F829" s="279"/>
      <c r="G829" s="279">
        <v>2</v>
      </c>
      <c r="H829" s="279"/>
      <c r="I829" s="280">
        <f t="shared" si="43"/>
        <v>2</v>
      </c>
    </row>
    <row r="830" spans="1:9">
      <c r="A830" s="195"/>
      <c r="B830" s="233" t="s">
        <v>35529</v>
      </c>
      <c r="C830" s="234"/>
      <c r="D830" s="279"/>
      <c r="E830" s="278"/>
      <c r="F830" s="279"/>
      <c r="G830" s="279">
        <v>1</v>
      </c>
      <c r="H830" s="279"/>
      <c r="I830" s="280">
        <f t="shared" si="43"/>
        <v>1</v>
      </c>
    </row>
    <row r="831" spans="1:9">
      <c r="A831" s="195"/>
      <c r="B831" s="233" t="s">
        <v>35546</v>
      </c>
      <c r="C831" s="234"/>
      <c r="D831" s="279"/>
      <c r="E831" s="278"/>
      <c r="F831" s="279"/>
      <c r="G831" s="279">
        <v>1</v>
      </c>
      <c r="H831" s="279"/>
      <c r="I831" s="280">
        <f t="shared" si="43"/>
        <v>1</v>
      </c>
    </row>
    <row r="832" spans="1:9">
      <c r="A832" s="195"/>
      <c r="B832" s="189" t="s">
        <v>35654</v>
      </c>
      <c r="C832" s="190"/>
      <c r="D832" s="271"/>
      <c r="E832" s="271"/>
      <c r="F832" s="271"/>
      <c r="G832" s="271"/>
      <c r="H832" s="271"/>
      <c r="I832" s="259"/>
    </row>
    <row r="833" spans="1:9">
      <c r="A833" s="195"/>
      <c r="B833" s="233" t="s">
        <v>35514</v>
      </c>
      <c r="C833" s="234"/>
      <c r="D833" s="279"/>
      <c r="E833" s="278"/>
      <c r="F833" s="279"/>
      <c r="G833" s="279">
        <v>3</v>
      </c>
      <c r="H833" s="279"/>
      <c r="I833" s="280">
        <f>G833</f>
        <v>3</v>
      </c>
    </row>
    <row r="834" spans="1:9">
      <c r="A834" s="195"/>
      <c r="B834" s="233" t="s">
        <v>35515</v>
      </c>
      <c r="C834" s="234"/>
      <c r="D834" s="279"/>
      <c r="E834" s="278"/>
      <c r="F834" s="279"/>
      <c r="G834" s="279">
        <v>3</v>
      </c>
      <c r="H834" s="279"/>
      <c r="I834" s="280">
        <f t="shared" ref="I834:I836" si="44">G834</f>
        <v>3</v>
      </c>
    </row>
    <row r="835" spans="1:9">
      <c r="A835" s="195"/>
      <c r="B835" s="233" t="s">
        <v>35516</v>
      </c>
      <c r="C835" s="234"/>
      <c r="D835" s="279"/>
      <c r="E835" s="278"/>
      <c r="F835" s="279"/>
      <c r="G835" s="279">
        <v>1</v>
      </c>
      <c r="H835" s="279"/>
      <c r="I835" s="280">
        <f t="shared" si="44"/>
        <v>1</v>
      </c>
    </row>
    <row r="836" spans="1:9">
      <c r="A836" s="195"/>
      <c r="B836" s="233" t="s">
        <v>35776</v>
      </c>
      <c r="C836" s="234"/>
      <c r="D836" s="279"/>
      <c r="E836" s="278"/>
      <c r="F836" s="279"/>
      <c r="G836" s="279">
        <v>1</v>
      </c>
      <c r="H836" s="279"/>
      <c r="I836" s="280">
        <f t="shared" si="44"/>
        <v>1</v>
      </c>
    </row>
    <row r="837" spans="1:9">
      <c r="A837" s="135"/>
      <c r="B837" s="170"/>
      <c r="C837" s="136"/>
      <c r="D837" s="275"/>
      <c r="E837" s="275"/>
      <c r="F837" s="275"/>
      <c r="G837" s="276"/>
      <c r="H837" s="276"/>
      <c r="I837" s="277"/>
    </row>
    <row r="838" spans="1:9" ht="28.8">
      <c r="A838" s="119" t="s">
        <v>35275</v>
      </c>
      <c r="B838" s="258" t="str">
        <f>VLOOKUP(A838,GLOBAL!A:H,4,FALSE)</f>
        <v>PONTO COM REGISTRO DE PRESSÃO (CHUVEIRO, CAIXA DE DESCARGA, ETC...)</v>
      </c>
      <c r="C838" s="119" t="str">
        <f>VLOOKUP(A838,GLOBAL!A:H,5,FALSE)</f>
        <v>PT</v>
      </c>
      <c r="D838" s="267" t="s">
        <v>66</v>
      </c>
      <c r="E838" s="267" t="s">
        <v>70</v>
      </c>
      <c r="F838" s="267" t="s">
        <v>67</v>
      </c>
      <c r="G838" s="267" t="s">
        <v>68</v>
      </c>
      <c r="H838" s="267" t="s">
        <v>71</v>
      </c>
      <c r="I838" s="268">
        <f>ROUND(SUM(I840:I860),2)</f>
        <v>43</v>
      </c>
    </row>
    <row r="839" spans="1:9">
      <c r="A839" s="198"/>
      <c r="B839" s="200" t="s">
        <v>2874</v>
      </c>
      <c r="C839" s="199"/>
      <c r="D839" s="281"/>
      <c r="E839" s="282"/>
      <c r="F839" s="281"/>
      <c r="G839" s="281"/>
      <c r="H839" s="281"/>
      <c r="I839" s="283"/>
    </row>
    <row r="840" spans="1:9">
      <c r="A840" s="195"/>
      <c r="B840" s="642" t="s">
        <v>35512</v>
      </c>
      <c r="C840" s="234"/>
      <c r="D840" s="641"/>
      <c r="E840" s="641"/>
      <c r="F840" s="279"/>
      <c r="G840" s="279"/>
      <c r="H840" s="279"/>
      <c r="I840" s="280"/>
    </row>
    <row r="841" spans="1:9">
      <c r="A841" s="195"/>
      <c r="B841" s="233" t="s">
        <v>35514</v>
      </c>
      <c r="C841" s="234"/>
      <c r="D841" s="279"/>
      <c r="E841" s="278"/>
      <c r="F841" s="279"/>
      <c r="G841" s="279">
        <v>4</v>
      </c>
      <c r="H841" s="279"/>
      <c r="I841" s="280">
        <f>G841</f>
        <v>4</v>
      </c>
    </row>
    <row r="842" spans="1:9">
      <c r="A842" s="195"/>
      <c r="B842" s="233" t="s">
        <v>35515</v>
      </c>
      <c r="C842" s="234"/>
      <c r="D842" s="279"/>
      <c r="E842" s="278"/>
      <c r="F842" s="279"/>
      <c r="G842" s="279">
        <v>6</v>
      </c>
      <c r="H842" s="279"/>
      <c r="I842" s="280">
        <f t="shared" ref="I842:I855" si="45">G842</f>
        <v>6</v>
      </c>
    </row>
    <row r="843" spans="1:9">
      <c r="A843" s="195"/>
      <c r="B843" s="233" t="s">
        <v>35516</v>
      </c>
      <c r="C843" s="234"/>
      <c r="D843" s="279"/>
      <c r="E843" s="278"/>
      <c r="F843" s="279"/>
      <c r="G843" s="279">
        <v>1</v>
      </c>
      <c r="H843" s="279"/>
      <c r="I843" s="280">
        <f t="shared" si="45"/>
        <v>1</v>
      </c>
    </row>
    <row r="844" spans="1:9">
      <c r="A844" s="195"/>
      <c r="B844" s="233" t="s">
        <v>35518</v>
      </c>
      <c r="C844" s="234"/>
      <c r="D844" s="279"/>
      <c r="E844" s="278"/>
      <c r="F844" s="279"/>
      <c r="G844" s="279">
        <v>1</v>
      </c>
      <c r="H844" s="279"/>
      <c r="I844" s="280">
        <f t="shared" si="45"/>
        <v>1</v>
      </c>
    </row>
    <row r="845" spans="1:9">
      <c r="A845" s="195"/>
      <c r="B845" s="233" t="s">
        <v>35504</v>
      </c>
      <c r="C845" s="234"/>
      <c r="D845" s="279"/>
      <c r="E845" s="278"/>
      <c r="F845" s="279"/>
      <c r="G845" s="279">
        <v>0</v>
      </c>
      <c r="H845" s="279"/>
      <c r="I845" s="280">
        <f t="shared" si="45"/>
        <v>0</v>
      </c>
    </row>
    <row r="846" spans="1:9">
      <c r="A846" s="195"/>
      <c r="B846" s="233" t="s">
        <v>35519</v>
      </c>
      <c r="C846" s="234"/>
      <c r="D846" s="279"/>
      <c r="E846" s="278"/>
      <c r="F846" s="279"/>
      <c r="G846" s="279">
        <v>0</v>
      </c>
      <c r="H846" s="279"/>
      <c r="I846" s="280">
        <f t="shared" si="45"/>
        <v>0</v>
      </c>
    </row>
    <row r="847" spans="1:9">
      <c r="A847" s="195"/>
      <c r="B847" s="233" t="s">
        <v>35520</v>
      </c>
      <c r="C847" s="234"/>
      <c r="D847" s="279"/>
      <c r="E847" s="278"/>
      <c r="F847" s="279"/>
      <c r="G847" s="279">
        <v>0</v>
      </c>
      <c r="H847" s="279"/>
      <c r="I847" s="280">
        <f t="shared" si="45"/>
        <v>0</v>
      </c>
    </row>
    <row r="848" spans="1:9">
      <c r="A848" s="195"/>
      <c r="B848" s="233" t="s">
        <v>35522</v>
      </c>
      <c r="C848" s="234"/>
      <c r="D848" s="279"/>
      <c r="E848" s="278"/>
      <c r="F848" s="279"/>
      <c r="G848" s="279">
        <v>4</v>
      </c>
      <c r="H848" s="279"/>
      <c r="I848" s="280">
        <f t="shared" si="45"/>
        <v>4</v>
      </c>
    </row>
    <row r="849" spans="1:9">
      <c r="A849" s="195"/>
      <c r="B849" s="233" t="s">
        <v>35523</v>
      </c>
      <c r="C849" s="234"/>
      <c r="D849" s="279"/>
      <c r="E849" s="278"/>
      <c r="F849" s="279"/>
      <c r="G849" s="279">
        <v>6</v>
      </c>
      <c r="H849" s="279"/>
      <c r="I849" s="280">
        <f t="shared" si="45"/>
        <v>6</v>
      </c>
    </row>
    <row r="850" spans="1:9">
      <c r="A850" s="195"/>
      <c r="B850" s="233" t="s">
        <v>35524</v>
      </c>
      <c r="C850" s="234"/>
      <c r="D850" s="279"/>
      <c r="E850" s="278"/>
      <c r="F850" s="279"/>
      <c r="G850" s="279">
        <v>1</v>
      </c>
      <c r="H850" s="279"/>
      <c r="I850" s="280">
        <f t="shared" si="45"/>
        <v>1</v>
      </c>
    </row>
    <row r="851" spans="1:9">
      <c r="A851" s="195"/>
      <c r="B851" s="233" t="s">
        <v>35545</v>
      </c>
      <c r="C851" s="234"/>
      <c r="D851" s="279"/>
      <c r="E851" s="278"/>
      <c r="F851" s="279"/>
      <c r="G851" s="279">
        <v>0</v>
      </c>
      <c r="H851" s="279"/>
      <c r="I851" s="280">
        <f t="shared" si="45"/>
        <v>0</v>
      </c>
    </row>
    <row r="852" spans="1:9">
      <c r="A852" s="195"/>
      <c r="B852" s="233" t="s">
        <v>35527</v>
      </c>
      <c r="C852" s="234"/>
      <c r="D852" s="279"/>
      <c r="E852" s="278"/>
      <c r="F852" s="279"/>
      <c r="G852" s="279">
        <v>4</v>
      </c>
      <c r="H852" s="279"/>
      <c r="I852" s="280">
        <f t="shared" si="45"/>
        <v>4</v>
      </c>
    </row>
    <row r="853" spans="1:9">
      <c r="A853" s="195"/>
      <c r="B853" s="233" t="s">
        <v>35528</v>
      </c>
      <c r="C853" s="234"/>
      <c r="D853" s="279"/>
      <c r="E853" s="278"/>
      <c r="F853" s="279"/>
      <c r="G853" s="279">
        <v>6</v>
      </c>
      <c r="H853" s="279"/>
      <c r="I853" s="280">
        <f t="shared" si="45"/>
        <v>6</v>
      </c>
    </row>
    <row r="854" spans="1:9">
      <c r="A854" s="195"/>
      <c r="B854" s="233" t="s">
        <v>35529</v>
      </c>
      <c r="C854" s="234"/>
      <c r="D854" s="279"/>
      <c r="E854" s="278"/>
      <c r="F854" s="279"/>
      <c r="G854" s="279">
        <v>1</v>
      </c>
      <c r="H854" s="279"/>
      <c r="I854" s="280">
        <f t="shared" si="45"/>
        <v>1</v>
      </c>
    </row>
    <row r="855" spans="1:9">
      <c r="A855" s="195"/>
      <c r="B855" s="233" t="s">
        <v>35546</v>
      </c>
      <c r="C855" s="234"/>
      <c r="D855" s="279"/>
      <c r="E855" s="278"/>
      <c r="F855" s="279"/>
      <c r="G855" s="279">
        <v>0</v>
      </c>
      <c r="H855" s="279"/>
      <c r="I855" s="280">
        <f t="shared" si="45"/>
        <v>0</v>
      </c>
    </row>
    <row r="856" spans="1:9">
      <c r="A856" s="195"/>
      <c r="B856" s="189" t="s">
        <v>35654</v>
      </c>
      <c r="C856" s="190"/>
      <c r="D856" s="271"/>
      <c r="E856" s="271"/>
      <c r="F856" s="271"/>
      <c r="G856" s="271"/>
      <c r="H856" s="271"/>
      <c r="I856" s="259"/>
    </row>
    <row r="857" spans="1:9">
      <c r="A857" s="195"/>
      <c r="B857" s="233" t="s">
        <v>35514</v>
      </c>
      <c r="C857" s="234"/>
      <c r="D857" s="279"/>
      <c r="E857" s="278"/>
      <c r="F857" s="279"/>
      <c r="G857" s="279">
        <v>4</v>
      </c>
      <c r="H857" s="279"/>
      <c r="I857" s="280">
        <f>G857</f>
        <v>4</v>
      </c>
    </row>
    <row r="858" spans="1:9">
      <c r="A858" s="195"/>
      <c r="B858" s="233" t="s">
        <v>35515</v>
      </c>
      <c r="C858" s="234"/>
      <c r="D858" s="279"/>
      <c r="E858" s="278"/>
      <c r="F858" s="279"/>
      <c r="G858" s="279">
        <v>4</v>
      </c>
      <c r="H858" s="279"/>
      <c r="I858" s="280">
        <f t="shared" ref="I858:I860" si="46">G858</f>
        <v>4</v>
      </c>
    </row>
    <row r="859" spans="1:9">
      <c r="A859" s="195"/>
      <c r="B859" s="233" t="s">
        <v>35516</v>
      </c>
      <c r="C859" s="234"/>
      <c r="D859" s="279"/>
      <c r="E859" s="278"/>
      <c r="F859" s="279"/>
      <c r="G859" s="279">
        <v>1</v>
      </c>
      <c r="H859" s="279"/>
      <c r="I859" s="280">
        <f t="shared" si="46"/>
        <v>1</v>
      </c>
    </row>
    <row r="860" spans="1:9">
      <c r="A860" s="195"/>
      <c r="B860" s="233" t="s">
        <v>35776</v>
      </c>
      <c r="C860" s="234"/>
      <c r="D860" s="279"/>
      <c r="E860" s="278"/>
      <c r="F860" s="279"/>
      <c r="G860" s="279">
        <v>0</v>
      </c>
      <c r="H860" s="279"/>
      <c r="I860" s="280">
        <f t="shared" si="46"/>
        <v>0</v>
      </c>
    </row>
    <row r="861" spans="1:9">
      <c r="A861" s="135"/>
      <c r="B861" s="170"/>
      <c r="C861" s="136"/>
      <c r="D861" s="275"/>
      <c r="E861" s="275"/>
      <c r="F861" s="275"/>
      <c r="G861" s="276"/>
      <c r="H861" s="276"/>
      <c r="I861" s="277"/>
    </row>
    <row r="862" spans="1:9">
      <c r="A862" s="119" t="s">
        <v>35276</v>
      </c>
      <c r="B862" s="258" t="str">
        <f>VLOOKUP(A862,GLOBAL!A:H,4,FALSE)</f>
        <v>PONTO DE TORNEIRA DE JARDIM (PARA PRAÇAS)</v>
      </c>
      <c r="C862" s="119" t="str">
        <f>VLOOKUP(A862,GLOBAL!A:H,5,FALSE)</f>
        <v>PT</v>
      </c>
      <c r="D862" s="267" t="s">
        <v>66</v>
      </c>
      <c r="E862" s="267" t="s">
        <v>70</v>
      </c>
      <c r="F862" s="267" t="s">
        <v>67</v>
      </c>
      <c r="G862" s="267" t="s">
        <v>68</v>
      </c>
      <c r="H862" s="267" t="s">
        <v>71</v>
      </c>
      <c r="I862" s="268">
        <f>ROUND(SUM(I864:I866),2)</f>
        <v>4</v>
      </c>
    </row>
    <row r="863" spans="1:9">
      <c r="A863" s="198"/>
      <c r="B863" s="200" t="s">
        <v>2874</v>
      </c>
      <c r="C863" s="199"/>
      <c r="D863" s="281"/>
      <c r="E863" s="282"/>
      <c r="F863" s="281"/>
      <c r="G863" s="281"/>
      <c r="H863" s="281"/>
      <c r="I863" s="283"/>
    </row>
    <row r="864" spans="1:9">
      <c r="A864" s="195"/>
      <c r="B864" s="642" t="s">
        <v>35512</v>
      </c>
      <c r="C864" s="234"/>
      <c r="D864" s="641"/>
      <c r="E864" s="641"/>
      <c r="F864" s="279"/>
      <c r="G864" s="279"/>
      <c r="H864" s="279"/>
      <c r="I864" s="280"/>
    </row>
    <row r="865" spans="1:9">
      <c r="A865" s="195"/>
      <c r="B865" s="233" t="s">
        <v>35547</v>
      </c>
      <c r="C865" s="234"/>
      <c r="D865" s="279"/>
      <c r="E865" s="278"/>
      <c r="F865" s="279"/>
      <c r="G865" s="279">
        <v>2</v>
      </c>
      <c r="H865" s="279"/>
      <c r="I865" s="280">
        <f>G865</f>
        <v>2</v>
      </c>
    </row>
    <row r="866" spans="1:9">
      <c r="A866" s="195"/>
      <c r="B866" s="189" t="s">
        <v>35654</v>
      </c>
      <c r="C866" s="190"/>
      <c r="D866" s="271"/>
      <c r="E866" s="271"/>
      <c r="F866" s="271"/>
      <c r="G866" s="271">
        <v>2</v>
      </c>
      <c r="H866" s="271"/>
      <c r="I866" s="259">
        <v>2</v>
      </c>
    </row>
    <row r="867" spans="1:9">
      <c r="A867" s="135"/>
      <c r="B867" s="170"/>
      <c r="C867" s="136"/>
      <c r="D867" s="275"/>
      <c r="E867" s="275"/>
      <c r="F867" s="275"/>
      <c r="G867" s="276"/>
      <c r="H867" s="276"/>
      <c r="I867" s="277"/>
    </row>
    <row r="868" spans="1:9">
      <c r="A868" s="119" t="s">
        <v>35277</v>
      </c>
      <c r="B868" s="258" t="str">
        <f>VLOOKUP(A868,GLOBAL!A:H,4,FALSE)</f>
        <v>PONTO PARA ESGOTO PRIMÁRIO (VASO SANITÁRIO)</v>
      </c>
      <c r="C868" s="119" t="str">
        <f>VLOOKUP(A868,GLOBAL!A:H,5,FALSE)</f>
        <v>PT</v>
      </c>
      <c r="D868" s="267" t="s">
        <v>66</v>
      </c>
      <c r="E868" s="267" t="s">
        <v>70</v>
      </c>
      <c r="F868" s="267" t="s">
        <v>67</v>
      </c>
      <c r="G868" s="267" t="s">
        <v>68</v>
      </c>
      <c r="H868" s="267" t="s">
        <v>71</v>
      </c>
      <c r="I868" s="268">
        <f>ROUND(SUM(I870:I890),2)</f>
        <v>35</v>
      </c>
    </row>
    <row r="869" spans="1:9">
      <c r="A869" s="198"/>
      <c r="B869" s="200" t="s">
        <v>2874</v>
      </c>
      <c r="C869" s="199"/>
      <c r="D869" s="281"/>
      <c r="E869" s="282"/>
      <c r="F869" s="281"/>
      <c r="G869" s="281"/>
      <c r="H869" s="281"/>
      <c r="I869" s="283"/>
    </row>
    <row r="870" spans="1:9">
      <c r="A870" s="195"/>
      <c r="B870" s="642" t="s">
        <v>35512</v>
      </c>
      <c r="C870" s="234"/>
      <c r="D870" s="641"/>
      <c r="E870" s="641"/>
      <c r="F870" s="279"/>
      <c r="G870" s="279"/>
      <c r="H870" s="279"/>
      <c r="I870" s="280"/>
    </row>
    <row r="871" spans="1:9">
      <c r="A871" s="195"/>
      <c r="B871" s="233" t="s">
        <v>35514</v>
      </c>
      <c r="C871" s="234"/>
      <c r="D871" s="279"/>
      <c r="E871" s="278"/>
      <c r="F871" s="279"/>
      <c r="G871" s="279">
        <v>3</v>
      </c>
      <c r="H871" s="279"/>
      <c r="I871" s="280">
        <f>G871</f>
        <v>3</v>
      </c>
    </row>
    <row r="872" spans="1:9">
      <c r="A872" s="195"/>
      <c r="B872" s="233" t="s">
        <v>35515</v>
      </c>
      <c r="C872" s="234"/>
      <c r="D872" s="279"/>
      <c r="E872" s="278"/>
      <c r="F872" s="279"/>
      <c r="G872" s="279">
        <v>5</v>
      </c>
      <c r="H872" s="279"/>
      <c r="I872" s="280">
        <f t="shared" ref="I872:I885" si="47">G872</f>
        <v>5</v>
      </c>
    </row>
    <row r="873" spans="1:9">
      <c r="A873" s="195"/>
      <c r="B873" s="233" t="s">
        <v>35516</v>
      </c>
      <c r="C873" s="234"/>
      <c r="D873" s="279"/>
      <c r="E873" s="278"/>
      <c r="F873" s="279"/>
      <c r="G873" s="279">
        <v>1</v>
      </c>
      <c r="H873" s="279"/>
      <c r="I873" s="280">
        <f t="shared" si="47"/>
        <v>1</v>
      </c>
    </row>
    <row r="874" spans="1:9">
      <c r="A874" s="195"/>
      <c r="B874" s="233" t="s">
        <v>35518</v>
      </c>
      <c r="C874" s="234"/>
      <c r="D874" s="279"/>
      <c r="E874" s="278"/>
      <c r="F874" s="279"/>
      <c r="G874" s="279">
        <v>1</v>
      </c>
      <c r="H874" s="279"/>
      <c r="I874" s="280">
        <f t="shared" si="47"/>
        <v>1</v>
      </c>
    </row>
    <row r="875" spans="1:9">
      <c r="A875" s="195"/>
      <c r="B875" s="233" t="s">
        <v>35504</v>
      </c>
      <c r="C875" s="234"/>
      <c r="D875" s="279"/>
      <c r="E875" s="278"/>
      <c r="F875" s="279"/>
      <c r="G875" s="279">
        <v>0</v>
      </c>
      <c r="H875" s="279"/>
      <c r="I875" s="280">
        <f t="shared" si="47"/>
        <v>0</v>
      </c>
    </row>
    <row r="876" spans="1:9">
      <c r="A876" s="195"/>
      <c r="B876" s="233" t="s">
        <v>35519</v>
      </c>
      <c r="C876" s="234"/>
      <c r="D876" s="279"/>
      <c r="E876" s="278"/>
      <c r="F876" s="279"/>
      <c r="G876" s="279">
        <v>0</v>
      </c>
      <c r="H876" s="279"/>
      <c r="I876" s="280">
        <f t="shared" si="47"/>
        <v>0</v>
      </c>
    </row>
    <row r="877" spans="1:9">
      <c r="A877" s="195"/>
      <c r="B877" s="233" t="s">
        <v>35520</v>
      </c>
      <c r="C877" s="234"/>
      <c r="D877" s="279"/>
      <c r="E877" s="278"/>
      <c r="F877" s="279"/>
      <c r="G877" s="279">
        <v>0</v>
      </c>
      <c r="H877" s="279"/>
      <c r="I877" s="280">
        <f t="shared" si="47"/>
        <v>0</v>
      </c>
    </row>
    <row r="878" spans="1:9">
      <c r="A878" s="195"/>
      <c r="B878" s="233" t="s">
        <v>35522</v>
      </c>
      <c r="C878" s="234"/>
      <c r="D878" s="279"/>
      <c r="E878" s="278"/>
      <c r="F878" s="279"/>
      <c r="G878" s="279">
        <v>3</v>
      </c>
      <c r="H878" s="279"/>
      <c r="I878" s="280">
        <f t="shared" si="47"/>
        <v>3</v>
      </c>
    </row>
    <row r="879" spans="1:9">
      <c r="A879" s="195"/>
      <c r="B879" s="233" t="s">
        <v>35523</v>
      </c>
      <c r="C879" s="234"/>
      <c r="D879" s="279"/>
      <c r="E879" s="278"/>
      <c r="F879" s="279"/>
      <c r="G879" s="279">
        <v>5</v>
      </c>
      <c r="H879" s="279"/>
      <c r="I879" s="280">
        <f t="shared" si="47"/>
        <v>5</v>
      </c>
    </row>
    <row r="880" spans="1:9">
      <c r="A880" s="195"/>
      <c r="B880" s="233" t="s">
        <v>35524</v>
      </c>
      <c r="C880" s="234"/>
      <c r="D880" s="279"/>
      <c r="E880" s="278"/>
      <c r="F880" s="279"/>
      <c r="G880" s="279">
        <v>1</v>
      </c>
      <c r="H880" s="279"/>
      <c r="I880" s="280">
        <f t="shared" si="47"/>
        <v>1</v>
      </c>
    </row>
    <row r="881" spans="1:9">
      <c r="A881" s="195"/>
      <c r="B881" s="233" t="s">
        <v>35545</v>
      </c>
      <c r="C881" s="234"/>
      <c r="D881" s="279"/>
      <c r="E881" s="278"/>
      <c r="F881" s="279"/>
      <c r="G881" s="279">
        <v>0</v>
      </c>
      <c r="H881" s="279"/>
      <c r="I881" s="280">
        <f t="shared" si="47"/>
        <v>0</v>
      </c>
    </row>
    <row r="882" spans="1:9">
      <c r="A882" s="195"/>
      <c r="B882" s="233" t="s">
        <v>35527</v>
      </c>
      <c r="C882" s="234"/>
      <c r="D882" s="279"/>
      <c r="E882" s="278"/>
      <c r="F882" s="279"/>
      <c r="G882" s="279">
        <v>3</v>
      </c>
      <c r="H882" s="279"/>
      <c r="I882" s="280">
        <f t="shared" si="47"/>
        <v>3</v>
      </c>
    </row>
    <row r="883" spans="1:9">
      <c r="A883" s="195"/>
      <c r="B883" s="233" t="s">
        <v>35528</v>
      </c>
      <c r="C883" s="234"/>
      <c r="D883" s="279"/>
      <c r="E883" s="278"/>
      <c r="F883" s="279"/>
      <c r="G883" s="279">
        <v>5</v>
      </c>
      <c r="H883" s="279"/>
      <c r="I883" s="280">
        <f t="shared" si="47"/>
        <v>5</v>
      </c>
    </row>
    <row r="884" spans="1:9">
      <c r="A884" s="195"/>
      <c r="B884" s="233" t="s">
        <v>35529</v>
      </c>
      <c r="C884" s="234"/>
      <c r="D884" s="279"/>
      <c r="E884" s="278"/>
      <c r="F884" s="279"/>
      <c r="G884" s="279">
        <v>1</v>
      </c>
      <c r="H884" s="279"/>
      <c r="I884" s="280">
        <f t="shared" si="47"/>
        <v>1</v>
      </c>
    </row>
    <row r="885" spans="1:9">
      <c r="A885" s="195"/>
      <c r="B885" s="233" t="s">
        <v>35546</v>
      </c>
      <c r="C885" s="234"/>
      <c r="D885" s="279"/>
      <c r="E885" s="278"/>
      <c r="F885" s="279"/>
      <c r="G885" s="279">
        <v>0</v>
      </c>
      <c r="H885" s="279"/>
      <c r="I885" s="280">
        <f t="shared" si="47"/>
        <v>0</v>
      </c>
    </row>
    <row r="886" spans="1:9">
      <c r="A886" s="195"/>
      <c r="B886" s="189" t="s">
        <v>35654</v>
      </c>
      <c r="C886" s="190"/>
      <c r="D886" s="271"/>
      <c r="E886" s="271"/>
      <c r="F886" s="271"/>
      <c r="G886" s="271"/>
      <c r="H886" s="271"/>
      <c r="I886" s="259"/>
    </row>
    <row r="887" spans="1:9">
      <c r="A887" s="195"/>
      <c r="B887" s="233" t="s">
        <v>35514</v>
      </c>
      <c r="C887" s="234"/>
      <c r="D887" s="279"/>
      <c r="E887" s="278"/>
      <c r="F887" s="279"/>
      <c r="G887" s="279">
        <v>2</v>
      </c>
      <c r="H887" s="279"/>
      <c r="I887" s="280">
        <f>G887</f>
        <v>2</v>
      </c>
    </row>
    <row r="888" spans="1:9">
      <c r="A888" s="195"/>
      <c r="B888" s="233" t="s">
        <v>35515</v>
      </c>
      <c r="C888" s="234"/>
      <c r="D888" s="279"/>
      <c r="E888" s="278"/>
      <c r="F888" s="279"/>
      <c r="G888" s="279">
        <v>4</v>
      </c>
      <c r="H888" s="279"/>
      <c r="I888" s="280">
        <f t="shared" ref="I888:I890" si="48">G888</f>
        <v>4</v>
      </c>
    </row>
    <row r="889" spans="1:9">
      <c r="A889" s="195"/>
      <c r="B889" s="233" t="s">
        <v>35516</v>
      </c>
      <c r="C889" s="234"/>
      <c r="D889" s="279"/>
      <c r="E889" s="278"/>
      <c r="F889" s="279"/>
      <c r="G889" s="279">
        <v>1</v>
      </c>
      <c r="H889" s="279"/>
      <c r="I889" s="280">
        <f t="shared" si="48"/>
        <v>1</v>
      </c>
    </row>
    <row r="890" spans="1:9">
      <c r="A890" s="195"/>
      <c r="B890" s="233" t="s">
        <v>35776</v>
      </c>
      <c r="C890" s="234"/>
      <c r="D890" s="279"/>
      <c r="E890" s="278"/>
      <c r="F890" s="279"/>
      <c r="G890" s="279">
        <v>0</v>
      </c>
      <c r="H890" s="279"/>
      <c r="I890" s="280">
        <f t="shared" si="48"/>
        <v>0</v>
      </c>
    </row>
    <row r="891" spans="1:9">
      <c r="A891" s="135"/>
      <c r="B891" s="170"/>
      <c r="C891" s="136"/>
      <c r="D891" s="275"/>
      <c r="E891" s="275"/>
      <c r="F891" s="275"/>
      <c r="G891" s="276"/>
      <c r="H891" s="276"/>
      <c r="I891" s="277"/>
    </row>
    <row r="892" spans="1:9" ht="28.8">
      <c r="A892" s="119" t="s">
        <v>35278</v>
      </c>
      <c r="B892" s="258" t="str">
        <f>VLOOKUP(A892,GLOBAL!A:H,4,FALSE)</f>
        <v>PONTO PARA ESGOTO SECUNDÁRIO (PIA, LAVATÓRIO, MICTÓRIO, TANQUE, BIDÊ, ETC...)</v>
      </c>
      <c r="C892" s="119" t="str">
        <f>VLOOKUP(A892,GLOBAL!A:H,5,FALSE)</f>
        <v>PT</v>
      </c>
      <c r="D892" s="267" t="s">
        <v>66</v>
      </c>
      <c r="E892" s="267" t="s">
        <v>70</v>
      </c>
      <c r="F892" s="267" t="s">
        <v>67</v>
      </c>
      <c r="G892" s="267" t="s">
        <v>68</v>
      </c>
      <c r="H892" s="267" t="s">
        <v>71</v>
      </c>
      <c r="I892" s="268">
        <f>ROUND(SUM(I894:I914),2)</f>
        <v>32</v>
      </c>
    </row>
    <row r="893" spans="1:9">
      <c r="A893" s="198"/>
      <c r="B893" s="200" t="s">
        <v>2874</v>
      </c>
      <c r="C893" s="199"/>
      <c r="D893" s="281"/>
      <c r="E893" s="282"/>
      <c r="F893" s="281"/>
      <c r="G893" s="281"/>
      <c r="H893" s="281"/>
      <c r="I893" s="283"/>
    </row>
    <row r="894" spans="1:9">
      <c r="A894" s="195"/>
      <c r="B894" s="642" t="s">
        <v>35512</v>
      </c>
      <c r="C894" s="234"/>
      <c r="D894" s="641"/>
      <c r="E894" s="641"/>
      <c r="F894" s="279"/>
      <c r="G894" s="279"/>
      <c r="H894" s="279"/>
      <c r="I894" s="280"/>
    </row>
    <row r="895" spans="1:9">
      <c r="A895" s="195"/>
      <c r="B895" s="233" t="s">
        <v>35514</v>
      </c>
      <c r="C895" s="234"/>
      <c r="D895" s="279"/>
      <c r="E895" s="278"/>
      <c r="F895" s="279"/>
      <c r="G895" s="279">
        <v>2</v>
      </c>
      <c r="H895" s="279"/>
      <c r="I895" s="280">
        <f>G895</f>
        <v>2</v>
      </c>
    </row>
    <row r="896" spans="1:9">
      <c r="A896" s="195"/>
      <c r="B896" s="233" t="s">
        <v>35515</v>
      </c>
      <c r="C896" s="234"/>
      <c r="D896" s="279"/>
      <c r="E896" s="278"/>
      <c r="F896" s="279"/>
      <c r="G896" s="279">
        <v>2</v>
      </c>
      <c r="H896" s="279"/>
      <c r="I896" s="280">
        <f t="shared" ref="I896:I909" si="49">G896</f>
        <v>2</v>
      </c>
    </row>
    <row r="897" spans="1:9">
      <c r="A897" s="195"/>
      <c r="B897" s="233" t="s">
        <v>35516</v>
      </c>
      <c r="C897" s="234"/>
      <c r="D897" s="279"/>
      <c r="E897" s="278"/>
      <c r="F897" s="279"/>
      <c r="G897" s="279">
        <v>1</v>
      </c>
      <c r="H897" s="279"/>
      <c r="I897" s="280">
        <f t="shared" si="49"/>
        <v>1</v>
      </c>
    </row>
    <row r="898" spans="1:9">
      <c r="A898" s="195"/>
      <c r="B898" s="233" t="s">
        <v>35518</v>
      </c>
      <c r="C898" s="234"/>
      <c r="D898" s="279"/>
      <c r="E898" s="278"/>
      <c r="F898" s="279"/>
      <c r="G898" s="279">
        <v>1</v>
      </c>
      <c r="H898" s="279"/>
      <c r="I898" s="280">
        <f t="shared" si="49"/>
        <v>1</v>
      </c>
    </row>
    <row r="899" spans="1:9">
      <c r="A899" s="195"/>
      <c r="B899" s="233" t="s">
        <v>35504</v>
      </c>
      <c r="C899" s="234"/>
      <c r="D899" s="279"/>
      <c r="E899" s="278"/>
      <c r="F899" s="279"/>
      <c r="G899" s="279"/>
      <c r="H899" s="279"/>
      <c r="I899" s="280">
        <f t="shared" si="49"/>
        <v>0</v>
      </c>
    </row>
    <row r="900" spans="1:9">
      <c r="A900" s="195"/>
      <c r="B900" s="233" t="s">
        <v>35519</v>
      </c>
      <c r="C900" s="234"/>
      <c r="D900" s="279"/>
      <c r="E900" s="278"/>
      <c r="F900" s="279"/>
      <c r="G900" s="279">
        <v>2</v>
      </c>
      <c r="H900" s="279"/>
      <c r="I900" s="280">
        <f t="shared" si="49"/>
        <v>2</v>
      </c>
    </row>
    <row r="901" spans="1:9">
      <c r="A901" s="195"/>
      <c r="B901" s="233" t="s">
        <v>35520</v>
      </c>
      <c r="C901" s="234"/>
      <c r="D901" s="279"/>
      <c r="E901" s="278"/>
      <c r="F901" s="279"/>
      <c r="G901" s="279">
        <v>4</v>
      </c>
      <c r="H901" s="279"/>
      <c r="I901" s="280">
        <f t="shared" si="49"/>
        <v>4</v>
      </c>
    </row>
    <row r="902" spans="1:9">
      <c r="A902" s="195"/>
      <c r="B902" s="233" t="s">
        <v>35522</v>
      </c>
      <c r="C902" s="234"/>
      <c r="D902" s="279"/>
      <c r="E902" s="278"/>
      <c r="F902" s="279"/>
      <c r="G902" s="279">
        <v>2</v>
      </c>
      <c r="H902" s="279"/>
      <c r="I902" s="280">
        <f t="shared" si="49"/>
        <v>2</v>
      </c>
    </row>
    <row r="903" spans="1:9">
      <c r="A903" s="195"/>
      <c r="B903" s="233" t="s">
        <v>35523</v>
      </c>
      <c r="C903" s="234"/>
      <c r="D903" s="279"/>
      <c r="E903" s="278"/>
      <c r="F903" s="279"/>
      <c r="G903" s="279">
        <v>2</v>
      </c>
      <c r="H903" s="279"/>
      <c r="I903" s="280">
        <f t="shared" si="49"/>
        <v>2</v>
      </c>
    </row>
    <row r="904" spans="1:9">
      <c r="A904" s="195"/>
      <c r="B904" s="233" t="s">
        <v>35524</v>
      </c>
      <c r="C904" s="234"/>
      <c r="D904" s="279"/>
      <c r="E904" s="278"/>
      <c r="F904" s="279"/>
      <c r="G904" s="279">
        <v>1</v>
      </c>
      <c r="H904" s="279"/>
      <c r="I904" s="280">
        <f t="shared" si="49"/>
        <v>1</v>
      </c>
    </row>
    <row r="905" spans="1:9">
      <c r="A905" s="195"/>
      <c r="B905" s="233" t="s">
        <v>35545</v>
      </c>
      <c r="C905" s="234"/>
      <c r="D905" s="279"/>
      <c r="E905" s="278"/>
      <c r="F905" s="279"/>
      <c r="G905" s="279">
        <v>1</v>
      </c>
      <c r="H905" s="279"/>
      <c r="I905" s="280">
        <f t="shared" si="49"/>
        <v>1</v>
      </c>
    </row>
    <row r="906" spans="1:9">
      <c r="A906" s="195"/>
      <c r="B906" s="233" t="s">
        <v>35527</v>
      </c>
      <c r="C906" s="234"/>
      <c r="D906" s="279"/>
      <c r="E906" s="278"/>
      <c r="F906" s="279"/>
      <c r="G906" s="279">
        <v>2</v>
      </c>
      <c r="H906" s="279"/>
      <c r="I906" s="280">
        <f t="shared" si="49"/>
        <v>2</v>
      </c>
    </row>
    <row r="907" spans="1:9">
      <c r="A907" s="195"/>
      <c r="B907" s="233" t="s">
        <v>35528</v>
      </c>
      <c r="C907" s="234"/>
      <c r="D907" s="279"/>
      <c r="E907" s="278"/>
      <c r="F907" s="279"/>
      <c r="G907" s="279">
        <v>2</v>
      </c>
      <c r="H907" s="279"/>
      <c r="I907" s="280">
        <f t="shared" si="49"/>
        <v>2</v>
      </c>
    </row>
    <row r="908" spans="1:9">
      <c r="A908" s="195"/>
      <c r="B908" s="233" t="s">
        <v>35529</v>
      </c>
      <c r="C908" s="234"/>
      <c r="D908" s="279"/>
      <c r="E908" s="278"/>
      <c r="F908" s="279"/>
      <c r="G908" s="279">
        <v>1</v>
      </c>
      <c r="H908" s="279"/>
      <c r="I908" s="280">
        <f t="shared" si="49"/>
        <v>1</v>
      </c>
    </row>
    <row r="909" spans="1:9">
      <c r="A909" s="195"/>
      <c r="B909" s="233" t="s">
        <v>35546</v>
      </c>
      <c r="C909" s="234"/>
      <c r="D909" s="279"/>
      <c r="E909" s="278"/>
      <c r="F909" s="279"/>
      <c r="G909" s="279">
        <v>1</v>
      </c>
      <c r="H909" s="279"/>
      <c r="I909" s="280">
        <f t="shared" si="49"/>
        <v>1</v>
      </c>
    </row>
    <row r="910" spans="1:9">
      <c r="A910" s="195"/>
      <c r="B910" s="189" t="s">
        <v>35654</v>
      </c>
      <c r="C910" s="190"/>
      <c r="D910" s="271"/>
      <c r="E910" s="271"/>
      <c r="F910" s="271"/>
      <c r="G910" s="271"/>
      <c r="H910" s="271"/>
      <c r="I910" s="259"/>
    </row>
    <row r="911" spans="1:9">
      <c r="A911" s="195"/>
      <c r="B911" s="233" t="s">
        <v>35514</v>
      </c>
      <c r="C911" s="234"/>
      <c r="D911" s="279"/>
      <c r="E911" s="278"/>
      <c r="F911" s="279"/>
      <c r="G911" s="279">
        <v>3</v>
      </c>
      <c r="H911" s="279"/>
      <c r="I911" s="280">
        <f>G911</f>
        <v>3</v>
      </c>
    </row>
    <row r="912" spans="1:9">
      <c r="A912" s="195"/>
      <c r="B912" s="233" t="s">
        <v>35515</v>
      </c>
      <c r="C912" s="234"/>
      <c r="D912" s="279"/>
      <c r="E912" s="278"/>
      <c r="F912" s="279"/>
      <c r="G912" s="279">
        <v>3</v>
      </c>
      <c r="H912" s="279"/>
      <c r="I912" s="280">
        <f t="shared" ref="I912:I914" si="50">G912</f>
        <v>3</v>
      </c>
    </row>
    <row r="913" spans="1:9">
      <c r="A913" s="195"/>
      <c r="B913" s="233" t="s">
        <v>35516</v>
      </c>
      <c r="C913" s="234"/>
      <c r="D913" s="279"/>
      <c r="E913" s="278"/>
      <c r="F913" s="279"/>
      <c r="G913" s="279">
        <v>1</v>
      </c>
      <c r="H913" s="279"/>
      <c r="I913" s="280">
        <f t="shared" si="50"/>
        <v>1</v>
      </c>
    </row>
    <row r="914" spans="1:9">
      <c r="A914" s="195"/>
      <c r="B914" s="233" t="s">
        <v>35776</v>
      </c>
      <c r="C914" s="234"/>
      <c r="D914" s="279"/>
      <c r="E914" s="278"/>
      <c r="F914" s="279"/>
      <c r="G914" s="279">
        <v>1</v>
      </c>
      <c r="H914" s="279"/>
      <c r="I914" s="280">
        <f t="shared" si="50"/>
        <v>1</v>
      </c>
    </row>
    <row r="915" spans="1:9">
      <c r="A915" s="135"/>
      <c r="B915" s="170"/>
      <c r="C915" s="136"/>
      <c r="D915" s="275"/>
      <c r="E915" s="275"/>
      <c r="F915" s="275"/>
      <c r="G915" s="276"/>
      <c r="H915" s="276"/>
      <c r="I915" s="277"/>
    </row>
    <row r="916" spans="1:9" ht="28.8">
      <c r="A916" s="119" t="s">
        <v>35279</v>
      </c>
      <c r="B916" s="258" t="str">
        <f>VLOOKUP(A916,GLOBAL!A:H,4,FALSE)</f>
        <v>PONTO PARA CAIXA SIFONADA, INCLUSIVE CAIXA SIFONADA PVC 150X150X50MM COM GRELHA EM PVC</v>
      </c>
      <c r="C916" s="119" t="str">
        <f>VLOOKUP(A916,GLOBAL!A:H,5,FALSE)</f>
        <v>PT</v>
      </c>
      <c r="D916" s="267" t="s">
        <v>66</v>
      </c>
      <c r="E916" s="267" t="s">
        <v>70</v>
      </c>
      <c r="F916" s="267" t="s">
        <v>67</v>
      </c>
      <c r="G916" s="267" t="s">
        <v>68</v>
      </c>
      <c r="H916" s="267" t="s">
        <v>71</v>
      </c>
      <c r="I916" s="268">
        <f>ROUND(SUM(I918:I939),2)</f>
        <v>23</v>
      </c>
    </row>
    <row r="917" spans="1:9">
      <c r="A917" s="198"/>
      <c r="B917" s="200" t="s">
        <v>2874</v>
      </c>
      <c r="C917" s="199"/>
      <c r="D917" s="281"/>
      <c r="E917" s="282"/>
      <c r="F917" s="281"/>
      <c r="G917" s="281"/>
      <c r="H917" s="281"/>
      <c r="I917" s="283"/>
    </row>
    <row r="918" spans="1:9">
      <c r="A918" s="195"/>
      <c r="B918" s="642" t="s">
        <v>35512</v>
      </c>
      <c r="C918" s="234"/>
      <c r="D918" s="641"/>
      <c r="E918" s="641"/>
      <c r="F918" s="279"/>
      <c r="G918" s="279"/>
      <c r="H918" s="279"/>
      <c r="I918" s="280"/>
    </row>
    <row r="919" spans="1:9">
      <c r="A919" s="195"/>
      <c r="B919" s="233" t="s">
        <v>35514</v>
      </c>
      <c r="C919" s="234"/>
      <c r="D919" s="279"/>
      <c r="E919" s="278"/>
      <c r="F919" s="279"/>
      <c r="G919" s="279">
        <v>1</v>
      </c>
      <c r="H919" s="279"/>
      <c r="I919" s="280">
        <f>G919</f>
        <v>1</v>
      </c>
    </row>
    <row r="920" spans="1:9">
      <c r="A920" s="195"/>
      <c r="B920" s="233" t="s">
        <v>35515</v>
      </c>
      <c r="C920" s="234"/>
      <c r="D920" s="279"/>
      <c r="E920" s="278"/>
      <c r="F920" s="279"/>
      <c r="G920" s="279">
        <v>1</v>
      </c>
      <c r="H920" s="279"/>
      <c r="I920" s="280">
        <f t="shared" ref="I920:I933" si="51">G920</f>
        <v>1</v>
      </c>
    </row>
    <row r="921" spans="1:9">
      <c r="A921" s="195"/>
      <c r="B921" s="233" t="s">
        <v>35516</v>
      </c>
      <c r="C921" s="234"/>
      <c r="D921" s="279"/>
      <c r="E921" s="278"/>
      <c r="F921" s="279"/>
      <c r="G921" s="279">
        <v>1</v>
      </c>
      <c r="H921" s="279"/>
      <c r="I921" s="280">
        <f t="shared" si="51"/>
        <v>1</v>
      </c>
    </row>
    <row r="922" spans="1:9">
      <c r="A922" s="195"/>
      <c r="B922" s="233" t="s">
        <v>35518</v>
      </c>
      <c r="C922" s="234"/>
      <c r="D922" s="279"/>
      <c r="E922" s="278"/>
      <c r="F922" s="279"/>
      <c r="G922" s="279">
        <v>1</v>
      </c>
      <c r="H922" s="279"/>
      <c r="I922" s="280">
        <f t="shared" si="51"/>
        <v>1</v>
      </c>
    </row>
    <row r="923" spans="1:9">
      <c r="A923" s="195"/>
      <c r="B923" s="233" t="s">
        <v>35504</v>
      </c>
      <c r="C923" s="234"/>
      <c r="D923" s="279"/>
      <c r="E923" s="278"/>
      <c r="F923" s="279"/>
      <c r="G923" s="279">
        <v>1</v>
      </c>
      <c r="H923" s="279"/>
      <c r="I923" s="280">
        <f t="shared" si="51"/>
        <v>1</v>
      </c>
    </row>
    <row r="924" spans="1:9">
      <c r="A924" s="195"/>
      <c r="B924" s="233" t="s">
        <v>35519</v>
      </c>
      <c r="C924" s="234"/>
      <c r="D924" s="279"/>
      <c r="E924" s="278"/>
      <c r="F924" s="279"/>
      <c r="G924" s="279">
        <v>1</v>
      </c>
      <c r="H924" s="279"/>
      <c r="I924" s="280">
        <f t="shared" si="51"/>
        <v>1</v>
      </c>
    </row>
    <row r="925" spans="1:9">
      <c r="A925" s="195"/>
      <c r="B925" s="233" t="s">
        <v>35520</v>
      </c>
      <c r="C925" s="234"/>
      <c r="D925" s="279"/>
      <c r="E925" s="278"/>
      <c r="F925" s="279"/>
      <c r="G925" s="279">
        <v>1</v>
      </c>
      <c r="H925" s="279"/>
      <c r="I925" s="280">
        <f t="shared" si="51"/>
        <v>1</v>
      </c>
    </row>
    <row r="926" spans="1:9">
      <c r="A926" s="195"/>
      <c r="B926" s="233" t="s">
        <v>35522</v>
      </c>
      <c r="C926" s="234"/>
      <c r="D926" s="279"/>
      <c r="E926" s="278"/>
      <c r="F926" s="279"/>
      <c r="G926" s="279">
        <v>1</v>
      </c>
      <c r="H926" s="279"/>
      <c r="I926" s="280">
        <f t="shared" si="51"/>
        <v>1</v>
      </c>
    </row>
    <row r="927" spans="1:9">
      <c r="A927" s="195"/>
      <c r="B927" s="233" t="s">
        <v>35523</v>
      </c>
      <c r="C927" s="234"/>
      <c r="D927" s="279"/>
      <c r="E927" s="278"/>
      <c r="F927" s="279"/>
      <c r="G927" s="279">
        <v>1</v>
      </c>
      <c r="H927" s="279"/>
      <c r="I927" s="280">
        <f t="shared" si="51"/>
        <v>1</v>
      </c>
    </row>
    <row r="928" spans="1:9">
      <c r="A928" s="195"/>
      <c r="B928" s="233" t="s">
        <v>35524</v>
      </c>
      <c r="C928" s="234"/>
      <c r="D928" s="279"/>
      <c r="E928" s="278"/>
      <c r="F928" s="279"/>
      <c r="G928" s="279">
        <v>1</v>
      </c>
      <c r="H928" s="279"/>
      <c r="I928" s="280">
        <f t="shared" si="51"/>
        <v>1</v>
      </c>
    </row>
    <row r="929" spans="1:9">
      <c r="A929" s="195"/>
      <c r="B929" s="233" t="s">
        <v>35545</v>
      </c>
      <c r="C929" s="234"/>
      <c r="D929" s="279"/>
      <c r="E929" s="278"/>
      <c r="F929" s="279"/>
      <c r="G929" s="279">
        <v>1</v>
      </c>
      <c r="H929" s="279"/>
      <c r="I929" s="280">
        <f t="shared" si="51"/>
        <v>1</v>
      </c>
    </row>
    <row r="930" spans="1:9">
      <c r="A930" s="195"/>
      <c r="B930" s="233" t="s">
        <v>35527</v>
      </c>
      <c r="C930" s="234"/>
      <c r="D930" s="279"/>
      <c r="E930" s="278"/>
      <c r="F930" s="279"/>
      <c r="G930" s="279">
        <v>1</v>
      </c>
      <c r="H930" s="279"/>
      <c r="I930" s="280">
        <f t="shared" si="51"/>
        <v>1</v>
      </c>
    </row>
    <row r="931" spans="1:9">
      <c r="A931" s="195"/>
      <c r="B931" s="233" t="s">
        <v>35528</v>
      </c>
      <c r="C931" s="234"/>
      <c r="D931" s="279"/>
      <c r="E931" s="278"/>
      <c r="F931" s="279"/>
      <c r="G931" s="279">
        <v>1</v>
      </c>
      <c r="H931" s="279"/>
      <c r="I931" s="280">
        <f t="shared" si="51"/>
        <v>1</v>
      </c>
    </row>
    <row r="932" spans="1:9">
      <c r="A932" s="195"/>
      <c r="B932" s="233" t="s">
        <v>35529</v>
      </c>
      <c r="C932" s="234"/>
      <c r="D932" s="279"/>
      <c r="E932" s="278"/>
      <c r="F932" s="279"/>
      <c r="G932" s="279">
        <v>1</v>
      </c>
      <c r="H932" s="279"/>
      <c r="I932" s="280">
        <f t="shared" si="51"/>
        <v>1</v>
      </c>
    </row>
    <row r="933" spans="1:9">
      <c r="A933" s="195"/>
      <c r="B933" s="233" t="s">
        <v>35546</v>
      </c>
      <c r="C933" s="234"/>
      <c r="D933" s="279"/>
      <c r="E933" s="278"/>
      <c r="F933" s="279"/>
      <c r="G933" s="279">
        <v>1</v>
      </c>
      <c r="H933" s="279"/>
      <c r="I933" s="280">
        <f t="shared" si="51"/>
        <v>1</v>
      </c>
    </row>
    <row r="934" spans="1:9">
      <c r="A934" s="195"/>
      <c r="B934" s="189" t="s">
        <v>35654</v>
      </c>
      <c r="C934" s="190"/>
      <c r="D934" s="271"/>
      <c r="E934" s="271"/>
      <c r="F934" s="271"/>
      <c r="G934" s="271"/>
      <c r="H934" s="271"/>
      <c r="I934" s="259"/>
    </row>
    <row r="935" spans="1:9">
      <c r="A935" s="195"/>
      <c r="B935" s="233" t="s">
        <v>35514</v>
      </c>
      <c r="C935" s="234"/>
      <c r="D935" s="279"/>
      <c r="E935" s="278"/>
      <c r="F935" s="279"/>
      <c r="G935" s="279">
        <v>3</v>
      </c>
      <c r="H935" s="279"/>
      <c r="I935" s="280">
        <f>G935</f>
        <v>3</v>
      </c>
    </row>
    <row r="936" spans="1:9">
      <c r="A936" s="195"/>
      <c r="B936" s="233" t="s">
        <v>35515</v>
      </c>
      <c r="C936" s="234"/>
      <c r="D936" s="279"/>
      <c r="E936" s="278"/>
      <c r="F936" s="279"/>
      <c r="G936" s="279">
        <v>3</v>
      </c>
      <c r="H936" s="279"/>
      <c r="I936" s="280">
        <f t="shared" ref="I936:I938" si="52">G936</f>
        <v>3</v>
      </c>
    </row>
    <row r="937" spans="1:9">
      <c r="A937" s="195"/>
      <c r="B937" s="233" t="s">
        <v>35516</v>
      </c>
      <c r="C937" s="234"/>
      <c r="D937" s="279"/>
      <c r="E937" s="278"/>
      <c r="F937" s="279"/>
      <c r="G937" s="279">
        <v>1</v>
      </c>
      <c r="H937" s="279"/>
      <c r="I937" s="280">
        <f t="shared" si="52"/>
        <v>1</v>
      </c>
    </row>
    <row r="938" spans="1:9">
      <c r="A938" s="195"/>
      <c r="B938" s="233" t="s">
        <v>35776</v>
      </c>
      <c r="C938" s="234"/>
      <c r="D938" s="279"/>
      <c r="E938" s="278"/>
      <c r="F938" s="279"/>
      <c r="G938" s="279">
        <v>1</v>
      </c>
      <c r="H938" s="279"/>
      <c r="I938" s="280">
        <f t="shared" si="52"/>
        <v>1</v>
      </c>
    </row>
    <row r="939" spans="1:9">
      <c r="A939" s="195"/>
      <c r="B939" s="189"/>
      <c r="C939" s="190"/>
      <c r="D939" s="271"/>
      <c r="E939" s="271"/>
      <c r="F939" s="271"/>
      <c r="G939" s="271"/>
      <c r="H939" s="271"/>
      <c r="I939" s="259"/>
    </row>
    <row r="940" spans="1:9">
      <c r="A940" s="135"/>
      <c r="B940" s="170"/>
      <c r="C940" s="136"/>
      <c r="D940" s="275"/>
      <c r="E940" s="275"/>
      <c r="F940" s="275"/>
      <c r="G940" s="276"/>
      <c r="H940" s="276"/>
      <c r="I940" s="277"/>
    </row>
    <row r="941" spans="1:9" ht="28.8">
      <c r="A941" s="119" t="s">
        <v>35280</v>
      </c>
      <c r="B941" s="258" t="str">
        <f>VLOOKUP(A941,GLOBAL!A:H,4,FALSE)</f>
        <v>PONTO PARA RALO SIFONADO, INCLUSIVE RALO SIFONADO 100 X 40 MM C/ GRELHA EM PVC</v>
      </c>
      <c r="C941" s="119" t="str">
        <f>VLOOKUP(A941,GLOBAL!A:H,5,FALSE)</f>
        <v>PT</v>
      </c>
      <c r="D941" s="267" t="s">
        <v>66</v>
      </c>
      <c r="E941" s="267" t="s">
        <v>70</v>
      </c>
      <c r="F941" s="267" t="s">
        <v>67</v>
      </c>
      <c r="G941" s="267" t="s">
        <v>68</v>
      </c>
      <c r="H941" s="267" t="s">
        <v>71</v>
      </c>
      <c r="I941" s="268">
        <f>ROUND(SUM(I943:I964),2)</f>
        <v>19</v>
      </c>
    </row>
    <row r="942" spans="1:9">
      <c r="A942" s="198"/>
      <c r="B942" s="200" t="s">
        <v>2874</v>
      </c>
      <c r="C942" s="199"/>
      <c r="D942" s="281"/>
      <c r="E942" s="282"/>
      <c r="F942" s="281"/>
      <c r="G942" s="281"/>
      <c r="H942" s="281"/>
      <c r="I942" s="283"/>
    </row>
    <row r="943" spans="1:9">
      <c r="A943" s="195"/>
      <c r="B943" s="642" t="s">
        <v>35512</v>
      </c>
      <c r="C943" s="234"/>
      <c r="D943" s="641"/>
      <c r="E943" s="641"/>
      <c r="F943" s="279"/>
      <c r="G943" s="279"/>
      <c r="H943" s="279"/>
      <c r="I943" s="280"/>
    </row>
    <row r="944" spans="1:9">
      <c r="A944" s="195"/>
      <c r="B944" s="233" t="s">
        <v>35514</v>
      </c>
      <c r="C944" s="234"/>
      <c r="D944" s="279"/>
      <c r="E944" s="278"/>
      <c r="F944" s="279"/>
      <c r="G944" s="279">
        <v>1</v>
      </c>
      <c r="H944" s="279"/>
      <c r="I944" s="280">
        <f>G944</f>
        <v>1</v>
      </c>
    </row>
    <row r="945" spans="1:9">
      <c r="A945" s="195"/>
      <c r="B945" s="233" t="s">
        <v>35515</v>
      </c>
      <c r="C945" s="234"/>
      <c r="D945" s="279"/>
      <c r="E945" s="278"/>
      <c r="F945" s="279"/>
      <c r="G945" s="279">
        <v>1</v>
      </c>
      <c r="H945" s="279"/>
      <c r="I945" s="280">
        <f t="shared" ref="I945:I958" si="53">G945</f>
        <v>1</v>
      </c>
    </row>
    <row r="946" spans="1:9">
      <c r="A946" s="195"/>
      <c r="B946" s="233" t="s">
        <v>35516</v>
      </c>
      <c r="C946" s="234"/>
      <c r="D946" s="279"/>
      <c r="E946" s="278"/>
      <c r="F946" s="279"/>
      <c r="G946" s="279">
        <v>1</v>
      </c>
      <c r="H946" s="279"/>
      <c r="I946" s="280">
        <f t="shared" si="53"/>
        <v>1</v>
      </c>
    </row>
    <row r="947" spans="1:9">
      <c r="A947" s="195"/>
      <c r="B947" s="233" t="s">
        <v>35518</v>
      </c>
      <c r="C947" s="234"/>
      <c r="D947" s="279"/>
      <c r="E947" s="278"/>
      <c r="F947" s="279"/>
      <c r="G947" s="279">
        <v>1</v>
      </c>
      <c r="H947" s="279"/>
      <c r="I947" s="280">
        <f t="shared" si="53"/>
        <v>1</v>
      </c>
    </row>
    <row r="948" spans="1:9">
      <c r="A948" s="195"/>
      <c r="B948" s="233" t="s">
        <v>35504</v>
      </c>
      <c r="C948" s="234"/>
      <c r="D948" s="279"/>
      <c r="E948" s="278"/>
      <c r="F948" s="279"/>
      <c r="G948" s="279">
        <v>1</v>
      </c>
      <c r="H948" s="279"/>
      <c r="I948" s="280">
        <f t="shared" si="53"/>
        <v>1</v>
      </c>
    </row>
    <row r="949" spans="1:9">
      <c r="A949" s="195"/>
      <c r="B949" s="233" t="s">
        <v>35519</v>
      </c>
      <c r="C949" s="234"/>
      <c r="D949" s="279"/>
      <c r="E949" s="278"/>
      <c r="F949" s="279"/>
      <c r="G949" s="279">
        <v>1</v>
      </c>
      <c r="H949" s="279"/>
      <c r="I949" s="280">
        <f t="shared" si="53"/>
        <v>1</v>
      </c>
    </row>
    <row r="950" spans="1:9">
      <c r="A950" s="195"/>
      <c r="B950" s="233" t="s">
        <v>35520</v>
      </c>
      <c r="C950" s="234"/>
      <c r="D950" s="279"/>
      <c r="E950" s="278"/>
      <c r="F950" s="279"/>
      <c r="G950" s="279">
        <v>1</v>
      </c>
      <c r="H950" s="279"/>
      <c r="I950" s="280">
        <f t="shared" si="53"/>
        <v>1</v>
      </c>
    </row>
    <row r="951" spans="1:9">
      <c r="A951" s="195"/>
      <c r="B951" s="233" t="s">
        <v>35522</v>
      </c>
      <c r="C951" s="234"/>
      <c r="D951" s="279"/>
      <c r="E951" s="278"/>
      <c r="F951" s="279"/>
      <c r="G951" s="279">
        <v>1</v>
      </c>
      <c r="H951" s="279"/>
      <c r="I951" s="280">
        <f t="shared" si="53"/>
        <v>1</v>
      </c>
    </row>
    <row r="952" spans="1:9">
      <c r="A952" s="195"/>
      <c r="B952" s="233" t="s">
        <v>35523</v>
      </c>
      <c r="C952" s="234"/>
      <c r="D952" s="279"/>
      <c r="E952" s="278"/>
      <c r="F952" s="279"/>
      <c r="G952" s="279">
        <v>1</v>
      </c>
      <c r="H952" s="279"/>
      <c r="I952" s="280">
        <f t="shared" si="53"/>
        <v>1</v>
      </c>
    </row>
    <row r="953" spans="1:9">
      <c r="A953" s="195"/>
      <c r="B953" s="233" t="s">
        <v>35524</v>
      </c>
      <c r="C953" s="234"/>
      <c r="D953" s="279"/>
      <c r="E953" s="278"/>
      <c r="F953" s="279"/>
      <c r="G953" s="279">
        <v>1</v>
      </c>
      <c r="H953" s="279"/>
      <c r="I953" s="280">
        <f t="shared" si="53"/>
        <v>1</v>
      </c>
    </row>
    <row r="954" spans="1:9">
      <c r="A954" s="195"/>
      <c r="B954" s="233" t="s">
        <v>35545</v>
      </c>
      <c r="C954" s="234"/>
      <c r="D954" s="279"/>
      <c r="E954" s="278"/>
      <c r="F954" s="279"/>
      <c r="G954" s="279">
        <v>1</v>
      </c>
      <c r="H954" s="279"/>
      <c r="I954" s="280">
        <f t="shared" si="53"/>
        <v>1</v>
      </c>
    </row>
    <row r="955" spans="1:9">
      <c r="A955" s="195"/>
      <c r="B955" s="233" t="s">
        <v>35527</v>
      </c>
      <c r="C955" s="234"/>
      <c r="D955" s="279"/>
      <c r="E955" s="278"/>
      <c r="F955" s="279"/>
      <c r="G955" s="279">
        <v>1</v>
      </c>
      <c r="H955" s="279"/>
      <c r="I955" s="280">
        <f t="shared" si="53"/>
        <v>1</v>
      </c>
    </row>
    <row r="956" spans="1:9">
      <c r="A956" s="195"/>
      <c r="B956" s="233" t="s">
        <v>35528</v>
      </c>
      <c r="C956" s="234"/>
      <c r="D956" s="279"/>
      <c r="E956" s="278"/>
      <c r="F956" s="279"/>
      <c r="G956" s="279">
        <v>1</v>
      </c>
      <c r="H956" s="279"/>
      <c r="I956" s="280">
        <f t="shared" si="53"/>
        <v>1</v>
      </c>
    </row>
    <row r="957" spans="1:9">
      <c r="A957" s="195"/>
      <c r="B957" s="233" t="s">
        <v>35529</v>
      </c>
      <c r="C957" s="234"/>
      <c r="D957" s="279"/>
      <c r="E957" s="278"/>
      <c r="F957" s="279"/>
      <c r="G957" s="279">
        <v>1</v>
      </c>
      <c r="H957" s="279"/>
      <c r="I957" s="280">
        <f t="shared" si="53"/>
        <v>1</v>
      </c>
    </row>
    <row r="958" spans="1:9">
      <c r="A958" s="195"/>
      <c r="B958" s="233" t="s">
        <v>35546</v>
      </c>
      <c r="C958" s="234"/>
      <c r="D958" s="279"/>
      <c r="E958" s="278"/>
      <c r="F958" s="279"/>
      <c r="G958" s="279">
        <v>1</v>
      </c>
      <c r="H958" s="279"/>
      <c r="I958" s="280">
        <f t="shared" si="53"/>
        <v>1</v>
      </c>
    </row>
    <row r="959" spans="1:9">
      <c r="A959" s="195"/>
      <c r="B959" s="189" t="s">
        <v>35654</v>
      </c>
      <c r="C959" s="190"/>
      <c r="D959" s="271"/>
      <c r="E959" s="271"/>
      <c r="F959" s="271"/>
      <c r="G959" s="271"/>
      <c r="H959" s="271"/>
      <c r="I959" s="259"/>
    </row>
    <row r="960" spans="1:9">
      <c r="A960" s="195"/>
      <c r="B960" s="233" t="s">
        <v>35514</v>
      </c>
      <c r="C960" s="234"/>
      <c r="D960" s="279"/>
      <c r="E960" s="278"/>
      <c r="F960" s="279"/>
      <c r="G960" s="279">
        <v>1</v>
      </c>
      <c r="H960" s="279"/>
      <c r="I960" s="280">
        <f>G960</f>
        <v>1</v>
      </c>
    </row>
    <row r="961" spans="1:9">
      <c r="A961" s="195"/>
      <c r="B961" s="233" t="s">
        <v>35515</v>
      </c>
      <c r="C961" s="234"/>
      <c r="D961" s="279"/>
      <c r="E961" s="278"/>
      <c r="F961" s="279"/>
      <c r="G961" s="279">
        <v>1</v>
      </c>
      <c r="H961" s="279"/>
      <c r="I961" s="280">
        <f t="shared" ref="I961:I963" si="54">G961</f>
        <v>1</v>
      </c>
    </row>
    <row r="962" spans="1:9">
      <c r="A962" s="195"/>
      <c r="B962" s="233" t="s">
        <v>35516</v>
      </c>
      <c r="C962" s="234"/>
      <c r="D962" s="279"/>
      <c r="E962" s="278"/>
      <c r="F962" s="279"/>
      <c r="G962" s="279">
        <v>1</v>
      </c>
      <c r="H962" s="279"/>
      <c r="I962" s="280">
        <f t="shared" si="54"/>
        <v>1</v>
      </c>
    </row>
    <row r="963" spans="1:9">
      <c r="A963" s="195"/>
      <c r="B963" s="233" t="s">
        <v>35776</v>
      </c>
      <c r="C963" s="234"/>
      <c r="D963" s="279"/>
      <c r="E963" s="278"/>
      <c r="F963" s="279"/>
      <c r="G963" s="279">
        <v>1</v>
      </c>
      <c r="H963" s="279"/>
      <c r="I963" s="280">
        <f t="shared" si="54"/>
        <v>1</v>
      </c>
    </row>
    <row r="964" spans="1:9">
      <c r="A964" s="195"/>
      <c r="B964" s="189"/>
      <c r="C964" s="190"/>
      <c r="D964" s="271"/>
      <c r="E964" s="271"/>
      <c r="F964" s="271"/>
      <c r="G964" s="271"/>
      <c r="H964" s="271"/>
      <c r="I964" s="259"/>
    </row>
    <row r="965" spans="1:9">
      <c r="A965" s="135"/>
      <c r="B965" s="170"/>
      <c r="C965" s="136"/>
      <c r="D965" s="275"/>
      <c r="E965" s="275"/>
      <c r="F965" s="275"/>
      <c r="G965" s="276"/>
      <c r="H965" s="276"/>
      <c r="I965" s="277"/>
    </row>
    <row r="966" spans="1:9" ht="28.8">
      <c r="A966" s="119" t="s">
        <v>35281</v>
      </c>
      <c r="B966" s="258" t="str">
        <f>VLOOKUP(A966,GLOBAL!A:H,4,FALSE)</f>
        <v>PONTO PARA RALO SECO, INCLUSIVE RALO PVC 10 CM COM GRELHA EM PVC</v>
      </c>
      <c r="C966" s="119" t="str">
        <f>VLOOKUP(A966,GLOBAL!A:H,5,FALSE)</f>
        <v>PT</v>
      </c>
      <c r="D966" s="267" t="s">
        <v>66</v>
      </c>
      <c r="E966" s="267" t="s">
        <v>70</v>
      </c>
      <c r="F966" s="267" t="s">
        <v>67</v>
      </c>
      <c r="G966" s="267" t="s">
        <v>68</v>
      </c>
      <c r="H966" s="267" t="s">
        <v>71</v>
      </c>
      <c r="I966" s="268">
        <f>ROUND(SUM(I968:I989),2)</f>
        <v>19</v>
      </c>
    </row>
    <row r="967" spans="1:9">
      <c r="A967" s="198"/>
      <c r="B967" s="200" t="s">
        <v>2874</v>
      </c>
      <c r="C967" s="199"/>
      <c r="D967" s="281"/>
      <c r="E967" s="282"/>
      <c r="F967" s="281"/>
      <c r="G967" s="281"/>
      <c r="H967" s="281"/>
      <c r="I967" s="283"/>
    </row>
    <row r="968" spans="1:9">
      <c r="A968" s="195"/>
      <c r="B968" s="642" t="s">
        <v>35512</v>
      </c>
      <c r="C968" s="234"/>
      <c r="D968" s="641"/>
      <c r="E968" s="641"/>
      <c r="F968" s="279"/>
      <c r="G968" s="279"/>
      <c r="H968" s="279"/>
      <c r="I968" s="280"/>
    </row>
    <row r="969" spans="1:9">
      <c r="A969" s="195"/>
      <c r="B969" s="233" t="s">
        <v>35514</v>
      </c>
      <c r="C969" s="234"/>
      <c r="D969" s="279"/>
      <c r="E969" s="278"/>
      <c r="F969" s="279"/>
      <c r="G969" s="279">
        <v>1</v>
      </c>
      <c r="H969" s="279"/>
      <c r="I969" s="280">
        <f>G969</f>
        <v>1</v>
      </c>
    </row>
    <row r="970" spans="1:9">
      <c r="A970" s="195"/>
      <c r="B970" s="233" t="s">
        <v>35515</v>
      </c>
      <c r="C970" s="234"/>
      <c r="D970" s="279"/>
      <c r="E970" s="278"/>
      <c r="F970" s="279"/>
      <c r="G970" s="279">
        <v>1</v>
      </c>
      <c r="H970" s="279"/>
      <c r="I970" s="280">
        <f t="shared" ref="I970:I983" si="55">G970</f>
        <v>1</v>
      </c>
    </row>
    <row r="971" spans="1:9">
      <c r="A971" s="195"/>
      <c r="B971" s="233" t="s">
        <v>35516</v>
      </c>
      <c r="C971" s="234"/>
      <c r="D971" s="279"/>
      <c r="E971" s="278"/>
      <c r="F971" s="279"/>
      <c r="G971" s="279">
        <v>1</v>
      </c>
      <c r="H971" s="279"/>
      <c r="I971" s="280">
        <f t="shared" si="55"/>
        <v>1</v>
      </c>
    </row>
    <row r="972" spans="1:9">
      <c r="A972" s="195"/>
      <c r="B972" s="233" t="s">
        <v>35518</v>
      </c>
      <c r="C972" s="234"/>
      <c r="D972" s="279"/>
      <c r="E972" s="278"/>
      <c r="F972" s="279"/>
      <c r="G972" s="279">
        <v>1</v>
      </c>
      <c r="H972" s="279"/>
      <c r="I972" s="280">
        <f t="shared" si="55"/>
        <v>1</v>
      </c>
    </row>
    <row r="973" spans="1:9">
      <c r="A973" s="195"/>
      <c r="B973" s="233" t="s">
        <v>35504</v>
      </c>
      <c r="C973" s="234"/>
      <c r="D973" s="279"/>
      <c r="E973" s="278"/>
      <c r="F973" s="279"/>
      <c r="G973" s="279">
        <v>1</v>
      </c>
      <c r="H973" s="279"/>
      <c r="I973" s="280">
        <f t="shared" si="55"/>
        <v>1</v>
      </c>
    </row>
    <row r="974" spans="1:9">
      <c r="A974" s="195"/>
      <c r="B974" s="233" t="s">
        <v>35519</v>
      </c>
      <c r="C974" s="234"/>
      <c r="D974" s="279"/>
      <c r="E974" s="278"/>
      <c r="F974" s="279"/>
      <c r="G974" s="279">
        <v>1</v>
      </c>
      <c r="H974" s="279"/>
      <c r="I974" s="280">
        <f t="shared" si="55"/>
        <v>1</v>
      </c>
    </row>
    <row r="975" spans="1:9">
      <c r="A975" s="195"/>
      <c r="B975" s="233" t="s">
        <v>35520</v>
      </c>
      <c r="C975" s="234"/>
      <c r="D975" s="279"/>
      <c r="E975" s="278"/>
      <c r="F975" s="279"/>
      <c r="G975" s="279">
        <v>1</v>
      </c>
      <c r="H975" s="279"/>
      <c r="I975" s="280">
        <f t="shared" si="55"/>
        <v>1</v>
      </c>
    </row>
    <row r="976" spans="1:9">
      <c r="A976" s="195"/>
      <c r="B976" s="233" t="s">
        <v>35522</v>
      </c>
      <c r="C976" s="234"/>
      <c r="D976" s="279"/>
      <c r="E976" s="278"/>
      <c r="F976" s="279"/>
      <c r="G976" s="279">
        <v>1</v>
      </c>
      <c r="H976" s="279"/>
      <c r="I976" s="280">
        <f t="shared" si="55"/>
        <v>1</v>
      </c>
    </row>
    <row r="977" spans="1:9">
      <c r="A977" s="195"/>
      <c r="B977" s="233" t="s">
        <v>35523</v>
      </c>
      <c r="C977" s="234"/>
      <c r="D977" s="279"/>
      <c r="E977" s="278"/>
      <c r="F977" s="279"/>
      <c r="G977" s="279">
        <v>1</v>
      </c>
      <c r="H977" s="279"/>
      <c r="I977" s="280">
        <f t="shared" si="55"/>
        <v>1</v>
      </c>
    </row>
    <row r="978" spans="1:9">
      <c r="A978" s="195"/>
      <c r="B978" s="233" t="s">
        <v>35524</v>
      </c>
      <c r="C978" s="234"/>
      <c r="D978" s="279"/>
      <c r="E978" s="278"/>
      <c r="F978" s="279"/>
      <c r="G978" s="279">
        <v>1</v>
      </c>
      <c r="H978" s="279"/>
      <c r="I978" s="280">
        <f t="shared" si="55"/>
        <v>1</v>
      </c>
    </row>
    <row r="979" spans="1:9">
      <c r="A979" s="195"/>
      <c r="B979" s="233" t="s">
        <v>35545</v>
      </c>
      <c r="C979" s="234"/>
      <c r="D979" s="279"/>
      <c r="E979" s="278"/>
      <c r="F979" s="279"/>
      <c r="G979" s="279">
        <v>1</v>
      </c>
      <c r="H979" s="279"/>
      <c r="I979" s="280">
        <f t="shared" si="55"/>
        <v>1</v>
      </c>
    </row>
    <row r="980" spans="1:9">
      <c r="A980" s="195"/>
      <c r="B980" s="233" t="s">
        <v>35527</v>
      </c>
      <c r="C980" s="234"/>
      <c r="D980" s="279"/>
      <c r="E980" s="278"/>
      <c r="F980" s="279"/>
      <c r="G980" s="279">
        <v>1</v>
      </c>
      <c r="H980" s="279"/>
      <c r="I980" s="280">
        <f t="shared" si="55"/>
        <v>1</v>
      </c>
    </row>
    <row r="981" spans="1:9">
      <c r="A981" s="195"/>
      <c r="B981" s="233" t="s">
        <v>35528</v>
      </c>
      <c r="C981" s="234"/>
      <c r="D981" s="279"/>
      <c r="E981" s="278"/>
      <c r="F981" s="279"/>
      <c r="G981" s="279">
        <v>1</v>
      </c>
      <c r="H981" s="279"/>
      <c r="I981" s="280">
        <f t="shared" si="55"/>
        <v>1</v>
      </c>
    </row>
    <row r="982" spans="1:9">
      <c r="A982" s="195"/>
      <c r="B982" s="233" t="s">
        <v>35529</v>
      </c>
      <c r="C982" s="234"/>
      <c r="D982" s="279"/>
      <c r="E982" s="278"/>
      <c r="F982" s="279"/>
      <c r="G982" s="279">
        <v>1</v>
      </c>
      <c r="H982" s="279"/>
      <c r="I982" s="280">
        <f t="shared" si="55"/>
        <v>1</v>
      </c>
    </row>
    <row r="983" spans="1:9">
      <c r="A983" s="195"/>
      <c r="B983" s="233" t="s">
        <v>35546</v>
      </c>
      <c r="C983" s="234"/>
      <c r="D983" s="279"/>
      <c r="E983" s="278"/>
      <c r="F983" s="279"/>
      <c r="G983" s="279">
        <v>1</v>
      </c>
      <c r="H983" s="279"/>
      <c r="I983" s="280">
        <f t="shared" si="55"/>
        <v>1</v>
      </c>
    </row>
    <row r="984" spans="1:9">
      <c r="A984" s="195"/>
      <c r="B984" s="189" t="s">
        <v>35654</v>
      </c>
      <c r="C984" s="190"/>
      <c r="D984" s="271"/>
      <c r="E984" s="271"/>
      <c r="F984" s="271"/>
      <c r="G984" s="271"/>
      <c r="H984" s="271"/>
      <c r="I984" s="259"/>
    </row>
    <row r="985" spans="1:9">
      <c r="A985" s="195"/>
      <c r="B985" s="233" t="s">
        <v>35514</v>
      </c>
      <c r="C985" s="234"/>
      <c r="D985" s="279"/>
      <c r="E985" s="278"/>
      <c r="F985" s="279"/>
      <c r="G985" s="279">
        <v>1</v>
      </c>
      <c r="H985" s="279"/>
      <c r="I985" s="280">
        <f>G985</f>
        <v>1</v>
      </c>
    </row>
    <row r="986" spans="1:9">
      <c r="A986" s="195"/>
      <c r="B986" s="233" t="s">
        <v>35515</v>
      </c>
      <c r="C986" s="234"/>
      <c r="D986" s="279"/>
      <c r="E986" s="278"/>
      <c r="F986" s="279"/>
      <c r="G986" s="279">
        <v>1</v>
      </c>
      <c r="H986" s="279"/>
      <c r="I986" s="280">
        <f t="shared" ref="I986:I988" si="56">G986</f>
        <v>1</v>
      </c>
    </row>
    <row r="987" spans="1:9">
      <c r="A987" s="195"/>
      <c r="B987" s="233" t="s">
        <v>35516</v>
      </c>
      <c r="C987" s="234"/>
      <c r="D987" s="279"/>
      <c r="E987" s="278"/>
      <c r="F987" s="279"/>
      <c r="G987" s="279">
        <v>1</v>
      </c>
      <c r="H987" s="279"/>
      <c r="I987" s="280">
        <f t="shared" si="56"/>
        <v>1</v>
      </c>
    </row>
    <row r="988" spans="1:9">
      <c r="A988" s="195"/>
      <c r="B988" s="233" t="s">
        <v>35776</v>
      </c>
      <c r="C988" s="234"/>
      <c r="D988" s="279"/>
      <c r="E988" s="278"/>
      <c r="F988" s="279"/>
      <c r="G988" s="279">
        <v>1</v>
      </c>
      <c r="H988" s="279"/>
      <c r="I988" s="280">
        <f t="shared" si="56"/>
        <v>1</v>
      </c>
    </row>
    <row r="989" spans="1:9">
      <c r="A989" s="195"/>
      <c r="B989" s="189"/>
      <c r="C989" s="190"/>
      <c r="D989" s="271"/>
      <c r="E989" s="271"/>
      <c r="F989" s="271"/>
      <c r="G989" s="271"/>
      <c r="H989" s="271"/>
      <c r="I989" s="259"/>
    </row>
    <row r="990" spans="1:9">
      <c r="A990" s="135"/>
      <c r="B990" s="170"/>
      <c r="C990" s="136"/>
      <c r="D990" s="275"/>
      <c r="E990" s="275"/>
      <c r="F990" s="275"/>
      <c r="G990" s="276"/>
      <c r="H990" s="276"/>
      <c r="I990" s="277"/>
    </row>
    <row r="991" spans="1:9">
      <c r="A991" s="122" t="s">
        <v>35282</v>
      </c>
      <c r="B991" s="340" t="str">
        <f>VLOOKUP(A991,GLOBAL!A:H,4,FALSE)</f>
        <v>TUBULAÇÃO DE LIGAÇÃO DE CAIXAS</v>
      </c>
      <c r="C991" s="130"/>
      <c r="D991" s="341"/>
      <c r="E991" s="341"/>
      <c r="F991" s="341"/>
      <c r="G991" s="341"/>
      <c r="H991" s="341"/>
      <c r="I991" s="342"/>
    </row>
    <row r="992" spans="1:9" ht="57.6">
      <c r="A992" s="605" t="s">
        <v>35283</v>
      </c>
      <c r="B992" s="258" t="str">
        <f>VLOOKUP(A992,GLOBAL!A:H,4,FALSE)</f>
        <v>TUBOS DE CONCRETO SIMPLES PS1, DIÂMETRO 200 MM, COM REJUNTAMENTO DE ARGAMASSA DE CIMENTO, CAL HIDRATADA E AREIA NO TRAÇO 1:2:6, INCLUINDO ESCAVAÇÃO E BERÇO, CONF. NORMAS E ESPECIFICAÇÕES.</v>
      </c>
      <c r="C992" s="119" t="str">
        <f>VLOOKUP(A992,GLOBAL!A:H,5,FALSE)</f>
        <v>M</v>
      </c>
      <c r="D992" s="267" t="s">
        <v>66</v>
      </c>
      <c r="E992" s="267" t="s">
        <v>70</v>
      </c>
      <c r="F992" s="267" t="s">
        <v>67</v>
      </c>
      <c r="G992" s="267" t="s">
        <v>68</v>
      </c>
      <c r="H992" s="267" t="s">
        <v>71</v>
      </c>
      <c r="I992" s="268">
        <f>ROUND(SUM(I994:I996),2)</f>
        <v>600</v>
      </c>
    </row>
    <row r="993" spans="1:9">
      <c r="A993" s="198"/>
      <c r="B993" s="200" t="s">
        <v>2874</v>
      </c>
      <c r="C993" s="199"/>
      <c r="D993" s="281"/>
      <c r="E993" s="282"/>
      <c r="F993" s="281"/>
      <c r="G993" s="281"/>
      <c r="H993" s="281"/>
      <c r="I993" s="283"/>
    </row>
    <row r="994" spans="1:9">
      <c r="A994" s="195"/>
      <c r="B994" s="642" t="s">
        <v>35512</v>
      </c>
      <c r="C994" s="234"/>
      <c r="D994" s="641"/>
      <c r="E994" s="641"/>
      <c r="F994" s="279"/>
      <c r="G994" s="279"/>
      <c r="H994" s="279"/>
      <c r="I994" s="280"/>
    </row>
    <row r="995" spans="1:9">
      <c r="A995" s="195"/>
      <c r="B995" s="233" t="s">
        <v>35548</v>
      </c>
      <c r="C995" s="234"/>
      <c r="D995" s="279">
        <v>600</v>
      </c>
      <c r="E995" s="278"/>
      <c r="F995" s="279"/>
      <c r="G995" s="279">
        <v>1</v>
      </c>
      <c r="H995" s="279"/>
      <c r="I995" s="280">
        <f>D995</f>
        <v>600</v>
      </c>
    </row>
    <row r="996" spans="1:9">
      <c r="A996" s="195"/>
      <c r="B996" s="189"/>
      <c r="C996" s="190"/>
      <c r="D996" s="271"/>
      <c r="E996" s="271"/>
      <c r="F996" s="271"/>
      <c r="G996" s="271"/>
      <c r="H996" s="271"/>
      <c r="I996" s="259"/>
    </row>
    <row r="997" spans="1:9">
      <c r="A997" s="135"/>
      <c r="B997" s="170"/>
      <c r="C997" s="136"/>
      <c r="D997" s="275"/>
      <c r="E997" s="275"/>
      <c r="F997" s="275"/>
      <c r="G997" s="276"/>
      <c r="H997" s="276"/>
      <c r="I997" s="277"/>
    </row>
    <row r="998" spans="1:9" ht="57.6">
      <c r="A998" s="605" t="s">
        <v>35284</v>
      </c>
      <c r="B998" s="258" t="str">
        <f>VLOOKUP(A998,GLOBAL!A:H,4,FALSE)</f>
        <v>TUBOS DE CONCRETO SIMPLES PS1, DIÂMETRO 300 MM, COM REJUNTAMENTO DE ARGAMASSA DE CIMENTO, CAL HIDRATADA E AREIA NO TRAÇO 1:2:6, INCLUINDO ESCAVAÇÃO E BERÇO, CONFORME NORMAS E ESPECIFICAÇÕES.</v>
      </c>
      <c r="C998" s="119" t="str">
        <f>VLOOKUP(A998,GLOBAL!A:H,5,FALSE)</f>
        <v>M</v>
      </c>
      <c r="D998" s="267" t="s">
        <v>66</v>
      </c>
      <c r="E998" s="267" t="s">
        <v>70</v>
      </c>
      <c r="F998" s="267" t="s">
        <v>67</v>
      </c>
      <c r="G998" s="267" t="s">
        <v>68</v>
      </c>
      <c r="H998" s="267" t="s">
        <v>71</v>
      </c>
      <c r="I998" s="268">
        <f>ROUND(SUM(I1000:I1002),2)</f>
        <v>500</v>
      </c>
    </row>
    <row r="999" spans="1:9">
      <c r="A999" s="198"/>
      <c r="B999" s="200" t="s">
        <v>2874</v>
      </c>
      <c r="C999" s="199"/>
      <c r="D999" s="281"/>
      <c r="E999" s="282"/>
      <c r="F999" s="281"/>
      <c r="G999" s="281"/>
      <c r="H999" s="281"/>
      <c r="I999" s="283"/>
    </row>
    <row r="1000" spans="1:9">
      <c r="A1000" s="195"/>
      <c r="B1000" s="642" t="s">
        <v>35512</v>
      </c>
      <c r="C1000" s="234"/>
      <c r="D1000" s="641"/>
      <c r="E1000" s="641"/>
      <c r="F1000" s="279"/>
      <c r="G1000" s="279"/>
      <c r="H1000" s="279"/>
      <c r="I1000" s="280"/>
    </row>
    <row r="1001" spans="1:9">
      <c r="A1001" s="195"/>
      <c r="B1001" s="233" t="s">
        <v>35548</v>
      </c>
      <c r="C1001" s="234"/>
      <c r="D1001" s="279">
        <v>500</v>
      </c>
      <c r="E1001" s="278"/>
      <c r="F1001" s="279"/>
      <c r="G1001" s="279">
        <v>1</v>
      </c>
      <c r="H1001" s="279"/>
      <c r="I1001" s="280">
        <f>D1001</f>
        <v>500</v>
      </c>
    </row>
    <row r="1002" spans="1:9">
      <c r="A1002" s="195"/>
      <c r="B1002" s="189"/>
      <c r="C1002" s="190"/>
      <c r="D1002" s="271"/>
      <c r="E1002" s="271"/>
      <c r="F1002" s="271"/>
      <c r="G1002" s="271"/>
      <c r="H1002" s="271"/>
      <c r="I1002" s="259"/>
    </row>
    <row r="1003" spans="1:9">
      <c r="A1003" s="135"/>
      <c r="B1003" s="170"/>
      <c r="C1003" s="136"/>
      <c r="D1003" s="275"/>
      <c r="E1003" s="275"/>
      <c r="F1003" s="275"/>
      <c r="G1003" s="276"/>
      <c r="H1003" s="276"/>
      <c r="I1003" s="277"/>
    </row>
    <row r="1004" spans="1:9" ht="28.8">
      <c r="A1004" s="605" t="s">
        <v>35285</v>
      </c>
      <c r="B1004" s="258" t="str">
        <f>VLOOKUP(A1004,GLOBAL!A:H,4,FALSE)</f>
        <v>TUBO PVC RÍGIDO PARA ESGOTO NO DIÂMETRO DE 100MM INCLUINDO ESCAVAÇÃO E ATERRO COM AREIA</v>
      </c>
      <c r="C1004" s="119" t="str">
        <f>VLOOKUP(A1004,GLOBAL!A:H,5,FALSE)</f>
        <v>M</v>
      </c>
      <c r="D1004" s="267" t="s">
        <v>66</v>
      </c>
      <c r="E1004" s="267" t="s">
        <v>70</v>
      </c>
      <c r="F1004" s="267" t="s">
        <v>67</v>
      </c>
      <c r="G1004" s="267" t="s">
        <v>68</v>
      </c>
      <c r="H1004" s="267" t="s">
        <v>71</v>
      </c>
      <c r="I1004" s="268">
        <f>ROUND(SUM(I1006:I1008),2)</f>
        <v>150</v>
      </c>
    </row>
    <row r="1005" spans="1:9">
      <c r="A1005" s="198"/>
      <c r="B1005" s="200" t="s">
        <v>2874</v>
      </c>
      <c r="C1005" s="199"/>
      <c r="D1005" s="281"/>
      <c r="E1005" s="282"/>
      <c r="F1005" s="281"/>
      <c r="G1005" s="281"/>
      <c r="H1005" s="281"/>
      <c r="I1005" s="283"/>
    </row>
    <row r="1006" spans="1:9">
      <c r="A1006" s="195"/>
      <c r="B1006" s="642" t="s">
        <v>35512</v>
      </c>
      <c r="C1006" s="234"/>
      <c r="D1006" s="641"/>
      <c r="E1006" s="641"/>
      <c r="F1006" s="279"/>
      <c r="G1006" s="279"/>
      <c r="H1006" s="279"/>
      <c r="I1006" s="280"/>
    </row>
    <row r="1007" spans="1:9">
      <c r="A1007" s="195"/>
      <c r="B1007" s="233" t="s">
        <v>35549</v>
      </c>
      <c r="C1007" s="234"/>
      <c r="D1007" s="279">
        <v>150</v>
      </c>
      <c r="E1007" s="278"/>
      <c r="F1007" s="279"/>
      <c r="G1007" s="279">
        <v>1</v>
      </c>
      <c r="H1007" s="279"/>
      <c r="I1007" s="280">
        <f>D1007</f>
        <v>150</v>
      </c>
    </row>
    <row r="1008" spans="1:9">
      <c r="A1008" s="195"/>
      <c r="B1008" s="189"/>
      <c r="C1008" s="190"/>
      <c r="D1008" s="271"/>
      <c r="E1008" s="271"/>
      <c r="F1008" s="271"/>
      <c r="G1008" s="271"/>
      <c r="H1008" s="271"/>
      <c r="I1008" s="259"/>
    </row>
    <row r="1009" spans="1:9">
      <c r="A1009" s="135"/>
      <c r="B1009" s="170"/>
      <c r="C1009" s="136"/>
      <c r="D1009" s="275"/>
      <c r="E1009" s="275"/>
      <c r="F1009" s="275"/>
      <c r="G1009" s="276"/>
      <c r="H1009" s="276"/>
      <c r="I1009" s="277"/>
    </row>
    <row r="1010" spans="1:9" ht="28.8">
      <c r="A1010" s="605" t="s">
        <v>35286</v>
      </c>
      <c r="B1010" s="258" t="str">
        <f>VLOOKUP(A1010,GLOBAL!A:H,4,FALSE)</f>
        <v>TUBO PVC RÍGIDO PARA ESGOTO NO DIÂMETRO DE 150MM INCLUINDO ESCAVAÇÃO E ATERRO COM AREIA</v>
      </c>
      <c r="C1010" s="119" t="str">
        <f>VLOOKUP(A1010,GLOBAL!A:H,5,FALSE)</f>
        <v>M</v>
      </c>
      <c r="D1010" s="267" t="s">
        <v>66</v>
      </c>
      <c r="E1010" s="267" t="s">
        <v>70</v>
      </c>
      <c r="F1010" s="267" t="s">
        <v>67</v>
      </c>
      <c r="G1010" s="267" t="s">
        <v>68</v>
      </c>
      <c r="H1010" s="267" t="s">
        <v>71</v>
      </c>
      <c r="I1010" s="268">
        <f>ROUND(SUM(I1012:I1014),2)</f>
        <v>500</v>
      </c>
    </row>
    <row r="1011" spans="1:9">
      <c r="A1011" s="198"/>
      <c r="B1011" s="200" t="s">
        <v>2874</v>
      </c>
      <c r="C1011" s="199"/>
      <c r="D1011" s="281"/>
      <c r="E1011" s="282"/>
      <c r="F1011" s="281"/>
      <c r="G1011" s="281"/>
      <c r="H1011" s="281"/>
      <c r="I1011" s="283"/>
    </row>
    <row r="1012" spans="1:9">
      <c r="A1012" s="195"/>
      <c r="B1012" s="642" t="s">
        <v>35512</v>
      </c>
      <c r="C1012" s="234"/>
      <c r="D1012" s="641"/>
      <c r="E1012" s="641"/>
      <c r="F1012" s="279"/>
      <c r="G1012" s="279"/>
      <c r="H1012" s="279"/>
      <c r="I1012" s="280"/>
    </row>
    <row r="1013" spans="1:9">
      <c r="A1013" s="195"/>
      <c r="B1013" s="233" t="s">
        <v>35549</v>
      </c>
      <c r="C1013" s="234"/>
      <c r="D1013" s="279">
        <v>500</v>
      </c>
      <c r="E1013" s="278"/>
      <c r="F1013" s="279"/>
      <c r="G1013" s="279">
        <v>1</v>
      </c>
      <c r="H1013" s="279"/>
      <c r="I1013" s="280">
        <f>D1013</f>
        <v>500</v>
      </c>
    </row>
    <row r="1014" spans="1:9">
      <c r="A1014" s="195"/>
      <c r="B1014" s="189"/>
      <c r="C1014" s="190"/>
      <c r="D1014" s="271"/>
      <c r="E1014" s="271"/>
      <c r="F1014" s="271"/>
      <c r="G1014" s="271"/>
      <c r="H1014" s="271"/>
      <c r="I1014" s="259"/>
    </row>
    <row r="1015" spans="1:9">
      <c r="A1015" s="135"/>
      <c r="B1015" s="170"/>
      <c r="C1015" s="136"/>
      <c r="D1015" s="275"/>
      <c r="E1015" s="275"/>
      <c r="F1015" s="275"/>
      <c r="G1015" s="276"/>
      <c r="H1015" s="276"/>
      <c r="I1015" s="277"/>
    </row>
    <row r="1016" spans="1:9" ht="28.8">
      <c r="A1016" s="605" t="s">
        <v>35287</v>
      </c>
      <c r="B1016" s="258" t="str">
        <f>VLOOKUP(A1016,GLOBAL!A:H,4,FALSE)</f>
        <v>TUBO PVC RÍGIDO PARA ESGOTO NO DIÂMETRO DE 200MM INCLUINDO ESCAVAÇÃO E ATERRO COM AREIA</v>
      </c>
      <c r="C1016" s="119" t="str">
        <f>VLOOKUP(A1016,GLOBAL!A:H,5,FALSE)</f>
        <v>M</v>
      </c>
      <c r="D1016" s="267" t="s">
        <v>66</v>
      </c>
      <c r="E1016" s="267" t="s">
        <v>70</v>
      </c>
      <c r="F1016" s="267" t="s">
        <v>67</v>
      </c>
      <c r="G1016" s="267" t="s">
        <v>68</v>
      </c>
      <c r="H1016" s="267" t="s">
        <v>71</v>
      </c>
      <c r="I1016" s="268">
        <f>ROUND(SUM(I1018:I1020),2)</f>
        <v>300</v>
      </c>
    </row>
    <row r="1017" spans="1:9">
      <c r="A1017" s="198"/>
      <c r="B1017" s="200" t="s">
        <v>2874</v>
      </c>
      <c r="C1017" s="199"/>
      <c r="D1017" s="281"/>
      <c r="E1017" s="282"/>
      <c r="F1017" s="281"/>
      <c r="G1017" s="281"/>
      <c r="H1017" s="281"/>
      <c r="I1017" s="283"/>
    </row>
    <row r="1018" spans="1:9">
      <c r="A1018" s="195"/>
      <c r="B1018" s="642" t="s">
        <v>35512</v>
      </c>
      <c r="C1018" s="234"/>
      <c r="D1018" s="641"/>
      <c r="E1018" s="641"/>
      <c r="F1018" s="279"/>
      <c r="G1018" s="279"/>
      <c r="H1018" s="279"/>
      <c r="I1018" s="280"/>
    </row>
    <row r="1019" spans="1:9">
      <c r="A1019" s="195"/>
      <c r="B1019" s="233" t="s">
        <v>35549</v>
      </c>
      <c r="C1019" s="234"/>
      <c r="D1019" s="279">
        <v>300</v>
      </c>
      <c r="E1019" s="278"/>
      <c r="F1019" s="279"/>
      <c r="G1019" s="279">
        <v>1</v>
      </c>
      <c r="H1019" s="279"/>
      <c r="I1019" s="280">
        <f>D1019</f>
        <v>300</v>
      </c>
    </row>
    <row r="1020" spans="1:9">
      <c r="A1020" s="195"/>
      <c r="B1020" s="189"/>
      <c r="C1020" s="190"/>
      <c r="D1020" s="271"/>
      <c r="E1020" s="271"/>
      <c r="F1020" s="271"/>
      <c r="G1020" s="271"/>
      <c r="H1020" s="271"/>
      <c r="I1020" s="259"/>
    </row>
    <row r="1021" spans="1:9">
      <c r="A1021" s="135"/>
      <c r="B1021" s="170"/>
      <c r="C1021" s="136"/>
      <c r="D1021" s="275"/>
      <c r="E1021" s="275"/>
      <c r="F1021" s="275"/>
      <c r="G1021" s="276"/>
      <c r="H1021" s="276"/>
      <c r="I1021" s="277"/>
    </row>
    <row r="1022" spans="1:9">
      <c r="A1022" s="122" t="s">
        <v>35288</v>
      </c>
      <c r="B1022" s="340" t="str">
        <f>VLOOKUP(A1022,GLOBAL!A:H,4,FALSE)</f>
        <v>CAIXAS EMPREGANDO ARGAMASSA DE CIMENTO, CAL E AREIA</v>
      </c>
      <c r="C1022" s="130"/>
      <c r="D1022" s="341"/>
      <c r="E1022" s="341"/>
      <c r="F1022" s="341"/>
      <c r="G1022" s="341"/>
      <c r="H1022" s="341"/>
      <c r="I1022" s="342"/>
    </row>
    <row r="1023" spans="1:9" ht="57.6">
      <c r="A1023" s="605" t="s">
        <v>35289</v>
      </c>
      <c r="B1023" s="258" t="str">
        <f>VLOOKUP(A1023,GLOBAL!A:H,4,FALSE)</f>
        <v>CAIXAS DE INSPEÇÃO DE ALV. BLOCOS CONCRETO 9X19X39CM, DIM, 60X60CM E HMÁX = 1M, COM TAMPA DE CONC. ESP. 5CM, LASTRO DE CONC. ESP. 10CM, REVEST INTERN. C/ CHAPISCO E REBOCO IMPERMEABILIZADO, INCL. ESCAVAÇÃO, REATERRO E ENCHIMENTO</v>
      </c>
      <c r="C1023" s="119" t="str">
        <f>VLOOKUP(A1023,GLOBAL!A:H,5,FALSE)</f>
        <v>UND</v>
      </c>
      <c r="D1023" s="267" t="s">
        <v>66</v>
      </c>
      <c r="E1023" s="267" t="s">
        <v>70</v>
      </c>
      <c r="F1023" s="267" t="s">
        <v>67</v>
      </c>
      <c r="G1023" s="267" t="s">
        <v>68</v>
      </c>
      <c r="H1023" s="267" t="s">
        <v>71</v>
      </c>
      <c r="I1023" s="268">
        <f>ROUND(SUM(I1025:I1027),2)</f>
        <v>10</v>
      </c>
    </row>
    <row r="1024" spans="1:9">
      <c r="A1024" s="198"/>
      <c r="B1024" s="200" t="s">
        <v>2874</v>
      </c>
      <c r="C1024" s="199"/>
      <c r="D1024" s="281"/>
      <c r="E1024" s="282"/>
      <c r="F1024" s="281"/>
      <c r="G1024" s="281"/>
      <c r="H1024" s="281"/>
      <c r="I1024" s="283"/>
    </row>
    <row r="1025" spans="1:9">
      <c r="A1025" s="195"/>
      <c r="B1025" s="642" t="s">
        <v>35512</v>
      </c>
      <c r="C1025" s="234"/>
      <c r="D1025" s="641"/>
      <c r="E1025" s="641"/>
      <c r="F1025" s="279"/>
      <c r="G1025" s="279"/>
      <c r="H1025" s="279"/>
      <c r="I1025" s="280"/>
    </row>
    <row r="1026" spans="1:9">
      <c r="A1026" s="195"/>
      <c r="B1026" s="233" t="s">
        <v>35550</v>
      </c>
      <c r="C1026" s="234"/>
      <c r="D1026" s="279"/>
      <c r="E1026" s="278"/>
      <c r="F1026" s="279"/>
      <c r="G1026" s="279">
        <v>10</v>
      </c>
      <c r="H1026" s="279"/>
      <c r="I1026" s="280">
        <f>G1026</f>
        <v>10</v>
      </c>
    </row>
    <row r="1027" spans="1:9">
      <c r="A1027" s="195"/>
      <c r="B1027" s="189"/>
      <c r="C1027" s="190"/>
      <c r="D1027" s="271"/>
      <c r="E1027" s="271"/>
      <c r="F1027" s="271"/>
      <c r="G1027" s="271"/>
      <c r="H1027" s="271"/>
      <c r="I1027" s="259"/>
    </row>
    <row r="1028" spans="1:9">
      <c r="A1028" s="135"/>
      <c r="B1028" s="170"/>
      <c r="C1028" s="136"/>
      <c r="D1028" s="275"/>
      <c r="E1028" s="275"/>
      <c r="F1028" s="275"/>
      <c r="G1028" s="276"/>
      <c r="H1028" s="276"/>
      <c r="I1028" s="277"/>
    </row>
    <row r="1029" spans="1:9" ht="72">
      <c r="A1029" s="605" t="s">
        <v>35290</v>
      </c>
      <c r="B1029" s="258" t="str">
        <f>VLOOKUP(A1029,GLOBAL!A:H,4,FALSE)</f>
        <v>CAIXA DE GORDURA DE ALV. BLOCO CONCRETO 9X19X39CM, DIM.60X60CM E HMÁX=1M, COM TAMPA EM CONCRETO ESP.5CM, LASTRO CONCRETO ESP.10CM, REVESTIDA INTERN. C/ CHAPISCO E REBOCO IMPERMEAB, ESCAVAÇÃO, REATERRO E PAREDE INTERNA EM CONCRETO</v>
      </c>
      <c r="C1029" s="119" t="str">
        <f>VLOOKUP(A1029,GLOBAL!A:H,5,FALSE)</f>
        <v>UND</v>
      </c>
      <c r="D1029" s="267" t="s">
        <v>66</v>
      </c>
      <c r="E1029" s="267" t="s">
        <v>70</v>
      </c>
      <c r="F1029" s="267" t="s">
        <v>67</v>
      </c>
      <c r="G1029" s="267" t="s">
        <v>68</v>
      </c>
      <c r="H1029" s="267" t="s">
        <v>71</v>
      </c>
      <c r="I1029" s="268">
        <f>ROUND(SUM(I1031:I1033),2)</f>
        <v>1</v>
      </c>
    </row>
    <row r="1030" spans="1:9">
      <c r="A1030" s="198"/>
      <c r="B1030" s="200" t="s">
        <v>2874</v>
      </c>
      <c r="C1030" s="199"/>
      <c r="D1030" s="281"/>
      <c r="E1030" s="282"/>
      <c r="F1030" s="281"/>
      <c r="G1030" s="281"/>
      <c r="H1030" s="281"/>
      <c r="I1030" s="283"/>
    </row>
    <row r="1031" spans="1:9">
      <c r="A1031" s="195"/>
      <c r="B1031" s="642" t="s">
        <v>35512</v>
      </c>
      <c r="C1031" s="234"/>
      <c r="D1031" s="641"/>
      <c r="E1031" s="641"/>
      <c r="F1031" s="279"/>
      <c r="G1031" s="279"/>
      <c r="H1031" s="279"/>
      <c r="I1031" s="280"/>
    </row>
    <row r="1032" spans="1:9">
      <c r="A1032" s="195"/>
      <c r="B1032" s="233" t="s">
        <v>35550</v>
      </c>
      <c r="C1032" s="234"/>
      <c r="D1032" s="279"/>
      <c r="E1032" s="278"/>
      <c r="F1032" s="279"/>
      <c r="G1032" s="279">
        <v>1</v>
      </c>
      <c r="H1032" s="279"/>
      <c r="I1032" s="280">
        <f>G1032</f>
        <v>1</v>
      </c>
    </row>
    <row r="1033" spans="1:9">
      <c r="A1033" s="195"/>
      <c r="B1033" s="189"/>
      <c r="C1033" s="190"/>
      <c r="D1033" s="271"/>
      <c r="E1033" s="271"/>
      <c r="F1033" s="271"/>
      <c r="G1033" s="271"/>
      <c r="H1033" s="271"/>
      <c r="I1033" s="259"/>
    </row>
    <row r="1034" spans="1:9">
      <c r="A1034" s="135"/>
      <c r="B1034" s="170"/>
      <c r="C1034" s="136"/>
      <c r="D1034" s="275"/>
      <c r="E1034" s="275"/>
      <c r="F1034" s="275"/>
      <c r="G1034" s="276"/>
      <c r="H1034" s="276"/>
      <c r="I1034" s="277"/>
    </row>
    <row r="1035" spans="1:9" ht="57.6">
      <c r="A1035" s="605" t="s">
        <v>35291</v>
      </c>
      <c r="B1035" s="258" t="str">
        <f>VLOOKUP(A1035,GLOBAL!A:H,4,FALSE)</f>
        <v>CAIXA DE AREIA EM ALV. DE BLOCO DE CONCRETO 9X19X39, DIM. 60X60CM E HMÁX=1M, C/ TAMPA EM FERRO FUNDIDO, LASTRO DE CONCRETO ESP. 10CM, REVEST. INT. C/ CHAPISCO E REBOCO IMPERMEABILIZADO, INCL. ESCAVAÇÃO E REATERRO</v>
      </c>
      <c r="C1035" s="119" t="str">
        <f>VLOOKUP(A1035,GLOBAL!A:H,5,FALSE)</f>
        <v>UND</v>
      </c>
      <c r="D1035" s="267" t="s">
        <v>66</v>
      </c>
      <c r="E1035" s="267" t="s">
        <v>70</v>
      </c>
      <c r="F1035" s="267" t="s">
        <v>67</v>
      </c>
      <c r="G1035" s="267" t="s">
        <v>68</v>
      </c>
      <c r="H1035" s="267" t="s">
        <v>71</v>
      </c>
      <c r="I1035" s="268">
        <f>ROUND(SUM(I1037:I1039),2)</f>
        <v>12</v>
      </c>
    </row>
    <row r="1036" spans="1:9">
      <c r="A1036" s="198"/>
      <c r="B1036" s="200" t="s">
        <v>2874</v>
      </c>
      <c r="C1036" s="199"/>
      <c r="D1036" s="281"/>
      <c r="E1036" s="282"/>
      <c r="F1036" s="281"/>
      <c r="G1036" s="281"/>
      <c r="H1036" s="281"/>
      <c r="I1036" s="283"/>
    </row>
    <row r="1037" spans="1:9">
      <c r="A1037" s="195"/>
      <c r="B1037" s="642" t="s">
        <v>35512</v>
      </c>
      <c r="C1037" s="234"/>
      <c r="D1037" s="641"/>
      <c r="E1037" s="641"/>
      <c r="F1037" s="279"/>
      <c r="G1037" s="279"/>
      <c r="H1037" s="279"/>
      <c r="I1037" s="280"/>
    </row>
    <row r="1038" spans="1:9">
      <c r="A1038" s="195"/>
      <c r="B1038" s="233" t="s">
        <v>35550</v>
      </c>
      <c r="C1038" s="234"/>
      <c r="D1038" s="279"/>
      <c r="E1038" s="278"/>
      <c r="F1038" s="279"/>
      <c r="G1038" s="279">
        <v>12</v>
      </c>
      <c r="H1038" s="279"/>
      <c r="I1038" s="280">
        <f>G1038</f>
        <v>12</v>
      </c>
    </row>
    <row r="1039" spans="1:9">
      <c r="A1039" s="195"/>
      <c r="B1039" s="189"/>
      <c r="C1039" s="190"/>
      <c r="D1039" s="271"/>
      <c r="E1039" s="271"/>
      <c r="F1039" s="271"/>
      <c r="G1039" s="271"/>
      <c r="H1039" s="271"/>
      <c r="I1039" s="259"/>
    </row>
    <row r="1040" spans="1:9">
      <c r="A1040" s="135"/>
      <c r="B1040" s="170"/>
      <c r="C1040" s="136"/>
      <c r="D1040" s="275"/>
      <c r="E1040" s="275"/>
      <c r="F1040" s="275"/>
      <c r="G1040" s="276"/>
      <c r="H1040" s="276"/>
      <c r="I1040" s="277"/>
    </row>
    <row r="1041" spans="1:9">
      <c r="A1041" s="122" t="s">
        <v>35292</v>
      </c>
      <c r="B1041" s="340" t="str">
        <f>VLOOKUP(A1041,GLOBAL!A:H,4,FALSE)</f>
        <v>REDE DE ÁGUA FRIA - TUBOS SOLDÁVEIS DE PVC</v>
      </c>
      <c r="C1041" s="130"/>
      <c r="D1041" s="341"/>
      <c r="E1041" s="341"/>
      <c r="F1041" s="341"/>
      <c r="G1041" s="341"/>
      <c r="H1041" s="341"/>
      <c r="I1041" s="342"/>
    </row>
    <row r="1042" spans="1:9" ht="28.8">
      <c r="A1042" s="605" t="s">
        <v>35293</v>
      </c>
      <c r="B1042" s="258" t="str">
        <f>VLOOKUP(A1042,GLOBAL!A:H,4,FALSE)</f>
        <v>TUBO DE PVC RÍGIDO SOLDÁVEL MARROM, DN 25MM (3/4"), INCLUSIVE CONEXÕES</v>
      </c>
      <c r="C1042" s="119" t="str">
        <f>VLOOKUP(A1042,GLOBAL!A:H,5,FALSE)</f>
        <v>M</v>
      </c>
      <c r="D1042" s="267" t="s">
        <v>66</v>
      </c>
      <c r="E1042" s="267" t="s">
        <v>70</v>
      </c>
      <c r="F1042" s="267" t="s">
        <v>67</v>
      </c>
      <c r="G1042" s="267" t="s">
        <v>68</v>
      </c>
      <c r="H1042" s="267" t="s">
        <v>71</v>
      </c>
      <c r="I1042" s="268">
        <f>ROUND(SUM(I1044:I1046),2)</f>
        <v>180</v>
      </c>
    </row>
    <row r="1043" spans="1:9">
      <c r="A1043" s="198"/>
      <c r="B1043" s="200" t="s">
        <v>2874</v>
      </c>
      <c r="C1043" s="199"/>
      <c r="D1043" s="281"/>
      <c r="E1043" s="282"/>
      <c r="F1043" s="281"/>
      <c r="G1043" s="281"/>
      <c r="H1043" s="281"/>
      <c r="I1043" s="283"/>
    </row>
    <row r="1044" spans="1:9">
      <c r="A1044" s="195"/>
      <c r="B1044" s="642" t="s">
        <v>35512</v>
      </c>
      <c r="C1044" s="234"/>
      <c r="D1044" s="641"/>
      <c r="E1044" s="641"/>
      <c r="F1044" s="279"/>
      <c r="G1044" s="279"/>
      <c r="H1044" s="279"/>
      <c r="I1044" s="280"/>
    </row>
    <row r="1045" spans="1:9">
      <c r="A1045" s="195"/>
      <c r="B1045" s="233" t="s">
        <v>35551</v>
      </c>
      <c r="C1045" s="234"/>
      <c r="D1045" s="279"/>
      <c r="E1045" s="278"/>
      <c r="F1045" s="279">
        <v>20</v>
      </c>
      <c r="G1045" s="279">
        <f>3*3</f>
        <v>9</v>
      </c>
      <c r="H1045" s="279"/>
      <c r="I1045" s="280">
        <f>F1045*G1045</f>
        <v>180</v>
      </c>
    </row>
    <row r="1046" spans="1:9">
      <c r="A1046" s="195"/>
      <c r="B1046" s="189"/>
      <c r="C1046" s="190"/>
      <c r="D1046" s="271"/>
      <c r="E1046" s="271"/>
      <c r="F1046" s="271"/>
      <c r="G1046" s="271"/>
      <c r="H1046" s="271"/>
      <c r="I1046" s="259"/>
    </row>
    <row r="1047" spans="1:9">
      <c r="A1047" s="135"/>
      <c r="B1047" s="170"/>
      <c r="C1047" s="136"/>
      <c r="D1047" s="275"/>
      <c r="E1047" s="275"/>
      <c r="F1047" s="275"/>
      <c r="G1047" s="276"/>
      <c r="H1047" s="276"/>
      <c r="I1047" s="277"/>
    </row>
    <row r="1048" spans="1:9" ht="28.8">
      <c r="A1048" s="605" t="s">
        <v>35294</v>
      </c>
      <c r="B1048" s="258" t="str">
        <f>VLOOKUP(A1048,GLOBAL!A:H,4,FALSE)</f>
        <v>TUBO DE PVC RÍGIDO SOLDÁVEL MARROM, DN 32MM (1"), INCLUSIVE CONEXÕES</v>
      </c>
      <c r="C1048" s="119" t="str">
        <f>VLOOKUP(A1048,GLOBAL!A:H,5,FALSE)</f>
        <v>M</v>
      </c>
      <c r="D1048" s="267" t="s">
        <v>66</v>
      </c>
      <c r="E1048" s="267" t="s">
        <v>70</v>
      </c>
      <c r="F1048" s="267" t="s">
        <v>67</v>
      </c>
      <c r="G1048" s="267" t="s">
        <v>68</v>
      </c>
      <c r="H1048" s="267" t="s">
        <v>71</v>
      </c>
      <c r="I1048" s="268">
        <f>ROUND(SUM(I1050:I1052),2)</f>
        <v>270</v>
      </c>
    </row>
    <row r="1049" spans="1:9">
      <c r="A1049" s="198"/>
      <c r="B1049" s="200" t="s">
        <v>2874</v>
      </c>
      <c r="C1049" s="199"/>
      <c r="D1049" s="281"/>
      <c r="E1049" s="282"/>
      <c r="F1049" s="281"/>
      <c r="G1049" s="281"/>
      <c r="H1049" s="281"/>
      <c r="I1049" s="283"/>
    </row>
    <row r="1050" spans="1:9">
      <c r="A1050" s="195"/>
      <c r="B1050" s="642" t="s">
        <v>35512</v>
      </c>
      <c r="C1050" s="234"/>
      <c r="D1050" s="641"/>
      <c r="E1050" s="641"/>
      <c r="F1050" s="279"/>
      <c r="G1050" s="279"/>
      <c r="H1050" s="279"/>
      <c r="I1050" s="280"/>
    </row>
    <row r="1051" spans="1:9">
      <c r="A1051" s="195"/>
      <c r="B1051" s="233" t="s">
        <v>35551</v>
      </c>
      <c r="C1051" s="234"/>
      <c r="D1051" s="279"/>
      <c r="E1051" s="278"/>
      <c r="F1051" s="279">
        <v>30</v>
      </c>
      <c r="G1051" s="279">
        <f>3*3</f>
        <v>9</v>
      </c>
      <c r="H1051" s="279"/>
      <c r="I1051" s="280">
        <f>F1051*G1051</f>
        <v>270</v>
      </c>
    </row>
    <row r="1052" spans="1:9">
      <c r="A1052" s="195"/>
      <c r="B1052" s="189"/>
      <c r="C1052" s="190"/>
      <c r="D1052" s="271"/>
      <c r="E1052" s="271"/>
      <c r="F1052" s="271"/>
      <c r="G1052" s="271"/>
      <c r="H1052" s="271"/>
      <c r="I1052" s="259"/>
    </row>
    <row r="1053" spans="1:9">
      <c r="A1053" s="135"/>
      <c r="B1053" s="170"/>
      <c r="C1053" s="136"/>
      <c r="D1053" s="275"/>
      <c r="E1053" s="275"/>
      <c r="F1053" s="275"/>
      <c r="G1053" s="276"/>
      <c r="H1053" s="276"/>
      <c r="I1053" s="277"/>
    </row>
    <row r="1054" spans="1:9" ht="28.8">
      <c r="A1054" s="605" t="s">
        <v>35295</v>
      </c>
      <c r="B1054" s="258" t="str">
        <f>VLOOKUP(A1054,GLOBAL!A:H,4,FALSE)</f>
        <v>TUBO DE PVC RÍGIDO SOLDÁVEL MARROM, DN 40MM (1.1/4"), INCLUSIVE CONEXÕES</v>
      </c>
      <c r="C1054" s="119" t="str">
        <f>VLOOKUP(A1054,GLOBAL!A:H,5,FALSE)</f>
        <v>M</v>
      </c>
      <c r="D1054" s="267" t="s">
        <v>66</v>
      </c>
      <c r="E1054" s="267" t="s">
        <v>70</v>
      </c>
      <c r="F1054" s="267" t="s">
        <v>67</v>
      </c>
      <c r="G1054" s="267" t="s">
        <v>68</v>
      </c>
      <c r="H1054" s="267" t="s">
        <v>71</v>
      </c>
      <c r="I1054" s="268">
        <f>ROUND(SUM(I1056:I1058),2)</f>
        <v>540</v>
      </c>
    </row>
    <row r="1055" spans="1:9">
      <c r="A1055" s="198"/>
      <c r="B1055" s="200" t="s">
        <v>2874</v>
      </c>
      <c r="C1055" s="199"/>
      <c r="D1055" s="281"/>
      <c r="E1055" s="282"/>
      <c r="F1055" s="281"/>
      <c r="G1055" s="281"/>
      <c r="H1055" s="281"/>
      <c r="I1055" s="283"/>
    </row>
    <row r="1056" spans="1:9">
      <c r="A1056" s="195"/>
      <c r="B1056" s="642" t="s">
        <v>35512</v>
      </c>
      <c r="C1056" s="234"/>
      <c r="D1056" s="641"/>
      <c r="E1056" s="641"/>
      <c r="F1056" s="279"/>
      <c r="G1056" s="279"/>
      <c r="H1056" s="279"/>
      <c r="I1056" s="280"/>
    </row>
    <row r="1057" spans="1:9">
      <c r="A1057" s="195"/>
      <c r="B1057" s="233" t="s">
        <v>35551</v>
      </c>
      <c r="C1057" s="234"/>
      <c r="D1057" s="279"/>
      <c r="E1057" s="278"/>
      <c r="F1057" s="279">
        <v>60</v>
      </c>
      <c r="G1057" s="279">
        <f>3*3</f>
        <v>9</v>
      </c>
      <c r="H1057" s="279"/>
      <c r="I1057" s="280">
        <f>F1057*G1057</f>
        <v>540</v>
      </c>
    </row>
    <row r="1058" spans="1:9">
      <c r="A1058" s="195"/>
      <c r="B1058" s="189"/>
      <c r="C1058" s="190"/>
      <c r="D1058" s="271"/>
      <c r="E1058" s="271"/>
      <c r="F1058" s="271"/>
      <c r="G1058" s="271"/>
      <c r="H1058" s="271"/>
      <c r="I1058" s="259"/>
    </row>
    <row r="1059" spans="1:9">
      <c r="A1059" s="135"/>
      <c r="B1059" s="170"/>
      <c r="C1059" s="136"/>
      <c r="D1059" s="275"/>
      <c r="E1059" s="275"/>
      <c r="F1059" s="275"/>
      <c r="G1059" s="276"/>
      <c r="H1059" s="276"/>
      <c r="I1059" s="277"/>
    </row>
    <row r="1060" spans="1:9" ht="28.8">
      <c r="A1060" s="605" t="s">
        <v>35296</v>
      </c>
      <c r="B1060" s="258" t="str">
        <f>VLOOKUP(A1060,GLOBAL!A:H,4,FALSE)</f>
        <v>TUBO DE PVC RÍGIDO SOLDÁVEL MARROM, DN 50MM (1.1/2"), INCLUSIVE CONEXÕES</v>
      </c>
      <c r="C1060" s="119" t="str">
        <f>VLOOKUP(A1060,GLOBAL!A:H,5,FALSE)</f>
        <v>M</v>
      </c>
      <c r="D1060" s="267" t="s">
        <v>66</v>
      </c>
      <c r="E1060" s="267" t="s">
        <v>70</v>
      </c>
      <c r="F1060" s="267" t="s">
        <v>67</v>
      </c>
      <c r="G1060" s="267" t="s">
        <v>68</v>
      </c>
      <c r="H1060" s="267" t="s">
        <v>71</v>
      </c>
      <c r="I1060" s="268">
        <f>ROUND(SUM(I1062:I1064),2)</f>
        <v>40</v>
      </c>
    </row>
    <row r="1061" spans="1:9">
      <c r="A1061" s="198"/>
      <c r="B1061" s="200" t="s">
        <v>2874</v>
      </c>
      <c r="C1061" s="199"/>
      <c r="D1061" s="281"/>
      <c r="E1061" s="282"/>
      <c r="F1061" s="281"/>
      <c r="G1061" s="281"/>
      <c r="H1061" s="281"/>
      <c r="I1061" s="283"/>
    </row>
    <row r="1062" spans="1:9">
      <c r="A1062" s="195"/>
      <c r="B1062" s="642" t="s">
        <v>35512</v>
      </c>
      <c r="C1062" s="234"/>
      <c r="D1062" s="641"/>
      <c r="E1062" s="641"/>
      <c r="F1062" s="279"/>
      <c r="G1062" s="279"/>
      <c r="H1062" s="279"/>
      <c r="I1062" s="280"/>
    </row>
    <row r="1063" spans="1:9">
      <c r="A1063" s="195"/>
      <c r="B1063" s="233" t="s">
        <v>35551</v>
      </c>
      <c r="C1063" s="234"/>
      <c r="D1063" s="279"/>
      <c r="E1063" s="278"/>
      <c r="F1063" s="279">
        <v>40</v>
      </c>
      <c r="G1063" s="279">
        <v>1</v>
      </c>
      <c r="H1063" s="279"/>
      <c r="I1063" s="280">
        <f>F1063*G1063</f>
        <v>40</v>
      </c>
    </row>
    <row r="1064" spans="1:9">
      <c r="A1064" s="195"/>
      <c r="B1064" s="189"/>
      <c r="C1064" s="190"/>
      <c r="D1064" s="271"/>
      <c r="E1064" s="271"/>
      <c r="F1064" s="271"/>
      <c r="G1064" s="271"/>
      <c r="H1064" s="271"/>
      <c r="I1064" s="259"/>
    </row>
    <row r="1065" spans="1:9">
      <c r="A1065" s="135"/>
      <c r="B1065" s="170"/>
      <c r="C1065" s="136"/>
      <c r="D1065" s="275"/>
      <c r="E1065" s="275"/>
      <c r="F1065" s="275"/>
      <c r="G1065" s="276"/>
      <c r="H1065" s="276"/>
      <c r="I1065" s="277"/>
    </row>
    <row r="1066" spans="1:9" ht="28.8">
      <c r="A1066" s="605" t="s">
        <v>35297</v>
      </c>
      <c r="B1066" s="258" t="str">
        <f>VLOOKUP(A1066,GLOBAL!A:H,4,FALSE)</f>
        <v>TUBO DE PVC RÍGIDO SOLDÁVEL MARROM, DN 60MM (2"), INCLUSIVE CONEXÕES</v>
      </c>
      <c r="C1066" s="119" t="str">
        <f>VLOOKUP(A1066,GLOBAL!A:H,5,FALSE)</f>
        <v>M</v>
      </c>
      <c r="D1066" s="267" t="s">
        <v>66</v>
      </c>
      <c r="E1066" s="267" t="s">
        <v>70</v>
      </c>
      <c r="F1066" s="267" t="s">
        <v>67</v>
      </c>
      <c r="G1066" s="267" t="s">
        <v>68</v>
      </c>
      <c r="H1066" s="267" t="s">
        <v>71</v>
      </c>
      <c r="I1066" s="268">
        <f>ROUND(SUM(I1068:I1070),2)</f>
        <v>20</v>
      </c>
    </row>
    <row r="1067" spans="1:9">
      <c r="A1067" s="198"/>
      <c r="B1067" s="200" t="s">
        <v>2874</v>
      </c>
      <c r="C1067" s="199"/>
      <c r="D1067" s="281"/>
      <c r="E1067" s="282"/>
      <c r="F1067" s="281"/>
      <c r="G1067" s="281"/>
      <c r="H1067" s="281"/>
      <c r="I1067" s="283"/>
    </row>
    <row r="1068" spans="1:9">
      <c r="A1068" s="195"/>
      <c r="B1068" s="642" t="s">
        <v>35512</v>
      </c>
      <c r="C1068" s="234"/>
      <c r="D1068" s="641"/>
      <c r="E1068" s="641"/>
      <c r="F1068" s="279"/>
      <c r="G1068" s="279"/>
      <c r="H1068" s="279"/>
      <c r="I1068" s="280"/>
    </row>
    <row r="1069" spans="1:9">
      <c r="A1069" s="195"/>
      <c r="B1069" s="233" t="s">
        <v>35551</v>
      </c>
      <c r="C1069" s="234"/>
      <c r="D1069" s="279"/>
      <c r="E1069" s="278"/>
      <c r="F1069" s="279">
        <v>20</v>
      </c>
      <c r="G1069" s="279">
        <v>1</v>
      </c>
      <c r="H1069" s="279"/>
      <c r="I1069" s="280">
        <f>F1069*G1069</f>
        <v>20</v>
      </c>
    </row>
    <row r="1070" spans="1:9">
      <c r="A1070" s="195"/>
      <c r="B1070" s="189"/>
      <c r="C1070" s="190"/>
      <c r="D1070" s="271"/>
      <c r="E1070" s="271"/>
      <c r="F1070" s="271"/>
      <c r="G1070" s="271"/>
      <c r="H1070" s="271"/>
      <c r="I1070" s="259"/>
    </row>
    <row r="1071" spans="1:9">
      <c r="A1071" s="135"/>
      <c r="B1071" s="170"/>
      <c r="C1071" s="136"/>
      <c r="D1071" s="275"/>
      <c r="E1071" s="275"/>
      <c r="F1071" s="275"/>
      <c r="G1071" s="276"/>
      <c r="H1071" s="276"/>
      <c r="I1071" s="277"/>
    </row>
    <row r="1072" spans="1:9">
      <c r="A1072" s="122" t="s">
        <v>35298</v>
      </c>
      <c r="B1072" s="340" t="str">
        <f>VLOOKUP(A1072,GLOBAL!A:H,4,FALSE)</f>
        <v>REDE DE ÁGUA FRIA - CONEXÕES SOLDÁVEIS DE PVC</v>
      </c>
      <c r="C1072" s="130"/>
      <c r="D1072" s="341"/>
      <c r="E1072" s="341"/>
      <c r="F1072" s="341"/>
      <c r="G1072" s="341"/>
      <c r="H1072" s="341"/>
      <c r="I1072" s="342"/>
    </row>
    <row r="1073" spans="1:9" ht="28.8">
      <c r="A1073" s="605" t="s">
        <v>35299</v>
      </c>
      <c r="B1073" s="258" t="str">
        <f>VLOOKUP(A1073,GLOBAL!A:H,4,FALSE)</f>
        <v>ADAPTADOR DE PVC SOLDÁVEL COM FLANGES LIVRES PARA CAIXA DÁGUA, DIÂMETRO 25MM X 3/4"</v>
      </c>
      <c r="C1073" s="119" t="str">
        <f>VLOOKUP(A1073,GLOBAL!A:H,5,FALSE)</f>
        <v>UND</v>
      </c>
      <c r="D1073" s="267" t="s">
        <v>66</v>
      </c>
      <c r="E1073" s="267" t="s">
        <v>70</v>
      </c>
      <c r="F1073" s="267" t="s">
        <v>67</v>
      </c>
      <c r="G1073" s="267" t="s">
        <v>68</v>
      </c>
      <c r="H1073" s="267" t="s">
        <v>71</v>
      </c>
      <c r="I1073" s="268">
        <f>ROUND(SUM(I1075:I1079),2)</f>
        <v>18</v>
      </c>
    </row>
    <row r="1074" spans="1:9">
      <c r="A1074" s="198"/>
      <c r="B1074" s="200" t="s">
        <v>2874</v>
      </c>
      <c r="C1074" s="199"/>
      <c r="D1074" s="281"/>
      <c r="E1074" s="282"/>
      <c r="F1074" s="281"/>
      <c r="G1074" s="281"/>
      <c r="H1074" s="281"/>
      <c r="I1074" s="283"/>
    </row>
    <row r="1075" spans="1:9">
      <c r="A1075" s="195"/>
      <c r="B1075" s="642" t="s">
        <v>35512</v>
      </c>
      <c r="C1075" s="234"/>
      <c r="D1075" s="641"/>
      <c r="E1075" s="641"/>
      <c r="F1075" s="279"/>
      <c r="G1075" s="279"/>
      <c r="H1075" s="279"/>
      <c r="I1075" s="280"/>
    </row>
    <row r="1076" spans="1:9">
      <c r="A1076" s="195"/>
      <c r="B1076" s="233" t="s">
        <v>35552</v>
      </c>
      <c r="C1076" s="234"/>
      <c r="D1076" s="279"/>
      <c r="E1076" s="278"/>
      <c r="F1076" s="279"/>
      <c r="G1076" s="279">
        <v>10</v>
      </c>
      <c r="H1076" s="279"/>
      <c r="I1076" s="280">
        <f>G1076</f>
        <v>10</v>
      </c>
    </row>
    <row r="1077" spans="1:9">
      <c r="A1077" s="195"/>
      <c r="B1077" s="642" t="s">
        <v>35785</v>
      </c>
      <c r="C1077" s="234"/>
      <c r="D1077" s="641"/>
      <c r="E1077" s="641"/>
      <c r="F1077" s="279"/>
      <c r="G1077" s="279"/>
      <c r="H1077" s="279"/>
      <c r="I1077" s="280"/>
    </row>
    <row r="1078" spans="1:9">
      <c r="A1078" s="195"/>
      <c r="B1078" s="233" t="s">
        <v>35552</v>
      </c>
      <c r="C1078" s="234"/>
      <c r="D1078" s="279"/>
      <c r="E1078" s="278"/>
      <c r="F1078" s="279"/>
      <c r="G1078" s="279">
        <v>8</v>
      </c>
      <c r="H1078" s="279"/>
      <c r="I1078" s="280">
        <f>G1078</f>
        <v>8</v>
      </c>
    </row>
    <row r="1079" spans="1:9">
      <c r="A1079" s="195"/>
      <c r="B1079" s="189"/>
      <c r="C1079" s="190"/>
      <c r="D1079" s="271"/>
      <c r="E1079" s="271"/>
      <c r="F1079" s="271"/>
      <c r="G1079" s="271"/>
      <c r="H1079" s="271"/>
      <c r="I1079" s="259"/>
    </row>
    <row r="1080" spans="1:9">
      <c r="A1080" s="135"/>
      <c r="B1080" s="170"/>
      <c r="C1080" s="136"/>
      <c r="D1080" s="275"/>
      <c r="E1080" s="275"/>
      <c r="F1080" s="275"/>
      <c r="G1080" s="276"/>
      <c r="H1080" s="276"/>
      <c r="I1080" s="277"/>
    </row>
    <row r="1081" spans="1:9" ht="28.8">
      <c r="A1081" s="605" t="s">
        <v>35300</v>
      </c>
      <c r="B1081" s="258" t="str">
        <f>VLOOKUP(A1081,GLOBAL!A:H,4,FALSE)</f>
        <v>ADAPTADOR DE PVC SOLDÁVEL COM FLANGES LIVRES PARA CAIXA DÁGUA, DIÂMETRO 32MM X 1"</v>
      </c>
      <c r="C1081" s="119" t="str">
        <f>VLOOKUP(A1081,GLOBAL!A:H,5,FALSE)</f>
        <v>UND</v>
      </c>
      <c r="D1081" s="267" t="s">
        <v>66</v>
      </c>
      <c r="E1081" s="267" t="s">
        <v>70</v>
      </c>
      <c r="F1081" s="267" t="s">
        <v>67</v>
      </c>
      <c r="G1081" s="267" t="s">
        <v>68</v>
      </c>
      <c r="H1081" s="267" t="s">
        <v>71</v>
      </c>
      <c r="I1081" s="268">
        <f>ROUND(SUM(I1083:I1087),2)</f>
        <v>14</v>
      </c>
    </row>
    <row r="1082" spans="1:9">
      <c r="A1082" s="198"/>
      <c r="B1082" s="200" t="s">
        <v>2874</v>
      </c>
      <c r="C1082" s="199"/>
      <c r="D1082" s="281"/>
      <c r="E1082" s="282"/>
      <c r="F1082" s="281"/>
      <c r="G1082" s="281"/>
      <c r="H1082" s="281"/>
      <c r="I1082" s="283"/>
    </row>
    <row r="1083" spans="1:9">
      <c r="A1083" s="195"/>
      <c r="B1083" s="642" t="s">
        <v>35512</v>
      </c>
      <c r="C1083" s="234"/>
      <c r="D1083" s="641"/>
      <c r="E1083" s="641"/>
      <c r="F1083" s="279"/>
      <c r="G1083" s="279"/>
      <c r="H1083" s="279"/>
      <c r="I1083" s="280"/>
    </row>
    <row r="1084" spans="1:9">
      <c r="A1084" s="195"/>
      <c r="B1084" s="233" t="s">
        <v>35552</v>
      </c>
      <c r="C1084" s="234"/>
      <c r="D1084" s="279"/>
      <c r="E1084" s="278"/>
      <c r="F1084" s="279"/>
      <c r="G1084" s="279">
        <v>8</v>
      </c>
      <c r="H1084" s="279"/>
      <c r="I1084" s="280">
        <f>G1084</f>
        <v>8</v>
      </c>
    </row>
    <row r="1085" spans="1:9">
      <c r="A1085" s="195"/>
      <c r="B1085" s="642" t="s">
        <v>35785</v>
      </c>
      <c r="C1085" s="234"/>
      <c r="D1085" s="641"/>
      <c r="E1085" s="641"/>
      <c r="F1085" s="279"/>
      <c r="G1085" s="279"/>
      <c r="H1085" s="279"/>
      <c r="I1085" s="280"/>
    </row>
    <row r="1086" spans="1:9">
      <c r="A1086" s="195"/>
      <c r="B1086" s="233" t="s">
        <v>35552</v>
      </c>
      <c r="C1086" s="234"/>
      <c r="D1086" s="279"/>
      <c r="E1086" s="278"/>
      <c r="F1086" s="279"/>
      <c r="G1086" s="279">
        <v>6</v>
      </c>
      <c r="H1086" s="279"/>
      <c r="I1086" s="280">
        <f>G1086</f>
        <v>6</v>
      </c>
    </row>
    <row r="1087" spans="1:9">
      <c r="A1087" s="195"/>
      <c r="B1087" s="189"/>
      <c r="C1087" s="190"/>
      <c r="D1087" s="271"/>
      <c r="E1087" s="271"/>
      <c r="F1087" s="271"/>
      <c r="G1087" s="271"/>
      <c r="H1087" s="271"/>
      <c r="I1087" s="259"/>
    </row>
    <row r="1088" spans="1:9">
      <c r="A1088" s="135"/>
      <c r="B1088" s="170"/>
      <c r="C1088" s="136"/>
      <c r="D1088" s="275"/>
      <c r="E1088" s="275"/>
      <c r="F1088" s="275"/>
      <c r="G1088" s="276"/>
      <c r="H1088" s="276"/>
      <c r="I1088" s="277"/>
    </row>
    <row r="1089" spans="1:9" ht="28.8">
      <c r="A1089" s="605" t="s">
        <v>35301</v>
      </c>
      <c r="B1089" s="258" t="str">
        <f>VLOOKUP(A1089,GLOBAL!A:H,4,FALSE)</f>
        <v>ADAPTADOR DE PVC SOLDÁVEL COM FLANGES LIVRES PARA CAIXA DÁGUA, DIÂMETRO 40MM X 1 1/4"</v>
      </c>
      <c r="C1089" s="119" t="str">
        <f>VLOOKUP(A1089,GLOBAL!A:H,5,FALSE)</f>
        <v>UND</v>
      </c>
      <c r="D1089" s="267" t="s">
        <v>66</v>
      </c>
      <c r="E1089" s="267" t="s">
        <v>70</v>
      </c>
      <c r="F1089" s="267" t="s">
        <v>67</v>
      </c>
      <c r="G1089" s="267" t="s">
        <v>68</v>
      </c>
      <c r="H1089" s="267" t="s">
        <v>71</v>
      </c>
      <c r="I1089" s="268">
        <f>ROUND(SUM(I1091:I1095),2)</f>
        <v>3</v>
      </c>
    </row>
    <row r="1090" spans="1:9">
      <c r="A1090" s="198"/>
      <c r="B1090" s="200" t="s">
        <v>2874</v>
      </c>
      <c r="C1090" s="199"/>
      <c r="D1090" s="281"/>
      <c r="E1090" s="282"/>
      <c r="F1090" s="281"/>
      <c r="G1090" s="281"/>
      <c r="H1090" s="281"/>
      <c r="I1090" s="283"/>
    </row>
    <row r="1091" spans="1:9">
      <c r="A1091" s="195"/>
      <c r="B1091" s="642" t="s">
        <v>35512</v>
      </c>
      <c r="C1091" s="234"/>
      <c r="D1091" s="641"/>
      <c r="E1091" s="641"/>
      <c r="F1091" s="279"/>
      <c r="G1091" s="279"/>
      <c r="H1091" s="279"/>
      <c r="I1091" s="280"/>
    </row>
    <row r="1092" spans="1:9">
      <c r="A1092" s="195"/>
      <c r="B1092" s="233" t="s">
        <v>35552</v>
      </c>
      <c r="C1092" s="234"/>
      <c r="D1092" s="279"/>
      <c r="E1092" s="278"/>
      <c r="F1092" s="279"/>
      <c r="G1092" s="279">
        <v>2</v>
      </c>
      <c r="H1092" s="279"/>
      <c r="I1092" s="280">
        <f>G1092</f>
        <v>2</v>
      </c>
    </row>
    <row r="1093" spans="1:9">
      <c r="A1093" s="195"/>
      <c r="B1093" s="642" t="s">
        <v>35785</v>
      </c>
      <c r="C1093" s="234"/>
      <c r="D1093" s="641"/>
      <c r="E1093" s="641"/>
      <c r="F1093" s="279"/>
      <c r="G1093" s="279"/>
      <c r="H1093" s="279"/>
      <c r="I1093" s="280"/>
    </row>
    <row r="1094" spans="1:9">
      <c r="A1094" s="195"/>
      <c r="B1094" s="233" t="s">
        <v>35552</v>
      </c>
      <c r="C1094" s="234"/>
      <c r="D1094" s="279"/>
      <c r="E1094" s="278"/>
      <c r="F1094" s="279"/>
      <c r="G1094" s="279">
        <v>1</v>
      </c>
      <c r="H1094" s="279"/>
      <c r="I1094" s="280">
        <f>G1094</f>
        <v>1</v>
      </c>
    </row>
    <row r="1095" spans="1:9">
      <c r="A1095" s="195"/>
      <c r="B1095" s="189"/>
      <c r="C1095" s="190"/>
      <c r="D1095" s="271"/>
      <c r="E1095" s="271"/>
      <c r="F1095" s="271"/>
      <c r="G1095" s="271"/>
      <c r="H1095" s="271"/>
      <c r="I1095" s="259"/>
    </row>
    <row r="1096" spans="1:9">
      <c r="A1096" s="135"/>
      <c r="B1096" s="170"/>
      <c r="C1096" s="136"/>
      <c r="D1096" s="275"/>
      <c r="E1096" s="275"/>
      <c r="F1096" s="275"/>
      <c r="G1096" s="276"/>
      <c r="H1096" s="276"/>
      <c r="I1096" s="277"/>
    </row>
    <row r="1097" spans="1:9" ht="28.8">
      <c r="A1097" s="605" t="s">
        <v>35302</v>
      </c>
      <c r="B1097" s="258" t="str">
        <f>VLOOKUP(A1097,GLOBAL!A:H,4,FALSE)</f>
        <v>ADAPTADOR DE PVC SOLDÁVEL COM FLANGES LIVRES PARA CAIXA DÁGUA, DIÂMETRO 50MM X 1 1/2"</v>
      </c>
      <c r="C1097" s="119" t="str">
        <f>VLOOKUP(A1097,GLOBAL!A:H,5,FALSE)</f>
        <v>UND</v>
      </c>
      <c r="D1097" s="267" t="s">
        <v>66</v>
      </c>
      <c r="E1097" s="267" t="s">
        <v>70</v>
      </c>
      <c r="F1097" s="267" t="s">
        <v>67</v>
      </c>
      <c r="G1097" s="267" t="s">
        <v>68</v>
      </c>
      <c r="H1097" s="267" t="s">
        <v>71</v>
      </c>
      <c r="I1097" s="268">
        <f>ROUND(SUM(I1099:I1103),2)</f>
        <v>8</v>
      </c>
    </row>
    <row r="1098" spans="1:9">
      <c r="A1098" s="198"/>
      <c r="B1098" s="200" t="s">
        <v>2874</v>
      </c>
      <c r="C1098" s="199"/>
      <c r="D1098" s="281"/>
      <c r="E1098" s="282"/>
      <c r="F1098" s="281"/>
      <c r="G1098" s="281"/>
      <c r="H1098" s="281"/>
      <c r="I1098" s="283"/>
    </row>
    <row r="1099" spans="1:9">
      <c r="A1099" s="195"/>
      <c r="B1099" s="642" t="s">
        <v>35512</v>
      </c>
      <c r="C1099" s="234"/>
      <c r="D1099" s="641"/>
      <c r="E1099" s="641"/>
      <c r="F1099" s="279"/>
      <c r="G1099" s="279"/>
      <c r="H1099" s="279"/>
      <c r="I1099" s="280"/>
    </row>
    <row r="1100" spans="1:9">
      <c r="A1100" s="195"/>
      <c r="B1100" s="233" t="s">
        <v>35552</v>
      </c>
      <c r="C1100" s="234"/>
      <c r="D1100" s="279"/>
      <c r="E1100" s="278"/>
      <c r="F1100" s="279"/>
      <c r="G1100" s="279">
        <v>5</v>
      </c>
      <c r="H1100" s="279"/>
      <c r="I1100" s="280">
        <f>G1100</f>
        <v>5</v>
      </c>
    </row>
    <row r="1101" spans="1:9">
      <c r="A1101" s="195"/>
      <c r="B1101" s="642" t="s">
        <v>35785</v>
      </c>
      <c r="C1101" s="234"/>
      <c r="D1101" s="641"/>
      <c r="E1101" s="641"/>
      <c r="F1101" s="279"/>
      <c r="G1101" s="279"/>
      <c r="H1101" s="279"/>
      <c r="I1101" s="280"/>
    </row>
    <row r="1102" spans="1:9">
      <c r="A1102" s="195"/>
      <c r="B1102" s="233" t="s">
        <v>35552</v>
      </c>
      <c r="C1102" s="234"/>
      <c r="D1102" s="279"/>
      <c r="E1102" s="278"/>
      <c r="F1102" s="279"/>
      <c r="G1102" s="279">
        <v>3</v>
      </c>
      <c r="H1102" s="279"/>
      <c r="I1102" s="280">
        <f>G1102</f>
        <v>3</v>
      </c>
    </row>
    <row r="1103" spans="1:9">
      <c r="A1103" s="195"/>
      <c r="B1103" s="189"/>
      <c r="C1103" s="190"/>
      <c r="D1103" s="271"/>
      <c r="E1103" s="271"/>
      <c r="F1103" s="271"/>
      <c r="G1103" s="271"/>
      <c r="H1103" s="271"/>
      <c r="I1103" s="259"/>
    </row>
    <row r="1104" spans="1:9">
      <c r="A1104" s="135"/>
      <c r="B1104" s="170"/>
      <c r="C1104" s="136"/>
      <c r="D1104" s="275"/>
      <c r="E1104" s="275"/>
      <c r="F1104" s="275"/>
      <c r="G1104" s="276"/>
      <c r="H1104" s="276"/>
      <c r="I1104" s="277"/>
    </row>
    <row r="1105" spans="1:9" ht="28.8">
      <c r="A1105" s="605" t="s">
        <v>35303</v>
      </c>
      <c r="B1105" s="258" t="str">
        <f>VLOOKUP(A1105,GLOBAL!A:H,4,FALSE)</f>
        <v>ADAPTADOR DE PVC SOLDÁVEL COM FLANGES LIVRES PARA CAIXA DÁGUA, DIÂMETRO 60MM X 2"</v>
      </c>
      <c r="C1105" s="119" t="str">
        <f>VLOOKUP(A1105,GLOBAL!A:H,5,FALSE)</f>
        <v>UND</v>
      </c>
      <c r="D1105" s="267" t="s">
        <v>66</v>
      </c>
      <c r="E1105" s="267" t="s">
        <v>70</v>
      </c>
      <c r="F1105" s="267" t="s">
        <v>67</v>
      </c>
      <c r="G1105" s="267" t="s">
        <v>68</v>
      </c>
      <c r="H1105" s="267" t="s">
        <v>71</v>
      </c>
      <c r="I1105" s="268">
        <f>ROUND(SUM(I1107:I1111),2)</f>
        <v>2</v>
      </c>
    </row>
    <row r="1106" spans="1:9">
      <c r="A1106" s="198"/>
      <c r="B1106" s="200" t="s">
        <v>2874</v>
      </c>
      <c r="C1106" s="199"/>
      <c r="D1106" s="281"/>
      <c r="E1106" s="282"/>
      <c r="F1106" s="281"/>
      <c r="G1106" s="281"/>
      <c r="H1106" s="281"/>
      <c r="I1106" s="283"/>
    </row>
    <row r="1107" spans="1:9">
      <c r="A1107" s="195"/>
      <c r="B1107" s="642" t="s">
        <v>35512</v>
      </c>
      <c r="C1107" s="234"/>
      <c r="D1107" s="641"/>
      <c r="E1107" s="641"/>
      <c r="F1107" s="279"/>
      <c r="G1107" s="279"/>
      <c r="H1107" s="279"/>
      <c r="I1107" s="280"/>
    </row>
    <row r="1108" spans="1:9">
      <c r="A1108" s="195"/>
      <c r="B1108" s="233" t="s">
        <v>35552</v>
      </c>
      <c r="C1108" s="234"/>
      <c r="D1108" s="279"/>
      <c r="E1108" s="278"/>
      <c r="F1108" s="279"/>
      <c r="G1108" s="279">
        <v>1</v>
      </c>
      <c r="H1108" s="279"/>
      <c r="I1108" s="280">
        <f>G1108</f>
        <v>1</v>
      </c>
    </row>
    <row r="1109" spans="1:9">
      <c r="A1109" s="195"/>
      <c r="B1109" s="642" t="s">
        <v>35785</v>
      </c>
      <c r="C1109" s="234"/>
      <c r="D1109" s="641"/>
      <c r="E1109" s="641"/>
      <c r="F1109" s="279"/>
      <c r="G1109" s="279"/>
      <c r="H1109" s="279"/>
      <c r="I1109" s="280"/>
    </row>
    <row r="1110" spans="1:9">
      <c r="A1110" s="195"/>
      <c r="B1110" s="233" t="s">
        <v>35552</v>
      </c>
      <c r="C1110" s="234"/>
      <c r="D1110" s="279"/>
      <c r="E1110" s="278"/>
      <c r="F1110" s="279"/>
      <c r="G1110" s="279">
        <v>1</v>
      </c>
      <c r="H1110" s="279"/>
      <c r="I1110" s="280">
        <f>G1110</f>
        <v>1</v>
      </c>
    </row>
    <row r="1111" spans="1:9">
      <c r="A1111" s="195"/>
      <c r="B1111" s="189"/>
      <c r="C1111" s="190"/>
      <c r="D1111" s="271"/>
      <c r="E1111" s="271"/>
      <c r="F1111" s="271"/>
      <c r="G1111" s="271"/>
      <c r="H1111" s="271"/>
      <c r="I1111" s="259"/>
    </row>
    <row r="1112" spans="1:9">
      <c r="A1112" s="135"/>
      <c r="B1112" s="170"/>
      <c r="C1112" s="136"/>
      <c r="D1112" s="275"/>
      <c r="E1112" s="275"/>
      <c r="F1112" s="275"/>
      <c r="G1112" s="276"/>
      <c r="H1112" s="276"/>
      <c r="I1112" s="277"/>
    </row>
    <row r="1113" spans="1:9">
      <c r="A1113" s="122" t="s">
        <v>35304</v>
      </c>
      <c r="B1113" s="340" t="str">
        <f>VLOOKUP(A1113,GLOBAL!A:H,4,FALSE)</f>
        <v>REDE DE ESGOTO - TUBOS DE PVC</v>
      </c>
      <c r="C1113" s="130"/>
      <c r="D1113" s="341"/>
      <c r="E1113" s="341"/>
      <c r="F1113" s="341"/>
      <c r="G1113" s="341"/>
      <c r="H1113" s="341"/>
      <c r="I1113" s="342"/>
    </row>
    <row r="1114" spans="1:9" ht="28.8">
      <c r="A1114" s="605" t="s">
        <v>35305</v>
      </c>
      <c r="B1114" s="258" t="str">
        <f>VLOOKUP(A1114,GLOBAL!A:H,4,FALSE)</f>
        <v>TUBO DE PVC RÍGIDO SOLDÁVEL BRANCO, PARA ESGOTO, SÉRIE NORMAL, DIÂMETRO 40MM (1 1/2"), INCLUSIVE CONEXÕES</v>
      </c>
      <c r="C1114" s="119" t="str">
        <f>VLOOKUP(A1114,GLOBAL!A:H,5,FALSE)</f>
        <v>M</v>
      </c>
      <c r="D1114" s="267" t="s">
        <v>66</v>
      </c>
      <c r="E1114" s="267" t="s">
        <v>70</v>
      </c>
      <c r="F1114" s="267" t="s">
        <v>67</v>
      </c>
      <c r="G1114" s="267" t="s">
        <v>68</v>
      </c>
      <c r="H1114" s="267" t="s">
        <v>71</v>
      </c>
      <c r="I1114" s="268">
        <f>ROUND(SUM(I1116:I1118),2)</f>
        <v>50</v>
      </c>
    </row>
    <row r="1115" spans="1:9">
      <c r="A1115" s="198"/>
      <c r="B1115" s="200" t="s">
        <v>2874</v>
      </c>
      <c r="C1115" s="199"/>
      <c r="D1115" s="281"/>
      <c r="E1115" s="282"/>
      <c r="F1115" s="281"/>
      <c r="G1115" s="281"/>
      <c r="H1115" s="281"/>
      <c r="I1115" s="283"/>
    </row>
    <row r="1116" spans="1:9">
      <c r="A1116" s="195"/>
      <c r="B1116" s="642" t="s">
        <v>35512</v>
      </c>
      <c r="C1116" s="234"/>
      <c r="D1116" s="641"/>
      <c r="E1116" s="641"/>
      <c r="F1116" s="279"/>
      <c r="G1116" s="279"/>
      <c r="H1116" s="279"/>
      <c r="I1116" s="280"/>
    </row>
    <row r="1117" spans="1:9">
      <c r="A1117" s="195"/>
      <c r="B1117" s="233" t="s">
        <v>35553</v>
      </c>
      <c r="C1117" s="234"/>
      <c r="D1117" s="279">
        <v>50</v>
      </c>
      <c r="E1117" s="278"/>
      <c r="F1117" s="279"/>
      <c r="G1117" s="279"/>
      <c r="H1117" s="279"/>
      <c r="I1117" s="280">
        <f>D1117</f>
        <v>50</v>
      </c>
    </row>
    <row r="1118" spans="1:9">
      <c r="A1118" s="195"/>
      <c r="B1118" s="189"/>
      <c r="C1118" s="190"/>
      <c r="D1118" s="271"/>
      <c r="E1118" s="271"/>
      <c r="F1118" s="271"/>
      <c r="G1118" s="271"/>
      <c r="H1118" s="271"/>
      <c r="I1118" s="259"/>
    </row>
    <row r="1119" spans="1:9">
      <c r="A1119" s="135"/>
      <c r="B1119" s="170"/>
      <c r="C1119" s="136"/>
      <c r="D1119" s="275"/>
      <c r="E1119" s="275"/>
      <c r="F1119" s="275"/>
      <c r="G1119" s="276"/>
      <c r="H1119" s="276"/>
      <c r="I1119" s="277"/>
    </row>
    <row r="1120" spans="1:9" ht="28.8">
      <c r="A1120" s="605" t="s">
        <v>35306</v>
      </c>
      <c r="B1120" s="258" t="str">
        <f>VLOOKUP(A1120,GLOBAL!A:H,4,FALSE)</f>
        <v>TUBO DE PVC RÍGIDO SOLDÁVEL BRANCO, PARA ESGOTO, SÉRIE NORMAL, DIÂMETRO 50MM (2"), INCLUSIVE CONEXÕES</v>
      </c>
      <c r="C1120" s="119" t="str">
        <f>VLOOKUP(A1120,GLOBAL!A:H,5,FALSE)</f>
        <v>M</v>
      </c>
      <c r="D1120" s="267" t="s">
        <v>66</v>
      </c>
      <c r="E1120" s="267" t="s">
        <v>70</v>
      </c>
      <c r="F1120" s="267" t="s">
        <v>67</v>
      </c>
      <c r="G1120" s="267" t="s">
        <v>68</v>
      </c>
      <c r="H1120" s="267" t="s">
        <v>71</v>
      </c>
      <c r="I1120" s="268">
        <f>ROUND(SUM(I1122:I1126),2)</f>
        <v>230</v>
      </c>
    </row>
    <row r="1121" spans="1:9">
      <c r="A1121" s="198"/>
      <c r="B1121" s="200" t="s">
        <v>2874</v>
      </c>
      <c r="C1121" s="199"/>
      <c r="D1121" s="281"/>
      <c r="E1121" s="282"/>
      <c r="F1121" s="281"/>
      <c r="G1121" s="281"/>
      <c r="H1121" s="281"/>
      <c r="I1121" s="283"/>
    </row>
    <row r="1122" spans="1:9">
      <c r="A1122" s="195"/>
      <c r="B1122" s="642" t="s">
        <v>35512</v>
      </c>
      <c r="C1122" s="234"/>
      <c r="D1122" s="641"/>
      <c r="E1122" s="641"/>
      <c r="F1122" s="279"/>
      <c r="G1122" s="279"/>
      <c r="H1122" s="279"/>
      <c r="I1122" s="280"/>
    </row>
    <row r="1123" spans="1:9">
      <c r="A1123" s="195"/>
      <c r="B1123" s="233" t="s">
        <v>35553</v>
      </c>
      <c r="C1123" s="234"/>
      <c r="D1123" s="279">
        <v>150</v>
      </c>
      <c r="E1123" s="278"/>
      <c r="F1123" s="279"/>
      <c r="G1123" s="279"/>
      <c r="H1123" s="279"/>
      <c r="I1123" s="280">
        <f>D1123</f>
        <v>150</v>
      </c>
    </row>
    <row r="1124" spans="1:9">
      <c r="A1124" s="195"/>
      <c r="B1124" s="642" t="s">
        <v>35785</v>
      </c>
      <c r="C1124" s="234"/>
      <c r="D1124" s="641"/>
      <c r="E1124" s="641"/>
      <c r="F1124" s="279"/>
      <c r="G1124" s="279"/>
      <c r="H1124" s="279"/>
      <c r="I1124" s="280"/>
    </row>
    <row r="1125" spans="1:9">
      <c r="A1125" s="195"/>
      <c r="B1125" s="233" t="s">
        <v>35553</v>
      </c>
      <c r="C1125" s="234"/>
      <c r="D1125" s="279">
        <v>80</v>
      </c>
      <c r="E1125" s="278"/>
      <c r="F1125" s="279"/>
      <c r="G1125" s="279"/>
      <c r="H1125" s="279"/>
      <c r="I1125" s="280">
        <f>D1125</f>
        <v>80</v>
      </c>
    </row>
    <row r="1126" spans="1:9">
      <c r="A1126" s="195"/>
      <c r="B1126" s="189"/>
      <c r="C1126" s="190"/>
      <c r="D1126" s="271"/>
      <c r="E1126" s="271"/>
      <c r="F1126" s="271"/>
      <c r="G1126" s="271"/>
      <c r="H1126" s="271"/>
      <c r="I1126" s="259"/>
    </row>
    <row r="1127" spans="1:9">
      <c r="A1127" s="135"/>
      <c r="B1127" s="170"/>
      <c r="C1127" s="136"/>
      <c r="D1127" s="275"/>
      <c r="E1127" s="275"/>
      <c r="F1127" s="275"/>
      <c r="G1127" s="276"/>
      <c r="H1127" s="276"/>
      <c r="I1127" s="277"/>
    </row>
    <row r="1128" spans="1:9" ht="28.8">
      <c r="A1128" s="605" t="s">
        <v>35307</v>
      </c>
      <c r="B1128" s="258" t="str">
        <f>VLOOKUP(A1128,GLOBAL!A:H,4,FALSE)</f>
        <v>TUBO DE PVC RÍGIDO SOLDÁVEL BRANCO, PARA ESGOTO, SÉRIE NORMAL, DIÂMETRO 75MM (3"), INCLUSIVE CONEXÕES</v>
      </c>
      <c r="C1128" s="119" t="str">
        <f>VLOOKUP(A1128,GLOBAL!A:H,5,FALSE)</f>
        <v>M</v>
      </c>
      <c r="D1128" s="267" t="s">
        <v>66</v>
      </c>
      <c r="E1128" s="267" t="s">
        <v>70</v>
      </c>
      <c r="F1128" s="267" t="s">
        <v>67</v>
      </c>
      <c r="G1128" s="267" t="s">
        <v>68</v>
      </c>
      <c r="H1128" s="267" t="s">
        <v>71</v>
      </c>
      <c r="I1128" s="268">
        <f>ROUND(SUM(I1130:I1134),2)</f>
        <v>90</v>
      </c>
    </row>
    <row r="1129" spans="1:9">
      <c r="A1129" s="198"/>
      <c r="B1129" s="200" t="s">
        <v>2874</v>
      </c>
      <c r="C1129" s="199"/>
      <c r="D1129" s="281"/>
      <c r="E1129" s="282"/>
      <c r="F1129" s="281"/>
      <c r="G1129" s="281"/>
      <c r="H1129" s="281"/>
      <c r="I1129" s="283"/>
    </row>
    <row r="1130" spans="1:9">
      <c r="A1130" s="195"/>
      <c r="B1130" s="642" t="s">
        <v>35512</v>
      </c>
      <c r="C1130" s="234"/>
      <c r="D1130" s="641"/>
      <c r="E1130" s="641"/>
      <c r="F1130" s="279"/>
      <c r="G1130" s="279"/>
      <c r="H1130" s="279"/>
      <c r="I1130" s="280"/>
    </row>
    <row r="1131" spans="1:9">
      <c r="A1131" s="195"/>
      <c r="B1131" s="233" t="s">
        <v>35553</v>
      </c>
      <c r="C1131" s="234"/>
      <c r="D1131" s="279">
        <v>50</v>
      </c>
      <c r="E1131" s="278"/>
      <c r="F1131" s="279"/>
      <c r="G1131" s="279"/>
      <c r="H1131" s="279"/>
      <c r="I1131" s="280">
        <f>D1131</f>
        <v>50</v>
      </c>
    </row>
    <row r="1132" spans="1:9">
      <c r="A1132" s="195"/>
      <c r="B1132" s="642" t="s">
        <v>35785</v>
      </c>
      <c r="C1132" s="234"/>
      <c r="D1132" s="641"/>
      <c r="E1132" s="641"/>
      <c r="F1132" s="279"/>
      <c r="G1132" s="279"/>
      <c r="H1132" s="279"/>
      <c r="I1132" s="280"/>
    </row>
    <row r="1133" spans="1:9">
      <c r="A1133" s="195"/>
      <c r="B1133" s="233" t="s">
        <v>35553</v>
      </c>
      <c r="C1133" s="234"/>
      <c r="D1133" s="279">
        <v>40</v>
      </c>
      <c r="E1133" s="278"/>
      <c r="F1133" s="279"/>
      <c r="G1133" s="279"/>
      <c r="H1133" s="279"/>
      <c r="I1133" s="280">
        <f>D1133</f>
        <v>40</v>
      </c>
    </row>
    <row r="1134" spans="1:9">
      <c r="A1134" s="195"/>
      <c r="B1134" s="189"/>
      <c r="C1134" s="190"/>
      <c r="D1134" s="271"/>
      <c r="E1134" s="271"/>
      <c r="F1134" s="271"/>
      <c r="G1134" s="271"/>
      <c r="H1134" s="271"/>
      <c r="I1134" s="259"/>
    </row>
    <row r="1135" spans="1:9">
      <c r="A1135" s="135"/>
      <c r="B1135" s="170"/>
      <c r="C1135" s="136"/>
      <c r="D1135" s="275"/>
      <c r="E1135" s="275"/>
      <c r="F1135" s="275"/>
      <c r="G1135" s="276"/>
      <c r="H1135" s="276"/>
      <c r="I1135" s="277"/>
    </row>
    <row r="1136" spans="1:9" ht="28.8">
      <c r="A1136" s="605" t="s">
        <v>35308</v>
      </c>
      <c r="B1136" s="258" t="str">
        <f>VLOOKUP(A1136,GLOBAL!A:H,4,FALSE)</f>
        <v>TUBO DE PVC RÍGIDO SOLDÁVEL BRANCO, PARA ESGOTO, SÉRIE NORMAL, DIÂMETRO 100MM (4"), INCLUSIVE CONEXÕES</v>
      </c>
      <c r="C1136" s="119" t="str">
        <f>VLOOKUP(A1136,GLOBAL!A:H,5,FALSE)</f>
        <v>M</v>
      </c>
      <c r="D1136" s="267" t="s">
        <v>66</v>
      </c>
      <c r="E1136" s="267" t="s">
        <v>70</v>
      </c>
      <c r="F1136" s="267" t="s">
        <v>67</v>
      </c>
      <c r="G1136" s="267" t="s">
        <v>68</v>
      </c>
      <c r="H1136" s="267" t="s">
        <v>71</v>
      </c>
      <c r="I1136" s="268">
        <f>ROUND(SUM(I1138:I1142),2)</f>
        <v>100</v>
      </c>
    </row>
    <row r="1137" spans="1:9">
      <c r="A1137" s="198"/>
      <c r="B1137" s="200" t="s">
        <v>2874</v>
      </c>
      <c r="C1137" s="199"/>
      <c r="D1137" s="281"/>
      <c r="E1137" s="282"/>
      <c r="F1137" s="281"/>
      <c r="G1137" s="281"/>
      <c r="H1137" s="281"/>
      <c r="I1137" s="283"/>
    </row>
    <row r="1138" spans="1:9">
      <c r="A1138" s="195"/>
      <c r="B1138" s="642" t="s">
        <v>35512</v>
      </c>
      <c r="C1138" s="234"/>
      <c r="D1138" s="641"/>
      <c r="E1138" s="641"/>
      <c r="F1138" s="279"/>
      <c r="G1138" s="279"/>
      <c r="H1138" s="279"/>
      <c r="I1138" s="280"/>
    </row>
    <row r="1139" spans="1:9">
      <c r="A1139" s="195"/>
      <c r="B1139" s="233" t="s">
        <v>35553</v>
      </c>
      <c r="C1139" s="234"/>
      <c r="D1139" s="279">
        <v>60</v>
      </c>
      <c r="E1139" s="278"/>
      <c r="F1139" s="279"/>
      <c r="G1139" s="279"/>
      <c r="H1139" s="279"/>
      <c r="I1139" s="280">
        <f>D1139</f>
        <v>60</v>
      </c>
    </row>
    <row r="1140" spans="1:9">
      <c r="A1140" s="195"/>
      <c r="B1140" s="642" t="s">
        <v>35785</v>
      </c>
      <c r="C1140" s="234"/>
      <c r="D1140" s="641"/>
      <c r="E1140" s="641"/>
      <c r="F1140" s="279"/>
      <c r="G1140" s="279"/>
      <c r="H1140" s="279"/>
      <c r="I1140" s="280"/>
    </row>
    <row r="1141" spans="1:9">
      <c r="A1141" s="195"/>
      <c r="B1141" s="233" t="s">
        <v>35553</v>
      </c>
      <c r="C1141" s="234"/>
      <c r="D1141" s="279">
        <v>40</v>
      </c>
      <c r="E1141" s="278"/>
      <c r="F1141" s="279"/>
      <c r="G1141" s="279"/>
      <c r="H1141" s="279"/>
      <c r="I1141" s="280">
        <f>D1141</f>
        <v>40</v>
      </c>
    </row>
    <row r="1142" spans="1:9">
      <c r="A1142" s="195"/>
      <c r="B1142" s="189"/>
      <c r="C1142" s="190"/>
      <c r="D1142" s="271"/>
      <c r="E1142" s="271"/>
      <c r="F1142" s="271"/>
      <c r="G1142" s="271"/>
      <c r="H1142" s="271"/>
      <c r="I1142" s="259"/>
    </row>
    <row r="1143" spans="1:9">
      <c r="A1143" s="135"/>
      <c r="B1143" s="170"/>
      <c r="C1143" s="136"/>
      <c r="D1143" s="275"/>
      <c r="E1143" s="275"/>
      <c r="F1143" s="275"/>
      <c r="G1143" s="276"/>
      <c r="H1143" s="276"/>
      <c r="I1143" s="277"/>
    </row>
    <row r="1144" spans="1:9" ht="28.8">
      <c r="A1144" s="605" t="s">
        <v>35309</v>
      </c>
      <c r="B1144" s="258" t="str">
        <f>VLOOKUP(A1144,GLOBAL!A:H,4,FALSE)</f>
        <v>TUBO DE PVC RÍGIDO SOLDÁVEL BRANCO, PARA ESGOTO, SÉRIE NORMAL, DIÂMETRO 150MM (6"), INCLUSIVE CONEXÕES</v>
      </c>
      <c r="C1144" s="119" t="str">
        <f>VLOOKUP(A1144,GLOBAL!A:H,5,FALSE)</f>
        <v>M</v>
      </c>
      <c r="D1144" s="267" t="s">
        <v>66</v>
      </c>
      <c r="E1144" s="267" t="s">
        <v>70</v>
      </c>
      <c r="F1144" s="267" t="s">
        <v>67</v>
      </c>
      <c r="G1144" s="267" t="s">
        <v>68</v>
      </c>
      <c r="H1144" s="267" t="s">
        <v>71</v>
      </c>
      <c r="I1144" s="268">
        <f>ROUND(SUM(I1146:I1150),2)</f>
        <v>350</v>
      </c>
    </row>
    <row r="1145" spans="1:9">
      <c r="A1145" s="198"/>
      <c r="B1145" s="200" t="s">
        <v>2874</v>
      </c>
      <c r="C1145" s="199"/>
      <c r="D1145" s="281"/>
      <c r="E1145" s="282"/>
      <c r="F1145" s="281"/>
      <c r="G1145" s="281"/>
      <c r="H1145" s="281"/>
      <c r="I1145" s="283"/>
    </row>
    <row r="1146" spans="1:9">
      <c r="A1146" s="195"/>
      <c r="B1146" s="642" t="s">
        <v>35512</v>
      </c>
      <c r="C1146" s="234"/>
      <c r="D1146" s="641"/>
      <c r="E1146" s="641"/>
      <c r="F1146" s="279"/>
      <c r="G1146" s="279"/>
      <c r="H1146" s="279"/>
      <c r="I1146" s="280"/>
    </row>
    <row r="1147" spans="1:9">
      <c r="A1147" s="195"/>
      <c r="B1147" s="233" t="s">
        <v>35553</v>
      </c>
      <c r="C1147" s="234"/>
      <c r="D1147" s="279">
        <v>200</v>
      </c>
      <c r="E1147" s="278"/>
      <c r="F1147" s="279"/>
      <c r="G1147" s="279"/>
      <c r="H1147" s="279"/>
      <c r="I1147" s="280">
        <f>D1147</f>
        <v>200</v>
      </c>
    </row>
    <row r="1148" spans="1:9">
      <c r="A1148" s="195"/>
      <c r="B1148" s="642" t="s">
        <v>35785</v>
      </c>
      <c r="C1148" s="234"/>
      <c r="D1148" s="641"/>
      <c r="E1148" s="641"/>
      <c r="F1148" s="279"/>
      <c r="G1148" s="279"/>
      <c r="H1148" s="279"/>
      <c r="I1148" s="280"/>
    </row>
    <row r="1149" spans="1:9">
      <c r="A1149" s="195"/>
      <c r="B1149" s="233" t="s">
        <v>35553</v>
      </c>
      <c r="C1149" s="234"/>
      <c r="D1149" s="279">
        <v>150</v>
      </c>
      <c r="E1149" s="278"/>
      <c r="F1149" s="279"/>
      <c r="G1149" s="279"/>
      <c r="H1149" s="279"/>
      <c r="I1149" s="280">
        <f>D1149</f>
        <v>150</v>
      </c>
    </row>
    <row r="1150" spans="1:9">
      <c r="A1150" s="195"/>
      <c r="B1150" s="189"/>
      <c r="C1150" s="190"/>
      <c r="D1150" s="271"/>
      <c r="E1150" s="271"/>
      <c r="F1150" s="271"/>
      <c r="G1150" s="271"/>
      <c r="H1150" s="271"/>
      <c r="I1150" s="259"/>
    </row>
    <row r="1151" spans="1:9">
      <c r="A1151" s="135"/>
      <c r="B1151" s="170"/>
      <c r="C1151" s="136"/>
      <c r="D1151" s="275"/>
      <c r="E1151" s="275"/>
      <c r="F1151" s="275"/>
      <c r="G1151" s="276"/>
      <c r="H1151" s="276"/>
      <c r="I1151" s="277"/>
    </row>
    <row r="1152" spans="1:9">
      <c r="A1152" s="122" t="s">
        <v>35310</v>
      </c>
      <c r="B1152" s="340" t="str">
        <f>VLOOKUP(A1152,GLOBAL!A:H,4,FALSE)</f>
        <v>CAIXAS DE PVC/EQUIPAMENTOS</v>
      </c>
      <c r="C1152" s="130"/>
      <c r="D1152" s="341"/>
      <c r="E1152" s="341"/>
      <c r="F1152" s="341"/>
      <c r="G1152" s="341"/>
      <c r="H1152" s="341"/>
      <c r="I1152" s="342"/>
    </row>
    <row r="1153" spans="1:9">
      <c r="A1153" s="605" t="s">
        <v>35312</v>
      </c>
      <c r="B1153" s="258" t="str">
        <f>VLOOKUP(A1153,GLOBAL!A:H,4,FALSE)</f>
        <v>SIFÃO EM PVC PARA PIA DE COZINHA OU LAVATÓRIO 1X11/2"</v>
      </c>
      <c r="C1153" s="119" t="str">
        <f>VLOOKUP(A1153,GLOBAL!A:H,5,FALSE)</f>
        <v>UND</v>
      </c>
      <c r="D1153" s="267" t="s">
        <v>66</v>
      </c>
      <c r="E1153" s="267" t="s">
        <v>70</v>
      </c>
      <c r="F1153" s="267" t="s">
        <v>67</v>
      </c>
      <c r="G1153" s="267" t="s">
        <v>68</v>
      </c>
      <c r="H1153" s="267" t="s">
        <v>71</v>
      </c>
      <c r="I1153" s="268">
        <f>ROUND(SUM(I1154:I1175),2)</f>
        <v>28</v>
      </c>
    </row>
    <row r="1154" spans="1:9">
      <c r="A1154" s="198"/>
      <c r="B1154" s="200" t="s">
        <v>2874</v>
      </c>
      <c r="C1154" s="199"/>
      <c r="D1154" s="281"/>
      <c r="E1154" s="282"/>
      <c r="F1154" s="281"/>
      <c r="G1154" s="281"/>
      <c r="H1154" s="281"/>
      <c r="I1154" s="283"/>
    </row>
    <row r="1155" spans="1:9">
      <c r="A1155" s="195"/>
      <c r="B1155" s="642" t="s">
        <v>35512</v>
      </c>
      <c r="C1155" s="234"/>
      <c r="D1155" s="641"/>
      <c r="E1155" s="641"/>
      <c r="F1155" s="279"/>
      <c r="G1155" s="279"/>
      <c r="H1155" s="279"/>
      <c r="I1155" s="280"/>
    </row>
    <row r="1156" spans="1:9">
      <c r="A1156" s="195"/>
      <c r="B1156" s="233" t="s">
        <v>35514</v>
      </c>
      <c r="C1156" s="234"/>
      <c r="D1156" s="279"/>
      <c r="E1156" s="278"/>
      <c r="F1156" s="279"/>
      <c r="G1156" s="279">
        <v>2</v>
      </c>
      <c r="H1156" s="279"/>
      <c r="I1156" s="280">
        <f>G1156</f>
        <v>2</v>
      </c>
    </row>
    <row r="1157" spans="1:9">
      <c r="A1157" s="195"/>
      <c r="B1157" s="233" t="s">
        <v>35515</v>
      </c>
      <c r="C1157" s="234"/>
      <c r="D1157" s="279"/>
      <c r="E1157" s="278"/>
      <c r="F1157" s="279"/>
      <c r="G1157" s="279">
        <v>2</v>
      </c>
      <c r="H1157" s="279"/>
      <c r="I1157" s="280">
        <f t="shared" ref="I1157:I1169" si="57">G1157</f>
        <v>2</v>
      </c>
    </row>
    <row r="1158" spans="1:9">
      <c r="A1158" s="195"/>
      <c r="B1158" s="233" t="s">
        <v>35516</v>
      </c>
      <c r="C1158" s="234"/>
      <c r="D1158" s="279"/>
      <c r="E1158" s="278"/>
      <c r="F1158" s="279"/>
      <c r="G1158" s="279">
        <v>1</v>
      </c>
      <c r="H1158" s="279"/>
      <c r="I1158" s="280">
        <f t="shared" si="57"/>
        <v>1</v>
      </c>
    </row>
    <row r="1159" spans="1:9">
      <c r="A1159" s="195"/>
      <c r="B1159" s="233" t="s">
        <v>35518</v>
      </c>
      <c r="C1159" s="234"/>
      <c r="D1159" s="279"/>
      <c r="E1159" s="278"/>
      <c r="F1159" s="279"/>
      <c r="G1159" s="279">
        <v>1</v>
      </c>
      <c r="H1159" s="279"/>
      <c r="I1159" s="280">
        <f t="shared" si="57"/>
        <v>1</v>
      </c>
    </row>
    <row r="1160" spans="1:9">
      <c r="A1160" s="195"/>
      <c r="B1160" s="233" t="s">
        <v>35504</v>
      </c>
      <c r="C1160" s="234"/>
      <c r="D1160" s="279"/>
      <c r="E1160" s="278"/>
      <c r="F1160" s="279"/>
      <c r="G1160" s="279"/>
      <c r="H1160" s="279"/>
      <c r="I1160" s="280">
        <f t="shared" si="57"/>
        <v>0</v>
      </c>
    </row>
    <row r="1161" spans="1:9">
      <c r="A1161" s="195"/>
      <c r="B1161" s="233" t="s">
        <v>35519</v>
      </c>
      <c r="C1161" s="234"/>
      <c r="D1161" s="279"/>
      <c r="E1161" s="278"/>
      <c r="F1161" s="279"/>
      <c r="G1161" s="279">
        <v>2</v>
      </c>
      <c r="H1161" s="279"/>
      <c r="I1161" s="280">
        <f t="shared" si="57"/>
        <v>2</v>
      </c>
    </row>
    <row r="1162" spans="1:9">
      <c r="A1162" s="195"/>
      <c r="B1162" s="233" t="s">
        <v>35522</v>
      </c>
      <c r="C1162" s="234"/>
      <c r="D1162" s="279"/>
      <c r="E1162" s="278"/>
      <c r="F1162" s="279"/>
      <c r="G1162" s="279">
        <v>2</v>
      </c>
      <c r="H1162" s="279"/>
      <c r="I1162" s="280">
        <f t="shared" si="57"/>
        <v>2</v>
      </c>
    </row>
    <row r="1163" spans="1:9">
      <c r="A1163" s="195"/>
      <c r="B1163" s="233" t="s">
        <v>35523</v>
      </c>
      <c r="C1163" s="234"/>
      <c r="D1163" s="279"/>
      <c r="E1163" s="278"/>
      <c r="F1163" s="279"/>
      <c r="G1163" s="279">
        <v>2</v>
      </c>
      <c r="H1163" s="279"/>
      <c r="I1163" s="280">
        <f t="shared" si="57"/>
        <v>2</v>
      </c>
    </row>
    <row r="1164" spans="1:9">
      <c r="A1164" s="195"/>
      <c r="B1164" s="233" t="s">
        <v>35524</v>
      </c>
      <c r="C1164" s="234"/>
      <c r="D1164" s="279"/>
      <c r="E1164" s="278"/>
      <c r="F1164" s="279"/>
      <c r="G1164" s="279">
        <v>1</v>
      </c>
      <c r="H1164" s="279"/>
      <c r="I1164" s="280">
        <f t="shared" si="57"/>
        <v>1</v>
      </c>
    </row>
    <row r="1165" spans="1:9">
      <c r="A1165" s="195"/>
      <c r="B1165" s="233" t="s">
        <v>35545</v>
      </c>
      <c r="C1165" s="234"/>
      <c r="D1165" s="279"/>
      <c r="E1165" s="278"/>
      <c r="F1165" s="279"/>
      <c r="G1165" s="279">
        <v>1</v>
      </c>
      <c r="H1165" s="279"/>
      <c r="I1165" s="280">
        <f t="shared" si="57"/>
        <v>1</v>
      </c>
    </row>
    <row r="1166" spans="1:9">
      <c r="A1166" s="195"/>
      <c r="B1166" s="233" t="s">
        <v>35527</v>
      </c>
      <c r="C1166" s="234"/>
      <c r="D1166" s="279"/>
      <c r="E1166" s="278"/>
      <c r="F1166" s="279"/>
      <c r="G1166" s="279">
        <v>2</v>
      </c>
      <c r="H1166" s="279"/>
      <c r="I1166" s="280">
        <f t="shared" si="57"/>
        <v>2</v>
      </c>
    </row>
    <row r="1167" spans="1:9">
      <c r="A1167" s="195"/>
      <c r="B1167" s="233" t="s">
        <v>35528</v>
      </c>
      <c r="C1167" s="234"/>
      <c r="D1167" s="279"/>
      <c r="E1167" s="278"/>
      <c r="F1167" s="279"/>
      <c r="G1167" s="279">
        <v>2</v>
      </c>
      <c r="H1167" s="279"/>
      <c r="I1167" s="280">
        <f t="shared" si="57"/>
        <v>2</v>
      </c>
    </row>
    <row r="1168" spans="1:9">
      <c r="A1168" s="195"/>
      <c r="B1168" s="233" t="s">
        <v>35529</v>
      </c>
      <c r="C1168" s="234"/>
      <c r="D1168" s="279"/>
      <c r="E1168" s="278"/>
      <c r="F1168" s="279"/>
      <c r="G1168" s="279">
        <v>1</v>
      </c>
      <c r="H1168" s="279"/>
      <c r="I1168" s="280">
        <f t="shared" si="57"/>
        <v>1</v>
      </c>
    </row>
    <row r="1169" spans="1:9">
      <c r="A1169" s="195"/>
      <c r="B1169" s="233" t="s">
        <v>35546</v>
      </c>
      <c r="C1169" s="234"/>
      <c r="D1169" s="279"/>
      <c r="E1169" s="278"/>
      <c r="F1169" s="279"/>
      <c r="G1169" s="279">
        <v>1</v>
      </c>
      <c r="H1169" s="279"/>
      <c r="I1169" s="280">
        <f t="shared" si="57"/>
        <v>1</v>
      </c>
    </row>
    <row r="1170" spans="1:9">
      <c r="A1170" s="195"/>
      <c r="B1170" s="189" t="s">
        <v>35654</v>
      </c>
      <c r="C1170" s="190"/>
      <c r="D1170" s="271"/>
      <c r="E1170" s="271"/>
      <c r="F1170" s="271"/>
      <c r="G1170" s="271"/>
      <c r="H1170" s="271"/>
      <c r="I1170" s="259"/>
    </row>
    <row r="1171" spans="1:9">
      <c r="A1171" s="195"/>
      <c r="B1171" s="233" t="s">
        <v>35514</v>
      </c>
      <c r="C1171" s="234"/>
      <c r="D1171" s="279"/>
      <c r="E1171" s="278"/>
      <c r="F1171" s="279"/>
      <c r="G1171" s="279">
        <v>3</v>
      </c>
      <c r="H1171" s="279"/>
      <c r="I1171" s="280">
        <f>G1171</f>
        <v>3</v>
      </c>
    </row>
    <row r="1172" spans="1:9">
      <c r="A1172" s="195"/>
      <c r="B1172" s="233" t="s">
        <v>35515</v>
      </c>
      <c r="C1172" s="234"/>
      <c r="D1172" s="279"/>
      <c r="E1172" s="278"/>
      <c r="F1172" s="279"/>
      <c r="G1172" s="279">
        <v>3</v>
      </c>
      <c r="H1172" s="279"/>
      <c r="I1172" s="280">
        <f t="shared" ref="I1172:I1174" si="58">G1172</f>
        <v>3</v>
      </c>
    </row>
    <row r="1173" spans="1:9">
      <c r="A1173" s="195"/>
      <c r="B1173" s="233" t="s">
        <v>35516</v>
      </c>
      <c r="C1173" s="234"/>
      <c r="D1173" s="279"/>
      <c r="E1173" s="278"/>
      <c r="F1173" s="279"/>
      <c r="G1173" s="279">
        <v>1</v>
      </c>
      <c r="H1173" s="279"/>
      <c r="I1173" s="280">
        <f t="shared" si="58"/>
        <v>1</v>
      </c>
    </row>
    <row r="1174" spans="1:9">
      <c r="A1174" s="195"/>
      <c r="B1174" s="233" t="s">
        <v>35776</v>
      </c>
      <c r="C1174" s="234"/>
      <c r="D1174" s="279"/>
      <c r="E1174" s="278"/>
      <c r="F1174" s="279"/>
      <c r="G1174" s="279">
        <v>1</v>
      </c>
      <c r="H1174" s="279"/>
      <c r="I1174" s="280">
        <f t="shared" si="58"/>
        <v>1</v>
      </c>
    </row>
    <row r="1175" spans="1:9">
      <c r="A1175" s="195"/>
      <c r="B1175" s="189"/>
      <c r="C1175" s="190"/>
      <c r="D1175" s="271"/>
      <c r="E1175" s="271"/>
      <c r="F1175" s="271"/>
      <c r="G1175" s="271"/>
      <c r="H1175" s="271"/>
      <c r="I1175" s="259"/>
    </row>
    <row r="1176" spans="1:9">
      <c r="A1176" s="135"/>
      <c r="B1176" s="170"/>
      <c r="C1176" s="136"/>
      <c r="D1176" s="275"/>
      <c r="E1176" s="275"/>
      <c r="F1176" s="275"/>
      <c r="G1176" s="276"/>
      <c r="H1176" s="276"/>
      <c r="I1176" s="277"/>
    </row>
    <row r="1177" spans="1:9">
      <c r="A1177" s="605" t="s">
        <v>35313</v>
      </c>
      <c r="B1177" s="258" t="str">
        <f>VLOOKUP(A1177,GLOBAL!A:H,4,FALSE)</f>
        <v>SIFÃO EM PVC PARA TANQUE 2"</v>
      </c>
      <c r="C1177" s="119" t="str">
        <f>VLOOKUP(A1177,GLOBAL!A:H,5,FALSE)</f>
        <v>UND</v>
      </c>
      <c r="D1177" s="267" t="s">
        <v>66</v>
      </c>
      <c r="E1177" s="267" t="s">
        <v>70</v>
      </c>
      <c r="F1177" s="267" t="s">
        <v>67</v>
      </c>
      <c r="G1177" s="267" t="s">
        <v>68</v>
      </c>
      <c r="H1177" s="267" t="s">
        <v>71</v>
      </c>
      <c r="I1177" s="268">
        <f>ROUND(SUM(I1178:I1181),2)</f>
        <v>4</v>
      </c>
    </row>
    <row r="1178" spans="1:9">
      <c r="A1178" s="198"/>
      <c r="B1178" s="200" t="s">
        <v>2874</v>
      </c>
      <c r="C1178" s="199"/>
      <c r="D1178" s="281"/>
      <c r="E1178" s="282"/>
      <c r="F1178" s="281"/>
      <c r="G1178" s="281"/>
      <c r="H1178" s="281"/>
      <c r="I1178" s="283"/>
    </row>
    <row r="1179" spans="1:9">
      <c r="A1179" s="195"/>
      <c r="B1179" s="642" t="s">
        <v>35512</v>
      </c>
      <c r="C1179" s="234"/>
      <c r="D1179" s="641"/>
      <c r="E1179" s="641"/>
      <c r="F1179" s="279"/>
      <c r="G1179" s="279"/>
      <c r="H1179" s="279"/>
      <c r="I1179" s="280"/>
    </row>
    <row r="1180" spans="1:9">
      <c r="A1180" s="195"/>
      <c r="B1180" s="233" t="s">
        <v>35520</v>
      </c>
      <c r="C1180" s="234"/>
      <c r="D1180" s="279"/>
      <c r="E1180" s="278"/>
      <c r="F1180" s="279"/>
      <c r="G1180" s="279">
        <v>4</v>
      </c>
      <c r="H1180" s="279"/>
      <c r="I1180" s="280">
        <f t="shared" ref="I1180" si="59">G1180</f>
        <v>4</v>
      </c>
    </row>
    <row r="1181" spans="1:9">
      <c r="A1181" s="195"/>
      <c r="B1181" s="189"/>
      <c r="C1181" s="190"/>
      <c r="D1181" s="271"/>
      <c r="E1181" s="271"/>
      <c r="F1181" s="271"/>
      <c r="G1181" s="271"/>
      <c r="H1181" s="271"/>
      <c r="I1181" s="259"/>
    </row>
    <row r="1182" spans="1:9">
      <c r="A1182" s="135"/>
      <c r="B1182" s="170"/>
      <c r="C1182" s="136"/>
      <c r="D1182" s="275"/>
      <c r="E1182" s="275"/>
      <c r="F1182" s="275"/>
      <c r="G1182" s="276"/>
      <c r="H1182" s="276"/>
      <c r="I1182" s="277"/>
    </row>
    <row r="1183" spans="1:9">
      <c r="A1183" s="605" t="s">
        <v>35314</v>
      </c>
      <c r="B1183" s="258" t="str">
        <f>VLOOKUP(A1183,GLOBAL!A:H,4,FALSE)</f>
        <v>ENGATE FLEXÍVEL DE PVC PARA LAVATÓRIO</v>
      </c>
      <c r="C1183" s="119" t="str">
        <f>VLOOKUP(A1183,GLOBAL!A:H,5,FALSE)</f>
        <v>UND</v>
      </c>
      <c r="D1183" s="267" t="s">
        <v>66</v>
      </c>
      <c r="E1183" s="267" t="s">
        <v>70</v>
      </c>
      <c r="F1183" s="267" t="s">
        <v>67</v>
      </c>
      <c r="G1183" s="267" t="s">
        <v>68</v>
      </c>
      <c r="H1183" s="267" t="s">
        <v>71</v>
      </c>
      <c r="I1183" s="268">
        <f>ROUND(SUM(I1184:I1205),2)</f>
        <v>28</v>
      </c>
    </row>
    <row r="1184" spans="1:9">
      <c r="A1184" s="198"/>
      <c r="B1184" s="200" t="s">
        <v>2874</v>
      </c>
      <c r="C1184" s="199"/>
      <c r="D1184" s="281"/>
      <c r="E1184" s="282"/>
      <c r="F1184" s="281"/>
      <c r="G1184" s="281"/>
      <c r="H1184" s="281"/>
      <c r="I1184" s="283"/>
    </row>
    <row r="1185" spans="1:9">
      <c r="A1185" s="195"/>
      <c r="B1185" s="642" t="s">
        <v>35512</v>
      </c>
      <c r="C1185" s="234"/>
      <c r="D1185" s="641"/>
      <c r="E1185" s="641"/>
      <c r="F1185" s="279"/>
      <c r="G1185" s="279"/>
      <c r="H1185" s="279"/>
      <c r="I1185" s="280"/>
    </row>
    <row r="1186" spans="1:9">
      <c r="A1186" s="195"/>
      <c r="B1186" s="233" t="s">
        <v>35514</v>
      </c>
      <c r="C1186" s="234"/>
      <c r="D1186" s="279"/>
      <c r="E1186" s="278"/>
      <c r="F1186" s="279"/>
      <c r="G1186" s="279">
        <v>2</v>
      </c>
      <c r="H1186" s="279"/>
      <c r="I1186" s="280">
        <f>G1186</f>
        <v>2</v>
      </c>
    </row>
    <row r="1187" spans="1:9">
      <c r="A1187" s="195"/>
      <c r="B1187" s="233" t="s">
        <v>35515</v>
      </c>
      <c r="C1187" s="234"/>
      <c r="D1187" s="279"/>
      <c r="E1187" s="278"/>
      <c r="F1187" s="279"/>
      <c r="G1187" s="279">
        <v>2</v>
      </c>
      <c r="H1187" s="279"/>
      <c r="I1187" s="280">
        <f t="shared" ref="I1187:I1199" si="60">G1187</f>
        <v>2</v>
      </c>
    </row>
    <row r="1188" spans="1:9">
      <c r="A1188" s="195"/>
      <c r="B1188" s="233" t="s">
        <v>35516</v>
      </c>
      <c r="C1188" s="234"/>
      <c r="D1188" s="279"/>
      <c r="E1188" s="278"/>
      <c r="F1188" s="279"/>
      <c r="G1188" s="279">
        <v>1</v>
      </c>
      <c r="H1188" s="279"/>
      <c r="I1188" s="280">
        <f t="shared" si="60"/>
        <v>1</v>
      </c>
    </row>
    <row r="1189" spans="1:9">
      <c r="A1189" s="195"/>
      <c r="B1189" s="233" t="s">
        <v>35518</v>
      </c>
      <c r="C1189" s="234"/>
      <c r="D1189" s="279"/>
      <c r="E1189" s="278"/>
      <c r="F1189" s="279"/>
      <c r="G1189" s="279">
        <v>1</v>
      </c>
      <c r="H1189" s="279"/>
      <c r="I1189" s="280">
        <f t="shared" si="60"/>
        <v>1</v>
      </c>
    </row>
    <row r="1190" spans="1:9">
      <c r="A1190" s="195"/>
      <c r="B1190" s="233" t="s">
        <v>35504</v>
      </c>
      <c r="C1190" s="234"/>
      <c r="D1190" s="279"/>
      <c r="E1190" s="278"/>
      <c r="F1190" s="279"/>
      <c r="G1190" s="279"/>
      <c r="H1190" s="279"/>
      <c r="I1190" s="280">
        <f t="shared" si="60"/>
        <v>0</v>
      </c>
    </row>
    <row r="1191" spans="1:9">
      <c r="A1191" s="195"/>
      <c r="B1191" s="233" t="s">
        <v>35519</v>
      </c>
      <c r="C1191" s="234"/>
      <c r="D1191" s="279"/>
      <c r="E1191" s="278"/>
      <c r="F1191" s="279"/>
      <c r="G1191" s="279">
        <v>2</v>
      </c>
      <c r="H1191" s="279"/>
      <c r="I1191" s="280">
        <f t="shared" si="60"/>
        <v>2</v>
      </c>
    </row>
    <row r="1192" spans="1:9">
      <c r="A1192" s="195"/>
      <c r="B1192" s="233" t="s">
        <v>35522</v>
      </c>
      <c r="C1192" s="234"/>
      <c r="D1192" s="279"/>
      <c r="E1192" s="278"/>
      <c r="F1192" s="279"/>
      <c r="G1192" s="279">
        <v>2</v>
      </c>
      <c r="H1192" s="279"/>
      <c r="I1192" s="280">
        <f t="shared" si="60"/>
        <v>2</v>
      </c>
    </row>
    <row r="1193" spans="1:9">
      <c r="A1193" s="195"/>
      <c r="B1193" s="233" t="s">
        <v>35523</v>
      </c>
      <c r="C1193" s="234"/>
      <c r="D1193" s="279"/>
      <c r="E1193" s="278"/>
      <c r="F1193" s="279"/>
      <c r="G1193" s="279">
        <v>2</v>
      </c>
      <c r="H1193" s="279"/>
      <c r="I1193" s="280">
        <f t="shared" si="60"/>
        <v>2</v>
      </c>
    </row>
    <row r="1194" spans="1:9">
      <c r="A1194" s="195"/>
      <c r="B1194" s="233" t="s">
        <v>35524</v>
      </c>
      <c r="C1194" s="234"/>
      <c r="D1194" s="279"/>
      <c r="E1194" s="278"/>
      <c r="F1194" s="279"/>
      <c r="G1194" s="279">
        <v>1</v>
      </c>
      <c r="H1194" s="279"/>
      <c r="I1194" s="280">
        <f t="shared" si="60"/>
        <v>1</v>
      </c>
    </row>
    <row r="1195" spans="1:9">
      <c r="A1195" s="195"/>
      <c r="B1195" s="233" t="s">
        <v>35545</v>
      </c>
      <c r="C1195" s="234"/>
      <c r="D1195" s="279"/>
      <c r="E1195" s="278"/>
      <c r="F1195" s="279"/>
      <c r="G1195" s="279">
        <v>1</v>
      </c>
      <c r="H1195" s="279"/>
      <c r="I1195" s="280">
        <f t="shared" si="60"/>
        <v>1</v>
      </c>
    </row>
    <row r="1196" spans="1:9">
      <c r="A1196" s="195"/>
      <c r="B1196" s="233" t="s">
        <v>35527</v>
      </c>
      <c r="C1196" s="234"/>
      <c r="D1196" s="279"/>
      <c r="E1196" s="278"/>
      <c r="F1196" s="279"/>
      <c r="G1196" s="279">
        <v>2</v>
      </c>
      <c r="H1196" s="279"/>
      <c r="I1196" s="280">
        <f t="shared" si="60"/>
        <v>2</v>
      </c>
    </row>
    <row r="1197" spans="1:9">
      <c r="A1197" s="195"/>
      <c r="B1197" s="233" t="s">
        <v>35528</v>
      </c>
      <c r="C1197" s="234"/>
      <c r="D1197" s="279"/>
      <c r="E1197" s="278"/>
      <c r="F1197" s="279"/>
      <c r="G1197" s="279">
        <v>2</v>
      </c>
      <c r="H1197" s="279"/>
      <c r="I1197" s="280">
        <f t="shared" si="60"/>
        <v>2</v>
      </c>
    </row>
    <row r="1198" spans="1:9">
      <c r="A1198" s="195"/>
      <c r="B1198" s="233" t="s">
        <v>35529</v>
      </c>
      <c r="C1198" s="234"/>
      <c r="D1198" s="279"/>
      <c r="E1198" s="278"/>
      <c r="F1198" s="279"/>
      <c r="G1198" s="279">
        <v>1</v>
      </c>
      <c r="H1198" s="279"/>
      <c r="I1198" s="280">
        <f t="shared" si="60"/>
        <v>1</v>
      </c>
    </row>
    <row r="1199" spans="1:9">
      <c r="A1199" s="195"/>
      <c r="B1199" s="233" t="s">
        <v>35546</v>
      </c>
      <c r="C1199" s="234"/>
      <c r="D1199" s="279"/>
      <c r="E1199" s="278"/>
      <c r="F1199" s="279"/>
      <c r="G1199" s="279">
        <v>1</v>
      </c>
      <c r="H1199" s="279"/>
      <c r="I1199" s="280">
        <f t="shared" si="60"/>
        <v>1</v>
      </c>
    </row>
    <row r="1200" spans="1:9">
      <c r="A1200" s="195"/>
      <c r="B1200" s="189" t="s">
        <v>35654</v>
      </c>
      <c r="C1200" s="190"/>
      <c r="D1200" s="271"/>
      <c r="E1200" s="271"/>
      <c r="F1200" s="271"/>
      <c r="G1200" s="271"/>
      <c r="H1200" s="271"/>
      <c r="I1200" s="259"/>
    </row>
    <row r="1201" spans="1:9">
      <c r="A1201" s="195"/>
      <c r="B1201" s="233" t="s">
        <v>35514</v>
      </c>
      <c r="C1201" s="234"/>
      <c r="D1201" s="279"/>
      <c r="E1201" s="278"/>
      <c r="F1201" s="279"/>
      <c r="G1201" s="279">
        <v>3</v>
      </c>
      <c r="H1201" s="279"/>
      <c r="I1201" s="280">
        <f>G1201</f>
        <v>3</v>
      </c>
    </row>
    <row r="1202" spans="1:9">
      <c r="A1202" s="195"/>
      <c r="B1202" s="233" t="s">
        <v>35515</v>
      </c>
      <c r="C1202" s="234"/>
      <c r="D1202" s="279"/>
      <c r="E1202" s="278"/>
      <c r="F1202" s="279"/>
      <c r="G1202" s="279">
        <v>3</v>
      </c>
      <c r="H1202" s="279"/>
      <c r="I1202" s="280">
        <f t="shared" ref="I1202:I1204" si="61">G1202</f>
        <v>3</v>
      </c>
    </row>
    <row r="1203" spans="1:9">
      <c r="A1203" s="195"/>
      <c r="B1203" s="233" t="s">
        <v>35516</v>
      </c>
      <c r="C1203" s="234"/>
      <c r="D1203" s="279"/>
      <c r="E1203" s="278"/>
      <c r="F1203" s="279"/>
      <c r="G1203" s="279">
        <v>1</v>
      </c>
      <c r="H1203" s="279"/>
      <c r="I1203" s="280">
        <f t="shared" si="61"/>
        <v>1</v>
      </c>
    </row>
    <row r="1204" spans="1:9">
      <c r="A1204" s="195"/>
      <c r="B1204" s="233" t="s">
        <v>35776</v>
      </c>
      <c r="C1204" s="234"/>
      <c r="D1204" s="279"/>
      <c r="E1204" s="278"/>
      <c r="F1204" s="279"/>
      <c r="G1204" s="279">
        <v>1</v>
      </c>
      <c r="H1204" s="279"/>
      <c r="I1204" s="280">
        <f t="shared" si="61"/>
        <v>1</v>
      </c>
    </row>
    <row r="1205" spans="1:9">
      <c r="A1205" s="195"/>
      <c r="B1205" s="189"/>
      <c r="C1205" s="190"/>
      <c r="D1205" s="271"/>
      <c r="E1205" s="271"/>
      <c r="F1205" s="271"/>
      <c r="G1205" s="271"/>
      <c r="H1205" s="271"/>
      <c r="I1205" s="259"/>
    </row>
    <row r="1206" spans="1:9">
      <c r="A1206" s="135"/>
      <c r="B1206" s="170"/>
      <c r="C1206" s="136"/>
      <c r="D1206" s="275"/>
      <c r="E1206" s="275"/>
      <c r="F1206" s="275"/>
      <c r="G1206" s="276"/>
      <c r="H1206" s="276"/>
      <c r="I1206" s="277"/>
    </row>
    <row r="1207" spans="1:9">
      <c r="A1207" s="122" t="s">
        <v>35315</v>
      </c>
      <c r="B1207" s="340" t="str">
        <f>VLOOKUP(A1207,GLOBAL!A:H,4,FALSE)</f>
        <v>ABERTURA E FECHAMENTO DE RASGOS</v>
      </c>
      <c r="C1207" s="130"/>
      <c r="D1207" s="341"/>
      <c r="E1207" s="341"/>
      <c r="F1207" s="341"/>
      <c r="G1207" s="341"/>
      <c r="H1207" s="341"/>
      <c r="I1207" s="342"/>
    </row>
    <row r="1208" spans="1:9" ht="28.8">
      <c r="A1208" s="605" t="s">
        <v>35316</v>
      </c>
      <c r="B1208" s="258" t="str">
        <f>VLOOKUP(A1208,GLOBAL!A:H,4,FALSE)</f>
        <v>ABERTURA E FECHAMENTO DE RASGOS EM ALVENARIA, PARA PASSAGEM DE TUBULAÇÕES, DIÂM. 1/2" A 1"</v>
      </c>
      <c r="C1208" s="119" t="str">
        <f>VLOOKUP(A1208,GLOBAL!A:H,5,FALSE)</f>
        <v>M</v>
      </c>
      <c r="D1208" s="267" t="s">
        <v>66</v>
      </c>
      <c r="E1208" s="267" t="s">
        <v>70</v>
      </c>
      <c r="F1208" s="267" t="s">
        <v>67</v>
      </c>
      <c r="G1208" s="267" t="s">
        <v>68</v>
      </c>
      <c r="H1208" s="267" t="s">
        <v>71</v>
      </c>
      <c r="I1208" s="268">
        <f>ROUND(SUM(I1209:I1230),2)</f>
        <v>187.1</v>
      </c>
    </row>
    <row r="1209" spans="1:9">
      <c r="A1209" s="198"/>
      <c r="B1209" s="200" t="s">
        <v>2874</v>
      </c>
      <c r="C1209" s="199"/>
      <c r="D1209" s="281"/>
      <c r="E1209" s="282"/>
      <c r="F1209" s="281"/>
      <c r="G1209" s="281"/>
      <c r="H1209" s="281"/>
      <c r="I1209" s="283"/>
    </row>
    <row r="1210" spans="1:9">
      <c r="A1210" s="195"/>
      <c r="B1210" s="642" t="s">
        <v>35512</v>
      </c>
      <c r="C1210" s="234"/>
      <c r="D1210" s="641"/>
      <c r="E1210" s="641"/>
      <c r="F1210" s="279"/>
      <c r="G1210" s="279"/>
      <c r="H1210" s="279"/>
      <c r="I1210" s="280"/>
    </row>
    <row r="1211" spans="1:9">
      <c r="A1211" s="195"/>
      <c r="B1211" s="233" t="s">
        <v>35514</v>
      </c>
      <c r="C1211" s="234"/>
      <c r="D1211" s="279">
        <v>4.6500000000000004</v>
      </c>
      <c r="E1211" s="278">
        <v>4.0999999999999996</v>
      </c>
      <c r="F1211" s="279"/>
      <c r="G1211" s="279"/>
      <c r="H1211" s="279"/>
      <c r="I1211" s="280">
        <f>D1211+E1211</f>
        <v>8.75</v>
      </c>
    </row>
    <row r="1212" spans="1:9">
      <c r="A1212" s="195"/>
      <c r="B1212" s="233" t="s">
        <v>35515</v>
      </c>
      <c r="C1212" s="234"/>
      <c r="D1212" s="279">
        <v>4.6500000000000004</v>
      </c>
      <c r="E1212" s="278">
        <v>4.0999999999999996</v>
      </c>
      <c r="F1212" s="279"/>
      <c r="G1212" s="279"/>
      <c r="H1212" s="279"/>
      <c r="I1212" s="280">
        <f t="shared" ref="I1212:I1229" si="62">D1212+E1212</f>
        <v>8.75</v>
      </c>
    </row>
    <row r="1213" spans="1:9">
      <c r="A1213" s="195"/>
      <c r="B1213" s="233" t="s">
        <v>35516</v>
      </c>
      <c r="C1213" s="234"/>
      <c r="D1213" s="279">
        <v>2</v>
      </c>
      <c r="E1213" s="278">
        <v>2.1</v>
      </c>
      <c r="F1213" s="279"/>
      <c r="G1213" s="279"/>
      <c r="H1213" s="279"/>
      <c r="I1213" s="280">
        <f t="shared" si="62"/>
        <v>4.0999999999999996</v>
      </c>
    </row>
    <row r="1214" spans="1:9">
      <c r="A1214" s="195"/>
      <c r="B1214" s="233" t="s">
        <v>35518</v>
      </c>
      <c r="C1214" s="234"/>
      <c r="D1214" s="279">
        <v>1.8</v>
      </c>
      <c r="E1214" s="278">
        <v>2.4</v>
      </c>
      <c r="F1214" s="279"/>
      <c r="G1214" s="279"/>
      <c r="H1214" s="279"/>
      <c r="I1214" s="280">
        <f t="shared" si="62"/>
        <v>4.2</v>
      </c>
    </row>
    <row r="1215" spans="1:9">
      <c r="A1215" s="195"/>
      <c r="B1215" s="233" t="s">
        <v>35504</v>
      </c>
      <c r="C1215" s="234"/>
      <c r="D1215" s="279">
        <v>9.35</v>
      </c>
      <c r="E1215" s="278">
        <v>4.3499999999999996</v>
      </c>
      <c r="F1215" s="279"/>
      <c r="G1215" s="279"/>
      <c r="H1215" s="279"/>
      <c r="I1215" s="280">
        <f t="shared" si="62"/>
        <v>13.7</v>
      </c>
    </row>
    <row r="1216" spans="1:9">
      <c r="A1216" s="195"/>
      <c r="B1216" s="233" t="s">
        <v>35519</v>
      </c>
      <c r="C1216" s="234"/>
      <c r="D1216" s="279">
        <v>3.45</v>
      </c>
      <c r="E1216" s="278">
        <v>2.4</v>
      </c>
      <c r="F1216" s="279"/>
      <c r="G1216" s="279"/>
      <c r="H1216" s="279"/>
      <c r="I1216" s="280">
        <f t="shared" si="62"/>
        <v>5.85</v>
      </c>
    </row>
    <row r="1217" spans="1:9">
      <c r="A1217" s="195"/>
      <c r="B1217" s="233" t="s">
        <v>35522</v>
      </c>
      <c r="C1217" s="234"/>
      <c r="D1217" s="279">
        <v>1.5</v>
      </c>
      <c r="E1217" s="278">
        <v>4.3499999999999996</v>
      </c>
      <c r="F1217" s="279"/>
      <c r="G1217" s="279"/>
      <c r="H1217" s="279"/>
      <c r="I1217" s="280">
        <f t="shared" si="62"/>
        <v>5.85</v>
      </c>
    </row>
    <row r="1218" spans="1:9">
      <c r="A1218" s="195"/>
      <c r="B1218" s="233" t="s">
        <v>35523</v>
      </c>
      <c r="C1218" s="234"/>
      <c r="D1218" s="279">
        <v>4.6500000000000004</v>
      </c>
      <c r="E1218" s="278">
        <v>4.0999999999999996</v>
      </c>
      <c r="F1218" s="279"/>
      <c r="G1218" s="279"/>
      <c r="H1218" s="279"/>
      <c r="I1218" s="280">
        <f t="shared" si="62"/>
        <v>8.75</v>
      </c>
    </row>
    <row r="1219" spans="1:9">
      <c r="A1219" s="195"/>
      <c r="B1219" s="233" t="s">
        <v>35524</v>
      </c>
      <c r="C1219" s="234"/>
      <c r="D1219" s="279">
        <v>4.6500000000000004</v>
      </c>
      <c r="E1219" s="278">
        <v>4.0999999999999996</v>
      </c>
      <c r="F1219" s="279"/>
      <c r="G1219" s="279"/>
      <c r="H1219" s="279"/>
      <c r="I1219" s="280">
        <f t="shared" si="62"/>
        <v>8.75</v>
      </c>
    </row>
    <row r="1220" spans="1:9">
      <c r="A1220" s="195"/>
      <c r="B1220" s="233" t="s">
        <v>35545</v>
      </c>
      <c r="C1220" s="234"/>
      <c r="D1220" s="279">
        <v>2</v>
      </c>
      <c r="E1220" s="278">
        <v>2.1</v>
      </c>
      <c r="F1220" s="279"/>
      <c r="G1220" s="279"/>
      <c r="H1220" s="279"/>
      <c r="I1220" s="280">
        <f t="shared" si="62"/>
        <v>4.0999999999999996</v>
      </c>
    </row>
    <row r="1221" spans="1:9">
      <c r="A1221" s="195"/>
      <c r="B1221" s="233" t="s">
        <v>35527</v>
      </c>
      <c r="C1221" s="234"/>
      <c r="D1221" s="279">
        <v>4.6500000000000004</v>
      </c>
      <c r="E1221" s="278">
        <v>4.0999999999999996</v>
      </c>
      <c r="F1221" s="279"/>
      <c r="G1221" s="279"/>
      <c r="H1221" s="279"/>
      <c r="I1221" s="280">
        <f t="shared" si="62"/>
        <v>8.75</v>
      </c>
    </row>
    <row r="1222" spans="1:9">
      <c r="A1222" s="195"/>
      <c r="B1222" s="233" t="s">
        <v>35528</v>
      </c>
      <c r="C1222" s="234"/>
      <c r="D1222" s="279">
        <v>4.6500000000000004</v>
      </c>
      <c r="E1222" s="278">
        <v>4.0999999999999996</v>
      </c>
      <c r="F1222" s="279"/>
      <c r="G1222" s="279"/>
      <c r="H1222" s="279"/>
      <c r="I1222" s="280">
        <f t="shared" si="62"/>
        <v>8.75</v>
      </c>
    </row>
    <row r="1223" spans="1:9">
      <c r="A1223" s="195"/>
      <c r="B1223" s="233" t="s">
        <v>35529</v>
      </c>
      <c r="C1223" s="234"/>
      <c r="D1223" s="279">
        <v>2</v>
      </c>
      <c r="E1223" s="278">
        <v>2.1</v>
      </c>
      <c r="F1223" s="279"/>
      <c r="G1223" s="279"/>
      <c r="H1223" s="279"/>
      <c r="I1223" s="280">
        <f t="shared" si="62"/>
        <v>4.0999999999999996</v>
      </c>
    </row>
    <row r="1224" spans="1:9">
      <c r="A1224" s="195"/>
      <c r="B1224" s="233" t="s">
        <v>35546</v>
      </c>
      <c r="C1224" s="234"/>
      <c r="D1224" s="279">
        <v>35.299999999999997</v>
      </c>
      <c r="E1224" s="278">
        <v>25.3</v>
      </c>
      <c r="F1224" s="279"/>
      <c r="G1224" s="279"/>
      <c r="H1224" s="279"/>
      <c r="I1224" s="280">
        <f t="shared" si="62"/>
        <v>60.599999999999994</v>
      </c>
    </row>
    <row r="1225" spans="1:9">
      <c r="A1225" s="195"/>
      <c r="B1225" s="189" t="s">
        <v>35654</v>
      </c>
      <c r="C1225" s="190"/>
      <c r="D1225" s="271"/>
      <c r="E1225" s="271"/>
      <c r="F1225" s="271"/>
      <c r="G1225" s="271"/>
      <c r="H1225" s="271"/>
      <c r="I1225" s="280">
        <f t="shared" si="62"/>
        <v>0</v>
      </c>
    </row>
    <row r="1226" spans="1:9">
      <c r="A1226" s="195"/>
      <c r="B1226" s="233" t="s">
        <v>35514</v>
      </c>
      <c r="C1226" s="234"/>
      <c r="D1226" s="279">
        <v>1.5</v>
      </c>
      <c r="E1226" s="278">
        <v>4.3499999999999996</v>
      </c>
      <c r="F1226" s="279"/>
      <c r="G1226" s="279"/>
      <c r="H1226" s="279"/>
      <c r="I1226" s="280">
        <f t="shared" si="62"/>
        <v>5.85</v>
      </c>
    </row>
    <row r="1227" spans="1:9">
      <c r="A1227" s="195"/>
      <c r="B1227" s="233" t="s">
        <v>35515</v>
      </c>
      <c r="C1227" s="234"/>
      <c r="D1227" s="279">
        <v>4.6500000000000004</v>
      </c>
      <c r="E1227" s="278">
        <v>4.0999999999999996</v>
      </c>
      <c r="F1227" s="279"/>
      <c r="G1227" s="279"/>
      <c r="H1227" s="279"/>
      <c r="I1227" s="280">
        <f t="shared" si="62"/>
        <v>8.75</v>
      </c>
    </row>
    <row r="1228" spans="1:9">
      <c r="A1228" s="195"/>
      <c r="B1228" s="233" t="s">
        <v>35516</v>
      </c>
      <c r="C1228" s="234"/>
      <c r="D1228" s="279">
        <v>4.6500000000000004</v>
      </c>
      <c r="E1228" s="278">
        <v>4.0999999999999996</v>
      </c>
      <c r="F1228" s="279"/>
      <c r="G1228" s="279"/>
      <c r="H1228" s="279"/>
      <c r="I1228" s="280">
        <f t="shared" si="62"/>
        <v>8.75</v>
      </c>
    </row>
    <row r="1229" spans="1:9">
      <c r="A1229" s="195"/>
      <c r="B1229" s="233" t="s">
        <v>35776</v>
      </c>
      <c r="C1229" s="234"/>
      <c r="D1229" s="279">
        <v>4.6500000000000004</v>
      </c>
      <c r="E1229" s="278">
        <v>4.0999999999999996</v>
      </c>
      <c r="F1229" s="279"/>
      <c r="G1229" s="279"/>
      <c r="H1229" s="279"/>
      <c r="I1229" s="280">
        <f t="shared" si="62"/>
        <v>8.75</v>
      </c>
    </row>
    <row r="1230" spans="1:9">
      <c r="A1230" s="195"/>
      <c r="B1230" s="189"/>
      <c r="C1230" s="190"/>
      <c r="D1230" s="279"/>
      <c r="E1230" s="278"/>
      <c r="F1230" s="271"/>
      <c r="G1230" s="271"/>
      <c r="H1230" s="271"/>
      <c r="I1230" s="259"/>
    </row>
    <row r="1231" spans="1:9">
      <c r="A1231" s="135"/>
      <c r="B1231" s="170"/>
      <c r="C1231" s="136"/>
      <c r="D1231" s="275"/>
      <c r="E1231" s="275"/>
      <c r="F1231" s="275"/>
      <c r="G1231" s="276"/>
      <c r="H1231" s="276"/>
      <c r="I1231" s="277"/>
    </row>
    <row r="1232" spans="1:9" ht="28.8">
      <c r="A1232" s="605" t="s">
        <v>35317</v>
      </c>
      <c r="B1232" s="258" t="str">
        <f>VLOOKUP(A1232,GLOBAL!A:H,4,FALSE)</f>
        <v>ABERTURA E FECHAMENTO DE RASGOS EM ALVENARIA, PARA PASSAGEM DE TUBULAÇÕES, DIÂM. 11/4" A 2"</v>
      </c>
      <c r="C1232" s="119" t="str">
        <f>VLOOKUP(A1232,GLOBAL!A:H,5,FALSE)</f>
        <v>M</v>
      </c>
      <c r="D1232" s="267" t="s">
        <v>66</v>
      </c>
      <c r="E1232" s="267" t="s">
        <v>70</v>
      </c>
      <c r="F1232" s="267" t="s">
        <v>67</v>
      </c>
      <c r="G1232" s="267" t="s">
        <v>68</v>
      </c>
      <c r="H1232" s="267" t="s">
        <v>71</v>
      </c>
      <c r="I1232" s="268">
        <f>ROUND(SUM(I1233:I1249),2)</f>
        <v>42</v>
      </c>
    </row>
    <row r="1233" spans="1:9">
      <c r="A1233" s="198"/>
      <c r="B1233" s="200" t="s">
        <v>2874</v>
      </c>
      <c r="C1233" s="199"/>
      <c r="D1233" s="281"/>
      <c r="E1233" s="282"/>
      <c r="F1233" s="281"/>
      <c r="G1233" s="281"/>
      <c r="H1233" s="281"/>
      <c r="I1233" s="283"/>
    </row>
    <row r="1234" spans="1:9">
      <c r="A1234" s="195"/>
      <c r="B1234" s="642" t="s">
        <v>35512</v>
      </c>
      <c r="C1234" s="234"/>
      <c r="D1234" s="641"/>
      <c r="E1234" s="641"/>
      <c r="F1234" s="279"/>
      <c r="G1234" s="279"/>
      <c r="H1234" s="279"/>
      <c r="I1234" s="280"/>
    </row>
    <row r="1235" spans="1:9">
      <c r="A1235" s="195"/>
      <c r="B1235" s="233" t="s">
        <v>35514</v>
      </c>
      <c r="C1235" s="234"/>
      <c r="D1235" s="279">
        <v>4.6500000000000004</v>
      </c>
      <c r="E1235" s="278">
        <v>4.0999999999999996</v>
      </c>
      <c r="F1235" s="279">
        <v>3</v>
      </c>
      <c r="G1235" s="279"/>
      <c r="H1235" s="279"/>
      <c r="I1235" s="280">
        <f>F1235</f>
        <v>3</v>
      </c>
    </row>
    <row r="1236" spans="1:9">
      <c r="A1236" s="195"/>
      <c r="B1236" s="233" t="s">
        <v>35515</v>
      </c>
      <c r="C1236" s="234"/>
      <c r="D1236" s="279">
        <v>4.6500000000000004</v>
      </c>
      <c r="E1236" s="278">
        <v>4.0999999999999996</v>
      </c>
      <c r="F1236" s="279">
        <v>3</v>
      </c>
      <c r="G1236" s="279"/>
      <c r="H1236" s="279"/>
      <c r="I1236" s="280">
        <f t="shared" ref="I1236:I1248" si="63">F1236</f>
        <v>3</v>
      </c>
    </row>
    <row r="1237" spans="1:9">
      <c r="A1237" s="195"/>
      <c r="B1237" s="233" t="s">
        <v>35516</v>
      </c>
      <c r="C1237" s="234"/>
      <c r="D1237" s="279">
        <v>2</v>
      </c>
      <c r="E1237" s="278">
        <v>2.1</v>
      </c>
      <c r="F1237" s="279">
        <v>3</v>
      </c>
      <c r="G1237" s="279"/>
      <c r="H1237" s="279"/>
      <c r="I1237" s="280">
        <f t="shared" si="63"/>
        <v>3</v>
      </c>
    </row>
    <row r="1238" spans="1:9">
      <c r="A1238" s="195"/>
      <c r="B1238" s="233" t="s">
        <v>35518</v>
      </c>
      <c r="C1238" s="234"/>
      <c r="D1238" s="279">
        <v>1.8</v>
      </c>
      <c r="E1238" s="278">
        <v>2.4</v>
      </c>
      <c r="F1238" s="279">
        <v>3</v>
      </c>
      <c r="G1238" s="279"/>
      <c r="H1238" s="279"/>
      <c r="I1238" s="280">
        <f t="shared" si="63"/>
        <v>3</v>
      </c>
    </row>
    <row r="1239" spans="1:9">
      <c r="A1239" s="195"/>
      <c r="B1239" s="233" t="s">
        <v>35504</v>
      </c>
      <c r="C1239" s="234"/>
      <c r="D1239" s="279">
        <v>9.35</v>
      </c>
      <c r="E1239" s="278">
        <v>4.3499999999999996</v>
      </c>
      <c r="F1239" s="279">
        <v>3</v>
      </c>
      <c r="G1239" s="279"/>
      <c r="H1239" s="279"/>
      <c r="I1239" s="280">
        <f t="shared" si="63"/>
        <v>3</v>
      </c>
    </row>
    <row r="1240" spans="1:9">
      <c r="A1240" s="195"/>
      <c r="B1240" s="233" t="s">
        <v>35519</v>
      </c>
      <c r="C1240" s="234"/>
      <c r="D1240" s="279">
        <v>3.45</v>
      </c>
      <c r="E1240" s="278">
        <v>2.4</v>
      </c>
      <c r="F1240" s="279">
        <v>3</v>
      </c>
      <c r="G1240" s="279"/>
      <c r="H1240" s="279"/>
      <c r="I1240" s="280">
        <f t="shared" si="63"/>
        <v>3</v>
      </c>
    </row>
    <row r="1241" spans="1:9">
      <c r="A1241" s="195"/>
      <c r="B1241" s="233" t="s">
        <v>35522</v>
      </c>
      <c r="C1241" s="234"/>
      <c r="D1241" s="279">
        <v>1.5</v>
      </c>
      <c r="E1241" s="278">
        <v>4.3499999999999996</v>
      </c>
      <c r="F1241" s="279">
        <v>3</v>
      </c>
      <c r="G1241" s="279"/>
      <c r="H1241" s="279"/>
      <c r="I1241" s="280">
        <f t="shared" si="63"/>
        <v>3</v>
      </c>
    </row>
    <row r="1242" spans="1:9">
      <c r="A1242" s="195"/>
      <c r="B1242" s="233" t="s">
        <v>35523</v>
      </c>
      <c r="C1242" s="234"/>
      <c r="D1242" s="279">
        <v>4.6500000000000004</v>
      </c>
      <c r="E1242" s="278">
        <v>4.0999999999999996</v>
      </c>
      <c r="F1242" s="279">
        <v>3</v>
      </c>
      <c r="G1242" s="279"/>
      <c r="H1242" s="279"/>
      <c r="I1242" s="280">
        <f t="shared" si="63"/>
        <v>3</v>
      </c>
    </row>
    <row r="1243" spans="1:9">
      <c r="A1243" s="195"/>
      <c r="B1243" s="233" t="s">
        <v>35524</v>
      </c>
      <c r="C1243" s="234"/>
      <c r="D1243" s="279">
        <v>4.6500000000000004</v>
      </c>
      <c r="E1243" s="278">
        <v>4.0999999999999996</v>
      </c>
      <c r="F1243" s="279">
        <v>3</v>
      </c>
      <c r="G1243" s="279"/>
      <c r="H1243" s="279"/>
      <c r="I1243" s="280">
        <f t="shared" si="63"/>
        <v>3</v>
      </c>
    </row>
    <row r="1244" spans="1:9">
      <c r="A1244" s="195"/>
      <c r="B1244" s="233" t="s">
        <v>35545</v>
      </c>
      <c r="C1244" s="234"/>
      <c r="D1244" s="279">
        <v>2</v>
      </c>
      <c r="E1244" s="278">
        <v>2.1</v>
      </c>
      <c r="F1244" s="279">
        <v>3</v>
      </c>
      <c r="G1244" s="279"/>
      <c r="H1244" s="279"/>
      <c r="I1244" s="280">
        <f t="shared" si="63"/>
        <v>3</v>
      </c>
    </row>
    <row r="1245" spans="1:9">
      <c r="A1245" s="195"/>
      <c r="B1245" s="233" t="s">
        <v>35527</v>
      </c>
      <c r="C1245" s="234"/>
      <c r="D1245" s="279">
        <v>4.6500000000000004</v>
      </c>
      <c r="E1245" s="278">
        <v>4.0999999999999996</v>
      </c>
      <c r="F1245" s="279">
        <v>3</v>
      </c>
      <c r="G1245" s="279"/>
      <c r="H1245" s="279"/>
      <c r="I1245" s="280">
        <f t="shared" si="63"/>
        <v>3</v>
      </c>
    </row>
    <row r="1246" spans="1:9">
      <c r="A1246" s="195"/>
      <c r="B1246" s="233" t="s">
        <v>35528</v>
      </c>
      <c r="C1246" s="234"/>
      <c r="D1246" s="279">
        <v>4.6500000000000004</v>
      </c>
      <c r="E1246" s="278">
        <v>4.0999999999999996</v>
      </c>
      <c r="F1246" s="279">
        <v>3</v>
      </c>
      <c r="G1246" s="279"/>
      <c r="H1246" s="279"/>
      <c r="I1246" s="280">
        <f t="shared" si="63"/>
        <v>3</v>
      </c>
    </row>
    <row r="1247" spans="1:9">
      <c r="A1247" s="195"/>
      <c r="B1247" s="233" t="s">
        <v>35529</v>
      </c>
      <c r="C1247" s="234"/>
      <c r="D1247" s="279">
        <v>2</v>
      </c>
      <c r="E1247" s="278">
        <v>2.1</v>
      </c>
      <c r="F1247" s="279">
        <v>3</v>
      </c>
      <c r="G1247" s="279"/>
      <c r="H1247" s="279"/>
      <c r="I1247" s="280">
        <f t="shared" si="63"/>
        <v>3</v>
      </c>
    </row>
    <row r="1248" spans="1:9">
      <c r="A1248" s="195"/>
      <c r="B1248" s="233" t="s">
        <v>35546</v>
      </c>
      <c r="C1248" s="234"/>
      <c r="D1248" s="279">
        <v>35.299999999999997</v>
      </c>
      <c r="E1248" s="278">
        <v>25.3</v>
      </c>
      <c r="F1248" s="279">
        <v>3</v>
      </c>
      <c r="G1248" s="279"/>
      <c r="H1248" s="279"/>
      <c r="I1248" s="280">
        <f t="shared" si="63"/>
        <v>3</v>
      </c>
    </row>
    <row r="1249" spans="1:9">
      <c r="A1249" s="195"/>
      <c r="B1249" s="189"/>
      <c r="C1249" s="190"/>
      <c r="D1249" s="279"/>
      <c r="E1249" s="278"/>
      <c r="F1249" s="271"/>
      <c r="G1249" s="271"/>
      <c r="H1249" s="271"/>
      <c r="I1249" s="259"/>
    </row>
    <row r="1250" spans="1:9">
      <c r="A1250" s="135"/>
      <c r="B1250" s="170"/>
      <c r="C1250" s="136"/>
      <c r="D1250" s="275"/>
      <c r="E1250" s="275"/>
      <c r="F1250" s="275"/>
      <c r="G1250" s="276"/>
      <c r="H1250" s="276"/>
      <c r="I1250" s="277"/>
    </row>
    <row r="1251" spans="1:9" ht="28.8">
      <c r="A1251" s="605" t="s">
        <v>35318</v>
      </c>
      <c r="B1251" s="258" t="str">
        <f>VLOOKUP(A1251,GLOBAL!A:H,4,FALSE)</f>
        <v>ABERTURA E FECHAMENTO DE RASGOS EM CONCRETO, PARA PASSAGEM DE TUBULAÇÕES, DIÂM. 1/2" A 1"</v>
      </c>
      <c r="C1251" s="119" t="str">
        <f>VLOOKUP(A1251,GLOBAL!A:H,5,FALSE)</f>
        <v>M</v>
      </c>
      <c r="D1251" s="267" t="s">
        <v>66</v>
      </c>
      <c r="E1251" s="267" t="s">
        <v>70</v>
      </c>
      <c r="F1251" s="267" t="s">
        <v>67</v>
      </c>
      <c r="G1251" s="267" t="s">
        <v>68</v>
      </c>
      <c r="H1251" s="267" t="s">
        <v>71</v>
      </c>
      <c r="I1251" s="268">
        <f>ROUND(SUM(I1252:I1268),2)</f>
        <v>42</v>
      </c>
    </row>
    <row r="1252" spans="1:9">
      <c r="A1252" s="198"/>
      <c r="B1252" s="200" t="s">
        <v>2874</v>
      </c>
      <c r="C1252" s="199"/>
      <c r="D1252" s="281"/>
      <c r="E1252" s="282"/>
      <c r="F1252" s="281"/>
      <c r="G1252" s="281"/>
      <c r="H1252" s="281"/>
      <c r="I1252" s="283"/>
    </row>
    <row r="1253" spans="1:9">
      <c r="A1253" s="195"/>
      <c r="B1253" s="642" t="s">
        <v>35512</v>
      </c>
      <c r="C1253" s="234"/>
      <c r="D1253" s="641"/>
      <c r="E1253" s="641"/>
      <c r="F1253" s="279"/>
      <c r="G1253" s="279"/>
      <c r="H1253" s="279"/>
      <c r="I1253" s="280"/>
    </row>
    <row r="1254" spans="1:9">
      <c r="A1254" s="195"/>
      <c r="B1254" s="233" t="s">
        <v>35514</v>
      </c>
      <c r="C1254" s="234"/>
      <c r="D1254" s="279">
        <v>4.6500000000000004</v>
      </c>
      <c r="E1254" s="278">
        <v>4.0999999999999996</v>
      </c>
      <c r="F1254" s="279">
        <v>3</v>
      </c>
      <c r="G1254" s="279"/>
      <c r="H1254" s="279"/>
      <c r="I1254" s="280">
        <f>F1254</f>
        <v>3</v>
      </c>
    </row>
    <row r="1255" spans="1:9">
      <c r="A1255" s="195"/>
      <c r="B1255" s="233" t="s">
        <v>35515</v>
      </c>
      <c r="C1255" s="234"/>
      <c r="D1255" s="279">
        <v>4.6500000000000004</v>
      </c>
      <c r="E1255" s="278">
        <v>4.0999999999999996</v>
      </c>
      <c r="F1255" s="279">
        <v>3</v>
      </c>
      <c r="G1255" s="279"/>
      <c r="H1255" s="279"/>
      <c r="I1255" s="280">
        <f t="shared" ref="I1255:I1267" si="64">F1255</f>
        <v>3</v>
      </c>
    </row>
    <row r="1256" spans="1:9">
      <c r="A1256" s="195"/>
      <c r="B1256" s="233" t="s">
        <v>35516</v>
      </c>
      <c r="C1256" s="234"/>
      <c r="D1256" s="279">
        <v>2</v>
      </c>
      <c r="E1256" s="278">
        <v>2.1</v>
      </c>
      <c r="F1256" s="279">
        <v>3</v>
      </c>
      <c r="G1256" s="279"/>
      <c r="H1256" s="279"/>
      <c r="I1256" s="280">
        <f t="shared" si="64"/>
        <v>3</v>
      </c>
    </row>
    <row r="1257" spans="1:9">
      <c r="A1257" s="195"/>
      <c r="B1257" s="233" t="s">
        <v>35518</v>
      </c>
      <c r="C1257" s="234"/>
      <c r="D1257" s="279">
        <v>1.8</v>
      </c>
      <c r="E1257" s="278">
        <v>2.4</v>
      </c>
      <c r="F1257" s="279">
        <v>3</v>
      </c>
      <c r="G1257" s="279"/>
      <c r="H1257" s="279"/>
      <c r="I1257" s="280">
        <f t="shared" si="64"/>
        <v>3</v>
      </c>
    </row>
    <row r="1258" spans="1:9">
      <c r="A1258" s="195"/>
      <c r="B1258" s="233" t="s">
        <v>35504</v>
      </c>
      <c r="C1258" s="234"/>
      <c r="D1258" s="279">
        <v>9.35</v>
      </c>
      <c r="E1258" s="278">
        <v>4.3499999999999996</v>
      </c>
      <c r="F1258" s="279">
        <v>3</v>
      </c>
      <c r="G1258" s="279"/>
      <c r="H1258" s="279"/>
      <c r="I1258" s="280">
        <f t="shared" si="64"/>
        <v>3</v>
      </c>
    </row>
    <row r="1259" spans="1:9">
      <c r="A1259" s="195"/>
      <c r="B1259" s="233" t="s">
        <v>35519</v>
      </c>
      <c r="C1259" s="234"/>
      <c r="D1259" s="279">
        <v>3.45</v>
      </c>
      <c r="E1259" s="278">
        <v>2.4</v>
      </c>
      <c r="F1259" s="279">
        <v>3</v>
      </c>
      <c r="G1259" s="279"/>
      <c r="H1259" s="279"/>
      <c r="I1259" s="280">
        <f t="shared" si="64"/>
        <v>3</v>
      </c>
    </row>
    <row r="1260" spans="1:9">
      <c r="A1260" s="195"/>
      <c r="B1260" s="233" t="s">
        <v>35522</v>
      </c>
      <c r="C1260" s="234"/>
      <c r="D1260" s="279">
        <v>1.5</v>
      </c>
      <c r="E1260" s="278">
        <v>4.3499999999999996</v>
      </c>
      <c r="F1260" s="279">
        <v>3</v>
      </c>
      <c r="G1260" s="279"/>
      <c r="H1260" s="279"/>
      <c r="I1260" s="280">
        <f t="shared" si="64"/>
        <v>3</v>
      </c>
    </row>
    <row r="1261" spans="1:9">
      <c r="A1261" s="195"/>
      <c r="B1261" s="233" t="s">
        <v>35523</v>
      </c>
      <c r="C1261" s="234"/>
      <c r="D1261" s="279">
        <v>4.6500000000000004</v>
      </c>
      <c r="E1261" s="278">
        <v>4.0999999999999996</v>
      </c>
      <c r="F1261" s="279">
        <v>3</v>
      </c>
      <c r="G1261" s="279"/>
      <c r="H1261" s="279"/>
      <c r="I1261" s="280">
        <f t="shared" si="64"/>
        <v>3</v>
      </c>
    </row>
    <row r="1262" spans="1:9">
      <c r="A1262" s="195"/>
      <c r="B1262" s="233" t="s">
        <v>35524</v>
      </c>
      <c r="C1262" s="234"/>
      <c r="D1262" s="279">
        <v>4.6500000000000004</v>
      </c>
      <c r="E1262" s="278">
        <v>4.0999999999999996</v>
      </c>
      <c r="F1262" s="279">
        <v>3</v>
      </c>
      <c r="G1262" s="279"/>
      <c r="H1262" s="279"/>
      <c r="I1262" s="280">
        <f t="shared" si="64"/>
        <v>3</v>
      </c>
    </row>
    <row r="1263" spans="1:9">
      <c r="A1263" s="195"/>
      <c r="B1263" s="233" t="s">
        <v>35545</v>
      </c>
      <c r="C1263" s="234"/>
      <c r="D1263" s="279">
        <v>2</v>
      </c>
      <c r="E1263" s="278">
        <v>2.1</v>
      </c>
      <c r="F1263" s="279">
        <v>3</v>
      </c>
      <c r="G1263" s="279"/>
      <c r="H1263" s="279"/>
      <c r="I1263" s="280">
        <f t="shared" si="64"/>
        <v>3</v>
      </c>
    </row>
    <row r="1264" spans="1:9">
      <c r="A1264" s="195"/>
      <c r="B1264" s="233" t="s">
        <v>35527</v>
      </c>
      <c r="C1264" s="234"/>
      <c r="D1264" s="279">
        <v>4.6500000000000004</v>
      </c>
      <c r="E1264" s="278">
        <v>4.0999999999999996</v>
      </c>
      <c r="F1264" s="279">
        <v>3</v>
      </c>
      <c r="G1264" s="279"/>
      <c r="H1264" s="279"/>
      <c r="I1264" s="280">
        <f t="shared" si="64"/>
        <v>3</v>
      </c>
    </row>
    <row r="1265" spans="1:9">
      <c r="A1265" s="195"/>
      <c r="B1265" s="233" t="s">
        <v>35528</v>
      </c>
      <c r="C1265" s="234"/>
      <c r="D1265" s="279">
        <v>4.6500000000000004</v>
      </c>
      <c r="E1265" s="278">
        <v>4.0999999999999996</v>
      </c>
      <c r="F1265" s="279">
        <v>3</v>
      </c>
      <c r="G1265" s="279"/>
      <c r="H1265" s="279"/>
      <c r="I1265" s="280">
        <f t="shared" si="64"/>
        <v>3</v>
      </c>
    </row>
    <row r="1266" spans="1:9">
      <c r="A1266" s="195"/>
      <c r="B1266" s="233" t="s">
        <v>35529</v>
      </c>
      <c r="C1266" s="234"/>
      <c r="D1266" s="279">
        <v>2</v>
      </c>
      <c r="E1266" s="278">
        <v>2.1</v>
      </c>
      <c r="F1266" s="279">
        <v>3</v>
      </c>
      <c r="G1266" s="279"/>
      <c r="H1266" s="279"/>
      <c r="I1266" s="280">
        <f t="shared" si="64"/>
        <v>3</v>
      </c>
    </row>
    <row r="1267" spans="1:9">
      <c r="A1267" s="195"/>
      <c r="B1267" s="233" t="s">
        <v>35546</v>
      </c>
      <c r="C1267" s="234"/>
      <c r="D1267" s="279">
        <v>35.299999999999997</v>
      </c>
      <c r="E1267" s="278">
        <v>25.3</v>
      </c>
      <c r="F1267" s="279">
        <v>3</v>
      </c>
      <c r="G1267" s="279"/>
      <c r="H1267" s="279"/>
      <c r="I1267" s="280">
        <f t="shared" si="64"/>
        <v>3</v>
      </c>
    </row>
    <row r="1268" spans="1:9">
      <c r="A1268" s="195"/>
      <c r="B1268" s="189"/>
      <c r="C1268" s="190"/>
      <c r="D1268" s="279"/>
      <c r="E1268" s="278"/>
      <c r="F1268" s="271"/>
      <c r="G1268" s="271"/>
      <c r="H1268" s="271"/>
      <c r="I1268" s="259"/>
    </row>
    <row r="1269" spans="1:9">
      <c r="A1269" s="135"/>
      <c r="B1269" s="170"/>
      <c r="C1269" s="136"/>
      <c r="D1269" s="275"/>
      <c r="E1269" s="275"/>
      <c r="F1269" s="275"/>
      <c r="G1269" s="276"/>
      <c r="H1269" s="276"/>
      <c r="I1269" s="277"/>
    </row>
    <row r="1270" spans="1:9" ht="28.8">
      <c r="A1270" s="605" t="s">
        <v>35319</v>
      </c>
      <c r="B1270" s="258" t="str">
        <f>VLOOKUP(A1270,GLOBAL!A:H,4,FALSE)</f>
        <v>ABERTURA E FECHAMENTO DE RASGOS EM CONCRETO, PARA PASSAGEM DE TUBULAÇÕES, DIÂM. 11/4" A 2"</v>
      </c>
      <c r="C1270" s="119" t="str">
        <f>VLOOKUP(A1270,GLOBAL!A:H,5,FALSE)</f>
        <v>M</v>
      </c>
      <c r="D1270" s="267" t="s">
        <v>66</v>
      </c>
      <c r="E1270" s="267" t="s">
        <v>70</v>
      </c>
      <c r="F1270" s="267" t="s">
        <v>67</v>
      </c>
      <c r="G1270" s="267" t="s">
        <v>68</v>
      </c>
      <c r="H1270" s="267" t="s">
        <v>71</v>
      </c>
      <c r="I1270" s="268">
        <f>ROUND(SUM(I1271:I1287),2)</f>
        <v>42</v>
      </c>
    </row>
    <row r="1271" spans="1:9">
      <c r="A1271" s="198"/>
      <c r="B1271" s="200" t="s">
        <v>2874</v>
      </c>
      <c r="C1271" s="199"/>
      <c r="D1271" s="281"/>
      <c r="E1271" s="282"/>
      <c r="F1271" s="281"/>
      <c r="G1271" s="281"/>
      <c r="H1271" s="281"/>
      <c r="I1271" s="283"/>
    </row>
    <row r="1272" spans="1:9">
      <c r="A1272" s="195"/>
      <c r="B1272" s="642" t="s">
        <v>35512</v>
      </c>
      <c r="C1272" s="234"/>
      <c r="D1272" s="641"/>
      <c r="E1272" s="641"/>
      <c r="F1272" s="279"/>
      <c r="G1272" s="279"/>
      <c r="H1272" s="279"/>
      <c r="I1272" s="280"/>
    </row>
    <row r="1273" spans="1:9">
      <c r="A1273" s="195"/>
      <c r="B1273" s="233" t="s">
        <v>35514</v>
      </c>
      <c r="C1273" s="234"/>
      <c r="D1273" s="279">
        <v>4.6500000000000004</v>
      </c>
      <c r="E1273" s="278">
        <v>4.0999999999999996</v>
      </c>
      <c r="F1273" s="279">
        <v>3</v>
      </c>
      <c r="G1273" s="279"/>
      <c r="H1273" s="279"/>
      <c r="I1273" s="280">
        <f>F1273</f>
        <v>3</v>
      </c>
    </row>
    <row r="1274" spans="1:9">
      <c r="A1274" s="195"/>
      <c r="B1274" s="233" t="s">
        <v>35515</v>
      </c>
      <c r="C1274" s="234"/>
      <c r="D1274" s="279">
        <v>4.6500000000000004</v>
      </c>
      <c r="E1274" s="278">
        <v>4.0999999999999996</v>
      </c>
      <c r="F1274" s="279">
        <v>3</v>
      </c>
      <c r="G1274" s="279"/>
      <c r="H1274" s="279"/>
      <c r="I1274" s="280">
        <f t="shared" ref="I1274:I1286" si="65">F1274</f>
        <v>3</v>
      </c>
    </row>
    <row r="1275" spans="1:9">
      <c r="A1275" s="195"/>
      <c r="B1275" s="233" t="s">
        <v>35516</v>
      </c>
      <c r="C1275" s="234"/>
      <c r="D1275" s="279">
        <v>2</v>
      </c>
      <c r="E1275" s="278">
        <v>2.1</v>
      </c>
      <c r="F1275" s="279">
        <v>3</v>
      </c>
      <c r="G1275" s="279"/>
      <c r="H1275" s="279"/>
      <c r="I1275" s="280">
        <f t="shared" si="65"/>
        <v>3</v>
      </c>
    </row>
    <row r="1276" spans="1:9">
      <c r="A1276" s="195"/>
      <c r="B1276" s="233" t="s">
        <v>35518</v>
      </c>
      <c r="C1276" s="234"/>
      <c r="D1276" s="279">
        <v>1.8</v>
      </c>
      <c r="E1276" s="278">
        <v>2.4</v>
      </c>
      <c r="F1276" s="279">
        <v>3</v>
      </c>
      <c r="G1276" s="279"/>
      <c r="H1276" s="279"/>
      <c r="I1276" s="280">
        <f t="shared" si="65"/>
        <v>3</v>
      </c>
    </row>
    <row r="1277" spans="1:9">
      <c r="A1277" s="195"/>
      <c r="B1277" s="233" t="s">
        <v>35504</v>
      </c>
      <c r="C1277" s="234"/>
      <c r="D1277" s="279">
        <v>9.35</v>
      </c>
      <c r="E1277" s="278">
        <v>4.3499999999999996</v>
      </c>
      <c r="F1277" s="279">
        <v>3</v>
      </c>
      <c r="G1277" s="279"/>
      <c r="H1277" s="279"/>
      <c r="I1277" s="280">
        <f t="shared" si="65"/>
        <v>3</v>
      </c>
    </row>
    <row r="1278" spans="1:9">
      <c r="A1278" s="195"/>
      <c r="B1278" s="233" t="s">
        <v>35519</v>
      </c>
      <c r="C1278" s="234"/>
      <c r="D1278" s="279">
        <v>3.45</v>
      </c>
      <c r="E1278" s="278">
        <v>2.4</v>
      </c>
      <c r="F1278" s="279">
        <v>3</v>
      </c>
      <c r="G1278" s="279"/>
      <c r="H1278" s="279"/>
      <c r="I1278" s="280">
        <f t="shared" si="65"/>
        <v>3</v>
      </c>
    </row>
    <row r="1279" spans="1:9">
      <c r="A1279" s="195"/>
      <c r="B1279" s="233" t="s">
        <v>35522</v>
      </c>
      <c r="C1279" s="234"/>
      <c r="D1279" s="279">
        <v>1.5</v>
      </c>
      <c r="E1279" s="278">
        <v>4.3499999999999996</v>
      </c>
      <c r="F1279" s="279">
        <v>3</v>
      </c>
      <c r="G1279" s="279"/>
      <c r="H1279" s="279"/>
      <c r="I1279" s="280">
        <f t="shared" si="65"/>
        <v>3</v>
      </c>
    </row>
    <row r="1280" spans="1:9">
      <c r="A1280" s="195"/>
      <c r="B1280" s="233" t="s">
        <v>35523</v>
      </c>
      <c r="C1280" s="234"/>
      <c r="D1280" s="279">
        <v>4.6500000000000004</v>
      </c>
      <c r="E1280" s="278">
        <v>4.0999999999999996</v>
      </c>
      <c r="F1280" s="279">
        <v>3</v>
      </c>
      <c r="G1280" s="279"/>
      <c r="H1280" s="279"/>
      <c r="I1280" s="280">
        <f t="shared" si="65"/>
        <v>3</v>
      </c>
    </row>
    <row r="1281" spans="1:9">
      <c r="A1281" s="195"/>
      <c r="B1281" s="233" t="s">
        <v>35524</v>
      </c>
      <c r="C1281" s="234"/>
      <c r="D1281" s="279">
        <v>4.6500000000000004</v>
      </c>
      <c r="E1281" s="278">
        <v>4.0999999999999996</v>
      </c>
      <c r="F1281" s="279">
        <v>3</v>
      </c>
      <c r="G1281" s="279"/>
      <c r="H1281" s="279"/>
      <c r="I1281" s="280">
        <f t="shared" si="65"/>
        <v>3</v>
      </c>
    </row>
    <row r="1282" spans="1:9">
      <c r="A1282" s="195"/>
      <c r="B1282" s="233" t="s">
        <v>35545</v>
      </c>
      <c r="C1282" s="234"/>
      <c r="D1282" s="279">
        <v>2</v>
      </c>
      <c r="E1282" s="278">
        <v>2.1</v>
      </c>
      <c r="F1282" s="279">
        <v>3</v>
      </c>
      <c r="G1282" s="279"/>
      <c r="H1282" s="279"/>
      <c r="I1282" s="280">
        <f t="shared" si="65"/>
        <v>3</v>
      </c>
    </row>
    <row r="1283" spans="1:9">
      <c r="A1283" s="195"/>
      <c r="B1283" s="233" t="s">
        <v>35527</v>
      </c>
      <c r="C1283" s="234"/>
      <c r="D1283" s="279">
        <v>4.6500000000000004</v>
      </c>
      <c r="E1283" s="278">
        <v>4.0999999999999996</v>
      </c>
      <c r="F1283" s="279">
        <v>3</v>
      </c>
      <c r="G1283" s="279"/>
      <c r="H1283" s="279"/>
      <c r="I1283" s="280">
        <f t="shared" si="65"/>
        <v>3</v>
      </c>
    </row>
    <row r="1284" spans="1:9">
      <c r="A1284" s="195"/>
      <c r="B1284" s="233" t="s">
        <v>35528</v>
      </c>
      <c r="C1284" s="234"/>
      <c r="D1284" s="279">
        <v>4.6500000000000004</v>
      </c>
      <c r="E1284" s="278">
        <v>4.0999999999999996</v>
      </c>
      <c r="F1284" s="279">
        <v>3</v>
      </c>
      <c r="G1284" s="279"/>
      <c r="H1284" s="279"/>
      <c r="I1284" s="280">
        <f t="shared" si="65"/>
        <v>3</v>
      </c>
    </row>
    <row r="1285" spans="1:9">
      <c r="A1285" s="195"/>
      <c r="B1285" s="233" t="s">
        <v>35529</v>
      </c>
      <c r="C1285" s="234"/>
      <c r="D1285" s="279">
        <v>2</v>
      </c>
      <c r="E1285" s="278">
        <v>2.1</v>
      </c>
      <c r="F1285" s="279">
        <v>3</v>
      </c>
      <c r="G1285" s="279"/>
      <c r="H1285" s="279"/>
      <c r="I1285" s="280">
        <f t="shared" si="65"/>
        <v>3</v>
      </c>
    </row>
    <row r="1286" spans="1:9">
      <c r="A1286" s="195"/>
      <c r="B1286" s="233" t="s">
        <v>35546</v>
      </c>
      <c r="C1286" s="234"/>
      <c r="D1286" s="279">
        <v>35.299999999999997</v>
      </c>
      <c r="E1286" s="278">
        <v>25.3</v>
      </c>
      <c r="F1286" s="279">
        <v>3</v>
      </c>
      <c r="G1286" s="279"/>
      <c r="H1286" s="279"/>
      <c r="I1286" s="280">
        <f t="shared" si="65"/>
        <v>3</v>
      </c>
    </row>
    <row r="1287" spans="1:9">
      <c r="A1287" s="195"/>
      <c r="B1287" s="189"/>
      <c r="C1287" s="190"/>
      <c r="D1287" s="279"/>
      <c r="E1287" s="278"/>
      <c r="F1287" s="271"/>
      <c r="G1287" s="271"/>
      <c r="H1287" s="271"/>
      <c r="I1287" s="259"/>
    </row>
    <row r="1288" spans="1:9">
      <c r="A1288" s="135"/>
      <c r="B1288" s="170"/>
      <c r="C1288" s="136"/>
      <c r="D1288" s="275"/>
      <c r="E1288" s="275"/>
      <c r="F1288" s="275"/>
      <c r="G1288" s="276"/>
      <c r="H1288" s="276"/>
      <c r="I1288" s="277"/>
    </row>
    <row r="1289" spans="1:9">
      <c r="A1289" s="122" t="s">
        <v>35320</v>
      </c>
      <c r="B1289" s="340" t="str">
        <f>VLOOKUP(A1289,GLOBAL!A:H,4,FALSE)</f>
        <v>FURO EM CONCRETO</v>
      </c>
      <c r="C1289" s="130"/>
      <c r="D1289" s="341"/>
      <c r="E1289" s="341"/>
      <c r="F1289" s="341"/>
      <c r="G1289" s="341"/>
      <c r="H1289" s="341"/>
      <c r="I1289" s="342"/>
    </row>
    <row r="1290" spans="1:9" ht="43.2">
      <c r="A1290" s="605" t="s">
        <v>35321</v>
      </c>
      <c r="B1290" s="258" t="str">
        <f>VLOOKUP(A1290,GLOBAL!A:H,4,FALSE)</f>
        <v>FURO MECANIZADO EM CONCRETO, COM MARTELO DEMOLIDOR ELÉTRICO, PARA PASSAGEM DE INSTALAÇÕES HIDRÁULICAS, DIÂMETROS MAIORES 1.1/2" E MENORES OU IGUAIS A 3"</v>
      </c>
      <c r="C1290" s="119" t="str">
        <f>VLOOKUP(A1290,GLOBAL!A:H,5,FALSE)</f>
        <v>CM</v>
      </c>
      <c r="D1290" s="267" t="s">
        <v>66</v>
      </c>
      <c r="E1290" s="267" t="s">
        <v>70</v>
      </c>
      <c r="F1290" s="267" t="s">
        <v>67</v>
      </c>
      <c r="G1290" s="267" t="s">
        <v>68</v>
      </c>
      <c r="H1290" s="267" t="s">
        <v>71</v>
      </c>
      <c r="I1290" s="268">
        <f>ROUND(SUM(I1291:I1296),2)</f>
        <v>700</v>
      </c>
    </row>
    <row r="1291" spans="1:9">
      <c r="A1291" s="198"/>
      <c r="B1291" s="200" t="s">
        <v>2874</v>
      </c>
      <c r="C1291" s="199"/>
      <c r="D1291" s="281"/>
      <c r="E1291" s="282"/>
      <c r="F1291" s="281"/>
      <c r="G1291" s="281"/>
      <c r="H1291" s="281"/>
      <c r="I1291" s="283"/>
    </row>
    <row r="1292" spans="1:9">
      <c r="A1292" s="195"/>
      <c r="B1292" s="642" t="s">
        <v>35512</v>
      </c>
      <c r="C1292" s="234"/>
      <c r="D1292" s="641"/>
      <c r="E1292" s="641"/>
      <c r="F1292" s="279"/>
      <c r="G1292" s="279"/>
      <c r="H1292" s="279"/>
      <c r="I1292" s="280"/>
    </row>
    <row r="1293" spans="1:9">
      <c r="A1293" s="195"/>
      <c r="B1293" s="233" t="s">
        <v>35554</v>
      </c>
      <c r="C1293" s="234"/>
      <c r="D1293" s="279">
        <v>20</v>
      </c>
      <c r="E1293" s="278"/>
      <c r="F1293" s="279"/>
      <c r="G1293" s="279">
        <v>20</v>
      </c>
      <c r="H1293" s="279"/>
      <c r="I1293" s="280">
        <f>D1293*G1293</f>
        <v>400</v>
      </c>
    </row>
    <row r="1294" spans="1:9">
      <c r="A1294" s="195"/>
      <c r="B1294" s="642" t="s">
        <v>35655</v>
      </c>
      <c r="C1294" s="234"/>
      <c r="D1294" s="641"/>
      <c r="E1294" s="641"/>
      <c r="F1294" s="279"/>
      <c r="G1294" s="279"/>
      <c r="H1294" s="279"/>
      <c r="I1294" s="280"/>
    </row>
    <row r="1295" spans="1:9">
      <c r="A1295" s="195"/>
      <c r="B1295" s="233" t="s">
        <v>35554</v>
      </c>
      <c r="C1295" s="234"/>
      <c r="D1295" s="279">
        <v>20</v>
      </c>
      <c r="E1295" s="278"/>
      <c r="F1295" s="279"/>
      <c r="G1295" s="279">
        <v>15</v>
      </c>
      <c r="H1295" s="279"/>
      <c r="I1295" s="280">
        <f>D1295*G1295</f>
        <v>300</v>
      </c>
    </row>
    <row r="1296" spans="1:9">
      <c r="A1296" s="195"/>
      <c r="B1296" s="189"/>
      <c r="C1296" s="190"/>
      <c r="D1296" s="279"/>
      <c r="E1296" s="278"/>
      <c r="F1296" s="271"/>
      <c r="G1296" s="271"/>
      <c r="H1296" s="271"/>
      <c r="I1296" s="259"/>
    </row>
    <row r="1297" spans="1:9">
      <c r="A1297" s="135"/>
      <c r="B1297" s="170"/>
      <c r="C1297" s="136"/>
      <c r="D1297" s="275"/>
      <c r="E1297" s="275"/>
      <c r="F1297" s="275"/>
      <c r="G1297" s="276"/>
      <c r="H1297" s="276"/>
      <c r="I1297" s="277"/>
    </row>
    <row r="1298" spans="1:9">
      <c r="A1298" s="344" t="s">
        <v>15758</v>
      </c>
      <c r="B1298" s="340" t="str">
        <f>VLOOKUP(A1298,GLOBAL!A:H,4,FALSE)</f>
        <v>INSTALAÇÕES ELÉTRICAS</v>
      </c>
      <c r="C1298" s="130"/>
      <c r="D1298" s="341"/>
      <c r="E1298" s="341"/>
      <c r="F1298" s="341"/>
      <c r="G1298" s="341"/>
      <c r="H1298" s="341"/>
      <c r="I1298" s="342"/>
    </row>
    <row r="1299" spans="1:9">
      <c r="A1299" s="122" t="s">
        <v>9758</v>
      </c>
      <c r="B1299" s="340" t="str">
        <f>VLOOKUP(A1299,GLOBAL!A:H,4,FALSE)</f>
        <v>QUADRO DE DISTRIBUIÇÃO</v>
      </c>
      <c r="C1299" s="130"/>
      <c r="D1299" s="341"/>
      <c r="E1299" s="341"/>
      <c r="F1299" s="341"/>
      <c r="G1299" s="341"/>
      <c r="H1299" s="341"/>
      <c r="I1299" s="342"/>
    </row>
    <row r="1300" spans="1:9" ht="57.6">
      <c r="A1300" s="119" t="s">
        <v>10359</v>
      </c>
      <c r="B1300" s="258" t="str">
        <f>VLOOKUP(A1300,GLOBAL!A:H,4,FALSE)</f>
        <v>QUADRO DISTRIB. ENERGIA, EMBUTIDO OU SEMI EMBUTIDO, CAPAC. P/ 34 DISJ. DIN, C/BARRAM TRIF. 150A BARRA. NEUTRO E TERRA, FAB. EM CHAPA DE AÇO 12 USG COM PORTA, ESPELHO, TRINCO COM FECHAD CH YALE, REF. QDETG II-34DIN-CEMAR OU EQUIV.</v>
      </c>
      <c r="C1300" s="119" t="str">
        <f>VLOOKUP(A1300,GLOBAL!A:H,5,FALSE)</f>
        <v>UND</v>
      </c>
      <c r="D1300" s="267" t="s">
        <v>66</v>
      </c>
      <c r="E1300" s="267" t="s">
        <v>70</v>
      </c>
      <c r="F1300" s="267" t="s">
        <v>67</v>
      </c>
      <c r="G1300" s="267" t="s">
        <v>68</v>
      </c>
      <c r="H1300" s="267" t="s">
        <v>71</v>
      </c>
      <c r="I1300" s="268">
        <f>ROUND(SUM(I1302:I1304),2)</f>
        <v>3</v>
      </c>
    </row>
    <row r="1301" spans="1:9">
      <c r="A1301" s="198"/>
      <c r="B1301" s="200" t="s">
        <v>2874</v>
      </c>
      <c r="C1301" s="199"/>
      <c r="D1301" s="281"/>
      <c r="E1301" s="282"/>
      <c r="F1301" s="281"/>
      <c r="G1301" s="281"/>
      <c r="H1301" s="281"/>
      <c r="I1301" s="283"/>
    </row>
    <row r="1302" spans="1:9">
      <c r="A1302" s="197"/>
      <c r="B1302" s="189" t="s">
        <v>35512</v>
      </c>
      <c r="C1302" s="370"/>
      <c r="D1302" s="293"/>
      <c r="E1302" s="278"/>
      <c r="F1302" s="271"/>
      <c r="G1302" s="271">
        <v>2</v>
      </c>
      <c r="H1302" s="281"/>
      <c r="I1302" s="257">
        <f>G1302</f>
        <v>2</v>
      </c>
    </row>
    <row r="1303" spans="1:9">
      <c r="A1303" s="197"/>
      <c r="B1303" s="189" t="s">
        <v>35655</v>
      </c>
      <c r="C1303" s="370"/>
      <c r="D1303" s="293"/>
      <c r="E1303" s="278"/>
      <c r="F1303" s="271"/>
      <c r="G1303" s="271">
        <v>1</v>
      </c>
      <c r="H1303" s="281"/>
      <c r="I1303" s="257">
        <v>1</v>
      </c>
    </row>
    <row r="1304" spans="1:9">
      <c r="A1304" s="195"/>
      <c r="B1304" s="189"/>
      <c r="C1304" s="190"/>
      <c r="D1304" s="271"/>
      <c r="E1304" s="271"/>
      <c r="F1304" s="271"/>
      <c r="G1304" s="271"/>
      <c r="H1304" s="271"/>
      <c r="I1304" s="259"/>
    </row>
    <row r="1305" spans="1:9">
      <c r="A1305" s="135"/>
      <c r="B1305" s="170"/>
      <c r="C1305" s="136"/>
      <c r="D1305" s="275"/>
      <c r="E1305" s="275"/>
      <c r="F1305" s="275"/>
      <c r="G1305" s="276"/>
      <c r="H1305" s="276"/>
      <c r="I1305" s="277"/>
    </row>
    <row r="1306" spans="1:9" ht="43.2">
      <c r="A1306" s="119" t="s">
        <v>27426</v>
      </c>
      <c r="B1306" s="258" t="str">
        <f>VLOOKUP(A1306,GLOBAL!A:H,4,FALSE)</f>
        <v>QUADRO DISTRIB. ENERGIA, EMBUTIDO OU SEMI EMBUTIDO, CAPAC. P/ 56 DISJ. DIN, C/BARRAM TRIF. 225A BARRA. NEUTRO E TERRA, FAB. EM CHAPA DE AÇO 12 USG COM PORTA, ESPELHO, TRINCO COM FECHAD CH</v>
      </c>
      <c r="C1306" s="119" t="str">
        <f>VLOOKUP(A1306,GLOBAL!A:H,5,FALSE)</f>
        <v>UND</v>
      </c>
      <c r="D1306" s="267" t="s">
        <v>66</v>
      </c>
      <c r="E1306" s="267" t="s">
        <v>70</v>
      </c>
      <c r="F1306" s="267" t="s">
        <v>67</v>
      </c>
      <c r="G1306" s="267" t="s">
        <v>68</v>
      </c>
      <c r="H1306" s="267" t="s">
        <v>71</v>
      </c>
      <c r="I1306" s="268">
        <f>ROUND(SUM(I1308:I1310),2)</f>
        <v>2</v>
      </c>
    </row>
    <row r="1307" spans="1:9">
      <c r="A1307" s="198"/>
      <c r="B1307" s="200" t="s">
        <v>2874</v>
      </c>
      <c r="C1307" s="199"/>
      <c r="D1307" s="281"/>
      <c r="E1307" s="282"/>
      <c r="F1307" s="281"/>
      <c r="G1307" s="281"/>
      <c r="H1307" s="281"/>
      <c r="I1307" s="283"/>
    </row>
    <row r="1308" spans="1:9">
      <c r="A1308" s="197"/>
      <c r="B1308" s="189" t="s">
        <v>35512</v>
      </c>
      <c r="C1308" s="370"/>
      <c r="D1308" s="293"/>
      <c r="E1308" s="278"/>
      <c r="F1308" s="271"/>
      <c r="G1308" s="271">
        <v>1</v>
      </c>
      <c r="H1308" s="281"/>
      <c r="I1308" s="257">
        <f>G1308</f>
        <v>1</v>
      </c>
    </row>
    <row r="1309" spans="1:9">
      <c r="A1309" s="197"/>
      <c r="B1309" s="189" t="s">
        <v>35655</v>
      </c>
      <c r="C1309" s="370"/>
      <c r="D1309" s="293"/>
      <c r="E1309" s="278"/>
      <c r="F1309" s="271"/>
      <c r="G1309" s="271">
        <v>1</v>
      </c>
      <c r="H1309" s="281"/>
      <c r="I1309" s="257">
        <v>1</v>
      </c>
    </row>
    <row r="1310" spans="1:9">
      <c r="A1310" s="195"/>
      <c r="B1310" s="189"/>
      <c r="C1310" s="190"/>
      <c r="D1310" s="271"/>
      <c r="E1310" s="271"/>
      <c r="F1310" s="271"/>
      <c r="G1310" s="271"/>
      <c r="H1310" s="271"/>
      <c r="I1310" s="259"/>
    </row>
    <row r="1311" spans="1:9">
      <c r="A1311" s="135"/>
      <c r="B1311" s="170"/>
      <c r="C1311" s="136"/>
      <c r="D1311" s="275"/>
      <c r="E1311" s="275"/>
      <c r="F1311" s="275"/>
      <c r="G1311" s="276"/>
      <c r="H1311" s="276"/>
      <c r="I1311" s="277"/>
    </row>
    <row r="1312" spans="1:9">
      <c r="A1312" s="119" t="s">
        <v>35858</v>
      </c>
      <c r="B1312" s="258" t="str">
        <f>VLOOKUP(A1312,GLOBAL!A:H,4,FALSE)</f>
        <v xml:space="preserve">QDG CÂMARA MONTADO CONFORME PROJETO ELÉTRICO </v>
      </c>
      <c r="C1312" s="119" t="str">
        <f>VLOOKUP(A1312,GLOBAL!A:H,5,FALSE)</f>
        <v>UND</v>
      </c>
      <c r="D1312" s="267" t="s">
        <v>66</v>
      </c>
      <c r="E1312" s="267" t="s">
        <v>70</v>
      </c>
      <c r="F1312" s="267" t="s">
        <v>67</v>
      </c>
      <c r="G1312" s="267" t="s">
        <v>68</v>
      </c>
      <c r="H1312" s="267" t="s">
        <v>71</v>
      </c>
      <c r="I1312" s="268">
        <f>ROUND(SUM(I1314:I1315),2)</f>
        <v>1</v>
      </c>
    </row>
    <row r="1313" spans="1:9">
      <c r="A1313" s="198"/>
      <c r="B1313" s="200" t="s">
        <v>2874</v>
      </c>
      <c r="C1313" s="199"/>
      <c r="D1313" s="281"/>
      <c r="E1313" s="282"/>
      <c r="F1313" s="281"/>
      <c r="G1313" s="281"/>
      <c r="H1313" s="281"/>
      <c r="I1313" s="283"/>
    </row>
    <row r="1314" spans="1:9">
      <c r="A1314" s="197"/>
      <c r="B1314" s="189" t="s">
        <v>35512</v>
      </c>
      <c r="C1314" s="370"/>
      <c r="D1314" s="293"/>
      <c r="E1314" s="278"/>
      <c r="F1314" s="271"/>
      <c r="G1314" s="271">
        <v>1</v>
      </c>
      <c r="H1314" s="281"/>
      <c r="I1314" s="257">
        <f>G1314</f>
        <v>1</v>
      </c>
    </row>
    <row r="1315" spans="1:9">
      <c r="A1315" s="195"/>
      <c r="B1315" s="189"/>
      <c r="C1315" s="190"/>
      <c r="D1315" s="271"/>
      <c r="E1315" s="271"/>
      <c r="F1315" s="271"/>
      <c r="G1315" s="271"/>
      <c r="H1315" s="271"/>
      <c r="I1315" s="259"/>
    </row>
    <row r="1316" spans="1:9">
      <c r="A1316" s="135"/>
      <c r="B1316" s="170"/>
      <c r="C1316" s="136"/>
      <c r="D1316" s="275"/>
      <c r="E1316" s="275"/>
      <c r="F1316" s="275"/>
      <c r="G1316" s="276"/>
      <c r="H1316" s="276"/>
      <c r="I1316" s="277"/>
    </row>
    <row r="1317" spans="1:9">
      <c r="A1317" s="119" t="s">
        <v>35859</v>
      </c>
      <c r="B1317" s="258" t="str">
        <f>VLOOKUP(A1317,GLOBAL!A:H,4,FALSE)</f>
        <v xml:space="preserve">QGBT MONTADO CONFORME PROJETO ELÉTRICO - CLIMATIZAÇÃO </v>
      </c>
      <c r="C1317" s="119" t="str">
        <f>VLOOKUP(A1317,GLOBAL!A:H,5,FALSE)</f>
        <v xml:space="preserve">UND </v>
      </c>
      <c r="D1317" s="267" t="s">
        <v>66</v>
      </c>
      <c r="E1317" s="267" t="s">
        <v>70</v>
      </c>
      <c r="F1317" s="267" t="s">
        <v>67</v>
      </c>
      <c r="G1317" s="267" t="s">
        <v>68</v>
      </c>
      <c r="H1317" s="267" t="s">
        <v>71</v>
      </c>
      <c r="I1317" s="268">
        <f>ROUND(SUM(I1319:I1320),2)</f>
        <v>1</v>
      </c>
    </row>
    <row r="1318" spans="1:9">
      <c r="A1318" s="198"/>
      <c r="B1318" s="200" t="s">
        <v>2874</v>
      </c>
      <c r="C1318" s="199"/>
      <c r="D1318" s="281"/>
      <c r="E1318" s="282"/>
      <c r="F1318" s="281"/>
      <c r="G1318" s="281"/>
      <c r="H1318" s="281"/>
      <c r="I1318" s="283"/>
    </row>
    <row r="1319" spans="1:9">
      <c r="A1319" s="197"/>
      <c r="B1319" s="189" t="s">
        <v>35512</v>
      </c>
      <c r="C1319" s="370"/>
      <c r="D1319" s="293"/>
      <c r="E1319" s="278"/>
      <c r="F1319" s="271"/>
      <c r="G1319" s="271">
        <v>1</v>
      </c>
      <c r="H1319" s="281"/>
      <c r="I1319" s="257">
        <f>G1319</f>
        <v>1</v>
      </c>
    </row>
    <row r="1320" spans="1:9">
      <c r="A1320" s="195"/>
      <c r="B1320" s="189"/>
      <c r="C1320" s="190"/>
      <c r="D1320" s="271"/>
      <c r="E1320" s="271"/>
      <c r="F1320" s="271"/>
      <c r="G1320" s="271"/>
      <c r="H1320" s="271"/>
      <c r="I1320" s="259"/>
    </row>
    <row r="1321" spans="1:9">
      <c r="A1321" s="135"/>
      <c r="B1321" s="170"/>
      <c r="C1321" s="136"/>
      <c r="D1321" s="275"/>
      <c r="E1321" s="275"/>
      <c r="F1321" s="275"/>
      <c r="G1321" s="276"/>
      <c r="H1321" s="276"/>
      <c r="I1321" s="277"/>
    </row>
    <row r="1322" spans="1:9">
      <c r="A1322" s="119" t="s">
        <v>35860</v>
      </c>
      <c r="B1322" s="258" t="str">
        <f>VLOOKUP(A1322,GLOBAL!A:H,4,FALSE)</f>
        <v xml:space="preserve">QGBT MONTADO CONFORME PROJETO ELÉTRICO - ELEVADOR </v>
      </c>
      <c r="C1322" s="119" t="str">
        <f>VLOOKUP(A1322,GLOBAL!A:H,5,FALSE)</f>
        <v xml:space="preserve">UND </v>
      </c>
      <c r="D1322" s="267" t="s">
        <v>66</v>
      </c>
      <c r="E1322" s="267" t="s">
        <v>70</v>
      </c>
      <c r="F1322" s="267" t="s">
        <v>67</v>
      </c>
      <c r="G1322" s="267" t="s">
        <v>68</v>
      </c>
      <c r="H1322" s="267" t="s">
        <v>71</v>
      </c>
      <c r="I1322" s="268">
        <f>ROUND(SUM(I1324:I1325),2)</f>
        <v>1</v>
      </c>
    </row>
    <row r="1323" spans="1:9">
      <c r="A1323" s="198"/>
      <c r="B1323" s="200" t="s">
        <v>2874</v>
      </c>
      <c r="C1323" s="199"/>
      <c r="D1323" s="281"/>
      <c r="E1323" s="282"/>
      <c r="F1323" s="281"/>
      <c r="G1323" s="281"/>
      <c r="H1323" s="281"/>
      <c r="I1323" s="283"/>
    </row>
    <row r="1324" spans="1:9">
      <c r="A1324" s="197"/>
      <c r="B1324" s="189" t="s">
        <v>35512</v>
      </c>
      <c r="C1324" s="370"/>
      <c r="D1324" s="293"/>
      <c r="E1324" s="278"/>
      <c r="F1324" s="271"/>
      <c r="G1324" s="271">
        <v>1</v>
      </c>
      <c r="H1324" s="281"/>
      <c r="I1324" s="257">
        <f>G1324</f>
        <v>1</v>
      </c>
    </row>
    <row r="1325" spans="1:9">
      <c r="A1325" s="195"/>
      <c r="B1325" s="189"/>
      <c r="C1325" s="190"/>
      <c r="D1325" s="271"/>
      <c r="E1325" s="271"/>
      <c r="F1325" s="271"/>
      <c r="G1325" s="271"/>
      <c r="H1325" s="271"/>
      <c r="I1325" s="259"/>
    </row>
    <row r="1326" spans="1:9">
      <c r="A1326" s="135"/>
      <c r="B1326" s="170"/>
      <c r="C1326" s="136"/>
      <c r="D1326" s="275"/>
      <c r="E1326" s="275"/>
      <c r="F1326" s="275"/>
      <c r="G1326" s="276"/>
      <c r="H1326" s="276"/>
      <c r="I1326" s="277"/>
    </row>
    <row r="1327" spans="1:9">
      <c r="A1327" s="173" t="s">
        <v>9759</v>
      </c>
      <c r="B1327" s="171" t="str">
        <f>VLOOKUP(A1327,GLOBAL!A:H,4,FALSE)</f>
        <v>CAIXAS DE PASSAGEM</v>
      </c>
      <c r="C1327" s="172"/>
      <c r="D1327" s="265"/>
      <c r="E1327" s="265"/>
      <c r="F1327" s="265"/>
      <c r="G1327" s="265"/>
      <c r="H1327" s="265"/>
      <c r="I1327" s="266"/>
    </row>
    <row r="1328" spans="1:9" ht="57.6">
      <c r="A1328" s="119" t="s">
        <v>10360</v>
      </c>
      <c r="B1328" s="258" t="str">
        <f>VLOOKUP(A1328,GLOBAL!A:H,4,FALSE)</f>
        <v>CAIXA DE ATERRAMENTO DE CONCRETO SIMPLES, NAS DIMENSÕES DE 30X30X25CM, COM REVEST. INT. EM CHAPISCO E REBOCO, TAMPA DE CONCRETO ESP.5CM E LASTRO DE BRITA ESP. 5 CM, INCL. HASTE 5/8"X2400MM</v>
      </c>
      <c r="C1328" s="119" t="str">
        <f>VLOOKUP(A1328,GLOBAL!A:H,5,FALSE)</f>
        <v>UND</v>
      </c>
      <c r="D1328" s="267" t="s">
        <v>66</v>
      </c>
      <c r="E1328" s="267" t="s">
        <v>70</v>
      </c>
      <c r="F1328" s="267" t="s">
        <v>67</v>
      </c>
      <c r="G1328" s="267" t="s">
        <v>68</v>
      </c>
      <c r="H1328" s="267" t="s">
        <v>71</v>
      </c>
      <c r="I1328" s="268">
        <f>ROUND(SUM(I1329:I1332),2)</f>
        <v>35</v>
      </c>
    </row>
    <row r="1329" spans="1:9">
      <c r="A1329" s="198"/>
      <c r="B1329" s="200" t="s">
        <v>2874</v>
      </c>
      <c r="C1329" s="199"/>
      <c r="D1329" s="281"/>
      <c r="E1329" s="282"/>
      <c r="F1329" s="281"/>
      <c r="G1329" s="281"/>
      <c r="H1329" s="281"/>
      <c r="I1329" s="283"/>
    </row>
    <row r="1330" spans="1:9">
      <c r="A1330" s="197"/>
      <c r="B1330" s="189" t="s">
        <v>35557</v>
      </c>
      <c r="C1330" s="370"/>
      <c r="D1330" s="293"/>
      <c r="E1330" s="278"/>
      <c r="F1330" s="271"/>
      <c r="G1330" s="271">
        <v>20</v>
      </c>
      <c r="H1330" s="281"/>
      <c r="I1330" s="257">
        <f>G1330</f>
        <v>20</v>
      </c>
    </row>
    <row r="1331" spans="1:9">
      <c r="A1331" s="197"/>
      <c r="B1331" s="189" t="s">
        <v>35655</v>
      </c>
      <c r="C1331" s="370"/>
      <c r="D1331" s="293"/>
      <c r="E1331" s="278"/>
      <c r="F1331" s="271"/>
      <c r="G1331" s="271">
        <v>15</v>
      </c>
      <c r="H1331" s="281"/>
      <c r="I1331" s="257">
        <f>G1331</f>
        <v>15</v>
      </c>
    </row>
    <row r="1332" spans="1:9">
      <c r="A1332" s="195"/>
      <c r="B1332" s="189"/>
      <c r="C1332" s="190"/>
      <c r="D1332" s="271"/>
      <c r="E1332" s="271"/>
      <c r="F1332" s="271"/>
      <c r="G1332" s="271"/>
      <c r="H1332" s="271"/>
      <c r="I1332" s="259"/>
    </row>
    <row r="1333" spans="1:9">
      <c r="A1333" s="135"/>
      <c r="B1333" s="170"/>
      <c r="C1333" s="136"/>
      <c r="D1333" s="275"/>
      <c r="E1333" s="275"/>
      <c r="F1333" s="275"/>
      <c r="G1333" s="276"/>
      <c r="H1333" s="276"/>
      <c r="I1333" s="277"/>
    </row>
    <row r="1334" spans="1:9" ht="28.8">
      <c r="A1334" s="119" t="s">
        <v>23672</v>
      </c>
      <c r="B1334" s="258" t="str">
        <f>VLOOKUP(A1334,GLOBAL!A:H,4,FALSE)</f>
        <v>CAIXA DE PASSAGEM 150X150X80MM, CHAPA 18, COM TAMPA PARAFUSADA</v>
      </c>
      <c r="C1334" s="119" t="str">
        <f>VLOOKUP(A1334,GLOBAL!A:H,5,FALSE)</f>
        <v>UND</v>
      </c>
      <c r="D1334" s="267" t="s">
        <v>66</v>
      </c>
      <c r="E1334" s="267" t="s">
        <v>70</v>
      </c>
      <c r="F1334" s="267" t="s">
        <v>67</v>
      </c>
      <c r="G1334" s="267" t="s">
        <v>68</v>
      </c>
      <c r="H1334" s="267" t="s">
        <v>71</v>
      </c>
      <c r="I1334" s="268">
        <f>ROUND(SUM(I1335:I1338),2)</f>
        <v>40</v>
      </c>
    </row>
    <row r="1335" spans="1:9">
      <c r="A1335" s="198"/>
      <c r="B1335" s="200" t="s">
        <v>2874</v>
      </c>
      <c r="C1335" s="199"/>
      <c r="D1335" s="281"/>
      <c r="E1335" s="282"/>
      <c r="F1335" s="281"/>
      <c r="G1335" s="281"/>
      <c r="H1335" s="281"/>
      <c r="I1335" s="283"/>
    </row>
    <row r="1336" spans="1:9">
      <c r="A1336" s="197"/>
      <c r="B1336" s="189" t="s">
        <v>35550</v>
      </c>
      <c r="C1336" s="370"/>
      <c r="D1336" s="293"/>
      <c r="E1336" s="278"/>
      <c r="F1336" s="271"/>
      <c r="G1336" s="271">
        <v>25</v>
      </c>
      <c r="H1336" s="281"/>
      <c r="I1336" s="257">
        <f>G1336</f>
        <v>25</v>
      </c>
    </row>
    <row r="1337" spans="1:9">
      <c r="A1337" s="197"/>
      <c r="B1337" s="189" t="s">
        <v>35655</v>
      </c>
      <c r="C1337" s="370"/>
      <c r="D1337" s="293"/>
      <c r="E1337" s="278"/>
      <c r="F1337" s="271"/>
      <c r="G1337" s="271">
        <v>15</v>
      </c>
      <c r="H1337" s="281"/>
      <c r="I1337" s="257">
        <v>15</v>
      </c>
    </row>
    <row r="1338" spans="1:9">
      <c r="A1338" s="195"/>
      <c r="B1338" s="189"/>
      <c r="C1338" s="190"/>
      <c r="D1338" s="271"/>
      <c r="E1338" s="271"/>
      <c r="F1338" s="271"/>
      <c r="G1338" s="271"/>
      <c r="H1338" s="271"/>
      <c r="I1338" s="259"/>
    </row>
    <row r="1339" spans="1:9">
      <c r="A1339" s="135"/>
      <c r="B1339" s="170"/>
      <c r="C1339" s="136"/>
      <c r="D1339" s="275"/>
      <c r="E1339" s="275"/>
      <c r="F1339" s="275"/>
      <c r="G1339" s="276"/>
      <c r="H1339" s="276"/>
      <c r="I1339" s="277"/>
    </row>
    <row r="1340" spans="1:9" ht="28.8">
      <c r="A1340" s="119" t="s">
        <v>35330</v>
      </c>
      <c r="B1340" s="258" t="str">
        <f>VLOOKUP(A1340,GLOBAL!A:H,4,FALSE)</f>
        <v>CAIXA DE PASSAGEM 200X200X100MM, CHAPA 18, COM TAMPA PARAFUSADA</v>
      </c>
      <c r="C1340" s="119" t="str">
        <f>VLOOKUP(A1340,GLOBAL!A:H,5,FALSE)</f>
        <v>UND</v>
      </c>
      <c r="D1340" s="267" t="s">
        <v>66</v>
      </c>
      <c r="E1340" s="267" t="s">
        <v>70</v>
      </c>
      <c r="F1340" s="267" t="s">
        <v>67</v>
      </c>
      <c r="G1340" s="267" t="s">
        <v>68</v>
      </c>
      <c r="H1340" s="267" t="s">
        <v>71</v>
      </c>
      <c r="I1340" s="268">
        <f>ROUND(SUM(I1341:I1344),2)</f>
        <v>20</v>
      </c>
    </row>
    <row r="1341" spans="1:9">
      <c r="A1341" s="198"/>
      <c r="B1341" s="200" t="s">
        <v>2874</v>
      </c>
      <c r="C1341" s="199"/>
      <c r="D1341" s="281"/>
      <c r="E1341" s="282"/>
      <c r="F1341" s="281"/>
      <c r="G1341" s="281"/>
      <c r="H1341" s="281"/>
      <c r="I1341" s="283"/>
    </row>
    <row r="1342" spans="1:9">
      <c r="A1342" s="197"/>
      <c r="B1342" s="189" t="s">
        <v>35550</v>
      </c>
      <c r="C1342" s="370"/>
      <c r="D1342" s="293"/>
      <c r="E1342" s="278"/>
      <c r="F1342" s="271"/>
      <c r="G1342" s="271">
        <v>10</v>
      </c>
      <c r="H1342" s="281"/>
      <c r="I1342" s="257">
        <f>G1342</f>
        <v>10</v>
      </c>
    </row>
    <row r="1343" spans="1:9">
      <c r="A1343" s="197"/>
      <c r="B1343" s="189" t="s">
        <v>35655</v>
      </c>
      <c r="C1343" s="370"/>
      <c r="D1343" s="293"/>
      <c r="E1343" s="278"/>
      <c r="F1343" s="271"/>
      <c r="G1343" s="271">
        <v>10</v>
      </c>
      <c r="H1343" s="281"/>
      <c r="I1343" s="257">
        <f>G1343</f>
        <v>10</v>
      </c>
    </row>
    <row r="1344" spans="1:9">
      <c r="A1344" s="195"/>
      <c r="B1344" s="189"/>
      <c r="C1344" s="190"/>
      <c r="D1344" s="271"/>
      <c r="E1344" s="271"/>
      <c r="F1344" s="271"/>
      <c r="G1344" s="271"/>
      <c r="H1344" s="271"/>
      <c r="I1344" s="259"/>
    </row>
    <row r="1345" spans="1:9">
      <c r="A1345" s="135"/>
      <c r="B1345" s="170"/>
      <c r="C1345" s="136"/>
      <c r="D1345" s="275"/>
      <c r="E1345" s="275"/>
      <c r="F1345" s="275"/>
      <c r="G1345" s="276"/>
      <c r="H1345" s="276"/>
      <c r="I1345" s="277"/>
    </row>
    <row r="1346" spans="1:9">
      <c r="A1346" s="184" t="s">
        <v>23673</v>
      </c>
      <c r="B1346" s="171" t="str">
        <f>VLOOKUP(A1346,GLOBAL!A:H,4,FALSE)</f>
        <v>INSTALAÇÕES APARENTES</v>
      </c>
      <c r="C1346" s="172"/>
      <c r="D1346" s="265"/>
      <c r="E1346" s="265"/>
      <c r="F1346" s="265"/>
      <c r="G1346" s="265"/>
      <c r="H1346" s="265"/>
      <c r="I1346" s="266"/>
    </row>
    <row r="1347" spans="1:9" ht="28.8">
      <c r="A1347" s="605" t="s">
        <v>23674</v>
      </c>
      <c r="B1347" s="258" t="str">
        <f>VLOOKUP(A1347,GLOBAL!A:H,4,FALSE)</f>
        <v>ELETROCALHA PERFURADA EM CHAPA DE AÇO GALVANIZADO Nº16, 200X100MM, SEM TAMPA</v>
      </c>
      <c r="C1347" s="119" t="str">
        <f>VLOOKUP(A1347,GLOBAL!A:H,5,FALSE)</f>
        <v>M</v>
      </c>
      <c r="D1347" s="267" t="s">
        <v>66</v>
      </c>
      <c r="E1347" s="267" t="s">
        <v>70</v>
      </c>
      <c r="F1347" s="267" t="s">
        <v>67</v>
      </c>
      <c r="G1347" s="267" t="s">
        <v>68</v>
      </c>
      <c r="H1347" s="267" t="s">
        <v>71</v>
      </c>
      <c r="I1347" s="268">
        <f>ROUND(SUM(I1348:I1351),2)</f>
        <v>610</v>
      </c>
    </row>
    <row r="1348" spans="1:9">
      <c r="A1348" s="198"/>
      <c r="B1348" s="200" t="s">
        <v>2874</v>
      </c>
      <c r="C1348" s="199"/>
      <c r="D1348" s="281"/>
      <c r="E1348" s="282"/>
      <c r="F1348" s="281"/>
      <c r="G1348" s="281"/>
      <c r="H1348" s="281"/>
      <c r="I1348" s="283"/>
    </row>
    <row r="1349" spans="1:9">
      <c r="A1349" s="197"/>
      <c r="B1349" s="189" t="s">
        <v>35558</v>
      </c>
      <c r="C1349" s="370"/>
      <c r="D1349" s="293">
        <v>36</v>
      </c>
      <c r="E1349" s="278"/>
      <c r="F1349" s="271"/>
      <c r="G1349" s="271">
        <v>10</v>
      </c>
      <c r="H1349" s="281"/>
      <c r="I1349" s="257">
        <f>D1349*G1349</f>
        <v>360</v>
      </c>
    </row>
    <row r="1350" spans="1:9">
      <c r="A1350" s="197"/>
      <c r="B1350" s="189" t="s">
        <v>35655</v>
      </c>
      <c r="C1350" s="370"/>
      <c r="D1350" s="293">
        <v>25</v>
      </c>
      <c r="E1350" s="278"/>
      <c r="F1350" s="271"/>
      <c r="G1350" s="271">
        <v>10</v>
      </c>
      <c r="H1350" s="281"/>
      <c r="I1350" s="257">
        <f>D1350*G1350</f>
        <v>250</v>
      </c>
    </row>
    <row r="1351" spans="1:9">
      <c r="A1351" s="195"/>
      <c r="B1351" s="189"/>
      <c r="C1351" s="190"/>
      <c r="D1351" s="271"/>
      <c r="E1351" s="271"/>
      <c r="F1351" s="271"/>
      <c r="G1351" s="271"/>
      <c r="H1351" s="271"/>
      <c r="I1351" s="259"/>
    </row>
    <row r="1352" spans="1:9">
      <c r="A1352" s="135"/>
      <c r="B1352" s="170"/>
      <c r="C1352" s="136"/>
      <c r="D1352" s="275"/>
      <c r="E1352" s="275"/>
      <c r="F1352" s="275"/>
      <c r="G1352" s="276"/>
      <c r="H1352" s="276"/>
      <c r="I1352" s="277"/>
    </row>
    <row r="1353" spans="1:9" ht="28.8">
      <c r="A1353" s="605" t="s">
        <v>23675</v>
      </c>
      <c r="B1353" s="258" t="str">
        <f>VLOOKUP(A1353,GLOBAL!A:H,4,FALSE)</f>
        <v>TAMPA DE ENCAIXE PARA ELETROCALHA EM CHAPA DE AÇO GALVANIZADA 18, DIM. 200MM</v>
      </c>
      <c r="C1353" s="119" t="str">
        <f>VLOOKUP(A1353,GLOBAL!A:H,5,FALSE)</f>
        <v>M</v>
      </c>
      <c r="D1353" s="267" t="s">
        <v>66</v>
      </c>
      <c r="E1353" s="267" t="s">
        <v>70</v>
      </c>
      <c r="F1353" s="267" t="s">
        <v>67</v>
      </c>
      <c r="G1353" s="267" t="s">
        <v>68</v>
      </c>
      <c r="H1353" s="267" t="s">
        <v>71</v>
      </c>
      <c r="I1353" s="268">
        <f>ROUND(SUM(I1354:I1357),2)</f>
        <v>10</v>
      </c>
    </row>
    <row r="1354" spans="1:9">
      <c r="A1354" s="198"/>
      <c r="B1354" s="200" t="s">
        <v>2874</v>
      </c>
      <c r="C1354" s="199"/>
      <c r="D1354" s="281"/>
      <c r="E1354" s="282"/>
      <c r="F1354" s="281"/>
      <c r="G1354" s="281"/>
      <c r="H1354" s="281"/>
      <c r="I1354" s="283"/>
    </row>
    <row r="1355" spans="1:9">
      <c r="A1355" s="197"/>
      <c r="B1355" s="189" t="s">
        <v>35558</v>
      </c>
      <c r="C1355" s="370"/>
      <c r="D1355" s="293"/>
      <c r="E1355" s="278"/>
      <c r="F1355" s="271"/>
      <c r="G1355" s="271">
        <v>10</v>
      </c>
      <c r="H1355" s="281"/>
      <c r="I1355" s="257">
        <f>G1355</f>
        <v>10</v>
      </c>
    </row>
    <row r="1356" spans="1:9">
      <c r="A1356" s="197"/>
      <c r="B1356" s="189"/>
      <c r="C1356" s="370"/>
      <c r="D1356" s="293"/>
      <c r="E1356" s="278"/>
      <c r="F1356" s="271"/>
      <c r="G1356" s="271"/>
      <c r="H1356" s="281"/>
      <c r="I1356" s="257"/>
    </row>
    <row r="1357" spans="1:9">
      <c r="A1357" s="195"/>
      <c r="B1357" s="189"/>
      <c r="C1357" s="190"/>
      <c r="D1357" s="271"/>
      <c r="E1357" s="271"/>
      <c r="F1357" s="271"/>
      <c r="G1357" s="271"/>
      <c r="H1357" s="271"/>
      <c r="I1357" s="259"/>
    </row>
    <row r="1358" spans="1:9">
      <c r="A1358" s="135"/>
      <c r="B1358" s="170"/>
      <c r="C1358" s="136"/>
      <c r="D1358" s="275"/>
      <c r="E1358" s="275"/>
      <c r="F1358" s="275"/>
      <c r="G1358" s="276"/>
      <c r="H1358" s="276"/>
      <c r="I1358" s="277"/>
    </row>
    <row r="1359" spans="1:9" ht="28.8">
      <c r="A1359" s="605" t="s">
        <v>35333</v>
      </c>
      <c r="B1359" s="258" t="str">
        <f>VLOOKUP(A1359,GLOBAL!A:H,4,FALSE)</f>
        <v>JUNÇÃO SIMPLES PARA ELETROCALHA METÁLICA 200X100MM, GALVANIZADA, REF. MEGA MG 2760 OU EQUIVALENTE</v>
      </c>
      <c r="C1359" s="119" t="str">
        <f>VLOOKUP(A1359,GLOBAL!A:H,5,FALSE)</f>
        <v>UND</v>
      </c>
      <c r="D1359" s="267" t="s">
        <v>66</v>
      </c>
      <c r="E1359" s="267" t="s">
        <v>70</v>
      </c>
      <c r="F1359" s="267" t="s">
        <v>67</v>
      </c>
      <c r="G1359" s="267" t="s">
        <v>68</v>
      </c>
      <c r="H1359" s="267" t="s">
        <v>71</v>
      </c>
      <c r="I1359" s="268">
        <f>ROUND(SUM(I1360:I1363),2)</f>
        <v>15</v>
      </c>
    </row>
    <row r="1360" spans="1:9">
      <c r="A1360" s="198"/>
      <c r="B1360" s="200" t="s">
        <v>2874</v>
      </c>
      <c r="C1360" s="199"/>
      <c r="D1360" s="281"/>
      <c r="E1360" s="282"/>
      <c r="F1360" s="281"/>
      <c r="G1360" s="281"/>
      <c r="H1360" s="281"/>
      <c r="I1360" s="283"/>
    </row>
    <row r="1361" spans="1:9">
      <c r="A1361" s="197"/>
      <c r="B1361" s="189" t="s">
        <v>35559</v>
      </c>
      <c r="C1361" s="370"/>
      <c r="D1361" s="293"/>
      <c r="E1361" s="278"/>
      <c r="F1361" s="271"/>
      <c r="G1361" s="271">
        <v>15</v>
      </c>
      <c r="H1361" s="281"/>
      <c r="I1361" s="257">
        <f>G1361</f>
        <v>15</v>
      </c>
    </row>
    <row r="1362" spans="1:9">
      <c r="A1362" s="197"/>
      <c r="B1362" s="189"/>
      <c r="C1362" s="370"/>
      <c r="D1362" s="293"/>
      <c r="E1362" s="278"/>
      <c r="F1362" s="271"/>
      <c r="G1362" s="271"/>
      <c r="H1362" s="281"/>
      <c r="I1362" s="257"/>
    </row>
    <row r="1363" spans="1:9">
      <c r="A1363" s="195"/>
      <c r="B1363" s="189"/>
      <c r="C1363" s="190"/>
      <c r="D1363" s="271"/>
      <c r="E1363" s="271"/>
      <c r="F1363" s="271"/>
      <c r="G1363" s="271"/>
      <c r="H1363" s="271"/>
      <c r="I1363" s="259"/>
    </row>
    <row r="1364" spans="1:9">
      <c r="A1364" s="135"/>
      <c r="B1364" s="170"/>
      <c r="C1364" s="136"/>
      <c r="D1364" s="275"/>
      <c r="E1364" s="275"/>
      <c r="F1364" s="275"/>
      <c r="G1364" s="276"/>
      <c r="H1364" s="276"/>
      <c r="I1364" s="277"/>
    </row>
    <row r="1365" spans="1:9" ht="28.8">
      <c r="A1365" s="605" t="s">
        <v>35334</v>
      </c>
      <c r="B1365" s="258" t="str">
        <f>VLOOKUP(A1365,GLOBAL!A:H,4,FALSE)</f>
        <v>TÊ HORIZONTAL 90º PARA ELETROCALHA METÁLICA 200X100MM, GALVANIZADA, REF. MEGA MG 2570 OU EQUIVALENTE</v>
      </c>
      <c r="C1365" s="119" t="str">
        <f>VLOOKUP(A1365,GLOBAL!A:H,5,FALSE)</f>
        <v>UND</v>
      </c>
      <c r="D1365" s="267" t="s">
        <v>66</v>
      </c>
      <c r="E1365" s="267" t="s">
        <v>70</v>
      </c>
      <c r="F1365" s="267" t="s">
        <v>67</v>
      </c>
      <c r="G1365" s="267" t="s">
        <v>68</v>
      </c>
      <c r="H1365" s="267" t="s">
        <v>71</v>
      </c>
      <c r="I1365" s="268">
        <f>ROUND(SUM(I1366:I1369),2)</f>
        <v>10</v>
      </c>
    </row>
    <row r="1366" spans="1:9">
      <c r="A1366" s="198"/>
      <c r="B1366" s="200" t="s">
        <v>2874</v>
      </c>
      <c r="C1366" s="199"/>
      <c r="D1366" s="281"/>
      <c r="E1366" s="282"/>
      <c r="F1366" s="281"/>
      <c r="G1366" s="281"/>
      <c r="H1366" s="281"/>
      <c r="I1366" s="283"/>
    </row>
    <row r="1367" spans="1:9">
      <c r="A1367" s="197"/>
      <c r="B1367" s="189" t="s">
        <v>35560</v>
      </c>
      <c r="C1367" s="370"/>
      <c r="D1367" s="293"/>
      <c r="E1367" s="278"/>
      <c r="F1367" s="271"/>
      <c r="G1367" s="271">
        <v>10</v>
      </c>
      <c r="H1367" s="281"/>
      <c r="I1367" s="257">
        <f>G1367</f>
        <v>10</v>
      </c>
    </row>
    <row r="1368" spans="1:9">
      <c r="A1368" s="197"/>
      <c r="B1368" s="189"/>
      <c r="C1368" s="370"/>
      <c r="D1368" s="293"/>
      <c r="E1368" s="278"/>
      <c r="F1368" s="271"/>
      <c r="G1368" s="271"/>
      <c r="H1368" s="281"/>
      <c r="I1368" s="257"/>
    </row>
    <row r="1369" spans="1:9">
      <c r="A1369" s="195"/>
      <c r="B1369" s="189"/>
      <c r="C1369" s="190"/>
      <c r="D1369" s="271"/>
      <c r="E1369" s="271"/>
      <c r="F1369" s="271"/>
      <c r="G1369" s="271"/>
      <c r="H1369" s="271"/>
      <c r="I1369" s="259"/>
    </row>
    <row r="1370" spans="1:9">
      <c r="A1370" s="135"/>
      <c r="B1370" s="170"/>
      <c r="C1370" s="136"/>
      <c r="D1370" s="275"/>
      <c r="E1370" s="275"/>
      <c r="F1370" s="275"/>
      <c r="G1370" s="276"/>
      <c r="H1370" s="276"/>
      <c r="I1370" s="277"/>
    </row>
    <row r="1371" spans="1:9" ht="28.8">
      <c r="A1371" s="605" t="s">
        <v>35335</v>
      </c>
      <c r="B1371" s="258" t="str">
        <f>VLOOKUP(A1371,GLOBAL!A:H,4,FALSE)</f>
        <v>CURVA HORIZONTAL 90º PARA ELETROCALHA METÁLICA, 200X100MM, GALVANIZADA, REF. MEGA MG 2510</v>
      </c>
      <c r="C1371" s="119" t="str">
        <f>VLOOKUP(A1371,GLOBAL!A:H,5,FALSE)</f>
        <v>UND</v>
      </c>
      <c r="D1371" s="267" t="s">
        <v>66</v>
      </c>
      <c r="E1371" s="267" t="s">
        <v>70</v>
      </c>
      <c r="F1371" s="267" t="s">
        <v>67</v>
      </c>
      <c r="G1371" s="267" t="s">
        <v>68</v>
      </c>
      <c r="H1371" s="267" t="s">
        <v>71</v>
      </c>
      <c r="I1371" s="268">
        <f>ROUND(SUM(I1372:I1375),2)</f>
        <v>10</v>
      </c>
    </row>
    <row r="1372" spans="1:9">
      <c r="A1372" s="198"/>
      <c r="B1372" s="200" t="s">
        <v>2874</v>
      </c>
      <c r="C1372" s="199"/>
      <c r="D1372" s="281"/>
      <c r="E1372" s="282"/>
      <c r="F1372" s="281"/>
      <c r="G1372" s="281"/>
      <c r="H1372" s="281"/>
      <c r="I1372" s="283"/>
    </row>
    <row r="1373" spans="1:9">
      <c r="A1373" s="197"/>
      <c r="B1373" s="189" t="s">
        <v>35561</v>
      </c>
      <c r="C1373" s="370"/>
      <c r="D1373" s="293"/>
      <c r="E1373" s="278"/>
      <c r="F1373" s="271"/>
      <c r="G1373" s="271">
        <v>10</v>
      </c>
      <c r="H1373" s="281"/>
      <c r="I1373" s="257">
        <f>G1373</f>
        <v>10</v>
      </c>
    </row>
    <row r="1374" spans="1:9">
      <c r="A1374" s="197"/>
      <c r="B1374" s="189"/>
      <c r="C1374" s="370"/>
      <c r="D1374" s="293"/>
      <c r="E1374" s="278"/>
      <c r="F1374" s="271"/>
      <c r="G1374" s="271"/>
      <c r="H1374" s="281"/>
      <c r="I1374" s="257"/>
    </row>
    <row r="1375" spans="1:9">
      <c r="A1375" s="195"/>
      <c r="B1375" s="189"/>
      <c r="C1375" s="190"/>
      <c r="D1375" s="271"/>
      <c r="E1375" s="271"/>
      <c r="F1375" s="271"/>
      <c r="G1375" s="271"/>
      <c r="H1375" s="271"/>
      <c r="I1375" s="259"/>
    </row>
    <row r="1376" spans="1:9">
      <c r="A1376" s="135"/>
      <c r="B1376" s="170"/>
      <c r="C1376" s="136"/>
      <c r="D1376" s="275"/>
      <c r="E1376" s="275"/>
      <c r="F1376" s="275"/>
      <c r="G1376" s="276"/>
      <c r="H1376" s="276"/>
      <c r="I1376" s="277"/>
    </row>
    <row r="1377" spans="1:9" ht="43.2">
      <c r="A1377" s="605" t="s">
        <v>35336</v>
      </c>
      <c r="B1377" s="258" t="str">
        <f>VLOOKUP(A1377,GLOBAL!A:H,4,FALSE)</f>
        <v>SUPORTE DE FIXAÇÃO DE ELETROCALHA DE 200X100MM, NA PAREDE, ATRAVÉS DE SUPORTE TIPO MÃO FRANCESA SIMPLES (1 UND), PARAFUSO E BUCHA S8 (2UND)</v>
      </c>
      <c r="C1377" s="119" t="str">
        <f>VLOOKUP(A1377,GLOBAL!A:H,5,FALSE)</f>
        <v>UND</v>
      </c>
      <c r="D1377" s="267" t="s">
        <v>66</v>
      </c>
      <c r="E1377" s="267" t="s">
        <v>70</v>
      </c>
      <c r="F1377" s="267" t="s">
        <v>67</v>
      </c>
      <c r="G1377" s="267" t="s">
        <v>68</v>
      </c>
      <c r="H1377" s="267" t="s">
        <v>71</v>
      </c>
      <c r="I1377" s="268">
        <f>ROUND(SUM(I1378:I1381),2)</f>
        <v>250</v>
      </c>
    </row>
    <row r="1378" spans="1:9">
      <c r="A1378" s="198"/>
      <c r="B1378" s="200" t="s">
        <v>2874</v>
      </c>
      <c r="C1378" s="199"/>
      <c r="D1378" s="281"/>
      <c r="E1378" s="282"/>
      <c r="F1378" s="281"/>
      <c r="G1378" s="281"/>
      <c r="H1378" s="281"/>
      <c r="I1378" s="283"/>
    </row>
    <row r="1379" spans="1:9">
      <c r="A1379" s="197"/>
      <c r="B1379" s="189" t="s">
        <v>35562</v>
      </c>
      <c r="C1379" s="370"/>
      <c r="D1379" s="293"/>
      <c r="E1379" s="278"/>
      <c r="F1379" s="271"/>
      <c r="G1379" s="271">
        <v>250</v>
      </c>
      <c r="H1379" s="281"/>
      <c r="I1379" s="257">
        <f>G1379</f>
        <v>250</v>
      </c>
    </row>
    <row r="1380" spans="1:9">
      <c r="A1380" s="197"/>
      <c r="B1380" s="189"/>
      <c r="C1380" s="370"/>
      <c r="D1380" s="293"/>
      <c r="E1380" s="278"/>
      <c r="F1380" s="271"/>
      <c r="G1380" s="271"/>
      <c r="H1380" s="281"/>
      <c r="I1380" s="257"/>
    </row>
    <row r="1381" spans="1:9">
      <c r="A1381" s="195"/>
      <c r="B1381" s="189"/>
      <c r="C1381" s="190"/>
      <c r="D1381" s="271"/>
      <c r="E1381" s="271"/>
      <c r="F1381" s="271"/>
      <c r="G1381" s="271"/>
      <c r="H1381" s="271"/>
      <c r="I1381" s="259"/>
    </row>
    <row r="1382" spans="1:9">
      <c r="A1382" s="135"/>
      <c r="B1382" s="170"/>
      <c r="C1382" s="136"/>
      <c r="D1382" s="275"/>
      <c r="E1382" s="275"/>
      <c r="F1382" s="275"/>
      <c r="G1382" s="276"/>
      <c r="H1382" s="276"/>
      <c r="I1382" s="277"/>
    </row>
    <row r="1383" spans="1:9">
      <c r="A1383" s="184" t="s">
        <v>35331</v>
      </c>
      <c r="B1383" s="171" t="str">
        <f>VLOOKUP(A1383,GLOBAL!A:H,4,FALSE)</f>
        <v>ELETRODUTOS E CONEXÕES</v>
      </c>
      <c r="C1383" s="172"/>
      <c r="D1383" s="265"/>
      <c r="E1383" s="265"/>
      <c r="F1383" s="265"/>
      <c r="G1383" s="265"/>
      <c r="H1383" s="265"/>
      <c r="I1383" s="266"/>
    </row>
    <row r="1384" spans="1:9" ht="28.8">
      <c r="A1384" s="605" t="s">
        <v>35337</v>
      </c>
      <c r="B1384" s="258" t="str">
        <f>VLOOKUP(A1384,GLOBAL!A:H,4,FALSE)</f>
        <v>ELETRODUTO DE PVC RÍGIDO ROSCÁVEL, DIÂMETRO 3/4", INCLUSIVE CONEXÕES</v>
      </c>
      <c r="C1384" s="119" t="str">
        <f>VLOOKUP(A1384,GLOBAL!A:H,5,FALSE)</f>
        <v>M</v>
      </c>
      <c r="D1384" s="267" t="s">
        <v>66</v>
      </c>
      <c r="E1384" s="267" t="s">
        <v>70</v>
      </c>
      <c r="F1384" s="267" t="s">
        <v>67</v>
      </c>
      <c r="G1384" s="267" t="s">
        <v>68</v>
      </c>
      <c r="H1384" s="267" t="s">
        <v>71</v>
      </c>
      <c r="I1384" s="268">
        <f>ROUND(SUM(I1385:I1387),2)</f>
        <v>1200</v>
      </c>
    </row>
    <row r="1385" spans="1:9">
      <c r="A1385" s="198"/>
      <c r="B1385" s="200" t="s">
        <v>2874</v>
      </c>
      <c r="C1385" s="199"/>
      <c r="D1385" s="281"/>
      <c r="E1385" s="282"/>
      <c r="F1385" s="281"/>
      <c r="G1385" s="281"/>
      <c r="H1385" s="281"/>
      <c r="I1385" s="283"/>
    </row>
    <row r="1386" spans="1:9">
      <c r="A1386" s="197"/>
      <c r="B1386" s="189" t="s">
        <v>35563</v>
      </c>
      <c r="C1386" s="370"/>
      <c r="D1386" s="293">
        <v>150</v>
      </c>
      <c r="E1386" s="278"/>
      <c r="F1386" s="271"/>
      <c r="G1386" s="271">
        <v>8</v>
      </c>
      <c r="H1386" s="281"/>
      <c r="I1386" s="257">
        <f>D1386*G1386</f>
        <v>1200</v>
      </c>
    </row>
    <row r="1387" spans="1:9">
      <c r="A1387" s="195"/>
      <c r="B1387" s="189"/>
      <c r="C1387" s="190"/>
      <c r="D1387" s="271"/>
      <c r="E1387" s="271"/>
      <c r="F1387" s="271"/>
      <c r="G1387" s="271"/>
      <c r="H1387" s="271"/>
      <c r="I1387" s="259"/>
    </row>
    <row r="1388" spans="1:9">
      <c r="A1388" s="135"/>
      <c r="B1388" s="170"/>
      <c r="C1388" s="136"/>
      <c r="D1388" s="275"/>
      <c r="E1388" s="275"/>
      <c r="F1388" s="275"/>
      <c r="G1388" s="276"/>
      <c r="H1388" s="276"/>
      <c r="I1388" s="277"/>
    </row>
    <row r="1389" spans="1:9" ht="28.8">
      <c r="A1389" s="605" t="s">
        <v>35338</v>
      </c>
      <c r="B1389" s="258" t="str">
        <f>VLOOKUP(A1389,GLOBAL!A:H,4,FALSE)</f>
        <v>ELETRODUTO DE PVC RÍGIDO ROSCÁVEL, DIÂMETRO 1", INCLUSIVE CONEXÕES</v>
      </c>
      <c r="C1389" s="119" t="str">
        <f>VLOOKUP(A1389,GLOBAL!A:H,5,FALSE)</f>
        <v>M</v>
      </c>
      <c r="D1389" s="267" t="s">
        <v>66</v>
      </c>
      <c r="E1389" s="267" t="s">
        <v>70</v>
      </c>
      <c r="F1389" s="267" t="s">
        <v>67</v>
      </c>
      <c r="G1389" s="267" t="s">
        <v>68</v>
      </c>
      <c r="H1389" s="267" t="s">
        <v>71</v>
      </c>
      <c r="I1389" s="268">
        <f>ROUND(SUM(I1390:I1392),2)</f>
        <v>560</v>
      </c>
    </row>
    <row r="1390" spans="1:9">
      <c r="A1390" s="198"/>
      <c r="B1390" s="200" t="s">
        <v>2874</v>
      </c>
      <c r="C1390" s="199"/>
      <c r="D1390" s="281"/>
      <c r="E1390" s="282"/>
      <c r="F1390" s="281"/>
      <c r="G1390" s="281"/>
      <c r="H1390" s="281"/>
      <c r="I1390" s="283"/>
    </row>
    <row r="1391" spans="1:9">
      <c r="A1391" s="197"/>
      <c r="B1391" s="189" t="s">
        <v>35563</v>
      </c>
      <c r="C1391" s="370"/>
      <c r="D1391" s="293">
        <v>40</v>
      </c>
      <c r="E1391" s="278"/>
      <c r="F1391" s="271"/>
      <c r="G1391" s="271">
        <v>8</v>
      </c>
      <c r="H1391" s="281"/>
      <c r="I1391" s="257">
        <f>D1391*G1391</f>
        <v>320</v>
      </c>
    </row>
    <row r="1392" spans="1:9">
      <c r="A1392" s="195"/>
      <c r="B1392" s="189" t="s">
        <v>35655</v>
      </c>
      <c r="C1392" s="190"/>
      <c r="D1392" s="271">
        <v>30</v>
      </c>
      <c r="E1392" s="271"/>
      <c r="F1392" s="271"/>
      <c r="G1392" s="271">
        <v>8</v>
      </c>
      <c r="H1392" s="271"/>
      <c r="I1392" s="259">
        <f>D1392*G1392</f>
        <v>240</v>
      </c>
    </row>
    <row r="1393" spans="1:9">
      <c r="A1393" s="135"/>
      <c r="B1393" s="170"/>
      <c r="C1393" s="136"/>
      <c r="D1393" s="275"/>
      <c r="E1393" s="275"/>
      <c r="F1393" s="275"/>
      <c r="G1393" s="276"/>
      <c r="H1393" s="276"/>
      <c r="I1393" s="277"/>
    </row>
    <row r="1394" spans="1:9" ht="28.8">
      <c r="A1394" s="605" t="s">
        <v>35339</v>
      </c>
      <c r="B1394" s="258" t="str">
        <f>VLOOKUP(A1394,GLOBAL!A:H,4,FALSE)</f>
        <v>ELETRODUTO DE PVC RÍGIDO ROSCÁVEL, DIÂMETRO 1.1/4", INCLUSIVE CONEXÕES</v>
      </c>
      <c r="C1394" s="119" t="str">
        <f>VLOOKUP(A1394,GLOBAL!A:H,5,FALSE)</f>
        <v>M</v>
      </c>
      <c r="D1394" s="267" t="s">
        <v>66</v>
      </c>
      <c r="E1394" s="267" t="s">
        <v>70</v>
      </c>
      <c r="F1394" s="267" t="s">
        <v>67</v>
      </c>
      <c r="G1394" s="267" t="s">
        <v>68</v>
      </c>
      <c r="H1394" s="267" t="s">
        <v>71</v>
      </c>
      <c r="I1394" s="268">
        <f>ROUND(SUM(I1395:I1397),2)</f>
        <v>360</v>
      </c>
    </row>
    <row r="1395" spans="1:9">
      <c r="A1395" s="198"/>
      <c r="B1395" s="200" t="s">
        <v>2874</v>
      </c>
      <c r="C1395" s="199"/>
      <c r="D1395" s="281"/>
      <c r="E1395" s="282"/>
      <c r="F1395" s="281"/>
      <c r="G1395" s="281"/>
      <c r="H1395" s="281"/>
      <c r="I1395" s="283"/>
    </row>
    <row r="1396" spans="1:9">
      <c r="A1396" s="197"/>
      <c r="B1396" s="189" t="s">
        <v>35563</v>
      </c>
      <c r="C1396" s="370"/>
      <c r="D1396" s="293">
        <v>30</v>
      </c>
      <c r="E1396" s="278"/>
      <c r="F1396" s="271"/>
      <c r="G1396" s="271">
        <v>8</v>
      </c>
      <c r="H1396" s="281"/>
      <c r="I1396" s="257">
        <f>D1396*G1396</f>
        <v>240</v>
      </c>
    </row>
    <row r="1397" spans="1:9">
      <c r="A1397" s="195"/>
      <c r="B1397" s="189" t="s">
        <v>35655</v>
      </c>
      <c r="C1397" s="190"/>
      <c r="D1397" s="271">
        <v>15</v>
      </c>
      <c r="E1397" s="271"/>
      <c r="F1397" s="271"/>
      <c r="G1397" s="271">
        <v>8</v>
      </c>
      <c r="H1397" s="271"/>
      <c r="I1397" s="259">
        <f>D1397*G1397</f>
        <v>120</v>
      </c>
    </row>
    <row r="1398" spans="1:9">
      <c r="A1398" s="135"/>
      <c r="B1398" s="170"/>
      <c r="C1398" s="136"/>
      <c r="D1398" s="275"/>
      <c r="E1398" s="275"/>
      <c r="F1398" s="275"/>
      <c r="G1398" s="276"/>
      <c r="H1398" s="276"/>
      <c r="I1398" s="277"/>
    </row>
    <row r="1399" spans="1:9" ht="28.8">
      <c r="A1399" s="605" t="s">
        <v>35340</v>
      </c>
      <c r="B1399" s="258" t="str">
        <f>VLOOKUP(A1399,GLOBAL!A:H,4,FALSE)</f>
        <v>ELETRODUTO DE PVC RÍGIDO ROSCÁVEL, DIÂMETRO 1.1/2", INCLUSIVE CONEXÕES</v>
      </c>
      <c r="C1399" s="119" t="str">
        <f>VLOOKUP(A1399,GLOBAL!A:H,5,FALSE)</f>
        <v>M</v>
      </c>
      <c r="D1399" s="267" t="s">
        <v>66</v>
      </c>
      <c r="E1399" s="267" t="s">
        <v>70</v>
      </c>
      <c r="F1399" s="267" t="s">
        <v>67</v>
      </c>
      <c r="G1399" s="267" t="s">
        <v>68</v>
      </c>
      <c r="H1399" s="267" t="s">
        <v>71</v>
      </c>
      <c r="I1399" s="268">
        <f>ROUND(SUM(I1400:I1402),2)</f>
        <v>280</v>
      </c>
    </row>
    <row r="1400" spans="1:9">
      <c r="A1400" s="198"/>
      <c r="B1400" s="200" t="s">
        <v>2874</v>
      </c>
      <c r="C1400" s="199"/>
      <c r="D1400" s="281"/>
      <c r="E1400" s="282"/>
      <c r="F1400" s="281"/>
      <c r="G1400" s="281"/>
      <c r="H1400" s="281"/>
      <c r="I1400" s="283"/>
    </row>
    <row r="1401" spans="1:9">
      <c r="A1401" s="197"/>
      <c r="B1401" s="189" t="s">
        <v>35563</v>
      </c>
      <c r="C1401" s="370"/>
      <c r="D1401" s="293">
        <v>20</v>
      </c>
      <c r="E1401" s="278"/>
      <c r="F1401" s="271"/>
      <c r="G1401" s="271">
        <v>8</v>
      </c>
      <c r="H1401" s="281"/>
      <c r="I1401" s="257">
        <f>D1401*G1401</f>
        <v>160</v>
      </c>
    </row>
    <row r="1402" spans="1:9">
      <c r="A1402" s="195"/>
      <c r="B1402" s="189" t="s">
        <v>35655</v>
      </c>
      <c r="C1402" s="190"/>
      <c r="D1402" s="271">
        <v>15</v>
      </c>
      <c r="E1402" s="271"/>
      <c r="F1402" s="271"/>
      <c r="G1402" s="271">
        <v>8</v>
      </c>
      <c r="H1402" s="271"/>
      <c r="I1402" s="259">
        <f>D1402*G1402</f>
        <v>120</v>
      </c>
    </row>
    <row r="1403" spans="1:9">
      <c r="A1403" s="135"/>
      <c r="B1403" s="170"/>
      <c r="C1403" s="136"/>
      <c r="D1403" s="275"/>
      <c r="E1403" s="275"/>
      <c r="F1403" s="275"/>
      <c r="G1403" s="276"/>
      <c r="H1403" s="276"/>
      <c r="I1403" s="277"/>
    </row>
    <row r="1404" spans="1:9" ht="28.8">
      <c r="A1404" s="605" t="s">
        <v>35341</v>
      </c>
      <c r="B1404" s="258" t="str">
        <f>VLOOKUP(A1404,GLOBAL!A:H,4,FALSE)</f>
        <v>ELETRODUTO DE PVC RÍGIDO ROSCÁVEL, DIÂMETRO 2", INCLUSIVE CONEXÕES</v>
      </c>
      <c r="C1404" s="119" t="str">
        <f>VLOOKUP(A1404,GLOBAL!A:H,5,FALSE)</f>
        <v>M</v>
      </c>
      <c r="D1404" s="267" t="s">
        <v>66</v>
      </c>
      <c r="E1404" s="267" t="s">
        <v>70</v>
      </c>
      <c r="F1404" s="267" t="s">
        <v>67</v>
      </c>
      <c r="G1404" s="267" t="s">
        <v>68</v>
      </c>
      <c r="H1404" s="267" t="s">
        <v>71</v>
      </c>
      <c r="I1404" s="268">
        <f>ROUND(SUM(I1405:I1407),2)</f>
        <v>144</v>
      </c>
    </row>
    <row r="1405" spans="1:9">
      <c r="A1405" s="198"/>
      <c r="B1405" s="200" t="s">
        <v>2874</v>
      </c>
      <c r="C1405" s="199"/>
      <c r="D1405" s="281"/>
      <c r="E1405" s="282"/>
      <c r="F1405" s="281"/>
      <c r="G1405" s="281"/>
      <c r="H1405" s="281"/>
      <c r="I1405" s="283"/>
    </row>
    <row r="1406" spans="1:9">
      <c r="A1406" s="197"/>
      <c r="B1406" s="189" t="s">
        <v>35563</v>
      </c>
      <c r="C1406" s="370"/>
      <c r="D1406" s="293">
        <v>18</v>
      </c>
      <c r="E1406" s="278"/>
      <c r="F1406" s="271"/>
      <c r="G1406" s="271">
        <v>8</v>
      </c>
      <c r="H1406" s="281"/>
      <c r="I1406" s="257">
        <f>D1406*G1406</f>
        <v>144</v>
      </c>
    </row>
    <row r="1407" spans="1:9">
      <c r="A1407" s="195"/>
      <c r="B1407" s="189"/>
      <c r="C1407" s="190"/>
      <c r="D1407" s="271"/>
      <c r="E1407" s="271"/>
      <c r="F1407" s="271"/>
      <c r="G1407" s="271"/>
      <c r="H1407" s="271"/>
      <c r="I1407" s="259"/>
    </row>
    <row r="1408" spans="1:9">
      <c r="A1408" s="135"/>
      <c r="B1408" s="170"/>
      <c r="C1408" s="136"/>
      <c r="D1408" s="275"/>
      <c r="E1408" s="275"/>
      <c r="F1408" s="275"/>
      <c r="G1408" s="276"/>
      <c r="H1408" s="276"/>
      <c r="I1408" s="277"/>
    </row>
    <row r="1409" spans="1:9">
      <c r="A1409" s="184" t="s">
        <v>35332</v>
      </c>
      <c r="B1409" s="171" t="str">
        <f>VLOOKUP(A1409,GLOBAL!A:H,4,FALSE)</f>
        <v>CHAVES, FUSIVEIS E DISJUNTORES</v>
      </c>
      <c r="C1409" s="172"/>
      <c r="D1409" s="265"/>
      <c r="E1409" s="265"/>
      <c r="F1409" s="265"/>
      <c r="G1409" s="265"/>
      <c r="H1409" s="265"/>
      <c r="I1409" s="266"/>
    </row>
    <row r="1410" spans="1:9" ht="28.8">
      <c r="A1410" s="605" t="s">
        <v>35342</v>
      </c>
      <c r="B1410" s="258" t="str">
        <f>VLOOKUP(A1410,GLOBAL!A:H,4,FALSE)</f>
        <v>MINI-DISJUNTOR BIPOLAR 16A, CURVA C, 5KA, 127/220VCA, REFERÊNCIA SIEMENS, GE, SCHNEIDER OU EQUIVALENTE</v>
      </c>
      <c r="C1410" s="119" t="str">
        <f>VLOOKUP(A1410,GLOBAL!A:H,5,FALSE)</f>
        <v>UND</v>
      </c>
      <c r="D1410" s="267" t="s">
        <v>66</v>
      </c>
      <c r="E1410" s="267" t="s">
        <v>70</v>
      </c>
      <c r="F1410" s="267" t="s">
        <v>67</v>
      </c>
      <c r="G1410" s="267" t="s">
        <v>68</v>
      </c>
      <c r="H1410" s="267" t="s">
        <v>71</v>
      </c>
      <c r="I1410" s="268">
        <f>ROUND(SUM(I1411:I1413),2)</f>
        <v>30</v>
      </c>
    </row>
    <row r="1411" spans="1:9">
      <c r="A1411" s="198"/>
      <c r="B1411" s="200" t="s">
        <v>2874</v>
      </c>
      <c r="C1411" s="199"/>
      <c r="D1411" s="281"/>
      <c r="E1411" s="282"/>
      <c r="F1411" s="281"/>
      <c r="G1411" s="281"/>
      <c r="H1411" s="281"/>
      <c r="I1411" s="283"/>
    </row>
    <row r="1412" spans="1:9">
      <c r="A1412" s="197"/>
      <c r="B1412" s="189" t="s">
        <v>35564</v>
      </c>
      <c r="C1412" s="370"/>
      <c r="D1412" s="293"/>
      <c r="E1412" s="278"/>
      <c r="F1412" s="271"/>
      <c r="G1412" s="271">
        <v>20</v>
      </c>
      <c r="H1412" s="281"/>
      <c r="I1412" s="257">
        <f>G1412</f>
        <v>20</v>
      </c>
    </row>
    <row r="1413" spans="1:9">
      <c r="A1413" s="195"/>
      <c r="B1413" s="189" t="s">
        <v>35655</v>
      </c>
      <c r="C1413" s="190"/>
      <c r="D1413" s="271"/>
      <c r="E1413" s="271"/>
      <c r="F1413" s="271"/>
      <c r="G1413" s="271">
        <v>10</v>
      </c>
      <c r="H1413" s="271"/>
      <c r="I1413" s="259">
        <v>10</v>
      </c>
    </row>
    <row r="1414" spans="1:9">
      <c r="A1414" s="135"/>
      <c r="B1414" s="170"/>
      <c r="C1414" s="136"/>
      <c r="D1414" s="275"/>
      <c r="E1414" s="275"/>
      <c r="F1414" s="275"/>
      <c r="G1414" s="276"/>
      <c r="H1414" s="276"/>
      <c r="I1414" s="277"/>
    </row>
    <row r="1415" spans="1:9" ht="28.8">
      <c r="A1415" s="605" t="s">
        <v>35343</v>
      </c>
      <c r="B1415" s="258" t="str">
        <f>VLOOKUP(A1415,GLOBAL!A:H,4,FALSE)</f>
        <v>MINI-DISJUNTOR BIPOLAR 20A, CURVA C, 5KA, 127/220VCA, REFERÊNCIA SIEMENS, GE, SCHNEIDER OU EQUIVALENTE</v>
      </c>
      <c r="C1415" s="119" t="str">
        <f>VLOOKUP(A1415,GLOBAL!A:H,5,FALSE)</f>
        <v>UND</v>
      </c>
      <c r="D1415" s="267" t="s">
        <v>66</v>
      </c>
      <c r="E1415" s="267" t="s">
        <v>70</v>
      </c>
      <c r="F1415" s="267" t="s">
        <v>67</v>
      </c>
      <c r="G1415" s="267" t="s">
        <v>68</v>
      </c>
      <c r="H1415" s="267" t="s">
        <v>71</v>
      </c>
      <c r="I1415" s="268">
        <f>ROUND(SUM(I1416:I1418),2)</f>
        <v>30</v>
      </c>
    </row>
    <row r="1416" spans="1:9">
      <c r="A1416" s="198"/>
      <c r="B1416" s="200" t="s">
        <v>2874</v>
      </c>
      <c r="C1416" s="199"/>
      <c r="D1416" s="281"/>
      <c r="E1416" s="282"/>
      <c r="F1416" s="281"/>
      <c r="G1416" s="281"/>
      <c r="H1416" s="281"/>
      <c r="I1416" s="283"/>
    </row>
    <row r="1417" spans="1:9">
      <c r="A1417" s="197"/>
      <c r="B1417" s="189" t="s">
        <v>35564</v>
      </c>
      <c r="C1417" s="370"/>
      <c r="D1417" s="293"/>
      <c r="E1417" s="278"/>
      <c r="F1417" s="271"/>
      <c r="G1417" s="271">
        <v>20</v>
      </c>
      <c r="H1417" s="281"/>
      <c r="I1417" s="257">
        <f>G1417</f>
        <v>20</v>
      </c>
    </row>
    <row r="1418" spans="1:9">
      <c r="A1418" s="195"/>
      <c r="B1418" s="189" t="s">
        <v>35655</v>
      </c>
      <c r="C1418" s="190"/>
      <c r="D1418" s="271"/>
      <c r="E1418" s="271"/>
      <c r="F1418" s="271"/>
      <c r="G1418" s="271">
        <v>10</v>
      </c>
      <c r="H1418" s="271"/>
      <c r="I1418" s="259">
        <v>10</v>
      </c>
    </row>
    <row r="1419" spans="1:9">
      <c r="A1419" s="135"/>
      <c r="B1419" s="170"/>
      <c r="C1419" s="136"/>
      <c r="D1419" s="275"/>
      <c r="E1419" s="275"/>
      <c r="F1419" s="275"/>
      <c r="G1419" s="276"/>
      <c r="H1419" s="276"/>
      <c r="I1419" s="277"/>
    </row>
    <row r="1420" spans="1:9" ht="28.8">
      <c r="A1420" s="605" t="s">
        <v>35344</v>
      </c>
      <c r="B1420" s="258" t="str">
        <f>VLOOKUP(A1420,GLOBAL!A:H,4,FALSE)</f>
        <v>MINI-DISJUNTOR BIPOLAR 50A, CURVA C, 5KA, 127/220VCA, REFERÊNCIA SIEMENS, GE, SCHNEIDER OU EQUIVALENTE</v>
      </c>
      <c r="C1420" s="119" t="str">
        <f>VLOOKUP(A1420,GLOBAL!A:H,5,FALSE)</f>
        <v>UND</v>
      </c>
      <c r="D1420" s="267" t="s">
        <v>66</v>
      </c>
      <c r="E1420" s="267" t="s">
        <v>70</v>
      </c>
      <c r="F1420" s="267" t="s">
        <v>67</v>
      </c>
      <c r="G1420" s="267" t="s">
        <v>68</v>
      </c>
      <c r="H1420" s="267" t="s">
        <v>71</v>
      </c>
      <c r="I1420" s="268">
        <f>ROUND(SUM(I1421:I1423),2)</f>
        <v>20</v>
      </c>
    </row>
    <row r="1421" spans="1:9">
      <c r="A1421" s="198"/>
      <c r="B1421" s="200" t="s">
        <v>2874</v>
      </c>
      <c r="C1421" s="199"/>
      <c r="D1421" s="281"/>
      <c r="E1421" s="282"/>
      <c r="F1421" s="281"/>
      <c r="G1421" s="281"/>
      <c r="H1421" s="281"/>
      <c r="I1421" s="283"/>
    </row>
    <row r="1422" spans="1:9">
      <c r="A1422" s="197"/>
      <c r="B1422" s="189" t="s">
        <v>35564</v>
      </c>
      <c r="C1422" s="370"/>
      <c r="D1422" s="293"/>
      <c r="E1422" s="278"/>
      <c r="F1422" s="271"/>
      <c r="G1422" s="271">
        <v>10</v>
      </c>
      <c r="H1422" s="281"/>
      <c r="I1422" s="257">
        <f>G1422</f>
        <v>10</v>
      </c>
    </row>
    <row r="1423" spans="1:9">
      <c r="A1423" s="195"/>
      <c r="B1423" s="189" t="s">
        <v>35655</v>
      </c>
      <c r="C1423" s="190"/>
      <c r="D1423" s="271"/>
      <c r="E1423" s="271"/>
      <c r="F1423" s="271"/>
      <c r="G1423" s="271">
        <v>10</v>
      </c>
      <c r="H1423" s="271"/>
      <c r="I1423" s="259">
        <v>10</v>
      </c>
    </row>
    <row r="1424" spans="1:9">
      <c r="A1424" s="135"/>
      <c r="B1424" s="170"/>
      <c r="C1424" s="136"/>
      <c r="D1424" s="275"/>
      <c r="E1424" s="275"/>
      <c r="F1424" s="275"/>
      <c r="G1424" s="276"/>
      <c r="H1424" s="276"/>
      <c r="I1424" s="277"/>
    </row>
    <row r="1425" spans="1:9" ht="28.8">
      <c r="A1425" s="605" t="s">
        <v>35345</v>
      </c>
      <c r="B1425" s="258" t="str">
        <f>VLOOKUP(A1425,GLOBAL!A:H,4,FALSE)</f>
        <v>MINI-DISJUNTOR TRIPOLAR 16A, CURVA C, 5KA, 127/220VCA, REFERÊNCIA SIEMENS, GE, SCHNEIDER OU EQUIVALENTE</v>
      </c>
      <c r="C1425" s="119" t="str">
        <f>VLOOKUP(A1425,GLOBAL!A:H,5,FALSE)</f>
        <v>UND</v>
      </c>
      <c r="D1425" s="267" t="s">
        <v>66</v>
      </c>
      <c r="E1425" s="267" t="s">
        <v>70</v>
      </c>
      <c r="F1425" s="267" t="s">
        <v>67</v>
      </c>
      <c r="G1425" s="267" t="s">
        <v>68</v>
      </c>
      <c r="H1425" s="267" t="s">
        <v>71</v>
      </c>
      <c r="I1425" s="268">
        <f>ROUND(SUM(I1426:I1428),2)</f>
        <v>12</v>
      </c>
    </row>
    <row r="1426" spans="1:9">
      <c r="A1426" s="198"/>
      <c r="B1426" s="200" t="s">
        <v>2874</v>
      </c>
      <c r="C1426" s="199"/>
      <c r="D1426" s="281"/>
      <c r="E1426" s="282"/>
      <c r="F1426" s="281"/>
      <c r="G1426" s="281"/>
      <c r="H1426" s="281"/>
      <c r="I1426" s="283"/>
    </row>
    <row r="1427" spans="1:9">
      <c r="A1427" s="197"/>
      <c r="B1427" s="189" t="s">
        <v>35564</v>
      </c>
      <c r="C1427" s="370"/>
      <c r="D1427" s="293"/>
      <c r="E1427" s="278"/>
      <c r="F1427" s="271"/>
      <c r="G1427" s="271">
        <v>12</v>
      </c>
      <c r="H1427" s="281"/>
      <c r="I1427" s="257">
        <f>G1427</f>
        <v>12</v>
      </c>
    </row>
    <row r="1428" spans="1:9">
      <c r="A1428" s="195"/>
      <c r="B1428" s="189"/>
      <c r="C1428" s="190"/>
      <c r="D1428" s="271"/>
      <c r="E1428" s="271"/>
      <c r="F1428" s="271"/>
      <c r="G1428" s="271"/>
      <c r="H1428" s="271"/>
      <c r="I1428" s="259"/>
    </row>
    <row r="1429" spans="1:9">
      <c r="A1429" s="135"/>
      <c r="B1429" s="170"/>
      <c r="C1429" s="136"/>
      <c r="D1429" s="275"/>
      <c r="E1429" s="275"/>
      <c r="F1429" s="275"/>
      <c r="G1429" s="276"/>
      <c r="H1429" s="276"/>
      <c r="I1429" s="277"/>
    </row>
    <row r="1430" spans="1:9" ht="28.8">
      <c r="A1430" s="605" t="s">
        <v>35346</v>
      </c>
      <c r="B1430" s="258" t="str">
        <f>VLOOKUP(A1430,GLOBAL!A:H,4,FALSE)</f>
        <v>MINI-DISJUNTOR TRIPOLAR 50A, CURVA C, 5KA, 127/220VCA, REFERÊNCIA SIEMENS, GE, SCHNEIDER OU EQUIVALENTE</v>
      </c>
      <c r="C1430" s="119" t="str">
        <f>VLOOKUP(A1430,GLOBAL!A:H,5,FALSE)</f>
        <v>UND</v>
      </c>
      <c r="D1430" s="267" t="s">
        <v>66</v>
      </c>
      <c r="E1430" s="267" t="s">
        <v>70</v>
      </c>
      <c r="F1430" s="267" t="s">
        <v>67</v>
      </c>
      <c r="G1430" s="267" t="s">
        <v>68</v>
      </c>
      <c r="H1430" s="267" t="s">
        <v>71</v>
      </c>
      <c r="I1430" s="268">
        <f>ROUND(SUM(I1431:I1433),2)</f>
        <v>5</v>
      </c>
    </row>
    <row r="1431" spans="1:9">
      <c r="A1431" s="198"/>
      <c r="B1431" s="200" t="s">
        <v>2874</v>
      </c>
      <c r="C1431" s="199"/>
      <c r="D1431" s="281"/>
      <c r="E1431" s="282"/>
      <c r="F1431" s="281"/>
      <c r="G1431" s="281"/>
      <c r="H1431" s="281"/>
      <c r="I1431" s="283"/>
    </row>
    <row r="1432" spans="1:9">
      <c r="A1432" s="197"/>
      <c r="B1432" s="189" t="s">
        <v>35564</v>
      </c>
      <c r="C1432" s="370"/>
      <c r="D1432" s="293"/>
      <c r="E1432" s="278"/>
      <c r="F1432" s="271"/>
      <c r="G1432" s="271">
        <v>5</v>
      </c>
      <c r="H1432" s="281"/>
      <c r="I1432" s="257">
        <f>G1432</f>
        <v>5</v>
      </c>
    </row>
    <row r="1433" spans="1:9">
      <c r="A1433" s="195"/>
      <c r="B1433" s="189"/>
      <c r="C1433" s="190"/>
      <c r="D1433" s="271"/>
      <c r="E1433" s="271"/>
      <c r="F1433" s="271"/>
      <c r="G1433" s="271"/>
      <c r="H1433" s="271"/>
      <c r="I1433" s="259"/>
    </row>
    <row r="1434" spans="1:9">
      <c r="A1434" s="135"/>
      <c r="B1434" s="170"/>
      <c r="C1434" s="136"/>
      <c r="D1434" s="275"/>
      <c r="E1434" s="275"/>
      <c r="F1434" s="275"/>
      <c r="G1434" s="276"/>
      <c r="H1434" s="276"/>
      <c r="I1434" s="277"/>
    </row>
    <row r="1435" spans="1:9" ht="28.8">
      <c r="A1435" s="605" t="s">
        <v>35347</v>
      </c>
      <c r="B1435" s="258" t="str">
        <f>VLOOKUP(A1435,GLOBAL!A:H,4,FALSE)</f>
        <v>MINI-DISJUNTOR BIPOLAR 25A, CURVA C, 5KA, 127/220VCA, REFERÊNCIA SIEMENS, GE, SCHNEIDER OU EQUIVALENTE</v>
      </c>
      <c r="C1435" s="119" t="str">
        <f>VLOOKUP(A1435,GLOBAL!A:H,5,FALSE)</f>
        <v>UND</v>
      </c>
      <c r="D1435" s="267" t="s">
        <v>66</v>
      </c>
      <c r="E1435" s="267" t="s">
        <v>70</v>
      </c>
      <c r="F1435" s="267" t="s">
        <v>67</v>
      </c>
      <c r="G1435" s="267" t="s">
        <v>68</v>
      </c>
      <c r="H1435" s="267" t="s">
        <v>71</v>
      </c>
      <c r="I1435" s="268">
        <f>ROUND(SUM(I1436:I1438),2)</f>
        <v>20</v>
      </c>
    </row>
    <row r="1436" spans="1:9">
      <c r="A1436" s="198"/>
      <c r="B1436" s="200" t="s">
        <v>2874</v>
      </c>
      <c r="C1436" s="199"/>
      <c r="D1436" s="281"/>
      <c r="E1436" s="282"/>
      <c r="F1436" s="281"/>
      <c r="G1436" s="281"/>
      <c r="H1436" s="281"/>
      <c r="I1436" s="283"/>
    </row>
    <row r="1437" spans="1:9">
      <c r="A1437" s="197"/>
      <c r="B1437" s="189" t="s">
        <v>35564</v>
      </c>
      <c r="C1437" s="370"/>
      <c r="D1437" s="293"/>
      <c r="E1437" s="278"/>
      <c r="F1437" s="271"/>
      <c r="G1437" s="271">
        <v>20</v>
      </c>
      <c r="H1437" s="281"/>
      <c r="I1437" s="257">
        <f>G1437</f>
        <v>20</v>
      </c>
    </row>
    <row r="1438" spans="1:9">
      <c r="A1438" s="195"/>
      <c r="B1438" s="189"/>
      <c r="C1438" s="190"/>
      <c r="D1438" s="271"/>
      <c r="E1438" s="271"/>
      <c r="F1438" s="271"/>
      <c r="G1438" s="271"/>
      <c r="H1438" s="271"/>
      <c r="I1438" s="259"/>
    </row>
    <row r="1439" spans="1:9">
      <c r="A1439" s="135"/>
      <c r="B1439" s="170"/>
      <c r="C1439" s="136"/>
      <c r="D1439" s="275"/>
      <c r="E1439" s="275"/>
      <c r="F1439" s="275"/>
      <c r="G1439" s="276"/>
      <c r="H1439" s="276"/>
      <c r="I1439" s="277"/>
    </row>
    <row r="1440" spans="1:9" ht="28.8">
      <c r="A1440" s="605" t="s">
        <v>35348</v>
      </c>
      <c r="B1440" s="258" t="str">
        <f>VLOOKUP(A1440,GLOBAL!A:H,4,FALSE)</f>
        <v>MINI-DISJUNTOR BIPOLAR 32A, CURVA C, 5KA, 127/220VCA, REFERÊNCIA SIEMENS, GE, SCHNEIDER OU EQUIVALENTE</v>
      </c>
      <c r="C1440" s="119" t="str">
        <f>VLOOKUP(A1440,GLOBAL!A:H,5,FALSE)</f>
        <v>UND</v>
      </c>
      <c r="D1440" s="267" t="s">
        <v>66</v>
      </c>
      <c r="E1440" s="267" t="s">
        <v>70</v>
      </c>
      <c r="F1440" s="267" t="s">
        <v>67</v>
      </c>
      <c r="G1440" s="267" t="s">
        <v>68</v>
      </c>
      <c r="H1440" s="267" t="s">
        <v>71</v>
      </c>
      <c r="I1440" s="268">
        <f>ROUND(SUM(I1441:I1443),2)</f>
        <v>6</v>
      </c>
    </row>
    <row r="1441" spans="1:9">
      <c r="A1441" s="198"/>
      <c r="B1441" s="200" t="s">
        <v>2874</v>
      </c>
      <c r="C1441" s="199"/>
      <c r="D1441" s="281"/>
      <c r="E1441" s="282"/>
      <c r="F1441" s="281"/>
      <c r="G1441" s="281"/>
      <c r="H1441" s="281"/>
      <c r="I1441" s="283"/>
    </row>
    <row r="1442" spans="1:9">
      <c r="A1442" s="197"/>
      <c r="B1442" s="189" t="s">
        <v>35564</v>
      </c>
      <c r="C1442" s="370"/>
      <c r="D1442" s="293"/>
      <c r="E1442" s="278"/>
      <c r="F1442" s="271"/>
      <c r="G1442" s="271">
        <v>6</v>
      </c>
      <c r="H1442" s="281"/>
      <c r="I1442" s="257">
        <f>G1442</f>
        <v>6</v>
      </c>
    </row>
    <row r="1443" spans="1:9">
      <c r="A1443" s="195"/>
      <c r="B1443" s="189"/>
      <c r="C1443" s="190"/>
      <c r="D1443" s="271"/>
      <c r="E1443" s="271"/>
      <c r="F1443" s="271"/>
      <c r="G1443" s="271"/>
      <c r="H1443" s="271"/>
      <c r="I1443" s="259"/>
    </row>
    <row r="1444" spans="1:9">
      <c r="A1444" s="135"/>
      <c r="B1444" s="170"/>
      <c r="C1444" s="136"/>
      <c r="D1444" s="275"/>
      <c r="E1444" s="275"/>
      <c r="F1444" s="275"/>
      <c r="G1444" s="276"/>
      <c r="H1444" s="276"/>
      <c r="I1444" s="277"/>
    </row>
    <row r="1445" spans="1:9" ht="28.8">
      <c r="A1445" s="605" t="s">
        <v>35349</v>
      </c>
      <c r="B1445" s="258" t="str">
        <f>VLOOKUP(A1445,GLOBAL!A:H,4,FALSE)</f>
        <v>MINI-DISJUNTOR BIPOLAR 40A, CURVA C, 5KA, 127/220VCA, REFERÊNCIA SIEMENS, GE, SCHNEIDER OU EQUIVALENTE</v>
      </c>
      <c r="C1445" s="119" t="str">
        <f>VLOOKUP(A1445,GLOBAL!A:H,5,FALSE)</f>
        <v>UND</v>
      </c>
      <c r="D1445" s="267" t="s">
        <v>66</v>
      </c>
      <c r="E1445" s="267" t="s">
        <v>70</v>
      </c>
      <c r="F1445" s="267" t="s">
        <v>67</v>
      </c>
      <c r="G1445" s="267" t="s">
        <v>68</v>
      </c>
      <c r="H1445" s="267" t="s">
        <v>71</v>
      </c>
      <c r="I1445" s="268">
        <f>ROUND(SUM(I1446:I1448),2)</f>
        <v>2</v>
      </c>
    </row>
    <row r="1446" spans="1:9">
      <c r="A1446" s="198"/>
      <c r="B1446" s="200" t="s">
        <v>2874</v>
      </c>
      <c r="C1446" s="199"/>
      <c r="D1446" s="281"/>
      <c r="E1446" s="282"/>
      <c r="F1446" s="281"/>
      <c r="G1446" s="281"/>
      <c r="H1446" s="281"/>
      <c r="I1446" s="283"/>
    </row>
    <row r="1447" spans="1:9">
      <c r="A1447" s="197"/>
      <c r="B1447" s="189" t="s">
        <v>35564</v>
      </c>
      <c r="C1447" s="370"/>
      <c r="D1447" s="293"/>
      <c r="E1447" s="278"/>
      <c r="F1447" s="271"/>
      <c r="G1447" s="271">
        <v>2</v>
      </c>
      <c r="H1447" s="281"/>
      <c r="I1447" s="257">
        <f>G1447</f>
        <v>2</v>
      </c>
    </row>
    <row r="1448" spans="1:9">
      <c r="A1448" s="195"/>
      <c r="B1448" s="189"/>
      <c r="C1448" s="190"/>
      <c r="D1448" s="271"/>
      <c r="E1448" s="271"/>
      <c r="F1448" s="271"/>
      <c r="G1448" s="271"/>
      <c r="H1448" s="271"/>
      <c r="I1448" s="259"/>
    </row>
    <row r="1449" spans="1:9">
      <c r="A1449" s="135"/>
      <c r="B1449" s="170"/>
      <c r="C1449" s="136"/>
      <c r="D1449" s="275"/>
      <c r="E1449" s="275"/>
      <c r="F1449" s="275"/>
      <c r="G1449" s="276"/>
      <c r="H1449" s="276"/>
      <c r="I1449" s="277"/>
    </row>
    <row r="1450" spans="1:9" ht="43.2">
      <c r="A1450" s="605" t="s">
        <v>35350</v>
      </c>
      <c r="B1450" s="258" t="str">
        <f>VLOOKUP(A1450,GLOBAL!A:H,4,FALSE)</f>
        <v>DISJUNTOR CAIXA MOLDADA TERMOMAGNETICO FIXO, TRIPOLAR 200A, ICU: 50KA, 400/500VCA, REFERÊNCIA SIEMENS, SOPRANO, SCHNEIDER OU EQUIVALENTE</v>
      </c>
      <c r="C1450" s="119" t="str">
        <f>VLOOKUP(A1450,GLOBAL!A:H,5,FALSE)</f>
        <v>UND</v>
      </c>
      <c r="D1450" s="267" t="s">
        <v>66</v>
      </c>
      <c r="E1450" s="267" t="s">
        <v>70</v>
      </c>
      <c r="F1450" s="267" t="s">
        <v>67</v>
      </c>
      <c r="G1450" s="267" t="s">
        <v>68</v>
      </c>
      <c r="H1450" s="267" t="s">
        <v>71</v>
      </c>
      <c r="I1450" s="268">
        <f>ROUND(SUM(I1451:I1453),2)</f>
        <v>1</v>
      </c>
    </row>
    <row r="1451" spans="1:9">
      <c r="A1451" s="198"/>
      <c r="B1451" s="200" t="s">
        <v>2874</v>
      </c>
      <c r="C1451" s="199"/>
      <c r="D1451" s="281"/>
      <c r="E1451" s="282"/>
      <c r="F1451" s="281"/>
      <c r="G1451" s="281"/>
      <c r="H1451" s="281"/>
      <c r="I1451" s="283"/>
    </row>
    <row r="1452" spans="1:9">
      <c r="A1452" s="197"/>
      <c r="B1452" s="189" t="s">
        <v>35564</v>
      </c>
      <c r="C1452" s="370"/>
      <c r="D1452" s="293"/>
      <c r="E1452" s="278"/>
      <c r="F1452" s="271"/>
      <c r="G1452" s="271">
        <v>1</v>
      </c>
      <c r="H1452" s="281"/>
      <c r="I1452" s="257">
        <f>G1452</f>
        <v>1</v>
      </c>
    </row>
    <row r="1453" spans="1:9">
      <c r="A1453" s="195"/>
      <c r="B1453" s="189"/>
      <c r="C1453" s="190"/>
      <c r="D1453" s="271"/>
      <c r="E1453" s="271"/>
      <c r="F1453" s="271"/>
      <c r="G1453" s="271"/>
      <c r="H1453" s="271"/>
      <c r="I1453" s="259"/>
    </row>
    <row r="1454" spans="1:9">
      <c r="A1454" s="135"/>
      <c r="B1454" s="170"/>
      <c r="C1454" s="136"/>
      <c r="D1454" s="275"/>
      <c r="E1454" s="275"/>
      <c r="F1454" s="275"/>
      <c r="G1454" s="276"/>
      <c r="H1454" s="276"/>
      <c r="I1454" s="277"/>
    </row>
    <row r="1455" spans="1:9" ht="28.8">
      <c r="A1455" s="605" t="s">
        <v>35351</v>
      </c>
      <c r="B1455" s="258" t="str">
        <f>VLOOKUP(A1455,GLOBAL!A:H,4,FALSE)</f>
        <v>DISPOSITIVO DE PROTEÇÃO CONTRA SURTO (DPS) BIPOLAR, 40KA, 275VCA, REFERÊNCIA SIEMENS, STECK, CLAMPER OU EQUIVALENTE</v>
      </c>
      <c r="C1455" s="119" t="str">
        <f>VLOOKUP(A1455,GLOBAL!A:H,5,FALSE)</f>
        <v>UND</v>
      </c>
      <c r="D1455" s="267" t="s">
        <v>66</v>
      </c>
      <c r="E1455" s="267" t="s">
        <v>70</v>
      </c>
      <c r="F1455" s="267" t="s">
        <v>67</v>
      </c>
      <c r="G1455" s="267" t="s">
        <v>68</v>
      </c>
      <c r="H1455" s="267" t="s">
        <v>71</v>
      </c>
      <c r="I1455" s="268">
        <f>ROUND(SUM(I1456:I1458),2)</f>
        <v>32</v>
      </c>
    </row>
    <row r="1456" spans="1:9">
      <c r="A1456" s="198"/>
      <c r="B1456" s="200" t="s">
        <v>2874</v>
      </c>
      <c r="C1456" s="199"/>
      <c r="D1456" s="281"/>
      <c r="E1456" s="282"/>
      <c r="F1456" s="281"/>
      <c r="G1456" s="281"/>
      <c r="H1456" s="281"/>
      <c r="I1456" s="283"/>
    </row>
    <row r="1457" spans="1:9">
      <c r="A1457" s="197"/>
      <c r="B1457" s="189" t="s">
        <v>35564</v>
      </c>
      <c r="C1457" s="370"/>
      <c r="D1457" s="293"/>
      <c r="E1457" s="278"/>
      <c r="F1457" s="271"/>
      <c r="G1457" s="271">
        <v>32</v>
      </c>
      <c r="H1457" s="281"/>
      <c r="I1457" s="257">
        <f>G1457</f>
        <v>32</v>
      </c>
    </row>
    <row r="1458" spans="1:9">
      <c r="A1458" s="195"/>
      <c r="B1458" s="189"/>
      <c r="C1458" s="190"/>
      <c r="D1458" s="271"/>
      <c r="E1458" s="271"/>
      <c r="F1458" s="271"/>
      <c r="G1458" s="271"/>
      <c r="H1458" s="271"/>
      <c r="I1458" s="259"/>
    </row>
    <row r="1459" spans="1:9">
      <c r="A1459" s="135"/>
      <c r="B1459" s="170"/>
      <c r="C1459" s="136"/>
      <c r="D1459" s="275"/>
      <c r="E1459" s="275"/>
      <c r="F1459" s="275"/>
      <c r="G1459" s="276"/>
      <c r="H1459" s="276"/>
      <c r="I1459" s="277"/>
    </row>
    <row r="1460" spans="1:9" ht="28.8">
      <c r="A1460" s="605" t="s">
        <v>35352</v>
      </c>
      <c r="B1460" s="258" t="str">
        <f>VLOOKUP(A1460,GLOBAL!A:H,4,FALSE)</f>
        <v>INTERRUPTOR DIFERENCIAL BIPOLAR DR 25A, 30MA ? 6KA, REFERÊNCIA SIEMENS, SCHNEIDER, WEG OU EQUIVALENTE</v>
      </c>
      <c r="C1460" s="119" t="str">
        <f>VLOOKUP(A1460,GLOBAL!A:H,5,FALSE)</f>
        <v>UND</v>
      </c>
      <c r="D1460" s="267" t="s">
        <v>66</v>
      </c>
      <c r="E1460" s="267" t="s">
        <v>70</v>
      </c>
      <c r="F1460" s="267" t="s">
        <v>67</v>
      </c>
      <c r="G1460" s="267" t="s">
        <v>68</v>
      </c>
      <c r="H1460" s="267" t="s">
        <v>71</v>
      </c>
      <c r="I1460" s="268">
        <f>ROUND(SUM(I1461:I1463),2)</f>
        <v>32</v>
      </c>
    </row>
    <row r="1461" spans="1:9">
      <c r="A1461" s="198"/>
      <c r="B1461" s="200" t="s">
        <v>2874</v>
      </c>
      <c r="C1461" s="199"/>
      <c r="D1461" s="281"/>
      <c r="E1461" s="282"/>
      <c r="F1461" s="281"/>
      <c r="G1461" s="281"/>
      <c r="H1461" s="281"/>
      <c r="I1461" s="283"/>
    </row>
    <row r="1462" spans="1:9">
      <c r="A1462" s="197"/>
      <c r="B1462" s="189" t="s">
        <v>35564</v>
      </c>
      <c r="C1462" s="370"/>
      <c r="D1462" s="293"/>
      <c r="E1462" s="278"/>
      <c r="F1462" s="271"/>
      <c r="G1462" s="271">
        <v>32</v>
      </c>
      <c r="H1462" s="281"/>
      <c r="I1462" s="257">
        <f>G1462</f>
        <v>32</v>
      </c>
    </row>
    <row r="1463" spans="1:9">
      <c r="A1463" s="195"/>
      <c r="B1463" s="189"/>
      <c r="C1463" s="190"/>
      <c r="D1463" s="271"/>
      <c r="E1463" s="271"/>
      <c r="F1463" s="271"/>
      <c r="G1463" s="271"/>
      <c r="H1463" s="271"/>
      <c r="I1463" s="259"/>
    </row>
    <row r="1464" spans="1:9">
      <c r="A1464" s="135"/>
      <c r="B1464" s="170"/>
      <c r="C1464" s="136"/>
      <c r="D1464" s="275"/>
      <c r="E1464" s="275"/>
      <c r="F1464" s="275"/>
      <c r="G1464" s="276"/>
      <c r="H1464" s="276"/>
      <c r="I1464" s="277"/>
    </row>
    <row r="1465" spans="1:9">
      <c r="A1465" s="184" t="s">
        <v>35353</v>
      </c>
      <c r="B1465" s="171" t="str">
        <f>VLOOKUP(A1465,GLOBAL!A:H,4,FALSE)</f>
        <v>FIOS E CABOS</v>
      </c>
      <c r="C1465" s="172"/>
      <c r="D1465" s="265"/>
      <c r="E1465" s="265"/>
      <c r="F1465" s="265"/>
      <c r="G1465" s="265"/>
      <c r="H1465" s="265"/>
      <c r="I1465" s="266"/>
    </row>
    <row r="1466" spans="1:9" ht="28.8">
      <c r="A1466" s="605" t="s">
        <v>35354</v>
      </c>
      <c r="B1466" s="258" t="str">
        <f>VLOOKUP(A1466,GLOBAL!A:H,4,FALSE)</f>
        <v>CABO DE COBRE TERMOPLÁSTICO (PVC) FLEXÍVEL ISOLADO 450/750V, ANTICHAMA BWF LIVRE DE CHUMBO, 70ºC - 1,5MM2</v>
      </c>
      <c r="C1466" s="119" t="str">
        <f>VLOOKUP(A1466,GLOBAL!A:H,5,FALSE)</f>
        <v>M</v>
      </c>
      <c r="D1466" s="267" t="s">
        <v>66</v>
      </c>
      <c r="E1466" s="267" t="s">
        <v>70</v>
      </c>
      <c r="F1466" s="267" t="s">
        <v>67</v>
      </c>
      <c r="G1466" s="267" t="s">
        <v>68</v>
      </c>
      <c r="H1466" s="267" t="s">
        <v>71</v>
      </c>
      <c r="I1466" s="268">
        <f>ROUND(SUM(I1467:I1469),2)</f>
        <v>15000</v>
      </c>
    </row>
    <row r="1467" spans="1:9">
      <c r="A1467" s="198"/>
      <c r="B1467" s="200" t="s">
        <v>2874</v>
      </c>
      <c r="C1467" s="199"/>
      <c r="D1467" s="281"/>
      <c r="E1467" s="282"/>
      <c r="F1467" s="281"/>
      <c r="G1467" s="281"/>
      <c r="H1467" s="281"/>
      <c r="I1467" s="283"/>
    </row>
    <row r="1468" spans="1:9">
      <c r="A1468" s="197"/>
      <c r="B1468" s="189" t="s">
        <v>35565</v>
      </c>
      <c r="C1468" s="370"/>
      <c r="D1468" s="293">
        <v>8000</v>
      </c>
      <c r="E1468" s="278"/>
      <c r="F1468" s="271"/>
      <c r="G1468" s="271"/>
      <c r="H1468" s="281"/>
      <c r="I1468" s="257">
        <f>D1468</f>
        <v>8000</v>
      </c>
    </row>
    <row r="1469" spans="1:9">
      <c r="A1469" s="195"/>
      <c r="B1469" s="189" t="s">
        <v>35655</v>
      </c>
      <c r="C1469" s="190"/>
      <c r="D1469" s="271">
        <v>7000</v>
      </c>
      <c r="E1469" s="271"/>
      <c r="F1469" s="271"/>
      <c r="G1469" s="271"/>
      <c r="H1469" s="271"/>
      <c r="I1469" s="259">
        <f>D1469</f>
        <v>7000</v>
      </c>
    </row>
    <row r="1470" spans="1:9">
      <c r="A1470" s="135"/>
      <c r="B1470" s="170"/>
      <c r="C1470" s="136"/>
      <c r="D1470" s="275"/>
      <c r="E1470" s="275"/>
      <c r="F1470" s="275"/>
      <c r="G1470" s="276"/>
      <c r="H1470" s="276"/>
      <c r="I1470" s="277"/>
    </row>
    <row r="1471" spans="1:9" ht="28.8">
      <c r="A1471" s="605" t="s">
        <v>35355</v>
      </c>
      <c r="B1471" s="258" t="str">
        <f>VLOOKUP(A1471,GLOBAL!A:H,4,FALSE)</f>
        <v>CABO DE COBRE TERMOPLÁSTICO (PVC) FLEXÍVEL ISOLADO 450/750V, ANTICHAMA BWF LIVRE DE CHUMBO, 70ºC - 2,5MM2</v>
      </c>
      <c r="C1471" s="119" t="str">
        <f>VLOOKUP(A1471,GLOBAL!A:H,5,FALSE)</f>
        <v>M</v>
      </c>
      <c r="D1471" s="267" t="s">
        <v>66</v>
      </c>
      <c r="E1471" s="267" t="s">
        <v>70</v>
      </c>
      <c r="F1471" s="267" t="s">
        <v>67</v>
      </c>
      <c r="G1471" s="267" t="s">
        <v>68</v>
      </c>
      <c r="H1471" s="267" t="s">
        <v>71</v>
      </c>
      <c r="I1471" s="268">
        <f>ROUND(SUM(I1472:I1474),2)</f>
        <v>10000</v>
      </c>
    </row>
    <row r="1472" spans="1:9">
      <c r="A1472" s="198"/>
      <c r="B1472" s="200" t="s">
        <v>2874</v>
      </c>
      <c r="C1472" s="199"/>
      <c r="D1472" s="281"/>
      <c r="E1472" s="282"/>
      <c r="F1472" s="281"/>
      <c r="G1472" s="281"/>
      <c r="H1472" s="281"/>
      <c r="I1472" s="283"/>
    </row>
    <row r="1473" spans="1:9">
      <c r="A1473" s="197"/>
      <c r="B1473" s="189" t="s">
        <v>35565</v>
      </c>
      <c r="C1473" s="370"/>
      <c r="D1473" s="293">
        <v>6000</v>
      </c>
      <c r="E1473" s="278"/>
      <c r="F1473" s="271"/>
      <c r="G1473" s="271"/>
      <c r="H1473" s="281"/>
      <c r="I1473" s="257">
        <f>D1473</f>
        <v>6000</v>
      </c>
    </row>
    <row r="1474" spans="1:9">
      <c r="A1474" s="195"/>
      <c r="B1474" s="189" t="s">
        <v>35655</v>
      </c>
      <c r="C1474" s="190"/>
      <c r="D1474" s="271">
        <v>4000</v>
      </c>
      <c r="E1474" s="271"/>
      <c r="F1474" s="271"/>
      <c r="G1474" s="271"/>
      <c r="H1474" s="271"/>
      <c r="I1474" s="259">
        <f>D1474</f>
        <v>4000</v>
      </c>
    </row>
    <row r="1475" spans="1:9">
      <c r="A1475" s="135"/>
      <c r="B1475" s="170"/>
      <c r="C1475" s="136"/>
      <c r="D1475" s="275"/>
      <c r="E1475" s="275"/>
      <c r="F1475" s="275"/>
      <c r="G1475" s="276"/>
      <c r="H1475" s="276"/>
      <c r="I1475" s="277"/>
    </row>
    <row r="1476" spans="1:9" ht="28.8">
      <c r="A1476" s="605" t="s">
        <v>35356</v>
      </c>
      <c r="B1476" s="258" t="str">
        <f>VLOOKUP(A1476,GLOBAL!A:H,4,FALSE)</f>
        <v>CABO DE COBRE TERMOPLÁSTICO (PVC) FLEXÍVEL ISOLADO 450/750V, ANTICHAMA BWF LIVRE DE CHUMBO, 70ºC ? 4,0MM2</v>
      </c>
      <c r="C1476" s="119" t="str">
        <f>VLOOKUP(A1476,GLOBAL!A:H,5,FALSE)</f>
        <v>M</v>
      </c>
      <c r="D1476" s="267" t="s">
        <v>66</v>
      </c>
      <c r="E1476" s="267" t="s">
        <v>70</v>
      </c>
      <c r="F1476" s="267" t="s">
        <v>67</v>
      </c>
      <c r="G1476" s="267" t="s">
        <v>68</v>
      </c>
      <c r="H1476" s="267" t="s">
        <v>71</v>
      </c>
      <c r="I1476" s="268">
        <f>ROUND(SUM(I1477:I1479),2)</f>
        <v>7000</v>
      </c>
    </row>
    <row r="1477" spans="1:9">
      <c r="A1477" s="198"/>
      <c r="B1477" s="200" t="s">
        <v>2874</v>
      </c>
      <c r="C1477" s="199"/>
      <c r="D1477" s="281"/>
      <c r="E1477" s="282"/>
      <c r="F1477" s="281"/>
      <c r="G1477" s="281"/>
      <c r="H1477" s="281"/>
      <c r="I1477" s="283"/>
    </row>
    <row r="1478" spans="1:9">
      <c r="A1478" s="197"/>
      <c r="B1478" s="189" t="s">
        <v>35565</v>
      </c>
      <c r="C1478" s="370"/>
      <c r="D1478" s="293">
        <v>4000</v>
      </c>
      <c r="E1478" s="278"/>
      <c r="F1478" s="271"/>
      <c r="G1478" s="271"/>
      <c r="H1478" s="281"/>
      <c r="I1478" s="257">
        <f>D1478</f>
        <v>4000</v>
      </c>
    </row>
    <row r="1479" spans="1:9">
      <c r="A1479" s="195"/>
      <c r="B1479" s="189" t="s">
        <v>35655</v>
      </c>
      <c r="C1479" s="190"/>
      <c r="D1479" s="271">
        <v>3000</v>
      </c>
      <c r="E1479" s="271"/>
      <c r="F1479" s="271"/>
      <c r="G1479" s="271"/>
      <c r="H1479" s="271"/>
      <c r="I1479" s="259">
        <f>D1479</f>
        <v>3000</v>
      </c>
    </row>
    <row r="1480" spans="1:9">
      <c r="A1480" s="135"/>
      <c r="B1480" s="170"/>
      <c r="C1480" s="136"/>
      <c r="D1480" s="275"/>
      <c r="E1480" s="275"/>
      <c r="F1480" s="275"/>
      <c r="G1480" s="276"/>
      <c r="H1480" s="276"/>
      <c r="I1480" s="277"/>
    </row>
    <row r="1481" spans="1:9" ht="28.8">
      <c r="A1481" s="605" t="s">
        <v>35357</v>
      </c>
      <c r="B1481" s="258" t="str">
        <f>VLOOKUP(A1481,GLOBAL!A:H,4,FALSE)</f>
        <v>CABO DE COBRE TERMOPLÁSTICO (PVC) FLEXÍVEL ISOLADO 450/750V, ANTICHAMA BWF LIVRE DE CHUMBO, 70ºC ? 6,0MM2</v>
      </c>
      <c r="C1481" s="119" t="str">
        <f>VLOOKUP(A1481,GLOBAL!A:H,5,FALSE)</f>
        <v>M</v>
      </c>
      <c r="D1481" s="267" t="s">
        <v>66</v>
      </c>
      <c r="E1481" s="267" t="s">
        <v>70</v>
      </c>
      <c r="F1481" s="267" t="s">
        <v>67</v>
      </c>
      <c r="G1481" s="267" t="s">
        <v>68</v>
      </c>
      <c r="H1481" s="267" t="s">
        <v>71</v>
      </c>
      <c r="I1481" s="268">
        <f>ROUND(SUM(I1482:I1484),2)</f>
        <v>6000</v>
      </c>
    </row>
    <row r="1482" spans="1:9">
      <c r="A1482" s="198"/>
      <c r="B1482" s="200" t="s">
        <v>2874</v>
      </c>
      <c r="C1482" s="199"/>
      <c r="D1482" s="281"/>
      <c r="E1482" s="282"/>
      <c r="F1482" s="281"/>
      <c r="G1482" s="281"/>
      <c r="H1482" s="281"/>
      <c r="I1482" s="283"/>
    </row>
    <row r="1483" spans="1:9">
      <c r="A1483" s="197"/>
      <c r="B1483" s="189" t="s">
        <v>35565</v>
      </c>
      <c r="C1483" s="370"/>
      <c r="D1483" s="293">
        <v>3500</v>
      </c>
      <c r="E1483" s="278"/>
      <c r="F1483" s="271"/>
      <c r="G1483" s="271"/>
      <c r="H1483" s="281"/>
      <c r="I1483" s="257">
        <f>D1483</f>
        <v>3500</v>
      </c>
    </row>
    <row r="1484" spans="1:9">
      <c r="A1484" s="195"/>
      <c r="B1484" s="189" t="s">
        <v>35655</v>
      </c>
      <c r="C1484" s="190"/>
      <c r="D1484" s="271">
        <v>2500</v>
      </c>
      <c r="E1484" s="271"/>
      <c r="F1484" s="271"/>
      <c r="G1484" s="271"/>
      <c r="H1484" s="271"/>
      <c r="I1484" s="259">
        <f>D1484</f>
        <v>2500</v>
      </c>
    </row>
    <row r="1485" spans="1:9">
      <c r="A1485" s="135"/>
      <c r="B1485" s="170"/>
      <c r="C1485" s="136"/>
      <c r="D1485" s="275"/>
      <c r="E1485" s="275"/>
      <c r="F1485" s="275"/>
      <c r="G1485" s="276"/>
      <c r="H1485" s="276"/>
      <c r="I1485" s="277"/>
    </row>
    <row r="1486" spans="1:9" ht="28.8">
      <c r="A1486" s="605" t="s">
        <v>35358</v>
      </c>
      <c r="B1486" s="258" t="str">
        <f>VLOOKUP(A1486,GLOBAL!A:H,4,FALSE)</f>
        <v>CABO DE COBRE TERMOPLÁSTICO (PVC) FLEXÍVEL ISOLADO 450/750V, ANTICHAMA BWF LIVRE DE CHUMBO, 70ºC ? 10,0MM2</v>
      </c>
      <c r="C1486" s="119" t="str">
        <f>VLOOKUP(A1486,GLOBAL!A:H,5,FALSE)</f>
        <v>M</v>
      </c>
      <c r="D1486" s="267" t="s">
        <v>66</v>
      </c>
      <c r="E1486" s="267" t="s">
        <v>70</v>
      </c>
      <c r="F1486" s="267" t="s">
        <v>67</v>
      </c>
      <c r="G1486" s="267" t="s">
        <v>68</v>
      </c>
      <c r="H1486" s="267" t="s">
        <v>71</v>
      </c>
      <c r="I1486" s="268">
        <f>ROUND(SUM(I1487:I1489),2)</f>
        <v>4000</v>
      </c>
    </row>
    <row r="1487" spans="1:9">
      <c r="A1487" s="198"/>
      <c r="B1487" s="200" t="s">
        <v>2874</v>
      </c>
      <c r="C1487" s="199"/>
      <c r="D1487" s="281"/>
      <c r="E1487" s="282"/>
      <c r="F1487" s="281"/>
      <c r="G1487" s="281"/>
      <c r="H1487" s="281"/>
      <c r="I1487" s="283"/>
    </row>
    <row r="1488" spans="1:9">
      <c r="A1488" s="197"/>
      <c r="B1488" s="189" t="s">
        <v>35565</v>
      </c>
      <c r="C1488" s="370"/>
      <c r="D1488" s="293">
        <v>2800</v>
      </c>
      <c r="E1488" s="278"/>
      <c r="F1488" s="271"/>
      <c r="G1488" s="271"/>
      <c r="H1488" s="281"/>
      <c r="I1488" s="257">
        <f>D1488</f>
        <v>2800</v>
      </c>
    </row>
    <row r="1489" spans="1:9">
      <c r="A1489" s="195"/>
      <c r="B1489" s="189" t="s">
        <v>35655</v>
      </c>
      <c r="C1489" s="190"/>
      <c r="D1489" s="271">
        <v>1200</v>
      </c>
      <c r="E1489" s="271"/>
      <c r="F1489" s="271"/>
      <c r="G1489" s="271"/>
      <c r="H1489" s="271"/>
      <c r="I1489" s="259">
        <f>D1489</f>
        <v>1200</v>
      </c>
    </row>
    <row r="1490" spans="1:9">
      <c r="A1490" s="135"/>
      <c r="B1490" s="170"/>
      <c r="C1490" s="136"/>
      <c r="D1490" s="275"/>
      <c r="E1490" s="275"/>
      <c r="F1490" s="275"/>
      <c r="G1490" s="276"/>
      <c r="H1490" s="276"/>
      <c r="I1490" s="277"/>
    </row>
    <row r="1491" spans="1:9" ht="28.8">
      <c r="A1491" s="605" t="s">
        <v>35359</v>
      </c>
      <c r="B1491" s="258" t="str">
        <f>VLOOKUP(A1491,GLOBAL!A:H,4,FALSE)</f>
        <v>CABO DE COBRE TERMOPLÁSTICO (PVC) FLEXÍVEL ISOLADO 450/750V, ANTICHAMA BWF LIVRE DE CHUMBO, 70ºC ? 16,0MM2</v>
      </c>
      <c r="C1491" s="119" t="str">
        <f>VLOOKUP(A1491,GLOBAL!A:H,5,FALSE)</f>
        <v>M</v>
      </c>
      <c r="D1491" s="267" t="s">
        <v>66</v>
      </c>
      <c r="E1491" s="267" t="s">
        <v>70</v>
      </c>
      <c r="F1491" s="267" t="s">
        <v>67</v>
      </c>
      <c r="G1491" s="267" t="s">
        <v>68</v>
      </c>
      <c r="H1491" s="267" t="s">
        <v>71</v>
      </c>
      <c r="I1491" s="268">
        <f>ROUND(SUM(I1492:I1494),2)</f>
        <v>4000</v>
      </c>
    </row>
    <row r="1492" spans="1:9">
      <c r="A1492" s="198"/>
      <c r="B1492" s="200" t="s">
        <v>2874</v>
      </c>
      <c r="C1492" s="199"/>
      <c r="D1492" s="281"/>
      <c r="E1492" s="282"/>
      <c r="F1492" s="281"/>
      <c r="G1492" s="281"/>
      <c r="H1492" s="281"/>
      <c r="I1492" s="283"/>
    </row>
    <row r="1493" spans="1:9">
      <c r="A1493" s="197"/>
      <c r="B1493" s="189" t="s">
        <v>35565</v>
      </c>
      <c r="C1493" s="370"/>
      <c r="D1493" s="293">
        <v>2600</v>
      </c>
      <c r="E1493" s="278"/>
      <c r="F1493" s="271"/>
      <c r="G1493" s="271"/>
      <c r="H1493" s="281"/>
      <c r="I1493" s="257">
        <f>D1493</f>
        <v>2600</v>
      </c>
    </row>
    <row r="1494" spans="1:9">
      <c r="A1494" s="195"/>
      <c r="B1494" s="189" t="s">
        <v>35655</v>
      </c>
      <c r="C1494" s="190"/>
      <c r="D1494" s="271">
        <v>1400</v>
      </c>
      <c r="E1494" s="271"/>
      <c r="F1494" s="271"/>
      <c r="G1494" s="271"/>
      <c r="H1494" s="271"/>
      <c r="I1494" s="259">
        <f>D1494</f>
        <v>1400</v>
      </c>
    </row>
    <row r="1495" spans="1:9">
      <c r="A1495" s="135"/>
      <c r="B1495" s="170"/>
      <c r="C1495" s="136"/>
      <c r="D1495" s="275"/>
      <c r="E1495" s="275"/>
      <c r="F1495" s="275"/>
      <c r="G1495" s="276"/>
      <c r="H1495" s="276"/>
      <c r="I1495" s="277"/>
    </row>
    <row r="1496" spans="1:9" ht="28.8">
      <c r="A1496" s="605" t="s">
        <v>35360</v>
      </c>
      <c r="B1496" s="258" t="str">
        <f>VLOOKUP(A1496,GLOBAL!A:H,4,FALSE)</f>
        <v>CABO DE COBRE TERMOPLÁSTICO (PVC) FLEXÍVEL ISOLADO 450/750V, ANTICHAMA BWF LIVRE DE CHUMBO, 70ºC ? 25,0MM2</v>
      </c>
      <c r="C1496" s="119" t="str">
        <f>VLOOKUP(A1496,GLOBAL!A:H,5,FALSE)</f>
        <v>M</v>
      </c>
      <c r="D1496" s="267" t="s">
        <v>66</v>
      </c>
      <c r="E1496" s="267" t="s">
        <v>70</v>
      </c>
      <c r="F1496" s="267" t="s">
        <v>67</v>
      </c>
      <c r="G1496" s="267" t="s">
        <v>68</v>
      </c>
      <c r="H1496" s="267" t="s">
        <v>71</v>
      </c>
      <c r="I1496" s="268">
        <f>ROUND(SUM(I1497:I1499),2)</f>
        <v>1800</v>
      </c>
    </row>
    <row r="1497" spans="1:9">
      <c r="A1497" s="198"/>
      <c r="B1497" s="200" t="s">
        <v>2874</v>
      </c>
      <c r="C1497" s="199"/>
      <c r="D1497" s="281"/>
      <c r="E1497" s="282"/>
      <c r="F1497" s="281"/>
      <c r="G1497" s="281"/>
      <c r="H1497" s="281"/>
      <c r="I1497" s="283"/>
    </row>
    <row r="1498" spans="1:9">
      <c r="A1498" s="197"/>
      <c r="B1498" s="189" t="s">
        <v>35565</v>
      </c>
      <c r="C1498" s="370"/>
      <c r="D1498" s="293">
        <v>1000</v>
      </c>
      <c r="E1498" s="278"/>
      <c r="F1498" s="271"/>
      <c r="G1498" s="271"/>
      <c r="H1498" s="281"/>
      <c r="I1498" s="257">
        <f>D1498</f>
        <v>1000</v>
      </c>
    </row>
    <row r="1499" spans="1:9">
      <c r="A1499" s="195"/>
      <c r="B1499" s="189" t="s">
        <v>35655</v>
      </c>
      <c r="C1499" s="190"/>
      <c r="D1499" s="271">
        <v>800</v>
      </c>
      <c r="E1499" s="271"/>
      <c r="F1499" s="271"/>
      <c r="G1499" s="271"/>
      <c r="H1499" s="271"/>
      <c r="I1499" s="259">
        <f>D1499</f>
        <v>800</v>
      </c>
    </row>
    <row r="1500" spans="1:9">
      <c r="A1500" s="135"/>
      <c r="B1500" s="170"/>
      <c r="C1500" s="136"/>
      <c r="D1500" s="275"/>
      <c r="E1500" s="275"/>
      <c r="F1500" s="275"/>
      <c r="G1500" s="276"/>
      <c r="H1500" s="276"/>
      <c r="I1500" s="277"/>
    </row>
    <row r="1501" spans="1:9" ht="28.8">
      <c r="A1501" s="605" t="s">
        <v>35361</v>
      </c>
      <c r="B1501" s="258" t="str">
        <f>VLOOKUP(A1501,GLOBAL!A:H,4,FALSE)</f>
        <v>CABO DE COBRE TERMOPLÁSTICO (PVC) FLEXÍVEL ISOLADO 0,60/1KV, ANTICHAMA, HEPR 90ºC ? 150,0MM2</v>
      </c>
      <c r="C1501" s="119" t="str">
        <f>VLOOKUP(A1501,GLOBAL!A:H,5,FALSE)</f>
        <v>M</v>
      </c>
      <c r="D1501" s="267" t="s">
        <v>66</v>
      </c>
      <c r="E1501" s="267" t="s">
        <v>70</v>
      </c>
      <c r="F1501" s="267" t="s">
        <v>67</v>
      </c>
      <c r="G1501" s="267" t="s">
        <v>68</v>
      </c>
      <c r="H1501" s="267" t="s">
        <v>71</v>
      </c>
      <c r="I1501" s="268">
        <f>ROUND(SUM(I1502:I1504),2)</f>
        <v>500</v>
      </c>
    </row>
    <row r="1502" spans="1:9">
      <c r="A1502" s="198"/>
      <c r="B1502" s="200" t="s">
        <v>2874</v>
      </c>
      <c r="C1502" s="199"/>
      <c r="D1502" s="281"/>
      <c r="E1502" s="282"/>
      <c r="F1502" s="281"/>
      <c r="G1502" s="281"/>
      <c r="H1502" s="281"/>
      <c r="I1502" s="283"/>
    </row>
    <row r="1503" spans="1:9">
      <c r="A1503" s="197"/>
      <c r="B1503" s="189" t="s">
        <v>35565</v>
      </c>
      <c r="C1503" s="370"/>
      <c r="D1503" s="293">
        <v>350</v>
      </c>
      <c r="E1503" s="278"/>
      <c r="F1503" s="271"/>
      <c r="G1503" s="271"/>
      <c r="H1503" s="281"/>
      <c r="I1503" s="257">
        <f>D1503</f>
        <v>350</v>
      </c>
    </row>
    <row r="1504" spans="1:9">
      <c r="A1504" s="195"/>
      <c r="B1504" s="189" t="s">
        <v>35655</v>
      </c>
      <c r="C1504" s="190"/>
      <c r="D1504" s="271">
        <v>150</v>
      </c>
      <c r="E1504" s="271"/>
      <c r="F1504" s="271"/>
      <c r="G1504" s="271"/>
      <c r="H1504" s="271"/>
      <c r="I1504" s="259">
        <f>D1504</f>
        <v>150</v>
      </c>
    </row>
    <row r="1505" spans="1:9">
      <c r="A1505" s="135"/>
      <c r="B1505" s="170"/>
      <c r="C1505" s="136"/>
      <c r="D1505" s="275"/>
      <c r="E1505" s="275"/>
      <c r="F1505" s="275"/>
      <c r="G1505" s="276"/>
      <c r="H1505" s="276"/>
      <c r="I1505" s="277"/>
    </row>
    <row r="1506" spans="1:9" ht="28.8">
      <c r="A1506" s="605" t="s">
        <v>35362</v>
      </c>
      <c r="B1506" s="258" t="str">
        <f>VLOOKUP(A1506,GLOBAL!A:H,4,FALSE)</f>
        <v>CABO DE COBRE TERMOPLÁSTICO (PVC) FLEXÍVEL ISOLADO 0,60/1KV, ANTICHAMA, HEPR 90ºC ? 240,0MM2</v>
      </c>
      <c r="C1506" s="119" t="str">
        <f>VLOOKUP(A1506,GLOBAL!A:H,5,FALSE)</f>
        <v>M</v>
      </c>
      <c r="D1506" s="267" t="s">
        <v>66</v>
      </c>
      <c r="E1506" s="267" t="s">
        <v>70</v>
      </c>
      <c r="F1506" s="267" t="s">
        <v>67</v>
      </c>
      <c r="G1506" s="267" t="s">
        <v>68</v>
      </c>
      <c r="H1506" s="267" t="s">
        <v>71</v>
      </c>
      <c r="I1506" s="268">
        <f>ROUND(SUM(I1507:I1509),2)</f>
        <v>300</v>
      </c>
    </row>
    <row r="1507" spans="1:9">
      <c r="A1507" s="198"/>
      <c r="B1507" s="200" t="s">
        <v>2874</v>
      </c>
      <c r="C1507" s="199"/>
      <c r="D1507" s="281"/>
      <c r="E1507" s="282"/>
      <c r="F1507" s="281"/>
      <c r="G1507" s="281"/>
      <c r="H1507" s="281"/>
      <c r="I1507" s="283"/>
    </row>
    <row r="1508" spans="1:9">
      <c r="A1508" s="197"/>
      <c r="B1508" s="189" t="s">
        <v>35565</v>
      </c>
      <c r="C1508" s="370"/>
      <c r="D1508" s="293">
        <v>200</v>
      </c>
      <c r="E1508" s="278"/>
      <c r="F1508" s="271"/>
      <c r="G1508" s="271"/>
      <c r="H1508" s="281"/>
      <c r="I1508" s="257">
        <f>D1508</f>
        <v>200</v>
      </c>
    </row>
    <row r="1509" spans="1:9">
      <c r="A1509" s="195"/>
      <c r="B1509" s="189" t="s">
        <v>35655</v>
      </c>
      <c r="C1509" s="190"/>
      <c r="D1509" s="271">
        <v>100</v>
      </c>
      <c r="E1509" s="271"/>
      <c r="F1509" s="271"/>
      <c r="G1509" s="271"/>
      <c r="H1509" s="271"/>
      <c r="I1509" s="259">
        <f>D1509</f>
        <v>100</v>
      </c>
    </row>
    <row r="1510" spans="1:9">
      <c r="A1510" s="135"/>
      <c r="B1510" s="170"/>
      <c r="C1510" s="136"/>
      <c r="D1510" s="275"/>
      <c r="E1510" s="275"/>
      <c r="F1510" s="275"/>
      <c r="G1510" s="276"/>
      <c r="H1510" s="276"/>
      <c r="I1510" s="277"/>
    </row>
    <row r="1511" spans="1:9" ht="43.2">
      <c r="A1511" s="605" t="s">
        <v>35853</v>
      </c>
      <c r="B1511" s="258" t="str">
        <f>VLOOKUP(A1511,GLOBAL!A:H,4,FALSE)</f>
        <v>CABO DE COBRE FLEXÍVEL ISOLADO, 300 MM², ANTI-CHAMA 0,6/1,0 KV, PARA REDE ENTERRADA DE DISTRIBUIÇÃO DE ENERGIA ELÉTRICA - FORNECIMENTO E INSTALAÇÃO. AF_12/2021</v>
      </c>
      <c r="C1511" s="119" t="str">
        <f>VLOOKUP(A1511,GLOBAL!A:H,5,FALSE)</f>
        <v>M</v>
      </c>
      <c r="D1511" s="267" t="s">
        <v>66</v>
      </c>
      <c r="E1511" s="267" t="s">
        <v>70</v>
      </c>
      <c r="F1511" s="267" t="s">
        <v>67</v>
      </c>
      <c r="G1511" s="267" t="s">
        <v>68</v>
      </c>
      <c r="H1511" s="267" t="s">
        <v>71</v>
      </c>
      <c r="I1511" s="268">
        <f>ROUND(SUM(I1512:I1514),2)</f>
        <v>800</v>
      </c>
    </row>
    <row r="1512" spans="1:9">
      <c r="A1512" s="198"/>
      <c r="B1512" s="200" t="s">
        <v>2874</v>
      </c>
      <c r="C1512" s="199"/>
      <c r="D1512" s="281"/>
      <c r="E1512" s="282"/>
      <c r="F1512" s="281"/>
      <c r="G1512" s="281"/>
      <c r="H1512" s="281"/>
      <c r="I1512" s="283"/>
    </row>
    <row r="1513" spans="1:9">
      <c r="A1513" s="197"/>
      <c r="B1513" s="189" t="s">
        <v>35565</v>
      </c>
      <c r="C1513" s="370"/>
      <c r="D1513" s="293">
        <v>500</v>
      </c>
      <c r="E1513" s="278"/>
      <c r="F1513" s="271"/>
      <c r="G1513" s="271"/>
      <c r="H1513" s="281"/>
      <c r="I1513" s="257">
        <f>D1513</f>
        <v>500</v>
      </c>
    </row>
    <row r="1514" spans="1:9">
      <c r="A1514" s="195"/>
      <c r="B1514" s="189" t="s">
        <v>35655</v>
      </c>
      <c r="C1514" s="190"/>
      <c r="D1514" s="271">
        <v>300</v>
      </c>
      <c r="E1514" s="271"/>
      <c r="F1514" s="271"/>
      <c r="G1514" s="271"/>
      <c r="H1514" s="271"/>
      <c r="I1514" s="259">
        <f>D1514</f>
        <v>300</v>
      </c>
    </row>
    <row r="1515" spans="1:9">
      <c r="A1515" s="135"/>
      <c r="B1515" s="170"/>
      <c r="C1515" s="136"/>
      <c r="D1515" s="275"/>
      <c r="E1515" s="275"/>
      <c r="F1515" s="275"/>
      <c r="G1515" s="276"/>
      <c r="H1515" s="276"/>
      <c r="I1515" s="277"/>
    </row>
    <row r="1516" spans="1:9">
      <c r="A1516" s="184" t="s">
        <v>35363</v>
      </c>
      <c r="B1516" s="171" t="str">
        <f>VLOOKUP(A1516,GLOBAL!A:H,4,FALSE)</f>
        <v>SERVIÇOS DIVERSOS</v>
      </c>
      <c r="C1516" s="172"/>
      <c r="D1516" s="265"/>
      <c r="E1516" s="265"/>
      <c r="F1516" s="265"/>
      <c r="G1516" s="265"/>
      <c r="H1516" s="265"/>
      <c r="I1516" s="266"/>
    </row>
    <row r="1517" spans="1:9">
      <c r="A1517" s="605" t="s">
        <v>35364</v>
      </c>
      <c r="B1517" s="258" t="str">
        <f>VLOOKUP(A1517,GLOBAL!A:H,4,FALSE)</f>
        <v>HASTE DE TERRA TIPO COPPERWELD - 5/8" X 2.40M</v>
      </c>
      <c r="C1517" s="119" t="str">
        <f>VLOOKUP(A1517,GLOBAL!A:H,5,FALSE)</f>
        <v>UND</v>
      </c>
      <c r="D1517" s="267" t="s">
        <v>66</v>
      </c>
      <c r="E1517" s="267" t="s">
        <v>70</v>
      </c>
      <c r="F1517" s="267" t="s">
        <v>67</v>
      </c>
      <c r="G1517" s="267" t="s">
        <v>68</v>
      </c>
      <c r="H1517" s="267" t="s">
        <v>71</v>
      </c>
      <c r="I1517" s="268">
        <f>ROUND(SUM(I1518:I1520),2)</f>
        <v>50</v>
      </c>
    </row>
    <row r="1518" spans="1:9">
      <c r="A1518" s="198"/>
      <c r="B1518" s="200" t="s">
        <v>2874</v>
      </c>
      <c r="C1518" s="199"/>
      <c r="D1518" s="281"/>
      <c r="E1518" s="282"/>
      <c r="F1518" s="281"/>
      <c r="G1518" s="281"/>
      <c r="H1518" s="281"/>
      <c r="I1518" s="283"/>
    </row>
    <row r="1519" spans="1:9">
      <c r="A1519" s="197"/>
      <c r="B1519" s="189" t="s">
        <v>35566</v>
      </c>
      <c r="C1519" s="370"/>
      <c r="D1519" s="293"/>
      <c r="E1519" s="278"/>
      <c r="F1519" s="271"/>
      <c r="G1519" s="271">
        <v>50</v>
      </c>
      <c r="H1519" s="281"/>
      <c r="I1519" s="257">
        <f>G1519</f>
        <v>50</v>
      </c>
    </row>
    <row r="1520" spans="1:9">
      <c r="A1520" s="195"/>
      <c r="B1520" s="189"/>
      <c r="C1520" s="190"/>
      <c r="D1520" s="271"/>
      <c r="E1520" s="271"/>
      <c r="F1520" s="271"/>
      <c r="G1520" s="271"/>
      <c r="H1520" s="271"/>
      <c r="I1520" s="259"/>
    </row>
    <row r="1521" spans="1:9">
      <c r="A1521" s="135"/>
      <c r="B1521" s="170"/>
      <c r="C1521" s="136"/>
      <c r="D1521" s="275"/>
      <c r="E1521" s="275"/>
      <c r="F1521" s="275"/>
      <c r="G1521" s="276"/>
      <c r="H1521" s="276"/>
      <c r="I1521" s="277"/>
    </row>
    <row r="1522" spans="1:9">
      <c r="A1522" s="605" t="s">
        <v>35365</v>
      </c>
      <c r="B1522" s="258" t="str">
        <f>VLOOKUP(A1522,GLOBAL!A:H,4,FALSE)</f>
        <v>BUCHA E ARRUELA DE ALUMÍNIO FUNDIDO DIÂMETRO 20MM (3/4")</v>
      </c>
      <c r="C1522" s="119" t="str">
        <f>VLOOKUP(A1522,GLOBAL!A:H,5,FALSE)</f>
        <v>UND</v>
      </c>
      <c r="D1522" s="267" t="s">
        <v>66</v>
      </c>
      <c r="E1522" s="267" t="s">
        <v>70</v>
      </c>
      <c r="F1522" s="267" t="s">
        <v>67</v>
      </c>
      <c r="G1522" s="267" t="s">
        <v>68</v>
      </c>
      <c r="H1522" s="267" t="s">
        <v>71</v>
      </c>
      <c r="I1522" s="268">
        <f>ROUND(SUM(I1523:I1525),2)</f>
        <v>50</v>
      </c>
    </row>
    <row r="1523" spans="1:9">
      <c r="A1523" s="198"/>
      <c r="B1523" s="200" t="s">
        <v>2874</v>
      </c>
      <c r="C1523" s="199"/>
      <c r="D1523" s="281"/>
      <c r="E1523" s="282"/>
      <c r="F1523" s="281"/>
      <c r="G1523" s="281"/>
      <c r="H1523" s="281"/>
      <c r="I1523" s="283"/>
    </row>
    <row r="1524" spans="1:9">
      <c r="A1524" s="197"/>
      <c r="B1524" s="189" t="s">
        <v>35566</v>
      </c>
      <c r="C1524" s="370"/>
      <c r="D1524" s="293"/>
      <c r="E1524" s="278"/>
      <c r="F1524" s="271"/>
      <c r="G1524" s="271">
        <v>50</v>
      </c>
      <c r="H1524" s="281"/>
      <c r="I1524" s="257">
        <f>G1524</f>
        <v>50</v>
      </c>
    </row>
    <row r="1525" spans="1:9">
      <c r="A1525" s="195"/>
      <c r="B1525" s="189"/>
      <c r="C1525" s="190"/>
      <c r="D1525" s="271"/>
      <c r="E1525" s="271"/>
      <c r="F1525" s="271"/>
      <c r="G1525" s="271"/>
      <c r="H1525" s="271"/>
      <c r="I1525" s="259"/>
    </row>
    <row r="1526" spans="1:9">
      <c r="A1526" s="135"/>
      <c r="B1526" s="170"/>
      <c r="C1526" s="136"/>
      <c r="D1526" s="275"/>
      <c r="E1526" s="275"/>
      <c r="F1526" s="275"/>
      <c r="G1526" s="276"/>
      <c r="H1526" s="276"/>
      <c r="I1526" s="277"/>
    </row>
    <row r="1527" spans="1:9" ht="28.8">
      <c r="A1527" s="184" t="s">
        <v>35366</v>
      </c>
      <c r="B1527" s="171" t="str">
        <f>VLOOKUP(A1527,GLOBAL!A:H,4,FALSE)</f>
        <v>ABERTURA E FECHAMENTO DE RASGOS (INCLUSIVE PREPARO E APLICAÇÃO DE ARGAMASSA)</v>
      </c>
      <c r="C1527" s="172"/>
      <c r="D1527" s="265"/>
      <c r="E1527" s="265"/>
      <c r="F1527" s="265"/>
      <c r="G1527" s="265"/>
      <c r="H1527" s="265"/>
      <c r="I1527" s="266"/>
    </row>
    <row r="1528" spans="1:9" ht="28.8">
      <c r="A1528" s="605" t="s">
        <v>35367</v>
      </c>
      <c r="B1528" s="258" t="str">
        <f>VLOOKUP(A1528,GLOBAL!A:H,4,FALSE)</f>
        <v>ABERTURA E FECHAMENTO DE RASGOS EM ALVENARIA, PARA PASSAGEM DE ELETRODUTO DIÂM. 1 1/4"A 2"</v>
      </c>
      <c r="C1528" s="119" t="str">
        <f>VLOOKUP(A1528,GLOBAL!A:H,5,FALSE)</f>
        <v>M</v>
      </c>
      <c r="D1528" s="267" t="s">
        <v>66</v>
      </c>
      <c r="E1528" s="267" t="s">
        <v>70</v>
      </c>
      <c r="F1528" s="267" t="s">
        <v>67</v>
      </c>
      <c r="G1528" s="267" t="s">
        <v>68</v>
      </c>
      <c r="H1528" s="267" t="s">
        <v>71</v>
      </c>
      <c r="I1528" s="268">
        <f>ROUND(SUM(I1529:I1531),2)</f>
        <v>300</v>
      </c>
    </row>
    <row r="1529" spans="1:9">
      <c r="A1529" s="198"/>
      <c r="B1529" s="200" t="s">
        <v>2874</v>
      </c>
      <c r="C1529" s="199"/>
      <c r="D1529" s="281"/>
      <c r="E1529" s="282"/>
      <c r="F1529" s="281"/>
      <c r="G1529" s="281"/>
      <c r="H1529" s="281"/>
      <c r="I1529" s="283"/>
    </row>
    <row r="1530" spans="1:9">
      <c r="A1530" s="197"/>
      <c r="B1530" s="189" t="s">
        <v>35567</v>
      </c>
      <c r="C1530" s="370"/>
      <c r="D1530" s="293">
        <v>300</v>
      </c>
      <c r="E1530" s="278"/>
      <c r="F1530" s="271"/>
      <c r="G1530" s="271"/>
      <c r="H1530" s="281"/>
      <c r="I1530" s="257">
        <f>D1530</f>
        <v>300</v>
      </c>
    </row>
    <row r="1531" spans="1:9">
      <c r="A1531" s="195"/>
      <c r="B1531" s="189"/>
      <c r="C1531" s="190"/>
      <c r="D1531" s="271"/>
      <c r="E1531" s="271"/>
      <c r="F1531" s="271"/>
      <c r="G1531" s="271"/>
      <c r="H1531" s="271"/>
      <c r="I1531" s="259"/>
    </row>
    <row r="1532" spans="1:9">
      <c r="A1532" s="135"/>
      <c r="B1532" s="170"/>
      <c r="C1532" s="136"/>
      <c r="D1532" s="275"/>
      <c r="E1532" s="275"/>
      <c r="F1532" s="275"/>
      <c r="G1532" s="276"/>
      <c r="H1532" s="276"/>
      <c r="I1532" s="277"/>
    </row>
    <row r="1533" spans="1:9" ht="28.8">
      <c r="A1533" s="605" t="s">
        <v>35368</v>
      </c>
      <c r="B1533" s="258" t="str">
        <f>VLOOKUP(A1533,GLOBAL!A:H,4,FALSE)</f>
        <v>ABERTURA E FECHAMENTO DE RASGOS EM CONCRETO, PARA PASSAGEM DE ELETRODUTO DIÂM. 1 1/4" A 2"</v>
      </c>
      <c r="C1533" s="119" t="str">
        <f>VLOOKUP(A1533,GLOBAL!A:H,5,FALSE)</f>
        <v>M</v>
      </c>
      <c r="D1533" s="267" t="s">
        <v>66</v>
      </c>
      <c r="E1533" s="267" t="s">
        <v>70</v>
      </c>
      <c r="F1533" s="267" t="s">
        <v>67</v>
      </c>
      <c r="G1533" s="267" t="s">
        <v>68</v>
      </c>
      <c r="H1533" s="267" t="s">
        <v>71</v>
      </c>
      <c r="I1533" s="268">
        <f>ROUND(SUM(I1534:I1536),2)</f>
        <v>500</v>
      </c>
    </row>
    <row r="1534" spans="1:9">
      <c r="A1534" s="198"/>
      <c r="B1534" s="200" t="s">
        <v>2874</v>
      </c>
      <c r="C1534" s="199"/>
      <c r="D1534" s="281"/>
      <c r="E1534" s="282"/>
      <c r="F1534" s="281"/>
      <c r="G1534" s="281"/>
      <c r="H1534" s="281"/>
      <c r="I1534" s="283"/>
    </row>
    <row r="1535" spans="1:9">
      <c r="A1535" s="197"/>
      <c r="B1535" s="189" t="s">
        <v>35567</v>
      </c>
      <c r="C1535" s="370"/>
      <c r="D1535" s="293">
        <v>500</v>
      </c>
      <c r="E1535" s="278"/>
      <c r="F1535" s="271"/>
      <c r="G1535" s="271"/>
      <c r="H1535" s="281"/>
      <c r="I1535" s="257">
        <f>D1535</f>
        <v>500</v>
      </c>
    </row>
    <row r="1536" spans="1:9">
      <c r="A1536" s="195"/>
      <c r="B1536" s="189"/>
      <c r="C1536" s="190"/>
      <c r="D1536" s="271"/>
      <c r="E1536" s="271"/>
      <c r="F1536" s="271"/>
      <c r="G1536" s="271"/>
      <c r="H1536" s="271"/>
      <c r="I1536" s="259"/>
    </row>
    <row r="1537" spans="1:9">
      <c r="A1537" s="135"/>
      <c r="B1537" s="170"/>
      <c r="C1537" s="136"/>
      <c r="D1537" s="275"/>
      <c r="E1537" s="275"/>
      <c r="F1537" s="275"/>
      <c r="G1537" s="276"/>
      <c r="H1537" s="276"/>
      <c r="I1537" s="277"/>
    </row>
    <row r="1538" spans="1:9">
      <c r="A1538" s="184" t="s">
        <v>35369</v>
      </c>
      <c r="B1538" s="171" t="str">
        <f>VLOOKUP(A1538,GLOBAL!A:H,4,FALSE)</f>
        <v>PADRAO DE ENTRADA DE ENERGIA - NORTEC-01 - ESCELSA</v>
      </c>
      <c r="C1538" s="172"/>
      <c r="D1538" s="265"/>
      <c r="E1538" s="265"/>
      <c r="F1538" s="265"/>
      <c r="G1538" s="265"/>
      <c r="H1538" s="265"/>
      <c r="I1538" s="266"/>
    </row>
    <row r="1539" spans="1:9" ht="57.6">
      <c r="A1539" s="605" t="s">
        <v>35370</v>
      </c>
      <c r="B1539" s="258" t="str">
        <f>VLOOKUP(A1539,GLOBAL!A:H,4,FALSE)</f>
        <v>SUBESTAÇÃO EXT. AÉREA TRIFÁS. 225KVA, COMPLETA, C/ QUADROS DE MEDIÇÃO, TRANSF. A ÓLEO, CHAVE GERAL TRIP., POSTE E ACESSÓRIOS, CONF. NOR-TEC-01 DA ESCELSA, INCL. MURETA REV. C/ ARG. CIMENTO, CAL HIDRAT. CH1 E AREIA TRAÇO 1:0.5:6</v>
      </c>
      <c r="C1539" s="119" t="str">
        <f>VLOOKUP(A1539,GLOBAL!A:H,5,FALSE)</f>
        <v>UND</v>
      </c>
      <c r="D1539" s="267" t="s">
        <v>66</v>
      </c>
      <c r="E1539" s="267" t="s">
        <v>70</v>
      </c>
      <c r="F1539" s="267" t="s">
        <v>67</v>
      </c>
      <c r="G1539" s="267" t="s">
        <v>68</v>
      </c>
      <c r="H1539" s="267" t="s">
        <v>71</v>
      </c>
      <c r="I1539" s="268">
        <f>ROUND(SUM(I1540:I1542),2)</f>
        <v>1</v>
      </c>
    </row>
    <row r="1540" spans="1:9">
      <c r="A1540" s="198"/>
      <c r="B1540" s="200" t="s">
        <v>2874</v>
      </c>
      <c r="C1540" s="199"/>
      <c r="D1540" s="281"/>
      <c r="E1540" s="282"/>
      <c r="F1540" s="281"/>
      <c r="G1540" s="281"/>
      <c r="H1540" s="281"/>
      <c r="I1540" s="283"/>
    </row>
    <row r="1541" spans="1:9">
      <c r="A1541" s="197"/>
      <c r="B1541" s="189" t="s">
        <v>35568</v>
      </c>
      <c r="C1541" s="370"/>
      <c r="D1541" s="293"/>
      <c r="E1541" s="278"/>
      <c r="F1541" s="271"/>
      <c r="G1541" s="271">
        <v>1</v>
      </c>
      <c r="H1541" s="281"/>
      <c r="I1541" s="257">
        <f>G1541</f>
        <v>1</v>
      </c>
    </row>
    <row r="1542" spans="1:9">
      <c r="A1542" s="195"/>
      <c r="B1542" s="189"/>
      <c r="C1542" s="190"/>
      <c r="D1542" s="271"/>
      <c r="E1542" s="271"/>
      <c r="F1542" s="271"/>
      <c r="G1542" s="271"/>
      <c r="H1542" s="271"/>
      <c r="I1542" s="259"/>
    </row>
    <row r="1543" spans="1:9">
      <c r="A1543" s="135"/>
      <c r="B1543" s="170"/>
      <c r="C1543" s="136"/>
      <c r="D1543" s="275"/>
      <c r="E1543" s="275"/>
      <c r="F1543" s="275"/>
      <c r="G1543" s="276"/>
      <c r="H1543" s="276"/>
      <c r="I1543" s="277"/>
    </row>
    <row r="1544" spans="1:9">
      <c r="A1544" s="184" t="s">
        <v>35371</v>
      </c>
      <c r="B1544" s="171" t="str">
        <f>VLOOKUP(A1544,GLOBAL!A:H,4,FALSE)</f>
        <v>PONTOS ELETRICOS REVISAO NR-10</v>
      </c>
      <c r="C1544" s="172"/>
      <c r="D1544" s="265"/>
      <c r="E1544" s="265"/>
      <c r="F1544" s="265"/>
      <c r="G1544" s="265"/>
      <c r="H1544" s="265"/>
      <c r="I1544" s="266"/>
    </row>
    <row r="1545" spans="1:9" ht="43.2">
      <c r="A1545" s="605" t="s">
        <v>35372</v>
      </c>
      <c r="B1545" s="258" t="str">
        <f>VLOOKUP(A1545,GLOBAL!A:H,4,FALSE)</f>
        <v>PONTO PADRÃO DE LUZ NO TETO - CONSIDERANDO ELETRODUTO PVC RÍGIDO DE 3/4" INCLUSIVE CONEXÕES (4.5M), FIO ISOLADO PVC DE 2.5MM2 (16.2M) E CAIXA PVC 4X4" (1 UND)</v>
      </c>
      <c r="C1545" s="119" t="str">
        <f>VLOOKUP(A1545,GLOBAL!A:H,5,FALSE)</f>
        <v>UND</v>
      </c>
      <c r="D1545" s="267" t="s">
        <v>66</v>
      </c>
      <c r="E1545" s="267" t="s">
        <v>70</v>
      </c>
      <c r="F1545" s="267" t="s">
        <v>67</v>
      </c>
      <c r="G1545" s="267" t="s">
        <v>68</v>
      </c>
      <c r="H1545" s="267" t="s">
        <v>71</v>
      </c>
      <c r="I1545" s="268">
        <f>ROUND(SUM(I1546:I1548),2)</f>
        <v>622</v>
      </c>
    </row>
    <row r="1546" spans="1:9">
      <c r="A1546" s="198"/>
      <c r="B1546" s="200" t="s">
        <v>2874</v>
      </c>
      <c r="C1546" s="199"/>
      <c r="D1546" s="281"/>
      <c r="E1546" s="282"/>
      <c r="F1546" s="281"/>
      <c r="G1546" s="281"/>
      <c r="H1546" s="281"/>
      <c r="I1546" s="283"/>
    </row>
    <row r="1547" spans="1:9">
      <c r="A1547" s="197"/>
      <c r="B1547" s="189" t="s">
        <v>35569</v>
      </c>
      <c r="C1547" s="370"/>
      <c r="D1547" s="293"/>
      <c r="E1547" s="278"/>
      <c r="F1547" s="271"/>
      <c r="G1547" s="271">
        <f>93*4</f>
        <v>372</v>
      </c>
      <c r="H1547" s="281"/>
      <c r="I1547" s="257">
        <f>G1547</f>
        <v>372</v>
      </c>
    </row>
    <row r="1548" spans="1:9">
      <c r="A1548" s="195"/>
      <c r="B1548" s="189" t="s">
        <v>35655</v>
      </c>
      <c r="C1548" s="190"/>
      <c r="D1548" s="271"/>
      <c r="E1548" s="271"/>
      <c r="F1548" s="271"/>
      <c r="G1548" s="271">
        <v>250</v>
      </c>
      <c r="H1548" s="271"/>
      <c r="I1548" s="259">
        <f>G1548</f>
        <v>250</v>
      </c>
    </row>
    <row r="1549" spans="1:9">
      <c r="A1549" s="135"/>
      <c r="B1549" s="170"/>
      <c r="C1549" s="136"/>
      <c r="D1549" s="275"/>
      <c r="E1549" s="275"/>
      <c r="F1549" s="275"/>
      <c r="G1549" s="276"/>
      <c r="H1549" s="276"/>
      <c r="I1549" s="277"/>
    </row>
    <row r="1550" spans="1:9" ht="43.2">
      <c r="A1550" s="605" t="s">
        <v>35373</v>
      </c>
      <c r="B1550" s="258" t="str">
        <f>VLOOKUP(A1550,GLOBAL!A:H,4,FALSE)</f>
        <v>PONTO PADRÃO DE LUZ NA PAREDE - CONSIDERANDO ELETRODUTO PVC RÍGIDO DE 3/4" INCLUSIVE CONEXÕES (4.5M), FIO ISOLADO PVC DE 2.5MM2 (16.2M) E CAIXA PVC 4X2" (1 UND)</v>
      </c>
      <c r="C1550" s="119" t="str">
        <f>VLOOKUP(A1550,GLOBAL!A:H,5,FALSE)</f>
        <v>UND</v>
      </c>
      <c r="D1550" s="267" t="s">
        <v>66</v>
      </c>
      <c r="E1550" s="267" t="s">
        <v>70</v>
      </c>
      <c r="F1550" s="267" t="s">
        <v>67</v>
      </c>
      <c r="G1550" s="267" t="s">
        <v>68</v>
      </c>
      <c r="H1550" s="267" t="s">
        <v>71</v>
      </c>
      <c r="I1550" s="268">
        <f>ROUND(SUM(I1551:I1553),2)</f>
        <v>35</v>
      </c>
    </row>
    <row r="1551" spans="1:9">
      <c r="A1551" s="198"/>
      <c r="B1551" s="200" t="s">
        <v>2874</v>
      </c>
      <c r="C1551" s="199"/>
      <c r="D1551" s="281"/>
      <c r="E1551" s="282"/>
      <c r="F1551" s="281"/>
      <c r="G1551" s="281"/>
      <c r="H1551" s="281"/>
      <c r="I1551" s="283"/>
    </row>
    <row r="1552" spans="1:9">
      <c r="A1552" s="197"/>
      <c r="B1552" s="189" t="s">
        <v>35569</v>
      </c>
      <c r="C1552" s="370"/>
      <c r="D1552" s="293"/>
      <c r="E1552" s="278"/>
      <c r="F1552" s="271"/>
      <c r="G1552" s="271">
        <v>20</v>
      </c>
      <c r="H1552" s="281"/>
      <c r="I1552" s="257">
        <f>G1552</f>
        <v>20</v>
      </c>
    </row>
    <row r="1553" spans="1:9">
      <c r="A1553" s="195"/>
      <c r="B1553" s="189" t="s">
        <v>35655</v>
      </c>
      <c r="C1553" s="190"/>
      <c r="D1553" s="271"/>
      <c r="E1553" s="271"/>
      <c r="F1553" s="271"/>
      <c r="G1553" s="271">
        <v>15</v>
      </c>
      <c r="H1553" s="271"/>
      <c r="I1553" s="259">
        <f>G1553</f>
        <v>15</v>
      </c>
    </row>
    <row r="1554" spans="1:9">
      <c r="A1554" s="135"/>
      <c r="B1554" s="170"/>
      <c r="C1554" s="136"/>
      <c r="D1554" s="275"/>
      <c r="E1554" s="275"/>
      <c r="F1554" s="275"/>
      <c r="G1554" s="276"/>
      <c r="H1554" s="276"/>
      <c r="I1554" s="277"/>
    </row>
    <row r="1555" spans="1:9" ht="43.2">
      <c r="A1555" s="605" t="s">
        <v>35374</v>
      </c>
      <c r="B1555" s="258" t="str">
        <f>VLOOKUP(A1555,GLOBAL!A:H,4,FALSE)</f>
        <v>PONTO PADRÃO DE TOMADA 2 PÓLOS MAIS TERRA - CONSIDERANDO ELETRODUTO PVC RÍGIDO DE 3/4" INCLUSIVE CONEXÕES (5.0M), FIO ISOLADO PVC DE 2.5MM2 (16.5M) E CAIXA PVC 4X2" (1 UND)</v>
      </c>
      <c r="C1555" s="119" t="str">
        <f>VLOOKUP(A1555,GLOBAL!A:H,5,FALSE)</f>
        <v>UND</v>
      </c>
      <c r="D1555" s="267" t="s">
        <v>66</v>
      </c>
      <c r="E1555" s="267" t="s">
        <v>70</v>
      </c>
      <c r="F1555" s="267" t="s">
        <v>67</v>
      </c>
      <c r="G1555" s="267" t="s">
        <v>68</v>
      </c>
      <c r="H1555" s="267" t="s">
        <v>71</v>
      </c>
      <c r="I1555" s="268">
        <f>ROUND(SUM(I1556:I1558),2)</f>
        <v>658</v>
      </c>
    </row>
    <row r="1556" spans="1:9">
      <c r="A1556" s="198"/>
      <c r="B1556" s="200" t="s">
        <v>2874</v>
      </c>
      <c r="C1556" s="199"/>
      <c r="D1556" s="281"/>
      <c r="E1556" s="282"/>
      <c r="F1556" s="281"/>
      <c r="G1556" s="281"/>
      <c r="H1556" s="281"/>
      <c r="I1556" s="283"/>
    </row>
    <row r="1557" spans="1:9">
      <c r="A1557" s="197"/>
      <c r="B1557" s="189" t="s">
        <v>35569</v>
      </c>
      <c r="C1557" s="370"/>
      <c r="D1557" s="293"/>
      <c r="E1557" s="278"/>
      <c r="F1557" s="271"/>
      <c r="G1557" s="271">
        <f>93*6</f>
        <v>558</v>
      </c>
      <c r="H1557" s="281"/>
      <c r="I1557" s="257">
        <f>G1557</f>
        <v>558</v>
      </c>
    </row>
    <row r="1558" spans="1:9">
      <c r="A1558" s="195"/>
      <c r="B1558" s="189" t="s">
        <v>35655</v>
      </c>
      <c r="C1558" s="190"/>
      <c r="D1558" s="271"/>
      <c r="E1558" s="271"/>
      <c r="F1558" s="271"/>
      <c r="G1558" s="271">
        <v>100</v>
      </c>
      <c r="H1558" s="271"/>
      <c r="I1558" s="259">
        <f>G1558</f>
        <v>100</v>
      </c>
    </row>
    <row r="1559" spans="1:9">
      <c r="A1559" s="135"/>
      <c r="B1559" s="170"/>
      <c r="C1559" s="136"/>
      <c r="D1559" s="275"/>
      <c r="E1559" s="275"/>
      <c r="F1559" s="275"/>
      <c r="G1559" s="276"/>
      <c r="H1559" s="276"/>
      <c r="I1559" s="277"/>
    </row>
    <row r="1560" spans="1:9" ht="43.2">
      <c r="A1560" s="605" t="s">
        <v>35375</v>
      </c>
      <c r="B1560" s="258" t="str">
        <f>VLOOKUP(A1560,GLOBAL!A:H,4,FALSE)</f>
        <v>PONTO PADRÃO DE TOMADA PARA CHUVEIRO ELÉTRICO - CONSIDERANDO ELETRODUTO PVC RÍGIDO DE 3/4" INCLUSIVE CONEXÕES (9.0M), FIO ISOLADO PVC DE 6.0MM2 (32.5M) E CAIXA PVC 4X2" (1 UND)</v>
      </c>
      <c r="C1560" s="119" t="str">
        <f>VLOOKUP(A1560,GLOBAL!A:H,5,FALSE)</f>
        <v>UND</v>
      </c>
      <c r="D1560" s="267" t="s">
        <v>66</v>
      </c>
      <c r="E1560" s="267" t="s">
        <v>70</v>
      </c>
      <c r="F1560" s="267" t="s">
        <v>67</v>
      </c>
      <c r="G1560" s="267" t="s">
        <v>68</v>
      </c>
      <c r="H1560" s="267" t="s">
        <v>71</v>
      </c>
      <c r="I1560" s="268">
        <f>ROUND(SUM(I1561:I1563),2)</f>
        <v>6</v>
      </c>
    </row>
    <row r="1561" spans="1:9">
      <c r="A1561" s="198"/>
      <c r="B1561" s="200" t="s">
        <v>2874</v>
      </c>
      <c r="C1561" s="199"/>
      <c r="D1561" s="281"/>
      <c r="E1561" s="282"/>
      <c r="F1561" s="281"/>
      <c r="G1561" s="281"/>
      <c r="H1561" s="281"/>
      <c r="I1561" s="283"/>
    </row>
    <row r="1562" spans="1:9">
      <c r="A1562" s="197"/>
      <c r="B1562" s="189" t="s">
        <v>35569</v>
      </c>
      <c r="C1562" s="370"/>
      <c r="D1562" s="293"/>
      <c r="E1562" s="278"/>
      <c r="F1562" s="271"/>
      <c r="G1562" s="271">
        <v>6</v>
      </c>
      <c r="H1562" s="281"/>
      <c r="I1562" s="257">
        <f>G1562</f>
        <v>6</v>
      </c>
    </row>
    <row r="1563" spans="1:9">
      <c r="A1563" s="195"/>
      <c r="B1563" s="189" t="s">
        <v>35655</v>
      </c>
      <c r="C1563" s="190"/>
      <c r="D1563" s="271"/>
      <c r="E1563" s="271"/>
      <c r="F1563" s="271"/>
      <c r="G1563" s="271">
        <v>0</v>
      </c>
      <c r="H1563" s="271"/>
      <c r="I1563" s="259">
        <f>G1563</f>
        <v>0</v>
      </c>
    </row>
    <row r="1564" spans="1:9">
      <c r="A1564" s="135"/>
      <c r="B1564" s="170"/>
      <c r="C1564" s="136"/>
      <c r="D1564" s="275"/>
      <c r="E1564" s="275"/>
      <c r="F1564" s="275"/>
      <c r="G1564" s="276"/>
      <c r="H1564" s="276"/>
      <c r="I1564" s="277"/>
    </row>
    <row r="1565" spans="1:9" ht="43.2">
      <c r="A1565" s="605" t="s">
        <v>35376</v>
      </c>
      <c r="B1565" s="258" t="str">
        <f>VLOOKUP(A1565,GLOBAL!A:H,4,FALSE)</f>
        <v>PONTO PADRÃO DE TOMADA PARA AR REFRIGERADO - CONSIDERANDO ELETRODUTO PVC RÍGIDO DE 3/4" INCLUSIVE CONEXÕES (6.0M), FIO ISOLADO PVC DE 4.0MM2 (21.6M) E CAIXA PVC 4X2" (1 UND)</v>
      </c>
      <c r="C1565" s="119" t="str">
        <f>VLOOKUP(A1565,GLOBAL!A:H,5,FALSE)</f>
        <v>UND</v>
      </c>
      <c r="D1565" s="267" t="s">
        <v>66</v>
      </c>
      <c r="E1565" s="267" t="s">
        <v>70</v>
      </c>
      <c r="F1565" s="267" t="s">
        <v>67</v>
      </c>
      <c r="G1565" s="267" t="s">
        <v>68</v>
      </c>
      <c r="H1565" s="267" t="s">
        <v>71</v>
      </c>
      <c r="I1565" s="268">
        <f>ROUND(SUM(I1566:I1568),2)</f>
        <v>123</v>
      </c>
    </row>
    <row r="1566" spans="1:9">
      <c r="A1566" s="198"/>
      <c r="B1566" s="200" t="s">
        <v>2874</v>
      </c>
      <c r="C1566" s="199"/>
      <c r="D1566" s="281"/>
      <c r="E1566" s="282"/>
      <c r="F1566" s="281"/>
      <c r="G1566" s="281"/>
      <c r="H1566" s="281"/>
      <c r="I1566" s="283"/>
    </row>
    <row r="1567" spans="1:9">
      <c r="A1567" s="197"/>
      <c r="B1567" s="189" t="s">
        <v>35569</v>
      </c>
      <c r="C1567" s="370"/>
      <c r="D1567" s="293"/>
      <c r="E1567" s="278"/>
      <c r="F1567" s="271"/>
      <c r="G1567" s="271">
        <v>93</v>
      </c>
      <c r="H1567" s="281"/>
      <c r="I1567" s="257">
        <f>G1567</f>
        <v>93</v>
      </c>
    </row>
    <row r="1568" spans="1:9">
      <c r="A1568" s="195"/>
      <c r="B1568" s="189" t="s">
        <v>35655</v>
      </c>
      <c r="C1568" s="190"/>
      <c r="D1568" s="271"/>
      <c r="E1568" s="271"/>
      <c r="F1568" s="271"/>
      <c r="G1568" s="271">
        <v>30</v>
      </c>
      <c r="H1568" s="271"/>
      <c r="I1568" s="259">
        <f>G1568</f>
        <v>30</v>
      </c>
    </row>
    <row r="1569" spans="1:9">
      <c r="A1569" s="135"/>
      <c r="B1569" s="170"/>
      <c r="C1569" s="136"/>
      <c r="D1569" s="275"/>
      <c r="E1569" s="275"/>
      <c r="F1569" s="275"/>
      <c r="G1569" s="276"/>
      <c r="H1569" s="276"/>
      <c r="I1569" s="277"/>
    </row>
    <row r="1570" spans="1:9" ht="43.2">
      <c r="A1570" s="605" t="s">
        <v>35377</v>
      </c>
      <c r="B1570" s="258" t="str">
        <f>VLOOKUP(A1570,GLOBAL!A:H,4,FALSE)</f>
        <v>PONTO PADRÃO DE INTERRUPTOR DE 2 TECLAS SIMPLES - CONSIDERANDO ELETRODUTO PVC RÍGIDO DE 3/4" INCLUSIVE CONEXÕES (3.3M), FIO ISOLADO PVC DE 2.5MM2 (17.2M) E CAIXA PVC 4X2" (1 UND)</v>
      </c>
      <c r="C1570" s="119" t="str">
        <f>VLOOKUP(A1570,GLOBAL!A:H,5,FALSE)</f>
        <v>UND</v>
      </c>
      <c r="D1570" s="267" t="s">
        <v>66</v>
      </c>
      <c r="E1570" s="267" t="s">
        <v>70</v>
      </c>
      <c r="F1570" s="267" t="s">
        <v>67</v>
      </c>
      <c r="G1570" s="267" t="s">
        <v>68</v>
      </c>
      <c r="H1570" s="267" t="s">
        <v>71</v>
      </c>
      <c r="I1570" s="268">
        <f>ROUND(SUM(I1571:I1573),2)</f>
        <v>93</v>
      </c>
    </row>
    <row r="1571" spans="1:9">
      <c r="A1571" s="198"/>
      <c r="B1571" s="200" t="s">
        <v>2874</v>
      </c>
      <c r="C1571" s="199"/>
      <c r="D1571" s="281"/>
      <c r="E1571" s="282"/>
      <c r="F1571" s="281"/>
      <c r="G1571" s="281"/>
      <c r="H1571" s="281"/>
      <c r="I1571" s="283"/>
    </row>
    <row r="1572" spans="1:9">
      <c r="A1572" s="197"/>
      <c r="B1572" s="189" t="s">
        <v>35569</v>
      </c>
      <c r="C1572" s="370"/>
      <c r="D1572" s="293"/>
      <c r="E1572" s="278"/>
      <c r="F1572" s="271"/>
      <c r="G1572" s="271">
        <v>93</v>
      </c>
      <c r="H1572" s="281"/>
      <c r="I1572" s="257">
        <f>G1572</f>
        <v>93</v>
      </c>
    </row>
    <row r="1573" spans="1:9">
      <c r="A1573" s="195"/>
      <c r="B1573" s="189"/>
      <c r="C1573" s="190"/>
      <c r="D1573" s="271"/>
      <c r="E1573" s="271"/>
      <c r="F1573" s="271"/>
      <c r="G1573" s="271"/>
      <c r="H1573" s="271"/>
      <c r="I1573" s="259"/>
    </row>
    <row r="1574" spans="1:9">
      <c r="A1574" s="135"/>
      <c r="B1574" s="170"/>
      <c r="C1574" s="136"/>
      <c r="D1574" s="275"/>
      <c r="E1574" s="275"/>
      <c r="F1574" s="275"/>
      <c r="G1574" s="276"/>
      <c r="H1574" s="276"/>
      <c r="I1574" s="277"/>
    </row>
    <row r="1575" spans="1:9" ht="57.6">
      <c r="A1575" s="605" t="s">
        <v>35378</v>
      </c>
      <c r="B1575" s="258" t="str">
        <f>VLOOKUP(A1575,GLOBAL!A:H,4,FALSE)</f>
        <v>PONTO PADRÃO DE INTERRUPTOR DE 1 TECLA SIMPLES E 1 TOMADA DOIS PÓLOS MAIS TERRA 10A/250V - CONSIDERANDO ELETRODUTO PVC RÍGIDO DE 3/4" INCLUSIVE CONEXÕES (4.5M), FIO ISOLADO PVC DE 2.5MM2 (19.4M) E CAIXA PVC 4X2" (1 UND)</v>
      </c>
      <c r="C1575" s="119" t="str">
        <f>VLOOKUP(A1575,GLOBAL!A:H,5,FALSE)</f>
        <v>UND</v>
      </c>
      <c r="D1575" s="267" t="s">
        <v>66</v>
      </c>
      <c r="E1575" s="267" t="s">
        <v>70</v>
      </c>
      <c r="F1575" s="267" t="s">
        <v>67</v>
      </c>
      <c r="G1575" s="267" t="s">
        <v>68</v>
      </c>
      <c r="H1575" s="267" t="s">
        <v>71</v>
      </c>
      <c r="I1575" s="268">
        <f>ROUND(SUM(I1576:I1578),2)</f>
        <v>6</v>
      </c>
    </row>
    <row r="1576" spans="1:9">
      <c r="A1576" s="198"/>
      <c r="B1576" s="200" t="s">
        <v>2874</v>
      </c>
      <c r="C1576" s="199"/>
      <c r="D1576" s="281"/>
      <c r="E1576" s="282"/>
      <c r="F1576" s="281"/>
      <c r="G1576" s="281"/>
      <c r="H1576" s="281"/>
      <c r="I1576" s="283"/>
    </row>
    <row r="1577" spans="1:9">
      <c r="A1577" s="197"/>
      <c r="B1577" s="189" t="s">
        <v>35569</v>
      </c>
      <c r="C1577" s="370"/>
      <c r="D1577" s="293"/>
      <c r="E1577" s="278"/>
      <c r="F1577" s="271"/>
      <c r="G1577" s="271">
        <v>6</v>
      </c>
      <c r="H1577" s="281"/>
      <c r="I1577" s="257">
        <f>G1577</f>
        <v>6</v>
      </c>
    </row>
    <row r="1578" spans="1:9">
      <c r="A1578" s="195"/>
      <c r="B1578" s="189"/>
      <c r="C1578" s="190"/>
      <c r="D1578" s="271"/>
      <c r="E1578" s="271"/>
      <c r="F1578" s="271"/>
      <c r="G1578" s="271"/>
      <c r="H1578" s="271"/>
      <c r="I1578" s="259"/>
    </row>
    <row r="1579" spans="1:9">
      <c r="A1579" s="135"/>
      <c r="B1579" s="170"/>
      <c r="C1579" s="136"/>
      <c r="D1579" s="275"/>
      <c r="E1579" s="275"/>
      <c r="F1579" s="275"/>
      <c r="G1579" s="276"/>
      <c r="H1579" s="276"/>
      <c r="I1579" s="277"/>
    </row>
    <row r="1580" spans="1:9" ht="43.2">
      <c r="A1580" s="605" t="s">
        <v>35379</v>
      </c>
      <c r="B1580" s="258" t="str">
        <f>VLOOKUP(A1580,GLOBAL!A:H,4,FALSE)</f>
        <v>PONTO PADRÃO DE POSTE PARA ILUMINAÇÃO EXTERNA - CONSIDERANDO ELETRODUTO PVC RÍGIDO DE 3/4" INCLUSIVE CONEXÕES (7.7M) E FIO ISOLADO PVC DE 2.5MM2 (25.2.0M)</v>
      </c>
      <c r="C1580" s="119" t="str">
        <f>VLOOKUP(A1580,GLOBAL!A:H,5,FALSE)</f>
        <v>UND</v>
      </c>
      <c r="D1580" s="267" t="s">
        <v>66</v>
      </c>
      <c r="E1580" s="267" t="s">
        <v>70</v>
      </c>
      <c r="F1580" s="267" t="s">
        <v>67</v>
      </c>
      <c r="G1580" s="267" t="s">
        <v>68</v>
      </c>
      <c r="H1580" s="267" t="s">
        <v>71</v>
      </c>
      <c r="I1580" s="268">
        <f>ROUND(SUM(I1581:I1583),2)</f>
        <v>30</v>
      </c>
    </row>
    <row r="1581" spans="1:9">
      <c r="A1581" s="198"/>
      <c r="B1581" s="200" t="s">
        <v>2874</v>
      </c>
      <c r="C1581" s="199"/>
      <c r="D1581" s="281"/>
      <c r="E1581" s="282"/>
      <c r="F1581" s="281"/>
      <c r="G1581" s="281"/>
      <c r="H1581" s="281"/>
      <c r="I1581" s="283"/>
    </row>
    <row r="1582" spans="1:9">
      <c r="A1582" s="197"/>
      <c r="B1582" s="189" t="s">
        <v>35569</v>
      </c>
      <c r="C1582" s="370"/>
      <c r="D1582" s="293"/>
      <c r="E1582" s="278"/>
      <c r="F1582" s="271"/>
      <c r="G1582" s="271">
        <v>30</v>
      </c>
      <c r="H1582" s="281"/>
      <c r="I1582" s="257">
        <f>G1582</f>
        <v>30</v>
      </c>
    </row>
    <row r="1583" spans="1:9">
      <c r="A1583" s="195"/>
      <c r="B1583" s="189"/>
      <c r="C1583" s="190"/>
      <c r="D1583" s="271"/>
      <c r="E1583" s="271"/>
      <c r="F1583" s="271"/>
      <c r="G1583" s="271"/>
      <c r="H1583" s="271"/>
      <c r="I1583" s="259"/>
    </row>
    <row r="1584" spans="1:9">
      <c r="A1584" s="135"/>
      <c r="B1584" s="170"/>
      <c r="C1584" s="136"/>
      <c r="D1584" s="275"/>
      <c r="E1584" s="275"/>
      <c r="F1584" s="275"/>
      <c r="G1584" s="276"/>
      <c r="H1584" s="276"/>
      <c r="I1584" s="277"/>
    </row>
    <row r="1585" spans="1:9" ht="43.2">
      <c r="A1585" s="605" t="s">
        <v>35380</v>
      </c>
      <c r="B1585" s="258" t="str">
        <f>VLOOKUP(A1585,GLOBAL!A:H,4,FALSE)</f>
        <v>PONTO DE ANTENA DE TV - CONSIDERANDO ELETRODUTO PVC RÍGIDO DE 3/4" INCLUSIVE CONEXÕES (3.0M), CABO COAXIAL 67 OHMS (4.5M) E CAIXA PVC 4X2" (1 UND)</v>
      </c>
      <c r="C1585" s="119" t="str">
        <f>VLOOKUP(A1585,GLOBAL!A:H,5,FALSE)</f>
        <v>UND</v>
      </c>
      <c r="D1585" s="267" t="s">
        <v>66</v>
      </c>
      <c r="E1585" s="267" t="s">
        <v>70</v>
      </c>
      <c r="F1585" s="267" t="s">
        <v>67</v>
      </c>
      <c r="G1585" s="267" t="s">
        <v>68</v>
      </c>
      <c r="H1585" s="267" t="s">
        <v>71</v>
      </c>
      <c r="I1585" s="268">
        <f>ROUND(SUM(I1586:I1588),2)</f>
        <v>10</v>
      </c>
    </row>
    <row r="1586" spans="1:9">
      <c r="A1586" s="198"/>
      <c r="B1586" s="200" t="s">
        <v>2874</v>
      </c>
      <c r="C1586" s="199"/>
      <c r="D1586" s="281"/>
      <c r="E1586" s="282"/>
      <c r="F1586" s="281"/>
      <c r="G1586" s="281"/>
      <c r="H1586" s="281"/>
      <c r="I1586" s="283"/>
    </row>
    <row r="1587" spans="1:9">
      <c r="A1587" s="197"/>
      <c r="B1587" s="189" t="s">
        <v>35569</v>
      </c>
      <c r="C1587" s="370"/>
      <c r="D1587" s="293"/>
      <c r="E1587" s="278"/>
      <c r="F1587" s="271"/>
      <c r="G1587" s="271">
        <v>10</v>
      </c>
      <c r="H1587" s="281"/>
      <c r="I1587" s="257">
        <f>G1587</f>
        <v>10</v>
      </c>
    </row>
    <row r="1588" spans="1:9">
      <c r="A1588" s="195"/>
      <c r="B1588" s="189"/>
      <c r="C1588" s="190"/>
      <c r="D1588" s="271"/>
      <c r="E1588" s="271"/>
      <c r="F1588" s="271"/>
      <c r="G1588" s="271"/>
      <c r="H1588" s="271"/>
      <c r="I1588" s="259"/>
    </row>
    <row r="1589" spans="1:9">
      <c r="A1589" s="135"/>
      <c r="B1589" s="170"/>
      <c r="C1589" s="136"/>
      <c r="D1589" s="275"/>
      <c r="E1589" s="275"/>
      <c r="F1589" s="275"/>
      <c r="G1589" s="276"/>
      <c r="H1589" s="276"/>
      <c r="I1589" s="277"/>
    </row>
    <row r="1590" spans="1:9">
      <c r="A1590" s="184" t="s">
        <v>35381</v>
      </c>
      <c r="B1590" s="171" t="str">
        <f>VLOOKUP(A1590,GLOBAL!A:H,4,FALSE)</f>
        <v>QUADROS DE DISTRIBUIÇÃO COM BARRAMENTO, TRINCO E FECHADURA</v>
      </c>
      <c r="C1590" s="172"/>
      <c r="D1590" s="265"/>
      <c r="E1590" s="265"/>
      <c r="F1590" s="265"/>
      <c r="G1590" s="265"/>
      <c r="H1590" s="265"/>
      <c r="I1590" s="266"/>
    </row>
    <row r="1591" spans="1:9" ht="57.6">
      <c r="A1591" s="605" t="s">
        <v>35382</v>
      </c>
      <c r="B1591" s="258" t="str">
        <f>VLOOKUP(A1591,GLOBAL!A:H,4,FALSE)</f>
        <v>QUADRO DISTRIB. ENERGIA, EMBUTIDO OU SEMI EMBUTIDO, CAPAC. P/ 44 DISJ. DIN, C/BARRAM TRIF. 100A BARRA. NEUTRO E TERRA, FAB. EM CHAPA DE AÇO 12 USG COM PORTA, ESPELHO, TRINCO COM FECHAD CH YALE, REF. QDTN II-44DIN-CEMAR OU EQUIV</v>
      </c>
      <c r="C1591" s="119" t="str">
        <f>VLOOKUP(A1591,GLOBAL!A:H,5,FALSE)</f>
        <v>UND</v>
      </c>
      <c r="D1591" s="267" t="s">
        <v>66</v>
      </c>
      <c r="E1591" s="267" t="s">
        <v>70</v>
      </c>
      <c r="F1591" s="267" t="s">
        <v>67</v>
      </c>
      <c r="G1591" s="267" t="s">
        <v>68</v>
      </c>
      <c r="H1591" s="267" t="s">
        <v>71</v>
      </c>
      <c r="I1591" s="268">
        <f>ROUND(SUM(I1592:I1594),2)</f>
        <v>2</v>
      </c>
    </row>
    <row r="1592" spans="1:9">
      <c r="A1592" s="198"/>
      <c r="B1592" s="200" t="s">
        <v>2874</v>
      </c>
      <c r="C1592" s="199"/>
      <c r="D1592" s="281"/>
      <c r="E1592" s="282"/>
      <c r="F1592" s="281"/>
      <c r="G1592" s="281"/>
      <c r="H1592" s="281"/>
      <c r="I1592" s="283"/>
    </row>
    <row r="1593" spans="1:9">
      <c r="A1593" s="197"/>
      <c r="B1593" s="189" t="s">
        <v>35570</v>
      </c>
      <c r="C1593" s="370"/>
      <c r="D1593" s="293"/>
      <c r="E1593" s="278"/>
      <c r="F1593" s="271"/>
      <c r="G1593" s="271">
        <v>1</v>
      </c>
      <c r="H1593" s="281"/>
      <c r="I1593" s="257">
        <f>G1593</f>
        <v>1</v>
      </c>
    </row>
    <row r="1594" spans="1:9">
      <c r="A1594" s="195"/>
      <c r="B1594" s="189" t="s">
        <v>35655</v>
      </c>
      <c r="C1594" s="190"/>
      <c r="D1594" s="271"/>
      <c r="E1594" s="271"/>
      <c r="F1594" s="271"/>
      <c r="G1594" s="271">
        <v>1</v>
      </c>
      <c r="H1594" s="271"/>
      <c r="I1594" s="259">
        <f>G1594</f>
        <v>1</v>
      </c>
    </row>
    <row r="1595" spans="1:9">
      <c r="A1595" s="135"/>
      <c r="B1595" s="170"/>
      <c r="C1595" s="136"/>
      <c r="D1595" s="275"/>
      <c r="E1595" s="275"/>
      <c r="F1595" s="275"/>
      <c r="G1595" s="276"/>
      <c r="H1595" s="276"/>
      <c r="I1595" s="277"/>
    </row>
    <row r="1596" spans="1:9">
      <c r="A1596" s="344" t="s">
        <v>23676</v>
      </c>
      <c r="B1596" s="340" t="str">
        <f>VLOOKUP(A1596,GLOBAL!A:H,4,FALSE)</f>
        <v>OUTRAS INSTALAÇÕES</v>
      </c>
      <c r="C1596" s="130"/>
      <c r="D1596" s="341"/>
      <c r="E1596" s="341"/>
      <c r="F1596" s="341"/>
      <c r="G1596" s="341"/>
      <c r="H1596" s="341"/>
      <c r="I1596" s="342"/>
    </row>
    <row r="1597" spans="1:9">
      <c r="A1597" s="184" t="s">
        <v>15753</v>
      </c>
      <c r="B1597" s="171" t="str">
        <f>VLOOKUP(A1597,GLOBAL!A:H,4,FALSE)</f>
        <v>INSTALAÇÃO DE TELEFONE</v>
      </c>
      <c r="C1597" s="172"/>
      <c r="D1597" s="265"/>
      <c r="E1597" s="265"/>
      <c r="F1597" s="265"/>
      <c r="G1597" s="265"/>
      <c r="H1597" s="265"/>
      <c r="I1597" s="266"/>
    </row>
    <row r="1598" spans="1:9" ht="28.8">
      <c r="A1598" s="605" t="s">
        <v>23677</v>
      </c>
      <c r="B1598" s="258" t="str">
        <f>VLOOKUP(A1598,GLOBAL!A:H,4,FALSE)</f>
        <v>CAIXA DE TELEFONE EM CHAPA DE AÇO PADRÃO TELEBRAS N. 6, 1200X1200X150 MM, COM FUNDO DE MADEIRA</v>
      </c>
      <c r="C1598" s="119" t="str">
        <f>VLOOKUP(A1598,GLOBAL!A:H,5,FALSE)</f>
        <v>UND</v>
      </c>
      <c r="D1598" s="267" t="s">
        <v>66</v>
      </c>
      <c r="E1598" s="267" t="s">
        <v>70</v>
      </c>
      <c r="F1598" s="267" t="s">
        <v>67</v>
      </c>
      <c r="G1598" s="267" t="s">
        <v>68</v>
      </c>
      <c r="H1598" s="267" t="s">
        <v>71</v>
      </c>
      <c r="I1598" s="268">
        <f>ROUND(SUM(I1600:I1601),2)</f>
        <v>3</v>
      </c>
    </row>
    <row r="1599" spans="1:9">
      <c r="A1599" s="198"/>
      <c r="B1599" s="200" t="s">
        <v>2874</v>
      </c>
      <c r="C1599" s="199"/>
      <c r="D1599" s="281"/>
      <c r="E1599" s="282"/>
      <c r="F1599" s="281"/>
      <c r="G1599" s="281"/>
      <c r="H1599" s="281"/>
      <c r="I1599" s="283"/>
    </row>
    <row r="1600" spans="1:9">
      <c r="A1600" s="197"/>
      <c r="B1600" s="189" t="s">
        <v>35571</v>
      </c>
      <c r="C1600" s="370"/>
      <c r="D1600" s="293"/>
      <c r="E1600" s="278"/>
      <c r="F1600" s="271"/>
      <c r="G1600" s="271">
        <v>3</v>
      </c>
      <c r="H1600" s="281"/>
      <c r="I1600" s="257">
        <f>G1600</f>
        <v>3</v>
      </c>
    </row>
    <row r="1601" spans="1:9">
      <c r="A1601" s="195"/>
      <c r="B1601" s="189"/>
      <c r="C1601" s="190"/>
      <c r="D1601" s="271"/>
      <c r="E1601" s="271"/>
      <c r="F1601" s="271"/>
      <c r="G1601" s="271"/>
      <c r="H1601" s="271"/>
      <c r="I1601" s="259"/>
    </row>
    <row r="1602" spans="1:9">
      <c r="A1602" s="135"/>
      <c r="B1602" s="170"/>
      <c r="C1602" s="136"/>
      <c r="D1602" s="275"/>
      <c r="E1602" s="275"/>
      <c r="F1602" s="275"/>
      <c r="G1602" s="276"/>
      <c r="H1602" s="276"/>
      <c r="I1602" s="277"/>
    </row>
    <row r="1603" spans="1:9">
      <c r="A1603" s="605" t="s">
        <v>23678</v>
      </c>
      <c r="B1603" s="258" t="str">
        <f>VLOOKUP(A1603,GLOBAL!A:H,4,FALSE)</f>
        <v>TOMADA PARA TELEFONE COM CONECTOR RJ 11</v>
      </c>
      <c r="C1603" s="119" t="str">
        <f>VLOOKUP(A1603,GLOBAL!A:H,5,FALSE)</f>
        <v>UND</v>
      </c>
      <c r="D1603" s="267" t="s">
        <v>66</v>
      </c>
      <c r="E1603" s="267" t="s">
        <v>70</v>
      </c>
      <c r="F1603" s="267" t="s">
        <v>67</v>
      </c>
      <c r="G1603" s="267" t="s">
        <v>68</v>
      </c>
      <c r="H1603" s="267" t="s">
        <v>71</v>
      </c>
      <c r="I1603" s="268">
        <f>ROUND(SUM(I1605:I1606),2)</f>
        <v>150</v>
      </c>
    </row>
    <row r="1604" spans="1:9">
      <c r="A1604" s="198"/>
      <c r="B1604" s="200" t="s">
        <v>2874</v>
      </c>
      <c r="C1604" s="199"/>
      <c r="D1604" s="281"/>
      <c r="E1604" s="282"/>
      <c r="F1604" s="281"/>
      <c r="G1604" s="281"/>
      <c r="H1604" s="281"/>
      <c r="I1604" s="283"/>
    </row>
    <row r="1605" spans="1:9">
      <c r="A1605" s="197"/>
      <c r="B1605" s="189" t="s">
        <v>35572</v>
      </c>
      <c r="C1605" s="370"/>
      <c r="D1605" s="293"/>
      <c r="E1605" s="278"/>
      <c r="F1605" s="271"/>
      <c r="G1605" s="271">
        <v>150</v>
      </c>
      <c r="H1605" s="281"/>
      <c r="I1605" s="257">
        <f>G1605</f>
        <v>150</v>
      </c>
    </row>
    <row r="1606" spans="1:9">
      <c r="A1606" s="195"/>
      <c r="B1606" s="189"/>
      <c r="C1606" s="190" t="s">
        <v>10353</v>
      </c>
      <c r="D1606" s="271"/>
      <c r="E1606" s="271"/>
      <c r="F1606" s="271"/>
      <c r="G1606" s="271"/>
      <c r="H1606" s="271"/>
      <c r="I1606" s="259"/>
    </row>
    <row r="1607" spans="1:9">
      <c r="A1607" s="135"/>
      <c r="B1607" s="170"/>
      <c r="C1607" s="136"/>
      <c r="D1607" s="275"/>
      <c r="E1607" s="275"/>
      <c r="F1607" s="275"/>
      <c r="G1607" s="276"/>
      <c r="H1607" s="276"/>
      <c r="I1607" s="277"/>
    </row>
    <row r="1608" spans="1:9">
      <c r="A1608" s="184" t="s">
        <v>15754</v>
      </c>
      <c r="B1608" s="171" t="str">
        <f>VLOOKUP(A1608,GLOBAL!A:H,4,FALSE)</f>
        <v>INSTALAÇÃO DE PÁRA-RAIO</v>
      </c>
      <c r="C1608" s="172"/>
      <c r="D1608" s="265"/>
      <c r="E1608" s="265"/>
      <c r="F1608" s="265"/>
      <c r="G1608" s="265"/>
      <c r="H1608" s="265"/>
      <c r="I1608" s="266"/>
    </row>
    <row r="1609" spans="1:9" ht="28.8">
      <c r="A1609" s="605" t="s">
        <v>23679</v>
      </c>
      <c r="B1609" s="258" t="str">
        <f>VLOOKUP(A1609,GLOBAL!A:H,4,FALSE)</f>
        <v>ATERRAMENTO COM HASTE TERRA 5/8" X 2.40, CABO DE COBRE NU 6MM2, INCLUSIVE CAIXA DE CONCRETO 30 X 30 CM</v>
      </c>
      <c r="C1609" s="119" t="str">
        <f>VLOOKUP(A1609,GLOBAL!A:H,5,FALSE)</f>
        <v>UND</v>
      </c>
      <c r="D1609" s="267" t="s">
        <v>66</v>
      </c>
      <c r="E1609" s="267" t="s">
        <v>70</v>
      </c>
      <c r="F1609" s="267" t="s">
        <v>67</v>
      </c>
      <c r="G1609" s="267" t="s">
        <v>68</v>
      </c>
      <c r="H1609" s="267" t="s">
        <v>71</v>
      </c>
      <c r="I1609" s="268">
        <f>ROUND(SUM(I1611:I1612),2)</f>
        <v>30</v>
      </c>
    </row>
    <row r="1610" spans="1:9">
      <c r="A1610" s="198"/>
      <c r="B1610" s="200" t="s">
        <v>2874</v>
      </c>
      <c r="C1610" s="199"/>
      <c r="D1610" s="281"/>
      <c r="E1610" s="282"/>
      <c r="F1610" s="281"/>
      <c r="G1610" s="281"/>
      <c r="H1610" s="281"/>
      <c r="I1610" s="283"/>
    </row>
    <row r="1611" spans="1:9">
      <c r="A1611" s="197"/>
      <c r="B1611" s="189" t="s">
        <v>35573</v>
      </c>
      <c r="D1611" s="190"/>
      <c r="E1611" s="278"/>
      <c r="F1611" s="271"/>
      <c r="G1611" s="271">
        <v>30</v>
      </c>
      <c r="H1611" s="281"/>
      <c r="I1611" s="257">
        <f>G1611</f>
        <v>30</v>
      </c>
    </row>
    <row r="1612" spans="1:9">
      <c r="A1612" s="195"/>
      <c r="B1612" s="189"/>
      <c r="C1612" s="190"/>
      <c r="D1612" s="271"/>
      <c r="E1612" s="271"/>
      <c r="F1612" s="271"/>
      <c r="G1612" s="271"/>
      <c r="H1612" s="271"/>
      <c r="I1612" s="259"/>
    </row>
    <row r="1613" spans="1:9">
      <c r="A1613" s="135"/>
      <c r="B1613" s="170"/>
      <c r="C1613" s="136"/>
      <c r="D1613" s="275"/>
      <c r="E1613" s="275"/>
      <c r="F1613" s="275"/>
      <c r="G1613" s="276"/>
      <c r="H1613" s="276"/>
      <c r="I1613" s="277"/>
    </row>
    <row r="1614" spans="1:9" ht="57.6">
      <c r="A1614" s="605" t="s">
        <v>35383</v>
      </c>
      <c r="B1614" s="258" t="str">
        <f>VLOOKUP(A1614,GLOBAL!A:H,4,FALSE)</f>
        <v>PÁRA-RAIOS TIPO FRANKLIM INCLUINDO BASE DE FIXAÇÃO, CONJUNTO DE CONTRAVENTAGEM C/ABRAÇADEIRA P/3 ESTAIS EM TUBO E DEMAIS ACESSÓRIOS C/EXCEÇÃO DO CABO DE COBRE DE DESCIDA E SUPORTES ISOLADORES</v>
      </c>
      <c r="C1614" s="119" t="str">
        <f>VLOOKUP(A1614,GLOBAL!A:H,5,FALSE)</f>
        <v>UND</v>
      </c>
      <c r="D1614" s="267" t="s">
        <v>66</v>
      </c>
      <c r="E1614" s="267" t="s">
        <v>70</v>
      </c>
      <c r="F1614" s="267" t="s">
        <v>67</v>
      </c>
      <c r="G1614" s="267" t="s">
        <v>68</v>
      </c>
      <c r="H1614" s="267" t="s">
        <v>71</v>
      </c>
      <c r="I1614" s="268">
        <f>ROUND(SUM(I1616:I1618),2)</f>
        <v>50</v>
      </c>
    </row>
    <row r="1615" spans="1:9">
      <c r="A1615" s="198"/>
      <c r="B1615" s="200" t="s">
        <v>2874</v>
      </c>
      <c r="C1615" s="199"/>
      <c r="D1615" s="281"/>
      <c r="E1615" s="282"/>
      <c r="F1615" s="281"/>
      <c r="G1615" s="281"/>
      <c r="H1615" s="281"/>
      <c r="I1615" s="283"/>
    </row>
    <row r="1616" spans="1:9">
      <c r="A1616" s="197"/>
      <c r="B1616" s="189" t="s">
        <v>35574</v>
      </c>
      <c r="C1616" s="370"/>
      <c r="D1616" s="293"/>
      <c r="E1616" s="278"/>
      <c r="F1616" s="271"/>
      <c r="G1616" s="271">
        <v>30</v>
      </c>
      <c r="H1616" s="281"/>
      <c r="I1616" s="257">
        <f>G1616</f>
        <v>30</v>
      </c>
    </row>
    <row r="1617" spans="1:9">
      <c r="A1617" s="197"/>
      <c r="B1617" s="189" t="s">
        <v>35574</v>
      </c>
      <c r="C1617" s="370"/>
      <c r="D1617" s="293"/>
      <c r="E1617" s="278"/>
      <c r="F1617" s="271"/>
      <c r="G1617" s="271">
        <v>20</v>
      </c>
      <c r="H1617" s="281"/>
      <c r="I1617" s="257">
        <f>G1617</f>
        <v>20</v>
      </c>
    </row>
    <row r="1618" spans="1:9">
      <c r="A1618" s="195"/>
      <c r="B1618" s="189"/>
      <c r="C1618" s="190"/>
      <c r="D1618" s="271"/>
      <c r="E1618" s="271"/>
      <c r="F1618" s="271"/>
      <c r="G1618" s="271"/>
      <c r="H1618" s="271"/>
      <c r="I1618" s="259"/>
    </row>
    <row r="1619" spans="1:9">
      <c r="A1619" s="135"/>
      <c r="B1619" s="170"/>
      <c r="C1619" s="136"/>
      <c r="D1619" s="275"/>
      <c r="E1619" s="275"/>
      <c r="F1619" s="275"/>
      <c r="G1619" s="276"/>
      <c r="H1619" s="276"/>
      <c r="I1619" s="277"/>
    </row>
    <row r="1620" spans="1:9" ht="28.8">
      <c r="A1620" s="605" t="s">
        <v>35384</v>
      </c>
      <c r="B1620" s="258" t="str">
        <f>VLOOKUP(A1620,GLOBAL!A:H,4,FALSE)</f>
        <v>CONDUTOR DE COBRE NÚ, SEÇÃO DE 35MM2, INCLUSIVE SUPORTES ISOLADORES E ACESSÓRIOS DE FIXAÇÃO, CONFORME PROJETO</v>
      </c>
      <c r="C1620" s="119" t="str">
        <f>VLOOKUP(A1620,GLOBAL!A:H,5,FALSE)</f>
        <v>M</v>
      </c>
      <c r="D1620" s="267" t="s">
        <v>66</v>
      </c>
      <c r="E1620" s="267" t="s">
        <v>70</v>
      </c>
      <c r="F1620" s="267" t="s">
        <v>67</v>
      </c>
      <c r="G1620" s="267" t="s">
        <v>68</v>
      </c>
      <c r="H1620" s="267" t="s">
        <v>71</v>
      </c>
      <c r="I1620" s="268">
        <f>ROUND(SUM(I1622:I1624),2)</f>
        <v>215.4</v>
      </c>
    </row>
    <row r="1621" spans="1:9">
      <c r="A1621" s="198"/>
      <c r="B1621" s="200" t="s">
        <v>2874</v>
      </c>
      <c r="C1621" s="199"/>
      <c r="D1621" s="281"/>
      <c r="E1621" s="282"/>
      <c r="F1621" s="281"/>
      <c r="G1621" s="281"/>
      <c r="H1621" s="281"/>
      <c r="I1621" s="283"/>
    </row>
    <row r="1622" spans="1:9">
      <c r="A1622" s="197"/>
      <c r="B1622" s="189" t="s">
        <v>35575</v>
      </c>
      <c r="C1622" s="190"/>
      <c r="D1622" s="271">
        <f>35.3</f>
        <v>35.299999999999997</v>
      </c>
      <c r="E1622" s="278">
        <v>25.3</v>
      </c>
      <c r="F1622" s="271"/>
      <c r="G1622" s="271"/>
      <c r="H1622" s="281"/>
      <c r="I1622" s="257">
        <f>(D1622+E1622)*2</f>
        <v>121.19999999999999</v>
      </c>
    </row>
    <row r="1623" spans="1:9">
      <c r="A1623" s="197"/>
      <c r="B1623" s="189" t="s">
        <v>35798</v>
      </c>
      <c r="C1623" s="190"/>
      <c r="D1623" s="271">
        <v>32</v>
      </c>
      <c r="E1623" s="278">
        <v>15.1</v>
      </c>
      <c r="F1623" s="271"/>
      <c r="G1623" s="271"/>
      <c r="H1623" s="281"/>
      <c r="I1623" s="257">
        <f>(D1623+E1623)*2</f>
        <v>94.2</v>
      </c>
    </row>
    <row r="1624" spans="1:9">
      <c r="A1624" s="195"/>
      <c r="B1624" s="189"/>
      <c r="C1624" s="190"/>
      <c r="D1624" s="271"/>
      <c r="E1624" s="271"/>
      <c r="F1624" s="271"/>
      <c r="G1624" s="271"/>
      <c r="H1624" s="271"/>
      <c r="I1624" s="259"/>
    </row>
    <row r="1625" spans="1:9">
      <c r="A1625" s="135"/>
      <c r="B1625" s="170"/>
      <c r="C1625" s="136"/>
      <c r="D1625" s="275"/>
      <c r="E1625" s="275"/>
      <c r="F1625" s="275"/>
      <c r="G1625" s="276"/>
      <c r="H1625" s="276"/>
      <c r="I1625" s="277"/>
    </row>
    <row r="1626" spans="1:9" ht="28.8">
      <c r="A1626" s="605" t="s">
        <v>35385</v>
      </c>
      <c r="B1626" s="258" t="str">
        <f>VLOOKUP(A1626,GLOBAL!A:H,4,FALSE)</f>
        <v>CABO CONDUTOR DE COBRE ELETROLÍTICO NU, TEMPERA MEIO DURA, ENCORDOAMENTO CLASSE 2, PARA ATERRAMENTO, DIAM. 50MM2</v>
      </c>
      <c r="C1626" s="119" t="str">
        <f>VLOOKUP(A1626,GLOBAL!A:H,5,FALSE)</f>
        <v>M</v>
      </c>
      <c r="D1626" s="267" t="s">
        <v>66</v>
      </c>
      <c r="E1626" s="267" t="s">
        <v>70</v>
      </c>
      <c r="F1626" s="267" t="s">
        <v>67</v>
      </c>
      <c r="G1626" s="267" t="s">
        <v>68</v>
      </c>
      <c r="H1626" s="267" t="s">
        <v>71</v>
      </c>
      <c r="I1626" s="268">
        <f>ROUND(SUM(I1628:I1630),2)</f>
        <v>215.4</v>
      </c>
    </row>
    <row r="1627" spans="1:9">
      <c r="A1627" s="198"/>
      <c r="B1627" s="200" t="s">
        <v>2874</v>
      </c>
      <c r="C1627" s="199"/>
      <c r="D1627" s="281"/>
      <c r="E1627" s="282"/>
      <c r="F1627" s="281"/>
      <c r="G1627" s="281"/>
      <c r="H1627" s="281"/>
      <c r="I1627" s="283"/>
    </row>
    <row r="1628" spans="1:9">
      <c r="A1628" s="197"/>
      <c r="B1628" s="189" t="s">
        <v>35575</v>
      </c>
      <c r="C1628" s="190"/>
      <c r="D1628" s="271">
        <f>35.3</f>
        <v>35.299999999999997</v>
      </c>
      <c r="E1628" s="278">
        <v>25.3</v>
      </c>
      <c r="F1628" s="271"/>
      <c r="G1628" s="271"/>
      <c r="H1628" s="281"/>
      <c r="I1628" s="257">
        <f>(D1628+E1628)*2</f>
        <v>121.19999999999999</v>
      </c>
    </row>
    <row r="1629" spans="1:9">
      <c r="A1629" s="197"/>
      <c r="B1629" s="189" t="s">
        <v>35798</v>
      </c>
      <c r="C1629" s="190"/>
      <c r="D1629" s="271">
        <v>32</v>
      </c>
      <c r="E1629" s="278">
        <v>15.1</v>
      </c>
      <c r="F1629" s="271"/>
      <c r="G1629" s="271"/>
      <c r="H1629" s="281"/>
      <c r="I1629" s="257">
        <f>(D1629+E1629)*2</f>
        <v>94.2</v>
      </c>
    </row>
    <row r="1630" spans="1:9">
      <c r="A1630" s="195"/>
      <c r="B1630" s="189"/>
      <c r="C1630" s="190"/>
      <c r="D1630" s="271"/>
      <c r="E1630" s="271"/>
      <c r="F1630" s="271"/>
      <c r="G1630" s="271"/>
      <c r="H1630" s="271"/>
      <c r="I1630" s="259"/>
    </row>
    <row r="1631" spans="1:9">
      <c r="A1631" s="135"/>
      <c r="B1631" s="170"/>
      <c r="C1631" s="136"/>
      <c r="D1631" s="275"/>
      <c r="E1631" s="275"/>
      <c r="F1631" s="275"/>
      <c r="G1631" s="276"/>
      <c r="H1631" s="276"/>
      <c r="I1631" s="277"/>
    </row>
    <row r="1632" spans="1:9" ht="28.8">
      <c r="A1632" s="605" t="s">
        <v>35385</v>
      </c>
      <c r="B1632" s="258" t="str">
        <f>VLOOKUP(A1632,GLOBAL!A:H,4,FALSE)</f>
        <v>CABO CONDUTOR DE COBRE ELETROLÍTICO NU, TEMPERA MEIO DURA, ENCORDOAMENTO CLASSE 2, PARA ATERRAMENTO, DIAM. 50MM2</v>
      </c>
      <c r="C1632" s="119" t="str">
        <f>VLOOKUP(A1632,GLOBAL!A:H,5,FALSE)</f>
        <v>M</v>
      </c>
      <c r="D1632" s="267" t="s">
        <v>66</v>
      </c>
      <c r="E1632" s="267" t="s">
        <v>70</v>
      </c>
      <c r="F1632" s="267" t="s">
        <v>67</v>
      </c>
      <c r="G1632" s="267" t="s">
        <v>68</v>
      </c>
      <c r="H1632" s="267" t="s">
        <v>71</v>
      </c>
      <c r="I1632" s="268">
        <f>ROUND(SUM(I1634:I1636),2)</f>
        <v>720</v>
      </c>
    </row>
    <row r="1633" spans="1:9">
      <c r="A1633" s="198"/>
      <c r="B1633" s="200" t="s">
        <v>2874</v>
      </c>
      <c r="C1633" s="199"/>
      <c r="D1633" s="281"/>
      <c r="E1633" s="282"/>
      <c r="F1633" s="281"/>
      <c r="G1633" s="281"/>
      <c r="H1633" s="281"/>
      <c r="I1633" s="283"/>
    </row>
    <row r="1634" spans="1:9">
      <c r="A1634" s="197"/>
      <c r="B1634" s="189" t="s">
        <v>35575</v>
      </c>
      <c r="C1634" s="190"/>
      <c r="D1634" s="271">
        <v>12</v>
      </c>
      <c r="E1634" s="278">
        <v>0</v>
      </c>
      <c r="F1634" s="271"/>
      <c r="G1634" s="271">
        <v>30</v>
      </c>
      <c r="H1634" s="281"/>
      <c r="I1634" s="257">
        <f>D1634*G1634</f>
        <v>360</v>
      </c>
    </row>
    <row r="1635" spans="1:9">
      <c r="A1635" s="197"/>
      <c r="B1635" s="189" t="s">
        <v>35798</v>
      </c>
      <c r="C1635" s="190"/>
      <c r="D1635" s="271">
        <v>12</v>
      </c>
      <c r="E1635" s="278">
        <v>0</v>
      </c>
      <c r="F1635" s="271"/>
      <c r="G1635" s="271">
        <v>30</v>
      </c>
      <c r="H1635" s="281"/>
      <c r="I1635" s="257">
        <f>D1635*G1635</f>
        <v>360</v>
      </c>
    </row>
    <row r="1636" spans="1:9">
      <c r="A1636" s="195"/>
      <c r="B1636" s="189"/>
      <c r="C1636" s="190"/>
      <c r="D1636" s="271"/>
      <c r="E1636" s="271"/>
      <c r="F1636" s="271"/>
      <c r="G1636" s="271"/>
      <c r="H1636" s="271"/>
      <c r="I1636" s="259"/>
    </row>
    <row r="1637" spans="1:9">
      <c r="A1637" s="135"/>
      <c r="B1637" s="170"/>
      <c r="C1637" s="136"/>
      <c r="D1637" s="275"/>
      <c r="E1637" s="275"/>
      <c r="F1637" s="275"/>
      <c r="G1637" s="276"/>
      <c r="H1637" s="276"/>
      <c r="I1637" s="277"/>
    </row>
    <row r="1638" spans="1:9" ht="57.6">
      <c r="A1638" s="605" t="s">
        <v>35386</v>
      </c>
      <c r="B1638" s="258" t="str">
        <f>VLOOKUP(A1638,GLOBAL!A:H,4,FALSE)</f>
        <v>TERMINAL AÉREO EM LATÃO (MINICAPTOR), COM CONECTOR E FIXAÇÃO HORIZONTAL 250MM X 10MM, REF. TEL-2024, INCLUSIVE VEDAÇÃO DOS FUROS COM POLIURETANO REF. TEL 5905, MARCA DE REF. TERMOTÉCNICA OU EQUIVALENTE</v>
      </c>
      <c r="C1638" s="119" t="str">
        <f>VLOOKUP(A1638,GLOBAL!A:H,5,FALSE)</f>
        <v>UND</v>
      </c>
      <c r="D1638" s="267" t="s">
        <v>66</v>
      </c>
      <c r="E1638" s="267" t="s">
        <v>70</v>
      </c>
      <c r="F1638" s="267" t="s">
        <v>67</v>
      </c>
      <c r="G1638" s="267" t="s">
        <v>68</v>
      </c>
      <c r="H1638" s="267" t="s">
        <v>71</v>
      </c>
      <c r="I1638" s="268">
        <f>ROUND(SUM(I1640:I1642),2)</f>
        <v>60</v>
      </c>
    </row>
    <row r="1639" spans="1:9">
      <c r="A1639" s="198"/>
      <c r="B1639" s="200" t="s">
        <v>2874</v>
      </c>
      <c r="C1639" s="199"/>
      <c r="D1639" s="281"/>
      <c r="E1639" s="282"/>
      <c r="F1639" s="281"/>
      <c r="G1639" s="281"/>
      <c r="H1639" s="281"/>
      <c r="I1639" s="283"/>
    </row>
    <row r="1640" spans="1:9">
      <c r="A1640" s="197"/>
      <c r="B1640" s="189" t="s">
        <v>35574</v>
      </c>
      <c r="C1640" s="370"/>
      <c r="D1640" s="293"/>
      <c r="E1640" s="278"/>
      <c r="F1640" s="271"/>
      <c r="G1640" s="271">
        <v>30</v>
      </c>
      <c r="H1640" s="281"/>
      <c r="I1640" s="257">
        <f>G1640</f>
        <v>30</v>
      </c>
    </row>
    <row r="1641" spans="1:9">
      <c r="A1641" s="197"/>
      <c r="B1641" s="189" t="s">
        <v>35574</v>
      </c>
      <c r="C1641" s="370"/>
      <c r="D1641" s="293"/>
      <c r="E1641" s="278"/>
      <c r="F1641" s="271"/>
      <c r="G1641" s="271">
        <v>30</v>
      </c>
      <c r="H1641" s="281"/>
      <c r="I1641" s="257">
        <f>G1641</f>
        <v>30</v>
      </c>
    </row>
    <row r="1642" spans="1:9">
      <c r="A1642" s="195"/>
      <c r="B1642" s="189"/>
      <c r="C1642" s="190"/>
      <c r="D1642" s="271"/>
      <c r="E1642" s="271"/>
      <c r="F1642" s="271"/>
      <c r="G1642" s="271"/>
      <c r="H1642" s="271"/>
      <c r="I1642" s="259"/>
    </row>
    <row r="1643" spans="1:9">
      <c r="A1643" s="135"/>
      <c r="B1643" s="170"/>
      <c r="C1643" s="136"/>
      <c r="D1643" s="275"/>
      <c r="E1643" s="275"/>
      <c r="F1643" s="275"/>
      <c r="G1643" s="276"/>
      <c r="H1643" s="276"/>
      <c r="I1643" s="277"/>
    </row>
    <row r="1644" spans="1:9" ht="28.8">
      <c r="A1644" s="605" t="s">
        <v>35387</v>
      </c>
      <c r="B1644" s="258" t="str">
        <f>VLOOKUP(A1644,GLOBAL!A:H,4,FALSE)</f>
        <v>CONECTOR DE MEDIÇÃO EM LATÃO COM 2 PARAFUSOS PARA CABOS DE 16 A 50 MM2, REF. TEL-562, TERMOTÉCNICA OU EQUIVALENTE</v>
      </c>
      <c r="C1644" s="119" t="str">
        <f>VLOOKUP(A1644,GLOBAL!A:H,5,FALSE)</f>
        <v>UND</v>
      </c>
      <c r="D1644" s="267" t="s">
        <v>66</v>
      </c>
      <c r="E1644" s="267" t="s">
        <v>70</v>
      </c>
      <c r="F1644" s="267" t="s">
        <v>67</v>
      </c>
      <c r="G1644" s="267" t="s">
        <v>68</v>
      </c>
      <c r="H1644" s="267" t="s">
        <v>71</v>
      </c>
      <c r="I1644" s="268">
        <f>ROUND(SUM(I1646:I1648),2)</f>
        <v>200</v>
      </c>
    </row>
    <row r="1645" spans="1:9">
      <c r="A1645" s="198"/>
      <c r="B1645" s="200" t="s">
        <v>2874</v>
      </c>
      <c r="C1645" s="199"/>
      <c r="D1645" s="281"/>
      <c r="E1645" s="282"/>
      <c r="F1645" s="281"/>
      <c r="G1645" s="281"/>
      <c r="H1645" s="281"/>
      <c r="I1645" s="283"/>
    </row>
    <row r="1646" spans="1:9">
      <c r="A1646" s="197"/>
      <c r="B1646" s="189" t="s">
        <v>35576</v>
      </c>
      <c r="C1646" s="370"/>
      <c r="D1646" s="293"/>
      <c r="E1646" s="278"/>
      <c r="F1646" s="271"/>
      <c r="G1646" s="271">
        <v>100</v>
      </c>
      <c r="H1646" s="281"/>
      <c r="I1646" s="257">
        <f>G1646</f>
        <v>100</v>
      </c>
    </row>
    <row r="1647" spans="1:9">
      <c r="A1647" s="197"/>
      <c r="B1647" s="189" t="s">
        <v>35576</v>
      </c>
      <c r="C1647" s="370"/>
      <c r="D1647" s="293"/>
      <c r="E1647" s="278"/>
      <c r="F1647" s="271"/>
      <c r="G1647" s="271">
        <v>100</v>
      </c>
      <c r="H1647" s="281"/>
      <c r="I1647" s="257">
        <f>G1647</f>
        <v>100</v>
      </c>
    </row>
    <row r="1648" spans="1:9">
      <c r="A1648" s="195"/>
      <c r="B1648" s="189"/>
      <c r="C1648" s="190" t="s">
        <v>10353</v>
      </c>
      <c r="D1648" s="271"/>
      <c r="E1648" s="271"/>
      <c r="F1648" s="271"/>
      <c r="G1648" s="271"/>
      <c r="H1648" s="271"/>
      <c r="I1648" s="259"/>
    </row>
    <row r="1649" spans="1:9">
      <c r="A1649" s="135"/>
      <c r="B1649" s="170"/>
      <c r="C1649" s="136"/>
      <c r="D1649" s="275"/>
      <c r="E1649" s="275"/>
      <c r="F1649" s="275"/>
      <c r="G1649" s="276"/>
      <c r="H1649" s="276"/>
      <c r="I1649" s="277"/>
    </row>
    <row r="1650" spans="1:9" ht="57.6">
      <c r="A1650" s="605" t="s">
        <v>35388</v>
      </c>
      <c r="B1650" s="258" t="str">
        <f>VLOOKUP(A1650,GLOBAL!A:H,4,FALSE)</f>
        <v>MASTRO SIMPLES 3MX1.1/2", UMA DESCIDA, INCL. BASE DE FIXAÇÃO, CAPTOR, CONJ.DE CONTRAVENTAGEM C/ABRAÇADEIRA P/3 ESTAIS EM TUBO E DEMAIS ACESSÓRIOS, EXCL. CABO DE COBRE DE DESCIDA E SUPORTES ISOLADORES, REF.TERMOTÉCNICA OU EQUIV.</v>
      </c>
      <c r="C1650" s="119" t="str">
        <f>VLOOKUP(A1650,GLOBAL!A:H,5,FALSE)</f>
        <v>UND</v>
      </c>
      <c r="D1650" s="267" t="s">
        <v>66</v>
      </c>
      <c r="E1650" s="267" t="s">
        <v>70</v>
      </c>
      <c r="F1650" s="267" t="s">
        <v>67</v>
      </c>
      <c r="G1650" s="267" t="s">
        <v>68</v>
      </c>
      <c r="H1650" s="267" t="s">
        <v>71</v>
      </c>
      <c r="I1650" s="268">
        <f>ROUND(SUM(I1652:I1653),2)</f>
        <v>2</v>
      </c>
    </row>
    <row r="1651" spans="1:9">
      <c r="A1651" s="198"/>
      <c r="B1651" s="200" t="s">
        <v>2874</v>
      </c>
      <c r="C1651" s="199"/>
      <c r="D1651" s="281"/>
      <c r="E1651" s="282"/>
      <c r="F1651" s="281"/>
      <c r="G1651" s="281"/>
      <c r="H1651" s="281"/>
      <c r="I1651" s="283"/>
    </row>
    <row r="1652" spans="1:9">
      <c r="A1652" s="197"/>
      <c r="B1652" s="189" t="s">
        <v>35577</v>
      </c>
      <c r="D1652" s="190"/>
      <c r="E1652" s="278"/>
      <c r="F1652" s="271"/>
      <c r="G1652" s="271">
        <v>2</v>
      </c>
      <c r="H1652" s="281"/>
      <c r="I1652" s="257">
        <f>G1652</f>
        <v>2</v>
      </c>
    </row>
    <row r="1653" spans="1:9">
      <c r="A1653" s="195"/>
      <c r="B1653" s="189"/>
      <c r="C1653" s="190"/>
      <c r="D1653" s="271"/>
      <c r="E1653" s="271"/>
      <c r="F1653" s="271"/>
      <c r="G1653" s="271"/>
      <c r="H1653" s="271"/>
      <c r="I1653" s="259"/>
    </row>
    <row r="1654" spans="1:9">
      <c r="A1654" s="135"/>
      <c r="B1654" s="170"/>
      <c r="C1654" s="136"/>
      <c r="D1654" s="275"/>
      <c r="E1654" s="275"/>
      <c r="F1654" s="275"/>
      <c r="G1654" s="276"/>
      <c r="H1654" s="276"/>
      <c r="I1654" s="277"/>
    </row>
    <row r="1655" spans="1:9" ht="57.6">
      <c r="A1655" s="605" t="s">
        <v>35389</v>
      </c>
      <c r="B1655" s="258" t="str">
        <f>VLOOKUP(A1655,GLOBAL!A:H,4,FALSE)</f>
        <v>CAIXA DE EQUALIZAÇÃO DE POTENCIAIS PARA USO INTERNO E EXTERNO COM NOVE (9) TERMINAIS PARA ATERRAMENTO (BEP), EM AÇO, COM FLANGE INFERIOR E VEDAÇÃO NA PORTA, REF. TEL-903, MARCA DE REFERÊNCIA TERMOTÉCNICA OU EQUIVALENTE</v>
      </c>
      <c r="C1655" s="119" t="str">
        <f>VLOOKUP(A1655,GLOBAL!A:H,5,FALSE)</f>
        <v>UND</v>
      </c>
      <c r="D1655" s="267" t="s">
        <v>66</v>
      </c>
      <c r="E1655" s="267" t="s">
        <v>70</v>
      </c>
      <c r="F1655" s="267" t="s">
        <v>67</v>
      </c>
      <c r="G1655" s="267" t="s">
        <v>68</v>
      </c>
      <c r="H1655" s="267" t="s">
        <v>71</v>
      </c>
      <c r="I1655" s="268">
        <f>ROUND(SUM(I1657:I1659),2)</f>
        <v>2</v>
      </c>
    </row>
    <row r="1656" spans="1:9">
      <c r="A1656" s="198"/>
      <c r="B1656" s="200" t="s">
        <v>2874</v>
      </c>
      <c r="C1656" s="199"/>
      <c r="D1656" s="281"/>
      <c r="E1656" s="282"/>
      <c r="F1656" s="281"/>
      <c r="G1656" s="281"/>
      <c r="H1656" s="281"/>
      <c r="I1656" s="283"/>
    </row>
    <row r="1657" spans="1:9">
      <c r="A1657" s="197"/>
      <c r="B1657" s="189" t="s">
        <v>35578</v>
      </c>
      <c r="C1657" s="370"/>
      <c r="D1657" s="293"/>
      <c r="E1657" s="278"/>
      <c r="F1657" s="271"/>
      <c r="G1657" s="271">
        <v>1</v>
      </c>
      <c r="H1657" s="281"/>
      <c r="I1657" s="257">
        <f>G1657</f>
        <v>1</v>
      </c>
    </row>
    <row r="1658" spans="1:9">
      <c r="A1658" s="197"/>
      <c r="B1658" s="189" t="s">
        <v>35578</v>
      </c>
      <c r="C1658" s="370"/>
      <c r="D1658" s="293"/>
      <c r="E1658" s="278"/>
      <c r="F1658" s="271"/>
      <c r="G1658" s="271">
        <v>1</v>
      </c>
      <c r="H1658" s="281"/>
      <c r="I1658" s="257">
        <f>G1658</f>
        <v>1</v>
      </c>
    </row>
    <row r="1659" spans="1:9">
      <c r="A1659" s="195"/>
      <c r="B1659" s="189"/>
      <c r="C1659" s="190"/>
      <c r="D1659" s="271"/>
      <c r="E1659" s="271"/>
      <c r="F1659" s="271"/>
      <c r="G1659" s="271"/>
      <c r="H1659" s="271"/>
      <c r="I1659" s="259"/>
    </row>
    <row r="1660" spans="1:9">
      <c r="A1660" s="135"/>
      <c r="B1660" s="170"/>
      <c r="C1660" s="136"/>
      <c r="D1660" s="275"/>
      <c r="E1660" s="275"/>
      <c r="F1660" s="275"/>
      <c r="G1660" s="276"/>
      <c r="H1660" s="276"/>
      <c r="I1660" s="277"/>
    </row>
    <row r="1661" spans="1:9" ht="43.2">
      <c r="A1661" s="605" t="s">
        <v>35390</v>
      </c>
      <c r="B1661" s="258" t="str">
        <f>VLOOKUP(A1661,GLOBAL!A:H,4,FALSE)</f>
        <v>BARRA CHATA EM ALUMÍNIO 7/8"X1/8" (70MM²), COM FUROS DIÂMETRO 7 MM REF. TEL-771, MARCA DE REFERÊNCIA TERMOTÉCNICA OU EQUIVALENTE</v>
      </c>
      <c r="C1661" s="119" t="str">
        <f>VLOOKUP(A1661,GLOBAL!A:H,5,FALSE)</f>
        <v>M</v>
      </c>
      <c r="D1661" s="267" t="s">
        <v>66</v>
      </c>
      <c r="E1661" s="267" t="s">
        <v>70</v>
      </c>
      <c r="F1661" s="267" t="s">
        <v>67</v>
      </c>
      <c r="G1661" s="267" t="s">
        <v>68</v>
      </c>
      <c r="H1661" s="267" t="s">
        <v>71</v>
      </c>
      <c r="I1661" s="268">
        <f>ROUND(SUM(I1663:I1665),2)</f>
        <v>215.4</v>
      </c>
    </row>
    <row r="1662" spans="1:9">
      <c r="A1662" s="198"/>
      <c r="B1662" s="200" t="s">
        <v>2874</v>
      </c>
      <c r="C1662" s="199"/>
      <c r="D1662" s="281"/>
      <c r="E1662" s="282"/>
      <c r="F1662" s="281"/>
      <c r="G1662" s="281"/>
      <c r="H1662" s="281"/>
      <c r="I1662" s="283"/>
    </row>
    <row r="1663" spans="1:9">
      <c r="A1663" s="197"/>
      <c r="B1663" s="189" t="s">
        <v>35575</v>
      </c>
      <c r="C1663" s="190"/>
      <c r="D1663" s="271">
        <f>35.3</f>
        <v>35.299999999999997</v>
      </c>
      <c r="E1663" s="278">
        <v>25.3</v>
      </c>
      <c r="F1663" s="271"/>
      <c r="G1663" s="271"/>
      <c r="H1663" s="281"/>
      <c r="I1663" s="257">
        <f>(D1663+E1663)*2</f>
        <v>121.19999999999999</v>
      </c>
    </row>
    <row r="1664" spans="1:9">
      <c r="A1664" s="197"/>
      <c r="B1664" s="189" t="s">
        <v>35799</v>
      </c>
      <c r="C1664" s="190"/>
      <c r="D1664" s="271">
        <v>32</v>
      </c>
      <c r="E1664" s="278">
        <v>15.1</v>
      </c>
      <c r="F1664" s="271"/>
      <c r="G1664" s="271"/>
      <c r="H1664" s="281"/>
      <c r="I1664" s="257">
        <f>(D1664+E1664)*2</f>
        <v>94.2</v>
      </c>
    </row>
    <row r="1665" spans="1:9">
      <c r="A1665" s="195"/>
      <c r="B1665" s="189"/>
      <c r="C1665" s="190"/>
      <c r="D1665" s="271"/>
      <c r="E1665" s="271"/>
      <c r="F1665" s="271"/>
      <c r="G1665" s="271"/>
      <c r="H1665" s="271"/>
      <c r="I1665" s="259"/>
    </row>
    <row r="1666" spans="1:9">
      <c r="A1666" s="135"/>
      <c r="B1666" s="170"/>
      <c r="C1666" s="136"/>
      <c r="D1666" s="275"/>
      <c r="E1666" s="275"/>
      <c r="F1666" s="275"/>
      <c r="G1666" s="276"/>
      <c r="H1666" s="276"/>
      <c r="I1666" s="277"/>
    </row>
    <row r="1667" spans="1:9">
      <c r="A1667" s="184" t="s">
        <v>15755</v>
      </c>
      <c r="B1667" s="171" t="str">
        <f>VLOOKUP(A1667,GLOBAL!A:H,4,FALSE)</f>
        <v>INSTALAÇÃO DE INCÊNDIO</v>
      </c>
      <c r="C1667" s="172"/>
      <c r="D1667" s="265"/>
      <c r="E1667" s="265"/>
      <c r="F1667" s="265"/>
      <c r="G1667" s="265"/>
      <c r="H1667" s="265"/>
      <c r="I1667" s="266"/>
    </row>
    <row r="1668" spans="1:9" ht="100.8">
      <c r="A1668" s="605" t="s">
        <v>23680</v>
      </c>
      <c r="B1668" s="258" t="str">
        <f>VLOOKUP(A1668,GLOBAL!A:H,4,FALSE)</f>
        <v>ABRIGO DE PAREDE PARA HIDRANTE 60X90X17CM SOBREPOR, EM CHAPA DE AÇO COM PINTURA ELETROSTÁTICA VERMELHA, VISOR TRANSPARENTE E INSCRIÇÃO "HIDRANTE", REGISTRO GLOBO ANGULAR 45º 2.1/2? (63MM), ADAPTADOR EM LATÃO STORZ ENGATE RÁPIDO 2.1/2?, MANGUEIRA DE INCÊNDIO 20M ? 2.1/2? ? TIPO 2, COM ACOPLAMENTO EM LATÃO E ESGUICHO REGULÁVEL EM LATÃO 2.1/2? EM LATÃO, FORNECIMENTO E INSTALAÇÃO</v>
      </c>
      <c r="C1668" s="119" t="str">
        <f>VLOOKUP(A1668,GLOBAL!A:H,5,FALSE)</f>
        <v>UND</v>
      </c>
      <c r="D1668" s="267" t="s">
        <v>66</v>
      </c>
      <c r="E1668" s="267" t="s">
        <v>70</v>
      </c>
      <c r="F1668" s="267" t="s">
        <v>67</v>
      </c>
      <c r="G1668" s="267" t="s">
        <v>68</v>
      </c>
      <c r="H1668" s="267" t="s">
        <v>71</v>
      </c>
      <c r="I1668" s="268">
        <f>ROUND(SUM(I1670:I1671),2)</f>
        <v>6</v>
      </c>
    </row>
    <row r="1669" spans="1:9">
      <c r="A1669" s="198"/>
      <c r="B1669" s="200" t="s">
        <v>2874</v>
      </c>
      <c r="C1669" s="199"/>
      <c r="D1669" s="281"/>
      <c r="E1669" s="282"/>
      <c r="F1669" s="281"/>
      <c r="G1669" s="281"/>
      <c r="H1669" s="281"/>
      <c r="I1669" s="283"/>
    </row>
    <row r="1670" spans="1:9">
      <c r="A1670" s="197"/>
      <c r="B1670" s="189" t="s">
        <v>35579</v>
      </c>
      <c r="C1670" s="190"/>
      <c r="D1670" s="271"/>
      <c r="E1670" s="278"/>
      <c r="F1670" s="271"/>
      <c r="G1670" s="271">
        <v>6</v>
      </c>
      <c r="H1670" s="281"/>
      <c r="I1670" s="257">
        <f>G1670</f>
        <v>6</v>
      </c>
    </row>
    <row r="1671" spans="1:9">
      <c r="A1671" s="195"/>
      <c r="B1671" s="189"/>
      <c r="C1671" s="190"/>
      <c r="D1671" s="271"/>
      <c r="E1671" s="271"/>
      <c r="F1671" s="271"/>
      <c r="G1671" s="271"/>
      <c r="H1671" s="271"/>
      <c r="I1671" s="259"/>
    </row>
    <row r="1672" spans="1:9">
      <c r="A1672" s="135"/>
      <c r="B1672" s="170"/>
      <c r="C1672" s="136"/>
      <c r="D1672" s="275"/>
      <c r="E1672" s="275"/>
      <c r="F1672" s="275"/>
      <c r="G1672" s="276"/>
      <c r="H1672" s="276"/>
      <c r="I1672" s="277"/>
    </row>
    <row r="1673" spans="1:9" ht="57.6">
      <c r="A1673" s="605" t="s">
        <v>23681</v>
      </c>
      <c r="B1673" s="258" t="str">
        <f>VLOOKUP(A1673,GLOBAL!A:H,4,FALSE)</f>
        <v>EXTINTOR DE INCÊNDIO DE ÁGUA PRESSURIZADA CAPACIDADE 2A (10L), INCLUSIVE SUPORTE DE PAREDE UNIVERSAL, PARAFUSO E BUCHA S8, EXCLUSIVE PLACA SINALIZADORA EM PVC FOTOLUMINESCENTE E PINTURA DE SINALIZAÇÃO</v>
      </c>
      <c r="C1673" s="119" t="str">
        <f>VLOOKUP(A1673,GLOBAL!A:H,5,FALSE)</f>
        <v>UND</v>
      </c>
      <c r="D1673" s="267" t="s">
        <v>66</v>
      </c>
      <c r="E1673" s="267" t="s">
        <v>70</v>
      </c>
      <c r="F1673" s="267" t="s">
        <v>67</v>
      </c>
      <c r="G1673" s="267" t="s">
        <v>68</v>
      </c>
      <c r="H1673" s="267" t="s">
        <v>71</v>
      </c>
      <c r="I1673" s="268">
        <f>ROUND(SUM(I1675:I1677),2)</f>
        <v>18</v>
      </c>
    </row>
    <row r="1674" spans="1:9">
      <c r="A1674" s="198"/>
      <c r="B1674" s="200" t="s">
        <v>2874</v>
      </c>
      <c r="C1674" s="199"/>
      <c r="D1674" s="281"/>
      <c r="E1674" s="282"/>
      <c r="F1674" s="281"/>
      <c r="G1674" s="281"/>
      <c r="H1674" s="281"/>
      <c r="I1674" s="283"/>
    </row>
    <row r="1675" spans="1:9">
      <c r="A1675" s="197"/>
      <c r="B1675" s="189" t="s">
        <v>35580</v>
      </c>
      <c r="C1675" s="190"/>
      <c r="D1675" s="271"/>
      <c r="E1675" s="278"/>
      <c r="F1675" s="271"/>
      <c r="G1675" s="271">
        <v>12</v>
      </c>
      <c r="H1675" s="281"/>
      <c r="I1675" s="257">
        <f>G1675</f>
        <v>12</v>
      </c>
    </row>
    <row r="1676" spans="1:9">
      <c r="A1676" s="197"/>
      <c r="B1676" s="189" t="s">
        <v>35655</v>
      </c>
      <c r="C1676" s="190"/>
      <c r="D1676" s="271"/>
      <c r="E1676" s="278"/>
      <c r="F1676" s="271"/>
      <c r="G1676" s="271">
        <v>6</v>
      </c>
      <c r="H1676" s="281"/>
      <c r="I1676" s="257">
        <f>G1676</f>
        <v>6</v>
      </c>
    </row>
    <row r="1677" spans="1:9">
      <c r="A1677" s="195"/>
      <c r="B1677" s="189"/>
      <c r="C1677" s="190"/>
      <c r="D1677" s="271"/>
      <c r="E1677" s="271"/>
      <c r="F1677" s="271"/>
      <c r="G1677" s="271"/>
      <c r="H1677" s="271"/>
      <c r="I1677" s="259"/>
    </row>
    <row r="1678" spans="1:9">
      <c r="A1678" s="135"/>
      <c r="B1678" s="170"/>
      <c r="C1678" s="136"/>
      <c r="D1678" s="275"/>
      <c r="E1678" s="275"/>
      <c r="F1678" s="275"/>
      <c r="G1678" s="276"/>
      <c r="H1678" s="276"/>
      <c r="I1678" s="277"/>
    </row>
    <row r="1679" spans="1:9" ht="57.6">
      <c r="A1679" s="605" t="s">
        <v>23688</v>
      </c>
      <c r="B1679" s="258" t="str">
        <f>VLOOKUP(A1679,GLOBAL!A:H,4,FALSE)</f>
        <v>EXTINTOR DE INCÊNDIO PORTÁTIL DE PÓ QUÍMICO ABC COM CAPACIDADE 2A-20B:C (6 KG), INCLUSIVE SUPORTE DE PAREDE UNIVERSAL, PARAFUSO E BUCHA S8, EXCLUSIVE PLACA SINALIZADORA EM PVC FOTOLUMINESCENTE E PINTURA DE SINALIZAÇÃO</v>
      </c>
      <c r="C1679" s="119" t="str">
        <f>VLOOKUP(A1679,GLOBAL!A:H,5,FALSE)</f>
        <v>UND</v>
      </c>
      <c r="D1679" s="267" t="s">
        <v>66</v>
      </c>
      <c r="E1679" s="267" t="s">
        <v>70</v>
      </c>
      <c r="F1679" s="267" t="s">
        <v>67</v>
      </c>
      <c r="G1679" s="267" t="s">
        <v>68</v>
      </c>
      <c r="H1679" s="267" t="s">
        <v>71</v>
      </c>
      <c r="I1679" s="268">
        <f>ROUND(SUM(I1681:I1683),2)</f>
        <v>8</v>
      </c>
    </row>
    <row r="1680" spans="1:9">
      <c r="A1680" s="198"/>
      <c r="B1680" s="200" t="s">
        <v>2874</v>
      </c>
      <c r="C1680" s="199"/>
      <c r="D1680" s="281"/>
      <c r="E1680" s="282"/>
      <c r="F1680" s="281"/>
      <c r="G1680" s="281"/>
      <c r="H1680" s="281"/>
      <c r="I1680" s="283"/>
    </row>
    <row r="1681" spans="1:9">
      <c r="A1681" s="197"/>
      <c r="B1681" s="189" t="s">
        <v>35580</v>
      </c>
      <c r="C1681" s="190"/>
      <c r="D1681" s="271"/>
      <c r="E1681" s="278"/>
      <c r="F1681" s="271"/>
      <c r="G1681" s="271">
        <v>5</v>
      </c>
      <c r="H1681" s="281"/>
      <c r="I1681" s="257">
        <f>G1681</f>
        <v>5</v>
      </c>
    </row>
    <row r="1682" spans="1:9">
      <c r="A1682" s="197"/>
      <c r="B1682" s="189" t="s">
        <v>35655</v>
      </c>
      <c r="C1682" s="190"/>
      <c r="D1682" s="271"/>
      <c r="E1682" s="278"/>
      <c r="F1682" s="271"/>
      <c r="G1682" s="271">
        <v>3</v>
      </c>
      <c r="H1682" s="281"/>
      <c r="I1682" s="257">
        <f>G1682</f>
        <v>3</v>
      </c>
    </row>
    <row r="1683" spans="1:9">
      <c r="A1683" s="195"/>
      <c r="B1683" s="189"/>
      <c r="C1683" s="190"/>
      <c r="D1683" s="271"/>
      <c r="E1683" s="271"/>
      <c r="F1683" s="271"/>
      <c r="G1683" s="271"/>
      <c r="H1683" s="271"/>
      <c r="I1683" s="259"/>
    </row>
    <row r="1684" spans="1:9">
      <c r="A1684" s="135"/>
      <c r="B1684" s="170"/>
      <c r="C1684" s="136"/>
      <c r="D1684" s="275"/>
      <c r="E1684" s="275"/>
      <c r="F1684" s="275"/>
      <c r="G1684" s="276"/>
      <c r="H1684" s="276"/>
      <c r="I1684" s="277"/>
    </row>
    <row r="1685" spans="1:9" ht="57.6">
      <c r="A1685" s="605" t="s">
        <v>35391</v>
      </c>
      <c r="B1685" s="258" t="str">
        <f>VLOOKUP(A1685,GLOBAL!A:H,4,FALSE)</f>
        <v>PONTO PARA SETA INDICATIVA DE SAÍDA, INCL. SETA EM ACRÍLICO, COM FONTE ALIMENTADORA PRÓPRIA QUE ASSEGURE UM FUNCIONAMENTO MÍNIMO DE 1H, PARA QUANDO OCORRER FALTA DE ENERGIA ELÉTRICA NA REDE PÚBLICA, CONFORME PROJETO</v>
      </c>
      <c r="C1685" s="119" t="str">
        <f>VLOOKUP(A1685,GLOBAL!A:H,5,FALSE)</f>
        <v>UND</v>
      </c>
      <c r="D1685" s="267" t="s">
        <v>66</v>
      </c>
      <c r="E1685" s="267" t="s">
        <v>70</v>
      </c>
      <c r="F1685" s="267" t="s">
        <v>67</v>
      </c>
      <c r="G1685" s="267" t="s">
        <v>68</v>
      </c>
      <c r="H1685" s="267" t="s">
        <v>71</v>
      </c>
      <c r="I1685" s="268">
        <f>ROUND(SUM(I1687:I1689),2)</f>
        <v>15</v>
      </c>
    </row>
    <row r="1686" spans="1:9">
      <c r="A1686" s="198"/>
      <c r="B1686" s="200" t="s">
        <v>2874</v>
      </c>
      <c r="C1686" s="199"/>
      <c r="D1686" s="281"/>
      <c r="E1686" s="282"/>
      <c r="F1686" s="281"/>
      <c r="G1686" s="281"/>
      <c r="H1686" s="281"/>
      <c r="I1686" s="283"/>
    </row>
    <row r="1687" spans="1:9">
      <c r="A1687" s="197"/>
      <c r="B1687" s="189" t="s">
        <v>35581</v>
      </c>
      <c r="C1687" s="190"/>
      <c r="D1687" s="271"/>
      <c r="E1687" s="278"/>
      <c r="F1687" s="271"/>
      <c r="G1687" s="271">
        <v>10</v>
      </c>
      <c r="H1687" s="281"/>
      <c r="I1687" s="257">
        <f>G1687</f>
        <v>10</v>
      </c>
    </row>
    <row r="1688" spans="1:9">
      <c r="A1688" s="197"/>
      <c r="B1688" s="189" t="s">
        <v>35655</v>
      </c>
      <c r="C1688" s="190"/>
      <c r="D1688" s="271"/>
      <c r="E1688" s="278"/>
      <c r="F1688" s="271"/>
      <c r="G1688" s="271">
        <v>5</v>
      </c>
      <c r="H1688" s="281"/>
      <c r="I1688" s="257">
        <f>G1688</f>
        <v>5</v>
      </c>
    </row>
    <row r="1689" spans="1:9">
      <c r="A1689" s="195"/>
      <c r="B1689" s="189"/>
      <c r="C1689" s="190"/>
      <c r="D1689" s="271"/>
      <c r="E1689" s="271"/>
      <c r="F1689" s="271"/>
      <c r="G1689" s="271"/>
      <c r="H1689" s="271"/>
      <c r="I1689" s="259"/>
    </row>
    <row r="1690" spans="1:9">
      <c r="A1690" s="135"/>
      <c r="B1690" s="170"/>
      <c r="C1690" s="136"/>
      <c r="D1690" s="275"/>
      <c r="E1690" s="275"/>
      <c r="F1690" s="275"/>
      <c r="G1690" s="276"/>
      <c r="H1690" s="276"/>
      <c r="I1690" s="277"/>
    </row>
    <row r="1691" spans="1:9" ht="57.6">
      <c r="A1691" s="605" t="s">
        <v>35392</v>
      </c>
      <c r="B1691" s="258" t="str">
        <f>VLOOKUP(A1691,GLOBAL!A:H,4,FALSE)</f>
        <v>PLACA DE SINALIZAÇÃO DE SEGURANÇA DO TIPO ?SAÍDA DE EMERGÊNCIA? COM SETA VERTICAL, CONFORME CÓDIGO 14 - 315/158 DA ABNT NBR 13434 E CÓDIGO S3 DA NT 14/2010 DO CORPO DE BOMBEIROS DO ESPÍRITO SANTO (CBMES)</v>
      </c>
      <c r="C1691" s="119" t="str">
        <f>VLOOKUP(A1691,GLOBAL!A:H,5,FALSE)</f>
        <v>UND</v>
      </c>
      <c r="D1691" s="267" t="s">
        <v>66</v>
      </c>
      <c r="E1691" s="267" t="s">
        <v>70</v>
      </c>
      <c r="F1691" s="267" t="s">
        <v>67</v>
      </c>
      <c r="G1691" s="267" t="s">
        <v>68</v>
      </c>
      <c r="H1691" s="267" t="s">
        <v>71</v>
      </c>
      <c r="I1691" s="268">
        <f>ROUND(SUM(I1693:I1695),2)</f>
        <v>15</v>
      </c>
    </row>
    <row r="1692" spans="1:9">
      <c r="A1692" s="198"/>
      <c r="B1692" s="200" t="s">
        <v>2874</v>
      </c>
      <c r="C1692" s="199"/>
      <c r="D1692" s="281"/>
      <c r="E1692" s="282"/>
      <c r="F1692" s="281"/>
      <c r="G1692" s="281"/>
      <c r="H1692" s="281"/>
      <c r="I1692" s="283"/>
    </row>
    <row r="1693" spans="1:9">
      <c r="A1693" s="197"/>
      <c r="B1693" s="189" t="s">
        <v>35582</v>
      </c>
      <c r="C1693" s="190"/>
      <c r="D1693" s="271"/>
      <c r="E1693" s="278"/>
      <c r="F1693" s="271"/>
      <c r="G1693" s="271">
        <v>10</v>
      </c>
      <c r="H1693" s="281"/>
      <c r="I1693" s="257">
        <f>G1693</f>
        <v>10</v>
      </c>
    </row>
    <row r="1694" spans="1:9">
      <c r="A1694" s="197"/>
      <c r="B1694" s="189" t="s">
        <v>35655</v>
      </c>
      <c r="C1694" s="190"/>
      <c r="D1694" s="271"/>
      <c r="E1694" s="278"/>
      <c r="F1694" s="271"/>
      <c r="G1694" s="271">
        <v>5</v>
      </c>
      <c r="H1694" s="281"/>
      <c r="I1694" s="257">
        <f>G1694</f>
        <v>5</v>
      </c>
    </row>
    <row r="1695" spans="1:9">
      <c r="A1695" s="195"/>
      <c r="B1695" s="189"/>
      <c r="C1695" s="190"/>
      <c r="D1695" s="271"/>
      <c r="E1695" s="271"/>
      <c r="F1695" s="271"/>
      <c r="G1695" s="271"/>
      <c r="H1695" s="271"/>
      <c r="I1695" s="259"/>
    </row>
    <row r="1696" spans="1:9">
      <c r="A1696" s="135"/>
      <c r="B1696" s="170"/>
      <c r="C1696" s="136"/>
      <c r="D1696" s="275"/>
      <c r="E1696" s="275"/>
      <c r="F1696" s="275"/>
      <c r="G1696" s="276"/>
      <c r="H1696" s="276"/>
      <c r="I1696" s="277"/>
    </row>
    <row r="1697" spans="1:9" ht="28.8">
      <c r="A1697" s="605" t="s">
        <v>35393</v>
      </c>
      <c r="B1697" s="258" t="str">
        <f>VLOOKUP(A1697,GLOBAL!A:H,4,FALSE)</f>
        <v>PONTO PARA ILUMINAÇÃO DE EMERGÊNCIA COMPLETO, INCLUSIVE BLOCO AUTÔNOMO DE ILUMINAÇÃO 2X9W COM TOMADA UNIVERSAL</v>
      </c>
      <c r="C1697" s="119" t="str">
        <f>VLOOKUP(A1697,GLOBAL!A:H,5,FALSE)</f>
        <v>UND</v>
      </c>
      <c r="D1697" s="267" t="s">
        <v>66</v>
      </c>
      <c r="E1697" s="267" t="s">
        <v>70</v>
      </c>
      <c r="F1697" s="267" t="s">
        <v>67</v>
      </c>
      <c r="G1697" s="267" t="s">
        <v>68</v>
      </c>
      <c r="H1697" s="267" t="s">
        <v>71</v>
      </c>
      <c r="I1697" s="268">
        <f>ROUND(SUM(I1699:I1701),2)</f>
        <v>30</v>
      </c>
    </row>
    <row r="1698" spans="1:9">
      <c r="A1698" s="198"/>
      <c r="B1698" s="200" t="s">
        <v>2874</v>
      </c>
      <c r="C1698" s="199"/>
      <c r="D1698" s="281"/>
      <c r="E1698" s="282"/>
      <c r="F1698" s="281"/>
      <c r="G1698" s="281"/>
      <c r="H1698" s="281"/>
      <c r="I1698" s="283"/>
    </row>
    <row r="1699" spans="1:9">
      <c r="A1699" s="197"/>
      <c r="B1699" s="189" t="s">
        <v>35582</v>
      </c>
      <c r="C1699" s="190"/>
      <c r="D1699" s="271"/>
      <c r="E1699" s="278"/>
      <c r="F1699" s="271"/>
      <c r="G1699" s="271">
        <v>20</v>
      </c>
      <c r="H1699" s="281"/>
      <c r="I1699" s="257">
        <f>G1699</f>
        <v>20</v>
      </c>
    </row>
    <row r="1700" spans="1:9">
      <c r="A1700" s="197"/>
      <c r="B1700" s="189" t="s">
        <v>35655</v>
      </c>
      <c r="C1700" s="190"/>
      <c r="D1700" s="271"/>
      <c r="E1700" s="278"/>
      <c r="F1700" s="271"/>
      <c r="G1700" s="271">
        <v>10</v>
      </c>
      <c r="H1700" s="281"/>
      <c r="I1700" s="257">
        <f>G1700</f>
        <v>10</v>
      </c>
    </row>
    <row r="1701" spans="1:9">
      <c r="A1701" s="195"/>
      <c r="B1701" s="189"/>
      <c r="C1701" s="190"/>
      <c r="D1701" s="271"/>
      <c r="E1701" s="271"/>
      <c r="F1701" s="271"/>
      <c r="G1701" s="271"/>
      <c r="H1701" s="271"/>
      <c r="I1701" s="259"/>
    </row>
    <row r="1702" spans="1:9">
      <c r="A1702" s="135"/>
      <c r="B1702" s="170"/>
      <c r="C1702" s="136"/>
      <c r="D1702" s="275"/>
      <c r="E1702" s="275"/>
      <c r="F1702" s="275"/>
      <c r="G1702" s="276"/>
      <c r="H1702" s="276"/>
      <c r="I1702" s="277"/>
    </row>
    <row r="1703" spans="1:9" ht="115.2">
      <c r="A1703" s="605" t="s">
        <v>35394</v>
      </c>
      <c r="B1703" s="258" t="str">
        <f>VLOOKUP(A1703,GLOBAL!A:H,4,FALSE)</f>
        <v>CONJUNTO COMPLETO DE PORTA CORTA-FOGO SIMPLES PARA SAÍDA DE EMERGÊNCIA DIM.: 90X210X5CM, CONFORME ABNT NBR 11742, CLASSE P-90,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v>
      </c>
      <c r="C1703" s="119" t="str">
        <f>VLOOKUP(A1703,GLOBAL!A:H,5,FALSE)</f>
        <v>UND</v>
      </c>
      <c r="D1703" s="267" t="s">
        <v>66</v>
      </c>
      <c r="E1703" s="267" t="s">
        <v>70</v>
      </c>
      <c r="F1703" s="267" t="s">
        <v>67</v>
      </c>
      <c r="G1703" s="267" t="s">
        <v>68</v>
      </c>
      <c r="H1703" s="267" t="s">
        <v>71</v>
      </c>
      <c r="I1703" s="268">
        <f>ROUND(SUM(I1705:I1708),2)</f>
        <v>3</v>
      </c>
    </row>
    <row r="1704" spans="1:9">
      <c r="A1704" s="198"/>
      <c r="B1704" s="200" t="s">
        <v>2874</v>
      </c>
      <c r="C1704" s="199"/>
      <c r="D1704" s="281"/>
      <c r="E1704" s="282"/>
      <c r="F1704" s="281"/>
      <c r="G1704" s="281"/>
      <c r="H1704" s="281"/>
      <c r="I1704" s="283"/>
    </row>
    <row r="1705" spans="1:9">
      <c r="A1705" s="197"/>
      <c r="B1705" s="189" t="s">
        <v>23671</v>
      </c>
      <c r="C1705" s="190"/>
      <c r="D1705" s="271"/>
      <c r="E1705" s="278"/>
      <c r="F1705" s="271"/>
      <c r="G1705" s="271">
        <v>3</v>
      </c>
      <c r="H1705" s="281"/>
      <c r="I1705" s="257">
        <f>G1705</f>
        <v>3</v>
      </c>
    </row>
    <row r="1706" spans="1:9">
      <c r="A1706" s="197"/>
      <c r="B1706" s="189"/>
      <c r="C1706" s="190"/>
      <c r="D1706" s="271"/>
      <c r="E1706" s="278"/>
      <c r="F1706" s="271"/>
      <c r="G1706" s="271"/>
      <c r="H1706" s="281"/>
      <c r="I1706" s="257"/>
    </row>
    <row r="1707" spans="1:9">
      <c r="A1707" s="197"/>
      <c r="B1707" s="189"/>
      <c r="C1707" s="370"/>
      <c r="D1707" s="293"/>
      <c r="E1707" s="278"/>
      <c r="F1707" s="271"/>
      <c r="G1707" s="271"/>
      <c r="H1707" s="281"/>
      <c r="I1707" s="257"/>
    </row>
    <row r="1708" spans="1:9">
      <c r="A1708" s="195"/>
      <c r="B1708" s="189"/>
      <c r="C1708" s="190"/>
      <c r="D1708" s="271"/>
      <c r="E1708" s="271"/>
      <c r="F1708" s="271"/>
      <c r="G1708" s="271"/>
      <c r="H1708" s="271"/>
      <c r="I1708" s="259"/>
    </row>
    <row r="1709" spans="1:9">
      <c r="A1709" s="135"/>
      <c r="B1709" s="170"/>
      <c r="C1709" s="136"/>
      <c r="D1709" s="275"/>
      <c r="E1709" s="275"/>
      <c r="F1709" s="275"/>
      <c r="G1709" s="276"/>
      <c r="H1709" s="276"/>
      <c r="I1709" s="277"/>
    </row>
    <row r="1710" spans="1:9" ht="57.6">
      <c r="A1710" s="605" t="s">
        <v>35395</v>
      </c>
      <c r="B1710" s="258" t="str">
        <f>VLOOKUP(A1710,GLOBAL!A:H,4,FALSE)</f>
        <v>TUBO DE AÇO CARBONO GALVANIZADO, COM COSTURA, CLASSE LEVE, DIÂMETRO 50MM (2"), INCLUSIVE PINTURA COM UMA DEMÃO DE PRIMER EPOXI E DUAS DEMÃOS DE TINTA À BASE DE EPOXI NA COR VERMELHA</v>
      </c>
      <c r="C1710" s="119" t="str">
        <f>VLOOKUP(A1710,GLOBAL!A:H,5,FALSE)</f>
        <v>M</v>
      </c>
      <c r="D1710" s="267" t="s">
        <v>66</v>
      </c>
      <c r="E1710" s="267" t="s">
        <v>70</v>
      </c>
      <c r="F1710" s="267" t="s">
        <v>67</v>
      </c>
      <c r="G1710" s="267" t="s">
        <v>68</v>
      </c>
      <c r="H1710" s="267" t="s">
        <v>71</v>
      </c>
      <c r="I1710" s="268">
        <f>ROUND(SUM(I1712:I1714),2)</f>
        <v>180</v>
      </c>
    </row>
    <row r="1711" spans="1:9">
      <c r="A1711" s="198"/>
      <c r="B1711" s="200" t="s">
        <v>2874</v>
      </c>
      <c r="C1711" s="199"/>
      <c r="D1711" s="281"/>
      <c r="E1711" s="282"/>
      <c r="F1711" s="281"/>
      <c r="G1711" s="281"/>
      <c r="H1711" s="281"/>
      <c r="I1711" s="283"/>
    </row>
    <row r="1712" spans="1:9">
      <c r="A1712" s="197"/>
      <c r="B1712" s="189" t="s">
        <v>35583</v>
      </c>
      <c r="C1712" s="190"/>
      <c r="D1712" s="271">
        <v>30</v>
      </c>
      <c r="E1712" s="278"/>
      <c r="F1712" s="271"/>
      <c r="G1712" s="271">
        <v>3</v>
      </c>
      <c r="H1712" s="281"/>
      <c r="I1712" s="257">
        <f>D1712*G1712</f>
        <v>90</v>
      </c>
    </row>
    <row r="1713" spans="1:9">
      <c r="A1713" s="197"/>
      <c r="B1713" s="189" t="s">
        <v>35655</v>
      </c>
      <c r="C1713" s="190"/>
      <c r="D1713" s="271">
        <v>30</v>
      </c>
      <c r="E1713" s="278"/>
      <c r="F1713" s="271"/>
      <c r="G1713" s="271">
        <v>3</v>
      </c>
      <c r="H1713" s="281"/>
      <c r="I1713" s="257">
        <f>D1713*G1713</f>
        <v>90</v>
      </c>
    </row>
    <row r="1714" spans="1:9">
      <c r="A1714" s="195"/>
      <c r="B1714" s="189"/>
      <c r="C1714" s="190"/>
      <c r="D1714" s="271"/>
      <c r="E1714" s="271"/>
      <c r="F1714" s="271"/>
      <c r="G1714" s="271"/>
      <c r="H1714" s="271"/>
      <c r="I1714" s="259"/>
    </row>
    <row r="1715" spans="1:9">
      <c r="A1715" s="135"/>
      <c r="B1715" s="170"/>
      <c r="C1715" s="136"/>
      <c r="D1715" s="275"/>
      <c r="E1715" s="275"/>
      <c r="F1715" s="275"/>
      <c r="G1715" s="276"/>
      <c r="H1715" s="276"/>
      <c r="I1715" s="277"/>
    </row>
    <row r="1716" spans="1:9" ht="57.6">
      <c r="A1716" s="605" t="s">
        <v>35396</v>
      </c>
      <c r="B1716" s="258" t="str">
        <f>VLOOKUP(A1716,GLOBAL!A:H,4,FALSE)</f>
        <v>TUBO DE AÇO CARBONO GALVANIZADO, COM COSTURA, CLASSE LEVE, DIÂMETRO 65MM (2.1/2"), INCLUSIVE PINTURA COM UMA DEMÃO DE PRIMER EPOXI E DUAS DEMÃOS DE TINTA À BASE DE EPOXI NA COR VERMELHA</v>
      </c>
      <c r="C1716" s="119" t="str">
        <f>VLOOKUP(A1716,GLOBAL!A:H,5,FALSE)</f>
        <v>M</v>
      </c>
      <c r="D1716" s="267" t="s">
        <v>66</v>
      </c>
      <c r="E1716" s="267" t="s">
        <v>70</v>
      </c>
      <c r="F1716" s="267" t="s">
        <v>67</v>
      </c>
      <c r="G1716" s="267" t="s">
        <v>68</v>
      </c>
      <c r="H1716" s="267" t="s">
        <v>71</v>
      </c>
      <c r="I1716" s="268">
        <f>ROUND(SUM(I1718:I1720),2)</f>
        <v>120</v>
      </c>
    </row>
    <row r="1717" spans="1:9">
      <c r="A1717" s="198"/>
      <c r="B1717" s="200" t="s">
        <v>2874</v>
      </c>
      <c r="C1717" s="199"/>
      <c r="D1717" s="281"/>
      <c r="E1717" s="282"/>
      <c r="F1717" s="281"/>
      <c r="G1717" s="281"/>
      <c r="H1717" s="281"/>
      <c r="I1717" s="283"/>
    </row>
    <row r="1718" spans="1:9">
      <c r="A1718" s="197"/>
      <c r="B1718" s="189" t="s">
        <v>35583</v>
      </c>
      <c r="C1718" s="190"/>
      <c r="D1718" s="271">
        <v>15</v>
      </c>
      <c r="E1718" s="278"/>
      <c r="F1718" s="271"/>
      <c r="G1718" s="271">
        <v>6</v>
      </c>
      <c r="H1718" s="281"/>
      <c r="I1718" s="257">
        <f>D1718*G1718</f>
        <v>90</v>
      </c>
    </row>
    <row r="1719" spans="1:9">
      <c r="A1719" s="197"/>
      <c r="B1719" s="189" t="s">
        <v>35655</v>
      </c>
      <c r="C1719" s="190"/>
      <c r="D1719" s="271">
        <v>10</v>
      </c>
      <c r="E1719" s="278"/>
      <c r="F1719" s="271"/>
      <c r="G1719" s="271">
        <v>3</v>
      </c>
      <c r="H1719" s="281"/>
      <c r="I1719" s="257">
        <f>D1719*G1719</f>
        <v>30</v>
      </c>
    </row>
    <row r="1720" spans="1:9">
      <c r="A1720" s="195"/>
      <c r="B1720" s="189"/>
      <c r="C1720" s="190"/>
      <c r="D1720" s="271"/>
      <c r="E1720" s="271"/>
      <c r="F1720" s="271"/>
      <c r="G1720" s="271"/>
      <c r="H1720" s="271"/>
      <c r="I1720" s="259"/>
    </row>
    <row r="1721" spans="1:9">
      <c r="A1721" s="135"/>
      <c r="B1721" s="170"/>
      <c r="C1721" s="136"/>
      <c r="D1721" s="275"/>
      <c r="E1721" s="275"/>
      <c r="F1721" s="275"/>
      <c r="G1721" s="276"/>
      <c r="H1721" s="276"/>
      <c r="I1721" s="277"/>
    </row>
    <row r="1722" spans="1:9" ht="57.6">
      <c r="A1722" s="605" t="s">
        <v>35397</v>
      </c>
      <c r="B1722" s="258" t="str">
        <f>VLOOKUP(A1722,GLOBAL!A:H,4,FALSE)</f>
        <v>TUBO DE AÇO CARBONO GALVANIZADO, COM COSTURA, CLASSE LEVE, DIÂMETRO 80MM (3"), INCLUSIVE PINTURA COM UMA DEMÃO DE PRIMER EPOXI E DUAS DEMÃOS DE TINTA À BASE DE EPOXI NA COR VERMELHA</v>
      </c>
      <c r="C1722" s="119" t="str">
        <f>VLOOKUP(A1722,GLOBAL!A:H,5,FALSE)</f>
        <v>M</v>
      </c>
      <c r="D1722" s="267" t="s">
        <v>66</v>
      </c>
      <c r="E1722" s="267" t="s">
        <v>70</v>
      </c>
      <c r="F1722" s="267" t="s">
        <v>67</v>
      </c>
      <c r="G1722" s="267" t="s">
        <v>68</v>
      </c>
      <c r="H1722" s="267" t="s">
        <v>71</v>
      </c>
      <c r="I1722" s="268">
        <f>ROUND(SUM(I1724:I1726),2)</f>
        <v>75</v>
      </c>
    </row>
    <row r="1723" spans="1:9">
      <c r="A1723" s="198"/>
      <c r="B1723" s="200" t="s">
        <v>2874</v>
      </c>
      <c r="C1723" s="199"/>
      <c r="D1723" s="281"/>
      <c r="E1723" s="282"/>
      <c r="F1723" s="281"/>
      <c r="G1723" s="281"/>
      <c r="H1723" s="281"/>
      <c r="I1723" s="283"/>
    </row>
    <row r="1724" spans="1:9">
      <c r="A1724" s="197"/>
      <c r="B1724" s="189" t="s">
        <v>35583</v>
      </c>
      <c r="C1724" s="190"/>
      <c r="D1724" s="271">
        <v>15</v>
      </c>
      <c r="E1724" s="278"/>
      <c r="F1724" s="271"/>
      <c r="G1724" s="271">
        <v>3</v>
      </c>
      <c r="H1724" s="281"/>
      <c r="I1724" s="257">
        <f>D1724*G1724</f>
        <v>45</v>
      </c>
    </row>
    <row r="1725" spans="1:9">
      <c r="A1725" s="197"/>
      <c r="B1725" s="189" t="s">
        <v>35655</v>
      </c>
      <c r="C1725" s="190"/>
      <c r="D1725" s="271">
        <v>10</v>
      </c>
      <c r="E1725" s="278"/>
      <c r="F1725" s="271"/>
      <c r="G1725" s="271">
        <v>3</v>
      </c>
      <c r="H1725" s="281"/>
      <c r="I1725" s="257">
        <f>D1725*G1725</f>
        <v>30</v>
      </c>
    </row>
    <row r="1726" spans="1:9">
      <c r="A1726" s="195"/>
      <c r="B1726" s="189"/>
      <c r="C1726" s="190"/>
      <c r="D1726" s="271"/>
      <c r="E1726" s="271"/>
      <c r="F1726" s="271"/>
      <c r="G1726" s="271"/>
      <c r="H1726" s="271"/>
      <c r="I1726" s="259"/>
    </row>
    <row r="1727" spans="1:9">
      <c r="A1727" s="135"/>
      <c r="B1727" s="170"/>
      <c r="C1727" s="136"/>
      <c r="D1727" s="275"/>
      <c r="E1727" s="275"/>
      <c r="F1727" s="275"/>
      <c r="G1727" s="276"/>
      <c r="H1727" s="276"/>
      <c r="I1727" s="277"/>
    </row>
    <row r="1728" spans="1:9" ht="57.6">
      <c r="A1728" s="605" t="s">
        <v>35398</v>
      </c>
      <c r="B1728" s="258" t="str">
        <f>VLOOKUP(A1728,GLOBAL!A:H,4,FALSE)</f>
        <v>TUBO DE AÇO CARBONO GALVANIZADO, COM COSTURA, CLASSE LEVE, DIÂMETRO 100MM (4"), INCLUSIVE PINTURA COM UMA DEMÃO DE PRIMER EPOXI E DUAS DEMÃOS DE TINTA À BASE DE EPOXI NA COR VERMELHA</v>
      </c>
      <c r="C1728" s="119" t="str">
        <f>VLOOKUP(A1728,GLOBAL!A:H,5,FALSE)</f>
        <v>M</v>
      </c>
      <c r="D1728" s="267" t="s">
        <v>66</v>
      </c>
      <c r="E1728" s="267" t="s">
        <v>70</v>
      </c>
      <c r="F1728" s="267" t="s">
        <v>67</v>
      </c>
      <c r="G1728" s="267" t="s">
        <v>68</v>
      </c>
      <c r="H1728" s="267" t="s">
        <v>71</v>
      </c>
      <c r="I1728" s="268">
        <f>ROUND(SUM(I1730:I1732),2)</f>
        <v>12</v>
      </c>
    </row>
    <row r="1729" spans="1:9">
      <c r="A1729" s="198"/>
      <c r="B1729" s="200" t="s">
        <v>2874</v>
      </c>
      <c r="C1729" s="199"/>
      <c r="D1729" s="281"/>
      <c r="E1729" s="282"/>
      <c r="F1729" s="281"/>
      <c r="G1729" s="281"/>
      <c r="H1729" s="281"/>
      <c r="I1729" s="283"/>
    </row>
    <row r="1730" spans="1:9">
      <c r="A1730" s="197"/>
      <c r="B1730" s="189" t="s">
        <v>35583</v>
      </c>
      <c r="C1730" s="190"/>
      <c r="D1730" s="271">
        <v>3</v>
      </c>
      <c r="E1730" s="278"/>
      <c r="F1730" s="271"/>
      <c r="G1730" s="271">
        <v>3</v>
      </c>
      <c r="H1730" s="281"/>
      <c r="I1730" s="257">
        <f>D1730*G1730</f>
        <v>9</v>
      </c>
    </row>
    <row r="1731" spans="1:9">
      <c r="A1731" s="197"/>
      <c r="B1731" s="189" t="s">
        <v>35655</v>
      </c>
      <c r="C1731" s="190"/>
      <c r="D1731" s="271">
        <v>1</v>
      </c>
      <c r="E1731" s="278"/>
      <c r="F1731" s="271"/>
      <c r="G1731" s="271">
        <v>3</v>
      </c>
      <c r="H1731" s="281"/>
      <c r="I1731" s="257">
        <f>D1731*G1731</f>
        <v>3</v>
      </c>
    </row>
    <row r="1732" spans="1:9">
      <c r="A1732" s="195"/>
      <c r="B1732" s="189"/>
      <c r="C1732" s="190"/>
      <c r="D1732" s="271"/>
      <c r="E1732" s="271"/>
      <c r="F1732" s="271"/>
      <c r="G1732" s="271"/>
      <c r="H1732" s="271"/>
      <c r="I1732" s="259"/>
    </row>
    <row r="1733" spans="1:9">
      <c r="A1733" s="135"/>
      <c r="B1733" s="170"/>
      <c r="C1733" s="136"/>
      <c r="D1733" s="275"/>
      <c r="E1733" s="275"/>
      <c r="F1733" s="275"/>
      <c r="G1733" s="276"/>
      <c r="H1733" s="276"/>
      <c r="I1733" s="277"/>
    </row>
    <row r="1734" spans="1:9" ht="43.2">
      <c r="A1734" s="605" t="s">
        <v>35399</v>
      </c>
      <c r="B1734" s="258" t="str">
        <f>VLOOKUP(A1734,GLOBAL!A:H,4,FALSE)</f>
        <v>REGISTRO DE GAVETA BRUTO DIÂMETRO 2" (50MM), VOLANTE EM AÇO COM ACABAMENTO PINTURA EPÓXI VERMELHA ? DOCOL, DECA OU EQUIVALENTE</v>
      </c>
      <c r="C1734" s="119" t="str">
        <f>VLOOKUP(A1734,GLOBAL!A:H,5,FALSE)</f>
        <v>UND</v>
      </c>
      <c r="D1734" s="267" t="s">
        <v>66</v>
      </c>
      <c r="E1734" s="267" t="s">
        <v>70</v>
      </c>
      <c r="F1734" s="267" t="s">
        <v>67</v>
      </c>
      <c r="G1734" s="267" t="s">
        <v>68</v>
      </c>
      <c r="H1734" s="267" t="s">
        <v>71</v>
      </c>
      <c r="I1734" s="268">
        <f>ROUND(SUM(I1736:I1737),2)</f>
        <v>6</v>
      </c>
    </row>
    <row r="1735" spans="1:9">
      <c r="A1735" s="198"/>
      <c r="B1735" s="200" t="s">
        <v>2874</v>
      </c>
      <c r="C1735" s="199"/>
      <c r="D1735" s="281"/>
      <c r="E1735" s="282"/>
      <c r="F1735" s="281"/>
      <c r="G1735" s="281"/>
      <c r="H1735" s="281"/>
      <c r="I1735" s="283"/>
    </row>
    <row r="1736" spans="1:9">
      <c r="A1736" s="197"/>
      <c r="B1736" s="189" t="s">
        <v>35583</v>
      </c>
      <c r="C1736" s="190"/>
      <c r="D1736" s="271"/>
      <c r="E1736" s="278"/>
      <c r="F1736" s="271"/>
      <c r="G1736" s="271">
        <v>6</v>
      </c>
      <c r="H1736" s="281"/>
      <c r="I1736" s="257">
        <f>G1736</f>
        <v>6</v>
      </c>
    </row>
    <row r="1737" spans="1:9">
      <c r="A1737" s="195"/>
      <c r="B1737" s="189"/>
      <c r="C1737" s="190"/>
      <c r="D1737" s="271"/>
      <c r="E1737" s="271"/>
      <c r="F1737" s="271"/>
      <c r="G1737" s="271"/>
      <c r="H1737" s="271"/>
      <c r="I1737" s="259"/>
    </row>
    <row r="1738" spans="1:9">
      <c r="A1738" s="135"/>
      <c r="B1738" s="170"/>
      <c r="C1738" s="136"/>
      <c r="D1738" s="275"/>
      <c r="E1738" s="275"/>
      <c r="F1738" s="275"/>
      <c r="G1738" s="276"/>
      <c r="H1738" s="276"/>
      <c r="I1738" s="277"/>
    </row>
    <row r="1739" spans="1:9" ht="43.2">
      <c r="A1739" s="605" t="s">
        <v>35400</v>
      </c>
      <c r="B1739" s="258" t="str">
        <f>VLOOKUP(A1739,GLOBAL!A:H,4,FALSE)</f>
        <v>REGISTRO DE GAVETA BRUTO DIÂMETRO 2.1/2" (65MM), VOLANTE EM AÇO COM ACABAMENTO PINTURA EPÓXI VERMELHA ? DOCOL, DECA OU EQUIVALENTE</v>
      </c>
      <c r="C1739" s="119" t="str">
        <f>VLOOKUP(A1739,GLOBAL!A:H,5,FALSE)</f>
        <v>UND</v>
      </c>
      <c r="D1739" s="267" t="s">
        <v>66</v>
      </c>
      <c r="E1739" s="267" t="s">
        <v>70</v>
      </c>
      <c r="F1739" s="267" t="s">
        <v>67</v>
      </c>
      <c r="G1739" s="267" t="s">
        <v>68</v>
      </c>
      <c r="H1739" s="267" t="s">
        <v>71</v>
      </c>
      <c r="I1739" s="268">
        <f>ROUND(SUM(I1741:I1742),2)</f>
        <v>6</v>
      </c>
    </row>
    <row r="1740" spans="1:9">
      <c r="A1740" s="198"/>
      <c r="B1740" s="200" t="s">
        <v>2874</v>
      </c>
      <c r="C1740" s="199"/>
      <c r="D1740" s="281"/>
      <c r="E1740" s="282"/>
      <c r="F1740" s="281"/>
      <c r="G1740" s="281"/>
      <c r="H1740" s="281"/>
      <c r="I1740" s="283"/>
    </row>
    <row r="1741" spans="1:9">
      <c r="A1741" s="197"/>
      <c r="B1741" s="189" t="s">
        <v>35583</v>
      </c>
      <c r="C1741" s="190"/>
      <c r="D1741" s="271"/>
      <c r="E1741" s="278"/>
      <c r="F1741" s="271"/>
      <c r="G1741" s="271">
        <v>6</v>
      </c>
      <c r="H1741" s="281"/>
      <c r="I1741" s="257">
        <f>G1741</f>
        <v>6</v>
      </c>
    </row>
    <row r="1742" spans="1:9">
      <c r="A1742" s="195"/>
      <c r="B1742" s="189"/>
      <c r="C1742" s="190"/>
      <c r="D1742" s="271"/>
      <c r="E1742" s="271"/>
      <c r="F1742" s="271"/>
      <c r="G1742" s="271"/>
      <c r="H1742" s="271"/>
      <c r="I1742" s="259"/>
    </row>
    <row r="1743" spans="1:9">
      <c r="A1743" s="135"/>
      <c r="B1743" s="170"/>
      <c r="C1743" s="136"/>
      <c r="D1743" s="275"/>
      <c r="E1743" s="275"/>
      <c r="F1743" s="275"/>
      <c r="G1743" s="276"/>
      <c r="H1743" s="276"/>
      <c r="I1743" s="277"/>
    </row>
    <row r="1744" spans="1:9" ht="43.2">
      <c r="A1744" s="605" t="s">
        <v>35401</v>
      </c>
      <c r="B1744" s="258" t="str">
        <f>VLOOKUP(A1744,GLOBAL!A:H,4,FALSE)</f>
        <v>REGISTRO DE GAVETA BRUTO DIÂMETRO 4" (100MM), VOLANTE EM AÇO COM ACABAMENTO PINTURA EPÓXI VERMELHA ? DOCOL, DECA OU EQUIVALENTE</v>
      </c>
      <c r="C1744" s="119" t="str">
        <f>VLOOKUP(A1744,GLOBAL!A:H,5,FALSE)</f>
        <v>UND</v>
      </c>
      <c r="D1744" s="267" t="s">
        <v>66</v>
      </c>
      <c r="E1744" s="267" t="s">
        <v>70</v>
      </c>
      <c r="F1744" s="267" t="s">
        <v>67</v>
      </c>
      <c r="G1744" s="267" t="s">
        <v>68</v>
      </c>
      <c r="H1744" s="267" t="s">
        <v>71</v>
      </c>
      <c r="I1744" s="268">
        <f>ROUND(SUM(I1746:I1747),2)</f>
        <v>2</v>
      </c>
    </row>
    <row r="1745" spans="1:9">
      <c r="A1745" s="198"/>
      <c r="B1745" s="200" t="s">
        <v>2874</v>
      </c>
      <c r="C1745" s="199"/>
      <c r="D1745" s="281"/>
      <c r="E1745" s="282"/>
      <c r="F1745" s="281"/>
      <c r="G1745" s="281"/>
      <c r="H1745" s="281"/>
      <c r="I1745" s="283"/>
    </row>
    <row r="1746" spans="1:9">
      <c r="A1746" s="197"/>
      <c r="B1746" s="189" t="s">
        <v>35584</v>
      </c>
      <c r="C1746" s="190"/>
      <c r="D1746" s="271"/>
      <c r="E1746" s="278"/>
      <c r="F1746" s="271"/>
      <c r="G1746" s="271">
        <v>2</v>
      </c>
      <c r="H1746" s="281"/>
      <c r="I1746" s="257">
        <f>G1746</f>
        <v>2</v>
      </c>
    </row>
    <row r="1747" spans="1:9">
      <c r="A1747" s="195"/>
      <c r="B1747" s="189"/>
      <c r="C1747" s="190"/>
      <c r="D1747" s="271"/>
      <c r="E1747" s="271"/>
      <c r="F1747" s="271"/>
      <c r="G1747" s="271"/>
      <c r="H1747" s="271"/>
      <c r="I1747" s="259"/>
    </row>
    <row r="1748" spans="1:9">
      <c r="A1748" s="135"/>
      <c r="B1748" s="170"/>
      <c r="C1748" s="136"/>
      <c r="D1748" s="275"/>
      <c r="E1748" s="275"/>
      <c r="F1748" s="275"/>
      <c r="G1748" s="276"/>
      <c r="H1748" s="276"/>
      <c r="I1748" s="277"/>
    </row>
    <row r="1749" spans="1:9" ht="43.2">
      <c r="A1749" s="605" t="s">
        <v>35402</v>
      </c>
      <c r="B1749" s="258" t="str">
        <f>VLOOKUP(A1749,GLOBAL!A:H,4,FALSE)</f>
        <v>TÊ DE FERRO FUNDIDO MALEÁVEL 90º CLASSE LEVE, DIÂMETRO 50MM (2"), INCLUSIVE PINTURA COM UMA DEMÃO DE PRIMER EPOXI E DUAS DEMÃOS DE TINTA À BASE DE EPOXI NA COR VERMELHA</v>
      </c>
      <c r="C1749" s="119" t="str">
        <f>VLOOKUP(A1749,GLOBAL!A:H,5,FALSE)</f>
        <v>UND</v>
      </c>
      <c r="D1749" s="267" t="s">
        <v>66</v>
      </c>
      <c r="E1749" s="267" t="s">
        <v>70</v>
      </c>
      <c r="F1749" s="267" t="s">
        <v>67</v>
      </c>
      <c r="G1749" s="267" t="s">
        <v>68</v>
      </c>
      <c r="H1749" s="267" t="s">
        <v>71</v>
      </c>
      <c r="I1749" s="268">
        <f>ROUND(SUM(I1751:I1752),2)</f>
        <v>5</v>
      </c>
    </row>
    <row r="1750" spans="1:9">
      <c r="A1750" s="198"/>
      <c r="B1750" s="200" t="s">
        <v>2874</v>
      </c>
      <c r="C1750" s="199"/>
      <c r="D1750" s="281"/>
      <c r="E1750" s="282"/>
      <c r="F1750" s="281"/>
      <c r="G1750" s="281"/>
      <c r="H1750" s="281"/>
      <c r="I1750" s="283"/>
    </row>
    <row r="1751" spans="1:9">
      <c r="A1751" s="197"/>
      <c r="B1751" s="189" t="s">
        <v>35584</v>
      </c>
      <c r="C1751" s="190"/>
      <c r="D1751" s="271"/>
      <c r="E1751" s="278"/>
      <c r="F1751" s="271"/>
      <c r="G1751" s="271">
        <v>5</v>
      </c>
      <c r="H1751" s="281"/>
      <c r="I1751" s="257">
        <f>G1751</f>
        <v>5</v>
      </c>
    </row>
    <row r="1752" spans="1:9">
      <c r="A1752" s="195"/>
      <c r="B1752" s="189"/>
      <c r="C1752" s="190"/>
      <c r="D1752" s="271"/>
      <c r="E1752" s="271"/>
      <c r="F1752" s="271"/>
      <c r="G1752" s="271"/>
      <c r="H1752" s="271"/>
      <c r="I1752" s="259"/>
    </row>
    <row r="1753" spans="1:9">
      <c r="A1753" s="135"/>
      <c r="B1753" s="170"/>
      <c r="C1753" s="136"/>
      <c r="D1753" s="275"/>
      <c r="E1753" s="275"/>
      <c r="F1753" s="275"/>
      <c r="G1753" s="276"/>
      <c r="H1753" s="276"/>
      <c r="I1753" s="277"/>
    </row>
    <row r="1754" spans="1:9" ht="43.2">
      <c r="A1754" s="605" t="s">
        <v>35403</v>
      </c>
      <c r="B1754" s="258" t="str">
        <f>VLOOKUP(A1754,GLOBAL!A:H,4,FALSE)</f>
        <v>TÊ DE FERRO FUNDIDO MALEÁVEL 90º CLASSE LEVE, DIÂMETRO 65MM (2.1/2"), INCLUSIVE PINTURA COM UMA DEMÃO DE PRIMER EPOXI E DUAS DEMÃOS DE TINTA À BASE DE EPOXI NA COR VERMELHA</v>
      </c>
      <c r="C1754" s="119" t="str">
        <f>VLOOKUP(A1754,GLOBAL!A:H,5,FALSE)</f>
        <v>UND</v>
      </c>
      <c r="D1754" s="267" t="s">
        <v>66</v>
      </c>
      <c r="E1754" s="267" t="s">
        <v>70</v>
      </c>
      <c r="F1754" s="267" t="s">
        <v>67</v>
      </c>
      <c r="G1754" s="267" t="s">
        <v>68</v>
      </c>
      <c r="H1754" s="267" t="s">
        <v>71</v>
      </c>
      <c r="I1754" s="268">
        <f>ROUND(SUM(I1756:I1757),2)</f>
        <v>3</v>
      </c>
    </row>
    <row r="1755" spans="1:9">
      <c r="A1755" s="198"/>
      <c r="B1755" s="200" t="s">
        <v>2874</v>
      </c>
      <c r="C1755" s="199"/>
      <c r="D1755" s="281"/>
      <c r="E1755" s="282"/>
      <c r="F1755" s="281"/>
      <c r="G1755" s="281"/>
      <c r="H1755" s="281"/>
      <c r="I1755" s="283"/>
    </row>
    <row r="1756" spans="1:9">
      <c r="A1756" s="197"/>
      <c r="B1756" s="189" t="s">
        <v>35584</v>
      </c>
      <c r="C1756" s="190"/>
      <c r="D1756" s="271"/>
      <c r="E1756" s="278"/>
      <c r="F1756" s="271"/>
      <c r="G1756" s="271">
        <v>3</v>
      </c>
      <c r="H1756" s="281"/>
      <c r="I1756" s="257">
        <f>G1756</f>
        <v>3</v>
      </c>
    </row>
    <row r="1757" spans="1:9">
      <c r="A1757" s="195"/>
      <c r="B1757" s="189"/>
      <c r="C1757" s="190"/>
      <c r="D1757" s="271"/>
      <c r="E1757" s="271"/>
      <c r="F1757" s="271"/>
      <c r="G1757" s="271"/>
      <c r="H1757" s="271"/>
      <c r="I1757" s="259"/>
    </row>
    <row r="1758" spans="1:9">
      <c r="A1758" s="135"/>
      <c r="B1758" s="170"/>
      <c r="C1758" s="136"/>
      <c r="D1758" s="275"/>
      <c r="E1758" s="275"/>
      <c r="F1758" s="275"/>
      <c r="G1758" s="276"/>
      <c r="H1758" s="276"/>
      <c r="I1758" s="277"/>
    </row>
    <row r="1759" spans="1:9" ht="57.6">
      <c r="A1759" s="605" t="s">
        <v>35404</v>
      </c>
      <c r="B1759" s="258" t="str">
        <f>VLOOKUP(A1759,GLOBAL!A:H,4,FALSE)</f>
        <v>VÁLVULA DE RETENÇÃO HORIZONTAL EM BRONZE, TIPO PORTINHOLA DIÂMETRO 2" (50MM), INCLUSIVE PINTURA COM UMA DEMÃO DE PRIMER EPOXI E DUAS DEMÃOS DE TINTA À BASE DE EPOXI NA COR VERMELHA</v>
      </c>
      <c r="C1759" s="119" t="str">
        <f>VLOOKUP(A1759,GLOBAL!A:H,5,FALSE)</f>
        <v>UND</v>
      </c>
      <c r="D1759" s="267" t="s">
        <v>66</v>
      </c>
      <c r="E1759" s="267" t="s">
        <v>70</v>
      </c>
      <c r="F1759" s="267" t="s">
        <v>67</v>
      </c>
      <c r="G1759" s="267" t="s">
        <v>68</v>
      </c>
      <c r="H1759" s="267" t="s">
        <v>71</v>
      </c>
      <c r="I1759" s="268">
        <f>ROUND(SUM(I1761:I1762),2)</f>
        <v>3</v>
      </c>
    </row>
    <row r="1760" spans="1:9">
      <c r="A1760" s="198"/>
      <c r="B1760" s="200" t="s">
        <v>2874</v>
      </c>
      <c r="C1760" s="199"/>
      <c r="D1760" s="281"/>
      <c r="E1760" s="282"/>
      <c r="F1760" s="281"/>
      <c r="G1760" s="281"/>
      <c r="H1760" s="281"/>
      <c r="I1760" s="283"/>
    </row>
    <row r="1761" spans="1:9">
      <c r="A1761" s="197"/>
      <c r="B1761" s="189" t="s">
        <v>35584</v>
      </c>
      <c r="C1761" s="190"/>
      <c r="D1761" s="271"/>
      <c r="E1761" s="278"/>
      <c r="F1761" s="271"/>
      <c r="G1761" s="271">
        <v>3</v>
      </c>
      <c r="H1761" s="281"/>
      <c r="I1761" s="257">
        <f>G1761</f>
        <v>3</v>
      </c>
    </row>
    <row r="1762" spans="1:9">
      <c r="A1762" s="195"/>
      <c r="B1762" s="189"/>
      <c r="C1762" s="190"/>
      <c r="D1762" s="271"/>
      <c r="E1762" s="271"/>
      <c r="F1762" s="271"/>
      <c r="G1762" s="271"/>
      <c r="H1762" s="271"/>
      <c r="I1762" s="259"/>
    </row>
    <row r="1763" spans="1:9">
      <c r="A1763" s="135"/>
      <c r="B1763" s="170"/>
      <c r="C1763" s="136"/>
      <c r="D1763" s="275"/>
      <c r="E1763" s="275"/>
      <c r="F1763" s="275"/>
      <c r="G1763" s="276"/>
      <c r="H1763" s="276"/>
      <c r="I1763" s="277"/>
    </row>
    <row r="1764" spans="1:9" ht="57.6">
      <c r="A1764" s="605" t="s">
        <v>35405</v>
      </c>
      <c r="B1764" s="258" t="str">
        <f>VLOOKUP(A1764,GLOBAL!A:H,4,FALSE)</f>
        <v>VÁLVULA DE RETENÇÃO HORIZONTAL EM BRONZE, TIPO PORTINHOLA DIÂMETRO 2.1/2" (65MM), INCLUSIVE PINTURA COM UMA DEMÃO DE PRIMER EPOXI E DUAS DEMÃOS DE TINTA À BASE DE EPOXI NA COR VERMELHA</v>
      </c>
      <c r="C1764" s="119" t="str">
        <f>VLOOKUP(A1764,GLOBAL!A:H,5,FALSE)</f>
        <v>UND</v>
      </c>
      <c r="D1764" s="267" t="s">
        <v>66</v>
      </c>
      <c r="E1764" s="267" t="s">
        <v>70</v>
      </c>
      <c r="F1764" s="267" t="s">
        <v>67</v>
      </c>
      <c r="G1764" s="267" t="s">
        <v>68</v>
      </c>
      <c r="H1764" s="267" t="s">
        <v>71</v>
      </c>
      <c r="I1764" s="268">
        <f>ROUND(SUM(I1766:I1767),2)</f>
        <v>3</v>
      </c>
    </row>
    <row r="1765" spans="1:9">
      <c r="A1765" s="198"/>
      <c r="B1765" s="200" t="s">
        <v>2874</v>
      </c>
      <c r="C1765" s="199"/>
      <c r="D1765" s="281"/>
      <c r="E1765" s="282"/>
      <c r="F1765" s="281"/>
      <c r="G1765" s="281"/>
      <c r="H1765" s="281"/>
      <c r="I1765" s="283"/>
    </row>
    <row r="1766" spans="1:9">
      <c r="A1766" s="197"/>
      <c r="B1766" s="189" t="s">
        <v>35584</v>
      </c>
      <c r="C1766" s="190"/>
      <c r="D1766" s="271"/>
      <c r="E1766" s="278"/>
      <c r="F1766" s="271"/>
      <c r="G1766" s="271">
        <v>3</v>
      </c>
      <c r="H1766" s="281"/>
      <c r="I1766" s="257">
        <f>G1766</f>
        <v>3</v>
      </c>
    </row>
    <row r="1767" spans="1:9">
      <c r="A1767" s="195"/>
      <c r="B1767" s="189"/>
      <c r="C1767" s="190"/>
      <c r="D1767" s="271"/>
      <c r="E1767" s="271"/>
      <c r="F1767" s="271"/>
      <c r="G1767" s="271"/>
      <c r="H1767" s="271"/>
      <c r="I1767" s="259"/>
    </row>
    <row r="1768" spans="1:9">
      <c r="A1768" s="135"/>
      <c r="B1768" s="170"/>
      <c r="C1768" s="136"/>
      <c r="D1768" s="275"/>
      <c r="E1768" s="275"/>
      <c r="F1768" s="275"/>
      <c r="G1768" s="276"/>
      <c r="H1768" s="276"/>
      <c r="I1768" s="277"/>
    </row>
    <row r="1769" spans="1:9" ht="57.6">
      <c r="A1769" s="605" t="s">
        <v>35406</v>
      </c>
      <c r="B1769" s="258" t="str">
        <f>VLOOKUP(A1769,GLOBAL!A:H,4,FALSE)</f>
        <v>VÁLVULA DE RETENÇÃO HORIZONTAL EM BRONZE, TIPO PORTINHOLA DIÂMETRO 3" (75MM), INCLUSIVE PINTURA COM UMA DEMÃO DE PRIMER EPOXI E DUAS DEMÃOS DE TINTA À BASE DE EPOXI NA COR VERMELHA</v>
      </c>
      <c r="C1769" s="119" t="str">
        <f>VLOOKUP(A1769,GLOBAL!A:H,5,FALSE)</f>
        <v>UND</v>
      </c>
      <c r="D1769" s="267" t="s">
        <v>66</v>
      </c>
      <c r="E1769" s="267" t="s">
        <v>70</v>
      </c>
      <c r="F1769" s="267" t="s">
        <v>67</v>
      </c>
      <c r="G1769" s="267" t="s">
        <v>68</v>
      </c>
      <c r="H1769" s="267" t="s">
        <v>71</v>
      </c>
      <c r="I1769" s="268">
        <f>ROUND(SUM(I1771:I1772),2)</f>
        <v>3</v>
      </c>
    </row>
    <row r="1770" spans="1:9">
      <c r="A1770" s="198"/>
      <c r="B1770" s="200" t="s">
        <v>2874</v>
      </c>
      <c r="C1770" s="199"/>
      <c r="D1770" s="281"/>
      <c r="E1770" s="282"/>
      <c r="F1770" s="281"/>
      <c r="G1770" s="281"/>
      <c r="H1770" s="281"/>
      <c r="I1770" s="283"/>
    </row>
    <row r="1771" spans="1:9">
      <c r="A1771" s="197"/>
      <c r="B1771" s="189" t="s">
        <v>35584</v>
      </c>
      <c r="C1771" s="190"/>
      <c r="D1771" s="271"/>
      <c r="E1771" s="278"/>
      <c r="F1771" s="271"/>
      <c r="G1771" s="271">
        <v>3</v>
      </c>
      <c r="H1771" s="281"/>
      <c r="I1771" s="257">
        <f>G1771</f>
        <v>3</v>
      </c>
    </row>
    <row r="1772" spans="1:9">
      <c r="A1772" s="195"/>
      <c r="B1772" s="189"/>
      <c r="C1772" s="190"/>
      <c r="D1772" s="271"/>
      <c r="E1772" s="271"/>
      <c r="F1772" s="271"/>
      <c r="G1772" s="271"/>
      <c r="H1772" s="271"/>
      <c r="I1772" s="259"/>
    </row>
    <row r="1773" spans="1:9">
      <c r="A1773" s="135"/>
      <c r="B1773" s="170"/>
      <c r="C1773" s="136"/>
      <c r="D1773" s="275"/>
      <c r="E1773" s="275"/>
      <c r="F1773" s="275"/>
      <c r="G1773" s="276"/>
      <c r="H1773" s="276"/>
      <c r="I1773" s="277"/>
    </row>
    <row r="1774" spans="1:9" ht="57.6">
      <c r="A1774" s="605" t="s">
        <v>35407</v>
      </c>
      <c r="B1774" s="258" t="str">
        <f>VLOOKUP(A1774,GLOBAL!A:H,4,FALSE)</f>
        <v>VÁLVULA DE RETENÇÃO HORIZONTAL EM BRONZE, TIPO PORTINHOLA DIÂMETRO 4" (100MM), INCLUSIVE PINTURA COM UMA DEMÃO DE PRIMER EPOXI E DUAS DEMÃOS DE TINTA À BASE DE EPOXI NA COR VERMELHA</v>
      </c>
      <c r="C1774" s="119" t="str">
        <f>VLOOKUP(A1774,GLOBAL!A:H,5,FALSE)</f>
        <v>UND</v>
      </c>
      <c r="D1774" s="267" t="s">
        <v>66</v>
      </c>
      <c r="E1774" s="267" t="s">
        <v>70</v>
      </c>
      <c r="F1774" s="267" t="s">
        <v>67</v>
      </c>
      <c r="G1774" s="267" t="s">
        <v>68</v>
      </c>
      <c r="H1774" s="267" t="s">
        <v>71</v>
      </c>
      <c r="I1774" s="268">
        <f>ROUND(SUM(I1776:I1777),2)</f>
        <v>1</v>
      </c>
    </row>
    <row r="1775" spans="1:9">
      <c r="A1775" s="198"/>
      <c r="B1775" s="200" t="s">
        <v>2874</v>
      </c>
      <c r="C1775" s="199"/>
      <c r="D1775" s="281"/>
      <c r="E1775" s="282"/>
      <c r="F1775" s="281"/>
      <c r="G1775" s="281"/>
      <c r="H1775" s="281"/>
      <c r="I1775" s="283"/>
    </row>
    <row r="1776" spans="1:9">
      <c r="A1776" s="197"/>
      <c r="B1776" s="189" t="s">
        <v>35584</v>
      </c>
      <c r="C1776" s="190"/>
      <c r="D1776" s="271"/>
      <c r="E1776" s="278"/>
      <c r="F1776" s="271"/>
      <c r="G1776" s="271">
        <v>1</v>
      </c>
      <c r="H1776" s="281"/>
      <c r="I1776" s="257">
        <f>G1776</f>
        <v>1</v>
      </c>
    </row>
    <row r="1777" spans="1:9">
      <c r="A1777" s="195"/>
      <c r="B1777" s="189"/>
      <c r="C1777" s="190"/>
      <c r="D1777" s="271"/>
      <c r="E1777" s="271"/>
      <c r="F1777" s="271"/>
      <c r="G1777" s="271"/>
      <c r="H1777" s="271"/>
      <c r="I1777" s="259"/>
    </row>
    <row r="1778" spans="1:9">
      <c r="A1778" s="135"/>
      <c r="B1778" s="170"/>
      <c r="C1778" s="136"/>
      <c r="D1778" s="275"/>
      <c r="E1778" s="275"/>
      <c r="F1778" s="275"/>
      <c r="G1778" s="276"/>
      <c r="H1778" s="276"/>
      <c r="I1778" s="277"/>
    </row>
    <row r="1779" spans="1:9" ht="43.2">
      <c r="A1779" s="605" t="s">
        <v>35408</v>
      </c>
      <c r="B1779" s="258" t="str">
        <f>VLOOKUP(A1779,GLOBAL!A:H,4,FALSE)</f>
        <v>VÁLVULA DE RETENÇÃO VERTICAL EM BRONZE, CLASSE 125 DIÂMETRO 3" (75MM), INCLUSIVE PINTURA COM UMA DEMÃO DE PRIMER EPOXI E DUAS DEMÃOS DE TINTA À BASE DE EPOXI NA COR VERMELHA</v>
      </c>
      <c r="C1779" s="119" t="str">
        <f>VLOOKUP(A1779,GLOBAL!A:H,5,FALSE)</f>
        <v>UND</v>
      </c>
      <c r="D1779" s="267" t="s">
        <v>66</v>
      </c>
      <c r="E1779" s="267" t="s">
        <v>70</v>
      </c>
      <c r="F1779" s="267" t="s">
        <v>67</v>
      </c>
      <c r="G1779" s="267" t="s">
        <v>68</v>
      </c>
      <c r="H1779" s="267" t="s">
        <v>71</v>
      </c>
      <c r="I1779" s="268">
        <f>ROUND(SUM(I1781:I1782),2)</f>
        <v>1</v>
      </c>
    </row>
    <row r="1780" spans="1:9">
      <c r="A1780" s="198"/>
      <c r="B1780" s="200" t="s">
        <v>2874</v>
      </c>
      <c r="C1780" s="199"/>
      <c r="D1780" s="281"/>
      <c r="E1780" s="282"/>
      <c r="F1780" s="281"/>
      <c r="G1780" s="281"/>
      <c r="H1780" s="281"/>
      <c r="I1780" s="283"/>
    </row>
    <row r="1781" spans="1:9">
      <c r="A1781" s="197"/>
      <c r="B1781" s="189" t="s">
        <v>35584</v>
      </c>
      <c r="C1781" s="190"/>
      <c r="D1781" s="271"/>
      <c r="E1781" s="278"/>
      <c r="F1781" s="271"/>
      <c r="G1781" s="271">
        <v>1</v>
      </c>
      <c r="H1781" s="281"/>
      <c r="I1781" s="257">
        <f>G1781</f>
        <v>1</v>
      </c>
    </row>
    <row r="1782" spans="1:9">
      <c r="A1782" s="195"/>
      <c r="B1782" s="189"/>
      <c r="C1782" s="190"/>
      <c r="D1782" s="271"/>
      <c r="E1782" s="271"/>
      <c r="F1782" s="271"/>
      <c r="G1782" s="271"/>
      <c r="H1782" s="271"/>
      <c r="I1782" s="259"/>
    </row>
    <row r="1783" spans="1:9">
      <c r="A1783" s="135"/>
      <c r="B1783" s="170"/>
      <c r="C1783" s="136"/>
      <c r="D1783" s="275"/>
      <c r="E1783" s="275"/>
      <c r="F1783" s="275"/>
      <c r="G1783" s="276"/>
      <c r="H1783" s="276"/>
      <c r="I1783" s="277"/>
    </row>
    <row r="1784" spans="1:9" ht="43.2">
      <c r="A1784" s="605" t="s">
        <v>35409</v>
      </c>
      <c r="B1784" s="258" t="str">
        <f>VLOOKUP(A1784,GLOBAL!A:H,4,FALSE)</f>
        <v>VÁLVULA DE RETENÇÃO VERTICAL EM BRONZE, CLASSE 125 DIÂMETRO 4" (100MM), INCLUSIVE PINTURA COM UMA DEMÃO DE PRIMER EPOXI E DUAS DEMÃOS DE TINTA À BASE DE EPOXI NA COR VERMELHA</v>
      </c>
      <c r="C1784" s="119" t="str">
        <f>VLOOKUP(A1784,GLOBAL!A:H,5,FALSE)</f>
        <v>UND</v>
      </c>
      <c r="D1784" s="267" t="s">
        <v>66</v>
      </c>
      <c r="E1784" s="267" t="s">
        <v>70</v>
      </c>
      <c r="F1784" s="267" t="s">
        <v>67</v>
      </c>
      <c r="G1784" s="267" t="s">
        <v>68</v>
      </c>
      <c r="H1784" s="267" t="s">
        <v>71</v>
      </c>
      <c r="I1784" s="268">
        <f>ROUND(SUM(I1786:I1787),2)</f>
        <v>1</v>
      </c>
    </row>
    <row r="1785" spans="1:9">
      <c r="A1785" s="198"/>
      <c r="B1785" s="200" t="s">
        <v>2874</v>
      </c>
      <c r="C1785" s="199"/>
      <c r="D1785" s="281"/>
      <c r="E1785" s="282"/>
      <c r="F1785" s="281"/>
      <c r="G1785" s="281"/>
      <c r="H1785" s="281"/>
      <c r="I1785" s="283"/>
    </row>
    <row r="1786" spans="1:9">
      <c r="A1786" s="197"/>
      <c r="B1786" s="189" t="s">
        <v>35584</v>
      </c>
      <c r="C1786" s="190"/>
      <c r="D1786" s="271"/>
      <c r="E1786" s="278"/>
      <c r="F1786" s="271"/>
      <c r="G1786" s="271">
        <v>1</v>
      </c>
      <c r="H1786" s="281"/>
      <c r="I1786" s="257">
        <f>G1786</f>
        <v>1</v>
      </c>
    </row>
    <row r="1787" spans="1:9">
      <c r="A1787" s="195"/>
      <c r="B1787" s="189"/>
      <c r="C1787" s="190"/>
      <c r="D1787" s="271"/>
      <c r="E1787" s="271"/>
      <c r="F1787" s="271"/>
      <c r="G1787" s="271"/>
      <c r="H1787" s="271"/>
      <c r="I1787" s="259"/>
    </row>
    <row r="1788" spans="1:9">
      <c r="A1788" s="135"/>
      <c r="B1788" s="170"/>
      <c r="C1788" s="136"/>
      <c r="D1788" s="275"/>
      <c r="E1788" s="275"/>
      <c r="F1788" s="275"/>
      <c r="G1788" s="276"/>
      <c r="H1788" s="276"/>
      <c r="I1788" s="277"/>
    </row>
    <row r="1789" spans="1:9" ht="43.2">
      <c r="A1789" s="605" t="s">
        <v>35410</v>
      </c>
      <c r="B1789" s="258" t="str">
        <f>VLOOKUP(A1789,GLOBAL!A:H,4,FALSE)</f>
        <v>MANÔMETRO COM CAIXA E ANEL TIPO CRAVADO EM AÇO INOX, MOSTRADOR DUPLO 100 MM ESCALAS DE 0 À 7 KGF/CM2 E 0 À 100 PSI, SAÍDA TRASEIRA DE 1/4" BSP</v>
      </c>
      <c r="C1789" s="119" t="str">
        <f>VLOOKUP(A1789,GLOBAL!A:H,5,FALSE)</f>
        <v>UND</v>
      </c>
      <c r="D1789" s="267" t="s">
        <v>66</v>
      </c>
      <c r="E1789" s="267" t="s">
        <v>70</v>
      </c>
      <c r="F1789" s="267" t="s">
        <v>67</v>
      </c>
      <c r="G1789" s="267" t="s">
        <v>68</v>
      </c>
      <c r="H1789" s="267" t="s">
        <v>71</v>
      </c>
      <c r="I1789" s="268">
        <f>ROUND(SUM(I1791:I1792),2)</f>
        <v>3</v>
      </c>
    </row>
    <row r="1790" spans="1:9">
      <c r="A1790" s="198"/>
      <c r="B1790" s="200" t="s">
        <v>2874</v>
      </c>
      <c r="C1790" s="199"/>
      <c r="D1790" s="281"/>
      <c r="E1790" s="282"/>
      <c r="F1790" s="281"/>
      <c r="G1790" s="281"/>
      <c r="H1790" s="281"/>
      <c r="I1790" s="283"/>
    </row>
    <row r="1791" spans="1:9">
      <c r="A1791" s="197"/>
      <c r="B1791" s="189" t="s">
        <v>35584</v>
      </c>
      <c r="C1791" s="190"/>
      <c r="D1791" s="271"/>
      <c r="E1791" s="278"/>
      <c r="F1791" s="271"/>
      <c r="G1791" s="271">
        <v>3</v>
      </c>
      <c r="H1791" s="281"/>
      <c r="I1791" s="257">
        <f>G1791</f>
        <v>3</v>
      </c>
    </row>
    <row r="1792" spans="1:9">
      <c r="A1792" s="195"/>
      <c r="B1792" s="189"/>
      <c r="C1792" s="190"/>
      <c r="D1792" s="271"/>
      <c r="E1792" s="271"/>
      <c r="F1792" s="271"/>
      <c r="G1792" s="271"/>
      <c r="H1792" s="271"/>
      <c r="I1792" s="259"/>
    </row>
    <row r="1793" spans="1:9">
      <c r="A1793" s="135"/>
      <c r="B1793" s="170"/>
      <c r="C1793" s="136"/>
      <c r="D1793" s="275"/>
      <c r="E1793" s="275"/>
      <c r="F1793" s="275"/>
      <c r="G1793" s="276"/>
      <c r="H1793" s="276"/>
      <c r="I1793" s="277"/>
    </row>
    <row r="1794" spans="1:9" ht="28.8">
      <c r="A1794" s="605" t="s">
        <v>35411</v>
      </c>
      <c r="B1794" s="258" t="str">
        <f>VLOOKUP(A1794,GLOBAL!A:H,4,FALSE)</f>
        <v>PRESSOSTATO 100 / 150 PSI SEM VÁLVULA, CAPACIDADE ELÉTRICA ATÉ 5CV EM 250VCA, MARGIRIUS OU EQUIVALENTE</v>
      </c>
      <c r="C1794" s="119" t="str">
        <f>VLOOKUP(A1794,GLOBAL!A:H,5,FALSE)</f>
        <v>UND</v>
      </c>
      <c r="D1794" s="267" t="s">
        <v>66</v>
      </c>
      <c r="E1794" s="267" t="s">
        <v>70</v>
      </c>
      <c r="F1794" s="267" t="s">
        <v>67</v>
      </c>
      <c r="G1794" s="267" t="s">
        <v>68</v>
      </c>
      <c r="H1794" s="267" t="s">
        <v>71</v>
      </c>
      <c r="I1794" s="268">
        <f>ROUND(SUM(I1796:I1797),2)</f>
        <v>3</v>
      </c>
    </row>
    <row r="1795" spans="1:9">
      <c r="A1795" s="198"/>
      <c r="B1795" s="200" t="s">
        <v>2874</v>
      </c>
      <c r="C1795" s="199"/>
      <c r="D1795" s="281"/>
      <c r="E1795" s="282"/>
      <c r="F1795" s="281"/>
      <c r="G1795" s="281"/>
      <c r="H1795" s="281"/>
      <c r="I1795" s="283"/>
    </row>
    <row r="1796" spans="1:9">
      <c r="A1796" s="197"/>
      <c r="B1796" s="189" t="s">
        <v>35584</v>
      </c>
      <c r="C1796" s="190"/>
      <c r="D1796" s="271"/>
      <c r="E1796" s="278"/>
      <c r="F1796" s="271"/>
      <c r="G1796" s="271">
        <v>3</v>
      </c>
      <c r="H1796" s="281"/>
      <c r="I1796" s="257">
        <f>G1796</f>
        <v>3</v>
      </c>
    </row>
    <row r="1797" spans="1:9">
      <c r="A1797" s="195"/>
      <c r="B1797" s="189"/>
      <c r="C1797" s="190"/>
      <c r="D1797" s="271"/>
      <c r="E1797" s="271"/>
      <c r="F1797" s="271"/>
      <c r="G1797" s="271"/>
      <c r="H1797" s="271"/>
      <c r="I1797" s="259"/>
    </row>
    <row r="1798" spans="1:9">
      <c r="A1798" s="135"/>
      <c r="B1798" s="170"/>
      <c r="C1798" s="136"/>
      <c r="D1798" s="275"/>
      <c r="E1798" s="275"/>
      <c r="F1798" s="275"/>
      <c r="G1798" s="276"/>
      <c r="H1798" s="276"/>
      <c r="I1798" s="277"/>
    </row>
    <row r="1799" spans="1:9" ht="43.2">
      <c r="A1799" s="605" t="s">
        <v>35412</v>
      </c>
      <c r="B1799" s="258" t="str">
        <f>VLOOKUP(A1799,GLOBAL!A:H,4,FALSE)</f>
        <v>FORNECIMENTO E INSTALAÇÃO DE BATERIA ESTACIONÁRIA 12V - 60 AH, PARA CENTRAIS DE ALARME / ILUMINAÇÃO DE EMERGÊNCIA, MOURA OU EQUIVALENTE</v>
      </c>
      <c r="C1799" s="119" t="str">
        <f>VLOOKUP(A1799,GLOBAL!A:H,5,FALSE)</f>
        <v>UND</v>
      </c>
      <c r="D1799" s="267" t="s">
        <v>66</v>
      </c>
      <c r="E1799" s="267" t="s">
        <v>70</v>
      </c>
      <c r="F1799" s="267" t="s">
        <v>67</v>
      </c>
      <c r="G1799" s="267" t="s">
        <v>68</v>
      </c>
      <c r="H1799" s="267" t="s">
        <v>71</v>
      </c>
      <c r="I1799" s="268">
        <f>ROUND(SUM(I1801:I1802),2)</f>
        <v>3</v>
      </c>
    </row>
    <row r="1800" spans="1:9">
      <c r="A1800" s="198"/>
      <c r="B1800" s="200" t="s">
        <v>2874</v>
      </c>
      <c r="C1800" s="199"/>
      <c r="D1800" s="281"/>
      <c r="E1800" s="282"/>
      <c r="F1800" s="281"/>
      <c r="G1800" s="281"/>
      <c r="H1800" s="281"/>
      <c r="I1800" s="283"/>
    </row>
    <row r="1801" spans="1:9">
      <c r="A1801" s="197"/>
      <c r="B1801" s="189" t="s">
        <v>35584</v>
      </c>
      <c r="C1801" s="190"/>
      <c r="D1801" s="271"/>
      <c r="E1801" s="278"/>
      <c r="F1801" s="271"/>
      <c r="G1801" s="271">
        <v>3</v>
      </c>
      <c r="H1801" s="281"/>
      <c r="I1801" s="257">
        <f>G1801</f>
        <v>3</v>
      </c>
    </row>
    <row r="1802" spans="1:9">
      <c r="A1802" s="195"/>
      <c r="B1802" s="189"/>
      <c r="C1802" s="190"/>
      <c r="D1802" s="271"/>
      <c r="E1802" s="271"/>
      <c r="F1802" s="271"/>
      <c r="G1802" s="271"/>
      <c r="H1802" s="271"/>
      <c r="I1802" s="259"/>
    </row>
    <row r="1803" spans="1:9">
      <c r="A1803" s="135"/>
      <c r="B1803" s="170"/>
      <c r="C1803" s="136"/>
      <c r="D1803" s="275"/>
      <c r="E1803" s="275"/>
      <c r="F1803" s="275"/>
      <c r="G1803" s="276"/>
      <c r="H1803" s="276"/>
      <c r="I1803" s="277"/>
    </row>
    <row r="1804" spans="1:9" ht="86.4">
      <c r="A1804" s="605" t="s">
        <v>35413</v>
      </c>
      <c r="B1804" s="258" t="str">
        <f>VLOOKUP(A1804,GLOBAL!A:H,4,FALSE)</f>
        <v>ABRIGO DE PAREDE PARA HIDRANTE 80X90X17CM SOBREPOR, EM CHAPA DE AÇO COM PINTURA ELETROSTÁTICA VERMELHA, VISOR TRANSPARENTE E INSCRIÇÃO "HIDRANTE", REGISTRO GLOBO ANGULAR 45º 2.1/2? (63MM), ADAPTADOR EM LATÃO STORZ ENGATE RÁPIDO 2.1/2?, 2 (DUAS) MANGUEIRAS DE INCÊNDIO 15M ?2.1/2? - TIPO 2 E ESGUICHO REGULÁVEL EM LATÃO 2.1/2?, FORNECIMENTO E INSTALAÇÃO</v>
      </c>
      <c r="C1804" s="119" t="str">
        <f>VLOOKUP(A1804,GLOBAL!A:H,5,FALSE)</f>
        <v>UND</v>
      </c>
      <c r="D1804" s="267" t="s">
        <v>66</v>
      </c>
      <c r="E1804" s="267" t="s">
        <v>70</v>
      </c>
      <c r="F1804" s="267" t="s">
        <v>67</v>
      </c>
      <c r="G1804" s="267" t="s">
        <v>68</v>
      </c>
      <c r="H1804" s="267" t="s">
        <v>71</v>
      </c>
      <c r="I1804" s="268">
        <f>ROUND(SUM(I1806:I1807),2)</f>
        <v>3</v>
      </c>
    </row>
    <row r="1805" spans="1:9">
      <c r="A1805" s="198"/>
      <c r="B1805" s="200" t="s">
        <v>2874</v>
      </c>
      <c r="C1805" s="199"/>
      <c r="D1805" s="281"/>
      <c r="E1805" s="282"/>
      <c r="F1805" s="281"/>
      <c r="G1805" s="281"/>
      <c r="H1805" s="281"/>
      <c r="I1805" s="283"/>
    </row>
    <row r="1806" spans="1:9">
      <c r="A1806" s="197"/>
      <c r="B1806" s="189" t="s">
        <v>35584</v>
      </c>
      <c r="C1806" s="190"/>
      <c r="D1806" s="271"/>
      <c r="E1806" s="278"/>
      <c r="F1806" s="271"/>
      <c r="G1806" s="271">
        <v>3</v>
      </c>
      <c r="H1806" s="281"/>
      <c r="I1806" s="257">
        <f>G1806</f>
        <v>3</v>
      </c>
    </row>
    <row r="1807" spans="1:9">
      <c r="A1807" s="195"/>
      <c r="B1807" s="189"/>
      <c r="C1807" s="190"/>
      <c r="D1807" s="271"/>
      <c r="E1807" s="271"/>
      <c r="F1807" s="271"/>
      <c r="G1807" s="271"/>
      <c r="H1807" s="271"/>
      <c r="I1807" s="259"/>
    </row>
    <row r="1808" spans="1:9">
      <c r="A1808" s="135"/>
      <c r="B1808" s="170"/>
      <c r="C1808" s="136"/>
      <c r="D1808" s="275"/>
      <c r="E1808" s="275"/>
      <c r="F1808" s="275"/>
      <c r="G1808" s="276"/>
      <c r="H1808" s="276"/>
      <c r="I1808" s="277"/>
    </row>
    <row r="1809" spans="1:9" ht="43.2">
      <c r="A1809" s="605" t="s">
        <v>35414</v>
      </c>
      <c r="B1809" s="258" t="str">
        <f>VLOOKUP(A1809,GLOBAL!A:H,4,FALSE)</f>
        <v>CENTRAL DE ALARME DE INCÊNDIO ENDEREÇÁVEL, COM CAPACIDADE PARA ATÉ 256 ENDEREÇOS, DISTRIBUÍDOS EM 4 LAÇOS, INCLUINDO FORNECIMENTO, INSTALAÇÃO E CONFIGURAÇÃO COMPLETA</v>
      </c>
      <c r="C1809" s="119" t="str">
        <f>VLOOKUP(A1809,GLOBAL!A:H,5,FALSE)</f>
        <v>UND</v>
      </c>
      <c r="D1809" s="267" t="s">
        <v>66</v>
      </c>
      <c r="E1809" s="267" t="s">
        <v>70</v>
      </c>
      <c r="F1809" s="267" t="s">
        <v>67</v>
      </c>
      <c r="G1809" s="267" t="s">
        <v>68</v>
      </c>
      <c r="H1809" s="267" t="s">
        <v>71</v>
      </c>
      <c r="I1809" s="268">
        <f>ROUND(SUM(I1811:I1812),2)</f>
        <v>2</v>
      </c>
    </row>
    <row r="1810" spans="1:9">
      <c r="A1810" s="198"/>
      <c r="B1810" s="200" t="s">
        <v>2874</v>
      </c>
      <c r="C1810" s="199"/>
      <c r="D1810" s="281"/>
      <c r="E1810" s="282"/>
      <c r="F1810" s="281"/>
      <c r="G1810" s="281"/>
      <c r="H1810" s="281"/>
      <c r="I1810" s="283"/>
    </row>
    <row r="1811" spans="1:9">
      <c r="A1811" s="197"/>
      <c r="B1811" s="189" t="s">
        <v>35584</v>
      </c>
      <c r="C1811" s="190"/>
      <c r="D1811" s="271"/>
      <c r="E1811" s="278"/>
      <c r="F1811" s="271"/>
      <c r="G1811" s="271">
        <v>2</v>
      </c>
      <c r="H1811" s="281"/>
      <c r="I1811" s="257">
        <f>G1811</f>
        <v>2</v>
      </c>
    </row>
    <row r="1812" spans="1:9">
      <c r="A1812" s="195"/>
      <c r="B1812" s="189"/>
      <c r="C1812" s="190"/>
      <c r="D1812" s="271"/>
      <c r="E1812" s="271"/>
      <c r="F1812" s="271"/>
      <c r="G1812" s="271"/>
      <c r="H1812" s="271"/>
      <c r="I1812" s="259"/>
    </row>
    <row r="1813" spans="1:9">
      <c r="A1813" s="135"/>
      <c r="B1813" s="170"/>
      <c r="C1813" s="136"/>
      <c r="D1813" s="275"/>
      <c r="E1813" s="275"/>
      <c r="F1813" s="275"/>
      <c r="G1813" s="276"/>
      <c r="H1813" s="276"/>
      <c r="I1813" s="277"/>
    </row>
    <row r="1814" spans="1:9" ht="43.2">
      <c r="A1814" s="605" t="s">
        <v>35415</v>
      </c>
      <c r="B1814" s="258" t="str">
        <f>VLOOKUP(A1814,GLOBAL!A:H,4,FALSE)</f>
        <v>ACIONADOR MANUAL DE ALARME DE INCÊNDIO ENDEREÇÁVEL, TIPO QUEBRA-VIDRO, NA COR VERMELHA, INCLUSO MARTELO ? FORNECIMENTO, INSTALAÇÃO E CONFIGURAÇÃO</v>
      </c>
      <c r="C1814" s="119" t="str">
        <f>VLOOKUP(A1814,GLOBAL!A:H,5,FALSE)</f>
        <v>UND</v>
      </c>
      <c r="D1814" s="267" t="s">
        <v>66</v>
      </c>
      <c r="E1814" s="267" t="s">
        <v>70</v>
      </c>
      <c r="F1814" s="267" t="s">
        <v>67</v>
      </c>
      <c r="G1814" s="267" t="s">
        <v>68</v>
      </c>
      <c r="H1814" s="267" t="s">
        <v>71</v>
      </c>
      <c r="I1814" s="268">
        <f>ROUND(SUM(I1816:I1817),2)</f>
        <v>6</v>
      </c>
    </row>
    <row r="1815" spans="1:9">
      <c r="A1815" s="198"/>
      <c r="B1815" s="200" t="s">
        <v>2874</v>
      </c>
      <c r="C1815" s="199"/>
      <c r="D1815" s="281"/>
      <c r="E1815" s="282"/>
      <c r="F1815" s="281"/>
      <c r="G1815" s="281"/>
      <c r="H1815" s="281"/>
      <c r="I1815" s="283"/>
    </row>
    <row r="1816" spans="1:9">
      <c r="A1816" s="197"/>
      <c r="B1816" s="189" t="s">
        <v>35584</v>
      </c>
      <c r="C1816" s="190"/>
      <c r="D1816" s="271"/>
      <c r="E1816" s="278"/>
      <c r="F1816" s="271"/>
      <c r="G1816" s="271">
        <v>6</v>
      </c>
      <c r="H1816" s="281"/>
      <c r="I1816" s="257">
        <f>G1816</f>
        <v>6</v>
      </c>
    </row>
    <row r="1817" spans="1:9">
      <c r="A1817" s="195"/>
      <c r="B1817" s="189"/>
      <c r="C1817" s="190"/>
      <c r="D1817" s="271"/>
      <c r="E1817" s="271"/>
      <c r="F1817" s="271"/>
      <c r="G1817" s="271"/>
      <c r="H1817" s="271"/>
      <c r="I1817" s="259"/>
    </row>
    <row r="1818" spans="1:9">
      <c r="A1818" s="135"/>
      <c r="B1818" s="170"/>
      <c r="C1818" s="136"/>
      <c r="D1818" s="275"/>
      <c r="E1818" s="275"/>
      <c r="F1818" s="275"/>
      <c r="G1818" s="276"/>
      <c r="H1818" s="276"/>
      <c r="I1818" s="277"/>
    </row>
    <row r="1819" spans="1:9" ht="43.2">
      <c r="A1819" s="605" t="s">
        <v>35416</v>
      </c>
      <c r="B1819" s="258" t="str">
        <f>VLOOKUP(A1819,GLOBAL!A:H,4,FALSE)</f>
        <v>DETECTOR DE FUMAÇA ÓPTICO (FOTOELÉTRICO) ENDEREÇÁVEL, ALIMENTAÇÃO BIVOLT 12/24V ? FORNECIMENTO, INSTALAÇÃO E CONFIGURAÇÃO</v>
      </c>
      <c r="C1819" s="119" t="str">
        <f>VLOOKUP(A1819,GLOBAL!A:H,5,FALSE)</f>
        <v>UND</v>
      </c>
      <c r="D1819" s="267" t="s">
        <v>66</v>
      </c>
      <c r="E1819" s="267" t="s">
        <v>70</v>
      </c>
      <c r="F1819" s="267" t="s">
        <v>67</v>
      </c>
      <c r="G1819" s="267" t="s">
        <v>68</v>
      </c>
      <c r="H1819" s="267" t="s">
        <v>71</v>
      </c>
      <c r="I1819" s="268">
        <f>ROUND(SUM(I1821:I1822),2)</f>
        <v>7</v>
      </c>
    </row>
    <row r="1820" spans="1:9">
      <c r="A1820" s="198"/>
      <c r="B1820" s="200" t="s">
        <v>2874</v>
      </c>
      <c r="C1820" s="199"/>
      <c r="D1820" s="281"/>
      <c r="E1820" s="282"/>
      <c r="F1820" s="281"/>
      <c r="G1820" s="281"/>
      <c r="H1820" s="281"/>
      <c r="I1820" s="283"/>
    </row>
    <row r="1821" spans="1:9">
      <c r="A1821" s="197"/>
      <c r="B1821" s="189" t="s">
        <v>35584</v>
      </c>
      <c r="C1821" s="190"/>
      <c r="D1821" s="271"/>
      <c r="E1821" s="278"/>
      <c r="F1821" s="271"/>
      <c r="G1821" s="271">
        <v>7</v>
      </c>
      <c r="H1821" s="281"/>
      <c r="I1821" s="257">
        <f>G1821</f>
        <v>7</v>
      </c>
    </row>
    <row r="1822" spans="1:9">
      <c r="A1822" s="195"/>
      <c r="B1822" s="189"/>
      <c r="C1822" s="190"/>
      <c r="D1822" s="271"/>
      <c r="E1822" s="271"/>
      <c r="F1822" s="271"/>
      <c r="G1822" s="271"/>
      <c r="H1822" s="271"/>
      <c r="I1822" s="259"/>
    </row>
    <row r="1823" spans="1:9">
      <c r="A1823" s="135"/>
      <c r="B1823" s="170"/>
      <c r="C1823" s="136"/>
      <c r="D1823" s="275"/>
      <c r="E1823" s="275"/>
      <c r="F1823" s="275"/>
      <c r="G1823" s="276"/>
      <c r="H1823" s="276"/>
      <c r="I1823" s="277"/>
    </row>
    <row r="1824" spans="1:9" ht="28.8">
      <c r="A1824" s="605" t="s">
        <v>35417</v>
      </c>
      <c r="B1824" s="258" t="str">
        <f>VLOOKUP(A1824,GLOBAL!A:H,4,FALSE)</f>
        <v>SIRENE ELETRÔNICA MÉDIA TIPO CORNETA EM ABS, IP52 ? 12 E 24V ? FORNECIMENTO E INSTALAÇÃO</v>
      </c>
      <c r="C1824" s="119" t="str">
        <f>VLOOKUP(A1824,GLOBAL!A:H,5,FALSE)</f>
        <v>UND</v>
      </c>
      <c r="D1824" s="267" t="s">
        <v>66</v>
      </c>
      <c r="E1824" s="267" t="s">
        <v>70</v>
      </c>
      <c r="F1824" s="267" t="s">
        <v>67</v>
      </c>
      <c r="G1824" s="267" t="s">
        <v>68</v>
      </c>
      <c r="H1824" s="267" t="s">
        <v>71</v>
      </c>
      <c r="I1824" s="268">
        <f>ROUND(SUM(I1826:I1827),2)</f>
        <v>2</v>
      </c>
    </row>
    <row r="1825" spans="1:9">
      <c r="A1825" s="198"/>
      <c r="B1825" s="200" t="s">
        <v>2874</v>
      </c>
      <c r="C1825" s="199"/>
      <c r="D1825" s="281"/>
      <c r="E1825" s="282"/>
      <c r="F1825" s="281"/>
      <c r="G1825" s="281"/>
      <c r="H1825" s="281"/>
      <c r="I1825" s="283"/>
    </row>
    <row r="1826" spans="1:9">
      <c r="A1826" s="197"/>
      <c r="B1826" s="189" t="s">
        <v>35584</v>
      </c>
      <c r="C1826" s="190"/>
      <c r="D1826" s="271"/>
      <c r="E1826" s="278"/>
      <c r="F1826" s="271"/>
      <c r="G1826" s="271">
        <v>2</v>
      </c>
      <c r="H1826" s="281"/>
      <c r="I1826" s="257">
        <f>G1826</f>
        <v>2</v>
      </c>
    </row>
    <row r="1827" spans="1:9">
      <c r="A1827" s="195"/>
      <c r="B1827" s="189"/>
      <c r="C1827" s="190"/>
      <c r="D1827" s="271"/>
      <c r="E1827" s="271"/>
      <c r="F1827" s="271"/>
      <c r="G1827" s="271"/>
      <c r="H1827" s="271"/>
      <c r="I1827" s="259"/>
    </row>
    <row r="1828" spans="1:9">
      <c r="A1828" s="135"/>
      <c r="B1828" s="170"/>
      <c r="C1828" s="136"/>
      <c r="D1828" s="275"/>
      <c r="E1828" s="275"/>
      <c r="F1828" s="275"/>
      <c r="G1828" s="276"/>
      <c r="H1828" s="276"/>
      <c r="I1828" s="277"/>
    </row>
    <row r="1829" spans="1:9">
      <c r="A1829" s="184" t="s">
        <v>27428</v>
      </c>
      <c r="B1829" s="171" t="str">
        <f>VLOOKUP(A1829,GLOBAL!A:H,4,FALSE)</f>
        <v>INSTALAÇÃO DE REDE LÓGICA</v>
      </c>
      <c r="C1829" s="172"/>
      <c r="D1829" s="265"/>
      <c r="E1829" s="265"/>
      <c r="F1829" s="265"/>
      <c r="G1829" s="265"/>
      <c r="H1829" s="265"/>
      <c r="I1829" s="266"/>
    </row>
    <row r="1830" spans="1:9" ht="28.8">
      <c r="A1830" s="605" t="s">
        <v>35418</v>
      </c>
      <c r="B1830" s="258" t="str">
        <f>VLOOKUP(A1830,GLOBAL!A:H,4,FALSE)</f>
        <v>FORNECIMENTO E INSTALAÇÃO DE RACK DE PISO FECHADO PADRÃO 19" - 44 U´S X 670MM</v>
      </c>
      <c r="C1830" s="119" t="str">
        <f>VLOOKUP(A1830,GLOBAL!A:H,5,FALSE)</f>
        <v>UND</v>
      </c>
      <c r="D1830" s="267" t="s">
        <v>66</v>
      </c>
      <c r="E1830" s="267" t="s">
        <v>70</v>
      </c>
      <c r="F1830" s="267" t="s">
        <v>67</v>
      </c>
      <c r="G1830" s="267" t="s">
        <v>68</v>
      </c>
      <c r="H1830" s="267" t="s">
        <v>71</v>
      </c>
      <c r="I1830" s="268">
        <f>ROUND(SUM(I1832:I1833),2)</f>
        <v>4</v>
      </c>
    </row>
    <row r="1831" spans="1:9">
      <c r="A1831" s="198"/>
      <c r="B1831" s="200" t="s">
        <v>2874</v>
      </c>
      <c r="C1831" s="199"/>
      <c r="D1831" s="281"/>
      <c r="E1831" s="282"/>
      <c r="F1831" s="281"/>
      <c r="G1831" s="281"/>
      <c r="H1831" s="281"/>
      <c r="I1831" s="283"/>
    </row>
    <row r="1832" spans="1:9">
      <c r="A1832" s="197"/>
      <c r="B1832" s="189" t="s">
        <v>35585</v>
      </c>
      <c r="C1832" s="190"/>
      <c r="D1832" s="271"/>
      <c r="E1832" s="278"/>
      <c r="F1832" s="271"/>
      <c r="G1832" s="271">
        <v>4</v>
      </c>
      <c r="H1832" s="281"/>
      <c r="I1832" s="257">
        <f>G1832</f>
        <v>4</v>
      </c>
    </row>
    <row r="1833" spans="1:9">
      <c r="A1833" s="195"/>
      <c r="B1833" s="189"/>
      <c r="C1833" s="190"/>
      <c r="D1833" s="271"/>
      <c r="E1833" s="271"/>
      <c r="F1833" s="271"/>
      <c r="G1833" s="271"/>
      <c r="H1833" s="271"/>
      <c r="I1833" s="259"/>
    </row>
    <row r="1834" spans="1:9">
      <c r="A1834" s="135"/>
      <c r="B1834" s="170"/>
      <c r="C1834" s="136"/>
      <c r="D1834" s="275"/>
      <c r="E1834" s="275"/>
      <c r="F1834" s="275"/>
      <c r="G1834" s="276"/>
      <c r="H1834" s="276"/>
      <c r="I1834" s="277"/>
    </row>
    <row r="1835" spans="1:9" ht="28.8">
      <c r="A1835" s="605" t="s">
        <v>35419</v>
      </c>
      <c r="B1835" s="258" t="str">
        <f>VLOOKUP(A1835,GLOBAL!A:H,4,FALSE)</f>
        <v>CALHA COM 8 TOMADAS 20A, INCLUSIVE FIXAÇÃO EM RACK PADRÃO 19", COM CHICOTE DE 2 METROS DE COMPRIMENTO</v>
      </c>
      <c r="C1835" s="119" t="str">
        <f>VLOOKUP(A1835,GLOBAL!A:H,5,FALSE)</f>
        <v>UND</v>
      </c>
      <c r="D1835" s="267" t="s">
        <v>66</v>
      </c>
      <c r="E1835" s="267" t="s">
        <v>70</v>
      </c>
      <c r="F1835" s="267" t="s">
        <v>67</v>
      </c>
      <c r="G1835" s="267" t="s">
        <v>68</v>
      </c>
      <c r="H1835" s="267" t="s">
        <v>71</v>
      </c>
      <c r="I1835" s="268">
        <f>ROUND(SUM(I1837:I1838),2)</f>
        <v>24</v>
      </c>
    </row>
    <row r="1836" spans="1:9">
      <c r="A1836" s="198"/>
      <c r="B1836" s="200" t="s">
        <v>2874</v>
      </c>
      <c r="C1836" s="199"/>
      <c r="D1836" s="281"/>
      <c r="E1836" s="282"/>
      <c r="F1836" s="281"/>
      <c r="G1836" s="281"/>
      <c r="H1836" s="281"/>
      <c r="I1836" s="283"/>
    </row>
    <row r="1837" spans="1:9">
      <c r="A1837" s="197"/>
      <c r="B1837" s="189" t="s">
        <v>35585</v>
      </c>
      <c r="C1837" s="190"/>
      <c r="D1837" s="271"/>
      <c r="E1837" s="278"/>
      <c r="F1837" s="271"/>
      <c r="G1837" s="271">
        <v>24</v>
      </c>
      <c r="H1837" s="281"/>
      <c r="I1837" s="257">
        <f>G1837</f>
        <v>24</v>
      </c>
    </row>
    <row r="1838" spans="1:9">
      <c r="A1838" s="195"/>
      <c r="B1838" s="189"/>
      <c r="C1838" s="190"/>
      <c r="D1838" s="271"/>
      <c r="E1838" s="271"/>
      <c r="F1838" s="271"/>
      <c r="G1838" s="271"/>
      <c r="H1838" s="271"/>
      <c r="I1838" s="259"/>
    </row>
    <row r="1839" spans="1:9">
      <c r="A1839" s="135"/>
      <c r="B1839" s="170"/>
      <c r="C1839" s="136"/>
      <c r="D1839" s="275"/>
      <c r="E1839" s="275"/>
      <c r="F1839" s="275"/>
      <c r="G1839" s="276"/>
      <c r="H1839" s="276"/>
      <c r="I1839" s="277"/>
    </row>
    <row r="1840" spans="1:9" ht="28.8">
      <c r="A1840" s="605" t="s">
        <v>35420</v>
      </c>
      <c r="B1840" s="258" t="str">
        <f>VLOOKUP(A1840,GLOBAL!A:H,4,FALSE)</f>
        <v>GUIA DE CABOS FECHADO HORIZONTAL PADRÃO 19" - 2 U´S, INCLUSIVE FIXAÇÃO EM RACK 19"</v>
      </c>
      <c r="C1840" s="119" t="str">
        <f>VLOOKUP(A1840,GLOBAL!A:H,5,FALSE)</f>
        <v>UND</v>
      </c>
      <c r="D1840" s="267" t="s">
        <v>66</v>
      </c>
      <c r="E1840" s="267" t="s">
        <v>70</v>
      </c>
      <c r="F1840" s="267" t="s">
        <v>67</v>
      </c>
      <c r="G1840" s="267" t="s">
        <v>68</v>
      </c>
      <c r="H1840" s="267" t="s">
        <v>71</v>
      </c>
      <c r="I1840" s="268">
        <f>ROUND(SUM(I1842:I1843),2)</f>
        <v>24</v>
      </c>
    </row>
    <row r="1841" spans="1:9">
      <c r="A1841" s="198"/>
      <c r="B1841" s="200" t="s">
        <v>2874</v>
      </c>
      <c r="C1841" s="199"/>
      <c r="D1841" s="281"/>
      <c r="E1841" s="282"/>
      <c r="F1841" s="281"/>
      <c r="G1841" s="281"/>
      <c r="H1841" s="281"/>
      <c r="I1841" s="283"/>
    </row>
    <row r="1842" spans="1:9">
      <c r="A1842" s="197"/>
      <c r="B1842" s="189" t="s">
        <v>35585</v>
      </c>
      <c r="C1842" s="190"/>
      <c r="D1842" s="271"/>
      <c r="E1842" s="278"/>
      <c r="F1842" s="271"/>
      <c r="G1842" s="271">
        <v>24</v>
      </c>
      <c r="H1842" s="281"/>
      <c r="I1842" s="257">
        <f>G1842</f>
        <v>24</v>
      </c>
    </row>
    <row r="1843" spans="1:9">
      <c r="A1843" s="195"/>
      <c r="B1843" s="189"/>
      <c r="C1843" s="190"/>
      <c r="D1843" s="271"/>
      <c r="E1843" s="271"/>
      <c r="F1843" s="271"/>
      <c r="G1843" s="271"/>
      <c r="H1843" s="271"/>
      <c r="I1843" s="259"/>
    </row>
    <row r="1844" spans="1:9">
      <c r="A1844" s="135"/>
      <c r="B1844" s="170"/>
      <c r="C1844" s="136"/>
      <c r="D1844" s="275"/>
      <c r="E1844" s="275"/>
      <c r="F1844" s="275"/>
      <c r="G1844" s="276"/>
      <c r="H1844" s="276"/>
      <c r="I1844" s="277"/>
    </row>
    <row r="1845" spans="1:9" ht="57.6">
      <c r="A1845" s="605" t="s">
        <v>35421</v>
      </c>
      <c r="B1845" s="258" t="str">
        <f>VLOOKUP(A1845,GLOBAL!A:H,4,FALSE)</f>
        <v>SUPORTE PARA ELETROCALHA LISA OU PERFURADA EM AÇO GALVANIZADO, LARGURA 400 MM, EM PERFILADO COM COMPRIMENTO DE 45 CM FIXADO EM LAJE, POR METRO DE ELETROCALHA FIXADA. AF_09/2023</v>
      </c>
      <c r="C1845" s="119" t="str">
        <f>VLOOKUP(A1845,GLOBAL!A:H,5,FALSE)</f>
        <v>M</v>
      </c>
      <c r="D1845" s="267" t="s">
        <v>66</v>
      </c>
      <c r="E1845" s="267" t="s">
        <v>70</v>
      </c>
      <c r="F1845" s="267" t="s">
        <v>67</v>
      </c>
      <c r="G1845" s="267" t="s">
        <v>68</v>
      </c>
      <c r="H1845" s="267" t="s">
        <v>71</v>
      </c>
      <c r="I1845" s="268">
        <f>ROUND(SUM(I1847:I1848),2)</f>
        <v>60</v>
      </c>
    </row>
    <row r="1846" spans="1:9">
      <c r="A1846" s="198"/>
      <c r="B1846" s="200" t="s">
        <v>2874</v>
      </c>
      <c r="C1846" s="199"/>
      <c r="D1846" s="281"/>
      <c r="E1846" s="282"/>
      <c r="F1846" s="281"/>
      <c r="G1846" s="281"/>
      <c r="H1846" s="281"/>
      <c r="I1846" s="283"/>
    </row>
    <row r="1847" spans="1:9">
      <c r="A1847" s="197"/>
      <c r="B1847" s="189" t="s">
        <v>35585</v>
      </c>
      <c r="C1847" s="190"/>
      <c r="D1847" s="271">
        <v>60</v>
      </c>
      <c r="E1847" s="278"/>
      <c r="F1847" s="271"/>
      <c r="G1847" s="271"/>
      <c r="H1847" s="281"/>
      <c r="I1847" s="257">
        <f>D1847</f>
        <v>60</v>
      </c>
    </row>
    <row r="1848" spans="1:9">
      <c r="A1848" s="195"/>
      <c r="B1848" s="189"/>
      <c r="C1848" s="190"/>
      <c r="D1848" s="271"/>
      <c r="E1848" s="271"/>
      <c r="F1848" s="271"/>
      <c r="G1848" s="271"/>
      <c r="H1848" s="271"/>
      <c r="I1848" s="259"/>
    </row>
    <row r="1849" spans="1:9">
      <c r="A1849" s="135"/>
      <c r="B1849" s="170"/>
      <c r="C1849" s="136"/>
      <c r="D1849" s="275"/>
      <c r="E1849" s="275"/>
      <c r="F1849" s="275"/>
      <c r="G1849" s="276"/>
      <c r="H1849" s="276"/>
      <c r="I1849" s="277"/>
    </row>
    <row r="1850" spans="1:9" ht="28.8">
      <c r="A1850" s="605" t="s">
        <v>35422</v>
      </c>
      <c r="B1850" s="258" t="str">
        <f>VLOOKUP(A1850,GLOBAL!A:H,4,FALSE)</f>
        <v>GUIA DE CABOS VERTICAL PARA RACK ABERTO PADRÃO 19" - 44 U´S X 1940 X 50MM</v>
      </c>
      <c r="C1850" s="119" t="str">
        <f>VLOOKUP(A1850,GLOBAL!A:H,5,FALSE)</f>
        <v>UND</v>
      </c>
      <c r="D1850" s="267" t="s">
        <v>66</v>
      </c>
      <c r="E1850" s="267" t="s">
        <v>70</v>
      </c>
      <c r="F1850" s="267" t="s">
        <v>67</v>
      </c>
      <c r="G1850" s="267" t="s">
        <v>68</v>
      </c>
      <c r="H1850" s="267" t="s">
        <v>71</v>
      </c>
      <c r="I1850" s="268">
        <f>ROUND(SUM(I1852:I1853),2)</f>
        <v>24</v>
      </c>
    </row>
    <row r="1851" spans="1:9">
      <c r="A1851" s="198"/>
      <c r="B1851" s="200" t="s">
        <v>2874</v>
      </c>
      <c r="C1851" s="199"/>
      <c r="D1851" s="281"/>
      <c r="E1851" s="282"/>
      <c r="F1851" s="281"/>
      <c r="G1851" s="281"/>
      <c r="H1851" s="281"/>
      <c r="I1851" s="283"/>
    </row>
    <row r="1852" spans="1:9">
      <c r="A1852" s="197"/>
      <c r="B1852" s="189" t="s">
        <v>35585</v>
      </c>
      <c r="C1852" s="190"/>
      <c r="D1852" s="271"/>
      <c r="E1852" s="278"/>
      <c r="F1852" s="271"/>
      <c r="G1852" s="271">
        <v>24</v>
      </c>
      <c r="H1852" s="281"/>
      <c r="I1852" s="257">
        <f>G1852</f>
        <v>24</v>
      </c>
    </row>
    <row r="1853" spans="1:9">
      <c r="A1853" s="195"/>
      <c r="B1853" s="189"/>
      <c r="C1853" s="190"/>
      <c r="D1853" s="271"/>
      <c r="E1853" s="271"/>
      <c r="F1853" s="271"/>
      <c r="G1853" s="271"/>
      <c r="H1853" s="271"/>
      <c r="I1853" s="259"/>
    </row>
    <row r="1854" spans="1:9">
      <c r="A1854" s="135"/>
      <c r="B1854" s="170"/>
      <c r="C1854" s="136"/>
      <c r="D1854" s="275"/>
      <c r="E1854" s="275"/>
      <c r="F1854" s="275"/>
      <c r="G1854" s="276"/>
      <c r="H1854" s="276"/>
      <c r="I1854" s="277"/>
    </row>
    <row r="1855" spans="1:9" ht="28.8">
      <c r="A1855" s="605" t="s">
        <v>35423</v>
      </c>
      <c r="B1855" s="258" t="str">
        <f>VLOOKUP(A1855,GLOBAL!A:H,4,FALSE)</f>
        <v>PAINEL DE FECHAMENTO FRONTAL 2 US, INCLUSIVE FIXAÇÃO EM RACK 19"</v>
      </c>
      <c r="C1855" s="119" t="str">
        <f>VLOOKUP(A1855,GLOBAL!A:H,5,FALSE)</f>
        <v>UND</v>
      </c>
      <c r="D1855" s="267" t="s">
        <v>66</v>
      </c>
      <c r="E1855" s="267" t="s">
        <v>70</v>
      </c>
      <c r="F1855" s="267" t="s">
        <v>67</v>
      </c>
      <c r="G1855" s="267" t="s">
        <v>68</v>
      </c>
      <c r="H1855" s="267" t="s">
        <v>71</v>
      </c>
      <c r="I1855" s="268">
        <f>ROUND(SUM(I1857:I1858),2)</f>
        <v>24</v>
      </c>
    </row>
    <row r="1856" spans="1:9">
      <c r="A1856" s="198"/>
      <c r="B1856" s="200" t="s">
        <v>2874</v>
      </c>
      <c r="C1856" s="199"/>
      <c r="D1856" s="281"/>
      <c r="E1856" s="282"/>
      <c r="F1856" s="281"/>
      <c r="G1856" s="281"/>
      <c r="H1856" s="281"/>
      <c r="I1856" s="283"/>
    </row>
    <row r="1857" spans="1:9">
      <c r="A1857" s="197"/>
      <c r="B1857" s="189" t="s">
        <v>35585</v>
      </c>
      <c r="C1857" s="190"/>
      <c r="D1857" s="271"/>
      <c r="E1857" s="278"/>
      <c r="F1857" s="271"/>
      <c r="G1857" s="271">
        <v>24</v>
      </c>
      <c r="H1857" s="281"/>
      <c r="I1857" s="257">
        <f>G1857</f>
        <v>24</v>
      </c>
    </row>
    <row r="1858" spans="1:9">
      <c r="A1858" s="195"/>
      <c r="B1858" s="189"/>
      <c r="C1858" s="190"/>
      <c r="D1858" s="271"/>
      <c r="E1858" s="271"/>
      <c r="F1858" s="271"/>
      <c r="G1858" s="271"/>
      <c r="H1858" s="271"/>
      <c r="I1858" s="259"/>
    </row>
    <row r="1859" spans="1:9">
      <c r="A1859" s="135"/>
      <c r="B1859" s="170"/>
      <c r="C1859" s="136"/>
      <c r="D1859" s="275"/>
      <c r="E1859" s="275"/>
      <c r="F1859" s="275"/>
      <c r="G1859" s="276"/>
      <c r="H1859" s="276"/>
      <c r="I1859" s="277"/>
    </row>
    <row r="1860" spans="1:9" ht="28.8">
      <c r="A1860" s="605" t="s">
        <v>35424</v>
      </c>
      <c r="B1860" s="258" t="str">
        <f>VLOOKUP(A1860,GLOBAL!A:H,4,FALSE)</f>
        <v>BANDEJA DESLIZANTE 1 U X 500MM CARGA MÁXIMA 20KG, INCLUSIVE FIXAÇÃO EM RACK 19"</v>
      </c>
      <c r="C1860" s="119" t="str">
        <f>VLOOKUP(A1860,GLOBAL!A:H,5,FALSE)</f>
        <v>UND</v>
      </c>
      <c r="D1860" s="267" t="s">
        <v>66</v>
      </c>
      <c r="E1860" s="267" t="s">
        <v>70</v>
      </c>
      <c r="F1860" s="267" t="s">
        <v>67</v>
      </c>
      <c r="G1860" s="267" t="s">
        <v>68</v>
      </c>
      <c r="H1860" s="267" t="s">
        <v>71</v>
      </c>
      <c r="I1860" s="268">
        <f>ROUND(SUM(I1862:I1863),2)</f>
        <v>12</v>
      </c>
    </row>
    <row r="1861" spans="1:9">
      <c r="A1861" s="198"/>
      <c r="B1861" s="200" t="s">
        <v>2874</v>
      </c>
      <c r="C1861" s="199"/>
      <c r="D1861" s="281"/>
      <c r="E1861" s="282"/>
      <c r="F1861" s="281"/>
      <c r="G1861" s="281"/>
      <c r="H1861" s="281"/>
      <c r="I1861" s="283"/>
    </row>
    <row r="1862" spans="1:9">
      <c r="A1862" s="197"/>
      <c r="B1862" s="189" t="s">
        <v>35585</v>
      </c>
      <c r="C1862" s="190"/>
      <c r="D1862" s="271"/>
      <c r="E1862" s="278"/>
      <c r="F1862" s="271"/>
      <c r="G1862" s="271">
        <v>12</v>
      </c>
      <c r="H1862" s="281"/>
      <c r="I1862" s="257">
        <f>G1862</f>
        <v>12</v>
      </c>
    </row>
    <row r="1863" spans="1:9">
      <c r="A1863" s="195"/>
      <c r="B1863" s="189"/>
      <c r="C1863" s="190"/>
      <c r="D1863" s="271"/>
      <c r="E1863" s="271"/>
      <c r="F1863" s="271"/>
      <c r="G1863" s="271"/>
      <c r="H1863" s="271"/>
      <c r="I1863" s="259"/>
    </row>
    <row r="1864" spans="1:9">
      <c r="A1864" s="135"/>
      <c r="B1864" s="170"/>
      <c r="C1864" s="136"/>
      <c r="D1864" s="275"/>
      <c r="E1864" s="275"/>
      <c r="F1864" s="275"/>
      <c r="G1864" s="276"/>
      <c r="H1864" s="276"/>
      <c r="I1864" s="277"/>
    </row>
    <row r="1865" spans="1:9" ht="28.8">
      <c r="A1865" s="605" t="s">
        <v>35425</v>
      </c>
      <c r="B1865" s="258" t="str">
        <f>VLOOKUP(A1865,GLOBAL!A:H,4,FALSE)</f>
        <v>KIT VENTILAÇÃO COMPOSTO POR 4 VENTILADORES BI-VOLTS, INCLUSIVE FIXAÇÃO EM RACK 19"</v>
      </c>
      <c r="C1865" s="119" t="str">
        <f>VLOOKUP(A1865,GLOBAL!A:H,5,FALSE)</f>
        <v>UND</v>
      </c>
      <c r="D1865" s="267" t="s">
        <v>66</v>
      </c>
      <c r="E1865" s="267" t="s">
        <v>70</v>
      </c>
      <c r="F1865" s="267" t="s">
        <v>67</v>
      </c>
      <c r="G1865" s="267" t="s">
        <v>68</v>
      </c>
      <c r="H1865" s="267" t="s">
        <v>71</v>
      </c>
      <c r="I1865" s="268">
        <f>ROUND(SUM(I1867:I1868),2)</f>
        <v>12</v>
      </c>
    </row>
    <row r="1866" spans="1:9">
      <c r="A1866" s="198"/>
      <c r="B1866" s="200" t="s">
        <v>2874</v>
      </c>
      <c r="C1866" s="199"/>
      <c r="D1866" s="281"/>
      <c r="E1866" s="282"/>
      <c r="F1866" s="281"/>
      <c r="G1866" s="281"/>
      <c r="H1866" s="281"/>
      <c r="I1866" s="283"/>
    </row>
    <row r="1867" spans="1:9">
      <c r="A1867" s="197"/>
      <c r="B1867" s="189" t="s">
        <v>35585</v>
      </c>
      <c r="C1867" s="190"/>
      <c r="D1867" s="271"/>
      <c r="E1867" s="278"/>
      <c r="F1867" s="271"/>
      <c r="G1867" s="271">
        <v>12</v>
      </c>
      <c r="H1867" s="281"/>
      <c r="I1867" s="257">
        <f>G1867</f>
        <v>12</v>
      </c>
    </row>
    <row r="1868" spans="1:9">
      <c r="A1868" s="195"/>
      <c r="B1868" s="189"/>
      <c r="C1868" s="190"/>
      <c r="D1868" s="271"/>
      <c r="E1868" s="271"/>
      <c r="F1868" s="271"/>
      <c r="G1868" s="271"/>
      <c r="H1868" s="271"/>
      <c r="I1868" s="259"/>
    </row>
    <row r="1869" spans="1:9">
      <c r="A1869" s="135"/>
      <c r="B1869" s="170"/>
      <c r="C1869" s="136"/>
      <c r="D1869" s="275"/>
      <c r="E1869" s="275"/>
      <c r="F1869" s="275"/>
      <c r="G1869" s="276"/>
      <c r="H1869" s="276"/>
      <c r="I1869" s="277"/>
    </row>
    <row r="1870" spans="1:9" ht="28.8">
      <c r="A1870" s="605" t="s">
        <v>35426</v>
      </c>
      <c r="B1870" s="258" t="str">
        <f>VLOOKUP(A1870,GLOBAL!A:H,4,FALSE)</f>
        <v>PATCH PANEL 48 PORTAS RJ45/IDC CAT.6, INCLUSIVE FIXAÇÃO EM RACK 19"</v>
      </c>
      <c r="C1870" s="119" t="str">
        <f>VLOOKUP(A1870,GLOBAL!A:H,5,FALSE)</f>
        <v>UND</v>
      </c>
      <c r="D1870" s="267" t="s">
        <v>66</v>
      </c>
      <c r="E1870" s="267" t="s">
        <v>70</v>
      </c>
      <c r="F1870" s="267" t="s">
        <v>67</v>
      </c>
      <c r="G1870" s="267" t="s">
        <v>68</v>
      </c>
      <c r="H1870" s="267" t="s">
        <v>71</v>
      </c>
      <c r="I1870" s="268">
        <f>ROUND(SUM(I1872:I1873),2)</f>
        <v>24</v>
      </c>
    </row>
    <row r="1871" spans="1:9">
      <c r="A1871" s="198"/>
      <c r="B1871" s="200" t="s">
        <v>2874</v>
      </c>
      <c r="C1871" s="199"/>
      <c r="D1871" s="281"/>
      <c r="E1871" s="282"/>
      <c r="F1871" s="281"/>
      <c r="G1871" s="281"/>
      <c r="H1871" s="281"/>
      <c r="I1871" s="283"/>
    </row>
    <row r="1872" spans="1:9">
      <c r="A1872" s="197"/>
      <c r="B1872" s="189" t="s">
        <v>35585</v>
      </c>
      <c r="C1872" s="190"/>
      <c r="D1872" s="271"/>
      <c r="E1872" s="278"/>
      <c r="F1872" s="271"/>
      <c r="G1872" s="271">
        <v>24</v>
      </c>
      <c r="H1872" s="281"/>
      <c r="I1872" s="257">
        <f>G1872</f>
        <v>24</v>
      </c>
    </row>
    <row r="1873" spans="1:9">
      <c r="A1873" s="195"/>
      <c r="B1873" s="189"/>
      <c r="C1873" s="190"/>
      <c r="D1873" s="271"/>
      <c r="E1873" s="271"/>
      <c r="F1873" s="271"/>
      <c r="G1873" s="271"/>
      <c r="H1873" s="271"/>
      <c r="I1873" s="259"/>
    </row>
    <row r="1874" spans="1:9">
      <c r="A1874" s="135"/>
      <c r="B1874" s="170"/>
      <c r="C1874" s="136"/>
      <c r="D1874" s="275"/>
      <c r="E1874" s="275"/>
      <c r="F1874" s="275"/>
      <c r="G1874" s="276"/>
      <c r="H1874" s="276"/>
      <c r="I1874" s="277"/>
    </row>
    <row r="1875" spans="1:9">
      <c r="A1875" s="605" t="s">
        <v>35427</v>
      </c>
      <c r="B1875" s="258" t="str">
        <f>VLOOKUP(A1875,GLOBAL!A:H,4,FALSE)</f>
        <v>PATCH CORD GIGALAN EXTRA FLEXÍVEL CAT 6 U/UTP RJ-45 - 1,50 M</v>
      </c>
      <c r="C1875" s="119" t="str">
        <f>VLOOKUP(A1875,GLOBAL!A:H,5,FALSE)</f>
        <v>UND</v>
      </c>
      <c r="D1875" s="267" t="s">
        <v>66</v>
      </c>
      <c r="E1875" s="267" t="s">
        <v>70</v>
      </c>
      <c r="F1875" s="267" t="s">
        <v>67</v>
      </c>
      <c r="G1875" s="267" t="s">
        <v>68</v>
      </c>
      <c r="H1875" s="267" t="s">
        <v>71</v>
      </c>
      <c r="I1875" s="268">
        <f>ROUND(SUM(I1877:I1878),2)</f>
        <v>150</v>
      </c>
    </row>
    <row r="1876" spans="1:9">
      <c r="A1876" s="198"/>
      <c r="B1876" s="200" t="s">
        <v>2874</v>
      </c>
      <c r="C1876" s="199"/>
      <c r="D1876" s="281"/>
      <c r="E1876" s="282"/>
      <c r="F1876" s="281"/>
      <c r="G1876" s="281"/>
      <c r="H1876" s="281"/>
      <c r="I1876" s="283"/>
    </row>
    <row r="1877" spans="1:9">
      <c r="A1877" s="197"/>
      <c r="B1877" s="189" t="s">
        <v>35585</v>
      </c>
      <c r="C1877" s="190"/>
      <c r="D1877" s="271"/>
      <c r="E1877" s="278"/>
      <c r="F1877" s="271"/>
      <c r="G1877" s="271">
        <v>150</v>
      </c>
      <c r="H1877" s="281"/>
      <c r="I1877" s="257">
        <f>G1877</f>
        <v>150</v>
      </c>
    </row>
    <row r="1878" spans="1:9">
      <c r="A1878" s="195"/>
      <c r="B1878" s="189"/>
      <c r="C1878" s="190"/>
      <c r="D1878" s="271"/>
      <c r="E1878" s="271"/>
      <c r="F1878" s="271"/>
      <c r="G1878" s="271"/>
      <c r="H1878" s="271"/>
      <c r="I1878" s="259"/>
    </row>
    <row r="1879" spans="1:9">
      <c r="A1879" s="135"/>
      <c r="B1879" s="170"/>
      <c r="C1879" s="136"/>
      <c r="D1879" s="275"/>
      <c r="E1879" s="275"/>
      <c r="F1879" s="275"/>
      <c r="G1879" s="276"/>
      <c r="H1879" s="276"/>
      <c r="I1879" s="277"/>
    </row>
    <row r="1880" spans="1:9">
      <c r="A1880" s="605" t="s">
        <v>35428</v>
      </c>
      <c r="B1880" s="258" t="str">
        <f>VLOOKUP(A1880,GLOBAL!A:H,4,FALSE)</f>
        <v>PATCH CORD GIGALAN EXTRA FLEXÍVEL CAT 6 U/UTP RJ-45 - 3,00 M</v>
      </c>
      <c r="C1880" s="119" t="str">
        <f>VLOOKUP(A1880,GLOBAL!A:H,5,FALSE)</f>
        <v>UND</v>
      </c>
      <c r="D1880" s="267" t="s">
        <v>66</v>
      </c>
      <c r="E1880" s="267" t="s">
        <v>70</v>
      </c>
      <c r="F1880" s="267" t="s">
        <v>67</v>
      </c>
      <c r="G1880" s="267" t="s">
        <v>68</v>
      </c>
      <c r="H1880" s="267" t="s">
        <v>71</v>
      </c>
      <c r="I1880" s="268">
        <f>ROUND(SUM(I1882:I1883),2)</f>
        <v>50</v>
      </c>
    </row>
    <row r="1881" spans="1:9">
      <c r="A1881" s="198"/>
      <c r="B1881" s="200" t="s">
        <v>2874</v>
      </c>
      <c r="C1881" s="199"/>
      <c r="D1881" s="281"/>
      <c r="E1881" s="282"/>
      <c r="F1881" s="281"/>
      <c r="G1881" s="281"/>
      <c r="H1881" s="281"/>
      <c r="I1881" s="283"/>
    </row>
    <row r="1882" spans="1:9">
      <c r="A1882" s="197"/>
      <c r="B1882" s="189" t="s">
        <v>35585</v>
      </c>
      <c r="C1882" s="190"/>
      <c r="D1882" s="271"/>
      <c r="E1882" s="278"/>
      <c r="F1882" s="271"/>
      <c r="G1882" s="271">
        <v>50</v>
      </c>
      <c r="H1882" s="281"/>
      <c r="I1882" s="257">
        <f>G1882</f>
        <v>50</v>
      </c>
    </row>
    <row r="1883" spans="1:9">
      <c r="A1883" s="195"/>
      <c r="B1883" s="189"/>
      <c r="C1883" s="190"/>
      <c r="D1883" s="271"/>
      <c r="E1883" s="271"/>
      <c r="F1883" s="271"/>
      <c r="G1883" s="271"/>
      <c r="H1883" s="271"/>
      <c r="I1883" s="259"/>
    </row>
    <row r="1884" spans="1:9">
      <c r="A1884" s="135"/>
      <c r="B1884" s="170"/>
      <c r="C1884" s="136"/>
      <c r="D1884" s="275"/>
      <c r="E1884" s="275"/>
      <c r="F1884" s="275"/>
      <c r="G1884" s="276"/>
      <c r="H1884" s="276"/>
      <c r="I1884" s="277"/>
    </row>
    <row r="1885" spans="1:9" ht="28.8">
      <c r="A1885" s="605" t="s">
        <v>35429</v>
      </c>
      <c r="B1885" s="258" t="str">
        <f>VLOOKUP(A1885,GLOBAL!A:H,4,FALSE)</f>
        <v>FORNECIMENTO E INSTALAÇÃO DE CABO DE REDE PAR TRANÇADO 4 PARES CATEGORIA 6</v>
      </c>
      <c r="C1885" s="119" t="str">
        <f>VLOOKUP(A1885,GLOBAL!A:H,5,FALSE)</f>
        <v>M</v>
      </c>
      <c r="D1885" s="267" t="s">
        <v>66</v>
      </c>
      <c r="E1885" s="267" t="s">
        <v>70</v>
      </c>
      <c r="F1885" s="267" t="s">
        <v>67</v>
      </c>
      <c r="G1885" s="267" t="s">
        <v>68</v>
      </c>
      <c r="H1885" s="267" t="s">
        <v>71</v>
      </c>
      <c r="I1885" s="268">
        <f>ROUND(SUM(I1887:I1888),2)</f>
        <v>3000</v>
      </c>
    </row>
    <row r="1886" spans="1:9">
      <c r="A1886" s="198"/>
      <c r="B1886" s="200" t="s">
        <v>2874</v>
      </c>
      <c r="C1886" s="199"/>
      <c r="D1886" s="281"/>
      <c r="E1886" s="282"/>
      <c r="F1886" s="281"/>
      <c r="G1886" s="281"/>
      <c r="H1886" s="281"/>
      <c r="I1886" s="283"/>
    </row>
    <row r="1887" spans="1:9">
      <c r="A1887" s="197"/>
      <c r="B1887" s="189" t="s">
        <v>35585</v>
      </c>
      <c r="C1887" s="190"/>
      <c r="D1887" s="271">
        <v>3000</v>
      </c>
      <c r="E1887" s="278"/>
      <c r="F1887" s="271"/>
      <c r="G1887" s="271"/>
      <c r="H1887" s="281"/>
      <c r="I1887" s="257">
        <f>D1887</f>
        <v>3000</v>
      </c>
    </row>
    <row r="1888" spans="1:9">
      <c r="A1888" s="195"/>
      <c r="B1888" s="189"/>
      <c r="C1888" s="190"/>
      <c r="D1888" s="271"/>
      <c r="E1888" s="271"/>
      <c r="F1888" s="271"/>
      <c r="G1888" s="271"/>
      <c r="H1888" s="271"/>
      <c r="I1888" s="259"/>
    </row>
    <row r="1889" spans="1:9">
      <c r="A1889" s="135"/>
      <c r="B1889" s="170"/>
      <c r="C1889" s="136"/>
      <c r="D1889" s="275"/>
      <c r="E1889" s="275"/>
      <c r="F1889" s="275"/>
      <c r="G1889" s="276"/>
      <c r="H1889" s="276"/>
      <c r="I1889" s="277"/>
    </row>
    <row r="1890" spans="1:9" ht="28.8">
      <c r="A1890" s="605" t="s">
        <v>35430</v>
      </c>
      <c r="B1890" s="258" t="str">
        <f>VLOOKUP(A1890,GLOBAL!A:H,4,FALSE)</f>
        <v>SWITCH 24 PORTAS RJ-45 10/100 + 2 10/100/1000, INCLUSIVE FIXAÇÃO EM RACK 19"</v>
      </c>
      <c r="C1890" s="119" t="str">
        <f>VLOOKUP(A1890,GLOBAL!A:H,5,FALSE)</f>
        <v>UND</v>
      </c>
      <c r="D1890" s="267" t="s">
        <v>66</v>
      </c>
      <c r="E1890" s="267" t="s">
        <v>70</v>
      </c>
      <c r="F1890" s="267" t="s">
        <v>67</v>
      </c>
      <c r="G1890" s="267" t="s">
        <v>68</v>
      </c>
      <c r="H1890" s="267" t="s">
        <v>71</v>
      </c>
      <c r="I1890" s="268">
        <f>ROUND(SUM(I1892:I1893),2)</f>
        <v>12</v>
      </c>
    </row>
    <row r="1891" spans="1:9">
      <c r="A1891" s="198"/>
      <c r="B1891" s="200" t="s">
        <v>2874</v>
      </c>
      <c r="C1891" s="199"/>
      <c r="D1891" s="281"/>
      <c r="E1891" s="282"/>
      <c r="F1891" s="281"/>
      <c r="G1891" s="281"/>
      <c r="H1891" s="281"/>
      <c r="I1891" s="283"/>
    </row>
    <row r="1892" spans="1:9">
      <c r="A1892" s="197"/>
      <c r="B1892" s="189" t="s">
        <v>35585</v>
      </c>
      <c r="C1892" s="190"/>
      <c r="D1892" s="271"/>
      <c r="E1892" s="278"/>
      <c r="F1892" s="271"/>
      <c r="G1892" s="271">
        <v>12</v>
      </c>
      <c r="H1892" s="281"/>
      <c r="I1892" s="257">
        <f>G1892</f>
        <v>12</v>
      </c>
    </row>
    <row r="1893" spans="1:9">
      <c r="A1893" s="195"/>
      <c r="B1893" s="189"/>
      <c r="C1893" s="190"/>
      <c r="D1893" s="271"/>
      <c r="E1893" s="271"/>
      <c r="F1893" s="271"/>
      <c r="G1893" s="271"/>
      <c r="H1893" s="271"/>
      <c r="I1893" s="259"/>
    </row>
    <row r="1894" spans="1:9">
      <c r="A1894" s="135"/>
      <c r="B1894" s="170"/>
      <c r="C1894" s="136"/>
      <c r="D1894" s="275"/>
      <c r="E1894" s="275"/>
      <c r="F1894" s="275"/>
      <c r="G1894" s="276"/>
      <c r="H1894" s="276"/>
      <c r="I1894" s="277"/>
    </row>
    <row r="1895" spans="1:9" ht="28.8">
      <c r="A1895" s="605" t="s">
        <v>35431</v>
      </c>
      <c r="B1895" s="258" t="str">
        <f>VLOOKUP(A1895,GLOBAL!A:H,4,FALSE)</f>
        <v>SWITCH 48 PORTAS RJ-45 10/100 + 2 10/100/1000, INCLUSIVE FIXAÇÃO EM RACK 19"</v>
      </c>
      <c r="C1895" s="119" t="str">
        <f>VLOOKUP(A1895,GLOBAL!A:H,5,FALSE)</f>
        <v>UND</v>
      </c>
      <c r="D1895" s="267" t="s">
        <v>66</v>
      </c>
      <c r="E1895" s="267" t="s">
        <v>70</v>
      </c>
      <c r="F1895" s="267" t="s">
        <v>67</v>
      </c>
      <c r="G1895" s="267" t="s">
        <v>68</v>
      </c>
      <c r="H1895" s="267" t="s">
        <v>71</v>
      </c>
      <c r="I1895" s="268">
        <f>ROUND(SUM(I1897:I1898),2)</f>
        <v>6</v>
      </c>
    </row>
    <row r="1896" spans="1:9">
      <c r="A1896" s="198"/>
      <c r="B1896" s="200" t="s">
        <v>2874</v>
      </c>
      <c r="C1896" s="199"/>
      <c r="D1896" s="281"/>
      <c r="E1896" s="282"/>
      <c r="F1896" s="281"/>
      <c r="G1896" s="281"/>
      <c r="H1896" s="281"/>
      <c r="I1896" s="283"/>
    </row>
    <row r="1897" spans="1:9">
      <c r="A1897" s="197"/>
      <c r="B1897" s="189" t="s">
        <v>35585</v>
      </c>
      <c r="C1897" s="190"/>
      <c r="D1897" s="271"/>
      <c r="E1897" s="278"/>
      <c r="F1897" s="271"/>
      <c r="G1897" s="271">
        <v>6</v>
      </c>
      <c r="H1897" s="281"/>
      <c r="I1897" s="257">
        <f>G1897</f>
        <v>6</v>
      </c>
    </row>
    <row r="1898" spans="1:9">
      <c r="A1898" s="195"/>
      <c r="B1898" s="189"/>
      <c r="C1898" s="190"/>
      <c r="D1898" s="271"/>
      <c r="E1898" s="271"/>
      <c r="F1898" s="271"/>
      <c r="G1898" s="271"/>
      <c r="H1898" s="271"/>
      <c r="I1898" s="259"/>
    </row>
    <row r="1899" spans="1:9">
      <c r="A1899" s="135"/>
      <c r="B1899" s="170"/>
      <c r="C1899" s="136"/>
      <c r="D1899" s="275"/>
      <c r="E1899" s="275"/>
      <c r="F1899" s="275"/>
      <c r="G1899" s="276"/>
      <c r="H1899" s="276"/>
      <c r="I1899" s="277"/>
    </row>
    <row r="1900" spans="1:9" ht="43.2">
      <c r="A1900" s="605" t="s">
        <v>35432</v>
      </c>
      <c r="B1900" s="258" t="str">
        <f>VLOOKUP(A1900,GLOBAL!A:H,4,FALSE)</f>
        <v>NO BREAK 2200VA (1980W) SENOIDAL, TENSÃO DE ENTRADA: 220V E TENSÃO DE SAIDA: 220V, INTERFACE PORT DB-9 RS-232, SMARTSLOT, USB, INCLUSIVE FIXAÇÃO EM RACK 19"</v>
      </c>
      <c r="C1900" s="119" t="str">
        <f>VLOOKUP(A1900,GLOBAL!A:H,5,FALSE)</f>
        <v>UND</v>
      </c>
      <c r="D1900" s="267" t="s">
        <v>66</v>
      </c>
      <c r="E1900" s="267" t="s">
        <v>70</v>
      </c>
      <c r="F1900" s="267" t="s">
        <v>67</v>
      </c>
      <c r="G1900" s="267" t="s">
        <v>68</v>
      </c>
      <c r="H1900" s="267" t="s">
        <v>71</v>
      </c>
      <c r="I1900" s="268">
        <f>ROUND(SUM(I1902:I1903),2)</f>
        <v>5</v>
      </c>
    </row>
    <row r="1901" spans="1:9">
      <c r="A1901" s="198"/>
      <c r="B1901" s="200" t="s">
        <v>2874</v>
      </c>
      <c r="C1901" s="199"/>
      <c r="D1901" s="281"/>
      <c r="E1901" s="282"/>
      <c r="F1901" s="281"/>
      <c r="G1901" s="281"/>
      <c r="H1901" s="281"/>
      <c r="I1901" s="283"/>
    </row>
    <row r="1902" spans="1:9">
      <c r="A1902" s="197"/>
      <c r="B1902" s="189" t="s">
        <v>35585</v>
      </c>
      <c r="C1902" s="190"/>
      <c r="D1902" s="271"/>
      <c r="E1902" s="278"/>
      <c r="F1902" s="271"/>
      <c r="G1902" s="271">
        <v>5</v>
      </c>
      <c r="H1902" s="281"/>
      <c r="I1902" s="257">
        <f>G1902</f>
        <v>5</v>
      </c>
    </row>
    <row r="1903" spans="1:9">
      <c r="A1903" s="195"/>
      <c r="B1903" s="189"/>
      <c r="C1903" s="190"/>
      <c r="D1903" s="271"/>
      <c r="E1903" s="271"/>
      <c r="F1903" s="271"/>
      <c r="G1903" s="271"/>
      <c r="H1903" s="271"/>
      <c r="I1903" s="259"/>
    </row>
    <row r="1904" spans="1:9">
      <c r="A1904" s="135"/>
      <c r="B1904" s="170"/>
      <c r="C1904" s="136"/>
      <c r="D1904" s="275"/>
      <c r="E1904" s="275"/>
      <c r="F1904" s="275"/>
      <c r="G1904" s="276"/>
      <c r="H1904" s="276"/>
      <c r="I1904" s="277"/>
    </row>
    <row r="1905" spans="1:9" ht="28.8">
      <c r="A1905" s="605" t="s">
        <v>35433</v>
      </c>
      <c r="B1905" s="258" t="str">
        <f>VLOOKUP(A1905,GLOBAL!A:H,4,FALSE)</f>
        <v>CERTIFICAÇÃO AVULSA DOS PONTOS COM EMISSÃO DE RELATÓRIO DO EQUIPAMENTO DE TESTE MAIS DE 101 PONTOS</v>
      </c>
      <c r="C1905" s="119" t="str">
        <f>VLOOKUP(A1905,GLOBAL!A:H,5,FALSE)</f>
        <v>UND</v>
      </c>
      <c r="D1905" s="267" t="s">
        <v>66</v>
      </c>
      <c r="E1905" s="267" t="s">
        <v>70</v>
      </c>
      <c r="F1905" s="267" t="s">
        <v>67</v>
      </c>
      <c r="G1905" s="267" t="s">
        <v>68</v>
      </c>
      <c r="H1905" s="267" t="s">
        <v>71</v>
      </c>
      <c r="I1905" s="268">
        <f>ROUND(SUM(I1907:I1908),2)</f>
        <v>150</v>
      </c>
    </row>
    <row r="1906" spans="1:9">
      <c r="A1906" s="198"/>
      <c r="B1906" s="200" t="s">
        <v>2874</v>
      </c>
      <c r="C1906" s="199"/>
      <c r="D1906" s="281"/>
      <c r="E1906" s="282"/>
      <c r="F1906" s="281"/>
      <c r="G1906" s="281"/>
      <c r="H1906" s="281"/>
      <c r="I1906" s="283"/>
    </row>
    <row r="1907" spans="1:9">
      <c r="A1907" s="197"/>
      <c r="B1907" s="189" t="s">
        <v>35585</v>
      </c>
      <c r="C1907" s="190"/>
      <c r="D1907" s="271"/>
      <c r="E1907" s="278"/>
      <c r="F1907" s="271"/>
      <c r="G1907" s="271">
        <v>150</v>
      </c>
      <c r="H1907" s="281"/>
      <c r="I1907" s="257">
        <f>G1907</f>
        <v>150</v>
      </c>
    </row>
    <row r="1908" spans="1:9">
      <c r="A1908" s="195"/>
      <c r="B1908" s="189"/>
      <c r="C1908" s="190"/>
      <c r="D1908" s="271"/>
      <c r="E1908" s="271"/>
      <c r="F1908" s="271"/>
      <c r="G1908" s="271"/>
      <c r="H1908" s="271"/>
      <c r="I1908" s="259"/>
    </row>
    <row r="1909" spans="1:9">
      <c r="A1909" s="135"/>
      <c r="B1909" s="170"/>
      <c r="C1909" s="136"/>
      <c r="D1909" s="275"/>
      <c r="E1909" s="275"/>
      <c r="F1909" s="275"/>
      <c r="G1909" s="276"/>
      <c r="H1909" s="276"/>
      <c r="I1909" s="277"/>
    </row>
    <row r="1910" spans="1:9">
      <c r="A1910" s="605" t="s">
        <v>35434</v>
      </c>
      <c r="B1910" s="258" t="str">
        <f>VLOOKUP(A1910,GLOBAL!A:H,4,FALSE)</f>
        <v>ESPELHO 4" X 2" COM CONECTOR RJ 45 FÊMEA CAT. 6</v>
      </c>
      <c r="C1910" s="119" t="str">
        <f>VLOOKUP(A1910,GLOBAL!A:H,5,FALSE)</f>
        <v>UND</v>
      </c>
      <c r="D1910" s="267" t="s">
        <v>66</v>
      </c>
      <c r="E1910" s="267" t="s">
        <v>70</v>
      </c>
      <c r="F1910" s="267" t="s">
        <v>67</v>
      </c>
      <c r="G1910" s="267" t="s">
        <v>68</v>
      </c>
      <c r="H1910" s="267" t="s">
        <v>71</v>
      </c>
      <c r="I1910" s="268">
        <f>ROUND(SUM(I1912:I1913),2)</f>
        <v>100</v>
      </c>
    </row>
    <row r="1911" spans="1:9">
      <c r="A1911" s="198"/>
      <c r="B1911" s="200" t="s">
        <v>2874</v>
      </c>
      <c r="C1911" s="199"/>
      <c r="D1911" s="281"/>
      <c r="E1911" s="282"/>
      <c r="F1911" s="281"/>
      <c r="G1911" s="281"/>
      <c r="H1911" s="281"/>
      <c r="I1911" s="283"/>
    </row>
    <row r="1912" spans="1:9">
      <c r="A1912" s="197"/>
      <c r="B1912" s="189" t="s">
        <v>35585</v>
      </c>
      <c r="C1912" s="190"/>
      <c r="D1912" s="271"/>
      <c r="E1912" s="278"/>
      <c r="F1912" s="271"/>
      <c r="G1912" s="271">
        <v>100</v>
      </c>
      <c r="H1912" s="281"/>
      <c r="I1912" s="257">
        <f>G1912</f>
        <v>100</v>
      </c>
    </row>
    <row r="1913" spans="1:9">
      <c r="A1913" s="195"/>
      <c r="B1913" s="189"/>
      <c r="C1913" s="190"/>
      <c r="D1913" s="271"/>
      <c r="E1913" s="271"/>
      <c r="F1913" s="271"/>
      <c r="G1913" s="271"/>
      <c r="H1913" s="271"/>
      <c r="I1913" s="259"/>
    </row>
    <row r="1914" spans="1:9">
      <c r="A1914" s="135"/>
      <c r="B1914" s="170"/>
      <c r="C1914" s="136"/>
      <c r="D1914" s="275"/>
      <c r="E1914" s="275"/>
      <c r="F1914" s="275"/>
      <c r="G1914" s="276"/>
      <c r="H1914" s="276"/>
      <c r="I1914" s="277"/>
    </row>
    <row r="1915" spans="1:9">
      <c r="A1915" s="605" t="s">
        <v>35435</v>
      </c>
      <c r="B1915" s="258" t="str">
        <f>VLOOKUP(A1915,GLOBAL!A:H,4,FALSE)</f>
        <v>ESPELHO 4" X 4" COM 2 CONECTORES RJ 45 FÊMEA CAT. 6</v>
      </c>
      <c r="C1915" s="119" t="str">
        <f>VLOOKUP(A1915,GLOBAL!A:H,5,FALSE)</f>
        <v>UND</v>
      </c>
      <c r="D1915" s="267" t="s">
        <v>66</v>
      </c>
      <c r="E1915" s="267" t="s">
        <v>70</v>
      </c>
      <c r="F1915" s="267" t="s">
        <v>67</v>
      </c>
      <c r="G1915" s="267" t="s">
        <v>68</v>
      </c>
      <c r="H1915" s="267" t="s">
        <v>71</v>
      </c>
      <c r="I1915" s="268">
        <f>ROUND(SUM(I1917:I1918),2)</f>
        <v>50</v>
      </c>
    </row>
    <row r="1916" spans="1:9">
      <c r="A1916" s="198"/>
      <c r="B1916" s="200" t="s">
        <v>2874</v>
      </c>
      <c r="C1916" s="199"/>
      <c r="D1916" s="281"/>
      <c r="E1916" s="282"/>
      <c r="F1916" s="281"/>
      <c r="G1916" s="281"/>
      <c r="H1916" s="281"/>
      <c r="I1916" s="283"/>
    </row>
    <row r="1917" spans="1:9">
      <c r="A1917" s="197"/>
      <c r="B1917" s="189" t="s">
        <v>35585</v>
      </c>
      <c r="C1917" s="190"/>
      <c r="D1917" s="271"/>
      <c r="E1917" s="278"/>
      <c r="F1917" s="271"/>
      <c r="G1917" s="271">
        <v>50</v>
      </c>
      <c r="H1917" s="281"/>
      <c r="I1917" s="257">
        <f>G1917</f>
        <v>50</v>
      </c>
    </row>
    <row r="1918" spans="1:9">
      <c r="A1918" s="195"/>
      <c r="B1918" s="189"/>
      <c r="C1918" s="190"/>
      <c r="D1918" s="271"/>
      <c r="E1918" s="271"/>
      <c r="F1918" s="271"/>
      <c r="G1918" s="271"/>
      <c r="H1918" s="271"/>
      <c r="I1918" s="259"/>
    </row>
    <row r="1919" spans="1:9">
      <c r="A1919" s="135"/>
      <c r="B1919" s="170"/>
      <c r="C1919" s="136"/>
      <c r="D1919" s="275"/>
      <c r="E1919" s="275"/>
      <c r="F1919" s="275"/>
      <c r="G1919" s="276"/>
      <c r="H1919" s="276"/>
      <c r="I1919" s="277"/>
    </row>
    <row r="1920" spans="1:9">
      <c r="A1920" s="184" t="s">
        <v>27429</v>
      </c>
      <c r="B1920" s="171" t="str">
        <f>VLOOKUP(A1920,GLOBAL!A:H,4,FALSE)</f>
        <v>INSTALAÇÃO DO SISTEMA DE CLIMATIZAÇÃO</v>
      </c>
      <c r="C1920" s="172"/>
      <c r="D1920" s="265"/>
      <c r="E1920" s="265"/>
      <c r="F1920" s="265"/>
      <c r="G1920" s="265"/>
      <c r="H1920" s="265"/>
      <c r="I1920" s="266"/>
    </row>
    <row r="1921" spans="1:9">
      <c r="A1921" s="605" t="s">
        <v>35436</v>
      </c>
      <c r="B1921" s="258" t="str">
        <f>VLOOKUP(A1921,GLOBAL!A:H,4,FALSE)</f>
        <v>TUBO DE COBRE COM ISOLAMENTO TÉRMICO - Ø 5/8" ESP. 9MM</v>
      </c>
      <c r="C1921" s="119" t="str">
        <f>VLOOKUP(A1921,GLOBAL!A:H,5,FALSE)</f>
        <v>M</v>
      </c>
      <c r="D1921" s="267" t="s">
        <v>66</v>
      </c>
      <c r="E1921" s="267" t="s">
        <v>70</v>
      </c>
      <c r="F1921" s="267" t="s">
        <v>67</v>
      </c>
      <c r="G1921" s="267" t="s">
        <v>68</v>
      </c>
      <c r="H1921" s="267" t="s">
        <v>71</v>
      </c>
      <c r="I1921" s="268">
        <f>ROUND(SUM(I1923:I1924),2)</f>
        <v>200</v>
      </c>
    </row>
    <row r="1922" spans="1:9">
      <c r="A1922" s="198"/>
      <c r="B1922" s="200" t="s">
        <v>2874</v>
      </c>
      <c r="C1922" s="199"/>
      <c r="D1922" s="281"/>
      <c r="E1922" s="282"/>
      <c r="F1922" s="281"/>
      <c r="G1922" s="281"/>
      <c r="H1922" s="281"/>
      <c r="I1922" s="283"/>
    </row>
    <row r="1923" spans="1:9">
      <c r="A1923" s="197"/>
      <c r="B1923" s="189" t="s">
        <v>35586</v>
      </c>
      <c r="C1923" s="190"/>
      <c r="D1923" s="271">
        <v>200</v>
      </c>
      <c r="E1923" s="278"/>
      <c r="F1923" s="271"/>
      <c r="G1923" s="271"/>
      <c r="H1923" s="281"/>
      <c r="I1923" s="257">
        <f>D1923</f>
        <v>200</v>
      </c>
    </row>
    <row r="1924" spans="1:9">
      <c r="A1924" s="195"/>
      <c r="B1924" s="189"/>
      <c r="C1924" s="190"/>
      <c r="D1924" s="271"/>
      <c r="E1924" s="271"/>
      <c r="F1924" s="271"/>
      <c r="G1924" s="271"/>
      <c r="H1924" s="271"/>
      <c r="I1924" s="259"/>
    </row>
    <row r="1925" spans="1:9">
      <c r="A1925" s="135"/>
      <c r="B1925" s="170"/>
      <c r="C1925" s="136"/>
      <c r="D1925" s="275"/>
      <c r="E1925" s="275"/>
      <c r="F1925" s="275"/>
      <c r="G1925" s="276"/>
      <c r="H1925" s="276"/>
      <c r="I1925" s="277"/>
    </row>
    <row r="1926" spans="1:9">
      <c r="A1926" s="605" t="s">
        <v>35437</v>
      </c>
      <c r="B1926" s="258" t="str">
        <f>VLOOKUP(A1926,GLOBAL!A:H,4,FALSE)</f>
        <v>TUBO DE COBRE COM ISOLAMENTO TÉRMICO - Ø 3/4" ESP. 9MM</v>
      </c>
      <c r="C1926" s="119" t="str">
        <f>VLOOKUP(A1926,GLOBAL!A:H,5,FALSE)</f>
        <v>M</v>
      </c>
      <c r="D1926" s="267" t="s">
        <v>66</v>
      </c>
      <c r="E1926" s="267" t="s">
        <v>70</v>
      </c>
      <c r="F1926" s="267" t="s">
        <v>67</v>
      </c>
      <c r="G1926" s="267" t="s">
        <v>68</v>
      </c>
      <c r="H1926" s="267" t="s">
        <v>71</v>
      </c>
      <c r="I1926" s="268">
        <f>ROUND(SUM(I1928:I1929),2)</f>
        <v>160</v>
      </c>
    </row>
    <row r="1927" spans="1:9">
      <c r="A1927" s="198"/>
      <c r="B1927" s="200" t="s">
        <v>2874</v>
      </c>
      <c r="C1927" s="199"/>
      <c r="D1927" s="281"/>
      <c r="E1927" s="282"/>
      <c r="F1927" s="281"/>
      <c r="G1927" s="281"/>
      <c r="H1927" s="281"/>
      <c r="I1927" s="283"/>
    </row>
    <row r="1928" spans="1:9">
      <c r="A1928" s="197"/>
      <c r="B1928" s="189" t="s">
        <v>35586</v>
      </c>
      <c r="C1928" s="190"/>
      <c r="D1928" s="271">
        <v>160</v>
      </c>
      <c r="E1928" s="278"/>
      <c r="F1928" s="271"/>
      <c r="G1928" s="271"/>
      <c r="H1928" s="281"/>
      <c r="I1928" s="257">
        <f>D1928</f>
        <v>160</v>
      </c>
    </row>
    <row r="1929" spans="1:9">
      <c r="A1929" s="195"/>
      <c r="B1929" s="189"/>
      <c r="C1929" s="190"/>
      <c r="D1929" s="271"/>
      <c r="E1929" s="271"/>
      <c r="F1929" s="271"/>
      <c r="G1929" s="271"/>
      <c r="H1929" s="271"/>
      <c r="I1929" s="259"/>
    </row>
    <row r="1930" spans="1:9">
      <c r="A1930" s="135"/>
      <c r="B1930" s="170"/>
      <c r="C1930" s="136"/>
      <c r="D1930" s="275"/>
      <c r="E1930" s="275"/>
      <c r="F1930" s="275"/>
      <c r="G1930" s="276"/>
      <c r="H1930" s="276"/>
      <c r="I1930" s="277"/>
    </row>
    <row r="1931" spans="1:9">
      <c r="A1931" s="605" t="s">
        <v>35438</v>
      </c>
      <c r="B1931" s="258" t="str">
        <f>VLOOKUP(A1931,GLOBAL!A:H,4,FALSE)</f>
        <v>TUBO DE COBRE COM ISOLAMENTO TÉRMICO - Ø 7/8" ESP. 9MM</v>
      </c>
      <c r="C1931" s="119" t="str">
        <f>VLOOKUP(A1931,GLOBAL!A:H,5,FALSE)</f>
        <v>M</v>
      </c>
      <c r="D1931" s="267" t="s">
        <v>66</v>
      </c>
      <c r="E1931" s="267" t="s">
        <v>70</v>
      </c>
      <c r="F1931" s="267" t="s">
        <v>67</v>
      </c>
      <c r="G1931" s="267" t="s">
        <v>68</v>
      </c>
      <c r="H1931" s="267" t="s">
        <v>71</v>
      </c>
      <c r="I1931" s="268">
        <f>ROUND(SUM(I1933:I1934),2)</f>
        <v>160</v>
      </c>
    </row>
    <row r="1932" spans="1:9">
      <c r="A1932" s="198"/>
      <c r="B1932" s="200" t="s">
        <v>2874</v>
      </c>
      <c r="C1932" s="199"/>
      <c r="D1932" s="281"/>
      <c r="E1932" s="282"/>
      <c r="F1932" s="281"/>
      <c r="G1932" s="281"/>
      <c r="H1932" s="281"/>
      <c r="I1932" s="283"/>
    </row>
    <row r="1933" spans="1:9">
      <c r="A1933" s="197"/>
      <c r="B1933" s="189" t="s">
        <v>35586</v>
      </c>
      <c r="C1933" s="190"/>
      <c r="D1933" s="271">
        <v>160</v>
      </c>
      <c r="E1933" s="278"/>
      <c r="F1933" s="271"/>
      <c r="G1933" s="271"/>
      <c r="H1933" s="281"/>
      <c r="I1933" s="257">
        <f>D1933</f>
        <v>160</v>
      </c>
    </row>
    <row r="1934" spans="1:9">
      <c r="A1934" s="195"/>
      <c r="B1934" s="189"/>
      <c r="C1934" s="190"/>
      <c r="D1934" s="271"/>
      <c r="E1934" s="271"/>
      <c r="F1934" s="271"/>
      <c r="G1934" s="271"/>
      <c r="H1934" s="271"/>
      <c r="I1934" s="259"/>
    </row>
    <row r="1935" spans="1:9">
      <c r="A1935" s="135"/>
      <c r="B1935" s="170"/>
      <c r="C1935" s="136"/>
      <c r="D1935" s="275"/>
      <c r="E1935" s="275"/>
      <c r="F1935" s="275"/>
      <c r="G1935" s="276"/>
      <c r="H1935" s="276"/>
      <c r="I1935" s="277"/>
    </row>
    <row r="1936" spans="1:9">
      <c r="A1936" s="605" t="s">
        <v>35439</v>
      </c>
      <c r="B1936" s="258" t="str">
        <f>VLOOKUP(A1936,GLOBAL!A:H,4,FALSE)</f>
        <v>TUBO DE COBRE COM ISOLAMENTO TÉRMICO - Ø 1.1/8" ESP. 9MM</v>
      </c>
      <c r="C1936" s="119" t="str">
        <f>VLOOKUP(A1936,GLOBAL!A:H,5,FALSE)</f>
        <v>M</v>
      </c>
      <c r="D1936" s="267" t="s">
        <v>66</v>
      </c>
      <c r="E1936" s="267" t="s">
        <v>70</v>
      </c>
      <c r="F1936" s="267" t="s">
        <v>67</v>
      </c>
      <c r="G1936" s="267" t="s">
        <v>68</v>
      </c>
      <c r="H1936" s="267" t="s">
        <v>71</v>
      </c>
      <c r="I1936" s="268">
        <f>ROUND(SUM(I1938:I1939),2)</f>
        <v>100</v>
      </c>
    </row>
    <row r="1937" spans="1:9">
      <c r="A1937" s="198"/>
      <c r="B1937" s="200" t="s">
        <v>2874</v>
      </c>
      <c r="C1937" s="199"/>
      <c r="D1937" s="281"/>
      <c r="E1937" s="282"/>
      <c r="F1937" s="281"/>
      <c r="G1937" s="281"/>
      <c r="H1937" s="281"/>
      <c r="I1937" s="283"/>
    </row>
    <row r="1938" spans="1:9">
      <c r="A1938" s="197"/>
      <c r="B1938" s="189" t="s">
        <v>35586</v>
      </c>
      <c r="C1938" s="190"/>
      <c r="D1938" s="271">
        <v>100</v>
      </c>
      <c r="E1938" s="278"/>
      <c r="F1938" s="271"/>
      <c r="G1938" s="271"/>
      <c r="H1938" s="281"/>
      <c r="I1938" s="257">
        <f>D1938</f>
        <v>100</v>
      </c>
    </row>
    <row r="1939" spans="1:9">
      <c r="A1939" s="195"/>
      <c r="B1939" s="189"/>
      <c r="C1939" s="190"/>
      <c r="D1939" s="271"/>
      <c r="E1939" s="271"/>
      <c r="F1939" s="271"/>
      <c r="G1939" s="271"/>
      <c r="H1939" s="271"/>
      <c r="I1939" s="259"/>
    </row>
    <row r="1940" spans="1:9">
      <c r="A1940" s="135"/>
      <c r="B1940" s="170"/>
      <c r="C1940" s="136"/>
      <c r="D1940" s="275"/>
      <c r="E1940" s="275"/>
      <c r="F1940" s="275"/>
      <c r="G1940" s="276"/>
      <c r="H1940" s="276"/>
      <c r="I1940" s="277"/>
    </row>
    <row r="1941" spans="1:9" ht="28.8">
      <c r="A1941" s="605" t="s">
        <v>35440</v>
      </c>
      <c r="B1941" s="258" t="str">
        <f>VLOOKUP(A1941,GLOBAL!A:H,4,FALSE)</f>
        <v>EMENDA DE TUBOS E CONEXÕES DE COBRE POR PROCESSO DE SOLDA - Ø 5/8" ATÉ 7/8"</v>
      </c>
      <c r="C1941" s="119" t="str">
        <f>VLOOKUP(A1941,GLOBAL!A:H,5,FALSE)</f>
        <v>UND</v>
      </c>
      <c r="D1941" s="267" t="s">
        <v>66</v>
      </c>
      <c r="E1941" s="267" t="s">
        <v>70</v>
      </c>
      <c r="F1941" s="267" t="s">
        <v>67</v>
      </c>
      <c r="G1941" s="267" t="s">
        <v>68</v>
      </c>
      <c r="H1941" s="267" t="s">
        <v>71</v>
      </c>
      <c r="I1941" s="268">
        <f>ROUND(SUM(I1943:I1944),2)</f>
        <v>200</v>
      </c>
    </row>
    <row r="1942" spans="1:9">
      <c r="A1942" s="198"/>
      <c r="B1942" s="200" t="s">
        <v>2874</v>
      </c>
      <c r="C1942" s="199"/>
      <c r="D1942" s="281"/>
      <c r="E1942" s="282"/>
      <c r="F1942" s="281"/>
      <c r="G1942" s="281"/>
      <c r="H1942" s="281"/>
      <c r="I1942" s="283"/>
    </row>
    <row r="1943" spans="1:9">
      <c r="A1943" s="197"/>
      <c r="B1943" s="189" t="s">
        <v>35586</v>
      </c>
      <c r="C1943" s="190"/>
      <c r="D1943" s="271"/>
      <c r="E1943" s="278"/>
      <c r="F1943" s="271"/>
      <c r="G1943" s="271">
        <v>200</v>
      </c>
      <c r="H1943" s="281"/>
      <c r="I1943" s="257">
        <f>G1943</f>
        <v>200</v>
      </c>
    </row>
    <row r="1944" spans="1:9">
      <c r="A1944" s="195"/>
      <c r="B1944" s="189"/>
      <c r="C1944" s="190"/>
      <c r="D1944" s="271"/>
      <c r="E1944" s="271"/>
      <c r="F1944" s="271"/>
      <c r="G1944" s="271"/>
      <c r="H1944" s="271"/>
      <c r="I1944" s="259"/>
    </row>
    <row r="1945" spans="1:9">
      <c r="A1945" s="135"/>
      <c r="B1945" s="170"/>
      <c r="C1945" s="136"/>
      <c r="D1945" s="275"/>
      <c r="E1945" s="275"/>
      <c r="F1945" s="275"/>
      <c r="G1945" s="276"/>
      <c r="H1945" s="276"/>
      <c r="I1945" s="277"/>
    </row>
    <row r="1946" spans="1:9">
      <c r="A1946" s="605" t="s">
        <v>35441</v>
      </c>
      <c r="B1946" s="258" t="str">
        <f>VLOOKUP(A1946,GLOBAL!A:H,4,FALSE)</f>
        <v>GÁS REFRIGERANTE R407</v>
      </c>
      <c r="C1946" s="119" t="str">
        <f>VLOOKUP(A1946,GLOBAL!A:H,5,FALSE)</f>
        <v>KG</v>
      </c>
      <c r="D1946" s="267" t="s">
        <v>66</v>
      </c>
      <c r="E1946" s="267" t="s">
        <v>70</v>
      </c>
      <c r="F1946" s="267" t="s">
        <v>67</v>
      </c>
      <c r="G1946" s="267" t="s">
        <v>68</v>
      </c>
      <c r="H1946" s="267" t="s">
        <v>71</v>
      </c>
      <c r="I1946" s="268">
        <f>ROUND(SUM(I1948:I1949),2)</f>
        <v>50</v>
      </c>
    </row>
    <row r="1947" spans="1:9">
      <c r="A1947" s="198"/>
      <c r="B1947" s="200" t="s">
        <v>2874</v>
      </c>
      <c r="C1947" s="199"/>
      <c r="D1947" s="281"/>
      <c r="E1947" s="282"/>
      <c r="F1947" s="281"/>
      <c r="G1947" s="281"/>
      <c r="H1947" s="281"/>
      <c r="I1947" s="283"/>
    </row>
    <row r="1948" spans="1:9">
      <c r="A1948" s="197"/>
      <c r="B1948" s="189" t="s">
        <v>35586</v>
      </c>
      <c r="C1948" s="190"/>
      <c r="D1948" s="271"/>
      <c r="E1948" s="278"/>
      <c r="F1948" s="271"/>
      <c r="G1948" s="271"/>
      <c r="H1948" s="281">
        <v>50</v>
      </c>
      <c r="I1948" s="257">
        <f>H1948</f>
        <v>50</v>
      </c>
    </row>
    <row r="1949" spans="1:9">
      <c r="A1949" s="195"/>
      <c r="B1949" s="189"/>
      <c r="C1949" s="190"/>
      <c r="D1949" s="271"/>
      <c r="E1949" s="271"/>
      <c r="F1949" s="271"/>
      <c r="G1949" s="271"/>
      <c r="H1949" s="271"/>
      <c r="I1949" s="259"/>
    </row>
    <row r="1950" spans="1:9">
      <c r="A1950" s="135"/>
      <c r="B1950" s="170"/>
      <c r="C1950" s="136"/>
      <c r="D1950" s="275"/>
      <c r="E1950" s="275"/>
      <c r="F1950" s="275"/>
      <c r="G1950" s="276"/>
      <c r="H1950" s="276"/>
      <c r="I1950" s="277"/>
    </row>
    <row r="1951" spans="1:9" ht="72">
      <c r="A1951" s="605" t="s">
        <v>35442</v>
      </c>
      <c r="B1951" s="258" t="str">
        <f>VLOOKUP(A1951,GLOBAL!A:H,4,FALSE)</f>
        <v>INSTALAÇÃO DE LINHA FRIGORÍGENA PARA INTERLIGAÇÃO DO SISTEMA DE CLIMATIZAÇÃO INCL. ACESSÓRIOS DE FIXAÇÃO, FITA PVC AUTO-ADERENTE E CABO PP, EXCLUSIVE TUBOS DE COBRE DA LINHA LIQUIDA E SUCÇÃO, ESPUMA ELASTOMÉRICA FLEXIVEL, EXCLUSIVE GÁS REFRIGERANTE</v>
      </c>
      <c r="C1951" s="119" t="str">
        <f>VLOOKUP(A1951,GLOBAL!A:H,5,FALSE)</f>
        <v>M</v>
      </c>
      <c r="D1951" s="267" t="s">
        <v>66</v>
      </c>
      <c r="E1951" s="267" t="s">
        <v>70</v>
      </c>
      <c r="F1951" s="267" t="s">
        <v>67</v>
      </c>
      <c r="G1951" s="267" t="s">
        <v>68</v>
      </c>
      <c r="H1951" s="267" t="s">
        <v>71</v>
      </c>
      <c r="I1951" s="268">
        <f>ROUND(SUM(I1953:I1954),2)</f>
        <v>1000</v>
      </c>
    </row>
    <row r="1952" spans="1:9">
      <c r="A1952" s="198"/>
      <c r="B1952" s="200" t="s">
        <v>2874</v>
      </c>
      <c r="C1952" s="199"/>
      <c r="D1952" s="281"/>
      <c r="E1952" s="282"/>
      <c r="F1952" s="281"/>
      <c r="G1952" s="281"/>
      <c r="H1952" s="281"/>
      <c r="I1952" s="283"/>
    </row>
    <row r="1953" spans="1:9">
      <c r="A1953" s="197"/>
      <c r="B1953" s="189" t="s">
        <v>35586</v>
      </c>
      <c r="C1953" s="190"/>
      <c r="D1953" s="271">
        <v>1000</v>
      </c>
      <c r="E1953" s="278"/>
      <c r="F1953" s="271"/>
      <c r="G1953" s="271"/>
      <c r="H1953" s="281"/>
      <c r="I1953" s="257">
        <f>D1953</f>
        <v>1000</v>
      </c>
    </row>
    <row r="1954" spans="1:9">
      <c r="A1954" s="195"/>
      <c r="B1954" s="189"/>
      <c r="C1954" s="190"/>
      <c r="D1954" s="271"/>
      <c r="E1954" s="271"/>
      <c r="F1954" s="271"/>
      <c r="G1954" s="271"/>
      <c r="H1954" s="271"/>
      <c r="I1954" s="259"/>
    </row>
    <row r="1955" spans="1:9">
      <c r="A1955" s="135"/>
      <c r="B1955" s="170"/>
      <c r="C1955" s="136"/>
      <c r="D1955" s="275"/>
      <c r="E1955" s="275"/>
      <c r="F1955" s="275"/>
      <c r="G1955" s="276"/>
      <c r="H1955" s="276"/>
      <c r="I1955" s="277"/>
    </row>
    <row r="1956" spans="1:9">
      <c r="A1956" s="184" t="s">
        <v>23682</v>
      </c>
      <c r="B1956" s="171" t="str">
        <f>VLOOKUP(A1956,GLOBAL!A:H,4,FALSE)</f>
        <v>APARELHOS HIDRO-SANITÁRIOS</v>
      </c>
      <c r="C1956" s="172"/>
      <c r="D1956" s="265"/>
      <c r="E1956" s="265"/>
      <c r="F1956" s="265"/>
      <c r="G1956" s="265"/>
      <c r="H1956" s="265"/>
      <c r="I1956" s="266"/>
    </row>
    <row r="1957" spans="1:9">
      <c r="A1957" s="184" t="s">
        <v>27431</v>
      </c>
      <c r="B1957" s="171" t="str">
        <f>VLOOKUP(A1957,GLOBAL!A:H,4,FALSE)</f>
        <v>LOUÇAS</v>
      </c>
      <c r="C1957" s="172"/>
      <c r="D1957" s="265"/>
      <c r="E1957" s="265"/>
      <c r="F1957" s="265"/>
      <c r="G1957" s="265"/>
      <c r="H1957" s="265"/>
      <c r="I1957" s="266"/>
    </row>
    <row r="1958" spans="1:9" ht="43.2">
      <c r="A1958" s="605" t="s">
        <v>23683</v>
      </c>
      <c r="B1958" s="120" t="str">
        <f>VLOOKUP(A1958,GLOBAL!A:H,4,FALSE)</f>
        <v>MICTÓRIO DE LOUÇA BRANCA COM SIFÃO INTEGRADO ANTIVANDALISMO - M715 - DECA OU EQUIVALENTE, INCLUSIVE ENGATE FLEXÍVEL TRANÇADO INOX 1/2? X 30CM</v>
      </c>
      <c r="C1958" s="119" t="str">
        <f>VLOOKUP(A1958,GLOBAL!A:H,5,FALSE)</f>
        <v>UND</v>
      </c>
      <c r="D1958" s="267" t="s">
        <v>66</v>
      </c>
      <c r="E1958" s="267" t="s">
        <v>70</v>
      </c>
      <c r="F1958" s="267" t="s">
        <v>67</v>
      </c>
      <c r="G1958" s="267" t="s">
        <v>68</v>
      </c>
      <c r="H1958" s="267" t="s">
        <v>71</v>
      </c>
      <c r="I1958" s="268">
        <f>ROUND(SUM(I1960:I1962),2)</f>
        <v>11</v>
      </c>
    </row>
    <row r="1959" spans="1:9">
      <c r="A1959" s="198"/>
      <c r="B1959" s="200" t="s">
        <v>2874</v>
      </c>
      <c r="C1959" s="199"/>
      <c r="D1959" s="281"/>
      <c r="E1959" s="282"/>
      <c r="F1959" s="281"/>
      <c r="G1959" s="281"/>
      <c r="H1959" s="281"/>
      <c r="I1959" s="283"/>
    </row>
    <row r="1960" spans="1:9">
      <c r="A1960" s="197"/>
      <c r="B1960" s="189" t="s">
        <v>35800</v>
      </c>
      <c r="C1960" s="190"/>
      <c r="D1960" s="271"/>
      <c r="E1960" s="235"/>
      <c r="F1960" s="271"/>
      <c r="G1960" s="271">
        <v>9</v>
      </c>
      <c r="H1960" s="281"/>
      <c r="I1960" s="257">
        <f>G1960</f>
        <v>9</v>
      </c>
    </row>
    <row r="1961" spans="1:9">
      <c r="A1961" s="197"/>
      <c r="B1961" s="189" t="s">
        <v>35801</v>
      </c>
      <c r="C1961" s="190"/>
      <c r="D1961" s="271"/>
      <c r="E1961" s="235"/>
      <c r="F1961" s="271"/>
      <c r="G1961" s="271">
        <v>2</v>
      </c>
      <c r="H1961" s="281"/>
      <c r="I1961" s="257">
        <f>G1961</f>
        <v>2</v>
      </c>
    </row>
    <row r="1962" spans="1:9">
      <c r="A1962" s="195"/>
      <c r="B1962" s="189"/>
      <c r="C1962" s="190"/>
      <c r="D1962" s="271"/>
      <c r="E1962" s="271"/>
      <c r="F1962" s="271"/>
      <c r="G1962" s="271"/>
      <c r="H1962" s="271"/>
      <c r="I1962" s="259"/>
    </row>
    <row r="1963" spans="1:9">
      <c r="A1963" s="135"/>
      <c r="B1963" s="170"/>
      <c r="C1963" s="136"/>
      <c r="D1963" s="275"/>
      <c r="E1963" s="275"/>
      <c r="F1963" s="275"/>
      <c r="G1963" s="276"/>
      <c r="H1963" s="276"/>
      <c r="I1963" s="277"/>
    </row>
    <row r="1964" spans="1:9" ht="57.6">
      <c r="A1964" s="605" t="s">
        <v>27020</v>
      </c>
      <c r="B1964" s="120" t="str">
        <f>VLOOKUP(A1964,GLOBAL!A:H,4,FALSE)</f>
        <v>LAVATÓRIO SUSPENSO DE CANTO - IZY - L101 - DECA OU EQUIVALENTE, INCLUSIVE VÁLVULA DE SAÍDA CROMADA 1?, SIFÃO EM METAL CROMADO 1? X 1/2", ENGATE FLEXÍVEL TRANÇADO INOX 1/2? X 30CM E PARAFUSOS PARA FIXAÇÃO, EXCLUSIVE TORNEIRA</v>
      </c>
      <c r="C1964" s="119" t="str">
        <f>VLOOKUP(A1964,GLOBAL!A:H,5,FALSE)</f>
        <v>UND</v>
      </c>
      <c r="D1964" s="267" t="s">
        <v>66</v>
      </c>
      <c r="E1964" s="267" t="s">
        <v>70</v>
      </c>
      <c r="F1964" s="267" t="s">
        <v>67</v>
      </c>
      <c r="G1964" s="267" t="s">
        <v>68</v>
      </c>
      <c r="H1964" s="267" t="s">
        <v>71</v>
      </c>
      <c r="I1964" s="268">
        <f>ROUND(SUM(I1966:I1967),2)</f>
        <v>4</v>
      </c>
    </row>
    <row r="1965" spans="1:9">
      <c r="A1965" s="198"/>
      <c r="B1965" s="200" t="s">
        <v>2874</v>
      </c>
      <c r="C1965" s="199"/>
      <c r="D1965" s="281"/>
      <c r="E1965" s="282"/>
      <c r="F1965" s="281"/>
      <c r="G1965" s="281"/>
      <c r="H1965" s="281"/>
      <c r="I1965" s="283"/>
    </row>
    <row r="1966" spans="1:9">
      <c r="A1966" s="197"/>
      <c r="B1966" s="189" t="s">
        <v>35588</v>
      </c>
      <c r="C1966" s="190"/>
      <c r="D1966" s="271"/>
      <c r="E1966" s="235"/>
      <c r="F1966" s="271"/>
      <c r="G1966" s="271">
        <v>3</v>
      </c>
      <c r="H1966" s="281"/>
      <c r="I1966" s="257">
        <f>G1966</f>
        <v>3</v>
      </c>
    </row>
    <row r="1967" spans="1:9">
      <c r="A1967" s="195"/>
      <c r="B1967" s="189" t="s">
        <v>35655</v>
      </c>
      <c r="C1967" s="190"/>
      <c r="D1967" s="271"/>
      <c r="E1967" s="271"/>
      <c r="F1967" s="271"/>
      <c r="G1967" s="271">
        <v>1</v>
      </c>
      <c r="H1967" s="271"/>
      <c r="I1967" s="259">
        <f>G1967</f>
        <v>1</v>
      </c>
    </row>
    <row r="1968" spans="1:9">
      <c r="A1968" s="135"/>
      <c r="B1968" s="170"/>
      <c r="C1968" s="136"/>
      <c r="D1968" s="275"/>
      <c r="E1968" s="275"/>
      <c r="F1968" s="275"/>
      <c r="G1968" s="276"/>
      <c r="H1968" s="276"/>
      <c r="I1968" s="277"/>
    </row>
    <row r="1969" spans="1:9" ht="72">
      <c r="A1969" s="605" t="s">
        <v>27021</v>
      </c>
      <c r="B1969" s="120" t="str">
        <f>VLOOKUP(A1969,GLOBAL!A:H,4,FALSE)</f>
        <v>BACIA CONVENCIONAL DE LOUÇA BRANCA SEM ABERTURA FRONTAL PARA PORTADORES DE NECESSIDADES ESPECIAIS, VOGUE PLUS CONFORTO - P510, INCLUSIVE ASSENTO EM POLIÉSTER, REF. AP51 - DECA OU EQUIVALENTE, TUBO DE LIGAÇÃO METAL CROMADO COM CANOPLA, ANEL DE VEDAÇÃO E PARAFUSOS PARA FIXAÇÃO</v>
      </c>
      <c r="C1969" s="119" t="str">
        <f>VLOOKUP(A1969,GLOBAL!A:H,5,FALSE)</f>
        <v>UND</v>
      </c>
      <c r="D1969" s="267" t="s">
        <v>66</v>
      </c>
      <c r="E1969" s="267" t="s">
        <v>70</v>
      </c>
      <c r="F1969" s="267" t="s">
        <v>67</v>
      </c>
      <c r="G1969" s="267" t="s">
        <v>68</v>
      </c>
      <c r="H1969" s="267" t="s">
        <v>71</v>
      </c>
      <c r="I1969" s="268">
        <f>ROUND(SUM(I1971:I1972),2)</f>
        <v>4</v>
      </c>
    </row>
    <row r="1970" spans="1:9">
      <c r="A1970" s="198"/>
      <c r="B1970" s="200" t="s">
        <v>2874</v>
      </c>
      <c r="C1970" s="199"/>
      <c r="D1970" s="281"/>
      <c r="E1970" s="282"/>
      <c r="F1970" s="281"/>
      <c r="G1970" s="281"/>
      <c r="H1970" s="281"/>
      <c r="I1970" s="283"/>
    </row>
    <row r="1971" spans="1:9">
      <c r="A1971" s="197"/>
      <c r="B1971" s="189" t="s">
        <v>35588</v>
      </c>
      <c r="C1971" s="190"/>
      <c r="D1971" s="271"/>
      <c r="E1971" s="235"/>
      <c r="F1971" s="271"/>
      <c r="G1971" s="271">
        <v>3</v>
      </c>
      <c r="H1971" s="281"/>
      <c r="I1971" s="257">
        <f>G1971</f>
        <v>3</v>
      </c>
    </row>
    <row r="1972" spans="1:9">
      <c r="A1972" s="195"/>
      <c r="B1972" s="189" t="s">
        <v>35655</v>
      </c>
      <c r="C1972" s="190"/>
      <c r="D1972" s="271"/>
      <c r="E1972" s="271"/>
      <c r="F1972" s="271"/>
      <c r="G1972" s="271">
        <v>1</v>
      </c>
      <c r="H1972" s="271"/>
      <c r="I1972" s="259">
        <f>G1972</f>
        <v>1</v>
      </c>
    </row>
    <row r="1973" spans="1:9">
      <c r="A1973" s="135"/>
      <c r="B1973" s="170"/>
      <c r="C1973" s="136"/>
      <c r="D1973" s="275"/>
      <c r="E1973" s="275"/>
      <c r="F1973" s="275"/>
      <c r="G1973" s="276"/>
      <c r="H1973" s="276"/>
      <c r="I1973" s="277"/>
    </row>
    <row r="1974" spans="1:9" ht="57.6">
      <c r="A1974" s="605" t="s">
        <v>27022</v>
      </c>
      <c r="B1974" s="120" t="str">
        <f>VLOOKUP(A1974,GLOBAL!A:H,4,FALSE)</f>
        <v>CUBA DE LOUÇA BRANCA DE EMBUTIR OVAL - L37 - DECA OU EQUIVALENTE, INCLUSIVE VÁLVULA DE SAÍDA CROMADA 1?, SIFÃO EM METÁLICO TIPO COPO CROMADO 1? X 1/2" E ENGATE FLEXÍVEL TRANÇADO INOX 1/2? X 30CM, EXCLUSIVE TORNEIRA</v>
      </c>
      <c r="C1974" s="119" t="str">
        <f>VLOOKUP(A1974,GLOBAL!A:H,5,FALSE)</f>
        <v>UND</v>
      </c>
      <c r="D1974" s="267" t="s">
        <v>66</v>
      </c>
      <c r="E1974" s="267" t="s">
        <v>70</v>
      </c>
      <c r="F1974" s="267" t="s">
        <v>67</v>
      </c>
      <c r="G1974" s="267" t="s">
        <v>68</v>
      </c>
      <c r="H1974" s="267" t="s">
        <v>71</v>
      </c>
      <c r="I1974" s="268">
        <f>ROUND(SUM(I1976:I1980),2)</f>
        <v>20</v>
      </c>
    </row>
    <row r="1975" spans="1:9">
      <c r="A1975" s="198"/>
      <c r="B1975" s="200" t="s">
        <v>2874</v>
      </c>
      <c r="C1975" s="199"/>
      <c r="D1975" s="281"/>
      <c r="E1975" s="282"/>
      <c r="F1975" s="281"/>
      <c r="G1975" s="281"/>
      <c r="H1975" s="281"/>
      <c r="I1975" s="283"/>
    </row>
    <row r="1976" spans="1:9">
      <c r="A1976" s="197"/>
      <c r="B1976" s="189" t="s">
        <v>35589</v>
      </c>
      <c r="C1976" s="190"/>
      <c r="D1976" s="271"/>
      <c r="E1976" s="235"/>
      <c r="F1976" s="271"/>
      <c r="G1976" s="271">
        <f>2*3</f>
        <v>6</v>
      </c>
      <c r="H1976" s="281"/>
      <c r="I1976" s="257">
        <f>G1976</f>
        <v>6</v>
      </c>
    </row>
    <row r="1977" spans="1:9">
      <c r="A1977" s="197"/>
      <c r="B1977" s="189" t="s">
        <v>35590</v>
      </c>
      <c r="C1977" s="190"/>
      <c r="D1977" s="271"/>
      <c r="E1977" s="235"/>
      <c r="F1977" s="271"/>
      <c r="G1977" s="271">
        <f>2*3</f>
        <v>6</v>
      </c>
      <c r="H1977" s="281"/>
      <c r="I1977" s="257">
        <f>G1977</f>
        <v>6</v>
      </c>
    </row>
    <row r="1978" spans="1:9">
      <c r="A1978" s="197"/>
      <c r="B1978" s="189" t="s">
        <v>35591</v>
      </c>
      <c r="C1978" s="190"/>
      <c r="D1978" s="271"/>
      <c r="E1978" s="235"/>
      <c r="F1978" s="271"/>
      <c r="G1978" s="271">
        <v>1</v>
      </c>
      <c r="H1978" s="281"/>
      <c r="I1978" s="257">
        <f>G1978</f>
        <v>1</v>
      </c>
    </row>
    <row r="1979" spans="1:9">
      <c r="A1979" s="195"/>
      <c r="B1979" s="189" t="s">
        <v>35655</v>
      </c>
      <c r="C1979" s="190"/>
      <c r="D1979" s="271"/>
      <c r="E1979" s="271"/>
      <c r="F1979" s="271"/>
      <c r="G1979" s="271">
        <f>3*2</f>
        <v>6</v>
      </c>
      <c r="H1979" s="271"/>
      <c r="I1979" s="259">
        <f>G1979</f>
        <v>6</v>
      </c>
    </row>
    <row r="1980" spans="1:9">
      <c r="A1980" s="195"/>
      <c r="B1980" s="189" t="s">
        <v>35776</v>
      </c>
      <c r="C1980" s="190"/>
      <c r="D1980" s="271"/>
      <c r="E1980" s="271"/>
      <c r="F1980" s="271"/>
      <c r="G1980" s="271">
        <v>1</v>
      </c>
      <c r="H1980" s="271"/>
      <c r="I1980" s="259">
        <f>G1980</f>
        <v>1</v>
      </c>
    </row>
    <row r="1981" spans="1:9">
      <c r="A1981" s="135"/>
      <c r="B1981" s="170"/>
      <c r="C1981" s="136"/>
      <c r="D1981" s="275"/>
      <c r="E1981" s="275"/>
      <c r="F1981" s="275"/>
      <c r="G1981" s="276"/>
      <c r="H1981" s="276"/>
      <c r="I1981" s="277"/>
    </row>
    <row r="1982" spans="1:9" ht="72">
      <c r="A1982" s="605" t="s">
        <v>27023</v>
      </c>
      <c r="B1982" s="120" t="str">
        <f>VLOOKUP(A1982,GLOBAL!A:H,4,FALSE)</f>
        <v>BACIA SANITÁRIA DE LOUÇA BRANCA COM CAIXA ACOPLADA E VÁLVULA DE DUPLO ACIONAMENTO, RAVENA - P9 - DECA OU EQUIVALENTE, INCLUSIVE ASSENTO PLÁSTICO, TUBO DE LIGAÇÃO METAL CROMADO COM CANOPLA, ENGATE FLEXÍVEL TRANÇADO INOX 1/2? X 30CM, ANEL DE VEDAÇÃO E PARAFUSOS PARA FIXAÇÃO</v>
      </c>
      <c r="C1982" s="119" t="str">
        <f>VLOOKUP(A1982,GLOBAL!A:H,5,FALSE)</f>
        <v>UND</v>
      </c>
      <c r="D1982" s="267" t="s">
        <v>66</v>
      </c>
      <c r="E1982" s="267" t="s">
        <v>70</v>
      </c>
      <c r="F1982" s="267" t="s">
        <v>67</v>
      </c>
      <c r="G1982" s="267" t="s">
        <v>68</v>
      </c>
      <c r="H1982" s="267" t="s">
        <v>71</v>
      </c>
      <c r="I1982" s="268">
        <f>ROUND(SUM(I1984:I1987),2)</f>
        <v>28</v>
      </c>
    </row>
    <row r="1983" spans="1:9">
      <c r="A1983" s="198"/>
      <c r="B1983" s="200" t="s">
        <v>2874</v>
      </c>
      <c r="C1983" s="199"/>
      <c r="D1983" s="281"/>
      <c r="E1983" s="282"/>
      <c r="F1983" s="281"/>
      <c r="G1983" s="281"/>
      <c r="H1983" s="281"/>
      <c r="I1983" s="283"/>
    </row>
    <row r="1984" spans="1:9">
      <c r="A1984" s="197"/>
      <c r="B1984" s="189" t="s">
        <v>35589</v>
      </c>
      <c r="C1984" s="190"/>
      <c r="D1984" s="271"/>
      <c r="E1984" s="235"/>
      <c r="F1984" s="271"/>
      <c r="G1984" s="271">
        <f>3*3</f>
        <v>9</v>
      </c>
      <c r="H1984" s="281"/>
      <c r="I1984" s="257">
        <f>G1984</f>
        <v>9</v>
      </c>
    </row>
    <row r="1985" spans="1:9">
      <c r="A1985" s="197"/>
      <c r="B1985" s="189" t="s">
        <v>35590</v>
      </c>
      <c r="C1985" s="190"/>
      <c r="D1985" s="271"/>
      <c r="E1985" s="235"/>
      <c r="F1985" s="271"/>
      <c r="G1985" s="271">
        <f>4*3</f>
        <v>12</v>
      </c>
      <c r="H1985" s="281"/>
      <c r="I1985" s="257">
        <f>G1985</f>
        <v>12</v>
      </c>
    </row>
    <row r="1986" spans="1:9">
      <c r="A1986" s="197"/>
      <c r="B1986" s="189" t="s">
        <v>35591</v>
      </c>
      <c r="C1986" s="190"/>
      <c r="D1986" s="271"/>
      <c r="E1986" s="235"/>
      <c r="F1986" s="271"/>
      <c r="G1986" s="271">
        <v>1</v>
      </c>
      <c r="H1986" s="281"/>
      <c r="I1986" s="257">
        <f>G1986</f>
        <v>1</v>
      </c>
    </row>
    <row r="1987" spans="1:9">
      <c r="A1987" s="195"/>
      <c r="B1987" s="189" t="s">
        <v>35655</v>
      </c>
      <c r="C1987" s="190"/>
      <c r="D1987" s="271"/>
      <c r="E1987" s="271"/>
      <c r="F1987" s="271"/>
      <c r="G1987" s="271">
        <v>6</v>
      </c>
      <c r="H1987" s="271"/>
      <c r="I1987" s="259">
        <f>G1987</f>
        <v>6</v>
      </c>
    </row>
    <row r="1988" spans="1:9">
      <c r="A1988" s="135"/>
      <c r="B1988" s="170"/>
      <c r="C1988" s="136"/>
      <c r="D1988" s="275"/>
      <c r="E1988" s="275"/>
      <c r="F1988" s="275"/>
      <c r="G1988" s="276"/>
      <c r="H1988" s="276"/>
      <c r="I1988" s="277"/>
    </row>
    <row r="1989" spans="1:9">
      <c r="A1989" s="184" t="s">
        <v>27432</v>
      </c>
      <c r="B1989" s="171" t="str">
        <f>VLOOKUP(A1989,GLOBAL!A:H,4,FALSE)</f>
        <v>BANCADAS</v>
      </c>
      <c r="C1989" s="172"/>
      <c r="D1989" s="265"/>
      <c r="E1989" s="265"/>
      <c r="F1989" s="265"/>
      <c r="G1989" s="265"/>
      <c r="H1989" s="265"/>
      <c r="I1989" s="266"/>
    </row>
    <row r="1990" spans="1:9">
      <c r="A1990" s="605" t="s">
        <v>35443</v>
      </c>
      <c r="B1990" s="120" t="str">
        <f>VLOOKUP(A1990,GLOBAL!A:H,4,FALSE)</f>
        <v>BANCADA DE GRANITO COM ESPESSURA DE 2 CM</v>
      </c>
      <c r="C1990" s="119" t="str">
        <f>VLOOKUP(A1990,GLOBAL!A:H,5,FALSE)</f>
        <v>M2</v>
      </c>
      <c r="D1990" s="267" t="s">
        <v>66</v>
      </c>
      <c r="E1990" s="267" t="s">
        <v>70</v>
      </c>
      <c r="F1990" s="267" t="s">
        <v>67</v>
      </c>
      <c r="G1990" s="267" t="s">
        <v>68</v>
      </c>
      <c r="H1990" s="267" t="s">
        <v>71</v>
      </c>
      <c r="I1990" s="268">
        <f>ROUND(SUM(I1993:I2003),2)</f>
        <v>54.36</v>
      </c>
    </row>
    <row r="1991" spans="1:9">
      <c r="A1991" s="198"/>
      <c r="B1991" s="200" t="s">
        <v>2874</v>
      </c>
      <c r="C1991" s="199"/>
      <c r="D1991" s="281"/>
      <c r="E1991" s="282"/>
      <c r="F1991" s="281"/>
      <c r="G1991" s="281"/>
      <c r="H1991" s="281"/>
      <c r="I1991" s="283"/>
    </row>
    <row r="1992" spans="1:9">
      <c r="A1992" s="198"/>
      <c r="B1992" s="200" t="s">
        <v>35512</v>
      </c>
      <c r="C1992" s="199"/>
      <c r="D1992" s="281"/>
      <c r="E1992" s="282"/>
      <c r="F1992" s="281"/>
      <c r="G1992" s="281"/>
      <c r="H1992" s="281"/>
      <c r="I1992" s="283"/>
    </row>
    <row r="1993" spans="1:9">
      <c r="A1993" s="197"/>
      <c r="B1993" s="189" t="s">
        <v>35589</v>
      </c>
      <c r="C1993" s="190"/>
      <c r="D1993" s="271">
        <v>2.5</v>
      </c>
      <c r="E1993" s="235">
        <v>0.6</v>
      </c>
      <c r="F1993" s="271"/>
      <c r="G1993" s="271">
        <v>3</v>
      </c>
      <c r="H1993" s="281"/>
      <c r="I1993" s="257">
        <f>D1993*E1993*G1993</f>
        <v>4.5</v>
      </c>
    </row>
    <row r="1994" spans="1:9">
      <c r="A1994" s="197"/>
      <c r="B1994" s="189" t="s">
        <v>35590</v>
      </c>
      <c r="C1994" s="190"/>
      <c r="D1994" s="271">
        <v>2.5</v>
      </c>
      <c r="E1994" s="235">
        <v>0.6</v>
      </c>
      <c r="F1994" s="271"/>
      <c r="G1994" s="271">
        <v>3</v>
      </c>
      <c r="H1994" s="281"/>
      <c r="I1994" s="257">
        <f>D1994*E1994*G1994</f>
        <v>4.5</v>
      </c>
    </row>
    <row r="1995" spans="1:9">
      <c r="A1995" s="197"/>
      <c r="B1995" s="189" t="s">
        <v>35591</v>
      </c>
      <c r="C1995" s="190"/>
      <c r="D1995" s="271">
        <v>2.4</v>
      </c>
      <c r="E1995" s="235">
        <v>0.6</v>
      </c>
      <c r="F1995" s="271"/>
      <c r="G1995" s="271">
        <v>1</v>
      </c>
      <c r="H1995" s="281"/>
      <c r="I1995" s="257">
        <f>D1995*E1995*G1995</f>
        <v>1.44</v>
      </c>
    </row>
    <row r="1996" spans="1:9">
      <c r="A1996" s="197"/>
      <c r="B1996" s="189" t="s">
        <v>35594</v>
      </c>
      <c r="C1996" s="190"/>
      <c r="D1996" s="271">
        <v>4.3499999999999996</v>
      </c>
      <c r="E1996" s="235">
        <v>0.6</v>
      </c>
      <c r="F1996" s="271"/>
      <c r="G1996" s="271">
        <v>1</v>
      </c>
      <c r="H1996" s="281"/>
      <c r="I1996" s="257">
        <f t="shared" ref="I1996:I1997" si="66">D1996*E1996*G1996</f>
        <v>2.61</v>
      </c>
    </row>
    <row r="1997" spans="1:9">
      <c r="A1997" s="197"/>
      <c r="B1997" s="189" t="s">
        <v>35595</v>
      </c>
      <c r="C1997" s="190"/>
      <c r="D1997" s="271">
        <v>2.5499999999999998</v>
      </c>
      <c r="E1997" s="235">
        <v>0.6</v>
      </c>
      <c r="F1997" s="271"/>
      <c r="G1997" s="271">
        <v>1</v>
      </c>
      <c r="H1997" s="281"/>
      <c r="I1997" s="257">
        <f t="shared" si="66"/>
        <v>1.5299999999999998</v>
      </c>
    </row>
    <row r="1998" spans="1:9">
      <c r="A1998" s="197"/>
      <c r="B1998" s="189" t="s">
        <v>35596</v>
      </c>
      <c r="C1998" s="190"/>
      <c r="D1998" s="271">
        <v>2.2000000000000002</v>
      </c>
      <c r="E1998" s="235">
        <v>0.6</v>
      </c>
      <c r="F1998" s="271"/>
      <c r="G1998" s="271">
        <v>2</v>
      </c>
      <c r="H1998" s="281"/>
      <c r="I1998" s="257">
        <f t="shared" ref="I1998" si="67">D1998*E1998*G1998</f>
        <v>2.64</v>
      </c>
    </row>
    <row r="1999" spans="1:9">
      <c r="A1999" s="195"/>
      <c r="B1999" s="189" t="s">
        <v>35655</v>
      </c>
      <c r="C1999" s="190"/>
      <c r="D1999" s="271"/>
      <c r="E1999" s="271"/>
      <c r="F1999" s="271"/>
      <c r="G1999" s="271"/>
      <c r="H1999" s="271"/>
      <c r="I1999" s="259">
        <f>G1999</f>
        <v>0</v>
      </c>
    </row>
    <row r="2000" spans="1:9">
      <c r="A2000" s="197"/>
      <c r="B2000" s="189" t="s">
        <v>35589</v>
      </c>
      <c r="C2000" s="190"/>
      <c r="D2000" s="271">
        <v>3.8</v>
      </c>
      <c r="E2000" s="235">
        <v>0.6</v>
      </c>
      <c r="F2000" s="271"/>
      <c r="G2000" s="271">
        <v>1</v>
      </c>
      <c r="H2000" s="281"/>
      <c r="I2000" s="257">
        <f>D2000*E2000*G2000</f>
        <v>2.2799999999999998</v>
      </c>
    </row>
    <row r="2001" spans="1:9">
      <c r="A2001" s="197"/>
      <c r="B2001" s="189" t="s">
        <v>35590</v>
      </c>
      <c r="C2001" s="190"/>
      <c r="D2001" s="271">
        <v>3.8</v>
      </c>
      <c r="E2001" s="235">
        <v>0.6</v>
      </c>
      <c r="F2001" s="271"/>
      <c r="G2001" s="271">
        <v>1</v>
      </c>
      <c r="H2001" s="281"/>
      <c r="I2001" s="257">
        <f>D2001*E2001*G2001</f>
        <v>2.2799999999999998</v>
      </c>
    </row>
    <row r="2002" spans="1:9">
      <c r="A2002" s="197"/>
      <c r="B2002" s="189" t="s">
        <v>35802</v>
      </c>
      <c r="C2002" s="190"/>
      <c r="D2002" s="271">
        <v>2.2999999999999998</v>
      </c>
      <c r="E2002" s="235">
        <v>0.6</v>
      </c>
      <c r="F2002" s="271"/>
      <c r="G2002" s="271">
        <v>1</v>
      </c>
      <c r="H2002" s="281"/>
      <c r="I2002" s="257">
        <f>D2002*E2002*G2002</f>
        <v>1.38</v>
      </c>
    </row>
    <row r="2003" spans="1:9">
      <c r="A2003" s="197"/>
      <c r="B2003" s="189" t="s">
        <v>35818</v>
      </c>
      <c r="C2003" s="190"/>
      <c r="D2003" s="717">
        <f>19.2+7+5</f>
        <v>31.2</v>
      </c>
      <c r="E2003" s="718"/>
      <c r="F2003" s="271"/>
      <c r="G2003" s="271">
        <v>1</v>
      </c>
      <c r="H2003" s="281"/>
      <c r="I2003" s="257">
        <f>D2003</f>
        <v>31.2</v>
      </c>
    </row>
    <row r="2004" spans="1:9">
      <c r="A2004" s="135"/>
      <c r="B2004" s="170"/>
      <c r="C2004" s="136"/>
      <c r="D2004" s="275"/>
      <c r="E2004" s="275"/>
      <c r="F2004" s="275"/>
      <c r="G2004" s="276"/>
      <c r="H2004" s="276"/>
      <c r="I2004" s="277"/>
    </row>
    <row r="2005" spans="1:9">
      <c r="A2005" s="184" t="s">
        <v>27433</v>
      </c>
      <c r="B2005" s="171" t="str">
        <f>VLOOKUP(A2005,GLOBAL!A:H,4,FALSE)</f>
        <v>TORNEIRAS, REGISTROS, VÁLVULAS E METAIS</v>
      </c>
      <c r="C2005" s="172"/>
      <c r="D2005" s="265"/>
      <c r="E2005" s="265"/>
      <c r="F2005" s="265"/>
      <c r="G2005" s="265"/>
      <c r="H2005" s="265"/>
      <c r="I2005" s="266"/>
    </row>
    <row r="2006" spans="1:9" ht="28.8">
      <c r="A2006" s="605" t="s">
        <v>35444</v>
      </c>
      <c r="B2006" s="120" t="str">
        <f>VLOOKUP(A2006,GLOBAL!A:H,4,FALSE)</f>
        <v>TORNEIRA BICA BAIXA DE MESA PARA LAVATÓRIO PRESSMATIC ALFA - DOCOL, DECAMATIC SMART - DECA OU EQUIVALENTE</v>
      </c>
      <c r="C2006" s="119" t="str">
        <f>VLOOKUP(A2006,GLOBAL!A:H,5,FALSE)</f>
        <v>UND</v>
      </c>
      <c r="D2006" s="267" t="s">
        <v>66</v>
      </c>
      <c r="E2006" s="267" t="s">
        <v>70</v>
      </c>
      <c r="F2006" s="267" t="s">
        <v>67</v>
      </c>
      <c r="G2006" s="267" t="s">
        <v>68</v>
      </c>
      <c r="H2006" s="267" t="s">
        <v>71</v>
      </c>
      <c r="I2006" s="268">
        <f>ROUND(SUM(I2008:I2016),2)</f>
        <v>22</v>
      </c>
    </row>
    <row r="2007" spans="1:9">
      <c r="A2007" s="198"/>
      <c r="B2007" s="200" t="s">
        <v>2874</v>
      </c>
      <c r="C2007" s="199"/>
      <c r="D2007" s="281"/>
      <c r="E2007" s="282"/>
      <c r="F2007" s="281"/>
      <c r="G2007" s="281"/>
      <c r="H2007" s="281"/>
      <c r="I2007" s="283"/>
    </row>
    <row r="2008" spans="1:9">
      <c r="A2008" s="197"/>
      <c r="B2008" s="189" t="s">
        <v>35589</v>
      </c>
      <c r="C2008" s="190"/>
      <c r="D2008" s="271"/>
      <c r="E2008" s="235"/>
      <c r="F2008" s="271"/>
      <c r="G2008" s="271">
        <f>2*3</f>
        <v>6</v>
      </c>
      <c r="H2008" s="281"/>
      <c r="I2008" s="257">
        <f t="shared" ref="I2008:I2013" si="68">G2008</f>
        <v>6</v>
      </c>
    </row>
    <row r="2009" spans="1:9">
      <c r="A2009" s="197"/>
      <c r="B2009" s="189" t="s">
        <v>35590</v>
      </c>
      <c r="C2009" s="190"/>
      <c r="D2009" s="271"/>
      <c r="E2009" s="235"/>
      <c r="F2009" s="271"/>
      <c r="G2009" s="271">
        <f>2*3</f>
        <v>6</v>
      </c>
      <c r="H2009" s="281"/>
      <c r="I2009" s="257">
        <f t="shared" si="68"/>
        <v>6</v>
      </c>
    </row>
    <row r="2010" spans="1:9">
      <c r="A2010" s="197"/>
      <c r="B2010" s="189" t="s">
        <v>35591</v>
      </c>
      <c r="C2010" s="190"/>
      <c r="D2010" s="271"/>
      <c r="E2010" s="235"/>
      <c r="F2010" s="271"/>
      <c r="G2010" s="271">
        <v>1</v>
      </c>
      <c r="H2010" s="281"/>
      <c r="I2010" s="257">
        <f t="shared" si="68"/>
        <v>1</v>
      </c>
    </row>
    <row r="2011" spans="1:9">
      <c r="A2011" s="197"/>
      <c r="B2011" s="189" t="s">
        <v>35592</v>
      </c>
      <c r="C2011" s="190"/>
      <c r="D2011" s="271"/>
      <c r="E2011" s="235"/>
      <c r="F2011" s="271"/>
      <c r="G2011" s="271">
        <v>1</v>
      </c>
      <c r="H2011" s="281"/>
      <c r="I2011" s="257">
        <f t="shared" si="68"/>
        <v>1</v>
      </c>
    </row>
    <row r="2012" spans="1:9">
      <c r="A2012" s="195"/>
      <c r="B2012" s="189" t="s">
        <v>35655</v>
      </c>
      <c r="C2012" s="190"/>
      <c r="D2012" s="271"/>
      <c r="E2012" s="271"/>
      <c r="F2012" s="271"/>
      <c r="G2012" s="271"/>
      <c r="H2012" s="271"/>
      <c r="I2012" s="259">
        <f t="shared" si="68"/>
        <v>0</v>
      </c>
    </row>
    <row r="2013" spans="1:9">
      <c r="A2013" s="197"/>
      <c r="B2013" s="189" t="s">
        <v>35589</v>
      </c>
      <c r="C2013" s="190"/>
      <c r="D2013" s="271"/>
      <c r="E2013" s="235"/>
      <c r="F2013" s="271"/>
      <c r="G2013" s="271">
        <f>3</f>
        <v>3</v>
      </c>
      <c r="H2013" s="281"/>
      <c r="I2013" s="257">
        <f t="shared" si="68"/>
        <v>3</v>
      </c>
    </row>
    <row r="2014" spans="1:9">
      <c r="A2014" s="197"/>
      <c r="B2014" s="189" t="s">
        <v>35590</v>
      </c>
      <c r="C2014" s="190"/>
      <c r="D2014" s="271"/>
      <c r="E2014" s="235"/>
      <c r="F2014" s="271"/>
      <c r="G2014" s="271">
        <v>3</v>
      </c>
      <c r="H2014" s="281"/>
      <c r="I2014" s="257">
        <f t="shared" ref="I2014:I2016" si="69">G2014</f>
        <v>3</v>
      </c>
    </row>
    <row r="2015" spans="1:9">
      <c r="A2015" s="197"/>
      <c r="B2015" s="189" t="s">
        <v>35802</v>
      </c>
      <c r="C2015" s="190"/>
      <c r="D2015" s="271"/>
      <c r="E2015" s="235"/>
      <c r="F2015" s="271"/>
      <c r="G2015" s="271">
        <v>1</v>
      </c>
      <c r="H2015" s="281"/>
      <c r="I2015" s="257">
        <f t="shared" si="69"/>
        <v>1</v>
      </c>
    </row>
    <row r="2016" spans="1:9">
      <c r="A2016" s="197"/>
      <c r="B2016" s="189" t="s">
        <v>35592</v>
      </c>
      <c r="C2016" s="190"/>
      <c r="D2016" s="271"/>
      <c r="E2016" s="235"/>
      <c r="F2016" s="271"/>
      <c r="G2016" s="271">
        <v>1</v>
      </c>
      <c r="H2016" s="281"/>
      <c r="I2016" s="257">
        <f t="shared" si="69"/>
        <v>1</v>
      </c>
    </row>
    <row r="2017" spans="1:9">
      <c r="A2017" s="135"/>
      <c r="B2017" s="170"/>
      <c r="C2017" s="136"/>
      <c r="D2017" s="275"/>
      <c r="E2017" s="275"/>
      <c r="F2017" s="275"/>
      <c r="G2017" s="276"/>
      <c r="H2017" s="276"/>
      <c r="I2017" s="277"/>
    </row>
    <row r="2018" spans="1:9" ht="28.8">
      <c r="A2018" s="605" t="s">
        <v>35445</v>
      </c>
      <c r="B2018" s="120" t="str">
        <f>VLOOKUP(A2018,GLOBAL!A:H,4,FALSE)</f>
        <v>TORNEIRA DE PAREDE PARA TANQUE LONGA 3/4" 1158 PRIMOR - DOCOL OU EQUIVALENTE</v>
      </c>
      <c r="C2018" s="119" t="str">
        <f>VLOOKUP(A2018,GLOBAL!A:H,5,FALSE)</f>
        <v>UND</v>
      </c>
      <c r="D2018" s="267" t="s">
        <v>66</v>
      </c>
      <c r="E2018" s="267" t="s">
        <v>70</v>
      </c>
      <c r="F2018" s="267" t="s">
        <v>67</v>
      </c>
      <c r="G2018" s="267" t="s">
        <v>68</v>
      </c>
      <c r="H2018" s="267" t="s">
        <v>71</v>
      </c>
      <c r="I2018" s="268">
        <f>ROUND(SUM(I2020:I2021),2)</f>
        <v>2</v>
      </c>
    </row>
    <row r="2019" spans="1:9">
      <c r="A2019" s="198"/>
      <c r="B2019" s="200" t="s">
        <v>2874</v>
      </c>
      <c r="C2019" s="199"/>
      <c r="D2019" s="281"/>
      <c r="E2019" s="282"/>
      <c r="F2019" s="281"/>
      <c r="G2019" s="281"/>
      <c r="H2019" s="281"/>
      <c r="I2019" s="283"/>
    </row>
    <row r="2020" spans="1:9">
      <c r="A2020" s="197"/>
      <c r="B2020" s="189" t="s">
        <v>35593</v>
      </c>
      <c r="C2020" s="190"/>
      <c r="D2020" s="271"/>
      <c r="E2020" s="235"/>
      <c r="F2020" s="271"/>
      <c r="G2020" s="271">
        <v>2</v>
      </c>
      <c r="H2020" s="281"/>
      <c r="I2020" s="257">
        <f>G2020</f>
        <v>2</v>
      </c>
    </row>
    <row r="2021" spans="1:9">
      <c r="A2021" s="195"/>
      <c r="B2021" s="189"/>
      <c r="C2021" s="190"/>
      <c r="D2021" s="271"/>
      <c r="E2021" s="271"/>
      <c r="F2021" s="271"/>
      <c r="G2021" s="271"/>
      <c r="H2021" s="271"/>
      <c r="I2021" s="259"/>
    </row>
    <row r="2022" spans="1:9">
      <c r="A2022" s="135"/>
      <c r="B2022" s="170"/>
      <c r="C2022" s="136"/>
      <c r="D2022" s="275"/>
      <c r="E2022" s="275"/>
      <c r="F2022" s="275"/>
      <c r="G2022" s="276"/>
      <c r="H2022" s="276"/>
      <c r="I2022" s="277"/>
    </row>
    <row r="2023" spans="1:9">
      <c r="A2023" s="605" t="s">
        <v>35446</v>
      </c>
      <c r="B2023" s="120" t="str">
        <f>VLOOKUP(A2023,GLOBAL!A:H,4,FALSE)</f>
        <v>TORNEIRA PARA USO GERAL 1130 TRIO - DOCOL OU EQUIVALENTE</v>
      </c>
      <c r="C2023" s="119" t="str">
        <f>VLOOKUP(A2023,GLOBAL!A:H,5,FALSE)</f>
        <v>UND</v>
      </c>
      <c r="D2023" s="267" t="s">
        <v>66</v>
      </c>
      <c r="E2023" s="267" t="s">
        <v>70</v>
      </c>
      <c r="F2023" s="267" t="s">
        <v>67</v>
      </c>
      <c r="G2023" s="267" t="s">
        <v>68</v>
      </c>
      <c r="H2023" s="267" t="s">
        <v>71</v>
      </c>
      <c r="I2023" s="268">
        <f>ROUND(SUM(I2025:I2028),2)</f>
        <v>6</v>
      </c>
    </row>
    <row r="2024" spans="1:9">
      <c r="A2024" s="198"/>
      <c r="B2024" s="200" t="s">
        <v>2874</v>
      </c>
      <c r="C2024" s="199"/>
      <c r="D2024" s="281"/>
      <c r="E2024" s="282"/>
      <c r="F2024" s="281"/>
      <c r="G2024" s="281"/>
      <c r="H2024" s="281"/>
      <c r="I2024" s="283"/>
    </row>
    <row r="2025" spans="1:9">
      <c r="A2025" s="197"/>
      <c r="B2025" s="189" t="s">
        <v>35597</v>
      </c>
      <c r="C2025" s="190"/>
      <c r="D2025" s="271"/>
      <c r="E2025" s="235"/>
      <c r="F2025" s="271"/>
      <c r="G2025" s="271">
        <v>2</v>
      </c>
      <c r="H2025" s="281"/>
      <c r="I2025" s="257">
        <f>G2025</f>
        <v>2</v>
      </c>
    </row>
    <row r="2026" spans="1:9">
      <c r="A2026" s="197"/>
      <c r="B2026" s="189" t="s">
        <v>35594</v>
      </c>
      <c r="C2026" s="190"/>
      <c r="D2026" s="271"/>
      <c r="E2026" s="235"/>
      <c r="F2026" s="271"/>
      <c r="G2026" s="271">
        <v>2</v>
      </c>
      <c r="H2026" s="281"/>
      <c r="I2026" s="257">
        <f t="shared" ref="I2026:I2027" si="70">G2026</f>
        <v>2</v>
      </c>
    </row>
    <row r="2027" spans="1:9">
      <c r="A2027" s="197"/>
      <c r="B2027" s="189" t="s">
        <v>35596</v>
      </c>
      <c r="C2027" s="190"/>
      <c r="D2027" s="271"/>
      <c r="E2027" s="235"/>
      <c r="F2027" s="271"/>
      <c r="G2027" s="271">
        <v>2</v>
      </c>
      <c r="H2027" s="281"/>
      <c r="I2027" s="257">
        <f t="shared" si="70"/>
        <v>2</v>
      </c>
    </row>
    <row r="2028" spans="1:9">
      <c r="A2028" s="195"/>
      <c r="B2028" s="189"/>
      <c r="C2028" s="190"/>
      <c r="D2028" s="271"/>
      <c r="E2028" s="271"/>
      <c r="F2028" s="271"/>
      <c r="G2028" s="271"/>
      <c r="H2028" s="271"/>
      <c r="I2028" s="259"/>
    </row>
    <row r="2029" spans="1:9">
      <c r="A2029" s="135"/>
      <c r="B2029" s="170"/>
      <c r="C2029" s="136"/>
      <c r="D2029" s="275"/>
      <c r="E2029" s="275"/>
      <c r="F2029" s="275"/>
      <c r="G2029" s="276"/>
      <c r="H2029" s="276"/>
      <c r="I2029" s="277"/>
    </row>
    <row r="2030" spans="1:9" ht="28.8">
      <c r="A2030" s="605" t="s">
        <v>35447</v>
      </c>
      <c r="B2030" s="120" t="str">
        <f>VLOOKUP(A2030,GLOBAL!A:H,4,FALSE)</f>
        <v>REGISTRO DE GAVETA COM CANOPLA CROMADA DIAM. 25MM (1"), MARCAS DE REFERÊNCIA FABRIMAR, DECA OU DOCOL</v>
      </c>
      <c r="C2030" s="119" t="str">
        <f>VLOOKUP(A2030,GLOBAL!A:H,5,FALSE)</f>
        <v>UND</v>
      </c>
      <c r="D2030" s="267" t="s">
        <v>66</v>
      </c>
      <c r="E2030" s="267" t="s">
        <v>70</v>
      </c>
      <c r="F2030" s="267" t="s">
        <v>67</v>
      </c>
      <c r="G2030" s="267" t="s">
        <v>68</v>
      </c>
      <c r="H2030" s="267" t="s">
        <v>71</v>
      </c>
      <c r="I2030" s="268">
        <f>ROUND(SUM(I2031:I2044),2)</f>
        <v>18</v>
      </c>
    </row>
    <row r="2031" spans="1:9">
      <c r="A2031" s="198"/>
      <c r="B2031" s="200" t="s">
        <v>2874</v>
      </c>
      <c r="C2031" s="199"/>
      <c r="D2031" s="281"/>
      <c r="E2031" s="282"/>
      <c r="F2031" s="281"/>
      <c r="G2031" s="281"/>
      <c r="H2031" s="281"/>
      <c r="I2031" s="283"/>
    </row>
    <row r="2032" spans="1:9">
      <c r="A2032" s="197"/>
      <c r="B2032" s="189" t="s">
        <v>35589</v>
      </c>
      <c r="C2032" s="190"/>
      <c r="D2032" s="271"/>
      <c r="E2032" s="235"/>
      <c r="F2032" s="271"/>
      <c r="G2032" s="271">
        <v>3</v>
      </c>
      <c r="H2032" s="281"/>
      <c r="I2032" s="257">
        <f>G2032</f>
        <v>3</v>
      </c>
    </row>
    <row r="2033" spans="1:9">
      <c r="A2033" s="197"/>
      <c r="B2033" s="189" t="s">
        <v>35590</v>
      </c>
      <c r="C2033" s="190"/>
      <c r="D2033" s="271"/>
      <c r="E2033" s="235"/>
      <c r="F2033" s="271"/>
      <c r="G2033" s="271">
        <v>3</v>
      </c>
      <c r="H2033" s="281"/>
      <c r="I2033" s="257">
        <f t="shared" ref="I2033:I2038" si="71">G2033</f>
        <v>3</v>
      </c>
    </row>
    <row r="2034" spans="1:9">
      <c r="A2034" s="197"/>
      <c r="B2034" s="189" t="s">
        <v>35591</v>
      </c>
      <c r="C2034" s="190"/>
      <c r="D2034" s="271"/>
      <c r="E2034" s="235"/>
      <c r="F2034" s="271"/>
      <c r="G2034" s="271">
        <v>1</v>
      </c>
      <c r="H2034" s="281"/>
      <c r="I2034" s="257">
        <f t="shared" si="71"/>
        <v>1</v>
      </c>
    </row>
    <row r="2035" spans="1:9">
      <c r="A2035" s="197"/>
      <c r="B2035" s="189" t="s">
        <v>35594</v>
      </c>
      <c r="C2035" s="190"/>
      <c r="D2035" s="271"/>
      <c r="E2035" s="235"/>
      <c r="F2035" s="271"/>
      <c r="G2035" s="271">
        <v>1</v>
      </c>
      <c r="H2035" s="281"/>
      <c r="I2035" s="257">
        <f t="shared" si="71"/>
        <v>1</v>
      </c>
    </row>
    <row r="2036" spans="1:9">
      <c r="A2036" s="197"/>
      <c r="B2036" s="189" t="s">
        <v>35595</v>
      </c>
      <c r="C2036" s="190"/>
      <c r="D2036" s="271"/>
      <c r="E2036" s="235"/>
      <c r="F2036" s="271"/>
      <c r="G2036" s="271">
        <v>1</v>
      </c>
      <c r="H2036" s="281"/>
      <c r="I2036" s="257">
        <f t="shared" si="71"/>
        <v>1</v>
      </c>
    </row>
    <row r="2037" spans="1:9">
      <c r="A2037" s="197"/>
      <c r="B2037" s="189" t="s">
        <v>35596</v>
      </c>
      <c r="C2037" s="190"/>
      <c r="D2037" s="271"/>
      <c r="E2037" s="235"/>
      <c r="F2037" s="271"/>
      <c r="G2037" s="271">
        <v>2</v>
      </c>
      <c r="H2037" s="281"/>
      <c r="I2037" s="257">
        <f t="shared" si="71"/>
        <v>2</v>
      </c>
    </row>
    <row r="2038" spans="1:9">
      <c r="A2038" s="197"/>
      <c r="B2038" s="189" t="s">
        <v>35592</v>
      </c>
      <c r="C2038" s="190"/>
      <c r="D2038" s="271"/>
      <c r="E2038" s="235"/>
      <c r="F2038" s="271"/>
      <c r="G2038" s="271">
        <v>3</v>
      </c>
      <c r="H2038" s="281"/>
      <c r="I2038" s="257">
        <f t="shared" si="71"/>
        <v>3</v>
      </c>
    </row>
    <row r="2039" spans="1:9">
      <c r="A2039" s="195"/>
      <c r="B2039" s="189" t="s">
        <v>35655</v>
      </c>
      <c r="C2039" s="190"/>
      <c r="D2039" s="271"/>
      <c r="E2039" s="271"/>
      <c r="F2039" s="271"/>
      <c r="G2039" s="271"/>
      <c r="H2039" s="271"/>
      <c r="I2039" s="259">
        <f>G2039</f>
        <v>0</v>
      </c>
    </row>
    <row r="2040" spans="1:9">
      <c r="A2040" s="197"/>
      <c r="B2040" s="189" t="s">
        <v>35589</v>
      </c>
      <c r="C2040" s="190"/>
      <c r="D2040" s="271"/>
      <c r="E2040" s="235"/>
      <c r="F2040" s="271"/>
      <c r="G2040" s="271">
        <v>1</v>
      </c>
      <c r="H2040" s="281"/>
      <c r="I2040" s="257">
        <f>G2040</f>
        <v>1</v>
      </c>
    </row>
    <row r="2041" spans="1:9">
      <c r="A2041" s="197"/>
      <c r="B2041" s="189" t="s">
        <v>35590</v>
      </c>
      <c r="C2041" s="190"/>
      <c r="D2041" s="271"/>
      <c r="E2041" s="235"/>
      <c r="F2041" s="271"/>
      <c r="G2041" s="271">
        <v>1</v>
      </c>
      <c r="H2041" s="281"/>
      <c r="I2041" s="257">
        <f t="shared" ref="I2041:I2043" si="72">G2041</f>
        <v>1</v>
      </c>
    </row>
    <row r="2042" spans="1:9">
      <c r="A2042" s="197"/>
      <c r="B2042" s="189" t="s">
        <v>35802</v>
      </c>
      <c r="C2042" s="190"/>
      <c r="D2042" s="271"/>
      <c r="E2042" s="235"/>
      <c r="F2042" s="271"/>
      <c r="G2042" s="271">
        <v>1</v>
      </c>
      <c r="H2042" s="281"/>
      <c r="I2042" s="257">
        <f t="shared" si="72"/>
        <v>1</v>
      </c>
    </row>
    <row r="2043" spans="1:9">
      <c r="A2043" s="197"/>
      <c r="B2043" s="189" t="s">
        <v>35592</v>
      </c>
      <c r="C2043" s="190"/>
      <c r="D2043" s="271"/>
      <c r="E2043" s="235"/>
      <c r="F2043" s="271"/>
      <c r="G2043" s="271">
        <v>1</v>
      </c>
      <c r="H2043" s="281"/>
      <c r="I2043" s="257">
        <f t="shared" si="72"/>
        <v>1</v>
      </c>
    </row>
    <row r="2044" spans="1:9">
      <c r="A2044" s="195"/>
      <c r="B2044" s="189"/>
      <c r="C2044" s="190"/>
      <c r="D2044" s="271"/>
      <c r="E2044" s="271"/>
      <c r="F2044" s="271"/>
      <c r="G2044" s="271"/>
      <c r="H2044" s="271"/>
      <c r="I2044" s="259"/>
    </row>
    <row r="2045" spans="1:9">
      <c r="A2045" s="135"/>
      <c r="B2045" s="170"/>
      <c r="C2045" s="136"/>
      <c r="D2045" s="275"/>
      <c r="E2045" s="275"/>
      <c r="F2045" s="275"/>
      <c r="G2045" s="276"/>
      <c r="H2045" s="276"/>
      <c r="I2045" s="277"/>
    </row>
    <row r="2046" spans="1:9" ht="28.8">
      <c r="A2046" s="605" t="s">
        <v>35448</v>
      </c>
      <c r="B2046" s="120" t="str">
        <f>VLOOKUP(A2046,GLOBAL!A:H,4,FALSE)</f>
        <v>REGISTRO DE GAVETA COM CANOPLA CROMADA DIAM 32MM (11/4"), MARCAS DE REFERÊNCIA FABRIMAR, DECA OU DOCOL</v>
      </c>
      <c r="C2046" s="119" t="str">
        <f>VLOOKUP(A2046,GLOBAL!A:H,5,FALSE)</f>
        <v>UND</v>
      </c>
      <c r="D2046" s="267" t="s">
        <v>66</v>
      </c>
      <c r="E2046" s="267" t="s">
        <v>70</v>
      </c>
      <c r="F2046" s="267" t="s">
        <v>67</v>
      </c>
      <c r="G2046" s="267" t="s">
        <v>68</v>
      </c>
      <c r="H2046" s="267" t="s">
        <v>71</v>
      </c>
      <c r="I2046" s="268">
        <f>ROUND(SUM(I2047:I2060),2)</f>
        <v>18</v>
      </c>
    </row>
    <row r="2047" spans="1:9">
      <c r="A2047" s="198"/>
      <c r="B2047" s="200" t="s">
        <v>2874</v>
      </c>
      <c r="C2047" s="199"/>
      <c r="D2047" s="281"/>
      <c r="E2047" s="282"/>
      <c r="F2047" s="281"/>
      <c r="G2047" s="281"/>
      <c r="H2047" s="281"/>
      <c r="I2047" s="283"/>
    </row>
    <row r="2048" spans="1:9">
      <c r="A2048" s="197"/>
      <c r="B2048" s="189" t="s">
        <v>35589</v>
      </c>
      <c r="C2048" s="190"/>
      <c r="D2048" s="271"/>
      <c r="E2048" s="235"/>
      <c r="F2048" s="271"/>
      <c r="G2048" s="271">
        <v>3</v>
      </c>
      <c r="H2048" s="281"/>
      <c r="I2048" s="257">
        <f>G2048</f>
        <v>3</v>
      </c>
    </row>
    <row r="2049" spans="1:9">
      <c r="A2049" s="197"/>
      <c r="B2049" s="189" t="s">
        <v>35590</v>
      </c>
      <c r="C2049" s="190"/>
      <c r="D2049" s="271"/>
      <c r="E2049" s="235"/>
      <c r="F2049" s="271"/>
      <c r="G2049" s="271">
        <v>3</v>
      </c>
      <c r="H2049" s="281"/>
      <c r="I2049" s="257">
        <f t="shared" ref="I2049:I2054" si="73">G2049</f>
        <v>3</v>
      </c>
    </row>
    <row r="2050" spans="1:9">
      <c r="A2050" s="197"/>
      <c r="B2050" s="189" t="s">
        <v>35591</v>
      </c>
      <c r="C2050" s="190"/>
      <c r="D2050" s="271"/>
      <c r="E2050" s="235"/>
      <c r="F2050" s="271"/>
      <c r="G2050" s="271">
        <v>1</v>
      </c>
      <c r="H2050" s="281"/>
      <c r="I2050" s="257">
        <f t="shared" si="73"/>
        <v>1</v>
      </c>
    </row>
    <row r="2051" spans="1:9">
      <c r="A2051" s="197"/>
      <c r="B2051" s="189" t="s">
        <v>35594</v>
      </c>
      <c r="C2051" s="190"/>
      <c r="D2051" s="271"/>
      <c r="E2051" s="235"/>
      <c r="F2051" s="271"/>
      <c r="G2051" s="271">
        <v>1</v>
      </c>
      <c r="H2051" s="281"/>
      <c r="I2051" s="257">
        <f t="shared" si="73"/>
        <v>1</v>
      </c>
    </row>
    <row r="2052" spans="1:9">
      <c r="A2052" s="197"/>
      <c r="B2052" s="189" t="s">
        <v>35595</v>
      </c>
      <c r="C2052" s="190"/>
      <c r="D2052" s="271"/>
      <c r="E2052" s="235"/>
      <c r="F2052" s="271"/>
      <c r="G2052" s="271">
        <v>1</v>
      </c>
      <c r="H2052" s="281"/>
      <c r="I2052" s="257">
        <f t="shared" si="73"/>
        <v>1</v>
      </c>
    </row>
    <row r="2053" spans="1:9">
      <c r="A2053" s="197"/>
      <c r="B2053" s="189" t="s">
        <v>35596</v>
      </c>
      <c r="C2053" s="190"/>
      <c r="D2053" s="271"/>
      <c r="E2053" s="235"/>
      <c r="F2053" s="271"/>
      <c r="G2053" s="271">
        <v>2</v>
      </c>
      <c r="H2053" s="281"/>
      <c r="I2053" s="257">
        <f t="shared" si="73"/>
        <v>2</v>
      </c>
    </row>
    <row r="2054" spans="1:9">
      <c r="A2054" s="197"/>
      <c r="B2054" s="189" t="s">
        <v>35592</v>
      </c>
      <c r="C2054" s="190"/>
      <c r="D2054" s="271"/>
      <c r="E2054" s="235"/>
      <c r="F2054" s="271"/>
      <c r="G2054" s="271">
        <v>3</v>
      </c>
      <c r="H2054" s="281"/>
      <c r="I2054" s="257">
        <f t="shared" si="73"/>
        <v>3</v>
      </c>
    </row>
    <row r="2055" spans="1:9">
      <c r="A2055" s="195"/>
      <c r="B2055" s="189" t="s">
        <v>35655</v>
      </c>
      <c r="C2055" s="190"/>
      <c r="D2055" s="271"/>
      <c r="E2055" s="271"/>
      <c r="F2055" s="271"/>
      <c r="G2055" s="271"/>
      <c r="H2055" s="271"/>
      <c r="I2055" s="259">
        <f>G2055</f>
        <v>0</v>
      </c>
    </row>
    <row r="2056" spans="1:9">
      <c r="A2056" s="197"/>
      <c r="B2056" s="189" t="s">
        <v>35589</v>
      </c>
      <c r="C2056" s="190"/>
      <c r="D2056" s="271"/>
      <c r="E2056" s="235"/>
      <c r="F2056" s="271"/>
      <c r="G2056" s="271">
        <v>1</v>
      </c>
      <c r="H2056" s="281"/>
      <c r="I2056" s="257">
        <f>G2056</f>
        <v>1</v>
      </c>
    </row>
    <row r="2057" spans="1:9">
      <c r="A2057" s="197"/>
      <c r="B2057" s="189" t="s">
        <v>35590</v>
      </c>
      <c r="C2057" s="190"/>
      <c r="D2057" s="271"/>
      <c r="E2057" s="235"/>
      <c r="F2057" s="271"/>
      <c r="G2057" s="271">
        <v>1</v>
      </c>
      <c r="H2057" s="281"/>
      <c r="I2057" s="257">
        <f t="shared" ref="I2057:I2059" si="74">G2057</f>
        <v>1</v>
      </c>
    </row>
    <row r="2058" spans="1:9">
      <c r="A2058" s="197"/>
      <c r="B2058" s="189" t="s">
        <v>35802</v>
      </c>
      <c r="C2058" s="190"/>
      <c r="D2058" s="271"/>
      <c r="E2058" s="235"/>
      <c r="F2058" s="271"/>
      <c r="G2058" s="271">
        <v>1</v>
      </c>
      <c r="H2058" s="281"/>
      <c r="I2058" s="257">
        <f t="shared" si="74"/>
        <v>1</v>
      </c>
    </row>
    <row r="2059" spans="1:9">
      <c r="A2059" s="197"/>
      <c r="B2059" s="189" t="s">
        <v>35592</v>
      </c>
      <c r="C2059" s="190"/>
      <c r="D2059" s="271"/>
      <c r="E2059" s="235"/>
      <c r="F2059" s="271"/>
      <c r="G2059" s="271">
        <v>1</v>
      </c>
      <c r="H2059" s="281"/>
      <c r="I2059" s="257">
        <f t="shared" si="74"/>
        <v>1</v>
      </c>
    </row>
    <row r="2060" spans="1:9">
      <c r="A2060" s="195"/>
      <c r="B2060" s="189"/>
      <c r="C2060" s="190"/>
      <c r="D2060" s="271"/>
      <c r="E2060" s="271"/>
      <c r="F2060" s="271"/>
      <c r="G2060" s="271"/>
      <c r="H2060" s="271"/>
      <c r="I2060" s="259"/>
    </row>
    <row r="2061" spans="1:9">
      <c r="A2061" s="135"/>
      <c r="B2061" s="170"/>
      <c r="C2061" s="136"/>
      <c r="D2061" s="275"/>
      <c r="E2061" s="275"/>
      <c r="F2061" s="275"/>
      <c r="G2061" s="276"/>
      <c r="H2061" s="276"/>
      <c r="I2061" s="277"/>
    </row>
    <row r="2062" spans="1:9">
      <c r="A2062" s="184" t="s">
        <v>27434</v>
      </c>
      <c r="B2062" s="171" t="str">
        <f>VLOOKUP(A2062,GLOBAL!A:H,4,FALSE)</f>
        <v>OUTROS APARELHOS</v>
      </c>
      <c r="C2062" s="172"/>
      <c r="D2062" s="265"/>
      <c r="E2062" s="265"/>
      <c r="F2062" s="265"/>
      <c r="G2062" s="265"/>
      <c r="H2062" s="265"/>
      <c r="I2062" s="266"/>
    </row>
    <row r="2063" spans="1:9" ht="57.6">
      <c r="A2063" s="605" t="s">
        <v>35449</v>
      </c>
      <c r="B2063" s="120" t="str">
        <f>VLOOKUP(A2063,GLOBAL!A:H,4,FALSE)</f>
        <v>BEBEDOURO DE AÇO INOX, MARCAS DE REFERÊNCIA FISHER, METALPRESS OU MEKAL, INCLUSIVE VÁLVULA, SIFÃO CROMADO E TORNEIRAS, EXCLUSIVE ALVENARIA, DIM. 0.45X2.75 M, CONFORME DETALHE EM PROJETO</v>
      </c>
      <c r="C2063" s="119" t="str">
        <f>VLOOKUP(A2063,GLOBAL!A:H,5,FALSE)</f>
        <v>UND</v>
      </c>
      <c r="D2063" s="267" t="s">
        <v>66</v>
      </c>
      <c r="E2063" s="267" t="s">
        <v>70</v>
      </c>
      <c r="F2063" s="267" t="s">
        <v>67</v>
      </c>
      <c r="G2063" s="267" t="s">
        <v>68</v>
      </c>
      <c r="H2063" s="267" t="s">
        <v>71</v>
      </c>
      <c r="I2063" s="268">
        <f>ROUND(SUM(I2065:I2069),2)</f>
        <v>8</v>
      </c>
    </row>
    <row r="2064" spans="1:9">
      <c r="A2064" s="198"/>
      <c r="B2064" s="200" t="s">
        <v>2874</v>
      </c>
      <c r="C2064" s="199"/>
      <c r="D2064" s="281"/>
      <c r="E2064" s="282"/>
      <c r="F2064" s="281"/>
      <c r="G2064" s="281"/>
      <c r="H2064" s="281"/>
      <c r="I2064" s="283"/>
    </row>
    <row r="2065" spans="1:9">
      <c r="A2065" s="197"/>
      <c r="B2065" s="189" t="s">
        <v>35598</v>
      </c>
      <c r="C2065" s="190"/>
      <c r="D2065" s="271"/>
      <c r="E2065" s="235"/>
      <c r="F2065" s="271"/>
      <c r="G2065" s="271">
        <v>2</v>
      </c>
      <c r="H2065" s="281"/>
      <c r="I2065" s="257">
        <f>G2065</f>
        <v>2</v>
      </c>
    </row>
    <row r="2066" spans="1:9">
      <c r="A2066" s="197"/>
      <c r="B2066" s="189" t="s">
        <v>35599</v>
      </c>
      <c r="C2066" s="190"/>
      <c r="D2066" s="271"/>
      <c r="E2066" s="235"/>
      <c r="F2066" s="271"/>
      <c r="G2066" s="271">
        <v>2</v>
      </c>
      <c r="H2066" s="281"/>
      <c r="I2066" s="257">
        <f>G2066</f>
        <v>2</v>
      </c>
    </row>
    <row r="2067" spans="1:9">
      <c r="A2067" s="197"/>
      <c r="B2067" s="189" t="s">
        <v>35600</v>
      </c>
      <c r="C2067" s="190"/>
      <c r="D2067" s="271"/>
      <c r="E2067" s="235"/>
      <c r="F2067" s="271"/>
      <c r="G2067" s="271">
        <v>2</v>
      </c>
      <c r="H2067" s="281"/>
      <c r="I2067" s="257">
        <f>G2067</f>
        <v>2</v>
      </c>
    </row>
    <row r="2068" spans="1:9">
      <c r="A2068" s="197"/>
      <c r="B2068" s="189" t="s">
        <v>35601</v>
      </c>
      <c r="C2068" s="190"/>
      <c r="D2068" s="271"/>
      <c r="E2068" s="235"/>
      <c r="F2068" s="271"/>
      <c r="G2068" s="271">
        <v>2</v>
      </c>
      <c r="H2068" s="281"/>
      <c r="I2068" s="257">
        <f>G2068</f>
        <v>2</v>
      </c>
    </row>
    <row r="2069" spans="1:9">
      <c r="A2069" s="195"/>
      <c r="B2069" s="189"/>
      <c r="C2069" s="190"/>
      <c r="D2069" s="271"/>
      <c r="E2069" s="271"/>
      <c r="F2069" s="271"/>
      <c r="G2069" s="271"/>
      <c r="H2069" s="271"/>
      <c r="I2069" s="259"/>
    </row>
    <row r="2070" spans="1:9">
      <c r="A2070" s="135"/>
      <c r="B2070" s="170"/>
      <c r="C2070" s="136"/>
      <c r="D2070" s="275"/>
      <c r="E2070" s="275"/>
      <c r="F2070" s="275"/>
      <c r="G2070" s="276"/>
      <c r="H2070" s="276"/>
      <c r="I2070" s="277"/>
    </row>
    <row r="2071" spans="1:9" ht="43.2">
      <c r="A2071" s="605" t="s">
        <v>35450</v>
      </c>
      <c r="B2071" s="120" t="str">
        <f>VLOOKUP(A2071,GLOBAL!A:H,4,FALSE)</f>
        <v>CUBA DE AÇO INOX N° 1(DIM.460X300X150)MM, MARCAS DE REFERÊNCIA FRANKE, STRAKE, TRAMONTINA, INCLUSIVE VÁLVULA DE METAL 31/2" E SIFÃO CROMADO 1 X 1/2", EXCL. TORNEIRA</v>
      </c>
      <c r="C2071" s="119" t="str">
        <f>VLOOKUP(A2071,GLOBAL!A:H,5,FALSE)</f>
        <v>UND</v>
      </c>
      <c r="D2071" s="267" t="s">
        <v>66</v>
      </c>
      <c r="E2071" s="267" t="s">
        <v>70</v>
      </c>
      <c r="F2071" s="267" t="s">
        <v>67</v>
      </c>
      <c r="G2071" s="267" t="s">
        <v>68</v>
      </c>
      <c r="H2071" s="267" t="s">
        <v>71</v>
      </c>
      <c r="I2071" s="268">
        <f>ROUND(SUM(I2073:I2076),2)</f>
        <v>6</v>
      </c>
    </row>
    <row r="2072" spans="1:9">
      <c r="A2072" s="198"/>
      <c r="B2072" s="200" t="s">
        <v>2874</v>
      </c>
      <c r="C2072" s="199"/>
      <c r="D2072" s="281"/>
      <c r="E2072" s="282"/>
      <c r="F2072" s="281"/>
      <c r="G2072" s="281"/>
      <c r="H2072" s="281"/>
      <c r="I2072" s="283"/>
    </row>
    <row r="2073" spans="1:9">
      <c r="A2073" s="197"/>
      <c r="B2073" s="189" t="s">
        <v>35594</v>
      </c>
      <c r="C2073" s="190"/>
      <c r="D2073" s="271"/>
      <c r="E2073" s="235"/>
      <c r="F2073" s="271"/>
      <c r="G2073" s="271">
        <v>2</v>
      </c>
      <c r="H2073" s="281"/>
      <c r="I2073" s="257">
        <f t="shared" ref="I2073:I2075" si="75">G2073</f>
        <v>2</v>
      </c>
    </row>
    <row r="2074" spans="1:9">
      <c r="A2074" s="197"/>
      <c r="B2074" s="189" t="s">
        <v>35595</v>
      </c>
      <c r="C2074" s="190"/>
      <c r="D2074" s="271"/>
      <c r="E2074" s="235"/>
      <c r="F2074" s="271"/>
      <c r="G2074" s="271">
        <v>2</v>
      </c>
      <c r="H2074" s="281"/>
      <c r="I2074" s="257">
        <f t="shared" si="75"/>
        <v>2</v>
      </c>
    </row>
    <row r="2075" spans="1:9">
      <c r="A2075" s="197"/>
      <c r="B2075" s="189" t="s">
        <v>35596</v>
      </c>
      <c r="C2075" s="190"/>
      <c r="D2075" s="271"/>
      <c r="E2075" s="235"/>
      <c r="F2075" s="271"/>
      <c r="G2075" s="271">
        <v>2</v>
      </c>
      <c r="H2075" s="281"/>
      <c r="I2075" s="257">
        <f t="shared" si="75"/>
        <v>2</v>
      </c>
    </row>
    <row r="2076" spans="1:9">
      <c r="A2076" s="195"/>
      <c r="B2076" s="189"/>
      <c r="C2076" s="190"/>
      <c r="D2076" s="271"/>
      <c r="E2076" s="271"/>
      <c r="F2076" s="271"/>
      <c r="G2076" s="271"/>
      <c r="H2076" s="271"/>
      <c r="I2076" s="259"/>
    </row>
    <row r="2077" spans="1:9">
      <c r="A2077" s="135"/>
      <c r="B2077" s="170"/>
      <c r="C2077" s="136"/>
      <c r="D2077" s="275"/>
      <c r="E2077" s="275"/>
      <c r="F2077" s="275"/>
      <c r="G2077" s="276"/>
      <c r="H2077" s="276"/>
      <c r="I2077" s="277"/>
    </row>
    <row r="2078" spans="1:9" ht="43.2">
      <c r="A2078" s="605" t="s">
        <v>35451</v>
      </c>
      <c r="B2078" s="120" t="str">
        <f>VLOOKUP(A2078,GLOBAL!A:H,4,FALSE)</f>
        <v>TANQUE SIMPLES DE AÇO INOX FISCHER, MOD. TQ1-S AISI 304, OU EQUIVALENTE NAS MARCAS METALPRESS OU MEKAL, INCLUSIVE VÁLVULA DE METAL 1 1/4" E SIFÃO CROMADO 2", EXCL. TORNEIRA</v>
      </c>
      <c r="C2078" s="119" t="str">
        <f>VLOOKUP(A2078,GLOBAL!A:H,5,FALSE)</f>
        <v>UND</v>
      </c>
      <c r="D2078" s="267" t="s">
        <v>66</v>
      </c>
      <c r="E2078" s="267" t="s">
        <v>70</v>
      </c>
      <c r="F2078" s="267" t="s">
        <v>67</v>
      </c>
      <c r="G2078" s="267" t="s">
        <v>68</v>
      </c>
      <c r="H2078" s="267" t="s">
        <v>71</v>
      </c>
      <c r="I2078" s="268">
        <f>ROUND(SUM(I2080:I2083),2)</f>
        <v>2</v>
      </c>
    </row>
    <row r="2079" spans="1:9">
      <c r="A2079" s="198"/>
      <c r="B2079" s="200" t="s">
        <v>2874</v>
      </c>
      <c r="C2079" s="199"/>
      <c r="D2079" s="281"/>
      <c r="E2079" s="282"/>
      <c r="F2079" s="281"/>
      <c r="G2079" s="281"/>
      <c r="H2079" s="281"/>
      <c r="I2079" s="283"/>
    </row>
    <row r="2080" spans="1:9">
      <c r="A2080" s="197"/>
      <c r="B2080" s="189" t="s">
        <v>35594</v>
      </c>
      <c r="C2080" s="190"/>
      <c r="D2080" s="271"/>
      <c r="E2080" s="235"/>
      <c r="F2080" s="271"/>
      <c r="G2080" s="271">
        <v>2</v>
      </c>
      <c r="H2080" s="281"/>
      <c r="I2080" s="257">
        <f t="shared" ref="I2080:I2082" si="76">G2080</f>
        <v>2</v>
      </c>
    </row>
    <row r="2081" spans="1:9">
      <c r="A2081" s="197"/>
      <c r="B2081" s="189" t="s">
        <v>35595</v>
      </c>
      <c r="C2081" s="190"/>
      <c r="D2081" s="271"/>
      <c r="E2081" s="235"/>
      <c r="F2081" s="271"/>
      <c r="G2081" s="271">
        <v>0</v>
      </c>
      <c r="H2081" s="281"/>
      <c r="I2081" s="257">
        <f t="shared" si="76"/>
        <v>0</v>
      </c>
    </row>
    <row r="2082" spans="1:9">
      <c r="A2082" s="197"/>
      <c r="B2082" s="189" t="s">
        <v>35596</v>
      </c>
      <c r="C2082" s="190"/>
      <c r="D2082" s="271"/>
      <c r="E2082" s="235"/>
      <c r="F2082" s="271"/>
      <c r="G2082" s="271">
        <v>0</v>
      </c>
      <c r="H2082" s="281"/>
      <c r="I2082" s="257">
        <f t="shared" si="76"/>
        <v>0</v>
      </c>
    </row>
    <row r="2083" spans="1:9">
      <c r="A2083" s="195"/>
      <c r="B2083" s="189"/>
      <c r="C2083" s="190"/>
      <c r="D2083" s="271"/>
      <c r="E2083" s="271"/>
      <c r="F2083" s="271"/>
      <c r="G2083" s="271"/>
      <c r="H2083" s="271"/>
      <c r="I2083" s="259"/>
    </row>
    <row r="2084" spans="1:9">
      <c r="A2084" s="135"/>
      <c r="B2084" s="170"/>
      <c r="C2084" s="136"/>
      <c r="D2084" s="275"/>
      <c r="E2084" s="275"/>
      <c r="F2084" s="275"/>
      <c r="G2084" s="276"/>
      <c r="H2084" s="276"/>
      <c r="I2084" s="277"/>
    </row>
    <row r="2085" spans="1:9" ht="43.2">
      <c r="A2085" s="605" t="s">
        <v>35452</v>
      </c>
      <c r="B2085" s="120" t="str">
        <f>VLOOKUP(A2085,GLOBAL!A:H,4,FALSE)</f>
        <v>RESERVATÓRIO DE POLIETILENO DE 15.000L, INCLUSIVE PEÇA DE MADEIRA 5 X 16CM PARA APOIO, EXCLUSIVE FLANGES E TORNEIRAS DE BOIA</v>
      </c>
      <c r="C2085" s="119" t="str">
        <f>VLOOKUP(A2085,GLOBAL!A:H,5,FALSE)</f>
        <v>UND</v>
      </c>
      <c r="D2085" s="267" t="s">
        <v>66</v>
      </c>
      <c r="E2085" s="267" t="s">
        <v>70</v>
      </c>
      <c r="F2085" s="267" t="s">
        <v>67</v>
      </c>
      <c r="G2085" s="267" t="s">
        <v>68</v>
      </c>
      <c r="H2085" s="267" t="s">
        <v>71</v>
      </c>
      <c r="I2085" s="268">
        <f>ROUND(SUM(I2087:I2088),2)</f>
        <v>6</v>
      </c>
    </row>
    <row r="2086" spans="1:9">
      <c r="A2086" s="198"/>
      <c r="B2086" s="200" t="s">
        <v>2874</v>
      </c>
      <c r="C2086" s="199"/>
      <c r="D2086" s="281"/>
      <c r="E2086" s="282"/>
      <c r="F2086" s="281"/>
      <c r="G2086" s="281"/>
      <c r="H2086" s="281"/>
      <c r="I2086" s="283"/>
    </row>
    <row r="2087" spans="1:9">
      <c r="A2087" s="197"/>
      <c r="B2087" s="189" t="s">
        <v>35602</v>
      </c>
      <c r="C2087" s="190"/>
      <c r="D2087" s="271"/>
      <c r="E2087" s="235"/>
      <c r="F2087" s="271"/>
      <c r="G2087" s="271">
        <v>6</v>
      </c>
      <c r="H2087" s="281"/>
      <c r="I2087" s="257">
        <f t="shared" ref="I2087" si="77">G2087</f>
        <v>6</v>
      </c>
    </row>
    <row r="2088" spans="1:9">
      <c r="A2088" s="195"/>
      <c r="B2088" s="189"/>
      <c r="C2088" s="190"/>
      <c r="D2088" s="271"/>
      <c r="E2088" s="271"/>
      <c r="F2088" s="271"/>
      <c r="G2088" s="271"/>
      <c r="H2088" s="271"/>
      <c r="I2088" s="259"/>
    </row>
    <row r="2089" spans="1:9">
      <c r="A2089" s="135"/>
      <c r="B2089" s="170"/>
      <c r="C2089" s="136"/>
      <c r="D2089" s="275"/>
      <c r="E2089" s="275"/>
      <c r="F2089" s="275"/>
      <c r="G2089" s="276"/>
      <c r="H2089" s="276"/>
      <c r="I2089" s="277"/>
    </row>
    <row r="2090" spans="1:9" ht="28.8">
      <c r="A2090" s="605" t="s">
        <v>35453</v>
      </c>
      <c r="B2090" s="120" t="str">
        <f>VLOOKUP(A2090,GLOBAL!A:H,4,FALSE)</f>
        <v>BEBEDOURO ELÉTRICO DE PRESSÃO PARA ACESSIBILIDADE BDF300 PNE ? IBBL OU EQUIVALENTE</v>
      </c>
      <c r="C2090" s="119" t="str">
        <f>VLOOKUP(A2090,GLOBAL!A:H,5,FALSE)</f>
        <v>UND</v>
      </c>
      <c r="D2090" s="267" t="s">
        <v>66</v>
      </c>
      <c r="E2090" s="267" t="s">
        <v>70</v>
      </c>
      <c r="F2090" s="267" t="s">
        <v>67</v>
      </c>
      <c r="G2090" s="267" t="s">
        <v>68</v>
      </c>
      <c r="H2090" s="267" t="s">
        <v>71</v>
      </c>
      <c r="I2090" s="268">
        <f>ROUND(SUM(I2091:I2096),2)</f>
        <v>4</v>
      </c>
    </row>
    <row r="2091" spans="1:9">
      <c r="A2091" s="198"/>
      <c r="B2091" s="200" t="s">
        <v>2874</v>
      </c>
      <c r="C2091" s="199"/>
      <c r="D2091" s="281"/>
      <c r="E2091" s="282"/>
      <c r="F2091" s="281"/>
      <c r="G2091" s="281"/>
      <c r="H2091" s="281"/>
      <c r="I2091" s="283"/>
    </row>
    <row r="2092" spans="1:9">
      <c r="A2092" s="197"/>
      <c r="B2092" s="189" t="s">
        <v>35598</v>
      </c>
      <c r="C2092" s="190"/>
      <c r="D2092" s="271"/>
      <c r="E2092" s="235"/>
      <c r="F2092" s="271"/>
      <c r="G2092" s="271">
        <v>1</v>
      </c>
      <c r="H2092" s="281"/>
      <c r="I2092" s="257">
        <f>G2092</f>
        <v>1</v>
      </c>
    </row>
    <row r="2093" spans="1:9">
      <c r="A2093" s="197"/>
      <c r="B2093" s="189" t="s">
        <v>35599</v>
      </c>
      <c r="C2093" s="190"/>
      <c r="D2093" s="271"/>
      <c r="E2093" s="235"/>
      <c r="F2093" s="271"/>
      <c r="G2093" s="271">
        <v>1</v>
      </c>
      <c r="H2093" s="281"/>
      <c r="I2093" s="257">
        <f>G2093</f>
        <v>1</v>
      </c>
    </row>
    <row r="2094" spans="1:9">
      <c r="A2094" s="197"/>
      <c r="B2094" s="189" t="s">
        <v>35600</v>
      </c>
      <c r="C2094" s="190"/>
      <c r="D2094" s="271"/>
      <c r="E2094" s="235"/>
      <c r="F2094" s="271"/>
      <c r="G2094" s="271">
        <v>1</v>
      </c>
      <c r="H2094" s="281"/>
      <c r="I2094" s="257">
        <f>G2094</f>
        <v>1</v>
      </c>
    </row>
    <row r="2095" spans="1:9">
      <c r="A2095" s="197"/>
      <c r="B2095" s="189" t="s">
        <v>35601</v>
      </c>
      <c r="C2095" s="190"/>
      <c r="D2095" s="271"/>
      <c r="E2095" s="235"/>
      <c r="F2095" s="271"/>
      <c r="G2095" s="271">
        <v>1</v>
      </c>
      <c r="H2095" s="281"/>
      <c r="I2095" s="257">
        <f>G2095</f>
        <v>1</v>
      </c>
    </row>
    <row r="2096" spans="1:9">
      <c r="A2096" s="195"/>
      <c r="B2096" s="189"/>
      <c r="C2096" s="190"/>
      <c r="D2096" s="271"/>
      <c r="E2096" s="271"/>
      <c r="F2096" s="271"/>
      <c r="G2096" s="271"/>
      <c r="H2096" s="271"/>
      <c r="I2096" s="259"/>
    </row>
    <row r="2097" spans="1:9">
      <c r="A2097" s="135"/>
      <c r="B2097" s="170"/>
      <c r="C2097" s="136"/>
      <c r="D2097" s="275"/>
      <c r="E2097" s="275"/>
      <c r="F2097" s="275"/>
      <c r="G2097" s="276"/>
      <c r="H2097" s="276"/>
      <c r="I2097" s="277"/>
    </row>
    <row r="2098" spans="1:9" ht="57.6">
      <c r="A2098" s="605" t="s">
        <v>35454</v>
      </c>
      <c r="B2098" s="120" t="str">
        <f>VLOOKUP(A2098,GLOBAL!A:H,4,FALSE)</f>
        <v>TANQUE CILÍNDRICO VERTICAL EM POLIETILENO, CAPACIDADE DE 20.000 LITROS, COM BOCA DE INSPEÇÃO 60CM, TAMPA DE 1/4 DE VOLTA E VEDAÇÃO TOTAL, INCLUSIVE TRANSPORTE HORIZONTAL MANUAL ATÉ BASE DE TORRE, TRANSPORTE VERTICAL COM GUINDASTE HIDRÁULICO</v>
      </c>
      <c r="C2098" s="119" t="str">
        <f>VLOOKUP(A2098,GLOBAL!A:H,5,FALSE)</f>
        <v>UND</v>
      </c>
      <c r="D2098" s="267" t="s">
        <v>66</v>
      </c>
      <c r="E2098" s="267" t="s">
        <v>70</v>
      </c>
      <c r="F2098" s="267" t="s">
        <v>67</v>
      </c>
      <c r="G2098" s="267" t="s">
        <v>68</v>
      </c>
      <c r="H2098" s="267" t="s">
        <v>71</v>
      </c>
      <c r="I2098" s="268">
        <f>ROUND(SUM(I2099:I2101),2)</f>
        <v>3</v>
      </c>
    </row>
    <row r="2099" spans="1:9">
      <c r="A2099" s="198"/>
      <c r="B2099" s="200" t="s">
        <v>2874</v>
      </c>
      <c r="C2099" s="199"/>
      <c r="D2099" s="281"/>
      <c r="E2099" s="282"/>
      <c r="F2099" s="281"/>
      <c r="G2099" s="281"/>
      <c r="H2099" s="281"/>
      <c r="I2099" s="283"/>
    </row>
    <row r="2100" spans="1:9">
      <c r="A2100" s="197"/>
      <c r="B2100" s="189" t="s">
        <v>35603</v>
      </c>
      <c r="C2100" s="190"/>
      <c r="D2100" s="271"/>
      <c r="E2100" s="235"/>
      <c r="F2100" s="271"/>
      <c r="G2100" s="271">
        <v>3</v>
      </c>
      <c r="H2100" s="281"/>
      <c r="I2100" s="257">
        <f>G2100</f>
        <v>3</v>
      </c>
    </row>
    <row r="2101" spans="1:9">
      <c r="A2101" s="195"/>
      <c r="B2101" s="189"/>
      <c r="C2101" s="190"/>
      <c r="D2101" s="271"/>
      <c r="E2101" s="271"/>
      <c r="F2101" s="271"/>
      <c r="G2101" s="271"/>
      <c r="H2101" s="271"/>
      <c r="I2101" s="259"/>
    </row>
    <row r="2102" spans="1:9">
      <c r="A2102" s="135"/>
      <c r="B2102" s="170"/>
      <c r="C2102" s="136"/>
      <c r="D2102" s="275"/>
      <c r="E2102" s="275"/>
      <c r="F2102" s="275"/>
      <c r="G2102" s="276"/>
      <c r="H2102" s="276"/>
      <c r="I2102" s="277"/>
    </row>
    <row r="2103" spans="1:9">
      <c r="A2103" s="184" t="s">
        <v>27435</v>
      </c>
      <c r="B2103" s="171" t="str">
        <f>VLOOKUP(A2103,GLOBAL!A:H,4,FALSE)</f>
        <v>ACESSIBILIDADE - NBR 9050</v>
      </c>
      <c r="C2103" s="172"/>
      <c r="D2103" s="265"/>
      <c r="E2103" s="265"/>
      <c r="F2103" s="265"/>
      <c r="G2103" s="265"/>
      <c r="H2103" s="265"/>
      <c r="I2103" s="266"/>
    </row>
    <row r="2104" spans="1:9" ht="43.2">
      <c r="A2104" s="605" t="s">
        <v>35455</v>
      </c>
      <c r="B2104" s="120" t="str">
        <f>VLOOKUP(A2104,GLOBAL!A:H,4,FALSE)</f>
        <v>BARRA DE APOIO RETA, EM AÇO INOX POLIDO AISI 304, COMPRIMENTO 80 CM, CONFORME REQUISITOS DE ACESSIBILIDADE DA NBR 9050 - FORNECIMENTO E INSTALAÇÃO</v>
      </c>
      <c r="C2104" s="119" t="str">
        <f>VLOOKUP(A2104,GLOBAL!A:H,5,FALSE)</f>
        <v>UND</v>
      </c>
      <c r="D2104" s="267" t="s">
        <v>66</v>
      </c>
      <c r="E2104" s="267" t="s">
        <v>70</v>
      </c>
      <c r="F2104" s="267" t="s">
        <v>67</v>
      </c>
      <c r="G2104" s="267" t="s">
        <v>68</v>
      </c>
      <c r="H2104" s="267" t="s">
        <v>71</v>
      </c>
      <c r="I2104" s="268">
        <f>ROUND(SUM(I2106:I2107),2)</f>
        <v>12</v>
      </c>
    </row>
    <row r="2105" spans="1:9">
      <c r="A2105" s="198"/>
      <c r="B2105" s="200" t="s">
        <v>2874</v>
      </c>
      <c r="C2105" s="199"/>
      <c r="D2105" s="281"/>
      <c r="E2105" s="282"/>
      <c r="F2105" s="281"/>
      <c r="G2105" s="281"/>
      <c r="H2105" s="281"/>
      <c r="I2105" s="283"/>
    </row>
    <row r="2106" spans="1:9">
      <c r="A2106" s="197"/>
      <c r="B2106" s="189" t="s">
        <v>35588</v>
      </c>
      <c r="C2106" s="190"/>
      <c r="D2106" s="271"/>
      <c r="E2106" s="235"/>
      <c r="F2106" s="271"/>
      <c r="G2106" s="271">
        <v>12</v>
      </c>
      <c r="H2106" s="281"/>
      <c r="I2106" s="257">
        <f>G2106</f>
        <v>12</v>
      </c>
    </row>
    <row r="2107" spans="1:9">
      <c r="A2107" s="195"/>
      <c r="B2107" s="189"/>
      <c r="C2107" s="190"/>
      <c r="D2107" s="271"/>
      <c r="E2107" s="271"/>
      <c r="F2107" s="271"/>
      <c r="G2107" s="271"/>
      <c r="H2107" s="271"/>
      <c r="I2107" s="259"/>
    </row>
    <row r="2108" spans="1:9">
      <c r="A2108" s="135"/>
      <c r="B2108" s="170"/>
      <c r="C2108" s="136"/>
      <c r="D2108" s="275"/>
      <c r="E2108" s="275"/>
      <c r="F2108" s="275"/>
      <c r="G2108" s="276"/>
      <c r="H2108" s="276"/>
      <c r="I2108" s="277"/>
    </row>
    <row r="2109" spans="1:9" ht="57.6">
      <c r="A2109" s="605" t="s">
        <v>35456</v>
      </c>
      <c r="B2109" s="120" t="str">
        <f>VLOOKUP(A2109,GLOBAL!A:H,4,FALSE)</f>
        <v>KIT COMPOSTO POR (02) DUAS BARRA DE APOIO LATERAL FIXA EM FORMATO "U", EM AÇO INOX POLIDO AISI 304, 30 CM, PARA INSTALAÇÃO EM LAVATÓRIOS, CONFORME REQUISITOS DE ACESSIBILIDADE DA NBR 9050 - FORNECIMENTO E INSTALAÇÃO</v>
      </c>
      <c r="C2109" s="119" t="str">
        <f>VLOOKUP(A2109,GLOBAL!A:H,5,FALSE)</f>
        <v>UND</v>
      </c>
      <c r="D2109" s="267" t="s">
        <v>66</v>
      </c>
      <c r="E2109" s="267" t="s">
        <v>70</v>
      </c>
      <c r="F2109" s="267" t="s">
        <v>67</v>
      </c>
      <c r="G2109" s="267" t="s">
        <v>68</v>
      </c>
      <c r="H2109" s="267" t="s">
        <v>71</v>
      </c>
      <c r="I2109" s="268">
        <f>ROUND(SUM(I2111:I2112),2)</f>
        <v>3</v>
      </c>
    </row>
    <row r="2110" spans="1:9">
      <c r="A2110" s="198"/>
      <c r="B2110" s="200" t="s">
        <v>2874</v>
      </c>
      <c r="C2110" s="199"/>
      <c r="D2110" s="281"/>
      <c r="E2110" s="282"/>
      <c r="F2110" s="281"/>
      <c r="G2110" s="281"/>
      <c r="H2110" s="281"/>
      <c r="I2110" s="283"/>
    </row>
    <row r="2111" spans="1:9">
      <c r="A2111" s="197"/>
      <c r="B2111" s="189" t="s">
        <v>35588</v>
      </c>
      <c r="C2111" s="190"/>
      <c r="D2111" s="271"/>
      <c r="E2111" s="235"/>
      <c r="F2111" s="271"/>
      <c r="G2111" s="271">
        <v>3</v>
      </c>
      <c r="H2111" s="281"/>
      <c r="I2111" s="257">
        <f>G2111</f>
        <v>3</v>
      </c>
    </row>
    <row r="2112" spans="1:9">
      <c r="A2112" s="195"/>
      <c r="B2112" s="189"/>
      <c r="C2112" s="190"/>
      <c r="D2112" s="271"/>
      <c r="E2112" s="271"/>
      <c r="F2112" s="271"/>
      <c r="G2112" s="271"/>
      <c r="H2112" s="271"/>
      <c r="I2112" s="259"/>
    </row>
    <row r="2113" spans="1:9">
      <c r="A2113" s="135"/>
      <c r="B2113" s="170"/>
      <c r="C2113" s="136"/>
      <c r="D2113" s="275"/>
      <c r="E2113" s="275"/>
      <c r="F2113" s="275"/>
      <c r="G2113" s="276"/>
      <c r="H2113" s="276"/>
      <c r="I2113" s="277"/>
    </row>
    <row r="2114" spans="1:9" ht="43.2">
      <c r="A2114" s="605" t="s">
        <v>35457</v>
      </c>
      <c r="B2114" s="120" t="str">
        <f>VLOOKUP(A2114,GLOBAL!A:H,4,FALSE)</f>
        <v>BARRA DE APOIO RETA, EM AÇO INOX POLIDO AISI 304, COMPRIMENTO 70 CM, CONFORME REQUISITOS DE ACESSIBILIDADE DA NBR 9050 - FORNECIMENTO E INSTALAÇÃO</v>
      </c>
      <c r="C2114" s="119" t="str">
        <f>VLOOKUP(A2114,GLOBAL!A:H,5,FALSE)</f>
        <v>UND</v>
      </c>
      <c r="D2114" s="267" t="s">
        <v>66</v>
      </c>
      <c r="E2114" s="267" t="s">
        <v>70</v>
      </c>
      <c r="F2114" s="267" t="s">
        <v>67</v>
      </c>
      <c r="G2114" s="267" t="s">
        <v>68</v>
      </c>
      <c r="H2114" s="267" t="s">
        <v>71</v>
      </c>
      <c r="I2114" s="268">
        <f>ROUND(SUM(I2116:I2117),2)</f>
        <v>3</v>
      </c>
    </row>
    <row r="2115" spans="1:9">
      <c r="A2115" s="198"/>
      <c r="B2115" s="200" t="s">
        <v>2874</v>
      </c>
      <c r="C2115" s="199"/>
      <c r="D2115" s="281"/>
      <c r="E2115" s="282"/>
      <c r="F2115" s="281"/>
      <c r="G2115" s="281"/>
      <c r="H2115" s="281"/>
      <c r="I2115" s="283"/>
    </row>
    <row r="2116" spans="1:9">
      <c r="A2116" s="197"/>
      <c r="B2116" s="189" t="s">
        <v>35588</v>
      </c>
      <c r="C2116" s="190"/>
      <c r="D2116" s="271"/>
      <c r="E2116" s="235"/>
      <c r="F2116" s="271"/>
      <c r="G2116" s="271">
        <v>3</v>
      </c>
      <c r="H2116" s="281"/>
      <c r="I2116" s="257">
        <f>G2116</f>
        <v>3</v>
      </c>
    </row>
    <row r="2117" spans="1:9">
      <c r="A2117" s="195"/>
      <c r="B2117" s="189"/>
      <c r="C2117" s="190"/>
      <c r="D2117" s="271"/>
      <c r="E2117" s="271"/>
      <c r="F2117" s="271"/>
      <c r="G2117" s="271"/>
      <c r="H2117" s="271"/>
      <c r="I2117" s="259"/>
    </row>
    <row r="2118" spans="1:9">
      <c r="A2118" s="135"/>
      <c r="B2118" s="170"/>
      <c r="C2118" s="136"/>
      <c r="D2118" s="275"/>
      <c r="E2118" s="275"/>
      <c r="F2118" s="275"/>
      <c r="G2118" s="276"/>
      <c r="H2118" s="276"/>
      <c r="I2118" s="277"/>
    </row>
    <row r="2119" spans="1:9">
      <c r="A2119" s="184" t="s">
        <v>23684</v>
      </c>
      <c r="B2119" s="171" t="str">
        <f>VLOOKUP(A2119,GLOBAL!A:H,4,FALSE)</f>
        <v>APARELHOS ELÉTRICOS</v>
      </c>
      <c r="C2119" s="172"/>
      <c r="D2119" s="265"/>
      <c r="E2119" s="265"/>
      <c r="F2119" s="265"/>
      <c r="G2119" s="265"/>
      <c r="H2119" s="265"/>
      <c r="I2119" s="266"/>
    </row>
    <row r="2120" spans="1:9">
      <c r="A2120" s="184" t="s">
        <v>27437</v>
      </c>
      <c r="B2120" s="171" t="str">
        <f>VLOOKUP(A2120,GLOBAL!A:H,4,FALSE)</f>
        <v>BOMBAS</v>
      </c>
      <c r="C2120" s="172"/>
      <c r="D2120" s="265"/>
      <c r="E2120" s="265"/>
      <c r="F2120" s="265"/>
      <c r="G2120" s="265"/>
      <c r="H2120" s="265"/>
      <c r="I2120" s="266"/>
    </row>
    <row r="2121" spans="1:9" ht="28.8">
      <c r="A2121" s="605" t="s">
        <v>23685</v>
      </c>
      <c r="B2121" s="120" t="str">
        <f>VLOOKUP(A2121,GLOBAL!A:H,4,FALSE)</f>
        <v>BOMBA CENTRÍFUGA TRIFÁSICA 5CV, MODELO 620 DANCOR, OU EQUIVALENTE</v>
      </c>
      <c r="C2121" s="119" t="str">
        <f>VLOOKUP(A2121,GLOBAL!A:H,5,FALSE)</f>
        <v>UND</v>
      </c>
      <c r="D2121" s="267" t="s">
        <v>66</v>
      </c>
      <c r="E2121" s="267" t="s">
        <v>70</v>
      </c>
      <c r="F2121" s="267" t="s">
        <v>67</v>
      </c>
      <c r="G2121" s="267" t="s">
        <v>68</v>
      </c>
      <c r="H2121" s="267" t="s">
        <v>71</v>
      </c>
      <c r="I2121" s="268">
        <f>ROUND(SUM(I2123:I2124),2)</f>
        <v>6</v>
      </c>
    </row>
    <row r="2122" spans="1:9">
      <c r="A2122" s="198"/>
      <c r="B2122" s="200" t="s">
        <v>2874</v>
      </c>
      <c r="C2122" s="199"/>
      <c r="D2122" s="281"/>
      <c r="E2122" s="282"/>
      <c r="F2122" s="281"/>
      <c r="G2122" s="281"/>
      <c r="H2122" s="281"/>
      <c r="I2122" s="283"/>
    </row>
    <row r="2123" spans="1:9">
      <c r="A2123" s="197"/>
      <c r="B2123" s="189" t="s">
        <v>35604</v>
      </c>
      <c r="C2123" s="190"/>
      <c r="D2123" s="271"/>
      <c r="E2123" s="235"/>
      <c r="F2123" s="271"/>
      <c r="G2123" s="271">
        <v>6</v>
      </c>
      <c r="H2123" s="281"/>
      <c r="I2123" s="257">
        <f>G2123</f>
        <v>6</v>
      </c>
    </row>
    <row r="2124" spans="1:9">
      <c r="A2124" s="195"/>
      <c r="B2124" s="189"/>
      <c r="C2124" s="190"/>
      <c r="D2124" s="271"/>
      <c r="E2124" s="271"/>
      <c r="F2124" s="271"/>
      <c r="G2124" s="271"/>
      <c r="H2124" s="271"/>
      <c r="I2124" s="259"/>
    </row>
    <row r="2125" spans="1:9">
      <c r="A2125" s="135"/>
      <c r="B2125" s="170"/>
      <c r="C2125" s="136"/>
      <c r="D2125" s="275"/>
      <c r="E2125" s="275"/>
      <c r="F2125" s="275"/>
      <c r="G2125" s="276"/>
      <c r="H2125" s="276"/>
      <c r="I2125" s="277"/>
    </row>
    <row r="2126" spans="1:9">
      <c r="A2126" s="184" t="s">
        <v>35458</v>
      </c>
      <c r="B2126" s="171" t="str">
        <f>VLOOKUP(A2126,GLOBAL!A:H,4,FALSE)</f>
        <v>LUMINARIAS PARA LÂMPADAS LED</v>
      </c>
      <c r="C2126" s="172"/>
      <c r="D2126" s="265"/>
      <c r="E2126" s="265"/>
      <c r="F2126" s="265"/>
      <c r="G2126" s="265"/>
      <c r="H2126" s="265"/>
      <c r="I2126" s="266"/>
    </row>
    <row r="2127" spans="1:9" ht="57.6">
      <c r="A2127" s="605" t="s">
        <v>35459</v>
      </c>
      <c r="B2127" s="120" t="str">
        <f>VLOOKUP(A2127,GLOBAL!A:H,4,FALSE)</f>
        <v>LUMINARIA EMBUTIR COMPL., CORPO CH. AÇO PINTADA BRANCA, REFLETOR ALETAS PARABÓLICAS ALUM.ALTA PUREZA E REFLETÂNCIA INCLUSIVE 2 LÂMPADAS LED T8 9W TEMP. DE COR 5000K C/ 60CM - REF. CE216AL-N - AMES, 6024 - LUMAVI OU EQUIVALENTE</v>
      </c>
      <c r="C2127" s="119" t="str">
        <f>VLOOKUP(A2127,GLOBAL!A:H,5,FALSE)</f>
        <v>UND</v>
      </c>
      <c r="D2127" s="267" t="s">
        <v>66</v>
      </c>
      <c r="E2127" s="267" t="s">
        <v>70</v>
      </c>
      <c r="F2127" s="267" t="s">
        <v>67</v>
      </c>
      <c r="G2127" s="267" t="s">
        <v>68</v>
      </c>
      <c r="H2127" s="267" t="s">
        <v>71</v>
      </c>
      <c r="I2127" s="268">
        <f>ROUND(SUM(I2128:I2144),2)</f>
        <v>55</v>
      </c>
    </row>
    <row r="2128" spans="1:9">
      <c r="A2128" s="198"/>
      <c r="B2128" s="200" t="s">
        <v>2874</v>
      </c>
      <c r="C2128" s="199"/>
      <c r="D2128" s="281"/>
      <c r="E2128" s="282"/>
      <c r="F2128" s="281"/>
      <c r="G2128" s="281"/>
      <c r="H2128" s="281"/>
      <c r="I2128" s="283"/>
    </row>
    <row r="2129" spans="1:9">
      <c r="A2129" s="195"/>
      <c r="B2129" s="642" t="s">
        <v>35512</v>
      </c>
      <c r="C2129" s="234"/>
      <c r="D2129" s="641"/>
      <c r="E2129" s="641"/>
      <c r="F2129" s="279"/>
      <c r="G2129" s="279"/>
      <c r="H2129" s="279"/>
      <c r="I2129" s="280"/>
    </row>
    <row r="2130" spans="1:9">
      <c r="A2130" s="195"/>
      <c r="B2130" s="233" t="s">
        <v>35514</v>
      </c>
      <c r="C2130" s="234"/>
      <c r="D2130" s="279"/>
      <c r="E2130" s="278"/>
      <c r="F2130" s="279">
        <v>4</v>
      </c>
      <c r="G2130" s="279"/>
      <c r="H2130" s="279"/>
      <c r="I2130" s="280">
        <f>F2130</f>
        <v>4</v>
      </c>
    </row>
    <row r="2131" spans="1:9">
      <c r="A2131" s="195"/>
      <c r="B2131" s="233" t="s">
        <v>35515</v>
      </c>
      <c r="C2131" s="234"/>
      <c r="D2131" s="279"/>
      <c r="E2131" s="278"/>
      <c r="F2131" s="279">
        <v>4</v>
      </c>
      <c r="G2131" s="279"/>
      <c r="H2131" s="279"/>
      <c r="I2131" s="280">
        <f t="shared" ref="I2131:I2144" si="78">F2131</f>
        <v>4</v>
      </c>
    </row>
    <row r="2132" spans="1:9">
      <c r="A2132" s="195"/>
      <c r="B2132" s="233" t="s">
        <v>35516</v>
      </c>
      <c r="C2132" s="234"/>
      <c r="D2132" s="279"/>
      <c r="E2132" s="278"/>
      <c r="F2132" s="279">
        <v>2</v>
      </c>
      <c r="G2132" s="279"/>
      <c r="H2132" s="279"/>
      <c r="I2132" s="280">
        <f t="shared" si="78"/>
        <v>2</v>
      </c>
    </row>
    <row r="2133" spans="1:9">
      <c r="A2133" s="195"/>
      <c r="B2133" s="233" t="s">
        <v>35518</v>
      </c>
      <c r="C2133" s="234"/>
      <c r="D2133" s="279"/>
      <c r="E2133" s="278"/>
      <c r="F2133" s="279">
        <v>1</v>
      </c>
      <c r="G2133" s="279"/>
      <c r="H2133" s="279"/>
      <c r="I2133" s="280">
        <f t="shared" si="78"/>
        <v>1</v>
      </c>
    </row>
    <row r="2134" spans="1:9">
      <c r="A2134" s="195"/>
      <c r="B2134" s="233" t="s">
        <v>35504</v>
      </c>
      <c r="C2134" s="234"/>
      <c r="D2134" s="279"/>
      <c r="E2134" s="278"/>
      <c r="F2134" s="279">
        <v>8</v>
      </c>
      <c r="G2134" s="279"/>
      <c r="H2134" s="279"/>
      <c r="I2134" s="280">
        <f t="shared" si="78"/>
        <v>8</v>
      </c>
    </row>
    <row r="2135" spans="1:9">
      <c r="A2135" s="195"/>
      <c r="B2135" s="233" t="s">
        <v>35519</v>
      </c>
      <c r="C2135" s="234"/>
      <c r="D2135" s="279"/>
      <c r="E2135" s="278"/>
      <c r="F2135" s="279">
        <v>4</v>
      </c>
      <c r="G2135" s="279"/>
      <c r="H2135" s="279"/>
      <c r="I2135" s="280">
        <f t="shared" si="78"/>
        <v>4</v>
      </c>
    </row>
    <row r="2136" spans="1:9">
      <c r="A2136" s="195"/>
      <c r="B2136" s="233" t="s">
        <v>35522</v>
      </c>
      <c r="C2136" s="234"/>
      <c r="D2136" s="279"/>
      <c r="E2136" s="278"/>
      <c r="F2136" s="279">
        <v>4</v>
      </c>
      <c r="G2136" s="279"/>
      <c r="H2136" s="279"/>
      <c r="I2136" s="280">
        <f t="shared" si="78"/>
        <v>4</v>
      </c>
    </row>
    <row r="2137" spans="1:9">
      <c r="A2137" s="195"/>
      <c r="B2137" s="233" t="s">
        <v>35523</v>
      </c>
      <c r="C2137" s="234"/>
      <c r="D2137" s="279"/>
      <c r="E2137" s="278"/>
      <c r="F2137" s="279">
        <v>4</v>
      </c>
      <c r="G2137" s="279"/>
      <c r="H2137" s="279"/>
      <c r="I2137" s="280">
        <f t="shared" si="78"/>
        <v>4</v>
      </c>
    </row>
    <row r="2138" spans="1:9">
      <c r="A2138" s="195"/>
      <c r="B2138" s="233" t="s">
        <v>35524</v>
      </c>
      <c r="C2138" s="234"/>
      <c r="D2138" s="279"/>
      <c r="E2138" s="278"/>
      <c r="F2138" s="279">
        <v>2</v>
      </c>
      <c r="G2138" s="279"/>
      <c r="H2138" s="279"/>
      <c r="I2138" s="280">
        <f t="shared" si="78"/>
        <v>2</v>
      </c>
    </row>
    <row r="2139" spans="1:9">
      <c r="A2139" s="195"/>
      <c r="B2139" s="233" t="s">
        <v>35545</v>
      </c>
      <c r="C2139" s="234"/>
      <c r="D2139" s="279"/>
      <c r="E2139" s="278"/>
      <c r="F2139" s="279">
        <v>2</v>
      </c>
      <c r="G2139" s="279"/>
      <c r="H2139" s="279"/>
      <c r="I2139" s="280">
        <f t="shared" si="78"/>
        <v>2</v>
      </c>
    </row>
    <row r="2140" spans="1:9">
      <c r="A2140" s="195"/>
      <c r="B2140" s="233" t="s">
        <v>35527</v>
      </c>
      <c r="C2140" s="234"/>
      <c r="D2140" s="279"/>
      <c r="E2140" s="278"/>
      <c r="F2140" s="279">
        <v>4</v>
      </c>
      <c r="G2140" s="279"/>
      <c r="H2140" s="279"/>
      <c r="I2140" s="280">
        <f t="shared" si="78"/>
        <v>4</v>
      </c>
    </row>
    <row r="2141" spans="1:9">
      <c r="A2141" s="195"/>
      <c r="B2141" s="233" t="s">
        <v>35528</v>
      </c>
      <c r="C2141" s="234"/>
      <c r="D2141" s="279"/>
      <c r="E2141" s="278"/>
      <c r="F2141" s="279">
        <v>4</v>
      </c>
      <c r="G2141" s="279"/>
      <c r="H2141" s="279"/>
      <c r="I2141" s="280">
        <f t="shared" si="78"/>
        <v>4</v>
      </c>
    </row>
    <row r="2142" spans="1:9">
      <c r="A2142" s="195"/>
      <c r="B2142" s="233" t="s">
        <v>35529</v>
      </c>
      <c r="C2142" s="234"/>
      <c r="D2142" s="279"/>
      <c r="E2142" s="278"/>
      <c r="F2142" s="279">
        <v>2</v>
      </c>
      <c r="G2142" s="279"/>
      <c r="H2142" s="279"/>
      <c r="I2142" s="280">
        <f t="shared" si="78"/>
        <v>2</v>
      </c>
    </row>
    <row r="2143" spans="1:9">
      <c r="A2143" s="195"/>
      <c r="B2143" s="233" t="s">
        <v>35546</v>
      </c>
      <c r="C2143" s="234"/>
      <c r="D2143" s="279"/>
      <c r="E2143" s="278"/>
      <c r="F2143" s="279">
        <v>2</v>
      </c>
      <c r="G2143" s="279"/>
      <c r="H2143" s="279"/>
      <c r="I2143" s="280">
        <f t="shared" si="78"/>
        <v>2</v>
      </c>
    </row>
    <row r="2144" spans="1:9">
      <c r="A2144" s="195"/>
      <c r="B2144" s="189" t="s">
        <v>35601</v>
      </c>
      <c r="C2144" s="190"/>
      <c r="D2144" s="271"/>
      <c r="E2144" s="271"/>
      <c r="F2144" s="271">
        <v>8</v>
      </c>
      <c r="G2144" s="271"/>
      <c r="H2144" s="271"/>
      <c r="I2144" s="259">
        <f t="shared" si="78"/>
        <v>8</v>
      </c>
    </row>
    <row r="2145" spans="1:9">
      <c r="A2145" s="135"/>
      <c r="B2145" s="170"/>
      <c r="C2145" s="136"/>
      <c r="D2145" s="275"/>
      <c r="E2145" s="275"/>
      <c r="F2145" s="275"/>
      <c r="G2145" s="276"/>
      <c r="H2145" s="276"/>
      <c r="I2145" s="277"/>
    </row>
    <row r="2146" spans="1:9" ht="57.6">
      <c r="A2146" s="605" t="s">
        <v>35460</v>
      </c>
      <c r="B2146" s="120" t="str">
        <f>VLOOKUP(A2146,GLOBAL!A:H,4,FALSE)</f>
        <v>LUMINÁRIA EMBUTIR COMPL., CORPO CH. AÇO PINTADA BRANCA, REFLETOR,ALETAS PARABÓLICAS ALUM.ALTA PUREZA E REFLETÂNCIA NCLUSIVE 4 LÂMPADAS LED T8 9W TEMP. DE COR 5000K - REF.CE416AL-N - AMES, 6026 - LUMAVI OU EQUIVALENTE</v>
      </c>
      <c r="C2146" s="119" t="str">
        <f>VLOOKUP(A2146,GLOBAL!A:H,5,FALSE)</f>
        <v>UND</v>
      </c>
      <c r="D2146" s="267" t="s">
        <v>66</v>
      </c>
      <c r="E2146" s="267" t="s">
        <v>70</v>
      </c>
      <c r="F2146" s="267" t="s">
        <v>68</v>
      </c>
      <c r="G2146" s="267" t="s">
        <v>35628</v>
      </c>
      <c r="H2146" s="267" t="s">
        <v>71</v>
      </c>
      <c r="I2146" s="268">
        <f>ROUND(SUM(I2147:I2176),2)</f>
        <v>309</v>
      </c>
    </row>
    <row r="2147" spans="1:9">
      <c r="A2147" s="198"/>
      <c r="B2147" s="200" t="s">
        <v>2874</v>
      </c>
      <c r="C2147" s="199"/>
      <c r="D2147" s="281"/>
      <c r="E2147" s="282"/>
      <c r="F2147" s="281"/>
      <c r="G2147" s="281"/>
      <c r="H2147" s="281"/>
      <c r="I2147" s="283"/>
    </row>
    <row r="2148" spans="1:9">
      <c r="A2148" s="195"/>
      <c r="B2148" s="642" t="s">
        <v>35624</v>
      </c>
      <c r="C2148" s="234"/>
      <c r="D2148" s="641"/>
      <c r="E2148" s="641"/>
      <c r="F2148" s="279"/>
      <c r="G2148" s="279"/>
      <c r="H2148" s="279"/>
      <c r="I2148" s="280"/>
    </row>
    <row r="2149" spans="1:9">
      <c r="A2149" s="195"/>
      <c r="B2149" s="233" t="s">
        <v>35605</v>
      </c>
      <c r="C2149" s="234"/>
      <c r="D2149" s="279"/>
      <c r="E2149" s="278"/>
      <c r="F2149" s="279">
        <v>4</v>
      </c>
      <c r="G2149" s="279"/>
      <c r="H2149" s="279"/>
      <c r="I2149" s="280">
        <f>F2149</f>
        <v>4</v>
      </c>
    </row>
    <row r="2150" spans="1:9">
      <c r="A2150" s="195"/>
      <c r="B2150" s="233" t="s">
        <v>35606</v>
      </c>
      <c r="C2150" s="234"/>
      <c r="D2150" s="279"/>
      <c r="E2150" s="278"/>
      <c r="F2150" s="279">
        <v>4</v>
      </c>
      <c r="G2150" s="279"/>
      <c r="H2150" s="279"/>
      <c r="I2150" s="280">
        <f t="shared" ref="I2150:I2162" si="79">F2150</f>
        <v>4</v>
      </c>
    </row>
    <row r="2151" spans="1:9">
      <c r="A2151" s="195"/>
      <c r="B2151" s="233" t="s">
        <v>35607</v>
      </c>
      <c r="C2151" s="234"/>
      <c r="D2151" s="279"/>
      <c r="E2151" s="278"/>
      <c r="F2151" s="279">
        <v>6</v>
      </c>
      <c r="G2151" s="279"/>
      <c r="H2151" s="279"/>
      <c r="I2151" s="280">
        <f t="shared" si="79"/>
        <v>6</v>
      </c>
    </row>
    <row r="2152" spans="1:9">
      <c r="A2152" s="195"/>
      <c r="B2152" s="233" t="s">
        <v>35608</v>
      </c>
      <c r="C2152" s="234"/>
      <c r="D2152" s="279"/>
      <c r="E2152" s="278"/>
      <c r="F2152" s="279">
        <v>6</v>
      </c>
      <c r="G2152" s="279"/>
      <c r="H2152" s="279"/>
      <c r="I2152" s="280">
        <f t="shared" si="79"/>
        <v>6</v>
      </c>
    </row>
    <row r="2153" spans="1:9">
      <c r="A2153" s="195"/>
      <c r="B2153" s="233" t="s">
        <v>35609</v>
      </c>
      <c r="C2153" s="234"/>
      <c r="D2153" s="279"/>
      <c r="E2153" s="278"/>
      <c r="F2153" s="279">
        <v>10</v>
      </c>
      <c r="G2153" s="279"/>
      <c r="H2153" s="279"/>
      <c r="I2153" s="280">
        <f t="shared" si="79"/>
        <v>10</v>
      </c>
    </row>
    <row r="2154" spans="1:9">
      <c r="A2154" s="195"/>
      <c r="B2154" s="233" t="s">
        <v>35610</v>
      </c>
      <c r="C2154" s="234"/>
      <c r="D2154" s="279"/>
      <c r="E2154" s="278"/>
      <c r="F2154" s="279">
        <v>4</v>
      </c>
      <c r="G2154" s="279"/>
      <c r="H2154" s="279"/>
      <c r="I2154" s="280">
        <f t="shared" si="79"/>
        <v>4</v>
      </c>
    </row>
    <row r="2155" spans="1:9">
      <c r="A2155" s="195"/>
      <c r="B2155" s="233" t="s">
        <v>35611</v>
      </c>
      <c r="C2155" s="234"/>
      <c r="D2155" s="279"/>
      <c r="E2155" s="278"/>
      <c r="F2155" s="279">
        <v>4</v>
      </c>
      <c r="G2155" s="279"/>
      <c r="H2155" s="279"/>
      <c r="I2155" s="280">
        <f t="shared" si="79"/>
        <v>4</v>
      </c>
    </row>
    <row r="2156" spans="1:9">
      <c r="A2156" s="195"/>
      <c r="B2156" s="233" t="s">
        <v>35612</v>
      </c>
      <c r="C2156" s="234"/>
      <c r="D2156" s="279"/>
      <c r="E2156" s="278"/>
      <c r="F2156" s="279">
        <v>4</v>
      </c>
      <c r="G2156" s="279"/>
      <c r="H2156" s="279"/>
      <c r="I2156" s="280">
        <f t="shared" si="79"/>
        <v>4</v>
      </c>
    </row>
    <row r="2157" spans="1:9">
      <c r="A2157" s="195"/>
      <c r="B2157" s="233" t="s">
        <v>35613</v>
      </c>
      <c r="C2157" s="234"/>
      <c r="D2157" s="279"/>
      <c r="E2157" s="278"/>
      <c r="F2157" s="279">
        <v>2</v>
      </c>
      <c r="G2157" s="279"/>
      <c r="H2157" s="279"/>
      <c r="I2157" s="280">
        <f t="shared" si="79"/>
        <v>2</v>
      </c>
    </row>
    <row r="2158" spans="1:9">
      <c r="A2158" s="195"/>
      <c r="B2158" s="233" t="s">
        <v>35614</v>
      </c>
      <c r="C2158" s="234"/>
      <c r="D2158" s="279"/>
      <c r="E2158" s="278"/>
      <c r="F2158" s="279">
        <v>4</v>
      </c>
      <c r="G2158" s="279"/>
      <c r="H2158" s="279"/>
      <c r="I2158" s="280">
        <f t="shared" si="79"/>
        <v>4</v>
      </c>
    </row>
    <row r="2159" spans="1:9">
      <c r="A2159" s="195"/>
      <c r="B2159" s="233" t="s">
        <v>35615</v>
      </c>
      <c r="C2159" s="234"/>
      <c r="D2159" s="279"/>
      <c r="E2159" s="278"/>
      <c r="F2159" s="279">
        <v>4</v>
      </c>
      <c r="G2159" s="279"/>
      <c r="H2159" s="279"/>
      <c r="I2159" s="280">
        <f t="shared" si="79"/>
        <v>4</v>
      </c>
    </row>
    <row r="2160" spans="1:9">
      <c r="A2160" s="195"/>
      <c r="B2160" s="233" t="s">
        <v>35616</v>
      </c>
      <c r="C2160" s="234"/>
      <c r="D2160" s="279"/>
      <c r="E2160" s="278"/>
      <c r="F2160" s="279">
        <v>10</v>
      </c>
      <c r="G2160" s="279"/>
      <c r="H2160" s="279"/>
      <c r="I2160" s="280">
        <f t="shared" si="79"/>
        <v>10</v>
      </c>
    </row>
    <row r="2161" spans="1:9">
      <c r="A2161" s="195"/>
      <c r="B2161" s="233" t="s">
        <v>35617</v>
      </c>
      <c r="C2161" s="234"/>
      <c r="D2161" s="279"/>
      <c r="E2161" s="278"/>
      <c r="F2161" s="279">
        <v>8</v>
      </c>
      <c r="G2161" s="279"/>
      <c r="H2161" s="279"/>
      <c r="I2161" s="280">
        <f t="shared" si="79"/>
        <v>8</v>
      </c>
    </row>
    <row r="2162" spans="1:9">
      <c r="A2162" s="195"/>
      <c r="B2162" s="233" t="s">
        <v>35618</v>
      </c>
      <c r="C2162" s="234"/>
      <c r="D2162" s="279"/>
      <c r="E2162" s="278"/>
      <c r="F2162" s="279">
        <v>1</v>
      </c>
      <c r="G2162" s="279"/>
      <c r="H2162" s="279"/>
      <c r="I2162" s="280">
        <f t="shared" si="79"/>
        <v>1</v>
      </c>
    </row>
    <row r="2163" spans="1:9">
      <c r="A2163" s="195"/>
      <c r="B2163" s="233" t="s">
        <v>35619</v>
      </c>
      <c r="C2163" s="234"/>
      <c r="D2163" s="279"/>
      <c r="E2163" s="278"/>
      <c r="F2163" s="279">
        <v>8</v>
      </c>
      <c r="G2163" s="279"/>
      <c r="H2163" s="279"/>
      <c r="I2163" s="280">
        <f t="shared" ref="I2163:I2167" si="80">F2163</f>
        <v>8</v>
      </c>
    </row>
    <row r="2164" spans="1:9">
      <c r="A2164" s="195"/>
      <c r="B2164" s="233" t="s">
        <v>35620</v>
      </c>
      <c r="C2164" s="234"/>
      <c r="D2164" s="279"/>
      <c r="E2164" s="278"/>
      <c r="F2164" s="279">
        <v>14</v>
      </c>
      <c r="G2164" s="279"/>
      <c r="H2164" s="279"/>
      <c r="I2164" s="280">
        <f t="shared" si="80"/>
        <v>14</v>
      </c>
    </row>
    <row r="2165" spans="1:9">
      <c r="A2165" s="195"/>
      <c r="B2165" s="233" t="s">
        <v>35621</v>
      </c>
      <c r="C2165" s="234"/>
      <c r="D2165" s="279"/>
      <c r="E2165" s="278"/>
      <c r="F2165" s="279">
        <v>4</v>
      </c>
      <c r="G2165" s="279"/>
      <c r="H2165" s="279"/>
      <c r="I2165" s="280">
        <f t="shared" si="80"/>
        <v>4</v>
      </c>
    </row>
    <row r="2166" spans="1:9">
      <c r="A2166" s="195"/>
      <c r="B2166" s="233" t="s">
        <v>35622</v>
      </c>
      <c r="C2166" s="234"/>
      <c r="D2166" s="279"/>
      <c r="E2166" s="278"/>
      <c r="F2166" s="279">
        <v>20</v>
      </c>
      <c r="G2166" s="279"/>
      <c r="H2166" s="279"/>
      <c r="I2166" s="280">
        <f t="shared" si="80"/>
        <v>20</v>
      </c>
    </row>
    <row r="2167" spans="1:9">
      <c r="A2167" s="195"/>
      <c r="B2167" s="233" t="s">
        <v>35623</v>
      </c>
      <c r="C2167" s="234"/>
      <c r="D2167" s="279"/>
      <c r="E2167" s="278"/>
      <c r="F2167" s="279">
        <v>2</v>
      </c>
      <c r="G2167" s="279"/>
      <c r="H2167" s="279"/>
      <c r="I2167" s="280">
        <f t="shared" si="80"/>
        <v>2</v>
      </c>
    </row>
    <row r="2168" spans="1:9">
      <c r="A2168" s="195"/>
      <c r="B2168" s="642" t="s">
        <v>35625</v>
      </c>
      <c r="C2168" s="234"/>
      <c r="D2168" s="641"/>
      <c r="E2168" s="641"/>
      <c r="F2168" s="279"/>
      <c r="G2168" s="279"/>
      <c r="H2168" s="279"/>
      <c r="I2168" s="280"/>
    </row>
    <row r="2169" spans="1:9">
      <c r="A2169" s="195"/>
      <c r="B2169" s="233" t="s">
        <v>35616</v>
      </c>
      <c r="C2169" s="234"/>
      <c r="D2169" s="279"/>
      <c r="E2169" s="278"/>
      <c r="F2169" s="279">
        <v>6</v>
      </c>
      <c r="G2169" s="279"/>
      <c r="H2169" s="279"/>
      <c r="I2169" s="280">
        <f>F2169</f>
        <v>6</v>
      </c>
    </row>
    <row r="2170" spans="1:9">
      <c r="A2170" s="195"/>
      <c r="B2170" s="233" t="s">
        <v>35626</v>
      </c>
      <c r="C2170" s="234"/>
      <c r="D2170" s="279"/>
      <c r="E2170" s="278"/>
      <c r="F2170" s="279">
        <v>2</v>
      </c>
      <c r="G2170" s="279"/>
      <c r="H2170" s="279"/>
      <c r="I2170" s="280">
        <f t="shared" ref="I2170" si="81">F2170</f>
        <v>2</v>
      </c>
    </row>
    <row r="2171" spans="1:9">
      <c r="A2171" s="195"/>
      <c r="B2171" s="233" t="s">
        <v>35627</v>
      </c>
      <c r="C2171" s="234"/>
      <c r="D2171" s="279"/>
      <c r="E2171" s="278"/>
      <c r="F2171" s="279">
        <v>6</v>
      </c>
      <c r="G2171" s="279">
        <v>12</v>
      </c>
      <c r="H2171" s="279"/>
      <c r="I2171" s="280">
        <f>F2171*G2171</f>
        <v>72</v>
      </c>
    </row>
    <row r="2172" spans="1:9">
      <c r="A2172" s="195"/>
      <c r="B2172" s="642" t="s">
        <v>35629</v>
      </c>
      <c r="C2172" s="234"/>
      <c r="D2172" s="641"/>
      <c r="E2172" s="641"/>
      <c r="F2172" s="279"/>
      <c r="G2172" s="279"/>
      <c r="H2172" s="279"/>
      <c r="I2172" s="280"/>
    </row>
    <row r="2173" spans="1:9">
      <c r="A2173" s="195"/>
      <c r="B2173" s="233" t="s">
        <v>35616</v>
      </c>
      <c r="C2173" s="234"/>
      <c r="D2173" s="279"/>
      <c r="E2173" s="278"/>
      <c r="F2173" s="279">
        <v>6</v>
      </c>
      <c r="G2173" s="279"/>
      <c r="H2173" s="279"/>
      <c r="I2173" s="280">
        <f>F2173</f>
        <v>6</v>
      </c>
    </row>
    <row r="2174" spans="1:9">
      <c r="A2174" s="195"/>
      <c r="B2174" s="233" t="s">
        <v>35626</v>
      </c>
      <c r="C2174" s="234"/>
      <c r="D2174" s="279"/>
      <c r="E2174" s="278"/>
      <c r="F2174" s="279">
        <v>2</v>
      </c>
      <c r="G2174" s="279"/>
      <c r="H2174" s="279"/>
      <c r="I2174" s="280">
        <f t="shared" ref="I2174" si="82">F2174</f>
        <v>2</v>
      </c>
    </row>
    <row r="2175" spans="1:9">
      <c r="A2175" s="195"/>
      <c r="B2175" s="233" t="s">
        <v>35627</v>
      </c>
      <c r="C2175" s="234"/>
      <c r="D2175" s="279"/>
      <c r="E2175" s="278"/>
      <c r="F2175" s="279">
        <v>6</v>
      </c>
      <c r="G2175" s="279">
        <v>12</v>
      </c>
      <c r="H2175" s="279"/>
      <c r="I2175" s="280">
        <f>F2175*G2175</f>
        <v>72</v>
      </c>
    </row>
    <row r="2176" spans="1:9">
      <c r="A2176" s="195"/>
      <c r="B2176" s="189" t="s">
        <v>35601</v>
      </c>
      <c r="C2176" s="190"/>
      <c r="D2176" s="271"/>
      <c r="E2176" s="271"/>
      <c r="F2176" s="271">
        <v>30</v>
      </c>
      <c r="G2176" s="271"/>
      <c r="H2176" s="271"/>
      <c r="I2176" s="259">
        <f t="shared" ref="I2176" si="83">F2176</f>
        <v>30</v>
      </c>
    </row>
    <row r="2177" spans="1:9">
      <c r="A2177" s="135"/>
      <c r="B2177" s="170"/>
      <c r="C2177" s="136"/>
      <c r="D2177" s="275"/>
      <c r="E2177" s="275"/>
      <c r="F2177" s="275"/>
      <c r="G2177" s="276"/>
      <c r="H2177" s="276"/>
      <c r="I2177" s="277"/>
    </row>
    <row r="2178" spans="1:9">
      <c r="A2178" s="184" t="s">
        <v>23686</v>
      </c>
      <c r="B2178" s="171" t="str">
        <f>VLOOKUP(A2178,GLOBAL!A:H,4,FALSE)</f>
        <v>PINTURA</v>
      </c>
      <c r="C2178" s="172"/>
      <c r="D2178" s="265"/>
      <c r="E2178" s="265"/>
      <c r="F2178" s="265"/>
      <c r="G2178" s="265"/>
      <c r="H2178" s="265"/>
      <c r="I2178" s="266"/>
    </row>
    <row r="2179" spans="1:9">
      <c r="A2179" s="184" t="s">
        <v>9760</v>
      </c>
      <c r="B2179" s="171" t="str">
        <f>VLOOKUP(A2179,GLOBAL!A:H,4,FALSE)</f>
        <v>SOBRE PAREDES E FORROS</v>
      </c>
      <c r="C2179" s="172"/>
      <c r="D2179" s="265"/>
      <c r="E2179" s="265"/>
      <c r="F2179" s="265"/>
      <c r="G2179" s="265"/>
      <c r="H2179" s="265"/>
      <c r="I2179" s="266"/>
    </row>
    <row r="2180" spans="1:9" ht="57.6">
      <c r="A2180" s="605" t="s">
        <v>23687</v>
      </c>
      <c r="B2180" s="120" t="str">
        <f>VLOOKUP(A2180,GLOBAL!A:H,4,FALSE)</f>
        <v>EMASSAMENTO DE PAREDES E FORROS, COM DUAS DEMÃOS DE MASSA CORRIDA, REFERÊNCIA SUVINIL, CORAL, METALATEX OU EQUIVALENTE, INCLUSIVE UMA DEMÃO DE LIQUIDO SELADOR PVA, REFERÊNCIA SUVINIL, CORAL OU METALATEX OU EQUIVALENTE</v>
      </c>
      <c r="C2180" s="119" t="str">
        <f>VLOOKUP(A2180,GLOBAL!A:H,5,FALSE)</f>
        <v>M2</v>
      </c>
      <c r="D2180" s="267" t="s">
        <v>66</v>
      </c>
      <c r="E2180" s="267" t="s">
        <v>70</v>
      </c>
      <c r="F2180" s="267" t="s">
        <v>67</v>
      </c>
      <c r="G2180" s="267" t="s">
        <v>68</v>
      </c>
      <c r="H2180" s="267" t="s">
        <v>35630</v>
      </c>
      <c r="I2180" s="268">
        <f>ROUND(SUM(I2182:I2240),2)</f>
        <v>2693.48</v>
      </c>
    </row>
    <row r="2181" spans="1:9">
      <c r="A2181" s="198"/>
      <c r="B2181" s="200" t="s">
        <v>2874</v>
      </c>
      <c r="C2181" s="199"/>
      <c r="D2181" s="281"/>
      <c r="E2181" s="282"/>
      <c r="F2181" s="281"/>
      <c r="G2181" s="281"/>
      <c r="H2181" s="281"/>
      <c r="I2181" s="283"/>
    </row>
    <row r="2182" spans="1:9">
      <c r="A2182" s="195"/>
      <c r="B2182" s="642" t="s">
        <v>35624</v>
      </c>
      <c r="C2182" s="234"/>
      <c r="D2182" s="641"/>
      <c r="E2182" s="641"/>
      <c r="F2182" s="279"/>
      <c r="G2182" s="279"/>
      <c r="H2182" s="279"/>
      <c r="I2182" s="280"/>
    </row>
    <row r="2183" spans="1:9">
      <c r="A2183" s="195"/>
      <c r="B2183" s="233" t="s">
        <v>35605</v>
      </c>
      <c r="C2183" s="234"/>
      <c r="D2183" s="279">
        <v>4.7</v>
      </c>
      <c r="E2183" s="278">
        <v>3.45</v>
      </c>
      <c r="F2183" s="279"/>
      <c r="G2183" s="279"/>
      <c r="H2183" s="279">
        <f>D2183*E2183</f>
        <v>16.215</v>
      </c>
      <c r="I2183" s="280">
        <f>H2183</f>
        <v>16.215</v>
      </c>
    </row>
    <row r="2184" spans="1:9">
      <c r="A2184" s="195"/>
      <c r="B2184" s="233" t="s">
        <v>35606</v>
      </c>
      <c r="C2184" s="234"/>
      <c r="D2184" s="279">
        <v>4.7</v>
      </c>
      <c r="E2184" s="278">
        <v>3.4</v>
      </c>
      <c r="F2184" s="279"/>
      <c r="G2184" s="279"/>
      <c r="H2184" s="279">
        <f t="shared" ref="H2184:H2222" si="84">D2184*E2184</f>
        <v>15.98</v>
      </c>
      <c r="I2184" s="280">
        <f t="shared" ref="I2184:I2229" si="85">H2184</f>
        <v>15.98</v>
      </c>
    </row>
    <row r="2185" spans="1:9">
      <c r="A2185" s="195"/>
      <c r="B2185" s="233" t="s">
        <v>35607</v>
      </c>
      <c r="C2185" s="234"/>
      <c r="D2185" s="279">
        <v>4.2</v>
      </c>
      <c r="E2185" s="278">
        <v>5.15</v>
      </c>
      <c r="F2185" s="279"/>
      <c r="G2185" s="279"/>
      <c r="H2185" s="279">
        <f t="shared" si="84"/>
        <v>21.630000000000003</v>
      </c>
      <c r="I2185" s="280">
        <f t="shared" si="85"/>
        <v>21.630000000000003</v>
      </c>
    </row>
    <row r="2186" spans="1:9">
      <c r="A2186" s="195"/>
      <c r="B2186" s="233" t="s">
        <v>35608</v>
      </c>
      <c r="C2186" s="234"/>
      <c r="D2186" s="279">
        <v>4.2</v>
      </c>
      <c r="E2186" s="278">
        <v>4.4000000000000004</v>
      </c>
      <c r="F2186" s="279"/>
      <c r="G2186" s="279"/>
      <c r="H2186" s="279">
        <f t="shared" si="84"/>
        <v>18.480000000000004</v>
      </c>
      <c r="I2186" s="280">
        <f t="shared" si="85"/>
        <v>18.480000000000004</v>
      </c>
    </row>
    <row r="2187" spans="1:9">
      <c r="A2187" s="195"/>
      <c r="B2187" s="233" t="s">
        <v>35609</v>
      </c>
      <c r="C2187" s="234"/>
      <c r="D2187" s="279">
        <v>4.2</v>
      </c>
      <c r="E2187" s="278">
        <v>9.65</v>
      </c>
      <c r="F2187" s="279"/>
      <c r="G2187" s="279"/>
      <c r="H2187" s="279">
        <f t="shared" si="84"/>
        <v>40.53</v>
      </c>
      <c r="I2187" s="280">
        <f t="shared" si="85"/>
        <v>40.53</v>
      </c>
    </row>
    <row r="2188" spans="1:9">
      <c r="A2188" s="195"/>
      <c r="B2188" s="233" t="s">
        <v>35610</v>
      </c>
      <c r="C2188" s="234"/>
      <c r="D2188" s="279">
        <v>5</v>
      </c>
      <c r="E2188" s="278">
        <v>3.62</v>
      </c>
      <c r="F2188" s="279"/>
      <c r="G2188" s="279"/>
      <c r="H2188" s="279">
        <f t="shared" si="84"/>
        <v>18.100000000000001</v>
      </c>
      <c r="I2188" s="280">
        <f t="shared" si="85"/>
        <v>18.100000000000001</v>
      </c>
    </row>
    <row r="2189" spans="1:9">
      <c r="A2189" s="195"/>
      <c r="B2189" s="233" t="s">
        <v>35611</v>
      </c>
      <c r="C2189" s="234"/>
      <c r="D2189" s="279">
        <v>5</v>
      </c>
      <c r="E2189" s="278">
        <v>3.2</v>
      </c>
      <c r="F2189" s="279"/>
      <c r="G2189" s="279"/>
      <c r="H2189" s="279">
        <f t="shared" si="84"/>
        <v>16</v>
      </c>
      <c r="I2189" s="280">
        <f t="shared" si="85"/>
        <v>16</v>
      </c>
    </row>
    <row r="2190" spans="1:9">
      <c r="A2190" s="195"/>
      <c r="B2190" s="233" t="s">
        <v>35612</v>
      </c>
      <c r="C2190" s="234"/>
      <c r="D2190" s="279">
        <v>5</v>
      </c>
      <c r="E2190" s="278">
        <v>2.63</v>
      </c>
      <c r="F2190" s="279"/>
      <c r="G2190" s="279"/>
      <c r="H2190" s="279">
        <f t="shared" si="84"/>
        <v>13.149999999999999</v>
      </c>
      <c r="I2190" s="280">
        <f t="shared" si="85"/>
        <v>13.149999999999999</v>
      </c>
    </row>
    <row r="2191" spans="1:9">
      <c r="A2191" s="195"/>
      <c r="B2191" s="233" t="s">
        <v>35613</v>
      </c>
      <c r="C2191" s="234"/>
      <c r="D2191" s="279">
        <v>1.2</v>
      </c>
      <c r="E2191" s="278">
        <v>2.5</v>
      </c>
      <c r="F2191" s="279"/>
      <c r="G2191" s="279"/>
      <c r="H2191" s="279">
        <f t="shared" si="84"/>
        <v>3</v>
      </c>
      <c r="I2191" s="280">
        <f t="shared" si="85"/>
        <v>3</v>
      </c>
    </row>
    <row r="2192" spans="1:9">
      <c r="A2192" s="195"/>
      <c r="B2192" s="233" t="s">
        <v>35613</v>
      </c>
      <c r="C2192" s="234"/>
      <c r="D2192" s="279">
        <v>1.2</v>
      </c>
      <c r="E2192" s="278">
        <v>2.15</v>
      </c>
      <c r="F2192" s="279"/>
      <c r="G2192" s="279"/>
      <c r="H2192" s="279">
        <f t="shared" ref="H2192" si="86">D2192*E2192</f>
        <v>2.5799999999999996</v>
      </c>
      <c r="I2192" s="280">
        <f t="shared" si="85"/>
        <v>2.5799999999999996</v>
      </c>
    </row>
    <row r="2193" spans="1:9">
      <c r="A2193" s="195"/>
      <c r="B2193" s="233" t="s">
        <v>35614</v>
      </c>
      <c r="C2193" s="234"/>
      <c r="D2193" s="279">
        <v>3.5</v>
      </c>
      <c r="E2193" s="278">
        <v>5.2</v>
      </c>
      <c r="F2193" s="279"/>
      <c r="G2193" s="279"/>
      <c r="H2193" s="279">
        <f t="shared" si="84"/>
        <v>18.2</v>
      </c>
      <c r="I2193" s="280">
        <f t="shared" si="85"/>
        <v>18.2</v>
      </c>
    </row>
    <row r="2194" spans="1:9">
      <c r="A2194" s="195"/>
      <c r="B2194" s="233" t="s">
        <v>35615</v>
      </c>
      <c r="C2194" s="234"/>
      <c r="D2194" s="279">
        <v>3.5</v>
      </c>
      <c r="E2194" s="278">
        <v>4.8</v>
      </c>
      <c r="F2194" s="279"/>
      <c r="G2194" s="279"/>
      <c r="H2194" s="279">
        <f t="shared" si="84"/>
        <v>16.8</v>
      </c>
      <c r="I2194" s="280">
        <f t="shared" si="85"/>
        <v>16.8</v>
      </c>
    </row>
    <row r="2195" spans="1:9">
      <c r="A2195" s="195"/>
      <c r="B2195" s="233" t="s">
        <v>35616</v>
      </c>
      <c r="C2195" s="234"/>
      <c r="D2195" s="279">
        <v>7.3</v>
      </c>
      <c r="E2195" s="278">
        <v>6.3</v>
      </c>
      <c r="F2195" s="279"/>
      <c r="G2195" s="279"/>
      <c r="H2195" s="279">
        <f t="shared" si="84"/>
        <v>45.989999999999995</v>
      </c>
      <c r="I2195" s="280">
        <f t="shared" si="85"/>
        <v>45.989999999999995</v>
      </c>
    </row>
    <row r="2196" spans="1:9">
      <c r="A2196" s="195"/>
      <c r="B2196" s="233" t="s">
        <v>35617</v>
      </c>
      <c r="C2196" s="234"/>
      <c r="D2196" s="279">
        <v>5.35</v>
      </c>
      <c r="E2196" s="278">
        <v>4.8</v>
      </c>
      <c r="F2196" s="279"/>
      <c r="G2196" s="279"/>
      <c r="H2196" s="279">
        <f t="shared" si="84"/>
        <v>25.679999999999996</v>
      </c>
      <c r="I2196" s="280">
        <f t="shared" si="85"/>
        <v>25.679999999999996</v>
      </c>
    </row>
    <row r="2197" spans="1:9">
      <c r="A2197" s="195"/>
      <c r="B2197" s="233" t="s">
        <v>35618</v>
      </c>
      <c r="C2197" s="234"/>
      <c r="D2197" s="279">
        <v>1.85</v>
      </c>
      <c r="E2197" s="278">
        <v>2.25</v>
      </c>
      <c r="F2197" s="279"/>
      <c r="G2197" s="279"/>
      <c r="H2197" s="279">
        <f t="shared" si="84"/>
        <v>4.1625000000000005</v>
      </c>
      <c r="I2197" s="280">
        <f t="shared" si="85"/>
        <v>4.1625000000000005</v>
      </c>
    </row>
    <row r="2198" spans="1:9">
      <c r="A2198" s="195"/>
      <c r="B2198" s="233" t="s">
        <v>35619</v>
      </c>
      <c r="C2198" s="234"/>
      <c r="D2198" s="279"/>
      <c r="E2198" s="278"/>
      <c r="F2198" s="279"/>
      <c r="G2198" s="279"/>
      <c r="H2198" s="279">
        <v>46.5</v>
      </c>
      <c r="I2198" s="280">
        <f t="shared" si="85"/>
        <v>46.5</v>
      </c>
    </row>
    <row r="2199" spans="1:9">
      <c r="A2199" s="195"/>
      <c r="B2199" s="233" t="s">
        <v>35620</v>
      </c>
      <c r="C2199" s="234"/>
      <c r="D2199" s="279"/>
      <c r="E2199" s="278"/>
      <c r="F2199" s="279"/>
      <c r="G2199" s="279"/>
      <c r="H2199" s="279">
        <v>147.93</v>
      </c>
      <c r="I2199" s="280">
        <f t="shared" si="85"/>
        <v>147.93</v>
      </c>
    </row>
    <row r="2200" spans="1:9">
      <c r="A2200" s="195"/>
      <c r="B2200" s="233" t="s">
        <v>35621</v>
      </c>
      <c r="C2200" s="234"/>
      <c r="D2200" s="279">
        <v>3.5</v>
      </c>
      <c r="E2200" s="278">
        <v>4.9000000000000004</v>
      </c>
      <c r="F2200" s="279"/>
      <c r="G2200" s="279"/>
      <c r="H2200" s="279">
        <f t="shared" si="84"/>
        <v>17.150000000000002</v>
      </c>
      <c r="I2200" s="280">
        <f t="shared" si="85"/>
        <v>17.150000000000002</v>
      </c>
    </row>
    <row r="2201" spans="1:9">
      <c r="A2201" s="195"/>
      <c r="B2201" s="233" t="s">
        <v>35622</v>
      </c>
      <c r="C2201" s="234"/>
      <c r="D2201" s="279">
        <v>14.5</v>
      </c>
      <c r="E2201" s="278">
        <v>7.5</v>
      </c>
      <c r="F2201" s="279"/>
      <c r="G2201" s="279"/>
      <c r="H2201" s="279">
        <f t="shared" si="84"/>
        <v>108.75</v>
      </c>
      <c r="I2201" s="280">
        <f t="shared" si="85"/>
        <v>108.75</v>
      </c>
    </row>
    <row r="2202" spans="1:9">
      <c r="A2202" s="195"/>
      <c r="B2202" s="233" t="s">
        <v>35623</v>
      </c>
      <c r="C2202" s="234"/>
      <c r="D2202" s="279">
        <v>3.5</v>
      </c>
      <c r="E2202" s="278">
        <v>2.5</v>
      </c>
      <c r="F2202" s="279"/>
      <c r="G2202" s="279"/>
      <c r="H2202" s="279">
        <f t="shared" si="84"/>
        <v>8.75</v>
      </c>
      <c r="I2202" s="280">
        <f t="shared" si="85"/>
        <v>8.75</v>
      </c>
    </row>
    <row r="2203" spans="1:9">
      <c r="A2203" s="195"/>
      <c r="B2203" s="233" t="s">
        <v>35631</v>
      </c>
      <c r="C2203" s="234"/>
      <c r="D2203" s="641">
        <v>4.8499999999999996</v>
      </c>
      <c r="E2203" s="643">
        <v>4.0999999999999996</v>
      </c>
      <c r="F2203" s="279"/>
      <c r="G2203" s="279"/>
      <c r="H2203" s="279">
        <f t="shared" ref="H2203:H2209" si="87">D2203*E2203</f>
        <v>19.884999999999998</v>
      </c>
      <c r="I2203" s="280">
        <f t="shared" si="85"/>
        <v>19.884999999999998</v>
      </c>
    </row>
    <row r="2204" spans="1:9">
      <c r="A2204" s="195"/>
      <c r="B2204" s="233" t="s">
        <v>35632</v>
      </c>
      <c r="C2204" s="234"/>
      <c r="D2204" s="641">
        <v>4.8499999999999996</v>
      </c>
      <c r="E2204" s="643">
        <v>4.0999999999999996</v>
      </c>
      <c r="F2204" s="279"/>
      <c r="G2204" s="279"/>
      <c r="H2204" s="279">
        <f t="shared" si="87"/>
        <v>19.884999999999998</v>
      </c>
      <c r="I2204" s="280">
        <f t="shared" si="85"/>
        <v>19.884999999999998</v>
      </c>
    </row>
    <row r="2205" spans="1:9">
      <c r="A2205" s="195"/>
      <c r="B2205" s="233" t="s">
        <v>35633</v>
      </c>
      <c r="C2205" s="234"/>
      <c r="D2205" s="641">
        <v>2.1</v>
      </c>
      <c r="E2205" s="643">
        <v>2</v>
      </c>
      <c r="F2205" s="279"/>
      <c r="G2205" s="279"/>
      <c r="H2205" s="279">
        <f t="shared" si="87"/>
        <v>4.2</v>
      </c>
      <c r="I2205" s="280">
        <f t="shared" si="85"/>
        <v>4.2</v>
      </c>
    </row>
    <row r="2206" spans="1:9">
      <c r="A2206" s="195"/>
      <c r="B2206" s="233" t="s">
        <v>35634</v>
      </c>
      <c r="C2206" s="234"/>
      <c r="D2206" s="641">
        <v>4.6500000000000004</v>
      </c>
      <c r="E2206" s="643">
        <v>2.4500000000000002</v>
      </c>
      <c r="F2206" s="279"/>
      <c r="G2206" s="279"/>
      <c r="H2206" s="279">
        <v>7</v>
      </c>
      <c r="I2206" s="280">
        <f t="shared" si="85"/>
        <v>7</v>
      </c>
    </row>
    <row r="2207" spans="1:9">
      <c r="A2207" s="195"/>
      <c r="B2207" s="233" t="s">
        <v>35635</v>
      </c>
      <c r="C2207" s="234"/>
      <c r="D2207" s="641">
        <v>2.5</v>
      </c>
      <c r="E2207" s="643">
        <v>1.5</v>
      </c>
      <c r="F2207" s="279"/>
      <c r="G2207" s="279"/>
      <c r="H2207" s="279">
        <f t="shared" si="87"/>
        <v>3.75</v>
      </c>
      <c r="I2207" s="280">
        <f t="shared" si="85"/>
        <v>3.75</v>
      </c>
    </row>
    <row r="2208" spans="1:9">
      <c r="A2208" s="195"/>
      <c r="B2208" s="233" t="s">
        <v>35636</v>
      </c>
      <c r="C2208" s="234"/>
      <c r="D2208" s="641">
        <v>3.45</v>
      </c>
      <c r="E2208" s="643">
        <v>2.39</v>
      </c>
      <c r="F2208" s="279"/>
      <c r="G2208" s="279"/>
      <c r="H2208" s="279">
        <f t="shared" si="87"/>
        <v>8.2455000000000016</v>
      </c>
      <c r="I2208" s="280">
        <f t="shared" si="85"/>
        <v>8.2455000000000016</v>
      </c>
    </row>
    <row r="2209" spans="1:9">
      <c r="A2209" s="195"/>
      <c r="B2209" s="233" t="s">
        <v>35504</v>
      </c>
      <c r="C2209" s="234"/>
      <c r="D2209" s="641">
        <v>4.3499999999999996</v>
      </c>
      <c r="E2209" s="643">
        <v>9.25</v>
      </c>
      <c r="F2209" s="279"/>
      <c r="G2209" s="279"/>
      <c r="H2209" s="279">
        <f t="shared" si="87"/>
        <v>40.237499999999997</v>
      </c>
      <c r="I2209" s="280">
        <f t="shared" si="85"/>
        <v>40.237499999999997</v>
      </c>
    </row>
    <row r="2210" spans="1:9">
      <c r="A2210" s="195"/>
      <c r="B2210" s="233" t="s">
        <v>35520</v>
      </c>
      <c r="C2210" s="234"/>
      <c r="D2210" s="641">
        <v>4.3499999999999996</v>
      </c>
      <c r="E2210" s="643">
        <v>1.5</v>
      </c>
      <c r="F2210" s="279"/>
      <c r="G2210" s="279"/>
      <c r="H2210" s="279">
        <f t="shared" ref="H2210:H2211" si="88">D2210*E2210</f>
        <v>6.5249999999999995</v>
      </c>
      <c r="I2210" s="280">
        <f t="shared" si="85"/>
        <v>6.5249999999999995</v>
      </c>
    </row>
    <row r="2211" spans="1:9">
      <c r="A2211" s="195"/>
      <c r="B2211" s="233" t="s">
        <v>35637</v>
      </c>
      <c r="C2211" s="234"/>
      <c r="D2211" s="641">
        <v>1.8</v>
      </c>
      <c r="E2211" s="643">
        <v>2.4</v>
      </c>
      <c r="F2211" s="279"/>
      <c r="G2211" s="279"/>
      <c r="H2211" s="279">
        <f t="shared" si="88"/>
        <v>4.32</v>
      </c>
      <c r="I2211" s="280">
        <f t="shared" si="85"/>
        <v>4.32</v>
      </c>
    </row>
    <row r="2212" spans="1:9">
      <c r="A2212" s="195"/>
      <c r="B2212" s="233" t="s">
        <v>35638</v>
      </c>
      <c r="C2212" s="234"/>
      <c r="D2212" s="641"/>
      <c r="E2212" s="643"/>
      <c r="F2212" s="279"/>
      <c r="G2212" s="279"/>
      <c r="H2212" s="279">
        <v>16.5</v>
      </c>
      <c r="I2212" s="280">
        <f t="shared" si="85"/>
        <v>16.5</v>
      </c>
    </row>
    <row r="2213" spans="1:9">
      <c r="A2213" s="195"/>
      <c r="B2213" s="642" t="s">
        <v>35625</v>
      </c>
      <c r="C2213" s="234"/>
      <c r="D2213" s="641"/>
      <c r="E2213" s="641"/>
      <c r="F2213" s="279"/>
      <c r="G2213" s="279"/>
      <c r="H2213" s="279"/>
      <c r="I2213" s="280"/>
    </row>
    <row r="2214" spans="1:9">
      <c r="A2214" s="195"/>
      <c r="B2214" s="233" t="s">
        <v>35616</v>
      </c>
      <c r="C2214" s="234"/>
      <c r="D2214" s="279">
        <v>4.7</v>
      </c>
      <c r="E2214" s="278">
        <v>6.95</v>
      </c>
      <c r="F2214" s="279"/>
      <c r="G2214" s="279"/>
      <c r="H2214" s="279">
        <f t="shared" si="84"/>
        <v>32.664999999999999</v>
      </c>
      <c r="I2214" s="280">
        <f t="shared" si="85"/>
        <v>32.664999999999999</v>
      </c>
    </row>
    <row r="2215" spans="1:9">
      <c r="A2215" s="195"/>
      <c r="B2215" s="233" t="s">
        <v>35626</v>
      </c>
      <c r="C2215" s="234"/>
      <c r="D2215" s="279">
        <v>2</v>
      </c>
      <c r="E2215" s="278">
        <v>4.7</v>
      </c>
      <c r="F2215" s="279"/>
      <c r="G2215" s="279"/>
      <c r="H2215" s="279">
        <f t="shared" si="84"/>
        <v>9.4</v>
      </c>
      <c r="I2215" s="280">
        <f t="shared" si="85"/>
        <v>9.4</v>
      </c>
    </row>
    <row r="2216" spans="1:9">
      <c r="A2216" s="195"/>
      <c r="B2216" s="233" t="s">
        <v>35627</v>
      </c>
      <c r="C2216" s="234"/>
      <c r="D2216" s="279">
        <v>3.2</v>
      </c>
      <c r="E2216" s="278">
        <v>9.65</v>
      </c>
      <c r="F2216" s="279"/>
      <c r="G2216" s="279">
        <v>12</v>
      </c>
      <c r="H2216" s="279">
        <f t="shared" si="84"/>
        <v>30.880000000000003</v>
      </c>
      <c r="I2216" s="280">
        <f>G2216*H2216</f>
        <v>370.56000000000006</v>
      </c>
    </row>
    <row r="2217" spans="1:9">
      <c r="A2217" s="195"/>
      <c r="B2217" s="233" t="s">
        <v>35631</v>
      </c>
      <c r="C2217" s="234"/>
      <c r="D2217" s="641">
        <v>4.8499999999999996</v>
      </c>
      <c r="E2217" s="643">
        <v>4.0999999999999996</v>
      </c>
      <c r="F2217" s="279"/>
      <c r="G2217" s="279"/>
      <c r="H2217" s="279">
        <f t="shared" si="84"/>
        <v>19.884999999999998</v>
      </c>
      <c r="I2217" s="280">
        <f t="shared" si="85"/>
        <v>19.884999999999998</v>
      </c>
    </row>
    <row r="2218" spans="1:9">
      <c r="A2218" s="195"/>
      <c r="B2218" s="233" t="s">
        <v>35632</v>
      </c>
      <c r="C2218" s="234"/>
      <c r="D2218" s="641">
        <v>4.8499999999999996</v>
      </c>
      <c r="E2218" s="643">
        <v>4.0999999999999996</v>
      </c>
      <c r="F2218" s="279"/>
      <c r="G2218" s="279"/>
      <c r="H2218" s="279">
        <f t="shared" si="84"/>
        <v>19.884999999999998</v>
      </c>
      <c r="I2218" s="280">
        <f t="shared" si="85"/>
        <v>19.884999999999998</v>
      </c>
    </row>
    <row r="2219" spans="1:9">
      <c r="A2219" s="195"/>
      <c r="B2219" s="233" t="s">
        <v>35633</v>
      </c>
      <c r="C2219" s="234"/>
      <c r="D2219" s="641">
        <v>2.1</v>
      </c>
      <c r="E2219" s="643">
        <v>2</v>
      </c>
      <c r="F2219" s="279"/>
      <c r="G2219" s="279"/>
      <c r="H2219" s="279">
        <f t="shared" si="84"/>
        <v>4.2</v>
      </c>
      <c r="I2219" s="280">
        <f t="shared" si="85"/>
        <v>4.2</v>
      </c>
    </row>
    <row r="2220" spans="1:9">
      <c r="A2220" s="195"/>
      <c r="B2220" s="233" t="s">
        <v>35639</v>
      </c>
      <c r="C2220" s="234"/>
      <c r="D2220" s="641">
        <v>1.8</v>
      </c>
      <c r="E2220" s="643">
        <v>3.9</v>
      </c>
      <c r="F2220" s="279"/>
      <c r="G2220" s="279"/>
      <c r="H2220" s="279">
        <f t="shared" si="84"/>
        <v>7.02</v>
      </c>
      <c r="I2220" s="280">
        <f t="shared" si="85"/>
        <v>7.02</v>
      </c>
    </row>
    <row r="2221" spans="1:9">
      <c r="A2221" s="195"/>
      <c r="B2221" s="233" t="s">
        <v>35638</v>
      </c>
      <c r="C2221" s="234"/>
      <c r="D2221" s="641"/>
      <c r="E2221" s="643"/>
      <c r="F2221" s="279"/>
      <c r="G2221" s="279"/>
      <c r="H2221" s="279">
        <v>137.35</v>
      </c>
      <c r="I2221" s="280">
        <f>H2221</f>
        <v>137.35</v>
      </c>
    </row>
    <row r="2222" spans="1:9">
      <c r="A2222" s="195"/>
      <c r="B2222" s="642" t="s">
        <v>35629</v>
      </c>
      <c r="C2222" s="234"/>
      <c r="D2222" s="641"/>
      <c r="E2222" s="641"/>
      <c r="F2222" s="279"/>
      <c r="G2222" s="279"/>
      <c r="H2222" s="279">
        <f t="shared" si="84"/>
        <v>0</v>
      </c>
      <c r="I2222" s="280">
        <f t="shared" si="85"/>
        <v>0</v>
      </c>
    </row>
    <row r="2223" spans="1:9">
      <c r="A2223" s="195"/>
      <c r="B2223" s="233" t="s">
        <v>35616</v>
      </c>
      <c r="C2223" s="234"/>
      <c r="D2223" s="279">
        <v>4.7</v>
      </c>
      <c r="E2223" s="278">
        <v>6.95</v>
      </c>
      <c r="F2223" s="279"/>
      <c r="G2223" s="279"/>
      <c r="H2223" s="279">
        <f t="shared" ref="H2223:H2229" si="89">D2223*E2223</f>
        <v>32.664999999999999</v>
      </c>
      <c r="I2223" s="280">
        <f t="shared" si="85"/>
        <v>32.664999999999999</v>
      </c>
    </row>
    <row r="2224" spans="1:9">
      <c r="A2224" s="195"/>
      <c r="B2224" s="233" t="s">
        <v>35626</v>
      </c>
      <c r="C2224" s="234"/>
      <c r="D2224" s="279">
        <v>2</v>
      </c>
      <c r="E2224" s="278">
        <v>4.7</v>
      </c>
      <c r="F2224" s="279"/>
      <c r="G2224" s="279"/>
      <c r="H2224" s="279">
        <f t="shared" si="89"/>
        <v>9.4</v>
      </c>
      <c r="I2224" s="280">
        <f t="shared" si="85"/>
        <v>9.4</v>
      </c>
    </row>
    <row r="2225" spans="1:9">
      <c r="A2225" s="195"/>
      <c r="B2225" s="233" t="s">
        <v>35627</v>
      </c>
      <c r="C2225" s="234"/>
      <c r="D2225" s="279">
        <v>3.2</v>
      </c>
      <c r="E2225" s="278">
        <v>9.65</v>
      </c>
      <c r="F2225" s="279"/>
      <c r="G2225" s="279">
        <v>12</v>
      </c>
      <c r="H2225" s="279">
        <f t="shared" si="89"/>
        <v>30.880000000000003</v>
      </c>
      <c r="I2225" s="280">
        <f>G2225*H2225</f>
        <v>370.56000000000006</v>
      </c>
    </row>
    <row r="2226" spans="1:9">
      <c r="A2226" s="195"/>
      <c r="B2226" s="233" t="s">
        <v>35631</v>
      </c>
      <c r="C2226" s="234"/>
      <c r="D2226" s="641">
        <v>4.8499999999999996</v>
      </c>
      <c r="E2226" s="643">
        <v>4.0999999999999996</v>
      </c>
      <c r="F2226" s="279"/>
      <c r="G2226" s="279"/>
      <c r="H2226" s="279">
        <f t="shared" si="89"/>
        <v>19.884999999999998</v>
      </c>
      <c r="I2226" s="280">
        <f t="shared" si="85"/>
        <v>19.884999999999998</v>
      </c>
    </row>
    <row r="2227" spans="1:9">
      <c r="A2227" s="195"/>
      <c r="B2227" s="233" t="s">
        <v>35632</v>
      </c>
      <c r="C2227" s="234"/>
      <c r="D2227" s="641">
        <v>4.8499999999999996</v>
      </c>
      <c r="E2227" s="643">
        <v>4.0999999999999996</v>
      </c>
      <c r="F2227" s="279"/>
      <c r="G2227" s="279"/>
      <c r="H2227" s="279">
        <f t="shared" si="89"/>
        <v>19.884999999999998</v>
      </c>
      <c r="I2227" s="280">
        <f t="shared" si="85"/>
        <v>19.884999999999998</v>
      </c>
    </row>
    <row r="2228" spans="1:9">
      <c r="A2228" s="195"/>
      <c r="B2228" s="233" t="s">
        <v>35633</v>
      </c>
      <c r="C2228" s="234"/>
      <c r="D2228" s="641">
        <v>2.1</v>
      </c>
      <c r="E2228" s="643">
        <v>2</v>
      </c>
      <c r="F2228" s="279"/>
      <c r="G2228" s="279"/>
      <c r="H2228" s="279">
        <f t="shared" si="89"/>
        <v>4.2</v>
      </c>
      <c r="I2228" s="280">
        <f t="shared" si="85"/>
        <v>4.2</v>
      </c>
    </row>
    <row r="2229" spans="1:9">
      <c r="A2229" s="195"/>
      <c r="B2229" s="233" t="s">
        <v>35639</v>
      </c>
      <c r="C2229" s="234"/>
      <c r="D2229" s="641">
        <v>1.8</v>
      </c>
      <c r="E2229" s="643">
        <v>3.9</v>
      </c>
      <c r="F2229" s="279"/>
      <c r="G2229" s="279"/>
      <c r="H2229" s="279">
        <f t="shared" si="89"/>
        <v>7.02</v>
      </c>
      <c r="I2229" s="280">
        <f t="shared" si="85"/>
        <v>7.02</v>
      </c>
    </row>
    <row r="2230" spans="1:9">
      <c r="A2230" s="195"/>
      <c r="B2230" s="233" t="s">
        <v>35638</v>
      </c>
      <c r="C2230" s="234"/>
      <c r="D2230" s="641"/>
      <c r="E2230" s="643"/>
      <c r="F2230" s="279"/>
      <c r="G2230" s="279"/>
      <c r="H2230" s="279">
        <v>121.57</v>
      </c>
      <c r="I2230" s="280">
        <f>H2230</f>
        <v>121.57</v>
      </c>
    </row>
    <row r="2231" spans="1:9">
      <c r="A2231" s="195"/>
      <c r="B2231" s="189" t="s">
        <v>35601</v>
      </c>
      <c r="C2231" s="190"/>
      <c r="D2231" s="271"/>
      <c r="E2231" s="271"/>
      <c r="F2231" s="271"/>
      <c r="G2231" s="271"/>
      <c r="H2231" s="271"/>
      <c r="I2231" s="259">
        <f>H2231</f>
        <v>0</v>
      </c>
    </row>
    <row r="2232" spans="1:9">
      <c r="A2232" s="195"/>
      <c r="B2232" s="233" t="s">
        <v>35631</v>
      </c>
      <c r="C2232" s="234"/>
      <c r="D2232" s="641"/>
      <c r="E2232" s="643"/>
      <c r="F2232" s="279"/>
      <c r="G2232" s="279"/>
      <c r="H2232" s="279">
        <v>14.03</v>
      </c>
      <c r="I2232" s="280">
        <f t="shared" ref="I2232:I2235" si="90">H2232</f>
        <v>14.03</v>
      </c>
    </row>
    <row r="2233" spans="1:9">
      <c r="A2233" s="195"/>
      <c r="B2233" s="233" t="s">
        <v>35632</v>
      </c>
      <c r="C2233" s="234"/>
      <c r="D2233" s="641"/>
      <c r="E2233" s="643"/>
      <c r="F2233" s="279"/>
      <c r="G2233" s="279"/>
      <c r="H2233" s="279">
        <v>14.03</v>
      </c>
      <c r="I2233" s="280">
        <f t="shared" si="90"/>
        <v>14.03</v>
      </c>
    </row>
    <row r="2234" spans="1:9">
      <c r="A2234" s="195"/>
      <c r="B2234" s="233" t="s">
        <v>35633</v>
      </c>
      <c r="C2234" s="234"/>
      <c r="D2234" s="641">
        <v>1.6</v>
      </c>
      <c r="E2234" s="643">
        <v>2.4500000000000002</v>
      </c>
      <c r="F2234" s="279"/>
      <c r="G2234" s="279"/>
      <c r="H2234" s="279">
        <v>3.92</v>
      </c>
      <c r="I2234" s="280">
        <f t="shared" si="90"/>
        <v>3.92</v>
      </c>
    </row>
    <row r="2235" spans="1:9">
      <c r="A2235" s="195"/>
      <c r="B2235" s="233" t="s">
        <v>35795</v>
      </c>
      <c r="C2235" s="234"/>
      <c r="D2235" s="641">
        <v>1.6</v>
      </c>
      <c r="E2235" s="643">
        <v>4.9000000000000004</v>
      </c>
      <c r="F2235" s="279"/>
      <c r="G2235" s="279"/>
      <c r="H2235" s="279">
        <f t="shared" ref="H2235" si="91">D2235*E2235</f>
        <v>7.8400000000000007</v>
      </c>
      <c r="I2235" s="280">
        <f t="shared" si="90"/>
        <v>7.8400000000000007</v>
      </c>
    </row>
    <row r="2236" spans="1:9">
      <c r="A2236" s="195"/>
      <c r="B2236" s="233" t="s">
        <v>35776</v>
      </c>
      <c r="C2236" s="234"/>
      <c r="D2236" s="641">
        <v>1.6</v>
      </c>
      <c r="E2236" s="643">
        <v>2.2999999999999998</v>
      </c>
      <c r="F2236" s="279"/>
      <c r="G2236" s="279"/>
      <c r="H2236" s="279">
        <f t="shared" ref="H2236:H2238" si="92">D2236*E2236</f>
        <v>3.6799999999999997</v>
      </c>
      <c r="I2236" s="280">
        <f t="shared" ref="I2236:I2238" si="93">H2236</f>
        <v>3.6799999999999997</v>
      </c>
    </row>
    <row r="2237" spans="1:9">
      <c r="A2237" s="195"/>
      <c r="B2237" s="233" t="s">
        <v>35785</v>
      </c>
      <c r="C2237" s="234"/>
      <c r="D2237" s="641"/>
      <c r="E2237" s="643"/>
      <c r="F2237" s="279"/>
      <c r="G2237" s="279"/>
      <c r="H2237" s="279">
        <v>359.1</v>
      </c>
      <c r="I2237" s="280">
        <f t="shared" si="93"/>
        <v>359.1</v>
      </c>
    </row>
    <row r="2238" spans="1:9">
      <c r="A2238" s="195"/>
      <c r="B2238" s="233" t="s">
        <v>35803</v>
      </c>
      <c r="C2238" s="234"/>
      <c r="D2238" s="641">
        <v>12.15</v>
      </c>
      <c r="E2238" s="643">
        <v>4</v>
      </c>
      <c r="F2238" s="279"/>
      <c r="G2238" s="279"/>
      <c r="H2238" s="279">
        <f t="shared" si="92"/>
        <v>48.6</v>
      </c>
      <c r="I2238" s="280">
        <f t="shared" si="93"/>
        <v>48.6</v>
      </c>
    </row>
    <row r="2239" spans="1:9">
      <c r="A2239" s="195"/>
      <c r="B2239" s="233" t="s">
        <v>35638</v>
      </c>
      <c r="C2239" s="234"/>
      <c r="D2239" s="641">
        <v>2.5</v>
      </c>
      <c r="E2239" s="643">
        <v>4</v>
      </c>
      <c r="F2239" s="279"/>
      <c r="G2239" s="279"/>
      <c r="H2239" s="279">
        <f t="shared" ref="H2239" si="94">D2239*E2239</f>
        <v>10</v>
      </c>
      <c r="I2239" s="280">
        <f t="shared" ref="I2239" si="95">H2239</f>
        <v>10</v>
      </c>
    </row>
    <row r="2240" spans="1:9">
      <c r="A2240" s="198"/>
      <c r="B2240" s="189" t="s">
        <v>35820</v>
      </c>
      <c r="C2240" s="199"/>
      <c r="D2240" s="719">
        <v>310</v>
      </c>
      <c r="E2240" s="720"/>
      <c r="F2240" s="281"/>
      <c r="G2240" s="281"/>
      <c r="H2240" s="281">
        <v>0</v>
      </c>
      <c r="I2240" s="607">
        <f>D2240</f>
        <v>310</v>
      </c>
    </row>
    <row r="2241" spans="1:9">
      <c r="A2241" s="135"/>
      <c r="B2241" s="170"/>
      <c r="C2241" s="136"/>
      <c r="D2241" s="275"/>
      <c r="E2241" s="275"/>
      <c r="F2241" s="275"/>
      <c r="G2241" s="276"/>
      <c r="H2241" s="276"/>
      <c r="I2241" s="277"/>
    </row>
    <row r="2242" spans="1:9" ht="72">
      <c r="A2242" s="605" t="s">
        <v>27024</v>
      </c>
      <c r="B2242" s="120" t="str">
        <f>VLOOKUP(A2242,GLOBAL!A:H,4,FALSE)</f>
        <v>EMASSAMENTO DE PAREDES E FORROS, COM DUAS DEMÃOS DE MASSA ACRÍLICA PREMIUM, REFERÊNCIA SUVINIL, CORAL OU SHERWIN WILLIAMS OU EQUIVALENTE, INCLUSIVE UMA DEMÃO DE LIQUIDO SELADOR ACRÍLICO, REFERÊNCIA SUVINIL, CORAL OU METALATEX OU EQUIVALENTE</v>
      </c>
      <c r="C2242" s="119" t="str">
        <f>VLOOKUP(A2242,GLOBAL!A:H,5,FALSE)</f>
        <v>M2</v>
      </c>
      <c r="D2242" s="267" t="s">
        <v>66</v>
      </c>
      <c r="E2242" s="267" t="s">
        <v>70</v>
      </c>
      <c r="F2242" s="267" t="s">
        <v>67</v>
      </c>
      <c r="G2242" s="267" t="s">
        <v>68</v>
      </c>
      <c r="H2242" s="267" t="s">
        <v>35630</v>
      </c>
      <c r="I2242" s="268">
        <f>ROUND(SUM(I2244:I2297),2)</f>
        <v>1172.42</v>
      </c>
    </row>
    <row r="2243" spans="1:9">
      <c r="A2243" s="198"/>
      <c r="B2243" s="200" t="s">
        <v>2874</v>
      </c>
      <c r="C2243" s="199"/>
      <c r="D2243" s="281"/>
      <c r="E2243" s="282"/>
      <c r="F2243" s="281"/>
      <c r="G2243" s="281"/>
      <c r="H2243" s="281"/>
      <c r="I2243" s="283"/>
    </row>
    <row r="2244" spans="1:9">
      <c r="A2244" s="195"/>
      <c r="B2244" s="642" t="s">
        <v>35624</v>
      </c>
      <c r="C2244" s="234"/>
      <c r="D2244" s="641"/>
      <c r="E2244" s="641"/>
      <c r="F2244" s="279"/>
      <c r="G2244" s="279"/>
      <c r="H2244" s="279"/>
      <c r="I2244" s="280"/>
    </row>
    <row r="2245" spans="1:9">
      <c r="A2245" s="195"/>
      <c r="B2245" s="233" t="s">
        <v>35605</v>
      </c>
      <c r="C2245" s="234"/>
      <c r="D2245" s="279">
        <v>4.7</v>
      </c>
      <c r="E2245" s="278">
        <v>3.45</v>
      </c>
      <c r="F2245" s="279">
        <v>3.3</v>
      </c>
      <c r="G2245" s="279"/>
      <c r="H2245" s="279">
        <f>(D2245+E2245)*F2245</f>
        <v>26.895</v>
      </c>
      <c r="I2245" s="280">
        <f>H2245</f>
        <v>26.895</v>
      </c>
    </row>
    <row r="2246" spans="1:9">
      <c r="A2246" s="195"/>
      <c r="B2246" s="233" t="s">
        <v>35606</v>
      </c>
      <c r="C2246" s="234"/>
      <c r="D2246" s="279">
        <v>4.7</v>
      </c>
      <c r="E2246" s="278">
        <v>3.4</v>
      </c>
      <c r="F2246" s="279">
        <v>3.3</v>
      </c>
      <c r="G2246" s="279"/>
      <c r="H2246" s="279">
        <f>(D2246+E2246)*F2246</f>
        <v>26.729999999999997</v>
      </c>
      <c r="I2246" s="280">
        <f t="shared" ref="I2246:I2291" si="96">H2246</f>
        <v>26.729999999999997</v>
      </c>
    </row>
    <row r="2247" spans="1:9">
      <c r="A2247" s="195"/>
      <c r="B2247" s="233" t="s">
        <v>35607</v>
      </c>
      <c r="C2247" s="234"/>
      <c r="D2247" s="279">
        <v>4.2</v>
      </c>
      <c r="E2247" s="278">
        <v>5.15</v>
      </c>
      <c r="F2247" s="279">
        <v>3.3</v>
      </c>
      <c r="G2247" s="279"/>
      <c r="H2247" s="279">
        <f>D2248*F2248</f>
        <v>13.86</v>
      </c>
      <c r="I2247" s="280">
        <f t="shared" si="96"/>
        <v>13.86</v>
      </c>
    </row>
    <row r="2248" spans="1:9">
      <c r="A2248" s="195"/>
      <c r="B2248" s="233" t="s">
        <v>35608</v>
      </c>
      <c r="C2248" s="234"/>
      <c r="D2248" s="279">
        <v>4.2</v>
      </c>
      <c r="E2248" s="278">
        <v>4.4000000000000004</v>
      </c>
      <c r="F2248" s="279">
        <v>3.3</v>
      </c>
      <c r="G2248" s="279"/>
      <c r="H2248" s="279">
        <v>0</v>
      </c>
      <c r="I2248" s="280">
        <f t="shared" si="96"/>
        <v>0</v>
      </c>
    </row>
    <row r="2249" spans="1:9">
      <c r="A2249" s="195"/>
      <c r="B2249" s="233" t="s">
        <v>35609</v>
      </c>
      <c r="C2249" s="234"/>
      <c r="D2249" s="279">
        <v>4.2</v>
      </c>
      <c r="E2249" s="278">
        <v>9.65</v>
      </c>
      <c r="F2249" s="279">
        <v>3.3</v>
      </c>
      <c r="G2249" s="279"/>
      <c r="H2249" s="279">
        <f>D2249*F2249</f>
        <v>13.86</v>
      </c>
      <c r="I2249" s="280">
        <f t="shared" si="96"/>
        <v>13.86</v>
      </c>
    </row>
    <row r="2250" spans="1:9">
      <c r="A2250" s="195"/>
      <c r="B2250" s="233" t="s">
        <v>35610</v>
      </c>
      <c r="C2250" s="234"/>
      <c r="D2250" s="279">
        <v>5</v>
      </c>
      <c r="E2250" s="278">
        <v>3.62</v>
      </c>
      <c r="F2250" s="279">
        <v>3.3</v>
      </c>
      <c r="G2250" s="279"/>
      <c r="H2250" s="279">
        <f>D2250*F2250</f>
        <v>16.5</v>
      </c>
      <c r="I2250" s="280">
        <f t="shared" si="96"/>
        <v>16.5</v>
      </c>
    </row>
    <row r="2251" spans="1:9">
      <c r="A2251" s="195"/>
      <c r="B2251" s="233" t="s">
        <v>35611</v>
      </c>
      <c r="C2251" s="234"/>
      <c r="D2251" s="279">
        <v>5</v>
      </c>
      <c r="E2251" s="278">
        <v>3.2</v>
      </c>
      <c r="F2251" s="279">
        <v>3.3</v>
      </c>
      <c r="G2251" s="279"/>
      <c r="H2251" s="279">
        <v>0</v>
      </c>
      <c r="I2251" s="280">
        <f t="shared" si="96"/>
        <v>0</v>
      </c>
    </row>
    <row r="2252" spans="1:9">
      <c r="A2252" s="195"/>
      <c r="B2252" s="233" t="s">
        <v>35612</v>
      </c>
      <c r="C2252" s="234"/>
      <c r="D2252" s="279">
        <v>5</v>
      </c>
      <c r="E2252" s="278">
        <v>2.63</v>
      </c>
      <c r="F2252" s="279">
        <v>3.3</v>
      </c>
      <c r="G2252" s="279"/>
      <c r="H2252" s="279">
        <v>0</v>
      </c>
      <c r="I2252" s="280">
        <f t="shared" si="96"/>
        <v>0</v>
      </c>
    </row>
    <row r="2253" spans="1:9">
      <c r="A2253" s="195"/>
      <c r="B2253" s="233" t="s">
        <v>35613</v>
      </c>
      <c r="C2253" s="234"/>
      <c r="D2253" s="279">
        <v>1.2</v>
      </c>
      <c r="E2253" s="278">
        <v>2.5</v>
      </c>
      <c r="F2253" s="279">
        <v>3.3</v>
      </c>
      <c r="G2253" s="279"/>
      <c r="H2253" s="279">
        <f>D2253*F2253</f>
        <v>3.9599999999999995</v>
      </c>
      <c r="I2253" s="280">
        <f t="shared" si="96"/>
        <v>3.9599999999999995</v>
      </c>
    </row>
    <row r="2254" spans="1:9">
      <c r="A2254" s="195"/>
      <c r="B2254" s="233" t="s">
        <v>35613</v>
      </c>
      <c r="C2254" s="234"/>
      <c r="D2254" s="279">
        <v>1.2</v>
      </c>
      <c r="E2254" s="278">
        <v>2.15</v>
      </c>
      <c r="F2254" s="279">
        <v>3.3</v>
      </c>
      <c r="G2254" s="279"/>
      <c r="H2254" s="279">
        <f>D2254*F2254</f>
        <v>3.9599999999999995</v>
      </c>
      <c r="I2254" s="280">
        <f t="shared" si="96"/>
        <v>3.9599999999999995</v>
      </c>
    </row>
    <row r="2255" spans="1:9">
      <c r="A2255" s="195"/>
      <c r="B2255" s="233" t="s">
        <v>35614</v>
      </c>
      <c r="C2255" s="234"/>
      <c r="D2255" s="279">
        <v>3.5</v>
      </c>
      <c r="E2255" s="278">
        <v>5.2</v>
      </c>
      <c r="F2255" s="279">
        <v>3.3</v>
      </c>
      <c r="G2255" s="279"/>
      <c r="H2255" s="279">
        <f>D2255*F2255</f>
        <v>11.549999999999999</v>
      </c>
      <c r="I2255" s="280">
        <f t="shared" si="96"/>
        <v>11.549999999999999</v>
      </c>
    </row>
    <row r="2256" spans="1:9">
      <c r="A2256" s="195"/>
      <c r="B2256" s="233" t="s">
        <v>35615</v>
      </c>
      <c r="C2256" s="234"/>
      <c r="D2256" s="279">
        <v>3.5</v>
      </c>
      <c r="E2256" s="278">
        <v>4.8</v>
      </c>
      <c r="F2256" s="279">
        <v>3.3</v>
      </c>
      <c r="G2256" s="279"/>
      <c r="H2256" s="279">
        <f>D2256*F2256</f>
        <v>11.549999999999999</v>
      </c>
      <c r="I2256" s="280">
        <f t="shared" si="96"/>
        <v>11.549999999999999</v>
      </c>
    </row>
    <row r="2257" spans="1:9">
      <c r="A2257" s="195"/>
      <c r="B2257" s="233" t="s">
        <v>35616</v>
      </c>
      <c r="C2257" s="234"/>
      <c r="D2257" s="279">
        <v>7.3</v>
      </c>
      <c r="E2257" s="278">
        <v>6.3</v>
      </c>
      <c r="F2257" s="279">
        <v>3.3</v>
      </c>
      <c r="G2257" s="279"/>
      <c r="H2257" s="279">
        <f>(D2257+E2257)*F2257</f>
        <v>44.879999999999995</v>
      </c>
      <c r="I2257" s="280">
        <f t="shared" si="96"/>
        <v>44.879999999999995</v>
      </c>
    </row>
    <row r="2258" spans="1:9">
      <c r="A2258" s="195"/>
      <c r="B2258" s="233" t="s">
        <v>35617</v>
      </c>
      <c r="C2258" s="234"/>
      <c r="D2258" s="279">
        <v>5.35</v>
      </c>
      <c r="E2258" s="278">
        <v>4.8</v>
      </c>
      <c r="F2258" s="279">
        <v>3.3</v>
      </c>
      <c r="G2258" s="279"/>
      <c r="H2258" s="279">
        <f>D2258*F2258</f>
        <v>17.654999999999998</v>
      </c>
      <c r="I2258" s="280">
        <f t="shared" si="96"/>
        <v>17.654999999999998</v>
      </c>
    </row>
    <row r="2259" spans="1:9">
      <c r="A2259" s="195"/>
      <c r="B2259" s="233" t="s">
        <v>35618</v>
      </c>
      <c r="C2259" s="234"/>
      <c r="D2259" s="279">
        <v>1.85</v>
      </c>
      <c r="E2259" s="278">
        <v>2.25</v>
      </c>
      <c r="F2259" s="279">
        <v>3.3</v>
      </c>
      <c r="G2259" s="279"/>
      <c r="H2259" s="279">
        <f>E2259*F2259</f>
        <v>7.4249999999999998</v>
      </c>
      <c r="I2259" s="280">
        <f t="shared" si="96"/>
        <v>7.4249999999999998</v>
      </c>
    </row>
    <row r="2260" spans="1:9">
      <c r="A2260" s="195"/>
      <c r="B2260" s="233" t="s">
        <v>35619</v>
      </c>
      <c r="C2260" s="234"/>
      <c r="D2260" s="279"/>
      <c r="E2260" s="278"/>
      <c r="F2260" s="279"/>
      <c r="G2260" s="279"/>
      <c r="H2260" s="279">
        <v>0</v>
      </c>
      <c r="I2260" s="280">
        <f t="shared" si="96"/>
        <v>0</v>
      </c>
    </row>
    <row r="2261" spans="1:9">
      <c r="A2261" s="195"/>
      <c r="B2261" s="233" t="s">
        <v>35620</v>
      </c>
      <c r="C2261" s="234"/>
      <c r="D2261" s="279">
        <v>9</v>
      </c>
      <c r="E2261" s="278"/>
      <c r="F2261" s="279">
        <v>3.3</v>
      </c>
      <c r="G2261" s="279"/>
      <c r="H2261" s="279">
        <f>D2261*F2261</f>
        <v>29.7</v>
      </c>
      <c r="I2261" s="280">
        <f t="shared" si="96"/>
        <v>29.7</v>
      </c>
    </row>
    <row r="2262" spans="1:9">
      <c r="A2262" s="195"/>
      <c r="B2262" s="233" t="s">
        <v>35621</v>
      </c>
      <c r="C2262" s="234"/>
      <c r="D2262" s="279">
        <v>3.5</v>
      </c>
      <c r="E2262" s="278">
        <v>4.9000000000000004</v>
      </c>
      <c r="F2262" s="279">
        <v>3.3</v>
      </c>
      <c r="G2262" s="279"/>
      <c r="H2262" s="279">
        <f>D2262*F2262</f>
        <v>11.549999999999999</v>
      </c>
      <c r="I2262" s="280">
        <f t="shared" si="96"/>
        <v>11.549999999999999</v>
      </c>
    </row>
    <row r="2263" spans="1:9">
      <c r="A2263" s="195"/>
      <c r="B2263" s="233" t="s">
        <v>35622</v>
      </c>
      <c r="C2263" s="234"/>
      <c r="D2263" s="279">
        <v>14.5</v>
      </c>
      <c r="E2263" s="278">
        <v>7.5</v>
      </c>
      <c r="F2263" s="279">
        <v>3.3</v>
      </c>
      <c r="G2263" s="279"/>
      <c r="H2263" s="279">
        <f>(D2263+E2263)*F2263</f>
        <v>72.599999999999994</v>
      </c>
      <c r="I2263" s="280">
        <f t="shared" si="96"/>
        <v>72.599999999999994</v>
      </c>
    </row>
    <row r="2264" spans="1:9">
      <c r="A2264" s="195"/>
      <c r="B2264" s="233" t="s">
        <v>35623</v>
      </c>
      <c r="C2264" s="234"/>
      <c r="D2264" s="279">
        <v>3.5</v>
      </c>
      <c r="E2264" s="278">
        <v>2.5</v>
      </c>
      <c r="F2264" s="279">
        <v>3.3</v>
      </c>
      <c r="G2264" s="279"/>
      <c r="H2264" s="279">
        <v>0</v>
      </c>
      <c r="I2264" s="280">
        <f t="shared" si="96"/>
        <v>0</v>
      </c>
    </row>
    <row r="2265" spans="1:9">
      <c r="A2265" s="195"/>
      <c r="B2265" s="233" t="s">
        <v>35631</v>
      </c>
      <c r="C2265" s="234"/>
      <c r="D2265" s="641">
        <v>4.8499999999999996</v>
      </c>
      <c r="E2265" s="643">
        <v>4.0999999999999996</v>
      </c>
      <c r="F2265" s="279">
        <v>3.3</v>
      </c>
      <c r="G2265" s="279"/>
      <c r="H2265" s="279">
        <v>0</v>
      </c>
      <c r="I2265" s="280">
        <f t="shared" si="96"/>
        <v>0</v>
      </c>
    </row>
    <row r="2266" spans="1:9">
      <c r="A2266" s="195"/>
      <c r="B2266" s="233" t="s">
        <v>35632</v>
      </c>
      <c r="C2266" s="234"/>
      <c r="D2266" s="641">
        <v>4.8499999999999996</v>
      </c>
      <c r="E2266" s="643">
        <v>4.0999999999999996</v>
      </c>
      <c r="F2266" s="279">
        <v>3.3</v>
      </c>
      <c r="G2266" s="279"/>
      <c r="H2266" s="279">
        <v>0</v>
      </c>
      <c r="I2266" s="280">
        <f t="shared" si="96"/>
        <v>0</v>
      </c>
    </row>
    <row r="2267" spans="1:9">
      <c r="A2267" s="195"/>
      <c r="B2267" s="233" t="s">
        <v>35633</v>
      </c>
      <c r="C2267" s="234"/>
      <c r="D2267" s="641">
        <v>2.1</v>
      </c>
      <c r="E2267" s="643">
        <v>2</v>
      </c>
      <c r="F2267" s="279">
        <v>3.3</v>
      </c>
      <c r="G2267" s="279"/>
      <c r="H2267" s="279">
        <v>0</v>
      </c>
      <c r="I2267" s="280">
        <f t="shared" si="96"/>
        <v>0</v>
      </c>
    </row>
    <row r="2268" spans="1:9">
      <c r="A2268" s="195"/>
      <c r="B2268" s="233" t="s">
        <v>35634</v>
      </c>
      <c r="C2268" s="234"/>
      <c r="D2268" s="721">
        <v>14.2</v>
      </c>
      <c r="E2268" s="722"/>
      <c r="F2268" s="279">
        <v>3.3</v>
      </c>
      <c r="G2268" s="279"/>
      <c r="H2268" s="279">
        <f>D2268*F2268</f>
        <v>46.859999999999992</v>
      </c>
      <c r="I2268" s="280">
        <f t="shared" si="96"/>
        <v>46.859999999999992</v>
      </c>
    </row>
    <row r="2269" spans="1:9">
      <c r="A2269" s="195"/>
      <c r="B2269" s="233" t="s">
        <v>35635</v>
      </c>
      <c r="C2269" s="234"/>
      <c r="D2269" s="641">
        <v>2.5</v>
      </c>
      <c r="E2269" s="643">
        <v>1.5</v>
      </c>
      <c r="F2269" s="279">
        <v>3.3</v>
      </c>
      <c r="G2269" s="279"/>
      <c r="H2269" s="279">
        <f>(D2269+E2269)*2*F2269</f>
        <v>26.4</v>
      </c>
      <c r="I2269" s="280">
        <f t="shared" si="96"/>
        <v>26.4</v>
      </c>
    </row>
    <row r="2270" spans="1:9">
      <c r="A2270" s="195"/>
      <c r="B2270" s="233" t="s">
        <v>35636</v>
      </c>
      <c r="C2270" s="234"/>
      <c r="D2270" s="641">
        <v>3.45</v>
      </c>
      <c r="E2270" s="643">
        <v>2.39</v>
      </c>
      <c r="F2270" s="279">
        <v>3.3</v>
      </c>
      <c r="G2270" s="279"/>
      <c r="H2270" s="279">
        <v>0</v>
      </c>
      <c r="I2270" s="280">
        <f t="shared" si="96"/>
        <v>0</v>
      </c>
    </row>
    <row r="2271" spans="1:9">
      <c r="A2271" s="195"/>
      <c r="B2271" s="233" t="s">
        <v>35504</v>
      </c>
      <c r="C2271" s="234"/>
      <c r="D2271" s="641">
        <v>4.3499999999999996</v>
      </c>
      <c r="E2271" s="643">
        <v>9.25</v>
      </c>
      <c r="F2271" s="279">
        <v>3.3</v>
      </c>
      <c r="G2271" s="279"/>
      <c r="H2271" s="279">
        <v>0</v>
      </c>
      <c r="I2271" s="280">
        <f t="shared" si="96"/>
        <v>0</v>
      </c>
    </row>
    <row r="2272" spans="1:9">
      <c r="A2272" s="195"/>
      <c r="B2272" s="233" t="s">
        <v>35520</v>
      </c>
      <c r="C2272" s="234"/>
      <c r="D2272" s="641">
        <v>4.3499999999999996</v>
      </c>
      <c r="E2272" s="643">
        <v>1.5</v>
      </c>
      <c r="F2272" s="279">
        <v>3.3</v>
      </c>
      <c r="G2272" s="279"/>
      <c r="H2272" s="279">
        <v>0</v>
      </c>
      <c r="I2272" s="280">
        <f t="shared" si="96"/>
        <v>0</v>
      </c>
    </row>
    <row r="2273" spans="1:9">
      <c r="A2273" s="195"/>
      <c r="B2273" s="233" t="s">
        <v>35637</v>
      </c>
      <c r="C2273" s="234"/>
      <c r="D2273" s="641">
        <v>1.8</v>
      </c>
      <c r="E2273" s="643">
        <v>2.4</v>
      </c>
      <c r="F2273" s="279">
        <v>3.3</v>
      </c>
      <c r="G2273" s="279"/>
      <c r="H2273" s="279">
        <v>0</v>
      </c>
      <c r="I2273" s="280">
        <f t="shared" si="96"/>
        <v>0</v>
      </c>
    </row>
    <row r="2274" spans="1:9">
      <c r="A2274" s="195"/>
      <c r="B2274" s="233" t="s">
        <v>35638</v>
      </c>
      <c r="C2274" s="234"/>
      <c r="D2274" s="641"/>
      <c r="E2274" s="643">
        <v>11.15</v>
      </c>
      <c r="F2274" s="279">
        <v>3.3</v>
      </c>
      <c r="G2274" s="279"/>
      <c r="H2274" s="279">
        <f>E2274*F2274</f>
        <v>36.795000000000002</v>
      </c>
      <c r="I2274" s="280">
        <f t="shared" si="96"/>
        <v>36.795000000000002</v>
      </c>
    </row>
    <row r="2275" spans="1:9">
      <c r="A2275" s="195"/>
      <c r="B2275" s="642" t="s">
        <v>35625</v>
      </c>
      <c r="C2275" s="234"/>
      <c r="D2275" s="641"/>
      <c r="E2275" s="641"/>
      <c r="F2275" s="279"/>
      <c r="G2275" s="279"/>
      <c r="H2275" s="279"/>
      <c r="I2275" s="280"/>
    </row>
    <row r="2276" spans="1:9">
      <c r="A2276" s="195"/>
      <c r="B2276" s="233" t="s">
        <v>35616</v>
      </c>
      <c r="C2276" s="234"/>
      <c r="D2276" s="279">
        <v>4.7</v>
      </c>
      <c r="E2276" s="278">
        <v>6.95</v>
      </c>
      <c r="F2276" s="279">
        <v>3.3</v>
      </c>
      <c r="G2276" s="279"/>
      <c r="H2276" s="279">
        <f>(D2276+E2276)*F2276</f>
        <v>38.445</v>
      </c>
      <c r="I2276" s="280">
        <f t="shared" si="96"/>
        <v>38.445</v>
      </c>
    </row>
    <row r="2277" spans="1:9">
      <c r="A2277" s="195"/>
      <c r="B2277" s="233" t="s">
        <v>35626</v>
      </c>
      <c r="C2277" s="234"/>
      <c r="D2277" s="279">
        <v>2</v>
      </c>
      <c r="E2277" s="278">
        <v>4.7</v>
      </c>
      <c r="F2277" s="279">
        <v>3.3</v>
      </c>
      <c r="G2277" s="279"/>
      <c r="H2277" s="279">
        <f>D2277*F2277</f>
        <v>6.6</v>
      </c>
      <c r="I2277" s="280">
        <f t="shared" si="96"/>
        <v>6.6</v>
      </c>
    </row>
    <row r="2278" spans="1:9">
      <c r="A2278" s="195"/>
      <c r="B2278" s="233" t="s">
        <v>35627</v>
      </c>
      <c r="C2278" s="234"/>
      <c r="D2278" s="279">
        <v>3.2</v>
      </c>
      <c r="E2278" s="278">
        <v>9.65</v>
      </c>
      <c r="F2278" s="279">
        <v>3.3</v>
      </c>
      <c r="G2278" s="279">
        <v>12</v>
      </c>
      <c r="H2278" s="279">
        <f>D2278*F2278</f>
        <v>10.56</v>
      </c>
      <c r="I2278" s="280">
        <f>G2278*H2278+(10*3.3)</f>
        <v>159.72</v>
      </c>
    </row>
    <row r="2279" spans="1:9">
      <c r="A2279" s="195"/>
      <c r="B2279" s="233" t="s">
        <v>35631</v>
      </c>
      <c r="C2279" s="234"/>
      <c r="D2279" s="641">
        <v>4.8499999999999996</v>
      </c>
      <c r="E2279" s="643">
        <v>4.0999999999999996</v>
      </c>
      <c r="F2279" s="279">
        <v>3.3</v>
      </c>
      <c r="G2279" s="279"/>
      <c r="H2279" s="279">
        <v>0</v>
      </c>
      <c r="I2279" s="280">
        <f t="shared" si="96"/>
        <v>0</v>
      </c>
    </row>
    <row r="2280" spans="1:9">
      <c r="A2280" s="195"/>
      <c r="B2280" s="233" t="s">
        <v>35632</v>
      </c>
      <c r="C2280" s="234"/>
      <c r="D2280" s="641">
        <v>4.8499999999999996</v>
      </c>
      <c r="E2280" s="643">
        <v>4.0999999999999996</v>
      </c>
      <c r="F2280" s="279">
        <v>3.3</v>
      </c>
      <c r="G2280" s="279"/>
      <c r="H2280" s="279">
        <v>0</v>
      </c>
      <c r="I2280" s="280">
        <f t="shared" si="96"/>
        <v>0</v>
      </c>
    </row>
    <row r="2281" spans="1:9">
      <c r="A2281" s="195"/>
      <c r="B2281" s="233" t="s">
        <v>35633</v>
      </c>
      <c r="C2281" s="234"/>
      <c r="D2281" s="641">
        <v>2.1</v>
      </c>
      <c r="E2281" s="643">
        <v>2</v>
      </c>
      <c r="F2281" s="279">
        <v>3.3</v>
      </c>
      <c r="G2281" s="279"/>
      <c r="H2281" s="279">
        <v>0</v>
      </c>
      <c r="I2281" s="280">
        <f t="shared" si="96"/>
        <v>0</v>
      </c>
    </row>
    <row r="2282" spans="1:9">
      <c r="A2282" s="195"/>
      <c r="B2282" s="233" t="s">
        <v>35639</v>
      </c>
      <c r="C2282" s="234"/>
      <c r="D2282" s="641">
        <v>1.8</v>
      </c>
      <c r="E2282" s="643">
        <v>3.9</v>
      </c>
      <c r="F2282" s="279">
        <v>3.3</v>
      </c>
      <c r="G2282" s="279"/>
      <c r="H2282" s="279">
        <v>0</v>
      </c>
      <c r="I2282" s="280">
        <f t="shared" si="96"/>
        <v>0</v>
      </c>
    </row>
    <row r="2283" spans="1:9">
      <c r="A2283" s="195"/>
      <c r="B2283" s="233" t="s">
        <v>35638</v>
      </c>
      <c r="C2283" s="234"/>
      <c r="D2283" s="641">
        <v>4.8</v>
      </c>
      <c r="E2283" s="643">
        <v>10.8</v>
      </c>
      <c r="F2283" s="279">
        <v>3.3</v>
      </c>
      <c r="G2283" s="279"/>
      <c r="H2283" s="279">
        <f>(D2283+E2283)*F2283</f>
        <v>51.480000000000004</v>
      </c>
      <c r="I2283" s="280">
        <f>H2283</f>
        <v>51.480000000000004</v>
      </c>
    </row>
    <row r="2284" spans="1:9">
      <c r="A2284" s="195"/>
      <c r="B2284" s="642" t="s">
        <v>35629</v>
      </c>
      <c r="C2284" s="234"/>
      <c r="D2284" s="641"/>
      <c r="E2284" s="641"/>
      <c r="F2284" s="279"/>
      <c r="G2284" s="279"/>
      <c r="H2284" s="279"/>
      <c r="I2284" s="280"/>
    </row>
    <row r="2285" spans="1:9">
      <c r="A2285" s="195"/>
      <c r="B2285" s="233" t="s">
        <v>35616</v>
      </c>
      <c r="C2285" s="234"/>
      <c r="D2285" s="279">
        <v>4.7</v>
      </c>
      <c r="E2285" s="278">
        <v>6.95</v>
      </c>
      <c r="F2285" s="279">
        <v>3.3</v>
      </c>
      <c r="G2285" s="279"/>
      <c r="H2285" s="279">
        <f>(D2285+E2285)*F2285</f>
        <v>38.445</v>
      </c>
      <c r="I2285" s="280">
        <f t="shared" si="96"/>
        <v>38.445</v>
      </c>
    </row>
    <row r="2286" spans="1:9">
      <c r="A2286" s="195"/>
      <c r="B2286" s="233" t="s">
        <v>35626</v>
      </c>
      <c r="C2286" s="234"/>
      <c r="D2286" s="279">
        <v>2</v>
      </c>
      <c r="E2286" s="278">
        <v>4.7</v>
      </c>
      <c r="F2286" s="279">
        <v>3.3</v>
      </c>
      <c r="G2286" s="279"/>
      <c r="H2286" s="279">
        <f>D2286*F2286</f>
        <v>6.6</v>
      </c>
      <c r="I2286" s="280">
        <f t="shared" si="96"/>
        <v>6.6</v>
      </c>
    </row>
    <row r="2287" spans="1:9">
      <c r="A2287" s="195"/>
      <c r="B2287" s="233" t="s">
        <v>35627</v>
      </c>
      <c r="C2287" s="234"/>
      <c r="D2287" s="279">
        <v>3.2</v>
      </c>
      <c r="E2287" s="278">
        <v>9.65</v>
      </c>
      <c r="F2287" s="279">
        <v>3.3</v>
      </c>
      <c r="G2287" s="279">
        <v>12</v>
      </c>
      <c r="H2287" s="279">
        <f>D2287*F2287</f>
        <v>10.56</v>
      </c>
      <c r="I2287" s="280">
        <f>G2287*H2287+(10*3.3)</f>
        <v>159.72</v>
      </c>
    </row>
    <row r="2288" spans="1:9">
      <c r="A2288" s="195"/>
      <c r="B2288" s="233" t="s">
        <v>35631</v>
      </c>
      <c r="C2288" s="234"/>
      <c r="D2288" s="641">
        <v>4.8499999999999996</v>
      </c>
      <c r="E2288" s="643">
        <v>4.0999999999999996</v>
      </c>
      <c r="F2288" s="279">
        <v>3.3</v>
      </c>
      <c r="G2288" s="279"/>
      <c r="H2288" s="279">
        <v>0</v>
      </c>
      <c r="I2288" s="280">
        <f t="shared" si="96"/>
        <v>0</v>
      </c>
    </row>
    <row r="2289" spans="1:9">
      <c r="A2289" s="195"/>
      <c r="B2289" s="233" t="s">
        <v>35632</v>
      </c>
      <c r="C2289" s="234"/>
      <c r="D2289" s="641">
        <v>4.8499999999999996</v>
      </c>
      <c r="E2289" s="643">
        <v>4.0999999999999996</v>
      </c>
      <c r="F2289" s="279">
        <v>3.3</v>
      </c>
      <c r="G2289" s="279"/>
      <c r="H2289" s="279">
        <v>0</v>
      </c>
      <c r="I2289" s="280">
        <f t="shared" si="96"/>
        <v>0</v>
      </c>
    </row>
    <row r="2290" spans="1:9">
      <c r="A2290" s="195"/>
      <c r="B2290" s="233" t="s">
        <v>35633</v>
      </c>
      <c r="C2290" s="234"/>
      <c r="D2290" s="641">
        <v>2.1</v>
      </c>
      <c r="E2290" s="643">
        <v>2</v>
      </c>
      <c r="F2290" s="279">
        <v>3.3</v>
      </c>
      <c r="G2290" s="279"/>
      <c r="H2290" s="279">
        <v>0</v>
      </c>
      <c r="I2290" s="280">
        <f t="shared" si="96"/>
        <v>0</v>
      </c>
    </row>
    <row r="2291" spans="1:9">
      <c r="A2291" s="195"/>
      <c r="B2291" s="233" t="s">
        <v>35639</v>
      </c>
      <c r="C2291" s="234"/>
      <c r="D2291" s="641">
        <v>1.8</v>
      </c>
      <c r="E2291" s="643">
        <v>3.9</v>
      </c>
      <c r="F2291" s="279">
        <v>3.3</v>
      </c>
      <c r="G2291" s="279"/>
      <c r="H2291" s="279">
        <v>0</v>
      </c>
      <c r="I2291" s="280">
        <f t="shared" si="96"/>
        <v>0</v>
      </c>
    </row>
    <row r="2292" spans="1:9">
      <c r="A2292" s="195"/>
      <c r="B2292" s="233" t="s">
        <v>35638</v>
      </c>
      <c r="C2292" s="234"/>
      <c r="D2292" s="641">
        <v>4.8</v>
      </c>
      <c r="E2292" s="643">
        <v>10.8</v>
      </c>
      <c r="F2292" s="279">
        <v>3.3</v>
      </c>
      <c r="G2292" s="279"/>
      <c r="H2292" s="279">
        <f>(D2292+E2292)*F2292</f>
        <v>51.480000000000004</v>
      </c>
      <c r="I2292" s="280">
        <f>H2292</f>
        <v>51.480000000000004</v>
      </c>
    </row>
    <row r="2293" spans="1:9">
      <c r="A2293" s="195"/>
      <c r="B2293" s="189" t="s">
        <v>35601</v>
      </c>
      <c r="C2293" s="190"/>
      <c r="D2293" s="271"/>
      <c r="E2293" s="271"/>
      <c r="F2293" s="271"/>
      <c r="G2293" s="271"/>
      <c r="H2293" s="271"/>
      <c r="I2293" s="259">
        <f>H2293</f>
        <v>0</v>
      </c>
    </row>
    <row r="2294" spans="1:9">
      <c r="A2294" s="195"/>
      <c r="B2294" s="233" t="s">
        <v>35795</v>
      </c>
      <c r="C2294" s="234"/>
      <c r="D2294" s="641">
        <v>1.6</v>
      </c>
      <c r="E2294" s="643">
        <v>4.9000000000000004</v>
      </c>
      <c r="F2294" s="279">
        <v>3.3</v>
      </c>
      <c r="G2294" s="279"/>
      <c r="H2294" s="279">
        <f>(D2294+E2294)*F2294</f>
        <v>21.45</v>
      </c>
      <c r="I2294" s="280">
        <f t="shared" ref="I2294:I2297" si="97">H2294</f>
        <v>21.45</v>
      </c>
    </row>
    <row r="2295" spans="1:9">
      <c r="A2295" s="195"/>
      <c r="B2295" s="233" t="s">
        <v>35785</v>
      </c>
      <c r="C2295" s="234"/>
      <c r="D2295" s="641">
        <v>32</v>
      </c>
      <c r="E2295" s="643">
        <v>15</v>
      </c>
      <c r="F2295" s="279">
        <v>3</v>
      </c>
      <c r="G2295" s="279"/>
      <c r="H2295" s="279">
        <f>(D2295+E2295)*F2295</f>
        <v>141</v>
      </c>
      <c r="I2295" s="280">
        <f t="shared" si="97"/>
        <v>141</v>
      </c>
    </row>
    <row r="2296" spans="1:9">
      <c r="A2296" s="195"/>
      <c r="B2296" s="233" t="s">
        <v>35803</v>
      </c>
      <c r="C2296" s="234"/>
      <c r="D2296" s="641">
        <v>12.15</v>
      </c>
      <c r="E2296" s="643">
        <v>4</v>
      </c>
      <c r="F2296" s="279">
        <v>3.3</v>
      </c>
      <c r="G2296" s="279"/>
      <c r="H2296" s="279">
        <f t="shared" ref="H2296:H2297" si="98">(D2296+E2296)*F2296</f>
        <v>53.294999999999995</v>
      </c>
      <c r="I2296" s="280">
        <f t="shared" si="97"/>
        <v>53.294999999999995</v>
      </c>
    </row>
    <row r="2297" spans="1:9">
      <c r="A2297" s="195"/>
      <c r="B2297" s="233" t="s">
        <v>35638</v>
      </c>
      <c r="C2297" s="234"/>
      <c r="D2297" s="641">
        <v>2.5</v>
      </c>
      <c r="E2297" s="643">
        <v>4</v>
      </c>
      <c r="F2297" s="279">
        <v>3.3</v>
      </c>
      <c r="G2297" s="279"/>
      <c r="H2297" s="279">
        <f t="shared" si="98"/>
        <v>21.45</v>
      </c>
      <c r="I2297" s="280">
        <f t="shared" si="97"/>
        <v>21.45</v>
      </c>
    </row>
    <row r="2298" spans="1:9">
      <c r="A2298" s="135"/>
      <c r="B2298" s="170"/>
      <c r="C2298" s="136"/>
      <c r="D2298" s="275"/>
      <c r="E2298" s="275"/>
      <c r="F2298" s="275"/>
      <c r="G2298" s="276"/>
      <c r="H2298" s="276"/>
      <c r="I2298" s="277"/>
    </row>
    <row r="2299" spans="1:9" ht="57.6">
      <c r="A2299" s="605" t="s">
        <v>27025</v>
      </c>
      <c r="B2299" s="120" t="str">
        <f>VLOOKUP(A2299,GLOBAL!A:H,4,FALSE)</f>
        <v>PINTURA EM PAREDES E FORROS, APLICAÇÃO MANUAL, COM TRÊS DEMÃOS DE TINTA LÁTEX PREMIUM, REFERÊNCIA SUVINIL, CORAL E METALATEX, INCLUSIVE UMA DEMÃO DE LIQUIDO SELADOR PVA, REFERÊNCIA SUVINIL, CORAL OU METALATEX OU EQUIVALENTE</v>
      </c>
      <c r="C2299" s="119" t="str">
        <f>VLOOKUP(A2299,GLOBAL!A:H,5,FALSE)</f>
        <v>M2</v>
      </c>
      <c r="D2299" s="267" t="s">
        <v>66</v>
      </c>
      <c r="E2299" s="267" t="s">
        <v>70</v>
      </c>
      <c r="F2299" s="267" t="s">
        <v>67</v>
      </c>
      <c r="G2299" s="267" t="s">
        <v>68</v>
      </c>
      <c r="H2299" s="267" t="s">
        <v>35630</v>
      </c>
      <c r="I2299" s="268">
        <f>ROUND(SUM(I2301:I2359),2)</f>
        <v>2693.48</v>
      </c>
    </row>
    <row r="2300" spans="1:9">
      <c r="A2300" s="198"/>
      <c r="B2300" s="200" t="s">
        <v>2874</v>
      </c>
      <c r="C2300" s="199"/>
      <c r="D2300" s="281"/>
      <c r="E2300" s="282"/>
      <c r="F2300" s="281"/>
      <c r="G2300" s="281"/>
      <c r="H2300" s="281"/>
      <c r="I2300" s="283"/>
    </row>
    <row r="2301" spans="1:9">
      <c r="A2301" s="195"/>
      <c r="B2301" s="642" t="s">
        <v>35624</v>
      </c>
      <c r="C2301" s="234"/>
      <c r="D2301" s="641"/>
      <c r="E2301" s="641"/>
      <c r="F2301" s="279"/>
      <c r="G2301" s="279"/>
      <c r="H2301" s="279"/>
      <c r="I2301" s="280"/>
    </row>
    <row r="2302" spans="1:9">
      <c r="A2302" s="195"/>
      <c r="B2302" s="233" t="s">
        <v>35605</v>
      </c>
      <c r="C2302" s="234"/>
      <c r="D2302" s="279">
        <v>4.7</v>
      </c>
      <c r="E2302" s="278">
        <v>3.45</v>
      </c>
      <c r="F2302" s="279"/>
      <c r="G2302" s="279"/>
      <c r="H2302" s="279">
        <f>D2302*E2302</f>
        <v>16.215</v>
      </c>
      <c r="I2302" s="280">
        <f>H2302</f>
        <v>16.215</v>
      </c>
    </row>
    <row r="2303" spans="1:9">
      <c r="A2303" s="195"/>
      <c r="B2303" s="233" t="s">
        <v>35606</v>
      </c>
      <c r="C2303" s="234"/>
      <c r="D2303" s="279">
        <v>4.7</v>
      </c>
      <c r="E2303" s="278">
        <v>3.4</v>
      </c>
      <c r="F2303" s="279"/>
      <c r="G2303" s="279"/>
      <c r="H2303" s="279">
        <f t="shared" ref="H2303:H2316" si="99">D2303*E2303</f>
        <v>15.98</v>
      </c>
      <c r="I2303" s="280">
        <f t="shared" ref="I2303:I2348" si="100">H2303</f>
        <v>15.98</v>
      </c>
    </row>
    <row r="2304" spans="1:9">
      <c r="A2304" s="195"/>
      <c r="B2304" s="233" t="s">
        <v>35607</v>
      </c>
      <c r="C2304" s="234"/>
      <c r="D2304" s="279">
        <v>4.2</v>
      </c>
      <c r="E2304" s="278">
        <v>5.15</v>
      </c>
      <c r="F2304" s="279"/>
      <c r="G2304" s="279"/>
      <c r="H2304" s="279">
        <f t="shared" si="99"/>
        <v>21.630000000000003</v>
      </c>
      <c r="I2304" s="280">
        <f t="shared" si="100"/>
        <v>21.630000000000003</v>
      </c>
    </row>
    <row r="2305" spans="1:9">
      <c r="A2305" s="195"/>
      <c r="B2305" s="233" t="s">
        <v>35608</v>
      </c>
      <c r="C2305" s="234"/>
      <c r="D2305" s="279">
        <v>4.2</v>
      </c>
      <c r="E2305" s="278">
        <v>4.4000000000000004</v>
      </c>
      <c r="F2305" s="279"/>
      <c r="G2305" s="279"/>
      <c r="H2305" s="279">
        <f t="shared" si="99"/>
        <v>18.480000000000004</v>
      </c>
      <c r="I2305" s="280">
        <f t="shared" si="100"/>
        <v>18.480000000000004</v>
      </c>
    </row>
    <row r="2306" spans="1:9">
      <c r="A2306" s="195"/>
      <c r="B2306" s="233" t="s">
        <v>35609</v>
      </c>
      <c r="C2306" s="234"/>
      <c r="D2306" s="279">
        <v>4.2</v>
      </c>
      <c r="E2306" s="278">
        <v>9.65</v>
      </c>
      <c r="F2306" s="279"/>
      <c r="G2306" s="279"/>
      <c r="H2306" s="279">
        <f t="shared" si="99"/>
        <v>40.53</v>
      </c>
      <c r="I2306" s="280">
        <f t="shared" si="100"/>
        <v>40.53</v>
      </c>
    </row>
    <row r="2307" spans="1:9">
      <c r="A2307" s="195"/>
      <c r="B2307" s="233" t="s">
        <v>35610</v>
      </c>
      <c r="C2307" s="234"/>
      <c r="D2307" s="279">
        <v>5</v>
      </c>
      <c r="E2307" s="278">
        <v>3.62</v>
      </c>
      <c r="F2307" s="279"/>
      <c r="G2307" s="279"/>
      <c r="H2307" s="279">
        <f t="shared" si="99"/>
        <v>18.100000000000001</v>
      </c>
      <c r="I2307" s="280">
        <f t="shared" si="100"/>
        <v>18.100000000000001</v>
      </c>
    </row>
    <row r="2308" spans="1:9">
      <c r="A2308" s="195"/>
      <c r="B2308" s="233" t="s">
        <v>35611</v>
      </c>
      <c r="C2308" s="234"/>
      <c r="D2308" s="279">
        <v>5</v>
      </c>
      <c r="E2308" s="278">
        <v>3.2</v>
      </c>
      <c r="F2308" s="279"/>
      <c r="G2308" s="279"/>
      <c r="H2308" s="279">
        <f t="shared" si="99"/>
        <v>16</v>
      </c>
      <c r="I2308" s="280">
        <f t="shared" si="100"/>
        <v>16</v>
      </c>
    </row>
    <row r="2309" spans="1:9">
      <c r="A2309" s="195"/>
      <c r="B2309" s="233" t="s">
        <v>35612</v>
      </c>
      <c r="C2309" s="234"/>
      <c r="D2309" s="279">
        <v>5</v>
      </c>
      <c r="E2309" s="278">
        <v>2.63</v>
      </c>
      <c r="F2309" s="279"/>
      <c r="G2309" s="279"/>
      <c r="H2309" s="279">
        <f t="shared" si="99"/>
        <v>13.149999999999999</v>
      </c>
      <c r="I2309" s="280">
        <f t="shared" si="100"/>
        <v>13.149999999999999</v>
      </c>
    </row>
    <row r="2310" spans="1:9">
      <c r="A2310" s="195"/>
      <c r="B2310" s="233" t="s">
        <v>35613</v>
      </c>
      <c r="C2310" s="234"/>
      <c r="D2310" s="279">
        <v>1.2</v>
      </c>
      <c r="E2310" s="278">
        <v>2.5</v>
      </c>
      <c r="F2310" s="279"/>
      <c r="G2310" s="279"/>
      <c r="H2310" s="279">
        <f t="shared" si="99"/>
        <v>3</v>
      </c>
      <c r="I2310" s="280">
        <f t="shared" si="100"/>
        <v>3</v>
      </c>
    </row>
    <row r="2311" spans="1:9">
      <c r="A2311" s="195"/>
      <c r="B2311" s="233" t="s">
        <v>35613</v>
      </c>
      <c r="C2311" s="234"/>
      <c r="D2311" s="279">
        <v>1.2</v>
      </c>
      <c r="E2311" s="278">
        <v>2.15</v>
      </c>
      <c r="F2311" s="279"/>
      <c r="G2311" s="279"/>
      <c r="H2311" s="279">
        <f t="shared" si="99"/>
        <v>2.5799999999999996</v>
      </c>
      <c r="I2311" s="280">
        <f t="shared" si="100"/>
        <v>2.5799999999999996</v>
      </c>
    </row>
    <row r="2312" spans="1:9">
      <c r="A2312" s="195"/>
      <c r="B2312" s="233" t="s">
        <v>35614</v>
      </c>
      <c r="C2312" s="234"/>
      <c r="D2312" s="279">
        <v>3.5</v>
      </c>
      <c r="E2312" s="278">
        <v>5.2</v>
      </c>
      <c r="F2312" s="279"/>
      <c r="G2312" s="279"/>
      <c r="H2312" s="279">
        <f t="shared" si="99"/>
        <v>18.2</v>
      </c>
      <c r="I2312" s="280">
        <f t="shared" si="100"/>
        <v>18.2</v>
      </c>
    </row>
    <row r="2313" spans="1:9">
      <c r="A2313" s="195"/>
      <c r="B2313" s="233" t="s">
        <v>35615</v>
      </c>
      <c r="C2313" s="234"/>
      <c r="D2313" s="279">
        <v>3.5</v>
      </c>
      <c r="E2313" s="278">
        <v>4.8</v>
      </c>
      <c r="F2313" s="279"/>
      <c r="G2313" s="279"/>
      <c r="H2313" s="279">
        <f t="shared" si="99"/>
        <v>16.8</v>
      </c>
      <c r="I2313" s="280">
        <f t="shared" si="100"/>
        <v>16.8</v>
      </c>
    </row>
    <row r="2314" spans="1:9">
      <c r="A2314" s="195"/>
      <c r="B2314" s="233" t="s">
        <v>35616</v>
      </c>
      <c r="C2314" s="234"/>
      <c r="D2314" s="279">
        <v>7.3</v>
      </c>
      <c r="E2314" s="278">
        <v>6.3</v>
      </c>
      <c r="F2314" s="279"/>
      <c r="G2314" s="279"/>
      <c r="H2314" s="279">
        <f t="shared" si="99"/>
        <v>45.989999999999995</v>
      </c>
      <c r="I2314" s="280">
        <f t="shared" si="100"/>
        <v>45.989999999999995</v>
      </c>
    </row>
    <row r="2315" spans="1:9">
      <c r="A2315" s="195"/>
      <c r="B2315" s="233" t="s">
        <v>35617</v>
      </c>
      <c r="C2315" s="234"/>
      <c r="D2315" s="279">
        <v>5.35</v>
      </c>
      <c r="E2315" s="278">
        <v>4.8</v>
      </c>
      <c r="F2315" s="279"/>
      <c r="G2315" s="279"/>
      <c r="H2315" s="279">
        <f t="shared" si="99"/>
        <v>25.679999999999996</v>
      </c>
      <c r="I2315" s="280">
        <f t="shared" si="100"/>
        <v>25.679999999999996</v>
      </c>
    </row>
    <row r="2316" spans="1:9">
      <c r="A2316" s="195"/>
      <c r="B2316" s="233" t="s">
        <v>35618</v>
      </c>
      <c r="C2316" s="234"/>
      <c r="D2316" s="279">
        <v>1.85</v>
      </c>
      <c r="E2316" s="278">
        <v>2.25</v>
      </c>
      <c r="F2316" s="279"/>
      <c r="G2316" s="279"/>
      <c r="H2316" s="279">
        <f t="shared" si="99"/>
        <v>4.1625000000000005</v>
      </c>
      <c r="I2316" s="280">
        <f t="shared" si="100"/>
        <v>4.1625000000000005</v>
      </c>
    </row>
    <row r="2317" spans="1:9">
      <c r="A2317" s="195"/>
      <c r="B2317" s="233" t="s">
        <v>35619</v>
      </c>
      <c r="C2317" s="234"/>
      <c r="D2317" s="279"/>
      <c r="E2317" s="278"/>
      <c r="F2317" s="279"/>
      <c r="G2317" s="279"/>
      <c r="H2317" s="279">
        <v>46.5</v>
      </c>
      <c r="I2317" s="280">
        <f t="shared" si="100"/>
        <v>46.5</v>
      </c>
    </row>
    <row r="2318" spans="1:9">
      <c r="A2318" s="195"/>
      <c r="B2318" s="233" t="s">
        <v>35620</v>
      </c>
      <c r="C2318" s="234"/>
      <c r="D2318" s="279"/>
      <c r="E2318" s="278"/>
      <c r="F2318" s="279"/>
      <c r="G2318" s="279"/>
      <c r="H2318" s="279">
        <v>147.93</v>
      </c>
      <c r="I2318" s="280">
        <f t="shared" si="100"/>
        <v>147.93</v>
      </c>
    </row>
    <row r="2319" spans="1:9">
      <c r="A2319" s="195"/>
      <c r="B2319" s="233" t="s">
        <v>35621</v>
      </c>
      <c r="C2319" s="234"/>
      <c r="D2319" s="279">
        <v>3.5</v>
      </c>
      <c r="E2319" s="278">
        <v>4.9000000000000004</v>
      </c>
      <c r="F2319" s="279"/>
      <c r="G2319" s="279"/>
      <c r="H2319" s="279">
        <f t="shared" ref="H2319:H2324" si="101">D2319*E2319</f>
        <v>17.150000000000002</v>
      </c>
      <c r="I2319" s="280">
        <f t="shared" si="100"/>
        <v>17.150000000000002</v>
      </c>
    </row>
    <row r="2320" spans="1:9">
      <c r="A2320" s="195"/>
      <c r="B2320" s="233" t="s">
        <v>35622</v>
      </c>
      <c r="C2320" s="234"/>
      <c r="D2320" s="279">
        <v>14.5</v>
      </c>
      <c r="E2320" s="278">
        <v>7.5</v>
      </c>
      <c r="F2320" s="279"/>
      <c r="G2320" s="279"/>
      <c r="H2320" s="279">
        <f t="shared" si="101"/>
        <v>108.75</v>
      </c>
      <c r="I2320" s="280">
        <f t="shared" si="100"/>
        <v>108.75</v>
      </c>
    </row>
    <row r="2321" spans="1:9">
      <c r="A2321" s="195"/>
      <c r="B2321" s="233" t="s">
        <v>35623</v>
      </c>
      <c r="C2321" s="234"/>
      <c r="D2321" s="279">
        <v>3.5</v>
      </c>
      <c r="E2321" s="278">
        <v>2.5</v>
      </c>
      <c r="F2321" s="279"/>
      <c r="G2321" s="279"/>
      <c r="H2321" s="279">
        <f t="shared" si="101"/>
        <v>8.75</v>
      </c>
      <c r="I2321" s="280">
        <f t="shared" si="100"/>
        <v>8.75</v>
      </c>
    </row>
    <row r="2322" spans="1:9">
      <c r="A2322" s="195"/>
      <c r="B2322" s="233" t="s">
        <v>35631</v>
      </c>
      <c r="C2322" s="234"/>
      <c r="D2322" s="641">
        <v>4.8499999999999996</v>
      </c>
      <c r="E2322" s="643">
        <v>4.0999999999999996</v>
      </c>
      <c r="F2322" s="279"/>
      <c r="G2322" s="279"/>
      <c r="H2322" s="279">
        <f t="shared" si="101"/>
        <v>19.884999999999998</v>
      </c>
      <c r="I2322" s="280">
        <f t="shared" si="100"/>
        <v>19.884999999999998</v>
      </c>
    </row>
    <row r="2323" spans="1:9">
      <c r="A2323" s="195"/>
      <c r="B2323" s="233" t="s">
        <v>35632</v>
      </c>
      <c r="C2323" s="234"/>
      <c r="D2323" s="641">
        <v>4.8499999999999996</v>
      </c>
      <c r="E2323" s="643">
        <v>4.0999999999999996</v>
      </c>
      <c r="F2323" s="279"/>
      <c r="G2323" s="279"/>
      <c r="H2323" s="279">
        <f t="shared" si="101"/>
        <v>19.884999999999998</v>
      </c>
      <c r="I2323" s="280">
        <f t="shared" si="100"/>
        <v>19.884999999999998</v>
      </c>
    </row>
    <row r="2324" spans="1:9">
      <c r="A2324" s="195"/>
      <c r="B2324" s="233" t="s">
        <v>35633</v>
      </c>
      <c r="C2324" s="234"/>
      <c r="D2324" s="641">
        <v>2.1</v>
      </c>
      <c r="E2324" s="643">
        <v>2</v>
      </c>
      <c r="F2324" s="279"/>
      <c r="G2324" s="279"/>
      <c r="H2324" s="279">
        <f t="shared" si="101"/>
        <v>4.2</v>
      </c>
      <c r="I2324" s="280">
        <f t="shared" si="100"/>
        <v>4.2</v>
      </c>
    </row>
    <row r="2325" spans="1:9">
      <c r="A2325" s="195"/>
      <c r="B2325" s="233" t="s">
        <v>35634</v>
      </c>
      <c r="C2325" s="234"/>
      <c r="D2325" s="641">
        <v>4.6500000000000004</v>
      </c>
      <c r="E2325" s="643">
        <v>2.4500000000000002</v>
      </c>
      <c r="F2325" s="279"/>
      <c r="G2325" s="279"/>
      <c r="H2325" s="279">
        <v>7</v>
      </c>
      <c r="I2325" s="280">
        <f t="shared" si="100"/>
        <v>7</v>
      </c>
    </row>
    <row r="2326" spans="1:9">
      <c r="A2326" s="195"/>
      <c r="B2326" s="233" t="s">
        <v>35635</v>
      </c>
      <c r="C2326" s="234"/>
      <c r="D2326" s="641">
        <v>2.5</v>
      </c>
      <c r="E2326" s="643">
        <v>1.5</v>
      </c>
      <c r="F2326" s="279"/>
      <c r="G2326" s="279"/>
      <c r="H2326" s="279">
        <f t="shared" ref="H2326:H2330" si="102">D2326*E2326</f>
        <v>3.75</v>
      </c>
      <c r="I2326" s="280">
        <f t="shared" si="100"/>
        <v>3.75</v>
      </c>
    </row>
    <row r="2327" spans="1:9">
      <c r="A2327" s="195"/>
      <c r="B2327" s="233" t="s">
        <v>35636</v>
      </c>
      <c r="C2327" s="234"/>
      <c r="D2327" s="641">
        <v>3.45</v>
      </c>
      <c r="E2327" s="643">
        <v>2.39</v>
      </c>
      <c r="F2327" s="279"/>
      <c r="G2327" s="279"/>
      <c r="H2327" s="279">
        <f t="shared" si="102"/>
        <v>8.2455000000000016</v>
      </c>
      <c r="I2327" s="280">
        <f t="shared" si="100"/>
        <v>8.2455000000000016</v>
      </c>
    </row>
    <row r="2328" spans="1:9">
      <c r="A2328" s="195"/>
      <c r="B2328" s="233" t="s">
        <v>35504</v>
      </c>
      <c r="C2328" s="234"/>
      <c r="D2328" s="641">
        <v>4.3499999999999996</v>
      </c>
      <c r="E2328" s="643">
        <v>9.25</v>
      </c>
      <c r="F2328" s="279"/>
      <c r="G2328" s="279"/>
      <c r="H2328" s="279">
        <f t="shared" si="102"/>
        <v>40.237499999999997</v>
      </c>
      <c r="I2328" s="280">
        <f t="shared" si="100"/>
        <v>40.237499999999997</v>
      </c>
    </row>
    <row r="2329" spans="1:9">
      <c r="A2329" s="195"/>
      <c r="B2329" s="233" t="s">
        <v>35520</v>
      </c>
      <c r="C2329" s="234"/>
      <c r="D2329" s="641">
        <v>4.3499999999999996</v>
      </c>
      <c r="E2329" s="643">
        <v>1.5</v>
      </c>
      <c r="F2329" s="279"/>
      <c r="G2329" s="279"/>
      <c r="H2329" s="279">
        <f t="shared" si="102"/>
        <v>6.5249999999999995</v>
      </c>
      <c r="I2329" s="280">
        <f t="shared" si="100"/>
        <v>6.5249999999999995</v>
      </c>
    </row>
    <row r="2330" spans="1:9">
      <c r="A2330" s="195"/>
      <c r="B2330" s="233" t="s">
        <v>35637</v>
      </c>
      <c r="C2330" s="234"/>
      <c r="D2330" s="641">
        <v>1.8</v>
      </c>
      <c r="E2330" s="643">
        <v>2.4</v>
      </c>
      <c r="F2330" s="279"/>
      <c r="G2330" s="279"/>
      <c r="H2330" s="279">
        <f t="shared" si="102"/>
        <v>4.32</v>
      </c>
      <c r="I2330" s="280">
        <f t="shared" si="100"/>
        <v>4.32</v>
      </c>
    </row>
    <row r="2331" spans="1:9">
      <c r="A2331" s="195"/>
      <c r="B2331" s="233" t="s">
        <v>35638</v>
      </c>
      <c r="C2331" s="234"/>
      <c r="D2331" s="641"/>
      <c r="E2331" s="643"/>
      <c r="F2331" s="279"/>
      <c r="G2331" s="279"/>
      <c r="H2331" s="279">
        <v>16.5</v>
      </c>
      <c r="I2331" s="280">
        <f t="shared" si="100"/>
        <v>16.5</v>
      </c>
    </row>
    <row r="2332" spans="1:9">
      <c r="A2332" s="195"/>
      <c r="B2332" s="642" t="s">
        <v>35625</v>
      </c>
      <c r="C2332" s="234"/>
      <c r="D2332" s="641"/>
      <c r="E2332" s="641"/>
      <c r="F2332" s="279"/>
      <c r="G2332" s="279"/>
      <c r="H2332" s="279"/>
      <c r="I2332" s="280"/>
    </row>
    <row r="2333" spans="1:9">
      <c r="A2333" s="195"/>
      <c r="B2333" s="233" t="s">
        <v>35616</v>
      </c>
      <c r="C2333" s="234"/>
      <c r="D2333" s="279">
        <v>4.7</v>
      </c>
      <c r="E2333" s="278">
        <v>6.95</v>
      </c>
      <c r="F2333" s="279"/>
      <c r="G2333" s="279"/>
      <c r="H2333" s="279">
        <f t="shared" ref="H2333:H2339" si="103">D2333*E2333</f>
        <v>32.664999999999999</v>
      </c>
      <c r="I2333" s="280">
        <f t="shared" si="100"/>
        <v>32.664999999999999</v>
      </c>
    </row>
    <row r="2334" spans="1:9">
      <c r="A2334" s="195"/>
      <c r="B2334" s="233" t="s">
        <v>35626</v>
      </c>
      <c r="C2334" s="234"/>
      <c r="D2334" s="279">
        <v>2</v>
      </c>
      <c r="E2334" s="278">
        <v>4.7</v>
      </c>
      <c r="F2334" s="279"/>
      <c r="G2334" s="279"/>
      <c r="H2334" s="279">
        <f t="shared" si="103"/>
        <v>9.4</v>
      </c>
      <c r="I2334" s="280">
        <f t="shared" si="100"/>
        <v>9.4</v>
      </c>
    </row>
    <row r="2335" spans="1:9">
      <c r="A2335" s="195"/>
      <c r="B2335" s="233" t="s">
        <v>35627</v>
      </c>
      <c r="C2335" s="234"/>
      <c r="D2335" s="279">
        <v>3.2</v>
      </c>
      <c r="E2335" s="278">
        <v>9.65</v>
      </c>
      <c r="F2335" s="279"/>
      <c r="G2335" s="279">
        <v>12</v>
      </c>
      <c r="H2335" s="279">
        <f t="shared" si="103"/>
        <v>30.880000000000003</v>
      </c>
      <c r="I2335" s="280">
        <f>G2335*H2335</f>
        <v>370.56000000000006</v>
      </c>
    </row>
    <row r="2336" spans="1:9">
      <c r="A2336" s="195"/>
      <c r="B2336" s="233" t="s">
        <v>35631</v>
      </c>
      <c r="C2336" s="234"/>
      <c r="D2336" s="641">
        <v>4.8499999999999996</v>
      </c>
      <c r="E2336" s="643">
        <v>4.0999999999999996</v>
      </c>
      <c r="F2336" s="279"/>
      <c r="G2336" s="279"/>
      <c r="H2336" s="279">
        <f t="shared" si="103"/>
        <v>19.884999999999998</v>
      </c>
      <c r="I2336" s="280">
        <f t="shared" si="100"/>
        <v>19.884999999999998</v>
      </c>
    </row>
    <row r="2337" spans="1:9">
      <c r="A2337" s="195"/>
      <c r="B2337" s="233" t="s">
        <v>35632</v>
      </c>
      <c r="C2337" s="234"/>
      <c r="D2337" s="641">
        <v>4.8499999999999996</v>
      </c>
      <c r="E2337" s="643">
        <v>4.0999999999999996</v>
      </c>
      <c r="F2337" s="279"/>
      <c r="G2337" s="279"/>
      <c r="H2337" s="279">
        <f t="shared" si="103"/>
        <v>19.884999999999998</v>
      </c>
      <c r="I2337" s="280">
        <f t="shared" si="100"/>
        <v>19.884999999999998</v>
      </c>
    </row>
    <row r="2338" spans="1:9">
      <c r="A2338" s="195"/>
      <c r="B2338" s="233" t="s">
        <v>35633</v>
      </c>
      <c r="C2338" s="234"/>
      <c r="D2338" s="641">
        <v>2.1</v>
      </c>
      <c r="E2338" s="643">
        <v>2</v>
      </c>
      <c r="F2338" s="279"/>
      <c r="G2338" s="279"/>
      <c r="H2338" s="279">
        <f t="shared" si="103"/>
        <v>4.2</v>
      </c>
      <c r="I2338" s="280">
        <f t="shared" si="100"/>
        <v>4.2</v>
      </c>
    </row>
    <row r="2339" spans="1:9">
      <c r="A2339" s="195"/>
      <c r="B2339" s="233" t="s">
        <v>35639</v>
      </c>
      <c r="C2339" s="234"/>
      <c r="D2339" s="641">
        <v>1.8</v>
      </c>
      <c r="E2339" s="643">
        <v>3.9</v>
      </c>
      <c r="F2339" s="279"/>
      <c r="G2339" s="279"/>
      <c r="H2339" s="279">
        <f t="shared" si="103"/>
        <v>7.02</v>
      </c>
      <c r="I2339" s="280">
        <f t="shared" si="100"/>
        <v>7.02</v>
      </c>
    </row>
    <row r="2340" spans="1:9">
      <c r="A2340" s="195"/>
      <c r="B2340" s="233" t="s">
        <v>35638</v>
      </c>
      <c r="C2340" s="234"/>
      <c r="D2340" s="641"/>
      <c r="E2340" s="643"/>
      <c r="F2340" s="279"/>
      <c r="G2340" s="279"/>
      <c r="H2340" s="279">
        <v>137.35</v>
      </c>
      <c r="I2340" s="280">
        <f>H2340</f>
        <v>137.35</v>
      </c>
    </row>
    <row r="2341" spans="1:9">
      <c r="A2341" s="195"/>
      <c r="B2341" s="642" t="s">
        <v>35629</v>
      </c>
      <c r="C2341" s="234"/>
      <c r="D2341" s="641"/>
      <c r="E2341" s="641"/>
      <c r="F2341" s="279"/>
      <c r="G2341" s="279"/>
      <c r="H2341" s="279">
        <f t="shared" ref="H2341:H2348" si="104">D2341*E2341</f>
        <v>0</v>
      </c>
      <c r="I2341" s="280">
        <f t="shared" si="100"/>
        <v>0</v>
      </c>
    </row>
    <row r="2342" spans="1:9">
      <c r="A2342" s="195"/>
      <c r="B2342" s="233" t="s">
        <v>35616</v>
      </c>
      <c r="C2342" s="234"/>
      <c r="D2342" s="279">
        <v>4.7</v>
      </c>
      <c r="E2342" s="278">
        <v>6.95</v>
      </c>
      <c r="F2342" s="279"/>
      <c r="G2342" s="279"/>
      <c r="H2342" s="279">
        <f t="shared" si="104"/>
        <v>32.664999999999999</v>
      </c>
      <c r="I2342" s="280">
        <f t="shared" si="100"/>
        <v>32.664999999999999</v>
      </c>
    </row>
    <row r="2343" spans="1:9">
      <c r="A2343" s="195"/>
      <c r="B2343" s="233" t="s">
        <v>35626</v>
      </c>
      <c r="C2343" s="234"/>
      <c r="D2343" s="279">
        <v>2</v>
      </c>
      <c r="E2343" s="278">
        <v>4.7</v>
      </c>
      <c r="F2343" s="279"/>
      <c r="G2343" s="279"/>
      <c r="H2343" s="279">
        <f t="shared" si="104"/>
        <v>9.4</v>
      </c>
      <c r="I2343" s="280">
        <f t="shared" si="100"/>
        <v>9.4</v>
      </c>
    </row>
    <row r="2344" spans="1:9">
      <c r="A2344" s="195"/>
      <c r="B2344" s="233" t="s">
        <v>35627</v>
      </c>
      <c r="C2344" s="234"/>
      <c r="D2344" s="279">
        <v>3.2</v>
      </c>
      <c r="E2344" s="278">
        <v>9.65</v>
      </c>
      <c r="F2344" s="279"/>
      <c r="G2344" s="279">
        <v>12</v>
      </c>
      <c r="H2344" s="279">
        <f t="shared" si="104"/>
        <v>30.880000000000003</v>
      </c>
      <c r="I2344" s="280">
        <f>G2344*H2344</f>
        <v>370.56000000000006</v>
      </c>
    </row>
    <row r="2345" spans="1:9">
      <c r="A2345" s="195"/>
      <c r="B2345" s="233" t="s">
        <v>35631</v>
      </c>
      <c r="C2345" s="234"/>
      <c r="D2345" s="641">
        <v>4.8499999999999996</v>
      </c>
      <c r="E2345" s="643">
        <v>4.0999999999999996</v>
      </c>
      <c r="F2345" s="279"/>
      <c r="G2345" s="279"/>
      <c r="H2345" s="279">
        <f t="shared" si="104"/>
        <v>19.884999999999998</v>
      </c>
      <c r="I2345" s="280">
        <f t="shared" si="100"/>
        <v>19.884999999999998</v>
      </c>
    </row>
    <row r="2346" spans="1:9">
      <c r="A2346" s="195"/>
      <c r="B2346" s="233" t="s">
        <v>35632</v>
      </c>
      <c r="C2346" s="234"/>
      <c r="D2346" s="641">
        <v>4.8499999999999996</v>
      </c>
      <c r="E2346" s="643">
        <v>4.0999999999999996</v>
      </c>
      <c r="F2346" s="279"/>
      <c r="G2346" s="279"/>
      <c r="H2346" s="279">
        <f t="shared" si="104"/>
        <v>19.884999999999998</v>
      </c>
      <c r="I2346" s="280">
        <f t="shared" si="100"/>
        <v>19.884999999999998</v>
      </c>
    </row>
    <row r="2347" spans="1:9">
      <c r="A2347" s="195"/>
      <c r="B2347" s="233" t="s">
        <v>35633</v>
      </c>
      <c r="C2347" s="234"/>
      <c r="D2347" s="641">
        <v>2.1</v>
      </c>
      <c r="E2347" s="643">
        <v>2</v>
      </c>
      <c r="F2347" s="279"/>
      <c r="G2347" s="279"/>
      <c r="H2347" s="279">
        <f t="shared" si="104"/>
        <v>4.2</v>
      </c>
      <c r="I2347" s="280">
        <f t="shared" si="100"/>
        <v>4.2</v>
      </c>
    </row>
    <row r="2348" spans="1:9">
      <c r="A2348" s="195"/>
      <c r="B2348" s="233" t="s">
        <v>35639</v>
      </c>
      <c r="C2348" s="234"/>
      <c r="D2348" s="641">
        <v>1.8</v>
      </c>
      <c r="E2348" s="643">
        <v>3.9</v>
      </c>
      <c r="F2348" s="279"/>
      <c r="G2348" s="279"/>
      <c r="H2348" s="279">
        <f t="shared" si="104"/>
        <v>7.02</v>
      </c>
      <c r="I2348" s="280">
        <f t="shared" si="100"/>
        <v>7.02</v>
      </c>
    </row>
    <row r="2349" spans="1:9">
      <c r="A2349" s="195"/>
      <c r="B2349" s="233" t="s">
        <v>35638</v>
      </c>
      <c r="C2349" s="234"/>
      <c r="D2349" s="641"/>
      <c r="E2349" s="643"/>
      <c r="F2349" s="279"/>
      <c r="G2349" s="279"/>
      <c r="H2349" s="279">
        <v>121.57</v>
      </c>
      <c r="I2349" s="280">
        <f>H2349</f>
        <v>121.57</v>
      </c>
    </row>
    <row r="2350" spans="1:9">
      <c r="A2350" s="195"/>
      <c r="B2350" s="189" t="s">
        <v>35601</v>
      </c>
      <c r="C2350" s="190"/>
      <c r="D2350" s="271"/>
      <c r="E2350" s="271"/>
      <c r="F2350" s="271"/>
      <c r="G2350" s="271"/>
      <c r="H2350" s="271"/>
      <c r="I2350" s="259">
        <f>H2350</f>
        <v>0</v>
      </c>
    </row>
    <row r="2351" spans="1:9">
      <c r="A2351" s="195"/>
      <c r="B2351" s="233" t="s">
        <v>35631</v>
      </c>
      <c r="C2351" s="234"/>
      <c r="D2351" s="641"/>
      <c r="E2351" s="643"/>
      <c r="F2351" s="279"/>
      <c r="G2351" s="279"/>
      <c r="H2351" s="279">
        <v>14.03</v>
      </c>
      <c r="I2351" s="280">
        <f t="shared" ref="I2351:I2358" si="105">H2351</f>
        <v>14.03</v>
      </c>
    </row>
    <row r="2352" spans="1:9">
      <c r="A2352" s="195"/>
      <c r="B2352" s="233" t="s">
        <v>35632</v>
      </c>
      <c r="C2352" s="234"/>
      <c r="D2352" s="641"/>
      <c r="E2352" s="643"/>
      <c r="F2352" s="279"/>
      <c r="G2352" s="279"/>
      <c r="H2352" s="279">
        <v>14.03</v>
      </c>
      <c r="I2352" s="280">
        <f t="shared" si="105"/>
        <v>14.03</v>
      </c>
    </row>
    <row r="2353" spans="1:9">
      <c r="A2353" s="195"/>
      <c r="B2353" s="233" t="s">
        <v>35633</v>
      </c>
      <c r="C2353" s="234"/>
      <c r="D2353" s="641">
        <v>1.6</v>
      </c>
      <c r="E2353" s="643">
        <v>2.4500000000000002</v>
      </c>
      <c r="F2353" s="279"/>
      <c r="G2353" s="279"/>
      <c r="H2353" s="279">
        <v>3.92</v>
      </c>
      <c r="I2353" s="280">
        <f t="shared" si="105"/>
        <v>3.92</v>
      </c>
    </row>
    <row r="2354" spans="1:9">
      <c r="A2354" s="195"/>
      <c r="B2354" s="233" t="s">
        <v>35795</v>
      </c>
      <c r="C2354" s="234"/>
      <c r="D2354" s="641">
        <v>1.6</v>
      </c>
      <c r="E2354" s="643">
        <v>4.9000000000000004</v>
      </c>
      <c r="F2354" s="279"/>
      <c r="G2354" s="279"/>
      <c r="H2354" s="279">
        <f t="shared" ref="H2354:H2355" si="106">D2354*E2354</f>
        <v>7.8400000000000007</v>
      </c>
      <c r="I2354" s="280">
        <f t="shared" si="105"/>
        <v>7.8400000000000007</v>
      </c>
    </row>
    <row r="2355" spans="1:9">
      <c r="A2355" s="195"/>
      <c r="B2355" s="233" t="s">
        <v>35776</v>
      </c>
      <c r="C2355" s="234"/>
      <c r="D2355" s="641">
        <v>1.6</v>
      </c>
      <c r="E2355" s="643">
        <v>2.2999999999999998</v>
      </c>
      <c r="F2355" s="279"/>
      <c r="G2355" s="279"/>
      <c r="H2355" s="279">
        <f t="shared" si="106"/>
        <v>3.6799999999999997</v>
      </c>
      <c r="I2355" s="280">
        <f t="shared" si="105"/>
        <v>3.6799999999999997</v>
      </c>
    </row>
    <row r="2356" spans="1:9">
      <c r="A2356" s="195"/>
      <c r="B2356" s="233" t="s">
        <v>35785</v>
      </c>
      <c r="C2356" s="234"/>
      <c r="D2356" s="641"/>
      <c r="E2356" s="643"/>
      <c r="F2356" s="279"/>
      <c r="G2356" s="279"/>
      <c r="H2356" s="279">
        <v>359.1</v>
      </c>
      <c r="I2356" s="280">
        <f t="shared" si="105"/>
        <v>359.1</v>
      </c>
    </row>
    <row r="2357" spans="1:9">
      <c r="A2357" s="195"/>
      <c r="B2357" s="233" t="s">
        <v>35803</v>
      </c>
      <c r="C2357" s="234"/>
      <c r="D2357" s="641">
        <v>12.15</v>
      </c>
      <c r="E2357" s="643">
        <v>4</v>
      </c>
      <c r="F2357" s="279"/>
      <c r="G2357" s="279"/>
      <c r="H2357" s="279">
        <f t="shared" ref="H2357:H2358" si="107">D2357*E2357</f>
        <v>48.6</v>
      </c>
      <c r="I2357" s="280">
        <f t="shared" si="105"/>
        <v>48.6</v>
      </c>
    </row>
    <row r="2358" spans="1:9">
      <c r="A2358" s="195"/>
      <c r="B2358" s="233" t="s">
        <v>35638</v>
      </c>
      <c r="C2358" s="234"/>
      <c r="D2358" s="641">
        <v>2.5</v>
      </c>
      <c r="E2358" s="643">
        <v>4</v>
      </c>
      <c r="F2358" s="279"/>
      <c r="G2358" s="279"/>
      <c r="H2358" s="279">
        <f t="shared" si="107"/>
        <v>10</v>
      </c>
      <c r="I2358" s="280">
        <f t="shared" si="105"/>
        <v>10</v>
      </c>
    </row>
    <row r="2359" spans="1:9">
      <c r="A2359" s="198"/>
      <c r="B2359" s="189" t="s">
        <v>35820</v>
      </c>
      <c r="C2359" s="199"/>
      <c r="D2359" s="719">
        <v>310</v>
      </c>
      <c r="E2359" s="720"/>
      <c r="F2359" s="281"/>
      <c r="G2359" s="281"/>
      <c r="H2359" s="281">
        <v>0</v>
      </c>
      <c r="I2359" s="607">
        <f>D2359</f>
        <v>310</v>
      </c>
    </row>
    <row r="2360" spans="1:9">
      <c r="A2360" s="135"/>
      <c r="B2360" s="170"/>
      <c r="C2360" s="136"/>
      <c r="D2360" s="275"/>
      <c r="E2360" s="275"/>
      <c r="F2360" s="275"/>
      <c r="G2360" s="276"/>
      <c r="H2360" s="276"/>
      <c r="I2360" s="277"/>
    </row>
    <row r="2361" spans="1:9" ht="57.6">
      <c r="A2361" s="605" t="s">
        <v>27026</v>
      </c>
      <c r="B2361" s="120" t="str">
        <f>VLOOKUP(A2361,GLOBAL!A:H,4,FALSE)</f>
        <v>PINTURA EM PAREDES E FORROS, APLICAÇÃO MANUAL, COM TRÊS DEMÃO DE TINTA LÁTEX ACRÍLICO PREMIUM, REFERÊNCIA CORAL E METALATEX, INCLUSIVE UMA DEMÃO DE LIQUIDO SELADOR ACRÍLICO, REFERÊNCIA SUVINIL, CORAL OU METALATEX OU EQUIVALENTE</v>
      </c>
      <c r="C2361" s="119" t="str">
        <f>VLOOKUP(A2361,GLOBAL!A:H,5,FALSE)</f>
        <v>M2</v>
      </c>
      <c r="D2361" s="267" t="s">
        <v>66</v>
      </c>
      <c r="E2361" s="267" t="s">
        <v>70</v>
      </c>
      <c r="F2361" s="267" t="s">
        <v>67</v>
      </c>
      <c r="G2361" s="267" t="s">
        <v>68</v>
      </c>
      <c r="H2361" s="267" t="s">
        <v>35630</v>
      </c>
      <c r="I2361" s="268">
        <f>ROUND(SUM(I2363:I2417),2)</f>
        <v>1172.42</v>
      </c>
    </row>
    <row r="2362" spans="1:9">
      <c r="A2362" s="198"/>
      <c r="B2362" s="200" t="s">
        <v>2874</v>
      </c>
      <c r="C2362" s="199"/>
      <c r="D2362" s="281"/>
      <c r="E2362" s="282"/>
      <c r="F2362" s="281"/>
      <c r="G2362" s="281"/>
      <c r="H2362" s="281"/>
      <c r="I2362" s="283"/>
    </row>
    <row r="2363" spans="1:9">
      <c r="A2363" s="195"/>
      <c r="B2363" s="642" t="s">
        <v>35624</v>
      </c>
      <c r="C2363" s="234"/>
      <c r="D2363" s="641"/>
      <c r="E2363" s="641"/>
      <c r="F2363" s="279"/>
      <c r="G2363" s="279"/>
      <c r="H2363" s="279"/>
      <c r="I2363" s="280"/>
    </row>
    <row r="2364" spans="1:9">
      <c r="A2364" s="195"/>
      <c r="B2364" s="233" t="s">
        <v>35605</v>
      </c>
      <c r="C2364" s="234"/>
      <c r="D2364" s="279">
        <v>4.7</v>
      </c>
      <c r="E2364" s="278">
        <v>3.45</v>
      </c>
      <c r="F2364" s="279">
        <v>3.3</v>
      </c>
      <c r="G2364" s="279"/>
      <c r="H2364" s="279">
        <f>(D2364+E2364)*F2364</f>
        <v>26.895</v>
      </c>
      <c r="I2364" s="280">
        <f>H2364</f>
        <v>26.895</v>
      </c>
    </row>
    <row r="2365" spans="1:9">
      <c r="A2365" s="195"/>
      <c r="B2365" s="233" t="s">
        <v>35606</v>
      </c>
      <c r="C2365" s="234"/>
      <c r="D2365" s="279">
        <v>4.7</v>
      </c>
      <c r="E2365" s="278">
        <v>3.4</v>
      </c>
      <c r="F2365" s="279">
        <v>3.3</v>
      </c>
      <c r="G2365" s="279"/>
      <c r="H2365" s="279">
        <f>(D2365+E2365)*F2365</f>
        <v>26.729999999999997</v>
      </c>
      <c r="I2365" s="280">
        <f t="shared" ref="I2365:I2410" si="108">H2365</f>
        <v>26.729999999999997</v>
      </c>
    </row>
    <row r="2366" spans="1:9">
      <c r="A2366" s="195"/>
      <c r="B2366" s="233" t="s">
        <v>35607</v>
      </c>
      <c r="C2366" s="234"/>
      <c r="D2366" s="279">
        <v>4.2</v>
      </c>
      <c r="E2366" s="278">
        <v>5.15</v>
      </c>
      <c r="F2366" s="279">
        <v>3.3</v>
      </c>
      <c r="G2366" s="279"/>
      <c r="H2366" s="279">
        <f>D2367*F2367</f>
        <v>13.86</v>
      </c>
      <c r="I2366" s="280">
        <f t="shared" si="108"/>
        <v>13.86</v>
      </c>
    </row>
    <row r="2367" spans="1:9">
      <c r="A2367" s="195"/>
      <c r="B2367" s="233" t="s">
        <v>35608</v>
      </c>
      <c r="C2367" s="234"/>
      <c r="D2367" s="279">
        <v>4.2</v>
      </c>
      <c r="E2367" s="278">
        <v>4.4000000000000004</v>
      </c>
      <c r="F2367" s="279">
        <v>3.3</v>
      </c>
      <c r="G2367" s="279"/>
      <c r="H2367" s="279">
        <v>0</v>
      </c>
      <c r="I2367" s="280">
        <f t="shared" si="108"/>
        <v>0</v>
      </c>
    </row>
    <row r="2368" spans="1:9">
      <c r="A2368" s="195"/>
      <c r="B2368" s="233" t="s">
        <v>35609</v>
      </c>
      <c r="C2368" s="234"/>
      <c r="D2368" s="279">
        <v>4.2</v>
      </c>
      <c r="E2368" s="278">
        <v>9.65</v>
      </c>
      <c r="F2368" s="279">
        <v>3.3</v>
      </c>
      <c r="G2368" s="279"/>
      <c r="H2368" s="279">
        <f>D2368*F2368</f>
        <v>13.86</v>
      </c>
      <c r="I2368" s="280">
        <f t="shared" si="108"/>
        <v>13.86</v>
      </c>
    </row>
    <row r="2369" spans="1:9">
      <c r="A2369" s="195"/>
      <c r="B2369" s="233" t="s">
        <v>35610</v>
      </c>
      <c r="C2369" s="234"/>
      <c r="D2369" s="279">
        <v>5</v>
      </c>
      <c r="E2369" s="278">
        <v>3.62</v>
      </c>
      <c r="F2369" s="279">
        <v>3.3</v>
      </c>
      <c r="G2369" s="279"/>
      <c r="H2369" s="279">
        <f>D2369*F2369</f>
        <v>16.5</v>
      </c>
      <c r="I2369" s="280">
        <f t="shared" si="108"/>
        <v>16.5</v>
      </c>
    </row>
    <row r="2370" spans="1:9">
      <c r="A2370" s="195"/>
      <c r="B2370" s="233" t="s">
        <v>35611</v>
      </c>
      <c r="C2370" s="234"/>
      <c r="D2370" s="279">
        <v>5</v>
      </c>
      <c r="E2370" s="278">
        <v>3.2</v>
      </c>
      <c r="F2370" s="279">
        <v>3.3</v>
      </c>
      <c r="G2370" s="279"/>
      <c r="H2370" s="279">
        <v>0</v>
      </c>
      <c r="I2370" s="280">
        <f t="shared" si="108"/>
        <v>0</v>
      </c>
    </row>
    <row r="2371" spans="1:9">
      <c r="A2371" s="195"/>
      <c r="B2371" s="233" t="s">
        <v>35612</v>
      </c>
      <c r="C2371" s="234"/>
      <c r="D2371" s="279">
        <v>5</v>
      </c>
      <c r="E2371" s="278">
        <v>2.63</v>
      </c>
      <c r="F2371" s="279">
        <v>3.3</v>
      </c>
      <c r="G2371" s="279"/>
      <c r="H2371" s="279">
        <v>0</v>
      </c>
      <c r="I2371" s="280">
        <f t="shared" si="108"/>
        <v>0</v>
      </c>
    </row>
    <row r="2372" spans="1:9">
      <c r="A2372" s="195"/>
      <c r="B2372" s="233" t="s">
        <v>35613</v>
      </c>
      <c r="C2372" s="234"/>
      <c r="D2372" s="279">
        <v>1.2</v>
      </c>
      <c r="E2372" s="278">
        <v>2.5</v>
      </c>
      <c r="F2372" s="279">
        <v>3.3</v>
      </c>
      <c r="G2372" s="279"/>
      <c r="H2372" s="279">
        <f>D2372*F2372</f>
        <v>3.9599999999999995</v>
      </c>
      <c r="I2372" s="280">
        <f t="shared" si="108"/>
        <v>3.9599999999999995</v>
      </c>
    </row>
    <row r="2373" spans="1:9">
      <c r="A2373" s="195"/>
      <c r="B2373" s="233" t="s">
        <v>35613</v>
      </c>
      <c r="C2373" s="234"/>
      <c r="D2373" s="279">
        <v>1.2</v>
      </c>
      <c r="E2373" s="278">
        <v>2.15</v>
      </c>
      <c r="F2373" s="279">
        <v>3.3</v>
      </c>
      <c r="G2373" s="279"/>
      <c r="H2373" s="279">
        <f>D2373*F2373</f>
        <v>3.9599999999999995</v>
      </c>
      <c r="I2373" s="280">
        <f t="shared" si="108"/>
        <v>3.9599999999999995</v>
      </c>
    </row>
    <row r="2374" spans="1:9">
      <c r="A2374" s="195"/>
      <c r="B2374" s="233" t="s">
        <v>35614</v>
      </c>
      <c r="C2374" s="234"/>
      <c r="D2374" s="279">
        <v>3.5</v>
      </c>
      <c r="E2374" s="278">
        <v>5.2</v>
      </c>
      <c r="F2374" s="279">
        <v>3.3</v>
      </c>
      <c r="G2374" s="279"/>
      <c r="H2374" s="279">
        <f>D2374*F2374</f>
        <v>11.549999999999999</v>
      </c>
      <c r="I2374" s="280">
        <f t="shared" si="108"/>
        <v>11.549999999999999</v>
      </c>
    </row>
    <row r="2375" spans="1:9">
      <c r="A2375" s="195"/>
      <c r="B2375" s="233" t="s">
        <v>35615</v>
      </c>
      <c r="C2375" s="234"/>
      <c r="D2375" s="279">
        <v>3.5</v>
      </c>
      <c r="E2375" s="278">
        <v>4.8</v>
      </c>
      <c r="F2375" s="279">
        <v>3.3</v>
      </c>
      <c r="G2375" s="279"/>
      <c r="H2375" s="279">
        <f>D2375*F2375</f>
        <v>11.549999999999999</v>
      </c>
      <c r="I2375" s="280">
        <f t="shared" si="108"/>
        <v>11.549999999999999</v>
      </c>
    </row>
    <row r="2376" spans="1:9">
      <c r="A2376" s="195"/>
      <c r="B2376" s="233" t="s">
        <v>35616</v>
      </c>
      <c r="C2376" s="234"/>
      <c r="D2376" s="279">
        <v>7.3</v>
      </c>
      <c r="E2376" s="278">
        <v>6.3</v>
      </c>
      <c r="F2376" s="279">
        <v>3.3</v>
      </c>
      <c r="G2376" s="279"/>
      <c r="H2376" s="279">
        <f>(D2376+E2376)*F2376</f>
        <v>44.879999999999995</v>
      </c>
      <c r="I2376" s="280">
        <f t="shared" si="108"/>
        <v>44.879999999999995</v>
      </c>
    </row>
    <row r="2377" spans="1:9">
      <c r="A2377" s="195"/>
      <c r="B2377" s="233" t="s">
        <v>35617</v>
      </c>
      <c r="C2377" s="234"/>
      <c r="D2377" s="279">
        <v>5.35</v>
      </c>
      <c r="E2377" s="278">
        <v>4.8</v>
      </c>
      <c r="F2377" s="279">
        <v>3.3</v>
      </c>
      <c r="G2377" s="279"/>
      <c r="H2377" s="279">
        <f>D2377*F2377</f>
        <v>17.654999999999998</v>
      </c>
      <c r="I2377" s="280">
        <f t="shared" si="108"/>
        <v>17.654999999999998</v>
      </c>
    </row>
    <row r="2378" spans="1:9">
      <c r="A2378" s="195"/>
      <c r="B2378" s="233" t="s">
        <v>35618</v>
      </c>
      <c r="C2378" s="234"/>
      <c r="D2378" s="279">
        <v>1.85</v>
      </c>
      <c r="E2378" s="278">
        <v>2.25</v>
      </c>
      <c r="F2378" s="279">
        <v>3.3</v>
      </c>
      <c r="G2378" s="279"/>
      <c r="H2378" s="279">
        <f>E2378*F2378</f>
        <v>7.4249999999999998</v>
      </c>
      <c r="I2378" s="280">
        <f t="shared" si="108"/>
        <v>7.4249999999999998</v>
      </c>
    </row>
    <row r="2379" spans="1:9">
      <c r="A2379" s="195"/>
      <c r="B2379" s="233" t="s">
        <v>35619</v>
      </c>
      <c r="C2379" s="234"/>
      <c r="D2379" s="279"/>
      <c r="E2379" s="278"/>
      <c r="F2379" s="279"/>
      <c r="G2379" s="279"/>
      <c r="H2379" s="279">
        <v>0</v>
      </c>
      <c r="I2379" s="280">
        <f t="shared" si="108"/>
        <v>0</v>
      </c>
    </row>
    <row r="2380" spans="1:9">
      <c r="A2380" s="195"/>
      <c r="B2380" s="233" t="s">
        <v>35620</v>
      </c>
      <c r="C2380" s="234"/>
      <c r="D2380" s="279">
        <v>9</v>
      </c>
      <c r="E2380" s="278"/>
      <c r="F2380" s="279">
        <v>3.3</v>
      </c>
      <c r="G2380" s="279"/>
      <c r="H2380" s="279">
        <f>D2380*F2380</f>
        <v>29.7</v>
      </c>
      <c r="I2380" s="280">
        <f t="shared" si="108"/>
        <v>29.7</v>
      </c>
    </row>
    <row r="2381" spans="1:9">
      <c r="A2381" s="195"/>
      <c r="B2381" s="233" t="s">
        <v>35621</v>
      </c>
      <c r="C2381" s="234"/>
      <c r="D2381" s="279">
        <v>3.5</v>
      </c>
      <c r="E2381" s="278">
        <v>4.9000000000000004</v>
      </c>
      <c r="F2381" s="279">
        <v>3.3</v>
      </c>
      <c r="G2381" s="279"/>
      <c r="H2381" s="279">
        <f>D2381*F2381</f>
        <v>11.549999999999999</v>
      </c>
      <c r="I2381" s="280">
        <f t="shared" si="108"/>
        <v>11.549999999999999</v>
      </c>
    </row>
    <row r="2382" spans="1:9">
      <c r="A2382" s="195"/>
      <c r="B2382" s="233" t="s">
        <v>35622</v>
      </c>
      <c r="C2382" s="234"/>
      <c r="D2382" s="279">
        <v>14.5</v>
      </c>
      <c r="E2382" s="278">
        <v>7.5</v>
      </c>
      <c r="F2382" s="279">
        <v>3.3</v>
      </c>
      <c r="G2382" s="279"/>
      <c r="H2382" s="279">
        <f>(D2382+E2382)*F2382</f>
        <v>72.599999999999994</v>
      </c>
      <c r="I2382" s="280">
        <f t="shared" si="108"/>
        <v>72.599999999999994</v>
      </c>
    </row>
    <row r="2383" spans="1:9">
      <c r="A2383" s="195"/>
      <c r="B2383" s="233" t="s">
        <v>35623</v>
      </c>
      <c r="C2383" s="234"/>
      <c r="D2383" s="279">
        <v>3.5</v>
      </c>
      <c r="E2383" s="278">
        <v>2.5</v>
      </c>
      <c r="F2383" s="279">
        <v>3.3</v>
      </c>
      <c r="G2383" s="279"/>
      <c r="H2383" s="279">
        <v>0</v>
      </c>
      <c r="I2383" s="280">
        <f t="shared" si="108"/>
        <v>0</v>
      </c>
    </row>
    <row r="2384" spans="1:9">
      <c r="A2384" s="195"/>
      <c r="B2384" s="233" t="s">
        <v>35631</v>
      </c>
      <c r="C2384" s="234"/>
      <c r="D2384" s="641">
        <v>4.8499999999999996</v>
      </c>
      <c r="E2384" s="643">
        <v>4.0999999999999996</v>
      </c>
      <c r="F2384" s="279">
        <v>3.3</v>
      </c>
      <c r="G2384" s="279"/>
      <c r="H2384" s="279">
        <v>0</v>
      </c>
      <c r="I2384" s="280">
        <f t="shared" si="108"/>
        <v>0</v>
      </c>
    </row>
    <row r="2385" spans="1:9">
      <c r="A2385" s="195"/>
      <c r="B2385" s="233" t="s">
        <v>35632</v>
      </c>
      <c r="C2385" s="234"/>
      <c r="D2385" s="641">
        <v>4.8499999999999996</v>
      </c>
      <c r="E2385" s="643">
        <v>4.0999999999999996</v>
      </c>
      <c r="F2385" s="279">
        <v>3.3</v>
      </c>
      <c r="G2385" s="279"/>
      <c r="H2385" s="279">
        <v>0</v>
      </c>
      <c r="I2385" s="280">
        <f t="shared" si="108"/>
        <v>0</v>
      </c>
    </row>
    <row r="2386" spans="1:9">
      <c r="A2386" s="195"/>
      <c r="B2386" s="233" t="s">
        <v>35633</v>
      </c>
      <c r="C2386" s="234"/>
      <c r="D2386" s="641">
        <v>2.1</v>
      </c>
      <c r="E2386" s="643">
        <v>2</v>
      </c>
      <c r="F2386" s="279">
        <v>3.3</v>
      </c>
      <c r="G2386" s="279"/>
      <c r="H2386" s="279">
        <v>0</v>
      </c>
      <c r="I2386" s="280">
        <f t="shared" si="108"/>
        <v>0</v>
      </c>
    </row>
    <row r="2387" spans="1:9">
      <c r="A2387" s="195"/>
      <c r="B2387" s="233" t="s">
        <v>35634</v>
      </c>
      <c r="C2387" s="234"/>
      <c r="D2387" s="721">
        <v>14.2</v>
      </c>
      <c r="E2387" s="722"/>
      <c r="F2387" s="279">
        <v>3.3</v>
      </c>
      <c r="G2387" s="279"/>
      <c r="H2387" s="279">
        <f>D2387*F2387</f>
        <v>46.859999999999992</v>
      </c>
      <c r="I2387" s="280">
        <f t="shared" si="108"/>
        <v>46.859999999999992</v>
      </c>
    </row>
    <row r="2388" spans="1:9">
      <c r="A2388" s="195"/>
      <c r="B2388" s="233" t="s">
        <v>35635</v>
      </c>
      <c r="C2388" s="234"/>
      <c r="D2388" s="641">
        <v>2.5</v>
      </c>
      <c r="E2388" s="643">
        <v>1.5</v>
      </c>
      <c r="F2388" s="279">
        <v>3.3</v>
      </c>
      <c r="G2388" s="279"/>
      <c r="H2388" s="279">
        <f>(D2388+E2388)*2*F2388</f>
        <v>26.4</v>
      </c>
      <c r="I2388" s="280">
        <f t="shared" si="108"/>
        <v>26.4</v>
      </c>
    </row>
    <row r="2389" spans="1:9">
      <c r="A2389" s="195"/>
      <c r="B2389" s="233" t="s">
        <v>35636</v>
      </c>
      <c r="C2389" s="234"/>
      <c r="D2389" s="641">
        <v>3.45</v>
      </c>
      <c r="E2389" s="643">
        <v>2.39</v>
      </c>
      <c r="F2389" s="279">
        <v>3.3</v>
      </c>
      <c r="G2389" s="279"/>
      <c r="H2389" s="279">
        <v>0</v>
      </c>
      <c r="I2389" s="280">
        <f t="shared" si="108"/>
        <v>0</v>
      </c>
    </row>
    <row r="2390" spans="1:9">
      <c r="A2390" s="195"/>
      <c r="B2390" s="233" t="s">
        <v>35504</v>
      </c>
      <c r="C2390" s="234"/>
      <c r="D2390" s="641">
        <v>4.3499999999999996</v>
      </c>
      <c r="E2390" s="643">
        <v>9.25</v>
      </c>
      <c r="F2390" s="279">
        <v>3.3</v>
      </c>
      <c r="G2390" s="279"/>
      <c r="H2390" s="279">
        <v>0</v>
      </c>
      <c r="I2390" s="280">
        <f t="shared" si="108"/>
        <v>0</v>
      </c>
    </row>
    <row r="2391" spans="1:9">
      <c r="A2391" s="195"/>
      <c r="B2391" s="233" t="s">
        <v>35520</v>
      </c>
      <c r="C2391" s="234"/>
      <c r="D2391" s="641">
        <v>4.3499999999999996</v>
      </c>
      <c r="E2391" s="643">
        <v>1.5</v>
      </c>
      <c r="F2391" s="279">
        <v>3.3</v>
      </c>
      <c r="G2391" s="279"/>
      <c r="H2391" s="279">
        <v>0</v>
      </c>
      <c r="I2391" s="280">
        <f t="shared" si="108"/>
        <v>0</v>
      </c>
    </row>
    <row r="2392" spans="1:9">
      <c r="A2392" s="195"/>
      <c r="B2392" s="233" t="s">
        <v>35637</v>
      </c>
      <c r="C2392" s="234"/>
      <c r="D2392" s="641">
        <v>1.8</v>
      </c>
      <c r="E2392" s="643">
        <v>2.4</v>
      </c>
      <c r="F2392" s="279">
        <v>3.3</v>
      </c>
      <c r="G2392" s="279"/>
      <c r="H2392" s="279">
        <v>0</v>
      </c>
      <c r="I2392" s="280">
        <f t="shared" si="108"/>
        <v>0</v>
      </c>
    </row>
    <row r="2393" spans="1:9">
      <c r="A2393" s="195"/>
      <c r="B2393" s="233" t="s">
        <v>35638</v>
      </c>
      <c r="C2393" s="234"/>
      <c r="D2393" s="641"/>
      <c r="E2393" s="643">
        <v>11.15</v>
      </c>
      <c r="F2393" s="279">
        <v>3.3</v>
      </c>
      <c r="G2393" s="279"/>
      <c r="H2393" s="279">
        <f>E2393*F2393</f>
        <v>36.795000000000002</v>
      </c>
      <c r="I2393" s="280">
        <f t="shared" si="108"/>
        <v>36.795000000000002</v>
      </c>
    </row>
    <row r="2394" spans="1:9">
      <c r="A2394" s="195"/>
      <c r="B2394" s="642" t="s">
        <v>35625</v>
      </c>
      <c r="C2394" s="234"/>
      <c r="D2394" s="641"/>
      <c r="E2394" s="641"/>
      <c r="F2394" s="279"/>
      <c r="G2394" s="279"/>
      <c r="H2394" s="279"/>
      <c r="I2394" s="280"/>
    </row>
    <row r="2395" spans="1:9">
      <c r="A2395" s="195"/>
      <c r="B2395" s="233" t="s">
        <v>35616</v>
      </c>
      <c r="C2395" s="234"/>
      <c r="D2395" s="279">
        <v>4.7</v>
      </c>
      <c r="E2395" s="278">
        <v>6.95</v>
      </c>
      <c r="F2395" s="279">
        <v>3.3</v>
      </c>
      <c r="G2395" s="279"/>
      <c r="H2395" s="279">
        <f>(D2395+E2395)*F2395</f>
        <v>38.445</v>
      </c>
      <c r="I2395" s="280">
        <f t="shared" si="108"/>
        <v>38.445</v>
      </c>
    </row>
    <row r="2396" spans="1:9">
      <c r="A2396" s="195"/>
      <c r="B2396" s="233" t="s">
        <v>35626</v>
      </c>
      <c r="C2396" s="234"/>
      <c r="D2396" s="279">
        <v>2</v>
      </c>
      <c r="E2396" s="278">
        <v>4.7</v>
      </c>
      <c r="F2396" s="279">
        <v>3.3</v>
      </c>
      <c r="G2396" s="279"/>
      <c r="H2396" s="279">
        <f>D2396*F2396</f>
        <v>6.6</v>
      </c>
      <c r="I2396" s="280">
        <f t="shared" si="108"/>
        <v>6.6</v>
      </c>
    </row>
    <row r="2397" spans="1:9">
      <c r="A2397" s="195"/>
      <c r="B2397" s="233" t="s">
        <v>35627</v>
      </c>
      <c r="C2397" s="234"/>
      <c r="D2397" s="279">
        <v>3.2</v>
      </c>
      <c r="E2397" s="278">
        <v>9.65</v>
      </c>
      <c r="F2397" s="279">
        <v>3.3</v>
      </c>
      <c r="G2397" s="279">
        <v>12</v>
      </c>
      <c r="H2397" s="279">
        <f>D2397*F2397</f>
        <v>10.56</v>
      </c>
      <c r="I2397" s="280">
        <f>G2397*H2397+(10*3.3)</f>
        <v>159.72</v>
      </c>
    </row>
    <row r="2398" spans="1:9">
      <c r="A2398" s="195"/>
      <c r="B2398" s="233" t="s">
        <v>35631</v>
      </c>
      <c r="C2398" s="234"/>
      <c r="D2398" s="641">
        <v>4.8499999999999996</v>
      </c>
      <c r="E2398" s="643">
        <v>4.0999999999999996</v>
      </c>
      <c r="F2398" s="279">
        <v>3.3</v>
      </c>
      <c r="G2398" s="279"/>
      <c r="H2398" s="279">
        <v>0</v>
      </c>
      <c r="I2398" s="280">
        <f t="shared" si="108"/>
        <v>0</v>
      </c>
    </row>
    <row r="2399" spans="1:9">
      <c r="A2399" s="195"/>
      <c r="B2399" s="233" t="s">
        <v>35632</v>
      </c>
      <c r="C2399" s="234"/>
      <c r="D2399" s="641">
        <v>4.8499999999999996</v>
      </c>
      <c r="E2399" s="643">
        <v>4.0999999999999996</v>
      </c>
      <c r="F2399" s="279">
        <v>3.3</v>
      </c>
      <c r="G2399" s="279"/>
      <c r="H2399" s="279">
        <v>0</v>
      </c>
      <c r="I2399" s="280">
        <f t="shared" si="108"/>
        <v>0</v>
      </c>
    </row>
    <row r="2400" spans="1:9">
      <c r="A2400" s="195"/>
      <c r="B2400" s="233" t="s">
        <v>35633</v>
      </c>
      <c r="C2400" s="234"/>
      <c r="D2400" s="641">
        <v>2.1</v>
      </c>
      <c r="E2400" s="643">
        <v>2</v>
      </c>
      <c r="F2400" s="279">
        <v>3.3</v>
      </c>
      <c r="G2400" s="279"/>
      <c r="H2400" s="279">
        <v>0</v>
      </c>
      <c r="I2400" s="280">
        <f t="shared" si="108"/>
        <v>0</v>
      </c>
    </row>
    <row r="2401" spans="1:9">
      <c r="A2401" s="195"/>
      <c r="B2401" s="233" t="s">
        <v>35639</v>
      </c>
      <c r="C2401" s="234"/>
      <c r="D2401" s="641">
        <v>1.8</v>
      </c>
      <c r="E2401" s="643">
        <v>3.9</v>
      </c>
      <c r="F2401" s="279">
        <v>3.3</v>
      </c>
      <c r="G2401" s="279"/>
      <c r="H2401" s="279">
        <v>0</v>
      </c>
      <c r="I2401" s="280">
        <f t="shared" si="108"/>
        <v>0</v>
      </c>
    </row>
    <row r="2402" spans="1:9">
      <c r="A2402" s="195"/>
      <c r="B2402" s="233" t="s">
        <v>35638</v>
      </c>
      <c r="C2402" s="234"/>
      <c r="D2402" s="641">
        <v>4.8</v>
      </c>
      <c r="E2402" s="643">
        <v>10.8</v>
      </c>
      <c r="F2402" s="279">
        <v>3.3</v>
      </c>
      <c r="G2402" s="279"/>
      <c r="H2402" s="279">
        <f>(D2402+E2402)*F2402</f>
        <v>51.480000000000004</v>
      </c>
      <c r="I2402" s="280">
        <f>H2402</f>
        <v>51.480000000000004</v>
      </c>
    </row>
    <row r="2403" spans="1:9">
      <c r="A2403" s="195"/>
      <c r="B2403" s="642" t="s">
        <v>35629</v>
      </c>
      <c r="C2403" s="234"/>
      <c r="D2403" s="641"/>
      <c r="E2403" s="641"/>
      <c r="F2403" s="279"/>
      <c r="G2403" s="279"/>
      <c r="H2403" s="279"/>
      <c r="I2403" s="280"/>
    </row>
    <row r="2404" spans="1:9">
      <c r="A2404" s="195"/>
      <c r="B2404" s="233" t="s">
        <v>35616</v>
      </c>
      <c r="C2404" s="234"/>
      <c r="D2404" s="279">
        <v>4.7</v>
      </c>
      <c r="E2404" s="278">
        <v>6.95</v>
      </c>
      <c r="F2404" s="279">
        <v>3.3</v>
      </c>
      <c r="G2404" s="279"/>
      <c r="H2404" s="279">
        <f>(D2404+E2404)*F2404</f>
        <v>38.445</v>
      </c>
      <c r="I2404" s="280">
        <f t="shared" si="108"/>
        <v>38.445</v>
      </c>
    </row>
    <row r="2405" spans="1:9">
      <c r="A2405" s="195"/>
      <c r="B2405" s="233" t="s">
        <v>35626</v>
      </c>
      <c r="C2405" s="234"/>
      <c r="D2405" s="279">
        <v>2</v>
      </c>
      <c r="E2405" s="278">
        <v>4.7</v>
      </c>
      <c r="F2405" s="279">
        <v>3.3</v>
      </c>
      <c r="G2405" s="279"/>
      <c r="H2405" s="279">
        <f>D2405*F2405</f>
        <v>6.6</v>
      </c>
      <c r="I2405" s="280">
        <f t="shared" si="108"/>
        <v>6.6</v>
      </c>
    </row>
    <row r="2406" spans="1:9">
      <c r="A2406" s="195"/>
      <c r="B2406" s="233" t="s">
        <v>35627</v>
      </c>
      <c r="C2406" s="234"/>
      <c r="D2406" s="279">
        <v>3.2</v>
      </c>
      <c r="E2406" s="278">
        <v>9.65</v>
      </c>
      <c r="F2406" s="279">
        <v>3.3</v>
      </c>
      <c r="G2406" s="279">
        <v>12</v>
      </c>
      <c r="H2406" s="279">
        <f>D2406*F2406</f>
        <v>10.56</v>
      </c>
      <c r="I2406" s="280">
        <f>G2406*H2406+(10*3.3)</f>
        <v>159.72</v>
      </c>
    </row>
    <row r="2407" spans="1:9">
      <c r="A2407" s="195"/>
      <c r="B2407" s="233" t="s">
        <v>35631</v>
      </c>
      <c r="C2407" s="234"/>
      <c r="D2407" s="641">
        <v>4.8499999999999996</v>
      </c>
      <c r="E2407" s="643">
        <v>4.0999999999999996</v>
      </c>
      <c r="F2407" s="279">
        <v>3.3</v>
      </c>
      <c r="G2407" s="279"/>
      <c r="H2407" s="279">
        <v>0</v>
      </c>
      <c r="I2407" s="280">
        <f t="shared" si="108"/>
        <v>0</v>
      </c>
    </row>
    <row r="2408" spans="1:9">
      <c r="A2408" s="195"/>
      <c r="B2408" s="233" t="s">
        <v>35632</v>
      </c>
      <c r="C2408" s="234"/>
      <c r="D2408" s="641">
        <v>4.8499999999999996</v>
      </c>
      <c r="E2408" s="643">
        <v>4.0999999999999996</v>
      </c>
      <c r="F2408" s="279">
        <v>3.3</v>
      </c>
      <c r="G2408" s="279"/>
      <c r="H2408" s="279">
        <v>0</v>
      </c>
      <c r="I2408" s="280">
        <f t="shared" si="108"/>
        <v>0</v>
      </c>
    </row>
    <row r="2409" spans="1:9">
      <c r="A2409" s="195"/>
      <c r="B2409" s="233" t="s">
        <v>35633</v>
      </c>
      <c r="C2409" s="234"/>
      <c r="D2409" s="641">
        <v>2.1</v>
      </c>
      <c r="E2409" s="643">
        <v>2</v>
      </c>
      <c r="F2409" s="279">
        <v>3.3</v>
      </c>
      <c r="G2409" s="279"/>
      <c r="H2409" s="279">
        <v>0</v>
      </c>
      <c r="I2409" s="280">
        <f t="shared" si="108"/>
        <v>0</v>
      </c>
    </row>
    <row r="2410" spans="1:9">
      <c r="A2410" s="195"/>
      <c r="B2410" s="233" t="s">
        <v>35639</v>
      </c>
      <c r="C2410" s="234"/>
      <c r="D2410" s="641">
        <v>1.8</v>
      </c>
      <c r="E2410" s="643">
        <v>3.9</v>
      </c>
      <c r="F2410" s="279">
        <v>3.3</v>
      </c>
      <c r="G2410" s="279"/>
      <c r="H2410" s="279">
        <v>0</v>
      </c>
      <c r="I2410" s="280">
        <f t="shared" si="108"/>
        <v>0</v>
      </c>
    </row>
    <row r="2411" spans="1:9">
      <c r="A2411" s="195"/>
      <c r="B2411" s="233" t="s">
        <v>35638</v>
      </c>
      <c r="C2411" s="234"/>
      <c r="D2411" s="641">
        <v>4.8</v>
      </c>
      <c r="E2411" s="643">
        <v>10.8</v>
      </c>
      <c r="F2411" s="279">
        <v>3.3</v>
      </c>
      <c r="G2411" s="279"/>
      <c r="H2411" s="279">
        <f>(D2411+E2411)*F2411</f>
        <v>51.480000000000004</v>
      </c>
      <c r="I2411" s="280">
        <f>H2411</f>
        <v>51.480000000000004</v>
      </c>
    </row>
    <row r="2412" spans="1:9">
      <c r="A2412" s="195"/>
      <c r="B2412" s="189" t="s">
        <v>35601</v>
      </c>
      <c r="C2412" s="190"/>
      <c r="D2412" s="271"/>
      <c r="E2412" s="271"/>
      <c r="F2412" s="271"/>
      <c r="G2412" s="271"/>
      <c r="H2412" s="271"/>
      <c r="I2412" s="259">
        <f>H2412</f>
        <v>0</v>
      </c>
    </row>
    <row r="2413" spans="1:9">
      <c r="A2413" s="195"/>
      <c r="B2413" s="189" t="s">
        <v>35601</v>
      </c>
      <c r="C2413" s="190"/>
      <c r="D2413" s="271"/>
      <c r="E2413" s="271"/>
      <c r="F2413" s="271"/>
      <c r="G2413" s="271"/>
      <c r="H2413" s="271"/>
      <c r="I2413" s="259">
        <f>H2413</f>
        <v>0</v>
      </c>
    </row>
    <row r="2414" spans="1:9">
      <c r="A2414" s="195"/>
      <c r="B2414" s="233" t="s">
        <v>35795</v>
      </c>
      <c r="C2414" s="234"/>
      <c r="D2414" s="641">
        <v>1.6</v>
      </c>
      <c r="E2414" s="643">
        <v>4.9000000000000004</v>
      </c>
      <c r="F2414" s="279">
        <v>3.3</v>
      </c>
      <c r="G2414" s="279"/>
      <c r="H2414" s="279">
        <f>(D2414+E2414)*F2414</f>
        <v>21.45</v>
      </c>
      <c r="I2414" s="280">
        <f t="shared" ref="I2414:I2417" si="109">H2414</f>
        <v>21.45</v>
      </c>
    </row>
    <row r="2415" spans="1:9">
      <c r="A2415" s="195"/>
      <c r="B2415" s="233" t="s">
        <v>35785</v>
      </c>
      <c r="C2415" s="234"/>
      <c r="D2415" s="641">
        <v>32</v>
      </c>
      <c r="E2415" s="643">
        <v>15</v>
      </c>
      <c r="F2415" s="279">
        <v>3</v>
      </c>
      <c r="G2415" s="279"/>
      <c r="H2415" s="279">
        <f>(D2415+E2415)*F2415</f>
        <v>141</v>
      </c>
      <c r="I2415" s="280">
        <f t="shared" si="109"/>
        <v>141</v>
      </c>
    </row>
    <row r="2416" spans="1:9">
      <c r="A2416" s="195"/>
      <c r="B2416" s="233" t="s">
        <v>35803</v>
      </c>
      <c r="C2416" s="234"/>
      <c r="D2416" s="641">
        <v>12.15</v>
      </c>
      <c r="E2416" s="643">
        <v>4</v>
      </c>
      <c r="F2416" s="279">
        <v>3.3</v>
      </c>
      <c r="G2416" s="279"/>
      <c r="H2416" s="279">
        <f t="shared" ref="H2416:H2417" si="110">(D2416+E2416)*F2416</f>
        <v>53.294999999999995</v>
      </c>
      <c r="I2416" s="280">
        <f t="shared" si="109"/>
        <v>53.294999999999995</v>
      </c>
    </row>
    <row r="2417" spans="1:9">
      <c r="A2417" s="195"/>
      <c r="B2417" s="233" t="s">
        <v>35638</v>
      </c>
      <c r="C2417" s="234"/>
      <c r="D2417" s="641">
        <v>2.5</v>
      </c>
      <c r="E2417" s="643">
        <v>4</v>
      </c>
      <c r="F2417" s="279">
        <v>3.3</v>
      </c>
      <c r="G2417" s="279"/>
      <c r="H2417" s="279">
        <f t="shared" si="110"/>
        <v>21.45</v>
      </c>
      <c r="I2417" s="280">
        <f t="shared" si="109"/>
        <v>21.45</v>
      </c>
    </row>
    <row r="2418" spans="1:9">
      <c r="A2418" s="135"/>
      <c r="B2418" s="170"/>
      <c r="C2418" s="136"/>
      <c r="D2418" s="275"/>
      <c r="E2418" s="275"/>
      <c r="F2418" s="275"/>
      <c r="G2418" s="276"/>
      <c r="H2418" s="276"/>
      <c r="I2418" s="277"/>
    </row>
    <row r="2419" spans="1:9">
      <c r="A2419" s="184" t="s">
        <v>27439</v>
      </c>
      <c r="B2419" s="171" t="str">
        <f>VLOOKUP(A2419,GLOBAL!A:H,4,FALSE)</f>
        <v>SOBRE CONCRETO OU BLOCO CERÂMICOS APARENTES</v>
      </c>
      <c r="C2419" s="172"/>
      <c r="D2419" s="265"/>
      <c r="E2419" s="265"/>
      <c r="F2419" s="265"/>
      <c r="G2419" s="265"/>
      <c r="H2419" s="265"/>
      <c r="I2419" s="266"/>
    </row>
    <row r="2420" spans="1:9" ht="57.6">
      <c r="A2420" s="605" t="s">
        <v>35461</v>
      </c>
      <c r="B2420" s="258" t="str">
        <f>VLOOKUP(A2420,GLOBAL!A:H,4,FALSE)</f>
        <v>PINTURA SOBRE CONCRETO OU BLOCOS CERÂMICOS APARENTES, APLICAÇÃO MANUAL, COM DUAS DEMÃOS DE VERNIZ ACRÍLICO A BASE DE ÁGUA, ACABAMENTO FOSCO, REFERÊNCIA SUVINIL, CORAL, METALATEX OU EQUIVALENTE</v>
      </c>
      <c r="C2420" s="119" t="str">
        <f>VLOOKUP(A2420,GLOBAL!A:H,5,FALSE)</f>
        <v>M2</v>
      </c>
      <c r="D2420" s="267" t="s">
        <v>66</v>
      </c>
      <c r="E2420" s="267" t="s">
        <v>70</v>
      </c>
      <c r="F2420" s="267" t="s">
        <v>67</v>
      </c>
      <c r="G2420" s="267" t="s">
        <v>68</v>
      </c>
      <c r="H2420" s="267" t="s">
        <v>71</v>
      </c>
      <c r="I2420" s="268">
        <f>ROUND(SUM(I2422:I2423),2)</f>
        <v>209.2</v>
      </c>
    </row>
    <row r="2421" spans="1:9">
      <c r="A2421" s="198"/>
      <c r="B2421" s="200" t="s">
        <v>2874</v>
      </c>
      <c r="C2421" s="199"/>
      <c r="D2421" s="281"/>
      <c r="E2421" s="282"/>
      <c r="F2421" s="281"/>
      <c r="G2421" s="281"/>
      <c r="H2421" s="281"/>
      <c r="I2421" s="283"/>
    </row>
    <row r="2422" spans="1:9">
      <c r="A2422" s="197"/>
      <c r="B2422" s="189"/>
      <c r="C2422" s="190"/>
      <c r="D2422" s="271">
        <v>27</v>
      </c>
      <c r="E2422" s="235">
        <v>25.3</v>
      </c>
      <c r="F2422" s="271">
        <v>2</v>
      </c>
      <c r="G2422" s="271"/>
      <c r="H2422" s="281"/>
      <c r="I2422" s="257">
        <f>(D2422+E2422)*2*F2422</f>
        <v>209.2</v>
      </c>
    </row>
    <row r="2423" spans="1:9">
      <c r="A2423" s="195"/>
      <c r="B2423" s="189"/>
      <c r="C2423" s="190"/>
      <c r="D2423" s="271"/>
      <c r="E2423" s="271"/>
      <c r="F2423" s="271"/>
      <c r="G2423" s="271"/>
      <c r="H2423" s="271"/>
      <c r="I2423" s="259"/>
    </row>
    <row r="2424" spans="1:9">
      <c r="A2424" s="135"/>
      <c r="B2424" s="170"/>
      <c r="C2424" s="136"/>
      <c r="D2424" s="275"/>
      <c r="E2424" s="275"/>
      <c r="F2424" s="275"/>
      <c r="G2424" s="276"/>
      <c r="H2424" s="276"/>
      <c r="I2424" s="277"/>
    </row>
    <row r="2425" spans="1:9" ht="72">
      <c r="A2425" s="605" t="s">
        <v>35462</v>
      </c>
      <c r="B2425" s="258" t="str">
        <f>VLOOKUP(A2425,GLOBAL!A:H,4,FALSE)</f>
        <v>PINTURA SOBRE COBOGÓS DE CONCRETO, APLICAÇÃO MANUAL, COM DUAS DEMÃOS DE TINTA LÁTEX ACRÍLICO PREMIUM, REFERÊNCIA SUVINIL, CORAL E METALATEX, INCLUSIVE UMA DEMÃO DE LIQUIDO SELADOR ACRÍLICO, REFERÊNCIA SUVINIL, CORAL OU METALATEX OU EQUIVALENTE</v>
      </c>
      <c r="C2425" s="119" t="str">
        <f>VLOOKUP(A2425,GLOBAL!A:H,5,FALSE)</f>
        <v>M2</v>
      </c>
      <c r="D2425" s="267" t="s">
        <v>66</v>
      </c>
      <c r="E2425" s="267" t="s">
        <v>70</v>
      </c>
      <c r="F2425" s="267" t="s">
        <v>67</v>
      </c>
      <c r="G2425" s="267" t="s">
        <v>68</v>
      </c>
      <c r="H2425" s="267" t="s">
        <v>71</v>
      </c>
      <c r="I2425" s="268">
        <f>ROUND(SUM(I2427:I2428),2)</f>
        <v>54.45</v>
      </c>
    </row>
    <row r="2426" spans="1:9">
      <c r="A2426" s="198"/>
      <c r="B2426" s="200" t="s">
        <v>2874</v>
      </c>
      <c r="C2426" s="199"/>
      <c r="D2426" s="281"/>
      <c r="E2426" s="282"/>
      <c r="F2426" s="281"/>
      <c r="G2426" s="281"/>
      <c r="H2426" s="281"/>
      <c r="I2426" s="283"/>
    </row>
    <row r="2427" spans="1:9">
      <c r="A2427" s="197"/>
      <c r="B2427" s="189" t="s">
        <v>35641</v>
      </c>
      <c r="C2427" s="190"/>
      <c r="D2427" s="271">
        <v>16.5</v>
      </c>
      <c r="E2427" s="235"/>
      <c r="F2427" s="271">
        <v>3.3</v>
      </c>
      <c r="G2427" s="271"/>
      <c r="H2427" s="281"/>
      <c r="I2427" s="257">
        <f>D2427*F2427</f>
        <v>54.449999999999996</v>
      </c>
    </row>
    <row r="2428" spans="1:9">
      <c r="A2428" s="195"/>
      <c r="B2428" s="189"/>
      <c r="C2428" s="190"/>
      <c r="D2428" s="271"/>
      <c r="E2428" s="271"/>
      <c r="F2428" s="271"/>
      <c r="G2428" s="271"/>
      <c r="H2428" s="271"/>
      <c r="I2428" s="259"/>
    </row>
    <row r="2429" spans="1:9">
      <c r="A2429" s="135"/>
      <c r="B2429" s="170"/>
      <c r="C2429" s="136"/>
      <c r="D2429" s="275"/>
      <c r="E2429" s="275"/>
      <c r="F2429" s="275"/>
      <c r="G2429" s="276"/>
      <c r="H2429" s="276"/>
      <c r="I2429" s="277"/>
    </row>
    <row r="2430" spans="1:9" ht="28.8">
      <c r="A2430" s="605" t="s">
        <v>35463</v>
      </c>
      <c r="B2430" s="258" t="str">
        <f>VLOOKUP(A2430,GLOBAL!A:H,4,FALSE)</f>
        <v>PINTURA A CAL DE MEIO-FIO (TIPO A CAIAÇÃO), APLICAÇÃO MANUAL, A TRÊS DEMÃOS</v>
      </c>
      <c r="C2430" s="119" t="str">
        <f>VLOOKUP(A2430,GLOBAL!A:H,5,FALSE)</f>
        <v>M2</v>
      </c>
      <c r="D2430" s="267" t="s">
        <v>66</v>
      </c>
      <c r="E2430" s="267" t="s">
        <v>70</v>
      </c>
      <c r="F2430" s="267" t="s">
        <v>67</v>
      </c>
      <c r="G2430" s="267" t="s">
        <v>68</v>
      </c>
      <c r="H2430" s="267" t="s">
        <v>71</v>
      </c>
      <c r="I2430" s="268">
        <f>ROUND(SUM(I2432:I2434),2)</f>
        <v>209.2</v>
      </c>
    </row>
    <row r="2431" spans="1:9">
      <c r="A2431" s="198"/>
      <c r="B2431" s="200" t="s">
        <v>2874</v>
      </c>
      <c r="C2431" s="199"/>
      <c r="D2431" s="281"/>
      <c r="E2431" s="282"/>
      <c r="F2431" s="281"/>
      <c r="G2431" s="281"/>
      <c r="H2431" s="281"/>
      <c r="I2431" s="283"/>
    </row>
    <row r="2432" spans="1:9">
      <c r="A2432" s="197"/>
      <c r="B2432" s="189" t="s">
        <v>35640</v>
      </c>
      <c r="C2432" s="190"/>
      <c r="D2432" s="271">
        <v>27</v>
      </c>
      <c r="E2432" s="235">
        <v>25.3</v>
      </c>
      <c r="F2432" s="271">
        <v>2</v>
      </c>
      <c r="G2432" s="271"/>
      <c r="H2432" s="281"/>
      <c r="I2432" s="257">
        <f>(D2432+E2432)*2</f>
        <v>104.6</v>
      </c>
    </row>
    <row r="2433" spans="1:9">
      <c r="A2433" s="197"/>
      <c r="B2433" s="189" t="s">
        <v>35640</v>
      </c>
      <c r="C2433" s="190"/>
      <c r="D2433" s="271">
        <v>27</v>
      </c>
      <c r="E2433" s="235">
        <v>25.3</v>
      </c>
      <c r="F2433" s="271">
        <v>2</v>
      </c>
      <c r="G2433" s="271"/>
      <c r="H2433" s="281"/>
      <c r="I2433" s="257">
        <f>(D2433+E2433)*2</f>
        <v>104.6</v>
      </c>
    </row>
    <row r="2434" spans="1:9">
      <c r="A2434" s="195"/>
      <c r="B2434" s="189"/>
      <c r="C2434" s="190"/>
      <c r="D2434" s="271"/>
      <c r="E2434" s="271"/>
      <c r="F2434" s="271"/>
      <c r="G2434" s="271"/>
      <c r="H2434" s="271"/>
      <c r="I2434" s="259"/>
    </row>
    <row r="2435" spans="1:9">
      <c r="A2435" s="135"/>
      <c r="B2435" s="170"/>
      <c r="C2435" s="136"/>
      <c r="D2435" s="275"/>
      <c r="E2435" s="275"/>
      <c r="F2435" s="275"/>
      <c r="G2435" s="276"/>
      <c r="H2435" s="276"/>
      <c r="I2435" s="277"/>
    </row>
    <row r="2436" spans="1:9">
      <c r="A2436" s="184" t="s">
        <v>27440</v>
      </c>
      <c r="B2436" s="171" t="str">
        <f>VLOOKUP(A2436,GLOBAL!A:H,4,FALSE)</f>
        <v>SOBRE MADEIRA</v>
      </c>
      <c r="C2436" s="172"/>
      <c r="D2436" s="265"/>
      <c r="E2436" s="265"/>
      <c r="F2436" s="265"/>
      <c r="G2436" s="265"/>
      <c r="H2436" s="265"/>
      <c r="I2436" s="266"/>
    </row>
    <row r="2437" spans="1:9" ht="72">
      <c r="A2437" s="605" t="s">
        <v>35464</v>
      </c>
      <c r="B2437" s="258" t="str">
        <f>VLOOKUP(A2437,GLOBAL!A:H,4,FALSE)</f>
        <v>EMASSAMENTO DE ESQUADRIAS E ELEMENTOS DE MADEIRA, COM DUAS DEMÃOS DE MASSA À BASE ÁGUA, REFERÊNCIA SUVINIL, CORAL, SHERWIN WILLIAMS OU EQUIVALENTE, INCLUSIVE UMA DEMÃO DE FUNDO NIVELADOR ALQUÍDICO BRANCO, REFERÊNCIA SUVINIL, CORAL OU METALATEX OU EQUIVALENTE</v>
      </c>
      <c r="C2437" s="119" t="str">
        <f>VLOOKUP(A2437,GLOBAL!A:H,5,FALSE)</f>
        <v>M2</v>
      </c>
      <c r="D2437" s="267" t="s">
        <v>66</v>
      </c>
      <c r="E2437" s="267" t="s">
        <v>70</v>
      </c>
      <c r="F2437" s="267" t="s">
        <v>67</v>
      </c>
      <c r="G2437" s="267" t="s">
        <v>68</v>
      </c>
      <c r="H2437" s="267" t="s">
        <v>71</v>
      </c>
      <c r="I2437" s="268">
        <f>ROUND(SUM(I2439:I2440),2)</f>
        <v>5</v>
      </c>
    </row>
    <row r="2438" spans="1:9">
      <c r="A2438" s="198"/>
      <c r="B2438" s="200" t="s">
        <v>2874</v>
      </c>
      <c r="C2438" s="199"/>
      <c r="D2438" s="281"/>
      <c r="E2438" s="282"/>
      <c r="F2438" s="281"/>
      <c r="G2438" s="281"/>
      <c r="H2438" s="281"/>
      <c r="I2438" s="283"/>
    </row>
    <row r="2439" spans="1:9">
      <c r="A2439" s="197"/>
      <c r="B2439" s="189"/>
      <c r="C2439" s="190"/>
      <c r="D2439" s="271"/>
      <c r="E2439" s="235"/>
      <c r="F2439" s="271"/>
      <c r="G2439" s="271">
        <v>5</v>
      </c>
      <c r="H2439" s="281"/>
      <c r="I2439" s="257">
        <f>G2439</f>
        <v>5</v>
      </c>
    </row>
    <row r="2440" spans="1:9">
      <c r="A2440" s="195"/>
      <c r="B2440" s="189"/>
      <c r="C2440" s="190"/>
      <c r="D2440" s="271"/>
      <c r="E2440" s="271"/>
      <c r="F2440" s="271"/>
      <c r="G2440" s="271"/>
      <c r="H2440" s="271"/>
      <c r="I2440" s="259"/>
    </row>
    <row r="2441" spans="1:9">
      <c r="A2441" s="135"/>
      <c r="B2441" s="170"/>
      <c r="C2441" s="136"/>
      <c r="D2441" s="275"/>
      <c r="E2441" s="275"/>
      <c r="F2441" s="275"/>
      <c r="G2441" s="276"/>
      <c r="H2441" s="276"/>
      <c r="I2441" s="277"/>
    </row>
    <row r="2442" spans="1:9" ht="72">
      <c r="A2442" s="605" t="s">
        <v>35465</v>
      </c>
      <c r="B2442" s="258" t="str">
        <f>VLOOKUP(A2442,GLOBAL!A:H,4,FALSE)</f>
        <v>PINTURA DE ESQUADRIAS E ELEMENTOS DE MADEIRA, APLICAÇÃO MANUAL, COM DUAS DEMÃOS DE TINTA ESMALTE SINTÉTICO REFERÊNCIA SUVINIL, CORAL OU METALATEX, INCLUSIVE FUNDO BRANCO NIVELADOR, REFERÊNCIA SUVINIL, CORAL E METALATEX OU EQUIVALENTE</v>
      </c>
      <c r="C2442" s="119" t="str">
        <f>VLOOKUP(A2442,GLOBAL!A:H,5,FALSE)</f>
        <v>M2</v>
      </c>
      <c r="D2442" s="267" t="s">
        <v>66</v>
      </c>
      <c r="E2442" s="267" t="s">
        <v>70</v>
      </c>
      <c r="F2442" s="267" t="s">
        <v>67</v>
      </c>
      <c r="G2442" s="267" t="s">
        <v>68</v>
      </c>
      <c r="H2442" s="267" t="s">
        <v>71</v>
      </c>
      <c r="I2442" s="268">
        <f>ROUND(SUM(I2444:I2445),2)</f>
        <v>5</v>
      </c>
    </row>
    <row r="2443" spans="1:9">
      <c r="A2443" s="198"/>
      <c r="B2443" s="200" t="s">
        <v>2874</v>
      </c>
      <c r="C2443" s="199"/>
      <c r="D2443" s="281"/>
      <c r="E2443" s="282"/>
      <c r="F2443" s="281"/>
      <c r="G2443" s="281"/>
      <c r="H2443" s="281"/>
      <c r="I2443" s="283"/>
    </row>
    <row r="2444" spans="1:9">
      <c r="A2444" s="197"/>
      <c r="B2444" s="189"/>
      <c r="C2444" s="190"/>
      <c r="D2444" s="271"/>
      <c r="E2444" s="235"/>
      <c r="F2444" s="271"/>
      <c r="G2444" s="271">
        <v>5</v>
      </c>
      <c r="H2444" s="281"/>
      <c r="I2444" s="257">
        <f>G2444</f>
        <v>5</v>
      </c>
    </row>
    <row r="2445" spans="1:9">
      <c r="A2445" s="195"/>
      <c r="B2445" s="189"/>
      <c r="C2445" s="190"/>
      <c r="D2445" s="271"/>
      <c r="E2445" s="271"/>
      <c r="F2445" s="271"/>
      <c r="G2445" s="271"/>
      <c r="H2445" s="271"/>
      <c r="I2445" s="259"/>
    </row>
    <row r="2446" spans="1:9">
      <c r="A2446" s="135"/>
      <c r="B2446" s="170"/>
      <c r="C2446" s="136"/>
      <c r="D2446" s="275"/>
      <c r="E2446" s="275"/>
      <c r="F2446" s="275"/>
      <c r="G2446" s="276"/>
      <c r="H2446" s="276"/>
      <c r="I2446" s="277"/>
    </row>
    <row r="2447" spans="1:9">
      <c r="A2447" s="184" t="s">
        <v>27441</v>
      </c>
      <c r="B2447" s="171" t="str">
        <f>VLOOKUP(A2447,GLOBAL!A:H,4,FALSE)</f>
        <v>SOBRE PISOS</v>
      </c>
      <c r="C2447" s="172"/>
      <c r="D2447" s="265"/>
      <c r="E2447" s="265"/>
      <c r="F2447" s="265"/>
      <c r="G2447" s="265"/>
      <c r="H2447" s="265"/>
      <c r="I2447" s="266"/>
    </row>
    <row r="2448" spans="1:9" ht="57.6">
      <c r="A2448" s="605" t="s">
        <v>35467</v>
      </c>
      <c r="B2448" s="258" t="str">
        <f>VLOOKUP(A2448,GLOBAL!A:H,4,FALSE)</f>
        <v>PINTURA SOBRE PISO, APLICAÇÃO MANUAL, PARA EXECUÇÃO DE FAIXA DEMARCATÓRIA L=5CM, COM TRÊS DEMÃOS DE TINTA À BASE DE EPÓXI, MARCAS DE REFERÊNCIA SUVINIL, CORAL OU METALATEX OU EQUIVALENTE</v>
      </c>
      <c r="C2448" s="119" t="str">
        <f>VLOOKUP(A2448,GLOBAL!A:H,5,FALSE)</f>
        <v>M</v>
      </c>
      <c r="D2448" s="267" t="s">
        <v>66</v>
      </c>
      <c r="E2448" s="267" t="s">
        <v>70</v>
      </c>
      <c r="F2448" s="267" t="s">
        <v>67</v>
      </c>
      <c r="G2448" s="267" t="s">
        <v>68</v>
      </c>
      <c r="H2448" s="267" t="s">
        <v>71</v>
      </c>
      <c r="I2448" s="268">
        <f>ROUND(SUM(I2450:I2452),2)</f>
        <v>1980</v>
      </c>
    </row>
    <row r="2449" spans="1:9">
      <c r="A2449" s="198"/>
      <c r="B2449" s="200" t="s">
        <v>2874</v>
      </c>
      <c r="C2449" s="199"/>
      <c r="D2449" s="281"/>
      <c r="E2449" s="282"/>
      <c r="F2449" s="281"/>
      <c r="G2449" s="281"/>
      <c r="H2449" s="281"/>
      <c r="I2449" s="283"/>
    </row>
    <row r="2450" spans="1:9">
      <c r="A2450" s="197"/>
      <c r="B2450" s="189" t="s">
        <v>35642</v>
      </c>
      <c r="C2450" s="190"/>
      <c r="D2450" s="271">
        <v>5</v>
      </c>
      <c r="E2450" s="235">
        <v>2.5</v>
      </c>
      <c r="F2450" s="271"/>
      <c r="G2450" s="271">
        <v>84</v>
      </c>
      <c r="H2450" s="281"/>
      <c r="I2450" s="257">
        <f>(D2450+E2450)*2*G2450</f>
        <v>1260</v>
      </c>
    </row>
    <row r="2451" spans="1:9">
      <c r="A2451" s="197"/>
      <c r="B2451" s="189" t="s">
        <v>35642</v>
      </c>
      <c r="C2451" s="190"/>
      <c r="D2451" s="271">
        <v>5</v>
      </c>
      <c r="E2451" s="235">
        <v>2.5</v>
      </c>
      <c r="F2451" s="271"/>
      <c r="G2451" s="271">
        <v>48</v>
      </c>
      <c r="H2451" s="281"/>
      <c r="I2451" s="257">
        <f>(D2451+E2451)*2*G2451</f>
        <v>720</v>
      </c>
    </row>
    <row r="2452" spans="1:9">
      <c r="A2452" s="195"/>
      <c r="B2452" s="189"/>
      <c r="C2452" s="190"/>
      <c r="D2452" s="271"/>
      <c r="E2452" s="271"/>
      <c r="F2452" s="271"/>
      <c r="G2452" s="271"/>
      <c r="H2452" s="271"/>
      <c r="I2452" s="259"/>
    </row>
    <row r="2453" spans="1:9">
      <c r="A2453" s="135"/>
      <c r="B2453" s="170"/>
      <c r="C2453" s="136"/>
      <c r="D2453" s="275"/>
      <c r="E2453" s="275"/>
      <c r="F2453" s="275"/>
      <c r="G2453" s="276"/>
      <c r="H2453" s="276"/>
      <c r="I2453" s="277"/>
    </row>
    <row r="2454" spans="1:9" ht="57.6">
      <c r="A2454" s="605" t="s">
        <v>35468</v>
      </c>
      <c r="B2454" s="258" t="str">
        <f>VLOOKUP(A2454,GLOBAL!A:H,4,FALSE)</f>
        <v>PINTURA SOBRE PISO, APLICAÇÃO MANUAL, PARA EXECUÇÃO DE FAIXA DEMARCATÓRIA L=8CM, COM TRÊS DEMÃOS DE TINTA À BASE DE EPÓXI, MARCAS DE REFERÊNCIA SUVINIL, CORAL OU METALATEX OU EQUIVALENTE</v>
      </c>
      <c r="C2454" s="119" t="str">
        <f>VLOOKUP(A2454,GLOBAL!A:H,5,FALSE)</f>
        <v>M</v>
      </c>
      <c r="D2454" s="267" t="s">
        <v>66</v>
      </c>
      <c r="E2454" s="267" t="s">
        <v>70</v>
      </c>
      <c r="F2454" s="267" t="s">
        <v>67</v>
      </c>
      <c r="G2454" s="267" t="s">
        <v>68</v>
      </c>
      <c r="H2454" s="267" t="s">
        <v>71</v>
      </c>
      <c r="I2454" s="268">
        <f>ROUND(SUM(I2456:I2458),2)</f>
        <v>1000</v>
      </c>
    </row>
    <row r="2455" spans="1:9">
      <c r="A2455" s="198"/>
      <c r="B2455" s="200" t="s">
        <v>2874</v>
      </c>
      <c r="C2455" s="199"/>
      <c r="D2455" s="281"/>
      <c r="E2455" s="282"/>
      <c r="F2455" s="281"/>
      <c r="G2455" s="281"/>
      <c r="H2455" s="281"/>
      <c r="I2455" s="283"/>
    </row>
    <row r="2456" spans="1:9">
      <c r="A2456" s="197"/>
      <c r="B2456" s="189" t="s">
        <v>35582</v>
      </c>
      <c r="C2456" s="190"/>
      <c r="D2456" s="271">
        <v>500</v>
      </c>
      <c r="E2456" s="235"/>
      <c r="F2456" s="271"/>
      <c r="G2456" s="271"/>
      <c r="H2456" s="281"/>
      <c r="I2456" s="257">
        <f>D2456</f>
        <v>500</v>
      </c>
    </row>
    <row r="2457" spans="1:9">
      <c r="A2457" s="197"/>
      <c r="B2457" s="189" t="s">
        <v>35582</v>
      </c>
      <c r="C2457" s="190"/>
      <c r="D2457" s="271">
        <v>500</v>
      </c>
      <c r="E2457" s="235"/>
      <c r="F2457" s="271"/>
      <c r="G2457" s="271"/>
      <c r="H2457" s="281"/>
      <c r="I2457" s="257">
        <f>D2457</f>
        <v>500</v>
      </c>
    </row>
    <row r="2458" spans="1:9">
      <c r="A2458" s="195"/>
      <c r="B2458" s="189"/>
      <c r="C2458" s="190"/>
      <c r="D2458" s="271"/>
      <c r="E2458" s="271"/>
      <c r="F2458" s="271"/>
      <c r="G2458" s="271"/>
      <c r="H2458" s="271"/>
      <c r="I2458" s="259"/>
    </row>
    <row r="2459" spans="1:9">
      <c r="A2459" s="135"/>
      <c r="B2459" s="170"/>
      <c r="C2459" s="136"/>
      <c r="D2459" s="275"/>
      <c r="E2459" s="275"/>
      <c r="F2459" s="275"/>
      <c r="G2459" s="276"/>
      <c r="H2459" s="276"/>
      <c r="I2459" s="277"/>
    </row>
    <row r="2460" spans="1:9" ht="43.2">
      <c r="A2460" s="605" t="s">
        <v>35804</v>
      </c>
      <c r="B2460" s="258" t="str">
        <f>VLOOKUP(A2460,GLOBAL!A:H,4,FALSE)</f>
        <v>PINTURA SOBRE PISO, APLICAÇÃO MANUAL, COM DUAS DEMÃOS DE TINTA À BASE DE RESINAS ACRÍLICAS, MARCAS DE REFERÊNCIA SUVINIL, CORAL, SHERWIN WILLIAMS NOVACOR, METALATEX OU EQUIVALENTE</v>
      </c>
      <c r="C2460" s="119" t="str">
        <f>VLOOKUP(A2460,GLOBAL!A:H,5,FALSE)</f>
        <v>M2</v>
      </c>
      <c r="D2460" s="267" t="s">
        <v>66</v>
      </c>
      <c r="E2460" s="267" t="s">
        <v>70</v>
      </c>
      <c r="F2460" s="267" t="s">
        <v>67</v>
      </c>
      <c r="G2460" s="267" t="s">
        <v>68</v>
      </c>
      <c r="H2460" s="267" t="s">
        <v>71</v>
      </c>
      <c r="I2460" s="268">
        <f>ROUND(SUM(I2462:I2464),2)</f>
        <v>4024.44</v>
      </c>
    </row>
    <row r="2461" spans="1:9">
      <c r="A2461" s="198"/>
      <c r="B2461" s="200" t="s">
        <v>2874</v>
      </c>
      <c r="C2461" s="199"/>
      <c r="D2461" s="281"/>
      <c r="E2461" s="282"/>
      <c r="F2461" s="281"/>
      <c r="G2461" s="281"/>
      <c r="H2461" s="281"/>
      <c r="I2461" s="283"/>
    </row>
    <row r="2462" spans="1:9">
      <c r="A2462" s="197"/>
      <c r="B2462" s="189" t="s">
        <v>35805</v>
      </c>
      <c r="C2462" s="190"/>
      <c r="D2462" s="271">
        <v>471.87</v>
      </c>
      <c r="E2462" s="235"/>
      <c r="F2462" s="271"/>
      <c r="G2462" s="271"/>
      <c r="H2462" s="281"/>
      <c r="I2462" s="257">
        <f>D2462</f>
        <v>471.87</v>
      </c>
    </row>
    <row r="2463" spans="1:9">
      <c r="A2463" s="197"/>
      <c r="B2463" s="189" t="s">
        <v>35806</v>
      </c>
      <c r="C2463" s="190"/>
      <c r="D2463" s="271">
        <v>3552.57</v>
      </c>
      <c r="E2463" s="235"/>
      <c r="F2463" s="271"/>
      <c r="G2463" s="271"/>
      <c r="H2463" s="281"/>
      <c r="I2463" s="257">
        <f>D2463</f>
        <v>3552.57</v>
      </c>
    </row>
    <row r="2464" spans="1:9">
      <c r="A2464" s="195"/>
      <c r="B2464" s="189"/>
      <c r="C2464" s="190"/>
      <c r="D2464" s="271"/>
      <c r="E2464" s="271"/>
      <c r="F2464" s="271"/>
      <c r="G2464" s="271"/>
      <c r="H2464" s="271"/>
      <c r="I2464" s="259"/>
    </row>
    <row r="2465" spans="1:9">
      <c r="A2465" s="135"/>
      <c r="B2465" s="170"/>
      <c r="C2465" s="136"/>
      <c r="D2465" s="275"/>
      <c r="E2465" s="275"/>
      <c r="F2465" s="275"/>
      <c r="G2465" s="276"/>
      <c r="H2465" s="276"/>
      <c r="I2465" s="277"/>
    </row>
    <row r="2466" spans="1:9">
      <c r="A2466" s="344" t="s">
        <v>27028</v>
      </c>
      <c r="B2466" s="591" t="str">
        <f>VLOOKUP(A2466,GLOBAL!A:H,4,FALSE)</f>
        <v xml:space="preserve">SERVIÇOS COMPLEMENTARES EXTERNOS </v>
      </c>
      <c r="C2466" s="130"/>
      <c r="D2466" s="341"/>
      <c r="E2466" s="341"/>
      <c r="F2466" s="341"/>
      <c r="G2466" s="341"/>
      <c r="H2466" s="341"/>
      <c r="I2466" s="342"/>
    </row>
    <row r="2467" spans="1:9">
      <c r="A2467" s="344" t="s">
        <v>27029</v>
      </c>
      <c r="B2467" s="591" t="str">
        <f>VLOOKUP(A2467,GLOBAL!A:H,4,FALSE)</f>
        <v>MUROS E FECHAMENTOS</v>
      </c>
      <c r="C2467" s="130"/>
      <c r="D2467" s="341"/>
      <c r="E2467" s="341"/>
      <c r="F2467" s="341"/>
      <c r="G2467" s="341"/>
      <c r="H2467" s="341"/>
      <c r="I2467" s="342"/>
    </row>
    <row r="2468" spans="1:9" ht="43.2">
      <c r="A2468" s="605" t="s">
        <v>27030</v>
      </c>
      <c r="B2468" s="258" t="str">
        <f>VLOOKUP(A2468,GLOBAL!A:H,4,FALSE)</f>
        <v>GRADIL H = 1.90M PADRÃO SEDU EM TUDO DE FG 2" E BARRA CHATA DE 11/2"X1/4", PARA FIXAÇÃO SOBRE MURETA CONFORME PROJETO, EXCLUSIVE A MURETA.</v>
      </c>
      <c r="C2468" s="119" t="str">
        <f>VLOOKUP(A2468,GLOBAL!A:H,5,FALSE)</f>
        <v>M</v>
      </c>
      <c r="D2468" s="267" t="s">
        <v>66</v>
      </c>
      <c r="E2468" s="267" t="s">
        <v>70</v>
      </c>
      <c r="F2468" s="267" t="s">
        <v>67</v>
      </c>
      <c r="G2468" s="267" t="s">
        <v>68</v>
      </c>
      <c r="H2468" s="267" t="s">
        <v>71</v>
      </c>
      <c r="I2468" s="268">
        <f>ROUND(SUM(I2470:I2474),2)</f>
        <v>334.27</v>
      </c>
    </row>
    <row r="2469" spans="1:9">
      <c r="A2469" s="198"/>
      <c r="B2469" s="200" t="s">
        <v>2874</v>
      </c>
      <c r="C2469" s="199"/>
      <c r="D2469" s="281"/>
      <c r="E2469" s="282"/>
      <c r="F2469" s="281"/>
      <c r="G2469" s="281"/>
      <c r="H2469" s="281"/>
      <c r="I2469" s="283"/>
    </row>
    <row r="2470" spans="1:9">
      <c r="A2470" s="197"/>
      <c r="B2470" s="189" t="s">
        <v>35643</v>
      </c>
      <c r="C2470" s="370"/>
      <c r="D2470" s="271">
        <v>125.17</v>
      </c>
      <c r="E2470" s="235"/>
      <c r="F2470" s="271"/>
      <c r="G2470" s="271"/>
      <c r="H2470" s="281"/>
      <c r="I2470" s="257">
        <f>D2470</f>
        <v>125.17</v>
      </c>
    </row>
    <row r="2471" spans="1:9">
      <c r="A2471" s="197"/>
      <c r="B2471" s="189" t="s">
        <v>35644</v>
      </c>
      <c r="C2471" s="370"/>
      <c r="D2471" s="271">
        <v>23.81</v>
      </c>
      <c r="E2471" s="235"/>
      <c r="F2471" s="271"/>
      <c r="G2471" s="271"/>
      <c r="H2471" s="281"/>
      <c r="I2471" s="257">
        <f t="shared" ref="I2471:I2473" si="111">D2471</f>
        <v>23.81</v>
      </c>
    </row>
    <row r="2472" spans="1:9">
      <c r="A2472" s="197"/>
      <c r="B2472" s="189" t="s">
        <v>35645</v>
      </c>
      <c r="C2472" s="370"/>
      <c r="D2472" s="271">
        <v>106.4</v>
      </c>
      <c r="E2472" s="235"/>
      <c r="F2472" s="271"/>
      <c r="G2472" s="271"/>
      <c r="H2472" s="281"/>
      <c r="I2472" s="257">
        <f t="shared" si="111"/>
        <v>106.4</v>
      </c>
    </row>
    <row r="2473" spans="1:9">
      <c r="A2473" s="197"/>
      <c r="B2473" s="189" t="s">
        <v>35646</v>
      </c>
      <c r="C2473" s="370"/>
      <c r="D2473" s="271">
        <v>78.89</v>
      </c>
      <c r="E2473" s="235"/>
      <c r="F2473" s="271"/>
      <c r="G2473" s="271"/>
      <c r="H2473" s="281"/>
      <c r="I2473" s="257">
        <f t="shared" si="111"/>
        <v>78.89</v>
      </c>
    </row>
    <row r="2474" spans="1:9">
      <c r="A2474" s="195"/>
      <c r="B2474" s="189"/>
      <c r="C2474" s="190"/>
      <c r="D2474" s="271"/>
      <c r="E2474" s="271"/>
      <c r="F2474" s="271"/>
      <c r="G2474" s="271"/>
      <c r="H2474" s="271"/>
      <c r="I2474" s="259"/>
    </row>
    <row r="2475" spans="1:9">
      <c r="A2475" s="135"/>
      <c r="B2475" s="170"/>
      <c r="C2475" s="136"/>
      <c r="D2475" s="275"/>
      <c r="E2475" s="275"/>
      <c r="F2475" s="275"/>
      <c r="G2475" s="276"/>
      <c r="H2475" s="276"/>
      <c r="I2475" s="277"/>
    </row>
    <row r="2476" spans="1:9">
      <c r="A2476" s="344" t="s">
        <v>27031</v>
      </c>
      <c r="B2476" s="591" t="str">
        <f>VLOOKUP(A2476,GLOBAL!A:H,4,FALSE)</f>
        <v>PAVIMENTAÇÃO</v>
      </c>
      <c r="C2476" s="130"/>
      <c r="D2476" s="341"/>
      <c r="E2476" s="341"/>
      <c r="F2476" s="341"/>
      <c r="G2476" s="341"/>
      <c r="H2476" s="341"/>
      <c r="I2476" s="342"/>
    </row>
    <row r="2477" spans="1:9" ht="43.2">
      <c r="A2477" s="605" t="s">
        <v>27032</v>
      </c>
      <c r="B2477" s="258" t="str">
        <f>VLOOKUP(A2477,GLOBAL!A:H,4,FALSE)</f>
        <v>ASSENTAMENTO DE MEIO-FIO PRÉ-MOLDADO DE CONCRETO COM DIMENSÕES DE 15 X 12 X 30 X 100 CM, REJUNTADO COM ARGAMASSA DE CIMENTO E AREIA NO TRAÇO 1:3</v>
      </c>
      <c r="C2477" s="119" t="str">
        <f>VLOOKUP(A2477,GLOBAL!A:H,5,FALSE)</f>
        <v>M</v>
      </c>
      <c r="D2477" s="267" t="s">
        <v>66</v>
      </c>
      <c r="E2477" s="267" t="s">
        <v>70</v>
      </c>
      <c r="F2477" s="267" t="s">
        <v>67</v>
      </c>
      <c r="G2477" s="267" t="s">
        <v>68</v>
      </c>
      <c r="H2477" s="267" t="s">
        <v>71</v>
      </c>
      <c r="I2477" s="268">
        <f>ROUND(SUM(I2479:I2483),2)</f>
        <v>334.27</v>
      </c>
    </row>
    <row r="2478" spans="1:9">
      <c r="A2478" s="198"/>
      <c r="B2478" s="200" t="s">
        <v>2874</v>
      </c>
      <c r="C2478" s="199"/>
      <c r="D2478" s="281"/>
      <c r="E2478" s="282"/>
      <c r="F2478" s="281"/>
      <c r="G2478" s="281"/>
      <c r="H2478" s="281"/>
      <c r="I2478" s="283"/>
    </row>
    <row r="2479" spans="1:9">
      <c r="A2479" s="197"/>
      <c r="B2479" s="189" t="s">
        <v>35643</v>
      </c>
      <c r="C2479" s="370"/>
      <c r="D2479" s="271">
        <v>125.17</v>
      </c>
      <c r="E2479" s="235"/>
      <c r="F2479" s="271"/>
      <c r="G2479" s="271"/>
      <c r="H2479" s="281"/>
      <c r="I2479" s="257">
        <f>D2479</f>
        <v>125.17</v>
      </c>
    </row>
    <row r="2480" spans="1:9">
      <c r="A2480" s="197"/>
      <c r="B2480" s="189" t="s">
        <v>35644</v>
      </c>
      <c r="C2480" s="370"/>
      <c r="D2480" s="271">
        <v>23.81</v>
      </c>
      <c r="E2480" s="235"/>
      <c r="F2480" s="271"/>
      <c r="G2480" s="271"/>
      <c r="H2480" s="281"/>
      <c r="I2480" s="257">
        <f t="shared" ref="I2480:I2482" si="112">D2480</f>
        <v>23.81</v>
      </c>
    </row>
    <row r="2481" spans="1:9">
      <c r="A2481" s="197"/>
      <c r="B2481" s="189" t="s">
        <v>35645</v>
      </c>
      <c r="C2481" s="370"/>
      <c r="D2481" s="271">
        <v>106.4</v>
      </c>
      <c r="E2481" s="235"/>
      <c r="F2481" s="271"/>
      <c r="G2481" s="271"/>
      <c r="H2481" s="281"/>
      <c r="I2481" s="257">
        <f t="shared" si="112"/>
        <v>106.4</v>
      </c>
    </row>
    <row r="2482" spans="1:9">
      <c r="A2482" s="197"/>
      <c r="B2482" s="189" t="s">
        <v>35646</v>
      </c>
      <c r="C2482" s="370"/>
      <c r="D2482" s="271">
        <v>78.89</v>
      </c>
      <c r="E2482" s="235"/>
      <c r="F2482" s="271"/>
      <c r="G2482" s="271"/>
      <c r="H2482" s="281"/>
      <c r="I2482" s="257">
        <f t="shared" si="112"/>
        <v>78.89</v>
      </c>
    </row>
    <row r="2483" spans="1:9">
      <c r="A2483" s="195"/>
      <c r="B2483" s="189"/>
      <c r="C2483" s="190"/>
      <c r="D2483" s="271"/>
      <c r="E2483" s="271"/>
      <c r="F2483" s="271"/>
      <c r="G2483" s="271"/>
      <c r="H2483" s="271"/>
      <c r="I2483" s="259"/>
    </row>
    <row r="2484" spans="1:9">
      <c r="A2484" s="135"/>
      <c r="B2484" s="170"/>
      <c r="C2484" s="136"/>
      <c r="D2484" s="275"/>
      <c r="E2484" s="275"/>
      <c r="F2484" s="275"/>
      <c r="G2484" s="276"/>
      <c r="H2484" s="276"/>
      <c r="I2484" s="277"/>
    </row>
    <row r="2485" spans="1:9" ht="72">
      <c r="A2485" s="605" t="s">
        <v>35470</v>
      </c>
      <c r="B2485" s="258" t="str">
        <f>VLOOKUP(A2485,GLOBAL!A:H,4,FALSE)</f>
        <v>EXECUÇÃO DE PAVIMENTAÇÃO COM BLOCOS INTERTRAVADOS DE CONCRETO TIPO PAVI-S, ESPESSURA DE 8 CM E RESISTÊNCIA MÍNIMA DE 35 MPA, ASSENTADOS SOBRE COLCHÃO DE PÓ DE PEDRA DE 10 CM, COM REJUNTAMENTO EM AREIA, COMPACTAÇÃO COM PLACA VIBRATÓRIA E CORTES COM CORTADORA DE PISO</v>
      </c>
      <c r="C2485" s="119" t="str">
        <f>VLOOKUP(A2485,GLOBAL!A:H,5,FALSE)</f>
        <v>M2</v>
      </c>
      <c r="D2485" s="267" t="s">
        <v>66</v>
      </c>
      <c r="E2485" s="267" t="s">
        <v>70</v>
      </c>
      <c r="F2485" s="267" t="s">
        <v>67</v>
      </c>
      <c r="G2485" s="267" t="s">
        <v>68</v>
      </c>
      <c r="H2485" s="267" t="s">
        <v>71</v>
      </c>
      <c r="I2485" s="268">
        <f>ROUND(SUM(I2487:I2488),2)</f>
        <v>4024.44</v>
      </c>
    </row>
    <row r="2486" spans="1:9">
      <c r="A2486" s="198"/>
      <c r="B2486" s="200" t="s">
        <v>2874</v>
      </c>
      <c r="C2486" s="199"/>
      <c r="D2486" s="281"/>
      <c r="E2486" s="282"/>
      <c r="F2486" s="281"/>
      <c r="G2486" s="281"/>
      <c r="H2486" s="281"/>
      <c r="I2486" s="283"/>
    </row>
    <row r="2487" spans="1:9">
      <c r="A2487" s="197"/>
      <c r="B2487" s="189" t="s">
        <v>35647</v>
      </c>
      <c r="C2487" s="370"/>
      <c r="D2487" s="721">
        <f>I2460</f>
        <v>4024.44</v>
      </c>
      <c r="E2487" s="722"/>
      <c r="F2487" s="271"/>
      <c r="G2487" s="271"/>
      <c r="H2487" s="281"/>
      <c r="I2487" s="257">
        <f>D2487</f>
        <v>4024.44</v>
      </c>
    </row>
    <row r="2488" spans="1:9">
      <c r="A2488" s="195"/>
      <c r="B2488" s="189"/>
      <c r="C2488" s="190"/>
      <c r="D2488" s="271"/>
      <c r="E2488" s="271"/>
      <c r="F2488" s="271"/>
      <c r="G2488" s="271"/>
      <c r="H2488" s="271"/>
      <c r="I2488" s="259"/>
    </row>
    <row r="2489" spans="1:9">
      <c r="A2489" s="135"/>
      <c r="B2489" s="170"/>
      <c r="C2489" s="136"/>
      <c r="D2489" s="275"/>
      <c r="E2489" s="275"/>
      <c r="F2489" s="275"/>
      <c r="G2489" s="276"/>
      <c r="H2489" s="276"/>
      <c r="I2489" s="277"/>
    </row>
    <row r="2490" spans="1:9" ht="57.6">
      <c r="A2490" s="605" t="s">
        <v>35471</v>
      </c>
      <c r="B2490" s="258" t="str">
        <f>VLOOKUP(A2490,GLOBAL!A:H,4,FALSE)</f>
        <v>EXECUÇÃO DE PASSEIO CIMENTADO COM ACABAMENTO CAMURÇADO, EM ARGAMASSA TRAÇO 1:3 (CIMENTO E AREIA) COM 1,5 CM DE ESPESSURA, SOBRE LASTRO DE CONCRETO DE 8 CM, INCLUINDO PREPARO DA CAIXA.</v>
      </c>
      <c r="C2490" s="119" t="str">
        <f>VLOOKUP(A2490,GLOBAL!A:H,5,FALSE)</f>
        <v>M2</v>
      </c>
      <c r="D2490" s="267" t="s">
        <v>66</v>
      </c>
      <c r="E2490" s="267" t="s">
        <v>70</v>
      </c>
      <c r="F2490" s="267" t="s">
        <v>67</v>
      </c>
      <c r="G2490" s="267" t="s">
        <v>68</v>
      </c>
      <c r="H2490" s="267" t="s">
        <v>71</v>
      </c>
      <c r="I2490" s="268">
        <f>ROUND(SUM(I2492:I2493),2)</f>
        <v>209.2</v>
      </c>
    </row>
    <row r="2491" spans="1:9">
      <c r="A2491" s="198"/>
      <c r="B2491" s="200" t="s">
        <v>2874</v>
      </c>
      <c r="C2491" s="199"/>
      <c r="D2491" s="281"/>
      <c r="E2491" s="282"/>
      <c r="F2491" s="281"/>
      <c r="G2491" s="281"/>
      <c r="H2491" s="281"/>
      <c r="I2491" s="283"/>
    </row>
    <row r="2492" spans="1:9">
      <c r="A2492" s="197"/>
      <c r="B2492" s="189" t="s">
        <v>35640</v>
      </c>
      <c r="C2492" s="370"/>
      <c r="D2492" s="271">
        <v>27</v>
      </c>
      <c r="E2492" s="235">
        <v>25.3</v>
      </c>
      <c r="F2492" s="271">
        <v>2</v>
      </c>
      <c r="G2492" s="271"/>
      <c r="H2492" s="281"/>
      <c r="I2492" s="257">
        <f>(D2492+E2492)*2*F2492</f>
        <v>209.2</v>
      </c>
    </row>
    <row r="2493" spans="1:9">
      <c r="A2493" s="195"/>
      <c r="B2493" s="189"/>
      <c r="C2493" s="190"/>
      <c r="D2493" s="271"/>
      <c r="E2493" s="271"/>
      <c r="F2493" s="271"/>
      <c r="G2493" s="271"/>
      <c r="H2493" s="271"/>
      <c r="I2493" s="259"/>
    </row>
    <row r="2494" spans="1:9">
      <c r="A2494" s="135"/>
      <c r="B2494" s="170"/>
      <c r="C2494" s="136"/>
      <c r="D2494" s="275"/>
      <c r="E2494" s="275"/>
      <c r="F2494" s="275"/>
      <c r="G2494" s="276"/>
      <c r="H2494" s="276"/>
      <c r="I2494" s="277"/>
    </row>
    <row r="2495" spans="1:9" ht="57.6">
      <c r="A2495" s="605" t="s">
        <v>35472</v>
      </c>
      <c r="B2495" s="258" t="str">
        <f>VLOOKUP(A2495,GLOBAL!A:H,4,FALSE)</f>
        <v>FORNECIMENTO E ASSENTAMENTO DE LADRILHO HIDRÁULICO PASTILHADO (TÁTIL DE ALERTA), VERMELHO, DIM. 20X20 CM, ESP. 1.5CM, ASSENTADO COM PASTA DE CIMENTO COLANTE AC-I, EXCLUSIVE REGULARIZAÇÃO E LASTRO</v>
      </c>
      <c r="C2495" s="119" t="str">
        <f>VLOOKUP(A2495,GLOBAL!A:H,5,FALSE)</f>
        <v>M2</v>
      </c>
      <c r="D2495" s="267" t="s">
        <v>66</v>
      </c>
      <c r="E2495" s="267" t="s">
        <v>70</v>
      </c>
      <c r="F2495" s="267" t="s">
        <v>67</v>
      </c>
      <c r="G2495" s="267" t="s">
        <v>68</v>
      </c>
      <c r="H2495" s="267" t="s">
        <v>71</v>
      </c>
      <c r="I2495" s="268">
        <f>ROUND(SUM(I2497:I2499),2)</f>
        <v>83.68</v>
      </c>
    </row>
    <row r="2496" spans="1:9">
      <c r="A2496" s="198"/>
      <c r="B2496" s="200" t="s">
        <v>2874</v>
      </c>
      <c r="C2496" s="199"/>
      <c r="D2496" s="281"/>
      <c r="E2496" s="282"/>
      <c r="F2496" s="281"/>
      <c r="G2496" s="281"/>
      <c r="H2496" s="281"/>
      <c r="I2496" s="283"/>
    </row>
    <row r="2497" spans="1:9">
      <c r="A2497" s="197"/>
      <c r="B2497" s="189" t="s">
        <v>35640</v>
      </c>
      <c r="C2497" s="370"/>
      <c r="D2497" s="271">
        <v>27</v>
      </c>
      <c r="E2497" s="235">
        <v>25.3</v>
      </c>
      <c r="F2497" s="271">
        <v>0.4</v>
      </c>
      <c r="G2497" s="271"/>
      <c r="H2497" s="281"/>
      <c r="I2497" s="257">
        <f>(D2497+E2497)*2*F2497</f>
        <v>41.84</v>
      </c>
    </row>
    <row r="2498" spans="1:9">
      <c r="A2498" s="197"/>
      <c r="B2498" s="189" t="s">
        <v>35640</v>
      </c>
      <c r="C2498" s="370"/>
      <c r="D2498" s="271">
        <v>27</v>
      </c>
      <c r="E2498" s="235">
        <v>25.3</v>
      </c>
      <c r="F2498" s="271">
        <v>0.4</v>
      </c>
      <c r="G2498" s="271"/>
      <c r="H2498" s="281"/>
      <c r="I2498" s="257">
        <f>(D2498+E2498)*2*F2498</f>
        <v>41.84</v>
      </c>
    </row>
    <row r="2499" spans="1:9">
      <c r="A2499" s="195"/>
      <c r="B2499" s="189"/>
      <c r="C2499" s="190"/>
      <c r="D2499" s="271"/>
      <c r="E2499" s="271"/>
      <c r="F2499" s="271"/>
      <c r="G2499" s="271"/>
      <c r="H2499" s="271"/>
      <c r="I2499" s="259"/>
    </row>
    <row r="2500" spans="1:9">
      <c r="A2500" s="135"/>
      <c r="B2500" s="170"/>
      <c r="C2500" s="136"/>
      <c r="D2500" s="275"/>
      <c r="E2500" s="275"/>
      <c r="F2500" s="275"/>
      <c r="G2500" s="276"/>
      <c r="H2500" s="276"/>
      <c r="I2500" s="277"/>
    </row>
    <row r="2501" spans="1:9" ht="57.6">
      <c r="A2501" s="605" t="s">
        <v>35473</v>
      </c>
      <c r="B2501" s="258" t="str">
        <f>VLOOKUP(A2501,GLOBAL!A:H,4,FALSE)</f>
        <v>FORNECIMENTO E ASSENTAMENTO DE LADRILHO HIDRÁULICO RANHURADO (TÁTIL DIRECIONAL), VERMELHO, DIM. 20X20 CM, ESP. 1.5CM, ASSENTADO COM PASTA DE CIMENTO COLANTE AC-I, EXCLUSIVE REGULARIZAÇÃO E LASTRO</v>
      </c>
      <c r="C2501" s="119" t="str">
        <f>VLOOKUP(A2501,GLOBAL!A:H,5,FALSE)</f>
        <v>M2</v>
      </c>
      <c r="D2501" s="267" t="s">
        <v>66</v>
      </c>
      <c r="E2501" s="267" t="s">
        <v>70</v>
      </c>
      <c r="F2501" s="267" t="s">
        <v>67</v>
      </c>
      <c r="G2501" s="267" t="s">
        <v>68</v>
      </c>
      <c r="H2501" s="267" t="s">
        <v>71</v>
      </c>
      <c r="I2501" s="268">
        <f>ROUND(SUM(I2503:I2504),2)</f>
        <v>41.84</v>
      </c>
    </row>
    <row r="2502" spans="1:9">
      <c r="A2502" s="198"/>
      <c r="B2502" s="200" t="s">
        <v>2874</v>
      </c>
      <c r="C2502" s="199"/>
      <c r="D2502" s="281"/>
      <c r="E2502" s="282"/>
      <c r="F2502" s="281"/>
      <c r="G2502" s="281"/>
      <c r="H2502" s="281"/>
      <c r="I2502" s="283"/>
    </row>
    <row r="2503" spans="1:9">
      <c r="A2503" s="197"/>
      <c r="B2503" s="189" t="s">
        <v>35640</v>
      </c>
      <c r="C2503" s="370"/>
      <c r="D2503" s="271">
        <v>27</v>
      </c>
      <c r="E2503" s="235">
        <v>25.3</v>
      </c>
      <c r="F2503" s="271">
        <v>0.4</v>
      </c>
      <c r="G2503" s="271"/>
      <c r="H2503" s="281"/>
      <c r="I2503" s="257">
        <f>(D2503+E2503)*2*F2503</f>
        <v>41.84</v>
      </c>
    </row>
    <row r="2504" spans="1:9">
      <c r="A2504" s="195"/>
      <c r="B2504" s="189"/>
      <c r="C2504" s="190"/>
      <c r="D2504" s="271"/>
      <c r="E2504" s="271"/>
      <c r="F2504" s="271"/>
      <c r="G2504" s="271"/>
      <c r="H2504" s="271"/>
      <c r="I2504" s="259"/>
    </row>
    <row r="2505" spans="1:9">
      <c r="A2505" s="135"/>
      <c r="B2505" s="170"/>
      <c r="C2505" s="136"/>
      <c r="D2505" s="275"/>
      <c r="E2505" s="275"/>
      <c r="F2505" s="275"/>
      <c r="G2505" s="276"/>
      <c r="H2505" s="276"/>
      <c r="I2505" s="277"/>
    </row>
    <row r="2506" spans="1:9">
      <c r="A2506" s="344" t="s">
        <v>35474</v>
      </c>
      <c r="B2506" s="591" t="str">
        <f>VLOOKUP(A2506,GLOBAL!A:H,4,FALSE)</f>
        <v>PAISAGISMO</v>
      </c>
      <c r="C2506" s="130"/>
      <c r="D2506" s="341"/>
      <c r="E2506" s="341"/>
      <c r="F2506" s="341"/>
      <c r="G2506" s="341"/>
      <c r="H2506" s="341"/>
      <c r="I2506" s="342"/>
    </row>
    <row r="2507" spans="1:9" ht="28.8">
      <c r="A2507" s="605" t="s">
        <v>35475</v>
      </c>
      <c r="B2507" s="258" t="str">
        <f>VLOOKUP(A2507,GLOBAL!A:H,4,FALSE)</f>
        <v>FORNECIMENTO E PLANTIO DE GRAMA EM PLACAS TIPO ESMERALDA, INCLUSIVE FORNECIMENTO DE TERRA VEGETAL</v>
      </c>
      <c r="C2507" s="119" t="str">
        <f>VLOOKUP(A2507,GLOBAL!A:H,5,FALSE)</f>
        <v>M2</v>
      </c>
      <c r="D2507" s="267" t="s">
        <v>66</v>
      </c>
      <c r="E2507" s="267" t="s">
        <v>70</v>
      </c>
      <c r="F2507" s="267" t="s">
        <v>67</v>
      </c>
      <c r="G2507" s="267" t="s">
        <v>68</v>
      </c>
      <c r="H2507" s="267" t="s">
        <v>71</v>
      </c>
      <c r="I2507" s="268">
        <f>ROUND(SUM(I2509:I2510),2)</f>
        <v>2500</v>
      </c>
    </row>
    <row r="2508" spans="1:9">
      <c r="A2508" s="198"/>
      <c r="B2508" s="200" t="s">
        <v>2874</v>
      </c>
      <c r="C2508" s="199"/>
      <c r="D2508" s="281"/>
      <c r="E2508" s="282"/>
      <c r="F2508" s="281"/>
      <c r="G2508" s="281"/>
      <c r="H2508" s="281"/>
      <c r="I2508" s="283"/>
    </row>
    <row r="2509" spans="1:9">
      <c r="A2509" s="197"/>
      <c r="B2509" s="189" t="s">
        <v>35648</v>
      </c>
      <c r="C2509" s="370"/>
      <c r="D2509" s="271"/>
      <c r="E2509" s="235"/>
      <c r="F2509" s="271"/>
      <c r="G2509" s="271"/>
      <c r="H2509" s="281"/>
      <c r="I2509" s="257">
        <v>2500</v>
      </c>
    </row>
    <row r="2510" spans="1:9">
      <c r="A2510" s="195"/>
      <c r="B2510" s="189"/>
      <c r="C2510" s="190"/>
      <c r="D2510" s="271"/>
      <c r="E2510" s="271"/>
      <c r="F2510" s="271"/>
      <c r="G2510" s="271"/>
      <c r="H2510" s="271"/>
      <c r="I2510" s="259"/>
    </row>
    <row r="2511" spans="1:9">
      <c r="A2511" s="135"/>
      <c r="B2511" s="170"/>
      <c r="C2511" s="136"/>
      <c r="D2511" s="275"/>
      <c r="E2511" s="275"/>
      <c r="F2511" s="275"/>
      <c r="G2511" s="276"/>
      <c r="H2511" s="276"/>
      <c r="I2511" s="277"/>
    </row>
    <row r="2512" spans="1:9">
      <c r="A2512" s="344" t="s">
        <v>35476</v>
      </c>
      <c r="B2512" s="591" t="str">
        <f>VLOOKUP(A2512,GLOBAL!A:H,4,FALSE)</f>
        <v>TRATAMENTO, CONSERVAÇÃO E LIMPEZA</v>
      </c>
      <c r="C2512" s="130"/>
      <c r="D2512" s="341"/>
      <c r="E2512" s="341"/>
      <c r="F2512" s="341"/>
      <c r="G2512" s="341"/>
      <c r="H2512" s="341"/>
      <c r="I2512" s="342"/>
    </row>
    <row r="2513" spans="1:9">
      <c r="A2513" s="605" t="s">
        <v>35477</v>
      </c>
      <c r="B2513" s="258" t="str">
        <f>VLOOKUP(A2513,GLOBAL!A:H,4,FALSE)</f>
        <v>LIMPEZA GERAL DA OBRA (EDIFICAÇÃO)</v>
      </c>
      <c r="C2513" s="119" t="str">
        <f>VLOOKUP(A2513,GLOBAL!A:H,5,FALSE)</f>
        <v>M2</v>
      </c>
      <c r="D2513" s="267" t="s">
        <v>66</v>
      </c>
      <c r="E2513" s="267" t="s">
        <v>70</v>
      </c>
      <c r="F2513" s="267" t="s">
        <v>67</v>
      </c>
      <c r="G2513" s="267" t="s">
        <v>68</v>
      </c>
      <c r="H2513" s="267" t="s">
        <v>71</v>
      </c>
      <c r="I2513" s="268">
        <f>ROUND(SUM(I2515:I2517),2)</f>
        <v>2014.11</v>
      </c>
    </row>
    <row r="2514" spans="1:9">
      <c r="A2514" s="198"/>
      <c r="B2514" s="200" t="s">
        <v>2874</v>
      </c>
      <c r="C2514" s="199"/>
      <c r="D2514" s="281"/>
      <c r="E2514" s="282"/>
      <c r="F2514" s="281"/>
      <c r="G2514" s="281"/>
      <c r="H2514" s="281"/>
      <c r="I2514" s="283"/>
    </row>
    <row r="2515" spans="1:9">
      <c r="A2515" s="197"/>
      <c r="B2515" s="189" t="s">
        <v>35649</v>
      </c>
      <c r="C2515" s="370"/>
      <c r="D2515" s="721">
        <f>2128.91-93.46-21.34</f>
        <v>2014.11</v>
      </c>
      <c r="E2515" s="722"/>
      <c r="F2515" s="271"/>
      <c r="G2515" s="271"/>
      <c r="H2515" s="281"/>
      <c r="I2515" s="257">
        <f>D2515</f>
        <v>2014.11</v>
      </c>
    </row>
    <row r="2516" spans="1:9">
      <c r="A2516" s="197"/>
      <c r="B2516" s="189" t="s">
        <v>35601</v>
      </c>
      <c r="C2516" s="370"/>
      <c r="D2516" s="271"/>
      <c r="E2516" s="235"/>
      <c r="F2516" s="271"/>
      <c r="G2516" s="271"/>
      <c r="H2516" s="281"/>
      <c r="I2516" s="257">
        <f>D2516</f>
        <v>0</v>
      </c>
    </row>
    <row r="2517" spans="1:9">
      <c r="A2517" s="195"/>
      <c r="B2517" s="189"/>
      <c r="C2517" s="190"/>
      <c r="D2517" s="271"/>
      <c r="E2517" s="271"/>
      <c r="F2517" s="271"/>
      <c r="G2517" s="271"/>
      <c r="H2517" s="271"/>
      <c r="I2517" s="259"/>
    </row>
    <row r="2518" spans="1:9">
      <c r="A2518" s="135"/>
      <c r="B2518" s="170"/>
      <c r="C2518" s="136"/>
      <c r="D2518" s="275"/>
      <c r="E2518" s="275"/>
      <c r="F2518" s="275"/>
      <c r="G2518" s="276"/>
      <c r="H2518" s="276"/>
      <c r="I2518" s="277"/>
    </row>
    <row r="2519" spans="1:9">
      <c r="A2519" s="605" t="s">
        <v>35478</v>
      </c>
      <c r="B2519" s="258" t="str">
        <f>VLOOKUP(A2519,GLOBAL!A:H,4,FALSE)</f>
        <v>LIMPEZA GERAL DE OBRAS (QUADRAS, PRAÇAS E JARDINS)</v>
      </c>
      <c r="C2519" s="119" t="str">
        <f>VLOOKUP(A2519,GLOBAL!A:H,5,FALSE)</f>
        <v>M2</v>
      </c>
      <c r="D2519" s="267" t="s">
        <v>66</v>
      </c>
      <c r="E2519" s="267" t="s">
        <v>70</v>
      </c>
      <c r="F2519" s="267" t="s">
        <v>67</v>
      </c>
      <c r="G2519" s="267" t="s">
        <v>68</v>
      </c>
      <c r="H2519" s="267" t="s">
        <v>71</v>
      </c>
      <c r="I2519" s="268">
        <f>ROUND(SUM(I2521:I2523),2)</f>
        <v>2014.11</v>
      </c>
    </row>
    <row r="2520" spans="1:9">
      <c r="A2520" s="198"/>
      <c r="B2520" s="200" t="s">
        <v>2874</v>
      </c>
      <c r="C2520" s="199"/>
      <c r="D2520" s="281"/>
      <c r="E2520" s="282"/>
      <c r="F2520" s="281"/>
      <c r="G2520" s="281"/>
      <c r="H2520" s="281"/>
      <c r="I2520" s="283"/>
    </row>
    <row r="2521" spans="1:9">
      <c r="A2521" s="197"/>
      <c r="B2521" s="189" t="s">
        <v>35650</v>
      </c>
      <c r="C2521" s="370"/>
      <c r="D2521" s="721">
        <f>2128.91-93.46-21.34</f>
        <v>2014.11</v>
      </c>
      <c r="E2521" s="722"/>
      <c r="F2521" s="271"/>
      <c r="G2521" s="271"/>
      <c r="H2521" s="281"/>
      <c r="I2521" s="257">
        <f>D2521</f>
        <v>2014.11</v>
      </c>
    </row>
    <row r="2522" spans="1:9">
      <c r="A2522" s="197"/>
      <c r="B2522" s="189"/>
      <c r="C2522" s="370"/>
      <c r="D2522" s="271"/>
      <c r="E2522" s="235"/>
      <c r="F2522" s="271"/>
      <c r="G2522" s="271"/>
      <c r="H2522" s="281"/>
      <c r="I2522" s="257">
        <f>D2522</f>
        <v>0</v>
      </c>
    </row>
    <row r="2523" spans="1:9">
      <c r="A2523" s="195"/>
      <c r="B2523" s="189"/>
      <c r="C2523" s="190"/>
      <c r="D2523" s="271"/>
      <c r="E2523" s="271"/>
      <c r="F2523" s="271"/>
      <c r="G2523" s="271"/>
      <c r="H2523" s="271"/>
      <c r="I2523" s="259"/>
    </row>
    <row r="2524" spans="1:9">
      <c r="A2524" s="135"/>
      <c r="B2524" s="170"/>
      <c r="C2524" s="136"/>
      <c r="D2524" s="275"/>
      <c r="E2524" s="275"/>
      <c r="F2524" s="275"/>
      <c r="G2524" s="276"/>
      <c r="H2524" s="276"/>
      <c r="I2524" s="277"/>
    </row>
    <row r="2525" spans="1:9" ht="28.8">
      <c r="A2525" s="605" t="s">
        <v>35479</v>
      </c>
      <c r="B2525" s="258" t="str">
        <f>VLOOKUP(A2525,GLOBAL!A:H,4,FALSE)</f>
        <v>LIMPEZA DE PISOS E REVESTIMENTOS CERÂMICOS, UTILIZANDO DETERGENTE NEUTRO, ESCOVAÇÃO MANUAL E VASSOURA A SECO</v>
      </c>
      <c r="C2525" s="119" t="str">
        <f>VLOOKUP(A2525,GLOBAL!A:H,5,FALSE)</f>
        <v>M2</v>
      </c>
      <c r="D2525" s="267" t="s">
        <v>66</v>
      </c>
      <c r="E2525" s="267" t="s">
        <v>70</v>
      </c>
      <c r="F2525" s="267" t="s">
        <v>67</v>
      </c>
      <c r="G2525" s="267" t="s">
        <v>68</v>
      </c>
      <c r="H2525" s="267" t="s">
        <v>71</v>
      </c>
      <c r="I2525" s="268">
        <f>ROUND(SUM(I2527:I2529),2)</f>
        <v>126.36</v>
      </c>
    </row>
    <row r="2526" spans="1:9">
      <c r="A2526" s="198"/>
      <c r="B2526" s="200" t="s">
        <v>2874</v>
      </c>
      <c r="C2526" s="199"/>
      <c r="D2526" s="281"/>
      <c r="E2526" s="282"/>
      <c r="F2526" s="281"/>
      <c r="G2526" s="281"/>
      <c r="H2526" s="281"/>
      <c r="I2526" s="283"/>
    </row>
    <row r="2527" spans="1:9">
      <c r="A2527" s="197"/>
      <c r="B2527" s="189" t="s">
        <v>35649</v>
      </c>
      <c r="C2527" s="370"/>
      <c r="D2527" s="721">
        <f>(18.96+18.96+4.2)*3</f>
        <v>126.36000000000001</v>
      </c>
      <c r="E2527" s="722"/>
      <c r="F2527" s="271"/>
      <c r="G2527" s="271"/>
      <c r="H2527" s="281"/>
      <c r="I2527" s="257">
        <f>D2527</f>
        <v>126.36000000000001</v>
      </c>
    </row>
    <row r="2528" spans="1:9">
      <c r="A2528" s="197"/>
      <c r="B2528" s="189" t="s">
        <v>35601</v>
      </c>
      <c r="C2528" s="370"/>
      <c r="D2528" s="271"/>
      <c r="E2528" s="235"/>
      <c r="F2528" s="271"/>
      <c r="G2528" s="271"/>
      <c r="H2528" s="281"/>
      <c r="I2528" s="257">
        <f>D2528</f>
        <v>0</v>
      </c>
    </row>
    <row r="2529" spans="1:9">
      <c r="A2529" s="195"/>
      <c r="B2529" s="189"/>
      <c r="C2529" s="190"/>
      <c r="D2529" s="271"/>
      <c r="E2529" s="271"/>
      <c r="F2529" s="271"/>
      <c r="G2529" s="271"/>
      <c r="H2529" s="271"/>
      <c r="I2529" s="259"/>
    </row>
    <row r="2530" spans="1:9">
      <c r="A2530" s="135"/>
      <c r="B2530" s="170"/>
      <c r="C2530" s="136"/>
      <c r="D2530" s="275"/>
      <c r="E2530" s="275"/>
      <c r="F2530" s="275"/>
      <c r="G2530" s="276"/>
      <c r="H2530" s="276"/>
      <c r="I2530" s="277"/>
    </row>
    <row r="2531" spans="1:9">
      <c r="A2531" s="344" t="s">
        <v>35480</v>
      </c>
      <c r="B2531" s="591" t="str">
        <f>VLOOKUP(A2531,GLOBAL!A:H,4,FALSE)</f>
        <v>DIVERSOS EXTERNOS</v>
      </c>
      <c r="C2531" s="130"/>
      <c r="D2531" s="341"/>
      <c r="E2531" s="341"/>
      <c r="F2531" s="341"/>
      <c r="G2531" s="341"/>
      <c r="H2531" s="341"/>
      <c r="I2531" s="342"/>
    </row>
    <row r="2532" spans="1:9" ht="43.2">
      <c r="A2532" s="605" t="s">
        <v>35481</v>
      </c>
      <c r="B2532" s="258" t="str">
        <f>VLOOKUP(A2532,GLOBAL!A:H,4,FALSE)</f>
        <v>ESCADA TIPO MARINHEIRO DE TUBO DE FERRO 1" E 3/4", COM H=4.20M, PARA ACESSO A CAIXA DÁGUA, INCLUSIVE PINTURA EM ESMALTE SINTÉTICO, CONFORME DETALHE EM PROJETO</v>
      </c>
      <c r="C2532" s="119" t="str">
        <f>VLOOKUP(A2532,GLOBAL!A:H,5,FALSE)</f>
        <v>UND</v>
      </c>
      <c r="D2532" s="267" t="s">
        <v>66</v>
      </c>
      <c r="E2532" s="267" t="s">
        <v>70</v>
      </c>
      <c r="F2532" s="267" t="s">
        <v>67</v>
      </c>
      <c r="G2532" s="267" t="s">
        <v>68</v>
      </c>
      <c r="H2532" s="267" t="s">
        <v>71</v>
      </c>
      <c r="I2532" s="268">
        <f>ROUND(SUM(I2534:I2536),2)</f>
        <v>4</v>
      </c>
    </row>
    <row r="2533" spans="1:9">
      <c r="A2533" s="198"/>
      <c r="B2533" s="200" t="s">
        <v>2874</v>
      </c>
      <c r="C2533" s="199"/>
      <c r="D2533" s="281"/>
      <c r="E2533" s="282"/>
      <c r="F2533" s="281"/>
      <c r="G2533" s="281"/>
      <c r="H2533" s="281"/>
      <c r="I2533" s="283"/>
    </row>
    <row r="2534" spans="1:9">
      <c r="A2534" s="197"/>
      <c r="B2534" s="189" t="s">
        <v>35651</v>
      </c>
      <c r="C2534" s="370"/>
      <c r="D2534" s="721"/>
      <c r="E2534" s="722"/>
      <c r="F2534" s="271"/>
      <c r="G2534" s="271">
        <v>4</v>
      </c>
      <c r="H2534" s="281"/>
      <c r="I2534" s="257">
        <f>G2534</f>
        <v>4</v>
      </c>
    </row>
    <row r="2535" spans="1:9">
      <c r="A2535" s="197"/>
      <c r="B2535" s="189"/>
      <c r="C2535" s="370"/>
      <c r="D2535" s="271"/>
      <c r="E2535" s="235"/>
      <c r="F2535" s="271"/>
      <c r="G2535" s="271"/>
      <c r="H2535" s="281"/>
      <c r="I2535" s="257">
        <f>D2535</f>
        <v>0</v>
      </c>
    </row>
    <row r="2536" spans="1:9">
      <c r="A2536" s="195"/>
      <c r="B2536" s="189"/>
      <c r="C2536" s="190"/>
      <c r="D2536" s="271"/>
      <c r="E2536" s="271"/>
      <c r="F2536" s="271"/>
      <c r="G2536" s="271"/>
      <c r="H2536" s="271"/>
      <c r="I2536" s="259"/>
    </row>
    <row r="2537" spans="1:9">
      <c r="A2537" s="135"/>
      <c r="B2537" s="170"/>
      <c r="C2537" s="136"/>
      <c r="D2537" s="275"/>
      <c r="E2537" s="275"/>
      <c r="F2537" s="275"/>
      <c r="G2537" s="276"/>
      <c r="H2537" s="276"/>
      <c r="I2537" s="277"/>
    </row>
    <row r="2538" spans="1:9" ht="43.2">
      <c r="A2538" s="605" t="s">
        <v>35482</v>
      </c>
      <c r="B2538" s="258" t="str">
        <f>VLOOKUP(A2538,GLOBAL!A:H,4,FALSE)</f>
        <v>PLACA PARA INAUGURAÇÃO DE OBRA EM ALUMÍNIO POLIDO E=4MM, DIMENSÕES 40 X 50 CM, GRAVAÇÃO EM BAIXO RELEVO, INCLUSIVE PINTURA E FIXAÇÃO</v>
      </c>
      <c r="C2538" s="119" t="str">
        <f>VLOOKUP(A2538,GLOBAL!A:H,5,FALSE)</f>
        <v>UND</v>
      </c>
      <c r="D2538" s="267" t="s">
        <v>66</v>
      </c>
      <c r="E2538" s="267" t="s">
        <v>70</v>
      </c>
      <c r="F2538" s="267" t="s">
        <v>67</v>
      </c>
      <c r="G2538" s="267" t="s">
        <v>68</v>
      </c>
      <c r="H2538" s="267" t="s">
        <v>71</v>
      </c>
      <c r="I2538" s="268">
        <f>ROUND(SUM(I2540:I2542),2)</f>
        <v>1</v>
      </c>
    </row>
    <row r="2539" spans="1:9">
      <c r="A2539" s="198"/>
      <c r="B2539" s="200" t="s">
        <v>2874</v>
      </c>
      <c r="C2539" s="199"/>
      <c r="D2539" s="281"/>
      <c r="E2539" s="282"/>
      <c r="F2539" s="281"/>
      <c r="G2539" s="281"/>
      <c r="H2539" s="281"/>
      <c r="I2539" s="283"/>
    </row>
    <row r="2540" spans="1:9">
      <c r="A2540" s="197"/>
      <c r="B2540" s="189" t="s">
        <v>35652</v>
      </c>
      <c r="C2540" s="370"/>
      <c r="D2540" s="721"/>
      <c r="E2540" s="722"/>
      <c r="F2540" s="271"/>
      <c r="G2540" s="271">
        <v>1</v>
      </c>
      <c r="H2540" s="281"/>
      <c r="I2540" s="257">
        <f>G2540</f>
        <v>1</v>
      </c>
    </row>
    <row r="2541" spans="1:9">
      <c r="A2541" s="197"/>
      <c r="B2541" s="189"/>
      <c r="C2541" s="370"/>
      <c r="D2541" s="271"/>
      <c r="E2541" s="235"/>
      <c r="F2541" s="271"/>
      <c r="G2541" s="271"/>
      <c r="H2541" s="281"/>
      <c r="I2541" s="257">
        <f>D2541</f>
        <v>0</v>
      </c>
    </row>
    <row r="2542" spans="1:9">
      <c r="A2542" s="195"/>
      <c r="B2542" s="189"/>
      <c r="C2542" s="190"/>
      <c r="D2542" s="271"/>
      <c r="E2542" s="271"/>
      <c r="F2542" s="271"/>
      <c r="G2542" s="271"/>
      <c r="H2542" s="271"/>
      <c r="I2542" s="259"/>
    </row>
    <row r="2543" spans="1:9">
      <c r="A2543" s="135"/>
      <c r="B2543" s="170"/>
      <c r="C2543" s="136"/>
      <c r="D2543" s="275"/>
      <c r="E2543" s="275"/>
      <c r="F2543" s="275"/>
      <c r="G2543" s="276"/>
      <c r="H2543" s="276"/>
      <c r="I2543" s="277"/>
    </row>
    <row r="2544" spans="1:9" ht="43.2">
      <c r="A2544" s="605" t="s">
        <v>35483</v>
      </c>
      <c r="B2544" s="258" t="str">
        <f>VLOOKUP(A2544,GLOBAL!A:H,4,FALSE)</f>
        <v>LETRA TIPO CAIXA EM CHAPA DE AÇO INOX 304 ESCOVADO N16 - LARGURA: 7,5 CM, ALTURA: 15CM E PROF. 3CM, INCLUSIVE FIXAÇÃO INVISÍVEL</v>
      </c>
      <c r="C2544" s="119" t="str">
        <f>VLOOKUP(A2544,GLOBAL!A:H,5,FALSE)</f>
        <v>UND</v>
      </c>
      <c r="D2544" s="267" t="s">
        <v>66</v>
      </c>
      <c r="E2544" s="267" t="s">
        <v>70</v>
      </c>
      <c r="F2544" s="267" t="s">
        <v>67</v>
      </c>
      <c r="G2544" s="267" t="s">
        <v>68</v>
      </c>
      <c r="H2544" s="267" t="s">
        <v>71</v>
      </c>
      <c r="I2544" s="268">
        <f>ROUND(SUM(I2546:I2548),2)</f>
        <v>70</v>
      </c>
    </row>
    <row r="2545" spans="1:9">
      <c r="A2545" s="198"/>
      <c r="B2545" s="200" t="s">
        <v>2874</v>
      </c>
      <c r="C2545" s="199"/>
      <c r="D2545" s="281"/>
      <c r="E2545" s="282"/>
      <c r="F2545" s="281"/>
      <c r="G2545" s="281"/>
      <c r="H2545" s="281"/>
      <c r="I2545" s="283"/>
    </row>
    <row r="2546" spans="1:9">
      <c r="A2546" s="197"/>
      <c r="B2546" s="189" t="s">
        <v>1826</v>
      </c>
      <c r="C2546" s="370"/>
      <c r="D2546" s="721"/>
      <c r="E2546" s="722"/>
      <c r="F2546" s="271"/>
      <c r="G2546" s="271">
        <v>35</v>
      </c>
      <c r="H2546" s="281"/>
      <c r="I2546" s="257">
        <f>G2546</f>
        <v>35</v>
      </c>
    </row>
    <row r="2547" spans="1:9">
      <c r="A2547" s="197"/>
      <c r="B2547" s="189" t="s">
        <v>35601</v>
      </c>
      <c r="C2547" s="370"/>
      <c r="D2547" s="721"/>
      <c r="E2547" s="722"/>
      <c r="F2547" s="271"/>
      <c r="G2547" s="271">
        <v>35</v>
      </c>
      <c r="H2547" s="281"/>
      <c r="I2547" s="257">
        <f>G2547</f>
        <v>35</v>
      </c>
    </row>
    <row r="2548" spans="1:9">
      <c r="A2548" s="195"/>
      <c r="B2548" s="189"/>
      <c r="C2548" s="190"/>
      <c r="D2548" s="271"/>
      <c r="E2548" s="271"/>
      <c r="F2548" s="271"/>
      <c r="G2548" s="271"/>
      <c r="H2548" s="271"/>
      <c r="I2548" s="259"/>
    </row>
    <row r="2549" spans="1:9">
      <c r="A2549" s="135"/>
      <c r="B2549" s="170"/>
      <c r="C2549" s="136"/>
      <c r="D2549" s="275"/>
      <c r="E2549" s="275"/>
      <c r="F2549" s="275"/>
      <c r="G2549" s="276"/>
      <c r="H2549" s="276"/>
      <c r="I2549" s="277"/>
    </row>
    <row r="2550" spans="1:9" ht="43.2">
      <c r="A2550" s="605" t="s">
        <v>35484</v>
      </c>
      <c r="B2550" s="258" t="str">
        <f>VLOOKUP(A2550,GLOBAL!A:H,4,FALSE)</f>
        <v>EXECUÇÃO DE PAVIMENTO COM APLICAÇÃO DE CONCRETO ASFÁLTICO, CAMADA DE ROLAMENTO - EXCLUSIVE CARGA E TRANSPORTE. AF_11/2019</v>
      </c>
      <c r="C2550" s="119" t="str">
        <f>VLOOKUP(A2550,GLOBAL!A:H,5,FALSE)</f>
        <v>M3</v>
      </c>
      <c r="D2550" s="267" t="s">
        <v>66</v>
      </c>
      <c r="E2550" s="267" t="s">
        <v>70</v>
      </c>
      <c r="F2550" s="267" t="s">
        <v>67</v>
      </c>
      <c r="G2550" s="267" t="s">
        <v>68</v>
      </c>
      <c r="H2550" s="267" t="s">
        <v>71</v>
      </c>
      <c r="I2550" s="268">
        <f>ROUND(SUM(I2552:I2553),2)</f>
        <v>190</v>
      </c>
    </row>
    <row r="2551" spans="1:9">
      <c r="A2551" s="198"/>
      <c r="B2551" s="200" t="s">
        <v>2874</v>
      </c>
      <c r="C2551" s="199"/>
      <c r="D2551" s="281"/>
      <c r="E2551" s="282"/>
      <c r="F2551" s="281"/>
      <c r="G2551" s="281"/>
      <c r="H2551" s="281"/>
      <c r="I2551" s="283"/>
    </row>
    <row r="2552" spans="1:9">
      <c r="A2552" s="197"/>
      <c r="B2552" s="189" t="s">
        <v>35821</v>
      </c>
      <c r="C2552" s="370"/>
      <c r="D2552" s="721">
        <v>2375</v>
      </c>
      <c r="E2552" s="722"/>
      <c r="F2552" s="271">
        <v>0.08</v>
      </c>
      <c r="G2552" s="271"/>
      <c r="H2552" s="281"/>
      <c r="I2552" s="257">
        <f>D2552*F2552</f>
        <v>190</v>
      </c>
    </row>
    <row r="2553" spans="1:9">
      <c r="A2553" s="195"/>
      <c r="B2553" s="189"/>
      <c r="C2553" s="190"/>
      <c r="D2553" s="271"/>
      <c r="E2553" s="271"/>
      <c r="F2553" s="271"/>
      <c r="G2553" s="271"/>
      <c r="H2553" s="271"/>
      <c r="I2553" s="259"/>
    </row>
    <row r="2554" spans="1:9">
      <c r="A2554" s="135"/>
      <c r="B2554" s="170"/>
      <c r="C2554" s="136"/>
      <c r="D2554" s="275"/>
      <c r="E2554" s="275"/>
      <c r="F2554" s="275"/>
      <c r="G2554" s="276"/>
      <c r="H2554" s="276"/>
      <c r="I2554" s="277"/>
    </row>
    <row r="2555" spans="1:9">
      <c r="A2555" s="344" t="s">
        <v>35808</v>
      </c>
      <c r="B2555" s="591" t="str">
        <f>VLOOKUP(A2555,GLOBAL!A:H,4,FALSE)</f>
        <v xml:space="preserve">DIVERSOS INTERNOS </v>
      </c>
      <c r="C2555" s="130"/>
      <c r="D2555" s="341"/>
      <c r="E2555" s="341"/>
      <c r="F2555" s="341"/>
      <c r="G2555" s="341"/>
      <c r="H2555" s="341"/>
      <c r="I2555" s="342"/>
    </row>
    <row r="2556" spans="1:9" ht="43.2">
      <c r="A2556" s="605" t="s">
        <v>35810</v>
      </c>
      <c r="B2556" s="258" t="str">
        <f>VLOOKUP(A2556,GLOBAL!A:H,4,FALSE)</f>
        <v>GUARDA-CORPO PANORÂMICO COM PERFIS DE ALUMÍNIO E VIDRO LAMINADO 8 MM, FIXADO COM CHUMBADOR MECÂNICO. AF_04/2019_PS</v>
      </c>
      <c r="C2556" s="119" t="str">
        <f>VLOOKUP(A2556,GLOBAL!A:H,5,FALSE)</f>
        <v>M</v>
      </c>
      <c r="D2556" s="267" t="s">
        <v>66</v>
      </c>
      <c r="E2556" s="267" t="s">
        <v>70</v>
      </c>
      <c r="F2556" s="267" t="s">
        <v>67</v>
      </c>
      <c r="G2556" s="267" t="s">
        <v>68</v>
      </c>
      <c r="H2556" s="267" t="s">
        <v>71</v>
      </c>
      <c r="I2556" s="268">
        <f>ROUND(SUM(I2558:I2560),2)</f>
        <v>51.2</v>
      </c>
    </row>
    <row r="2557" spans="1:9">
      <c r="A2557" s="198"/>
      <c r="B2557" s="200" t="s">
        <v>2874</v>
      </c>
      <c r="C2557" s="199"/>
      <c r="D2557" s="281"/>
      <c r="E2557" s="282"/>
      <c r="F2557" s="281"/>
      <c r="G2557" s="281"/>
      <c r="H2557" s="281"/>
      <c r="I2557" s="283"/>
    </row>
    <row r="2558" spans="1:9">
      <c r="A2558" s="197"/>
      <c r="B2558" s="189" t="s">
        <v>35813</v>
      </c>
      <c r="C2558" s="370"/>
      <c r="D2558" s="293">
        <v>2.2000000000000002</v>
      </c>
      <c r="E2558" s="278">
        <v>10.6</v>
      </c>
      <c r="F2558" s="271"/>
      <c r="G2558" s="271"/>
      <c r="H2558" s="281"/>
      <c r="I2558" s="257">
        <f>(D2558+E2558)*2</f>
        <v>25.6</v>
      </c>
    </row>
    <row r="2559" spans="1:9">
      <c r="A2559" s="197"/>
      <c r="B2559" s="189" t="s">
        <v>35813</v>
      </c>
      <c r="C2559" s="370"/>
      <c r="D2559" s="293">
        <v>2.2000000000000002</v>
      </c>
      <c r="E2559" s="278">
        <v>10.6</v>
      </c>
      <c r="F2559" s="271"/>
      <c r="G2559" s="271"/>
      <c r="H2559" s="281"/>
      <c r="I2559" s="257">
        <f>(D2559+E2559)*2</f>
        <v>25.6</v>
      </c>
    </row>
    <row r="2560" spans="1:9">
      <c r="A2560" s="195"/>
      <c r="B2560" s="189"/>
      <c r="C2560" s="190"/>
      <c r="D2560" s="271"/>
      <c r="E2560" s="271"/>
      <c r="F2560" s="271"/>
      <c r="G2560" s="271"/>
      <c r="H2560" s="271"/>
      <c r="I2560" s="259"/>
    </row>
    <row r="2561" spans="1:9">
      <c r="A2561" s="135"/>
      <c r="B2561" s="170"/>
      <c r="C2561" s="136"/>
      <c r="D2561" s="275"/>
      <c r="E2561" s="275"/>
      <c r="F2561" s="275"/>
      <c r="G2561" s="276"/>
      <c r="H2561" s="276"/>
      <c r="I2561" s="277"/>
    </row>
    <row r="2562" spans="1:9" ht="28.8">
      <c r="A2562" s="605" t="s">
        <v>35811</v>
      </c>
      <c r="B2562" s="258" t="str">
        <f>VLOOKUP(A2562,GLOBAL!A:H,4,FALSE)</f>
        <v>CORRIMÃO DE TUBO DE FERRO GALVANIZADO DIÂMETRO 3" FIXADO NA PAREDE A CADA 1.50M, INCLUSIVE PINTURA A ÓLEO OU ESMALTE</v>
      </c>
      <c r="C2562" s="119" t="str">
        <f>VLOOKUP(A2562,GLOBAL!A:H,5,FALSE)</f>
        <v>M</v>
      </c>
      <c r="D2562" s="267" t="s">
        <v>66</v>
      </c>
      <c r="E2562" s="267" t="s">
        <v>70</v>
      </c>
      <c r="F2562" s="267" t="s">
        <v>67</v>
      </c>
      <c r="G2562" s="267" t="s">
        <v>68</v>
      </c>
      <c r="H2562" s="267" t="s">
        <v>71</v>
      </c>
      <c r="I2562" s="268">
        <f>ROUND(SUM(I2564:I2566),2)</f>
        <v>91.2</v>
      </c>
    </row>
    <row r="2563" spans="1:9">
      <c r="A2563" s="198"/>
      <c r="B2563" s="200" t="s">
        <v>2874</v>
      </c>
      <c r="C2563" s="199"/>
      <c r="D2563" s="281"/>
      <c r="E2563" s="282"/>
      <c r="F2563" s="281"/>
      <c r="G2563" s="281"/>
      <c r="H2563" s="281"/>
      <c r="I2563" s="283"/>
    </row>
    <row r="2564" spans="1:9">
      <c r="A2564" s="197"/>
      <c r="B2564" s="189" t="s">
        <v>35814</v>
      </c>
      <c r="C2564" s="370"/>
      <c r="D2564" s="293">
        <f>4.8</f>
        <v>4.8</v>
      </c>
      <c r="E2564" s="278">
        <v>2.8</v>
      </c>
      <c r="F2564" s="271"/>
      <c r="G2564" s="271"/>
      <c r="H2564" s="281"/>
      <c r="I2564" s="257">
        <f>(D2564+E2564)*2*3</f>
        <v>45.599999999999994</v>
      </c>
    </row>
    <row r="2565" spans="1:9">
      <c r="A2565" s="197"/>
      <c r="B2565" s="189" t="s">
        <v>35814</v>
      </c>
      <c r="C2565" s="370"/>
      <c r="D2565" s="293">
        <f>4.8</f>
        <v>4.8</v>
      </c>
      <c r="E2565" s="278">
        <v>2.8</v>
      </c>
      <c r="F2565" s="271"/>
      <c r="G2565" s="271"/>
      <c r="H2565" s="281"/>
      <c r="I2565" s="257">
        <f>(D2565+E2565)*2*3</f>
        <v>45.599999999999994</v>
      </c>
    </row>
    <row r="2566" spans="1:9">
      <c r="A2566" s="195"/>
      <c r="B2566" s="189"/>
      <c r="C2566" s="190"/>
      <c r="D2566" s="271"/>
      <c r="E2566" s="271"/>
      <c r="F2566" s="271"/>
      <c r="G2566" s="271"/>
      <c r="H2566" s="271"/>
      <c r="I2566" s="259"/>
    </row>
    <row r="2567" spans="1:9">
      <c r="A2567" s="135"/>
      <c r="B2567" s="170"/>
      <c r="C2567" s="136"/>
      <c r="D2567" s="275"/>
      <c r="E2567" s="275"/>
      <c r="F2567" s="275"/>
      <c r="G2567" s="276"/>
      <c r="H2567" s="276"/>
      <c r="I2567" s="277"/>
    </row>
    <row r="2568" spans="1:9" ht="72">
      <c r="A2568" s="605" t="s">
        <v>35812</v>
      </c>
      <c r="B2568" s="258" t="str">
        <f>VLOOKUP(A2568,GLOBAL!A:H,4,FALSE)</f>
        <v>ELEVADOR SOCIAL PARA 08 PASSAGEIROS OU 600 KG COM ACIONAMENTO CONVENCIONAL SEM CASA DE MÁQUINAS NO FOSSO, 04 PARADAS - DIST. 14,57M, DIM. CABINE 1100X1400X2200MM, VELOCIDADE DE 0,75M/S, 01 ENTRADA, ACABAMENTO EM AÇO INOX. OBRA</v>
      </c>
      <c r="C2568" s="119" t="str">
        <f>VLOOKUP(A2568,GLOBAL!A:H,5,FALSE)</f>
        <v xml:space="preserve">UND </v>
      </c>
      <c r="D2568" s="267" t="s">
        <v>66</v>
      </c>
      <c r="E2568" s="267" t="s">
        <v>70</v>
      </c>
      <c r="F2568" s="267" t="s">
        <v>67</v>
      </c>
      <c r="G2568" s="267" t="s">
        <v>68</v>
      </c>
      <c r="H2568" s="267" t="s">
        <v>71</v>
      </c>
      <c r="I2568" s="268">
        <f>ROUND(SUM(I2570:I2571),2)</f>
        <v>1</v>
      </c>
    </row>
    <row r="2569" spans="1:9">
      <c r="A2569" s="198"/>
      <c r="B2569" s="200" t="s">
        <v>2874</v>
      </c>
      <c r="C2569" s="199"/>
      <c r="D2569" s="281"/>
      <c r="E2569" s="282"/>
      <c r="F2569" s="281"/>
      <c r="G2569" s="281"/>
      <c r="H2569" s="281"/>
      <c r="I2569" s="283"/>
    </row>
    <row r="2570" spans="1:9">
      <c r="A2570" s="197"/>
      <c r="B2570" s="189" t="s">
        <v>1826</v>
      </c>
      <c r="C2570" s="370"/>
      <c r="D2570" s="721"/>
      <c r="E2570" s="722"/>
      <c r="F2570" s="271"/>
      <c r="G2570" s="271">
        <v>1</v>
      </c>
      <c r="H2570" s="281"/>
      <c r="I2570" s="257">
        <f>G2570</f>
        <v>1</v>
      </c>
    </row>
    <row r="2571" spans="1:9">
      <c r="A2571" s="195"/>
      <c r="B2571" s="189"/>
      <c r="C2571" s="190"/>
      <c r="D2571" s="271"/>
      <c r="E2571" s="271"/>
      <c r="F2571" s="271"/>
      <c r="G2571" s="271"/>
      <c r="H2571" s="271"/>
      <c r="I2571" s="259"/>
    </row>
    <row r="2572" spans="1:9">
      <c r="A2572" s="135"/>
      <c r="B2572" s="170"/>
      <c r="C2572" s="136"/>
      <c r="D2572" s="275"/>
      <c r="E2572" s="275"/>
      <c r="F2572" s="275"/>
      <c r="G2572" s="276"/>
      <c r="H2572" s="276"/>
      <c r="I2572" s="277"/>
    </row>
    <row r="2573" spans="1:9">
      <c r="A2573" s="344" t="s">
        <v>27033</v>
      </c>
      <c r="B2573" s="591" t="str">
        <f>VLOOKUP(A2573,GLOBAL!A:H,4,FALSE)</f>
        <v>REVESTIMENTO EXTERNO</v>
      </c>
      <c r="C2573" s="130"/>
      <c r="D2573" s="341"/>
      <c r="E2573" s="341"/>
      <c r="F2573" s="341"/>
      <c r="G2573" s="341"/>
      <c r="H2573" s="341"/>
      <c r="I2573" s="342"/>
    </row>
    <row r="2574" spans="1:9">
      <c r="A2574" s="344" t="s">
        <v>27034</v>
      </c>
      <c r="B2574" s="591" t="str">
        <f>VLOOKUP(A2574,GLOBAL!A:H,4,FALSE)</f>
        <v>SOBRE PAREDES E FORROS</v>
      </c>
      <c r="C2574" s="130"/>
      <c r="D2574" s="341"/>
      <c r="E2574" s="341"/>
      <c r="F2574" s="341"/>
      <c r="G2574" s="341"/>
      <c r="H2574" s="341"/>
      <c r="I2574" s="342"/>
    </row>
    <row r="2575" spans="1:9" ht="28.8">
      <c r="A2575" s="605" t="s">
        <v>27035</v>
      </c>
      <c r="B2575" s="258" t="str">
        <f>VLOOKUP(A2575,GLOBAL!A:H,4,FALSE)</f>
        <v>FUNDO SELADOR ACRÍLICO, APLICAÇÃO MANUAL EM PAREDE, UMA DEMÃO. AF_04/2023</v>
      </c>
      <c r="C2575" s="119" t="str">
        <f>VLOOKUP(A2575,GLOBAL!A:H,5,FALSE)</f>
        <v>M2</v>
      </c>
      <c r="D2575" s="267" t="s">
        <v>66</v>
      </c>
      <c r="E2575" s="267" t="s">
        <v>70</v>
      </c>
      <c r="F2575" s="267" t="s">
        <v>67</v>
      </c>
      <c r="G2575" s="267" t="s">
        <v>68</v>
      </c>
      <c r="H2575" s="267" t="s">
        <v>71</v>
      </c>
      <c r="I2575" s="268">
        <f>ROUND(SUM(I2577:I2581),2)</f>
        <v>813.12</v>
      </c>
    </row>
    <row r="2576" spans="1:9">
      <c r="A2576" s="198"/>
      <c r="B2576" s="200" t="s">
        <v>2874</v>
      </c>
      <c r="C2576" s="199"/>
      <c r="D2576" s="281"/>
      <c r="E2576" s="282"/>
      <c r="F2576" s="281"/>
      <c r="G2576" s="281"/>
      <c r="H2576" s="281"/>
      <c r="I2576" s="283"/>
    </row>
    <row r="2577" spans="1:9">
      <c r="A2577" s="197"/>
      <c r="B2577" s="189" t="s">
        <v>35643</v>
      </c>
      <c r="C2577" s="370"/>
      <c r="D2577" s="271">
        <f>32.3+8</f>
        <v>40.299999999999997</v>
      </c>
      <c r="E2577" s="235"/>
      <c r="F2577" s="271">
        <v>3.3</v>
      </c>
      <c r="G2577" s="271">
        <v>2</v>
      </c>
      <c r="H2577" s="281"/>
      <c r="I2577" s="257">
        <f>D2577*G2577*F2577</f>
        <v>265.97999999999996</v>
      </c>
    </row>
    <row r="2578" spans="1:9">
      <c r="A2578" s="197"/>
      <c r="B2578" s="189" t="s">
        <v>35644</v>
      </c>
      <c r="C2578" s="370"/>
      <c r="D2578" s="271">
        <v>25.3</v>
      </c>
      <c r="E2578" s="235"/>
      <c r="F2578" s="271">
        <v>3.3</v>
      </c>
      <c r="G2578" s="271">
        <v>2</v>
      </c>
      <c r="H2578" s="281"/>
      <c r="I2578" s="257">
        <f t="shared" ref="I2578:I2580" si="113">D2578*G2578*F2578</f>
        <v>166.98</v>
      </c>
    </row>
    <row r="2579" spans="1:9">
      <c r="A2579" s="197"/>
      <c r="B2579" s="189" t="s">
        <v>35645</v>
      </c>
      <c r="C2579" s="370"/>
      <c r="D2579" s="271">
        <v>25.3</v>
      </c>
      <c r="E2579" s="235"/>
      <c r="F2579" s="271">
        <v>3.3</v>
      </c>
      <c r="G2579" s="271">
        <v>2</v>
      </c>
      <c r="H2579" s="281"/>
      <c r="I2579" s="257">
        <f t="shared" si="113"/>
        <v>166.98</v>
      </c>
    </row>
    <row r="2580" spans="1:9">
      <c r="A2580" s="197"/>
      <c r="B2580" s="189" t="s">
        <v>35646</v>
      </c>
      <c r="C2580" s="370"/>
      <c r="D2580" s="271">
        <v>32.299999999999997</v>
      </c>
      <c r="E2580" s="235"/>
      <c r="F2580" s="271">
        <v>3.3</v>
      </c>
      <c r="G2580" s="271">
        <v>2</v>
      </c>
      <c r="H2580" s="281"/>
      <c r="I2580" s="257">
        <f t="shared" si="113"/>
        <v>213.17999999999998</v>
      </c>
    </row>
    <row r="2581" spans="1:9">
      <c r="A2581" s="195"/>
      <c r="B2581" s="189"/>
      <c r="C2581" s="190"/>
      <c r="D2581" s="271"/>
      <c r="E2581" s="271"/>
      <c r="F2581" s="271"/>
      <c r="G2581" s="271"/>
      <c r="H2581" s="271"/>
      <c r="I2581" s="259"/>
    </row>
    <row r="2582" spans="1:9">
      <c r="A2582" s="135"/>
      <c r="B2582" s="170"/>
      <c r="C2582" s="136"/>
      <c r="D2582" s="275"/>
      <c r="E2582" s="275"/>
      <c r="F2582" s="275"/>
      <c r="G2582" s="276"/>
      <c r="H2582" s="276"/>
      <c r="I2582" s="277"/>
    </row>
    <row r="2583" spans="1:9" ht="43.2">
      <c r="A2583" s="605" t="s">
        <v>35555</v>
      </c>
      <c r="B2583" s="258" t="str">
        <f>VLOOKUP(A2583,GLOBAL!A:H,4,FALSE)</f>
        <v>APLICAÇÃO MANUAL DE MASSA ACRÍLICA EM PANOS DE FACHADA COM PRESENÇA DE VÃOS, DE EDIFÍCIOS DE MÚLTIPLOS PAVIMENTOS, DUAS DEMÃOS. AF_03/2024</v>
      </c>
      <c r="C2583" s="119" t="str">
        <f>VLOOKUP(A2583,GLOBAL!A:H,5,FALSE)</f>
        <v>M2</v>
      </c>
      <c r="D2583" s="267" t="s">
        <v>66</v>
      </c>
      <c r="E2583" s="267" t="s">
        <v>70</v>
      </c>
      <c r="F2583" s="267" t="s">
        <v>67</v>
      </c>
      <c r="G2583" s="267" t="s">
        <v>68</v>
      </c>
      <c r="H2583" s="267" t="s">
        <v>71</v>
      </c>
      <c r="I2583" s="268">
        <f>ROUND(SUM(I2585:I2589),2)</f>
        <v>813.12</v>
      </c>
    </row>
    <row r="2584" spans="1:9">
      <c r="A2584" s="198"/>
      <c r="B2584" s="200" t="s">
        <v>2874</v>
      </c>
      <c r="C2584" s="199"/>
      <c r="D2584" s="281"/>
      <c r="E2584" s="282"/>
      <c r="F2584" s="281"/>
      <c r="G2584" s="281"/>
      <c r="H2584" s="281"/>
      <c r="I2584" s="283"/>
    </row>
    <row r="2585" spans="1:9">
      <c r="A2585" s="197"/>
      <c r="B2585" s="189" t="s">
        <v>35643</v>
      </c>
      <c r="C2585" s="370"/>
      <c r="D2585" s="271">
        <f>32.3+8</f>
        <v>40.299999999999997</v>
      </c>
      <c r="E2585" s="235"/>
      <c r="F2585" s="271">
        <v>3.3</v>
      </c>
      <c r="G2585" s="271">
        <v>2</v>
      </c>
      <c r="H2585" s="281"/>
      <c r="I2585" s="257">
        <f>D2585*G2585*F2585</f>
        <v>265.97999999999996</v>
      </c>
    </row>
    <row r="2586" spans="1:9">
      <c r="A2586" s="197"/>
      <c r="B2586" s="189" t="s">
        <v>35644</v>
      </c>
      <c r="C2586" s="370"/>
      <c r="D2586" s="271">
        <v>25.3</v>
      </c>
      <c r="E2586" s="235"/>
      <c r="F2586" s="271">
        <v>3.3</v>
      </c>
      <c r="G2586" s="271">
        <v>2</v>
      </c>
      <c r="H2586" s="281"/>
      <c r="I2586" s="257">
        <f t="shared" ref="I2586:I2588" si="114">D2586*G2586*F2586</f>
        <v>166.98</v>
      </c>
    </row>
    <row r="2587" spans="1:9">
      <c r="A2587" s="197"/>
      <c r="B2587" s="189" t="s">
        <v>35645</v>
      </c>
      <c r="C2587" s="370"/>
      <c r="D2587" s="271">
        <v>25.3</v>
      </c>
      <c r="E2587" s="235"/>
      <c r="F2587" s="271">
        <v>3.3</v>
      </c>
      <c r="G2587" s="271">
        <v>2</v>
      </c>
      <c r="H2587" s="281"/>
      <c r="I2587" s="257">
        <f t="shared" si="114"/>
        <v>166.98</v>
      </c>
    </row>
    <row r="2588" spans="1:9">
      <c r="A2588" s="197"/>
      <c r="B2588" s="189" t="s">
        <v>35646</v>
      </c>
      <c r="C2588" s="370"/>
      <c r="D2588" s="271">
        <v>32.299999999999997</v>
      </c>
      <c r="E2588" s="235"/>
      <c r="F2588" s="271">
        <v>3.3</v>
      </c>
      <c r="G2588" s="271">
        <v>2</v>
      </c>
      <c r="H2588" s="281"/>
      <c r="I2588" s="257">
        <f t="shared" si="114"/>
        <v>213.17999999999998</v>
      </c>
    </row>
    <row r="2589" spans="1:9">
      <c r="A2589" s="195"/>
      <c r="B2589" s="189"/>
      <c r="C2589" s="190"/>
      <c r="D2589" s="271"/>
      <c r="E2589" s="271"/>
      <c r="F2589" s="271"/>
      <c r="G2589" s="271"/>
      <c r="H2589" s="271"/>
      <c r="I2589" s="259"/>
    </row>
    <row r="2590" spans="1:9">
      <c r="A2590" s="135"/>
      <c r="B2590" s="170"/>
      <c r="C2590" s="136"/>
      <c r="D2590" s="275"/>
      <c r="E2590" s="275"/>
      <c r="F2590" s="275"/>
      <c r="G2590" s="276"/>
      <c r="H2590" s="276"/>
      <c r="I2590" s="277"/>
    </row>
    <row r="2591" spans="1:9" ht="43.2">
      <c r="A2591" s="605" t="s">
        <v>35556</v>
      </c>
      <c r="B2591" s="258" t="str">
        <f>VLOOKUP(A2591,GLOBAL!A:H,4,FALSE)</f>
        <v>APLICAÇÃO MANUAL DE TINTA LÁTEX ACRÍLICA EM PANOS COM PRESENÇA DE VÃOS DE EDIFÍCIOS DE MÚLTIPLOS PAVIMENTOS, DUAS DEMÃOS. AF_03/2024</v>
      </c>
      <c r="C2591" s="119" t="str">
        <f>VLOOKUP(A2591,GLOBAL!A:H,5,FALSE)</f>
        <v>M2</v>
      </c>
      <c r="D2591" s="267" t="s">
        <v>66</v>
      </c>
      <c r="E2591" s="267" t="s">
        <v>70</v>
      </c>
      <c r="F2591" s="267" t="s">
        <v>67</v>
      </c>
      <c r="G2591" s="267" t="s">
        <v>68</v>
      </c>
      <c r="H2591" s="267" t="s">
        <v>71</v>
      </c>
      <c r="I2591" s="268">
        <f>ROUND(SUM(I2593:I2597),2)</f>
        <v>813.12</v>
      </c>
    </row>
    <row r="2592" spans="1:9">
      <c r="A2592" s="198"/>
      <c r="B2592" s="200" t="s">
        <v>2874</v>
      </c>
      <c r="C2592" s="199"/>
      <c r="D2592" s="281"/>
      <c r="E2592" s="282"/>
      <c r="F2592" s="281"/>
      <c r="G2592" s="281"/>
      <c r="H2592" s="281"/>
      <c r="I2592" s="283"/>
    </row>
    <row r="2593" spans="1:9">
      <c r="A2593" s="197"/>
      <c r="B2593" s="189" t="s">
        <v>35643</v>
      </c>
      <c r="C2593" s="370"/>
      <c r="D2593" s="271">
        <f>32.3+8</f>
        <v>40.299999999999997</v>
      </c>
      <c r="E2593" s="235"/>
      <c r="F2593" s="271">
        <v>3.3</v>
      </c>
      <c r="G2593" s="271">
        <v>2</v>
      </c>
      <c r="H2593" s="281"/>
      <c r="I2593" s="257">
        <f>D2593*G2593*F2593</f>
        <v>265.97999999999996</v>
      </c>
    </row>
    <row r="2594" spans="1:9">
      <c r="A2594" s="197"/>
      <c r="B2594" s="189" t="s">
        <v>35644</v>
      </c>
      <c r="C2594" s="370"/>
      <c r="D2594" s="271">
        <v>25.3</v>
      </c>
      <c r="E2594" s="235"/>
      <c r="F2594" s="271">
        <v>3.3</v>
      </c>
      <c r="G2594" s="271">
        <v>2</v>
      </c>
      <c r="H2594" s="281"/>
      <c r="I2594" s="257">
        <f t="shared" ref="I2594:I2596" si="115">D2594*G2594*F2594</f>
        <v>166.98</v>
      </c>
    </row>
    <row r="2595" spans="1:9">
      <c r="A2595" s="197"/>
      <c r="B2595" s="189" t="s">
        <v>35645</v>
      </c>
      <c r="C2595" s="370"/>
      <c r="D2595" s="271">
        <v>25.3</v>
      </c>
      <c r="E2595" s="235"/>
      <c r="F2595" s="271">
        <v>3.3</v>
      </c>
      <c r="G2595" s="271">
        <v>2</v>
      </c>
      <c r="H2595" s="281"/>
      <c r="I2595" s="257">
        <f t="shared" si="115"/>
        <v>166.98</v>
      </c>
    </row>
    <row r="2596" spans="1:9">
      <c r="A2596" s="197"/>
      <c r="B2596" s="189" t="s">
        <v>35646</v>
      </c>
      <c r="C2596" s="370"/>
      <c r="D2596" s="271">
        <v>32.299999999999997</v>
      </c>
      <c r="E2596" s="235"/>
      <c r="F2596" s="271">
        <v>3.3</v>
      </c>
      <c r="G2596" s="271">
        <v>2</v>
      </c>
      <c r="H2596" s="281"/>
      <c r="I2596" s="257">
        <f t="shared" si="115"/>
        <v>213.17999999999998</v>
      </c>
    </row>
    <row r="2597" spans="1:9">
      <c r="A2597" s="195"/>
      <c r="B2597" s="189"/>
      <c r="C2597" s="190"/>
      <c r="D2597" s="271"/>
      <c r="E2597" s="271"/>
      <c r="F2597" s="271"/>
      <c r="G2597" s="271"/>
      <c r="H2597" s="271"/>
      <c r="I2597" s="259"/>
    </row>
    <row r="2598" spans="1:9">
      <c r="A2598" s="135"/>
      <c r="B2598" s="170"/>
      <c r="C2598" s="136"/>
      <c r="D2598" s="275"/>
      <c r="E2598" s="275"/>
      <c r="F2598" s="275"/>
      <c r="G2598" s="276"/>
      <c r="H2598" s="276"/>
      <c r="I2598" s="277"/>
    </row>
    <row r="2599" spans="1:9" ht="43.2">
      <c r="A2599" s="605" t="s">
        <v>35807</v>
      </c>
      <c r="B2599" s="258" t="str">
        <f>VLOOKUP(A2599,GLOBAL!A:H,4,FALSE)</f>
        <v>REVESTIMENTO CERÂMICO PARA PAREDES EXTERNAS, COM PLACAS TIPO GRÊS OU SEMIGRÊS, FORMATO MENOR OU IGUAL A 200 CM2, DISPOSTAS EM AMARRAÇÃO. AF_02/2023</v>
      </c>
      <c r="C2599" s="119" t="str">
        <f>VLOOKUP(A2599,GLOBAL!A:H,5,FALSE)</f>
        <v>M2</v>
      </c>
      <c r="D2599" s="267" t="s">
        <v>66</v>
      </c>
      <c r="E2599" s="267" t="s">
        <v>70</v>
      </c>
      <c r="F2599" s="267" t="s">
        <v>67</v>
      </c>
      <c r="G2599" s="267" t="s">
        <v>68</v>
      </c>
      <c r="H2599" s="267" t="s">
        <v>71</v>
      </c>
      <c r="I2599" s="268">
        <f>ROUND(SUM(I2602:I2608),2)</f>
        <v>783.36</v>
      </c>
    </row>
    <row r="2600" spans="1:9">
      <c r="A2600" s="198"/>
      <c r="B2600" s="200" t="s">
        <v>2874</v>
      </c>
      <c r="C2600" s="199"/>
      <c r="D2600" s="281"/>
      <c r="E2600" s="282"/>
      <c r="F2600" s="281"/>
      <c r="G2600" s="281"/>
      <c r="H2600" s="281"/>
      <c r="I2600" s="283"/>
    </row>
    <row r="2601" spans="1:9">
      <c r="A2601" s="198"/>
      <c r="B2601" s="200" t="s">
        <v>35778</v>
      </c>
      <c r="C2601" s="199"/>
      <c r="D2601" s="281"/>
      <c r="E2601" s="282"/>
      <c r="F2601" s="281"/>
      <c r="G2601" s="281"/>
      <c r="H2601" s="281"/>
      <c r="I2601" s="283"/>
    </row>
    <row r="2602" spans="1:9">
      <c r="A2602" s="197"/>
      <c r="B2602" s="189" t="s">
        <v>35643</v>
      </c>
      <c r="C2602" s="370"/>
      <c r="D2602" s="271">
        <f>32.3+8</f>
        <v>40.299999999999997</v>
      </c>
      <c r="E2602" s="235"/>
      <c r="F2602" s="271">
        <v>3.3</v>
      </c>
      <c r="G2602" s="271"/>
      <c r="H2602" s="281"/>
      <c r="I2602" s="257">
        <f>D2602*F2602</f>
        <v>132.98999999999998</v>
      </c>
    </row>
    <row r="2603" spans="1:9">
      <c r="A2603" s="197"/>
      <c r="B2603" s="189" t="s">
        <v>35644</v>
      </c>
      <c r="C2603" s="370"/>
      <c r="D2603" s="271">
        <v>25.3</v>
      </c>
      <c r="E2603" s="235"/>
      <c r="F2603" s="271">
        <v>3.3</v>
      </c>
      <c r="G2603" s="271"/>
      <c r="H2603" s="281"/>
      <c r="I2603" s="257">
        <f t="shared" ref="I2603:I2605" si="116">D2603*F2603</f>
        <v>83.49</v>
      </c>
    </row>
    <row r="2604" spans="1:9">
      <c r="A2604" s="197"/>
      <c r="B2604" s="189" t="s">
        <v>35645</v>
      </c>
      <c r="C2604" s="370"/>
      <c r="D2604" s="271">
        <v>25.3</v>
      </c>
      <c r="E2604" s="235"/>
      <c r="F2604" s="271">
        <v>3.3</v>
      </c>
      <c r="G2604" s="271"/>
      <c r="H2604" s="281"/>
      <c r="I2604" s="257">
        <f t="shared" si="116"/>
        <v>83.49</v>
      </c>
    </row>
    <row r="2605" spans="1:9">
      <c r="A2605" s="197"/>
      <c r="B2605" s="189" t="s">
        <v>35646</v>
      </c>
      <c r="C2605" s="370"/>
      <c r="D2605" s="271">
        <v>32.299999999999997</v>
      </c>
      <c r="E2605" s="235"/>
      <c r="F2605" s="271">
        <v>3.3</v>
      </c>
      <c r="G2605" s="271"/>
      <c r="H2605" s="281"/>
      <c r="I2605" s="257">
        <f t="shared" si="116"/>
        <v>106.58999999999999</v>
      </c>
    </row>
    <row r="2606" spans="1:9">
      <c r="A2606" s="198"/>
      <c r="B2606" s="200" t="s">
        <v>35785</v>
      </c>
      <c r="C2606" s="199"/>
      <c r="D2606" s="281"/>
      <c r="E2606" s="282"/>
      <c r="F2606" s="281"/>
      <c r="G2606" s="281"/>
      <c r="H2606" s="281"/>
      <c r="I2606" s="283"/>
    </row>
    <row r="2607" spans="1:9">
      <c r="A2607" s="197"/>
      <c r="B2607" s="189" t="s">
        <v>35794</v>
      </c>
      <c r="C2607" s="370"/>
      <c r="D2607" s="271">
        <v>32</v>
      </c>
      <c r="E2607" s="235">
        <v>15.1</v>
      </c>
      <c r="F2607" s="271">
        <v>4</v>
      </c>
      <c r="G2607" s="271"/>
      <c r="H2607" s="281"/>
      <c r="I2607" s="257">
        <f>(D2607+E2607)*2*F2607</f>
        <v>376.8</v>
      </c>
    </row>
    <row r="2608" spans="1:9">
      <c r="A2608" s="195"/>
      <c r="B2608" s="189"/>
      <c r="C2608" s="190"/>
      <c r="D2608" s="271"/>
      <c r="E2608" s="271"/>
      <c r="F2608" s="271"/>
      <c r="G2608" s="271"/>
      <c r="H2608" s="271"/>
      <c r="I2608" s="259"/>
    </row>
    <row r="2609" spans="1:9">
      <c r="A2609" s="135"/>
      <c r="B2609" s="170"/>
      <c r="C2609" s="136"/>
      <c r="D2609" s="275"/>
      <c r="E2609" s="275"/>
      <c r="F2609" s="275"/>
      <c r="G2609" s="276"/>
      <c r="H2609" s="276"/>
      <c r="I2609" s="277"/>
    </row>
    <row r="2610" spans="1:9">
      <c r="A2610" s="381"/>
      <c r="B2610" s="382"/>
      <c r="C2610" s="381"/>
      <c r="D2610" s="383"/>
      <c r="E2610" s="383"/>
      <c r="F2610" s="383"/>
      <c r="G2610" s="383"/>
      <c r="H2610" s="383"/>
      <c r="I2610" s="384"/>
    </row>
    <row r="2611" spans="1:9">
      <c r="A2611" s="740" t="s">
        <v>11208</v>
      </c>
      <c r="B2611" s="740"/>
      <c r="C2611" s="740"/>
      <c r="D2611" s="740"/>
      <c r="E2611" s="740"/>
      <c r="F2611" s="740"/>
      <c r="G2611" s="740"/>
      <c r="H2611" s="740"/>
      <c r="I2611" s="740"/>
    </row>
    <row r="2612" spans="1:9">
      <c r="A2612" s="740"/>
      <c r="B2612" s="740"/>
      <c r="C2612" s="740"/>
      <c r="D2612" s="740"/>
      <c r="E2612" s="740"/>
      <c r="F2612" s="740"/>
      <c r="G2612" s="740"/>
      <c r="H2612" s="740"/>
      <c r="I2612" s="740"/>
    </row>
    <row r="2613" spans="1:9">
      <c r="A2613" s="740"/>
      <c r="B2613" s="740"/>
      <c r="C2613" s="740"/>
      <c r="D2613" s="740"/>
      <c r="E2613" s="740"/>
      <c r="F2613" s="740"/>
      <c r="G2613" s="740"/>
      <c r="H2613" s="740"/>
      <c r="I2613" s="740"/>
    </row>
  </sheetData>
  <mergeCells count="102">
    <mergeCell ref="D312:F312"/>
    <mergeCell ref="D313:F313"/>
    <mergeCell ref="D314:F314"/>
    <mergeCell ref="D198:E198"/>
    <mergeCell ref="D199:E199"/>
    <mergeCell ref="D212:E212"/>
    <mergeCell ref="D213:E213"/>
    <mergeCell ref="D99:E99"/>
    <mergeCell ref="D589:E589"/>
    <mergeCell ref="D121:E121"/>
    <mergeCell ref="D126:E126"/>
    <mergeCell ref="D127:E127"/>
    <mergeCell ref="D132:E132"/>
    <mergeCell ref="D133:E133"/>
    <mergeCell ref="D138:E138"/>
    <mergeCell ref="D139:E139"/>
    <mergeCell ref="D144:E144"/>
    <mergeCell ref="D145:E145"/>
    <mergeCell ref="D150:E150"/>
    <mergeCell ref="D151:E151"/>
    <mergeCell ref="D156:E156"/>
    <mergeCell ref="D157:E157"/>
    <mergeCell ref="D162:E162"/>
    <mergeCell ref="A2613:I2613"/>
    <mergeCell ref="A2611:I2611"/>
    <mergeCell ref="A2612:I2612"/>
    <mergeCell ref="D811:E811"/>
    <mergeCell ref="D2268:E2268"/>
    <mergeCell ref="D2387:E2387"/>
    <mergeCell ref="D2487:E2487"/>
    <mergeCell ref="D2515:E2515"/>
    <mergeCell ref="D2521:E2521"/>
    <mergeCell ref="D2527:E2527"/>
    <mergeCell ref="D2534:E2534"/>
    <mergeCell ref="D2540:E2540"/>
    <mergeCell ref="D2547:E2547"/>
    <mergeCell ref="D2546:E2546"/>
    <mergeCell ref="D2570:E2570"/>
    <mergeCell ref="D2552:E2552"/>
    <mergeCell ref="D249:F249"/>
    <mergeCell ref="D250:F250"/>
    <mergeCell ref="D273:F273"/>
    <mergeCell ref="D278:F278"/>
    <mergeCell ref="D114:E114"/>
    <mergeCell ref="D168:E168"/>
    <mergeCell ref="D306:E306"/>
    <mergeCell ref="D599:E599"/>
    <mergeCell ref="D600:E600"/>
    <mergeCell ref="D218:E218"/>
    <mergeCell ref="D272:F272"/>
    <mergeCell ref="D178:E178"/>
    <mergeCell ref="D183:E183"/>
    <mergeCell ref="D163:E163"/>
    <mergeCell ref="D224:E224"/>
    <mergeCell ref="D230:E230"/>
    <mergeCell ref="D197:E197"/>
    <mergeCell ref="D223:E223"/>
    <mergeCell ref="D287:F287"/>
    <mergeCell ref="D319:E319"/>
    <mergeCell ref="D277:F277"/>
    <mergeCell ref="D282:F282"/>
    <mergeCell ref="D292:E292"/>
    <mergeCell ref="D293:E293"/>
    <mergeCell ref="A1:I1"/>
    <mergeCell ref="A3:I3"/>
    <mergeCell ref="A5:I5"/>
    <mergeCell ref="D6:H6"/>
    <mergeCell ref="B2:H2"/>
    <mergeCell ref="D173:E173"/>
    <mergeCell ref="D74:E74"/>
    <mergeCell ref="D120:E120"/>
    <mergeCell ref="D104:E104"/>
    <mergeCell ref="D109:E109"/>
    <mergeCell ref="D11:E11"/>
    <mergeCell ref="D16:E16"/>
    <mergeCell ref="D54:E54"/>
    <mergeCell ref="D59:E59"/>
    <mergeCell ref="D64:E64"/>
    <mergeCell ref="D69:E69"/>
    <mergeCell ref="D79:E79"/>
    <mergeCell ref="D84:E84"/>
    <mergeCell ref="D21:E21"/>
    <mergeCell ref="D26:E26"/>
    <mergeCell ref="D89:E89"/>
    <mergeCell ref="D94:E94"/>
    <mergeCell ref="D605:E605"/>
    <mergeCell ref="D2003:E2003"/>
    <mergeCell ref="D653:E653"/>
    <mergeCell ref="D2240:E2240"/>
    <mergeCell ref="D2359:E2359"/>
    <mergeCell ref="D635:E635"/>
    <mergeCell ref="D641:E641"/>
    <mergeCell ref="D760:E760"/>
    <mergeCell ref="D594:E594"/>
    <mergeCell ref="D595:E595"/>
    <mergeCell ref="D612:E612"/>
    <mergeCell ref="D604:E604"/>
    <mergeCell ref="D606:E606"/>
    <mergeCell ref="D611:E611"/>
    <mergeCell ref="D639:E639"/>
    <mergeCell ref="D640:E640"/>
    <mergeCell ref="D634:E634"/>
  </mergeCells>
  <printOptions horizontalCentered="1"/>
  <pageMargins left="0.31496062992125984" right="0.31496062992125984" top="0.39370078740157483" bottom="0.39370078740157483" header="0.31496062992125984" footer="0.31496062992125984"/>
  <pageSetup paperSize="9" scale="50" orientation="portrait" r:id="rId1"/>
  <headerFooter>
    <oddFooter>&amp;C&amp;P de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57"/>
  <sheetViews>
    <sheetView view="pageBreakPreview" topLeftCell="A4" zoomScale="85" zoomScaleNormal="70" zoomScaleSheetLayoutView="85" workbookViewId="0">
      <selection activeCell="C52" sqref="C52"/>
    </sheetView>
  </sheetViews>
  <sheetFormatPr defaultColWidth="9.109375" defaultRowHeight="13.2"/>
  <cols>
    <col min="1" max="1" width="8.88671875" style="1" customWidth="1"/>
    <col min="2" max="2" width="35.6640625" style="1" customWidth="1"/>
    <col min="3" max="3" width="14.33203125" style="1" customWidth="1"/>
    <col min="4" max="4" width="11.33203125" style="2" customWidth="1"/>
    <col min="5" max="5" width="10.109375" style="3" bestFit="1" customWidth="1"/>
    <col min="6" max="6" width="11.6640625" style="1" bestFit="1" customWidth="1"/>
    <col min="7" max="7" width="11.6640625" style="3" bestFit="1" customWidth="1"/>
    <col min="8" max="8" width="11.6640625" style="1" bestFit="1" customWidth="1"/>
    <col min="9" max="9" width="11.6640625" style="3" bestFit="1" customWidth="1"/>
    <col min="10" max="10" width="11.6640625" style="1" bestFit="1" customWidth="1"/>
    <col min="11" max="11" width="11.6640625" style="3" bestFit="1" customWidth="1"/>
    <col min="12" max="12" width="11.6640625" style="1" bestFit="1" customWidth="1"/>
    <col min="13" max="13" width="11.6640625" style="3" bestFit="1" customWidth="1"/>
    <col min="14" max="14" width="11.6640625" style="1" bestFit="1" customWidth="1"/>
    <col min="15" max="15" width="12.6640625" style="3" bestFit="1" customWidth="1"/>
    <col min="16" max="16" width="12.6640625" style="1" bestFit="1" customWidth="1"/>
    <col min="17" max="17" width="12.6640625" style="3" bestFit="1" customWidth="1"/>
    <col min="18" max="18" width="12.6640625" style="1" bestFit="1" customWidth="1"/>
    <col min="19" max="19" width="12.6640625" style="3" bestFit="1" customWidth="1"/>
    <col min="20" max="22" width="12.6640625" style="1" bestFit="1" customWidth="1"/>
    <col min="23" max="23" width="9.109375" style="1"/>
    <col min="24" max="24" width="16.88671875" style="1" bestFit="1" customWidth="1"/>
    <col min="25" max="25" width="16" style="1" bestFit="1" customWidth="1"/>
    <col min="26" max="16384" width="9.109375" style="1"/>
  </cols>
  <sheetData>
    <row r="1" spans="1:25" ht="17.399999999999999" customHeight="1">
      <c r="A1" s="745" t="s">
        <v>0</v>
      </c>
      <c r="B1" s="746"/>
      <c r="C1" s="746"/>
      <c r="D1" s="746"/>
      <c r="E1" s="746"/>
      <c r="F1" s="746"/>
      <c r="G1" s="746"/>
      <c r="H1" s="746"/>
      <c r="I1" s="746"/>
      <c r="J1" s="746"/>
      <c r="K1" s="746"/>
      <c r="L1" s="746"/>
      <c r="M1" s="746"/>
      <c r="N1" s="746"/>
      <c r="O1" s="746"/>
      <c r="P1" s="746"/>
      <c r="Q1" s="746"/>
      <c r="R1" s="746"/>
      <c r="S1" s="746"/>
      <c r="T1" s="746"/>
      <c r="U1" s="746"/>
      <c r="V1" s="746"/>
    </row>
    <row r="2" spans="1:25" ht="54" customHeight="1">
      <c r="A2" s="747"/>
      <c r="B2" s="748"/>
      <c r="C2" s="748"/>
      <c r="D2" s="748"/>
      <c r="E2" s="748"/>
      <c r="F2" s="748"/>
      <c r="G2" s="748"/>
      <c r="H2" s="748"/>
      <c r="I2" s="748"/>
      <c r="J2" s="748"/>
      <c r="K2" s="748"/>
      <c r="L2" s="748"/>
      <c r="M2" s="748"/>
      <c r="N2" s="748"/>
      <c r="O2" s="748"/>
      <c r="P2" s="748"/>
      <c r="Q2" s="748"/>
      <c r="R2" s="748"/>
      <c r="S2" s="748"/>
      <c r="T2" s="748"/>
      <c r="U2" s="748"/>
      <c r="V2" s="748"/>
    </row>
    <row r="3" spans="1:25" ht="15.75" customHeight="1">
      <c r="A3" s="546" t="s">
        <v>35890</v>
      </c>
      <c r="B3" s="547"/>
      <c r="C3" s="177"/>
      <c r="D3" s="177"/>
      <c r="E3" s="177"/>
      <c r="F3" s="177"/>
      <c r="G3" s="177"/>
      <c r="H3" s="177"/>
      <c r="I3" s="177"/>
      <c r="J3" s="177"/>
      <c r="K3" s="177"/>
      <c r="L3" s="177"/>
      <c r="M3" s="177"/>
      <c r="N3" s="177"/>
      <c r="O3" s="177"/>
      <c r="P3" s="177"/>
      <c r="Q3" s="177"/>
      <c r="R3" s="177"/>
      <c r="S3" s="177"/>
      <c r="T3" s="177"/>
      <c r="U3" s="749" t="s">
        <v>23527</v>
      </c>
      <c r="V3" s="749"/>
    </row>
    <row r="4" spans="1:25" ht="49.5" customHeight="1">
      <c r="A4" s="285"/>
      <c r="B4" s="75"/>
      <c r="C4" s="75"/>
      <c r="D4" s="75"/>
      <c r="E4" s="75"/>
      <c r="F4" s="75"/>
      <c r="G4" s="75"/>
      <c r="H4" s="75"/>
      <c r="I4" s="75"/>
      <c r="J4" s="75"/>
      <c r="K4" s="75"/>
      <c r="L4" s="75"/>
      <c r="M4" s="75"/>
      <c r="N4" s="75"/>
      <c r="O4" s="75"/>
      <c r="P4" s="75"/>
      <c r="Q4" s="75"/>
      <c r="R4" s="75"/>
      <c r="S4" s="75"/>
      <c r="T4" s="75"/>
      <c r="U4" s="750" t="s">
        <v>35889</v>
      </c>
      <c r="V4" s="750"/>
    </row>
    <row r="5" spans="1:25" customFormat="1" ht="24.75" customHeight="1" thickBot="1">
      <c r="A5" s="751" t="s">
        <v>0</v>
      </c>
      <c r="B5" s="752"/>
      <c r="C5" s="752"/>
      <c r="D5" s="752"/>
      <c r="E5" s="752"/>
      <c r="F5" s="752"/>
      <c r="G5" s="752"/>
      <c r="H5" s="752"/>
      <c r="I5" s="752"/>
      <c r="J5" s="752"/>
      <c r="K5" s="752"/>
      <c r="L5" s="752"/>
      <c r="M5" s="752"/>
      <c r="N5" s="752"/>
      <c r="O5" s="752"/>
      <c r="P5" s="752"/>
      <c r="Q5" s="752"/>
      <c r="R5" s="752"/>
      <c r="S5" s="752"/>
      <c r="T5" s="752"/>
      <c r="U5" s="752"/>
      <c r="V5" s="752"/>
    </row>
    <row r="6" spans="1:25" ht="12.75" customHeight="1">
      <c r="A6" s="753" t="s">
        <v>1</v>
      </c>
      <c r="B6" s="755" t="s">
        <v>2</v>
      </c>
      <c r="C6" s="387" t="s">
        <v>3</v>
      </c>
      <c r="D6" s="388"/>
      <c r="E6" s="743" t="s">
        <v>9726</v>
      </c>
      <c r="F6" s="743" t="s">
        <v>9727</v>
      </c>
      <c r="G6" s="743" t="s">
        <v>9728</v>
      </c>
      <c r="H6" s="743" t="s">
        <v>9729</v>
      </c>
      <c r="I6" s="743" t="s">
        <v>35891</v>
      </c>
      <c r="J6" s="743" t="s">
        <v>35892</v>
      </c>
      <c r="K6" s="743" t="s">
        <v>35893</v>
      </c>
      <c r="L6" s="743" t="s">
        <v>35894</v>
      </c>
      <c r="M6" s="743" t="s">
        <v>35895</v>
      </c>
      <c r="N6" s="743" t="s">
        <v>35896</v>
      </c>
      <c r="O6" s="743" t="s">
        <v>35897</v>
      </c>
      <c r="P6" s="743" t="s">
        <v>35898</v>
      </c>
      <c r="Q6" s="743" t="s">
        <v>35899</v>
      </c>
      <c r="R6" s="743" t="s">
        <v>35900</v>
      </c>
      <c r="S6" s="743" t="s">
        <v>35901</v>
      </c>
      <c r="T6" s="743" t="s">
        <v>35902</v>
      </c>
      <c r="U6" s="743" t="s">
        <v>35903</v>
      </c>
      <c r="V6" s="743" t="s">
        <v>35904</v>
      </c>
    </row>
    <row r="7" spans="1:25">
      <c r="A7" s="754"/>
      <c r="B7" s="756"/>
      <c r="C7" s="386" t="s">
        <v>4</v>
      </c>
      <c r="D7" s="385" t="s">
        <v>5</v>
      </c>
      <c r="E7" s="744"/>
      <c r="F7" s="744"/>
      <c r="G7" s="744"/>
      <c r="H7" s="744"/>
      <c r="I7" s="744"/>
      <c r="J7" s="744"/>
      <c r="K7" s="744"/>
      <c r="L7" s="744"/>
      <c r="M7" s="744"/>
      <c r="N7" s="744"/>
      <c r="O7" s="744"/>
      <c r="P7" s="744"/>
      <c r="Q7" s="744"/>
      <c r="R7" s="744"/>
      <c r="S7" s="744"/>
      <c r="T7" s="744"/>
      <c r="U7" s="744"/>
      <c r="V7" s="744"/>
    </row>
    <row r="8" spans="1:25" ht="13.5" customHeight="1">
      <c r="A8" s="741" t="s">
        <v>6</v>
      </c>
      <c r="B8" s="742" t="str">
        <f>UPPER(VLOOKUP($A8,GLOBAL!A:H,4,0))</f>
        <v>SERVIÇOS PRELIMINARES</v>
      </c>
      <c r="C8" s="358">
        <f>RESUMO!D7</f>
        <v>752352.15175684006</v>
      </c>
      <c r="D8" s="615">
        <f>C8/$C$45</f>
        <v>4.3989721439062428E-2</v>
      </c>
      <c r="E8" s="348">
        <f>$C8*E9</f>
        <v>752352.15175684006</v>
      </c>
      <c r="F8" s="348"/>
      <c r="G8" s="348"/>
      <c r="H8" s="348"/>
      <c r="I8" s="348"/>
      <c r="J8" s="348"/>
      <c r="K8" s="348"/>
      <c r="L8" s="348"/>
      <c r="M8" s="348"/>
      <c r="N8" s="348"/>
      <c r="O8" s="348"/>
      <c r="P8" s="348"/>
      <c r="Q8" s="348"/>
      <c r="R8" s="348"/>
      <c r="S8" s="348"/>
      <c r="T8" s="348"/>
      <c r="U8" s="349"/>
      <c r="V8" s="349"/>
      <c r="X8" s="616"/>
      <c r="Y8" s="617"/>
    </row>
    <row r="9" spans="1:25" ht="15" customHeight="1">
      <c r="A9" s="741"/>
      <c r="B9" s="742"/>
      <c r="C9" s="359"/>
      <c r="D9" s="614"/>
      <c r="E9" s="349">
        <v>1</v>
      </c>
      <c r="F9" s="349"/>
      <c r="G9" s="349"/>
      <c r="H9" s="349"/>
      <c r="I9" s="349"/>
      <c r="J9" s="349"/>
      <c r="K9" s="349"/>
      <c r="L9" s="349"/>
      <c r="M9" s="349"/>
      <c r="N9" s="349"/>
      <c r="O9" s="349"/>
      <c r="P9" s="349"/>
      <c r="Q9" s="349"/>
      <c r="R9" s="349"/>
      <c r="S9" s="349"/>
      <c r="T9" s="349"/>
      <c r="U9" s="349"/>
      <c r="V9" s="349"/>
      <c r="X9" s="883">
        <f>SUM(E9:V9)</f>
        <v>1</v>
      </c>
      <c r="Y9" s="617"/>
    </row>
    <row r="10" spans="1:25" ht="13.5" customHeight="1">
      <c r="A10" s="741" t="s">
        <v>7</v>
      </c>
      <c r="B10" s="742" t="str">
        <f>UPPER(VLOOKUP($A10,GLOBAL!A:H,4,0))</f>
        <v>MOVIMENTO DE TERRA</v>
      </c>
      <c r="C10" s="358">
        <f>RESUMO!D8</f>
        <v>423072.55000000005</v>
      </c>
      <c r="D10" s="615">
        <f>C10/$C$45</f>
        <v>2.4736878308322871E-2</v>
      </c>
      <c r="E10" s="348">
        <f>$C$10*E11</f>
        <v>126921.76500000001</v>
      </c>
      <c r="F10" s="348">
        <f>$C$10*F11</f>
        <v>211536.27500000002</v>
      </c>
      <c r="G10" s="348">
        <f>$C$10*G11</f>
        <v>84614.510000000009</v>
      </c>
      <c r="H10" s="348"/>
      <c r="I10" s="348"/>
      <c r="J10" s="348"/>
      <c r="K10" s="348"/>
      <c r="L10" s="348"/>
      <c r="M10" s="348"/>
      <c r="N10" s="348"/>
      <c r="O10" s="348"/>
      <c r="P10" s="348"/>
      <c r="Q10" s="348"/>
      <c r="R10" s="348"/>
      <c r="S10" s="348"/>
      <c r="T10" s="348"/>
      <c r="U10" s="348"/>
      <c r="V10" s="348"/>
      <c r="X10" s="616">
        <f t="shared" ref="X10:X49" si="0">SUM(E10:V10)</f>
        <v>423072.55000000005</v>
      </c>
      <c r="Y10" s="617"/>
    </row>
    <row r="11" spans="1:25" ht="15" customHeight="1">
      <c r="A11" s="741"/>
      <c r="B11" s="742"/>
      <c r="C11" s="359"/>
      <c r="D11" s="360"/>
      <c r="E11" s="349">
        <v>0.3</v>
      </c>
      <c r="F11" s="349">
        <v>0.5</v>
      </c>
      <c r="G11" s="349">
        <v>0.2</v>
      </c>
      <c r="H11" s="349"/>
      <c r="I11" s="349"/>
      <c r="J11" s="349"/>
      <c r="K11" s="349"/>
      <c r="L11" s="349"/>
      <c r="M11" s="349"/>
      <c r="N11" s="349"/>
      <c r="O11" s="349"/>
      <c r="P11" s="349"/>
      <c r="Q11" s="349"/>
      <c r="R11" s="349"/>
      <c r="S11" s="349"/>
      <c r="T11" s="349"/>
      <c r="U11" s="349"/>
      <c r="V11" s="349"/>
      <c r="X11" s="883">
        <f t="shared" si="0"/>
        <v>1</v>
      </c>
      <c r="Y11" s="617"/>
    </row>
    <row r="12" spans="1:25" ht="13.5" customHeight="1">
      <c r="A12" s="741" t="s">
        <v>8</v>
      </c>
      <c r="B12" s="742" t="str">
        <f>UPPER(VLOOKUP($A12,GLOBAL!A:H,4,0))</f>
        <v>ESTRUTURAS</v>
      </c>
      <c r="C12" s="358">
        <f>RESUMO!D9</f>
        <v>3617688.8100000005</v>
      </c>
      <c r="D12" s="615">
        <f>C12/$C$45</f>
        <v>0.21152477949786952</v>
      </c>
      <c r="E12" s="348"/>
      <c r="F12" s="348">
        <f t="shared" ref="F12:Q14" si="1">$C12*F13</f>
        <v>723537.7620000001</v>
      </c>
      <c r="G12" s="348">
        <f t="shared" si="1"/>
        <v>723537.7620000001</v>
      </c>
      <c r="H12" s="348">
        <f t="shared" si="1"/>
        <v>723537.7620000001</v>
      </c>
      <c r="I12" s="348"/>
      <c r="J12" s="348"/>
      <c r="K12" s="348"/>
      <c r="L12" s="348"/>
      <c r="M12" s="348">
        <f t="shared" si="1"/>
        <v>723537.7620000001</v>
      </c>
      <c r="N12" s="348">
        <f t="shared" si="1"/>
        <v>361768.88100000005</v>
      </c>
      <c r="O12" s="348">
        <f t="shared" si="1"/>
        <v>361768.88100000005</v>
      </c>
      <c r="P12" s="348"/>
      <c r="Q12" s="348"/>
      <c r="R12" s="348"/>
      <c r="S12" s="348"/>
      <c r="T12" s="348"/>
      <c r="U12" s="348"/>
      <c r="V12" s="348"/>
      <c r="X12" s="616">
        <f t="shared" si="0"/>
        <v>3617688.8100000005</v>
      </c>
      <c r="Y12" s="617"/>
    </row>
    <row r="13" spans="1:25" ht="15" customHeight="1">
      <c r="A13" s="741"/>
      <c r="B13" s="742"/>
      <c r="C13" s="359"/>
      <c r="D13" s="360"/>
      <c r="E13" s="349"/>
      <c r="F13" s="349">
        <v>0.2</v>
      </c>
      <c r="G13" s="349">
        <v>0.2</v>
      </c>
      <c r="H13" s="349">
        <v>0.2</v>
      </c>
      <c r="I13" s="349"/>
      <c r="J13" s="349"/>
      <c r="K13" s="349"/>
      <c r="L13" s="349"/>
      <c r="M13" s="349">
        <v>0.2</v>
      </c>
      <c r="N13" s="349">
        <v>0.1</v>
      </c>
      <c r="O13" s="349">
        <v>0.1</v>
      </c>
      <c r="P13" s="349"/>
      <c r="Q13" s="349"/>
      <c r="R13" s="349"/>
      <c r="S13" s="349"/>
      <c r="T13" s="349"/>
      <c r="U13" s="349"/>
      <c r="V13" s="349"/>
      <c r="X13" s="883">
        <f t="shared" si="0"/>
        <v>1</v>
      </c>
      <c r="Y13" s="617"/>
    </row>
    <row r="14" spans="1:25" ht="13.5" customHeight="1">
      <c r="A14" s="741" t="s">
        <v>9</v>
      </c>
      <c r="B14" s="742" t="str">
        <f>UPPER(VLOOKUP($A14,GLOBAL!A:H,4,0))</f>
        <v>PAREDES E PAINÉIS</v>
      </c>
      <c r="C14" s="358">
        <f>RESUMO!D10</f>
        <v>942550.14999999991</v>
      </c>
      <c r="D14" s="615">
        <f>C14/$C$45</f>
        <v>5.5110520311567039E-2</v>
      </c>
      <c r="E14" s="348"/>
      <c r="F14" s="348"/>
      <c r="G14" s="348"/>
      <c r="H14" s="348"/>
      <c r="I14" s="348">
        <f t="shared" si="1"/>
        <v>329892.55249999993</v>
      </c>
      <c r="J14" s="348">
        <f t="shared" si="1"/>
        <v>94255.014999999999</v>
      </c>
      <c r="K14" s="348">
        <f t="shared" si="1"/>
        <v>235637.53749999998</v>
      </c>
      <c r="L14" s="348"/>
      <c r="M14" s="348"/>
      <c r="N14" s="348"/>
      <c r="O14" s="348">
        <f t="shared" si="1"/>
        <v>94255.014999999999</v>
      </c>
      <c r="P14" s="348">
        <f t="shared" si="1"/>
        <v>94255.014999999999</v>
      </c>
      <c r="Q14" s="348">
        <f t="shared" si="1"/>
        <v>94255.014999999999</v>
      </c>
      <c r="R14" s="348"/>
      <c r="S14" s="348"/>
      <c r="T14" s="348"/>
      <c r="U14" s="348"/>
      <c r="V14" s="348"/>
      <c r="X14" s="616">
        <f t="shared" si="0"/>
        <v>942550.15</v>
      </c>
      <c r="Y14" s="617"/>
    </row>
    <row r="15" spans="1:25" ht="15" customHeight="1">
      <c r="A15" s="741"/>
      <c r="B15" s="742"/>
      <c r="C15" s="359"/>
      <c r="D15" s="360"/>
      <c r="E15" s="349"/>
      <c r="F15" s="349"/>
      <c r="G15" s="349"/>
      <c r="H15" s="349"/>
      <c r="I15" s="349">
        <v>0.35</v>
      </c>
      <c r="J15" s="349">
        <v>0.1</v>
      </c>
      <c r="K15" s="349">
        <v>0.25</v>
      </c>
      <c r="L15" s="349"/>
      <c r="M15" s="349"/>
      <c r="N15" s="349"/>
      <c r="O15" s="349">
        <v>0.1</v>
      </c>
      <c r="P15" s="349">
        <v>0.1</v>
      </c>
      <c r="Q15" s="349">
        <v>0.1</v>
      </c>
      <c r="R15" s="349"/>
      <c r="S15" s="349"/>
      <c r="T15" s="349"/>
      <c r="U15" s="349"/>
      <c r="V15" s="349"/>
      <c r="X15" s="883">
        <f t="shared" si="0"/>
        <v>0.99999999999999989</v>
      </c>
      <c r="Y15" s="617"/>
    </row>
    <row r="16" spans="1:25" ht="13.5" customHeight="1">
      <c r="A16" s="741" t="s">
        <v>10</v>
      </c>
      <c r="B16" s="742" t="str">
        <f>UPPER(VLOOKUP($A16,GLOBAL!A:H,4,0))</f>
        <v>ESQUADRIAS</v>
      </c>
      <c r="C16" s="358">
        <f>RESUMO!D11</f>
        <v>2131051.86</v>
      </c>
      <c r="D16" s="615">
        <f>C16/$C$45</f>
        <v>0.12460172736223396</v>
      </c>
      <c r="E16" s="348"/>
      <c r="F16" s="348"/>
      <c r="G16" s="348"/>
      <c r="H16" s="348"/>
      <c r="I16" s="348"/>
      <c r="J16" s="348"/>
      <c r="K16" s="348"/>
      <c r="L16" s="348">
        <f>$C16*L17</f>
        <v>426210.37199999997</v>
      </c>
      <c r="M16" s="348"/>
      <c r="N16" s="348"/>
      <c r="O16" s="348"/>
      <c r="P16" s="348">
        <f>$C16*P17</f>
        <v>213105.18599999999</v>
      </c>
      <c r="Q16" s="348">
        <f>$C16*Q17</f>
        <v>426210.37199999997</v>
      </c>
      <c r="R16" s="348">
        <f>$C16*R17</f>
        <v>426210.37199999997</v>
      </c>
      <c r="S16" s="348">
        <f>$C16*S17</f>
        <v>426210.37199999997</v>
      </c>
      <c r="T16" s="348">
        <f>$C16*T17</f>
        <v>213105.18599999999</v>
      </c>
      <c r="U16" s="349"/>
      <c r="V16" s="349"/>
      <c r="X16" s="616">
        <f t="shared" si="0"/>
        <v>2131051.86</v>
      </c>
      <c r="Y16" s="617"/>
    </row>
    <row r="17" spans="1:25" ht="15" customHeight="1">
      <c r="A17" s="741"/>
      <c r="B17" s="742"/>
      <c r="C17" s="359"/>
      <c r="D17" s="360"/>
      <c r="E17" s="349"/>
      <c r="F17" s="349"/>
      <c r="G17" s="349"/>
      <c r="H17" s="349"/>
      <c r="I17" s="349"/>
      <c r="J17" s="349"/>
      <c r="K17" s="349"/>
      <c r="L17" s="349">
        <v>0.2</v>
      </c>
      <c r="M17" s="349"/>
      <c r="N17" s="349"/>
      <c r="O17" s="349"/>
      <c r="P17" s="349">
        <v>0.1</v>
      </c>
      <c r="Q17" s="349">
        <v>0.2</v>
      </c>
      <c r="R17" s="349">
        <v>0.2</v>
      </c>
      <c r="S17" s="349">
        <v>0.2</v>
      </c>
      <c r="T17" s="349">
        <v>0.1</v>
      </c>
      <c r="U17" s="349"/>
      <c r="V17" s="349"/>
      <c r="X17" s="883">
        <f t="shared" si="0"/>
        <v>0.99999999999999989</v>
      </c>
      <c r="Y17" s="617"/>
    </row>
    <row r="18" spans="1:25" ht="13.5" customHeight="1">
      <c r="A18" s="741" t="s">
        <v>11</v>
      </c>
      <c r="B18" s="742" t="str">
        <f>UPPER(VLOOKUP($A18,GLOBAL!A:H,4,0))</f>
        <v>COBERTURA</v>
      </c>
      <c r="C18" s="358">
        <f>RESUMO!D12</f>
        <v>735515.08999999985</v>
      </c>
      <c r="D18" s="615">
        <f>C18/$C$45</f>
        <v>4.3005265350505813E-2</v>
      </c>
      <c r="E18" s="348"/>
      <c r="F18" s="348"/>
      <c r="G18" s="348"/>
      <c r="H18" s="348"/>
      <c r="I18" s="348"/>
      <c r="J18" s="348"/>
      <c r="K18" s="348"/>
      <c r="L18" s="348"/>
      <c r="M18" s="348">
        <f>$C$18*M19</f>
        <v>441309.05399999989</v>
      </c>
      <c r="N18" s="348"/>
      <c r="O18" s="348"/>
      <c r="P18" s="348"/>
      <c r="Q18" s="348"/>
      <c r="R18" s="348"/>
      <c r="S18" s="348"/>
      <c r="T18" s="348"/>
      <c r="U18" s="348">
        <f>$C$18*U19</f>
        <v>294206.03599999996</v>
      </c>
      <c r="V18" s="348"/>
      <c r="X18" s="616">
        <f t="shared" si="0"/>
        <v>735515.08999999985</v>
      </c>
      <c r="Y18" s="617"/>
    </row>
    <row r="19" spans="1:25" ht="15" customHeight="1">
      <c r="A19" s="741"/>
      <c r="B19" s="742"/>
      <c r="C19" s="359"/>
      <c r="D19" s="360"/>
      <c r="E19" s="349"/>
      <c r="F19" s="349"/>
      <c r="G19" s="349"/>
      <c r="H19" s="349"/>
      <c r="I19" s="349"/>
      <c r="J19" s="349"/>
      <c r="K19" s="349"/>
      <c r="L19" s="349"/>
      <c r="M19" s="349">
        <v>0.6</v>
      </c>
      <c r="N19" s="349"/>
      <c r="O19" s="349"/>
      <c r="P19" s="349"/>
      <c r="Q19" s="349"/>
      <c r="R19" s="349"/>
      <c r="S19" s="349"/>
      <c r="T19" s="349"/>
      <c r="U19" s="349">
        <v>0.4</v>
      </c>
      <c r="V19" s="349"/>
      <c r="X19" s="883">
        <f t="shared" si="0"/>
        <v>1</v>
      </c>
      <c r="Y19" s="617"/>
    </row>
    <row r="20" spans="1:25" ht="13.5" customHeight="1">
      <c r="A20" s="741" t="s">
        <v>12</v>
      </c>
      <c r="B20" s="742" t="str">
        <f>UPPER(VLOOKUP($A20,GLOBAL!A:H,4,0))</f>
        <v>IMPERMEABILIZAÇÃO</v>
      </c>
      <c r="C20" s="358">
        <f>RESUMO!D13</f>
        <v>49810.729999999996</v>
      </c>
      <c r="D20" s="615">
        <f>C20/$C$45</f>
        <v>2.912412933570677E-3</v>
      </c>
      <c r="E20" s="348"/>
      <c r="F20" s="348"/>
      <c r="G20" s="348"/>
      <c r="H20" s="348">
        <f t="shared" ref="H20:I20" si="2">$C20*H21</f>
        <v>9962.1460000000006</v>
      </c>
      <c r="I20" s="348">
        <f t="shared" si="2"/>
        <v>14943.218999999997</v>
      </c>
      <c r="J20" s="348"/>
      <c r="K20" s="348"/>
      <c r="L20" s="348"/>
      <c r="M20" s="348"/>
      <c r="N20" s="348"/>
      <c r="O20" s="348">
        <f t="shared" ref="O20:P20" si="3">$C20*O21</f>
        <v>14943.218999999997</v>
      </c>
      <c r="P20" s="348">
        <f t="shared" si="3"/>
        <v>9962.1460000000006</v>
      </c>
      <c r="Q20" s="348"/>
      <c r="R20" s="348"/>
      <c r="S20" s="348"/>
      <c r="T20" s="348"/>
      <c r="U20" s="348"/>
      <c r="V20" s="348"/>
      <c r="X20" s="616">
        <f t="shared" si="0"/>
        <v>49810.729999999996</v>
      </c>
      <c r="Y20" s="617"/>
    </row>
    <row r="21" spans="1:25" ht="15" customHeight="1">
      <c r="A21" s="741"/>
      <c r="B21" s="742"/>
      <c r="C21" s="359"/>
      <c r="D21" s="360"/>
      <c r="E21" s="349"/>
      <c r="F21" s="349"/>
      <c r="G21" s="349"/>
      <c r="H21" s="349">
        <v>0.2</v>
      </c>
      <c r="I21" s="349">
        <v>0.3</v>
      </c>
      <c r="J21" s="349"/>
      <c r="K21" s="349"/>
      <c r="L21" s="349"/>
      <c r="M21" s="349"/>
      <c r="N21" s="349"/>
      <c r="O21" s="349">
        <v>0.3</v>
      </c>
      <c r="P21" s="349">
        <v>0.2</v>
      </c>
      <c r="Q21" s="349"/>
      <c r="R21" s="349"/>
      <c r="S21" s="349"/>
      <c r="T21" s="349"/>
      <c r="U21" s="349"/>
      <c r="V21" s="349"/>
      <c r="X21" s="883">
        <f t="shared" si="0"/>
        <v>1</v>
      </c>
      <c r="Y21" s="617"/>
    </row>
    <row r="22" spans="1:25" ht="13.5" customHeight="1">
      <c r="A22" s="741" t="s">
        <v>9750</v>
      </c>
      <c r="B22" s="742" t="str">
        <f>UPPER(VLOOKUP($A22,GLOBAL!A:H,4,0))</f>
        <v>TETOS E FORROS</v>
      </c>
      <c r="C22" s="358">
        <f>RESUMO!D14</f>
        <v>284878.05</v>
      </c>
      <c r="D22" s="615">
        <f>C22/$C$45</f>
        <v>1.665670262833719E-2</v>
      </c>
      <c r="E22" s="348"/>
      <c r="F22" s="348"/>
      <c r="G22" s="348">
        <f t="shared" ref="G22:H22" si="4">$C22*G23</f>
        <v>56975.61</v>
      </c>
      <c r="H22" s="348">
        <f t="shared" si="4"/>
        <v>71219.512499999997</v>
      </c>
      <c r="I22" s="348"/>
      <c r="J22" s="348"/>
      <c r="K22" s="348"/>
      <c r="L22" s="348"/>
      <c r="M22" s="348"/>
      <c r="N22" s="348"/>
      <c r="O22" s="348"/>
      <c r="P22" s="348"/>
      <c r="Q22" s="348">
        <f t="shared" ref="Q22:R22" si="5">$C22*Q23</f>
        <v>85463.414999999994</v>
      </c>
      <c r="R22" s="348">
        <f t="shared" si="5"/>
        <v>71219.512499999997</v>
      </c>
      <c r="S22" s="348"/>
      <c r="T22" s="348"/>
      <c r="U22" s="348"/>
      <c r="V22" s="348"/>
      <c r="X22" s="616">
        <f t="shared" si="0"/>
        <v>284878.05</v>
      </c>
      <c r="Y22" s="617"/>
    </row>
    <row r="23" spans="1:25" ht="15" customHeight="1">
      <c r="A23" s="741"/>
      <c r="B23" s="742"/>
      <c r="C23" s="359"/>
      <c r="D23" s="360"/>
      <c r="E23" s="349"/>
      <c r="F23" s="349"/>
      <c r="G23" s="349">
        <v>0.2</v>
      </c>
      <c r="H23" s="349">
        <v>0.25</v>
      </c>
      <c r="I23" s="349"/>
      <c r="J23" s="349"/>
      <c r="K23" s="349"/>
      <c r="L23" s="349"/>
      <c r="M23" s="349"/>
      <c r="N23" s="349"/>
      <c r="O23" s="349"/>
      <c r="P23" s="349"/>
      <c r="Q23" s="349">
        <v>0.3</v>
      </c>
      <c r="R23" s="349">
        <v>0.25</v>
      </c>
      <c r="S23" s="349"/>
      <c r="T23" s="349"/>
      <c r="U23" s="349"/>
      <c r="V23" s="349"/>
      <c r="X23" s="883">
        <f t="shared" si="0"/>
        <v>1</v>
      </c>
      <c r="Y23" s="617"/>
    </row>
    <row r="24" spans="1:25" ht="13.5" customHeight="1">
      <c r="A24" s="741" t="s">
        <v>9751</v>
      </c>
      <c r="B24" s="742" t="str">
        <f>UPPER(VLOOKUP($A24,GLOBAL!A:H,4,0))</f>
        <v>REVESTIMENTOS DE PAREDE</v>
      </c>
      <c r="C24" s="358">
        <f>RESUMO!D15</f>
        <v>638743.24</v>
      </c>
      <c r="D24" s="615">
        <f>C24/$C$45</f>
        <v>3.7347055010172291E-2</v>
      </c>
      <c r="E24" s="348"/>
      <c r="F24" s="348"/>
      <c r="G24" s="348"/>
      <c r="H24" s="348"/>
      <c r="I24" s="348"/>
      <c r="J24" s="348">
        <f>$C24*J25</f>
        <v>127748.648</v>
      </c>
      <c r="K24" s="348">
        <f>$C24*K25</f>
        <v>95811.48599999999</v>
      </c>
      <c r="L24" s="348"/>
      <c r="M24" s="348"/>
      <c r="N24" s="348"/>
      <c r="O24" s="348"/>
      <c r="P24" s="348"/>
      <c r="Q24" s="348"/>
      <c r="R24" s="348"/>
      <c r="S24" s="348">
        <f>$C24*S25</f>
        <v>191622.97199999998</v>
      </c>
      <c r="T24" s="348">
        <f>$C24*T25</f>
        <v>223560.13399999999</v>
      </c>
      <c r="U24" s="349"/>
      <c r="V24" s="348"/>
      <c r="X24" s="616">
        <f t="shared" si="0"/>
        <v>638743.24</v>
      </c>
      <c r="Y24" s="617"/>
    </row>
    <row r="25" spans="1:25" ht="15" customHeight="1">
      <c r="A25" s="741"/>
      <c r="B25" s="742"/>
      <c r="C25" s="359"/>
      <c r="D25" s="360"/>
      <c r="E25" s="349"/>
      <c r="F25" s="349"/>
      <c r="G25" s="349"/>
      <c r="H25" s="349"/>
      <c r="I25" s="349"/>
      <c r="J25" s="349">
        <v>0.2</v>
      </c>
      <c r="K25" s="349">
        <v>0.15</v>
      </c>
      <c r="L25" s="349"/>
      <c r="M25" s="349"/>
      <c r="N25" s="349"/>
      <c r="O25" s="349"/>
      <c r="P25" s="349"/>
      <c r="Q25" s="349"/>
      <c r="R25" s="349"/>
      <c r="S25" s="349">
        <v>0.3</v>
      </c>
      <c r="T25" s="349">
        <v>0.35</v>
      </c>
      <c r="U25" s="349"/>
      <c r="V25" s="349"/>
      <c r="X25" s="883">
        <f t="shared" si="0"/>
        <v>0.99999999999999989</v>
      </c>
      <c r="Y25" s="617"/>
    </row>
    <row r="26" spans="1:25" ht="13.5" customHeight="1">
      <c r="A26" s="741" t="s">
        <v>15756</v>
      </c>
      <c r="B26" s="742" t="str">
        <f>UPPER(VLOOKUP($A26,GLOBAL!A:H,4,0))</f>
        <v>PISOS INTERNOS E EXTERNOS</v>
      </c>
      <c r="C26" s="358">
        <f>RESUMO!D16</f>
        <v>877584.21</v>
      </c>
      <c r="D26" s="615">
        <f>C26/$C$45</f>
        <v>5.1311988471186933E-2</v>
      </c>
      <c r="E26" s="348"/>
      <c r="F26" s="348"/>
      <c r="G26" s="348"/>
      <c r="H26" s="348"/>
      <c r="I26" s="348">
        <f>$C$26*I27</f>
        <v>43879.210500000001</v>
      </c>
      <c r="J26" s="348">
        <f>$C$26*J27</f>
        <v>43879.210500000001</v>
      </c>
      <c r="K26" s="348">
        <f>$C$26*K27</f>
        <v>87758.421000000002</v>
      </c>
      <c r="L26" s="348">
        <f>$C$26*L27</f>
        <v>87758.421000000002</v>
      </c>
      <c r="M26" s="348">
        <f>$C$26*M27</f>
        <v>87758.421000000002</v>
      </c>
      <c r="N26" s="348"/>
      <c r="O26" s="348">
        <f>$C$26*O27</f>
        <v>87758.421000000002</v>
      </c>
      <c r="P26" s="348">
        <f>$C$26*P27</f>
        <v>87758.421000000002</v>
      </c>
      <c r="Q26" s="348">
        <f>$C$26*Q27</f>
        <v>87758.421000000002</v>
      </c>
      <c r="R26" s="348">
        <f>$C$26*R27</f>
        <v>87758.421000000002</v>
      </c>
      <c r="S26" s="348">
        <f>$C$26*S27</f>
        <v>43879.210500000001</v>
      </c>
      <c r="T26" s="348">
        <f>$C$26*T27</f>
        <v>87758.421000000002</v>
      </c>
      <c r="U26" s="348">
        <f>$C$26*U27</f>
        <v>43879.210500000001</v>
      </c>
      <c r="V26" s="348"/>
      <c r="X26" s="616">
        <f t="shared" si="0"/>
        <v>877584.21</v>
      </c>
      <c r="Y26" s="617"/>
    </row>
    <row r="27" spans="1:25" ht="15" customHeight="1">
      <c r="A27" s="741"/>
      <c r="B27" s="742"/>
      <c r="C27" s="359"/>
      <c r="D27" s="360"/>
      <c r="E27" s="349"/>
      <c r="F27" s="349"/>
      <c r="G27" s="349"/>
      <c r="H27" s="349"/>
      <c r="I27" s="349">
        <v>0.05</v>
      </c>
      <c r="J27" s="349">
        <v>0.05</v>
      </c>
      <c r="K27" s="349">
        <v>0.1</v>
      </c>
      <c r="L27" s="349">
        <v>0.1</v>
      </c>
      <c r="M27" s="349">
        <v>0.1</v>
      </c>
      <c r="N27" s="349"/>
      <c r="O27" s="349">
        <v>0.1</v>
      </c>
      <c r="P27" s="349">
        <v>0.1</v>
      </c>
      <c r="Q27" s="349">
        <v>0.1</v>
      </c>
      <c r="R27" s="349">
        <v>0.1</v>
      </c>
      <c r="S27" s="349">
        <v>0.05</v>
      </c>
      <c r="T27" s="349">
        <v>0.1</v>
      </c>
      <c r="U27" s="349">
        <v>0.05</v>
      </c>
      <c r="V27" s="349"/>
      <c r="X27" s="883">
        <f t="shared" si="0"/>
        <v>1</v>
      </c>
      <c r="Y27" s="617"/>
    </row>
    <row r="28" spans="1:25" ht="13.5" customHeight="1">
      <c r="A28" s="741" t="s">
        <v>15757</v>
      </c>
      <c r="B28" s="742" t="str">
        <f>UPPER(VLOOKUP($A28,GLOBAL!A:H,4,0))</f>
        <v>INSTALAÇÕES HIDROSSANITÁRIAS</v>
      </c>
      <c r="C28" s="358">
        <f>RESUMO!D17</f>
        <v>602791.09000000008</v>
      </c>
      <c r="D28" s="615">
        <f>C28/$C$45</f>
        <v>3.5244947559635573E-2</v>
      </c>
      <c r="E28" s="348"/>
      <c r="F28" s="348"/>
      <c r="G28" s="348"/>
      <c r="H28" s="348">
        <f t="shared" ref="H28:I28" si="6">$C28*H29</f>
        <v>90418.66350000001</v>
      </c>
      <c r="I28" s="348">
        <f t="shared" si="6"/>
        <v>120558.21800000002</v>
      </c>
      <c r="J28" s="348"/>
      <c r="K28" s="348"/>
      <c r="L28" s="348"/>
      <c r="M28" s="348">
        <f t="shared" ref="M28:N28" si="7">$C28*M29</f>
        <v>60279.109000000011</v>
      </c>
      <c r="N28" s="348">
        <f t="shared" si="7"/>
        <v>180837.32700000002</v>
      </c>
      <c r="O28" s="348"/>
      <c r="P28" s="348"/>
      <c r="Q28" s="348"/>
      <c r="R28" s="348"/>
      <c r="S28" s="348"/>
      <c r="T28" s="348"/>
      <c r="U28" s="348">
        <f t="shared" ref="U28:V30" si="8">$C28*U29</f>
        <v>120558.21800000002</v>
      </c>
      <c r="V28" s="348">
        <f t="shared" si="8"/>
        <v>30139.554500000006</v>
      </c>
      <c r="X28" s="616">
        <f t="shared" si="0"/>
        <v>602791.09</v>
      </c>
      <c r="Y28" s="617"/>
    </row>
    <row r="29" spans="1:25" ht="15" customHeight="1">
      <c r="A29" s="741"/>
      <c r="B29" s="742"/>
      <c r="C29" s="359"/>
      <c r="D29" s="360"/>
      <c r="E29" s="349"/>
      <c r="F29" s="349"/>
      <c r="G29" s="349"/>
      <c r="H29" s="349">
        <v>0.15</v>
      </c>
      <c r="I29" s="349">
        <v>0.2</v>
      </c>
      <c r="J29" s="349"/>
      <c r="K29" s="349"/>
      <c r="L29" s="349"/>
      <c r="M29" s="349">
        <v>0.1</v>
      </c>
      <c r="N29" s="349">
        <v>0.3</v>
      </c>
      <c r="O29" s="349"/>
      <c r="P29" s="349"/>
      <c r="Q29" s="349"/>
      <c r="R29" s="349"/>
      <c r="S29" s="349"/>
      <c r="T29" s="349"/>
      <c r="U29" s="349">
        <v>0.2</v>
      </c>
      <c r="V29" s="349">
        <v>0.05</v>
      </c>
      <c r="X29" s="883">
        <f t="shared" si="0"/>
        <v>1</v>
      </c>
      <c r="Y29" s="617"/>
    </row>
    <row r="30" spans="1:25" ht="13.5" customHeight="1">
      <c r="A30" s="741" t="s">
        <v>15758</v>
      </c>
      <c r="B30" s="742" t="str">
        <f>UPPER(VLOOKUP($A30,GLOBAL!A:H,4,0))</f>
        <v>INSTALAÇÕES ELÉTRICAS</v>
      </c>
      <c r="C30" s="358">
        <f>RESUMO!D18</f>
        <v>2317824.5300000003</v>
      </c>
      <c r="D30" s="615">
        <f>C30/$C$45</f>
        <v>0.13552224869861126</v>
      </c>
      <c r="E30" s="348"/>
      <c r="F30" s="348"/>
      <c r="G30" s="348"/>
      <c r="H30" s="348"/>
      <c r="I30" s="348"/>
      <c r="J30" s="348">
        <f t="shared" ref="J30:M30" si="9">$C30*J31</f>
        <v>231782.45300000004</v>
      </c>
      <c r="K30" s="348">
        <f t="shared" si="9"/>
        <v>231782.45300000004</v>
      </c>
      <c r="L30" s="348">
        <f t="shared" si="9"/>
        <v>115891.22650000002</v>
      </c>
      <c r="M30" s="348">
        <f t="shared" si="9"/>
        <v>115891.22650000002</v>
      </c>
      <c r="N30" s="348"/>
      <c r="O30" s="348">
        <f t="shared" ref="O30:R30" si="10">$C30*O31</f>
        <v>463564.90600000008</v>
      </c>
      <c r="P30" s="348">
        <f t="shared" si="10"/>
        <v>463564.90600000008</v>
      </c>
      <c r="Q30" s="348">
        <f t="shared" si="10"/>
        <v>231782.45300000004</v>
      </c>
      <c r="R30" s="348">
        <f t="shared" si="10"/>
        <v>115891.22650000002</v>
      </c>
      <c r="S30" s="348"/>
      <c r="T30" s="348"/>
      <c r="U30" s="348">
        <f t="shared" si="8"/>
        <v>231782.45300000004</v>
      </c>
      <c r="V30" s="348">
        <f t="shared" si="8"/>
        <v>115891.22650000002</v>
      </c>
      <c r="X30" s="616">
        <f t="shared" si="0"/>
        <v>2317824.5300000003</v>
      </c>
      <c r="Y30" s="617"/>
    </row>
    <row r="31" spans="1:25" ht="15" customHeight="1">
      <c r="A31" s="741"/>
      <c r="B31" s="742"/>
      <c r="C31" s="359"/>
      <c r="D31" s="360"/>
      <c r="E31" s="349"/>
      <c r="F31" s="349"/>
      <c r="G31" s="349"/>
      <c r="H31" s="349"/>
      <c r="I31" s="349"/>
      <c r="J31" s="349">
        <v>0.1</v>
      </c>
      <c r="K31" s="349">
        <v>0.1</v>
      </c>
      <c r="L31" s="349">
        <v>0.05</v>
      </c>
      <c r="M31" s="349">
        <v>0.05</v>
      </c>
      <c r="N31" s="349"/>
      <c r="O31" s="349">
        <v>0.2</v>
      </c>
      <c r="P31" s="349">
        <v>0.2</v>
      </c>
      <c r="Q31" s="349">
        <v>0.1</v>
      </c>
      <c r="R31" s="349">
        <v>0.05</v>
      </c>
      <c r="S31" s="349"/>
      <c r="T31" s="349"/>
      <c r="U31" s="349">
        <v>0.1</v>
      </c>
      <c r="V31" s="349">
        <v>0.05</v>
      </c>
      <c r="X31" s="883">
        <f t="shared" si="0"/>
        <v>1</v>
      </c>
      <c r="Y31" s="617"/>
    </row>
    <row r="32" spans="1:25" ht="13.5" customHeight="1">
      <c r="A32" s="741" t="s">
        <v>23676</v>
      </c>
      <c r="B32" s="742" t="str">
        <f>UPPER(VLOOKUP($A32,GLOBAL!A:H,4,0))</f>
        <v>OUTRAS INSTALAÇÕES</v>
      </c>
      <c r="C32" s="358">
        <f>RESUMO!D19</f>
        <v>787987.22</v>
      </c>
      <c r="D32" s="615">
        <f>C32/$C$45</f>
        <v>4.6073289249452934E-2</v>
      </c>
      <c r="E32" s="348"/>
      <c r="F32" s="348">
        <f t="shared" ref="F32:V32" si="11">$C32*F33</f>
        <v>78798.722000000009</v>
      </c>
      <c r="G32" s="348"/>
      <c r="H32" s="348">
        <f t="shared" si="11"/>
        <v>78798.722000000009</v>
      </c>
      <c r="I32" s="348"/>
      <c r="J32" s="348">
        <f t="shared" si="11"/>
        <v>78798.722000000009</v>
      </c>
      <c r="K32" s="348"/>
      <c r="L32" s="348">
        <f t="shared" si="11"/>
        <v>78798.722000000009</v>
      </c>
      <c r="M32" s="348"/>
      <c r="N32" s="348">
        <f t="shared" si="11"/>
        <v>78798.722000000009</v>
      </c>
      <c r="O32" s="348"/>
      <c r="P32" s="348">
        <f t="shared" si="11"/>
        <v>78798.722000000009</v>
      </c>
      <c r="Q32" s="348"/>
      <c r="R32" s="348">
        <f t="shared" si="11"/>
        <v>157597.44400000002</v>
      </c>
      <c r="S32" s="348"/>
      <c r="T32" s="348">
        <f t="shared" si="11"/>
        <v>78798.722000000009</v>
      </c>
      <c r="U32" s="348">
        <f t="shared" si="11"/>
        <v>78798.722000000009</v>
      </c>
      <c r="V32" s="348"/>
      <c r="X32" s="616">
        <f t="shared" si="0"/>
        <v>787987.2200000002</v>
      </c>
      <c r="Y32" s="617"/>
    </row>
    <row r="33" spans="1:25" ht="15" customHeight="1">
      <c r="A33" s="741"/>
      <c r="B33" s="742"/>
      <c r="C33" s="359"/>
      <c r="D33" s="360"/>
      <c r="E33" s="349"/>
      <c r="F33" s="349">
        <v>0.1</v>
      </c>
      <c r="G33" s="349"/>
      <c r="H33" s="349">
        <v>0.1</v>
      </c>
      <c r="I33" s="349"/>
      <c r="J33" s="349">
        <v>0.1</v>
      </c>
      <c r="K33" s="349"/>
      <c r="L33" s="349">
        <v>0.1</v>
      </c>
      <c r="M33" s="349"/>
      <c r="N33" s="349">
        <v>0.1</v>
      </c>
      <c r="O33" s="349"/>
      <c r="P33" s="349">
        <v>0.1</v>
      </c>
      <c r="Q33" s="349"/>
      <c r="R33" s="349">
        <v>0.2</v>
      </c>
      <c r="S33" s="349"/>
      <c r="T33" s="349">
        <v>0.1</v>
      </c>
      <c r="U33" s="349">
        <v>0.1</v>
      </c>
      <c r="V33" s="349"/>
      <c r="X33" s="883">
        <f t="shared" si="0"/>
        <v>1</v>
      </c>
      <c r="Y33" s="617"/>
    </row>
    <row r="34" spans="1:25" ht="13.5" customHeight="1">
      <c r="A34" s="741" t="s">
        <v>23682</v>
      </c>
      <c r="B34" s="742" t="str">
        <f>UPPER(VLOOKUP($A34,GLOBAL!A:H,4,0))</f>
        <v>APARELHOS HIDRO-SANITÁRIOS</v>
      </c>
      <c r="C34" s="358">
        <f>RESUMO!D20</f>
        <v>395284.72000000003</v>
      </c>
      <c r="D34" s="615">
        <f>C34/$C$45</f>
        <v>2.3112135296368151E-2</v>
      </c>
      <c r="E34" s="348"/>
      <c r="F34" s="348"/>
      <c r="G34" s="348"/>
      <c r="H34" s="348"/>
      <c r="I34" s="348"/>
      <c r="J34" s="348"/>
      <c r="K34" s="348"/>
      <c r="L34" s="348"/>
      <c r="M34" s="348">
        <f>$C34*M35</f>
        <v>79056.944000000018</v>
      </c>
      <c r="N34" s="348">
        <f>$C34*N35</f>
        <v>39528.472000000009</v>
      </c>
      <c r="O34" s="348"/>
      <c r="P34" s="348"/>
      <c r="Q34" s="348"/>
      <c r="R34" s="348"/>
      <c r="S34" s="348">
        <f>$C34*S35</f>
        <v>197642.36000000002</v>
      </c>
      <c r="T34" s="348">
        <f>$C34*T35</f>
        <v>79056.944000000018</v>
      </c>
      <c r="U34" s="349"/>
      <c r="V34" s="349"/>
      <c r="X34" s="616">
        <f t="shared" si="0"/>
        <v>395284.72000000009</v>
      </c>
      <c r="Y34" s="617"/>
    </row>
    <row r="35" spans="1:25" ht="15" customHeight="1">
      <c r="A35" s="741"/>
      <c r="B35" s="742"/>
      <c r="C35" s="359"/>
      <c r="D35" s="360"/>
      <c r="E35" s="349"/>
      <c r="F35" s="349"/>
      <c r="G35" s="349"/>
      <c r="H35" s="349"/>
      <c r="I35" s="349"/>
      <c r="J35" s="349"/>
      <c r="K35" s="349"/>
      <c r="L35" s="349"/>
      <c r="M35" s="349">
        <v>0.2</v>
      </c>
      <c r="N35" s="349">
        <v>0.1</v>
      </c>
      <c r="O35" s="349"/>
      <c r="P35" s="349"/>
      <c r="Q35" s="349"/>
      <c r="R35" s="349"/>
      <c r="S35" s="349">
        <v>0.5</v>
      </c>
      <c r="T35" s="349">
        <v>0.2</v>
      </c>
      <c r="U35" s="349"/>
      <c r="V35" s="349"/>
      <c r="X35" s="883">
        <f t="shared" si="0"/>
        <v>1</v>
      </c>
      <c r="Y35" s="617"/>
    </row>
    <row r="36" spans="1:25" ht="13.5" customHeight="1">
      <c r="A36" s="741" t="s">
        <v>23684</v>
      </c>
      <c r="B36" s="742" t="str">
        <f>UPPER(VLOOKUP($A36,GLOBAL!A:H,4,0))</f>
        <v>APARELHOS ELÉTRICOS</v>
      </c>
      <c r="C36" s="358">
        <f>RESUMO!D21</f>
        <v>143955.66</v>
      </c>
      <c r="D36" s="615">
        <f>C36/$C$45</f>
        <v>8.417028339972191E-3</v>
      </c>
      <c r="E36" s="348"/>
      <c r="F36" s="348"/>
      <c r="G36" s="348"/>
      <c r="H36" s="348"/>
      <c r="I36" s="348"/>
      <c r="J36" s="348"/>
      <c r="K36" s="348"/>
      <c r="L36" s="348"/>
      <c r="M36" s="348"/>
      <c r="N36" s="348">
        <f t="shared" ref="N36:V36" si="12">$C$36*N37</f>
        <v>21593.348999999998</v>
      </c>
      <c r="O36" s="348">
        <f>$C$36*O37</f>
        <v>50384.481</v>
      </c>
      <c r="P36" s="348"/>
      <c r="Q36" s="348"/>
      <c r="R36" s="348"/>
      <c r="S36" s="348"/>
      <c r="T36" s="348">
        <f t="shared" si="12"/>
        <v>28791.132000000001</v>
      </c>
      <c r="U36" s="348">
        <f t="shared" si="12"/>
        <v>21593.348999999998</v>
      </c>
      <c r="V36" s="348">
        <f t="shared" si="12"/>
        <v>21593.348999999998</v>
      </c>
      <c r="X36" s="616">
        <f t="shared" si="0"/>
        <v>143955.66</v>
      </c>
      <c r="Y36" s="617"/>
    </row>
    <row r="37" spans="1:25" ht="15" customHeight="1">
      <c r="A37" s="741"/>
      <c r="B37" s="742"/>
      <c r="C37" s="359"/>
      <c r="D37" s="360"/>
      <c r="E37" s="349"/>
      <c r="F37" s="349"/>
      <c r="G37" s="349"/>
      <c r="H37" s="349"/>
      <c r="I37" s="349"/>
      <c r="J37" s="349"/>
      <c r="K37" s="349"/>
      <c r="L37" s="349"/>
      <c r="M37" s="349"/>
      <c r="N37" s="349">
        <v>0.15</v>
      </c>
      <c r="O37" s="349">
        <v>0.35</v>
      </c>
      <c r="P37" s="349"/>
      <c r="Q37" s="349"/>
      <c r="R37" s="349"/>
      <c r="S37" s="349"/>
      <c r="T37" s="349">
        <v>0.2</v>
      </c>
      <c r="U37" s="349">
        <v>0.15</v>
      </c>
      <c r="V37" s="349">
        <v>0.15</v>
      </c>
      <c r="X37" s="883">
        <f t="shared" si="0"/>
        <v>1</v>
      </c>
      <c r="Y37" s="617"/>
    </row>
    <row r="38" spans="1:25" ht="13.5" customHeight="1">
      <c r="A38" s="741" t="s">
        <v>23686</v>
      </c>
      <c r="B38" s="742" t="str">
        <f>UPPER(VLOOKUP($A38,GLOBAL!A:H,4,0))</f>
        <v>PINTURA</v>
      </c>
      <c r="C38" s="358">
        <f>RESUMO!D22</f>
        <v>378968.24</v>
      </c>
      <c r="D38" s="615">
        <f>C38/$C$45</f>
        <v>2.2158117409411919E-2</v>
      </c>
      <c r="E38" s="348"/>
      <c r="F38" s="348"/>
      <c r="G38" s="348"/>
      <c r="H38" s="348"/>
      <c r="I38" s="348"/>
      <c r="J38" s="348">
        <f>$C38*J39</f>
        <v>56845.235999999997</v>
      </c>
      <c r="K38" s="348"/>
      <c r="L38" s="348">
        <f t="shared" ref="F38:V42" si="13">$C38*L39</f>
        <v>75793.648000000001</v>
      </c>
      <c r="M38" s="348"/>
      <c r="N38" s="348"/>
      <c r="O38" s="348"/>
      <c r="P38" s="348">
        <f t="shared" si="13"/>
        <v>113690.47199999999</v>
      </c>
      <c r="Q38" s="348"/>
      <c r="R38" s="348"/>
      <c r="S38" s="348"/>
      <c r="T38" s="348">
        <f t="shared" si="13"/>
        <v>75793.648000000001</v>
      </c>
      <c r="U38" s="348">
        <f t="shared" si="13"/>
        <v>37896.824000000001</v>
      </c>
      <c r="V38" s="348">
        <f t="shared" si="13"/>
        <v>18948.412</v>
      </c>
      <c r="X38" s="616">
        <f t="shared" si="0"/>
        <v>378968.24</v>
      </c>
      <c r="Y38" s="617"/>
    </row>
    <row r="39" spans="1:25" ht="15" customHeight="1">
      <c r="A39" s="741"/>
      <c r="B39" s="742"/>
      <c r="C39" s="359"/>
      <c r="D39" s="360"/>
      <c r="E39" s="349"/>
      <c r="F39" s="349"/>
      <c r="G39" s="349"/>
      <c r="H39" s="349"/>
      <c r="I39" s="349"/>
      <c r="J39" s="349">
        <v>0.15</v>
      </c>
      <c r="K39" s="349"/>
      <c r="L39" s="349">
        <v>0.2</v>
      </c>
      <c r="M39" s="349"/>
      <c r="N39" s="349"/>
      <c r="O39" s="349"/>
      <c r="P39" s="349">
        <v>0.3</v>
      </c>
      <c r="Q39" s="349"/>
      <c r="R39" s="349"/>
      <c r="S39" s="349"/>
      <c r="T39" s="349">
        <v>0.2</v>
      </c>
      <c r="U39" s="349">
        <v>0.1</v>
      </c>
      <c r="V39" s="349">
        <v>0.05</v>
      </c>
      <c r="X39" s="883">
        <f t="shared" si="0"/>
        <v>0.99999999999999989</v>
      </c>
      <c r="Y39" s="617"/>
    </row>
    <row r="40" spans="1:25" ht="13.5" customHeight="1">
      <c r="A40" s="741" t="s">
        <v>27028</v>
      </c>
      <c r="B40" s="742" t="str">
        <f>UPPER(VLOOKUP($A40,GLOBAL!A:H,4,0))</f>
        <v xml:space="preserve">SERVIÇOS COMPLEMENTARES EXTERNOS </v>
      </c>
      <c r="C40" s="358">
        <f>RESUMO!D23</f>
        <v>1731020.6500000001</v>
      </c>
      <c r="D40" s="615">
        <f>C40/$C$45</f>
        <v>0.10121206674421196</v>
      </c>
      <c r="E40" s="348"/>
      <c r="F40" s="348"/>
      <c r="G40" s="348"/>
      <c r="H40" s="348"/>
      <c r="I40" s="348"/>
      <c r="J40" s="348"/>
      <c r="K40" s="348"/>
      <c r="L40" s="348"/>
      <c r="M40" s="348">
        <f t="shared" si="13"/>
        <v>173102.06500000003</v>
      </c>
      <c r="N40" s="348">
        <f t="shared" si="13"/>
        <v>519306.19500000001</v>
      </c>
      <c r="O40" s="348"/>
      <c r="P40" s="348"/>
      <c r="Q40" s="348"/>
      <c r="R40" s="348"/>
      <c r="S40" s="348"/>
      <c r="T40" s="348"/>
      <c r="U40" s="348">
        <f t="shared" si="13"/>
        <v>173102.06500000003</v>
      </c>
      <c r="V40" s="348">
        <f t="shared" si="13"/>
        <v>865510.32500000007</v>
      </c>
      <c r="X40" s="616">
        <f t="shared" si="0"/>
        <v>1731020.6500000001</v>
      </c>
      <c r="Y40" s="617"/>
    </row>
    <row r="41" spans="1:25" ht="15" customHeight="1">
      <c r="A41" s="741"/>
      <c r="B41" s="742"/>
      <c r="C41" s="359"/>
      <c r="D41" s="360"/>
      <c r="E41" s="349"/>
      <c r="F41" s="349"/>
      <c r="G41" s="349"/>
      <c r="H41" s="349"/>
      <c r="I41" s="349"/>
      <c r="J41" s="349"/>
      <c r="K41" s="349"/>
      <c r="L41" s="349"/>
      <c r="M41" s="349">
        <v>0.1</v>
      </c>
      <c r="N41" s="349">
        <v>0.3</v>
      </c>
      <c r="O41" s="349"/>
      <c r="P41" s="349"/>
      <c r="Q41" s="349"/>
      <c r="R41" s="349"/>
      <c r="S41" s="349"/>
      <c r="T41" s="349"/>
      <c r="U41" s="349">
        <v>0.1</v>
      </c>
      <c r="V41" s="349">
        <v>0.5</v>
      </c>
      <c r="X41" s="883">
        <f t="shared" si="0"/>
        <v>1</v>
      </c>
      <c r="Y41" s="617"/>
    </row>
    <row r="42" spans="1:25" ht="13.5" customHeight="1">
      <c r="A42" s="741" t="s">
        <v>27033</v>
      </c>
      <c r="B42" s="742" t="str">
        <f>UPPER(VLOOKUP($A42,GLOBAL!A:H,4,0))</f>
        <v>REVESTIMENTO EXTERNO</v>
      </c>
      <c r="C42" s="358">
        <f>RESUMO!D24</f>
        <v>291828.89</v>
      </c>
      <c r="D42" s="615">
        <f>C42/$C$45</f>
        <v>1.706311538950693E-2</v>
      </c>
      <c r="E42" s="348"/>
      <c r="F42" s="348"/>
      <c r="G42" s="348"/>
      <c r="H42" s="348"/>
      <c r="I42" s="348"/>
      <c r="J42" s="348"/>
      <c r="K42" s="348"/>
      <c r="L42" s="348"/>
      <c r="M42" s="348">
        <f t="shared" si="13"/>
        <v>87548.667000000001</v>
      </c>
      <c r="N42" s="348">
        <f t="shared" si="13"/>
        <v>58365.778000000006</v>
      </c>
      <c r="O42" s="348"/>
      <c r="P42" s="348"/>
      <c r="Q42" s="348"/>
      <c r="R42" s="348"/>
      <c r="S42" s="348"/>
      <c r="T42" s="348">
        <f t="shared" si="13"/>
        <v>29182.889000000003</v>
      </c>
      <c r="U42" s="348">
        <f t="shared" si="13"/>
        <v>58365.778000000006</v>
      </c>
      <c r="V42" s="348">
        <f t="shared" si="13"/>
        <v>58365.778000000006</v>
      </c>
      <c r="X42" s="616">
        <f t="shared" si="0"/>
        <v>291828.89</v>
      </c>
      <c r="Y42" s="617"/>
    </row>
    <row r="43" spans="1:25" ht="15" customHeight="1">
      <c r="A43" s="741"/>
      <c r="B43" s="742"/>
      <c r="C43" s="359"/>
      <c r="D43" s="360"/>
      <c r="E43" s="349"/>
      <c r="F43" s="349"/>
      <c r="G43" s="349"/>
      <c r="H43" s="349"/>
      <c r="I43" s="349"/>
      <c r="J43" s="349"/>
      <c r="K43" s="349"/>
      <c r="L43" s="349"/>
      <c r="M43" s="349">
        <v>0.3</v>
      </c>
      <c r="N43" s="349">
        <v>0.2</v>
      </c>
      <c r="O43" s="349"/>
      <c r="P43" s="349"/>
      <c r="Q43" s="349"/>
      <c r="R43" s="349"/>
      <c r="S43" s="349"/>
      <c r="T43" s="349">
        <v>0.1</v>
      </c>
      <c r="U43" s="349">
        <v>0.2</v>
      </c>
      <c r="V43" s="349">
        <v>0.2</v>
      </c>
      <c r="X43" s="883">
        <f t="shared" si="0"/>
        <v>1</v>
      </c>
      <c r="Y43" s="617"/>
    </row>
    <row r="44" spans="1:25">
      <c r="A44" s="389"/>
      <c r="B44" s="361"/>
      <c r="C44" s="359"/>
      <c r="D44" s="360"/>
      <c r="E44" s="349"/>
      <c r="F44" s="349"/>
      <c r="G44" s="349"/>
      <c r="H44" s="349"/>
      <c r="I44" s="349"/>
      <c r="J44" s="349"/>
      <c r="K44" s="349"/>
      <c r="L44" s="349"/>
      <c r="M44" s="349"/>
      <c r="N44" s="349"/>
      <c r="O44" s="349"/>
      <c r="P44" s="349"/>
      <c r="Q44" s="349"/>
      <c r="R44" s="349"/>
      <c r="S44" s="349"/>
      <c r="T44" s="349"/>
      <c r="U44" s="349"/>
      <c r="V44" s="349"/>
      <c r="X44" s="883">
        <f t="shared" si="0"/>
        <v>0</v>
      </c>
      <c r="Y44" s="617"/>
    </row>
    <row r="45" spans="1:25">
      <c r="A45" s="390"/>
      <c r="B45" s="362" t="s">
        <v>13</v>
      </c>
      <c r="C45" s="363">
        <f>SUM(C8:C44)</f>
        <v>17102907.841756847</v>
      </c>
      <c r="D45" s="364">
        <f>SUM(D8:D44)</f>
        <v>0.99999999999999956</v>
      </c>
      <c r="E45" s="349"/>
      <c r="F45" s="349"/>
      <c r="G45" s="349"/>
      <c r="H45" s="349"/>
      <c r="I45" s="349"/>
      <c r="J45" s="349"/>
      <c r="K45" s="349"/>
      <c r="L45" s="349"/>
      <c r="M45" s="349"/>
      <c r="N45" s="349"/>
      <c r="O45" s="349"/>
      <c r="P45" s="349"/>
      <c r="Q45" s="349"/>
      <c r="R45" s="349"/>
      <c r="S45" s="349"/>
      <c r="T45" s="349"/>
      <c r="U45" s="349"/>
      <c r="V45" s="349"/>
      <c r="X45" s="883">
        <f t="shared" si="0"/>
        <v>0</v>
      </c>
      <c r="Y45" s="617"/>
    </row>
    <row r="46" spans="1:25">
      <c r="A46" s="205"/>
      <c r="B46" s="4"/>
      <c r="C46" s="356" t="s">
        <v>14</v>
      </c>
      <c r="D46" s="357" t="s">
        <v>4</v>
      </c>
      <c r="E46" s="350">
        <f>E8+E10+E12+E14+E16+E18+E20+E22+E24+E26+E28+E30+E32+E34+E36+E38+E40+E42</f>
        <v>879273.91675684007</v>
      </c>
      <c r="F46" s="350">
        <f t="shared" ref="F46:V46" si="14">F8+F10+F12+F14+F16+F18+F20+F22+F24+F26+F28+F30+F32+F34+F36+F38+F40+F42</f>
        <v>1013872.7590000001</v>
      </c>
      <c r="G46" s="350">
        <f>G8+G10+G12+G14+G16+G18+G20+G22+G24+G26+G28+G30+G32+G34+G36+G38+G40+G42</f>
        <v>865127.8820000001</v>
      </c>
      <c r="H46" s="350">
        <f t="shared" ref="H46" si="15">H8+H10+H12+H14+H16+H18+H20+H22+H24+H26+H28+H30+H32+H34+H36+H38+H40+H42</f>
        <v>973936.8060000001</v>
      </c>
      <c r="I46" s="350">
        <f>I8+I10+I12+I14+I16+I18+I20+I22+I24+I26+I28+I30+I32+I34+I36+I38+I40+I42</f>
        <v>509273.19999999995</v>
      </c>
      <c r="J46" s="350">
        <f>J8+J10+J12+J14+J16+J18+J20+J22+J24+J26+J28+J30+J32+J34+J36+J38+J40+J42</f>
        <v>633309.28450000007</v>
      </c>
      <c r="K46" s="350">
        <f>K8+K10+K12+K14+K16+K18+K20+K22+K24+K26+K28+K30+K32+K34+K36+K38+K40+K42</f>
        <v>650989.89749999996</v>
      </c>
      <c r="L46" s="350">
        <f t="shared" ref="L46" si="16">L8+L10+L12+L14+L16+L18+L20+L22+L24+L26+L28+L30+L32+L34+L36+L38+L40+L42</f>
        <v>784452.38950000005</v>
      </c>
      <c r="M46" s="350">
        <f>M8+M10+M12+M14+M16+M18+M20+M22+M24+M26+M28+M30+M32+M34+M36+M38+M40+M42</f>
        <v>1768483.2485000002</v>
      </c>
      <c r="N46" s="350">
        <f t="shared" ref="N46:T46" si="17">N8+N10+N12+N14+N16+N18+N20+N22+N24+N26+N28+N30+N32+N34+N36+N38+N40+N42</f>
        <v>1260198.7240000002</v>
      </c>
      <c r="O46" s="350">
        <f>O8+O10+O12+O14+O16+O18+O20+O22+O24+O26+O28+O30+O32+O34+O36+O38+O40+O42</f>
        <v>1072674.9230000002</v>
      </c>
      <c r="P46" s="350">
        <f t="shared" ref="P46" si="18">P8+P10+P12+P14+P16+P18+P20+P22+P24+P26+P28+P30+P32+P34+P36+P38+P40+P42</f>
        <v>1061134.8680000002</v>
      </c>
      <c r="Q46" s="350">
        <f>Q8+Q10+Q12+Q14+Q16+Q18+Q20+Q22+Q24+Q26+Q28+Q30+Q32+Q34+Q36+Q38+Q40+Q42</f>
        <v>925469.67599999998</v>
      </c>
      <c r="R46" s="350">
        <f t="shared" ref="R46" si="19">R8+R10+R12+R14+R16+R18+R20+R22+R24+R26+R28+R30+R32+R34+R36+R38+R40+R42</f>
        <v>858676.97600000002</v>
      </c>
      <c r="S46" s="350">
        <f>S8+S10+S12+S14+S16+S18+S20+S22+S24+S26+S28+S30+S32+S34+S36+S38+S40+S42</f>
        <v>859354.91449999996</v>
      </c>
      <c r="T46" s="350">
        <f t="shared" ref="T46" si="20">T8+T10+T12+T14+T16+T18+T20+T22+T24+T26+T28+T30+T32+T34+T36+T38+T40+T42</f>
        <v>816047.076</v>
      </c>
      <c r="U46" s="350">
        <f t="shared" si="14"/>
        <v>1060182.6555000001</v>
      </c>
      <c r="V46" s="350">
        <f>V8+V10+V12+V14+V16+V18+V20+V22+V24+V26+V28+V30+V32+V34+V36+V38+V40+V42</f>
        <v>1110448.645</v>
      </c>
      <c r="X46" s="883">
        <f t="shared" si="0"/>
        <v>17102907.841756843</v>
      </c>
      <c r="Y46" s="617"/>
    </row>
    <row r="47" spans="1:25">
      <c r="A47" s="205"/>
      <c r="B47" s="4"/>
      <c r="C47" s="354" t="s">
        <v>15</v>
      </c>
      <c r="D47" s="355" t="s">
        <v>5</v>
      </c>
      <c r="E47" s="351">
        <f>E46/$C$45</f>
        <v>5.1410784931559289E-2</v>
      </c>
      <c r="F47" s="351">
        <f>F46/$C$45</f>
        <v>5.928072397868063E-2</v>
      </c>
      <c r="G47" s="351">
        <f>G46/$C$45</f>
        <v>5.0583672086905916E-2</v>
      </c>
      <c r="H47" s="351">
        <f>H46/$C$45</f>
        <v>5.6945685202262966E-2</v>
      </c>
      <c r="I47" s="351">
        <f>I46/$C$45</f>
        <v>2.9776994924606125E-2</v>
      </c>
      <c r="J47" s="351">
        <f>J46/$C$45</f>
        <v>3.7029333862968722E-2</v>
      </c>
      <c r="K47" s="351">
        <f>K46/$C$45</f>
        <v>3.8063112046397424E-2</v>
      </c>
      <c r="L47" s="351">
        <f>L46/$C$45</f>
        <v>4.5866609161323728E-2</v>
      </c>
      <c r="M47" s="351">
        <f>M46/$C$45</f>
        <v>0.10340248949843713</v>
      </c>
      <c r="N47" s="351">
        <f>N46/$C$45</f>
        <v>7.3683302024420541E-2</v>
      </c>
      <c r="O47" s="351">
        <f>O46/$C$45</f>
        <v>6.2718862366846082E-2</v>
      </c>
      <c r="P47" s="351">
        <f>P46/$C$45</f>
        <v>6.2044120088704066E-2</v>
      </c>
      <c r="Q47" s="351">
        <f>Q46/$C$45</f>
        <v>5.4111832009084475E-2</v>
      </c>
      <c r="R47" s="351">
        <f>R46/$C$45</f>
        <v>5.0206490261470935E-2</v>
      </c>
      <c r="S47" s="351">
        <f>S46/$C$45</f>
        <v>5.0246129047241898E-2</v>
      </c>
      <c r="T47" s="351">
        <f>T46/$C$45</f>
        <v>4.7713937509948831E-2</v>
      </c>
      <c r="U47" s="351">
        <f>U46/$C$45</f>
        <v>6.1988444614754813E-2</v>
      </c>
      <c r="V47" s="351">
        <f>V46/$C$45</f>
        <v>6.4927476384386132E-2</v>
      </c>
      <c r="X47" s="883">
        <f t="shared" si="0"/>
        <v>0.99999999999999967</v>
      </c>
      <c r="Y47" s="617"/>
    </row>
    <row r="48" spans="1:25">
      <c r="A48" s="205"/>
      <c r="B48" s="4"/>
      <c r="C48" s="354" t="s">
        <v>16</v>
      </c>
      <c r="D48" s="352" t="s">
        <v>4</v>
      </c>
      <c r="E48" s="352">
        <f>E46</f>
        <v>879273.91675684007</v>
      </c>
      <c r="F48" s="352">
        <f>E48+F46</f>
        <v>1893146.67575684</v>
      </c>
      <c r="G48" s="352">
        <f t="shared" ref="G48:V48" si="21">F48+G46</f>
        <v>2758274.5577568403</v>
      </c>
      <c r="H48" s="352">
        <f t="shared" si="21"/>
        <v>3732211.3637568401</v>
      </c>
      <c r="I48" s="352">
        <f t="shared" si="21"/>
        <v>4241484.5637568403</v>
      </c>
      <c r="J48" s="352">
        <f t="shared" si="21"/>
        <v>4874793.8482568404</v>
      </c>
      <c r="K48" s="352">
        <f t="shared" si="21"/>
        <v>5525783.7457568403</v>
      </c>
      <c r="L48" s="352">
        <f t="shared" si="21"/>
        <v>6310236.1352568399</v>
      </c>
      <c r="M48" s="352">
        <f t="shared" si="21"/>
        <v>8078719.3837568406</v>
      </c>
      <c r="N48" s="352">
        <f t="shared" si="21"/>
        <v>9338918.1077568401</v>
      </c>
      <c r="O48" s="352">
        <f t="shared" si="21"/>
        <v>10411593.03075684</v>
      </c>
      <c r="P48" s="352">
        <f t="shared" si="21"/>
        <v>11472727.898756841</v>
      </c>
      <c r="Q48" s="352">
        <f t="shared" si="21"/>
        <v>12398197.574756842</v>
      </c>
      <c r="R48" s="352">
        <f t="shared" si="21"/>
        <v>13256874.550756842</v>
      </c>
      <c r="S48" s="352">
        <f t="shared" si="21"/>
        <v>14116229.465256842</v>
      </c>
      <c r="T48" s="352">
        <f t="shared" si="21"/>
        <v>14932276.541256841</v>
      </c>
      <c r="U48" s="352">
        <f t="shared" si="21"/>
        <v>15992459.196756842</v>
      </c>
      <c r="V48" s="352">
        <f t="shared" si="21"/>
        <v>17102907.841756843</v>
      </c>
      <c r="X48" s="883">
        <f t="shared" si="0"/>
        <v>157316108.39862314</v>
      </c>
      <c r="Y48" s="617"/>
    </row>
    <row r="49" spans="1:25" ht="13.5" customHeight="1" thickBot="1">
      <c r="A49" s="206"/>
      <c r="B49" s="391"/>
      <c r="C49" s="392" t="s">
        <v>17</v>
      </c>
      <c r="D49" s="353" t="s">
        <v>5</v>
      </c>
      <c r="E49" s="353">
        <f>E47</f>
        <v>5.1410784931559289E-2</v>
      </c>
      <c r="F49" s="353">
        <f>E49+F47</f>
        <v>0.11069150891023992</v>
      </c>
      <c r="G49" s="353">
        <f t="shared" ref="G49:V49" si="22">F49+G47</f>
        <v>0.16127518099714583</v>
      </c>
      <c r="H49" s="353">
        <f t="shared" si="22"/>
        <v>0.21822086619940878</v>
      </c>
      <c r="I49" s="353">
        <f t="shared" si="22"/>
        <v>0.2479978611240149</v>
      </c>
      <c r="J49" s="353">
        <f t="shared" si="22"/>
        <v>0.28502719498698359</v>
      </c>
      <c r="K49" s="353">
        <f t="shared" si="22"/>
        <v>0.32309030703338104</v>
      </c>
      <c r="L49" s="353">
        <f t="shared" si="22"/>
        <v>0.36895691619470478</v>
      </c>
      <c r="M49" s="353">
        <f t="shared" si="22"/>
        <v>0.47235940569314189</v>
      </c>
      <c r="N49" s="353">
        <f t="shared" si="22"/>
        <v>0.54604270771756247</v>
      </c>
      <c r="O49" s="353">
        <f t="shared" si="22"/>
        <v>0.60876157008440857</v>
      </c>
      <c r="P49" s="353">
        <f t="shared" si="22"/>
        <v>0.67080569017311265</v>
      </c>
      <c r="Q49" s="353">
        <f t="shared" si="22"/>
        <v>0.72491752218219707</v>
      </c>
      <c r="R49" s="353">
        <f t="shared" si="22"/>
        <v>0.77512401244366802</v>
      </c>
      <c r="S49" s="353">
        <f t="shared" si="22"/>
        <v>0.82537014149090993</v>
      </c>
      <c r="T49" s="353">
        <f t="shared" si="22"/>
        <v>0.87308407900085871</v>
      </c>
      <c r="U49" s="353">
        <f t="shared" si="22"/>
        <v>0.93507252361561355</v>
      </c>
      <c r="V49" s="353">
        <f t="shared" si="22"/>
        <v>0.99999999999999967</v>
      </c>
      <c r="X49" s="883">
        <f t="shared" si="0"/>
        <v>9.1982082727789116</v>
      </c>
      <c r="Y49" s="617"/>
    </row>
    <row r="50" spans="1:25">
      <c r="A50" s="393"/>
    </row>
    <row r="51" spans="1:25">
      <c r="A51" s="393"/>
      <c r="E51" s="394"/>
      <c r="G51" s="394"/>
      <c r="I51" s="394"/>
      <c r="K51" s="394"/>
      <c r="M51" s="394"/>
      <c r="O51" s="394"/>
      <c r="Q51" s="394"/>
      <c r="S51" s="394"/>
    </row>
    <row r="52" spans="1:25">
      <c r="A52" s="393"/>
      <c r="C52" s="918"/>
    </row>
    <row r="53" spans="1:25">
      <c r="A53" s="393"/>
    </row>
    <row r="54" spans="1:25">
      <c r="A54" s="393"/>
    </row>
    <row r="55" spans="1:25">
      <c r="A55" s="393"/>
    </row>
    <row r="56" spans="1:25">
      <c r="A56" s="393"/>
    </row>
    <row r="57" spans="1:25" ht="13.8" thickBot="1">
      <c r="A57" s="395"/>
      <c r="B57" s="396"/>
      <c r="C57" s="396"/>
      <c r="D57" s="397"/>
      <c r="E57" s="398"/>
      <c r="F57" s="396"/>
      <c r="G57" s="398"/>
      <c r="H57" s="396"/>
      <c r="I57" s="398"/>
      <c r="J57" s="396"/>
      <c r="K57" s="398"/>
      <c r="L57" s="396"/>
      <c r="M57" s="398"/>
      <c r="N57" s="396"/>
      <c r="O57" s="398"/>
      <c r="P57" s="396"/>
      <c r="Q57" s="398"/>
      <c r="R57" s="396"/>
      <c r="S57" s="398"/>
      <c r="T57" s="396"/>
      <c r="U57" s="396"/>
      <c r="V57" s="396"/>
    </row>
  </sheetData>
  <mergeCells count="60">
    <mergeCell ref="R6:R7"/>
    <mergeCell ref="S6:S7"/>
    <mergeCell ref="T6:T7"/>
    <mergeCell ref="M6:M7"/>
    <mergeCell ref="N6:N7"/>
    <mergeCell ref="O6:O7"/>
    <mergeCell ref="P6:P7"/>
    <mergeCell ref="Q6:Q7"/>
    <mergeCell ref="F6:F7"/>
    <mergeCell ref="A1:V2"/>
    <mergeCell ref="U3:V3"/>
    <mergeCell ref="U4:V4"/>
    <mergeCell ref="U6:U7"/>
    <mergeCell ref="V6:V7"/>
    <mergeCell ref="A5:V5"/>
    <mergeCell ref="A6:A7"/>
    <mergeCell ref="B6:B7"/>
    <mergeCell ref="E6:E7"/>
    <mergeCell ref="G6:G7"/>
    <mergeCell ref="H6:H7"/>
    <mergeCell ref="I6:I7"/>
    <mergeCell ref="J6:J7"/>
    <mergeCell ref="K6:K7"/>
    <mergeCell ref="L6:L7"/>
    <mergeCell ref="B14:B15"/>
    <mergeCell ref="A8:A9"/>
    <mergeCell ref="B8:B9"/>
    <mergeCell ref="B10:B11"/>
    <mergeCell ref="A14:A15"/>
    <mergeCell ref="B12:B13"/>
    <mergeCell ref="A10:A11"/>
    <mergeCell ref="A12:A13"/>
    <mergeCell ref="A16:A17"/>
    <mergeCell ref="B16:B17"/>
    <mergeCell ref="A18:A19"/>
    <mergeCell ref="B18:B19"/>
    <mergeCell ref="A20:A21"/>
    <mergeCell ref="B20:B21"/>
    <mergeCell ref="A22:A23"/>
    <mergeCell ref="B22:B23"/>
    <mergeCell ref="A24:A25"/>
    <mergeCell ref="B24:B25"/>
    <mergeCell ref="A26:A27"/>
    <mergeCell ref="B26:B27"/>
    <mergeCell ref="A28:A29"/>
    <mergeCell ref="B28:B29"/>
    <mergeCell ref="A30:A31"/>
    <mergeCell ref="B30:B31"/>
    <mergeCell ref="A32:A33"/>
    <mergeCell ref="B32:B33"/>
    <mergeCell ref="A40:A41"/>
    <mergeCell ref="B40:B41"/>
    <mergeCell ref="A42:A43"/>
    <mergeCell ref="B42:B43"/>
    <mergeCell ref="A34:A35"/>
    <mergeCell ref="B34:B35"/>
    <mergeCell ref="A36:A37"/>
    <mergeCell ref="B36:B37"/>
    <mergeCell ref="A38:A39"/>
    <mergeCell ref="B38:B39"/>
  </mergeCells>
  <phoneticPr fontId="125" type="noConversion"/>
  <printOptions horizontalCentered="1" verticalCentered="1"/>
  <pageMargins left="0.51181102362204722" right="0.51181102362204722" top="0.78740157480314965" bottom="0.78740157480314965" header="0.31496062992125984" footer="0.31496062992125984"/>
  <pageSetup paperSize="8" scale="57" fitToWidth="0" orientation="landscape" r:id="rId1"/>
  <headerFooter>
    <oddFooter>&amp;C&amp;P de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69F30-4EAB-4DCC-9742-7D448A3E8A1B}">
  <dimension ref="A1:K434"/>
  <sheetViews>
    <sheetView zoomScale="85" zoomScaleNormal="85" workbookViewId="0">
      <selection activeCell="D4" sqref="D4"/>
    </sheetView>
  </sheetViews>
  <sheetFormatPr defaultRowHeight="14.4"/>
  <cols>
    <col min="1" max="1" width="12.5546875" style="10" bestFit="1" customWidth="1"/>
    <col min="2" max="2" width="15.6640625" style="10" customWidth="1"/>
    <col min="3" max="3" width="15.6640625" style="8" customWidth="1"/>
    <col min="4" max="4" width="59.33203125" style="534" customWidth="1"/>
    <col min="5" max="5" width="7.44140625" style="10" bestFit="1" customWidth="1"/>
    <col min="6" max="6" width="10.44140625" style="604" customWidth="1"/>
    <col min="7" max="7" width="14.33203125" style="254" bestFit="1" customWidth="1"/>
    <col min="8" max="8" width="18" style="255" bestFit="1" customWidth="1"/>
    <col min="9" max="9" width="8.88671875" style="7"/>
    <col min="11" max="11" width="10.33203125" bestFit="1" customWidth="1"/>
  </cols>
  <sheetData>
    <row r="1" spans="1:11" ht="42" thickTop="1">
      <c r="A1" s="890" t="s">
        <v>1</v>
      </c>
      <c r="B1" s="892" t="s">
        <v>24</v>
      </c>
      <c r="C1" s="892" t="s">
        <v>25</v>
      </c>
      <c r="D1" s="892" t="s">
        <v>20</v>
      </c>
      <c r="E1" s="898" t="s">
        <v>21</v>
      </c>
      <c r="F1" s="900" t="s">
        <v>22</v>
      </c>
      <c r="G1" s="902" t="s">
        <v>2132</v>
      </c>
      <c r="H1" s="902" t="s">
        <v>23</v>
      </c>
      <c r="I1" s="904" t="s">
        <v>5</v>
      </c>
    </row>
    <row r="2" spans="1:11" ht="52.8">
      <c r="A2" s="905" t="s">
        <v>9702</v>
      </c>
      <c r="B2" s="906" t="s">
        <v>7511</v>
      </c>
      <c r="C2" s="907">
        <v>13947</v>
      </c>
      <c r="D2" s="908" t="s">
        <v>35937</v>
      </c>
      <c r="E2" s="909" t="s">
        <v>73</v>
      </c>
      <c r="F2" s="910">
        <v>428.61</v>
      </c>
      <c r="G2" s="911">
        <v>1845.89</v>
      </c>
      <c r="H2" s="911">
        <v>791166.91</v>
      </c>
      <c r="I2" s="912">
        <v>4.9246257980048405E-2</v>
      </c>
      <c r="K2" s="917">
        <f>F2/2</f>
        <v>214.30500000000001</v>
      </c>
    </row>
    <row r="3" spans="1:11" ht="52.8">
      <c r="A3" s="905" t="s">
        <v>7385</v>
      </c>
      <c r="B3" s="906" t="s">
        <v>2879</v>
      </c>
      <c r="C3" s="907">
        <v>40331</v>
      </c>
      <c r="D3" s="908" t="s">
        <v>35924</v>
      </c>
      <c r="E3" s="909" t="s">
        <v>83</v>
      </c>
      <c r="F3" s="910">
        <v>722.7</v>
      </c>
      <c r="G3" s="911">
        <v>908.13</v>
      </c>
      <c r="H3" s="911">
        <v>656305.55000000005</v>
      </c>
      <c r="I3" s="912">
        <v>4.085180006964341E-2</v>
      </c>
      <c r="K3" s="917">
        <f>F3/2</f>
        <v>361.35</v>
      </c>
    </row>
    <row r="4" spans="1:11" ht="66">
      <c r="A4" s="905" t="s">
        <v>35270</v>
      </c>
      <c r="B4" s="906" t="s">
        <v>2879</v>
      </c>
      <c r="C4" s="907">
        <v>130231</v>
      </c>
      <c r="D4" s="908" t="s">
        <v>35946</v>
      </c>
      <c r="E4" s="909" t="s">
        <v>73</v>
      </c>
      <c r="F4" s="910">
        <v>2563.25</v>
      </c>
      <c r="G4" s="911">
        <v>214.84</v>
      </c>
      <c r="H4" s="911">
        <v>550688.63</v>
      </c>
      <c r="I4" s="912">
        <v>3.4277665050045411E-2</v>
      </c>
      <c r="K4" s="917">
        <f>F4/2</f>
        <v>1281.625</v>
      </c>
    </row>
    <row r="5" spans="1:11" ht="52.8">
      <c r="A5" s="905" t="s">
        <v>8011</v>
      </c>
      <c r="B5" s="906" t="s">
        <v>26987</v>
      </c>
      <c r="C5" s="907">
        <v>104100</v>
      </c>
      <c r="D5" s="908" t="s">
        <v>35781</v>
      </c>
      <c r="E5" s="909" t="s">
        <v>73</v>
      </c>
      <c r="F5" s="910">
        <v>261.25</v>
      </c>
      <c r="G5" s="911">
        <v>1923.31</v>
      </c>
      <c r="H5" s="911">
        <v>502464.74</v>
      </c>
      <c r="I5" s="912">
        <v>3.1275964526774697E-2</v>
      </c>
      <c r="K5" s="917">
        <f>F5/2</f>
        <v>130.625</v>
      </c>
    </row>
    <row r="6" spans="1:11" ht="26.4">
      <c r="A6" s="905" t="s">
        <v>7386</v>
      </c>
      <c r="B6" s="906" t="s">
        <v>2879</v>
      </c>
      <c r="C6" s="907">
        <v>40332</v>
      </c>
      <c r="D6" s="908" t="s">
        <v>27044</v>
      </c>
      <c r="E6" s="909" t="s">
        <v>71</v>
      </c>
      <c r="F6" s="910">
        <v>28651.95</v>
      </c>
      <c r="G6" s="911">
        <v>16.440000000000001</v>
      </c>
      <c r="H6" s="911">
        <v>471038.06</v>
      </c>
      <c r="I6" s="912">
        <v>2.9319807903975054E-2</v>
      </c>
      <c r="K6" s="917">
        <f>F6/2</f>
        <v>14325.975</v>
      </c>
    </row>
    <row r="7" spans="1:11" ht="79.2">
      <c r="A7" s="905" t="s">
        <v>35470</v>
      </c>
      <c r="B7" s="906" t="s">
        <v>2879</v>
      </c>
      <c r="C7" s="907">
        <v>200206</v>
      </c>
      <c r="D7" s="908" t="s">
        <v>36130</v>
      </c>
      <c r="E7" s="909" t="s">
        <v>73</v>
      </c>
      <c r="F7" s="910">
        <v>4024.44</v>
      </c>
      <c r="G7" s="911">
        <v>110.35</v>
      </c>
      <c r="H7" s="911">
        <v>444096.95</v>
      </c>
      <c r="I7" s="912">
        <v>2.7642856003485608E-2</v>
      </c>
      <c r="K7" s="917">
        <f>F7/2</f>
        <v>2012.22</v>
      </c>
    </row>
    <row r="8" spans="1:11" hidden="1">
      <c r="A8" s="914" t="s">
        <v>35882</v>
      </c>
      <c r="B8" s="877" t="s">
        <v>35861</v>
      </c>
      <c r="C8" s="877" t="s">
        <v>7995</v>
      </c>
      <c r="D8" s="878" t="s">
        <v>35863</v>
      </c>
      <c r="E8" s="879" t="s">
        <v>35864</v>
      </c>
      <c r="F8" s="606">
        <v>1</v>
      </c>
      <c r="G8" s="339">
        <v>436854.6</v>
      </c>
      <c r="H8" s="339">
        <v>436854.6</v>
      </c>
      <c r="I8" s="374">
        <v>2.7192055253386232E-2</v>
      </c>
      <c r="K8" s="917"/>
    </row>
    <row r="9" spans="1:11" ht="39.6">
      <c r="A9" s="905" t="s">
        <v>10356</v>
      </c>
      <c r="B9" s="906" t="s">
        <v>2879</v>
      </c>
      <c r="C9" s="907">
        <v>120303</v>
      </c>
      <c r="D9" s="908" t="s">
        <v>27050</v>
      </c>
      <c r="E9" s="909" t="s">
        <v>73</v>
      </c>
      <c r="F9" s="910">
        <v>4787.1499999999996</v>
      </c>
      <c r="G9" s="911">
        <v>87.53</v>
      </c>
      <c r="H9" s="911">
        <v>419019.24</v>
      </c>
      <c r="I9" s="912">
        <v>2.608189160950098E-2</v>
      </c>
      <c r="K9" s="917">
        <f>F9/2</f>
        <v>2393.5749999999998</v>
      </c>
    </row>
    <row r="10" spans="1:11" ht="39.6">
      <c r="A10" s="905" t="s">
        <v>7381</v>
      </c>
      <c r="B10" s="906" t="s">
        <v>2879</v>
      </c>
      <c r="C10" s="907">
        <v>40253</v>
      </c>
      <c r="D10" s="908" t="s">
        <v>35922</v>
      </c>
      <c r="E10" s="909" t="s">
        <v>83</v>
      </c>
      <c r="F10" s="910">
        <v>414.5</v>
      </c>
      <c r="G10" s="911">
        <v>1006.02</v>
      </c>
      <c r="H10" s="911">
        <v>416995.29</v>
      </c>
      <c r="I10" s="912">
        <v>2.5955910653297037E-2</v>
      </c>
      <c r="K10" s="917">
        <f>F10/2</f>
        <v>207.25</v>
      </c>
    </row>
    <row r="11" spans="1:11" ht="52.8" hidden="1">
      <c r="A11" s="914" t="s">
        <v>35853</v>
      </c>
      <c r="B11" s="877" t="s">
        <v>29</v>
      </c>
      <c r="C11" s="915" t="s">
        <v>4790</v>
      </c>
      <c r="D11" s="916" t="s">
        <v>24602</v>
      </c>
      <c r="E11" s="879" t="s">
        <v>75</v>
      </c>
      <c r="F11" s="606">
        <v>800</v>
      </c>
      <c r="G11" s="339">
        <v>482.71</v>
      </c>
      <c r="H11" s="339">
        <v>386168</v>
      </c>
      <c r="I11" s="374">
        <v>2.4037063116857771E-2</v>
      </c>
      <c r="K11" s="917"/>
    </row>
    <row r="12" spans="1:11" ht="79.2">
      <c r="A12" s="905" t="s">
        <v>42</v>
      </c>
      <c r="B12" s="906" t="s">
        <v>2879</v>
      </c>
      <c r="C12" s="907">
        <v>50608</v>
      </c>
      <c r="D12" s="908" t="s">
        <v>35928</v>
      </c>
      <c r="E12" s="909" t="s">
        <v>73</v>
      </c>
      <c r="F12" s="910">
        <v>2812.97</v>
      </c>
      <c r="G12" s="911">
        <v>134.93</v>
      </c>
      <c r="H12" s="911">
        <v>379554.04</v>
      </c>
      <c r="I12" s="912">
        <v>2.362537656081902E-2</v>
      </c>
      <c r="K12" s="917">
        <f>F12/2</f>
        <v>1406.4849999999999</v>
      </c>
    </row>
    <row r="13" spans="1:11" ht="39.6" hidden="1">
      <c r="A13" s="914" t="s">
        <v>35484</v>
      </c>
      <c r="B13" s="877" t="s">
        <v>29</v>
      </c>
      <c r="C13" s="915">
        <v>95995</v>
      </c>
      <c r="D13" s="878" t="s">
        <v>11682</v>
      </c>
      <c r="E13" s="879" t="s">
        <v>83</v>
      </c>
      <c r="F13" s="606">
        <v>190</v>
      </c>
      <c r="G13" s="339">
        <v>1970.15</v>
      </c>
      <c r="H13" s="339">
        <v>374328.5</v>
      </c>
      <c r="I13" s="374">
        <v>2.3300112336958771E-2</v>
      </c>
      <c r="K13" s="19"/>
    </row>
    <row r="14" spans="1:11" ht="39.6">
      <c r="A14" s="905" t="s">
        <v>27030</v>
      </c>
      <c r="B14" s="906" t="s">
        <v>2879</v>
      </c>
      <c r="C14" s="907">
        <v>200130</v>
      </c>
      <c r="D14" s="908" t="s">
        <v>36128</v>
      </c>
      <c r="E14" s="909" t="s">
        <v>75</v>
      </c>
      <c r="F14" s="910">
        <v>334.27</v>
      </c>
      <c r="G14" s="911">
        <v>1094.68</v>
      </c>
      <c r="H14" s="911">
        <v>365918.68</v>
      </c>
      <c r="I14" s="912">
        <v>2.2776642308003983E-2</v>
      </c>
      <c r="K14" s="917">
        <f>F14/2</f>
        <v>167.13499999999999</v>
      </c>
    </row>
    <row r="15" spans="1:11" ht="52.8">
      <c r="A15" s="905" t="s">
        <v>9649</v>
      </c>
      <c r="B15" s="906" t="s">
        <v>29</v>
      </c>
      <c r="C15" s="907" t="s">
        <v>4477</v>
      </c>
      <c r="D15" s="908" t="s">
        <v>12442</v>
      </c>
      <c r="E15" s="909" t="s">
        <v>73</v>
      </c>
      <c r="F15" s="910">
        <v>2656.5</v>
      </c>
      <c r="G15" s="911">
        <v>105.67</v>
      </c>
      <c r="H15" s="911">
        <v>280712.36</v>
      </c>
      <c r="I15" s="912">
        <v>1.7472966985876873E-2</v>
      </c>
      <c r="K15" s="913">
        <f>F15/2</f>
        <v>1328.25</v>
      </c>
    </row>
    <row r="16" spans="1:11" ht="66">
      <c r="A16" s="613" t="s">
        <v>8000</v>
      </c>
      <c r="B16" s="337" t="s">
        <v>7511</v>
      </c>
      <c r="C16" s="540">
        <v>12371</v>
      </c>
      <c r="D16" s="539" t="s">
        <v>35939</v>
      </c>
      <c r="E16" s="338" t="s">
        <v>73</v>
      </c>
      <c r="F16" s="599">
        <v>420</v>
      </c>
      <c r="G16" s="339">
        <v>664.9</v>
      </c>
      <c r="H16" s="339">
        <v>279258</v>
      </c>
      <c r="I16" s="374">
        <v>1.7382440212258571E-2</v>
      </c>
    </row>
    <row r="17" spans="1:9" ht="39.6">
      <c r="A17" s="613" t="s">
        <v>7990</v>
      </c>
      <c r="B17" s="337" t="s">
        <v>2879</v>
      </c>
      <c r="C17" s="540">
        <v>40245</v>
      </c>
      <c r="D17" s="539" t="s">
        <v>35923</v>
      </c>
      <c r="E17" s="338" t="s">
        <v>71</v>
      </c>
      <c r="F17" s="599">
        <v>14513.22</v>
      </c>
      <c r="G17" s="339">
        <v>16.440000000000001</v>
      </c>
      <c r="H17" s="339">
        <v>238597.34</v>
      </c>
      <c r="I17" s="374">
        <v>1.4851513644564992E-2</v>
      </c>
    </row>
    <row r="18" spans="1:9" ht="39.6">
      <c r="A18" s="613" t="s">
        <v>10358</v>
      </c>
      <c r="B18" s="337" t="s">
        <v>26987</v>
      </c>
      <c r="C18" s="540">
        <v>96114</v>
      </c>
      <c r="D18" s="539" t="s">
        <v>30094</v>
      </c>
      <c r="E18" s="338" t="s">
        <v>73</v>
      </c>
      <c r="F18" s="599">
        <v>2873.25</v>
      </c>
      <c r="G18" s="339">
        <v>75.680000000000007</v>
      </c>
      <c r="H18" s="339">
        <v>217447.56</v>
      </c>
      <c r="I18" s="374">
        <v>1.353504361916761E-2</v>
      </c>
    </row>
    <row r="19" spans="1:9" ht="52.8">
      <c r="A19" s="613" t="s">
        <v>35374</v>
      </c>
      <c r="B19" s="337" t="s">
        <v>2879</v>
      </c>
      <c r="C19" s="540">
        <v>151803</v>
      </c>
      <c r="D19" s="539" t="s">
        <v>36025</v>
      </c>
      <c r="E19" s="338" t="s">
        <v>74</v>
      </c>
      <c r="F19" s="599">
        <v>658</v>
      </c>
      <c r="G19" s="339">
        <v>317.64</v>
      </c>
      <c r="H19" s="339">
        <v>209007.12</v>
      </c>
      <c r="I19" s="374">
        <v>1.3009667645461732E-2</v>
      </c>
    </row>
    <row r="20" spans="1:9" ht="66">
      <c r="A20" s="613" t="s">
        <v>9688</v>
      </c>
      <c r="B20" s="337" t="s">
        <v>2879</v>
      </c>
      <c r="C20" s="540">
        <v>40339</v>
      </c>
      <c r="D20" s="539" t="s">
        <v>35925</v>
      </c>
      <c r="E20" s="338" t="s">
        <v>73</v>
      </c>
      <c r="F20" s="606">
        <v>1216.3499999999999</v>
      </c>
      <c r="G20" s="339">
        <v>168.53</v>
      </c>
      <c r="H20" s="339">
        <v>204991.47</v>
      </c>
      <c r="I20" s="374">
        <v>1.2759713137306707E-2</v>
      </c>
    </row>
    <row r="21" spans="1:9" ht="52.8">
      <c r="A21" s="613" t="s">
        <v>9651</v>
      </c>
      <c r="B21" s="337" t="s">
        <v>2879</v>
      </c>
      <c r="C21" s="540">
        <v>40331</v>
      </c>
      <c r="D21" s="634" t="s">
        <v>35924</v>
      </c>
      <c r="E21" s="338" t="s">
        <v>83</v>
      </c>
      <c r="F21" s="606">
        <v>223.08</v>
      </c>
      <c r="G21" s="339">
        <v>908.13</v>
      </c>
      <c r="H21" s="339">
        <v>202585.64</v>
      </c>
      <c r="I21" s="374">
        <v>1.2609962024945172E-2</v>
      </c>
    </row>
    <row r="22" spans="1:9" ht="52.8">
      <c r="A22" s="613" t="s">
        <v>35372</v>
      </c>
      <c r="B22" s="337" t="s">
        <v>2879</v>
      </c>
      <c r="C22" s="540">
        <v>151801</v>
      </c>
      <c r="D22" s="539" t="s">
        <v>27060</v>
      </c>
      <c r="E22" s="338" t="s">
        <v>74</v>
      </c>
      <c r="F22" s="599">
        <v>622</v>
      </c>
      <c r="G22" s="339">
        <v>311.23</v>
      </c>
      <c r="H22" s="339">
        <v>193585.06</v>
      </c>
      <c r="I22" s="374">
        <v>1.2049720084783562E-2</v>
      </c>
    </row>
    <row r="23" spans="1:9" ht="26.4">
      <c r="A23" s="613" t="s">
        <v>9650</v>
      </c>
      <c r="B23" s="337" t="s">
        <v>2879</v>
      </c>
      <c r="C23" s="540">
        <v>40332</v>
      </c>
      <c r="D23" s="634" t="s">
        <v>27044</v>
      </c>
      <c r="E23" s="338" t="s">
        <v>71</v>
      </c>
      <c r="F23" s="606">
        <v>11510.46</v>
      </c>
      <c r="G23" s="339">
        <v>16.440000000000001</v>
      </c>
      <c r="H23" s="339">
        <v>189231.96</v>
      </c>
      <c r="I23" s="374">
        <v>1.1778760969957907E-2</v>
      </c>
    </row>
    <row r="24" spans="1:9" ht="39.6">
      <c r="A24" s="613" t="s">
        <v>35807</v>
      </c>
      <c r="B24" s="337" t="s">
        <v>29</v>
      </c>
      <c r="C24" s="540">
        <v>104590</v>
      </c>
      <c r="D24" s="539" t="s">
        <v>34765</v>
      </c>
      <c r="E24" s="338" t="s">
        <v>73</v>
      </c>
      <c r="F24" s="606">
        <v>783.36</v>
      </c>
      <c r="G24" s="339">
        <v>228.19</v>
      </c>
      <c r="H24" s="339">
        <v>178754.92</v>
      </c>
      <c r="I24" s="374">
        <v>1.1126616639620222E-2</v>
      </c>
    </row>
    <row r="25" spans="1:9" ht="39.6">
      <c r="A25" s="613" t="s">
        <v>7991</v>
      </c>
      <c r="B25" s="337" t="s">
        <v>7511</v>
      </c>
      <c r="C25" s="540">
        <v>14034</v>
      </c>
      <c r="D25" s="539" t="s">
        <v>35931</v>
      </c>
      <c r="E25" s="338" t="s">
        <v>73</v>
      </c>
      <c r="F25" s="599">
        <v>628.12</v>
      </c>
      <c r="G25" s="339">
        <v>280</v>
      </c>
      <c r="H25" s="339">
        <v>175873.6</v>
      </c>
      <c r="I25" s="374">
        <v>1.0947268607934881E-2</v>
      </c>
    </row>
    <row r="26" spans="1:9" ht="26.4">
      <c r="A26" s="613" t="s">
        <v>7384</v>
      </c>
      <c r="B26" s="337" t="s">
        <v>2879</v>
      </c>
      <c r="C26" s="540">
        <v>40328</v>
      </c>
      <c r="D26" s="539" t="s">
        <v>27042</v>
      </c>
      <c r="E26" s="338" t="s">
        <v>71</v>
      </c>
      <c r="F26" s="606">
        <v>10533.6</v>
      </c>
      <c r="G26" s="339">
        <v>15.42</v>
      </c>
      <c r="H26" s="339">
        <v>162428.10999999999</v>
      </c>
      <c r="I26" s="374">
        <v>1.0110352830949009E-2</v>
      </c>
    </row>
    <row r="27" spans="1:9" ht="66">
      <c r="A27" s="613" t="s">
        <v>35442</v>
      </c>
      <c r="B27" s="337" t="s">
        <v>2879</v>
      </c>
      <c r="C27" s="540">
        <v>161016</v>
      </c>
      <c r="D27" s="539" t="s">
        <v>36095</v>
      </c>
      <c r="E27" s="338" t="s">
        <v>75</v>
      </c>
      <c r="F27" s="599">
        <v>1000</v>
      </c>
      <c r="G27" s="339">
        <v>161.55000000000001</v>
      </c>
      <c r="H27" s="339">
        <v>161550</v>
      </c>
      <c r="I27" s="374">
        <v>1.005569479223647E-2</v>
      </c>
    </row>
    <row r="28" spans="1:9" ht="39.6">
      <c r="A28" s="613" t="s">
        <v>7380</v>
      </c>
      <c r="B28" s="337" t="s">
        <v>2879</v>
      </c>
      <c r="C28" s="540">
        <v>40250</v>
      </c>
      <c r="D28" s="539" t="s">
        <v>35921</v>
      </c>
      <c r="E28" s="338" t="s">
        <v>73</v>
      </c>
      <c r="F28" s="599">
        <v>1142.28</v>
      </c>
      <c r="G28" s="339">
        <v>134.06</v>
      </c>
      <c r="H28" s="339">
        <v>153134.06</v>
      </c>
      <c r="I28" s="374">
        <v>9.5318438233118353E-3</v>
      </c>
    </row>
    <row r="29" spans="1:9" ht="66">
      <c r="A29" s="613" t="s">
        <v>7510</v>
      </c>
      <c r="B29" s="337" t="s">
        <v>26987</v>
      </c>
      <c r="C29" s="540">
        <v>104724</v>
      </c>
      <c r="D29" s="539" t="s">
        <v>29861</v>
      </c>
      <c r="E29" s="338" t="s">
        <v>73</v>
      </c>
      <c r="F29" s="599">
        <v>1799.62</v>
      </c>
      <c r="G29" s="339">
        <v>85.03</v>
      </c>
      <c r="H29" s="339">
        <v>153021.69</v>
      </c>
      <c r="I29" s="374">
        <v>9.5248493421988458E-3</v>
      </c>
    </row>
    <row r="30" spans="1:9">
      <c r="A30" s="570"/>
      <c r="B30" s="569"/>
      <c r="C30" s="569"/>
      <c r="D30" s="571" t="s">
        <v>27438</v>
      </c>
      <c r="E30" s="572"/>
      <c r="F30" s="600"/>
      <c r="G30" s="573"/>
      <c r="H30" s="574">
        <v>143955.66</v>
      </c>
      <c r="I30" s="575">
        <v>8.9605334606930598E-3</v>
      </c>
    </row>
    <row r="31" spans="1:9" ht="26.4">
      <c r="A31" s="613" t="s">
        <v>35359</v>
      </c>
      <c r="B31" s="337" t="s">
        <v>2879</v>
      </c>
      <c r="C31" s="540">
        <v>151406</v>
      </c>
      <c r="D31" s="539" t="s">
        <v>36015</v>
      </c>
      <c r="E31" s="338" t="s">
        <v>75</v>
      </c>
      <c r="F31" s="599">
        <v>4000</v>
      </c>
      <c r="G31" s="339">
        <v>35.020000000000003</v>
      </c>
      <c r="H31" s="339">
        <v>140080</v>
      </c>
      <c r="I31" s="374">
        <v>8.7192926431227773E-3</v>
      </c>
    </row>
    <row r="32" spans="1:9" ht="52.8">
      <c r="A32" s="613" t="s">
        <v>15759</v>
      </c>
      <c r="B32" s="337" t="s">
        <v>29</v>
      </c>
      <c r="C32" s="540">
        <v>87745</v>
      </c>
      <c r="D32" s="539" t="s">
        <v>16512</v>
      </c>
      <c r="E32" s="338" t="s">
        <v>73</v>
      </c>
      <c r="F32" s="599">
        <v>2563.25</v>
      </c>
      <c r="G32" s="339">
        <v>53.32</v>
      </c>
      <c r="H32" s="339">
        <v>136672.49</v>
      </c>
      <c r="I32" s="374">
        <v>8.5071918658928564E-3</v>
      </c>
    </row>
    <row r="33" spans="1:9" ht="26.4">
      <c r="A33" s="613" t="s">
        <v>35354</v>
      </c>
      <c r="B33" s="337" t="s">
        <v>2879</v>
      </c>
      <c r="C33" s="540">
        <v>151401</v>
      </c>
      <c r="D33" s="539" t="s">
        <v>36010</v>
      </c>
      <c r="E33" s="338" t="s">
        <v>75</v>
      </c>
      <c r="F33" s="599">
        <v>15000</v>
      </c>
      <c r="G33" s="339">
        <v>8.5399999999999991</v>
      </c>
      <c r="H33" s="339">
        <v>128100</v>
      </c>
      <c r="I33" s="374">
        <v>7.9735964276415466E-3</v>
      </c>
    </row>
    <row r="34" spans="1:9" ht="26.4">
      <c r="A34" s="613" t="s">
        <v>35361</v>
      </c>
      <c r="B34" s="337" t="s">
        <v>2879</v>
      </c>
      <c r="C34" s="540">
        <v>151430</v>
      </c>
      <c r="D34" s="539" t="s">
        <v>36017</v>
      </c>
      <c r="E34" s="338" t="s">
        <v>75</v>
      </c>
      <c r="F34" s="599">
        <v>500</v>
      </c>
      <c r="G34" s="339">
        <v>254.63</v>
      </c>
      <c r="H34" s="339">
        <v>127315</v>
      </c>
      <c r="I34" s="374">
        <v>7.9247340295486614E-3</v>
      </c>
    </row>
    <row r="35" spans="1:9" ht="52.8">
      <c r="A35" s="613" t="s">
        <v>35284</v>
      </c>
      <c r="B35" s="337" t="s">
        <v>2879</v>
      </c>
      <c r="C35" s="540">
        <v>140902</v>
      </c>
      <c r="D35" s="539" t="s">
        <v>27057</v>
      </c>
      <c r="E35" s="338" t="s">
        <v>75</v>
      </c>
      <c r="F35" s="599">
        <v>500</v>
      </c>
      <c r="G35" s="339">
        <v>251.7</v>
      </c>
      <c r="H35" s="339">
        <v>125850</v>
      </c>
      <c r="I35" s="374">
        <v>7.8335449681396462E-3</v>
      </c>
    </row>
    <row r="36" spans="1:9" ht="39.6">
      <c r="A36" s="613" t="s">
        <v>35260</v>
      </c>
      <c r="B36" s="337" t="s">
        <v>2879</v>
      </c>
      <c r="C36" s="337">
        <v>30208</v>
      </c>
      <c r="D36" s="539" t="s">
        <v>35918</v>
      </c>
      <c r="E36" s="338" t="s">
        <v>83</v>
      </c>
      <c r="F36" s="599">
        <v>535.59</v>
      </c>
      <c r="G36" s="339">
        <v>233.49</v>
      </c>
      <c r="H36" s="339">
        <v>125054.91</v>
      </c>
      <c r="I36" s="374">
        <v>7.784054517057261E-3</v>
      </c>
    </row>
    <row r="37" spans="1:9" ht="52.8">
      <c r="A37" s="613" t="s">
        <v>35283</v>
      </c>
      <c r="B37" s="337" t="s">
        <v>2879</v>
      </c>
      <c r="C37" s="540">
        <v>140901</v>
      </c>
      <c r="D37" s="539" t="s">
        <v>35954</v>
      </c>
      <c r="E37" s="338" t="s">
        <v>75</v>
      </c>
      <c r="F37" s="599">
        <v>600</v>
      </c>
      <c r="G37" s="339">
        <v>204.97</v>
      </c>
      <c r="H37" s="339">
        <v>122982</v>
      </c>
      <c r="I37" s="374">
        <v>7.6550260410945562E-3</v>
      </c>
    </row>
    <row r="38" spans="1:9" ht="52.8">
      <c r="A38" s="613" t="s">
        <v>8001</v>
      </c>
      <c r="B38" s="337" t="s">
        <v>2879</v>
      </c>
      <c r="C38" s="540">
        <v>90228</v>
      </c>
      <c r="D38" s="539" t="s">
        <v>35941</v>
      </c>
      <c r="E38" s="338" t="s">
        <v>73</v>
      </c>
      <c r="F38" s="599">
        <v>1180.22</v>
      </c>
      <c r="G38" s="339">
        <v>100.9</v>
      </c>
      <c r="H38" s="339">
        <v>119084.2</v>
      </c>
      <c r="I38" s="374">
        <v>7.4124071171627745E-3</v>
      </c>
    </row>
    <row r="39" spans="1:9" ht="66">
      <c r="A39" s="613" t="s">
        <v>35370</v>
      </c>
      <c r="B39" s="337" t="s">
        <v>2879</v>
      </c>
      <c r="C39" s="540">
        <v>151715</v>
      </c>
      <c r="D39" s="539" t="s">
        <v>36023</v>
      </c>
      <c r="E39" s="338" t="s">
        <v>74</v>
      </c>
      <c r="F39" s="599">
        <v>1</v>
      </c>
      <c r="G39" s="339">
        <v>118518.84</v>
      </c>
      <c r="H39" s="339">
        <v>118518.84</v>
      </c>
      <c r="I39" s="374">
        <v>7.3772162313209986E-3</v>
      </c>
    </row>
    <row r="40" spans="1:9" ht="66">
      <c r="A40" s="613" t="s">
        <v>35812</v>
      </c>
      <c r="B40" s="337" t="s">
        <v>7511</v>
      </c>
      <c r="C40" s="540">
        <v>13585</v>
      </c>
      <c r="D40" s="539" t="s">
        <v>36141</v>
      </c>
      <c r="E40" s="338" t="s">
        <v>7992</v>
      </c>
      <c r="F40" s="599">
        <v>1</v>
      </c>
      <c r="G40" s="339">
        <v>109870</v>
      </c>
      <c r="H40" s="339">
        <v>109870</v>
      </c>
      <c r="I40" s="374">
        <v>6.838868380210591E-3</v>
      </c>
    </row>
    <row r="41" spans="1:9" ht="66">
      <c r="A41" s="613" t="s">
        <v>9755</v>
      </c>
      <c r="B41" s="337" t="s">
        <v>2879</v>
      </c>
      <c r="C41" s="540">
        <v>120241</v>
      </c>
      <c r="D41" s="539" t="s">
        <v>35944</v>
      </c>
      <c r="E41" s="338" t="s">
        <v>73</v>
      </c>
      <c r="F41" s="599">
        <v>999.56</v>
      </c>
      <c r="G41" s="339">
        <v>108.64</v>
      </c>
      <c r="H41" s="339">
        <v>108592.2</v>
      </c>
      <c r="I41" s="374">
        <v>6.7593316002321335E-3</v>
      </c>
    </row>
    <row r="42" spans="1:9" ht="26.4">
      <c r="A42" s="613" t="s">
        <v>44</v>
      </c>
      <c r="B42" s="337" t="s">
        <v>2879</v>
      </c>
      <c r="C42" s="540">
        <v>50206</v>
      </c>
      <c r="D42" s="539" t="s">
        <v>35930</v>
      </c>
      <c r="E42" s="338" t="s">
        <v>73</v>
      </c>
      <c r="F42" s="599">
        <v>176.26</v>
      </c>
      <c r="G42" s="339">
        <v>610.26</v>
      </c>
      <c r="H42" s="339">
        <v>107564.43</v>
      </c>
      <c r="I42" s="374">
        <v>6.6953579608844587E-3</v>
      </c>
    </row>
    <row r="43" spans="1:9" ht="79.2">
      <c r="A43" s="613" t="s">
        <v>2876</v>
      </c>
      <c r="B43" s="337" t="s">
        <v>2879</v>
      </c>
      <c r="C43" s="540">
        <v>61902</v>
      </c>
      <c r="D43" s="539" t="s">
        <v>35933</v>
      </c>
      <c r="E43" s="338" t="s">
        <v>74</v>
      </c>
      <c r="F43" s="599">
        <v>67</v>
      </c>
      <c r="G43" s="339">
        <v>1602.53</v>
      </c>
      <c r="H43" s="339">
        <v>107369.51</v>
      </c>
      <c r="I43" s="374">
        <v>6.6832251473350757E-3</v>
      </c>
    </row>
    <row r="44" spans="1:9" ht="26.4">
      <c r="A44" s="613" t="s">
        <v>35362</v>
      </c>
      <c r="B44" s="337" t="s">
        <v>2879</v>
      </c>
      <c r="C44" s="540">
        <v>151432</v>
      </c>
      <c r="D44" s="539" t="s">
        <v>36018</v>
      </c>
      <c r="E44" s="338" t="s">
        <v>75</v>
      </c>
      <c r="F44" s="599">
        <v>300</v>
      </c>
      <c r="G44" s="339">
        <v>356.75</v>
      </c>
      <c r="H44" s="339">
        <v>107025</v>
      </c>
      <c r="I44" s="374">
        <v>6.6617810903070764E-3</v>
      </c>
    </row>
    <row r="45" spans="1:9" ht="26.4">
      <c r="A45" s="613" t="s">
        <v>35355</v>
      </c>
      <c r="B45" s="337" t="s">
        <v>2879</v>
      </c>
      <c r="C45" s="540">
        <v>151402</v>
      </c>
      <c r="D45" s="539" t="s">
        <v>36011</v>
      </c>
      <c r="E45" s="338" t="s">
        <v>75</v>
      </c>
      <c r="F45" s="599">
        <v>10000</v>
      </c>
      <c r="G45" s="339">
        <v>10.38</v>
      </c>
      <c r="H45" s="339">
        <v>103800</v>
      </c>
      <c r="I45" s="374">
        <v>6.4610406650210186E-3</v>
      </c>
    </row>
    <row r="46" spans="1:9" ht="66">
      <c r="A46" s="613" t="s">
        <v>27025</v>
      </c>
      <c r="B46" s="337" t="s">
        <v>2879</v>
      </c>
      <c r="C46" s="540">
        <v>190104</v>
      </c>
      <c r="D46" s="539" t="s">
        <v>27064</v>
      </c>
      <c r="E46" s="338" t="s">
        <v>73</v>
      </c>
      <c r="F46" s="599">
        <v>2693.48</v>
      </c>
      <c r="G46" s="339">
        <v>38.340000000000003</v>
      </c>
      <c r="H46" s="339">
        <v>103268.02</v>
      </c>
      <c r="I46" s="374">
        <v>6.4279275203873209E-3</v>
      </c>
    </row>
    <row r="47" spans="1:9" ht="26.4">
      <c r="A47" s="613" t="s">
        <v>35357</v>
      </c>
      <c r="B47" s="337" t="s">
        <v>2879</v>
      </c>
      <c r="C47" s="540">
        <v>151404</v>
      </c>
      <c r="D47" s="539" t="s">
        <v>36013</v>
      </c>
      <c r="E47" s="338" t="s">
        <v>75</v>
      </c>
      <c r="F47" s="599">
        <v>6000</v>
      </c>
      <c r="G47" s="339">
        <v>16.989999999999998</v>
      </c>
      <c r="H47" s="339">
        <v>101940</v>
      </c>
      <c r="I47" s="374">
        <v>6.3452647918327805E-3</v>
      </c>
    </row>
    <row r="48" spans="1:9" ht="66">
      <c r="A48" s="613" t="s">
        <v>35460</v>
      </c>
      <c r="B48" s="337" t="s">
        <v>2879</v>
      </c>
      <c r="C48" s="540">
        <v>181007</v>
      </c>
      <c r="D48" s="539" t="s">
        <v>36116</v>
      </c>
      <c r="E48" s="338" t="s">
        <v>74</v>
      </c>
      <c r="F48" s="599">
        <v>309</v>
      </c>
      <c r="G48" s="339">
        <v>318.08</v>
      </c>
      <c r="H48" s="339">
        <v>98286.720000000001</v>
      </c>
      <c r="I48" s="374">
        <v>6.1178660380687344E-3</v>
      </c>
    </row>
    <row r="49" spans="1:9" ht="39.6">
      <c r="A49" s="613" t="s">
        <v>35452</v>
      </c>
      <c r="B49" s="337" t="s">
        <v>2879</v>
      </c>
      <c r="C49" s="540">
        <v>170561</v>
      </c>
      <c r="D49" s="539" t="s">
        <v>36109</v>
      </c>
      <c r="E49" s="338" t="s">
        <v>74</v>
      </c>
      <c r="F49" s="599">
        <v>6</v>
      </c>
      <c r="G49" s="339">
        <v>16363.27</v>
      </c>
      <c r="H49" s="339">
        <v>98179.62</v>
      </c>
      <c r="I49" s="374">
        <v>6.1111995885964436E-3</v>
      </c>
    </row>
    <row r="50" spans="1:9" ht="26.4">
      <c r="A50" s="613" t="s">
        <v>35358</v>
      </c>
      <c r="B50" s="337" t="s">
        <v>2879</v>
      </c>
      <c r="C50" s="540">
        <v>151405</v>
      </c>
      <c r="D50" s="539" t="s">
        <v>36014</v>
      </c>
      <c r="E50" s="338" t="s">
        <v>75</v>
      </c>
      <c r="F50" s="599">
        <v>4000</v>
      </c>
      <c r="G50" s="339">
        <v>24.08</v>
      </c>
      <c r="H50" s="339">
        <v>96320</v>
      </c>
      <c r="I50" s="374">
        <v>5.995447368543589E-3</v>
      </c>
    </row>
    <row r="51" spans="1:9">
      <c r="A51" s="613" t="s">
        <v>27386</v>
      </c>
      <c r="B51" s="337" t="s">
        <v>2879</v>
      </c>
      <c r="C51" s="540" t="s">
        <v>27387</v>
      </c>
      <c r="D51" s="539" t="s">
        <v>27388</v>
      </c>
      <c r="E51" s="338" t="s">
        <v>73</v>
      </c>
      <c r="F51" s="599">
        <v>3139.7</v>
      </c>
      <c r="G51" s="339">
        <v>30.43</v>
      </c>
      <c r="H51" s="339">
        <v>95541.070999999996</v>
      </c>
      <c r="I51" s="374">
        <v>5.9469628604109856E-3</v>
      </c>
    </row>
    <row r="52" spans="1:9" ht="39.6">
      <c r="A52" s="613" t="s">
        <v>9662</v>
      </c>
      <c r="B52" s="337" t="s">
        <v>2879</v>
      </c>
      <c r="C52" s="540">
        <v>71704</v>
      </c>
      <c r="D52" s="539" t="s">
        <v>27045</v>
      </c>
      <c r="E52" s="338" t="s">
        <v>73</v>
      </c>
      <c r="F52" s="599">
        <v>77.040000000000006</v>
      </c>
      <c r="G52" s="339">
        <v>1211.02</v>
      </c>
      <c r="H52" s="339">
        <v>93296.98</v>
      </c>
      <c r="I52" s="374">
        <v>5.8072792071642834E-3</v>
      </c>
    </row>
    <row r="53" spans="1:9" ht="52.8">
      <c r="A53" s="613" t="s">
        <v>27407</v>
      </c>
      <c r="B53" s="337" t="s">
        <v>2879</v>
      </c>
      <c r="C53" s="540">
        <v>30304</v>
      </c>
      <c r="D53" s="539" t="s">
        <v>35920</v>
      </c>
      <c r="E53" s="338" t="s">
        <v>83</v>
      </c>
      <c r="F53" s="599">
        <v>800</v>
      </c>
      <c r="G53" s="339">
        <v>115.11</v>
      </c>
      <c r="H53" s="339">
        <v>92088</v>
      </c>
      <c r="I53" s="374">
        <v>5.7320261344937914E-3</v>
      </c>
    </row>
    <row r="54" spans="1:9" ht="39.6">
      <c r="A54" s="613" t="s">
        <v>35269</v>
      </c>
      <c r="B54" s="337" t="s">
        <v>2879</v>
      </c>
      <c r="C54" s="540">
        <v>130202</v>
      </c>
      <c r="D54" s="539" t="s">
        <v>35945</v>
      </c>
      <c r="E54" s="338" t="s">
        <v>73</v>
      </c>
      <c r="F54" s="599">
        <v>1090.3699999999999</v>
      </c>
      <c r="G54" s="339">
        <v>83.88</v>
      </c>
      <c r="H54" s="339">
        <v>91460.24</v>
      </c>
      <c r="I54" s="374">
        <v>5.6929511548418302E-3</v>
      </c>
    </row>
    <row r="55" spans="1:9" ht="26.4">
      <c r="A55" s="613" t="s">
        <v>35356</v>
      </c>
      <c r="B55" s="337" t="s">
        <v>2879</v>
      </c>
      <c r="C55" s="540">
        <v>151403</v>
      </c>
      <c r="D55" s="539" t="s">
        <v>36012</v>
      </c>
      <c r="E55" s="338" t="s">
        <v>75</v>
      </c>
      <c r="F55" s="599">
        <v>7000</v>
      </c>
      <c r="G55" s="339">
        <v>12.83</v>
      </c>
      <c r="H55" s="339">
        <v>89810</v>
      </c>
      <c r="I55" s="374">
        <v>5.590231812384756E-3</v>
      </c>
    </row>
    <row r="56" spans="1:9" ht="39.6">
      <c r="A56" s="613" t="s">
        <v>27378</v>
      </c>
      <c r="B56" s="337" t="s">
        <v>2879</v>
      </c>
      <c r="C56" s="337">
        <v>20339</v>
      </c>
      <c r="D56" s="539" t="s">
        <v>27066</v>
      </c>
      <c r="E56" s="338" t="s">
        <v>73</v>
      </c>
      <c r="F56" s="599">
        <v>3000</v>
      </c>
      <c r="G56" s="339">
        <v>28.53</v>
      </c>
      <c r="H56" s="339">
        <v>85590</v>
      </c>
      <c r="I56" s="374">
        <v>5.3275575194523025E-3</v>
      </c>
    </row>
    <row r="57" spans="1:9" ht="26.4">
      <c r="A57" s="613" t="s">
        <v>35475</v>
      </c>
      <c r="B57" s="337" t="s">
        <v>2879</v>
      </c>
      <c r="C57" s="540">
        <v>200326</v>
      </c>
      <c r="D57" s="539" t="s">
        <v>36134</v>
      </c>
      <c r="E57" s="338" t="s">
        <v>73</v>
      </c>
      <c r="F57" s="599">
        <v>2500</v>
      </c>
      <c r="G57" s="339">
        <v>31.97</v>
      </c>
      <c r="H57" s="339">
        <v>79925</v>
      </c>
      <c r="I57" s="374">
        <v>4.9749390669730723E-3</v>
      </c>
    </row>
    <row r="58" spans="1:9" ht="52.8">
      <c r="A58" s="613" t="s">
        <v>35804</v>
      </c>
      <c r="B58" s="337" t="s">
        <v>2879</v>
      </c>
      <c r="C58" s="540">
        <v>190602</v>
      </c>
      <c r="D58" s="539" t="s">
        <v>36127</v>
      </c>
      <c r="E58" s="338" t="s">
        <v>73</v>
      </c>
      <c r="F58" s="599">
        <v>4024.44</v>
      </c>
      <c r="G58" s="339">
        <v>19.68</v>
      </c>
      <c r="H58" s="339">
        <v>79200.98</v>
      </c>
      <c r="I58" s="374">
        <v>4.9298723746581535E-3</v>
      </c>
    </row>
    <row r="59" spans="1:9" ht="26.4">
      <c r="A59" s="613" t="s">
        <v>35360</v>
      </c>
      <c r="B59" s="337" t="s">
        <v>2879</v>
      </c>
      <c r="C59" s="540">
        <v>151407</v>
      </c>
      <c r="D59" s="539" t="s">
        <v>36016</v>
      </c>
      <c r="E59" s="338" t="s">
        <v>75</v>
      </c>
      <c r="F59" s="599">
        <v>1800</v>
      </c>
      <c r="G59" s="339">
        <v>42.84</v>
      </c>
      <c r="H59" s="339">
        <v>77112</v>
      </c>
      <c r="I59" s="374">
        <v>4.7998436200491403E-3</v>
      </c>
    </row>
    <row r="60" spans="1:9" ht="26.4">
      <c r="A60" s="613" t="s">
        <v>37</v>
      </c>
      <c r="B60" s="337" t="s">
        <v>2879</v>
      </c>
      <c r="C60" s="337">
        <v>30101</v>
      </c>
      <c r="D60" s="539" t="s">
        <v>27039</v>
      </c>
      <c r="E60" s="338" t="s">
        <v>83</v>
      </c>
      <c r="F60" s="599">
        <v>850</v>
      </c>
      <c r="G60" s="339">
        <v>85.23</v>
      </c>
      <c r="H60" s="339">
        <v>72445.5</v>
      </c>
      <c r="I60" s="374">
        <v>4.5093768930421982E-3</v>
      </c>
    </row>
    <row r="61" spans="1:9" ht="26.4">
      <c r="A61" s="613" t="s">
        <v>8006</v>
      </c>
      <c r="B61" s="337" t="s">
        <v>7511</v>
      </c>
      <c r="C61" s="540">
        <v>14050</v>
      </c>
      <c r="D61" s="539" t="s">
        <v>35940</v>
      </c>
      <c r="E61" s="338" t="s">
        <v>73</v>
      </c>
      <c r="F61" s="599">
        <v>111.6</v>
      </c>
      <c r="G61" s="339">
        <v>639.87</v>
      </c>
      <c r="H61" s="339">
        <v>71409.490000000005</v>
      </c>
      <c r="I61" s="374">
        <v>4.4448903541272813E-3</v>
      </c>
    </row>
    <row r="62" spans="1:9" ht="66">
      <c r="A62" s="613" t="s">
        <v>23687</v>
      </c>
      <c r="B62" s="337" t="s">
        <v>2879</v>
      </c>
      <c r="C62" s="540">
        <v>190101</v>
      </c>
      <c r="D62" s="539" t="s">
        <v>36117</v>
      </c>
      <c r="E62" s="338" t="s">
        <v>73</v>
      </c>
      <c r="F62" s="599">
        <v>2693.48</v>
      </c>
      <c r="G62" s="339">
        <v>26.1</v>
      </c>
      <c r="H62" s="339">
        <v>70299.83</v>
      </c>
      <c r="I62" s="374">
        <v>4.3758194641046683E-3</v>
      </c>
    </row>
    <row r="63" spans="1:9" ht="66">
      <c r="A63" s="613" t="s">
        <v>35454</v>
      </c>
      <c r="B63" s="337" t="s">
        <v>2879</v>
      </c>
      <c r="C63" s="540">
        <v>170563</v>
      </c>
      <c r="D63" s="539" t="s">
        <v>36111</v>
      </c>
      <c r="E63" s="338" t="s">
        <v>74</v>
      </c>
      <c r="F63" s="599">
        <v>3</v>
      </c>
      <c r="G63" s="339">
        <v>23262.560000000001</v>
      </c>
      <c r="H63" s="339">
        <v>69787.679999999993</v>
      </c>
      <c r="I63" s="374">
        <v>4.34394063966738E-3</v>
      </c>
    </row>
    <row r="64" spans="1:9" ht="26.4">
      <c r="A64" s="613" t="s">
        <v>23674</v>
      </c>
      <c r="B64" s="337" t="s">
        <v>2879</v>
      </c>
      <c r="C64" s="540">
        <v>150836</v>
      </c>
      <c r="D64" s="539" t="s">
        <v>35988</v>
      </c>
      <c r="E64" s="338" t="s">
        <v>75</v>
      </c>
      <c r="F64" s="599">
        <v>610</v>
      </c>
      <c r="G64" s="339">
        <v>110.26</v>
      </c>
      <c r="H64" s="339">
        <v>67258.600000000006</v>
      </c>
      <c r="I64" s="374">
        <v>4.1865178195797954E-3</v>
      </c>
    </row>
    <row r="65" spans="1:9" ht="66">
      <c r="A65" s="613" t="s">
        <v>27377</v>
      </c>
      <c r="B65" s="337" t="s">
        <v>2879</v>
      </c>
      <c r="C65" s="540">
        <v>20350</v>
      </c>
      <c r="D65" s="634" t="s">
        <v>35909</v>
      </c>
      <c r="E65" s="338" t="s">
        <v>75</v>
      </c>
      <c r="F65" s="599">
        <v>335</v>
      </c>
      <c r="G65" s="339">
        <v>197.24</v>
      </c>
      <c r="H65" s="339">
        <v>66075.399999999994</v>
      </c>
      <c r="I65" s="374">
        <v>4.1128694254097282E-3</v>
      </c>
    </row>
    <row r="66" spans="1:9" ht="26.4">
      <c r="A66" s="613" t="s">
        <v>35286</v>
      </c>
      <c r="B66" s="337" t="s">
        <v>2879</v>
      </c>
      <c r="C66" s="540">
        <v>140904</v>
      </c>
      <c r="D66" s="539" t="s">
        <v>35956</v>
      </c>
      <c r="E66" s="338" t="s">
        <v>75</v>
      </c>
      <c r="F66" s="599">
        <v>500</v>
      </c>
      <c r="G66" s="339">
        <v>131.96</v>
      </c>
      <c r="H66" s="339">
        <v>65980</v>
      </c>
      <c r="I66" s="374">
        <v>4.1069312435268483E-3</v>
      </c>
    </row>
    <row r="67" spans="1:9">
      <c r="A67" s="613" t="s">
        <v>27405</v>
      </c>
      <c r="B67" s="337" t="s">
        <v>2879</v>
      </c>
      <c r="C67" s="337">
        <v>30203</v>
      </c>
      <c r="D67" s="539" t="s">
        <v>35917</v>
      </c>
      <c r="E67" s="338" t="s">
        <v>83</v>
      </c>
      <c r="F67" s="599">
        <v>201.22</v>
      </c>
      <c r="G67" s="339">
        <v>323.39999999999998</v>
      </c>
      <c r="H67" s="339">
        <v>65074.55</v>
      </c>
      <c r="I67" s="374">
        <v>4.0505714239686278E-3</v>
      </c>
    </row>
    <row r="68" spans="1:9" ht="26.4">
      <c r="A68" s="613" t="s">
        <v>35287</v>
      </c>
      <c r="B68" s="337" t="s">
        <v>2879</v>
      </c>
      <c r="C68" s="540">
        <v>140905</v>
      </c>
      <c r="D68" s="539" t="s">
        <v>35957</v>
      </c>
      <c r="E68" s="338" t="s">
        <v>75</v>
      </c>
      <c r="F68" s="599">
        <v>300</v>
      </c>
      <c r="G68" s="339">
        <v>212.45</v>
      </c>
      <c r="H68" s="339">
        <v>63735</v>
      </c>
      <c r="I68" s="374">
        <v>3.9671910094905066E-3</v>
      </c>
    </row>
    <row r="69" spans="1:9" ht="52.8">
      <c r="A69" s="613" t="s">
        <v>9653</v>
      </c>
      <c r="B69" s="337" t="s">
        <v>2879</v>
      </c>
      <c r="C69" s="337">
        <v>40602</v>
      </c>
      <c r="D69" s="539" t="s">
        <v>35927</v>
      </c>
      <c r="E69" s="338" t="s">
        <v>73</v>
      </c>
      <c r="F69" s="606">
        <v>324.23</v>
      </c>
      <c r="G69" s="339">
        <v>191.99</v>
      </c>
      <c r="H69" s="339">
        <v>62248.92</v>
      </c>
      <c r="I69" s="374">
        <v>3.8746898215186914E-3</v>
      </c>
    </row>
    <row r="70" spans="1:9" ht="52.8">
      <c r="A70" s="613" t="s">
        <v>35383</v>
      </c>
      <c r="B70" s="337" t="s">
        <v>2879</v>
      </c>
      <c r="C70" s="540">
        <v>160304</v>
      </c>
      <c r="D70" s="539" t="s">
        <v>36036</v>
      </c>
      <c r="E70" s="338" t="s">
        <v>74</v>
      </c>
      <c r="F70" s="599">
        <v>50</v>
      </c>
      <c r="G70" s="339">
        <v>1174.8800000000001</v>
      </c>
      <c r="H70" s="339">
        <v>58744</v>
      </c>
      <c r="I70" s="374">
        <v>3.6565257497687353E-3</v>
      </c>
    </row>
    <row r="71" spans="1:9" ht="40.200000000000003">
      <c r="A71" s="613" t="s">
        <v>35810</v>
      </c>
      <c r="B71" s="337" t="s">
        <v>29</v>
      </c>
      <c r="C71" s="540">
        <v>99841</v>
      </c>
      <c r="D71" s="894" t="s">
        <v>24198</v>
      </c>
      <c r="E71" s="338" t="s">
        <v>75</v>
      </c>
      <c r="F71" s="599">
        <v>51.2</v>
      </c>
      <c r="G71" s="339">
        <v>1142.3</v>
      </c>
      <c r="H71" s="339">
        <v>58485.760000000002</v>
      </c>
      <c r="I71" s="374">
        <v>3.640451576923504E-3</v>
      </c>
    </row>
    <row r="72" spans="1:9" ht="52.8">
      <c r="A72" s="613" t="s">
        <v>7378</v>
      </c>
      <c r="B72" s="337" t="s">
        <v>29</v>
      </c>
      <c r="C72" s="540">
        <v>92580</v>
      </c>
      <c r="D72" s="539" t="s">
        <v>10554</v>
      </c>
      <c r="E72" s="338" t="s">
        <v>73</v>
      </c>
      <c r="F72" s="599">
        <v>1180.22</v>
      </c>
      <c r="G72" s="339">
        <v>49.52</v>
      </c>
      <c r="H72" s="339">
        <v>58444.49</v>
      </c>
      <c r="I72" s="374">
        <v>3.6378827219307732E-3</v>
      </c>
    </row>
    <row r="73" spans="1:9" ht="26.4">
      <c r="A73" s="613" t="s">
        <v>9753</v>
      </c>
      <c r="B73" s="337" t="s">
        <v>2879</v>
      </c>
      <c r="C73" s="540">
        <v>120101</v>
      </c>
      <c r="D73" s="539" t="s">
        <v>27048</v>
      </c>
      <c r="E73" s="338" t="s">
        <v>73</v>
      </c>
      <c r="F73" s="599">
        <v>5559.94</v>
      </c>
      <c r="G73" s="339">
        <v>10.42</v>
      </c>
      <c r="H73" s="339">
        <v>57934.57</v>
      </c>
      <c r="I73" s="374">
        <v>3.6061427040511248E-3</v>
      </c>
    </row>
    <row r="74" spans="1:9">
      <c r="A74" s="613" t="s">
        <v>27389</v>
      </c>
      <c r="B74" s="337" t="s">
        <v>2879</v>
      </c>
      <c r="C74" s="540" t="s">
        <v>27387</v>
      </c>
      <c r="D74" s="539" t="s">
        <v>27390</v>
      </c>
      <c r="E74" s="338" t="s">
        <v>73</v>
      </c>
      <c r="F74" s="599">
        <v>3139.7</v>
      </c>
      <c r="G74" s="339">
        <v>18.37</v>
      </c>
      <c r="H74" s="339">
        <v>57676.288999999997</v>
      </c>
      <c r="I74" s="374">
        <v>3.5900659791570757E-3</v>
      </c>
    </row>
    <row r="75" spans="1:9" ht="52.8">
      <c r="A75" s="613" t="s">
        <v>35376</v>
      </c>
      <c r="B75" s="337" t="s">
        <v>2879</v>
      </c>
      <c r="C75" s="540">
        <v>151806</v>
      </c>
      <c r="D75" s="539" t="s">
        <v>36027</v>
      </c>
      <c r="E75" s="338" t="s">
        <v>74</v>
      </c>
      <c r="F75" s="599">
        <v>123</v>
      </c>
      <c r="G75" s="339">
        <v>458.85</v>
      </c>
      <c r="H75" s="339">
        <v>56438.55</v>
      </c>
      <c r="I75" s="374">
        <v>3.5130227998537767E-3</v>
      </c>
    </row>
    <row r="76" spans="1:9" ht="52.8">
      <c r="A76" s="613" t="s">
        <v>35449</v>
      </c>
      <c r="B76" s="337" t="s">
        <v>2879</v>
      </c>
      <c r="C76" s="540">
        <v>170510</v>
      </c>
      <c r="D76" s="539" t="s">
        <v>36106</v>
      </c>
      <c r="E76" s="338" t="s">
        <v>74</v>
      </c>
      <c r="F76" s="599">
        <v>8</v>
      </c>
      <c r="G76" s="339">
        <v>6905.93</v>
      </c>
      <c r="H76" s="339">
        <v>55247.44</v>
      </c>
      <c r="I76" s="374">
        <v>3.4388820469971951E-3</v>
      </c>
    </row>
    <row r="77" spans="1:9" ht="39.6">
      <c r="A77" s="613" t="s">
        <v>9663</v>
      </c>
      <c r="B77" s="337" t="s">
        <v>2879</v>
      </c>
      <c r="C77" s="540">
        <v>80202</v>
      </c>
      <c r="D77" s="539" t="s">
        <v>35938</v>
      </c>
      <c r="E77" s="338" t="s">
        <v>73</v>
      </c>
      <c r="F77" s="599">
        <v>49.33</v>
      </c>
      <c r="G77" s="339">
        <v>1112.21</v>
      </c>
      <c r="H77" s="339">
        <v>54865.32</v>
      </c>
      <c r="I77" s="374">
        <v>3.4150969520172544E-3</v>
      </c>
    </row>
    <row r="78" spans="1:9" ht="39.6">
      <c r="A78" s="613" t="s">
        <v>10355</v>
      </c>
      <c r="B78" s="337" t="s">
        <v>2879</v>
      </c>
      <c r="C78" s="540">
        <v>120301</v>
      </c>
      <c r="D78" s="539" t="s">
        <v>27049</v>
      </c>
      <c r="E78" s="338" t="s">
        <v>73</v>
      </c>
      <c r="F78" s="599">
        <v>1038.4000000000001</v>
      </c>
      <c r="G78" s="339">
        <v>51.23</v>
      </c>
      <c r="H78" s="339">
        <v>53197.23</v>
      </c>
      <c r="I78" s="374">
        <v>3.311266534648132E-3</v>
      </c>
    </row>
    <row r="79" spans="1:9" ht="26.4">
      <c r="A79" s="613" t="s">
        <v>9467</v>
      </c>
      <c r="B79" s="337" t="s">
        <v>2879</v>
      </c>
      <c r="C79" s="540">
        <v>40333</v>
      </c>
      <c r="D79" s="539" t="s">
        <v>27043</v>
      </c>
      <c r="E79" s="338" t="s">
        <v>71</v>
      </c>
      <c r="F79" s="606">
        <v>3224.4</v>
      </c>
      <c r="G79" s="339">
        <v>16.36</v>
      </c>
      <c r="H79" s="339">
        <v>52751.18</v>
      </c>
      <c r="I79" s="374">
        <v>3.283502110865544E-3</v>
      </c>
    </row>
    <row r="80" spans="1:9">
      <c r="A80" s="570"/>
      <c r="B80" s="569"/>
      <c r="C80" s="569"/>
      <c r="D80" s="571" t="s">
        <v>27419</v>
      </c>
      <c r="E80" s="572"/>
      <c r="F80" s="600"/>
      <c r="G80" s="573"/>
      <c r="H80" s="574">
        <v>49810.729999999996</v>
      </c>
      <c r="I80" s="575">
        <v>3.1004735268244932E-3</v>
      </c>
    </row>
    <row r="81" spans="1:9" ht="66">
      <c r="A81" s="613" t="s">
        <v>27026</v>
      </c>
      <c r="B81" s="337" t="s">
        <v>2879</v>
      </c>
      <c r="C81" s="540">
        <v>190106</v>
      </c>
      <c r="D81" s="539" t="s">
        <v>36119</v>
      </c>
      <c r="E81" s="338" t="s">
        <v>73</v>
      </c>
      <c r="F81" s="599">
        <v>1172.42</v>
      </c>
      <c r="G81" s="339">
        <v>39.229999999999997</v>
      </c>
      <c r="H81" s="339">
        <v>45994.04</v>
      </c>
      <c r="I81" s="374">
        <v>2.8629033023950226E-3</v>
      </c>
    </row>
    <row r="82" spans="1:9" ht="79.2">
      <c r="A82" s="613" t="s">
        <v>27023</v>
      </c>
      <c r="B82" s="337" t="s">
        <v>2879</v>
      </c>
      <c r="C82" s="540">
        <v>170136</v>
      </c>
      <c r="D82" s="539" t="s">
        <v>36100</v>
      </c>
      <c r="E82" s="338" t="s">
        <v>74</v>
      </c>
      <c r="F82" s="599">
        <v>28</v>
      </c>
      <c r="G82" s="339">
        <v>1587.58</v>
      </c>
      <c r="H82" s="339">
        <v>44452.24</v>
      </c>
      <c r="I82" s="374">
        <v>2.766933817835009E-3</v>
      </c>
    </row>
    <row r="83" spans="1:9" ht="26.4">
      <c r="A83" s="613" t="s">
        <v>35309</v>
      </c>
      <c r="B83" s="337" t="s">
        <v>2879</v>
      </c>
      <c r="C83" s="540">
        <v>141910</v>
      </c>
      <c r="D83" s="539" t="s">
        <v>35974</v>
      </c>
      <c r="E83" s="338" t="s">
        <v>75</v>
      </c>
      <c r="F83" s="599">
        <v>350</v>
      </c>
      <c r="G83" s="339">
        <v>126.15</v>
      </c>
      <c r="H83" s="339">
        <v>44152.5</v>
      </c>
      <c r="I83" s="374">
        <v>2.7482764736256314E-3</v>
      </c>
    </row>
    <row r="84" spans="1:9" ht="39.6">
      <c r="A84" s="613" t="s">
        <v>7999</v>
      </c>
      <c r="B84" s="337" t="s">
        <v>26987</v>
      </c>
      <c r="C84" s="540">
        <v>102185</v>
      </c>
      <c r="D84" s="539" t="s">
        <v>12286</v>
      </c>
      <c r="E84" s="338" t="s">
        <v>7992</v>
      </c>
      <c r="F84" s="599">
        <v>10</v>
      </c>
      <c r="G84" s="339">
        <v>3929.61</v>
      </c>
      <c r="H84" s="339">
        <v>39296.1</v>
      </c>
      <c r="I84" s="374">
        <v>2.4459894034367289E-3</v>
      </c>
    </row>
    <row r="85" spans="1:9" ht="26.4">
      <c r="A85" s="613" t="s">
        <v>30314</v>
      </c>
      <c r="B85" s="337" t="s">
        <v>2879</v>
      </c>
      <c r="C85" s="337">
        <v>30201</v>
      </c>
      <c r="D85" s="539" t="s">
        <v>27040</v>
      </c>
      <c r="E85" s="338" t="s">
        <v>83</v>
      </c>
      <c r="F85" s="599">
        <v>425</v>
      </c>
      <c r="G85" s="339">
        <v>91.78</v>
      </c>
      <c r="H85" s="339">
        <v>39006.5</v>
      </c>
      <c r="I85" s="374">
        <v>2.4279632244715065E-3</v>
      </c>
    </row>
    <row r="86" spans="1:9">
      <c r="A86" s="613" t="s">
        <v>27392</v>
      </c>
      <c r="B86" s="337" t="s">
        <v>2879</v>
      </c>
      <c r="C86" s="540" t="s">
        <v>27387</v>
      </c>
      <c r="D86" s="539" t="s">
        <v>27398</v>
      </c>
      <c r="E86" s="338" t="s">
        <v>73</v>
      </c>
      <c r="F86" s="599">
        <v>3139.7</v>
      </c>
      <c r="G86" s="339">
        <v>12.4</v>
      </c>
      <c r="H86" s="339">
        <v>38932.28</v>
      </c>
      <c r="I86" s="374">
        <v>2.4233433936607369E-3</v>
      </c>
    </row>
    <row r="87" spans="1:9" ht="26.4">
      <c r="A87" s="613" t="s">
        <v>2873</v>
      </c>
      <c r="B87" s="337" t="s">
        <v>2879</v>
      </c>
      <c r="C87" s="540">
        <v>100203</v>
      </c>
      <c r="D87" s="539" t="s">
        <v>27047</v>
      </c>
      <c r="E87" s="338" t="s">
        <v>73</v>
      </c>
      <c r="F87" s="599">
        <v>643.02</v>
      </c>
      <c r="G87" s="339">
        <v>58.71</v>
      </c>
      <c r="H87" s="339">
        <v>37751.699999999997</v>
      </c>
      <c r="I87" s="374">
        <v>2.3498580816346242E-3</v>
      </c>
    </row>
    <row r="88" spans="1:9" ht="66">
      <c r="A88" s="613" t="s">
        <v>27024</v>
      </c>
      <c r="B88" s="337" t="s">
        <v>2879</v>
      </c>
      <c r="C88" s="540">
        <v>190103</v>
      </c>
      <c r="D88" s="539" t="s">
        <v>36118</v>
      </c>
      <c r="E88" s="338" t="s">
        <v>73</v>
      </c>
      <c r="F88" s="599">
        <v>1172.42</v>
      </c>
      <c r="G88" s="339">
        <v>31.75</v>
      </c>
      <c r="H88" s="339">
        <v>37224.339999999997</v>
      </c>
      <c r="I88" s="374">
        <v>2.317032509331103E-3</v>
      </c>
    </row>
    <row r="89" spans="1:9" ht="39.6">
      <c r="A89" s="613" t="s">
        <v>35432</v>
      </c>
      <c r="B89" s="337" t="s">
        <v>2879</v>
      </c>
      <c r="C89" s="540">
        <v>160867</v>
      </c>
      <c r="D89" s="539" t="s">
        <v>36085</v>
      </c>
      <c r="E89" s="338" t="s">
        <v>74</v>
      </c>
      <c r="F89" s="599">
        <v>5</v>
      </c>
      <c r="G89" s="339">
        <v>7396.23</v>
      </c>
      <c r="H89" s="339">
        <v>36981.15</v>
      </c>
      <c r="I89" s="374">
        <v>2.3018951251372066E-3</v>
      </c>
    </row>
    <row r="90" spans="1:9" ht="26.4">
      <c r="A90" s="613" t="s">
        <v>23685</v>
      </c>
      <c r="B90" s="337" t="s">
        <v>2879</v>
      </c>
      <c r="C90" s="540">
        <v>180301</v>
      </c>
      <c r="D90" s="539" t="s">
        <v>36115</v>
      </c>
      <c r="E90" s="338" t="s">
        <v>74</v>
      </c>
      <c r="F90" s="599">
        <v>6</v>
      </c>
      <c r="G90" s="339">
        <v>6026.39</v>
      </c>
      <c r="H90" s="339">
        <v>36158.339999999997</v>
      </c>
      <c r="I90" s="374">
        <v>2.250679240073758E-3</v>
      </c>
    </row>
    <row r="91" spans="1:9">
      <c r="A91" s="613" t="s">
        <v>27391</v>
      </c>
      <c r="B91" s="337" t="s">
        <v>2879</v>
      </c>
      <c r="C91" s="540" t="s">
        <v>27387</v>
      </c>
      <c r="D91" s="539" t="s">
        <v>27397</v>
      </c>
      <c r="E91" s="338" t="s">
        <v>73</v>
      </c>
      <c r="F91" s="599">
        <v>3139.7</v>
      </c>
      <c r="G91" s="339">
        <v>11.46</v>
      </c>
      <c r="H91" s="339">
        <v>35980.962</v>
      </c>
      <c r="I91" s="374">
        <v>2.2396383299477457E-3</v>
      </c>
    </row>
    <row r="92" spans="1:9" ht="39.6">
      <c r="A92" s="613" t="s">
        <v>35555</v>
      </c>
      <c r="B92" s="337" t="s">
        <v>29</v>
      </c>
      <c r="C92" s="540" t="s">
        <v>6546</v>
      </c>
      <c r="D92" s="539" t="s">
        <v>29908</v>
      </c>
      <c r="E92" s="338" t="s">
        <v>73</v>
      </c>
      <c r="F92" s="606">
        <v>813.12</v>
      </c>
      <c r="G92" s="339">
        <v>44.12</v>
      </c>
      <c r="H92" s="339">
        <v>35874.85</v>
      </c>
      <c r="I92" s="374">
        <v>2.2330333786274499E-3</v>
      </c>
    </row>
    <row r="93" spans="1:9">
      <c r="A93" s="613" t="s">
        <v>35443</v>
      </c>
      <c r="B93" s="337" t="s">
        <v>2879</v>
      </c>
      <c r="C93" s="540">
        <v>170220</v>
      </c>
      <c r="D93" s="539" t="s">
        <v>9733</v>
      </c>
      <c r="E93" s="338" t="s">
        <v>73</v>
      </c>
      <c r="F93" s="599">
        <v>54.36</v>
      </c>
      <c r="G93" s="339">
        <v>642.28</v>
      </c>
      <c r="H93" s="339">
        <v>34914.339999999997</v>
      </c>
      <c r="I93" s="374">
        <v>2.173246344242485E-3</v>
      </c>
    </row>
    <row r="94" spans="1:9" ht="52.8">
      <c r="A94" s="613" t="s">
        <v>35471</v>
      </c>
      <c r="B94" s="337" t="s">
        <v>2879</v>
      </c>
      <c r="C94" s="540">
        <v>200209</v>
      </c>
      <c r="D94" s="539" t="s">
        <v>36131</v>
      </c>
      <c r="E94" s="338" t="s">
        <v>73</v>
      </c>
      <c r="F94" s="599">
        <v>209.2</v>
      </c>
      <c r="G94" s="339">
        <v>162.47</v>
      </c>
      <c r="H94" s="339">
        <v>33988.720000000001</v>
      </c>
      <c r="I94" s="374">
        <v>2.1156310411561967E-3</v>
      </c>
    </row>
    <row r="95" spans="1:9" ht="52.8">
      <c r="A95" s="613" t="s">
        <v>35395</v>
      </c>
      <c r="B95" s="337" t="s">
        <v>2879</v>
      </c>
      <c r="C95" s="540">
        <v>160629</v>
      </c>
      <c r="D95" s="539" t="s">
        <v>36049</v>
      </c>
      <c r="E95" s="338" t="s">
        <v>75</v>
      </c>
      <c r="F95" s="599">
        <v>180</v>
      </c>
      <c r="G95" s="339">
        <v>187.39</v>
      </c>
      <c r="H95" s="339">
        <v>33730.199999999997</v>
      </c>
      <c r="I95" s="374">
        <v>2.0995394396848936E-3</v>
      </c>
    </row>
    <row r="96" spans="1:9" ht="39.6">
      <c r="A96" s="613" t="s">
        <v>7982</v>
      </c>
      <c r="B96" s="337" t="s">
        <v>2879</v>
      </c>
      <c r="C96" s="540">
        <v>60103</v>
      </c>
      <c r="D96" s="539" t="s">
        <v>35935</v>
      </c>
      <c r="E96" s="338" t="s">
        <v>74</v>
      </c>
      <c r="F96" s="599">
        <v>67</v>
      </c>
      <c r="G96" s="339">
        <v>491.24</v>
      </c>
      <c r="H96" s="339">
        <v>32913.08</v>
      </c>
      <c r="I96" s="374">
        <v>2.0486777292012524E-3</v>
      </c>
    </row>
    <row r="97" spans="1:9" ht="66">
      <c r="A97" s="613" t="s">
        <v>7996</v>
      </c>
      <c r="B97" s="337" t="s">
        <v>26987</v>
      </c>
      <c r="C97" s="540" t="s">
        <v>12293</v>
      </c>
      <c r="D97" s="539" t="s">
        <v>35779</v>
      </c>
      <c r="E97" s="338" t="s">
        <v>73</v>
      </c>
      <c r="F97" s="599">
        <v>60</v>
      </c>
      <c r="G97" s="339">
        <v>544.78</v>
      </c>
      <c r="H97" s="339">
        <v>32686.799999999999</v>
      </c>
      <c r="I97" s="374">
        <v>2.0345929095318791E-3</v>
      </c>
    </row>
    <row r="98" spans="1:9">
      <c r="A98" s="613" t="s">
        <v>35858</v>
      </c>
      <c r="B98" s="337" t="s">
        <v>35861</v>
      </c>
      <c r="C98" s="540" t="s">
        <v>7993</v>
      </c>
      <c r="D98" s="539" t="s">
        <v>35852</v>
      </c>
      <c r="E98" s="338" t="s">
        <v>74</v>
      </c>
      <c r="F98" s="599">
        <v>1</v>
      </c>
      <c r="G98" s="339">
        <v>31624.5</v>
      </c>
      <c r="H98" s="339">
        <v>31624.5</v>
      </c>
      <c r="I98" s="374">
        <v>1.9684699471190482E-3</v>
      </c>
    </row>
    <row r="99" spans="1:9" ht="26.4">
      <c r="A99" s="613" t="s">
        <v>35337</v>
      </c>
      <c r="B99" s="337" t="s">
        <v>2879</v>
      </c>
      <c r="C99" s="540">
        <v>151126</v>
      </c>
      <c r="D99" s="539" t="s">
        <v>35994</v>
      </c>
      <c r="E99" s="338" t="s">
        <v>75</v>
      </c>
      <c r="F99" s="599">
        <v>1200</v>
      </c>
      <c r="G99" s="339">
        <v>25.22</v>
      </c>
      <c r="H99" s="339">
        <v>30264</v>
      </c>
      <c r="I99" s="374">
        <v>1.8837854979402322E-3</v>
      </c>
    </row>
    <row r="100" spans="1:9" ht="66">
      <c r="A100" s="613" t="s">
        <v>27384</v>
      </c>
      <c r="B100" s="337" t="s">
        <v>2879</v>
      </c>
      <c r="C100" s="337">
        <v>20355</v>
      </c>
      <c r="D100" s="539" t="s">
        <v>7986</v>
      </c>
      <c r="E100" s="338" t="s">
        <v>1022</v>
      </c>
      <c r="F100" s="599">
        <v>18</v>
      </c>
      <c r="G100" s="339">
        <v>1664.83</v>
      </c>
      <c r="H100" s="339">
        <v>29966.94</v>
      </c>
      <c r="I100" s="374">
        <v>1.8652949705803947E-3</v>
      </c>
    </row>
    <row r="101" spans="1:9" ht="26.4">
      <c r="A101" s="613" t="s">
        <v>7506</v>
      </c>
      <c r="B101" s="337" t="s">
        <v>2879</v>
      </c>
      <c r="C101" s="540">
        <v>40243</v>
      </c>
      <c r="D101" s="539" t="s">
        <v>27042</v>
      </c>
      <c r="E101" s="338" t="s">
        <v>71</v>
      </c>
      <c r="F101" s="599">
        <v>1913.58</v>
      </c>
      <c r="G101" s="339">
        <v>15.42</v>
      </c>
      <c r="H101" s="339">
        <v>29507.4</v>
      </c>
      <c r="I101" s="374">
        <v>1.8366908604917265E-3</v>
      </c>
    </row>
    <row r="102" spans="1:9" ht="39.6">
      <c r="A102" s="613" t="s">
        <v>35811</v>
      </c>
      <c r="B102" s="337" t="s">
        <v>2879</v>
      </c>
      <c r="C102" s="540">
        <v>210302</v>
      </c>
      <c r="D102" s="539" t="s">
        <v>36140</v>
      </c>
      <c r="E102" s="338" t="s">
        <v>75</v>
      </c>
      <c r="F102" s="599">
        <v>91.2</v>
      </c>
      <c r="G102" s="339">
        <v>318.54000000000002</v>
      </c>
      <c r="H102" s="339">
        <v>29050.85</v>
      </c>
      <c r="I102" s="374">
        <v>1.808272863231463E-3</v>
      </c>
    </row>
    <row r="103" spans="1:9" ht="39.6">
      <c r="A103" s="613" t="s">
        <v>35384</v>
      </c>
      <c r="B103" s="337" t="s">
        <v>2879</v>
      </c>
      <c r="C103" s="540">
        <v>160305</v>
      </c>
      <c r="D103" s="539" t="s">
        <v>36037</v>
      </c>
      <c r="E103" s="338" t="s">
        <v>75</v>
      </c>
      <c r="F103" s="599">
        <v>215.4</v>
      </c>
      <c r="G103" s="339">
        <v>134.24</v>
      </c>
      <c r="H103" s="339">
        <v>28915.3</v>
      </c>
      <c r="I103" s="374">
        <v>1.7998355408601373E-3</v>
      </c>
    </row>
    <row r="104" spans="1:9" ht="66">
      <c r="A104" s="613" t="s">
        <v>7998</v>
      </c>
      <c r="B104" s="337" t="s">
        <v>26987</v>
      </c>
      <c r="C104" s="540">
        <v>94569</v>
      </c>
      <c r="D104" s="539" t="s">
        <v>35780</v>
      </c>
      <c r="E104" s="338" t="s">
        <v>73</v>
      </c>
      <c r="F104" s="599">
        <v>60</v>
      </c>
      <c r="G104" s="339">
        <v>481.27</v>
      </c>
      <c r="H104" s="339">
        <v>28876.2</v>
      </c>
      <c r="I104" s="374">
        <v>1.79740175771946E-3</v>
      </c>
    </row>
    <row r="105" spans="1:9" ht="52.8">
      <c r="A105" s="613" t="s">
        <v>35396</v>
      </c>
      <c r="B105" s="337" t="s">
        <v>2879</v>
      </c>
      <c r="C105" s="540">
        <v>160630</v>
      </c>
      <c r="D105" s="539" t="s">
        <v>36050</v>
      </c>
      <c r="E105" s="338" t="s">
        <v>75</v>
      </c>
      <c r="F105" s="599">
        <v>120</v>
      </c>
      <c r="G105" s="339">
        <v>237.65</v>
      </c>
      <c r="H105" s="339">
        <v>28518</v>
      </c>
      <c r="I105" s="374">
        <v>1.7751055653667574E-3</v>
      </c>
    </row>
    <row r="106" spans="1:9" ht="66">
      <c r="A106" s="613" t="s">
        <v>35273</v>
      </c>
      <c r="B106" s="337" t="s">
        <v>2879</v>
      </c>
      <c r="C106" s="540">
        <v>130322</v>
      </c>
      <c r="D106" s="539" t="s">
        <v>35948</v>
      </c>
      <c r="E106" s="338" t="s">
        <v>75</v>
      </c>
      <c r="F106" s="599">
        <v>651.20000000000005</v>
      </c>
      <c r="G106" s="339">
        <v>43.33</v>
      </c>
      <c r="H106" s="339">
        <v>28216.5</v>
      </c>
      <c r="I106" s="374">
        <v>1.7563386697935026E-3</v>
      </c>
    </row>
    <row r="107" spans="1:9">
      <c r="A107" s="613" t="s">
        <v>35272</v>
      </c>
      <c r="B107" s="337" t="s">
        <v>2879</v>
      </c>
      <c r="C107" s="540">
        <v>130317</v>
      </c>
      <c r="D107" s="539" t="s">
        <v>27051</v>
      </c>
      <c r="E107" s="338" t="s">
        <v>75</v>
      </c>
      <c r="F107" s="599">
        <v>251.2</v>
      </c>
      <c r="G107" s="339">
        <v>109.49</v>
      </c>
      <c r="H107" s="339">
        <v>27503.89</v>
      </c>
      <c r="I107" s="374">
        <v>1.7119821939909918E-3</v>
      </c>
    </row>
    <row r="108" spans="1:9" ht="26.4">
      <c r="A108" s="613" t="s">
        <v>35295</v>
      </c>
      <c r="B108" s="337" t="s">
        <v>2879</v>
      </c>
      <c r="C108" s="540">
        <v>141412</v>
      </c>
      <c r="D108" s="539" t="s">
        <v>35962</v>
      </c>
      <c r="E108" s="338" t="s">
        <v>75</v>
      </c>
      <c r="F108" s="599">
        <v>540</v>
      </c>
      <c r="G108" s="339">
        <v>50.42</v>
      </c>
      <c r="H108" s="339">
        <v>27226.799999999999</v>
      </c>
      <c r="I108" s="374">
        <v>1.6947347011405998E-3</v>
      </c>
    </row>
    <row r="109" spans="1:9" ht="26.4">
      <c r="A109" s="613" t="s">
        <v>35368</v>
      </c>
      <c r="B109" s="337" t="s">
        <v>2879</v>
      </c>
      <c r="C109" s="540">
        <v>151605</v>
      </c>
      <c r="D109" s="539" t="s">
        <v>36022</v>
      </c>
      <c r="E109" s="338" t="s">
        <v>75</v>
      </c>
      <c r="F109" s="599">
        <v>500</v>
      </c>
      <c r="G109" s="339">
        <v>54.18</v>
      </c>
      <c r="H109" s="339">
        <v>27090</v>
      </c>
      <c r="I109" s="374">
        <v>1.6862195724028843E-3</v>
      </c>
    </row>
    <row r="110" spans="1:9" ht="52.8">
      <c r="A110" s="613" t="s">
        <v>35377</v>
      </c>
      <c r="B110" s="337" t="s">
        <v>2879</v>
      </c>
      <c r="C110" s="540">
        <v>151809</v>
      </c>
      <c r="D110" s="539" t="s">
        <v>36028</v>
      </c>
      <c r="E110" s="338" t="s">
        <v>74</v>
      </c>
      <c r="F110" s="599">
        <v>93</v>
      </c>
      <c r="G110" s="339">
        <v>282.45</v>
      </c>
      <c r="H110" s="339">
        <v>26267.85</v>
      </c>
      <c r="I110" s="374">
        <v>1.6350447691008897E-3</v>
      </c>
    </row>
    <row r="111" spans="1:9" ht="66">
      <c r="A111" s="613" t="s">
        <v>35262</v>
      </c>
      <c r="B111" s="337" t="s">
        <v>2879</v>
      </c>
      <c r="C111" s="540">
        <v>90403</v>
      </c>
      <c r="D111" s="539" t="s">
        <v>35943</v>
      </c>
      <c r="E111" s="338" t="s">
        <v>75</v>
      </c>
      <c r="F111" s="599">
        <v>134.75</v>
      </c>
      <c r="G111" s="339">
        <v>179.42</v>
      </c>
      <c r="H111" s="339">
        <v>24176.85</v>
      </c>
      <c r="I111" s="374">
        <v>1.5048902794037901E-3</v>
      </c>
    </row>
    <row r="112" spans="1:9" ht="26.4">
      <c r="A112" s="613" t="s">
        <v>8010</v>
      </c>
      <c r="B112" s="337" t="s">
        <v>2879</v>
      </c>
      <c r="C112" s="540">
        <v>40246</v>
      </c>
      <c r="D112" s="539" t="s">
        <v>27043</v>
      </c>
      <c r="E112" s="338" t="s">
        <v>71</v>
      </c>
      <c r="F112" s="599">
        <v>1472.4</v>
      </c>
      <c r="G112" s="339">
        <v>16.36</v>
      </c>
      <c r="H112" s="339">
        <v>24088.46</v>
      </c>
      <c r="I112" s="374">
        <v>1.4993884356236243E-3</v>
      </c>
    </row>
    <row r="113" spans="1:9" ht="52.8">
      <c r="A113" s="613" t="s">
        <v>43</v>
      </c>
      <c r="B113" s="337" t="s">
        <v>2879</v>
      </c>
      <c r="C113" s="540">
        <v>50122</v>
      </c>
      <c r="D113" s="539" t="s">
        <v>35929</v>
      </c>
      <c r="E113" s="338" t="s">
        <v>73</v>
      </c>
      <c r="F113" s="599">
        <v>50.49</v>
      </c>
      <c r="G113" s="339">
        <v>462.95</v>
      </c>
      <c r="H113" s="339">
        <v>23374.35</v>
      </c>
      <c r="I113" s="374">
        <v>1.4549385921814454E-3</v>
      </c>
    </row>
    <row r="114" spans="1:9" ht="39.6">
      <c r="A114" s="613" t="s">
        <v>27032</v>
      </c>
      <c r="B114" s="337" t="s">
        <v>2879</v>
      </c>
      <c r="C114" s="540">
        <v>200202</v>
      </c>
      <c r="D114" s="539" t="s">
        <v>36129</v>
      </c>
      <c r="E114" s="338" t="s">
        <v>75</v>
      </c>
      <c r="F114" s="599">
        <v>334.27</v>
      </c>
      <c r="G114" s="339">
        <v>69.77</v>
      </c>
      <c r="H114" s="339">
        <v>23322.02</v>
      </c>
      <c r="I114" s="374">
        <v>1.4516813064588969E-3</v>
      </c>
    </row>
    <row r="115" spans="1:9">
      <c r="A115" s="613" t="s">
        <v>15131</v>
      </c>
      <c r="B115" s="337" t="s">
        <v>2879</v>
      </c>
      <c r="C115" s="540">
        <v>90312</v>
      </c>
      <c r="D115" s="539" t="s">
        <v>27046</v>
      </c>
      <c r="E115" s="338" t="s">
        <v>75</v>
      </c>
      <c r="F115" s="599">
        <v>76</v>
      </c>
      <c r="G115" s="339">
        <v>303.25</v>
      </c>
      <c r="H115" s="339">
        <v>23047</v>
      </c>
      <c r="I115" s="374">
        <v>1.4345626609512468E-3</v>
      </c>
    </row>
    <row r="116" spans="1:9" ht="26.4">
      <c r="A116" s="613" t="s">
        <v>35429</v>
      </c>
      <c r="B116" s="337" t="s">
        <v>2879</v>
      </c>
      <c r="C116" s="540">
        <v>160851</v>
      </c>
      <c r="D116" s="539" t="s">
        <v>36082</v>
      </c>
      <c r="E116" s="338" t="s">
        <v>75</v>
      </c>
      <c r="F116" s="599">
        <v>3000</v>
      </c>
      <c r="G116" s="339">
        <v>7.5</v>
      </c>
      <c r="H116" s="339">
        <v>22500</v>
      </c>
      <c r="I116" s="374">
        <v>1.400514595019007E-3</v>
      </c>
    </row>
    <row r="117" spans="1:9">
      <c r="A117" s="613" t="s">
        <v>15128</v>
      </c>
      <c r="B117" s="337" t="s">
        <v>2879</v>
      </c>
      <c r="C117" s="540">
        <v>10501</v>
      </c>
      <c r="D117" s="539" t="s">
        <v>27036</v>
      </c>
      <c r="E117" s="338" t="s">
        <v>73</v>
      </c>
      <c r="F117" s="599">
        <v>1502.79</v>
      </c>
      <c r="G117" s="339">
        <v>14.8</v>
      </c>
      <c r="H117" s="339">
        <v>22241.29</v>
      </c>
      <c r="I117" s="374">
        <v>1.3844111669800128E-3</v>
      </c>
    </row>
    <row r="118" spans="1:9" ht="26.4">
      <c r="A118" s="613" t="s">
        <v>35859</v>
      </c>
      <c r="B118" s="337" t="s">
        <v>35861</v>
      </c>
      <c r="C118" s="540" t="s">
        <v>7994</v>
      </c>
      <c r="D118" s="539" t="s">
        <v>35857</v>
      </c>
      <c r="E118" s="338" t="s">
        <v>7992</v>
      </c>
      <c r="F118" s="599">
        <v>1</v>
      </c>
      <c r="G118" s="339">
        <v>21971.69</v>
      </c>
      <c r="H118" s="339">
        <v>21971.69</v>
      </c>
      <c r="I118" s="374">
        <v>1.3676298898770295E-3</v>
      </c>
    </row>
    <row r="119" spans="1:9" ht="52.8">
      <c r="A119" s="613" t="s">
        <v>35397</v>
      </c>
      <c r="B119" s="337" t="s">
        <v>2879</v>
      </c>
      <c r="C119" s="540">
        <v>160631</v>
      </c>
      <c r="D119" s="539" t="s">
        <v>36051</v>
      </c>
      <c r="E119" s="338" t="s">
        <v>75</v>
      </c>
      <c r="F119" s="599">
        <v>75</v>
      </c>
      <c r="G119" s="339">
        <v>281.5</v>
      </c>
      <c r="H119" s="339">
        <v>21112.5</v>
      </c>
      <c r="I119" s="374">
        <v>1.3141495283261681E-3</v>
      </c>
    </row>
    <row r="120" spans="1:9" ht="52.8">
      <c r="A120" s="613" t="s">
        <v>35467</v>
      </c>
      <c r="B120" s="337" t="s">
        <v>2879</v>
      </c>
      <c r="C120" s="540">
        <v>190601</v>
      </c>
      <c r="D120" s="539" t="s">
        <v>36125</v>
      </c>
      <c r="E120" s="338" t="s">
        <v>75</v>
      </c>
      <c r="F120" s="599">
        <v>1980</v>
      </c>
      <c r="G120" s="339">
        <v>10.46</v>
      </c>
      <c r="H120" s="339">
        <v>20710.8</v>
      </c>
      <c r="I120" s="374">
        <v>1.2891456744230955E-3</v>
      </c>
    </row>
    <row r="121" spans="1:9">
      <c r="A121" s="613" t="s">
        <v>35324</v>
      </c>
      <c r="B121" s="337" t="s">
        <v>2879</v>
      </c>
      <c r="C121" s="540" t="s">
        <v>27387</v>
      </c>
      <c r="D121" s="539" t="s">
        <v>35328</v>
      </c>
      <c r="E121" s="338" t="s">
        <v>73</v>
      </c>
      <c r="F121" s="599">
        <v>4148.68</v>
      </c>
      <c r="G121" s="339">
        <v>4.87</v>
      </c>
      <c r="H121" s="339">
        <v>20204.071600000003</v>
      </c>
      <c r="I121" s="374">
        <v>1.2576043179826234E-3</v>
      </c>
    </row>
    <row r="122" spans="1:9">
      <c r="A122" s="613" t="s">
        <v>35477</v>
      </c>
      <c r="B122" s="337" t="s">
        <v>2879</v>
      </c>
      <c r="C122" s="540">
        <v>200401</v>
      </c>
      <c r="D122" s="539" t="s">
        <v>36135</v>
      </c>
      <c r="E122" s="338" t="s">
        <v>73</v>
      </c>
      <c r="F122" s="599">
        <v>2014.11</v>
      </c>
      <c r="G122" s="339">
        <v>9.89</v>
      </c>
      <c r="H122" s="339">
        <v>19919.55</v>
      </c>
      <c r="I122" s="374">
        <v>1.2398942444982605E-3</v>
      </c>
    </row>
    <row r="123" spans="1:9" ht="39.6">
      <c r="A123" s="613" t="s">
        <v>40</v>
      </c>
      <c r="B123" s="337" t="s">
        <v>2879</v>
      </c>
      <c r="C123" s="540">
        <v>40231</v>
      </c>
      <c r="D123" s="539" t="s">
        <v>27041</v>
      </c>
      <c r="E123" s="338" t="s">
        <v>83</v>
      </c>
      <c r="F123" s="599">
        <v>21.25</v>
      </c>
      <c r="G123" s="339">
        <v>936.49</v>
      </c>
      <c r="H123" s="339">
        <v>19900.41</v>
      </c>
      <c r="I123" s="374">
        <v>1.2387028734160976E-3</v>
      </c>
    </row>
    <row r="124" spans="1:9" ht="79.2">
      <c r="A124" s="613" t="s">
        <v>27021</v>
      </c>
      <c r="B124" s="337" t="s">
        <v>2879</v>
      </c>
      <c r="C124" s="540">
        <v>170126</v>
      </c>
      <c r="D124" s="539" t="s">
        <v>36098</v>
      </c>
      <c r="E124" s="338" t="s">
        <v>74</v>
      </c>
      <c r="F124" s="599">
        <v>4</v>
      </c>
      <c r="G124" s="339">
        <v>4878.1099999999997</v>
      </c>
      <c r="H124" s="339">
        <v>19512.439999999999</v>
      </c>
      <c r="I124" s="374">
        <v>1.2145536446414519E-3</v>
      </c>
    </row>
    <row r="125" spans="1:9" ht="26.4">
      <c r="A125" s="613" t="s">
        <v>27393</v>
      </c>
      <c r="B125" s="337" t="s">
        <v>2879</v>
      </c>
      <c r="C125" s="540" t="s">
        <v>27387</v>
      </c>
      <c r="D125" s="539" t="s">
        <v>27399</v>
      </c>
      <c r="E125" s="338" t="s">
        <v>73</v>
      </c>
      <c r="F125" s="599">
        <v>3139.7</v>
      </c>
      <c r="G125" s="339">
        <v>6.19</v>
      </c>
      <c r="H125" s="339">
        <v>19434.742999999999</v>
      </c>
      <c r="I125" s="374">
        <v>1.2097173876419324E-3</v>
      </c>
    </row>
    <row r="126" spans="1:9" ht="52.8">
      <c r="A126" s="613" t="s">
        <v>27382</v>
      </c>
      <c r="B126" s="877" t="s">
        <v>2879</v>
      </c>
      <c r="C126" s="877">
        <v>20804</v>
      </c>
      <c r="D126" s="878" t="s">
        <v>35911</v>
      </c>
      <c r="E126" s="879" t="s">
        <v>73</v>
      </c>
      <c r="F126" s="606">
        <v>36.299999999999997</v>
      </c>
      <c r="G126" s="339">
        <v>535.37</v>
      </c>
      <c r="H126" s="339">
        <v>19433.93</v>
      </c>
      <c r="I126" s="374">
        <v>1.2096667823812324E-3</v>
      </c>
    </row>
    <row r="127" spans="1:9" ht="26.4">
      <c r="A127" s="613" t="s">
        <v>35431</v>
      </c>
      <c r="B127" s="337" t="s">
        <v>2879</v>
      </c>
      <c r="C127" s="540">
        <v>160865</v>
      </c>
      <c r="D127" s="539" t="s">
        <v>36084</v>
      </c>
      <c r="E127" s="338" t="s">
        <v>74</v>
      </c>
      <c r="F127" s="599">
        <v>6</v>
      </c>
      <c r="G127" s="339">
        <v>3216.06</v>
      </c>
      <c r="H127" s="339">
        <v>19296.36</v>
      </c>
      <c r="I127" s="374">
        <v>1.2011037249218207E-3</v>
      </c>
    </row>
    <row r="128" spans="1:9" ht="26.4">
      <c r="A128" s="613" t="s">
        <v>35426</v>
      </c>
      <c r="B128" s="337" t="s">
        <v>2879</v>
      </c>
      <c r="C128" s="540">
        <v>160844</v>
      </c>
      <c r="D128" s="539" t="s">
        <v>36079</v>
      </c>
      <c r="E128" s="338" t="s">
        <v>74</v>
      </c>
      <c r="F128" s="599">
        <v>24</v>
      </c>
      <c r="G128" s="339">
        <v>783.82</v>
      </c>
      <c r="H128" s="339">
        <v>18811.68</v>
      </c>
      <c r="I128" s="374">
        <v>1.1709347731923179E-3</v>
      </c>
    </row>
    <row r="129" spans="1:9" ht="39.6">
      <c r="A129" s="613" t="s">
        <v>35385</v>
      </c>
      <c r="B129" s="337" t="s">
        <v>2879</v>
      </c>
      <c r="C129" s="540">
        <v>160308</v>
      </c>
      <c r="D129" s="539" t="s">
        <v>36038</v>
      </c>
      <c r="E129" s="338" t="s">
        <v>75</v>
      </c>
      <c r="F129" s="599">
        <v>215.4</v>
      </c>
      <c r="G129" s="339">
        <v>86.64</v>
      </c>
      <c r="H129" s="339">
        <v>18662.259999999998</v>
      </c>
      <c r="I129" s="374">
        <v>1.1616341113795294E-3</v>
      </c>
    </row>
    <row r="130" spans="1:9" ht="52.8">
      <c r="A130" s="613" t="s">
        <v>27383</v>
      </c>
      <c r="B130" s="337" t="s">
        <v>2879</v>
      </c>
      <c r="C130" s="337">
        <v>20354</v>
      </c>
      <c r="D130" s="539" t="s">
        <v>27038</v>
      </c>
      <c r="E130" s="338" t="s">
        <v>1022</v>
      </c>
      <c r="F130" s="599">
        <v>18</v>
      </c>
      <c r="G130" s="339">
        <v>1025.03</v>
      </c>
      <c r="H130" s="339">
        <v>18450.54</v>
      </c>
      <c r="I130" s="374">
        <v>1.1484555802658662E-3</v>
      </c>
    </row>
    <row r="131" spans="1:9">
      <c r="A131" s="613" t="s">
        <v>7509</v>
      </c>
      <c r="B131" s="337" t="s">
        <v>2879</v>
      </c>
      <c r="C131" s="337">
        <v>30103</v>
      </c>
      <c r="D131" s="539" t="s">
        <v>35916</v>
      </c>
      <c r="E131" s="338" t="s">
        <v>83</v>
      </c>
      <c r="F131" s="599">
        <v>848.1</v>
      </c>
      <c r="G131" s="339">
        <v>21.73</v>
      </c>
      <c r="H131" s="339">
        <v>18429.21</v>
      </c>
      <c r="I131" s="374">
        <v>1.147127892429788E-3</v>
      </c>
    </row>
    <row r="132" spans="1:9" ht="26.4">
      <c r="A132" s="613" t="s">
        <v>23679</v>
      </c>
      <c r="B132" s="337" t="s">
        <v>2879</v>
      </c>
      <c r="C132" s="540">
        <v>160303</v>
      </c>
      <c r="D132" s="539" t="s">
        <v>36035</v>
      </c>
      <c r="E132" s="338" t="s">
        <v>74</v>
      </c>
      <c r="F132" s="599">
        <v>30</v>
      </c>
      <c r="G132" s="339">
        <v>614.11</v>
      </c>
      <c r="H132" s="339">
        <v>18423.3</v>
      </c>
      <c r="I132" s="374">
        <v>1.1467600239294963E-3</v>
      </c>
    </row>
    <row r="133" spans="1:9" ht="39.6">
      <c r="A133" s="613" t="s">
        <v>35483</v>
      </c>
      <c r="B133" s="337" t="s">
        <v>2879</v>
      </c>
      <c r="C133" s="540">
        <v>200581</v>
      </c>
      <c r="D133" s="539" t="s">
        <v>36139</v>
      </c>
      <c r="E133" s="338" t="s">
        <v>74</v>
      </c>
      <c r="F133" s="599">
        <v>70</v>
      </c>
      <c r="G133" s="339">
        <v>261.36</v>
      </c>
      <c r="H133" s="339">
        <v>18295.2</v>
      </c>
      <c r="I133" s="374">
        <v>1.138786427501855E-3</v>
      </c>
    </row>
    <row r="134" spans="1:9" ht="39.6">
      <c r="A134" s="613" t="s">
        <v>35387</v>
      </c>
      <c r="B134" s="337" t="s">
        <v>2879</v>
      </c>
      <c r="C134" s="540">
        <v>160310</v>
      </c>
      <c r="D134" s="539" t="s">
        <v>36040</v>
      </c>
      <c r="E134" s="338" t="s">
        <v>74</v>
      </c>
      <c r="F134" s="599">
        <v>200</v>
      </c>
      <c r="G134" s="339">
        <v>91.06</v>
      </c>
      <c r="H134" s="339">
        <v>18212</v>
      </c>
      <c r="I134" s="374">
        <v>1.1336076357549402E-3</v>
      </c>
    </row>
    <row r="135" spans="1:9" ht="26.4">
      <c r="A135" s="613" t="s">
        <v>35430</v>
      </c>
      <c r="B135" s="337" t="s">
        <v>2879</v>
      </c>
      <c r="C135" s="540">
        <v>160864</v>
      </c>
      <c r="D135" s="539" t="s">
        <v>36083</v>
      </c>
      <c r="E135" s="338" t="s">
        <v>74</v>
      </c>
      <c r="F135" s="599">
        <v>12</v>
      </c>
      <c r="G135" s="339">
        <v>1436.73</v>
      </c>
      <c r="H135" s="339">
        <v>17240.759999999998</v>
      </c>
      <c r="I135" s="374">
        <v>1.0731527115208841E-3</v>
      </c>
    </row>
    <row r="136" spans="1:9" ht="66">
      <c r="A136" s="613" t="s">
        <v>27379</v>
      </c>
      <c r="B136" s="337" t="s">
        <v>2879</v>
      </c>
      <c r="C136" s="337">
        <v>20701</v>
      </c>
      <c r="D136" s="539" t="s">
        <v>35910</v>
      </c>
      <c r="E136" s="338" t="s">
        <v>73</v>
      </c>
      <c r="F136" s="599">
        <v>14.5</v>
      </c>
      <c r="G136" s="339">
        <v>1147.28</v>
      </c>
      <c r="H136" s="339">
        <v>16635.560000000001</v>
      </c>
      <c r="I136" s="374">
        <v>1.0354819811695286E-3</v>
      </c>
    </row>
    <row r="137" spans="1:9" ht="39.6">
      <c r="A137" s="613" t="s">
        <v>35556</v>
      </c>
      <c r="B137" s="337" t="s">
        <v>29</v>
      </c>
      <c r="C137" s="540" t="s">
        <v>6536</v>
      </c>
      <c r="D137" s="539" t="s">
        <v>29898</v>
      </c>
      <c r="E137" s="338" t="s">
        <v>73</v>
      </c>
      <c r="F137" s="606">
        <v>813.12</v>
      </c>
      <c r="G137" s="339">
        <v>20.329999999999998</v>
      </c>
      <c r="H137" s="339">
        <v>16530.73</v>
      </c>
      <c r="I137" s="374">
        <v>1.0289568280586021E-3</v>
      </c>
    </row>
    <row r="138" spans="1:9">
      <c r="A138" s="613" t="s">
        <v>27413</v>
      </c>
      <c r="B138" s="337" t="s">
        <v>2879</v>
      </c>
      <c r="C138" s="540">
        <v>90314</v>
      </c>
      <c r="D138" s="539" t="s">
        <v>35942</v>
      </c>
      <c r="E138" s="338" t="s">
        <v>75</v>
      </c>
      <c r="F138" s="599">
        <v>133</v>
      </c>
      <c r="G138" s="339">
        <v>123.62</v>
      </c>
      <c r="H138" s="339">
        <v>16441.46</v>
      </c>
      <c r="I138" s="374">
        <v>1.0234002085964978E-3</v>
      </c>
    </row>
    <row r="139" spans="1:9">
      <c r="A139" s="613" t="s">
        <v>23678</v>
      </c>
      <c r="B139" s="337" t="s">
        <v>2879</v>
      </c>
      <c r="C139" s="540">
        <v>160120</v>
      </c>
      <c r="D139" s="539" t="s">
        <v>36034</v>
      </c>
      <c r="E139" s="338" t="s">
        <v>74</v>
      </c>
      <c r="F139" s="599">
        <v>150</v>
      </c>
      <c r="G139" s="339">
        <v>108.84</v>
      </c>
      <c r="H139" s="339">
        <v>16326</v>
      </c>
      <c r="I139" s="374">
        <v>1.0162133901457915E-3</v>
      </c>
    </row>
    <row r="140" spans="1:9" ht="52.8">
      <c r="A140" s="613" t="s">
        <v>9652</v>
      </c>
      <c r="B140" s="337" t="s">
        <v>2879</v>
      </c>
      <c r="C140" s="337">
        <v>40705</v>
      </c>
      <c r="D140" s="539" t="s">
        <v>35926</v>
      </c>
      <c r="E140" s="338" t="s">
        <v>75</v>
      </c>
      <c r="F140" s="606">
        <v>200</v>
      </c>
      <c r="G140" s="339">
        <v>81.59</v>
      </c>
      <c r="H140" s="339">
        <v>16318</v>
      </c>
      <c r="I140" s="374">
        <v>1.0157154294008959E-3</v>
      </c>
    </row>
    <row r="141" spans="1:9">
      <c r="A141" s="613" t="s">
        <v>27395</v>
      </c>
      <c r="B141" s="337" t="s">
        <v>2879</v>
      </c>
      <c r="C141" s="540" t="s">
        <v>27387</v>
      </c>
      <c r="D141" s="539" t="s">
        <v>27401</v>
      </c>
      <c r="E141" s="338" t="s">
        <v>73</v>
      </c>
      <c r="F141" s="599">
        <v>3139.7</v>
      </c>
      <c r="G141" s="339">
        <v>4.99</v>
      </c>
      <c r="H141" s="339">
        <v>15667.102999999999</v>
      </c>
      <c r="I141" s="374">
        <v>9.7520028502960296E-4</v>
      </c>
    </row>
    <row r="142" spans="1:9">
      <c r="A142" s="613" t="s">
        <v>35438</v>
      </c>
      <c r="B142" s="337" t="s">
        <v>2879</v>
      </c>
      <c r="C142" s="540">
        <v>161006</v>
      </c>
      <c r="D142" s="539" t="s">
        <v>36091</v>
      </c>
      <c r="E142" s="338" t="s">
        <v>75</v>
      </c>
      <c r="F142" s="599">
        <v>160</v>
      </c>
      <c r="G142" s="339">
        <v>97.5</v>
      </c>
      <c r="H142" s="339">
        <v>15600</v>
      </c>
      <c r="I142" s="374">
        <v>9.7102345254651144E-4</v>
      </c>
    </row>
    <row r="143" spans="1:9" ht="52.8">
      <c r="A143" s="613" t="s">
        <v>10360</v>
      </c>
      <c r="B143" s="337" t="s">
        <v>2879</v>
      </c>
      <c r="C143" s="540">
        <v>150610</v>
      </c>
      <c r="D143" s="539" t="s">
        <v>35985</v>
      </c>
      <c r="E143" s="338" t="s">
        <v>74</v>
      </c>
      <c r="F143" s="599">
        <v>35</v>
      </c>
      <c r="G143" s="339">
        <v>434.4</v>
      </c>
      <c r="H143" s="339">
        <v>15204</v>
      </c>
      <c r="I143" s="374">
        <v>9.4637439567417695E-4</v>
      </c>
    </row>
    <row r="144" spans="1:9">
      <c r="A144" s="613" t="s">
        <v>35322</v>
      </c>
      <c r="B144" s="337" t="s">
        <v>2879</v>
      </c>
      <c r="C144" s="540" t="s">
        <v>27387</v>
      </c>
      <c r="D144" s="539" t="s">
        <v>35326</v>
      </c>
      <c r="E144" s="338" t="s">
        <v>73</v>
      </c>
      <c r="F144" s="599">
        <v>4148.68</v>
      </c>
      <c r="G144" s="339">
        <v>3.66</v>
      </c>
      <c r="H144" s="339">
        <v>15184.168800000001</v>
      </c>
      <c r="I144" s="374">
        <v>9.4514000078365517E-4</v>
      </c>
    </row>
    <row r="145" spans="1:9" ht="26.4">
      <c r="A145" s="613" t="s">
        <v>35338</v>
      </c>
      <c r="B145" s="337" t="s">
        <v>2879</v>
      </c>
      <c r="C145" s="540">
        <v>151127</v>
      </c>
      <c r="D145" s="539" t="s">
        <v>35995</v>
      </c>
      <c r="E145" s="338" t="s">
        <v>75</v>
      </c>
      <c r="F145" s="599">
        <v>560</v>
      </c>
      <c r="G145" s="339">
        <v>27.1</v>
      </c>
      <c r="H145" s="339">
        <v>15176</v>
      </c>
      <c r="I145" s="374">
        <v>9.4463153306704225E-4</v>
      </c>
    </row>
    <row r="146" spans="1:9">
      <c r="A146" s="613" t="s">
        <v>35364</v>
      </c>
      <c r="B146" s="337" t="s">
        <v>2879</v>
      </c>
      <c r="C146" s="540">
        <v>151506</v>
      </c>
      <c r="D146" s="539" t="s">
        <v>36019</v>
      </c>
      <c r="E146" s="338" t="s">
        <v>74</v>
      </c>
      <c r="F146" s="599">
        <v>50</v>
      </c>
      <c r="G146" s="339">
        <v>303.42</v>
      </c>
      <c r="H146" s="339">
        <v>15171</v>
      </c>
      <c r="I146" s="374">
        <v>9.4432030760148238E-4</v>
      </c>
    </row>
    <row r="147" spans="1:9" ht="26.4">
      <c r="A147" s="613" t="s">
        <v>35339</v>
      </c>
      <c r="B147" s="337" t="s">
        <v>2879</v>
      </c>
      <c r="C147" s="540">
        <v>151128</v>
      </c>
      <c r="D147" s="539" t="s">
        <v>35996</v>
      </c>
      <c r="E147" s="338" t="s">
        <v>75</v>
      </c>
      <c r="F147" s="599">
        <v>360</v>
      </c>
      <c r="G147" s="339">
        <v>42.04</v>
      </c>
      <c r="H147" s="339">
        <v>15134.4</v>
      </c>
      <c r="I147" s="374">
        <v>9.4204213719358487E-4</v>
      </c>
    </row>
    <row r="148" spans="1:9" ht="26.4">
      <c r="A148" s="613" t="s">
        <v>35453</v>
      </c>
      <c r="B148" s="337" t="s">
        <v>2879</v>
      </c>
      <c r="C148" s="540">
        <v>170562</v>
      </c>
      <c r="D148" s="539" t="s">
        <v>36110</v>
      </c>
      <c r="E148" s="338" t="s">
        <v>74</v>
      </c>
      <c r="F148" s="599">
        <v>4</v>
      </c>
      <c r="G148" s="339">
        <v>3782.74</v>
      </c>
      <c r="H148" s="339">
        <v>15130.96</v>
      </c>
      <c r="I148" s="374">
        <v>9.4182801407327967E-4</v>
      </c>
    </row>
    <row r="149" spans="1:9" ht="26.4">
      <c r="A149" s="613" t="s">
        <v>35275</v>
      </c>
      <c r="B149" s="337" t="s">
        <v>2879</v>
      </c>
      <c r="C149" s="540">
        <v>140702</v>
      </c>
      <c r="D149" s="539" t="s">
        <v>35950</v>
      </c>
      <c r="E149" s="338" t="s">
        <v>27053</v>
      </c>
      <c r="F149" s="599">
        <v>43</v>
      </c>
      <c r="G149" s="339">
        <v>349.23</v>
      </c>
      <c r="H149" s="339">
        <v>15016.89</v>
      </c>
      <c r="I149" s="374">
        <v>9.3472771630199883E-4</v>
      </c>
    </row>
    <row r="150" spans="1:9" ht="52.8">
      <c r="A150" s="613" t="s">
        <v>35259</v>
      </c>
      <c r="B150" s="337" t="s">
        <v>2879</v>
      </c>
      <c r="C150" s="337">
        <v>20714</v>
      </c>
      <c r="D150" s="539" t="s">
        <v>35915</v>
      </c>
      <c r="E150" s="338" t="s">
        <v>75</v>
      </c>
      <c r="F150" s="599">
        <v>25</v>
      </c>
      <c r="G150" s="339">
        <v>598.15</v>
      </c>
      <c r="H150" s="339">
        <v>14953.75</v>
      </c>
      <c r="I150" s="374">
        <v>9.3079756112290999E-4</v>
      </c>
    </row>
    <row r="151" spans="1:9">
      <c r="A151" s="613" t="s">
        <v>35436</v>
      </c>
      <c r="B151" s="337" t="s">
        <v>2879</v>
      </c>
      <c r="C151" s="540">
        <v>161004</v>
      </c>
      <c r="D151" s="539" t="s">
        <v>36089</v>
      </c>
      <c r="E151" s="338" t="s">
        <v>75</v>
      </c>
      <c r="F151" s="599">
        <v>200</v>
      </c>
      <c r="G151" s="339">
        <v>74.569999999999993</v>
      </c>
      <c r="H151" s="339">
        <v>14914</v>
      </c>
      <c r="I151" s="374">
        <v>9.2832331867170978E-4</v>
      </c>
    </row>
    <row r="152" spans="1:9" ht="105.6">
      <c r="A152" s="613" t="s">
        <v>23680</v>
      </c>
      <c r="B152" s="337" t="s">
        <v>2879</v>
      </c>
      <c r="C152" s="540">
        <v>160602</v>
      </c>
      <c r="D152" s="539" t="s">
        <v>36044</v>
      </c>
      <c r="E152" s="338" t="s">
        <v>74</v>
      </c>
      <c r="F152" s="599">
        <v>6</v>
      </c>
      <c r="G152" s="339">
        <v>2380.75</v>
      </c>
      <c r="H152" s="339">
        <v>14284.5</v>
      </c>
      <c r="I152" s="374">
        <v>8.891400325577336E-4</v>
      </c>
    </row>
    <row r="153" spans="1:9">
      <c r="A153" s="613" t="s">
        <v>35437</v>
      </c>
      <c r="B153" s="337" t="s">
        <v>2879</v>
      </c>
      <c r="C153" s="540">
        <v>161005</v>
      </c>
      <c r="D153" s="539" t="s">
        <v>36090</v>
      </c>
      <c r="E153" s="338" t="s">
        <v>75</v>
      </c>
      <c r="F153" s="599">
        <v>160</v>
      </c>
      <c r="G153" s="339">
        <v>87.41</v>
      </c>
      <c r="H153" s="339">
        <v>13985.6</v>
      </c>
      <c r="I153" s="374">
        <v>8.7053497422656992E-4</v>
      </c>
    </row>
    <row r="154" spans="1:9" ht="39.6">
      <c r="A154" s="613" t="s">
        <v>35379</v>
      </c>
      <c r="B154" s="337" t="s">
        <v>2879</v>
      </c>
      <c r="C154" s="540">
        <v>151814</v>
      </c>
      <c r="D154" s="539" t="s">
        <v>36030</v>
      </c>
      <c r="E154" s="338" t="s">
        <v>74</v>
      </c>
      <c r="F154" s="599">
        <v>30</v>
      </c>
      <c r="G154" s="339">
        <v>463.72</v>
      </c>
      <c r="H154" s="339">
        <v>13911.6</v>
      </c>
      <c r="I154" s="374">
        <v>8.6592883733628524E-4</v>
      </c>
    </row>
    <row r="155" spans="1:9" ht="26.4">
      <c r="A155" s="613" t="s">
        <v>33</v>
      </c>
      <c r="B155" s="337" t="s">
        <v>29</v>
      </c>
      <c r="C155" s="540" t="s">
        <v>11680</v>
      </c>
      <c r="D155" s="539" t="s">
        <v>34203</v>
      </c>
      <c r="E155" s="338" t="s">
        <v>73</v>
      </c>
      <c r="F155" s="599">
        <v>5355.9</v>
      </c>
      <c r="G155" s="339">
        <v>2.59</v>
      </c>
      <c r="H155" s="339">
        <v>13871.78</v>
      </c>
      <c r="I155" s="374">
        <v>8.6345023772856717E-4</v>
      </c>
    </row>
    <row r="156" spans="1:9" ht="26.4">
      <c r="A156" s="613" t="s">
        <v>35285</v>
      </c>
      <c r="B156" s="337" t="s">
        <v>2879</v>
      </c>
      <c r="C156" s="540">
        <v>140903</v>
      </c>
      <c r="D156" s="539" t="s">
        <v>35955</v>
      </c>
      <c r="E156" s="338" t="s">
        <v>75</v>
      </c>
      <c r="F156" s="599">
        <v>150</v>
      </c>
      <c r="G156" s="339">
        <v>91.6</v>
      </c>
      <c r="H156" s="339">
        <v>13740</v>
      </c>
      <c r="I156" s="374">
        <v>8.5524757935827355E-4</v>
      </c>
    </row>
    <row r="157" spans="1:9" ht="66">
      <c r="A157" s="613" t="s">
        <v>35291</v>
      </c>
      <c r="B157" s="337" t="s">
        <v>2879</v>
      </c>
      <c r="C157" s="540">
        <v>141111</v>
      </c>
      <c r="D157" s="539" t="s">
        <v>35959</v>
      </c>
      <c r="E157" s="338" t="s">
        <v>74</v>
      </c>
      <c r="F157" s="599">
        <v>12</v>
      </c>
      <c r="G157" s="339">
        <v>1123.83</v>
      </c>
      <c r="H157" s="339">
        <v>13485.96</v>
      </c>
      <c r="I157" s="374">
        <v>8.3943483590411222E-4</v>
      </c>
    </row>
    <row r="158" spans="1:9" ht="26.4">
      <c r="A158" s="613" t="s">
        <v>35422</v>
      </c>
      <c r="B158" s="337" t="s">
        <v>2879</v>
      </c>
      <c r="C158" s="540">
        <v>160828</v>
      </c>
      <c r="D158" s="539" t="s">
        <v>36075</v>
      </c>
      <c r="E158" s="338" t="s">
        <v>74</v>
      </c>
      <c r="F158" s="599">
        <v>24</v>
      </c>
      <c r="G158" s="339">
        <v>558.97</v>
      </c>
      <c r="H158" s="339">
        <v>13415.28</v>
      </c>
      <c r="I158" s="374">
        <v>8.3503535272295927E-4</v>
      </c>
    </row>
    <row r="159" spans="1:9" ht="66">
      <c r="A159" s="613" t="s">
        <v>27381</v>
      </c>
      <c r="B159" s="337" t="s">
        <v>2879</v>
      </c>
      <c r="C159" s="540">
        <v>20713</v>
      </c>
      <c r="D159" s="539" t="s">
        <v>9730</v>
      </c>
      <c r="E159" s="338" t="s">
        <v>75</v>
      </c>
      <c r="F159" s="599">
        <v>20</v>
      </c>
      <c r="G159" s="339">
        <v>669.17</v>
      </c>
      <c r="H159" s="339">
        <v>13383.4</v>
      </c>
      <c r="I159" s="374">
        <v>8.3305097915455009E-4</v>
      </c>
    </row>
    <row r="160" spans="1:9">
      <c r="A160" s="613" t="s">
        <v>35323</v>
      </c>
      <c r="B160" s="337" t="s">
        <v>2879</v>
      </c>
      <c r="C160" s="540" t="s">
        <v>27387</v>
      </c>
      <c r="D160" s="539" t="s">
        <v>35327</v>
      </c>
      <c r="E160" s="338" t="s">
        <v>73</v>
      </c>
      <c r="F160" s="599">
        <v>4148.68</v>
      </c>
      <c r="G160" s="339">
        <v>3.15</v>
      </c>
      <c r="H160" s="339">
        <v>13068.342000000001</v>
      </c>
      <c r="I160" s="374">
        <v>8.1344016460888351E-4</v>
      </c>
    </row>
    <row r="161" spans="1:9" ht="52.8">
      <c r="A161" s="613" t="s">
        <v>46</v>
      </c>
      <c r="B161" s="337" t="s">
        <v>29</v>
      </c>
      <c r="C161" s="540">
        <v>92620</v>
      </c>
      <c r="D161" s="539" t="s">
        <v>28311</v>
      </c>
      <c r="E161" s="338" t="s">
        <v>7992</v>
      </c>
      <c r="F161" s="599">
        <v>6</v>
      </c>
      <c r="G161" s="339">
        <v>2135.71</v>
      </c>
      <c r="H161" s="339">
        <v>12814.26</v>
      </c>
      <c r="I161" s="374">
        <v>7.976248068608116E-4</v>
      </c>
    </row>
    <row r="162" spans="1:9" ht="26.4">
      <c r="A162" s="613" t="s">
        <v>35340</v>
      </c>
      <c r="B162" s="337" t="s">
        <v>2879</v>
      </c>
      <c r="C162" s="540">
        <v>151129</v>
      </c>
      <c r="D162" s="539" t="s">
        <v>35997</v>
      </c>
      <c r="E162" s="338" t="s">
        <v>75</v>
      </c>
      <c r="F162" s="599">
        <v>280</v>
      </c>
      <c r="G162" s="339">
        <v>45.53</v>
      </c>
      <c r="H162" s="339">
        <v>12748.4</v>
      </c>
      <c r="I162" s="374">
        <v>7.9352534502845817E-4</v>
      </c>
    </row>
    <row r="163" spans="1:9">
      <c r="A163" s="613" t="s">
        <v>35325</v>
      </c>
      <c r="B163" s="337" t="s">
        <v>2879</v>
      </c>
      <c r="C163" s="540" t="s">
        <v>27387</v>
      </c>
      <c r="D163" s="539" t="s">
        <v>35329</v>
      </c>
      <c r="E163" s="338" t="s">
        <v>73</v>
      </c>
      <c r="F163" s="599">
        <v>4148.68</v>
      </c>
      <c r="G163" s="339">
        <v>3.06</v>
      </c>
      <c r="H163" s="339">
        <v>12694.960800000001</v>
      </c>
      <c r="I163" s="374">
        <v>7.9019901704862976E-4</v>
      </c>
    </row>
    <row r="164" spans="1:9" ht="26.4">
      <c r="A164" s="613" t="s">
        <v>35439</v>
      </c>
      <c r="B164" s="337" t="s">
        <v>2879</v>
      </c>
      <c r="C164" s="540">
        <v>161007</v>
      </c>
      <c r="D164" s="539" t="s">
        <v>36092</v>
      </c>
      <c r="E164" s="338" t="s">
        <v>75</v>
      </c>
      <c r="F164" s="599">
        <v>100</v>
      </c>
      <c r="G164" s="339">
        <v>121.3</v>
      </c>
      <c r="H164" s="339">
        <v>12130</v>
      </c>
      <c r="I164" s="374">
        <v>7.5503297944802463E-4</v>
      </c>
    </row>
    <row r="165" spans="1:9" ht="26.4">
      <c r="A165" s="613" t="s">
        <v>23689</v>
      </c>
      <c r="B165" s="337" t="s">
        <v>2879</v>
      </c>
      <c r="C165" s="540">
        <v>100203</v>
      </c>
      <c r="D165" s="539" t="s">
        <v>27047</v>
      </c>
      <c r="E165" s="338" t="s">
        <v>73</v>
      </c>
      <c r="F165" s="599">
        <v>205.4</v>
      </c>
      <c r="G165" s="339">
        <v>58.71</v>
      </c>
      <c r="H165" s="339">
        <v>12059.03</v>
      </c>
      <c r="I165" s="374">
        <v>7.5061544518986918E-4</v>
      </c>
    </row>
    <row r="166" spans="1:9" ht="26.4">
      <c r="A166" s="613" t="s">
        <v>35306</v>
      </c>
      <c r="B166" s="337" t="s">
        <v>2879</v>
      </c>
      <c r="C166" s="540">
        <v>141907</v>
      </c>
      <c r="D166" s="539" t="s">
        <v>35971</v>
      </c>
      <c r="E166" s="338" t="s">
        <v>75</v>
      </c>
      <c r="F166" s="599">
        <v>230</v>
      </c>
      <c r="G166" s="339">
        <v>52.33</v>
      </c>
      <c r="H166" s="339">
        <v>12035.9</v>
      </c>
      <c r="I166" s="374">
        <v>7.491757161861896E-4</v>
      </c>
    </row>
    <row r="167" spans="1:9" ht="39.6">
      <c r="A167" s="613" t="s">
        <v>23683</v>
      </c>
      <c r="B167" s="337" t="s">
        <v>2879</v>
      </c>
      <c r="C167" s="540">
        <v>170107</v>
      </c>
      <c r="D167" s="539" t="s">
        <v>36096</v>
      </c>
      <c r="E167" s="338" t="s">
        <v>74</v>
      </c>
      <c r="F167" s="599">
        <v>11</v>
      </c>
      <c r="G167" s="339">
        <v>1084.18</v>
      </c>
      <c r="H167" s="339">
        <v>11925.98</v>
      </c>
      <c r="I167" s="374">
        <v>7.4233373555132338E-4</v>
      </c>
    </row>
    <row r="168" spans="1:9" ht="52.8">
      <c r="A168" s="613" t="s">
        <v>35468</v>
      </c>
      <c r="B168" s="337" t="s">
        <v>2879</v>
      </c>
      <c r="C168" s="540">
        <v>190604</v>
      </c>
      <c r="D168" s="539" t="s">
        <v>36126</v>
      </c>
      <c r="E168" s="338" t="s">
        <v>75</v>
      </c>
      <c r="F168" s="599">
        <v>1000</v>
      </c>
      <c r="G168" s="339">
        <v>11.52</v>
      </c>
      <c r="H168" s="339">
        <v>11520</v>
      </c>
      <c r="I168" s="374">
        <v>7.1706347264973152E-4</v>
      </c>
    </row>
    <row r="169" spans="1:9" ht="26.4">
      <c r="A169" s="613" t="s">
        <v>35418</v>
      </c>
      <c r="B169" s="337" t="s">
        <v>2879</v>
      </c>
      <c r="C169" s="540">
        <v>160816</v>
      </c>
      <c r="D169" s="539" t="s">
        <v>36072</v>
      </c>
      <c r="E169" s="338" t="s">
        <v>74</v>
      </c>
      <c r="F169" s="599">
        <v>4</v>
      </c>
      <c r="G169" s="339">
        <v>2804.45</v>
      </c>
      <c r="H169" s="339">
        <v>11217.8</v>
      </c>
      <c r="I169" s="374">
        <v>6.9825300551129847E-4</v>
      </c>
    </row>
    <row r="170" spans="1:9" ht="39.6">
      <c r="A170" s="613" t="s">
        <v>35390</v>
      </c>
      <c r="B170" s="337" t="s">
        <v>2879</v>
      </c>
      <c r="C170" s="540">
        <v>160326</v>
      </c>
      <c r="D170" s="539" t="s">
        <v>36043</v>
      </c>
      <c r="E170" s="338" t="s">
        <v>75</v>
      </c>
      <c r="F170" s="599">
        <v>215.4</v>
      </c>
      <c r="G170" s="339">
        <v>51.17</v>
      </c>
      <c r="H170" s="339">
        <v>11022.02</v>
      </c>
      <c r="I170" s="374">
        <v>6.8606666118183979E-4</v>
      </c>
    </row>
    <row r="171" spans="1:9" ht="26.4">
      <c r="A171" s="613" t="s">
        <v>35261</v>
      </c>
      <c r="B171" s="337" t="s">
        <v>2879</v>
      </c>
      <c r="C171" s="337">
        <v>30210</v>
      </c>
      <c r="D171" s="539" t="s">
        <v>35919</v>
      </c>
      <c r="E171" s="338" t="s">
        <v>83</v>
      </c>
      <c r="F171" s="599">
        <v>225.8</v>
      </c>
      <c r="G171" s="339">
        <v>48.6</v>
      </c>
      <c r="H171" s="339">
        <v>10973.88</v>
      </c>
      <c r="I171" s="374">
        <v>6.8307018239943012E-4</v>
      </c>
    </row>
    <row r="172" spans="1:9" ht="39.6">
      <c r="A172" s="613" t="s">
        <v>35253</v>
      </c>
      <c r="B172" s="337" t="s">
        <v>2879</v>
      </c>
      <c r="C172" s="540">
        <v>10512</v>
      </c>
      <c r="D172" s="539" t="s">
        <v>35908</v>
      </c>
      <c r="E172" s="338" t="s">
        <v>7513</v>
      </c>
      <c r="F172" s="599">
        <v>0.35</v>
      </c>
      <c r="G172" s="339">
        <v>31160.37</v>
      </c>
      <c r="H172" s="339">
        <v>10906.13</v>
      </c>
      <c r="I172" s="374">
        <v>6.7885307734109521E-4</v>
      </c>
    </row>
    <row r="173" spans="1:9">
      <c r="A173" s="613" t="s">
        <v>28</v>
      </c>
      <c r="B173" s="337" t="s">
        <v>2879</v>
      </c>
      <c r="C173" s="337">
        <v>10401</v>
      </c>
      <c r="D173" s="539" t="s">
        <v>35905</v>
      </c>
      <c r="E173" s="338" t="s">
        <v>73</v>
      </c>
      <c r="F173" s="599">
        <v>5355.9</v>
      </c>
      <c r="G173" s="339">
        <v>2.0299999999999998</v>
      </c>
      <c r="H173" s="339">
        <v>10872.48</v>
      </c>
      <c r="I173" s="374">
        <v>6.7675852995787789E-4</v>
      </c>
    </row>
    <row r="174" spans="1:9" ht="26.4">
      <c r="A174" s="613" t="s">
        <v>35294</v>
      </c>
      <c r="B174" s="337" t="s">
        <v>2879</v>
      </c>
      <c r="C174" s="540">
        <v>141411</v>
      </c>
      <c r="D174" s="539" t="s">
        <v>35961</v>
      </c>
      <c r="E174" s="338" t="s">
        <v>75</v>
      </c>
      <c r="F174" s="599">
        <v>270</v>
      </c>
      <c r="G174" s="339">
        <v>39.200000000000003</v>
      </c>
      <c r="H174" s="339">
        <v>10584</v>
      </c>
      <c r="I174" s="374">
        <v>6.5880206549694088E-4</v>
      </c>
    </row>
    <row r="175" spans="1:9" ht="39.6">
      <c r="A175" s="613" t="s">
        <v>35393</v>
      </c>
      <c r="B175" s="337" t="s">
        <v>2879</v>
      </c>
      <c r="C175" s="540">
        <v>160613</v>
      </c>
      <c r="D175" s="539" t="s">
        <v>27063</v>
      </c>
      <c r="E175" s="338" t="s">
        <v>74</v>
      </c>
      <c r="F175" s="599">
        <v>30</v>
      </c>
      <c r="G175" s="339">
        <v>350.54</v>
      </c>
      <c r="H175" s="339">
        <v>10516.2</v>
      </c>
      <c r="I175" s="374">
        <v>6.5458184818395027E-4</v>
      </c>
    </row>
    <row r="176" spans="1:9" ht="52.8">
      <c r="A176" s="613" t="s">
        <v>27022</v>
      </c>
      <c r="B176" s="337" t="s">
        <v>2879</v>
      </c>
      <c r="C176" s="540">
        <v>170133</v>
      </c>
      <c r="D176" s="539" t="s">
        <v>36099</v>
      </c>
      <c r="E176" s="338" t="s">
        <v>74</v>
      </c>
      <c r="F176" s="599">
        <v>20</v>
      </c>
      <c r="G176" s="339">
        <v>515.72</v>
      </c>
      <c r="H176" s="339">
        <v>10314.4</v>
      </c>
      <c r="I176" s="374">
        <v>6.4202078839395752E-4</v>
      </c>
    </row>
    <row r="177" spans="1:9" ht="26.4">
      <c r="A177" s="613" t="s">
        <v>35308</v>
      </c>
      <c r="B177" s="337" t="s">
        <v>2879</v>
      </c>
      <c r="C177" s="540">
        <v>141909</v>
      </c>
      <c r="D177" s="539" t="s">
        <v>35973</v>
      </c>
      <c r="E177" s="338" t="s">
        <v>75</v>
      </c>
      <c r="F177" s="599">
        <v>100</v>
      </c>
      <c r="G177" s="339">
        <v>99.1</v>
      </c>
      <c r="H177" s="339">
        <v>9910</v>
      </c>
      <c r="I177" s="374">
        <v>6.168488727394826E-4</v>
      </c>
    </row>
    <row r="178" spans="1:9">
      <c r="A178" s="613" t="s">
        <v>27394</v>
      </c>
      <c r="B178" s="337" t="s">
        <v>2879</v>
      </c>
      <c r="C178" s="540" t="s">
        <v>27387</v>
      </c>
      <c r="D178" s="539" t="s">
        <v>27400</v>
      </c>
      <c r="E178" s="338" t="s">
        <v>73</v>
      </c>
      <c r="F178" s="599">
        <v>3139.7</v>
      </c>
      <c r="G178" s="339">
        <v>3.15</v>
      </c>
      <c r="H178" s="339">
        <v>9890.0549999999985</v>
      </c>
      <c r="I178" s="374">
        <v>6.1560739435736458E-4</v>
      </c>
    </row>
    <row r="179" spans="1:9">
      <c r="A179" s="613" t="s">
        <v>27396</v>
      </c>
      <c r="B179" s="337" t="s">
        <v>2879</v>
      </c>
      <c r="C179" s="540" t="s">
        <v>27387</v>
      </c>
      <c r="D179" s="539" t="s">
        <v>27402</v>
      </c>
      <c r="E179" s="338" t="s">
        <v>73</v>
      </c>
      <c r="F179" s="599">
        <v>3139.7</v>
      </c>
      <c r="G179" s="339">
        <v>3.15</v>
      </c>
      <c r="H179" s="339">
        <v>9890.0549999999985</v>
      </c>
      <c r="I179" s="374">
        <v>6.1560739435736458E-4</v>
      </c>
    </row>
    <row r="180" spans="1:9" ht="15" customHeight="1">
      <c r="A180" s="613" t="s">
        <v>35336</v>
      </c>
      <c r="B180" s="337" t="s">
        <v>2879</v>
      </c>
      <c r="C180" s="540">
        <v>150881</v>
      </c>
      <c r="D180" s="539" t="s">
        <v>35993</v>
      </c>
      <c r="E180" s="338" t="s">
        <v>74</v>
      </c>
      <c r="F180" s="599">
        <v>250</v>
      </c>
      <c r="G180" s="339">
        <v>39.28</v>
      </c>
      <c r="H180" s="339">
        <v>9820</v>
      </c>
      <c r="I180" s="374">
        <v>6.1124681435940659E-4</v>
      </c>
    </row>
    <row r="181" spans="1:9" ht="52.8">
      <c r="A181" s="613" t="s">
        <v>35373</v>
      </c>
      <c r="B181" s="337" t="s">
        <v>2879</v>
      </c>
      <c r="C181" s="540">
        <v>151802</v>
      </c>
      <c r="D181" s="539" t="s">
        <v>36024</v>
      </c>
      <c r="E181" s="338" t="s">
        <v>74</v>
      </c>
      <c r="F181" s="599">
        <v>35</v>
      </c>
      <c r="G181" s="339">
        <v>278.44</v>
      </c>
      <c r="H181" s="339">
        <v>9745.4</v>
      </c>
      <c r="I181" s="374">
        <v>6.0660333041325464E-4</v>
      </c>
    </row>
    <row r="182" spans="1:9" ht="66">
      <c r="A182" s="613" t="s">
        <v>35459</v>
      </c>
      <c r="B182" s="337" t="s">
        <v>2879</v>
      </c>
      <c r="C182" s="540">
        <v>181003</v>
      </c>
      <c r="D182" s="539" t="s">
        <v>27061</v>
      </c>
      <c r="E182" s="338" t="s">
        <v>74</v>
      </c>
      <c r="F182" s="599">
        <v>55</v>
      </c>
      <c r="G182" s="339">
        <v>172.92</v>
      </c>
      <c r="H182" s="339">
        <v>9510.6</v>
      </c>
      <c r="I182" s="374">
        <v>5.9198818255056743E-4</v>
      </c>
    </row>
    <row r="183" spans="1:9" ht="92.4">
      <c r="A183" s="613" t="s">
        <v>35413</v>
      </c>
      <c r="B183" s="337" t="s">
        <v>2879</v>
      </c>
      <c r="C183" s="540">
        <v>160671</v>
      </c>
      <c r="D183" s="539" t="s">
        <v>36067</v>
      </c>
      <c r="E183" s="338" t="s">
        <v>74</v>
      </c>
      <c r="F183" s="599">
        <v>3</v>
      </c>
      <c r="G183" s="339">
        <v>3091.16</v>
      </c>
      <c r="H183" s="339">
        <v>9273.48</v>
      </c>
      <c r="I183" s="374">
        <v>5.7722862607186042E-4</v>
      </c>
    </row>
    <row r="184" spans="1:9" ht="52.8">
      <c r="A184" s="613" t="s">
        <v>35386</v>
      </c>
      <c r="B184" s="337" t="s">
        <v>2879</v>
      </c>
      <c r="C184" s="540">
        <v>160309</v>
      </c>
      <c r="D184" s="539" t="s">
        <v>36039</v>
      </c>
      <c r="E184" s="338" t="s">
        <v>74</v>
      </c>
      <c r="F184" s="599">
        <v>60</v>
      </c>
      <c r="G184" s="339">
        <v>149.99</v>
      </c>
      <c r="H184" s="339">
        <v>8999.4</v>
      </c>
      <c r="I184" s="374">
        <v>5.6016849095173553E-4</v>
      </c>
    </row>
    <row r="185" spans="1:9" ht="52.8">
      <c r="A185" s="613" t="s">
        <v>35254</v>
      </c>
      <c r="B185" s="337" t="s">
        <v>2879</v>
      </c>
      <c r="C185" s="337">
        <v>20702</v>
      </c>
      <c r="D185" s="539" t="s">
        <v>35912</v>
      </c>
      <c r="E185" s="338" t="s">
        <v>73</v>
      </c>
      <c r="F185" s="599">
        <v>10.9</v>
      </c>
      <c r="G185" s="339">
        <v>797.33</v>
      </c>
      <c r="H185" s="339">
        <v>8690.9</v>
      </c>
      <c r="I185" s="374">
        <v>5.4096587972669722E-4</v>
      </c>
    </row>
    <row r="186" spans="1:9" ht="66">
      <c r="A186" s="613" t="s">
        <v>35289</v>
      </c>
      <c r="B186" s="337" t="s">
        <v>2879</v>
      </c>
      <c r="C186" s="540">
        <v>141101</v>
      </c>
      <c r="D186" s="539" t="s">
        <v>27058</v>
      </c>
      <c r="E186" s="338" t="s">
        <v>74</v>
      </c>
      <c r="F186" s="599">
        <v>10</v>
      </c>
      <c r="G186" s="339">
        <v>861.11</v>
      </c>
      <c r="H186" s="339">
        <v>8611.1</v>
      </c>
      <c r="I186" s="374">
        <v>5.3599872129636312E-4</v>
      </c>
    </row>
    <row r="187" spans="1:9" ht="26.4">
      <c r="A187" s="613" t="s">
        <v>35367</v>
      </c>
      <c r="B187" s="337" t="s">
        <v>2879</v>
      </c>
      <c r="C187" s="540">
        <v>151602</v>
      </c>
      <c r="D187" s="539" t="s">
        <v>36021</v>
      </c>
      <c r="E187" s="338" t="s">
        <v>75</v>
      </c>
      <c r="F187" s="599">
        <v>300</v>
      </c>
      <c r="G187" s="339">
        <v>27.96</v>
      </c>
      <c r="H187" s="339">
        <v>8388</v>
      </c>
      <c r="I187" s="374">
        <v>5.2211184102308583E-4</v>
      </c>
    </row>
    <row r="188" spans="1:9" ht="26.4">
      <c r="A188" s="613" t="s">
        <v>35425</v>
      </c>
      <c r="B188" s="337" t="s">
        <v>2879</v>
      </c>
      <c r="C188" s="540">
        <v>160836</v>
      </c>
      <c r="D188" s="539" t="s">
        <v>36078</v>
      </c>
      <c r="E188" s="338" t="s">
        <v>74</v>
      </c>
      <c r="F188" s="599">
        <v>12</v>
      </c>
      <c r="G188" s="339">
        <v>666.85</v>
      </c>
      <c r="H188" s="339">
        <v>8002.2</v>
      </c>
      <c r="I188" s="374">
        <v>4.9809768410049324E-4</v>
      </c>
    </row>
    <row r="189" spans="1:9" ht="26.4">
      <c r="A189" s="613" t="s">
        <v>35440</v>
      </c>
      <c r="B189" s="337" t="s">
        <v>2879</v>
      </c>
      <c r="C189" s="540">
        <v>161011</v>
      </c>
      <c r="D189" s="539" t="s">
        <v>36093</v>
      </c>
      <c r="E189" s="338" t="s">
        <v>74</v>
      </c>
      <c r="F189" s="599">
        <v>200</v>
      </c>
      <c r="G189" s="339">
        <v>38.43</v>
      </c>
      <c r="H189" s="339">
        <v>7686</v>
      </c>
      <c r="I189" s="374">
        <v>4.7841578565849279E-4</v>
      </c>
    </row>
    <row r="190" spans="1:9" ht="39.6">
      <c r="A190" s="613" t="s">
        <v>35481</v>
      </c>
      <c r="B190" s="337" t="s">
        <v>2879</v>
      </c>
      <c r="C190" s="540">
        <v>200513</v>
      </c>
      <c r="D190" s="539" t="s">
        <v>36137</v>
      </c>
      <c r="E190" s="338" t="s">
        <v>74</v>
      </c>
      <c r="F190" s="599">
        <v>4</v>
      </c>
      <c r="G190" s="339">
        <v>1909.4</v>
      </c>
      <c r="H190" s="339">
        <v>7637.6</v>
      </c>
      <c r="I190" s="374">
        <v>4.7540312315187412E-4</v>
      </c>
    </row>
    <row r="191" spans="1:9" ht="26.4">
      <c r="A191" s="613" t="s">
        <v>35307</v>
      </c>
      <c r="B191" s="337" t="s">
        <v>2879</v>
      </c>
      <c r="C191" s="540">
        <v>141908</v>
      </c>
      <c r="D191" s="539" t="s">
        <v>35972</v>
      </c>
      <c r="E191" s="338" t="s">
        <v>75</v>
      </c>
      <c r="F191" s="599">
        <v>90</v>
      </c>
      <c r="G191" s="339">
        <v>81.19</v>
      </c>
      <c r="H191" s="339">
        <v>7307.1</v>
      </c>
      <c r="I191" s="374">
        <v>4.5483111987837274E-4</v>
      </c>
    </row>
    <row r="192" spans="1:9" ht="52.8">
      <c r="A192" s="613" t="s">
        <v>35414</v>
      </c>
      <c r="B192" s="337" t="s">
        <v>2879</v>
      </c>
      <c r="C192" s="540">
        <v>160673</v>
      </c>
      <c r="D192" s="539" t="s">
        <v>36068</v>
      </c>
      <c r="E192" s="338" t="s">
        <v>74</v>
      </c>
      <c r="F192" s="599">
        <v>2</v>
      </c>
      <c r="G192" s="339">
        <v>3637.92</v>
      </c>
      <c r="H192" s="339">
        <v>7275.84</v>
      </c>
      <c r="I192" s="374">
        <v>4.5288533826769298E-4</v>
      </c>
    </row>
    <row r="193" spans="1:9" ht="52.8">
      <c r="A193" s="613" t="s">
        <v>35472</v>
      </c>
      <c r="B193" s="337" t="s">
        <v>2879</v>
      </c>
      <c r="C193" s="540">
        <v>200253</v>
      </c>
      <c r="D193" s="539" t="s">
        <v>36132</v>
      </c>
      <c r="E193" s="338" t="s">
        <v>73</v>
      </c>
      <c r="F193" s="599">
        <v>83.68</v>
      </c>
      <c r="G193" s="339">
        <v>86.41</v>
      </c>
      <c r="H193" s="339">
        <v>7230.79</v>
      </c>
      <c r="I193" s="374">
        <v>4.5008119682299932E-4</v>
      </c>
    </row>
    <row r="194" spans="1:9" ht="26.4">
      <c r="A194" s="613" t="s">
        <v>23677</v>
      </c>
      <c r="B194" s="337" t="s">
        <v>2879</v>
      </c>
      <c r="C194" s="540">
        <v>160105</v>
      </c>
      <c r="D194" s="539" t="s">
        <v>36033</v>
      </c>
      <c r="E194" s="338" t="s">
        <v>74</v>
      </c>
      <c r="F194" s="599">
        <v>3</v>
      </c>
      <c r="G194" s="339">
        <v>2409.56</v>
      </c>
      <c r="H194" s="339">
        <v>7228.68</v>
      </c>
      <c r="I194" s="374">
        <v>4.4994985967653314E-4</v>
      </c>
    </row>
    <row r="195" spans="1:9" ht="39.6">
      <c r="A195" s="613" t="s">
        <v>35444</v>
      </c>
      <c r="B195" s="337" t="s">
        <v>2879</v>
      </c>
      <c r="C195" s="540">
        <v>170304</v>
      </c>
      <c r="D195" s="539" t="s">
        <v>36101</v>
      </c>
      <c r="E195" s="338" t="s">
        <v>74</v>
      </c>
      <c r="F195" s="599">
        <v>22</v>
      </c>
      <c r="G195" s="339">
        <v>324.97000000000003</v>
      </c>
      <c r="H195" s="339">
        <v>7149.34</v>
      </c>
      <c r="I195" s="374">
        <v>4.4501133398903054E-4</v>
      </c>
    </row>
    <row r="196" spans="1:9" ht="26.4">
      <c r="A196" s="613" t="s">
        <v>35341</v>
      </c>
      <c r="B196" s="337" t="s">
        <v>2879</v>
      </c>
      <c r="C196" s="540">
        <v>151130</v>
      </c>
      <c r="D196" s="539" t="s">
        <v>35998</v>
      </c>
      <c r="E196" s="338" t="s">
        <v>75</v>
      </c>
      <c r="F196" s="599">
        <v>144</v>
      </c>
      <c r="G196" s="339">
        <v>49.12</v>
      </c>
      <c r="H196" s="339">
        <v>7073.28</v>
      </c>
      <c r="I196" s="374">
        <v>4.4027697220693515E-4</v>
      </c>
    </row>
    <row r="197" spans="1:9" ht="66">
      <c r="A197" s="613" t="s">
        <v>35391</v>
      </c>
      <c r="B197" s="337" t="s">
        <v>2879</v>
      </c>
      <c r="C197" s="540">
        <v>160608</v>
      </c>
      <c r="D197" s="539" t="s">
        <v>27062</v>
      </c>
      <c r="E197" s="338" t="s">
        <v>74</v>
      </c>
      <c r="F197" s="599">
        <v>15</v>
      </c>
      <c r="G197" s="339">
        <v>454.06</v>
      </c>
      <c r="H197" s="339">
        <v>6810.9</v>
      </c>
      <c r="I197" s="374">
        <v>4.2394510467622017E-4</v>
      </c>
    </row>
    <row r="198" spans="1:9" ht="26.4">
      <c r="A198" s="613" t="s">
        <v>27380</v>
      </c>
      <c r="B198" s="337" t="s">
        <v>2879</v>
      </c>
      <c r="C198" s="337">
        <v>20344</v>
      </c>
      <c r="D198" s="539" t="s">
        <v>7989</v>
      </c>
      <c r="E198" s="338" t="s">
        <v>74</v>
      </c>
      <c r="F198" s="599">
        <v>3</v>
      </c>
      <c r="G198" s="339">
        <v>2220.84</v>
      </c>
      <c r="H198" s="339">
        <v>6662.52</v>
      </c>
      <c r="I198" s="374">
        <v>4.1470917776026823E-4</v>
      </c>
    </row>
    <row r="199" spans="1:9" ht="52.8">
      <c r="A199" s="613" t="s">
        <v>35321</v>
      </c>
      <c r="B199" s="337" t="s">
        <v>2879</v>
      </c>
      <c r="C199" s="540">
        <v>142802</v>
      </c>
      <c r="D199" s="539" t="s">
        <v>35982</v>
      </c>
      <c r="E199" s="338" t="s">
        <v>35983</v>
      </c>
      <c r="F199" s="599">
        <v>700</v>
      </c>
      <c r="G199" s="339">
        <v>9.5</v>
      </c>
      <c r="H199" s="339">
        <v>6650</v>
      </c>
      <c r="I199" s="374">
        <v>4.1392986919450652E-4</v>
      </c>
    </row>
    <row r="200" spans="1:9">
      <c r="A200" s="613" t="s">
        <v>35277</v>
      </c>
      <c r="B200" s="337" t="s">
        <v>2879</v>
      </c>
      <c r="C200" s="540">
        <v>140705</v>
      </c>
      <c r="D200" s="539" t="s">
        <v>27054</v>
      </c>
      <c r="E200" s="338" t="s">
        <v>27053</v>
      </c>
      <c r="F200" s="599">
        <v>35</v>
      </c>
      <c r="G200" s="339">
        <v>182.07</v>
      </c>
      <c r="H200" s="339">
        <v>6372.45</v>
      </c>
      <c r="I200" s="374">
        <v>3.9665374360128315E-4</v>
      </c>
    </row>
    <row r="201" spans="1:9" ht="118.8">
      <c r="A201" s="613" t="s">
        <v>35394</v>
      </c>
      <c r="B201" s="337" t="s">
        <v>2879</v>
      </c>
      <c r="C201" s="540">
        <v>160627</v>
      </c>
      <c r="D201" s="539" t="s">
        <v>36048</v>
      </c>
      <c r="E201" s="338" t="s">
        <v>74</v>
      </c>
      <c r="F201" s="599">
        <v>3</v>
      </c>
      <c r="G201" s="339">
        <v>2123.0300000000002</v>
      </c>
      <c r="H201" s="339">
        <v>6369.09</v>
      </c>
      <c r="I201" s="374">
        <v>3.96444600088427E-4</v>
      </c>
    </row>
    <row r="202" spans="1:9" ht="26.4">
      <c r="A202" s="613" t="s">
        <v>7997</v>
      </c>
      <c r="B202" s="337" t="s">
        <v>26987</v>
      </c>
      <c r="C202" s="540" t="s">
        <v>24218</v>
      </c>
      <c r="D202" s="539" t="s">
        <v>31915</v>
      </c>
      <c r="E202" s="338" t="s">
        <v>27019</v>
      </c>
      <c r="F202" s="599">
        <v>320</v>
      </c>
      <c r="G202" s="339">
        <v>19.850000000000001</v>
      </c>
      <c r="H202" s="339">
        <v>6352</v>
      </c>
      <c r="I202" s="374">
        <v>3.9538083144714364E-4</v>
      </c>
    </row>
    <row r="203" spans="1:9">
      <c r="A203" s="613" t="s">
        <v>35441</v>
      </c>
      <c r="B203" s="337" t="s">
        <v>2879</v>
      </c>
      <c r="C203" s="540">
        <v>161014</v>
      </c>
      <c r="D203" s="539" t="s">
        <v>36094</v>
      </c>
      <c r="E203" s="338" t="s">
        <v>71</v>
      </c>
      <c r="F203" s="599">
        <v>50</v>
      </c>
      <c r="G203" s="339">
        <v>126.53</v>
      </c>
      <c r="H203" s="339">
        <v>6326.5</v>
      </c>
      <c r="I203" s="374">
        <v>3.9379358157278876E-4</v>
      </c>
    </row>
    <row r="204" spans="1:9" ht="26.4">
      <c r="A204" s="613" t="s">
        <v>35427</v>
      </c>
      <c r="B204" s="337" t="s">
        <v>2879</v>
      </c>
      <c r="C204" s="540">
        <v>160847</v>
      </c>
      <c r="D204" s="539" t="s">
        <v>36080</v>
      </c>
      <c r="E204" s="338" t="s">
        <v>74</v>
      </c>
      <c r="F204" s="599">
        <v>150</v>
      </c>
      <c r="G204" s="339">
        <v>41.79</v>
      </c>
      <c r="H204" s="339">
        <v>6268.5</v>
      </c>
      <c r="I204" s="374">
        <v>3.9018336617229534E-4</v>
      </c>
    </row>
    <row r="205" spans="1:9" ht="26.4">
      <c r="A205" s="613" t="s">
        <v>35433</v>
      </c>
      <c r="B205" s="337" t="s">
        <v>2879</v>
      </c>
      <c r="C205" s="540">
        <v>160870</v>
      </c>
      <c r="D205" s="539" t="s">
        <v>36086</v>
      </c>
      <c r="E205" s="338" t="s">
        <v>74</v>
      </c>
      <c r="F205" s="599">
        <v>150</v>
      </c>
      <c r="G205" s="339">
        <v>41.61</v>
      </c>
      <c r="H205" s="339">
        <v>6241.5</v>
      </c>
      <c r="I205" s="374">
        <v>3.8850274865827252E-4</v>
      </c>
    </row>
    <row r="206" spans="1:9" ht="66">
      <c r="A206" s="613" t="s">
        <v>23681</v>
      </c>
      <c r="B206" s="337" t="s">
        <v>2879</v>
      </c>
      <c r="C206" s="540">
        <v>160604</v>
      </c>
      <c r="D206" s="539" t="s">
        <v>36045</v>
      </c>
      <c r="E206" s="338" t="s">
        <v>74</v>
      </c>
      <c r="F206" s="599">
        <v>18</v>
      </c>
      <c r="G206" s="339">
        <v>343.25</v>
      </c>
      <c r="H206" s="339">
        <v>6178.5</v>
      </c>
      <c r="I206" s="374">
        <v>3.8458130779221933E-4</v>
      </c>
    </row>
    <row r="207" spans="1:9" ht="26.4">
      <c r="A207" s="613" t="s">
        <v>35352</v>
      </c>
      <c r="B207" s="337" t="s">
        <v>2879</v>
      </c>
      <c r="C207" s="540">
        <v>151350</v>
      </c>
      <c r="D207" s="539" t="s">
        <v>36009</v>
      </c>
      <c r="E207" s="338" t="s">
        <v>74</v>
      </c>
      <c r="F207" s="599">
        <v>32</v>
      </c>
      <c r="G207" s="339">
        <v>186.08</v>
      </c>
      <c r="H207" s="339">
        <v>5954.56</v>
      </c>
      <c r="I207" s="374">
        <v>3.7064214164072792E-4</v>
      </c>
    </row>
    <row r="208" spans="1:9" ht="26.4">
      <c r="A208" s="613" t="s">
        <v>35293</v>
      </c>
      <c r="B208" s="337" t="s">
        <v>2879</v>
      </c>
      <c r="C208" s="540">
        <v>141410</v>
      </c>
      <c r="D208" s="539" t="s">
        <v>35960</v>
      </c>
      <c r="E208" s="338" t="s">
        <v>75</v>
      </c>
      <c r="F208" s="599">
        <v>180</v>
      </c>
      <c r="G208" s="339">
        <v>32.53</v>
      </c>
      <c r="H208" s="339">
        <v>5855.4</v>
      </c>
      <c r="I208" s="374">
        <v>3.6446991820774635E-4</v>
      </c>
    </row>
    <row r="209" spans="1:9" ht="26.4">
      <c r="A209" s="613" t="s">
        <v>35279</v>
      </c>
      <c r="B209" s="337" t="s">
        <v>2879</v>
      </c>
      <c r="C209" s="540">
        <v>140707</v>
      </c>
      <c r="D209" s="539" t="s">
        <v>27056</v>
      </c>
      <c r="E209" s="338" t="s">
        <v>27053</v>
      </c>
      <c r="F209" s="599">
        <v>23</v>
      </c>
      <c r="G209" s="339">
        <v>249.28</v>
      </c>
      <c r="H209" s="339">
        <v>5733.44</v>
      </c>
      <c r="I209" s="374">
        <v>3.5687850665181223E-4</v>
      </c>
    </row>
    <row r="210" spans="1:9" ht="39.6">
      <c r="A210" s="613" t="s">
        <v>35257</v>
      </c>
      <c r="B210" s="337" t="s">
        <v>2879</v>
      </c>
      <c r="C210" s="337">
        <v>20711</v>
      </c>
      <c r="D210" s="539" t="s">
        <v>7987</v>
      </c>
      <c r="E210" s="338" t="s">
        <v>74</v>
      </c>
      <c r="F210" s="599">
        <v>2</v>
      </c>
      <c r="G210" s="339">
        <v>2789.84</v>
      </c>
      <c r="H210" s="339">
        <v>5579.68</v>
      </c>
      <c r="I210" s="374">
        <v>3.4730770113491791E-4</v>
      </c>
    </row>
    <row r="211" spans="1:9" ht="79.2">
      <c r="A211" s="613" t="s">
        <v>7980</v>
      </c>
      <c r="B211" s="337" t="s">
        <v>2879</v>
      </c>
      <c r="C211" s="540">
        <v>61301</v>
      </c>
      <c r="D211" s="539" t="s">
        <v>35934</v>
      </c>
      <c r="E211" s="338" t="s">
        <v>74</v>
      </c>
      <c r="F211" s="599">
        <v>4</v>
      </c>
      <c r="G211" s="339">
        <v>1349.48</v>
      </c>
      <c r="H211" s="339">
        <v>5397.92</v>
      </c>
      <c r="I211" s="374">
        <v>3.3599403301088883E-4</v>
      </c>
    </row>
    <row r="212" spans="1:9" ht="26.4">
      <c r="A212" s="613" t="s">
        <v>35448</v>
      </c>
      <c r="B212" s="337" t="s">
        <v>2879</v>
      </c>
      <c r="C212" s="540">
        <v>170330</v>
      </c>
      <c r="D212" s="539" t="s">
        <v>36105</v>
      </c>
      <c r="E212" s="338" t="s">
        <v>74</v>
      </c>
      <c r="F212" s="599">
        <v>18</v>
      </c>
      <c r="G212" s="339">
        <v>295.95</v>
      </c>
      <c r="H212" s="339">
        <v>5327.1</v>
      </c>
      <c r="I212" s="374">
        <v>3.3158583551670011E-4</v>
      </c>
    </row>
    <row r="213" spans="1:9" ht="26.4">
      <c r="A213" s="613" t="s">
        <v>27035</v>
      </c>
      <c r="B213" s="337" t="s">
        <v>29</v>
      </c>
      <c r="C213" s="540" t="s">
        <v>6523</v>
      </c>
      <c r="D213" s="539" t="s">
        <v>26566</v>
      </c>
      <c r="E213" s="338" t="s">
        <v>73</v>
      </c>
      <c r="F213" s="606">
        <v>813.12</v>
      </c>
      <c r="G213" s="339">
        <v>6.44</v>
      </c>
      <c r="H213" s="339">
        <v>5236.49</v>
      </c>
      <c r="I213" s="374">
        <v>3.2594580762982577E-4</v>
      </c>
    </row>
    <row r="214" spans="1:9" ht="52.8">
      <c r="A214" s="613" t="s">
        <v>35451</v>
      </c>
      <c r="B214" s="337" t="s">
        <v>2879</v>
      </c>
      <c r="C214" s="540">
        <v>170514</v>
      </c>
      <c r="D214" s="539" t="s">
        <v>36108</v>
      </c>
      <c r="E214" s="338" t="s">
        <v>74</v>
      </c>
      <c r="F214" s="599">
        <v>2</v>
      </c>
      <c r="G214" s="339">
        <v>2562.4899999999998</v>
      </c>
      <c r="H214" s="339">
        <v>5124.9799999999996</v>
      </c>
      <c r="I214" s="374">
        <v>3.1900485729691153E-4</v>
      </c>
    </row>
    <row r="215" spans="1:9" ht="26.4">
      <c r="A215" s="613" t="s">
        <v>35274</v>
      </c>
      <c r="B215" s="337" t="s">
        <v>2879</v>
      </c>
      <c r="C215" s="540">
        <v>140701</v>
      </c>
      <c r="D215" s="539" t="s">
        <v>27052</v>
      </c>
      <c r="E215" s="338" t="s">
        <v>27053</v>
      </c>
      <c r="F215" s="599">
        <v>32</v>
      </c>
      <c r="G215" s="339">
        <v>152.86000000000001</v>
      </c>
      <c r="H215" s="339">
        <v>4891.5200000000004</v>
      </c>
      <c r="I215" s="374">
        <v>3.0447311785899436E-4</v>
      </c>
    </row>
    <row r="216" spans="1:9" ht="39.6">
      <c r="A216" s="613" t="s">
        <v>35351</v>
      </c>
      <c r="B216" s="337" t="s">
        <v>2879</v>
      </c>
      <c r="C216" s="540">
        <v>151337</v>
      </c>
      <c r="D216" s="539" t="s">
        <v>36008</v>
      </c>
      <c r="E216" s="338" t="s">
        <v>74</v>
      </c>
      <c r="F216" s="599">
        <v>32</v>
      </c>
      <c r="G216" s="339">
        <v>152.76</v>
      </c>
      <c r="H216" s="339">
        <v>4888.32</v>
      </c>
      <c r="I216" s="374">
        <v>3.0427393356103607E-4</v>
      </c>
    </row>
    <row r="217" spans="1:9" ht="52.8">
      <c r="A217" s="613" t="s">
        <v>35375</v>
      </c>
      <c r="B217" s="337" t="s">
        <v>2879</v>
      </c>
      <c r="C217" s="540">
        <v>151805</v>
      </c>
      <c r="D217" s="539" t="s">
        <v>36026</v>
      </c>
      <c r="E217" s="338" t="s">
        <v>74</v>
      </c>
      <c r="F217" s="599">
        <v>6</v>
      </c>
      <c r="G217" s="339">
        <v>798.7</v>
      </c>
      <c r="H217" s="339">
        <v>4792.2</v>
      </c>
      <c r="I217" s="374">
        <v>2.9829093521111487E-4</v>
      </c>
    </row>
    <row r="218" spans="1:9" ht="52.8">
      <c r="A218" s="613" t="s">
        <v>27426</v>
      </c>
      <c r="B218" s="337" t="s">
        <v>2879</v>
      </c>
      <c r="C218" s="540">
        <v>150317</v>
      </c>
      <c r="D218" s="539" t="s">
        <v>35984</v>
      </c>
      <c r="E218" s="338" t="s">
        <v>74</v>
      </c>
      <c r="F218" s="599">
        <v>2</v>
      </c>
      <c r="G218" s="339">
        <v>2323.04</v>
      </c>
      <c r="H218" s="339">
        <v>4646.08</v>
      </c>
      <c r="I218" s="374">
        <v>2.891956822055959E-4</v>
      </c>
    </row>
    <row r="219" spans="1:9" ht="52.8">
      <c r="A219" s="613" t="s">
        <v>35398</v>
      </c>
      <c r="B219" s="337" t="s">
        <v>2879</v>
      </c>
      <c r="C219" s="540">
        <v>160632</v>
      </c>
      <c r="D219" s="539" t="s">
        <v>36052</v>
      </c>
      <c r="E219" s="338" t="s">
        <v>75</v>
      </c>
      <c r="F219" s="599">
        <v>12</v>
      </c>
      <c r="G219" s="339">
        <v>380.99</v>
      </c>
      <c r="H219" s="339">
        <v>4571.88</v>
      </c>
      <c r="I219" s="374">
        <v>2.8457709629668877E-4</v>
      </c>
    </row>
    <row r="220" spans="1:9" ht="52.8">
      <c r="A220" s="613" t="s">
        <v>35421</v>
      </c>
      <c r="B220" s="337" t="s">
        <v>29</v>
      </c>
      <c r="C220" s="540" t="s">
        <v>6345</v>
      </c>
      <c r="D220" s="539" t="s">
        <v>29701</v>
      </c>
      <c r="E220" s="338" t="s">
        <v>75</v>
      </c>
      <c r="F220" s="599">
        <v>60</v>
      </c>
      <c r="G220" s="339">
        <v>74.900000000000006</v>
      </c>
      <c r="H220" s="339">
        <v>4494</v>
      </c>
      <c r="I220" s="374">
        <v>2.7972944844512965E-4</v>
      </c>
    </row>
    <row r="221" spans="1:9" ht="26.4">
      <c r="A221" s="613" t="s">
        <v>35278</v>
      </c>
      <c r="B221" s="337" t="s">
        <v>2879</v>
      </c>
      <c r="C221" s="540">
        <v>140706</v>
      </c>
      <c r="D221" s="539" t="s">
        <v>27055</v>
      </c>
      <c r="E221" s="338" t="s">
        <v>27053</v>
      </c>
      <c r="F221" s="599">
        <v>32</v>
      </c>
      <c r="G221" s="339">
        <v>138.22</v>
      </c>
      <c r="H221" s="339">
        <v>4423.04</v>
      </c>
      <c r="I221" s="374">
        <v>2.7531253663790528E-4</v>
      </c>
    </row>
    <row r="222" spans="1:9" ht="66">
      <c r="A222" s="613" t="s">
        <v>10359</v>
      </c>
      <c r="B222" s="337" t="s">
        <v>2879</v>
      </c>
      <c r="C222" s="540">
        <v>150315</v>
      </c>
      <c r="D222" s="539" t="s">
        <v>27059</v>
      </c>
      <c r="E222" s="338" t="s">
        <v>74</v>
      </c>
      <c r="F222" s="599">
        <v>3</v>
      </c>
      <c r="G222" s="339">
        <v>1440.39</v>
      </c>
      <c r="H222" s="339">
        <v>4321.17</v>
      </c>
      <c r="I222" s="374">
        <v>2.6897162900259031E-4</v>
      </c>
    </row>
    <row r="223" spans="1:9" ht="52.8">
      <c r="A223" s="613" t="s">
        <v>35461</v>
      </c>
      <c r="B223" s="337" t="s">
        <v>2879</v>
      </c>
      <c r="C223" s="540">
        <v>190201</v>
      </c>
      <c r="D223" s="539" t="s">
        <v>36120</v>
      </c>
      <c r="E223" s="338" t="s">
        <v>73</v>
      </c>
      <c r="F223" s="599">
        <v>209.2</v>
      </c>
      <c r="G223" s="339">
        <v>20.32</v>
      </c>
      <c r="H223" s="339">
        <v>4250.9399999999996</v>
      </c>
      <c r="I223" s="374">
        <v>2.6460015611333762E-4</v>
      </c>
    </row>
    <row r="224" spans="1:9" ht="26.4">
      <c r="A224" s="613" t="s">
        <v>35447</v>
      </c>
      <c r="B224" s="337" t="s">
        <v>2879</v>
      </c>
      <c r="C224" s="540">
        <v>170329</v>
      </c>
      <c r="D224" s="539" t="s">
        <v>36104</v>
      </c>
      <c r="E224" s="338" t="s">
        <v>74</v>
      </c>
      <c r="F224" s="599">
        <v>18</v>
      </c>
      <c r="G224" s="339">
        <v>233.2</v>
      </c>
      <c r="H224" s="339">
        <v>4197.6000000000004</v>
      </c>
      <c r="I224" s="374">
        <v>2.6128000284674597E-4</v>
      </c>
    </row>
    <row r="225" spans="1:9">
      <c r="A225" s="613" t="s">
        <v>35434</v>
      </c>
      <c r="B225" s="337" t="s">
        <v>2879</v>
      </c>
      <c r="C225" s="540">
        <v>160872</v>
      </c>
      <c r="D225" s="539" t="s">
        <v>36087</v>
      </c>
      <c r="E225" s="338" t="s">
        <v>74</v>
      </c>
      <c r="F225" s="599">
        <v>100</v>
      </c>
      <c r="G225" s="339">
        <v>41.69</v>
      </c>
      <c r="H225" s="339">
        <v>4169</v>
      </c>
      <c r="I225" s="374">
        <v>2.59499793183744E-4</v>
      </c>
    </row>
    <row r="226" spans="1:9" ht="26.4">
      <c r="A226" s="613" t="s">
        <v>23672</v>
      </c>
      <c r="B226" s="337" t="s">
        <v>2879</v>
      </c>
      <c r="C226" s="540">
        <v>150632</v>
      </c>
      <c r="D226" s="539" t="s">
        <v>35986</v>
      </c>
      <c r="E226" s="338" t="s">
        <v>74</v>
      </c>
      <c r="F226" s="599">
        <v>40</v>
      </c>
      <c r="G226" s="339">
        <v>103.87</v>
      </c>
      <c r="H226" s="339">
        <v>4154.8</v>
      </c>
      <c r="I226" s="374">
        <v>2.5861591286155421E-4</v>
      </c>
    </row>
    <row r="227" spans="1:9" ht="52.8">
      <c r="A227" s="613" t="s">
        <v>35450</v>
      </c>
      <c r="B227" s="337" t="s">
        <v>2879</v>
      </c>
      <c r="C227" s="540">
        <v>170512</v>
      </c>
      <c r="D227" s="539" t="s">
        <v>36107</v>
      </c>
      <c r="E227" s="338" t="s">
        <v>74</v>
      </c>
      <c r="F227" s="599">
        <v>6</v>
      </c>
      <c r="G227" s="339">
        <v>685.68</v>
      </c>
      <c r="H227" s="339">
        <v>4114.08</v>
      </c>
      <c r="I227" s="374">
        <v>2.5608129267003536E-4</v>
      </c>
    </row>
    <row r="228" spans="1:9" ht="26.4">
      <c r="A228" s="613" t="s">
        <v>35330</v>
      </c>
      <c r="B228" s="337" t="s">
        <v>2879</v>
      </c>
      <c r="C228" s="540">
        <v>150633</v>
      </c>
      <c r="D228" s="539" t="s">
        <v>35987</v>
      </c>
      <c r="E228" s="338" t="s">
        <v>74</v>
      </c>
      <c r="F228" s="599">
        <v>20</v>
      </c>
      <c r="G228" s="339">
        <v>199.02</v>
      </c>
      <c r="H228" s="339">
        <v>3980.4</v>
      </c>
      <c r="I228" s="374">
        <v>2.4776036862282912E-4</v>
      </c>
    </row>
    <row r="229" spans="1:9" ht="52.8">
      <c r="A229" s="613" t="s">
        <v>35406</v>
      </c>
      <c r="B229" s="337" t="s">
        <v>2879</v>
      </c>
      <c r="C229" s="540">
        <v>160651</v>
      </c>
      <c r="D229" s="539" t="s">
        <v>36060</v>
      </c>
      <c r="E229" s="338" t="s">
        <v>74</v>
      </c>
      <c r="F229" s="599">
        <v>3</v>
      </c>
      <c r="G229" s="339">
        <v>1317.55</v>
      </c>
      <c r="H229" s="339">
        <v>3952.65</v>
      </c>
      <c r="I229" s="374">
        <v>2.4603306728897235E-4</v>
      </c>
    </row>
    <row r="230" spans="1:9" ht="26.4">
      <c r="A230" s="613" t="s">
        <v>35419</v>
      </c>
      <c r="B230" s="337" t="s">
        <v>2879</v>
      </c>
      <c r="C230" s="540">
        <v>160823</v>
      </c>
      <c r="D230" s="539" t="s">
        <v>36073</v>
      </c>
      <c r="E230" s="338" t="s">
        <v>74</v>
      </c>
      <c r="F230" s="599">
        <v>24</v>
      </c>
      <c r="G230" s="339">
        <v>157.83000000000001</v>
      </c>
      <c r="H230" s="339">
        <v>3787.92</v>
      </c>
      <c r="I230" s="374">
        <v>2.3577943310063986E-4</v>
      </c>
    </row>
    <row r="231" spans="1:9" ht="26.4">
      <c r="A231" s="613" t="s">
        <v>35428</v>
      </c>
      <c r="B231" s="337" t="s">
        <v>2879</v>
      </c>
      <c r="C231" s="540">
        <v>160848</v>
      </c>
      <c r="D231" s="539" t="s">
        <v>36081</v>
      </c>
      <c r="E231" s="338" t="s">
        <v>74</v>
      </c>
      <c r="F231" s="599">
        <v>50</v>
      </c>
      <c r="G231" s="339">
        <v>72.19</v>
      </c>
      <c r="H231" s="339">
        <v>3609.5</v>
      </c>
      <c r="I231" s="374">
        <v>2.246736635876047E-4</v>
      </c>
    </row>
    <row r="232" spans="1:9" ht="52.8">
      <c r="A232" s="613" t="s">
        <v>35473</v>
      </c>
      <c r="B232" s="337" t="s">
        <v>2879</v>
      </c>
      <c r="C232" s="540">
        <v>200254</v>
      </c>
      <c r="D232" s="539" t="s">
        <v>36133</v>
      </c>
      <c r="E232" s="338" t="s">
        <v>73</v>
      </c>
      <c r="F232" s="599">
        <v>41.84</v>
      </c>
      <c r="G232" s="339">
        <v>83.89</v>
      </c>
      <c r="H232" s="339">
        <v>3509.96</v>
      </c>
      <c r="I232" s="374">
        <v>2.1847778701924062E-4</v>
      </c>
    </row>
    <row r="233" spans="1:9" ht="26.4">
      <c r="A233" s="613" t="s">
        <v>35316</v>
      </c>
      <c r="B233" s="337" t="s">
        <v>2879</v>
      </c>
      <c r="C233" s="540">
        <v>142201</v>
      </c>
      <c r="D233" s="539" t="s">
        <v>35978</v>
      </c>
      <c r="E233" s="338" t="s">
        <v>75</v>
      </c>
      <c r="F233" s="599">
        <v>187.1</v>
      </c>
      <c r="G233" s="339">
        <v>18.64</v>
      </c>
      <c r="H233" s="339">
        <v>3487.54</v>
      </c>
      <c r="I233" s="374">
        <v>2.1708225203167055E-4</v>
      </c>
    </row>
    <row r="234" spans="1:9" ht="26.4">
      <c r="A234" s="613" t="s">
        <v>35463</v>
      </c>
      <c r="B234" s="337" t="s">
        <v>2879</v>
      </c>
      <c r="C234" s="540">
        <v>190205</v>
      </c>
      <c r="D234" s="539" t="s">
        <v>36122</v>
      </c>
      <c r="E234" s="338" t="s">
        <v>73</v>
      </c>
      <c r="F234" s="599">
        <v>209.2</v>
      </c>
      <c r="G234" s="339">
        <v>16.420000000000002</v>
      </c>
      <c r="H234" s="339">
        <v>3435.06</v>
      </c>
      <c r="I234" s="374">
        <v>2.1381562954515511E-4</v>
      </c>
    </row>
    <row r="235" spans="1:9" ht="66">
      <c r="A235" s="613" t="s">
        <v>35255</v>
      </c>
      <c r="B235" s="337" t="s">
        <v>2879</v>
      </c>
      <c r="C235" s="337">
        <v>20708</v>
      </c>
      <c r="D235" s="539" t="s">
        <v>35913</v>
      </c>
      <c r="E235" s="338" t="s">
        <v>73</v>
      </c>
      <c r="F235" s="599">
        <v>12</v>
      </c>
      <c r="G235" s="339">
        <v>281.08999999999997</v>
      </c>
      <c r="H235" s="339">
        <v>3373.08</v>
      </c>
      <c r="I235" s="374">
        <v>2.0995767867407609E-4</v>
      </c>
    </row>
    <row r="236" spans="1:9" ht="39.6">
      <c r="A236" s="613" t="s">
        <v>35400</v>
      </c>
      <c r="B236" s="337" t="s">
        <v>2879</v>
      </c>
      <c r="C236" s="540">
        <v>160634</v>
      </c>
      <c r="D236" s="539" t="s">
        <v>36054</v>
      </c>
      <c r="E236" s="338" t="s">
        <v>74</v>
      </c>
      <c r="F236" s="599">
        <v>6</v>
      </c>
      <c r="G236" s="339">
        <v>539.74</v>
      </c>
      <c r="H236" s="339">
        <v>3238.44</v>
      </c>
      <c r="I236" s="374">
        <v>2.0157699933748236E-4</v>
      </c>
    </row>
    <row r="237" spans="1:9">
      <c r="A237" s="613" t="s">
        <v>27068</v>
      </c>
      <c r="B237" s="337" t="s">
        <v>2879</v>
      </c>
      <c r="C237" s="337">
        <v>20305</v>
      </c>
      <c r="D237" s="634" t="s">
        <v>27037</v>
      </c>
      <c r="E237" s="338" t="s">
        <v>73</v>
      </c>
      <c r="F237" s="599">
        <v>8</v>
      </c>
      <c r="G237" s="339">
        <v>392.81</v>
      </c>
      <c r="H237" s="339">
        <v>3142.48</v>
      </c>
      <c r="I237" s="374">
        <v>1.9560396020245908E-4</v>
      </c>
    </row>
    <row r="238" spans="1:9" ht="66">
      <c r="A238" s="613" t="s">
        <v>27020</v>
      </c>
      <c r="B238" s="337" t="s">
        <v>2879</v>
      </c>
      <c r="C238" s="540">
        <v>170124</v>
      </c>
      <c r="D238" s="539" t="s">
        <v>36097</v>
      </c>
      <c r="E238" s="338" t="s">
        <v>74</v>
      </c>
      <c r="F238" s="599">
        <v>4</v>
      </c>
      <c r="G238" s="339">
        <v>767.75</v>
      </c>
      <c r="H238" s="339">
        <v>3071</v>
      </c>
      <c r="I238" s="374">
        <v>1.9115468094681645E-4</v>
      </c>
    </row>
    <row r="239" spans="1:9" ht="66">
      <c r="A239" s="613" t="s">
        <v>23688</v>
      </c>
      <c r="B239" s="337" t="s">
        <v>2879</v>
      </c>
      <c r="C239" s="540">
        <v>160605</v>
      </c>
      <c r="D239" s="897" t="s">
        <v>36046</v>
      </c>
      <c r="E239" s="338" t="s">
        <v>74</v>
      </c>
      <c r="F239" s="599">
        <v>8</v>
      </c>
      <c r="G239" s="339">
        <v>381.41</v>
      </c>
      <c r="H239" s="339">
        <v>3051.28</v>
      </c>
      <c r="I239" s="374">
        <v>1.899272077106487E-4</v>
      </c>
    </row>
    <row r="240" spans="1:9" ht="26.4">
      <c r="A240" s="613" t="s">
        <v>35424</v>
      </c>
      <c r="B240" s="337" t="s">
        <v>2879</v>
      </c>
      <c r="C240" s="540">
        <v>160834</v>
      </c>
      <c r="D240" s="539" t="s">
        <v>36077</v>
      </c>
      <c r="E240" s="338" t="s">
        <v>74</v>
      </c>
      <c r="F240" s="599">
        <v>12</v>
      </c>
      <c r="G240" s="339">
        <v>254.23</v>
      </c>
      <c r="H240" s="339">
        <v>3050.76</v>
      </c>
      <c r="I240" s="374">
        <v>1.8989484026223048E-4</v>
      </c>
    </row>
    <row r="241" spans="1:9">
      <c r="A241" s="613" t="s">
        <v>35435</v>
      </c>
      <c r="B241" s="337" t="s">
        <v>2879</v>
      </c>
      <c r="C241" s="540">
        <v>160873</v>
      </c>
      <c r="D241" s="539" t="s">
        <v>36088</v>
      </c>
      <c r="E241" s="338" t="s">
        <v>74</v>
      </c>
      <c r="F241" s="599">
        <v>50</v>
      </c>
      <c r="G241" s="339">
        <v>55.61</v>
      </c>
      <c r="H241" s="339">
        <v>2780.5</v>
      </c>
      <c r="I241" s="374">
        <v>1.7307248139779329E-4</v>
      </c>
    </row>
    <row r="242" spans="1:9" ht="26.4">
      <c r="A242" s="613" t="s">
        <v>35280</v>
      </c>
      <c r="B242" s="337" t="s">
        <v>2879</v>
      </c>
      <c r="C242" s="540">
        <v>140708</v>
      </c>
      <c r="D242" s="539" t="s">
        <v>35952</v>
      </c>
      <c r="E242" s="338" t="s">
        <v>27053</v>
      </c>
      <c r="F242" s="599">
        <v>19</v>
      </c>
      <c r="G242" s="339">
        <v>146.1</v>
      </c>
      <c r="H242" s="339">
        <v>2775.9</v>
      </c>
      <c r="I242" s="374">
        <v>1.727861539694783E-4</v>
      </c>
    </row>
    <row r="243" spans="1:9" ht="26.4">
      <c r="A243" s="613" t="s">
        <v>35281</v>
      </c>
      <c r="B243" s="337" t="s">
        <v>2879</v>
      </c>
      <c r="C243" s="540">
        <v>140709</v>
      </c>
      <c r="D243" s="539" t="s">
        <v>35953</v>
      </c>
      <c r="E243" s="338" t="s">
        <v>27053</v>
      </c>
      <c r="F243" s="599">
        <v>19</v>
      </c>
      <c r="G243" s="339">
        <v>145.38999999999999</v>
      </c>
      <c r="H243" s="339">
        <v>2762.41</v>
      </c>
      <c r="I243" s="374">
        <v>1.7194646766339799E-4</v>
      </c>
    </row>
    <row r="244" spans="1:9">
      <c r="A244" s="613" t="s">
        <v>35478</v>
      </c>
      <c r="B244" s="337" t="s">
        <v>2879</v>
      </c>
      <c r="C244" s="540">
        <v>200402</v>
      </c>
      <c r="D244" s="539" t="s">
        <v>27065</v>
      </c>
      <c r="E244" s="338" t="s">
        <v>73</v>
      </c>
      <c r="F244" s="599">
        <v>2014.11</v>
      </c>
      <c r="G244" s="339">
        <v>1.37</v>
      </c>
      <c r="H244" s="339">
        <v>2759.33</v>
      </c>
      <c r="I244" s="374">
        <v>1.7175475277661316E-4</v>
      </c>
    </row>
    <row r="245" spans="1:9" ht="52.8">
      <c r="A245" s="613" t="s">
        <v>35405</v>
      </c>
      <c r="B245" s="337" t="s">
        <v>2879</v>
      </c>
      <c r="C245" s="540">
        <v>160650</v>
      </c>
      <c r="D245" s="539" t="s">
        <v>36059</v>
      </c>
      <c r="E245" s="338" t="s">
        <v>74</v>
      </c>
      <c r="F245" s="599">
        <v>3</v>
      </c>
      <c r="G245" s="339">
        <v>909.44</v>
      </c>
      <c r="H245" s="339">
        <v>2728.32</v>
      </c>
      <c r="I245" s="374">
        <v>1.6982453243921143E-4</v>
      </c>
    </row>
    <row r="246" spans="1:9" ht="79.2">
      <c r="A246" s="613" t="s">
        <v>35462</v>
      </c>
      <c r="B246" s="337" t="s">
        <v>2879</v>
      </c>
      <c r="C246" s="540">
        <v>190204</v>
      </c>
      <c r="D246" s="539" t="s">
        <v>36121</v>
      </c>
      <c r="E246" s="338" t="s">
        <v>73</v>
      </c>
      <c r="F246" s="599">
        <v>54.45</v>
      </c>
      <c r="G246" s="339">
        <v>47.86</v>
      </c>
      <c r="H246" s="339">
        <v>2605.98</v>
      </c>
      <c r="I246" s="374">
        <v>1.6220946774789474E-4</v>
      </c>
    </row>
    <row r="247" spans="1:9" ht="52.8">
      <c r="A247" s="613" t="s">
        <v>35455</v>
      </c>
      <c r="B247" s="337" t="s">
        <v>2879</v>
      </c>
      <c r="C247" s="540">
        <v>170603</v>
      </c>
      <c r="D247" s="539" t="s">
        <v>36112</v>
      </c>
      <c r="E247" s="338" t="s">
        <v>74</v>
      </c>
      <c r="F247" s="599">
        <v>12</v>
      </c>
      <c r="G247" s="339">
        <v>214.71</v>
      </c>
      <c r="H247" s="339">
        <v>2576.52</v>
      </c>
      <c r="I247" s="374">
        <v>1.6037572730481653E-4</v>
      </c>
    </row>
    <row r="248" spans="1:9" ht="26.4">
      <c r="A248" s="613" t="s">
        <v>35342</v>
      </c>
      <c r="B248" s="337" t="s">
        <v>2879</v>
      </c>
      <c r="C248" s="540">
        <v>151306</v>
      </c>
      <c r="D248" s="539" t="s">
        <v>35999</v>
      </c>
      <c r="E248" s="338" t="s">
        <v>74</v>
      </c>
      <c r="F248" s="599">
        <v>30</v>
      </c>
      <c r="G248" s="339">
        <v>85.21</v>
      </c>
      <c r="H248" s="339">
        <v>2556.3000000000002</v>
      </c>
      <c r="I248" s="374">
        <v>1.5911713152209279E-4</v>
      </c>
    </row>
    <row r="249" spans="1:9" ht="26.4">
      <c r="A249" s="613" t="s">
        <v>35343</v>
      </c>
      <c r="B249" s="337" t="s">
        <v>2879</v>
      </c>
      <c r="C249" s="540">
        <v>151307</v>
      </c>
      <c r="D249" s="539" t="s">
        <v>36000</v>
      </c>
      <c r="E249" s="338" t="s">
        <v>74</v>
      </c>
      <c r="F249" s="599">
        <v>30</v>
      </c>
      <c r="G249" s="339">
        <v>85.21</v>
      </c>
      <c r="H249" s="339">
        <v>2556.3000000000002</v>
      </c>
      <c r="I249" s="374">
        <v>1.5911713152209279E-4</v>
      </c>
    </row>
    <row r="250" spans="1:9" ht="26.4">
      <c r="A250" s="613" t="s">
        <v>35296</v>
      </c>
      <c r="B250" s="337" t="s">
        <v>2879</v>
      </c>
      <c r="C250" s="540">
        <v>141413</v>
      </c>
      <c r="D250" s="539" t="s">
        <v>35963</v>
      </c>
      <c r="E250" s="338" t="s">
        <v>75</v>
      </c>
      <c r="F250" s="599">
        <v>40</v>
      </c>
      <c r="G250" s="339">
        <v>61.39</v>
      </c>
      <c r="H250" s="339">
        <v>2455.6</v>
      </c>
      <c r="I250" s="374">
        <v>1.5284905064571881E-4</v>
      </c>
    </row>
    <row r="251" spans="1:9" ht="66">
      <c r="A251" s="613" t="s">
        <v>35388</v>
      </c>
      <c r="B251" s="337" t="s">
        <v>2879</v>
      </c>
      <c r="C251" s="540">
        <v>160314</v>
      </c>
      <c r="D251" s="539" t="s">
        <v>36041</v>
      </c>
      <c r="E251" s="338" t="s">
        <v>74</v>
      </c>
      <c r="F251" s="599">
        <v>2</v>
      </c>
      <c r="G251" s="339">
        <v>1211.8800000000001</v>
      </c>
      <c r="H251" s="339">
        <v>2423.7600000000002</v>
      </c>
      <c r="I251" s="374">
        <v>1.5086716688103417E-4</v>
      </c>
    </row>
    <row r="252" spans="1:9" ht="66">
      <c r="A252" s="613" t="s">
        <v>35382</v>
      </c>
      <c r="B252" s="337" t="s">
        <v>2879</v>
      </c>
      <c r="C252" s="540">
        <v>151904</v>
      </c>
      <c r="D252" s="539" t="s">
        <v>36032</v>
      </c>
      <c r="E252" s="338" t="s">
        <v>74</v>
      </c>
      <c r="F252" s="599">
        <v>2</v>
      </c>
      <c r="G252" s="339">
        <v>1202.06</v>
      </c>
      <c r="H252" s="339">
        <v>2404.12</v>
      </c>
      <c r="I252" s="374">
        <v>1.4964467325231533E-4</v>
      </c>
    </row>
    <row r="253" spans="1:9" ht="39.6">
      <c r="A253" s="613" t="s">
        <v>35412</v>
      </c>
      <c r="B253" s="337" t="s">
        <v>2879</v>
      </c>
      <c r="C253" s="540">
        <v>160663</v>
      </c>
      <c r="D253" s="539" t="s">
        <v>36066</v>
      </c>
      <c r="E253" s="338" t="s">
        <v>74</v>
      </c>
      <c r="F253" s="599">
        <v>3</v>
      </c>
      <c r="G253" s="339">
        <v>795.7</v>
      </c>
      <c r="H253" s="339">
        <v>2387.1</v>
      </c>
      <c r="I253" s="374">
        <v>1.4858526176754984E-4</v>
      </c>
    </row>
    <row r="254" spans="1:9">
      <c r="A254" s="613" t="s">
        <v>35276</v>
      </c>
      <c r="B254" s="337" t="s">
        <v>2879</v>
      </c>
      <c r="C254" s="540">
        <v>140703</v>
      </c>
      <c r="D254" s="539" t="s">
        <v>35951</v>
      </c>
      <c r="E254" s="338" t="s">
        <v>27053</v>
      </c>
      <c r="F254" s="599">
        <v>4</v>
      </c>
      <c r="G254" s="339">
        <v>577.24</v>
      </c>
      <c r="H254" s="339">
        <v>2308.96</v>
      </c>
      <c r="I254" s="374">
        <v>1.4372143019178161E-4</v>
      </c>
    </row>
    <row r="255" spans="1:9" ht="66">
      <c r="A255" s="613" t="s">
        <v>35256</v>
      </c>
      <c r="B255" s="337" t="s">
        <v>2879</v>
      </c>
      <c r="C255" s="337">
        <v>20709</v>
      </c>
      <c r="D255" s="539" t="s">
        <v>35914</v>
      </c>
      <c r="E255" s="338" t="s">
        <v>73</v>
      </c>
      <c r="F255" s="599">
        <v>6</v>
      </c>
      <c r="G255" s="339">
        <v>381.02</v>
      </c>
      <c r="H255" s="339">
        <v>2286.12</v>
      </c>
      <c r="I255" s="374">
        <v>1.4229975226510454E-4</v>
      </c>
    </row>
    <row r="256" spans="1:9" ht="26.4">
      <c r="A256" s="613" t="s">
        <v>35319</v>
      </c>
      <c r="B256" s="337" t="s">
        <v>2879</v>
      </c>
      <c r="C256" s="540">
        <v>142205</v>
      </c>
      <c r="D256" s="539" t="s">
        <v>35981</v>
      </c>
      <c r="E256" s="338" t="s">
        <v>75</v>
      </c>
      <c r="F256" s="599">
        <v>42</v>
      </c>
      <c r="G256" s="339">
        <v>54.18</v>
      </c>
      <c r="H256" s="339">
        <v>2275.56</v>
      </c>
      <c r="I256" s="374">
        <v>1.4164244408184227E-4</v>
      </c>
    </row>
    <row r="257" spans="1:9" ht="39.6">
      <c r="A257" s="613" t="s">
        <v>35401</v>
      </c>
      <c r="B257" s="337" t="s">
        <v>2879</v>
      </c>
      <c r="C257" s="540">
        <v>160636</v>
      </c>
      <c r="D257" s="539" t="s">
        <v>36055</v>
      </c>
      <c r="E257" s="338" t="s">
        <v>74</v>
      </c>
      <c r="F257" s="599">
        <v>2</v>
      </c>
      <c r="G257" s="339">
        <v>1128.04</v>
      </c>
      <c r="H257" s="339">
        <v>2256.08</v>
      </c>
      <c r="I257" s="374">
        <v>1.4042990966802138E-4</v>
      </c>
    </row>
    <row r="258" spans="1:9" ht="39.6">
      <c r="A258" s="613" t="s">
        <v>35305</v>
      </c>
      <c r="B258" s="337" t="s">
        <v>2879</v>
      </c>
      <c r="C258" s="540">
        <v>141906</v>
      </c>
      <c r="D258" s="539" t="s">
        <v>35970</v>
      </c>
      <c r="E258" s="338" t="s">
        <v>75</v>
      </c>
      <c r="F258" s="599">
        <v>50</v>
      </c>
      <c r="G258" s="339">
        <v>41.31</v>
      </c>
      <c r="H258" s="339">
        <v>2065.5</v>
      </c>
      <c r="I258" s="374">
        <v>1.2856723982274484E-4</v>
      </c>
    </row>
    <row r="259" spans="1:9" ht="66">
      <c r="A259" s="613" t="s">
        <v>35378</v>
      </c>
      <c r="B259" s="337" t="s">
        <v>2879</v>
      </c>
      <c r="C259" s="540">
        <v>151811</v>
      </c>
      <c r="D259" s="539" t="s">
        <v>36029</v>
      </c>
      <c r="E259" s="338" t="s">
        <v>74</v>
      </c>
      <c r="F259" s="599">
        <v>6</v>
      </c>
      <c r="G259" s="339">
        <v>334.79</v>
      </c>
      <c r="H259" s="339">
        <v>2008.74</v>
      </c>
      <c r="I259" s="374">
        <v>1.2503420833771023E-4</v>
      </c>
    </row>
    <row r="260" spans="1:9" ht="39.6">
      <c r="A260" s="613" t="s">
        <v>7983</v>
      </c>
      <c r="B260" s="337" t="s">
        <v>2879</v>
      </c>
      <c r="C260" s="540">
        <v>60101</v>
      </c>
      <c r="D260" s="539" t="s">
        <v>35936</v>
      </c>
      <c r="E260" s="338" t="s">
        <v>74</v>
      </c>
      <c r="F260" s="599">
        <v>4</v>
      </c>
      <c r="G260" s="339">
        <v>491.24</v>
      </c>
      <c r="H260" s="339">
        <v>1964.96</v>
      </c>
      <c r="I260" s="374">
        <v>1.223091181612688E-4</v>
      </c>
    </row>
    <row r="261" spans="1:9" ht="52.8">
      <c r="A261" s="613" t="s">
        <v>35407</v>
      </c>
      <c r="B261" s="337" t="s">
        <v>2879</v>
      </c>
      <c r="C261" s="540">
        <v>160652</v>
      </c>
      <c r="D261" s="539" t="s">
        <v>36061</v>
      </c>
      <c r="E261" s="338" t="s">
        <v>74</v>
      </c>
      <c r="F261" s="599">
        <v>1</v>
      </c>
      <c r="G261" s="339">
        <v>1917.72</v>
      </c>
      <c r="H261" s="339">
        <v>1917.72</v>
      </c>
      <c r="I261" s="374">
        <v>1.1936865996266E-4</v>
      </c>
    </row>
    <row r="262" spans="1:9" ht="26.4">
      <c r="A262" s="613" t="s">
        <v>35344</v>
      </c>
      <c r="B262" s="337" t="s">
        <v>2879</v>
      </c>
      <c r="C262" s="540">
        <v>151308</v>
      </c>
      <c r="D262" s="539" t="s">
        <v>36001</v>
      </c>
      <c r="E262" s="338" t="s">
        <v>74</v>
      </c>
      <c r="F262" s="599">
        <v>20</v>
      </c>
      <c r="G262" s="339">
        <v>95.42</v>
      </c>
      <c r="H262" s="339">
        <v>1908.4</v>
      </c>
      <c r="I262" s="374">
        <v>1.1878853569485657E-4</v>
      </c>
    </row>
    <row r="263" spans="1:9" ht="26.4">
      <c r="A263" s="613" t="s">
        <v>35297</v>
      </c>
      <c r="B263" s="337" t="s">
        <v>2879</v>
      </c>
      <c r="C263" s="540">
        <v>141414</v>
      </c>
      <c r="D263" s="539" t="s">
        <v>35964</v>
      </c>
      <c r="E263" s="338" t="s">
        <v>75</v>
      </c>
      <c r="F263" s="599">
        <v>20</v>
      </c>
      <c r="G263" s="339">
        <v>94.91</v>
      </c>
      <c r="H263" s="339">
        <v>1898.2</v>
      </c>
      <c r="I263" s="374">
        <v>1.1815363574511462E-4</v>
      </c>
    </row>
    <row r="264" spans="1:9" ht="52.8">
      <c r="A264" s="613" t="s">
        <v>35258</v>
      </c>
      <c r="B264" s="337" t="s">
        <v>2879</v>
      </c>
      <c r="C264" s="337">
        <v>20712</v>
      </c>
      <c r="D264" s="539" t="s">
        <v>7988</v>
      </c>
      <c r="E264" s="338" t="s">
        <v>75</v>
      </c>
      <c r="F264" s="599">
        <v>25</v>
      </c>
      <c r="G264" s="339">
        <v>75.87</v>
      </c>
      <c r="H264" s="339">
        <v>1896.75</v>
      </c>
      <c r="I264" s="374">
        <v>1.1806338036010229E-4</v>
      </c>
    </row>
    <row r="265" spans="1:9" ht="26.4">
      <c r="A265" s="613" t="s">
        <v>35446</v>
      </c>
      <c r="B265" s="337" t="s">
        <v>2879</v>
      </c>
      <c r="C265" s="540">
        <v>170310</v>
      </c>
      <c r="D265" s="539" t="s">
        <v>36103</v>
      </c>
      <c r="E265" s="338" t="s">
        <v>74</v>
      </c>
      <c r="F265" s="599">
        <v>6</v>
      </c>
      <c r="G265" s="339">
        <v>312.75</v>
      </c>
      <c r="H265" s="339">
        <v>1876.5</v>
      </c>
      <c r="I265" s="374">
        <v>1.1680291722458518E-4</v>
      </c>
    </row>
    <row r="266" spans="1:9" ht="52.8">
      <c r="A266" s="613" t="s">
        <v>35404</v>
      </c>
      <c r="B266" s="337" t="s">
        <v>2879</v>
      </c>
      <c r="C266" s="540">
        <v>160649</v>
      </c>
      <c r="D266" s="539" t="s">
        <v>36058</v>
      </c>
      <c r="E266" s="338" t="s">
        <v>74</v>
      </c>
      <c r="F266" s="599">
        <v>3</v>
      </c>
      <c r="G266" s="339">
        <v>623.79999999999995</v>
      </c>
      <c r="H266" s="339">
        <v>1871.4</v>
      </c>
      <c r="I266" s="374">
        <v>1.1648546724971421E-4</v>
      </c>
    </row>
    <row r="267" spans="1:9" ht="39.6">
      <c r="A267" s="613" t="s">
        <v>35416</v>
      </c>
      <c r="B267" s="337" t="s">
        <v>2879</v>
      </c>
      <c r="C267" s="540">
        <v>160675</v>
      </c>
      <c r="D267" s="539" t="s">
        <v>36070</v>
      </c>
      <c r="E267" s="338" t="s">
        <v>74</v>
      </c>
      <c r="F267" s="599">
        <v>7</v>
      </c>
      <c r="G267" s="339">
        <v>261.92</v>
      </c>
      <c r="H267" s="339">
        <v>1833.44</v>
      </c>
      <c r="I267" s="374">
        <v>1.1412264351518437E-4</v>
      </c>
    </row>
    <row r="268" spans="1:9" ht="39.6">
      <c r="A268" s="613" t="s">
        <v>35399</v>
      </c>
      <c r="B268" s="337" t="s">
        <v>2879</v>
      </c>
      <c r="C268" s="540">
        <v>160633</v>
      </c>
      <c r="D268" s="539" t="s">
        <v>36053</v>
      </c>
      <c r="E268" s="338" t="s">
        <v>74</v>
      </c>
      <c r="F268" s="599">
        <v>6</v>
      </c>
      <c r="G268" s="339">
        <v>301.85000000000002</v>
      </c>
      <c r="H268" s="339">
        <v>1811.1</v>
      </c>
      <c r="I268" s="374">
        <v>1.1273208813506326E-4</v>
      </c>
    </row>
    <row r="269" spans="1:9">
      <c r="A269" s="613" t="s">
        <v>35860</v>
      </c>
      <c r="B269" s="337" t="s">
        <v>35861</v>
      </c>
      <c r="C269" s="540" t="s">
        <v>35862</v>
      </c>
      <c r="D269" s="539" t="s">
        <v>35856</v>
      </c>
      <c r="E269" s="338" t="s">
        <v>7992</v>
      </c>
      <c r="F269" s="599">
        <v>1</v>
      </c>
      <c r="G269" s="339">
        <v>1798.77</v>
      </c>
      <c r="H269" s="339">
        <v>1798.77</v>
      </c>
      <c r="I269" s="374">
        <v>1.1196460613699285E-4</v>
      </c>
    </row>
    <row r="270" spans="1:9" ht="26.4">
      <c r="A270" s="613" t="s">
        <v>35347</v>
      </c>
      <c r="B270" s="337" t="s">
        <v>2879</v>
      </c>
      <c r="C270" s="540">
        <v>151321</v>
      </c>
      <c r="D270" s="539" t="s">
        <v>36004</v>
      </c>
      <c r="E270" s="338" t="s">
        <v>74</v>
      </c>
      <c r="F270" s="599">
        <v>20</v>
      </c>
      <c r="G270" s="339">
        <v>85.21</v>
      </c>
      <c r="H270" s="339">
        <v>1704.2</v>
      </c>
      <c r="I270" s="374">
        <v>1.0607808768139518E-4</v>
      </c>
    </row>
    <row r="271" spans="1:9" ht="66">
      <c r="A271" s="613" t="s">
        <v>35389</v>
      </c>
      <c r="B271" s="337" t="s">
        <v>2879</v>
      </c>
      <c r="C271" s="540">
        <v>160325</v>
      </c>
      <c r="D271" s="539" t="s">
        <v>36042</v>
      </c>
      <c r="E271" s="338" t="s">
        <v>74</v>
      </c>
      <c r="F271" s="599">
        <v>2</v>
      </c>
      <c r="G271" s="339">
        <v>839.13</v>
      </c>
      <c r="H271" s="339">
        <v>1678.26</v>
      </c>
      <c r="I271" s="374">
        <v>1.0446344996607104E-4</v>
      </c>
    </row>
    <row r="272" spans="1:9" ht="52.8">
      <c r="A272" s="613" t="s">
        <v>35409</v>
      </c>
      <c r="B272" s="337" t="s">
        <v>2879</v>
      </c>
      <c r="C272" s="540">
        <v>160656</v>
      </c>
      <c r="D272" s="539" t="s">
        <v>36063</v>
      </c>
      <c r="E272" s="338" t="s">
        <v>74</v>
      </c>
      <c r="F272" s="599">
        <v>1</v>
      </c>
      <c r="G272" s="339">
        <v>1543.26</v>
      </c>
      <c r="H272" s="339">
        <v>1543.26</v>
      </c>
      <c r="I272" s="374">
        <v>9.6060362395957005E-5</v>
      </c>
    </row>
    <row r="273" spans="1:9" ht="26.4">
      <c r="A273" s="613" t="s">
        <v>35420</v>
      </c>
      <c r="B273" s="337" t="s">
        <v>2879</v>
      </c>
      <c r="C273" s="540">
        <v>160826</v>
      </c>
      <c r="D273" s="539" t="s">
        <v>36074</v>
      </c>
      <c r="E273" s="338" t="s">
        <v>74</v>
      </c>
      <c r="F273" s="599">
        <v>24</v>
      </c>
      <c r="G273" s="339">
        <v>63.43</v>
      </c>
      <c r="H273" s="339">
        <v>1522.32</v>
      </c>
      <c r="I273" s="374">
        <v>9.4756950146192653E-5</v>
      </c>
    </row>
    <row r="274" spans="1:9" ht="39.6">
      <c r="A274" s="613" t="s">
        <v>35380</v>
      </c>
      <c r="B274" s="337" t="s">
        <v>2879</v>
      </c>
      <c r="C274" s="540">
        <v>151819</v>
      </c>
      <c r="D274" s="539" t="s">
        <v>36031</v>
      </c>
      <c r="E274" s="338" t="s">
        <v>74</v>
      </c>
      <c r="F274" s="599">
        <v>10</v>
      </c>
      <c r="G274" s="339">
        <v>149.49</v>
      </c>
      <c r="H274" s="339">
        <v>1494.9</v>
      </c>
      <c r="I274" s="374">
        <v>9.3050189693062824E-5</v>
      </c>
    </row>
    <row r="275" spans="1:9" ht="26.4">
      <c r="A275" s="613" t="s">
        <v>35318</v>
      </c>
      <c r="B275" s="337" t="s">
        <v>2879</v>
      </c>
      <c r="C275" s="540">
        <v>142204</v>
      </c>
      <c r="D275" s="539" t="s">
        <v>35980</v>
      </c>
      <c r="E275" s="338" t="s">
        <v>75</v>
      </c>
      <c r="F275" s="599">
        <v>42</v>
      </c>
      <c r="G275" s="339">
        <v>35.54</v>
      </c>
      <c r="H275" s="339">
        <v>1492.68</v>
      </c>
      <c r="I275" s="374">
        <v>9.291200558635429E-5</v>
      </c>
    </row>
    <row r="276" spans="1:9" ht="26.4">
      <c r="A276" s="613" t="s">
        <v>35345</v>
      </c>
      <c r="B276" s="337" t="s">
        <v>2879</v>
      </c>
      <c r="C276" s="540">
        <v>151309</v>
      </c>
      <c r="D276" s="539" t="s">
        <v>36002</v>
      </c>
      <c r="E276" s="338" t="s">
        <v>74</v>
      </c>
      <c r="F276" s="599">
        <v>12</v>
      </c>
      <c r="G276" s="339">
        <v>122.4</v>
      </c>
      <c r="H276" s="339">
        <v>1468.8</v>
      </c>
      <c r="I276" s="374">
        <v>9.1425592762840765E-5</v>
      </c>
    </row>
    <row r="277" spans="1:9" ht="66">
      <c r="A277" s="613" t="s">
        <v>35456</v>
      </c>
      <c r="B277" s="337" t="s">
        <v>2879</v>
      </c>
      <c r="C277" s="540">
        <v>170614</v>
      </c>
      <c r="D277" s="539" t="s">
        <v>36113</v>
      </c>
      <c r="E277" s="338" t="s">
        <v>74</v>
      </c>
      <c r="F277" s="599">
        <v>3</v>
      </c>
      <c r="G277" s="339">
        <v>414.03</v>
      </c>
      <c r="H277" s="339">
        <v>1242.0899999999999</v>
      </c>
      <c r="I277" s="374">
        <v>7.7314007703429256E-5</v>
      </c>
    </row>
    <row r="278" spans="1:9" ht="39.6">
      <c r="A278" s="613" t="s">
        <v>35410</v>
      </c>
      <c r="B278" s="337" t="s">
        <v>2879</v>
      </c>
      <c r="C278" s="540">
        <v>160658</v>
      </c>
      <c r="D278" s="539" t="s">
        <v>36064</v>
      </c>
      <c r="E278" s="338" t="s">
        <v>74</v>
      </c>
      <c r="F278" s="599">
        <v>3</v>
      </c>
      <c r="G278" s="339">
        <v>411.84</v>
      </c>
      <c r="H278" s="339">
        <v>1235.52</v>
      </c>
      <c r="I278" s="374">
        <v>7.6905057441683703E-5</v>
      </c>
    </row>
    <row r="279" spans="1:9" ht="26.4">
      <c r="A279" s="613" t="s">
        <v>35317</v>
      </c>
      <c r="B279" s="337" t="s">
        <v>2879</v>
      </c>
      <c r="C279" s="540">
        <v>142202</v>
      </c>
      <c r="D279" s="539" t="s">
        <v>35979</v>
      </c>
      <c r="E279" s="338" t="s">
        <v>75</v>
      </c>
      <c r="F279" s="599">
        <v>42</v>
      </c>
      <c r="G279" s="339">
        <v>27.96</v>
      </c>
      <c r="H279" s="339">
        <v>1174.32</v>
      </c>
      <c r="I279" s="374">
        <v>7.3095657743232008E-5</v>
      </c>
    </row>
    <row r="280" spans="1:9" ht="52.8">
      <c r="A280" s="613" t="s">
        <v>9747</v>
      </c>
      <c r="B280" s="337" t="s">
        <v>2879</v>
      </c>
      <c r="C280" s="540">
        <v>50301</v>
      </c>
      <c r="D280" s="539" t="s">
        <v>35932</v>
      </c>
      <c r="E280" s="338" t="s">
        <v>75</v>
      </c>
      <c r="F280" s="599">
        <v>20.7</v>
      </c>
      <c r="G280" s="339">
        <v>56.6</v>
      </c>
      <c r="H280" s="339">
        <v>1171.6199999999999</v>
      </c>
      <c r="I280" s="374">
        <v>7.2927595991829729E-5</v>
      </c>
    </row>
    <row r="281" spans="1:9" ht="52.8">
      <c r="A281" s="613" t="s">
        <v>35415</v>
      </c>
      <c r="B281" s="337" t="s">
        <v>2879</v>
      </c>
      <c r="C281" s="540">
        <v>160674</v>
      </c>
      <c r="D281" s="539" t="s">
        <v>36069</v>
      </c>
      <c r="E281" s="338" t="s">
        <v>74</v>
      </c>
      <c r="F281" s="599">
        <v>6</v>
      </c>
      <c r="G281" s="339">
        <v>192.63</v>
      </c>
      <c r="H281" s="339">
        <v>1155.78</v>
      </c>
      <c r="I281" s="374">
        <v>7.1941633716936343E-5</v>
      </c>
    </row>
    <row r="282" spans="1:9" ht="39.6">
      <c r="A282" s="613" t="s">
        <v>35334</v>
      </c>
      <c r="B282" s="337" t="s">
        <v>2879</v>
      </c>
      <c r="C282" s="540">
        <v>150870</v>
      </c>
      <c r="D282" s="539" t="s">
        <v>35991</v>
      </c>
      <c r="E282" s="338" t="s">
        <v>74</v>
      </c>
      <c r="F282" s="599">
        <v>10</v>
      </c>
      <c r="G282" s="339">
        <v>114.4</v>
      </c>
      <c r="H282" s="339">
        <v>1144</v>
      </c>
      <c r="I282" s="374">
        <v>7.1208386520077514E-5</v>
      </c>
    </row>
    <row r="283" spans="1:9" ht="26.4">
      <c r="A283" s="613" t="s">
        <v>35335</v>
      </c>
      <c r="B283" s="337" t="s">
        <v>2879</v>
      </c>
      <c r="C283" s="540">
        <v>150875</v>
      </c>
      <c r="D283" s="539" t="s">
        <v>35992</v>
      </c>
      <c r="E283" s="338" t="s">
        <v>74</v>
      </c>
      <c r="F283" s="599">
        <v>10</v>
      </c>
      <c r="G283" s="339">
        <v>103.1</v>
      </c>
      <c r="H283" s="339">
        <v>1031</v>
      </c>
      <c r="I283" s="374">
        <v>6.41746909984265E-5</v>
      </c>
    </row>
    <row r="284" spans="1:9" ht="66">
      <c r="A284" s="613" t="s">
        <v>10357</v>
      </c>
      <c r="B284" s="337" t="s">
        <v>2879</v>
      </c>
      <c r="C284" s="540">
        <v>140208</v>
      </c>
      <c r="D284" s="539" t="s">
        <v>35949</v>
      </c>
      <c r="E284" s="338" t="s">
        <v>74</v>
      </c>
      <c r="F284" s="599">
        <v>1</v>
      </c>
      <c r="G284" s="339">
        <v>1024.68</v>
      </c>
      <c r="H284" s="339">
        <v>1024.68</v>
      </c>
      <c r="I284" s="374">
        <v>6.3781302009958943E-5</v>
      </c>
    </row>
    <row r="285" spans="1:9">
      <c r="A285" s="613" t="s">
        <v>35312</v>
      </c>
      <c r="B285" s="337" t="s">
        <v>2879</v>
      </c>
      <c r="C285" s="540">
        <v>142104</v>
      </c>
      <c r="D285" s="539" t="s">
        <v>35975</v>
      </c>
      <c r="E285" s="338" t="s">
        <v>74</v>
      </c>
      <c r="F285" s="599">
        <v>28</v>
      </c>
      <c r="G285" s="339">
        <v>36.39</v>
      </c>
      <c r="H285" s="339">
        <v>1018.92</v>
      </c>
      <c r="I285" s="374">
        <v>6.3422770273634065E-5</v>
      </c>
    </row>
    <row r="286" spans="1:9" ht="66">
      <c r="A286" s="613" t="s">
        <v>35290</v>
      </c>
      <c r="B286" s="337" t="s">
        <v>2879</v>
      </c>
      <c r="C286" s="540">
        <v>141104</v>
      </c>
      <c r="D286" s="539" t="s">
        <v>35958</v>
      </c>
      <c r="E286" s="338" t="s">
        <v>74</v>
      </c>
      <c r="F286" s="599">
        <v>1</v>
      </c>
      <c r="G286" s="339">
        <v>914.75</v>
      </c>
      <c r="H286" s="339">
        <v>914.75</v>
      </c>
      <c r="I286" s="374">
        <v>5.6938698924161625E-5</v>
      </c>
    </row>
    <row r="287" spans="1:9" ht="52.8">
      <c r="A287" s="613" t="s">
        <v>35408</v>
      </c>
      <c r="B287" s="337" t="s">
        <v>2879</v>
      </c>
      <c r="C287" s="540">
        <v>160655</v>
      </c>
      <c r="D287" s="539" t="s">
        <v>36062</v>
      </c>
      <c r="E287" s="338" t="s">
        <v>74</v>
      </c>
      <c r="F287" s="599">
        <v>1</v>
      </c>
      <c r="G287" s="339">
        <v>901.41</v>
      </c>
      <c r="H287" s="339">
        <v>901.41</v>
      </c>
      <c r="I287" s="374">
        <v>5.6108349382048133E-5</v>
      </c>
    </row>
    <row r="288" spans="1:9">
      <c r="A288" s="613" t="s">
        <v>35314</v>
      </c>
      <c r="B288" s="337" t="s">
        <v>2879</v>
      </c>
      <c r="C288" s="540">
        <v>142118</v>
      </c>
      <c r="D288" s="539" t="s">
        <v>35977</v>
      </c>
      <c r="E288" s="338" t="s">
        <v>74</v>
      </c>
      <c r="F288" s="599">
        <v>28</v>
      </c>
      <c r="G288" s="339">
        <v>26.98</v>
      </c>
      <c r="H288" s="339">
        <v>755.44</v>
      </c>
      <c r="I288" s="374">
        <v>4.7022433140495941E-5</v>
      </c>
    </row>
    <row r="289" spans="1:9" ht="26.4">
      <c r="A289" s="613" t="s">
        <v>35423</v>
      </c>
      <c r="B289" s="337" t="s">
        <v>2879</v>
      </c>
      <c r="C289" s="540">
        <v>160830</v>
      </c>
      <c r="D289" s="539" t="s">
        <v>36076</v>
      </c>
      <c r="E289" s="338" t="s">
        <v>74</v>
      </c>
      <c r="F289" s="599">
        <v>24</v>
      </c>
      <c r="G289" s="339">
        <v>29.39</v>
      </c>
      <c r="H289" s="339">
        <v>705.36</v>
      </c>
      <c r="I289" s="374">
        <v>4.3905198877449191E-5</v>
      </c>
    </row>
    <row r="290" spans="1:9" ht="39.6">
      <c r="A290" s="613" t="s">
        <v>35479</v>
      </c>
      <c r="B290" s="337" t="s">
        <v>2879</v>
      </c>
      <c r="C290" s="540">
        <v>200404</v>
      </c>
      <c r="D290" s="539" t="s">
        <v>36136</v>
      </c>
      <c r="E290" s="338" t="s">
        <v>73</v>
      </c>
      <c r="F290" s="599">
        <v>126.36</v>
      </c>
      <c r="G290" s="339">
        <v>5.42</v>
      </c>
      <c r="H290" s="339">
        <v>684.87</v>
      </c>
      <c r="I290" s="374">
        <v>4.2629796919585214E-5</v>
      </c>
    </row>
    <row r="291" spans="1:9" ht="39.6">
      <c r="A291" s="613" t="s">
        <v>35350</v>
      </c>
      <c r="B291" s="337" t="s">
        <v>2879</v>
      </c>
      <c r="C291" s="540">
        <v>151334</v>
      </c>
      <c r="D291" s="539" t="s">
        <v>36007</v>
      </c>
      <c r="E291" s="338" t="s">
        <v>74</v>
      </c>
      <c r="F291" s="599">
        <v>1</v>
      </c>
      <c r="G291" s="339">
        <v>684.57</v>
      </c>
      <c r="H291" s="339">
        <v>684.57</v>
      </c>
      <c r="I291" s="374">
        <v>4.2611123391651628E-5</v>
      </c>
    </row>
    <row r="292" spans="1:9" ht="39.6">
      <c r="A292" s="613" t="s">
        <v>35482</v>
      </c>
      <c r="B292" s="337" t="s">
        <v>2879</v>
      </c>
      <c r="C292" s="540">
        <v>200576</v>
      </c>
      <c r="D292" s="539" t="s">
        <v>36138</v>
      </c>
      <c r="E292" s="338" t="s">
        <v>74</v>
      </c>
      <c r="F292" s="599">
        <v>1</v>
      </c>
      <c r="G292" s="339">
        <v>674.41</v>
      </c>
      <c r="H292" s="339">
        <v>674.41</v>
      </c>
      <c r="I292" s="374">
        <v>4.1978713245634155E-5</v>
      </c>
    </row>
    <row r="293" spans="1:9">
      <c r="A293" s="613" t="s">
        <v>35271</v>
      </c>
      <c r="B293" s="337" t="s">
        <v>2879</v>
      </c>
      <c r="C293" s="540">
        <v>130308</v>
      </c>
      <c r="D293" s="539" t="s">
        <v>35947</v>
      </c>
      <c r="E293" s="338" t="s">
        <v>75</v>
      </c>
      <c r="F293" s="599">
        <v>9.8000000000000007</v>
      </c>
      <c r="G293" s="339">
        <v>67.38</v>
      </c>
      <c r="H293" s="339">
        <v>660.32</v>
      </c>
      <c r="I293" s="374">
        <v>4.1101679883686701E-5</v>
      </c>
    </row>
    <row r="294" spans="1:9" ht="26.4">
      <c r="A294" s="613" t="s">
        <v>35346</v>
      </c>
      <c r="B294" s="337" t="s">
        <v>2879</v>
      </c>
      <c r="C294" s="540">
        <v>151311</v>
      </c>
      <c r="D294" s="539" t="s">
        <v>36003</v>
      </c>
      <c r="E294" s="338" t="s">
        <v>74</v>
      </c>
      <c r="F294" s="599">
        <v>5</v>
      </c>
      <c r="G294" s="339">
        <v>126.35</v>
      </c>
      <c r="H294" s="339">
        <v>631.75</v>
      </c>
      <c r="I294" s="374">
        <v>3.9323337573478119E-5</v>
      </c>
    </row>
    <row r="295" spans="1:9" ht="52.8">
      <c r="A295" s="613" t="s">
        <v>35402</v>
      </c>
      <c r="B295" s="337" t="s">
        <v>2879</v>
      </c>
      <c r="C295" s="540">
        <v>160637</v>
      </c>
      <c r="D295" s="539" t="s">
        <v>36056</v>
      </c>
      <c r="E295" s="338" t="s">
        <v>74</v>
      </c>
      <c r="F295" s="599">
        <v>5</v>
      </c>
      <c r="G295" s="339">
        <v>124.06</v>
      </c>
      <c r="H295" s="339">
        <v>620.29999999999995</v>
      </c>
      <c r="I295" s="374">
        <v>3.8610631257346218E-5</v>
      </c>
    </row>
    <row r="296" spans="1:9" ht="52.8">
      <c r="A296" s="613" t="s">
        <v>35457</v>
      </c>
      <c r="B296" s="337" t="s">
        <v>2879</v>
      </c>
      <c r="C296" s="540">
        <v>170615</v>
      </c>
      <c r="D296" s="539" t="s">
        <v>36114</v>
      </c>
      <c r="E296" s="338" t="s">
        <v>74</v>
      </c>
      <c r="F296" s="599">
        <v>3</v>
      </c>
      <c r="G296" s="339">
        <v>202.47</v>
      </c>
      <c r="H296" s="339">
        <v>607.41</v>
      </c>
      <c r="I296" s="374">
        <v>3.7808292007133108E-5</v>
      </c>
    </row>
    <row r="297" spans="1:9" ht="52.8">
      <c r="A297" s="613" t="s">
        <v>35392</v>
      </c>
      <c r="B297" s="337" t="s">
        <v>2879</v>
      </c>
      <c r="C297" s="540">
        <v>160612</v>
      </c>
      <c r="D297" s="539" t="s">
        <v>36047</v>
      </c>
      <c r="E297" s="338" t="s">
        <v>74</v>
      </c>
      <c r="F297" s="599">
        <v>15</v>
      </c>
      <c r="G297" s="339">
        <v>38.799999999999997</v>
      </c>
      <c r="H297" s="339">
        <v>582</v>
      </c>
      <c r="I297" s="374">
        <v>3.6226644191158311E-5</v>
      </c>
    </row>
    <row r="298" spans="1:9" ht="52.8">
      <c r="A298" s="613" t="s">
        <v>35403</v>
      </c>
      <c r="B298" s="337" t="s">
        <v>2879</v>
      </c>
      <c r="C298" s="540">
        <v>160638</v>
      </c>
      <c r="D298" s="539" t="s">
        <v>36057</v>
      </c>
      <c r="E298" s="338" t="s">
        <v>74</v>
      </c>
      <c r="F298" s="599">
        <v>3</v>
      </c>
      <c r="G298" s="339">
        <v>189.07</v>
      </c>
      <c r="H298" s="339">
        <v>567.21</v>
      </c>
      <c r="I298" s="374">
        <v>3.5306039264032486E-5</v>
      </c>
    </row>
    <row r="299" spans="1:9" ht="26.4">
      <c r="A299" s="613" t="s">
        <v>35411</v>
      </c>
      <c r="B299" s="337" t="s">
        <v>2879</v>
      </c>
      <c r="C299" s="540">
        <v>160661</v>
      </c>
      <c r="D299" s="539" t="s">
        <v>36065</v>
      </c>
      <c r="E299" s="338" t="s">
        <v>74</v>
      </c>
      <c r="F299" s="599">
        <v>3</v>
      </c>
      <c r="G299" s="339">
        <v>181.47</v>
      </c>
      <c r="H299" s="339">
        <v>544.41</v>
      </c>
      <c r="I299" s="374">
        <v>3.3886851141079892E-5</v>
      </c>
    </row>
    <row r="300" spans="1:9" ht="26.4">
      <c r="A300" s="613" t="s">
        <v>35445</v>
      </c>
      <c r="B300" s="337" t="s">
        <v>2879</v>
      </c>
      <c r="C300" s="540">
        <v>170306</v>
      </c>
      <c r="D300" s="539" t="s">
        <v>36102</v>
      </c>
      <c r="E300" s="338" t="s">
        <v>74</v>
      </c>
      <c r="F300" s="599">
        <v>2</v>
      </c>
      <c r="G300" s="339">
        <v>266.5</v>
      </c>
      <c r="H300" s="339">
        <v>533</v>
      </c>
      <c r="I300" s="374">
        <v>3.3176634628672478E-5</v>
      </c>
    </row>
    <row r="301" spans="1:9" ht="26.4">
      <c r="A301" s="613" t="s">
        <v>35348</v>
      </c>
      <c r="B301" s="337" t="s">
        <v>2879</v>
      </c>
      <c r="C301" s="540">
        <v>151322</v>
      </c>
      <c r="D301" s="539" t="s">
        <v>36005</v>
      </c>
      <c r="E301" s="338" t="s">
        <v>74</v>
      </c>
      <c r="F301" s="599">
        <v>6</v>
      </c>
      <c r="G301" s="339">
        <v>85.21</v>
      </c>
      <c r="H301" s="339">
        <v>511.26</v>
      </c>
      <c r="I301" s="374">
        <v>3.1823426304418554E-5</v>
      </c>
    </row>
    <row r="302" spans="1:9" ht="26.4">
      <c r="A302" s="613" t="s">
        <v>35300</v>
      </c>
      <c r="B302" s="337" t="s">
        <v>2879</v>
      </c>
      <c r="C302" s="540">
        <v>141523</v>
      </c>
      <c r="D302" s="539" t="s">
        <v>35966</v>
      </c>
      <c r="E302" s="338" t="s">
        <v>74</v>
      </c>
      <c r="F302" s="599">
        <v>14</v>
      </c>
      <c r="G302" s="339">
        <v>35.36</v>
      </c>
      <c r="H302" s="339">
        <v>495.04</v>
      </c>
      <c r="I302" s="374">
        <v>3.081381089414263E-5</v>
      </c>
    </row>
    <row r="303" spans="1:9" ht="26.4">
      <c r="A303" s="613" t="s">
        <v>23675</v>
      </c>
      <c r="B303" s="337" t="s">
        <v>2879</v>
      </c>
      <c r="C303" s="540">
        <v>150861</v>
      </c>
      <c r="D303" s="539" t="s">
        <v>35989</v>
      </c>
      <c r="E303" s="338" t="s">
        <v>75</v>
      </c>
      <c r="F303" s="599">
        <v>10</v>
      </c>
      <c r="G303" s="339">
        <v>48.06</v>
      </c>
      <c r="H303" s="339">
        <v>480.6</v>
      </c>
      <c r="I303" s="374">
        <v>2.9914991749605991E-5</v>
      </c>
    </row>
    <row r="304" spans="1:9" ht="26.4">
      <c r="A304" s="613" t="s">
        <v>35302</v>
      </c>
      <c r="B304" s="337" t="s">
        <v>2879</v>
      </c>
      <c r="C304" s="540">
        <v>141525</v>
      </c>
      <c r="D304" s="539" t="s">
        <v>35968</v>
      </c>
      <c r="E304" s="338" t="s">
        <v>74</v>
      </c>
      <c r="F304" s="599">
        <v>8</v>
      </c>
      <c r="G304" s="339">
        <v>56.54</v>
      </c>
      <c r="H304" s="339">
        <v>452.32</v>
      </c>
      <c r="I304" s="374">
        <v>2.8154700516399877E-5</v>
      </c>
    </row>
    <row r="305" spans="1:9" ht="26.4">
      <c r="A305" s="613" t="s">
        <v>35299</v>
      </c>
      <c r="B305" s="337" t="s">
        <v>2879</v>
      </c>
      <c r="C305" s="540">
        <v>141522</v>
      </c>
      <c r="D305" s="539" t="s">
        <v>35965</v>
      </c>
      <c r="E305" s="338" t="s">
        <v>74</v>
      </c>
      <c r="F305" s="599">
        <v>18</v>
      </c>
      <c r="G305" s="339">
        <v>23.67</v>
      </c>
      <c r="H305" s="339">
        <v>426.06</v>
      </c>
      <c r="I305" s="374">
        <v>2.6520144371279915E-5</v>
      </c>
    </row>
    <row r="306" spans="1:9" ht="26.4">
      <c r="A306" s="613" t="s">
        <v>30</v>
      </c>
      <c r="B306" s="337" t="s">
        <v>2879</v>
      </c>
      <c r="C306" s="337">
        <v>10403</v>
      </c>
      <c r="D306" s="634" t="s">
        <v>35906</v>
      </c>
      <c r="E306" s="338" t="s">
        <v>74</v>
      </c>
      <c r="F306" s="599">
        <v>5</v>
      </c>
      <c r="G306" s="339">
        <v>78.67</v>
      </c>
      <c r="H306" s="339">
        <v>393.35</v>
      </c>
      <c r="I306" s="374">
        <v>2.448410737558784E-5</v>
      </c>
    </row>
    <row r="307" spans="1:9" ht="26.4">
      <c r="A307" s="613" t="s">
        <v>35333</v>
      </c>
      <c r="B307" s="337" t="s">
        <v>2879</v>
      </c>
      <c r="C307" s="540">
        <v>150866</v>
      </c>
      <c r="D307" s="539" t="s">
        <v>35990</v>
      </c>
      <c r="E307" s="338" t="s">
        <v>74</v>
      </c>
      <c r="F307" s="599">
        <v>15</v>
      </c>
      <c r="G307" s="339">
        <v>16.98</v>
      </c>
      <c r="H307" s="339">
        <v>254.7</v>
      </c>
      <c r="I307" s="374">
        <v>1.585382521561516E-5</v>
      </c>
    </row>
    <row r="308" spans="1:9" ht="79.2">
      <c r="A308" s="613" t="s">
        <v>35464</v>
      </c>
      <c r="B308" s="337" t="s">
        <v>2879</v>
      </c>
      <c r="C308" s="540">
        <v>190301</v>
      </c>
      <c r="D308" s="539" t="s">
        <v>36123</v>
      </c>
      <c r="E308" s="338" t="s">
        <v>73</v>
      </c>
      <c r="F308" s="599">
        <v>5</v>
      </c>
      <c r="G308" s="339">
        <v>48.49</v>
      </c>
      <c r="H308" s="339">
        <v>242.45</v>
      </c>
      <c r="I308" s="374">
        <v>1.5091322824993698E-5</v>
      </c>
    </row>
    <row r="309" spans="1:9" ht="26.4">
      <c r="A309" s="613" t="s">
        <v>35417</v>
      </c>
      <c r="B309" s="337" t="s">
        <v>2879</v>
      </c>
      <c r="C309" s="540">
        <v>160676</v>
      </c>
      <c r="D309" s="539" t="s">
        <v>36071</v>
      </c>
      <c r="E309" s="338" t="s">
        <v>74</v>
      </c>
      <c r="F309" s="599">
        <v>2</v>
      </c>
      <c r="G309" s="339">
        <v>113.52</v>
      </c>
      <c r="H309" s="339">
        <v>227.04</v>
      </c>
      <c r="I309" s="374">
        <v>1.413212594013846E-5</v>
      </c>
    </row>
    <row r="310" spans="1:9" ht="66">
      <c r="A310" s="613" t="s">
        <v>35465</v>
      </c>
      <c r="B310" s="337" t="s">
        <v>2879</v>
      </c>
      <c r="C310" s="540">
        <v>190302</v>
      </c>
      <c r="D310" s="539" t="s">
        <v>36124</v>
      </c>
      <c r="E310" s="338" t="s">
        <v>73</v>
      </c>
      <c r="F310" s="599">
        <v>5</v>
      </c>
      <c r="G310" s="339">
        <v>43.16</v>
      </c>
      <c r="H310" s="339">
        <v>215.8</v>
      </c>
      <c r="I310" s="374">
        <v>1.3432491093560075E-5</v>
      </c>
    </row>
    <row r="311" spans="1:9" ht="26.4">
      <c r="A311" s="613" t="s">
        <v>35365</v>
      </c>
      <c r="B311" s="337" t="s">
        <v>2879</v>
      </c>
      <c r="C311" s="540">
        <v>151508</v>
      </c>
      <c r="D311" s="539" t="s">
        <v>36020</v>
      </c>
      <c r="E311" s="338" t="s">
        <v>74</v>
      </c>
      <c r="F311" s="599">
        <v>50</v>
      </c>
      <c r="G311" s="339">
        <v>4.0199999999999996</v>
      </c>
      <c r="H311" s="339">
        <v>201</v>
      </c>
      <c r="I311" s="374">
        <v>1.2511263715503129E-5</v>
      </c>
    </row>
    <row r="312" spans="1:9" ht="26.4">
      <c r="A312" s="613" t="s">
        <v>32</v>
      </c>
      <c r="B312" s="337" t="s">
        <v>2879</v>
      </c>
      <c r="C312" s="337">
        <v>10404</v>
      </c>
      <c r="D312" s="539" t="s">
        <v>35907</v>
      </c>
      <c r="E312" s="338" t="s">
        <v>74</v>
      </c>
      <c r="F312" s="599">
        <v>1</v>
      </c>
      <c r="G312" s="339">
        <v>195.62</v>
      </c>
      <c r="H312" s="339">
        <v>195.62</v>
      </c>
      <c r="I312" s="374">
        <v>1.2176385114560806E-5</v>
      </c>
    </row>
    <row r="313" spans="1:9" ht="26.4">
      <c r="A313" s="613" t="s">
        <v>35349</v>
      </c>
      <c r="B313" s="337" t="s">
        <v>2879</v>
      </c>
      <c r="C313" s="540">
        <v>151323</v>
      </c>
      <c r="D313" s="539" t="s">
        <v>36006</v>
      </c>
      <c r="E313" s="338" t="s">
        <v>74</v>
      </c>
      <c r="F313" s="599">
        <v>2</v>
      </c>
      <c r="G313" s="339">
        <v>89.65</v>
      </c>
      <c r="H313" s="339">
        <v>179.3</v>
      </c>
      <c r="I313" s="374">
        <v>1.1160545194973687E-5</v>
      </c>
    </row>
    <row r="314" spans="1:9" ht="26.4">
      <c r="A314" s="613" t="s">
        <v>35303</v>
      </c>
      <c r="B314" s="337" t="s">
        <v>2879</v>
      </c>
      <c r="C314" s="540">
        <v>141526</v>
      </c>
      <c r="D314" s="539" t="s">
        <v>35969</v>
      </c>
      <c r="E314" s="338" t="s">
        <v>74</v>
      </c>
      <c r="F314" s="599">
        <v>2</v>
      </c>
      <c r="G314" s="339">
        <v>88.09</v>
      </c>
      <c r="H314" s="339">
        <v>176.18</v>
      </c>
      <c r="I314" s="374">
        <v>1.0966340504464385E-5</v>
      </c>
    </row>
    <row r="315" spans="1:9">
      <c r="A315" s="613" t="s">
        <v>35313</v>
      </c>
      <c r="B315" s="337" t="s">
        <v>2879</v>
      </c>
      <c r="C315" s="540">
        <v>142106</v>
      </c>
      <c r="D315" s="539" t="s">
        <v>35976</v>
      </c>
      <c r="E315" s="338" t="s">
        <v>74</v>
      </c>
      <c r="F315" s="599">
        <v>4</v>
      </c>
      <c r="G315" s="339">
        <v>41.75</v>
      </c>
      <c r="H315" s="339">
        <v>167</v>
      </c>
      <c r="I315" s="374">
        <v>1.0394930549696629E-5</v>
      </c>
    </row>
    <row r="316" spans="1:9" ht="26.4">
      <c r="A316" s="613" t="s">
        <v>35301</v>
      </c>
      <c r="B316" s="337" t="s">
        <v>2879</v>
      </c>
      <c r="C316" s="540">
        <v>141524</v>
      </c>
      <c r="D316" s="539" t="s">
        <v>35967</v>
      </c>
      <c r="E316" s="338" t="s">
        <v>74</v>
      </c>
      <c r="F316" s="599">
        <v>3</v>
      </c>
      <c r="G316" s="339">
        <v>40.31</v>
      </c>
      <c r="H316" s="339">
        <v>120.93</v>
      </c>
      <c r="I316" s="374">
        <v>7.5272991100288231E-6</v>
      </c>
    </row>
    <row r="317" spans="1:9" ht="28.2">
      <c r="A317" s="626"/>
      <c r="B317" s="628"/>
      <c r="C317" s="628"/>
      <c r="D317" s="628"/>
      <c r="E317" s="628"/>
      <c r="F317" s="628"/>
      <c r="G317" s="628"/>
      <c r="H317" s="628"/>
      <c r="I317" s="632"/>
    </row>
    <row r="318" spans="1:9" ht="17.399999999999999">
      <c r="A318" s="627"/>
      <c r="B318" s="629"/>
      <c r="C318" s="629"/>
      <c r="D318" s="629"/>
      <c r="E318" s="629"/>
      <c r="F318" s="629"/>
      <c r="G318" s="630" t="s">
        <v>23527</v>
      </c>
      <c r="H318" s="630"/>
      <c r="I318" s="633"/>
    </row>
    <row r="319" spans="1:9" ht="66">
      <c r="A319" s="627"/>
      <c r="B319" s="629"/>
      <c r="C319" s="629"/>
      <c r="D319" s="629"/>
      <c r="E319" s="629"/>
      <c r="F319" s="629"/>
      <c r="G319" s="621" t="s">
        <v>27017</v>
      </c>
      <c r="H319" s="621"/>
      <c r="I319" s="622"/>
    </row>
    <row r="320" spans="1:9" ht="17.399999999999999">
      <c r="A320" s="623" t="s">
        <v>1795</v>
      </c>
      <c r="B320" s="624"/>
      <c r="C320" s="624"/>
      <c r="D320" s="624"/>
      <c r="E320" s="624"/>
      <c r="F320" s="624"/>
      <c r="G320" s="624"/>
      <c r="H320" s="624"/>
      <c r="I320" s="625"/>
    </row>
    <row r="321" spans="1:9">
      <c r="A321" s="561" t="s">
        <v>6</v>
      </c>
      <c r="B321" s="562"/>
      <c r="C321" s="563"/>
      <c r="D321" s="564" t="s">
        <v>26</v>
      </c>
      <c r="E321" s="565"/>
      <c r="F321" s="597"/>
      <c r="G321" s="566"/>
      <c r="H321" s="567"/>
      <c r="I321" s="568"/>
    </row>
    <row r="322" spans="1:9">
      <c r="A322" s="553" t="s">
        <v>27</v>
      </c>
      <c r="B322" s="554"/>
      <c r="C322" s="555"/>
      <c r="D322" s="556" t="s">
        <v>1112</v>
      </c>
      <c r="E322" s="557"/>
      <c r="F322" s="598"/>
      <c r="G322" s="558"/>
      <c r="H322" s="559"/>
      <c r="I322" s="560"/>
    </row>
    <row r="323" spans="1:9">
      <c r="A323" s="553" t="s">
        <v>15127</v>
      </c>
      <c r="B323" s="554"/>
      <c r="C323" s="555"/>
      <c r="D323" s="556" t="s">
        <v>1117</v>
      </c>
      <c r="E323" s="557"/>
      <c r="F323" s="598"/>
      <c r="G323" s="558"/>
      <c r="H323" s="559"/>
      <c r="I323" s="560"/>
    </row>
    <row r="324" spans="1:9">
      <c r="A324" s="553" t="s">
        <v>27067</v>
      </c>
      <c r="B324" s="554"/>
      <c r="C324" s="555"/>
      <c r="D324" s="556" t="s">
        <v>1120</v>
      </c>
      <c r="E324" s="557"/>
      <c r="F324" s="598"/>
      <c r="G324" s="558"/>
      <c r="H324" s="559"/>
      <c r="I324" s="560"/>
    </row>
    <row r="325" spans="1:9">
      <c r="A325" s="553" t="s">
        <v>27385</v>
      </c>
      <c r="B325" s="554"/>
      <c r="C325" s="555"/>
      <c r="D325" s="556" t="s">
        <v>35505</v>
      </c>
      <c r="E325" s="557"/>
      <c r="F325" s="598"/>
      <c r="G325" s="558"/>
      <c r="H325" s="559"/>
      <c r="I325" s="560"/>
    </row>
    <row r="326" spans="1:9">
      <c r="A326" s="373"/>
      <c r="B326" s="337"/>
      <c r="C326" s="337"/>
      <c r="D326" s="578"/>
      <c r="E326" s="338"/>
      <c r="F326" s="606"/>
      <c r="G326" s="339"/>
      <c r="H326" s="375"/>
      <c r="I326" s="579"/>
    </row>
    <row r="327" spans="1:9">
      <c r="A327" s="561" t="s">
        <v>7</v>
      </c>
      <c r="B327" s="562"/>
      <c r="C327" s="563"/>
      <c r="D327" s="564" t="s">
        <v>36</v>
      </c>
      <c r="E327" s="565"/>
      <c r="F327" s="597"/>
      <c r="G327" s="566"/>
      <c r="H327" s="567"/>
      <c r="I327" s="568"/>
    </row>
    <row r="328" spans="1:9">
      <c r="A328" s="553" t="s">
        <v>10362</v>
      </c>
      <c r="B328" s="554"/>
      <c r="C328" s="555"/>
      <c r="D328" s="556" t="s">
        <v>1147</v>
      </c>
      <c r="E328" s="557"/>
      <c r="F328" s="598"/>
      <c r="G328" s="558"/>
      <c r="H328" s="559"/>
      <c r="I328" s="560"/>
    </row>
    <row r="329" spans="1:9">
      <c r="A329" s="553" t="s">
        <v>27404</v>
      </c>
      <c r="B329" s="554"/>
      <c r="C329" s="555"/>
      <c r="D329" s="556" t="s">
        <v>1153</v>
      </c>
      <c r="E329" s="557"/>
      <c r="F329" s="598"/>
      <c r="G329" s="558"/>
      <c r="H329" s="559"/>
      <c r="I329" s="560"/>
    </row>
    <row r="330" spans="1:9">
      <c r="A330" s="553" t="s">
        <v>27406</v>
      </c>
      <c r="B330" s="554"/>
      <c r="C330" s="555"/>
      <c r="D330" s="556" t="s">
        <v>1161</v>
      </c>
      <c r="E330" s="557"/>
      <c r="F330" s="598"/>
      <c r="G330" s="558"/>
      <c r="H330" s="559"/>
      <c r="I330" s="560"/>
    </row>
    <row r="331" spans="1:9">
      <c r="A331" s="613"/>
      <c r="B331" s="337"/>
      <c r="C331" s="337"/>
      <c r="D331" s="539"/>
      <c r="E331" s="338"/>
      <c r="F331" s="599"/>
      <c r="G331" s="339"/>
      <c r="H331" s="339"/>
      <c r="I331" s="374"/>
    </row>
    <row r="332" spans="1:9">
      <c r="A332" s="561" t="s">
        <v>8</v>
      </c>
      <c r="B332" s="562"/>
      <c r="C332" s="563"/>
      <c r="D332" s="564" t="s">
        <v>1165</v>
      </c>
      <c r="E332" s="565"/>
      <c r="F332" s="597"/>
      <c r="G332" s="566"/>
      <c r="H332" s="567"/>
      <c r="I332" s="568"/>
    </row>
    <row r="333" spans="1:9">
      <c r="A333" s="553" t="s">
        <v>39</v>
      </c>
      <c r="B333" s="554"/>
      <c r="C333" s="555"/>
      <c r="D333" s="556" t="s">
        <v>1166</v>
      </c>
      <c r="E333" s="557"/>
      <c r="F333" s="598"/>
      <c r="G333" s="558"/>
      <c r="H333" s="559"/>
      <c r="I333" s="560"/>
    </row>
    <row r="334" spans="1:9">
      <c r="A334" s="553" t="s">
        <v>7383</v>
      </c>
      <c r="B334" s="554"/>
      <c r="C334" s="555"/>
      <c r="D334" s="556" t="s">
        <v>1184</v>
      </c>
      <c r="E334" s="557"/>
      <c r="F334" s="598"/>
      <c r="G334" s="558"/>
      <c r="H334" s="559"/>
      <c r="I334" s="560"/>
    </row>
    <row r="335" spans="1:9">
      <c r="A335" s="553" t="s">
        <v>10361</v>
      </c>
      <c r="B335" s="554"/>
      <c r="C335" s="555"/>
      <c r="D335" s="556" t="s">
        <v>35508</v>
      </c>
      <c r="E335" s="557"/>
      <c r="F335" s="598"/>
      <c r="G335" s="558"/>
      <c r="H335" s="559"/>
      <c r="I335" s="560"/>
    </row>
    <row r="336" spans="1:9">
      <c r="A336" s="613"/>
      <c r="B336" s="337"/>
      <c r="C336" s="337"/>
      <c r="D336" s="539"/>
      <c r="E336" s="338"/>
      <c r="F336" s="599"/>
      <c r="G336" s="339"/>
      <c r="H336" s="339"/>
      <c r="I336" s="374"/>
    </row>
    <row r="337" spans="1:9">
      <c r="A337" s="561" t="s">
        <v>9</v>
      </c>
      <c r="B337" s="562"/>
      <c r="C337" s="563"/>
      <c r="D337" s="564" t="s">
        <v>1199</v>
      </c>
      <c r="E337" s="565"/>
      <c r="F337" s="597"/>
      <c r="G337" s="566"/>
      <c r="H337" s="567"/>
      <c r="I337" s="568"/>
    </row>
    <row r="338" spans="1:9">
      <c r="A338" s="553" t="s">
        <v>41</v>
      </c>
      <c r="B338" s="554"/>
      <c r="C338" s="555"/>
      <c r="D338" s="556" t="s">
        <v>45</v>
      </c>
      <c r="E338" s="557"/>
      <c r="F338" s="598"/>
      <c r="G338" s="558"/>
      <c r="H338" s="559"/>
      <c r="I338" s="560"/>
    </row>
    <row r="339" spans="1:9">
      <c r="A339" s="553" t="s">
        <v>9746</v>
      </c>
      <c r="B339" s="554"/>
      <c r="C339" s="555"/>
      <c r="D339" s="556" t="s">
        <v>1201</v>
      </c>
      <c r="E339" s="557"/>
      <c r="F339" s="598"/>
      <c r="G339" s="558"/>
      <c r="H339" s="559"/>
      <c r="I339" s="560"/>
    </row>
    <row r="340" spans="1:9">
      <c r="A340" s="613"/>
      <c r="B340" s="337"/>
      <c r="C340" s="337"/>
      <c r="D340" s="539"/>
      <c r="E340" s="338"/>
      <c r="F340" s="599"/>
      <c r="G340" s="339"/>
      <c r="H340" s="339"/>
      <c r="I340" s="374"/>
    </row>
    <row r="341" spans="1:9">
      <c r="A341" s="561" t="s">
        <v>10</v>
      </c>
      <c r="B341" s="562"/>
      <c r="C341" s="563"/>
      <c r="D341" s="564" t="s">
        <v>27410</v>
      </c>
      <c r="E341" s="565"/>
      <c r="F341" s="597"/>
      <c r="G341" s="566"/>
      <c r="H341" s="567"/>
      <c r="I341" s="568"/>
    </row>
    <row r="342" spans="1:9">
      <c r="A342" s="553" t="s">
        <v>10351</v>
      </c>
      <c r="B342" s="554"/>
      <c r="C342" s="555"/>
      <c r="D342" s="556" t="s">
        <v>1204</v>
      </c>
      <c r="E342" s="557"/>
      <c r="F342" s="598"/>
      <c r="G342" s="558"/>
      <c r="H342" s="559"/>
      <c r="I342" s="560"/>
    </row>
    <row r="343" spans="1:9">
      <c r="A343" s="553" t="s">
        <v>10352</v>
      </c>
      <c r="B343" s="554"/>
      <c r="C343" s="555"/>
      <c r="D343" s="556" t="s">
        <v>61</v>
      </c>
      <c r="E343" s="557"/>
      <c r="F343" s="598"/>
      <c r="G343" s="558"/>
      <c r="H343" s="559"/>
      <c r="I343" s="560"/>
    </row>
    <row r="344" spans="1:9">
      <c r="A344" s="553" t="s">
        <v>27411</v>
      </c>
      <c r="B344" s="554"/>
      <c r="C344" s="555"/>
      <c r="D344" s="556" t="s">
        <v>27412</v>
      </c>
      <c r="E344" s="557"/>
      <c r="F344" s="598"/>
      <c r="G344" s="558"/>
      <c r="H344" s="559"/>
      <c r="I344" s="560"/>
    </row>
    <row r="345" spans="1:9">
      <c r="A345" s="613"/>
      <c r="B345" s="337"/>
      <c r="C345" s="337"/>
      <c r="D345" s="539"/>
      <c r="E345" s="338"/>
      <c r="F345" s="599"/>
      <c r="G345" s="339"/>
      <c r="H345" s="339"/>
      <c r="I345" s="374"/>
    </row>
    <row r="346" spans="1:9">
      <c r="A346" s="561" t="s">
        <v>11</v>
      </c>
      <c r="B346" s="562"/>
      <c r="C346" s="563"/>
      <c r="D346" s="564" t="s">
        <v>48</v>
      </c>
      <c r="E346" s="565"/>
      <c r="F346" s="597"/>
      <c r="G346" s="566"/>
      <c r="H346" s="567"/>
      <c r="I346" s="568"/>
    </row>
    <row r="347" spans="1:9">
      <c r="A347" s="553" t="s">
        <v>9748</v>
      </c>
      <c r="B347" s="554"/>
      <c r="C347" s="555"/>
      <c r="D347" s="556" t="s">
        <v>1233</v>
      </c>
      <c r="E347" s="557"/>
      <c r="F347" s="598"/>
      <c r="G347" s="558"/>
      <c r="H347" s="559"/>
      <c r="I347" s="560"/>
    </row>
    <row r="348" spans="1:9">
      <c r="A348" s="553" t="s">
        <v>15129</v>
      </c>
      <c r="B348" s="554"/>
      <c r="C348" s="555"/>
      <c r="D348" s="556" t="s">
        <v>49</v>
      </c>
      <c r="E348" s="557"/>
      <c r="F348" s="598"/>
      <c r="G348" s="558"/>
      <c r="H348" s="559"/>
      <c r="I348" s="560"/>
    </row>
    <row r="349" spans="1:9">
      <c r="A349" s="553" t="s">
        <v>15130</v>
      </c>
      <c r="B349" s="554"/>
      <c r="C349" s="555"/>
      <c r="D349" s="556" t="s">
        <v>50</v>
      </c>
      <c r="E349" s="557"/>
      <c r="F349" s="598"/>
      <c r="G349" s="558"/>
      <c r="H349" s="559"/>
      <c r="I349" s="560"/>
    </row>
    <row r="350" spans="1:9">
      <c r="A350" s="613"/>
      <c r="B350" s="337"/>
      <c r="C350" s="337"/>
      <c r="D350" s="539"/>
      <c r="E350" s="338"/>
      <c r="F350" s="599"/>
      <c r="G350" s="339"/>
      <c r="H350" s="339"/>
      <c r="I350" s="374"/>
    </row>
    <row r="351" spans="1:9">
      <c r="A351" s="561" t="s">
        <v>12</v>
      </c>
      <c r="B351" s="562"/>
      <c r="C351" s="563"/>
      <c r="D351" s="564" t="s">
        <v>72</v>
      </c>
      <c r="E351" s="565"/>
      <c r="F351" s="597"/>
      <c r="G351" s="566"/>
      <c r="H351" s="567"/>
      <c r="I351" s="568"/>
    </row>
    <row r="352" spans="1:9" ht="26.4">
      <c r="A352" s="553" t="s">
        <v>7981</v>
      </c>
      <c r="B352" s="554"/>
      <c r="C352" s="555"/>
      <c r="D352" s="556" t="s">
        <v>35263</v>
      </c>
      <c r="E352" s="557"/>
      <c r="F352" s="598"/>
      <c r="G352" s="558"/>
      <c r="H352" s="559"/>
      <c r="I352" s="560"/>
    </row>
    <row r="353" spans="1:9">
      <c r="A353" s="373"/>
      <c r="B353" s="337"/>
      <c r="C353" s="337"/>
      <c r="D353" s="578"/>
      <c r="E353" s="338"/>
      <c r="F353" s="606"/>
      <c r="G353" s="339"/>
      <c r="H353" s="375"/>
      <c r="I353" s="579"/>
    </row>
    <row r="354" spans="1:9">
      <c r="A354" s="561" t="s">
        <v>9750</v>
      </c>
      <c r="B354" s="562"/>
      <c r="C354" s="563"/>
      <c r="D354" s="564" t="s">
        <v>1262</v>
      </c>
      <c r="E354" s="565"/>
      <c r="F354" s="597"/>
      <c r="G354" s="566"/>
      <c r="H354" s="567"/>
      <c r="I354" s="568"/>
    </row>
    <row r="355" spans="1:9">
      <c r="A355" s="553" t="s">
        <v>9749</v>
      </c>
      <c r="B355" s="554"/>
      <c r="C355" s="555"/>
      <c r="D355" s="556" t="s">
        <v>35539</v>
      </c>
      <c r="E355" s="557"/>
      <c r="F355" s="598"/>
      <c r="G355" s="558"/>
      <c r="H355" s="559"/>
      <c r="I355" s="560"/>
    </row>
    <row r="356" spans="1:9">
      <c r="A356" s="613"/>
      <c r="B356" s="337"/>
      <c r="C356" s="540"/>
      <c r="D356" s="539"/>
      <c r="E356" s="338"/>
      <c r="F356" s="599"/>
      <c r="G356" s="339"/>
      <c r="H356" s="339"/>
      <c r="I356" s="374"/>
    </row>
    <row r="357" spans="1:9">
      <c r="A357" s="561" t="s">
        <v>9751</v>
      </c>
      <c r="B357" s="562"/>
      <c r="C357" s="563"/>
      <c r="D357" s="564" t="s">
        <v>35265</v>
      </c>
      <c r="E357" s="565"/>
      <c r="F357" s="597"/>
      <c r="G357" s="566"/>
      <c r="H357" s="567"/>
      <c r="I357" s="568"/>
    </row>
    <row r="358" spans="1:9">
      <c r="A358" s="553" t="s">
        <v>9752</v>
      </c>
      <c r="B358" s="554"/>
      <c r="C358" s="555"/>
      <c r="D358" s="556" t="s">
        <v>35264</v>
      </c>
      <c r="E358" s="557"/>
      <c r="F358" s="598"/>
      <c r="G358" s="558"/>
      <c r="H358" s="559"/>
      <c r="I358" s="560"/>
    </row>
    <row r="359" spans="1:9">
      <c r="A359" s="553" t="s">
        <v>9754</v>
      </c>
      <c r="B359" s="554"/>
      <c r="C359" s="555"/>
      <c r="D359" s="556" t="s">
        <v>52</v>
      </c>
      <c r="E359" s="557"/>
      <c r="F359" s="598"/>
      <c r="G359" s="558"/>
      <c r="H359" s="559"/>
      <c r="I359" s="560"/>
    </row>
    <row r="360" spans="1:9" ht="26.4">
      <c r="A360" s="553" t="s">
        <v>10354</v>
      </c>
      <c r="B360" s="554"/>
      <c r="C360" s="555"/>
      <c r="D360" s="556" t="s">
        <v>35266</v>
      </c>
      <c r="E360" s="557"/>
      <c r="F360" s="598"/>
      <c r="G360" s="558"/>
      <c r="H360" s="559"/>
      <c r="I360" s="560"/>
    </row>
    <row r="361" spans="1:9">
      <c r="A361" s="613"/>
      <c r="B361" s="337"/>
      <c r="C361" s="540"/>
      <c r="D361" s="539"/>
      <c r="E361" s="338"/>
      <c r="F361" s="599"/>
      <c r="G361" s="339"/>
      <c r="H361" s="339"/>
      <c r="I361" s="374"/>
    </row>
    <row r="362" spans="1:9">
      <c r="A362" s="561" t="s">
        <v>15756</v>
      </c>
      <c r="B362" s="562"/>
      <c r="C362" s="563"/>
      <c r="D362" s="564" t="s">
        <v>1287</v>
      </c>
      <c r="E362" s="565"/>
      <c r="F362" s="597"/>
      <c r="G362" s="566"/>
      <c r="H362" s="567"/>
      <c r="I362" s="568"/>
    </row>
    <row r="363" spans="1:9">
      <c r="A363" s="553" t="s">
        <v>9756</v>
      </c>
      <c r="B363" s="554"/>
      <c r="C363" s="555"/>
      <c r="D363" s="556" t="s">
        <v>1288</v>
      </c>
      <c r="E363" s="557"/>
      <c r="F363" s="598"/>
      <c r="G363" s="558"/>
      <c r="H363" s="559"/>
      <c r="I363" s="560"/>
    </row>
    <row r="364" spans="1:9">
      <c r="A364" s="553" t="s">
        <v>35267</v>
      </c>
      <c r="B364" s="554"/>
      <c r="C364" s="555"/>
      <c r="D364" s="556" t="s">
        <v>52</v>
      </c>
      <c r="E364" s="557"/>
      <c r="F364" s="598"/>
      <c r="G364" s="558"/>
      <c r="H364" s="559"/>
      <c r="I364" s="560"/>
    </row>
    <row r="365" spans="1:9">
      <c r="A365" s="553" t="s">
        <v>35268</v>
      </c>
      <c r="B365" s="554"/>
      <c r="C365" s="555"/>
      <c r="D365" s="556" t="s">
        <v>1309</v>
      </c>
      <c r="E365" s="557"/>
      <c r="F365" s="598"/>
      <c r="G365" s="558"/>
      <c r="H365" s="559"/>
      <c r="I365" s="560"/>
    </row>
    <row r="366" spans="1:9">
      <c r="A366" s="613"/>
      <c r="B366" s="337"/>
      <c r="C366" s="337"/>
      <c r="D366" s="539"/>
      <c r="E366" s="338"/>
      <c r="F366" s="599"/>
      <c r="G366" s="339"/>
      <c r="H366" s="339"/>
      <c r="I366" s="374"/>
    </row>
    <row r="367" spans="1:9">
      <c r="A367" s="561" t="s">
        <v>15757</v>
      </c>
      <c r="B367" s="562"/>
      <c r="C367" s="563"/>
      <c r="D367" s="564" t="s">
        <v>27018</v>
      </c>
      <c r="E367" s="565"/>
      <c r="F367" s="597"/>
      <c r="G367" s="566"/>
      <c r="H367" s="567"/>
      <c r="I367" s="568"/>
    </row>
    <row r="368" spans="1:9">
      <c r="A368" s="553" t="s">
        <v>9757</v>
      </c>
      <c r="B368" s="554"/>
      <c r="C368" s="555"/>
      <c r="D368" s="556" t="s">
        <v>27416</v>
      </c>
      <c r="E368" s="557"/>
      <c r="F368" s="598"/>
      <c r="G368" s="558"/>
      <c r="H368" s="559"/>
      <c r="I368" s="560"/>
    </row>
    <row r="369" spans="1:9">
      <c r="A369" s="553" t="s">
        <v>35282</v>
      </c>
      <c r="B369" s="554"/>
      <c r="C369" s="555"/>
      <c r="D369" s="556" t="s">
        <v>1344</v>
      </c>
      <c r="E369" s="557"/>
      <c r="F369" s="598"/>
      <c r="G369" s="558"/>
      <c r="H369" s="559"/>
      <c r="I369" s="560"/>
    </row>
    <row r="370" spans="1:9" ht="26.4">
      <c r="A370" s="553" t="s">
        <v>35288</v>
      </c>
      <c r="B370" s="554"/>
      <c r="C370" s="555"/>
      <c r="D370" s="556" t="s">
        <v>1349</v>
      </c>
      <c r="E370" s="557"/>
      <c r="F370" s="598"/>
      <c r="G370" s="558"/>
      <c r="H370" s="559"/>
      <c r="I370" s="560"/>
    </row>
    <row r="371" spans="1:9">
      <c r="A371" s="553" t="s">
        <v>35292</v>
      </c>
      <c r="B371" s="554"/>
      <c r="C371" s="555"/>
      <c r="D371" s="556" t="s">
        <v>1365</v>
      </c>
      <c r="E371" s="557"/>
      <c r="F371" s="598"/>
      <c r="G371" s="558"/>
      <c r="H371" s="559"/>
      <c r="I371" s="560"/>
    </row>
    <row r="372" spans="1:9">
      <c r="A372" s="553" t="s">
        <v>35298</v>
      </c>
      <c r="B372" s="554"/>
      <c r="C372" s="555"/>
      <c r="D372" s="556" t="s">
        <v>1366</v>
      </c>
      <c r="E372" s="557"/>
      <c r="F372" s="598"/>
      <c r="G372" s="558"/>
      <c r="H372" s="559"/>
      <c r="I372" s="560"/>
    </row>
    <row r="373" spans="1:9">
      <c r="A373" s="553" t="s">
        <v>35304</v>
      </c>
      <c r="B373" s="554"/>
      <c r="C373" s="555"/>
      <c r="D373" s="556" t="s">
        <v>1367</v>
      </c>
      <c r="E373" s="557"/>
      <c r="F373" s="598"/>
      <c r="G373" s="558"/>
      <c r="H373" s="559"/>
      <c r="I373" s="560"/>
    </row>
    <row r="374" spans="1:9">
      <c r="A374" s="553" t="s">
        <v>35310</v>
      </c>
      <c r="B374" s="554"/>
      <c r="C374" s="555"/>
      <c r="D374" s="556" t="s">
        <v>35311</v>
      </c>
      <c r="E374" s="557"/>
      <c r="F374" s="598"/>
      <c r="G374" s="558"/>
      <c r="H374" s="559"/>
      <c r="I374" s="560"/>
    </row>
    <row r="375" spans="1:9">
      <c r="A375" s="553" t="s">
        <v>35315</v>
      </c>
      <c r="B375" s="554"/>
      <c r="C375" s="555"/>
      <c r="D375" s="556" t="s">
        <v>27417</v>
      </c>
      <c r="E375" s="557"/>
      <c r="F375" s="598"/>
      <c r="G375" s="558"/>
      <c r="H375" s="559"/>
      <c r="I375" s="560"/>
    </row>
    <row r="376" spans="1:9">
      <c r="A376" s="553" t="s">
        <v>35320</v>
      </c>
      <c r="B376" s="554"/>
      <c r="C376" s="555"/>
      <c r="D376" s="556" t="s">
        <v>27171</v>
      </c>
      <c r="E376" s="557"/>
      <c r="F376" s="598"/>
      <c r="G376" s="558"/>
      <c r="H376" s="559"/>
      <c r="I376" s="560"/>
    </row>
    <row r="377" spans="1:9">
      <c r="A377" s="613"/>
      <c r="B377" s="337"/>
      <c r="C377" s="337"/>
      <c r="D377" s="539"/>
      <c r="E377" s="338"/>
      <c r="F377" s="599"/>
      <c r="G377" s="339"/>
      <c r="H377" s="339"/>
      <c r="I377" s="374"/>
    </row>
    <row r="378" spans="1:9">
      <c r="A378" s="561" t="s">
        <v>15758</v>
      </c>
      <c r="B378" s="562"/>
      <c r="C378" s="563"/>
      <c r="D378" s="564" t="s">
        <v>1395</v>
      </c>
      <c r="E378" s="565"/>
      <c r="F378" s="597"/>
      <c r="G378" s="566"/>
      <c r="H378" s="567"/>
      <c r="I378" s="568"/>
    </row>
    <row r="379" spans="1:9">
      <c r="A379" s="553" t="s">
        <v>9758</v>
      </c>
      <c r="B379" s="554"/>
      <c r="C379" s="555"/>
      <c r="D379" s="556" t="s">
        <v>1399</v>
      </c>
      <c r="E379" s="557"/>
      <c r="F379" s="598"/>
      <c r="G379" s="558"/>
      <c r="H379" s="559"/>
      <c r="I379" s="560"/>
    </row>
    <row r="380" spans="1:9">
      <c r="A380" s="553" t="s">
        <v>9759</v>
      </c>
      <c r="B380" s="554"/>
      <c r="C380" s="555"/>
      <c r="D380" s="556" t="s">
        <v>1408</v>
      </c>
      <c r="E380" s="557"/>
      <c r="F380" s="598"/>
      <c r="G380" s="558"/>
      <c r="H380" s="559"/>
      <c r="I380" s="560"/>
    </row>
    <row r="381" spans="1:9">
      <c r="A381" s="553" t="s">
        <v>23673</v>
      </c>
      <c r="B381" s="554"/>
      <c r="C381" s="555"/>
      <c r="D381" s="556" t="s">
        <v>1427</v>
      </c>
      <c r="E381" s="557"/>
      <c r="F381" s="598"/>
      <c r="G381" s="558"/>
      <c r="H381" s="559"/>
      <c r="I381" s="560"/>
    </row>
    <row r="382" spans="1:9">
      <c r="A382" s="553" t="s">
        <v>35331</v>
      </c>
      <c r="B382" s="554"/>
      <c r="C382" s="555"/>
      <c r="D382" s="556" t="s">
        <v>1471</v>
      </c>
      <c r="E382" s="557"/>
      <c r="F382" s="598"/>
      <c r="G382" s="558"/>
      <c r="H382" s="559"/>
      <c r="I382" s="560"/>
    </row>
    <row r="383" spans="1:9">
      <c r="A383" s="553" t="s">
        <v>35332</v>
      </c>
      <c r="B383" s="554"/>
      <c r="C383" s="555"/>
      <c r="D383" s="556" t="s">
        <v>1775</v>
      </c>
      <c r="E383" s="557"/>
      <c r="F383" s="598"/>
      <c r="G383" s="558"/>
      <c r="H383" s="559"/>
      <c r="I383" s="560"/>
    </row>
    <row r="384" spans="1:9">
      <c r="A384" s="553" t="s">
        <v>35353</v>
      </c>
      <c r="B384" s="554"/>
      <c r="C384" s="555"/>
      <c r="D384" s="556" t="s">
        <v>516</v>
      </c>
      <c r="E384" s="557"/>
      <c r="F384" s="598"/>
      <c r="G384" s="558"/>
      <c r="H384" s="559"/>
      <c r="I384" s="560"/>
    </row>
    <row r="385" spans="1:9">
      <c r="A385" s="553" t="s">
        <v>35363</v>
      </c>
      <c r="B385" s="554"/>
      <c r="C385" s="555"/>
      <c r="D385" s="556" t="s">
        <v>60</v>
      </c>
      <c r="E385" s="557"/>
      <c r="F385" s="598"/>
      <c r="G385" s="558"/>
      <c r="H385" s="559"/>
      <c r="I385" s="560"/>
    </row>
    <row r="386" spans="1:9" ht="26.4">
      <c r="A386" s="553" t="s">
        <v>35366</v>
      </c>
      <c r="B386" s="554"/>
      <c r="C386" s="555"/>
      <c r="D386" s="556" t="s">
        <v>27420</v>
      </c>
      <c r="E386" s="557"/>
      <c r="F386" s="598"/>
      <c r="G386" s="558"/>
      <c r="H386" s="559"/>
      <c r="I386" s="560"/>
    </row>
    <row r="387" spans="1:9">
      <c r="A387" s="553" t="s">
        <v>35369</v>
      </c>
      <c r="B387" s="554"/>
      <c r="C387" s="555"/>
      <c r="D387" s="556" t="s">
        <v>1487</v>
      </c>
      <c r="E387" s="557"/>
      <c r="F387" s="598"/>
      <c r="G387" s="558"/>
      <c r="H387" s="559"/>
      <c r="I387" s="560"/>
    </row>
    <row r="388" spans="1:9">
      <c r="A388" s="553" t="s">
        <v>35371</v>
      </c>
      <c r="B388" s="554"/>
      <c r="C388" s="555"/>
      <c r="D388" s="556" t="s">
        <v>1492</v>
      </c>
      <c r="E388" s="557"/>
      <c r="F388" s="598"/>
      <c r="G388" s="558"/>
      <c r="H388" s="559"/>
      <c r="I388" s="560"/>
    </row>
    <row r="389" spans="1:9" ht="26.4">
      <c r="A389" s="553" t="s">
        <v>35381</v>
      </c>
      <c r="B389" s="554"/>
      <c r="C389" s="555"/>
      <c r="D389" s="556" t="s">
        <v>1495</v>
      </c>
      <c r="E389" s="557"/>
      <c r="F389" s="598"/>
      <c r="G389" s="558"/>
      <c r="H389" s="559"/>
      <c r="I389" s="560"/>
    </row>
    <row r="390" spans="1:9">
      <c r="A390" s="613"/>
      <c r="B390" s="337"/>
      <c r="C390" s="337"/>
      <c r="D390" s="539"/>
      <c r="E390" s="338"/>
      <c r="F390" s="599"/>
      <c r="G390" s="339"/>
      <c r="H390" s="339"/>
      <c r="I390" s="374"/>
    </row>
    <row r="391" spans="1:9">
      <c r="A391" s="561" t="s">
        <v>23676</v>
      </c>
      <c r="B391" s="562"/>
      <c r="C391" s="563"/>
      <c r="D391" s="564" t="s">
        <v>1502</v>
      </c>
      <c r="E391" s="565"/>
      <c r="F391" s="597"/>
      <c r="G391" s="566"/>
      <c r="H391" s="567"/>
      <c r="I391" s="568"/>
    </row>
    <row r="392" spans="1:9">
      <c r="A392" s="553" t="s">
        <v>15753</v>
      </c>
      <c r="B392" s="554"/>
      <c r="C392" s="555"/>
      <c r="D392" s="556" t="s">
        <v>1503</v>
      </c>
      <c r="E392" s="557"/>
      <c r="F392" s="598"/>
      <c r="G392" s="558"/>
      <c r="H392" s="559"/>
      <c r="I392" s="560"/>
    </row>
    <row r="393" spans="1:9">
      <c r="A393" s="553" t="s">
        <v>15754</v>
      </c>
      <c r="B393" s="554"/>
      <c r="C393" s="555"/>
      <c r="D393" s="556" t="s">
        <v>1512</v>
      </c>
      <c r="E393" s="557"/>
      <c r="F393" s="598"/>
      <c r="G393" s="558"/>
      <c r="H393" s="559"/>
      <c r="I393" s="560"/>
    </row>
    <row r="394" spans="1:9">
      <c r="A394" s="553" t="s">
        <v>15755</v>
      </c>
      <c r="B394" s="554"/>
      <c r="C394" s="555"/>
      <c r="D394" s="556" t="s">
        <v>1540</v>
      </c>
      <c r="E394" s="557"/>
      <c r="F394" s="598"/>
      <c r="G394" s="558"/>
      <c r="H394" s="559"/>
      <c r="I394" s="560"/>
    </row>
    <row r="395" spans="1:9">
      <c r="A395" s="553" t="s">
        <v>27428</v>
      </c>
      <c r="B395" s="554"/>
      <c r="C395" s="555"/>
      <c r="D395" s="556" t="s">
        <v>27422</v>
      </c>
      <c r="E395" s="557"/>
      <c r="F395" s="598"/>
      <c r="G395" s="558"/>
      <c r="H395" s="559"/>
      <c r="I395" s="560"/>
    </row>
    <row r="396" spans="1:9">
      <c r="A396" s="553" t="s">
        <v>27429</v>
      </c>
      <c r="B396" s="554"/>
      <c r="C396" s="555"/>
      <c r="D396" s="556" t="s">
        <v>23631</v>
      </c>
      <c r="E396" s="557"/>
      <c r="F396" s="598"/>
      <c r="G396" s="558"/>
      <c r="H396" s="559"/>
      <c r="I396" s="560"/>
    </row>
    <row r="397" spans="1:9">
      <c r="A397" s="561" t="s">
        <v>23682</v>
      </c>
      <c r="B397" s="562"/>
      <c r="C397" s="563"/>
      <c r="D397" s="564" t="s">
        <v>1557</v>
      </c>
      <c r="E397" s="565"/>
      <c r="F397" s="597"/>
      <c r="G397" s="566"/>
      <c r="H397" s="567"/>
      <c r="I397" s="568"/>
    </row>
    <row r="398" spans="1:9">
      <c r="A398" s="553" t="s">
        <v>27431</v>
      </c>
      <c r="B398" s="554"/>
      <c r="C398" s="555"/>
      <c r="D398" s="556" t="s">
        <v>1558</v>
      </c>
      <c r="E398" s="557"/>
      <c r="F398" s="598"/>
      <c r="G398" s="558"/>
      <c r="H398" s="559"/>
      <c r="I398" s="560"/>
    </row>
    <row r="399" spans="1:9">
      <c r="A399" s="553" t="s">
        <v>27432</v>
      </c>
      <c r="B399" s="554"/>
      <c r="C399" s="555"/>
      <c r="D399" s="556" t="s">
        <v>55</v>
      </c>
      <c r="E399" s="557"/>
      <c r="F399" s="598"/>
      <c r="G399" s="558"/>
      <c r="H399" s="559"/>
      <c r="I399" s="560"/>
    </row>
    <row r="400" spans="1:9">
      <c r="A400" s="553" t="s">
        <v>27433</v>
      </c>
      <c r="B400" s="554"/>
      <c r="C400" s="555"/>
      <c r="D400" s="556" t="s">
        <v>1563</v>
      </c>
      <c r="E400" s="557"/>
      <c r="F400" s="598"/>
      <c r="G400" s="558"/>
      <c r="H400" s="559"/>
      <c r="I400" s="560"/>
    </row>
    <row r="401" spans="1:9">
      <c r="A401" s="553" t="s">
        <v>27434</v>
      </c>
      <c r="B401" s="554"/>
      <c r="C401" s="555"/>
      <c r="D401" s="556" t="s">
        <v>1570</v>
      </c>
      <c r="E401" s="557"/>
      <c r="F401" s="598"/>
      <c r="G401" s="558"/>
      <c r="H401" s="559"/>
      <c r="I401" s="560"/>
    </row>
    <row r="402" spans="1:9">
      <c r="A402" s="553" t="s">
        <v>27435</v>
      </c>
      <c r="B402" s="554"/>
      <c r="C402" s="555"/>
      <c r="D402" s="556" t="s">
        <v>23650</v>
      </c>
      <c r="E402" s="557"/>
      <c r="F402" s="598"/>
      <c r="G402" s="558"/>
      <c r="H402" s="559"/>
      <c r="I402" s="560"/>
    </row>
    <row r="403" spans="1:9">
      <c r="A403" s="613"/>
      <c r="B403" s="337"/>
      <c r="C403" s="540"/>
      <c r="D403" s="539"/>
      <c r="E403" s="338"/>
      <c r="F403" s="599"/>
      <c r="G403" s="339"/>
      <c r="H403" s="339"/>
      <c r="I403" s="374"/>
    </row>
    <row r="404" spans="1:9">
      <c r="A404" s="561" t="s">
        <v>23684</v>
      </c>
      <c r="B404" s="562"/>
      <c r="C404" s="563"/>
      <c r="D404" s="564" t="s">
        <v>620</v>
      </c>
      <c r="E404" s="565"/>
      <c r="F404" s="597"/>
      <c r="G404" s="566"/>
      <c r="H404" s="567"/>
      <c r="I404" s="568"/>
    </row>
    <row r="405" spans="1:9">
      <c r="A405" s="553" t="s">
        <v>27437</v>
      </c>
      <c r="B405" s="554"/>
      <c r="C405" s="555"/>
      <c r="D405" s="556" t="s">
        <v>1602</v>
      </c>
      <c r="E405" s="557"/>
      <c r="F405" s="598"/>
      <c r="G405" s="558"/>
      <c r="H405" s="559"/>
      <c r="I405" s="560"/>
    </row>
    <row r="406" spans="1:9">
      <c r="A406" s="553" t="s">
        <v>35458</v>
      </c>
      <c r="B406" s="554"/>
      <c r="C406" s="555"/>
      <c r="D406" s="556" t="s">
        <v>14923</v>
      </c>
      <c r="E406" s="557"/>
      <c r="F406" s="598"/>
      <c r="G406" s="558"/>
      <c r="H406" s="559"/>
      <c r="I406" s="560"/>
    </row>
    <row r="407" spans="1:9">
      <c r="A407" s="613"/>
      <c r="B407" s="337"/>
      <c r="C407" s="337"/>
      <c r="D407" s="539"/>
      <c r="E407" s="338"/>
      <c r="F407" s="599"/>
      <c r="G407" s="339"/>
      <c r="H407" s="339"/>
      <c r="I407" s="374"/>
    </row>
    <row r="408" spans="1:9">
      <c r="A408" s="561" t="s">
        <v>23686</v>
      </c>
      <c r="B408" s="562"/>
      <c r="C408" s="563"/>
      <c r="D408" s="564" t="s">
        <v>53</v>
      </c>
      <c r="E408" s="565"/>
      <c r="F408" s="597"/>
      <c r="G408" s="566"/>
      <c r="H408" s="567"/>
      <c r="I408" s="568"/>
    </row>
    <row r="409" spans="1:9">
      <c r="A409" s="553" t="s">
        <v>9760</v>
      </c>
      <c r="B409" s="554"/>
      <c r="C409" s="555"/>
      <c r="D409" s="556" t="s">
        <v>1612</v>
      </c>
      <c r="E409" s="557"/>
      <c r="F409" s="598"/>
      <c r="G409" s="558"/>
      <c r="H409" s="559"/>
      <c r="I409" s="560"/>
    </row>
    <row r="410" spans="1:9">
      <c r="A410" s="553" t="s">
        <v>27439</v>
      </c>
      <c r="B410" s="554"/>
      <c r="C410" s="555"/>
      <c r="D410" s="556" t="s">
        <v>35466</v>
      </c>
      <c r="E410" s="557"/>
      <c r="F410" s="598"/>
      <c r="G410" s="558"/>
      <c r="H410" s="559"/>
      <c r="I410" s="560"/>
    </row>
    <row r="411" spans="1:9">
      <c r="A411" s="553" t="s">
        <v>27440</v>
      </c>
      <c r="B411" s="554"/>
      <c r="C411" s="555"/>
      <c r="D411" s="895" t="s">
        <v>1616</v>
      </c>
      <c r="E411" s="557"/>
      <c r="F411" s="598"/>
      <c r="G411" s="558"/>
      <c r="H411" s="559"/>
      <c r="I411" s="560"/>
    </row>
    <row r="412" spans="1:9">
      <c r="A412" s="553" t="s">
        <v>27441</v>
      </c>
      <c r="B412" s="554"/>
      <c r="C412" s="555"/>
      <c r="D412" s="556" t="s">
        <v>1620</v>
      </c>
      <c r="E412" s="557"/>
      <c r="F412" s="598"/>
      <c r="G412" s="558"/>
      <c r="H412" s="559"/>
      <c r="I412" s="560"/>
    </row>
    <row r="413" spans="1:9">
      <c r="A413" s="613"/>
      <c r="B413" s="337"/>
      <c r="C413" s="540"/>
      <c r="D413" s="539"/>
      <c r="E413" s="338"/>
      <c r="F413" s="599"/>
      <c r="G413" s="339"/>
      <c r="H413" s="339"/>
      <c r="I413" s="374"/>
    </row>
    <row r="414" spans="1:9">
      <c r="A414" s="561" t="s">
        <v>27028</v>
      </c>
      <c r="B414" s="562"/>
      <c r="C414" s="563"/>
      <c r="D414" s="564" t="s">
        <v>35469</v>
      </c>
      <c r="E414" s="565"/>
      <c r="F414" s="597"/>
      <c r="G414" s="566"/>
      <c r="H414" s="567"/>
      <c r="I414" s="568"/>
    </row>
    <row r="415" spans="1:9">
      <c r="A415" s="553" t="s">
        <v>27029</v>
      </c>
      <c r="B415" s="554"/>
      <c r="C415" s="555"/>
      <c r="D415" s="556" t="s">
        <v>56</v>
      </c>
      <c r="E415" s="557"/>
      <c r="F415" s="598"/>
      <c r="G415" s="558"/>
      <c r="H415" s="559"/>
      <c r="I415" s="560"/>
    </row>
    <row r="416" spans="1:9">
      <c r="A416" s="553" t="s">
        <v>27031</v>
      </c>
      <c r="B416" s="554"/>
      <c r="C416" s="555"/>
      <c r="D416" s="556" t="s">
        <v>51</v>
      </c>
      <c r="E416" s="557"/>
      <c r="F416" s="598"/>
      <c r="G416" s="558"/>
      <c r="H416" s="559"/>
      <c r="I416" s="560"/>
    </row>
    <row r="417" spans="1:9">
      <c r="A417" s="553" t="s">
        <v>35474</v>
      </c>
      <c r="B417" s="554"/>
      <c r="C417" s="555"/>
      <c r="D417" s="556" t="s">
        <v>58</v>
      </c>
      <c r="E417" s="557"/>
      <c r="F417" s="598"/>
      <c r="G417" s="558"/>
      <c r="H417" s="559"/>
      <c r="I417" s="560"/>
    </row>
    <row r="418" spans="1:9">
      <c r="A418" s="553" t="s">
        <v>35476</v>
      </c>
      <c r="B418" s="554"/>
      <c r="C418" s="555"/>
      <c r="D418" s="556" t="s">
        <v>1638</v>
      </c>
      <c r="E418" s="557"/>
      <c r="F418" s="598"/>
      <c r="G418" s="558"/>
      <c r="H418" s="559"/>
      <c r="I418" s="560"/>
    </row>
    <row r="419" spans="1:9">
      <c r="A419" s="553" t="s">
        <v>35480</v>
      </c>
      <c r="B419" s="554"/>
      <c r="C419" s="555"/>
      <c r="D419" s="556" t="s">
        <v>59</v>
      </c>
      <c r="E419" s="557"/>
      <c r="F419" s="598"/>
      <c r="G419" s="558"/>
      <c r="H419" s="559"/>
      <c r="I419" s="560"/>
    </row>
    <row r="420" spans="1:9">
      <c r="A420" s="553" t="s">
        <v>35808</v>
      </c>
      <c r="B420" s="554"/>
      <c r="C420" s="555"/>
      <c r="D420" s="556" t="s">
        <v>35809</v>
      </c>
      <c r="E420" s="557"/>
      <c r="F420" s="598"/>
      <c r="G420" s="558"/>
      <c r="H420" s="559"/>
      <c r="I420" s="560"/>
    </row>
    <row r="421" spans="1:9">
      <c r="A421" s="613"/>
      <c r="B421" s="337"/>
      <c r="C421" s="540"/>
      <c r="D421" s="539"/>
      <c r="E421" s="338"/>
      <c r="F421" s="599"/>
      <c r="G421" s="339"/>
      <c r="H421" s="339"/>
      <c r="I421" s="374"/>
    </row>
    <row r="422" spans="1:9">
      <c r="A422" s="561" t="s">
        <v>27033</v>
      </c>
      <c r="B422" s="562"/>
      <c r="C422" s="563"/>
      <c r="D422" s="564" t="s">
        <v>27425</v>
      </c>
      <c r="E422" s="565"/>
      <c r="F422" s="597"/>
      <c r="G422" s="566"/>
      <c r="H422" s="567"/>
      <c r="I422" s="568"/>
    </row>
    <row r="423" spans="1:9">
      <c r="A423" s="553" t="s">
        <v>27034</v>
      </c>
      <c r="B423" s="554"/>
      <c r="C423" s="555"/>
      <c r="D423" s="556" t="s">
        <v>1612</v>
      </c>
      <c r="E423" s="557"/>
      <c r="F423" s="598"/>
      <c r="G423" s="558"/>
      <c r="H423" s="559"/>
      <c r="I423" s="560"/>
    </row>
    <row r="424" spans="1:9" ht="14.4" customHeight="1">
      <c r="A424" s="891"/>
      <c r="B424" s="893"/>
      <c r="C424" s="893"/>
      <c r="D424" s="896"/>
      <c r="E424" s="899"/>
      <c r="F424" s="901"/>
      <c r="G424" s="903"/>
      <c r="H424" s="375"/>
      <c r="I424" s="631"/>
    </row>
    <row r="425" spans="1:9">
      <c r="A425" s="613"/>
      <c r="B425" s="337"/>
      <c r="C425" s="540"/>
      <c r="D425" s="539"/>
      <c r="E425" s="338"/>
      <c r="F425" s="599"/>
      <c r="G425" s="339"/>
      <c r="H425" s="339"/>
      <c r="I425" s="374"/>
    </row>
    <row r="426" spans="1:9">
      <c r="A426" s="884"/>
      <c r="B426" s="885"/>
      <c r="C426" s="885"/>
      <c r="D426" s="885"/>
      <c r="E426" s="885"/>
      <c r="F426" s="885"/>
      <c r="G426" s="885"/>
      <c r="H426" s="886"/>
      <c r="I426" s="379"/>
    </row>
    <row r="427" spans="1:9">
      <c r="A427" s="884" t="s">
        <v>11209</v>
      </c>
      <c r="B427" s="885"/>
      <c r="C427" s="885"/>
      <c r="D427" s="885"/>
      <c r="E427" s="885"/>
      <c r="F427" s="885"/>
      <c r="G427" s="885"/>
      <c r="H427" s="886"/>
      <c r="I427" s="379"/>
    </row>
    <row r="428" spans="1:9" ht="15.6">
      <c r="A428" s="618"/>
      <c r="B428" s="619"/>
      <c r="C428" s="619"/>
      <c r="D428" s="619"/>
      <c r="E428" s="619"/>
      <c r="F428" s="619"/>
      <c r="G428" s="619"/>
      <c r="H428" s="619"/>
      <c r="I428" s="620"/>
    </row>
    <row r="429" spans="1:9" ht="15.6">
      <c r="A429" s="618"/>
      <c r="B429" s="619"/>
      <c r="C429" s="619"/>
      <c r="D429" s="619"/>
      <c r="E429" s="619"/>
      <c r="F429" s="619"/>
      <c r="G429" s="619"/>
      <c r="H429" s="619"/>
      <c r="I429" s="620"/>
    </row>
    <row r="430" spans="1:9" ht="16.2" thickBot="1">
      <c r="A430" s="887"/>
      <c r="B430" s="888"/>
      <c r="C430" s="888"/>
      <c r="D430" s="888"/>
      <c r="E430" s="888"/>
      <c r="F430" s="888"/>
      <c r="G430" s="888"/>
      <c r="H430" s="889"/>
      <c r="I430" s="380"/>
    </row>
    <row r="431" spans="1:9" ht="16.2" thickTop="1">
      <c r="A431" s="528"/>
      <c r="B431" s="528"/>
      <c r="C431" s="180"/>
      <c r="D431" s="532"/>
      <c r="E431" s="180"/>
      <c r="F431" s="602"/>
      <c r="G431" s="251"/>
      <c r="H431" s="251"/>
      <c r="I431" s="12"/>
    </row>
    <row r="432" spans="1:9">
      <c r="A432" s="178"/>
      <c r="B432" s="178"/>
      <c r="C432" s="178"/>
      <c r="D432" s="533"/>
      <c r="E432" s="178"/>
      <c r="F432" s="603"/>
      <c r="G432" s="252"/>
      <c r="H432" s="253"/>
      <c r="I432" s="12"/>
    </row>
    <row r="434" spans="8:8">
      <c r="H434" s="313"/>
    </row>
  </sheetData>
  <sortState xmlns:xlrd2="http://schemas.microsoft.com/office/spreadsheetml/2017/richdata2" ref="A1:I434">
    <sortCondition descending="1" ref="H1:H434"/>
  </sortState>
  <pageMargins left="0.511811024" right="0.511811024" top="0.78740157499999996" bottom="0.78740157499999996" header="0.31496062000000002" footer="0.3149606200000000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7832"/>
  <sheetViews>
    <sheetView topLeftCell="A3071" workbookViewId="0">
      <selection activeCell="D3076" sqref="D3076"/>
    </sheetView>
  </sheetViews>
  <sheetFormatPr defaultRowHeight="15" customHeight="1"/>
  <cols>
    <col min="1" max="1" width="11.88671875" style="58" customWidth="1"/>
    <col min="2" max="2" width="59.6640625" style="20" customWidth="1"/>
    <col min="3" max="3" width="9.44140625" style="58" bestFit="1" customWidth="1"/>
    <col min="4" max="4" width="11.6640625" style="58" bestFit="1" customWidth="1"/>
    <col min="5" max="5" width="8.109375" bestFit="1" customWidth="1"/>
  </cols>
  <sheetData>
    <row r="1" spans="1:8" ht="15" customHeight="1">
      <c r="A1" s="505"/>
      <c r="B1" s="506" t="s">
        <v>80</v>
      </c>
      <c r="C1" s="507">
        <v>45778</v>
      </c>
      <c r="D1" s="508" t="s">
        <v>1707</v>
      </c>
      <c r="E1" s="509">
        <v>0.86739999999999995</v>
      </c>
      <c r="F1" s="510"/>
      <c r="G1" s="510" t="s">
        <v>117</v>
      </c>
      <c r="H1" s="511">
        <v>0.33250000000000002</v>
      </c>
    </row>
    <row r="2" spans="1:8" thickBot="1">
      <c r="A2" s="57"/>
      <c r="B2" s="56"/>
      <c r="C2" s="57"/>
      <c r="D2" s="57"/>
      <c r="E2" s="70"/>
    </row>
    <row r="3" spans="1:8" ht="60.75" customHeight="1" thickBot="1">
      <c r="A3" s="215" t="s">
        <v>185</v>
      </c>
      <c r="B3" s="216" t="s">
        <v>186</v>
      </c>
      <c r="C3" s="216" t="s">
        <v>1709</v>
      </c>
      <c r="D3" s="512" t="s">
        <v>14903</v>
      </c>
      <c r="E3" s="514"/>
      <c r="F3" s="515"/>
      <c r="G3" s="516"/>
      <c r="H3" s="513" t="s">
        <v>1716</v>
      </c>
    </row>
    <row r="4" spans="1:8" ht="55.2">
      <c r="A4" s="502" t="s">
        <v>2884</v>
      </c>
      <c r="B4" s="504" t="s">
        <v>27444</v>
      </c>
      <c r="C4" s="502" t="s">
        <v>75</v>
      </c>
      <c r="D4" s="503" t="s">
        <v>10381</v>
      </c>
      <c r="F4" t="str">
        <f t="shared" ref="F4" si="0">TRIM(A4)</f>
        <v>97141</v>
      </c>
      <c r="H4" s="14">
        <f>ROUND(D4*(1+$H$1),2)</f>
        <v>7.2</v>
      </c>
    </row>
    <row r="5" spans="1:8" ht="55.2">
      <c r="A5" s="502" t="s">
        <v>2886</v>
      </c>
      <c r="B5" s="504" t="s">
        <v>27445</v>
      </c>
      <c r="C5" s="502" t="s">
        <v>75</v>
      </c>
      <c r="D5" s="503" t="s">
        <v>3723</v>
      </c>
      <c r="F5" t="str">
        <f t="shared" ref="F5:F68" si="1">TRIM(A5)</f>
        <v>97142</v>
      </c>
      <c r="H5" s="14">
        <f t="shared" ref="H5:H68" si="2">ROUND(D5*(1+$H$1),2)</f>
        <v>8.33</v>
      </c>
    </row>
    <row r="6" spans="1:8" ht="55.2">
      <c r="A6" s="502" t="s">
        <v>2887</v>
      </c>
      <c r="B6" s="504" t="s">
        <v>27446</v>
      </c>
      <c r="C6" s="502" t="s">
        <v>75</v>
      </c>
      <c r="D6" s="503" t="s">
        <v>30453</v>
      </c>
      <c r="F6" t="str">
        <f t="shared" si="1"/>
        <v>97143</v>
      </c>
      <c r="H6" s="14">
        <f t="shared" si="2"/>
        <v>11.07</v>
      </c>
    </row>
    <row r="7" spans="1:8" ht="55.2">
      <c r="A7" s="502" t="s">
        <v>2888</v>
      </c>
      <c r="B7" s="504" t="s">
        <v>27447</v>
      </c>
      <c r="C7" s="502" t="s">
        <v>75</v>
      </c>
      <c r="D7" s="503" t="s">
        <v>10080</v>
      </c>
      <c r="E7" s="14"/>
      <c r="F7" t="str">
        <f t="shared" si="1"/>
        <v>97144</v>
      </c>
      <c r="H7" s="14">
        <f t="shared" si="2"/>
        <v>13.84</v>
      </c>
    </row>
    <row r="8" spans="1:8" ht="55.2">
      <c r="A8" s="502" t="s">
        <v>2889</v>
      </c>
      <c r="B8" s="504" t="s">
        <v>27448</v>
      </c>
      <c r="C8" s="502" t="s">
        <v>75</v>
      </c>
      <c r="D8" s="503" t="s">
        <v>24297</v>
      </c>
      <c r="E8" s="14"/>
      <c r="F8" t="str">
        <f t="shared" si="1"/>
        <v>97145</v>
      </c>
      <c r="H8" s="14">
        <f t="shared" si="2"/>
        <v>16.64</v>
      </c>
    </row>
    <row r="9" spans="1:8" ht="55.2">
      <c r="A9" s="502" t="s">
        <v>2890</v>
      </c>
      <c r="B9" s="504" t="s">
        <v>27449</v>
      </c>
      <c r="C9" s="502" t="s">
        <v>75</v>
      </c>
      <c r="D9" s="503" t="s">
        <v>16560</v>
      </c>
      <c r="E9" s="14"/>
      <c r="F9" t="str">
        <f t="shared" si="1"/>
        <v>97146</v>
      </c>
      <c r="H9" s="14">
        <f t="shared" si="2"/>
        <v>19.440000000000001</v>
      </c>
    </row>
    <row r="10" spans="1:8" ht="55.2">
      <c r="A10" s="502" t="s">
        <v>2891</v>
      </c>
      <c r="B10" s="504" t="s">
        <v>27450</v>
      </c>
      <c r="C10" s="502" t="s">
        <v>75</v>
      </c>
      <c r="D10" s="503" t="s">
        <v>7632</v>
      </c>
      <c r="E10" s="14"/>
      <c r="F10" t="str">
        <f t="shared" si="1"/>
        <v>97147</v>
      </c>
      <c r="H10" s="14">
        <f t="shared" si="2"/>
        <v>22.23</v>
      </c>
    </row>
    <row r="11" spans="1:8" ht="55.2">
      <c r="A11" s="502" t="s">
        <v>2892</v>
      </c>
      <c r="B11" s="504" t="s">
        <v>27451</v>
      </c>
      <c r="C11" s="502" t="s">
        <v>75</v>
      </c>
      <c r="D11" s="503" t="s">
        <v>13322</v>
      </c>
      <c r="F11" t="str">
        <f t="shared" si="1"/>
        <v>97148</v>
      </c>
      <c r="H11" s="14">
        <f t="shared" si="2"/>
        <v>25.01</v>
      </c>
    </row>
    <row r="12" spans="1:8" ht="55.2">
      <c r="A12" s="502" t="s">
        <v>2893</v>
      </c>
      <c r="B12" s="504" t="s">
        <v>27452</v>
      </c>
      <c r="C12" s="502" t="s">
        <v>75</v>
      </c>
      <c r="D12" s="503" t="s">
        <v>30454</v>
      </c>
      <c r="F12" t="str">
        <f t="shared" si="1"/>
        <v>97149</v>
      </c>
      <c r="H12" s="14">
        <f t="shared" si="2"/>
        <v>27.84</v>
      </c>
    </row>
    <row r="13" spans="1:8" ht="55.2">
      <c r="A13" s="502" t="s">
        <v>2894</v>
      </c>
      <c r="B13" s="504" t="s">
        <v>27453</v>
      </c>
      <c r="C13" s="502" t="s">
        <v>75</v>
      </c>
      <c r="D13" s="503" t="s">
        <v>30455</v>
      </c>
      <c r="F13" t="str">
        <f t="shared" si="1"/>
        <v>97150</v>
      </c>
      <c r="H13" s="14">
        <f t="shared" si="2"/>
        <v>34.71</v>
      </c>
    </row>
    <row r="14" spans="1:8" ht="55.2">
      <c r="A14" s="502" t="s">
        <v>2895</v>
      </c>
      <c r="B14" s="504" t="s">
        <v>27454</v>
      </c>
      <c r="C14" s="502" t="s">
        <v>75</v>
      </c>
      <c r="D14" s="503" t="s">
        <v>19992</v>
      </c>
      <c r="F14" t="str">
        <f t="shared" si="1"/>
        <v>97151</v>
      </c>
      <c r="H14" s="14">
        <f t="shared" si="2"/>
        <v>40.96</v>
      </c>
    </row>
    <row r="15" spans="1:8" ht="55.2">
      <c r="A15" s="502" t="s">
        <v>2896</v>
      </c>
      <c r="B15" s="504" t="s">
        <v>27455</v>
      </c>
      <c r="C15" s="502" t="s">
        <v>75</v>
      </c>
      <c r="D15" s="503" t="s">
        <v>30456</v>
      </c>
      <c r="F15" t="str">
        <f t="shared" si="1"/>
        <v>97152</v>
      </c>
      <c r="H15" s="14">
        <f t="shared" si="2"/>
        <v>46.85</v>
      </c>
    </row>
    <row r="16" spans="1:8" ht="55.2">
      <c r="A16" s="502" t="s">
        <v>2897</v>
      </c>
      <c r="B16" s="504" t="s">
        <v>27457</v>
      </c>
      <c r="C16" s="502" t="s">
        <v>75</v>
      </c>
      <c r="D16" s="503" t="s">
        <v>28997</v>
      </c>
      <c r="F16" t="str">
        <f t="shared" si="1"/>
        <v>97153</v>
      </c>
      <c r="H16" s="14">
        <f t="shared" si="2"/>
        <v>52.99</v>
      </c>
    </row>
    <row r="17" spans="1:8" ht="55.2">
      <c r="A17" s="502" t="s">
        <v>2898</v>
      </c>
      <c r="B17" s="504" t="s">
        <v>27458</v>
      </c>
      <c r="C17" s="502" t="s">
        <v>75</v>
      </c>
      <c r="D17" s="503" t="s">
        <v>11660</v>
      </c>
      <c r="F17" t="str">
        <f t="shared" si="1"/>
        <v>97154</v>
      </c>
      <c r="H17" s="14">
        <f t="shared" si="2"/>
        <v>59.15</v>
      </c>
    </row>
    <row r="18" spans="1:8" ht="55.2">
      <c r="A18" s="502" t="s">
        <v>2899</v>
      </c>
      <c r="B18" s="504" t="s">
        <v>27459</v>
      </c>
      <c r="C18" s="502" t="s">
        <v>75</v>
      </c>
      <c r="D18" s="503" t="s">
        <v>17106</v>
      </c>
      <c r="F18" t="str">
        <f t="shared" si="1"/>
        <v>97155</v>
      </c>
      <c r="H18" s="14">
        <f t="shared" si="2"/>
        <v>65.349999999999994</v>
      </c>
    </row>
    <row r="19" spans="1:8" ht="55.2">
      <c r="A19" s="502" t="s">
        <v>2900</v>
      </c>
      <c r="B19" s="504" t="s">
        <v>27460</v>
      </c>
      <c r="C19" s="502" t="s">
        <v>75</v>
      </c>
      <c r="D19" s="503" t="s">
        <v>15291</v>
      </c>
      <c r="F19" t="str">
        <f t="shared" si="1"/>
        <v>97156</v>
      </c>
      <c r="H19" s="14">
        <f t="shared" si="2"/>
        <v>78.27</v>
      </c>
    </row>
    <row r="20" spans="1:8" ht="55.2">
      <c r="A20" s="502" t="s">
        <v>2901</v>
      </c>
      <c r="B20" s="504" t="s">
        <v>27461</v>
      </c>
      <c r="C20" s="502" t="s">
        <v>75</v>
      </c>
      <c r="D20" s="503" t="s">
        <v>30457</v>
      </c>
      <c r="F20" t="str">
        <f t="shared" si="1"/>
        <v>97157</v>
      </c>
      <c r="H20" s="14">
        <f t="shared" si="2"/>
        <v>5.46</v>
      </c>
    </row>
    <row r="21" spans="1:8" ht="55.2">
      <c r="A21" s="502" t="s">
        <v>2903</v>
      </c>
      <c r="B21" s="504" t="s">
        <v>27462</v>
      </c>
      <c r="C21" s="502" t="s">
        <v>75</v>
      </c>
      <c r="D21" s="503" t="s">
        <v>10066</v>
      </c>
      <c r="F21" t="str">
        <f t="shared" si="1"/>
        <v>97158</v>
      </c>
      <c r="H21" s="14">
        <f t="shared" si="2"/>
        <v>6.41</v>
      </c>
    </row>
    <row r="22" spans="1:8" ht="55.2">
      <c r="A22" s="502" t="s">
        <v>2905</v>
      </c>
      <c r="B22" s="504" t="s">
        <v>27463</v>
      </c>
      <c r="C22" s="502" t="s">
        <v>75</v>
      </c>
      <c r="D22" s="503" t="s">
        <v>7287</v>
      </c>
      <c r="F22" t="str">
        <f t="shared" si="1"/>
        <v>97159</v>
      </c>
      <c r="H22" s="14">
        <f t="shared" si="2"/>
        <v>8.69</v>
      </c>
    </row>
    <row r="23" spans="1:8" ht="55.2">
      <c r="A23" s="502" t="s">
        <v>2906</v>
      </c>
      <c r="B23" s="504" t="s">
        <v>27464</v>
      </c>
      <c r="C23" s="502" t="s">
        <v>75</v>
      </c>
      <c r="D23" s="503" t="s">
        <v>10654</v>
      </c>
      <c r="F23" t="str">
        <f t="shared" si="1"/>
        <v>97160</v>
      </c>
      <c r="H23" s="14">
        <f t="shared" si="2"/>
        <v>10.97</v>
      </c>
    </row>
    <row r="24" spans="1:8" ht="55.2">
      <c r="A24" s="502" t="s">
        <v>2907</v>
      </c>
      <c r="B24" s="504" t="s">
        <v>27466</v>
      </c>
      <c r="C24" s="502" t="s">
        <v>75</v>
      </c>
      <c r="D24" s="503" t="s">
        <v>10154</v>
      </c>
      <c r="F24" t="str">
        <f t="shared" si="1"/>
        <v>97161</v>
      </c>
      <c r="H24" s="14">
        <f t="shared" si="2"/>
        <v>13.3</v>
      </c>
    </row>
    <row r="25" spans="1:8" ht="55.2">
      <c r="A25" s="502" t="s">
        <v>2908</v>
      </c>
      <c r="B25" s="504" t="s">
        <v>27467</v>
      </c>
      <c r="C25" s="502" t="s">
        <v>75</v>
      </c>
      <c r="D25" s="503" t="s">
        <v>16678</v>
      </c>
      <c r="F25" t="str">
        <f t="shared" si="1"/>
        <v>97162</v>
      </c>
      <c r="H25" s="14">
        <f t="shared" si="2"/>
        <v>15.6</v>
      </c>
    </row>
    <row r="26" spans="1:8" ht="55.2">
      <c r="A26" s="502" t="s">
        <v>2910</v>
      </c>
      <c r="B26" s="504" t="s">
        <v>27468</v>
      </c>
      <c r="C26" s="502" t="s">
        <v>75</v>
      </c>
      <c r="D26" s="503" t="s">
        <v>30458</v>
      </c>
      <c r="F26" t="str">
        <f t="shared" si="1"/>
        <v>97163</v>
      </c>
      <c r="H26" s="14">
        <f t="shared" si="2"/>
        <v>17.920000000000002</v>
      </c>
    </row>
    <row r="27" spans="1:8" ht="55.2">
      <c r="A27" s="502" t="s">
        <v>2911</v>
      </c>
      <c r="B27" s="504" t="s">
        <v>27469</v>
      </c>
      <c r="C27" s="502" t="s">
        <v>75</v>
      </c>
      <c r="D27" s="503" t="s">
        <v>9608</v>
      </c>
      <c r="F27" t="str">
        <f t="shared" si="1"/>
        <v>97164</v>
      </c>
      <c r="H27" s="14">
        <f t="shared" si="2"/>
        <v>20.239999999999998</v>
      </c>
    </row>
    <row r="28" spans="1:8" ht="55.2">
      <c r="A28" s="502" t="s">
        <v>2912</v>
      </c>
      <c r="B28" s="504" t="s">
        <v>27470</v>
      </c>
      <c r="C28" s="502" t="s">
        <v>75</v>
      </c>
      <c r="D28" s="503" t="s">
        <v>10043</v>
      </c>
      <c r="F28" t="str">
        <f t="shared" si="1"/>
        <v>97165</v>
      </c>
      <c r="H28" s="14">
        <f t="shared" si="2"/>
        <v>22.59</v>
      </c>
    </row>
    <row r="29" spans="1:8" ht="55.2">
      <c r="A29" s="502" t="s">
        <v>2914</v>
      </c>
      <c r="B29" s="504" t="s">
        <v>27472</v>
      </c>
      <c r="C29" s="502" t="s">
        <v>75</v>
      </c>
      <c r="D29" s="503" t="s">
        <v>30459</v>
      </c>
      <c r="F29" t="str">
        <f t="shared" si="1"/>
        <v>97166</v>
      </c>
      <c r="H29" s="14">
        <f t="shared" si="2"/>
        <v>27.66</v>
      </c>
    </row>
    <row r="30" spans="1:8" ht="55.2">
      <c r="A30" s="502" t="s">
        <v>2915</v>
      </c>
      <c r="B30" s="504" t="s">
        <v>27473</v>
      </c>
      <c r="C30" s="502" t="s">
        <v>75</v>
      </c>
      <c r="D30" s="503" t="s">
        <v>24448</v>
      </c>
      <c r="F30" t="str">
        <f t="shared" si="1"/>
        <v>97167</v>
      </c>
      <c r="H30" s="14">
        <f t="shared" si="2"/>
        <v>32.770000000000003</v>
      </c>
    </row>
    <row r="31" spans="1:8" ht="55.2">
      <c r="A31" s="502" t="s">
        <v>2916</v>
      </c>
      <c r="B31" s="504" t="s">
        <v>27474</v>
      </c>
      <c r="C31" s="502" t="s">
        <v>75</v>
      </c>
      <c r="D31" s="503" t="s">
        <v>17761</v>
      </c>
      <c r="F31" t="str">
        <f t="shared" si="1"/>
        <v>97168</v>
      </c>
      <c r="H31" s="14">
        <f t="shared" si="2"/>
        <v>37.520000000000003</v>
      </c>
    </row>
    <row r="32" spans="1:8" ht="55.2">
      <c r="A32" s="502" t="s">
        <v>2917</v>
      </c>
      <c r="B32" s="504" t="s">
        <v>27475</v>
      </c>
      <c r="C32" s="502" t="s">
        <v>75</v>
      </c>
      <c r="D32" s="503" t="s">
        <v>28962</v>
      </c>
      <c r="F32" t="str">
        <f t="shared" si="1"/>
        <v>97169</v>
      </c>
      <c r="H32" s="14">
        <f t="shared" si="2"/>
        <v>42.49</v>
      </c>
    </row>
    <row r="33" spans="1:8" ht="55.2">
      <c r="A33" s="502" t="s">
        <v>2918</v>
      </c>
      <c r="B33" s="504" t="s">
        <v>27476</v>
      </c>
      <c r="C33" s="502" t="s">
        <v>75</v>
      </c>
      <c r="D33" s="503" t="s">
        <v>21003</v>
      </c>
      <c r="F33" t="str">
        <f t="shared" si="1"/>
        <v>97170</v>
      </c>
      <c r="H33" s="14">
        <f t="shared" si="2"/>
        <v>47.49</v>
      </c>
    </row>
    <row r="34" spans="1:8" ht="55.2">
      <c r="A34" s="502" t="s">
        <v>2919</v>
      </c>
      <c r="B34" s="504" t="s">
        <v>27477</v>
      </c>
      <c r="C34" s="502" t="s">
        <v>75</v>
      </c>
      <c r="D34" s="503" t="s">
        <v>30311</v>
      </c>
      <c r="F34" t="str">
        <f t="shared" si="1"/>
        <v>97171</v>
      </c>
      <c r="H34" s="14">
        <f t="shared" si="2"/>
        <v>52.54</v>
      </c>
    </row>
    <row r="35" spans="1:8" ht="55.2">
      <c r="A35" s="502" t="s">
        <v>2920</v>
      </c>
      <c r="B35" s="504" t="s">
        <v>27478</v>
      </c>
      <c r="C35" s="502" t="s">
        <v>75</v>
      </c>
      <c r="D35" s="503" t="s">
        <v>28835</v>
      </c>
      <c r="F35" t="str">
        <f t="shared" si="1"/>
        <v>97172</v>
      </c>
      <c r="H35" s="14">
        <f t="shared" si="2"/>
        <v>63.19</v>
      </c>
    </row>
    <row r="36" spans="1:8" ht="69">
      <c r="A36" s="502" t="s">
        <v>27480</v>
      </c>
      <c r="B36" s="504" t="s">
        <v>27481</v>
      </c>
      <c r="C36" s="502" t="s">
        <v>114</v>
      </c>
      <c r="D36" s="503" t="s">
        <v>30460</v>
      </c>
      <c r="F36" t="str">
        <f t="shared" si="1"/>
        <v>105249</v>
      </c>
      <c r="H36" s="14">
        <f t="shared" si="2"/>
        <v>172.75</v>
      </c>
    </row>
    <row r="37" spans="1:8" ht="69">
      <c r="A37" s="502" t="s">
        <v>27483</v>
      </c>
      <c r="B37" s="504" t="s">
        <v>27484</v>
      </c>
      <c r="C37" s="502" t="s">
        <v>114</v>
      </c>
      <c r="D37" s="503" t="s">
        <v>28824</v>
      </c>
      <c r="F37" t="str">
        <f t="shared" si="1"/>
        <v>105250</v>
      </c>
      <c r="H37" s="14">
        <f t="shared" si="2"/>
        <v>22.73</v>
      </c>
    </row>
    <row r="38" spans="1:8" ht="69">
      <c r="A38" s="502" t="s">
        <v>27485</v>
      </c>
      <c r="B38" s="504" t="s">
        <v>27486</v>
      </c>
      <c r="C38" s="502" t="s">
        <v>114</v>
      </c>
      <c r="D38" s="503" t="s">
        <v>30461</v>
      </c>
      <c r="F38" t="str">
        <f t="shared" si="1"/>
        <v>105251</v>
      </c>
      <c r="H38" s="14">
        <f t="shared" si="2"/>
        <v>26.26</v>
      </c>
    </row>
    <row r="39" spans="1:8" ht="69">
      <c r="A39" s="502" t="s">
        <v>27487</v>
      </c>
      <c r="B39" s="504" t="s">
        <v>27488</v>
      </c>
      <c r="C39" s="502" t="s">
        <v>114</v>
      </c>
      <c r="D39" s="503" t="s">
        <v>9532</v>
      </c>
      <c r="F39" t="str">
        <f t="shared" si="1"/>
        <v>105252</v>
      </c>
      <c r="H39" s="14">
        <f t="shared" si="2"/>
        <v>34.94</v>
      </c>
    </row>
    <row r="40" spans="1:8" ht="69">
      <c r="A40" s="502" t="s">
        <v>27489</v>
      </c>
      <c r="B40" s="504" t="s">
        <v>27490</v>
      </c>
      <c r="C40" s="502" t="s">
        <v>114</v>
      </c>
      <c r="D40" s="503" t="s">
        <v>25300</v>
      </c>
      <c r="F40" t="str">
        <f t="shared" si="1"/>
        <v>105253</v>
      </c>
      <c r="H40" s="14">
        <f t="shared" si="2"/>
        <v>43.63</v>
      </c>
    </row>
    <row r="41" spans="1:8" ht="69">
      <c r="A41" s="502" t="s">
        <v>27491</v>
      </c>
      <c r="B41" s="504" t="s">
        <v>27492</v>
      </c>
      <c r="C41" s="502" t="s">
        <v>114</v>
      </c>
      <c r="D41" s="503" t="s">
        <v>11424</v>
      </c>
      <c r="F41" t="str">
        <f t="shared" si="1"/>
        <v>105254</v>
      </c>
      <c r="H41" s="14">
        <f t="shared" si="2"/>
        <v>52.5</v>
      </c>
    </row>
    <row r="42" spans="1:8" ht="69">
      <c r="A42" s="502" t="s">
        <v>27493</v>
      </c>
      <c r="B42" s="504" t="s">
        <v>27494</v>
      </c>
      <c r="C42" s="502" t="s">
        <v>114</v>
      </c>
      <c r="D42" s="503" t="s">
        <v>30462</v>
      </c>
      <c r="F42" t="str">
        <f t="shared" si="1"/>
        <v>105255</v>
      </c>
      <c r="H42" s="14">
        <f t="shared" si="2"/>
        <v>61.36</v>
      </c>
    </row>
    <row r="43" spans="1:8" ht="69">
      <c r="A43" s="502" t="s">
        <v>27495</v>
      </c>
      <c r="B43" s="504" t="s">
        <v>27496</v>
      </c>
      <c r="C43" s="502" t="s">
        <v>114</v>
      </c>
      <c r="D43" s="503" t="s">
        <v>11612</v>
      </c>
      <c r="F43" t="str">
        <f t="shared" si="1"/>
        <v>105256</v>
      </c>
      <c r="H43" s="14">
        <f t="shared" si="2"/>
        <v>70.239999999999995</v>
      </c>
    </row>
    <row r="44" spans="1:8" ht="69">
      <c r="A44" s="502" t="s">
        <v>27497</v>
      </c>
      <c r="B44" s="504" t="s">
        <v>27498</v>
      </c>
      <c r="C44" s="502" t="s">
        <v>114</v>
      </c>
      <c r="D44" s="503" t="s">
        <v>30463</v>
      </c>
      <c r="F44" t="str">
        <f t="shared" si="1"/>
        <v>105257</v>
      </c>
      <c r="H44" s="14">
        <f t="shared" si="2"/>
        <v>79.08</v>
      </c>
    </row>
    <row r="45" spans="1:8" ht="69">
      <c r="A45" s="502" t="s">
        <v>27499</v>
      </c>
      <c r="B45" s="504" t="s">
        <v>27500</v>
      </c>
      <c r="C45" s="502" t="s">
        <v>114</v>
      </c>
      <c r="D45" s="503" t="s">
        <v>30464</v>
      </c>
      <c r="F45" t="str">
        <f t="shared" si="1"/>
        <v>105258</v>
      </c>
      <c r="H45" s="14">
        <f t="shared" si="2"/>
        <v>44.33</v>
      </c>
    </row>
    <row r="46" spans="1:8" ht="69">
      <c r="A46" s="502" t="s">
        <v>27501</v>
      </c>
      <c r="B46" s="504" t="s">
        <v>27502</v>
      </c>
      <c r="C46" s="502" t="s">
        <v>114</v>
      </c>
      <c r="D46" s="503" t="s">
        <v>25273</v>
      </c>
      <c r="F46" t="str">
        <f t="shared" si="1"/>
        <v>105259</v>
      </c>
      <c r="H46" s="14">
        <f t="shared" si="2"/>
        <v>27.96</v>
      </c>
    </row>
    <row r="47" spans="1:8" ht="69">
      <c r="A47" s="502" t="s">
        <v>27503</v>
      </c>
      <c r="B47" s="504" t="s">
        <v>27504</v>
      </c>
      <c r="C47" s="502" t="s">
        <v>114</v>
      </c>
      <c r="D47" s="503" t="s">
        <v>30465</v>
      </c>
      <c r="F47" t="str">
        <f t="shared" si="1"/>
        <v>105261</v>
      </c>
      <c r="H47" s="14">
        <f t="shared" si="2"/>
        <v>49.66</v>
      </c>
    </row>
    <row r="48" spans="1:8" ht="69">
      <c r="A48" s="502" t="s">
        <v>27505</v>
      </c>
      <c r="B48" s="504" t="s">
        <v>27506</v>
      </c>
      <c r="C48" s="502" t="s">
        <v>114</v>
      </c>
      <c r="D48" s="503" t="s">
        <v>30032</v>
      </c>
      <c r="F48" t="str">
        <f t="shared" si="1"/>
        <v>105262</v>
      </c>
      <c r="H48" s="14">
        <f t="shared" si="2"/>
        <v>60.48</v>
      </c>
    </row>
    <row r="49" spans="1:8" ht="69">
      <c r="A49" s="502" t="s">
        <v>27507</v>
      </c>
      <c r="B49" s="504" t="s">
        <v>27508</v>
      </c>
      <c r="C49" s="502" t="s">
        <v>114</v>
      </c>
      <c r="D49" s="503" t="s">
        <v>30466</v>
      </c>
      <c r="F49" t="str">
        <f t="shared" si="1"/>
        <v>105263</v>
      </c>
      <c r="H49" s="14">
        <f t="shared" si="2"/>
        <v>71.900000000000006</v>
      </c>
    </row>
    <row r="50" spans="1:8" ht="69">
      <c r="A50" s="502" t="s">
        <v>27509</v>
      </c>
      <c r="B50" s="504" t="s">
        <v>27510</v>
      </c>
      <c r="C50" s="502" t="s">
        <v>114</v>
      </c>
      <c r="D50" s="503" t="s">
        <v>30467</v>
      </c>
      <c r="F50" t="str">
        <f t="shared" si="1"/>
        <v>105264</v>
      </c>
      <c r="H50" s="14">
        <f t="shared" si="2"/>
        <v>82.32</v>
      </c>
    </row>
    <row r="51" spans="1:8" ht="69">
      <c r="A51" s="502" t="s">
        <v>27511</v>
      </c>
      <c r="B51" s="504" t="s">
        <v>27512</v>
      </c>
      <c r="C51" s="502" t="s">
        <v>114</v>
      </c>
      <c r="D51" s="503" t="s">
        <v>30468</v>
      </c>
      <c r="F51" t="str">
        <f t="shared" si="1"/>
        <v>105265</v>
      </c>
      <c r="H51" s="14">
        <f t="shared" si="2"/>
        <v>93.09</v>
      </c>
    </row>
    <row r="52" spans="1:8" ht="69">
      <c r="A52" s="502" t="s">
        <v>27513</v>
      </c>
      <c r="B52" s="504" t="s">
        <v>27514</v>
      </c>
      <c r="C52" s="502" t="s">
        <v>114</v>
      </c>
      <c r="D52" s="503" t="s">
        <v>30469</v>
      </c>
      <c r="F52" t="str">
        <f t="shared" si="1"/>
        <v>105266</v>
      </c>
      <c r="H52" s="14">
        <f t="shared" si="2"/>
        <v>104.16</v>
      </c>
    </row>
    <row r="53" spans="1:8" ht="69">
      <c r="A53" s="502" t="s">
        <v>27516</v>
      </c>
      <c r="B53" s="504" t="s">
        <v>27517</v>
      </c>
      <c r="C53" s="502" t="s">
        <v>114</v>
      </c>
      <c r="D53" s="503" t="s">
        <v>30470</v>
      </c>
      <c r="F53" t="str">
        <f t="shared" si="1"/>
        <v>105267</v>
      </c>
      <c r="H53" s="14">
        <f t="shared" si="2"/>
        <v>115.37</v>
      </c>
    </row>
    <row r="54" spans="1:8" ht="69">
      <c r="A54" s="502" t="s">
        <v>27518</v>
      </c>
      <c r="B54" s="504" t="s">
        <v>27519</v>
      </c>
      <c r="C54" s="502" t="s">
        <v>114</v>
      </c>
      <c r="D54" s="503" t="s">
        <v>30471</v>
      </c>
      <c r="F54" t="str">
        <f t="shared" si="1"/>
        <v>105268</v>
      </c>
      <c r="H54" s="14">
        <f t="shared" si="2"/>
        <v>141.79</v>
      </c>
    </row>
    <row r="55" spans="1:8" ht="69">
      <c r="A55" s="502" t="s">
        <v>27520</v>
      </c>
      <c r="B55" s="504" t="s">
        <v>27521</v>
      </c>
      <c r="C55" s="502" t="s">
        <v>114</v>
      </c>
      <c r="D55" s="503" t="s">
        <v>16437</v>
      </c>
      <c r="F55" t="str">
        <f t="shared" si="1"/>
        <v>105269</v>
      </c>
      <c r="H55" s="14">
        <f t="shared" si="2"/>
        <v>17.420000000000002</v>
      </c>
    </row>
    <row r="56" spans="1:8" ht="69">
      <c r="A56" s="502" t="s">
        <v>27522</v>
      </c>
      <c r="B56" s="504" t="s">
        <v>27523</v>
      </c>
      <c r="C56" s="502" t="s">
        <v>114</v>
      </c>
      <c r="D56" s="503" t="s">
        <v>30472</v>
      </c>
      <c r="F56" t="str">
        <f t="shared" si="1"/>
        <v>105270</v>
      </c>
      <c r="H56" s="14">
        <f t="shared" si="2"/>
        <v>88.14</v>
      </c>
    </row>
    <row r="57" spans="1:8" ht="69">
      <c r="A57" s="502" t="s">
        <v>27524</v>
      </c>
      <c r="B57" s="504" t="s">
        <v>27525</v>
      </c>
      <c r="C57" s="502" t="s">
        <v>114</v>
      </c>
      <c r="D57" s="503" t="s">
        <v>16129</v>
      </c>
      <c r="F57" t="str">
        <f t="shared" si="1"/>
        <v>105271</v>
      </c>
      <c r="H57" s="14">
        <f t="shared" si="2"/>
        <v>109.6</v>
      </c>
    </row>
    <row r="58" spans="1:8" ht="69">
      <c r="A58" s="502" t="s">
        <v>27526</v>
      </c>
      <c r="B58" s="504" t="s">
        <v>27527</v>
      </c>
      <c r="C58" s="502" t="s">
        <v>114</v>
      </c>
      <c r="D58" s="503" t="s">
        <v>30473</v>
      </c>
      <c r="F58" t="str">
        <f t="shared" si="1"/>
        <v>105272</v>
      </c>
      <c r="H58" s="14">
        <f t="shared" si="2"/>
        <v>129.55000000000001</v>
      </c>
    </row>
    <row r="59" spans="1:8" ht="69">
      <c r="A59" s="502" t="s">
        <v>27529</v>
      </c>
      <c r="B59" s="504" t="s">
        <v>27530</v>
      </c>
      <c r="C59" s="502" t="s">
        <v>114</v>
      </c>
      <c r="D59" s="503" t="s">
        <v>30474</v>
      </c>
      <c r="F59" t="str">
        <f t="shared" si="1"/>
        <v>105273</v>
      </c>
      <c r="H59" s="14">
        <f t="shared" si="2"/>
        <v>148.47999999999999</v>
      </c>
    </row>
    <row r="60" spans="1:8" ht="69">
      <c r="A60" s="502" t="s">
        <v>27531</v>
      </c>
      <c r="B60" s="504" t="s">
        <v>27532</v>
      </c>
      <c r="C60" s="502" t="s">
        <v>114</v>
      </c>
      <c r="D60" s="503" t="s">
        <v>30475</v>
      </c>
      <c r="F60" t="str">
        <f t="shared" si="1"/>
        <v>105274</v>
      </c>
      <c r="H60" s="14">
        <f t="shared" si="2"/>
        <v>167.78</v>
      </c>
    </row>
    <row r="61" spans="1:8" ht="69">
      <c r="A61" s="502" t="s">
        <v>27533</v>
      </c>
      <c r="B61" s="504" t="s">
        <v>27534</v>
      </c>
      <c r="C61" s="502" t="s">
        <v>114</v>
      </c>
      <c r="D61" s="503" t="s">
        <v>30476</v>
      </c>
      <c r="F61" t="str">
        <f t="shared" si="1"/>
        <v>105275</v>
      </c>
      <c r="H61" s="14">
        <f t="shared" si="2"/>
        <v>187.36</v>
      </c>
    </row>
    <row r="62" spans="1:8" ht="69">
      <c r="A62" s="502" t="s">
        <v>27535</v>
      </c>
      <c r="B62" s="504" t="s">
        <v>27536</v>
      </c>
      <c r="C62" s="502" t="s">
        <v>114</v>
      </c>
      <c r="D62" s="503" t="s">
        <v>30477</v>
      </c>
      <c r="F62" t="str">
        <f t="shared" si="1"/>
        <v>105276</v>
      </c>
      <c r="H62" s="14">
        <f t="shared" si="2"/>
        <v>207.11</v>
      </c>
    </row>
    <row r="63" spans="1:8" ht="69">
      <c r="A63" s="502" t="s">
        <v>27537</v>
      </c>
      <c r="B63" s="504" t="s">
        <v>27538</v>
      </c>
      <c r="C63" s="502" t="s">
        <v>114</v>
      </c>
      <c r="D63" s="503" t="s">
        <v>30478</v>
      </c>
      <c r="F63" t="str">
        <f t="shared" si="1"/>
        <v>105277</v>
      </c>
      <c r="H63" s="14">
        <f t="shared" si="2"/>
        <v>250.56</v>
      </c>
    </row>
    <row r="64" spans="1:8" ht="55.2">
      <c r="A64" s="502" t="s">
        <v>27539</v>
      </c>
      <c r="B64" s="504" t="s">
        <v>27540</v>
      </c>
      <c r="C64" s="502" t="s">
        <v>114</v>
      </c>
      <c r="D64" s="503" t="s">
        <v>16565</v>
      </c>
      <c r="F64" t="str">
        <f t="shared" si="1"/>
        <v>105278</v>
      </c>
      <c r="H64" s="14">
        <f t="shared" si="2"/>
        <v>31.03</v>
      </c>
    </row>
    <row r="65" spans="1:8" ht="55.2">
      <c r="A65" s="502" t="s">
        <v>27541</v>
      </c>
      <c r="B65" s="504" t="s">
        <v>27542</v>
      </c>
      <c r="C65" s="502" t="s">
        <v>114</v>
      </c>
      <c r="D65" s="503" t="s">
        <v>29758</v>
      </c>
      <c r="F65" t="str">
        <f t="shared" si="1"/>
        <v>105279</v>
      </c>
      <c r="H65" s="14">
        <f t="shared" si="2"/>
        <v>35.840000000000003</v>
      </c>
    </row>
    <row r="66" spans="1:8" ht="55.2">
      <c r="A66" s="502" t="s">
        <v>27543</v>
      </c>
      <c r="B66" s="504" t="s">
        <v>27544</v>
      </c>
      <c r="C66" s="502" t="s">
        <v>114</v>
      </c>
      <c r="D66" s="503" t="s">
        <v>29421</v>
      </c>
      <c r="F66" t="str">
        <f t="shared" si="1"/>
        <v>105280</v>
      </c>
      <c r="H66" s="14">
        <f t="shared" si="2"/>
        <v>47.66</v>
      </c>
    </row>
    <row r="67" spans="1:8" ht="55.2">
      <c r="A67" s="502" t="s">
        <v>27545</v>
      </c>
      <c r="B67" s="504" t="s">
        <v>27546</v>
      </c>
      <c r="C67" s="502" t="s">
        <v>114</v>
      </c>
      <c r="D67" s="503" t="s">
        <v>30479</v>
      </c>
      <c r="F67" t="str">
        <f t="shared" si="1"/>
        <v>105281</v>
      </c>
      <c r="H67" s="14">
        <f t="shared" si="2"/>
        <v>59.47</v>
      </c>
    </row>
    <row r="68" spans="1:8" ht="69">
      <c r="A68" s="502" t="s">
        <v>27547</v>
      </c>
      <c r="B68" s="504" t="s">
        <v>27548</v>
      </c>
      <c r="C68" s="502" t="s">
        <v>114</v>
      </c>
      <c r="D68" s="503" t="s">
        <v>9522</v>
      </c>
      <c r="F68" t="str">
        <f t="shared" si="1"/>
        <v>105282</v>
      </c>
      <c r="H68" s="14">
        <f t="shared" si="2"/>
        <v>20.350000000000001</v>
      </c>
    </row>
    <row r="69" spans="1:8" ht="69">
      <c r="A69" s="502" t="s">
        <v>27549</v>
      </c>
      <c r="B69" s="504" t="s">
        <v>27550</v>
      </c>
      <c r="C69" s="502" t="s">
        <v>114</v>
      </c>
      <c r="D69" s="503" t="s">
        <v>21701</v>
      </c>
      <c r="F69" t="str">
        <f t="shared" ref="F69:F132" si="3">TRIM(A69)</f>
        <v>105283</v>
      </c>
      <c r="H69" s="14">
        <f t="shared" ref="H69:H132" si="4">ROUND(D69*(1+$H$1),2)</f>
        <v>37.83</v>
      </c>
    </row>
    <row r="70" spans="1:8" ht="55.2">
      <c r="A70" s="502" t="s">
        <v>27551</v>
      </c>
      <c r="B70" s="504" t="s">
        <v>27552</v>
      </c>
      <c r="C70" s="502" t="s">
        <v>114</v>
      </c>
      <c r="D70" s="503" t="s">
        <v>16573</v>
      </c>
      <c r="F70" t="str">
        <f t="shared" si="3"/>
        <v>105284</v>
      </c>
      <c r="H70" s="14">
        <f t="shared" si="4"/>
        <v>71.72</v>
      </c>
    </row>
    <row r="71" spans="1:8" ht="69">
      <c r="A71" s="502" t="s">
        <v>27553</v>
      </c>
      <c r="B71" s="504" t="s">
        <v>27554</v>
      </c>
      <c r="C71" s="502" t="s">
        <v>114</v>
      </c>
      <c r="D71" s="503" t="s">
        <v>4848</v>
      </c>
      <c r="F71" t="str">
        <f t="shared" si="3"/>
        <v>105297</v>
      </c>
      <c r="H71" s="14">
        <f t="shared" si="4"/>
        <v>15.5</v>
      </c>
    </row>
    <row r="72" spans="1:8" ht="69">
      <c r="A72" s="502" t="s">
        <v>27555</v>
      </c>
      <c r="B72" s="504" t="s">
        <v>27556</v>
      </c>
      <c r="C72" s="502" t="s">
        <v>114</v>
      </c>
      <c r="D72" s="503" t="s">
        <v>10213</v>
      </c>
      <c r="F72" t="str">
        <f t="shared" si="3"/>
        <v>105298</v>
      </c>
      <c r="H72" s="14">
        <f t="shared" si="4"/>
        <v>27.53</v>
      </c>
    </row>
    <row r="73" spans="1:8" ht="69">
      <c r="A73" s="502" t="s">
        <v>27557</v>
      </c>
      <c r="B73" s="504" t="s">
        <v>27558</v>
      </c>
      <c r="C73" s="502" t="s">
        <v>114</v>
      </c>
      <c r="D73" s="503" t="s">
        <v>30480</v>
      </c>
      <c r="F73" t="str">
        <f t="shared" si="3"/>
        <v>105299</v>
      </c>
      <c r="H73" s="14">
        <f t="shared" si="4"/>
        <v>34.76</v>
      </c>
    </row>
    <row r="74" spans="1:8" ht="69">
      <c r="A74" s="502" t="s">
        <v>27559</v>
      </c>
      <c r="B74" s="504" t="s">
        <v>27560</v>
      </c>
      <c r="C74" s="502" t="s">
        <v>114</v>
      </c>
      <c r="D74" s="503" t="s">
        <v>30481</v>
      </c>
      <c r="F74" t="str">
        <f t="shared" si="3"/>
        <v>105300</v>
      </c>
      <c r="H74" s="14">
        <f t="shared" si="4"/>
        <v>42.19</v>
      </c>
    </row>
    <row r="75" spans="1:8" ht="69">
      <c r="A75" s="502" t="s">
        <v>27561</v>
      </c>
      <c r="B75" s="504" t="s">
        <v>27562</v>
      </c>
      <c r="C75" s="502" t="s">
        <v>114</v>
      </c>
      <c r="D75" s="503" t="s">
        <v>29999</v>
      </c>
      <c r="F75" t="str">
        <f t="shared" si="3"/>
        <v>105301</v>
      </c>
      <c r="H75" s="14">
        <f t="shared" si="4"/>
        <v>49.6</v>
      </c>
    </row>
    <row r="76" spans="1:8" ht="69">
      <c r="A76" s="502" t="s">
        <v>27563</v>
      </c>
      <c r="B76" s="504" t="s">
        <v>27564</v>
      </c>
      <c r="C76" s="502" t="s">
        <v>114</v>
      </c>
      <c r="D76" s="503" t="s">
        <v>16467</v>
      </c>
      <c r="F76" t="str">
        <f t="shared" si="3"/>
        <v>105302</v>
      </c>
      <c r="H76" s="14">
        <f t="shared" si="4"/>
        <v>57</v>
      </c>
    </row>
    <row r="77" spans="1:8" ht="69">
      <c r="A77" s="502" t="s">
        <v>27565</v>
      </c>
      <c r="B77" s="504" t="s">
        <v>27566</v>
      </c>
      <c r="C77" s="502" t="s">
        <v>114</v>
      </c>
      <c r="D77" s="503" t="s">
        <v>30482</v>
      </c>
      <c r="F77" t="str">
        <f t="shared" si="3"/>
        <v>105303</v>
      </c>
      <c r="H77" s="14">
        <f t="shared" si="4"/>
        <v>64.39</v>
      </c>
    </row>
    <row r="78" spans="1:8" ht="69">
      <c r="A78" s="502" t="s">
        <v>27567</v>
      </c>
      <c r="B78" s="504" t="s">
        <v>27568</v>
      </c>
      <c r="C78" s="502" t="s">
        <v>114</v>
      </c>
      <c r="D78" s="503" t="s">
        <v>10682</v>
      </c>
      <c r="F78" t="str">
        <f t="shared" si="3"/>
        <v>105304</v>
      </c>
      <c r="H78" s="14">
        <f t="shared" si="4"/>
        <v>71.98</v>
      </c>
    </row>
    <row r="79" spans="1:8" ht="69">
      <c r="A79" s="502" t="s">
        <v>27569</v>
      </c>
      <c r="B79" s="504" t="s">
        <v>27570</v>
      </c>
      <c r="C79" s="502" t="s">
        <v>114</v>
      </c>
      <c r="D79" s="503" t="s">
        <v>30483</v>
      </c>
      <c r="F79" t="str">
        <f t="shared" si="3"/>
        <v>105305</v>
      </c>
      <c r="H79" s="14">
        <f t="shared" si="4"/>
        <v>87.93</v>
      </c>
    </row>
    <row r="80" spans="1:8" ht="69">
      <c r="A80" s="502" t="s">
        <v>27571</v>
      </c>
      <c r="B80" s="504" t="s">
        <v>27572</v>
      </c>
      <c r="C80" s="502" t="s">
        <v>114</v>
      </c>
      <c r="D80" s="503" t="s">
        <v>30484</v>
      </c>
      <c r="F80" t="str">
        <f t="shared" si="3"/>
        <v>105306</v>
      </c>
      <c r="H80" s="14">
        <f t="shared" si="4"/>
        <v>104.32</v>
      </c>
    </row>
    <row r="81" spans="1:8" ht="69">
      <c r="A81" s="502" t="s">
        <v>27573</v>
      </c>
      <c r="B81" s="504" t="s">
        <v>27574</v>
      </c>
      <c r="C81" s="502" t="s">
        <v>114</v>
      </c>
      <c r="D81" s="503" t="s">
        <v>30485</v>
      </c>
      <c r="F81" t="str">
        <f t="shared" si="3"/>
        <v>105307</v>
      </c>
      <c r="H81" s="14">
        <f t="shared" si="4"/>
        <v>119.71</v>
      </c>
    </row>
    <row r="82" spans="1:8" ht="69">
      <c r="A82" s="502" t="s">
        <v>27575</v>
      </c>
      <c r="B82" s="504" t="s">
        <v>27576</v>
      </c>
      <c r="C82" s="502" t="s">
        <v>114</v>
      </c>
      <c r="D82" s="503" t="s">
        <v>14632</v>
      </c>
      <c r="F82" t="str">
        <f t="shared" si="3"/>
        <v>105317</v>
      </c>
      <c r="H82" s="14">
        <f t="shared" si="4"/>
        <v>34.11</v>
      </c>
    </row>
    <row r="83" spans="1:8" ht="69">
      <c r="A83" s="502" t="s">
        <v>27577</v>
      </c>
      <c r="B83" s="504" t="s">
        <v>27578</v>
      </c>
      <c r="C83" s="502" t="s">
        <v>114</v>
      </c>
      <c r="D83" s="503" t="s">
        <v>30486</v>
      </c>
      <c r="F83" t="str">
        <f t="shared" si="3"/>
        <v>105318</v>
      </c>
      <c r="H83" s="14">
        <f t="shared" si="4"/>
        <v>39.229999999999997</v>
      </c>
    </row>
    <row r="84" spans="1:8" ht="69">
      <c r="A84" s="502" t="s">
        <v>27579</v>
      </c>
      <c r="B84" s="504" t="s">
        <v>27580</v>
      </c>
      <c r="C84" s="502" t="s">
        <v>114</v>
      </c>
      <c r="D84" s="503" t="s">
        <v>16184</v>
      </c>
      <c r="F84" t="str">
        <f t="shared" si="3"/>
        <v>105319</v>
      </c>
      <c r="H84" s="14">
        <f t="shared" si="4"/>
        <v>47.68</v>
      </c>
    </row>
    <row r="85" spans="1:8" ht="69">
      <c r="A85" s="502" t="s">
        <v>27581</v>
      </c>
      <c r="B85" s="504" t="s">
        <v>27582</v>
      </c>
      <c r="C85" s="502" t="s">
        <v>114</v>
      </c>
      <c r="D85" s="503" t="s">
        <v>30487</v>
      </c>
      <c r="F85" t="str">
        <f t="shared" si="3"/>
        <v>105320</v>
      </c>
      <c r="H85" s="14">
        <f t="shared" si="4"/>
        <v>58</v>
      </c>
    </row>
    <row r="86" spans="1:8" ht="69">
      <c r="A86" s="502" t="s">
        <v>27583</v>
      </c>
      <c r="B86" s="504" t="s">
        <v>27584</v>
      </c>
      <c r="C86" s="502" t="s">
        <v>114</v>
      </c>
      <c r="D86" s="503" t="s">
        <v>30488</v>
      </c>
      <c r="F86" t="str">
        <f t="shared" si="3"/>
        <v>105321</v>
      </c>
      <c r="H86" s="14">
        <f t="shared" si="4"/>
        <v>68.25</v>
      </c>
    </row>
    <row r="87" spans="1:8" ht="69">
      <c r="A87" s="502" t="s">
        <v>27585</v>
      </c>
      <c r="B87" s="504" t="s">
        <v>27586</v>
      </c>
      <c r="C87" s="502" t="s">
        <v>114</v>
      </c>
      <c r="D87" s="503" t="s">
        <v>30489</v>
      </c>
      <c r="F87" t="str">
        <f t="shared" si="3"/>
        <v>105322</v>
      </c>
      <c r="H87" s="14">
        <f t="shared" si="4"/>
        <v>78.5</v>
      </c>
    </row>
    <row r="88" spans="1:8" ht="69">
      <c r="A88" s="502" t="s">
        <v>27587</v>
      </c>
      <c r="B88" s="504" t="s">
        <v>27588</v>
      </c>
      <c r="C88" s="502" t="s">
        <v>114</v>
      </c>
      <c r="D88" s="503" t="s">
        <v>21963</v>
      </c>
      <c r="F88" t="str">
        <f t="shared" si="3"/>
        <v>105323</v>
      </c>
      <c r="H88" s="14">
        <f t="shared" si="4"/>
        <v>88.73</v>
      </c>
    </row>
    <row r="89" spans="1:8" ht="69">
      <c r="A89" s="502" t="s">
        <v>27589</v>
      </c>
      <c r="B89" s="504" t="s">
        <v>27590</v>
      </c>
      <c r="C89" s="502" t="s">
        <v>114</v>
      </c>
      <c r="D89" s="503" t="s">
        <v>30490</v>
      </c>
      <c r="F89" t="str">
        <f t="shared" si="3"/>
        <v>105324</v>
      </c>
      <c r="H89" s="14">
        <f t="shared" si="4"/>
        <v>99.34</v>
      </c>
    </row>
    <row r="90" spans="1:8" ht="69">
      <c r="A90" s="502" t="s">
        <v>27591</v>
      </c>
      <c r="B90" s="504" t="s">
        <v>27592</v>
      </c>
      <c r="C90" s="502" t="s">
        <v>114</v>
      </c>
      <c r="D90" s="503" t="s">
        <v>30491</v>
      </c>
      <c r="F90" t="str">
        <f t="shared" si="3"/>
        <v>105325</v>
      </c>
      <c r="H90" s="14">
        <f t="shared" si="4"/>
        <v>120.99</v>
      </c>
    </row>
    <row r="91" spans="1:8" ht="69">
      <c r="A91" s="502" t="s">
        <v>27593</v>
      </c>
      <c r="B91" s="504" t="s">
        <v>27594</v>
      </c>
      <c r="C91" s="502" t="s">
        <v>114</v>
      </c>
      <c r="D91" s="503" t="s">
        <v>30492</v>
      </c>
      <c r="F91" t="str">
        <f t="shared" si="3"/>
        <v>105326</v>
      </c>
      <c r="H91" s="14">
        <f t="shared" si="4"/>
        <v>143.87</v>
      </c>
    </row>
    <row r="92" spans="1:8" ht="69">
      <c r="A92" s="502" t="s">
        <v>27595</v>
      </c>
      <c r="B92" s="504" t="s">
        <v>27596</v>
      </c>
      <c r="C92" s="502" t="s">
        <v>114</v>
      </c>
      <c r="D92" s="503" t="s">
        <v>28445</v>
      </c>
      <c r="F92" t="str">
        <f t="shared" si="3"/>
        <v>105340</v>
      </c>
      <c r="H92" s="14">
        <f t="shared" si="4"/>
        <v>135.49</v>
      </c>
    </row>
    <row r="93" spans="1:8" ht="69">
      <c r="A93" s="502" t="s">
        <v>27597</v>
      </c>
      <c r="B93" s="504" t="s">
        <v>27598</v>
      </c>
      <c r="C93" s="502" t="s">
        <v>114</v>
      </c>
      <c r="D93" s="503" t="s">
        <v>30493</v>
      </c>
      <c r="F93" t="str">
        <f t="shared" si="3"/>
        <v>105341</v>
      </c>
      <c r="H93" s="14">
        <f t="shared" si="4"/>
        <v>167.74</v>
      </c>
    </row>
    <row r="94" spans="1:8" ht="69">
      <c r="A94" s="502" t="s">
        <v>27599</v>
      </c>
      <c r="B94" s="504" t="s">
        <v>27600</v>
      </c>
      <c r="C94" s="502" t="s">
        <v>114</v>
      </c>
      <c r="D94" s="503" t="s">
        <v>30494</v>
      </c>
      <c r="F94" t="str">
        <f t="shared" si="3"/>
        <v>105342</v>
      </c>
      <c r="H94" s="14">
        <f t="shared" si="4"/>
        <v>204.1</v>
      </c>
    </row>
    <row r="95" spans="1:8" ht="55.2">
      <c r="A95" s="502" t="s">
        <v>27601</v>
      </c>
      <c r="B95" s="504" t="s">
        <v>27602</v>
      </c>
      <c r="C95" s="502" t="s">
        <v>114</v>
      </c>
      <c r="D95" s="503" t="s">
        <v>28106</v>
      </c>
      <c r="F95" t="str">
        <f t="shared" si="3"/>
        <v>105343</v>
      </c>
      <c r="H95" s="14">
        <f t="shared" si="4"/>
        <v>23.91</v>
      </c>
    </row>
    <row r="96" spans="1:8" ht="69">
      <c r="A96" s="502" t="s">
        <v>27603</v>
      </c>
      <c r="B96" s="504" t="s">
        <v>27604</v>
      </c>
      <c r="C96" s="502" t="s">
        <v>114</v>
      </c>
      <c r="D96" s="503" t="s">
        <v>30495</v>
      </c>
      <c r="F96" t="str">
        <f t="shared" si="3"/>
        <v>105344</v>
      </c>
      <c r="H96" s="14">
        <f t="shared" si="4"/>
        <v>164.64</v>
      </c>
    </row>
    <row r="97" spans="1:8" ht="69">
      <c r="A97" s="502" t="s">
        <v>27605</v>
      </c>
      <c r="B97" s="504" t="s">
        <v>27606</v>
      </c>
      <c r="C97" s="502" t="s">
        <v>114</v>
      </c>
      <c r="D97" s="503" t="s">
        <v>30496</v>
      </c>
      <c r="F97" t="str">
        <f t="shared" si="3"/>
        <v>105345</v>
      </c>
      <c r="H97" s="14">
        <f t="shared" si="4"/>
        <v>208.32</v>
      </c>
    </row>
    <row r="98" spans="1:8" ht="69">
      <c r="A98" s="502" t="s">
        <v>27608</v>
      </c>
      <c r="B98" s="504" t="s">
        <v>27609</v>
      </c>
      <c r="C98" s="502" t="s">
        <v>114</v>
      </c>
      <c r="D98" s="503" t="s">
        <v>30497</v>
      </c>
      <c r="F98" t="str">
        <f t="shared" si="3"/>
        <v>105346</v>
      </c>
      <c r="H98" s="14">
        <f t="shared" si="4"/>
        <v>230.79</v>
      </c>
    </row>
    <row r="99" spans="1:8" ht="69">
      <c r="A99" s="502" t="s">
        <v>27611</v>
      </c>
      <c r="B99" s="504" t="s">
        <v>27612</v>
      </c>
      <c r="C99" s="502" t="s">
        <v>114</v>
      </c>
      <c r="D99" s="503" t="s">
        <v>30498</v>
      </c>
      <c r="F99" t="str">
        <f t="shared" si="3"/>
        <v>105347</v>
      </c>
      <c r="H99" s="14">
        <f t="shared" si="4"/>
        <v>283.58</v>
      </c>
    </row>
    <row r="100" spans="1:8" ht="55.2">
      <c r="A100" s="502" t="s">
        <v>27613</v>
      </c>
      <c r="B100" s="504" t="s">
        <v>27614</v>
      </c>
      <c r="C100" s="502" t="s">
        <v>114</v>
      </c>
      <c r="D100" s="503" t="s">
        <v>30499</v>
      </c>
      <c r="F100" t="str">
        <f t="shared" si="3"/>
        <v>105348</v>
      </c>
      <c r="H100" s="14">
        <f t="shared" si="4"/>
        <v>83.93</v>
      </c>
    </row>
    <row r="101" spans="1:8" ht="55.2">
      <c r="A101" s="502" t="s">
        <v>27615</v>
      </c>
      <c r="B101" s="504" t="s">
        <v>27616</v>
      </c>
      <c r="C101" s="502" t="s">
        <v>114</v>
      </c>
      <c r="D101" s="503" t="s">
        <v>30500</v>
      </c>
      <c r="F101" t="str">
        <f t="shared" si="3"/>
        <v>105349</v>
      </c>
      <c r="H101" s="14">
        <f t="shared" si="4"/>
        <v>96.14</v>
      </c>
    </row>
    <row r="102" spans="1:8" ht="55.2">
      <c r="A102" s="502" t="s">
        <v>27617</v>
      </c>
      <c r="B102" s="504" t="s">
        <v>27618</v>
      </c>
      <c r="C102" s="502" t="s">
        <v>114</v>
      </c>
      <c r="D102" s="503" t="s">
        <v>28842</v>
      </c>
      <c r="F102" t="str">
        <f t="shared" si="3"/>
        <v>105350</v>
      </c>
      <c r="H102" s="14">
        <f t="shared" si="4"/>
        <v>108.33</v>
      </c>
    </row>
    <row r="103" spans="1:8" ht="55.2">
      <c r="A103" s="502" t="s">
        <v>27619</v>
      </c>
      <c r="B103" s="504" t="s">
        <v>27620</v>
      </c>
      <c r="C103" s="502" t="s">
        <v>114</v>
      </c>
      <c r="D103" s="503" t="s">
        <v>30501</v>
      </c>
      <c r="F103" t="str">
        <f t="shared" si="3"/>
        <v>105351</v>
      </c>
      <c r="H103" s="14">
        <f t="shared" si="4"/>
        <v>120.88</v>
      </c>
    </row>
    <row r="104" spans="1:8" ht="55.2">
      <c r="A104" s="502" t="s">
        <v>27621</v>
      </c>
      <c r="B104" s="504" t="s">
        <v>27622</v>
      </c>
      <c r="C104" s="502" t="s">
        <v>114</v>
      </c>
      <c r="D104" s="503" t="s">
        <v>30502</v>
      </c>
      <c r="F104" t="str">
        <f t="shared" si="3"/>
        <v>105352</v>
      </c>
      <c r="H104" s="14">
        <f t="shared" si="4"/>
        <v>149.91</v>
      </c>
    </row>
    <row r="105" spans="1:8" ht="55.2">
      <c r="A105" s="502" t="s">
        <v>27623</v>
      </c>
      <c r="B105" s="504" t="s">
        <v>27624</v>
      </c>
      <c r="C105" s="502" t="s">
        <v>114</v>
      </c>
      <c r="D105" s="503" t="s">
        <v>30503</v>
      </c>
      <c r="F105" t="str">
        <f t="shared" si="3"/>
        <v>105353</v>
      </c>
      <c r="H105" s="14">
        <f t="shared" si="4"/>
        <v>177.5</v>
      </c>
    </row>
    <row r="106" spans="1:8" ht="55.2">
      <c r="A106" s="502" t="s">
        <v>27625</v>
      </c>
      <c r="B106" s="504" t="s">
        <v>27626</v>
      </c>
      <c r="C106" s="502" t="s">
        <v>114</v>
      </c>
      <c r="D106" s="503" t="s">
        <v>30504</v>
      </c>
      <c r="F106" t="str">
        <f t="shared" si="3"/>
        <v>105354</v>
      </c>
      <c r="H106" s="14">
        <f t="shared" si="4"/>
        <v>202.99</v>
      </c>
    </row>
    <row r="107" spans="1:8" ht="55.2">
      <c r="A107" s="502" t="s">
        <v>27627</v>
      </c>
      <c r="B107" s="504" t="s">
        <v>27628</v>
      </c>
      <c r="C107" s="502" t="s">
        <v>114</v>
      </c>
      <c r="D107" s="503" t="s">
        <v>30505</v>
      </c>
      <c r="F107" t="str">
        <f t="shared" si="3"/>
        <v>105355</v>
      </c>
      <c r="H107" s="14">
        <f t="shared" si="4"/>
        <v>229.26</v>
      </c>
    </row>
    <row r="108" spans="1:8" ht="55.2">
      <c r="A108" s="502" t="s">
        <v>27629</v>
      </c>
      <c r="B108" s="504" t="s">
        <v>27630</v>
      </c>
      <c r="C108" s="502" t="s">
        <v>114</v>
      </c>
      <c r="D108" s="503" t="s">
        <v>30506</v>
      </c>
      <c r="F108" t="str">
        <f t="shared" si="3"/>
        <v>105356</v>
      </c>
      <c r="H108" s="14">
        <f t="shared" si="4"/>
        <v>256.08999999999997</v>
      </c>
    </row>
    <row r="109" spans="1:8" ht="55.2">
      <c r="A109" s="502" t="s">
        <v>27631</v>
      </c>
      <c r="B109" s="504" t="s">
        <v>27632</v>
      </c>
      <c r="C109" s="502" t="s">
        <v>114</v>
      </c>
      <c r="D109" s="503" t="s">
        <v>30507</v>
      </c>
      <c r="F109" t="str">
        <f t="shared" si="3"/>
        <v>105357</v>
      </c>
      <c r="H109" s="14">
        <f t="shared" si="4"/>
        <v>283.27999999999997</v>
      </c>
    </row>
    <row r="110" spans="1:8" ht="55.2">
      <c r="A110" s="502" t="s">
        <v>27633</v>
      </c>
      <c r="B110" s="504" t="s">
        <v>27634</v>
      </c>
      <c r="C110" s="502" t="s">
        <v>114</v>
      </c>
      <c r="D110" s="503" t="s">
        <v>15369</v>
      </c>
      <c r="F110" t="str">
        <f t="shared" si="3"/>
        <v>105358</v>
      </c>
      <c r="H110" s="14">
        <f t="shared" si="4"/>
        <v>345.52</v>
      </c>
    </row>
    <row r="111" spans="1:8" ht="55.2">
      <c r="A111" s="502" t="s">
        <v>27635</v>
      </c>
      <c r="B111" s="504" t="s">
        <v>27636</v>
      </c>
      <c r="C111" s="502" t="s">
        <v>114</v>
      </c>
      <c r="D111" s="503" t="s">
        <v>29996</v>
      </c>
      <c r="F111" t="str">
        <f t="shared" si="3"/>
        <v>105369</v>
      </c>
      <c r="H111" s="14">
        <f t="shared" si="4"/>
        <v>102.83</v>
      </c>
    </row>
    <row r="112" spans="1:8" ht="55.2">
      <c r="A112" s="502" t="s">
        <v>27637</v>
      </c>
      <c r="B112" s="504" t="s">
        <v>27638</v>
      </c>
      <c r="C112" s="502" t="s">
        <v>114</v>
      </c>
      <c r="D112" s="503" t="s">
        <v>30508</v>
      </c>
      <c r="F112" t="str">
        <f t="shared" si="3"/>
        <v>105377</v>
      </c>
      <c r="H112" s="14">
        <f t="shared" si="4"/>
        <v>65.56</v>
      </c>
    </row>
    <row r="113" spans="1:8" ht="69">
      <c r="A113" s="502" t="s">
        <v>27639</v>
      </c>
      <c r="B113" s="504" t="s">
        <v>27640</v>
      </c>
      <c r="C113" s="502" t="s">
        <v>114</v>
      </c>
      <c r="D113" s="503" t="s">
        <v>9933</v>
      </c>
      <c r="F113" t="str">
        <f t="shared" si="3"/>
        <v>105378</v>
      </c>
      <c r="H113" s="14">
        <f t="shared" si="4"/>
        <v>17.91</v>
      </c>
    </row>
    <row r="114" spans="1:8" ht="69">
      <c r="A114" s="502" t="s">
        <v>27641</v>
      </c>
      <c r="B114" s="504" t="s">
        <v>27642</v>
      </c>
      <c r="C114" s="502" t="s">
        <v>114</v>
      </c>
      <c r="D114" s="503" t="s">
        <v>26588</v>
      </c>
      <c r="F114" t="str">
        <f t="shared" si="3"/>
        <v>105379</v>
      </c>
      <c r="H114" s="14">
        <f t="shared" si="4"/>
        <v>23.8</v>
      </c>
    </row>
    <row r="115" spans="1:8" ht="69">
      <c r="A115" s="502" t="s">
        <v>27643</v>
      </c>
      <c r="B115" s="504" t="s">
        <v>27644</v>
      </c>
      <c r="C115" s="502" t="s">
        <v>114</v>
      </c>
      <c r="D115" s="503" t="s">
        <v>30509</v>
      </c>
      <c r="F115" t="str">
        <f t="shared" si="3"/>
        <v>105380</v>
      </c>
      <c r="H115" s="14">
        <f t="shared" si="4"/>
        <v>141.62</v>
      </c>
    </row>
    <row r="116" spans="1:8" ht="69">
      <c r="A116" s="502" t="s">
        <v>27645</v>
      </c>
      <c r="B116" s="504" t="s">
        <v>27646</v>
      </c>
      <c r="C116" s="502" t="s">
        <v>114</v>
      </c>
      <c r="D116" s="503" t="s">
        <v>9932</v>
      </c>
      <c r="F116" t="str">
        <f t="shared" si="3"/>
        <v>105388</v>
      </c>
      <c r="H116" s="14">
        <f t="shared" si="4"/>
        <v>18.88</v>
      </c>
    </row>
    <row r="117" spans="1:8" ht="69">
      <c r="A117" s="502" t="s">
        <v>27647</v>
      </c>
      <c r="B117" s="504" t="s">
        <v>27648</v>
      </c>
      <c r="C117" s="502" t="s">
        <v>114</v>
      </c>
      <c r="D117" s="503" t="s">
        <v>28204</v>
      </c>
      <c r="F117" t="str">
        <f t="shared" si="3"/>
        <v>105389</v>
      </c>
      <c r="H117" s="14">
        <f t="shared" si="4"/>
        <v>23.81</v>
      </c>
    </row>
    <row r="118" spans="1:8" ht="69">
      <c r="A118" s="502" t="s">
        <v>27649</v>
      </c>
      <c r="B118" s="504" t="s">
        <v>27650</v>
      </c>
      <c r="C118" s="502" t="s">
        <v>114</v>
      </c>
      <c r="D118" s="503" t="s">
        <v>30510</v>
      </c>
      <c r="F118" t="str">
        <f t="shared" si="3"/>
        <v>105390</v>
      </c>
      <c r="H118" s="14">
        <f t="shared" si="4"/>
        <v>151.52000000000001</v>
      </c>
    </row>
    <row r="119" spans="1:8" ht="69">
      <c r="A119" s="502" t="s">
        <v>27651</v>
      </c>
      <c r="B119" s="504" t="s">
        <v>27652</v>
      </c>
      <c r="C119" s="502" t="s">
        <v>114</v>
      </c>
      <c r="D119" s="503" t="s">
        <v>30511</v>
      </c>
      <c r="F119" t="str">
        <f t="shared" si="3"/>
        <v>105391</v>
      </c>
      <c r="H119" s="14">
        <f t="shared" si="4"/>
        <v>186.19</v>
      </c>
    </row>
    <row r="120" spans="1:8" ht="69">
      <c r="A120" s="502" t="s">
        <v>27653</v>
      </c>
      <c r="B120" s="504" t="s">
        <v>27654</v>
      </c>
      <c r="C120" s="502" t="s">
        <v>114</v>
      </c>
      <c r="D120" s="503" t="s">
        <v>30512</v>
      </c>
      <c r="F120" t="str">
        <f t="shared" si="3"/>
        <v>105392</v>
      </c>
      <c r="H120" s="14">
        <f t="shared" si="4"/>
        <v>29.71</v>
      </c>
    </row>
    <row r="121" spans="1:8" ht="69">
      <c r="A121" s="502" t="s">
        <v>27656</v>
      </c>
      <c r="B121" s="504" t="s">
        <v>27657</v>
      </c>
      <c r="C121" s="502" t="s">
        <v>114</v>
      </c>
      <c r="D121" s="503" t="s">
        <v>29758</v>
      </c>
      <c r="F121" t="str">
        <f t="shared" si="3"/>
        <v>105393</v>
      </c>
      <c r="H121" s="14">
        <f t="shared" si="4"/>
        <v>35.840000000000003</v>
      </c>
    </row>
    <row r="122" spans="1:8" ht="69">
      <c r="A122" s="502" t="s">
        <v>27658</v>
      </c>
      <c r="B122" s="504" t="s">
        <v>27659</v>
      </c>
      <c r="C122" s="502" t="s">
        <v>114</v>
      </c>
      <c r="D122" s="503" t="s">
        <v>30513</v>
      </c>
      <c r="F122" t="str">
        <f t="shared" si="3"/>
        <v>105394</v>
      </c>
      <c r="H122" s="14">
        <f t="shared" si="4"/>
        <v>41.93</v>
      </c>
    </row>
    <row r="123" spans="1:8" ht="69">
      <c r="A123" s="502" t="s">
        <v>27660</v>
      </c>
      <c r="B123" s="504" t="s">
        <v>27661</v>
      </c>
      <c r="C123" s="502" t="s">
        <v>114</v>
      </c>
      <c r="D123" s="503" t="s">
        <v>30514</v>
      </c>
      <c r="F123" t="str">
        <f t="shared" si="3"/>
        <v>105395</v>
      </c>
      <c r="H123" s="14">
        <f t="shared" si="4"/>
        <v>48.05</v>
      </c>
    </row>
    <row r="124" spans="1:8" ht="69">
      <c r="A124" s="502" t="s">
        <v>27662</v>
      </c>
      <c r="B124" s="504" t="s">
        <v>27663</v>
      </c>
      <c r="C124" s="502" t="s">
        <v>114</v>
      </c>
      <c r="D124" s="503" t="s">
        <v>30515</v>
      </c>
      <c r="F124" t="str">
        <f t="shared" si="3"/>
        <v>105396</v>
      </c>
      <c r="H124" s="14">
        <f t="shared" si="4"/>
        <v>54.14</v>
      </c>
    </row>
    <row r="125" spans="1:8" ht="69">
      <c r="A125" s="502" t="s">
        <v>27664</v>
      </c>
      <c r="B125" s="504" t="s">
        <v>27665</v>
      </c>
      <c r="C125" s="502" t="s">
        <v>114</v>
      </c>
      <c r="D125" s="503" t="s">
        <v>13162</v>
      </c>
      <c r="F125" t="str">
        <f t="shared" si="3"/>
        <v>105397</v>
      </c>
      <c r="H125" s="14">
        <f t="shared" si="4"/>
        <v>60.42</v>
      </c>
    </row>
    <row r="126" spans="1:8" ht="69">
      <c r="A126" s="502" t="s">
        <v>27666</v>
      </c>
      <c r="B126" s="504" t="s">
        <v>27667</v>
      </c>
      <c r="C126" s="502" t="s">
        <v>114</v>
      </c>
      <c r="D126" s="503" t="s">
        <v>30516</v>
      </c>
      <c r="F126" t="str">
        <f t="shared" si="3"/>
        <v>105398</v>
      </c>
      <c r="H126" s="14">
        <f t="shared" si="4"/>
        <v>74.94</v>
      </c>
    </row>
    <row r="127" spans="1:8" ht="69">
      <c r="A127" s="502" t="s">
        <v>27668</v>
      </c>
      <c r="B127" s="504" t="s">
        <v>27669</v>
      </c>
      <c r="C127" s="502" t="s">
        <v>114</v>
      </c>
      <c r="D127" s="503" t="s">
        <v>30517</v>
      </c>
      <c r="F127" t="str">
        <f t="shared" si="3"/>
        <v>105399</v>
      </c>
      <c r="H127" s="14">
        <f t="shared" si="4"/>
        <v>88.7</v>
      </c>
    </row>
    <row r="128" spans="1:8" ht="69">
      <c r="A128" s="502" t="s">
        <v>27670</v>
      </c>
      <c r="B128" s="504" t="s">
        <v>27671</v>
      </c>
      <c r="C128" s="502" t="s">
        <v>114</v>
      </c>
      <c r="D128" s="503" t="s">
        <v>10323</v>
      </c>
      <c r="F128" t="str">
        <f t="shared" si="3"/>
        <v>105400</v>
      </c>
      <c r="H128" s="14">
        <f t="shared" si="4"/>
        <v>101.5</v>
      </c>
    </row>
    <row r="129" spans="1:8" ht="69">
      <c r="A129" s="502" t="s">
        <v>27673</v>
      </c>
      <c r="B129" s="504" t="s">
        <v>27674</v>
      </c>
      <c r="C129" s="502" t="s">
        <v>114</v>
      </c>
      <c r="D129" s="503" t="s">
        <v>30518</v>
      </c>
      <c r="F129" t="str">
        <f t="shared" si="3"/>
        <v>105401</v>
      </c>
      <c r="H129" s="14">
        <f t="shared" si="4"/>
        <v>114.62</v>
      </c>
    </row>
    <row r="130" spans="1:8" ht="69">
      <c r="A130" s="502" t="s">
        <v>27676</v>
      </c>
      <c r="B130" s="504" t="s">
        <v>27677</v>
      </c>
      <c r="C130" s="502" t="s">
        <v>114</v>
      </c>
      <c r="D130" s="503" t="s">
        <v>15191</v>
      </c>
      <c r="F130" t="str">
        <f t="shared" si="3"/>
        <v>105402</v>
      </c>
      <c r="H130" s="14">
        <f t="shared" si="4"/>
        <v>128.07</v>
      </c>
    </row>
    <row r="131" spans="1:8" ht="55.2">
      <c r="A131" s="502" t="s">
        <v>2921</v>
      </c>
      <c r="B131" s="504" t="s">
        <v>27678</v>
      </c>
      <c r="C131" s="502" t="s">
        <v>75</v>
      </c>
      <c r="D131" s="503" t="s">
        <v>28961</v>
      </c>
      <c r="F131" t="str">
        <f t="shared" si="3"/>
        <v>97173</v>
      </c>
      <c r="H131" s="14">
        <f t="shared" si="4"/>
        <v>58.56</v>
      </c>
    </row>
    <row r="132" spans="1:8" ht="55.2">
      <c r="A132" s="502" t="s">
        <v>2922</v>
      </c>
      <c r="B132" s="504" t="s">
        <v>27680</v>
      </c>
      <c r="C132" s="502" t="s">
        <v>75</v>
      </c>
      <c r="D132" s="503" t="s">
        <v>30519</v>
      </c>
      <c r="F132" t="str">
        <f t="shared" si="3"/>
        <v>97174</v>
      </c>
      <c r="H132" s="14">
        <f t="shared" si="4"/>
        <v>70</v>
      </c>
    </row>
    <row r="133" spans="1:8" ht="55.2">
      <c r="A133" s="502" t="s">
        <v>2923</v>
      </c>
      <c r="B133" s="504" t="s">
        <v>27681</v>
      </c>
      <c r="C133" s="502" t="s">
        <v>75</v>
      </c>
      <c r="D133" s="503" t="s">
        <v>21349</v>
      </c>
      <c r="F133" t="str">
        <f t="shared" ref="F133:F196" si="5">TRIM(A133)</f>
        <v>97175</v>
      </c>
      <c r="H133" s="14">
        <f t="shared" ref="H133:H196" si="6">ROUND(D133*(1+$H$1),2)</f>
        <v>81.430000000000007</v>
      </c>
    </row>
    <row r="134" spans="1:8" ht="55.2">
      <c r="A134" s="502" t="s">
        <v>2924</v>
      </c>
      <c r="B134" s="504" t="s">
        <v>27682</v>
      </c>
      <c r="C134" s="502" t="s">
        <v>75</v>
      </c>
      <c r="D134" s="503" t="s">
        <v>30520</v>
      </c>
      <c r="F134" t="str">
        <f t="shared" si="5"/>
        <v>97176</v>
      </c>
      <c r="H134" s="14">
        <f t="shared" si="6"/>
        <v>92.86</v>
      </c>
    </row>
    <row r="135" spans="1:8" ht="69">
      <c r="A135" s="502" t="s">
        <v>2925</v>
      </c>
      <c r="B135" s="504" t="s">
        <v>27683</v>
      </c>
      <c r="C135" s="502" t="s">
        <v>75</v>
      </c>
      <c r="D135" s="503" t="s">
        <v>30521</v>
      </c>
      <c r="F135" t="str">
        <f t="shared" si="5"/>
        <v>97177</v>
      </c>
      <c r="H135" s="14">
        <f t="shared" si="6"/>
        <v>104.31</v>
      </c>
    </row>
    <row r="136" spans="1:8" ht="69">
      <c r="A136" s="502" t="s">
        <v>2926</v>
      </c>
      <c r="B136" s="504" t="s">
        <v>27684</v>
      </c>
      <c r="C136" s="502" t="s">
        <v>75</v>
      </c>
      <c r="D136" s="503" t="s">
        <v>30522</v>
      </c>
      <c r="F136" t="str">
        <f t="shared" si="5"/>
        <v>97178</v>
      </c>
      <c r="H136" s="14">
        <f t="shared" si="6"/>
        <v>127.16</v>
      </c>
    </row>
    <row r="137" spans="1:8" ht="69">
      <c r="A137" s="502" t="s">
        <v>2927</v>
      </c>
      <c r="B137" s="504" t="s">
        <v>27685</v>
      </c>
      <c r="C137" s="502" t="s">
        <v>75</v>
      </c>
      <c r="D137" s="503" t="s">
        <v>15409</v>
      </c>
      <c r="F137" t="str">
        <f t="shared" si="5"/>
        <v>97179</v>
      </c>
      <c r="H137" s="14">
        <f t="shared" si="6"/>
        <v>150.05000000000001</v>
      </c>
    </row>
    <row r="138" spans="1:8" ht="69">
      <c r="A138" s="502" t="s">
        <v>2928</v>
      </c>
      <c r="B138" s="504" t="s">
        <v>27686</v>
      </c>
      <c r="C138" s="502" t="s">
        <v>75</v>
      </c>
      <c r="D138" s="503" t="s">
        <v>30523</v>
      </c>
      <c r="F138" t="str">
        <f t="shared" si="5"/>
        <v>97180</v>
      </c>
      <c r="H138" s="14">
        <f t="shared" si="6"/>
        <v>172.92</v>
      </c>
    </row>
    <row r="139" spans="1:8" ht="69">
      <c r="A139" s="502" t="s">
        <v>2929</v>
      </c>
      <c r="B139" s="504" t="s">
        <v>27687</v>
      </c>
      <c r="C139" s="502" t="s">
        <v>75</v>
      </c>
      <c r="D139" s="503" t="s">
        <v>30524</v>
      </c>
      <c r="F139" t="str">
        <f t="shared" si="5"/>
        <v>97181</v>
      </c>
      <c r="H139" s="14">
        <f t="shared" si="6"/>
        <v>195.77</v>
      </c>
    </row>
    <row r="140" spans="1:8" ht="69">
      <c r="A140" s="502" t="s">
        <v>2930</v>
      </c>
      <c r="B140" s="504" t="s">
        <v>27688</v>
      </c>
      <c r="C140" s="502" t="s">
        <v>75</v>
      </c>
      <c r="D140" s="503" t="s">
        <v>30525</v>
      </c>
      <c r="F140" t="str">
        <f t="shared" si="5"/>
        <v>97182</v>
      </c>
      <c r="H140" s="14">
        <f t="shared" si="6"/>
        <v>224.38</v>
      </c>
    </row>
    <row r="141" spans="1:8" ht="55.2">
      <c r="A141" s="502" t="s">
        <v>2931</v>
      </c>
      <c r="B141" s="504" t="s">
        <v>27689</v>
      </c>
      <c r="C141" s="502" t="s">
        <v>75</v>
      </c>
      <c r="D141" s="503" t="s">
        <v>24768</v>
      </c>
      <c r="F141" t="str">
        <f t="shared" si="5"/>
        <v>97183</v>
      </c>
      <c r="H141" s="14">
        <f t="shared" si="6"/>
        <v>52.05</v>
      </c>
    </row>
    <row r="142" spans="1:8" ht="55.2">
      <c r="A142" s="502" t="s">
        <v>2932</v>
      </c>
      <c r="B142" s="504" t="s">
        <v>27690</v>
      </c>
      <c r="C142" s="502" t="s">
        <v>75</v>
      </c>
      <c r="D142" s="503" t="s">
        <v>13202</v>
      </c>
      <c r="F142" t="str">
        <f t="shared" si="5"/>
        <v>97184</v>
      </c>
      <c r="H142" s="14">
        <f t="shared" si="6"/>
        <v>62.31</v>
      </c>
    </row>
    <row r="143" spans="1:8" ht="55.2">
      <c r="A143" s="502" t="s">
        <v>2933</v>
      </c>
      <c r="B143" s="504" t="s">
        <v>27691</v>
      </c>
      <c r="C143" s="502" t="s">
        <v>75</v>
      </c>
      <c r="D143" s="503" t="s">
        <v>30526</v>
      </c>
      <c r="F143" t="str">
        <f t="shared" si="5"/>
        <v>97185</v>
      </c>
      <c r="H143" s="14">
        <f t="shared" si="6"/>
        <v>72.59</v>
      </c>
    </row>
    <row r="144" spans="1:8" ht="55.2">
      <c r="A144" s="502" t="s">
        <v>2934</v>
      </c>
      <c r="B144" s="504" t="s">
        <v>27692</v>
      </c>
      <c r="C144" s="502" t="s">
        <v>75</v>
      </c>
      <c r="D144" s="503" t="s">
        <v>30527</v>
      </c>
      <c r="F144" t="str">
        <f t="shared" si="5"/>
        <v>97186</v>
      </c>
      <c r="H144" s="14">
        <f t="shared" si="6"/>
        <v>82.87</v>
      </c>
    </row>
    <row r="145" spans="1:8" ht="69">
      <c r="A145" s="502" t="s">
        <v>2935</v>
      </c>
      <c r="B145" s="504" t="s">
        <v>27693</v>
      </c>
      <c r="C145" s="502" t="s">
        <v>75</v>
      </c>
      <c r="D145" s="503" t="s">
        <v>30528</v>
      </c>
      <c r="F145" t="str">
        <f t="shared" si="5"/>
        <v>97187</v>
      </c>
      <c r="H145" s="14">
        <f t="shared" si="6"/>
        <v>93.16</v>
      </c>
    </row>
    <row r="146" spans="1:8" ht="69">
      <c r="A146" s="502" t="s">
        <v>2936</v>
      </c>
      <c r="B146" s="504" t="s">
        <v>27694</v>
      </c>
      <c r="C146" s="502" t="s">
        <v>75</v>
      </c>
      <c r="D146" s="503" t="s">
        <v>30529</v>
      </c>
      <c r="F146" t="str">
        <f t="shared" si="5"/>
        <v>97188</v>
      </c>
      <c r="H146" s="14">
        <f t="shared" si="6"/>
        <v>113.74</v>
      </c>
    </row>
    <row r="147" spans="1:8" ht="69">
      <c r="A147" s="502" t="s">
        <v>2937</v>
      </c>
      <c r="B147" s="504" t="s">
        <v>27695</v>
      </c>
      <c r="C147" s="502" t="s">
        <v>75</v>
      </c>
      <c r="D147" s="503" t="s">
        <v>30530</v>
      </c>
      <c r="F147" t="str">
        <f t="shared" si="5"/>
        <v>97189</v>
      </c>
      <c r="H147" s="14">
        <f t="shared" si="6"/>
        <v>134.32</v>
      </c>
    </row>
    <row r="148" spans="1:8" ht="69">
      <c r="A148" s="502" t="s">
        <v>2938</v>
      </c>
      <c r="B148" s="504" t="s">
        <v>27696</v>
      </c>
      <c r="C148" s="502" t="s">
        <v>75</v>
      </c>
      <c r="D148" s="503" t="s">
        <v>30531</v>
      </c>
      <c r="F148" t="str">
        <f t="shared" si="5"/>
        <v>97190</v>
      </c>
      <c r="H148" s="14">
        <f t="shared" si="6"/>
        <v>154.88</v>
      </c>
    </row>
    <row r="149" spans="1:8" ht="69">
      <c r="A149" s="502" t="s">
        <v>2939</v>
      </c>
      <c r="B149" s="504" t="s">
        <v>27697</v>
      </c>
      <c r="C149" s="502" t="s">
        <v>75</v>
      </c>
      <c r="D149" s="503" t="s">
        <v>30532</v>
      </c>
      <c r="F149" t="str">
        <f t="shared" si="5"/>
        <v>97191</v>
      </c>
      <c r="H149" s="14">
        <f t="shared" si="6"/>
        <v>175.46</v>
      </c>
    </row>
    <row r="150" spans="1:8" ht="69">
      <c r="A150" s="502" t="s">
        <v>2940</v>
      </c>
      <c r="B150" s="504" t="s">
        <v>27698</v>
      </c>
      <c r="C150" s="502" t="s">
        <v>75</v>
      </c>
      <c r="D150" s="503" t="s">
        <v>30533</v>
      </c>
      <c r="F150" t="str">
        <f t="shared" si="5"/>
        <v>97192</v>
      </c>
      <c r="H150" s="14">
        <f t="shared" si="6"/>
        <v>200.39</v>
      </c>
    </row>
    <row r="151" spans="1:8" ht="41.4">
      <c r="A151" s="502" t="s">
        <v>2941</v>
      </c>
      <c r="B151" s="504" t="s">
        <v>11711</v>
      </c>
      <c r="C151" s="502" t="s">
        <v>75</v>
      </c>
      <c r="D151" s="503" t="s">
        <v>30534</v>
      </c>
      <c r="F151" t="str">
        <f t="shared" si="5"/>
        <v>90694</v>
      </c>
      <c r="H151" s="14">
        <f t="shared" si="6"/>
        <v>77.75</v>
      </c>
    </row>
    <row r="152" spans="1:8" ht="41.4">
      <c r="A152" s="502" t="s">
        <v>2942</v>
      </c>
      <c r="B152" s="504" t="s">
        <v>11712</v>
      </c>
      <c r="C152" s="502" t="s">
        <v>75</v>
      </c>
      <c r="D152" s="503" t="s">
        <v>29823</v>
      </c>
      <c r="F152" t="str">
        <f t="shared" si="5"/>
        <v>90695</v>
      </c>
      <c r="H152" s="14">
        <f t="shared" si="6"/>
        <v>148.31</v>
      </c>
    </row>
    <row r="153" spans="1:8" ht="41.4">
      <c r="A153" s="502" t="s">
        <v>2943</v>
      </c>
      <c r="B153" s="504" t="s">
        <v>11713</v>
      </c>
      <c r="C153" s="502" t="s">
        <v>75</v>
      </c>
      <c r="D153" s="503" t="s">
        <v>15214</v>
      </c>
      <c r="F153" t="str">
        <f t="shared" si="5"/>
        <v>90696</v>
      </c>
      <c r="H153" s="14">
        <f t="shared" si="6"/>
        <v>248.23</v>
      </c>
    </row>
    <row r="154" spans="1:8" ht="41.4">
      <c r="A154" s="502" t="s">
        <v>2944</v>
      </c>
      <c r="B154" s="504" t="s">
        <v>11714</v>
      </c>
      <c r="C154" s="502" t="s">
        <v>75</v>
      </c>
      <c r="D154" s="503" t="s">
        <v>30535</v>
      </c>
      <c r="F154" t="str">
        <f t="shared" si="5"/>
        <v>90697</v>
      </c>
      <c r="H154" s="14">
        <f t="shared" si="6"/>
        <v>385.59</v>
      </c>
    </row>
    <row r="155" spans="1:8" ht="41.4">
      <c r="A155" s="502" t="s">
        <v>2945</v>
      </c>
      <c r="B155" s="504" t="s">
        <v>11715</v>
      </c>
      <c r="C155" s="502" t="s">
        <v>75</v>
      </c>
      <c r="D155" s="503" t="s">
        <v>30536</v>
      </c>
      <c r="F155" t="str">
        <f t="shared" si="5"/>
        <v>90698</v>
      </c>
      <c r="H155" s="14">
        <f t="shared" si="6"/>
        <v>589.86</v>
      </c>
    </row>
    <row r="156" spans="1:8" ht="41.4">
      <c r="A156" s="502" t="s">
        <v>2946</v>
      </c>
      <c r="B156" s="504" t="s">
        <v>11716</v>
      </c>
      <c r="C156" s="502" t="s">
        <v>75</v>
      </c>
      <c r="D156" s="503" t="s">
        <v>30537</v>
      </c>
      <c r="F156" t="str">
        <f t="shared" si="5"/>
        <v>90699</v>
      </c>
      <c r="H156" s="14">
        <f t="shared" si="6"/>
        <v>830.64</v>
      </c>
    </row>
    <row r="157" spans="1:8" ht="41.4">
      <c r="A157" s="502" t="s">
        <v>2947</v>
      </c>
      <c r="B157" s="504" t="s">
        <v>11717</v>
      </c>
      <c r="C157" s="502" t="s">
        <v>75</v>
      </c>
      <c r="D157" s="503" t="s">
        <v>30538</v>
      </c>
      <c r="F157" t="str">
        <f t="shared" si="5"/>
        <v>90700</v>
      </c>
      <c r="H157" s="14">
        <f t="shared" si="6"/>
        <v>969.49</v>
      </c>
    </row>
    <row r="158" spans="1:8" ht="41.4">
      <c r="A158" s="502" t="s">
        <v>2948</v>
      </c>
      <c r="B158" s="504" t="s">
        <v>11718</v>
      </c>
      <c r="C158" s="502" t="s">
        <v>75</v>
      </c>
      <c r="D158" s="503" t="s">
        <v>30539</v>
      </c>
      <c r="F158" t="str">
        <f t="shared" si="5"/>
        <v>90701</v>
      </c>
      <c r="H158" s="14">
        <f t="shared" si="6"/>
        <v>115.83</v>
      </c>
    </row>
    <row r="159" spans="1:8" ht="41.4">
      <c r="A159" s="502" t="s">
        <v>2949</v>
      </c>
      <c r="B159" s="504" t="s">
        <v>11719</v>
      </c>
      <c r="C159" s="502" t="s">
        <v>75</v>
      </c>
      <c r="D159" s="503" t="s">
        <v>30540</v>
      </c>
      <c r="F159" t="str">
        <f t="shared" si="5"/>
        <v>90702</v>
      </c>
      <c r="H159" s="14">
        <f t="shared" si="6"/>
        <v>192.35</v>
      </c>
    </row>
    <row r="160" spans="1:8" ht="41.4">
      <c r="A160" s="502" t="s">
        <v>2950</v>
      </c>
      <c r="B160" s="504" t="s">
        <v>11720</v>
      </c>
      <c r="C160" s="502" t="s">
        <v>75</v>
      </c>
      <c r="D160" s="503" t="s">
        <v>30541</v>
      </c>
      <c r="F160" t="str">
        <f t="shared" si="5"/>
        <v>90703</v>
      </c>
      <c r="H160" s="14">
        <f t="shared" si="6"/>
        <v>301.38</v>
      </c>
    </row>
    <row r="161" spans="1:8" ht="41.4">
      <c r="A161" s="502" t="s">
        <v>2951</v>
      </c>
      <c r="B161" s="504" t="s">
        <v>11721</v>
      </c>
      <c r="C161" s="502" t="s">
        <v>75</v>
      </c>
      <c r="D161" s="503" t="s">
        <v>30542</v>
      </c>
      <c r="F161" t="str">
        <f t="shared" si="5"/>
        <v>90704</v>
      </c>
      <c r="H161" s="14">
        <f t="shared" si="6"/>
        <v>447.43</v>
      </c>
    </row>
    <row r="162" spans="1:8" ht="41.4">
      <c r="A162" s="502" t="s">
        <v>2952</v>
      </c>
      <c r="B162" s="504" t="s">
        <v>11722</v>
      </c>
      <c r="C162" s="502" t="s">
        <v>75</v>
      </c>
      <c r="D162" s="503" t="s">
        <v>30543</v>
      </c>
      <c r="F162" t="str">
        <f t="shared" si="5"/>
        <v>90705</v>
      </c>
      <c r="H162" s="14">
        <f t="shared" si="6"/>
        <v>586.75</v>
      </c>
    </row>
    <row r="163" spans="1:8" ht="41.4">
      <c r="A163" s="502" t="s">
        <v>2953</v>
      </c>
      <c r="B163" s="504" t="s">
        <v>11723</v>
      </c>
      <c r="C163" s="502" t="s">
        <v>75</v>
      </c>
      <c r="D163" s="503" t="s">
        <v>30544</v>
      </c>
      <c r="F163" t="str">
        <f t="shared" si="5"/>
        <v>90706</v>
      </c>
      <c r="H163" s="14">
        <f t="shared" si="6"/>
        <v>777.11</v>
      </c>
    </row>
    <row r="164" spans="1:8" ht="41.4">
      <c r="A164" s="502" t="s">
        <v>2954</v>
      </c>
      <c r="B164" s="504" t="s">
        <v>11724</v>
      </c>
      <c r="C164" s="502" t="s">
        <v>75</v>
      </c>
      <c r="D164" s="503" t="s">
        <v>30545</v>
      </c>
      <c r="F164" t="str">
        <f t="shared" si="5"/>
        <v>90708</v>
      </c>
      <c r="H164" s="14">
        <f t="shared" si="6"/>
        <v>1159.83</v>
      </c>
    </row>
    <row r="165" spans="1:8" ht="41.4">
      <c r="A165" s="502" t="s">
        <v>2955</v>
      </c>
      <c r="B165" s="504" t="s">
        <v>11725</v>
      </c>
      <c r="C165" s="502" t="s">
        <v>114</v>
      </c>
      <c r="D165" s="503" t="s">
        <v>30546</v>
      </c>
      <c r="F165" t="str">
        <f t="shared" si="5"/>
        <v>90724</v>
      </c>
      <c r="H165" s="14">
        <f t="shared" si="6"/>
        <v>36.229999999999997</v>
      </c>
    </row>
    <row r="166" spans="1:8" ht="41.4">
      <c r="A166" s="502" t="s">
        <v>2956</v>
      </c>
      <c r="B166" s="504" t="s">
        <v>11726</v>
      </c>
      <c r="C166" s="502" t="s">
        <v>114</v>
      </c>
      <c r="D166" s="503" t="s">
        <v>10253</v>
      </c>
      <c r="F166" t="str">
        <f t="shared" si="5"/>
        <v>90725</v>
      </c>
      <c r="H166" s="14">
        <f t="shared" si="6"/>
        <v>44.53</v>
      </c>
    </row>
    <row r="167" spans="1:8" ht="41.4">
      <c r="A167" s="502" t="s">
        <v>2957</v>
      </c>
      <c r="B167" s="504" t="s">
        <v>11727</v>
      </c>
      <c r="C167" s="502" t="s">
        <v>114</v>
      </c>
      <c r="D167" s="503" t="s">
        <v>30547</v>
      </c>
      <c r="F167" t="str">
        <f t="shared" si="5"/>
        <v>90726</v>
      </c>
      <c r="H167" s="14">
        <f t="shared" si="6"/>
        <v>52.91</v>
      </c>
    </row>
    <row r="168" spans="1:8" ht="41.4">
      <c r="A168" s="502" t="s">
        <v>2958</v>
      </c>
      <c r="B168" s="504" t="s">
        <v>11728</v>
      </c>
      <c r="C168" s="502" t="s">
        <v>114</v>
      </c>
      <c r="D168" s="503" t="s">
        <v>16477</v>
      </c>
      <c r="F168" t="str">
        <f t="shared" si="5"/>
        <v>90727</v>
      </c>
      <c r="H168" s="14">
        <f t="shared" si="6"/>
        <v>61.22</v>
      </c>
    </row>
    <row r="169" spans="1:8" ht="41.4">
      <c r="A169" s="502" t="s">
        <v>2959</v>
      </c>
      <c r="B169" s="504" t="s">
        <v>11729</v>
      </c>
      <c r="C169" s="502" t="s">
        <v>114</v>
      </c>
      <c r="D169" s="503" t="s">
        <v>30548</v>
      </c>
      <c r="F169" t="str">
        <f t="shared" si="5"/>
        <v>90728</v>
      </c>
      <c r="H169" s="14">
        <f t="shared" si="6"/>
        <v>69.52</v>
      </c>
    </row>
    <row r="170" spans="1:8" ht="41.4">
      <c r="A170" s="502" t="s">
        <v>2960</v>
      </c>
      <c r="B170" s="504" t="s">
        <v>11730</v>
      </c>
      <c r="C170" s="502" t="s">
        <v>114</v>
      </c>
      <c r="D170" s="503" t="s">
        <v>18778</v>
      </c>
      <c r="F170" t="str">
        <f t="shared" si="5"/>
        <v>90729</v>
      </c>
      <c r="H170" s="14">
        <f t="shared" si="6"/>
        <v>77.819999999999993</v>
      </c>
    </row>
    <row r="171" spans="1:8" ht="41.4">
      <c r="A171" s="502" t="s">
        <v>2961</v>
      </c>
      <c r="B171" s="504" t="s">
        <v>11731</v>
      </c>
      <c r="C171" s="502" t="s">
        <v>114</v>
      </c>
      <c r="D171" s="503" t="s">
        <v>30549</v>
      </c>
      <c r="F171" t="str">
        <f t="shared" si="5"/>
        <v>90730</v>
      </c>
      <c r="H171" s="14">
        <f t="shared" si="6"/>
        <v>86.13</v>
      </c>
    </row>
    <row r="172" spans="1:8" ht="41.4">
      <c r="A172" s="502" t="s">
        <v>2962</v>
      </c>
      <c r="B172" s="504" t="s">
        <v>11732</v>
      </c>
      <c r="C172" s="502" t="s">
        <v>114</v>
      </c>
      <c r="D172" s="503" t="s">
        <v>30550</v>
      </c>
      <c r="F172" t="str">
        <f t="shared" si="5"/>
        <v>90731</v>
      </c>
      <c r="H172" s="14">
        <f t="shared" si="6"/>
        <v>94.42</v>
      </c>
    </row>
    <row r="173" spans="1:8" ht="41.4">
      <c r="A173" s="502" t="s">
        <v>2963</v>
      </c>
      <c r="B173" s="504" t="s">
        <v>11733</v>
      </c>
      <c r="C173" s="502" t="s">
        <v>114</v>
      </c>
      <c r="D173" s="503" t="s">
        <v>30551</v>
      </c>
      <c r="F173" t="str">
        <f t="shared" si="5"/>
        <v>90732</v>
      </c>
      <c r="H173" s="14">
        <f t="shared" si="6"/>
        <v>119.33</v>
      </c>
    </row>
    <row r="174" spans="1:8" ht="41.4">
      <c r="A174" s="502" t="s">
        <v>2964</v>
      </c>
      <c r="B174" s="504" t="s">
        <v>11734</v>
      </c>
      <c r="C174" s="502" t="s">
        <v>75</v>
      </c>
      <c r="D174" s="503" t="s">
        <v>20235</v>
      </c>
      <c r="F174" t="str">
        <f t="shared" si="5"/>
        <v>90733</v>
      </c>
      <c r="H174" s="14">
        <f t="shared" si="6"/>
        <v>5.13</v>
      </c>
    </row>
    <row r="175" spans="1:8" ht="41.4">
      <c r="A175" s="502" t="s">
        <v>2966</v>
      </c>
      <c r="B175" s="504" t="s">
        <v>11735</v>
      </c>
      <c r="C175" s="502" t="s">
        <v>75</v>
      </c>
      <c r="D175" s="503" t="s">
        <v>30552</v>
      </c>
      <c r="F175" t="str">
        <f t="shared" si="5"/>
        <v>90734</v>
      </c>
      <c r="H175" s="14">
        <f t="shared" si="6"/>
        <v>6.09</v>
      </c>
    </row>
    <row r="176" spans="1:8" ht="41.4">
      <c r="A176" s="502" t="s">
        <v>2967</v>
      </c>
      <c r="B176" s="504" t="s">
        <v>11736</v>
      </c>
      <c r="C176" s="502" t="s">
        <v>75</v>
      </c>
      <c r="D176" s="503" t="s">
        <v>7353</v>
      </c>
      <c r="F176" t="str">
        <f t="shared" si="5"/>
        <v>90735</v>
      </c>
      <c r="H176" s="14">
        <f t="shared" si="6"/>
        <v>7.02</v>
      </c>
    </row>
    <row r="177" spans="1:8" ht="41.4">
      <c r="A177" s="502" t="s">
        <v>2968</v>
      </c>
      <c r="B177" s="504" t="s">
        <v>11737</v>
      </c>
      <c r="C177" s="502" t="s">
        <v>75</v>
      </c>
      <c r="D177" s="503" t="s">
        <v>10762</v>
      </c>
      <c r="F177" t="str">
        <f t="shared" si="5"/>
        <v>90736</v>
      </c>
      <c r="H177" s="14">
        <f t="shared" si="6"/>
        <v>7.98</v>
      </c>
    </row>
    <row r="178" spans="1:8" ht="41.4">
      <c r="A178" s="502" t="s">
        <v>2969</v>
      </c>
      <c r="B178" s="504" t="s">
        <v>11738</v>
      </c>
      <c r="C178" s="502" t="s">
        <v>75</v>
      </c>
      <c r="D178" s="503" t="s">
        <v>24586</v>
      </c>
      <c r="F178" t="str">
        <f t="shared" si="5"/>
        <v>90737</v>
      </c>
      <c r="H178" s="14">
        <f t="shared" si="6"/>
        <v>8.93</v>
      </c>
    </row>
    <row r="179" spans="1:8" ht="41.4">
      <c r="A179" s="502" t="s">
        <v>2971</v>
      </c>
      <c r="B179" s="504" t="s">
        <v>11739</v>
      </c>
      <c r="C179" s="502" t="s">
        <v>75</v>
      </c>
      <c r="D179" s="503" t="s">
        <v>16162</v>
      </c>
      <c r="F179" t="str">
        <f t="shared" si="5"/>
        <v>90738</v>
      </c>
      <c r="H179" s="14">
        <f t="shared" si="6"/>
        <v>9.8699999999999992</v>
      </c>
    </row>
    <row r="180" spans="1:8" ht="41.4">
      <c r="A180" s="502" t="s">
        <v>2973</v>
      </c>
      <c r="B180" s="504" t="s">
        <v>11740</v>
      </c>
      <c r="C180" s="502" t="s">
        <v>75</v>
      </c>
      <c r="D180" s="503" t="s">
        <v>13907</v>
      </c>
      <c r="F180" t="str">
        <f t="shared" si="5"/>
        <v>90739</v>
      </c>
      <c r="H180" s="14">
        <f t="shared" si="6"/>
        <v>13.63</v>
      </c>
    </row>
    <row r="181" spans="1:8" ht="55.2">
      <c r="A181" s="502" t="s">
        <v>2974</v>
      </c>
      <c r="B181" s="504" t="s">
        <v>11741</v>
      </c>
      <c r="C181" s="502" t="s">
        <v>75</v>
      </c>
      <c r="D181" s="503" t="s">
        <v>4599</v>
      </c>
      <c r="F181" t="str">
        <f t="shared" si="5"/>
        <v>90740</v>
      </c>
      <c r="H181" s="14">
        <f t="shared" si="6"/>
        <v>6.77</v>
      </c>
    </row>
    <row r="182" spans="1:8" ht="55.2">
      <c r="A182" s="502" t="s">
        <v>2976</v>
      </c>
      <c r="B182" s="504" t="s">
        <v>11742</v>
      </c>
      <c r="C182" s="502" t="s">
        <v>75</v>
      </c>
      <c r="D182" s="503" t="s">
        <v>30553</v>
      </c>
      <c r="F182" t="str">
        <f t="shared" si="5"/>
        <v>90741</v>
      </c>
      <c r="H182" s="14">
        <f t="shared" si="6"/>
        <v>7.72</v>
      </c>
    </row>
    <row r="183" spans="1:8" ht="55.2">
      <c r="A183" s="502" t="s">
        <v>2978</v>
      </c>
      <c r="B183" s="504" t="s">
        <v>11743</v>
      </c>
      <c r="C183" s="502" t="s">
        <v>75</v>
      </c>
      <c r="D183" s="503" t="s">
        <v>7287</v>
      </c>
      <c r="F183" t="str">
        <f t="shared" si="5"/>
        <v>90742</v>
      </c>
      <c r="H183" s="14">
        <f t="shared" si="6"/>
        <v>8.69</v>
      </c>
    </row>
    <row r="184" spans="1:8" ht="55.2">
      <c r="A184" s="502" t="s">
        <v>2979</v>
      </c>
      <c r="B184" s="504" t="s">
        <v>11744</v>
      </c>
      <c r="C184" s="502" t="s">
        <v>75</v>
      </c>
      <c r="D184" s="503" t="s">
        <v>30554</v>
      </c>
      <c r="F184" t="str">
        <f t="shared" si="5"/>
        <v>90743</v>
      </c>
      <c r="H184" s="14">
        <f t="shared" si="6"/>
        <v>9.6300000000000008</v>
      </c>
    </row>
    <row r="185" spans="1:8" ht="55.2">
      <c r="A185" s="502" t="s">
        <v>2980</v>
      </c>
      <c r="B185" s="504" t="s">
        <v>11745</v>
      </c>
      <c r="C185" s="502" t="s">
        <v>75</v>
      </c>
      <c r="D185" s="503" t="s">
        <v>30555</v>
      </c>
      <c r="F185" t="str">
        <f t="shared" si="5"/>
        <v>90744</v>
      </c>
      <c r="H185" s="14">
        <f t="shared" si="6"/>
        <v>10.58</v>
      </c>
    </row>
    <row r="186" spans="1:8" ht="55.2">
      <c r="A186" s="502" t="s">
        <v>2981</v>
      </c>
      <c r="B186" s="504" t="s">
        <v>11746</v>
      </c>
      <c r="C186" s="502" t="s">
        <v>75</v>
      </c>
      <c r="D186" s="503" t="s">
        <v>16876</v>
      </c>
      <c r="F186" t="str">
        <f t="shared" si="5"/>
        <v>90745</v>
      </c>
      <c r="H186" s="14">
        <f t="shared" si="6"/>
        <v>15.2</v>
      </c>
    </row>
    <row r="187" spans="1:8" ht="55.2">
      <c r="A187" s="502" t="s">
        <v>2982</v>
      </c>
      <c r="B187" s="504" t="s">
        <v>11747</v>
      </c>
      <c r="C187" s="502" t="s">
        <v>75</v>
      </c>
      <c r="D187" s="503" t="s">
        <v>10194</v>
      </c>
      <c r="F187" t="str">
        <f t="shared" si="5"/>
        <v>90746</v>
      </c>
      <c r="H187" s="14">
        <f t="shared" si="6"/>
        <v>5.56</v>
      </c>
    </row>
    <row r="188" spans="1:8" ht="55.2">
      <c r="A188" s="502" t="s">
        <v>2983</v>
      </c>
      <c r="B188" s="504" t="s">
        <v>11748</v>
      </c>
      <c r="C188" s="502" t="s">
        <v>75</v>
      </c>
      <c r="D188" s="503" t="s">
        <v>30556</v>
      </c>
      <c r="F188" t="str">
        <f t="shared" si="5"/>
        <v>90747</v>
      </c>
      <c r="H188" s="14">
        <f t="shared" si="6"/>
        <v>24.61</v>
      </c>
    </row>
    <row r="189" spans="1:8" ht="41.4">
      <c r="A189" s="502" t="s">
        <v>2988</v>
      </c>
      <c r="B189" s="504" t="s">
        <v>11749</v>
      </c>
      <c r="C189" s="502" t="s">
        <v>75</v>
      </c>
      <c r="D189" s="503" t="s">
        <v>30557</v>
      </c>
      <c r="F189" t="str">
        <f t="shared" si="5"/>
        <v>94869</v>
      </c>
      <c r="H189" s="14">
        <f t="shared" si="6"/>
        <v>204.58</v>
      </c>
    </row>
    <row r="190" spans="1:8" ht="55.2">
      <c r="A190" s="502" t="s">
        <v>2989</v>
      </c>
      <c r="B190" s="504" t="s">
        <v>11750</v>
      </c>
      <c r="C190" s="502" t="s">
        <v>75</v>
      </c>
      <c r="D190" s="503" t="s">
        <v>30558</v>
      </c>
      <c r="F190" t="str">
        <f t="shared" si="5"/>
        <v>94870</v>
      </c>
      <c r="H190" s="14">
        <f t="shared" si="6"/>
        <v>2.77</v>
      </c>
    </row>
    <row r="191" spans="1:8" ht="41.4">
      <c r="A191" s="502" t="s">
        <v>2991</v>
      </c>
      <c r="B191" s="504" t="s">
        <v>11751</v>
      </c>
      <c r="C191" s="502" t="s">
        <v>75</v>
      </c>
      <c r="D191" s="503" t="s">
        <v>30559</v>
      </c>
      <c r="F191" t="str">
        <f t="shared" si="5"/>
        <v>94871</v>
      </c>
      <c r="H191" s="14">
        <f t="shared" si="6"/>
        <v>320.11</v>
      </c>
    </row>
    <row r="192" spans="1:8" ht="55.2">
      <c r="A192" s="502" t="s">
        <v>2992</v>
      </c>
      <c r="B192" s="504" t="s">
        <v>11752</v>
      </c>
      <c r="C192" s="502" t="s">
        <v>75</v>
      </c>
      <c r="D192" s="503" t="s">
        <v>10237</v>
      </c>
      <c r="F192" t="str">
        <f t="shared" si="5"/>
        <v>94872</v>
      </c>
      <c r="H192" s="14">
        <f t="shared" si="6"/>
        <v>3.94</v>
      </c>
    </row>
    <row r="193" spans="1:8" ht="41.4">
      <c r="A193" s="502" t="s">
        <v>2994</v>
      </c>
      <c r="B193" s="504" t="s">
        <v>11753</v>
      </c>
      <c r="C193" s="502" t="s">
        <v>75</v>
      </c>
      <c r="D193" s="503" t="s">
        <v>30560</v>
      </c>
      <c r="F193" t="str">
        <f t="shared" si="5"/>
        <v>94875</v>
      </c>
      <c r="H193" s="14">
        <f t="shared" si="6"/>
        <v>1883.42</v>
      </c>
    </row>
    <row r="194" spans="1:8" ht="55.2">
      <c r="A194" s="502" t="s">
        <v>2995</v>
      </c>
      <c r="B194" s="504" t="s">
        <v>11754</v>
      </c>
      <c r="C194" s="502" t="s">
        <v>75</v>
      </c>
      <c r="D194" s="503" t="s">
        <v>30561</v>
      </c>
      <c r="F194" t="str">
        <f t="shared" si="5"/>
        <v>94876</v>
      </c>
      <c r="H194" s="14">
        <f t="shared" si="6"/>
        <v>41.2</v>
      </c>
    </row>
    <row r="195" spans="1:8" ht="55.2">
      <c r="A195" s="502" t="s">
        <v>2996</v>
      </c>
      <c r="B195" s="504" t="s">
        <v>11755</v>
      </c>
      <c r="C195" s="502" t="s">
        <v>75</v>
      </c>
      <c r="D195" s="503" t="s">
        <v>29421</v>
      </c>
      <c r="F195" t="str">
        <f t="shared" si="5"/>
        <v>94878</v>
      </c>
      <c r="H195" s="14">
        <f t="shared" si="6"/>
        <v>47.66</v>
      </c>
    </row>
    <row r="196" spans="1:8" ht="41.4">
      <c r="A196" s="502" t="s">
        <v>2997</v>
      </c>
      <c r="B196" s="504" t="s">
        <v>11756</v>
      </c>
      <c r="C196" s="502" t="s">
        <v>75</v>
      </c>
      <c r="D196" s="503" t="s">
        <v>30562</v>
      </c>
      <c r="F196" t="str">
        <f t="shared" si="5"/>
        <v>94879</v>
      </c>
      <c r="H196" s="14">
        <f t="shared" si="6"/>
        <v>2899.32</v>
      </c>
    </row>
    <row r="197" spans="1:8" ht="55.2">
      <c r="A197" s="502" t="s">
        <v>2998</v>
      </c>
      <c r="B197" s="504" t="s">
        <v>11757</v>
      </c>
      <c r="C197" s="502" t="s">
        <v>75</v>
      </c>
      <c r="D197" s="503" t="s">
        <v>10765</v>
      </c>
      <c r="F197" t="str">
        <f t="shared" ref="F197:F260" si="7">TRIM(A197)</f>
        <v>94880</v>
      </c>
      <c r="H197" s="14">
        <f t="shared" ref="H197:H260" si="8">ROUND(D197*(1+$H$1),2)</f>
        <v>61.41</v>
      </c>
    </row>
    <row r="198" spans="1:8" ht="41.4">
      <c r="A198" s="502" t="s">
        <v>2999</v>
      </c>
      <c r="B198" s="504" t="s">
        <v>11758</v>
      </c>
      <c r="C198" s="502" t="s">
        <v>75</v>
      </c>
      <c r="D198" s="503" t="s">
        <v>30563</v>
      </c>
      <c r="F198" t="str">
        <f t="shared" si="7"/>
        <v>94881</v>
      </c>
      <c r="H198" s="14">
        <f t="shared" si="8"/>
        <v>3993.54</v>
      </c>
    </row>
    <row r="199" spans="1:8" ht="55.2">
      <c r="A199" s="502" t="s">
        <v>3000</v>
      </c>
      <c r="B199" s="504" t="s">
        <v>11759</v>
      </c>
      <c r="C199" s="502" t="s">
        <v>75</v>
      </c>
      <c r="D199" s="503" t="s">
        <v>23194</v>
      </c>
      <c r="F199" t="str">
        <f t="shared" si="7"/>
        <v>94882</v>
      </c>
      <c r="H199" s="14">
        <f t="shared" si="8"/>
        <v>71.38</v>
      </c>
    </row>
    <row r="200" spans="1:8" ht="55.2">
      <c r="A200" s="502" t="s">
        <v>3001</v>
      </c>
      <c r="B200" s="504" t="s">
        <v>11760</v>
      </c>
      <c r="C200" s="502" t="s">
        <v>75</v>
      </c>
      <c r="D200" s="503" t="s">
        <v>30564</v>
      </c>
      <c r="F200" t="str">
        <f t="shared" si="7"/>
        <v>94884</v>
      </c>
      <c r="H200" s="14">
        <f t="shared" si="8"/>
        <v>91.6</v>
      </c>
    </row>
    <row r="201" spans="1:8" ht="55.2">
      <c r="A201" s="502" t="s">
        <v>3003</v>
      </c>
      <c r="B201" s="504" t="s">
        <v>27701</v>
      </c>
      <c r="C201" s="502" t="s">
        <v>75</v>
      </c>
      <c r="D201" s="503" t="s">
        <v>10780</v>
      </c>
      <c r="F201" t="str">
        <f t="shared" si="7"/>
        <v>97121</v>
      </c>
      <c r="H201" s="14">
        <f t="shared" si="8"/>
        <v>4.5</v>
      </c>
    </row>
    <row r="202" spans="1:8" ht="55.2">
      <c r="A202" s="502" t="s">
        <v>3005</v>
      </c>
      <c r="B202" s="504" t="s">
        <v>27702</v>
      </c>
      <c r="C202" s="502" t="s">
        <v>75</v>
      </c>
      <c r="D202" s="503" t="s">
        <v>28010</v>
      </c>
      <c r="F202" t="str">
        <f t="shared" si="7"/>
        <v>97122</v>
      </c>
      <c r="H202" s="14">
        <f t="shared" si="8"/>
        <v>5.42</v>
      </c>
    </row>
    <row r="203" spans="1:8" ht="55.2">
      <c r="A203" s="502" t="s">
        <v>3006</v>
      </c>
      <c r="B203" s="504" t="s">
        <v>27703</v>
      </c>
      <c r="C203" s="502" t="s">
        <v>75</v>
      </c>
      <c r="D203" s="503" t="s">
        <v>3101</v>
      </c>
      <c r="F203" t="str">
        <f t="shared" si="7"/>
        <v>97123</v>
      </c>
      <c r="H203" s="14">
        <f t="shared" si="8"/>
        <v>6.29</v>
      </c>
    </row>
    <row r="204" spans="1:8" ht="55.2">
      <c r="A204" s="502" t="s">
        <v>3008</v>
      </c>
      <c r="B204" s="504" t="s">
        <v>27704</v>
      </c>
      <c r="C204" s="502" t="s">
        <v>75</v>
      </c>
      <c r="D204" s="503" t="s">
        <v>7268</v>
      </c>
      <c r="F204" t="str">
        <f t="shared" si="7"/>
        <v>97124</v>
      </c>
      <c r="H204" s="14">
        <f t="shared" si="8"/>
        <v>3.68</v>
      </c>
    </row>
    <row r="205" spans="1:8" ht="55.2">
      <c r="A205" s="502" t="s">
        <v>3010</v>
      </c>
      <c r="B205" s="504" t="s">
        <v>27705</v>
      </c>
      <c r="C205" s="502" t="s">
        <v>75</v>
      </c>
      <c r="D205" s="503" t="s">
        <v>30565</v>
      </c>
      <c r="F205" t="str">
        <f t="shared" si="7"/>
        <v>97125</v>
      </c>
      <c r="H205" s="14">
        <f t="shared" si="8"/>
        <v>4.45</v>
      </c>
    </row>
    <row r="206" spans="1:8" ht="55.2">
      <c r="A206" s="502" t="s">
        <v>3012</v>
      </c>
      <c r="B206" s="504" t="s">
        <v>27706</v>
      </c>
      <c r="C206" s="502" t="s">
        <v>75</v>
      </c>
      <c r="D206" s="503" t="s">
        <v>30566</v>
      </c>
      <c r="F206" t="str">
        <f t="shared" si="7"/>
        <v>97126</v>
      </c>
      <c r="H206" s="14">
        <f t="shared" si="8"/>
        <v>5.17</v>
      </c>
    </row>
    <row r="207" spans="1:8" ht="41.4">
      <c r="A207" s="502" t="s">
        <v>11762</v>
      </c>
      <c r="B207" s="504" t="s">
        <v>11763</v>
      </c>
      <c r="C207" s="502" t="s">
        <v>75</v>
      </c>
      <c r="D207" s="503" t="s">
        <v>30567</v>
      </c>
      <c r="F207" t="str">
        <f t="shared" si="7"/>
        <v>102264</v>
      </c>
      <c r="H207" s="14">
        <f t="shared" si="8"/>
        <v>33.130000000000003</v>
      </c>
    </row>
    <row r="208" spans="1:8" ht="41.4">
      <c r="A208" s="502" t="s">
        <v>11764</v>
      </c>
      <c r="B208" s="504" t="s">
        <v>11765</v>
      </c>
      <c r="C208" s="502" t="s">
        <v>114</v>
      </c>
      <c r="D208" s="503" t="s">
        <v>30568</v>
      </c>
      <c r="F208" t="str">
        <f t="shared" si="7"/>
        <v>102265</v>
      </c>
      <c r="H208" s="14">
        <f t="shared" si="8"/>
        <v>152.56</v>
      </c>
    </row>
    <row r="209" spans="1:14" ht="41.4">
      <c r="A209" s="502" t="s">
        <v>11766</v>
      </c>
      <c r="B209" s="504" t="s">
        <v>11767</v>
      </c>
      <c r="C209" s="502" t="s">
        <v>114</v>
      </c>
      <c r="D209" s="503" t="s">
        <v>30569</v>
      </c>
      <c r="F209" t="str">
        <f t="shared" si="7"/>
        <v>102266</v>
      </c>
      <c r="H209" s="14">
        <f t="shared" si="8"/>
        <v>169.17</v>
      </c>
    </row>
    <row r="210" spans="1:14" ht="41.4">
      <c r="A210" s="502" t="s">
        <v>11768</v>
      </c>
      <c r="B210" s="504" t="s">
        <v>11769</v>
      </c>
      <c r="C210" s="502" t="s">
        <v>114</v>
      </c>
      <c r="D210" s="503" t="s">
        <v>27607</v>
      </c>
      <c r="F210" t="str">
        <f t="shared" si="7"/>
        <v>102267</v>
      </c>
      <c r="H210" s="14">
        <f t="shared" si="8"/>
        <v>194.16</v>
      </c>
    </row>
    <row r="211" spans="1:14" ht="41.4">
      <c r="A211" s="502" t="s">
        <v>11770</v>
      </c>
      <c r="B211" s="504" t="s">
        <v>11771</v>
      </c>
      <c r="C211" s="502" t="s">
        <v>114</v>
      </c>
      <c r="D211" s="503" t="s">
        <v>30570</v>
      </c>
      <c r="F211" t="str">
        <f t="shared" si="7"/>
        <v>102268</v>
      </c>
      <c r="H211" s="14">
        <f t="shared" si="8"/>
        <v>219.08</v>
      </c>
    </row>
    <row r="212" spans="1:14" ht="41.4">
      <c r="A212" s="502" t="s">
        <v>11772</v>
      </c>
      <c r="B212" s="504" t="s">
        <v>11773</v>
      </c>
      <c r="C212" s="502" t="s">
        <v>114</v>
      </c>
      <c r="D212" s="503" t="s">
        <v>30571</v>
      </c>
      <c r="F212" t="str">
        <f t="shared" si="7"/>
        <v>102269</v>
      </c>
      <c r="H212" s="14">
        <f t="shared" si="8"/>
        <v>268.89999999999998</v>
      </c>
      <c r="N212" s="14"/>
    </row>
    <row r="213" spans="1:14" ht="55.2">
      <c r="A213" s="502" t="s">
        <v>27709</v>
      </c>
      <c r="B213" s="504" t="s">
        <v>27710</v>
      </c>
      <c r="C213" s="502" t="s">
        <v>114</v>
      </c>
      <c r="D213" s="503" t="s">
        <v>29300</v>
      </c>
      <c r="F213" t="str">
        <f t="shared" si="7"/>
        <v>105260</v>
      </c>
      <c r="H213" s="14">
        <f t="shared" si="8"/>
        <v>32.83</v>
      </c>
    </row>
    <row r="214" spans="1:14" ht="55.2">
      <c r="A214" s="502" t="s">
        <v>27711</v>
      </c>
      <c r="B214" s="504" t="s">
        <v>27712</v>
      </c>
      <c r="C214" s="502" t="s">
        <v>114</v>
      </c>
      <c r="D214" s="503" t="s">
        <v>6121</v>
      </c>
      <c r="F214" t="str">
        <f t="shared" si="7"/>
        <v>105285</v>
      </c>
      <c r="H214" s="14">
        <f t="shared" si="8"/>
        <v>32.01</v>
      </c>
    </row>
    <row r="215" spans="1:14" ht="69">
      <c r="A215" s="502" t="s">
        <v>27713</v>
      </c>
      <c r="B215" s="504" t="s">
        <v>27714</v>
      </c>
      <c r="C215" s="502" t="s">
        <v>114</v>
      </c>
      <c r="D215" s="503" t="s">
        <v>30572</v>
      </c>
      <c r="F215" t="str">
        <f t="shared" si="7"/>
        <v>105286</v>
      </c>
      <c r="H215" s="14">
        <f t="shared" si="8"/>
        <v>40.85</v>
      </c>
    </row>
    <row r="216" spans="1:14" ht="69">
      <c r="A216" s="502" t="s">
        <v>27715</v>
      </c>
      <c r="B216" s="504" t="s">
        <v>27716</v>
      </c>
      <c r="C216" s="502" t="s">
        <v>114</v>
      </c>
      <c r="D216" s="503" t="s">
        <v>30573</v>
      </c>
      <c r="F216" t="str">
        <f t="shared" si="7"/>
        <v>105287</v>
      </c>
      <c r="H216" s="14">
        <f t="shared" si="8"/>
        <v>37.51</v>
      </c>
    </row>
    <row r="217" spans="1:14" ht="69">
      <c r="A217" s="502" t="s">
        <v>27717</v>
      </c>
      <c r="B217" s="504" t="s">
        <v>27718</v>
      </c>
      <c r="C217" s="502" t="s">
        <v>114</v>
      </c>
      <c r="D217" s="503" t="s">
        <v>26159</v>
      </c>
      <c r="F217" t="str">
        <f t="shared" si="7"/>
        <v>105288</v>
      </c>
      <c r="H217" s="14">
        <f t="shared" si="8"/>
        <v>65.41</v>
      </c>
    </row>
    <row r="218" spans="1:14" ht="69">
      <c r="A218" s="502" t="s">
        <v>27719</v>
      </c>
      <c r="B218" s="504" t="s">
        <v>27720</v>
      </c>
      <c r="C218" s="502" t="s">
        <v>114</v>
      </c>
      <c r="D218" s="503" t="s">
        <v>30574</v>
      </c>
      <c r="F218" t="str">
        <f t="shared" si="7"/>
        <v>105289</v>
      </c>
      <c r="H218" s="14">
        <f t="shared" si="8"/>
        <v>61.47</v>
      </c>
    </row>
    <row r="219" spans="1:14" ht="69">
      <c r="A219" s="502" t="s">
        <v>27721</v>
      </c>
      <c r="B219" s="504" t="s">
        <v>27722</v>
      </c>
      <c r="C219" s="502" t="s">
        <v>114</v>
      </c>
      <c r="D219" s="503" t="s">
        <v>30575</v>
      </c>
      <c r="F219" t="str">
        <f t="shared" si="7"/>
        <v>105290</v>
      </c>
      <c r="H219" s="14">
        <f t="shared" si="8"/>
        <v>87.08</v>
      </c>
    </row>
    <row r="220" spans="1:14" ht="69">
      <c r="A220" s="502" t="s">
        <v>27723</v>
      </c>
      <c r="B220" s="504" t="s">
        <v>27724</v>
      </c>
      <c r="C220" s="502" t="s">
        <v>114</v>
      </c>
      <c r="D220" s="503" t="s">
        <v>30576</v>
      </c>
      <c r="F220" t="str">
        <f t="shared" si="7"/>
        <v>105291</v>
      </c>
      <c r="H220" s="14">
        <f t="shared" si="8"/>
        <v>82.55</v>
      </c>
    </row>
    <row r="221" spans="1:14" ht="69">
      <c r="A221" s="502" t="s">
        <v>27725</v>
      </c>
      <c r="B221" s="504" t="s">
        <v>27726</v>
      </c>
      <c r="C221" s="502" t="s">
        <v>114</v>
      </c>
      <c r="D221" s="503" t="s">
        <v>30577</v>
      </c>
      <c r="F221" t="str">
        <f t="shared" si="7"/>
        <v>105292</v>
      </c>
      <c r="H221" s="14">
        <f t="shared" si="8"/>
        <v>67.36</v>
      </c>
    </row>
    <row r="222" spans="1:14" ht="69">
      <c r="A222" s="502" t="s">
        <v>27727</v>
      </c>
      <c r="B222" s="504" t="s">
        <v>27728</v>
      </c>
      <c r="C222" s="502" t="s">
        <v>114</v>
      </c>
      <c r="D222" s="503" t="s">
        <v>30578</v>
      </c>
      <c r="F222" t="str">
        <f t="shared" si="7"/>
        <v>105293</v>
      </c>
      <c r="H222" s="14">
        <f t="shared" si="8"/>
        <v>62.36</v>
      </c>
    </row>
    <row r="223" spans="1:14" ht="69">
      <c r="A223" s="502" t="s">
        <v>27730</v>
      </c>
      <c r="B223" s="504" t="s">
        <v>27731</v>
      </c>
      <c r="C223" s="502" t="s">
        <v>114</v>
      </c>
      <c r="D223" s="503" t="s">
        <v>30579</v>
      </c>
      <c r="F223" t="str">
        <f t="shared" si="7"/>
        <v>105294</v>
      </c>
      <c r="H223" s="14">
        <f t="shared" si="8"/>
        <v>131.44</v>
      </c>
    </row>
    <row r="224" spans="1:14" ht="69">
      <c r="A224" s="502" t="s">
        <v>27733</v>
      </c>
      <c r="B224" s="504" t="s">
        <v>27734</v>
      </c>
      <c r="C224" s="502" t="s">
        <v>114</v>
      </c>
      <c r="D224" s="503" t="s">
        <v>28534</v>
      </c>
      <c r="F224" t="str">
        <f t="shared" si="7"/>
        <v>105295</v>
      </c>
      <c r="H224" s="14">
        <f t="shared" si="8"/>
        <v>125.52</v>
      </c>
    </row>
    <row r="225" spans="1:8" ht="69">
      <c r="A225" s="502" t="s">
        <v>27735</v>
      </c>
      <c r="B225" s="504" t="s">
        <v>27736</v>
      </c>
      <c r="C225" s="502" t="s">
        <v>114</v>
      </c>
      <c r="D225" s="503" t="s">
        <v>30580</v>
      </c>
      <c r="F225" t="str">
        <f t="shared" si="7"/>
        <v>105296</v>
      </c>
      <c r="H225" s="14">
        <f t="shared" si="8"/>
        <v>221.05</v>
      </c>
    </row>
    <row r="226" spans="1:8" ht="55.2">
      <c r="A226" s="502" t="s">
        <v>27737</v>
      </c>
      <c r="B226" s="504" t="s">
        <v>27738</v>
      </c>
      <c r="C226" s="502" t="s">
        <v>75</v>
      </c>
      <c r="D226" s="503" t="s">
        <v>6052</v>
      </c>
      <c r="F226" t="str">
        <f t="shared" si="7"/>
        <v>105308</v>
      </c>
      <c r="H226" s="14">
        <f t="shared" si="8"/>
        <v>7.25</v>
      </c>
    </row>
    <row r="227" spans="1:8" ht="55.2">
      <c r="A227" s="502" t="s">
        <v>27739</v>
      </c>
      <c r="B227" s="504" t="s">
        <v>27740</v>
      </c>
      <c r="C227" s="502" t="s">
        <v>75</v>
      </c>
      <c r="D227" s="503" t="s">
        <v>30581</v>
      </c>
      <c r="F227" t="str">
        <f t="shared" si="7"/>
        <v>105309</v>
      </c>
      <c r="H227" s="14">
        <f t="shared" si="8"/>
        <v>7.81</v>
      </c>
    </row>
    <row r="228" spans="1:8" ht="55.2">
      <c r="A228" s="502" t="s">
        <v>27742</v>
      </c>
      <c r="B228" s="504" t="s">
        <v>27743</v>
      </c>
      <c r="C228" s="502" t="s">
        <v>75</v>
      </c>
      <c r="D228" s="503" t="s">
        <v>7310</v>
      </c>
      <c r="F228" t="str">
        <f t="shared" si="7"/>
        <v>105310</v>
      </c>
      <c r="H228" s="14">
        <f t="shared" si="8"/>
        <v>9.19</v>
      </c>
    </row>
    <row r="229" spans="1:8" ht="69">
      <c r="A229" s="502" t="s">
        <v>27744</v>
      </c>
      <c r="B229" s="504" t="s">
        <v>27745</v>
      </c>
      <c r="C229" s="502" t="s">
        <v>75</v>
      </c>
      <c r="D229" s="503" t="s">
        <v>30582</v>
      </c>
      <c r="F229" t="str">
        <f t="shared" si="7"/>
        <v>105311</v>
      </c>
      <c r="H229" s="14">
        <f t="shared" si="8"/>
        <v>5.85</v>
      </c>
    </row>
    <row r="230" spans="1:8" ht="55.2">
      <c r="A230" s="502" t="s">
        <v>27746</v>
      </c>
      <c r="B230" s="504" t="s">
        <v>27747</v>
      </c>
      <c r="C230" s="502" t="s">
        <v>75</v>
      </c>
      <c r="D230" s="503" t="s">
        <v>28193</v>
      </c>
      <c r="F230" t="str">
        <f t="shared" si="7"/>
        <v>105312</v>
      </c>
      <c r="H230" s="14">
        <f t="shared" si="8"/>
        <v>5.98</v>
      </c>
    </row>
    <row r="231" spans="1:8" ht="55.2">
      <c r="A231" s="502" t="s">
        <v>27748</v>
      </c>
      <c r="B231" s="504" t="s">
        <v>27749</v>
      </c>
      <c r="C231" s="502" t="s">
        <v>75</v>
      </c>
      <c r="D231" s="503" t="s">
        <v>7231</v>
      </c>
      <c r="F231" t="str">
        <f t="shared" si="7"/>
        <v>105313</v>
      </c>
      <c r="H231" s="14">
        <f t="shared" si="8"/>
        <v>6.44</v>
      </c>
    </row>
    <row r="232" spans="1:8" ht="55.2">
      <c r="A232" s="502" t="s">
        <v>27750</v>
      </c>
      <c r="B232" s="504" t="s">
        <v>27751</v>
      </c>
      <c r="C232" s="502" t="s">
        <v>75</v>
      </c>
      <c r="D232" s="503" t="s">
        <v>29763</v>
      </c>
      <c r="F232" t="str">
        <f t="shared" si="7"/>
        <v>105314</v>
      </c>
      <c r="H232" s="14">
        <f t="shared" si="8"/>
        <v>7.6</v>
      </c>
    </row>
    <row r="233" spans="1:8" ht="69">
      <c r="A233" s="502" t="s">
        <v>27753</v>
      </c>
      <c r="B233" s="504" t="s">
        <v>27754</v>
      </c>
      <c r="C233" s="502" t="s">
        <v>114</v>
      </c>
      <c r="D233" s="503" t="s">
        <v>18447</v>
      </c>
      <c r="F233" t="str">
        <f t="shared" si="7"/>
        <v>105315</v>
      </c>
      <c r="H233" s="14">
        <f t="shared" si="8"/>
        <v>15.27</v>
      </c>
    </row>
    <row r="234" spans="1:8" ht="69">
      <c r="A234" s="502" t="s">
        <v>27755</v>
      </c>
      <c r="B234" s="504" t="s">
        <v>27756</v>
      </c>
      <c r="C234" s="502" t="s">
        <v>114</v>
      </c>
      <c r="D234" s="503" t="s">
        <v>27983</v>
      </c>
      <c r="F234" t="str">
        <f t="shared" si="7"/>
        <v>105316</v>
      </c>
      <c r="H234" s="14">
        <f t="shared" si="8"/>
        <v>28.98</v>
      </c>
    </row>
    <row r="235" spans="1:8" ht="55.2">
      <c r="A235" s="502" t="s">
        <v>27757</v>
      </c>
      <c r="B235" s="504" t="s">
        <v>27758</v>
      </c>
      <c r="C235" s="502" t="s">
        <v>114</v>
      </c>
      <c r="D235" s="503" t="s">
        <v>10173</v>
      </c>
      <c r="F235" t="str">
        <f t="shared" si="7"/>
        <v>105327</v>
      </c>
      <c r="H235" s="14">
        <f t="shared" si="8"/>
        <v>61.08</v>
      </c>
    </row>
    <row r="236" spans="1:8" ht="55.2">
      <c r="A236" s="502" t="s">
        <v>27759</v>
      </c>
      <c r="B236" s="504" t="s">
        <v>27760</v>
      </c>
      <c r="C236" s="502" t="s">
        <v>114</v>
      </c>
      <c r="D236" s="503" t="s">
        <v>30583</v>
      </c>
      <c r="F236" t="str">
        <f t="shared" si="7"/>
        <v>105328</v>
      </c>
      <c r="H236" s="14">
        <f t="shared" si="8"/>
        <v>60.11</v>
      </c>
    </row>
    <row r="237" spans="1:8" ht="55.2">
      <c r="A237" s="502" t="s">
        <v>27761</v>
      </c>
      <c r="B237" s="504" t="s">
        <v>27762</v>
      </c>
      <c r="C237" s="502" t="s">
        <v>114</v>
      </c>
      <c r="D237" s="503" t="s">
        <v>18207</v>
      </c>
      <c r="F237" t="str">
        <f t="shared" si="7"/>
        <v>105329</v>
      </c>
      <c r="H237" s="14">
        <f t="shared" si="8"/>
        <v>99.3</v>
      </c>
    </row>
    <row r="238" spans="1:8" ht="55.2">
      <c r="A238" s="502" t="s">
        <v>27763</v>
      </c>
      <c r="B238" s="504" t="s">
        <v>27764</v>
      </c>
      <c r="C238" s="502" t="s">
        <v>114</v>
      </c>
      <c r="D238" s="503" t="s">
        <v>30584</v>
      </c>
      <c r="F238" t="str">
        <f t="shared" si="7"/>
        <v>105330</v>
      </c>
      <c r="H238" s="14">
        <f t="shared" si="8"/>
        <v>98.18</v>
      </c>
    </row>
    <row r="239" spans="1:8" ht="69">
      <c r="A239" s="502" t="s">
        <v>27765</v>
      </c>
      <c r="B239" s="504" t="s">
        <v>27766</v>
      </c>
      <c r="C239" s="502" t="s">
        <v>75</v>
      </c>
      <c r="D239" s="503" t="s">
        <v>30585</v>
      </c>
      <c r="F239" t="str">
        <f t="shared" si="7"/>
        <v>105331</v>
      </c>
      <c r="H239" s="14">
        <f t="shared" si="8"/>
        <v>70.540000000000006</v>
      </c>
    </row>
    <row r="240" spans="1:8" ht="69">
      <c r="A240" s="502" t="s">
        <v>27767</v>
      </c>
      <c r="B240" s="504" t="s">
        <v>27768</v>
      </c>
      <c r="C240" s="502" t="s">
        <v>75</v>
      </c>
      <c r="D240" s="503" t="s">
        <v>30586</v>
      </c>
      <c r="F240" t="str">
        <f t="shared" si="7"/>
        <v>105332</v>
      </c>
      <c r="H240" s="14">
        <f t="shared" si="8"/>
        <v>69.489999999999995</v>
      </c>
    </row>
    <row r="241" spans="1:8" ht="55.2">
      <c r="A241" s="502" t="s">
        <v>27769</v>
      </c>
      <c r="B241" s="504" t="s">
        <v>27770</v>
      </c>
      <c r="C241" s="502" t="s">
        <v>75</v>
      </c>
      <c r="D241" s="503" t="s">
        <v>30587</v>
      </c>
      <c r="F241" t="str">
        <f t="shared" si="7"/>
        <v>105333</v>
      </c>
      <c r="H241" s="14">
        <f t="shared" si="8"/>
        <v>309.89999999999998</v>
      </c>
    </row>
    <row r="242" spans="1:8" ht="55.2">
      <c r="A242" s="502" t="s">
        <v>27771</v>
      </c>
      <c r="B242" s="504" t="s">
        <v>27772</v>
      </c>
      <c r="C242" s="502" t="s">
        <v>75</v>
      </c>
      <c r="D242" s="503" t="s">
        <v>30588</v>
      </c>
      <c r="F242" t="str">
        <f t="shared" si="7"/>
        <v>105334</v>
      </c>
      <c r="H242" s="14">
        <f t="shared" si="8"/>
        <v>306.39999999999998</v>
      </c>
    </row>
    <row r="243" spans="1:8" ht="55.2">
      <c r="A243" s="502" t="s">
        <v>27773</v>
      </c>
      <c r="B243" s="504" t="s">
        <v>27774</v>
      </c>
      <c r="C243" s="502" t="s">
        <v>75</v>
      </c>
      <c r="D243" s="503" t="s">
        <v>30589</v>
      </c>
      <c r="F243" t="str">
        <f t="shared" si="7"/>
        <v>105335</v>
      </c>
      <c r="H243" s="14">
        <f t="shared" si="8"/>
        <v>466.79</v>
      </c>
    </row>
    <row r="244" spans="1:8" ht="55.2">
      <c r="A244" s="502" t="s">
        <v>27775</v>
      </c>
      <c r="B244" s="504" t="s">
        <v>27776</v>
      </c>
      <c r="C244" s="502" t="s">
        <v>75</v>
      </c>
      <c r="D244" s="503" t="s">
        <v>30590</v>
      </c>
      <c r="F244" t="str">
        <f t="shared" si="7"/>
        <v>105336</v>
      </c>
      <c r="H244" s="14">
        <f t="shared" si="8"/>
        <v>462.64</v>
      </c>
    </row>
    <row r="245" spans="1:8" ht="55.2">
      <c r="A245" s="502" t="s">
        <v>27777</v>
      </c>
      <c r="B245" s="504" t="s">
        <v>27778</v>
      </c>
      <c r="C245" s="502" t="s">
        <v>75</v>
      </c>
      <c r="D245" s="503" t="s">
        <v>30591</v>
      </c>
      <c r="F245" t="str">
        <f t="shared" si="7"/>
        <v>105337</v>
      </c>
      <c r="H245" s="14">
        <f t="shared" si="8"/>
        <v>658.22</v>
      </c>
    </row>
    <row r="246" spans="1:8" ht="55.2">
      <c r="A246" s="502" t="s">
        <v>27779</v>
      </c>
      <c r="B246" s="504" t="s">
        <v>27780</v>
      </c>
      <c r="C246" s="502" t="s">
        <v>75</v>
      </c>
      <c r="D246" s="503" t="s">
        <v>30592</v>
      </c>
      <c r="F246" t="str">
        <f t="shared" si="7"/>
        <v>105338</v>
      </c>
      <c r="H246" s="14">
        <f t="shared" si="8"/>
        <v>653.42999999999995</v>
      </c>
    </row>
    <row r="247" spans="1:8" ht="69">
      <c r="A247" s="502" t="s">
        <v>27781</v>
      </c>
      <c r="B247" s="504" t="s">
        <v>27782</v>
      </c>
      <c r="C247" s="502" t="s">
        <v>75</v>
      </c>
      <c r="D247" s="503" t="s">
        <v>23983</v>
      </c>
      <c r="F247" t="str">
        <f t="shared" si="7"/>
        <v>105339</v>
      </c>
      <c r="H247" s="14">
        <f t="shared" si="8"/>
        <v>4.8</v>
      </c>
    </row>
    <row r="248" spans="1:8" ht="69">
      <c r="A248" s="502" t="s">
        <v>27783</v>
      </c>
      <c r="B248" s="504" t="s">
        <v>27784</v>
      </c>
      <c r="C248" s="502" t="s">
        <v>114</v>
      </c>
      <c r="D248" s="503" t="s">
        <v>7394</v>
      </c>
      <c r="F248" t="str">
        <f t="shared" si="7"/>
        <v>105359</v>
      </c>
      <c r="H248" s="14">
        <f t="shared" si="8"/>
        <v>18.62</v>
      </c>
    </row>
    <row r="249" spans="1:8" ht="69">
      <c r="A249" s="502" t="s">
        <v>27785</v>
      </c>
      <c r="B249" s="504" t="s">
        <v>27786</v>
      </c>
      <c r="C249" s="502" t="s">
        <v>114</v>
      </c>
      <c r="D249" s="503" t="s">
        <v>28559</v>
      </c>
      <c r="F249" t="str">
        <f t="shared" si="7"/>
        <v>105360</v>
      </c>
      <c r="H249" s="14">
        <f t="shared" si="8"/>
        <v>22.52</v>
      </c>
    </row>
    <row r="250" spans="1:8" ht="69">
      <c r="A250" s="502" t="s">
        <v>27787</v>
      </c>
      <c r="B250" s="504" t="s">
        <v>27788</v>
      </c>
      <c r="C250" s="502" t="s">
        <v>114</v>
      </c>
      <c r="D250" s="503" t="s">
        <v>16567</v>
      </c>
      <c r="F250" t="str">
        <f t="shared" si="7"/>
        <v>105361</v>
      </c>
      <c r="H250" s="14">
        <f t="shared" si="8"/>
        <v>26.2</v>
      </c>
    </row>
    <row r="251" spans="1:8" ht="69">
      <c r="A251" s="502" t="s">
        <v>27789</v>
      </c>
      <c r="B251" s="504" t="s">
        <v>27790</v>
      </c>
      <c r="C251" s="502" t="s">
        <v>114</v>
      </c>
      <c r="D251" s="503" t="s">
        <v>5113</v>
      </c>
      <c r="F251" t="str">
        <f t="shared" si="7"/>
        <v>105362</v>
      </c>
      <c r="H251" s="14">
        <f t="shared" si="8"/>
        <v>27.45</v>
      </c>
    </row>
    <row r="252" spans="1:8" ht="69">
      <c r="A252" s="502" t="s">
        <v>27791</v>
      </c>
      <c r="B252" s="504" t="s">
        <v>27792</v>
      </c>
      <c r="C252" s="502" t="s">
        <v>114</v>
      </c>
      <c r="D252" s="503" t="s">
        <v>16188</v>
      </c>
      <c r="F252" t="str">
        <f t="shared" si="7"/>
        <v>105363</v>
      </c>
      <c r="H252" s="14">
        <f t="shared" si="8"/>
        <v>32.950000000000003</v>
      </c>
    </row>
    <row r="253" spans="1:8" ht="69">
      <c r="A253" s="502" t="s">
        <v>27793</v>
      </c>
      <c r="B253" s="504" t="s">
        <v>27794</v>
      </c>
      <c r="C253" s="502" t="s">
        <v>114</v>
      </c>
      <c r="D253" s="503" t="s">
        <v>30054</v>
      </c>
      <c r="F253" t="str">
        <f t="shared" si="7"/>
        <v>105364</v>
      </c>
      <c r="H253" s="14">
        <f t="shared" si="8"/>
        <v>38.24</v>
      </c>
    </row>
    <row r="254" spans="1:8" ht="55.2">
      <c r="A254" s="502" t="s">
        <v>27795</v>
      </c>
      <c r="B254" s="504" t="s">
        <v>27796</v>
      </c>
      <c r="C254" s="502" t="s">
        <v>114</v>
      </c>
      <c r="D254" s="503" t="s">
        <v>15249</v>
      </c>
      <c r="F254" t="str">
        <f t="shared" si="7"/>
        <v>105365</v>
      </c>
      <c r="H254" s="14">
        <f t="shared" si="8"/>
        <v>37.22</v>
      </c>
    </row>
    <row r="255" spans="1:8" ht="55.2">
      <c r="A255" s="502" t="s">
        <v>27798</v>
      </c>
      <c r="B255" s="504" t="s">
        <v>27799</v>
      </c>
      <c r="C255" s="502" t="s">
        <v>114</v>
      </c>
      <c r="D255" s="503" t="s">
        <v>30593</v>
      </c>
      <c r="F255" t="str">
        <f t="shared" si="7"/>
        <v>105366</v>
      </c>
      <c r="H255" s="14">
        <f t="shared" si="8"/>
        <v>45.04</v>
      </c>
    </row>
    <row r="256" spans="1:8" ht="55.2">
      <c r="A256" s="502" t="s">
        <v>27800</v>
      </c>
      <c r="B256" s="504" t="s">
        <v>27801</v>
      </c>
      <c r="C256" s="502" t="s">
        <v>114</v>
      </c>
      <c r="D256" s="503" t="s">
        <v>30594</v>
      </c>
      <c r="F256" t="str">
        <f t="shared" si="7"/>
        <v>105367</v>
      </c>
      <c r="H256" s="14">
        <f t="shared" si="8"/>
        <v>52.41</v>
      </c>
    </row>
    <row r="257" spans="1:8" ht="55.2">
      <c r="A257" s="502" t="s">
        <v>27802</v>
      </c>
      <c r="B257" s="504" t="s">
        <v>27803</v>
      </c>
      <c r="C257" s="502" t="s">
        <v>114</v>
      </c>
      <c r="D257" s="503" t="s">
        <v>30595</v>
      </c>
      <c r="F257" t="str">
        <f t="shared" si="7"/>
        <v>105368</v>
      </c>
      <c r="H257" s="14">
        <f t="shared" si="8"/>
        <v>60.24</v>
      </c>
    </row>
    <row r="258" spans="1:8" ht="55.2">
      <c r="A258" s="502" t="s">
        <v>27804</v>
      </c>
      <c r="B258" s="504" t="s">
        <v>27805</v>
      </c>
      <c r="C258" s="502" t="s">
        <v>114</v>
      </c>
      <c r="D258" s="503" t="s">
        <v>30596</v>
      </c>
      <c r="F258" t="str">
        <f t="shared" si="7"/>
        <v>105370</v>
      </c>
      <c r="H258" s="14">
        <f t="shared" si="8"/>
        <v>95.7</v>
      </c>
    </row>
    <row r="259" spans="1:8" ht="69">
      <c r="A259" s="502" t="s">
        <v>27807</v>
      </c>
      <c r="B259" s="504" t="s">
        <v>27808</v>
      </c>
      <c r="C259" s="502" t="s">
        <v>114</v>
      </c>
      <c r="D259" s="503" t="s">
        <v>24199</v>
      </c>
      <c r="F259" t="str">
        <f t="shared" si="7"/>
        <v>105371</v>
      </c>
      <c r="H259" s="14">
        <f t="shared" si="8"/>
        <v>43.32</v>
      </c>
    </row>
    <row r="260" spans="1:8" ht="69">
      <c r="A260" s="502" t="s">
        <v>27809</v>
      </c>
      <c r="B260" s="504" t="s">
        <v>27810</v>
      </c>
      <c r="C260" s="502" t="s">
        <v>114</v>
      </c>
      <c r="D260" s="503" t="s">
        <v>16167</v>
      </c>
      <c r="F260" t="str">
        <f t="shared" si="7"/>
        <v>105372</v>
      </c>
      <c r="H260" s="14">
        <f t="shared" si="8"/>
        <v>11.95</v>
      </c>
    </row>
    <row r="261" spans="1:8" ht="69">
      <c r="A261" s="502" t="s">
        <v>27811</v>
      </c>
      <c r="B261" s="504" t="s">
        <v>27812</v>
      </c>
      <c r="C261" s="502" t="s">
        <v>114</v>
      </c>
      <c r="D261" s="503" t="s">
        <v>4394</v>
      </c>
      <c r="F261" t="str">
        <f t="shared" ref="F261:F324" si="9">TRIM(A261)</f>
        <v>105373</v>
      </c>
      <c r="H261" s="14">
        <f t="shared" ref="H261:H324" si="10">ROUND(D261*(1+$H$1),2)</f>
        <v>13.96</v>
      </c>
    </row>
    <row r="262" spans="1:8" ht="69">
      <c r="A262" s="502" t="s">
        <v>27813</v>
      </c>
      <c r="B262" s="504" t="s">
        <v>27814</v>
      </c>
      <c r="C262" s="502" t="s">
        <v>114</v>
      </c>
      <c r="D262" s="503" t="s">
        <v>23327</v>
      </c>
      <c r="F262" t="str">
        <f t="shared" si="9"/>
        <v>105374</v>
      </c>
      <c r="H262" s="14">
        <f t="shared" si="10"/>
        <v>214.24</v>
      </c>
    </row>
    <row r="263" spans="1:8" ht="69">
      <c r="A263" s="502" t="s">
        <v>27815</v>
      </c>
      <c r="B263" s="504" t="s">
        <v>27816</v>
      </c>
      <c r="C263" s="502" t="s">
        <v>114</v>
      </c>
      <c r="D263" s="503" t="s">
        <v>30597</v>
      </c>
      <c r="F263" t="str">
        <f t="shared" si="9"/>
        <v>105375</v>
      </c>
      <c r="H263" s="14">
        <f t="shared" si="10"/>
        <v>176.18</v>
      </c>
    </row>
    <row r="264" spans="1:8" ht="69">
      <c r="A264" s="502" t="s">
        <v>27817</v>
      </c>
      <c r="B264" s="504" t="s">
        <v>27818</v>
      </c>
      <c r="C264" s="502" t="s">
        <v>114</v>
      </c>
      <c r="D264" s="503" t="s">
        <v>30598</v>
      </c>
      <c r="F264" t="str">
        <f t="shared" si="9"/>
        <v>105376</v>
      </c>
      <c r="H264" s="14">
        <f t="shared" si="10"/>
        <v>167.1</v>
      </c>
    </row>
    <row r="265" spans="1:8" ht="69">
      <c r="A265" s="502" t="s">
        <v>27819</v>
      </c>
      <c r="B265" s="504" t="s">
        <v>27820</v>
      </c>
      <c r="C265" s="502" t="s">
        <v>114</v>
      </c>
      <c r="D265" s="503" t="s">
        <v>3645</v>
      </c>
      <c r="F265" t="str">
        <f t="shared" si="9"/>
        <v>105381</v>
      </c>
      <c r="H265" s="14">
        <f t="shared" si="10"/>
        <v>18.579999999999998</v>
      </c>
    </row>
    <row r="266" spans="1:8" ht="69">
      <c r="A266" s="502" t="s">
        <v>27821</v>
      </c>
      <c r="B266" s="504" t="s">
        <v>27822</v>
      </c>
      <c r="C266" s="502" t="s">
        <v>114</v>
      </c>
      <c r="D266" s="503" t="s">
        <v>29752</v>
      </c>
      <c r="F266" t="str">
        <f t="shared" si="9"/>
        <v>105382</v>
      </c>
      <c r="H266" s="14">
        <f t="shared" si="10"/>
        <v>21.67</v>
      </c>
    </row>
    <row r="267" spans="1:8" ht="69">
      <c r="A267" s="502" t="s">
        <v>27823</v>
      </c>
      <c r="B267" s="504" t="s">
        <v>27824</v>
      </c>
      <c r="C267" s="502" t="s">
        <v>114</v>
      </c>
      <c r="D267" s="503" t="s">
        <v>15802</v>
      </c>
      <c r="F267" t="str">
        <f t="shared" si="9"/>
        <v>105383</v>
      </c>
      <c r="H267" s="14">
        <f t="shared" si="10"/>
        <v>22.45</v>
      </c>
    </row>
    <row r="268" spans="1:8" ht="69">
      <c r="A268" s="502" t="s">
        <v>27825</v>
      </c>
      <c r="B268" s="504" t="s">
        <v>27826</v>
      </c>
      <c r="C268" s="502" t="s">
        <v>114</v>
      </c>
      <c r="D268" s="503" t="s">
        <v>10248</v>
      </c>
      <c r="F268" t="str">
        <f t="shared" si="9"/>
        <v>105384</v>
      </c>
      <c r="H268" s="14">
        <f t="shared" si="10"/>
        <v>27.04</v>
      </c>
    </row>
    <row r="269" spans="1:8" ht="69">
      <c r="A269" s="502" t="s">
        <v>27827</v>
      </c>
      <c r="B269" s="504" t="s">
        <v>27828</v>
      </c>
      <c r="C269" s="502" t="s">
        <v>114</v>
      </c>
      <c r="D269" s="503" t="s">
        <v>29091</v>
      </c>
      <c r="F269" t="str">
        <f t="shared" si="9"/>
        <v>105385</v>
      </c>
      <c r="H269" s="14">
        <f t="shared" si="10"/>
        <v>31.43</v>
      </c>
    </row>
    <row r="270" spans="1:8" ht="69">
      <c r="A270" s="502" t="s">
        <v>27829</v>
      </c>
      <c r="B270" s="504" t="s">
        <v>27830</v>
      </c>
      <c r="C270" s="502" t="s">
        <v>114</v>
      </c>
      <c r="D270" s="503" t="s">
        <v>10204</v>
      </c>
      <c r="F270" t="str">
        <f t="shared" si="9"/>
        <v>105386</v>
      </c>
      <c r="H270" s="14">
        <f t="shared" si="10"/>
        <v>30.55</v>
      </c>
    </row>
    <row r="271" spans="1:8" ht="69">
      <c r="A271" s="502" t="s">
        <v>27832</v>
      </c>
      <c r="B271" s="504" t="s">
        <v>27833</v>
      </c>
      <c r="C271" s="502" t="s">
        <v>114</v>
      </c>
      <c r="D271" s="503" t="s">
        <v>23974</v>
      </c>
      <c r="F271" t="str">
        <f t="shared" si="9"/>
        <v>105387</v>
      </c>
      <c r="H271" s="14">
        <f t="shared" si="10"/>
        <v>37.18</v>
      </c>
    </row>
    <row r="272" spans="1:8" ht="69">
      <c r="A272" s="502" t="s">
        <v>3014</v>
      </c>
      <c r="B272" s="504" t="s">
        <v>27834</v>
      </c>
      <c r="C272" s="502" t="s">
        <v>75</v>
      </c>
      <c r="D272" s="503" t="s">
        <v>30599</v>
      </c>
      <c r="F272" t="str">
        <f t="shared" si="9"/>
        <v>92833</v>
      </c>
      <c r="H272" s="14">
        <f t="shared" si="10"/>
        <v>292.91000000000003</v>
      </c>
    </row>
    <row r="273" spans="1:8" ht="69">
      <c r="A273" s="502" t="s">
        <v>3015</v>
      </c>
      <c r="B273" s="504" t="s">
        <v>27835</v>
      </c>
      <c r="C273" s="502" t="s">
        <v>75</v>
      </c>
      <c r="D273" s="503" t="s">
        <v>10773</v>
      </c>
      <c r="F273" t="str">
        <f t="shared" si="9"/>
        <v>92834</v>
      </c>
      <c r="H273" s="14">
        <f t="shared" si="10"/>
        <v>28.77</v>
      </c>
    </row>
    <row r="274" spans="1:8" ht="69">
      <c r="A274" s="502" t="s">
        <v>3016</v>
      </c>
      <c r="B274" s="504" t="s">
        <v>27837</v>
      </c>
      <c r="C274" s="502" t="s">
        <v>75</v>
      </c>
      <c r="D274" s="503" t="s">
        <v>30600</v>
      </c>
      <c r="F274" t="str">
        <f t="shared" si="9"/>
        <v>92835</v>
      </c>
      <c r="H274" s="14">
        <f t="shared" si="10"/>
        <v>308.95</v>
      </c>
    </row>
    <row r="275" spans="1:8" ht="69">
      <c r="A275" s="502" t="s">
        <v>3017</v>
      </c>
      <c r="B275" s="504" t="s">
        <v>27838</v>
      </c>
      <c r="C275" s="502" t="s">
        <v>75</v>
      </c>
      <c r="D275" s="503" t="s">
        <v>11624</v>
      </c>
      <c r="F275" t="str">
        <f t="shared" si="9"/>
        <v>92836</v>
      </c>
      <c r="H275" s="14">
        <f t="shared" si="10"/>
        <v>38.03</v>
      </c>
    </row>
    <row r="276" spans="1:8" ht="69">
      <c r="A276" s="502" t="s">
        <v>3018</v>
      </c>
      <c r="B276" s="504" t="s">
        <v>27839</v>
      </c>
      <c r="C276" s="502" t="s">
        <v>75</v>
      </c>
      <c r="D276" s="503" t="s">
        <v>30601</v>
      </c>
      <c r="F276" t="str">
        <f t="shared" si="9"/>
        <v>92837</v>
      </c>
      <c r="H276" s="14">
        <f t="shared" si="10"/>
        <v>549</v>
      </c>
    </row>
    <row r="277" spans="1:8" ht="69">
      <c r="A277" s="502" t="s">
        <v>3019</v>
      </c>
      <c r="B277" s="504" t="s">
        <v>27840</v>
      </c>
      <c r="C277" s="502" t="s">
        <v>75</v>
      </c>
      <c r="D277" s="503" t="s">
        <v>30602</v>
      </c>
      <c r="F277" t="str">
        <f t="shared" si="9"/>
        <v>92838</v>
      </c>
      <c r="H277" s="14">
        <f t="shared" si="10"/>
        <v>47.8</v>
      </c>
    </row>
    <row r="278" spans="1:8" ht="69">
      <c r="A278" s="502" t="s">
        <v>3020</v>
      </c>
      <c r="B278" s="504" t="s">
        <v>27842</v>
      </c>
      <c r="C278" s="502" t="s">
        <v>75</v>
      </c>
      <c r="D278" s="503" t="s">
        <v>30603</v>
      </c>
      <c r="F278" t="str">
        <f t="shared" si="9"/>
        <v>92839</v>
      </c>
      <c r="H278" s="14">
        <f t="shared" si="10"/>
        <v>672.99</v>
      </c>
    </row>
    <row r="279" spans="1:8" ht="69">
      <c r="A279" s="502" t="s">
        <v>3021</v>
      </c>
      <c r="B279" s="504" t="s">
        <v>27843</v>
      </c>
      <c r="C279" s="502" t="s">
        <v>75</v>
      </c>
      <c r="D279" s="503" t="s">
        <v>30604</v>
      </c>
      <c r="F279" t="str">
        <f t="shared" si="9"/>
        <v>92840</v>
      </c>
      <c r="H279" s="14">
        <f t="shared" si="10"/>
        <v>57.99</v>
      </c>
    </row>
    <row r="280" spans="1:8" ht="69">
      <c r="A280" s="502" t="s">
        <v>3022</v>
      </c>
      <c r="B280" s="504" t="s">
        <v>27844</v>
      </c>
      <c r="C280" s="502" t="s">
        <v>75</v>
      </c>
      <c r="D280" s="503" t="s">
        <v>20164</v>
      </c>
      <c r="F280" t="str">
        <f t="shared" si="9"/>
        <v>92841</v>
      </c>
      <c r="H280" s="14">
        <f t="shared" si="10"/>
        <v>875.97</v>
      </c>
    </row>
    <row r="281" spans="1:8" ht="69">
      <c r="A281" s="502" t="s">
        <v>3023</v>
      </c>
      <c r="B281" s="504" t="s">
        <v>27845</v>
      </c>
      <c r="C281" s="502" t="s">
        <v>75</v>
      </c>
      <c r="D281" s="503" t="s">
        <v>30605</v>
      </c>
      <c r="F281" t="str">
        <f t="shared" si="9"/>
        <v>92842</v>
      </c>
      <c r="H281" s="14">
        <f t="shared" si="10"/>
        <v>72.67</v>
      </c>
    </row>
    <row r="282" spans="1:8" ht="69">
      <c r="A282" s="502" t="s">
        <v>11774</v>
      </c>
      <c r="B282" s="504" t="s">
        <v>27846</v>
      </c>
      <c r="C282" s="502" t="s">
        <v>75</v>
      </c>
      <c r="D282" s="503" t="s">
        <v>30606</v>
      </c>
      <c r="F282" t="str">
        <f t="shared" si="9"/>
        <v>92843</v>
      </c>
      <c r="H282" s="14">
        <f t="shared" si="10"/>
        <v>907.39</v>
      </c>
    </row>
    <row r="283" spans="1:8" ht="69">
      <c r="A283" s="502" t="s">
        <v>3024</v>
      </c>
      <c r="B283" s="504" t="s">
        <v>27847</v>
      </c>
      <c r="C283" s="502" t="s">
        <v>75</v>
      </c>
      <c r="D283" s="503" t="s">
        <v>30607</v>
      </c>
      <c r="F283" t="str">
        <f t="shared" si="9"/>
        <v>92844</v>
      </c>
      <c r="H283" s="14">
        <f t="shared" si="10"/>
        <v>86.35</v>
      </c>
    </row>
    <row r="284" spans="1:8" ht="69">
      <c r="A284" s="502" t="s">
        <v>11775</v>
      </c>
      <c r="B284" s="504" t="s">
        <v>27848</v>
      </c>
      <c r="C284" s="502" t="s">
        <v>75</v>
      </c>
      <c r="D284" s="503" t="s">
        <v>30608</v>
      </c>
      <c r="F284" t="str">
        <f t="shared" si="9"/>
        <v>92845</v>
      </c>
      <c r="H284" s="14">
        <f t="shared" si="10"/>
        <v>1343.92</v>
      </c>
    </row>
    <row r="285" spans="1:8" ht="69">
      <c r="A285" s="502" t="s">
        <v>3025</v>
      </c>
      <c r="B285" s="504" t="s">
        <v>27849</v>
      </c>
      <c r="C285" s="502" t="s">
        <v>75</v>
      </c>
      <c r="D285" s="503" t="s">
        <v>30609</v>
      </c>
      <c r="F285" t="str">
        <f t="shared" si="9"/>
        <v>92846</v>
      </c>
      <c r="H285" s="14">
        <f t="shared" si="10"/>
        <v>99</v>
      </c>
    </row>
    <row r="286" spans="1:8" ht="69">
      <c r="A286" s="502" t="s">
        <v>3026</v>
      </c>
      <c r="B286" s="504" t="s">
        <v>27850</v>
      </c>
      <c r="C286" s="502" t="s">
        <v>75</v>
      </c>
      <c r="D286" s="503" t="s">
        <v>30610</v>
      </c>
      <c r="F286" t="str">
        <f t="shared" si="9"/>
        <v>92847</v>
      </c>
      <c r="H286" s="14">
        <f t="shared" si="10"/>
        <v>1379.19</v>
      </c>
    </row>
    <row r="287" spans="1:8" ht="69">
      <c r="A287" s="502" t="s">
        <v>3027</v>
      </c>
      <c r="B287" s="504" t="s">
        <v>27851</v>
      </c>
      <c r="C287" s="502" t="s">
        <v>75</v>
      </c>
      <c r="D287" s="503" t="s">
        <v>30611</v>
      </c>
      <c r="F287" t="str">
        <f t="shared" si="9"/>
        <v>92848</v>
      </c>
      <c r="H287" s="14">
        <f t="shared" si="10"/>
        <v>116.67</v>
      </c>
    </row>
    <row r="288" spans="1:8" ht="55.2">
      <c r="A288" s="502" t="s">
        <v>3028</v>
      </c>
      <c r="B288" s="504" t="s">
        <v>27852</v>
      </c>
      <c r="C288" s="502" t="s">
        <v>75</v>
      </c>
      <c r="D288" s="503" t="s">
        <v>30612</v>
      </c>
      <c r="F288" t="str">
        <f t="shared" si="9"/>
        <v>92849</v>
      </c>
      <c r="H288" s="14">
        <f t="shared" si="10"/>
        <v>296.45</v>
      </c>
    </row>
    <row r="289" spans="1:8" ht="69">
      <c r="A289" s="502" t="s">
        <v>3029</v>
      </c>
      <c r="B289" s="504" t="s">
        <v>27853</v>
      </c>
      <c r="C289" s="502" t="s">
        <v>75</v>
      </c>
      <c r="D289" s="503" t="s">
        <v>10201</v>
      </c>
      <c r="F289" t="str">
        <f t="shared" si="9"/>
        <v>92850</v>
      </c>
      <c r="H289" s="14">
        <f t="shared" si="10"/>
        <v>32.31</v>
      </c>
    </row>
    <row r="290" spans="1:8" ht="55.2">
      <c r="A290" s="502" t="s">
        <v>3030</v>
      </c>
      <c r="B290" s="504" t="s">
        <v>27855</v>
      </c>
      <c r="C290" s="502" t="s">
        <v>75</v>
      </c>
      <c r="D290" s="503" t="s">
        <v>30613</v>
      </c>
      <c r="F290" t="str">
        <f t="shared" si="9"/>
        <v>92851</v>
      </c>
      <c r="H290" s="14">
        <f t="shared" si="10"/>
        <v>314</v>
      </c>
    </row>
    <row r="291" spans="1:8" ht="69">
      <c r="A291" s="502" t="s">
        <v>3031</v>
      </c>
      <c r="B291" s="504" t="s">
        <v>27856</v>
      </c>
      <c r="C291" s="502" t="s">
        <v>75</v>
      </c>
      <c r="D291" s="503" t="s">
        <v>30614</v>
      </c>
      <c r="F291" t="str">
        <f t="shared" si="9"/>
        <v>92852</v>
      </c>
      <c r="H291" s="14">
        <f t="shared" si="10"/>
        <v>43.08</v>
      </c>
    </row>
    <row r="292" spans="1:8" ht="55.2">
      <c r="A292" s="502" t="s">
        <v>3032</v>
      </c>
      <c r="B292" s="504" t="s">
        <v>27857</v>
      </c>
      <c r="C292" s="502" t="s">
        <v>75</v>
      </c>
      <c r="D292" s="503" t="s">
        <v>30615</v>
      </c>
      <c r="F292" t="str">
        <f t="shared" si="9"/>
        <v>92853</v>
      </c>
      <c r="H292" s="14">
        <f t="shared" si="10"/>
        <v>555.55999999999995</v>
      </c>
    </row>
    <row r="293" spans="1:8" ht="69">
      <c r="A293" s="502" t="s">
        <v>3033</v>
      </c>
      <c r="B293" s="504" t="s">
        <v>27858</v>
      </c>
      <c r="C293" s="502" t="s">
        <v>75</v>
      </c>
      <c r="D293" s="503" t="s">
        <v>30616</v>
      </c>
      <c r="F293" t="str">
        <f t="shared" si="9"/>
        <v>92854</v>
      </c>
      <c r="H293" s="14">
        <f t="shared" si="10"/>
        <v>54.35</v>
      </c>
    </row>
    <row r="294" spans="1:8" ht="55.2">
      <c r="A294" s="502" t="s">
        <v>3034</v>
      </c>
      <c r="B294" s="504" t="s">
        <v>27859</v>
      </c>
      <c r="C294" s="502" t="s">
        <v>75</v>
      </c>
      <c r="D294" s="503" t="s">
        <v>30103</v>
      </c>
      <c r="F294" t="str">
        <f t="shared" si="9"/>
        <v>92855</v>
      </c>
      <c r="H294" s="14">
        <f t="shared" si="10"/>
        <v>681.05</v>
      </c>
    </row>
    <row r="295" spans="1:8" ht="69">
      <c r="A295" s="502" t="s">
        <v>3035</v>
      </c>
      <c r="B295" s="504" t="s">
        <v>27860</v>
      </c>
      <c r="C295" s="502" t="s">
        <v>75</v>
      </c>
      <c r="D295" s="503" t="s">
        <v>30617</v>
      </c>
      <c r="F295" t="str">
        <f t="shared" si="9"/>
        <v>92856</v>
      </c>
      <c r="H295" s="14">
        <f t="shared" si="10"/>
        <v>66.05</v>
      </c>
    </row>
    <row r="296" spans="1:8" ht="55.2">
      <c r="A296" s="502" t="s">
        <v>3036</v>
      </c>
      <c r="B296" s="504" t="s">
        <v>27861</v>
      </c>
      <c r="C296" s="502" t="s">
        <v>75</v>
      </c>
      <c r="D296" s="503" t="s">
        <v>30618</v>
      </c>
      <c r="F296" t="str">
        <f t="shared" si="9"/>
        <v>92857</v>
      </c>
      <c r="H296" s="14">
        <f t="shared" si="10"/>
        <v>885.57</v>
      </c>
    </row>
    <row r="297" spans="1:8" ht="69">
      <c r="A297" s="502" t="s">
        <v>3037</v>
      </c>
      <c r="B297" s="504" t="s">
        <v>27862</v>
      </c>
      <c r="C297" s="502" t="s">
        <v>75</v>
      </c>
      <c r="D297" s="503" t="s">
        <v>30619</v>
      </c>
      <c r="F297" t="str">
        <f t="shared" si="9"/>
        <v>92858</v>
      </c>
      <c r="H297" s="14">
        <f t="shared" si="10"/>
        <v>82.27</v>
      </c>
    </row>
    <row r="298" spans="1:8" ht="55.2">
      <c r="A298" s="502" t="s">
        <v>11776</v>
      </c>
      <c r="B298" s="504" t="s">
        <v>27863</v>
      </c>
      <c r="C298" s="502" t="s">
        <v>75</v>
      </c>
      <c r="D298" s="503" t="s">
        <v>30620</v>
      </c>
      <c r="F298" t="str">
        <f t="shared" si="9"/>
        <v>92859</v>
      </c>
      <c r="H298" s="14">
        <f t="shared" si="10"/>
        <v>918.49</v>
      </c>
    </row>
    <row r="299" spans="1:8" ht="69">
      <c r="A299" s="502" t="s">
        <v>3038</v>
      </c>
      <c r="B299" s="504" t="s">
        <v>27864</v>
      </c>
      <c r="C299" s="502" t="s">
        <v>75</v>
      </c>
      <c r="D299" s="503" t="s">
        <v>30621</v>
      </c>
      <c r="F299" t="str">
        <f t="shared" si="9"/>
        <v>92860</v>
      </c>
      <c r="H299" s="14">
        <f t="shared" si="10"/>
        <v>97.45</v>
      </c>
    </row>
    <row r="300" spans="1:8" ht="55.2">
      <c r="A300" s="502" t="s">
        <v>11777</v>
      </c>
      <c r="B300" s="504" t="s">
        <v>27866</v>
      </c>
      <c r="C300" s="502" t="s">
        <v>75</v>
      </c>
      <c r="D300" s="503" t="s">
        <v>30622</v>
      </c>
      <c r="F300" t="str">
        <f t="shared" si="9"/>
        <v>92861</v>
      </c>
      <c r="H300" s="14">
        <f t="shared" si="10"/>
        <v>1356.52</v>
      </c>
    </row>
    <row r="301" spans="1:8" ht="69">
      <c r="A301" s="502" t="s">
        <v>3039</v>
      </c>
      <c r="B301" s="504" t="s">
        <v>27867</v>
      </c>
      <c r="C301" s="502" t="s">
        <v>75</v>
      </c>
      <c r="D301" s="503" t="s">
        <v>30623</v>
      </c>
      <c r="F301" t="str">
        <f t="shared" si="9"/>
        <v>92862</v>
      </c>
      <c r="H301" s="14">
        <f t="shared" si="10"/>
        <v>111.61</v>
      </c>
    </row>
    <row r="302" spans="1:8" ht="55.2">
      <c r="A302" s="502" t="s">
        <v>3040</v>
      </c>
      <c r="B302" s="504" t="s">
        <v>27868</v>
      </c>
      <c r="C302" s="502" t="s">
        <v>75</v>
      </c>
      <c r="D302" s="503" t="s">
        <v>30624</v>
      </c>
      <c r="F302" t="str">
        <f t="shared" si="9"/>
        <v>92863</v>
      </c>
      <c r="H302" s="14">
        <f t="shared" si="10"/>
        <v>1393.32</v>
      </c>
    </row>
    <row r="303" spans="1:8" ht="69">
      <c r="A303" s="502" t="s">
        <v>3041</v>
      </c>
      <c r="B303" s="504" t="s">
        <v>27869</v>
      </c>
      <c r="C303" s="502" t="s">
        <v>75</v>
      </c>
      <c r="D303" s="503" t="s">
        <v>30625</v>
      </c>
      <c r="F303" t="str">
        <f t="shared" si="9"/>
        <v>92864</v>
      </c>
      <c r="H303" s="14">
        <f t="shared" si="10"/>
        <v>130.80000000000001</v>
      </c>
    </row>
    <row r="304" spans="1:8" ht="69">
      <c r="A304" s="502" t="s">
        <v>3042</v>
      </c>
      <c r="B304" s="504" t="s">
        <v>27870</v>
      </c>
      <c r="C304" s="502" t="s">
        <v>75</v>
      </c>
      <c r="D304" s="503" t="s">
        <v>30626</v>
      </c>
      <c r="F304" t="str">
        <f t="shared" si="9"/>
        <v>92210</v>
      </c>
      <c r="H304" s="14">
        <f t="shared" si="10"/>
        <v>215.57</v>
      </c>
    </row>
    <row r="305" spans="1:8" ht="69">
      <c r="A305" s="502" t="s">
        <v>3043</v>
      </c>
      <c r="B305" s="504" t="s">
        <v>27871</v>
      </c>
      <c r="C305" s="502" t="s">
        <v>75</v>
      </c>
      <c r="D305" s="503" t="s">
        <v>30627</v>
      </c>
      <c r="F305" t="str">
        <f t="shared" si="9"/>
        <v>92211</v>
      </c>
      <c r="H305" s="14">
        <f t="shared" si="10"/>
        <v>262.20999999999998</v>
      </c>
    </row>
    <row r="306" spans="1:8" ht="69">
      <c r="A306" s="502" t="s">
        <v>3044</v>
      </c>
      <c r="B306" s="504" t="s">
        <v>27872</v>
      </c>
      <c r="C306" s="502" t="s">
        <v>75</v>
      </c>
      <c r="D306" s="503" t="s">
        <v>30628</v>
      </c>
      <c r="F306" t="str">
        <f t="shared" si="9"/>
        <v>92212</v>
      </c>
      <c r="H306" s="14">
        <f t="shared" si="10"/>
        <v>399.83</v>
      </c>
    </row>
    <row r="307" spans="1:8" ht="69">
      <c r="A307" s="502" t="s">
        <v>3045</v>
      </c>
      <c r="B307" s="504" t="s">
        <v>27873</v>
      </c>
      <c r="C307" s="502" t="s">
        <v>75</v>
      </c>
      <c r="D307" s="503" t="s">
        <v>30629</v>
      </c>
      <c r="F307" t="str">
        <f t="shared" si="9"/>
        <v>92213</v>
      </c>
      <c r="H307" s="14">
        <f t="shared" si="10"/>
        <v>531.54999999999995</v>
      </c>
    </row>
    <row r="308" spans="1:8" ht="69">
      <c r="A308" s="502" t="s">
        <v>3046</v>
      </c>
      <c r="B308" s="504" t="s">
        <v>27874</v>
      </c>
      <c r="C308" s="502" t="s">
        <v>75</v>
      </c>
      <c r="D308" s="503" t="s">
        <v>30630</v>
      </c>
      <c r="F308" t="str">
        <f t="shared" si="9"/>
        <v>92214</v>
      </c>
      <c r="H308" s="14">
        <f t="shared" si="10"/>
        <v>643.55999999999995</v>
      </c>
    </row>
    <row r="309" spans="1:8" ht="69">
      <c r="A309" s="502" t="s">
        <v>3047</v>
      </c>
      <c r="B309" s="504" t="s">
        <v>27875</v>
      </c>
      <c r="C309" s="502" t="s">
        <v>75</v>
      </c>
      <c r="D309" s="503" t="s">
        <v>30631</v>
      </c>
      <c r="F309" t="str">
        <f t="shared" si="9"/>
        <v>92215</v>
      </c>
      <c r="H309" s="14">
        <f t="shared" si="10"/>
        <v>738.79</v>
      </c>
    </row>
    <row r="310" spans="1:8" ht="69">
      <c r="A310" s="502" t="s">
        <v>3048</v>
      </c>
      <c r="B310" s="504" t="s">
        <v>27876</v>
      </c>
      <c r="C310" s="502" t="s">
        <v>75</v>
      </c>
      <c r="D310" s="503" t="s">
        <v>30632</v>
      </c>
      <c r="F310" t="str">
        <f t="shared" si="9"/>
        <v>92216</v>
      </c>
      <c r="H310" s="14">
        <f t="shared" si="10"/>
        <v>766.55</v>
      </c>
    </row>
    <row r="311" spans="1:8" ht="55.2">
      <c r="A311" s="502" t="s">
        <v>3049</v>
      </c>
      <c r="B311" s="504" t="s">
        <v>27877</v>
      </c>
      <c r="C311" s="502" t="s">
        <v>75</v>
      </c>
      <c r="D311" s="503" t="s">
        <v>30633</v>
      </c>
      <c r="F311" t="str">
        <f t="shared" si="9"/>
        <v>92219</v>
      </c>
      <c r="H311" s="14">
        <f t="shared" si="10"/>
        <v>220.64</v>
      </c>
    </row>
    <row r="312" spans="1:8" ht="55.2">
      <c r="A312" s="502" t="s">
        <v>3050</v>
      </c>
      <c r="B312" s="504" t="s">
        <v>27878</v>
      </c>
      <c r="C312" s="502" t="s">
        <v>75</v>
      </c>
      <c r="D312" s="503" t="s">
        <v>30634</v>
      </c>
      <c r="F312" t="str">
        <f t="shared" si="9"/>
        <v>92220</v>
      </c>
      <c r="H312" s="14">
        <f t="shared" si="10"/>
        <v>268.77</v>
      </c>
    </row>
    <row r="313" spans="1:8" ht="55.2">
      <c r="A313" s="502" t="s">
        <v>3051</v>
      </c>
      <c r="B313" s="504" t="s">
        <v>27879</v>
      </c>
      <c r="C313" s="502" t="s">
        <v>75</v>
      </c>
      <c r="D313" s="503" t="s">
        <v>30635</v>
      </c>
      <c r="F313" t="str">
        <f t="shared" si="9"/>
        <v>92221</v>
      </c>
      <c r="H313" s="14">
        <f t="shared" si="10"/>
        <v>407.88</v>
      </c>
    </row>
    <row r="314" spans="1:8" ht="55.2">
      <c r="A314" s="502" t="s">
        <v>3052</v>
      </c>
      <c r="B314" s="504" t="s">
        <v>27880</v>
      </c>
      <c r="C314" s="502" t="s">
        <v>75</v>
      </c>
      <c r="D314" s="503" t="s">
        <v>30636</v>
      </c>
      <c r="F314" t="str">
        <f t="shared" si="9"/>
        <v>92222</v>
      </c>
      <c r="H314" s="14">
        <f t="shared" si="10"/>
        <v>541.13</v>
      </c>
    </row>
    <row r="315" spans="1:8" ht="55.2">
      <c r="A315" s="502" t="s">
        <v>3053</v>
      </c>
      <c r="B315" s="504" t="s">
        <v>27881</v>
      </c>
      <c r="C315" s="502" t="s">
        <v>75</v>
      </c>
      <c r="D315" s="503" t="s">
        <v>30637</v>
      </c>
      <c r="F315" t="str">
        <f t="shared" si="9"/>
        <v>92223</v>
      </c>
      <c r="H315" s="14">
        <f t="shared" si="10"/>
        <v>654.62</v>
      </c>
    </row>
    <row r="316" spans="1:8" ht="55.2">
      <c r="A316" s="502" t="s">
        <v>3054</v>
      </c>
      <c r="B316" s="504" t="s">
        <v>27882</v>
      </c>
      <c r="C316" s="502" t="s">
        <v>75</v>
      </c>
      <c r="D316" s="503" t="s">
        <v>30638</v>
      </c>
      <c r="F316" t="str">
        <f t="shared" si="9"/>
        <v>92224</v>
      </c>
      <c r="H316" s="14">
        <f t="shared" si="10"/>
        <v>751.44</v>
      </c>
    </row>
    <row r="317" spans="1:8" ht="55.2">
      <c r="A317" s="502" t="s">
        <v>3055</v>
      </c>
      <c r="B317" s="504" t="s">
        <v>27883</v>
      </c>
      <c r="C317" s="502" t="s">
        <v>75</v>
      </c>
      <c r="D317" s="503" t="s">
        <v>30639</v>
      </c>
      <c r="F317" t="str">
        <f t="shared" si="9"/>
        <v>92226</v>
      </c>
      <c r="H317" s="14">
        <f t="shared" si="10"/>
        <v>780.69</v>
      </c>
    </row>
    <row r="318" spans="1:8" ht="69">
      <c r="A318" s="502" t="s">
        <v>3056</v>
      </c>
      <c r="B318" s="504" t="s">
        <v>27884</v>
      </c>
      <c r="C318" s="502" t="s">
        <v>75</v>
      </c>
      <c r="D318" s="503" t="s">
        <v>25419</v>
      </c>
      <c r="F318" t="str">
        <f t="shared" si="9"/>
        <v>92808</v>
      </c>
      <c r="H318" s="14">
        <f t="shared" si="10"/>
        <v>35.26</v>
      </c>
    </row>
    <row r="319" spans="1:8" ht="69">
      <c r="A319" s="502" t="s">
        <v>3057</v>
      </c>
      <c r="B319" s="504" t="s">
        <v>27886</v>
      </c>
      <c r="C319" s="502" t="s">
        <v>75</v>
      </c>
      <c r="D319" s="503" t="s">
        <v>30640</v>
      </c>
      <c r="F319" t="str">
        <f t="shared" si="9"/>
        <v>92809</v>
      </c>
      <c r="H319" s="14">
        <f t="shared" si="10"/>
        <v>48.96</v>
      </c>
    </row>
    <row r="320" spans="1:8" ht="69">
      <c r="A320" s="502" t="s">
        <v>3058</v>
      </c>
      <c r="B320" s="504" t="s">
        <v>27887</v>
      </c>
      <c r="C320" s="502" t="s">
        <v>75</v>
      </c>
      <c r="D320" s="503" t="s">
        <v>30641</v>
      </c>
      <c r="F320" t="str">
        <f t="shared" si="9"/>
        <v>92810</v>
      </c>
      <c r="H320" s="14">
        <f t="shared" si="10"/>
        <v>63.08</v>
      </c>
    </row>
    <row r="321" spans="1:8" ht="69">
      <c r="A321" s="502" t="s">
        <v>3059</v>
      </c>
      <c r="B321" s="504" t="s">
        <v>27888</v>
      </c>
      <c r="C321" s="502" t="s">
        <v>75</v>
      </c>
      <c r="D321" s="503" t="s">
        <v>30642</v>
      </c>
      <c r="F321" t="str">
        <f t="shared" si="9"/>
        <v>92811</v>
      </c>
      <c r="H321" s="14">
        <f t="shared" si="10"/>
        <v>77.430000000000007</v>
      </c>
    </row>
    <row r="322" spans="1:8" ht="69">
      <c r="A322" s="502" t="s">
        <v>3060</v>
      </c>
      <c r="B322" s="504" t="s">
        <v>27890</v>
      </c>
      <c r="C322" s="502" t="s">
        <v>75</v>
      </c>
      <c r="D322" s="503" t="s">
        <v>30643</v>
      </c>
      <c r="F322" t="str">
        <f t="shared" si="9"/>
        <v>92812</v>
      </c>
      <c r="H322" s="14">
        <f t="shared" si="10"/>
        <v>92.12</v>
      </c>
    </row>
    <row r="323" spans="1:8" ht="69">
      <c r="A323" s="502" t="s">
        <v>3061</v>
      </c>
      <c r="B323" s="504" t="s">
        <v>27891</v>
      </c>
      <c r="C323" s="502" t="s">
        <v>75</v>
      </c>
      <c r="D323" s="503" t="s">
        <v>15582</v>
      </c>
      <c r="F323" t="str">
        <f t="shared" si="9"/>
        <v>92813</v>
      </c>
      <c r="H323" s="14">
        <f t="shared" si="10"/>
        <v>107.13</v>
      </c>
    </row>
    <row r="324" spans="1:8" ht="69">
      <c r="A324" s="502" t="s">
        <v>3062</v>
      </c>
      <c r="B324" s="504" t="s">
        <v>27892</v>
      </c>
      <c r="C324" s="502" t="s">
        <v>75</v>
      </c>
      <c r="D324" s="503" t="s">
        <v>30644</v>
      </c>
      <c r="F324" t="str">
        <f t="shared" si="9"/>
        <v>92814</v>
      </c>
      <c r="H324" s="14">
        <f t="shared" si="10"/>
        <v>122.43</v>
      </c>
    </row>
    <row r="325" spans="1:8" ht="69">
      <c r="A325" s="502" t="s">
        <v>3063</v>
      </c>
      <c r="B325" s="504" t="s">
        <v>27893</v>
      </c>
      <c r="C325" s="502" t="s">
        <v>75</v>
      </c>
      <c r="D325" s="503" t="s">
        <v>30645</v>
      </c>
      <c r="F325" t="str">
        <f t="shared" ref="F325:F388" si="11">TRIM(A325)</f>
        <v>92815</v>
      </c>
      <c r="H325" s="14">
        <f t="shared" ref="H325:H388" si="12">ROUND(D325*(1+$H$1),2)</f>
        <v>138.01</v>
      </c>
    </row>
    <row r="326" spans="1:8" ht="69">
      <c r="A326" s="502" t="s">
        <v>3064</v>
      </c>
      <c r="B326" s="504" t="s">
        <v>27894</v>
      </c>
      <c r="C326" s="502" t="s">
        <v>75</v>
      </c>
      <c r="D326" s="503" t="s">
        <v>30646</v>
      </c>
      <c r="F326" t="str">
        <f t="shared" si="11"/>
        <v>92816</v>
      </c>
      <c r="H326" s="14">
        <f t="shared" si="12"/>
        <v>1108.93</v>
      </c>
    </row>
    <row r="327" spans="1:8" ht="69">
      <c r="A327" s="502" t="s">
        <v>3065</v>
      </c>
      <c r="B327" s="504" t="s">
        <v>27895</v>
      </c>
      <c r="C327" s="502" t="s">
        <v>75</v>
      </c>
      <c r="D327" s="503" t="s">
        <v>30647</v>
      </c>
      <c r="F327" t="str">
        <f t="shared" si="11"/>
        <v>92817</v>
      </c>
      <c r="H327" s="14">
        <f t="shared" si="12"/>
        <v>170.16</v>
      </c>
    </row>
    <row r="328" spans="1:8" ht="69">
      <c r="A328" s="502" t="s">
        <v>3066</v>
      </c>
      <c r="B328" s="504" t="s">
        <v>27896</v>
      </c>
      <c r="C328" s="502" t="s">
        <v>75</v>
      </c>
      <c r="D328" s="503" t="s">
        <v>30648</v>
      </c>
      <c r="F328" t="str">
        <f t="shared" si="11"/>
        <v>92818</v>
      </c>
      <c r="H328" s="14">
        <f t="shared" si="12"/>
        <v>1580.69</v>
      </c>
    </row>
    <row r="329" spans="1:8" ht="69">
      <c r="A329" s="502" t="s">
        <v>3067</v>
      </c>
      <c r="B329" s="504" t="s">
        <v>27897</v>
      </c>
      <c r="C329" s="502" t="s">
        <v>75</v>
      </c>
      <c r="D329" s="503" t="s">
        <v>30633</v>
      </c>
      <c r="F329" t="str">
        <f t="shared" si="11"/>
        <v>92819</v>
      </c>
      <c r="H329" s="14">
        <f t="shared" si="12"/>
        <v>220.64</v>
      </c>
    </row>
    <row r="330" spans="1:8" ht="69">
      <c r="A330" s="502" t="s">
        <v>3068</v>
      </c>
      <c r="B330" s="504" t="s">
        <v>27899</v>
      </c>
      <c r="C330" s="502" t="s">
        <v>75</v>
      </c>
      <c r="D330" s="503" t="s">
        <v>30649</v>
      </c>
      <c r="F330" t="str">
        <f t="shared" si="11"/>
        <v>92820</v>
      </c>
      <c r="H330" s="14">
        <f t="shared" si="12"/>
        <v>38.799999999999997</v>
      </c>
    </row>
    <row r="331" spans="1:8" ht="69">
      <c r="A331" s="502" t="s">
        <v>3069</v>
      </c>
      <c r="B331" s="504" t="s">
        <v>27900</v>
      </c>
      <c r="C331" s="502" t="s">
        <v>75</v>
      </c>
      <c r="D331" s="503" t="s">
        <v>30650</v>
      </c>
      <c r="F331" t="str">
        <f t="shared" si="11"/>
        <v>92821</v>
      </c>
      <c r="H331" s="14">
        <f t="shared" si="12"/>
        <v>54.02</v>
      </c>
    </row>
    <row r="332" spans="1:8" ht="69">
      <c r="A332" s="502" t="s">
        <v>3070</v>
      </c>
      <c r="B332" s="504" t="s">
        <v>27901</v>
      </c>
      <c r="C332" s="502" t="s">
        <v>75</v>
      </c>
      <c r="D332" s="503" t="s">
        <v>15498</v>
      </c>
      <c r="F332" t="str">
        <f t="shared" si="11"/>
        <v>92822</v>
      </c>
      <c r="H332" s="14">
        <f t="shared" si="12"/>
        <v>69.64</v>
      </c>
    </row>
    <row r="333" spans="1:8" ht="69">
      <c r="A333" s="502" t="s">
        <v>3071</v>
      </c>
      <c r="B333" s="504" t="s">
        <v>27902</v>
      </c>
      <c r="C333" s="502" t="s">
        <v>75</v>
      </c>
      <c r="D333" s="503" t="s">
        <v>30651</v>
      </c>
      <c r="F333" t="str">
        <f t="shared" si="11"/>
        <v>92824</v>
      </c>
      <c r="H333" s="14">
        <f t="shared" si="12"/>
        <v>85.48</v>
      </c>
    </row>
    <row r="334" spans="1:8" ht="69">
      <c r="A334" s="502" t="s">
        <v>3072</v>
      </c>
      <c r="B334" s="504" t="s">
        <v>27903</v>
      </c>
      <c r="C334" s="502" t="s">
        <v>75</v>
      </c>
      <c r="D334" s="503" t="s">
        <v>15494</v>
      </c>
      <c r="F334" t="str">
        <f t="shared" si="11"/>
        <v>92825</v>
      </c>
      <c r="H334" s="14">
        <f t="shared" si="12"/>
        <v>101.7</v>
      </c>
    </row>
    <row r="335" spans="1:8" ht="69">
      <c r="A335" s="502" t="s">
        <v>3073</v>
      </c>
      <c r="B335" s="504" t="s">
        <v>27904</v>
      </c>
      <c r="C335" s="502" t="s">
        <v>75</v>
      </c>
      <c r="D335" s="503" t="s">
        <v>30652</v>
      </c>
      <c r="F335" t="str">
        <f t="shared" si="11"/>
        <v>92826</v>
      </c>
      <c r="H335" s="14">
        <f t="shared" si="12"/>
        <v>118.19</v>
      </c>
    </row>
    <row r="336" spans="1:8" ht="69">
      <c r="A336" s="502" t="s">
        <v>3074</v>
      </c>
      <c r="B336" s="504" t="s">
        <v>27906</v>
      </c>
      <c r="C336" s="502" t="s">
        <v>75</v>
      </c>
      <c r="D336" s="503" t="s">
        <v>30653</v>
      </c>
      <c r="F336" t="str">
        <f t="shared" si="11"/>
        <v>92827</v>
      </c>
      <c r="H336" s="14">
        <f t="shared" si="12"/>
        <v>135.08000000000001</v>
      </c>
    </row>
    <row r="337" spans="1:8" ht="69">
      <c r="A337" s="502" t="s">
        <v>3075</v>
      </c>
      <c r="B337" s="504" t="s">
        <v>27908</v>
      </c>
      <c r="C337" s="502" t="s">
        <v>75</v>
      </c>
      <c r="D337" s="503" t="s">
        <v>30654</v>
      </c>
      <c r="F337" t="str">
        <f t="shared" si="11"/>
        <v>92828</v>
      </c>
      <c r="H337" s="14">
        <f t="shared" si="12"/>
        <v>152.13999999999999</v>
      </c>
    </row>
    <row r="338" spans="1:8" ht="55.2">
      <c r="A338" s="502" t="s">
        <v>3076</v>
      </c>
      <c r="B338" s="504" t="s">
        <v>27909</v>
      </c>
      <c r="C338" s="502" t="s">
        <v>75</v>
      </c>
      <c r="D338" s="503" t="s">
        <v>30655</v>
      </c>
      <c r="F338" t="str">
        <f t="shared" si="11"/>
        <v>92829</v>
      </c>
      <c r="H338" s="14">
        <f t="shared" si="12"/>
        <v>1126.07</v>
      </c>
    </row>
    <row r="339" spans="1:8" ht="69">
      <c r="A339" s="502" t="s">
        <v>3077</v>
      </c>
      <c r="B339" s="504" t="s">
        <v>27910</v>
      </c>
      <c r="C339" s="502" t="s">
        <v>75</v>
      </c>
      <c r="D339" s="503" t="s">
        <v>30656</v>
      </c>
      <c r="F339" t="str">
        <f t="shared" si="11"/>
        <v>92830</v>
      </c>
      <c r="H339" s="14">
        <f t="shared" si="12"/>
        <v>187.3</v>
      </c>
    </row>
    <row r="340" spans="1:8" ht="55.2">
      <c r="A340" s="502" t="s">
        <v>3078</v>
      </c>
      <c r="B340" s="504" t="s">
        <v>27911</v>
      </c>
      <c r="C340" s="502" t="s">
        <v>75</v>
      </c>
      <c r="D340" s="503" t="s">
        <v>30657</v>
      </c>
      <c r="F340" t="str">
        <f t="shared" si="11"/>
        <v>92831</v>
      </c>
      <c r="H340" s="14">
        <f t="shared" si="12"/>
        <v>1602.36</v>
      </c>
    </row>
    <row r="341" spans="1:8" ht="69">
      <c r="A341" s="502" t="s">
        <v>3079</v>
      </c>
      <c r="B341" s="504" t="s">
        <v>27912</v>
      </c>
      <c r="C341" s="502" t="s">
        <v>75</v>
      </c>
      <c r="D341" s="503" t="s">
        <v>30658</v>
      </c>
      <c r="F341" t="str">
        <f t="shared" si="11"/>
        <v>92832</v>
      </c>
      <c r="H341" s="14">
        <f t="shared" si="12"/>
        <v>242.3</v>
      </c>
    </row>
    <row r="342" spans="1:8" ht="69">
      <c r="A342" s="502" t="s">
        <v>3080</v>
      </c>
      <c r="B342" s="504" t="s">
        <v>27913</v>
      </c>
      <c r="C342" s="502" t="s">
        <v>75</v>
      </c>
      <c r="D342" s="503" t="s">
        <v>17793</v>
      </c>
      <c r="F342" t="str">
        <f t="shared" si="11"/>
        <v>95565</v>
      </c>
      <c r="H342" s="14">
        <f t="shared" si="12"/>
        <v>182.9</v>
      </c>
    </row>
    <row r="343" spans="1:8" ht="55.2">
      <c r="A343" s="502" t="s">
        <v>3081</v>
      </c>
      <c r="B343" s="504" t="s">
        <v>27914</v>
      </c>
      <c r="C343" s="502" t="s">
        <v>75</v>
      </c>
      <c r="D343" s="503" t="s">
        <v>30659</v>
      </c>
      <c r="F343" t="str">
        <f t="shared" si="11"/>
        <v>95566</v>
      </c>
      <c r="H343" s="14">
        <f t="shared" si="12"/>
        <v>186.44</v>
      </c>
    </row>
    <row r="344" spans="1:8" ht="69">
      <c r="A344" s="502" t="s">
        <v>3082</v>
      </c>
      <c r="B344" s="504" t="s">
        <v>27916</v>
      </c>
      <c r="C344" s="502" t="s">
        <v>75</v>
      </c>
      <c r="D344" s="503" t="s">
        <v>15215</v>
      </c>
      <c r="F344" t="str">
        <f t="shared" si="11"/>
        <v>95567</v>
      </c>
      <c r="H344" s="14">
        <f t="shared" si="12"/>
        <v>145.06</v>
      </c>
    </row>
    <row r="345" spans="1:8" ht="69">
      <c r="A345" s="502" t="s">
        <v>3083</v>
      </c>
      <c r="B345" s="504" t="s">
        <v>27917</v>
      </c>
      <c r="C345" s="502" t="s">
        <v>75</v>
      </c>
      <c r="D345" s="503" t="s">
        <v>28532</v>
      </c>
      <c r="F345" t="str">
        <f t="shared" si="11"/>
        <v>95568</v>
      </c>
      <c r="H345" s="14">
        <f t="shared" si="12"/>
        <v>178.7</v>
      </c>
    </row>
    <row r="346" spans="1:8" ht="69">
      <c r="A346" s="502" t="s">
        <v>3084</v>
      </c>
      <c r="B346" s="504" t="s">
        <v>27918</v>
      </c>
      <c r="C346" s="502" t="s">
        <v>75</v>
      </c>
      <c r="D346" s="503" t="s">
        <v>30660</v>
      </c>
      <c r="F346" t="str">
        <f t="shared" si="11"/>
        <v>95569</v>
      </c>
      <c r="H346" s="14">
        <f t="shared" si="12"/>
        <v>256.19</v>
      </c>
    </row>
    <row r="347" spans="1:8" ht="55.2">
      <c r="A347" s="502" t="s">
        <v>3085</v>
      </c>
      <c r="B347" s="504" t="s">
        <v>27919</v>
      </c>
      <c r="C347" s="502" t="s">
        <v>75</v>
      </c>
      <c r="D347" s="503" t="s">
        <v>30661</v>
      </c>
      <c r="F347" t="str">
        <f t="shared" si="11"/>
        <v>95570</v>
      </c>
      <c r="H347" s="14">
        <f t="shared" si="12"/>
        <v>148.6</v>
      </c>
    </row>
    <row r="348" spans="1:8" ht="55.2">
      <c r="A348" s="502" t="s">
        <v>3086</v>
      </c>
      <c r="B348" s="504" t="s">
        <v>27920</v>
      </c>
      <c r="C348" s="502" t="s">
        <v>75</v>
      </c>
      <c r="D348" s="503" t="s">
        <v>30662</v>
      </c>
      <c r="F348" t="str">
        <f t="shared" si="11"/>
        <v>95571</v>
      </c>
      <c r="H348" s="14">
        <f t="shared" si="12"/>
        <v>183.77</v>
      </c>
    </row>
    <row r="349" spans="1:8" ht="55.2">
      <c r="A349" s="502" t="s">
        <v>3087</v>
      </c>
      <c r="B349" s="504" t="s">
        <v>27921</v>
      </c>
      <c r="C349" s="502" t="s">
        <v>75</v>
      </c>
      <c r="D349" s="503" t="s">
        <v>30663</v>
      </c>
      <c r="F349" t="str">
        <f t="shared" si="11"/>
        <v>95572</v>
      </c>
      <c r="H349" s="14">
        <f t="shared" si="12"/>
        <v>262.74</v>
      </c>
    </row>
    <row r="350" spans="1:8" ht="69">
      <c r="A350" s="502" t="s">
        <v>3089</v>
      </c>
      <c r="B350" s="504" t="s">
        <v>27922</v>
      </c>
      <c r="C350" s="502" t="s">
        <v>75</v>
      </c>
      <c r="D350" s="503" t="s">
        <v>4607</v>
      </c>
      <c r="F350" t="str">
        <f t="shared" si="11"/>
        <v>97127</v>
      </c>
      <c r="H350" s="14">
        <f t="shared" si="12"/>
        <v>7.64</v>
      </c>
    </row>
    <row r="351" spans="1:8" ht="69">
      <c r="A351" s="502" t="s">
        <v>3090</v>
      </c>
      <c r="B351" s="504" t="s">
        <v>27923</v>
      </c>
      <c r="C351" s="502" t="s">
        <v>75</v>
      </c>
      <c r="D351" s="503" t="s">
        <v>10286</v>
      </c>
      <c r="F351" t="str">
        <f t="shared" si="11"/>
        <v>97128</v>
      </c>
      <c r="H351" s="14">
        <f t="shared" si="12"/>
        <v>14.82</v>
      </c>
    </row>
    <row r="352" spans="1:8" ht="69">
      <c r="A352" s="502" t="s">
        <v>3091</v>
      </c>
      <c r="B352" s="504" t="s">
        <v>27924</v>
      </c>
      <c r="C352" s="502" t="s">
        <v>75</v>
      </c>
      <c r="D352" s="503" t="s">
        <v>16181</v>
      </c>
      <c r="F352" t="str">
        <f t="shared" si="11"/>
        <v>97129</v>
      </c>
      <c r="H352" s="14">
        <f t="shared" si="12"/>
        <v>17.559999999999999</v>
      </c>
    </row>
    <row r="353" spans="1:8" ht="69">
      <c r="A353" s="502" t="s">
        <v>3093</v>
      </c>
      <c r="B353" s="504" t="s">
        <v>27925</v>
      </c>
      <c r="C353" s="502" t="s">
        <v>75</v>
      </c>
      <c r="D353" s="503" t="s">
        <v>7223</v>
      </c>
      <c r="F353" t="str">
        <f t="shared" si="11"/>
        <v>97130</v>
      </c>
      <c r="H353" s="14">
        <f t="shared" si="12"/>
        <v>20.32</v>
      </c>
    </row>
    <row r="354" spans="1:8" ht="69">
      <c r="A354" s="502" t="s">
        <v>3094</v>
      </c>
      <c r="B354" s="504" t="s">
        <v>27926</v>
      </c>
      <c r="C354" s="502" t="s">
        <v>75</v>
      </c>
      <c r="D354" s="503" t="s">
        <v>30664</v>
      </c>
      <c r="F354" t="str">
        <f t="shared" si="11"/>
        <v>97131</v>
      </c>
      <c r="H354" s="14">
        <f t="shared" si="12"/>
        <v>23.05</v>
      </c>
    </row>
    <row r="355" spans="1:8" ht="69">
      <c r="A355" s="502" t="s">
        <v>3095</v>
      </c>
      <c r="B355" s="504" t="s">
        <v>27927</v>
      </c>
      <c r="C355" s="502" t="s">
        <v>75</v>
      </c>
      <c r="D355" s="503" t="s">
        <v>10304</v>
      </c>
      <c r="F355" t="str">
        <f t="shared" si="11"/>
        <v>97132</v>
      </c>
      <c r="H355" s="14">
        <f t="shared" si="12"/>
        <v>25.8</v>
      </c>
    </row>
    <row r="356" spans="1:8" ht="69">
      <c r="A356" s="502" t="s">
        <v>3096</v>
      </c>
      <c r="B356" s="504" t="s">
        <v>27928</v>
      </c>
      <c r="C356" s="502" t="s">
        <v>75</v>
      </c>
      <c r="D356" s="503" t="s">
        <v>10171</v>
      </c>
      <c r="F356" t="str">
        <f t="shared" si="11"/>
        <v>97133</v>
      </c>
      <c r="H356" s="14">
        <f t="shared" si="12"/>
        <v>31.27</v>
      </c>
    </row>
    <row r="357" spans="1:8" ht="69">
      <c r="A357" s="502" t="s">
        <v>3097</v>
      </c>
      <c r="B357" s="504" t="s">
        <v>27929</v>
      </c>
      <c r="C357" s="502" t="s">
        <v>75</v>
      </c>
      <c r="D357" s="503" t="s">
        <v>3101</v>
      </c>
      <c r="F357" t="str">
        <f t="shared" si="11"/>
        <v>97134</v>
      </c>
      <c r="H357" s="14">
        <f t="shared" si="12"/>
        <v>6.29</v>
      </c>
    </row>
    <row r="358" spans="1:8" ht="69">
      <c r="A358" s="502" t="s">
        <v>3099</v>
      </c>
      <c r="B358" s="504" t="s">
        <v>27930</v>
      </c>
      <c r="C358" s="502" t="s">
        <v>75</v>
      </c>
      <c r="D358" s="503" t="s">
        <v>4080</v>
      </c>
      <c r="F358" t="str">
        <f t="shared" si="11"/>
        <v>97135</v>
      </c>
      <c r="H358" s="14">
        <f t="shared" si="12"/>
        <v>11.31</v>
      </c>
    </row>
    <row r="359" spans="1:8" ht="69">
      <c r="A359" s="502" t="s">
        <v>3100</v>
      </c>
      <c r="B359" s="504" t="s">
        <v>27931</v>
      </c>
      <c r="C359" s="502" t="s">
        <v>75</v>
      </c>
      <c r="D359" s="503" t="s">
        <v>6035</v>
      </c>
      <c r="F359" t="str">
        <f t="shared" si="11"/>
        <v>97136</v>
      </c>
      <c r="H359" s="14">
        <f t="shared" si="12"/>
        <v>13.42</v>
      </c>
    </row>
    <row r="360" spans="1:8" ht="69">
      <c r="A360" s="502" t="s">
        <v>3102</v>
      </c>
      <c r="B360" s="504" t="s">
        <v>27932</v>
      </c>
      <c r="C360" s="502" t="s">
        <v>75</v>
      </c>
      <c r="D360" s="503" t="s">
        <v>7725</v>
      </c>
      <c r="F360" t="str">
        <f t="shared" si="11"/>
        <v>97137</v>
      </c>
      <c r="H360" s="14">
        <f t="shared" si="12"/>
        <v>15.54</v>
      </c>
    </row>
    <row r="361" spans="1:8" ht="69">
      <c r="A361" s="502" t="s">
        <v>3103</v>
      </c>
      <c r="B361" s="504" t="s">
        <v>27933</v>
      </c>
      <c r="C361" s="502" t="s">
        <v>75</v>
      </c>
      <c r="D361" s="503" t="s">
        <v>28828</v>
      </c>
      <c r="F361" t="str">
        <f t="shared" si="11"/>
        <v>97138</v>
      </c>
      <c r="H361" s="14">
        <f t="shared" si="12"/>
        <v>17.63</v>
      </c>
    </row>
    <row r="362" spans="1:8" ht="69">
      <c r="A362" s="502" t="s">
        <v>3105</v>
      </c>
      <c r="B362" s="504" t="s">
        <v>27934</v>
      </c>
      <c r="C362" s="502" t="s">
        <v>75</v>
      </c>
      <c r="D362" s="503" t="s">
        <v>10297</v>
      </c>
      <c r="F362" t="str">
        <f t="shared" si="11"/>
        <v>97139</v>
      </c>
      <c r="H362" s="14">
        <f t="shared" si="12"/>
        <v>19.75</v>
      </c>
    </row>
    <row r="363" spans="1:8" ht="69">
      <c r="A363" s="502" t="s">
        <v>3106</v>
      </c>
      <c r="B363" s="504" t="s">
        <v>27935</v>
      </c>
      <c r="C363" s="502" t="s">
        <v>75</v>
      </c>
      <c r="D363" s="503" t="s">
        <v>14101</v>
      </c>
      <c r="F363" t="str">
        <f t="shared" si="11"/>
        <v>97140</v>
      </c>
      <c r="H363" s="14">
        <f t="shared" si="12"/>
        <v>23.92</v>
      </c>
    </row>
    <row r="364" spans="1:8" ht="41.4">
      <c r="A364" s="502" t="s">
        <v>23697</v>
      </c>
      <c r="B364" s="504" t="s">
        <v>23698</v>
      </c>
      <c r="C364" s="502" t="s">
        <v>75</v>
      </c>
      <c r="D364" s="503" t="s">
        <v>16168</v>
      </c>
      <c r="F364" t="str">
        <f t="shared" si="11"/>
        <v>103089</v>
      </c>
      <c r="H364" s="14">
        <f t="shared" si="12"/>
        <v>16.03</v>
      </c>
    </row>
    <row r="365" spans="1:8" ht="41.4">
      <c r="A365" s="502" t="s">
        <v>23700</v>
      </c>
      <c r="B365" s="504" t="s">
        <v>23701</v>
      </c>
      <c r="C365" s="502" t="s">
        <v>75</v>
      </c>
      <c r="D365" s="503" t="s">
        <v>3216</v>
      </c>
      <c r="F365" t="str">
        <f t="shared" si="11"/>
        <v>103090</v>
      </c>
      <c r="H365" s="14">
        <f t="shared" si="12"/>
        <v>19.16</v>
      </c>
    </row>
    <row r="366" spans="1:8" ht="41.4">
      <c r="A366" s="502" t="s">
        <v>23702</v>
      </c>
      <c r="B366" s="504" t="s">
        <v>23703</v>
      </c>
      <c r="C366" s="502" t="s">
        <v>75</v>
      </c>
      <c r="D366" s="503" t="s">
        <v>29078</v>
      </c>
      <c r="F366" t="str">
        <f t="shared" si="11"/>
        <v>103091</v>
      </c>
      <c r="H366" s="14">
        <f t="shared" si="12"/>
        <v>26.98</v>
      </c>
    </row>
    <row r="367" spans="1:8" ht="41.4">
      <c r="A367" s="502" t="s">
        <v>23705</v>
      </c>
      <c r="B367" s="504" t="s">
        <v>23706</v>
      </c>
      <c r="C367" s="502" t="s">
        <v>75</v>
      </c>
      <c r="D367" s="503" t="s">
        <v>30180</v>
      </c>
      <c r="F367" t="str">
        <f t="shared" si="11"/>
        <v>103092</v>
      </c>
      <c r="H367" s="14">
        <f t="shared" si="12"/>
        <v>34.799999999999997</v>
      </c>
    </row>
    <row r="368" spans="1:8" ht="41.4">
      <c r="A368" s="502" t="s">
        <v>23707</v>
      </c>
      <c r="B368" s="504" t="s">
        <v>23708</v>
      </c>
      <c r="C368" s="502" t="s">
        <v>75</v>
      </c>
      <c r="D368" s="503" t="s">
        <v>24633</v>
      </c>
      <c r="F368" t="str">
        <f t="shared" si="11"/>
        <v>103093</v>
      </c>
      <c r="H368" s="14">
        <f t="shared" si="12"/>
        <v>53.22</v>
      </c>
    </row>
    <row r="369" spans="1:8" ht="41.4">
      <c r="A369" s="502" t="s">
        <v>23709</v>
      </c>
      <c r="B369" s="504" t="s">
        <v>23710</v>
      </c>
      <c r="C369" s="502" t="s">
        <v>75</v>
      </c>
      <c r="D369" s="503" t="s">
        <v>30665</v>
      </c>
      <c r="F369" t="str">
        <f t="shared" si="11"/>
        <v>103094</v>
      </c>
      <c r="H369" s="14">
        <f t="shared" si="12"/>
        <v>61.11</v>
      </c>
    </row>
    <row r="370" spans="1:8" ht="41.4">
      <c r="A370" s="502" t="s">
        <v>23711</v>
      </c>
      <c r="B370" s="504" t="s">
        <v>23712</v>
      </c>
      <c r="C370" s="502" t="s">
        <v>75</v>
      </c>
      <c r="D370" s="503" t="s">
        <v>30666</v>
      </c>
      <c r="F370" t="str">
        <f t="shared" si="11"/>
        <v>103095</v>
      </c>
      <c r="H370" s="14">
        <f t="shared" si="12"/>
        <v>79.47</v>
      </c>
    </row>
    <row r="371" spans="1:8" ht="41.4">
      <c r="A371" s="502" t="s">
        <v>23713</v>
      </c>
      <c r="B371" s="504" t="s">
        <v>23714</v>
      </c>
      <c r="C371" s="502" t="s">
        <v>75</v>
      </c>
      <c r="D371" s="503" t="s">
        <v>30667</v>
      </c>
      <c r="F371" t="str">
        <f t="shared" si="11"/>
        <v>103096</v>
      </c>
      <c r="H371" s="14">
        <f t="shared" si="12"/>
        <v>87.33</v>
      </c>
    </row>
    <row r="372" spans="1:8" ht="41.4">
      <c r="A372" s="502" t="s">
        <v>23715</v>
      </c>
      <c r="B372" s="504" t="s">
        <v>23716</v>
      </c>
      <c r="C372" s="502" t="s">
        <v>75</v>
      </c>
      <c r="D372" s="503" t="s">
        <v>29238</v>
      </c>
      <c r="F372" t="str">
        <f t="shared" si="11"/>
        <v>103097</v>
      </c>
      <c r="H372" s="14">
        <f t="shared" si="12"/>
        <v>105.73</v>
      </c>
    </row>
    <row r="373" spans="1:8" ht="41.4">
      <c r="A373" s="502" t="s">
        <v>23717</v>
      </c>
      <c r="B373" s="504" t="s">
        <v>23718</v>
      </c>
      <c r="C373" s="502" t="s">
        <v>75</v>
      </c>
      <c r="D373" s="503" t="s">
        <v>29267</v>
      </c>
      <c r="F373" t="str">
        <f t="shared" si="11"/>
        <v>103098</v>
      </c>
      <c r="H373" s="14">
        <f t="shared" si="12"/>
        <v>113.58</v>
      </c>
    </row>
    <row r="374" spans="1:8" ht="41.4">
      <c r="A374" s="502" t="s">
        <v>23719</v>
      </c>
      <c r="B374" s="504" t="s">
        <v>23720</v>
      </c>
      <c r="C374" s="502" t="s">
        <v>75</v>
      </c>
      <c r="D374" s="503" t="s">
        <v>19438</v>
      </c>
      <c r="F374" t="str">
        <f t="shared" si="11"/>
        <v>103099</v>
      </c>
      <c r="H374" s="14">
        <f t="shared" si="12"/>
        <v>129.24</v>
      </c>
    </row>
    <row r="375" spans="1:8" ht="41.4">
      <c r="A375" s="502" t="s">
        <v>23721</v>
      </c>
      <c r="B375" s="504" t="s">
        <v>23722</v>
      </c>
      <c r="C375" s="502" t="s">
        <v>75</v>
      </c>
      <c r="D375" s="503" t="s">
        <v>21783</v>
      </c>
      <c r="F375" t="str">
        <f t="shared" si="11"/>
        <v>103100</v>
      </c>
      <c r="H375" s="14">
        <f t="shared" si="12"/>
        <v>137.97</v>
      </c>
    </row>
    <row r="376" spans="1:8" ht="41.4">
      <c r="A376" s="502" t="s">
        <v>23723</v>
      </c>
      <c r="B376" s="504" t="s">
        <v>23724</v>
      </c>
      <c r="C376" s="502" t="s">
        <v>75</v>
      </c>
      <c r="D376" s="503" t="s">
        <v>30668</v>
      </c>
      <c r="F376" t="str">
        <f t="shared" si="11"/>
        <v>103101</v>
      </c>
      <c r="H376" s="14">
        <f t="shared" si="12"/>
        <v>151.97</v>
      </c>
    </row>
    <row r="377" spans="1:8" ht="41.4">
      <c r="A377" s="502" t="s">
        <v>23725</v>
      </c>
      <c r="B377" s="504" t="s">
        <v>23726</v>
      </c>
      <c r="C377" s="502" t="s">
        <v>75</v>
      </c>
      <c r="D377" s="503" t="s">
        <v>30669</v>
      </c>
      <c r="F377" t="str">
        <f t="shared" si="11"/>
        <v>103102</v>
      </c>
      <c r="H377" s="14">
        <f t="shared" si="12"/>
        <v>175.01</v>
      </c>
    </row>
    <row r="378" spans="1:8" ht="41.4">
      <c r="A378" s="502" t="s">
        <v>23727</v>
      </c>
      <c r="B378" s="504" t="s">
        <v>23728</v>
      </c>
      <c r="C378" s="502" t="s">
        <v>75</v>
      </c>
      <c r="D378" s="503" t="s">
        <v>30670</v>
      </c>
      <c r="F378" t="str">
        <f t="shared" si="11"/>
        <v>103103</v>
      </c>
      <c r="H378" s="14">
        <f t="shared" si="12"/>
        <v>189.03</v>
      </c>
    </row>
    <row r="379" spans="1:8" ht="41.4">
      <c r="A379" s="502" t="s">
        <v>23729</v>
      </c>
      <c r="B379" s="504" t="s">
        <v>23730</v>
      </c>
      <c r="C379" s="502" t="s">
        <v>75</v>
      </c>
      <c r="D379" s="503" t="s">
        <v>30671</v>
      </c>
      <c r="F379" t="str">
        <f t="shared" si="11"/>
        <v>103104</v>
      </c>
      <c r="H379" s="14">
        <f t="shared" si="12"/>
        <v>226.09</v>
      </c>
    </row>
    <row r="380" spans="1:8" ht="41.4">
      <c r="A380" s="502" t="s">
        <v>23731</v>
      </c>
      <c r="B380" s="504" t="s">
        <v>23732</v>
      </c>
      <c r="C380" s="502" t="s">
        <v>114</v>
      </c>
      <c r="D380" s="503" t="s">
        <v>30672</v>
      </c>
      <c r="F380" t="str">
        <f t="shared" si="11"/>
        <v>103105</v>
      </c>
      <c r="H380" s="14">
        <f t="shared" si="12"/>
        <v>66.680000000000007</v>
      </c>
    </row>
    <row r="381" spans="1:8" ht="41.4">
      <c r="A381" s="502" t="s">
        <v>23733</v>
      </c>
      <c r="B381" s="504" t="s">
        <v>23734</v>
      </c>
      <c r="C381" s="502" t="s">
        <v>114</v>
      </c>
      <c r="D381" s="503" t="s">
        <v>30673</v>
      </c>
      <c r="F381" t="str">
        <f t="shared" si="11"/>
        <v>103106</v>
      </c>
      <c r="H381" s="14">
        <f t="shared" si="12"/>
        <v>79.75</v>
      </c>
    </row>
    <row r="382" spans="1:8" ht="41.4">
      <c r="A382" s="502" t="s">
        <v>23735</v>
      </c>
      <c r="B382" s="504" t="s">
        <v>23736</v>
      </c>
      <c r="C382" s="502" t="s">
        <v>114</v>
      </c>
      <c r="D382" s="503" t="s">
        <v>30674</v>
      </c>
      <c r="F382" t="str">
        <f t="shared" si="11"/>
        <v>103107</v>
      </c>
      <c r="H382" s="14">
        <f t="shared" si="12"/>
        <v>112.41</v>
      </c>
    </row>
    <row r="383" spans="1:8" ht="41.4">
      <c r="A383" s="502" t="s">
        <v>23737</v>
      </c>
      <c r="B383" s="504" t="s">
        <v>23738</v>
      </c>
      <c r="C383" s="502" t="s">
        <v>114</v>
      </c>
      <c r="D383" s="503" t="s">
        <v>30675</v>
      </c>
      <c r="F383" t="str">
        <f t="shared" si="11"/>
        <v>103108</v>
      </c>
      <c r="H383" s="14">
        <f t="shared" si="12"/>
        <v>145.07</v>
      </c>
    </row>
    <row r="384" spans="1:8" ht="41.4">
      <c r="A384" s="502" t="s">
        <v>23739</v>
      </c>
      <c r="B384" s="504" t="s">
        <v>23740</v>
      </c>
      <c r="C384" s="502" t="s">
        <v>114</v>
      </c>
      <c r="D384" s="503" t="s">
        <v>30676</v>
      </c>
      <c r="F384" t="str">
        <f t="shared" si="11"/>
        <v>103109</v>
      </c>
      <c r="H384" s="14">
        <f t="shared" si="12"/>
        <v>239.09</v>
      </c>
    </row>
    <row r="385" spans="1:8" ht="41.4">
      <c r="A385" s="502" t="s">
        <v>23741</v>
      </c>
      <c r="B385" s="504" t="s">
        <v>23742</v>
      </c>
      <c r="C385" s="502" t="s">
        <v>114</v>
      </c>
      <c r="D385" s="503" t="s">
        <v>30677</v>
      </c>
      <c r="F385" t="str">
        <f t="shared" si="11"/>
        <v>103110</v>
      </c>
      <c r="H385" s="14">
        <f t="shared" si="12"/>
        <v>271.74</v>
      </c>
    </row>
    <row r="386" spans="1:8" ht="41.4">
      <c r="A386" s="502" t="s">
        <v>23743</v>
      </c>
      <c r="B386" s="504" t="s">
        <v>23744</v>
      </c>
      <c r="C386" s="502" t="s">
        <v>114</v>
      </c>
      <c r="D386" s="503" t="s">
        <v>30678</v>
      </c>
      <c r="F386" t="str">
        <f t="shared" si="11"/>
        <v>103111</v>
      </c>
      <c r="H386" s="14">
        <f t="shared" si="12"/>
        <v>365.74</v>
      </c>
    </row>
    <row r="387" spans="1:8" ht="41.4">
      <c r="A387" s="502" t="s">
        <v>23745</v>
      </c>
      <c r="B387" s="504" t="s">
        <v>23746</v>
      </c>
      <c r="C387" s="502" t="s">
        <v>114</v>
      </c>
      <c r="D387" s="503" t="s">
        <v>30679</v>
      </c>
      <c r="F387" t="str">
        <f t="shared" si="11"/>
        <v>103112</v>
      </c>
      <c r="H387" s="14">
        <f t="shared" si="12"/>
        <v>398.42</v>
      </c>
    </row>
    <row r="388" spans="1:8" ht="41.4">
      <c r="A388" s="502" t="s">
        <v>23747</v>
      </c>
      <c r="B388" s="504" t="s">
        <v>23748</v>
      </c>
      <c r="C388" s="502" t="s">
        <v>114</v>
      </c>
      <c r="D388" s="503" t="s">
        <v>30680</v>
      </c>
      <c r="F388" t="str">
        <f t="shared" si="11"/>
        <v>103113</v>
      </c>
      <c r="H388" s="14">
        <f t="shared" si="12"/>
        <v>492.43</v>
      </c>
    </row>
    <row r="389" spans="1:8" ht="41.4">
      <c r="A389" s="502" t="s">
        <v>23749</v>
      </c>
      <c r="B389" s="504" t="s">
        <v>23750</v>
      </c>
      <c r="C389" s="502" t="s">
        <v>114</v>
      </c>
      <c r="D389" s="503" t="s">
        <v>30681</v>
      </c>
      <c r="F389" t="str">
        <f t="shared" ref="F389:F452" si="13">TRIM(A389)</f>
        <v>103114</v>
      </c>
      <c r="H389" s="14">
        <f t="shared" ref="H389:H452" si="14">ROUND(D389*(1+$H$1),2)</f>
        <v>525.08000000000004</v>
      </c>
    </row>
    <row r="390" spans="1:8" ht="41.4">
      <c r="A390" s="502" t="s">
        <v>23751</v>
      </c>
      <c r="B390" s="504" t="s">
        <v>23752</v>
      </c>
      <c r="C390" s="502" t="s">
        <v>114</v>
      </c>
      <c r="D390" s="503" t="s">
        <v>30682</v>
      </c>
      <c r="F390" t="str">
        <f t="shared" si="13"/>
        <v>103115</v>
      </c>
      <c r="H390" s="14">
        <f t="shared" si="14"/>
        <v>590.39</v>
      </c>
    </row>
    <row r="391" spans="1:8" ht="41.4">
      <c r="A391" s="502" t="s">
        <v>23753</v>
      </c>
      <c r="B391" s="504" t="s">
        <v>23754</v>
      </c>
      <c r="C391" s="502" t="s">
        <v>114</v>
      </c>
      <c r="D391" s="503" t="s">
        <v>30683</v>
      </c>
      <c r="F391" t="str">
        <f t="shared" si="13"/>
        <v>103116</v>
      </c>
      <c r="H391" s="14">
        <f t="shared" si="14"/>
        <v>717.07</v>
      </c>
    </row>
    <row r="392" spans="1:8" ht="41.4">
      <c r="A392" s="502" t="s">
        <v>23755</v>
      </c>
      <c r="B392" s="504" t="s">
        <v>23756</v>
      </c>
      <c r="C392" s="502" t="s">
        <v>114</v>
      </c>
      <c r="D392" s="503" t="s">
        <v>30684</v>
      </c>
      <c r="F392" t="str">
        <f t="shared" si="13"/>
        <v>103117</v>
      </c>
      <c r="H392" s="14">
        <f t="shared" si="14"/>
        <v>782.39</v>
      </c>
    </row>
    <row r="393" spans="1:8" ht="41.4">
      <c r="A393" s="502" t="s">
        <v>23757</v>
      </c>
      <c r="B393" s="504" t="s">
        <v>23758</v>
      </c>
      <c r="C393" s="502" t="s">
        <v>114</v>
      </c>
      <c r="D393" s="503" t="s">
        <v>30685</v>
      </c>
      <c r="F393" t="str">
        <f t="shared" si="13"/>
        <v>103118</v>
      </c>
      <c r="H393" s="14">
        <f t="shared" si="14"/>
        <v>909.07</v>
      </c>
    </row>
    <row r="394" spans="1:8" ht="41.4">
      <c r="A394" s="502" t="s">
        <v>23759</v>
      </c>
      <c r="B394" s="504" t="s">
        <v>23760</v>
      </c>
      <c r="C394" s="502" t="s">
        <v>114</v>
      </c>
      <c r="D394" s="503" t="s">
        <v>15484</v>
      </c>
      <c r="F394" t="str">
        <f t="shared" si="13"/>
        <v>103119</v>
      </c>
      <c r="H394" s="14">
        <f t="shared" si="14"/>
        <v>974.39</v>
      </c>
    </row>
    <row r="395" spans="1:8" ht="41.4">
      <c r="A395" s="502" t="s">
        <v>23761</v>
      </c>
      <c r="B395" s="504" t="s">
        <v>23762</v>
      </c>
      <c r="C395" s="502" t="s">
        <v>114</v>
      </c>
      <c r="D395" s="503" t="s">
        <v>30686</v>
      </c>
      <c r="F395" t="str">
        <f t="shared" si="13"/>
        <v>103120</v>
      </c>
      <c r="H395" s="14">
        <f t="shared" si="14"/>
        <v>1166.3599999999999</v>
      </c>
    </row>
    <row r="396" spans="1:8" ht="41.4">
      <c r="A396" s="502" t="s">
        <v>23763</v>
      </c>
      <c r="B396" s="504" t="s">
        <v>23764</v>
      </c>
      <c r="C396" s="502" t="s">
        <v>114</v>
      </c>
      <c r="D396" s="503" t="s">
        <v>30687</v>
      </c>
      <c r="F396" t="str">
        <f t="shared" si="13"/>
        <v>103121</v>
      </c>
      <c r="H396" s="14">
        <f t="shared" si="14"/>
        <v>87.83</v>
      </c>
    </row>
    <row r="397" spans="1:8" ht="41.4">
      <c r="A397" s="502" t="s">
        <v>23765</v>
      </c>
      <c r="B397" s="504" t="s">
        <v>23766</v>
      </c>
      <c r="C397" s="502" t="s">
        <v>114</v>
      </c>
      <c r="D397" s="503" t="s">
        <v>30688</v>
      </c>
      <c r="F397" t="str">
        <f t="shared" si="13"/>
        <v>103122</v>
      </c>
      <c r="H397" s="14">
        <f t="shared" si="14"/>
        <v>107.41</v>
      </c>
    </row>
    <row r="398" spans="1:8" ht="41.4">
      <c r="A398" s="502" t="s">
        <v>23767</v>
      </c>
      <c r="B398" s="504" t="s">
        <v>23768</v>
      </c>
      <c r="C398" s="502" t="s">
        <v>114</v>
      </c>
      <c r="D398" s="503" t="s">
        <v>11426</v>
      </c>
      <c r="F398" t="str">
        <f t="shared" si="13"/>
        <v>103123</v>
      </c>
      <c r="H398" s="14">
        <f t="shared" si="14"/>
        <v>156.41</v>
      </c>
    </row>
    <row r="399" spans="1:8" ht="41.4">
      <c r="A399" s="502" t="s">
        <v>23769</v>
      </c>
      <c r="B399" s="504" t="s">
        <v>23770</v>
      </c>
      <c r="C399" s="502" t="s">
        <v>114</v>
      </c>
      <c r="D399" s="503" t="s">
        <v>30689</v>
      </c>
      <c r="F399" t="str">
        <f t="shared" si="13"/>
        <v>103124</v>
      </c>
      <c r="H399" s="14">
        <f t="shared" si="14"/>
        <v>205.39</v>
      </c>
    </row>
    <row r="400" spans="1:8" ht="41.4">
      <c r="A400" s="502" t="s">
        <v>23771</v>
      </c>
      <c r="B400" s="504" t="s">
        <v>23772</v>
      </c>
      <c r="C400" s="502" t="s">
        <v>114</v>
      </c>
      <c r="D400" s="503" t="s">
        <v>30690</v>
      </c>
      <c r="F400" t="str">
        <f t="shared" si="13"/>
        <v>103125</v>
      </c>
      <c r="H400" s="14">
        <f t="shared" si="14"/>
        <v>346.42</v>
      </c>
    </row>
    <row r="401" spans="1:8" ht="41.4">
      <c r="A401" s="502" t="s">
        <v>23773</v>
      </c>
      <c r="B401" s="504" t="s">
        <v>23774</v>
      </c>
      <c r="C401" s="502" t="s">
        <v>114</v>
      </c>
      <c r="D401" s="503" t="s">
        <v>30691</v>
      </c>
      <c r="F401" t="str">
        <f t="shared" si="13"/>
        <v>103126</v>
      </c>
      <c r="H401" s="14">
        <f t="shared" si="14"/>
        <v>395.41</v>
      </c>
    </row>
    <row r="402" spans="1:8" ht="41.4">
      <c r="A402" s="502" t="s">
        <v>23775</v>
      </c>
      <c r="B402" s="504" t="s">
        <v>23776</v>
      </c>
      <c r="C402" s="502" t="s">
        <v>114</v>
      </c>
      <c r="D402" s="503" t="s">
        <v>30692</v>
      </c>
      <c r="F402" t="str">
        <f t="shared" si="13"/>
        <v>103127</v>
      </c>
      <c r="H402" s="14">
        <f t="shared" si="14"/>
        <v>536.44000000000005</v>
      </c>
    </row>
    <row r="403" spans="1:8" ht="41.4">
      <c r="A403" s="502" t="s">
        <v>23777</v>
      </c>
      <c r="B403" s="504" t="s">
        <v>23778</v>
      </c>
      <c r="C403" s="502" t="s">
        <v>114</v>
      </c>
      <c r="D403" s="503" t="s">
        <v>30693</v>
      </c>
      <c r="F403" t="str">
        <f t="shared" si="13"/>
        <v>103128</v>
      </c>
      <c r="H403" s="14">
        <f t="shared" si="14"/>
        <v>585.41999999999996</v>
      </c>
    </row>
    <row r="404" spans="1:8" ht="41.4">
      <c r="A404" s="502" t="s">
        <v>23779</v>
      </c>
      <c r="B404" s="504" t="s">
        <v>23780</v>
      </c>
      <c r="C404" s="502" t="s">
        <v>114</v>
      </c>
      <c r="D404" s="503" t="s">
        <v>30694</v>
      </c>
      <c r="F404" t="str">
        <f t="shared" si="13"/>
        <v>103129</v>
      </c>
      <c r="H404" s="14">
        <f t="shared" si="14"/>
        <v>726.47</v>
      </c>
    </row>
    <row r="405" spans="1:8" ht="41.4">
      <c r="A405" s="502" t="s">
        <v>23781</v>
      </c>
      <c r="B405" s="504" t="s">
        <v>23782</v>
      </c>
      <c r="C405" s="502" t="s">
        <v>114</v>
      </c>
      <c r="D405" s="503" t="s">
        <v>30695</v>
      </c>
      <c r="F405" t="str">
        <f t="shared" si="13"/>
        <v>103130</v>
      </c>
      <c r="H405" s="14">
        <f t="shared" si="14"/>
        <v>775.44</v>
      </c>
    </row>
    <row r="406" spans="1:8" ht="41.4">
      <c r="A406" s="502" t="s">
        <v>23783</v>
      </c>
      <c r="B406" s="504" t="s">
        <v>23784</v>
      </c>
      <c r="C406" s="502" t="s">
        <v>114</v>
      </c>
      <c r="D406" s="503" t="s">
        <v>30696</v>
      </c>
      <c r="F406" t="str">
        <f t="shared" si="13"/>
        <v>103131</v>
      </c>
      <c r="H406" s="14">
        <f t="shared" si="14"/>
        <v>873.4</v>
      </c>
    </row>
    <row r="407" spans="1:8" ht="41.4">
      <c r="A407" s="502" t="s">
        <v>23785</v>
      </c>
      <c r="B407" s="504" t="s">
        <v>23786</v>
      </c>
      <c r="C407" s="502" t="s">
        <v>114</v>
      </c>
      <c r="D407" s="503" t="s">
        <v>30697</v>
      </c>
      <c r="F407" t="str">
        <f t="shared" si="13"/>
        <v>103132</v>
      </c>
      <c r="H407" s="14">
        <f t="shared" si="14"/>
        <v>1063.4000000000001</v>
      </c>
    </row>
    <row r="408" spans="1:8" ht="41.4">
      <c r="A408" s="502" t="s">
        <v>23787</v>
      </c>
      <c r="B408" s="504" t="s">
        <v>23788</v>
      </c>
      <c r="C408" s="502" t="s">
        <v>114</v>
      </c>
      <c r="D408" s="503" t="s">
        <v>30698</v>
      </c>
      <c r="F408" t="str">
        <f t="shared" si="13"/>
        <v>103133</v>
      </c>
      <c r="H408" s="14">
        <f t="shared" si="14"/>
        <v>1161.3900000000001</v>
      </c>
    </row>
    <row r="409" spans="1:8" ht="41.4">
      <c r="A409" s="502" t="s">
        <v>23789</v>
      </c>
      <c r="B409" s="504" t="s">
        <v>23790</v>
      </c>
      <c r="C409" s="502" t="s">
        <v>114</v>
      </c>
      <c r="D409" s="503" t="s">
        <v>30699</v>
      </c>
      <c r="F409" t="str">
        <f t="shared" si="13"/>
        <v>103134</v>
      </c>
      <c r="H409" s="14">
        <f t="shared" si="14"/>
        <v>1351.38</v>
      </c>
    </row>
    <row r="410" spans="1:8" ht="41.4">
      <c r="A410" s="502" t="s">
        <v>23791</v>
      </c>
      <c r="B410" s="504" t="s">
        <v>23792</v>
      </c>
      <c r="C410" s="502" t="s">
        <v>114</v>
      </c>
      <c r="D410" s="503" t="s">
        <v>30700</v>
      </c>
      <c r="F410" t="str">
        <f t="shared" si="13"/>
        <v>103135</v>
      </c>
      <c r="H410" s="14">
        <f t="shared" si="14"/>
        <v>1449.37</v>
      </c>
    </row>
    <row r="411" spans="1:8" ht="41.4">
      <c r="A411" s="502" t="s">
        <v>23793</v>
      </c>
      <c r="B411" s="504" t="s">
        <v>23794</v>
      </c>
      <c r="C411" s="502" t="s">
        <v>114</v>
      </c>
      <c r="D411" s="503" t="s">
        <v>30701</v>
      </c>
      <c r="F411" t="str">
        <f t="shared" si="13"/>
        <v>103136</v>
      </c>
      <c r="H411" s="14">
        <f t="shared" si="14"/>
        <v>1737.35</v>
      </c>
    </row>
    <row r="412" spans="1:8" ht="41.4">
      <c r="A412" s="502" t="s">
        <v>23795</v>
      </c>
      <c r="B412" s="504" t="s">
        <v>23796</v>
      </c>
      <c r="C412" s="502" t="s">
        <v>114</v>
      </c>
      <c r="D412" s="503" t="s">
        <v>30702</v>
      </c>
      <c r="F412" t="str">
        <f t="shared" si="13"/>
        <v>103137</v>
      </c>
      <c r="H412" s="14">
        <f t="shared" si="14"/>
        <v>45.56</v>
      </c>
    </row>
    <row r="413" spans="1:8" ht="41.4">
      <c r="A413" s="502" t="s">
        <v>23798</v>
      </c>
      <c r="B413" s="504" t="s">
        <v>23799</v>
      </c>
      <c r="C413" s="502" t="s">
        <v>114</v>
      </c>
      <c r="D413" s="503" t="s">
        <v>30703</v>
      </c>
      <c r="F413" t="str">
        <f t="shared" si="13"/>
        <v>103138</v>
      </c>
      <c r="H413" s="14">
        <f t="shared" si="14"/>
        <v>52.09</v>
      </c>
    </row>
    <row r="414" spans="1:8" ht="41.4">
      <c r="A414" s="502" t="s">
        <v>23800</v>
      </c>
      <c r="B414" s="504" t="s">
        <v>23801</v>
      </c>
      <c r="C414" s="502" t="s">
        <v>114</v>
      </c>
      <c r="D414" s="503" t="s">
        <v>15456</v>
      </c>
      <c r="F414" t="str">
        <f t="shared" si="13"/>
        <v>103139</v>
      </c>
      <c r="H414" s="14">
        <f t="shared" si="14"/>
        <v>68.42</v>
      </c>
    </row>
    <row r="415" spans="1:8" ht="41.4">
      <c r="A415" s="502" t="s">
        <v>23802</v>
      </c>
      <c r="B415" s="504" t="s">
        <v>23803</v>
      </c>
      <c r="C415" s="502" t="s">
        <v>114</v>
      </c>
      <c r="D415" s="503" t="s">
        <v>30704</v>
      </c>
      <c r="F415" t="str">
        <f t="shared" si="13"/>
        <v>103140</v>
      </c>
      <c r="H415" s="14">
        <f t="shared" si="14"/>
        <v>84.75</v>
      </c>
    </row>
    <row r="416" spans="1:8" ht="41.4">
      <c r="A416" s="502" t="s">
        <v>23804</v>
      </c>
      <c r="B416" s="504" t="s">
        <v>23805</v>
      </c>
      <c r="C416" s="502" t="s">
        <v>114</v>
      </c>
      <c r="D416" s="503" t="s">
        <v>30705</v>
      </c>
      <c r="F416" t="str">
        <f t="shared" si="13"/>
        <v>103141</v>
      </c>
      <c r="H416" s="14">
        <f t="shared" si="14"/>
        <v>131.78</v>
      </c>
    </row>
    <row r="417" spans="1:8" ht="41.4">
      <c r="A417" s="502" t="s">
        <v>23806</v>
      </c>
      <c r="B417" s="504" t="s">
        <v>23807</v>
      </c>
      <c r="C417" s="502" t="s">
        <v>114</v>
      </c>
      <c r="D417" s="503" t="s">
        <v>30706</v>
      </c>
      <c r="F417" t="str">
        <f t="shared" si="13"/>
        <v>103142</v>
      </c>
      <c r="H417" s="14">
        <f t="shared" si="14"/>
        <v>148.08000000000001</v>
      </c>
    </row>
    <row r="418" spans="1:8" ht="41.4">
      <c r="A418" s="502" t="s">
        <v>23808</v>
      </c>
      <c r="B418" s="504" t="s">
        <v>23809</v>
      </c>
      <c r="C418" s="502" t="s">
        <v>114</v>
      </c>
      <c r="D418" s="503" t="s">
        <v>30707</v>
      </c>
      <c r="F418" t="str">
        <f t="shared" si="13"/>
        <v>103143</v>
      </c>
      <c r="H418" s="14">
        <f t="shared" si="14"/>
        <v>195.1</v>
      </c>
    </row>
    <row r="419" spans="1:8" ht="41.4">
      <c r="A419" s="502" t="s">
        <v>23810</v>
      </c>
      <c r="B419" s="504" t="s">
        <v>23811</v>
      </c>
      <c r="C419" s="502" t="s">
        <v>114</v>
      </c>
      <c r="D419" s="503" t="s">
        <v>30708</v>
      </c>
      <c r="F419" t="str">
        <f t="shared" si="13"/>
        <v>103144</v>
      </c>
      <c r="H419" s="14">
        <f t="shared" si="14"/>
        <v>211.41</v>
      </c>
    </row>
    <row r="420" spans="1:8" ht="41.4">
      <c r="A420" s="502" t="s">
        <v>23812</v>
      </c>
      <c r="B420" s="504" t="s">
        <v>23813</v>
      </c>
      <c r="C420" s="502" t="s">
        <v>114</v>
      </c>
      <c r="D420" s="503" t="s">
        <v>30709</v>
      </c>
      <c r="F420" t="str">
        <f t="shared" si="13"/>
        <v>103145</v>
      </c>
      <c r="H420" s="14">
        <f t="shared" si="14"/>
        <v>258.44</v>
      </c>
    </row>
    <row r="421" spans="1:8" ht="41.4">
      <c r="A421" s="502" t="s">
        <v>23814</v>
      </c>
      <c r="B421" s="504" t="s">
        <v>23815</v>
      </c>
      <c r="C421" s="502" t="s">
        <v>114</v>
      </c>
      <c r="D421" s="503" t="s">
        <v>30710</v>
      </c>
      <c r="F421" t="str">
        <f t="shared" si="13"/>
        <v>103146</v>
      </c>
      <c r="H421" s="14">
        <f t="shared" si="14"/>
        <v>274.73</v>
      </c>
    </row>
    <row r="422" spans="1:8" ht="41.4">
      <c r="A422" s="502" t="s">
        <v>23816</v>
      </c>
      <c r="B422" s="504" t="s">
        <v>23817</v>
      </c>
      <c r="C422" s="502" t="s">
        <v>114</v>
      </c>
      <c r="D422" s="503" t="s">
        <v>30711</v>
      </c>
      <c r="F422" t="str">
        <f t="shared" si="13"/>
        <v>103147</v>
      </c>
      <c r="H422" s="14">
        <f t="shared" si="14"/>
        <v>307.41000000000003</v>
      </c>
    </row>
    <row r="423" spans="1:8" ht="41.4">
      <c r="A423" s="502" t="s">
        <v>23818</v>
      </c>
      <c r="B423" s="504" t="s">
        <v>23819</v>
      </c>
      <c r="C423" s="502" t="s">
        <v>114</v>
      </c>
      <c r="D423" s="503" t="s">
        <v>30712</v>
      </c>
      <c r="F423" t="str">
        <f t="shared" si="13"/>
        <v>103148</v>
      </c>
      <c r="H423" s="14">
        <f t="shared" si="14"/>
        <v>370.74</v>
      </c>
    </row>
    <row r="424" spans="1:8" ht="41.4">
      <c r="A424" s="502" t="s">
        <v>23820</v>
      </c>
      <c r="B424" s="504" t="s">
        <v>23821</v>
      </c>
      <c r="C424" s="502" t="s">
        <v>114</v>
      </c>
      <c r="D424" s="503" t="s">
        <v>30713</v>
      </c>
      <c r="F424" t="str">
        <f t="shared" si="13"/>
        <v>103149</v>
      </c>
      <c r="H424" s="14">
        <f t="shared" si="14"/>
        <v>403.39</v>
      </c>
    </row>
    <row r="425" spans="1:8" ht="41.4">
      <c r="A425" s="502" t="s">
        <v>23822</v>
      </c>
      <c r="B425" s="504" t="s">
        <v>23823</v>
      </c>
      <c r="C425" s="502" t="s">
        <v>114</v>
      </c>
      <c r="D425" s="503" t="s">
        <v>30714</v>
      </c>
      <c r="F425" t="str">
        <f t="shared" si="13"/>
        <v>103150</v>
      </c>
      <c r="H425" s="14">
        <f t="shared" si="14"/>
        <v>466.67</v>
      </c>
    </row>
    <row r="426" spans="1:8" ht="41.4">
      <c r="A426" s="502" t="s">
        <v>23824</v>
      </c>
      <c r="B426" s="504" t="s">
        <v>23825</v>
      </c>
      <c r="C426" s="502" t="s">
        <v>114</v>
      </c>
      <c r="D426" s="503" t="s">
        <v>30715</v>
      </c>
      <c r="F426" t="str">
        <f t="shared" si="13"/>
        <v>103151</v>
      </c>
      <c r="H426" s="14">
        <f t="shared" si="14"/>
        <v>499.41</v>
      </c>
    </row>
    <row r="427" spans="1:8" ht="41.4">
      <c r="A427" s="502" t="s">
        <v>23826</v>
      </c>
      <c r="B427" s="504" t="s">
        <v>23827</v>
      </c>
      <c r="C427" s="502" t="s">
        <v>114</v>
      </c>
      <c r="D427" s="503" t="s">
        <v>30716</v>
      </c>
      <c r="F427" t="str">
        <f t="shared" si="13"/>
        <v>103152</v>
      </c>
      <c r="H427" s="14">
        <f t="shared" si="14"/>
        <v>595.39</v>
      </c>
    </row>
    <row r="428" spans="1:8" ht="55.2">
      <c r="A428" s="502" t="s">
        <v>23828</v>
      </c>
      <c r="B428" s="504" t="s">
        <v>23829</v>
      </c>
      <c r="C428" s="502" t="s">
        <v>75</v>
      </c>
      <c r="D428" s="503" t="s">
        <v>9542</v>
      </c>
      <c r="F428" t="str">
        <f t="shared" si="13"/>
        <v>103372</v>
      </c>
      <c r="H428" s="14">
        <f t="shared" si="14"/>
        <v>7.08</v>
      </c>
    </row>
    <row r="429" spans="1:8" ht="55.2">
      <c r="A429" s="502" t="s">
        <v>23830</v>
      </c>
      <c r="B429" s="504" t="s">
        <v>23831</v>
      </c>
      <c r="C429" s="502" t="s">
        <v>75</v>
      </c>
      <c r="D429" s="503" t="s">
        <v>11419</v>
      </c>
      <c r="F429" t="str">
        <f t="shared" si="13"/>
        <v>103373</v>
      </c>
      <c r="H429" s="14">
        <f t="shared" si="14"/>
        <v>13.83</v>
      </c>
    </row>
    <row r="430" spans="1:8" ht="55.2">
      <c r="A430" s="502" t="s">
        <v>23832</v>
      </c>
      <c r="B430" s="504" t="s">
        <v>23833</v>
      </c>
      <c r="C430" s="502" t="s">
        <v>75</v>
      </c>
      <c r="D430" s="503" t="s">
        <v>30717</v>
      </c>
      <c r="F430" t="str">
        <f t="shared" si="13"/>
        <v>103376</v>
      </c>
      <c r="H430" s="14">
        <f t="shared" si="14"/>
        <v>164.23</v>
      </c>
    </row>
    <row r="431" spans="1:8" ht="55.2">
      <c r="A431" s="502" t="s">
        <v>23834</v>
      </c>
      <c r="B431" s="504" t="s">
        <v>23835</v>
      </c>
      <c r="C431" s="502" t="s">
        <v>75</v>
      </c>
      <c r="D431" s="503" t="s">
        <v>30718</v>
      </c>
      <c r="F431" t="str">
        <f t="shared" si="13"/>
        <v>103377</v>
      </c>
      <c r="H431" s="14">
        <f t="shared" si="14"/>
        <v>351.25</v>
      </c>
    </row>
    <row r="432" spans="1:8" ht="55.2">
      <c r="A432" s="502" t="s">
        <v>23836</v>
      </c>
      <c r="B432" s="504" t="s">
        <v>23837</v>
      </c>
      <c r="C432" s="502" t="s">
        <v>75</v>
      </c>
      <c r="D432" s="503" t="s">
        <v>30719</v>
      </c>
      <c r="F432" t="str">
        <f t="shared" si="13"/>
        <v>103379</v>
      </c>
      <c r="H432" s="14">
        <f t="shared" si="14"/>
        <v>546.71</v>
      </c>
    </row>
    <row r="433" spans="1:8" ht="55.2">
      <c r="A433" s="502" t="s">
        <v>23838</v>
      </c>
      <c r="B433" s="504" t="s">
        <v>23839</v>
      </c>
      <c r="C433" s="502" t="s">
        <v>75</v>
      </c>
      <c r="D433" s="503" t="s">
        <v>30720</v>
      </c>
      <c r="F433" t="str">
        <f t="shared" si="13"/>
        <v>103383</v>
      </c>
      <c r="H433" s="14">
        <f t="shared" si="14"/>
        <v>1339.72</v>
      </c>
    </row>
    <row r="434" spans="1:8" ht="55.2">
      <c r="A434" s="502" t="s">
        <v>23840</v>
      </c>
      <c r="B434" s="504" t="s">
        <v>23841</v>
      </c>
      <c r="C434" s="502" t="s">
        <v>75</v>
      </c>
      <c r="D434" s="503" t="s">
        <v>30721</v>
      </c>
      <c r="F434" t="str">
        <f t="shared" si="13"/>
        <v>103385</v>
      </c>
      <c r="H434" s="14">
        <f t="shared" si="14"/>
        <v>2160.34</v>
      </c>
    </row>
    <row r="435" spans="1:8" ht="55.2">
      <c r="A435" s="502" t="s">
        <v>23842</v>
      </c>
      <c r="B435" s="504" t="s">
        <v>23843</v>
      </c>
      <c r="C435" s="502" t="s">
        <v>75</v>
      </c>
      <c r="D435" s="503" t="s">
        <v>30722</v>
      </c>
      <c r="F435" t="str">
        <f t="shared" si="13"/>
        <v>103387</v>
      </c>
      <c r="H435" s="14">
        <f t="shared" si="14"/>
        <v>3789.7</v>
      </c>
    </row>
    <row r="436" spans="1:8" ht="55.2">
      <c r="A436" s="502" t="s">
        <v>23844</v>
      </c>
      <c r="B436" s="504" t="s">
        <v>23845</v>
      </c>
      <c r="C436" s="502" t="s">
        <v>75</v>
      </c>
      <c r="D436" s="503" t="s">
        <v>30723</v>
      </c>
      <c r="F436" t="str">
        <f t="shared" si="13"/>
        <v>103389</v>
      </c>
      <c r="H436" s="14">
        <f t="shared" si="14"/>
        <v>5635.85</v>
      </c>
    </row>
    <row r="437" spans="1:8" ht="55.2">
      <c r="A437" s="502" t="s">
        <v>23846</v>
      </c>
      <c r="B437" s="504" t="s">
        <v>23847</v>
      </c>
      <c r="C437" s="502" t="s">
        <v>75</v>
      </c>
      <c r="D437" s="503" t="s">
        <v>30724</v>
      </c>
      <c r="F437" t="str">
        <f t="shared" si="13"/>
        <v>103391</v>
      </c>
      <c r="H437" s="14">
        <f t="shared" si="14"/>
        <v>3715.3</v>
      </c>
    </row>
    <row r="438" spans="1:8" ht="55.2">
      <c r="A438" s="502" t="s">
        <v>23848</v>
      </c>
      <c r="B438" s="504" t="s">
        <v>23849</v>
      </c>
      <c r="C438" s="502" t="s">
        <v>75</v>
      </c>
      <c r="D438" s="503" t="s">
        <v>30725</v>
      </c>
      <c r="F438" t="str">
        <f t="shared" si="13"/>
        <v>103392</v>
      </c>
      <c r="H438" s="14">
        <f t="shared" si="14"/>
        <v>6070.39</v>
      </c>
    </row>
    <row r="439" spans="1:8" ht="55.2">
      <c r="A439" s="502" t="s">
        <v>23850</v>
      </c>
      <c r="B439" s="504" t="s">
        <v>23851</v>
      </c>
      <c r="C439" s="502" t="s">
        <v>75</v>
      </c>
      <c r="D439" s="503" t="s">
        <v>30726</v>
      </c>
      <c r="F439" t="str">
        <f t="shared" si="13"/>
        <v>103393</v>
      </c>
      <c r="H439" s="14">
        <f t="shared" si="14"/>
        <v>6695.6</v>
      </c>
    </row>
    <row r="440" spans="1:8" ht="55.2">
      <c r="A440" s="502" t="s">
        <v>23852</v>
      </c>
      <c r="B440" s="504" t="s">
        <v>23853</v>
      </c>
      <c r="C440" s="502" t="s">
        <v>114</v>
      </c>
      <c r="D440" s="503" t="s">
        <v>30727</v>
      </c>
      <c r="F440" t="str">
        <f t="shared" si="13"/>
        <v>103397</v>
      </c>
      <c r="H440" s="14">
        <f t="shared" si="14"/>
        <v>5.77</v>
      </c>
    </row>
    <row r="441" spans="1:8" ht="55.2">
      <c r="A441" s="502" t="s">
        <v>23854</v>
      </c>
      <c r="B441" s="504" t="s">
        <v>23855</v>
      </c>
      <c r="C441" s="502" t="s">
        <v>114</v>
      </c>
      <c r="D441" s="503" t="s">
        <v>7297</v>
      </c>
      <c r="F441" t="str">
        <f t="shared" si="13"/>
        <v>103398</v>
      </c>
      <c r="H441" s="14">
        <f t="shared" si="14"/>
        <v>9.23</v>
      </c>
    </row>
    <row r="442" spans="1:8" ht="55.2">
      <c r="A442" s="502" t="s">
        <v>23856</v>
      </c>
      <c r="B442" s="504" t="s">
        <v>23857</v>
      </c>
      <c r="C442" s="502" t="s">
        <v>114</v>
      </c>
      <c r="D442" s="503" t="s">
        <v>30728</v>
      </c>
      <c r="F442" t="str">
        <f t="shared" si="13"/>
        <v>103399</v>
      </c>
      <c r="H442" s="14">
        <f t="shared" si="14"/>
        <v>18.2</v>
      </c>
    </row>
    <row r="443" spans="1:8" ht="55.2">
      <c r="A443" s="502" t="s">
        <v>23858</v>
      </c>
      <c r="B443" s="504" t="s">
        <v>23859</v>
      </c>
      <c r="C443" s="502" t="s">
        <v>114</v>
      </c>
      <c r="D443" s="503" t="s">
        <v>5317</v>
      </c>
      <c r="F443" t="str">
        <f t="shared" si="13"/>
        <v>103400</v>
      </c>
      <c r="H443" s="14">
        <f t="shared" si="14"/>
        <v>26</v>
      </c>
    </row>
    <row r="444" spans="1:8" ht="55.2">
      <c r="A444" s="502" t="s">
        <v>23860</v>
      </c>
      <c r="B444" s="504" t="s">
        <v>23861</v>
      </c>
      <c r="C444" s="502" t="s">
        <v>114</v>
      </c>
      <c r="D444" s="503" t="s">
        <v>16220</v>
      </c>
      <c r="F444" t="str">
        <f t="shared" si="13"/>
        <v>103401</v>
      </c>
      <c r="H444" s="14">
        <f t="shared" si="14"/>
        <v>31.79</v>
      </c>
    </row>
    <row r="445" spans="1:8" ht="55.2">
      <c r="A445" s="502" t="s">
        <v>23862</v>
      </c>
      <c r="B445" s="504" t="s">
        <v>23863</v>
      </c>
      <c r="C445" s="502" t="s">
        <v>114</v>
      </c>
      <c r="D445" s="503" t="s">
        <v>30729</v>
      </c>
      <c r="F445" t="str">
        <f t="shared" si="13"/>
        <v>103402</v>
      </c>
      <c r="H445" s="14">
        <f t="shared" si="14"/>
        <v>46.24</v>
      </c>
    </row>
    <row r="446" spans="1:8" ht="55.2">
      <c r="A446" s="502" t="s">
        <v>23864</v>
      </c>
      <c r="B446" s="504" t="s">
        <v>23865</v>
      </c>
      <c r="C446" s="502" t="s">
        <v>114</v>
      </c>
      <c r="D446" s="503" t="s">
        <v>29112</v>
      </c>
      <c r="F446" t="str">
        <f t="shared" si="13"/>
        <v>103403</v>
      </c>
      <c r="H446" s="14">
        <f t="shared" si="14"/>
        <v>52.02</v>
      </c>
    </row>
    <row r="447" spans="1:8" ht="55.2">
      <c r="A447" s="502" t="s">
        <v>23866</v>
      </c>
      <c r="B447" s="504" t="s">
        <v>23867</v>
      </c>
      <c r="C447" s="502" t="s">
        <v>114</v>
      </c>
      <c r="D447" s="503" t="s">
        <v>30730</v>
      </c>
      <c r="F447" t="str">
        <f t="shared" si="13"/>
        <v>103404</v>
      </c>
      <c r="H447" s="14">
        <f t="shared" si="14"/>
        <v>57.8</v>
      </c>
    </row>
    <row r="448" spans="1:8" ht="55.2">
      <c r="A448" s="502" t="s">
        <v>23869</v>
      </c>
      <c r="B448" s="504" t="s">
        <v>23870</v>
      </c>
      <c r="C448" s="502" t="s">
        <v>114</v>
      </c>
      <c r="D448" s="503" t="s">
        <v>30731</v>
      </c>
      <c r="F448" t="str">
        <f t="shared" si="13"/>
        <v>103405</v>
      </c>
      <c r="H448" s="14">
        <f t="shared" si="14"/>
        <v>65.040000000000006</v>
      </c>
    </row>
    <row r="449" spans="1:8" ht="55.2">
      <c r="A449" s="502" t="s">
        <v>23871</v>
      </c>
      <c r="B449" s="504" t="s">
        <v>23872</v>
      </c>
      <c r="C449" s="502" t="s">
        <v>114</v>
      </c>
      <c r="D449" s="503" t="s">
        <v>28064</v>
      </c>
      <c r="F449" t="str">
        <f t="shared" si="13"/>
        <v>103406</v>
      </c>
      <c r="H449" s="14">
        <f t="shared" si="14"/>
        <v>72.260000000000005</v>
      </c>
    </row>
    <row r="450" spans="1:8" ht="55.2">
      <c r="A450" s="502" t="s">
        <v>23873</v>
      </c>
      <c r="B450" s="504" t="s">
        <v>23874</v>
      </c>
      <c r="C450" s="502" t="s">
        <v>114</v>
      </c>
      <c r="D450" s="503" t="s">
        <v>30732</v>
      </c>
      <c r="F450" t="str">
        <f t="shared" si="13"/>
        <v>103407</v>
      </c>
      <c r="H450" s="14">
        <f t="shared" si="14"/>
        <v>80.92</v>
      </c>
    </row>
    <row r="451" spans="1:8" ht="55.2">
      <c r="A451" s="502" t="s">
        <v>23875</v>
      </c>
      <c r="B451" s="504" t="s">
        <v>23876</v>
      </c>
      <c r="C451" s="502" t="s">
        <v>114</v>
      </c>
      <c r="D451" s="503" t="s">
        <v>15337</v>
      </c>
      <c r="F451" t="str">
        <f t="shared" si="13"/>
        <v>103408</v>
      </c>
      <c r="H451" s="14">
        <f t="shared" si="14"/>
        <v>91.05</v>
      </c>
    </row>
    <row r="452" spans="1:8" ht="55.2">
      <c r="A452" s="502" t="s">
        <v>23877</v>
      </c>
      <c r="B452" s="504" t="s">
        <v>23878</v>
      </c>
      <c r="C452" s="502" t="s">
        <v>114</v>
      </c>
      <c r="D452" s="503" t="s">
        <v>23209</v>
      </c>
      <c r="F452" t="str">
        <f t="shared" si="13"/>
        <v>103409</v>
      </c>
      <c r="H452" s="14">
        <f t="shared" si="14"/>
        <v>102.62</v>
      </c>
    </row>
    <row r="453" spans="1:8" ht="55.2">
      <c r="A453" s="502" t="s">
        <v>23880</v>
      </c>
      <c r="B453" s="504" t="s">
        <v>23881</v>
      </c>
      <c r="C453" s="502" t="s">
        <v>114</v>
      </c>
      <c r="D453" s="503" t="s">
        <v>30733</v>
      </c>
      <c r="F453" t="str">
        <f t="shared" ref="F453:F516" si="15">TRIM(A453)</f>
        <v>103410</v>
      </c>
      <c r="H453" s="14">
        <f t="shared" ref="H453:H516" si="16">ROUND(D453*(1+$H$1),2)</f>
        <v>115.61</v>
      </c>
    </row>
    <row r="454" spans="1:8" ht="55.2">
      <c r="A454" s="502" t="s">
        <v>23882</v>
      </c>
      <c r="B454" s="504" t="s">
        <v>23883</v>
      </c>
      <c r="C454" s="502" t="s">
        <v>114</v>
      </c>
      <c r="D454" s="503" t="s">
        <v>29098</v>
      </c>
      <c r="F454" t="str">
        <f t="shared" si="15"/>
        <v>103411</v>
      </c>
      <c r="H454" s="14">
        <f t="shared" si="16"/>
        <v>11.55</v>
      </c>
    </row>
    <row r="455" spans="1:8" ht="55.2">
      <c r="A455" s="502" t="s">
        <v>23884</v>
      </c>
      <c r="B455" s="504" t="s">
        <v>23885</v>
      </c>
      <c r="C455" s="502" t="s">
        <v>114</v>
      </c>
      <c r="D455" s="503" t="s">
        <v>30734</v>
      </c>
      <c r="F455" t="str">
        <f t="shared" si="15"/>
        <v>103412</v>
      </c>
      <c r="H455" s="14">
        <f t="shared" si="16"/>
        <v>18.48</v>
      </c>
    </row>
    <row r="456" spans="1:8" ht="55.2">
      <c r="A456" s="502" t="s">
        <v>23886</v>
      </c>
      <c r="B456" s="504" t="s">
        <v>23887</v>
      </c>
      <c r="C456" s="502" t="s">
        <v>114</v>
      </c>
      <c r="D456" s="503" t="s">
        <v>28834</v>
      </c>
      <c r="F456" t="str">
        <f t="shared" si="15"/>
        <v>103413</v>
      </c>
      <c r="H456" s="14">
        <f t="shared" si="16"/>
        <v>36.42</v>
      </c>
    </row>
    <row r="457" spans="1:8" ht="55.2">
      <c r="A457" s="502" t="s">
        <v>23888</v>
      </c>
      <c r="B457" s="504" t="s">
        <v>23889</v>
      </c>
      <c r="C457" s="502" t="s">
        <v>114</v>
      </c>
      <c r="D457" s="503" t="s">
        <v>29112</v>
      </c>
      <c r="F457" t="str">
        <f t="shared" si="15"/>
        <v>103414</v>
      </c>
      <c r="H457" s="14">
        <f t="shared" si="16"/>
        <v>52.02</v>
      </c>
    </row>
    <row r="458" spans="1:8" ht="55.2">
      <c r="A458" s="502" t="s">
        <v>23890</v>
      </c>
      <c r="B458" s="504" t="s">
        <v>23891</v>
      </c>
      <c r="C458" s="502" t="s">
        <v>114</v>
      </c>
      <c r="D458" s="503" t="s">
        <v>30735</v>
      </c>
      <c r="F458" t="str">
        <f t="shared" si="15"/>
        <v>103415</v>
      </c>
      <c r="H458" s="14">
        <f t="shared" si="16"/>
        <v>63.59</v>
      </c>
    </row>
    <row r="459" spans="1:8" ht="55.2">
      <c r="A459" s="502" t="s">
        <v>23892</v>
      </c>
      <c r="B459" s="504" t="s">
        <v>23893</v>
      </c>
      <c r="C459" s="502" t="s">
        <v>114</v>
      </c>
      <c r="D459" s="503" t="s">
        <v>30736</v>
      </c>
      <c r="F459" t="str">
        <f t="shared" si="15"/>
        <v>103416</v>
      </c>
      <c r="H459" s="14">
        <f t="shared" si="16"/>
        <v>92.49</v>
      </c>
    </row>
    <row r="460" spans="1:8" ht="55.2">
      <c r="A460" s="502" t="s">
        <v>23894</v>
      </c>
      <c r="B460" s="504" t="s">
        <v>23895</v>
      </c>
      <c r="C460" s="502" t="s">
        <v>114</v>
      </c>
      <c r="D460" s="503" t="s">
        <v>29182</v>
      </c>
      <c r="F460" t="str">
        <f t="shared" si="15"/>
        <v>103417</v>
      </c>
      <c r="H460" s="14">
        <f t="shared" si="16"/>
        <v>104.05</v>
      </c>
    </row>
    <row r="461" spans="1:8" ht="55.2">
      <c r="A461" s="502" t="s">
        <v>23896</v>
      </c>
      <c r="B461" s="504" t="s">
        <v>23897</v>
      </c>
      <c r="C461" s="502" t="s">
        <v>114</v>
      </c>
      <c r="D461" s="503" t="s">
        <v>30733</v>
      </c>
      <c r="F461" t="str">
        <f t="shared" si="15"/>
        <v>103418</v>
      </c>
      <c r="H461" s="14">
        <f t="shared" si="16"/>
        <v>115.61</v>
      </c>
    </row>
    <row r="462" spans="1:8" ht="55.2">
      <c r="A462" s="502" t="s">
        <v>23898</v>
      </c>
      <c r="B462" s="504" t="s">
        <v>23899</v>
      </c>
      <c r="C462" s="502" t="s">
        <v>114</v>
      </c>
      <c r="D462" s="503" t="s">
        <v>30737</v>
      </c>
      <c r="F462" t="str">
        <f t="shared" si="15"/>
        <v>103419</v>
      </c>
      <c r="H462" s="14">
        <f t="shared" si="16"/>
        <v>130.08000000000001</v>
      </c>
    </row>
    <row r="463" spans="1:8" ht="55.2">
      <c r="A463" s="502" t="s">
        <v>23900</v>
      </c>
      <c r="B463" s="504" t="s">
        <v>23901</v>
      </c>
      <c r="C463" s="502" t="s">
        <v>114</v>
      </c>
      <c r="D463" s="503" t="s">
        <v>30738</v>
      </c>
      <c r="F463" t="str">
        <f t="shared" si="15"/>
        <v>103420</v>
      </c>
      <c r="H463" s="14">
        <f t="shared" si="16"/>
        <v>144.54</v>
      </c>
    </row>
    <row r="464" spans="1:8" ht="55.2">
      <c r="A464" s="502" t="s">
        <v>23902</v>
      </c>
      <c r="B464" s="504" t="s">
        <v>23903</v>
      </c>
      <c r="C464" s="502" t="s">
        <v>114</v>
      </c>
      <c r="D464" s="503" t="s">
        <v>30739</v>
      </c>
      <c r="F464" t="str">
        <f t="shared" si="15"/>
        <v>103421</v>
      </c>
      <c r="H464" s="14">
        <f t="shared" si="16"/>
        <v>161.87</v>
      </c>
    </row>
    <row r="465" spans="1:8" ht="55.2">
      <c r="A465" s="502" t="s">
        <v>23904</v>
      </c>
      <c r="B465" s="504" t="s">
        <v>23905</v>
      </c>
      <c r="C465" s="502" t="s">
        <v>114</v>
      </c>
      <c r="D465" s="503" t="s">
        <v>30740</v>
      </c>
      <c r="F465" t="str">
        <f t="shared" si="15"/>
        <v>103422</v>
      </c>
      <c r="H465" s="14">
        <f t="shared" si="16"/>
        <v>182.1</v>
      </c>
    </row>
    <row r="466" spans="1:8" ht="55.2">
      <c r="A466" s="502" t="s">
        <v>23906</v>
      </c>
      <c r="B466" s="504" t="s">
        <v>23907</v>
      </c>
      <c r="C466" s="502" t="s">
        <v>114</v>
      </c>
      <c r="D466" s="503" t="s">
        <v>30741</v>
      </c>
      <c r="F466" t="str">
        <f t="shared" si="15"/>
        <v>103423</v>
      </c>
      <c r="H466" s="14">
        <f t="shared" si="16"/>
        <v>205.23</v>
      </c>
    </row>
    <row r="467" spans="1:8" ht="55.2">
      <c r="A467" s="502" t="s">
        <v>23908</v>
      </c>
      <c r="B467" s="504" t="s">
        <v>23909</v>
      </c>
      <c r="C467" s="502" t="s">
        <v>114</v>
      </c>
      <c r="D467" s="503" t="s">
        <v>30742</v>
      </c>
      <c r="F467" t="str">
        <f t="shared" si="15"/>
        <v>103424</v>
      </c>
      <c r="H467" s="14">
        <f t="shared" si="16"/>
        <v>231.26</v>
      </c>
    </row>
    <row r="468" spans="1:8" ht="41.4">
      <c r="A468" s="502" t="s">
        <v>23910</v>
      </c>
      <c r="B468" s="504" t="s">
        <v>23911</v>
      </c>
      <c r="C468" s="502" t="s">
        <v>114</v>
      </c>
      <c r="D468" s="503" t="s">
        <v>28603</v>
      </c>
      <c r="F468" t="str">
        <f t="shared" si="15"/>
        <v>103425</v>
      </c>
      <c r="H468" s="14">
        <f t="shared" si="16"/>
        <v>21.05</v>
      </c>
    </row>
    <row r="469" spans="1:8" ht="41.4">
      <c r="A469" s="502" t="s">
        <v>23912</v>
      </c>
      <c r="B469" s="504" t="s">
        <v>23913</v>
      </c>
      <c r="C469" s="502" t="s">
        <v>114</v>
      </c>
      <c r="D469" s="503" t="s">
        <v>30743</v>
      </c>
      <c r="F469" t="str">
        <f t="shared" si="15"/>
        <v>103426</v>
      </c>
      <c r="H469" s="14">
        <f t="shared" si="16"/>
        <v>25.7</v>
      </c>
    </row>
    <row r="470" spans="1:8" ht="41.4">
      <c r="A470" s="502" t="s">
        <v>23914</v>
      </c>
      <c r="B470" s="504" t="s">
        <v>23915</v>
      </c>
      <c r="C470" s="502" t="s">
        <v>114</v>
      </c>
      <c r="D470" s="503" t="s">
        <v>30744</v>
      </c>
      <c r="F470" t="str">
        <f t="shared" si="15"/>
        <v>103427</v>
      </c>
      <c r="H470" s="14">
        <f t="shared" si="16"/>
        <v>51.45</v>
      </c>
    </row>
    <row r="471" spans="1:8" ht="41.4">
      <c r="A471" s="502" t="s">
        <v>23916</v>
      </c>
      <c r="B471" s="504" t="s">
        <v>23917</v>
      </c>
      <c r="C471" s="502" t="s">
        <v>114</v>
      </c>
      <c r="D471" s="503" t="s">
        <v>30745</v>
      </c>
      <c r="F471" t="str">
        <f t="shared" si="15"/>
        <v>103428</v>
      </c>
      <c r="H471" s="14">
        <f t="shared" si="16"/>
        <v>331.15</v>
      </c>
    </row>
    <row r="472" spans="1:8" ht="41.4">
      <c r="A472" s="502" t="s">
        <v>23918</v>
      </c>
      <c r="B472" s="504" t="s">
        <v>23919</v>
      </c>
      <c r="C472" s="502" t="s">
        <v>114</v>
      </c>
      <c r="D472" s="503" t="s">
        <v>30746</v>
      </c>
      <c r="F472" t="str">
        <f t="shared" si="15"/>
        <v>103429</v>
      </c>
      <c r="H472" s="14">
        <f t="shared" si="16"/>
        <v>3572.35</v>
      </c>
    </row>
    <row r="473" spans="1:8" ht="55.2">
      <c r="A473" s="502" t="s">
        <v>23920</v>
      </c>
      <c r="B473" s="504" t="s">
        <v>23921</v>
      </c>
      <c r="C473" s="502" t="s">
        <v>114</v>
      </c>
      <c r="D473" s="503" t="s">
        <v>30747</v>
      </c>
      <c r="F473" t="str">
        <f t="shared" si="15"/>
        <v>103430</v>
      </c>
      <c r="H473" s="14">
        <f t="shared" si="16"/>
        <v>44.61</v>
      </c>
    </row>
    <row r="474" spans="1:8" ht="55.2">
      <c r="A474" s="502" t="s">
        <v>23922</v>
      </c>
      <c r="B474" s="504" t="s">
        <v>23923</v>
      </c>
      <c r="C474" s="502" t="s">
        <v>114</v>
      </c>
      <c r="D474" s="503" t="s">
        <v>29087</v>
      </c>
      <c r="F474" t="str">
        <f t="shared" si="15"/>
        <v>103431</v>
      </c>
      <c r="H474" s="14">
        <f t="shared" si="16"/>
        <v>78.599999999999994</v>
      </c>
    </row>
    <row r="475" spans="1:8" ht="55.2">
      <c r="A475" s="502" t="s">
        <v>23924</v>
      </c>
      <c r="B475" s="504" t="s">
        <v>23925</v>
      </c>
      <c r="C475" s="502" t="s">
        <v>114</v>
      </c>
      <c r="D475" s="503" t="s">
        <v>30748</v>
      </c>
      <c r="F475" t="str">
        <f t="shared" si="15"/>
        <v>103432</v>
      </c>
      <c r="H475" s="14">
        <f t="shared" si="16"/>
        <v>2026.51</v>
      </c>
    </row>
    <row r="476" spans="1:8" ht="55.2">
      <c r="A476" s="502" t="s">
        <v>23926</v>
      </c>
      <c r="B476" s="504" t="s">
        <v>23927</v>
      </c>
      <c r="C476" s="502" t="s">
        <v>114</v>
      </c>
      <c r="D476" s="503" t="s">
        <v>11438</v>
      </c>
      <c r="F476" t="str">
        <f t="shared" si="15"/>
        <v>103433</v>
      </c>
      <c r="H476" s="14">
        <f t="shared" si="16"/>
        <v>43.51</v>
      </c>
    </row>
    <row r="477" spans="1:8" ht="55.2">
      <c r="A477" s="502" t="s">
        <v>23928</v>
      </c>
      <c r="B477" s="504" t="s">
        <v>23929</v>
      </c>
      <c r="C477" s="502" t="s">
        <v>114</v>
      </c>
      <c r="D477" s="503" t="s">
        <v>13162</v>
      </c>
      <c r="F477" t="str">
        <f t="shared" si="15"/>
        <v>103434</v>
      </c>
      <c r="H477" s="14">
        <f t="shared" si="16"/>
        <v>60.42</v>
      </c>
    </row>
    <row r="478" spans="1:8" ht="55.2">
      <c r="A478" s="502" t="s">
        <v>23930</v>
      </c>
      <c r="B478" s="504" t="s">
        <v>23931</v>
      </c>
      <c r="C478" s="502" t="s">
        <v>114</v>
      </c>
      <c r="D478" s="503" t="s">
        <v>30749</v>
      </c>
      <c r="F478" t="str">
        <f t="shared" si="15"/>
        <v>103435</v>
      </c>
      <c r="H478" s="14">
        <f t="shared" si="16"/>
        <v>112.62</v>
      </c>
    </row>
    <row r="479" spans="1:8" ht="55.2">
      <c r="A479" s="502" t="s">
        <v>23932</v>
      </c>
      <c r="B479" s="504" t="s">
        <v>23933</v>
      </c>
      <c r="C479" s="502" t="s">
        <v>114</v>
      </c>
      <c r="D479" s="503" t="s">
        <v>30750</v>
      </c>
      <c r="F479" t="str">
        <f t="shared" si="15"/>
        <v>103436</v>
      </c>
      <c r="H479" s="14">
        <f t="shared" si="16"/>
        <v>2865.43</v>
      </c>
    </row>
    <row r="480" spans="1:8" ht="55.2">
      <c r="A480" s="502" t="s">
        <v>23934</v>
      </c>
      <c r="B480" s="504" t="s">
        <v>23935</v>
      </c>
      <c r="C480" s="502" t="s">
        <v>114</v>
      </c>
      <c r="D480" s="503" t="s">
        <v>30304</v>
      </c>
      <c r="F480" t="str">
        <f t="shared" si="15"/>
        <v>103437</v>
      </c>
      <c r="H480" s="14">
        <f t="shared" si="16"/>
        <v>233.4</v>
      </c>
    </row>
    <row r="481" spans="1:8" ht="55.2">
      <c r="A481" s="502" t="s">
        <v>23936</v>
      </c>
      <c r="B481" s="504" t="s">
        <v>23937</v>
      </c>
      <c r="C481" s="502" t="s">
        <v>114</v>
      </c>
      <c r="D481" s="503" t="s">
        <v>30304</v>
      </c>
      <c r="F481" t="str">
        <f t="shared" si="15"/>
        <v>103438</v>
      </c>
      <c r="H481" s="14">
        <f t="shared" si="16"/>
        <v>233.4</v>
      </c>
    </row>
    <row r="482" spans="1:8" ht="55.2">
      <c r="A482" s="502" t="s">
        <v>23938</v>
      </c>
      <c r="B482" s="504" t="s">
        <v>23939</v>
      </c>
      <c r="C482" s="502" t="s">
        <v>114</v>
      </c>
      <c r="D482" s="503" t="s">
        <v>30751</v>
      </c>
      <c r="F482" t="str">
        <f t="shared" si="15"/>
        <v>103439</v>
      </c>
      <c r="H482" s="14">
        <f t="shared" si="16"/>
        <v>273.68</v>
      </c>
    </row>
    <row r="483" spans="1:8" ht="55.2">
      <c r="A483" s="502" t="s">
        <v>23940</v>
      </c>
      <c r="B483" s="504" t="s">
        <v>23941</v>
      </c>
      <c r="C483" s="502" t="s">
        <v>114</v>
      </c>
      <c r="D483" s="503" t="s">
        <v>30752</v>
      </c>
      <c r="F483" t="str">
        <f t="shared" si="15"/>
        <v>103440</v>
      </c>
      <c r="H483" s="14">
        <f t="shared" si="16"/>
        <v>532.65</v>
      </c>
    </row>
    <row r="484" spans="1:8" ht="55.2">
      <c r="A484" s="502" t="s">
        <v>23942</v>
      </c>
      <c r="B484" s="504" t="s">
        <v>23943</v>
      </c>
      <c r="C484" s="502" t="s">
        <v>114</v>
      </c>
      <c r="D484" s="503" t="s">
        <v>30753</v>
      </c>
      <c r="F484" t="str">
        <f t="shared" si="15"/>
        <v>103441</v>
      </c>
      <c r="H484" s="14">
        <f t="shared" si="16"/>
        <v>539.17999999999995</v>
      </c>
    </row>
    <row r="485" spans="1:8" ht="55.2">
      <c r="A485" s="502" t="s">
        <v>23944</v>
      </c>
      <c r="B485" s="504" t="s">
        <v>23945</v>
      </c>
      <c r="C485" s="502" t="s">
        <v>114</v>
      </c>
      <c r="D485" s="503" t="s">
        <v>30754</v>
      </c>
      <c r="F485" t="str">
        <f t="shared" si="15"/>
        <v>103442</v>
      </c>
      <c r="H485" s="14">
        <f t="shared" si="16"/>
        <v>696.62</v>
      </c>
    </row>
    <row r="486" spans="1:8" ht="41.4">
      <c r="A486" s="502" t="s">
        <v>7520</v>
      </c>
      <c r="B486" s="504" t="s">
        <v>27944</v>
      </c>
      <c r="C486" s="502" t="s">
        <v>73</v>
      </c>
      <c r="D486" s="503" t="s">
        <v>30755</v>
      </c>
      <c r="F486" t="str">
        <f t="shared" si="15"/>
        <v>98441</v>
      </c>
      <c r="H486" s="14">
        <f t="shared" si="16"/>
        <v>140.88999999999999</v>
      </c>
    </row>
    <row r="487" spans="1:8" ht="41.4">
      <c r="A487" s="502" t="s">
        <v>7521</v>
      </c>
      <c r="B487" s="504" t="s">
        <v>27945</v>
      </c>
      <c r="C487" s="502" t="s">
        <v>73</v>
      </c>
      <c r="D487" s="503" t="s">
        <v>30756</v>
      </c>
      <c r="F487" t="str">
        <f t="shared" si="15"/>
        <v>98443</v>
      </c>
      <c r="H487" s="14">
        <f t="shared" si="16"/>
        <v>110.21</v>
      </c>
    </row>
    <row r="488" spans="1:8" ht="41.4">
      <c r="A488" s="502" t="s">
        <v>7522</v>
      </c>
      <c r="B488" s="504" t="s">
        <v>27946</v>
      </c>
      <c r="C488" s="502" t="s">
        <v>73</v>
      </c>
      <c r="D488" s="503" t="s">
        <v>30757</v>
      </c>
      <c r="F488" t="str">
        <f t="shared" si="15"/>
        <v>98445</v>
      </c>
      <c r="H488" s="14">
        <f t="shared" si="16"/>
        <v>164.42</v>
      </c>
    </row>
    <row r="489" spans="1:8" ht="41.4">
      <c r="A489" s="502" t="s">
        <v>7523</v>
      </c>
      <c r="B489" s="504" t="s">
        <v>27947</v>
      </c>
      <c r="C489" s="502" t="s">
        <v>73</v>
      </c>
      <c r="D489" s="503" t="s">
        <v>16913</v>
      </c>
      <c r="F489" t="str">
        <f t="shared" si="15"/>
        <v>98446</v>
      </c>
      <c r="H489" s="14">
        <f t="shared" si="16"/>
        <v>208.6</v>
      </c>
    </row>
    <row r="490" spans="1:8" ht="41.4">
      <c r="A490" s="502" t="s">
        <v>7524</v>
      </c>
      <c r="B490" s="504" t="s">
        <v>27948</v>
      </c>
      <c r="C490" s="502" t="s">
        <v>73</v>
      </c>
      <c r="D490" s="503" t="s">
        <v>28456</v>
      </c>
      <c r="F490" t="str">
        <f t="shared" si="15"/>
        <v>98447</v>
      </c>
      <c r="H490" s="14">
        <f t="shared" si="16"/>
        <v>128.71</v>
      </c>
    </row>
    <row r="491" spans="1:8" ht="41.4">
      <c r="A491" s="502" t="s">
        <v>7525</v>
      </c>
      <c r="B491" s="504" t="s">
        <v>27949</v>
      </c>
      <c r="C491" s="502" t="s">
        <v>73</v>
      </c>
      <c r="D491" s="503" t="s">
        <v>30758</v>
      </c>
      <c r="F491" t="str">
        <f t="shared" si="15"/>
        <v>98448</v>
      </c>
      <c r="H491" s="14">
        <f t="shared" si="16"/>
        <v>163.69999999999999</v>
      </c>
    </row>
    <row r="492" spans="1:8" ht="41.4">
      <c r="A492" s="502" t="s">
        <v>7526</v>
      </c>
      <c r="B492" s="504" t="s">
        <v>27950</v>
      </c>
      <c r="C492" s="502" t="s">
        <v>73</v>
      </c>
      <c r="D492" s="503" t="s">
        <v>30759</v>
      </c>
      <c r="F492" t="str">
        <f t="shared" si="15"/>
        <v>98449</v>
      </c>
      <c r="H492" s="14">
        <f t="shared" si="16"/>
        <v>201.63</v>
      </c>
    </row>
    <row r="493" spans="1:8" ht="41.4">
      <c r="A493" s="502" t="s">
        <v>7527</v>
      </c>
      <c r="B493" s="504" t="s">
        <v>27951</v>
      </c>
      <c r="C493" s="502" t="s">
        <v>73</v>
      </c>
      <c r="D493" s="503" t="s">
        <v>30760</v>
      </c>
      <c r="F493" t="str">
        <f t="shared" si="15"/>
        <v>98451</v>
      </c>
      <c r="H493" s="14">
        <f t="shared" si="16"/>
        <v>166.74</v>
      </c>
    </row>
    <row r="494" spans="1:8" ht="55.2">
      <c r="A494" s="502" t="s">
        <v>7528</v>
      </c>
      <c r="B494" s="504" t="s">
        <v>27952</v>
      </c>
      <c r="C494" s="502" t="s">
        <v>73</v>
      </c>
      <c r="D494" s="503" t="s">
        <v>30761</v>
      </c>
      <c r="F494" t="str">
        <f t="shared" si="15"/>
        <v>98453</v>
      </c>
      <c r="H494" s="14">
        <f t="shared" si="16"/>
        <v>231.3</v>
      </c>
    </row>
    <row r="495" spans="1:8" ht="41.4">
      <c r="A495" s="502" t="s">
        <v>7529</v>
      </c>
      <c r="B495" s="504" t="s">
        <v>27953</v>
      </c>
      <c r="C495" s="502" t="s">
        <v>73</v>
      </c>
      <c r="D495" s="503" t="s">
        <v>30762</v>
      </c>
      <c r="F495" t="str">
        <f t="shared" si="15"/>
        <v>98454</v>
      </c>
      <c r="H495" s="14">
        <f t="shared" si="16"/>
        <v>287.14999999999998</v>
      </c>
    </row>
    <row r="496" spans="1:8" ht="41.4">
      <c r="A496" s="502" t="s">
        <v>7530</v>
      </c>
      <c r="B496" s="504" t="s">
        <v>27955</v>
      </c>
      <c r="C496" s="502" t="s">
        <v>73</v>
      </c>
      <c r="D496" s="503" t="s">
        <v>30763</v>
      </c>
      <c r="F496" t="str">
        <f t="shared" si="15"/>
        <v>98455</v>
      </c>
      <c r="H496" s="14">
        <f t="shared" si="16"/>
        <v>190.12</v>
      </c>
    </row>
    <row r="497" spans="1:8" ht="41.4">
      <c r="A497" s="502" t="s">
        <v>7531</v>
      </c>
      <c r="B497" s="504" t="s">
        <v>27957</v>
      </c>
      <c r="C497" s="502" t="s">
        <v>73</v>
      </c>
      <c r="D497" s="503" t="s">
        <v>30764</v>
      </c>
      <c r="F497" t="str">
        <f t="shared" si="15"/>
        <v>98456</v>
      </c>
      <c r="H497" s="14">
        <f t="shared" si="16"/>
        <v>237.4</v>
      </c>
    </row>
    <row r="498" spans="1:8" ht="14.4">
      <c r="A498" s="502" t="s">
        <v>7532</v>
      </c>
      <c r="B498" s="504" t="s">
        <v>27958</v>
      </c>
      <c r="C498" s="502" t="s">
        <v>73</v>
      </c>
      <c r="D498" s="503" t="s">
        <v>30765</v>
      </c>
      <c r="F498" t="str">
        <f t="shared" si="15"/>
        <v>98458</v>
      </c>
      <c r="H498" s="14">
        <f t="shared" si="16"/>
        <v>140.37</v>
      </c>
    </row>
    <row r="499" spans="1:8" ht="14.4">
      <c r="A499" s="502" t="s">
        <v>7533</v>
      </c>
      <c r="B499" s="504" t="s">
        <v>27959</v>
      </c>
      <c r="C499" s="502" t="s">
        <v>73</v>
      </c>
      <c r="D499" s="503" t="s">
        <v>29872</v>
      </c>
      <c r="F499" t="str">
        <f t="shared" si="15"/>
        <v>98459</v>
      </c>
      <c r="H499" s="14">
        <f t="shared" si="16"/>
        <v>123.43</v>
      </c>
    </row>
    <row r="500" spans="1:8" ht="27.6">
      <c r="A500" s="502" t="s">
        <v>7534</v>
      </c>
      <c r="B500" s="504" t="s">
        <v>27960</v>
      </c>
      <c r="C500" s="502" t="s">
        <v>73</v>
      </c>
      <c r="D500" s="503" t="s">
        <v>30766</v>
      </c>
      <c r="F500" t="str">
        <f t="shared" si="15"/>
        <v>98460</v>
      </c>
      <c r="H500" s="14">
        <f t="shared" si="16"/>
        <v>94.25</v>
      </c>
    </row>
    <row r="501" spans="1:8" ht="27.6">
      <c r="A501" s="502" t="s">
        <v>7535</v>
      </c>
      <c r="B501" s="504" t="s">
        <v>27961</v>
      </c>
      <c r="C501" s="502" t="s">
        <v>114</v>
      </c>
      <c r="D501" s="503" t="s">
        <v>30767</v>
      </c>
      <c r="F501" t="str">
        <f t="shared" si="15"/>
        <v>98461</v>
      </c>
      <c r="H501" s="14">
        <f t="shared" si="16"/>
        <v>7865.87</v>
      </c>
    </row>
    <row r="502" spans="1:8" ht="27.6">
      <c r="A502" s="502" t="s">
        <v>7536</v>
      </c>
      <c r="B502" s="504" t="s">
        <v>27962</v>
      </c>
      <c r="C502" s="502" t="s">
        <v>114</v>
      </c>
      <c r="D502" s="503" t="s">
        <v>30768</v>
      </c>
      <c r="F502" t="str">
        <f t="shared" si="15"/>
        <v>98462</v>
      </c>
      <c r="H502" s="14">
        <f t="shared" si="16"/>
        <v>13434.88</v>
      </c>
    </row>
    <row r="503" spans="1:8" ht="27.6">
      <c r="A503" s="502" t="s">
        <v>27963</v>
      </c>
      <c r="B503" s="504" t="s">
        <v>27964</v>
      </c>
      <c r="C503" s="502" t="s">
        <v>114</v>
      </c>
      <c r="D503" s="503" t="s">
        <v>30769</v>
      </c>
      <c r="F503" t="str">
        <f t="shared" si="15"/>
        <v>105113</v>
      </c>
      <c r="H503" s="14">
        <f t="shared" si="16"/>
        <v>10406.75</v>
      </c>
    </row>
    <row r="504" spans="1:8" ht="27.6">
      <c r="A504" s="502" t="s">
        <v>27965</v>
      </c>
      <c r="B504" s="504" t="s">
        <v>27966</v>
      </c>
      <c r="C504" s="502" t="s">
        <v>83</v>
      </c>
      <c r="D504" s="503" t="s">
        <v>30770</v>
      </c>
      <c r="F504" t="str">
        <f t="shared" si="15"/>
        <v>105114</v>
      </c>
      <c r="H504" s="14">
        <f t="shared" si="16"/>
        <v>2453.4899999999998</v>
      </c>
    </row>
    <row r="505" spans="1:8" ht="27.6">
      <c r="A505" s="502" t="s">
        <v>27967</v>
      </c>
      <c r="B505" s="504" t="s">
        <v>27968</v>
      </c>
      <c r="C505" s="502" t="s">
        <v>114</v>
      </c>
      <c r="D505" s="503" t="s">
        <v>30771</v>
      </c>
      <c r="F505" t="str">
        <f t="shared" si="15"/>
        <v>105115</v>
      </c>
      <c r="H505" s="14">
        <f t="shared" si="16"/>
        <v>178.82</v>
      </c>
    </row>
    <row r="506" spans="1:8" ht="27.6">
      <c r="A506" s="502" t="s">
        <v>27969</v>
      </c>
      <c r="B506" s="504" t="s">
        <v>27970</v>
      </c>
      <c r="C506" s="502" t="s">
        <v>114</v>
      </c>
      <c r="D506" s="503" t="s">
        <v>30772</v>
      </c>
      <c r="F506" t="str">
        <f t="shared" si="15"/>
        <v>105116</v>
      </c>
      <c r="H506" s="14">
        <f t="shared" si="16"/>
        <v>17.88</v>
      </c>
    </row>
    <row r="507" spans="1:8" ht="27.6">
      <c r="A507" s="502" t="s">
        <v>27971</v>
      </c>
      <c r="B507" s="504" t="s">
        <v>27972</v>
      </c>
      <c r="C507" s="502" t="s">
        <v>75</v>
      </c>
      <c r="D507" s="503" t="s">
        <v>11443</v>
      </c>
      <c r="F507" t="str">
        <f t="shared" si="15"/>
        <v>105126</v>
      </c>
      <c r="H507" s="14">
        <f t="shared" si="16"/>
        <v>52.23</v>
      </c>
    </row>
    <row r="508" spans="1:8" ht="27.6">
      <c r="A508" s="502" t="s">
        <v>27973</v>
      </c>
      <c r="B508" s="504" t="s">
        <v>27974</v>
      </c>
      <c r="C508" s="502" t="s">
        <v>75</v>
      </c>
      <c r="D508" s="503" t="s">
        <v>17857</v>
      </c>
      <c r="F508" t="str">
        <f t="shared" si="15"/>
        <v>105127</v>
      </c>
      <c r="H508" s="14">
        <f t="shared" si="16"/>
        <v>46.97</v>
      </c>
    </row>
    <row r="509" spans="1:8" ht="27.6">
      <c r="A509" s="502" t="s">
        <v>27975</v>
      </c>
      <c r="B509" s="504" t="s">
        <v>27976</v>
      </c>
      <c r="C509" s="502" t="s">
        <v>75</v>
      </c>
      <c r="D509" s="503" t="s">
        <v>30773</v>
      </c>
      <c r="F509" t="str">
        <f t="shared" si="15"/>
        <v>105128</v>
      </c>
      <c r="H509" s="14">
        <f t="shared" si="16"/>
        <v>152.09</v>
      </c>
    </row>
    <row r="510" spans="1:8" ht="27.6">
      <c r="A510" s="502" t="s">
        <v>27977</v>
      </c>
      <c r="B510" s="504" t="s">
        <v>27978</v>
      </c>
      <c r="C510" s="502" t="s">
        <v>75</v>
      </c>
      <c r="D510" s="503" t="s">
        <v>30774</v>
      </c>
      <c r="F510" t="str">
        <f t="shared" si="15"/>
        <v>105130</v>
      </c>
      <c r="H510" s="14">
        <f t="shared" si="16"/>
        <v>40.630000000000003</v>
      </c>
    </row>
    <row r="511" spans="1:8" ht="41.4">
      <c r="A511" s="502" t="s">
        <v>3107</v>
      </c>
      <c r="B511" s="504" t="s">
        <v>1858</v>
      </c>
      <c r="C511" s="502" t="s">
        <v>1717</v>
      </c>
      <c r="D511" s="503" t="s">
        <v>30775</v>
      </c>
      <c r="F511" t="str">
        <f t="shared" si="15"/>
        <v>5631</v>
      </c>
      <c r="H511" s="14">
        <f t="shared" si="16"/>
        <v>292.88</v>
      </c>
    </row>
    <row r="512" spans="1:8" ht="69">
      <c r="A512" s="502" t="s">
        <v>3108</v>
      </c>
      <c r="B512" s="504" t="s">
        <v>2292</v>
      </c>
      <c r="C512" s="502" t="s">
        <v>1717</v>
      </c>
      <c r="D512" s="503" t="s">
        <v>30776</v>
      </c>
      <c r="F512" t="str">
        <f t="shared" si="15"/>
        <v>5678</v>
      </c>
      <c r="H512" s="14">
        <f t="shared" si="16"/>
        <v>211.13</v>
      </c>
    </row>
    <row r="513" spans="1:8" ht="69">
      <c r="A513" s="502" t="s">
        <v>3109</v>
      </c>
      <c r="B513" s="504" t="s">
        <v>2293</v>
      </c>
      <c r="C513" s="502" t="s">
        <v>1717</v>
      </c>
      <c r="D513" s="503" t="s">
        <v>30777</v>
      </c>
      <c r="F513" t="str">
        <f t="shared" si="15"/>
        <v>5680</v>
      </c>
      <c r="H513" s="14">
        <f t="shared" si="16"/>
        <v>193.91</v>
      </c>
    </row>
    <row r="514" spans="1:8" ht="55.2">
      <c r="A514" s="502" t="s">
        <v>3110</v>
      </c>
      <c r="B514" s="504" t="s">
        <v>2294</v>
      </c>
      <c r="C514" s="502" t="s">
        <v>1717</v>
      </c>
      <c r="D514" s="503" t="s">
        <v>30778</v>
      </c>
      <c r="F514" t="str">
        <f t="shared" si="15"/>
        <v>5684</v>
      </c>
      <c r="H514" s="14">
        <f t="shared" si="16"/>
        <v>223.22</v>
      </c>
    </row>
    <row r="515" spans="1:8" ht="41.4">
      <c r="A515" s="502" t="s">
        <v>3111</v>
      </c>
      <c r="B515" s="504" t="s">
        <v>1718</v>
      </c>
      <c r="C515" s="502" t="s">
        <v>1717</v>
      </c>
      <c r="D515" s="503" t="s">
        <v>7705</v>
      </c>
      <c r="F515" t="str">
        <f t="shared" si="15"/>
        <v>5689</v>
      </c>
      <c r="H515" s="14">
        <f t="shared" si="16"/>
        <v>8.42</v>
      </c>
    </row>
    <row r="516" spans="1:8" ht="27.6">
      <c r="A516" s="502" t="s">
        <v>3112</v>
      </c>
      <c r="B516" s="504" t="s">
        <v>2295</v>
      </c>
      <c r="C516" s="502" t="s">
        <v>1717</v>
      </c>
      <c r="D516" s="503" t="s">
        <v>19005</v>
      </c>
      <c r="F516" t="str">
        <f t="shared" si="15"/>
        <v>5795</v>
      </c>
      <c r="H516" s="14">
        <f t="shared" si="16"/>
        <v>42.96</v>
      </c>
    </row>
    <row r="517" spans="1:8" ht="55.2">
      <c r="A517" s="502" t="s">
        <v>3113</v>
      </c>
      <c r="B517" s="504" t="s">
        <v>1859</v>
      </c>
      <c r="C517" s="502" t="s">
        <v>1717</v>
      </c>
      <c r="D517" s="503" t="s">
        <v>30779</v>
      </c>
      <c r="F517" t="str">
        <f t="shared" ref="F517:F580" si="17">TRIM(A517)</f>
        <v>5811</v>
      </c>
      <c r="H517" s="14">
        <f t="shared" ref="H517:H580" si="18">ROUND(D517*(1+$H$1),2)</f>
        <v>274.22000000000003</v>
      </c>
    </row>
    <row r="518" spans="1:8" ht="27.6">
      <c r="A518" s="502" t="s">
        <v>3114</v>
      </c>
      <c r="B518" s="504" t="s">
        <v>2296</v>
      </c>
      <c r="C518" s="502" t="s">
        <v>1717</v>
      </c>
      <c r="D518" s="503" t="s">
        <v>30780</v>
      </c>
      <c r="F518" t="str">
        <f t="shared" si="17"/>
        <v>5823</v>
      </c>
      <c r="H518" s="14">
        <f t="shared" si="18"/>
        <v>317.32</v>
      </c>
    </row>
    <row r="519" spans="1:8" ht="69">
      <c r="A519" s="502" t="s">
        <v>3115</v>
      </c>
      <c r="B519" s="504" t="s">
        <v>2297</v>
      </c>
      <c r="C519" s="502" t="s">
        <v>1717</v>
      </c>
      <c r="D519" s="503" t="s">
        <v>30781</v>
      </c>
      <c r="F519" t="str">
        <f t="shared" si="17"/>
        <v>5824</v>
      </c>
      <c r="H519" s="14">
        <f t="shared" si="18"/>
        <v>289.39</v>
      </c>
    </row>
    <row r="520" spans="1:8" ht="41.4">
      <c r="A520" s="502" t="s">
        <v>3116</v>
      </c>
      <c r="B520" s="504" t="s">
        <v>2298</v>
      </c>
      <c r="C520" s="502" t="s">
        <v>1717</v>
      </c>
      <c r="D520" s="503" t="s">
        <v>30782</v>
      </c>
      <c r="F520" t="str">
        <f t="shared" si="17"/>
        <v>5835</v>
      </c>
      <c r="H520" s="14">
        <f t="shared" si="18"/>
        <v>504.23</v>
      </c>
    </row>
    <row r="521" spans="1:8" ht="41.4">
      <c r="A521" s="502" t="s">
        <v>3117</v>
      </c>
      <c r="B521" s="504" t="s">
        <v>1860</v>
      </c>
      <c r="C521" s="502" t="s">
        <v>1717</v>
      </c>
      <c r="D521" s="503" t="s">
        <v>11619</v>
      </c>
      <c r="F521" t="str">
        <f t="shared" si="17"/>
        <v>5839</v>
      </c>
      <c r="H521" s="14">
        <f t="shared" si="18"/>
        <v>12.43</v>
      </c>
    </row>
    <row r="522" spans="1:8" ht="27.6">
      <c r="A522" s="502" t="s">
        <v>3118</v>
      </c>
      <c r="B522" s="504" t="s">
        <v>2299</v>
      </c>
      <c r="C522" s="502" t="s">
        <v>1717</v>
      </c>
      <c r="D522" s="503" t="s">
        <v>30783</v>
      </c>
      <c r="F522" t="str">
        <f t="shared" si="17"/>
        <v>5843</v>
      </c>
      <c r="H522" s="14">
        <f t="shared" si="18"/>
        <v>243.01</v>
      </c>
    </row>
    <row r="523" spans="1:8" ht="41.4">
      <c r="A523" s="502" t="s">
        <v>3119</v>
      </c>
      <c r="B523" s="504" t="s">
        <v>1861</v>
      </c>
      <c r="C523" s="502" t="s">
        <v>1717</v>
      </c>
      <c r="D523" s="503" t="s">
        <v>30784</v>
      </c>
      <c r="F523" t="str">
        <f t="shared" si="17"/>
        <v>5847</v>
      </c>
      <c r="H523" s="14">
        <f t="shared" si="18"/>
        <v>378.98</v>
      </c>
    </row>
    <row r="524" spans="1:8" ht="41.4">
      <c r="A524" s="502" t="s">
        <v>3120</v>
      </c>
      <c r="B524" s="504" t="s">
        <v>2300</v>
      </c>
      <c r="C524" s="502" t="s">
        <v>1717</v>
      </c>
      <c r="D524" s="503" t="s">
        <v>30785</v>
      </c>
      <c r="F524" t="str">
        <f t="shared" si="17"/>
        <v>5851</v>
      </c>
      <c r="H524" s="14">
        <f t="shared" si="18"/>
        <v>363.55</v>
      </c>
    </row>
    <row r="525" spans="1:8" ht="41.4">
      <c r="A525" s="502" t="s">
        <v>3121</v>
      </c>
      <c r="B525" s="504" t="s">
        <v>1862</v>
      </c>
      <c r="C525" s="502" t="s">
        <v>1717</v>
      </c>
      <c r="D525" s="503" t="s">
        <v>30786</v>
      </c>
      <c r="F525" t="str">
        <f t="shared" si="17"/>
        <v>5855</v>
      </c>
      <c r="H525" s="14">
        <f t="shared" si="18"/>
        <v>953.08</v>
      </c>
    </row>
    <row r="526" spans="1:8" ht="55.2">
      <c r="A526" s="502" t="s">
        <v>3122</v>
      </c>
      <c r="B526" s="504" t="s">
        <v>1863</v>
      </c>
      <c r="C526" s="502" t="s">
        <v>1717</v>
      </c>
      <c r="D526" s="503" t="s">
        <v>4669</v>
      </c>
      <c r="F526" t="str">
        <f t="shared" si="17"/>
        <v>5863</v>
      </c>
      <c r="H526" s="14">
        <f t="shared" si="18"/>
        <v>32.46</v>
      </c>
    </row>
    <row r="527" spans="1:8" ht="41.4">
      <c r="A527" s="502" t="s">
        <v>3124</v>
      </c>
      <c r="B527" s="504" t="s">
        <v>1864</v>
      </c>
      <c r="C527" s="502" t="s">
        <v>1717</v>
      </c>
      <c r="D527" s="503" t="s">
        <v>30787</v>
      </c>
      <c r="F527" t="str">
        <f t="shared" si="17"/>
        <v>5867</v>
      </c>
      <c r="H527" s="14">
        <f t="shared" si="18"/>
        <v>226.17</v>
      </c>
    </row>
    <row r="528" spans="1:8" ht="69">
      <c r="A528" s="502" t="s">
        <v>3125</v>
      </c>
      <c r="B528" s="504" t="s">
        <v>2301</v>
      </c>
      <c r="C528" s="502" t="s">
        <v>1717</v>
      </c>
      <c r="D528" s="503" t="s">
        <v>30788</v>
      </c>
      <c r="F528" t="str">
        <f t="shared" si="17"/>
        <v>5875</v>
      </c>
      <c r="H528" s="14">
        <f t="shared" si="18"/>
        <v>195.56</v>
      </c>
    </row>
    <row r="529" spans="1:8" ht="55.2">
      <c r="A529" s="502" t="s">
        <v>3126</v>
      </c>
      <c r="B529" s="504" t="s">
        <v>1865</v>
      </c>
      <c r="C529" s="502" t="s">
        <v>1717</v>
      </c>
      <c r="D529" s="503" t="s">
        <v>30789</v>
      </c>
      <c r="F529" t="str">
        <f t="shared" si="17"/>
        <v>5879</v>
      </c>
      <c r="H529" s="14">
        <f t="shared" si="18"/>
        <v>202.71</v>
      </c>
    </row>
    <row r="530" spans="1:8" ht="55.2">
      <c r="A530" s="502" t="s">
        <v>3127</v>
      </c>
      <c r="B530" s="504" t="s">
        <v>2302</v>
      </c>
      <c r="C530" s="502" t="s">
        <v>1717</v>
      </c>
      <c r="D530" s="503" t="s">
        <v>30790</v>
      </c>
      <c r="F530" t="str">
        <f t="shared" si="17"/>
        <v>5882</v>
      </c>
      <c r="H530" s="14">
        <f t="shared" si="18"/>
        <v>168.28</v>
      </c>
    </row>
    <row r="531" spans="1:8" ht="55.2">
      <c r="A531" s="502" t="s">
        <v>3128</v>
      </c>
      <c r="B531" s="504" t="s">
        <v>2303</v>
      </c>
      <c r="C531" s="502" t="s">
        <v>1717</v>
      </c>
      <c r="D531" s="503" t="s">
        <v>30791</v>
      </c>
      <c r="F531" t="str">
        <f t="shared" si="17"/>
        <v>5890</v>
      </c>
      <c r="H531" s="14">
        <f t="shared" si="18"/>
        <v>271.88</v>
      </c>
    </row>
    <row r="532" spans="1:8" ht="55.2">
      <c r="A532" s="502" t="s">
        <v>3129</v>
      </c>
      <c r="B532" s="504" t="s">
        <v>2304</v>
      </c>
      <c r="C532" s="502" t="s">
        <v>1717</v>
      </c>
      <c r="D532" s="503" t="s">
        <v>18759</v>
      </c>
      <c r="F532" t="str">
        <f t="shared" si="17"/>
        <v>5894</v>
      </c>
      <c r="H532" s="14">
        <f t="shared" si="18"/>
        <v>283.10000000000002</v>
      </c>
    </row>
    <row r="533" spans="1:8" ht="69">
      <c r="A533" s="502" t="s">
        <v>3130</v>
      </c>
      <c r="B533" s="504" t="s">
        <v>2305</v>
      </c>
      <c r="C533" s="502" t="s">
        <v>1717</v>
      </c>
      <c r="D533" s="503" t="s">
        <v>30792</v>
      </c>
      <c r="F533" t="str">
        <f t="shared" si="17"/>
        <v>5901</v>
      </c>
      <c r="H533" s="14">
        <f t="shared" si="18"/>
        <v>423.54</v>
      </c>
    </row>
    <row r="534" spans="1:8" ht="41.4">
      <c r="A534" s="502" t="s">
        <v>3131</v>
      </c>
      <c r="B534" s="504" t="s">
        <v>2306</v>
      </c>
      <c r="C534" s="502" t="s">
        <v>1717</v>
      </c>
      <c r="D534" s="503" t="s">
        <v>30793</v>
      </c>
      <c r="F534" t="str">
        <f t="shared" si="17"/>
        <v>5909</v>
      </c>
      <c r="H534" s="14">
        <f t="shared" si="18"/>
        <v>48.56</v>
      </c>
    </row>
    <row r="535" spans="1:8" ht="27.6">
      <c r="A535" s="502" t="s">
        <v>3133</v>
      </c>
      <c r="B535" s="504" t="s">
        <v>1866</v>
      </c>
      <c r="C535" s="502" t="s">
        <v>1717</v>
      </c>
      <c r="D535" s="503" t="s">
        <v>30794</v>
      </c>
      <c r="F535" t="str">
        <f t="shared" si="17"/>
        <v>5921</v>
      </c>
      <c r="H535" s="14">
        <f t="shared" si="18"/>
        <v>6.61</v>
      </c>
    </row>
    <row r="536" spans="1:8" ht="69">
      <c r="A536" s="502" t="s">
        <v>3134</v>
      </c>
      <c r="B536" s="504" t="s">
        <v>1867</v>
      </c>
      <c r="C536" s="502" t="s">
        <v>1717</v>
      </c>
      <c r="D536" s="503" t="s">
        <v>30795</v>
      </c>
      <c r="F536" t="str">
        <f t="shared" si="17"/>
        <v>5928</v>
      </c>
      <c r="H536" s="14">
        <f t="shared" si="18"/>
        <v>369.12</v>
      </c>
    </row>
    <row r="537" spans="1:8" ht="41.4">
      <c r="A537" s="502" t="s">
        <v>3135</v>
      </c>
      <c r="B537" s="504" t="s">
        <v>1719</v>
      </c>
      <c r="C537" s="502" t="s">
        <v>1717</v>
      </c>
      <c r="D537" s="503" t="s">
        <v>30796</v>
      </c>
      <c r="F537" t="str">
        <f t="shared" si="17"/>
        <v>5932</v>
      </c>
      <c r="H537" s="14">
        <f t="shared" si="18"/>
        <v>374.98</v>
      </c>
    </row>
    <row r="538" spans="1:8" ht="41.4">
      <c r="A538" s="502" t="s">
        <v>3136</v>
      </c>
      <c r="B538" s="504" t="s">
        <v>1868</v>
      </c>
      <c r="C538" s="502" t="s">
        <v>1717</v>
      </c>
      <c r="D538" s="503" t="s">
        <v>30797</v>
      </c>
      <c r="F538" t="str">
        <f t="shared" si="17"/>
        <v>5940</v>
      </c>
      <c r="H538" s="14">
        <f t="shared" si="18"/>
        <v>233.75</v>
      </c>
    </row>
    <row r="539" spans="1:8" ht="41.4">
      <c r="A539" s="502" t="s">
        <v>3137</v>
      </c>
      <c r="B539" s="504" t="s">
        <v>1869</v>
      </c>
      <c r="C539" s="502" t="s">
        <v>1717</v>
      </c>
      <c r="D539" s="503" t="s">
        <v>30798</v>
      </c>
      <c r="F539" t="str">
        <f t="shared" si="17"/>
        <v>5944</v>
      </c>
      <c r="H539" s="14">
        <f t="shared" si="18"/>
        <v>315.39999999999998</v>
      </c>
    </row>
    <row r="540" spans="1:8" ht="41.4">
      <c r="A540" s="502" t="s">
        <v>3138</v>
      </c>
      <c r="B540" s="504" t="s">
        <v>2307</v>
      </c>
      <c r="C540" s="502" t="s">
        <v>1717</v>
      </c>
      <c r="D540" s="503" t="s">
        <v>30799</v>
      </c>
      <c r="F540" t="str">
        <f t="shared" si="17"/>
        <v>5953</v>
      </c>
      <c r="H540" s="14">
        <f t="shared" si="18"/>
        <v>80.42</v>
      </c>
    </row>
    <row r="541" spans="1:8" ht="55.2">
      <c r="A541" s="502" t="s">
        <v>3139</v>
      </c>
      <c r="B541" s="504" t="s">
        <v>2308</v>
      </c>
      <c r="C541" s="502" t="s">
        <v>1717</v>
      </c>
      <c r="D541" s="503" t="s">
        <v>30800</v>
      </c>
      <c r="F541" t="str">
        <f t="shared" si="17"/>
        <v>6259</v>
      </c>
      <c r="H541" s="14">
        <f t="shared" si="18"/>
        <v>341.55</v>
      </c>
    </row>
    <row r="542" spans="1:8" ht="55.2">
      <c r="A542" s="502" t="s">
        <v>3140</v>
      </c>
      <c r="B542" s="504" t="s">
        <v>2309</v>
      </c>
      <c r="C542" s="502" t="s">
        <v>1717</v>
      </c>
      <c r="D542" s="503" t="s">
        <v>30801</v>
      </c>
      <c r="F542" t="str">
        <f t="shared" si="17"/>
        <v>6879</v>
      </c>
      <c r="H542" s="14">
        <f t="shared" si="18"/>
        <v>293.5</v>
      </c>
    </row>
    <row r="543" spans="1:8" ht="27.6">
      <c r="A543" s="502" t="s">
        <v>3141</v>
      </c>
      <c r="B543" s="504" t="s">
        <v>27982</v>
      </c>
      <c r="C543" s="502" t="s">
        <v>1717</v>
      </c>
      <c r="D543" s="503" t="s">
        <v>22565</v>
      </c>
      <c r="F543" t="str">
        <f t="shared" si="17"/>
        <v>7030</v>
      </c>
      <c r="H543" s="14">
        <f t="shared" si="18"/>
        <v>356.66</v>
      </c>
    </row>
    <row r="544" spans="1:8" ht="55.2">
      <c r="A544" s="502" t="s">
        <v>3142</v>
      </c>
      <c r="B544" s="504" t="s">
        <v>1870</v>
      </c>
      <c r="C544" s="502" t="s">
        <v>1717</v>
      </c>
      <c r="D544" s="503" t="s">
        <v>25121</v>
      </c>
      <c r="F544" t="str">
        <f t="shared" si="17"/>
        <v>7042</v>
      </c>
      <c r="H544" s="14">
        <f t="shared" si="18"/>
        <v>34.35</v>
      </c>
    </row>
    <row r="545" spans="1:8" ht="55.2">
      <c r="A545" s="502" t="s">
        <v>3143</v>
      </c>
      <c r="B545" s="504" t="s">
        <v>1871</v>
      </c>
      <c r="C545" s="502" t="s">
        <v>1717</v>
      </c>
      <c r="D545" s="503" t="s">
        <v>28562</v>
      </c>
      <c r="F545" t="str">
        <f t="shared" si="17"/>
        <v>7049</v>
      </c>
      <c r="H545" s="14">
        <f t="shared" si="18"/>
        <v>307.55</v>
      </c>
    </row>
    <row r="546" spans="1:8" ht="55.2">
      <c r="A546" s="502" t="s">
        <v>3144</v>
      </c>
      <c r="B546" s="504" t="s">
        <v>1872</v>
      </c>
      <c r="C546" s="502" t="s">
        <v>1717</v>
      </c>
      <c r="D546" s="503" t="s">
        <v>30802</v>
      </c>
      <c r="F546" t="str">
        <f t="shared" si="17"/>
        <v>67826</v>
      </c>
      <c r="H546" s="14">
        <f t="shared" si="18"/>
        <v>251.38</v>
      </c>
    </row>
    <row r="547" spans="1:8" ht="27.6">
      <c r="A547" s="502" t="s">
        <v>3145</v>
      </c>
      <c r="B547" s="504" t="s">
        <v>2310</v>
      </c>
      <c r="C547" s="502" t="s">
        <v>1717</v>
      </c>
      <c r="D547" s="503" t="s">
        <v>30803</v>
      </c>
      <c r="F547" t="str">
        <f t="shared" si="17"/>
        <v>73417</v>
      </c>
      <c r="H547" s="14">
        <f t="shared" si="18"/>
        <v>254.44</v>
      </c>
    </row>
    <row r="548" spans="1:8" ht="55.2">
      <c r="A548" s="502" t="s">
        <v>3146</v>
      </c>
      <c r="B548" s="504" t="s">
        <v>2311</v>
      </c>
      <c r="C548" s="502" t="s">
        <v>1717</v>
      </c>
      <c r="D548" s="503" t="s">
        <v>30804</v>
      </c>
      <c r="F548" t="str">
        <f t="shared" si="17"/>
        <v>73436</v>
      </c>
      <c r="H548" s="14">
        <f t="shared" si="18"/>
        <v>227.59</v>
      </c>
    </row>
    <row r="549" spans="1:8" ht="69">
      <c r="A549" s="502" t="s">
        <v>3147</v>
      </c>
      <c r="B549" s="504" t="s">
        <v>2312</v>
      </c>
      <c r="C549" s="502" t="s">
        <v>1717</v>
      </c>
      <c r="D549" s="503" t="s">
        <v>30805</v>
      </c>
      <c r="F549" t="str">
        <f t="shared" si="17"/>
        <v>73467</v>
      </c>
      <c r="H549" s="14">
        <f t="shared" si="18"/>
        <v>331.83</v>
      </c>
    </row>
    <row r="550" spans="1:8" ht="55.2">
      <c r="A550" s="502" t="s">
        <v>3148</v>
      </c>
      <c r="B550" s="504" t="s">
        <v>2313</v>
      </c>
      <c r="C550" s="502" t="s">
        <v>1717</v>
      </c>
      <c r="D550" s="503" t="s">
        <v>30806</v>
      </c>
      <c r="F550" t="str">
        <f t="shared" si="17"/>
        <v>73536</v>
      </c>
      <c r="H550" s="14">
        <f t="shared" si="18"/>
        <v>29.08</v>
      </c>
    </row>
    <row r="551" spans="1:8" ht="69">
      <c r="A551" s="502" t="s">
        <v>3149</v>
      </c>
      <c r="B551" s="504" t="s">
        <v>27984</v>
      </c>
      <c r="C551" s="502" t="s">
        <v>1717</v>
      </c>
      <c r="D551" s="503" t="s">
        <v>30807</v>
      </c>
      <c r="F551" t="str">
        <f t="shared" si="17"/>
        <v>83362</v>
      </c>
      <c r="H551" s="14">
        <f t="shared" si="18"/>
        <v>354.6</v>
      </c>
    </row>
    <row r="552" spans="1:8" ht="41.4">
      <c r="A552" s="502" t="s">
        <v>3150</v>
      </c>
      <c r="B552" s="504" t="s">
        <v>1873</v>
      </c>
      <c r="C552" s="502" t="s">
        <v>1717</v>
      </c>
      <c r="D552" s="503" t="s">
        <v>30808</v>
      </c>
      <c r="F552" t="str">
        <f t="shared" si="17"/>
        <v>83765</v>
      </c>
      <c r="H552" s="14">
        <f t="shared" si="18"/>
        <v>140.9</v>
      </c>
    </row>
    <row r="553" spans="1:8" ht="41.4">
      <c r="A553" s="502" t="s">
        <v>3151</v>
      </c>
      <c r="B553" s="504" t="s">
        <v>27986</v>
      </c>
      <c r="C553" s="502" t="s">
        <v>1717</v>
      </c>
      <c r="D553" s="503" t="s">
        <v>9970</v>
      </c>
      <c r="F553" t="str">
        <f t="shared" si="17"/>
        <v>87445</v>
      </c>
      <c r="H553" s="14">
        <f t="shared" si="18"/>
        <v>6.88</v>
      </c>
    </row>
    <row r="554" spans="1:8" ht="41.4">
      <c r="A554" s="502" t="s">
        <v>3152</v>
      </c>
      <c r="B554" s="504" t="s">
        <v>27987</v>
      </c>
      <c r="C554" s="502" t="s">
        <v>1717</v>
      </c>
      <c r="D554" s="503" t="s">
        <v>28193</v>
      </c>
      <c r="F554" t="str">
        <f t="shared" si="17"/>
        <v>88386</v>
      </c>
      <c r="H554" s="14">
        <f t="shared" si="18"/>
        <v>5.98</v>
      </c>
    </row>
    <row r="555" spans="1:8" ht="41.4">
      <c r="A555" s="502" t="s">
        <v>3153</v>
      </c>
      <c r="B555" s="504" t="s">
        <v>27989</v>
      </c>
      <c r="C555" s="502" t="s">
        <v>1717</v>
      </c>
      <c r="D555" s="503" t="s">
        <v>10313</v>
      </c>
      <c r="F555" t="str">
        <f t="shared" si="17"/>
        <v>88393</v>
      </c>
      <c r="H555" s="14">
        <f t="shared" si="18"/>
        <v>8.2200000000000006</v>
      </c>
    </row>
    <row r="556" spans="1:8" ht="41.4">
      <c r="A556" s="502" t="s">
        <v>3154</v>
      </c>
      <c r="B556" s="504" t="s">
        <v>27990</v>
      </c>
      <c r="C556" s="502" t="s">
        <v>1717</v>
      </c>
      <c r="D556" s="503" t="s">
        <v>3931</v>
      </c>
      <c r="F556" t="str">
        <f t="shared" si="17"/>
        <v>88399</v>
      </c>
      <c r="H556" s="14">
        <f t="shared" si="18"/>
        <v>4.41</v>
      </c>
    </row>
    <row r="557" spans="1:8" ht="41.4">
      <c r="A557" s="502" t="s">
        <v>3156</v>
      </c>
      <c r="B557" s="504" t="s">
        <v>1720</v>
      </c>
      <c r="C557" s="502" t="s">
        <v>1717</v>
      </c>
      <c r="D557" s="503" t="s">
        <v>15389</v>
      </c>
      <c r="F557" t="str">
        <f t="shared" si="17"/>
        <v>88418</v>
      </c>
      <c r="H557" s="14">
        <f t="shared" si="18"/>
        <v>17.02</v>
      </c>
    </row>
    <row r="558" spans="1:8" ht="41.4">
      <c r="A558" s="502" t="s">
        <v>3157</v>
      </c>
      <c r="B558" s="504" t="s">
        <v>1874</v>
      </c>
      <c r="C558" s="502" t="s">
        <v>1717</v>
      </c>
      <c r="D558" s="503" t="s">
        <v>7313</v>
      </c>
      <c r="F558" t="str">
        <f t="shared" si="17"/>
        <v>88433</v>
      </c>
      <c r="H558" s="14">
        <f t="shared" si="18"/>
        <v>22.17</v>
      </c>
    </row>
    <row r="559" spans="1:8" ht="41.4">
      <c r="A559" s="502" t="s">
        <v>3159</v>
      </c>
      <c r="B559" s="504" t="s">
        <v>27991</v>
      </c>
      <c r="C559" s="502" t="s">
        <v>1717</v>
      </c>
      <c r="D559" s="503" t="s">
        <v>6910</v>
      </c>
      <c r="F559" t="str">
        <f t="shared" si="17"/>
        <v>88830</v>
      </c>
      <c r="H559" s="14">
        <f t="shared" si="18"/>
        <v>2.3199999999999998</v>
      </c>
    </row>
    <row r="560" spans="1:8" ht="41.4">
      <c r="A560" s="502" t="s">
        <v>3161</v>
      </c>
      <c r="B560" s="504" t="s">
        <v>1875</v>
      </c>
      <c r="C560" s="502" t="s">
        <v>1717</v>
      </c>
      <c r="D560" s="503" t="s">
        <v>30809</v>
      </c>
      <c r="F560" t="str">
        <f t="shared" si="17"/>
        <v>88843</v>
      </c>
      <c r="H560" s="14">
        <f t="shared" si="18"/>
        <v>306.70999999999998</v>
      </c>
    </row>
    <row r="561" spans="1:8" ht="41.4">
      <c r="A561" s="502" t="s">
        <v>3162</v>
      </c>
      <c r="B561" s="504" t="s">
        <v>1876</v>
      </c>
      <c r="C561" s="502" t="s">
        <v>1717</v>
      </c>
      <c r="D561" s="503" t="s">
        <v>30810</v>
      </c>
      <c r="F561" t="str">
        <f t="shared" si="17"/>
        <v>88907</v>
      </c>
      <c r="H561" s="14">
        <f t="shared" si="18"/>
        <v>347.41</v>
      </c>
    </row>
    <row r="562" spans="1:8" ht="55.2">
      <c r="A562" s="502" t="s">
        <v>3163</v>
      </c>
      <c r="B562" s="504" t="s">
        <v>27992</v>
      </c>
      <c r="C562" s="502" t="s">
        <v>1717</v>
      </c>
      <c r="D562" s="503" t="s">
        <v>3467</v>
      </c>
      <c r="F562" t="str">
        <f t="shared" si="17"/>
        <v>89021</v>
      </c>
      <c r="H562" s="14">
        <f t="shared" si="18"/>
        <v>3.2</v>
      </c>
    </row>
    <row r="563" spans="1:8" ht="27.6">
      <c r="A563" s="502" t="s">
        <v>3165</v>
      </c>
      <c r="B563" s="504" t="s">
        <v>27993</v>
      </c>
      <c r="C563" s="502" t="s">
        <v>1717</v>
      </c>
      <c r="D563" s="503" t="s">
        <v>30811</v>
      </c>
      <c r="F563" t="str">
        <f t="shared" si="17"/>
        <v>89028</v>
      </c>
      <c r="H563" s="14">
        <f t="shared" si="18"/>
        <v>240.14</v>
      </c>
    </row>
    <row r="564" spans="1:8" ht="41.4">
      <c r="A564" s="502" t="s">
        <v>3166</v>
      </c>
      <c r="B564" s="504" t="s">
        <v>1877</v>
      </c>
      <c r="C564" s="502" t="s">
        <v>1717</v>
      </c>
      <c r="D564" s="503" t="s">
        <v>30812</v>
      </c>
      <c r="F564" t="str">
        <f t="shared" si="17"/>
        <v>89032</v>
      </c>
      <c r="H564" s="14">
        <f t="shared" si="18"/>
        <v>279.17</v>
      </c>
    </row>
    <row r="565" spans="1:8" ht="27.6">
      <c r="A565" s="502" t="s">
        <v>3167</v>
      </c>
      <c r="B565" s="504" t="s">
        <v>1721</v>
      </c>
      <c r="C565" s="502" t="s">
        <v>1717</v>
      </c>
      <c r="D565" s="503" t="s">
        <v>30813</v>
      </c>
      <c r="F565" t="str">
        <f t="shared" si="17"/>
        <v>89035</v>
      </c>
      <c r="H565" s="14">
        <f t="shared" si="18"/>
        <v>187.26</v>
      </c>
    </row>
    <row r="566" spans="1:8" ht="41.4">
      <c r="A566" s="502" t="s">
        <v>3168</v>
      </c>
      <c r="B566" s="504" t="s">
        <v>27994</v>
      </c>
      <c r="C566" s="502" t="s">
        <v>1717</v>
      </c>
      <c r="D566" s="503" t="s">
        <v>23963</v>
      </c>
      <c r="F566" t="str">
        <f t="shared" si="17"/>
        <v>89225</v>
      </c>
      <c r="H566" s="14">
        <f t="shared" si="18"/>
        <v>6.54</v>
      </c>
    </row>
    <row r="567" spans="1:8" ht="41.4">
      <c r="A567" s="502" t="s">
        <v>3170</v>
      </c>
      <c r="B567" s="504" t="s">
        <v>1878</v>
      </c>
      <c r="C567" s="502" t="s">
        <v>1717</v>
      </c>
      <c r="D567" s="503" t="s">
        <v>30814</v>
      </c>
      <c r="F567" t="str">
        <f t="shared" si="17"/>
        <v>89234</v>
      </c>
      <c r="H567" s="14">
        <f t="shared" si="18"/>
        <v>762.79</v>
      </c>
    </row>
    <row r="568" spans="1:8" ht="41.4">
      <c r="A568" s="502" t="s">
        <v>3171</v>
      </c>
      <c r="B568" s="504" t="s">
        <v>1879</v>
      </c>
      <c r="C568" s="502" t="s">
        <v>1717</v>
      </c>
      <c r="D568" s="503" t="s">
        <v>30815</v>
      </c>
      <c r="F568" t="str">
        <f t="shared" si="17"/>
        <v>89242</v>
      </c>
      <c r="H568" s="14">
        <f t="shared" si="18"/>
        <v>1788.24</v>
      </c>
    </row>
    <row r="569" spans="1:8" ht="41.4">
      <c r="A569" s="502" t="s">
        <v>3172</v>
      </c>
      <c r="B569" s="504" t="s">
        <v>1722</v>
      </c>
      <c r="C569" s="502" t="s">
        <v>1717</v>
      </c>
      <c r="D569" s="503" t="s">
        <v>30816</v>
      </c>
      <c r="F569" t="str">
        <f t="shared" si="17"/>
        <v>89250</v>
      </c>
      <c r="H569" s="14">
        <f t="shared" si="18"/>
        <v>1550.28</v>
      </c>
    </row>
    <row r="570" spans="1:8" ht="41.4">
      <c r="A570" s="502" t="s">
        <v>3173</v>
      </c>
      <c r="B570" s="504" t="s">
        <v>2314</v>
      </c>
      <c r="C570" s="502" t="s">
        <v>1717</v>
      </c>
      <c r="D570" s="503" t="s">
        <v>30817</v>
      </c>
      <c r="F570" t="str">
        <f t="shared" si="17"/>
        <v>89257</v>
      </c>
      <c r="H570" s="14">
        <f t="shared" si="18"/>
        <v>437.27</v>
      </c>
    </row>
    <row r="571" spans="1:8" ht="55.2">
      <c r="A571" s="502" t="s">
        <v>3174</v>
      </c>
      <c r="B571" s="504" t="s">
        <v>2315</v>
      </c>
      <c r="C571" s="502" t="s">
        <v>1717</v>
      </c>
      <c r="D571" s="503" t="s">
        <v>30818</v>
      </c>
      <c r="F571" t="str">
        <f t="shared" si="17"/>
        <v>89272</v>
      </c>
      <c r="H571" s="14">
        <f t="shared" si="18"/>
        <v>318.23</v>
      </c>
    </row>
    <row r="572" spans="1:8" ht="41.4">
      <c r="A572" s="502" t="s">
        <v>3175</v>
      </c>
      <c r="B572" s="504" t="s">
        <v>27995</v>
      </c>
      <c r="C572" s="502" t="s">
        <v>1717</v>
      </c>
      <c r="D572" s="503" t="s">
        <v>26599</v>
      </c>
      <c r="F572" t="str">
        <f t="shared" si="17"/>
        <v>89278</v>
      </c>
      <c r="H572" s="14">
        <f t="shared" si="18"/>
        <v>15.9</v>
      </c>
    </row>
    <row r="573" spans="1:8" ht="41.4">
      <c r="A573" s="502" t="s">
        <v>3176</v>
      </c>
      <c r="B573" s="504" t="s">
        <v>1723</v>
      </c>
      <c r="C573" s="502" t="s">
        <v>1717</v>
      </c>
      <c r="D573" s="503" t="s">
        <v>30819</v>
      </c>
      <c r="F573" t="str">
        <f t="shared" si="17"/>
        <v>89843</v>
      </c>
      <c r="H573" s="14">
        <f t="shared" si="18"/>
        <v>311.11</v>
      </c>
    </row>
    <row r="574" spans="1:8" ht="55.2">
      <c r="A574" s="502" t="s">
        <v>3177</v>
      </c>
      <c r="B574" s="504" t="s">
        <v>2316</v>
      </c>
      <c r="C574" s="502" t="s">
        <v>1717</v>
      </c>
      <c r="D574" s="503" t="s">
        <v>30820</v>
      </c>
      <c r="F574" t="str">
        <f t="shared" si="17"/>
        <v>89876</v>
      </c>
      <c r="H574" s="14">
        <f t="shared" si="18"/>
        <v>447.8</v>
      </c>
    </row>
    <row r="575" spans="1:8" ht="55.2">
      <c r="A575" s="502" t="s">
        <v>3178</v>
      </c>
      <c r="B575" s="504" t="s">
        <v>2317</v>
      </c>
      <c r="C575" s="502" t="s">
        <v>1717</v>
      </c>
      <c r="D575" s="503" t="s">
        <v>30821</v>
      </c>
      <c r="F575" t="str">
        <f t="shared" si="17"/>
        <v>89883</v>
      </c>
      <c r="H575" s="14">
        <f t="shared" si="18"/>
        <v>494.62</v>
      </c>
    </row>
    <row r="576" spans="1:8" ht="41.4">
      <c r="A576" s="502" t="s">
        <v>3179</v>
      </c>
      <c r="B576" s="504" t="s">
        <v>1880</v>
      </c>
      <c r="C576" s="502" t="s">
        <v>1717</v>
      </c>
      <c r="D576" s="503" t="s">
        <v>6990</v>
      </c>
      <c r="F576" t="str">
        <f t="shared" si="17"/>
        <v>90586</v>
      </c>
      <c r="H576" s="14">
        <f t="shared" si="18"/>
        <v>1.73</v>
      </c>
    </row>
    <row r="577" spans="1:8" ht="41.4">
      <c r="A577" s="502" t="s">
        <v>3181</v>
      </c>
      <c r="B577" s="504" t="s">
        <v>1724</v>
      </c>
      <c r="C577" s="502" t="s">
        <v>1717</v>
      </c>
      <c r="D577" s="503" t="s">
        <v>4080</v>
      </c>
      <c r="F577" t="str">
        <f t="shared" si="17"/>
        <v>90625</v>
      </c>
      <c r="H577" s="14">
        <f t="shared" si="18"/>
        <v>11.31</v>
      </c>
    </row>
    <row r="578" spans="1:8" ht="41.4">
      <c r="A578" s="502" t="s">
        <v>3182</v>
      </c>
      <c r="B578" s="504" t="s">
        <v>1725</v>
      </c>
      <c r="C578" s="502" t="s">
        <v>1717</v>
      </c>
      <c r="D578" s="503" t="s">
        <v>30822</v>
      </c>
      <c r="F578" t="str">
        <f t="shared" si="17"/>
        <v>90631</v>
      </c>
      <c r="H578" s="14">
        <f t="shared" si="18"/>
        <v>233.27</v>
      </c>
    </row>
    <row r="579" spans="1:8" ht="55.2">
      <c r="A579" s="502" t="s">
        <v>3183</v>
      </c>
      <c r="B579" s="504" t="s">
        <v>2318</v>
      </c>
      <c r="C579" s="502" t="s">
        <v>1717</v>
      </c>
      <c r="D579" s="503" t="s">
        <v>3645</v>
      </c>
      <c r="F579" t="str">
        <f t="shared" si="17"/>
        <v>90637</v>
      </c>
      <c r="H579" s="14">
        <f t="shared" si="18"/>
        <v>18.579999999999998</v>
      </c>
    </row>
    <row r="580" spans="1:8" ht="41.4">
      <c r="A580" s="502" t="s">
        <v>3184</v>
      </c>
      <c r="B580" s="504" t="s">
        <v>1881</v>
      </c>
      <c r="C580" s="502" t="s">
        <v>1717</v>
      </c>
      <c r="D580" s="503" t="s">
        <v>10696</v>
      </c>
      <c r="F580" t="str">
        <f t="shared" si="17"/>
        <v>90643</v>
      </c>
      <c r="H580" s="14">
        <f t="shared" si="18"/>
        <v>33.700000000000003</v>
      </c>
    </row>
    <row r="581" spans="1:8" ht="55.2">
      <c r="A581" s="502" t="s">
        <v>3186</v>
      </c>
      <c r="B581" s="504" t="s">
        <v>2319</v>
      </c>
      <c r="C581" s="502" t="s">
        <v>1717</v>
      </c>
      <c r="D581" s="503" t="s">
        <v>13907</v>
      </c>
      <c r="F581" t="str">
        <f t="shared" ref="F581:F644" si="19">TRIM(A581)</f>
        <v>90650</v>
      </c>
      <c r="H581" s="14">
        <f t="shared" ref="H581:H644" si="20">ROUND(D581*(1+$H$1),2)</f>
        <v>13.63</v>
      </c>
    </row>
    <row r="582" spans="1:8" ht="27.6">
      <c r="A582" s="502" t="s">
        <v>3187</v>
      </c>
      <c r="B582" s="504" t="s">
        <v>2320</v>
      </c>
      <c r="C582" s="502" t="s">
        <v>1717</v>
      </c>
      <c r="D582" s="503" t="s">
        <v>4103</v>
      </c>
      <c r="F582" t="str">
        <f t="shared" si="19"/>
        <v>90656</v>
      </c>
      <c r="H582" s="14">
        <f t="shared" si="20"/>
        <v>18.399999999999999</v>
      </c>
    </row>
    <row r="583" spans="1:8" ht="27.6">
      <c r="A583" s="502" t="s">
        <v>3188</v>
      </c>
      <c r="B583" s="504" t="s">
        <v>2321</v>
      </c>
      <c r="C583" s="502" t="s">
        <v>1717</v>
      </c>
      <c r="D583" s="503" t="s">
        <v>7462</v>
      </c>
      <c r="F583" t="str">
        <f t="shared" si="19"/>
        <v>90662</v>
      </c>
      <c r="H583" s="14">
        <f t="shared" si="20"/>
        <v>19.190000000000001</v>
      </c>
    </row>
    <row r="584" spans="1:8" ht="55.2">
      <c r="A584" s="502" t="s">
        <v>3190</v>
      </c>
      <c r="B584" s="504" t="s">
        <v>27996</v>
      </c>
      <c r="C584" s="502" t="s">
        <v>1717</v>
      </c>
      <c r="D584" s="503" t="s">
        <v>30823</v>
      </c>
      <c r="F584" t="str">
        <f t="shared" si="19"/>
        <v>90668</v>
      </c>
      <c r="H584" s="14">
        <f t="shared" si="20"/>
        <v>43.8</v>
      </c>
    </row>
    <row r="585" spans="1:8" ht="69">
      <c r="A585" s="502" t="s">
        <v>3191</v>
      </c>
      <c r="B585" s="504" t="s">
        <v>1882</v>
      </c>
      <c r="C585" s="502" t="s">
        <v>1717</v>
      </c>
      <c r="D585" s="503" t="s">
        <v>30824</v>
      </c>
      <c r="F585" t="str">
        <f t="shared" si="19"/>
        <v>90674</v>
      </c>
      <c r="H585" s="14">
        <f t="shared" si="20"/>
        <v>1021.59</v>
      </c>
    </row>
    <row r="586" spans="1:8" ht="69">
      <c r="A586" s="502" t="s">
        <v>3192</v>
      </c>
      <c r="B586" s="504" t="s">
        <v>2322</v>
      </c>
      <c r="C586" s="502" t="s">
        <v>1717</v>
      </c>
      <c r="D586" s="503" t="s">
        <v>30825</v>
      </c>
      <c r="F586" t="str">
        <f t="shared" si="19"/>
        <v>90680</v>
      </c>
      <c r="H586" s="14">
        <f t="shared" si="20"/>
        <v>543.83000000000004</v>
      </c>
    </row>
    <row r="587" spans="1:8" ht="41.4">
      <c r="A587" s="502" t="s">
        <v>3193</v>
      </c>
      <c r="B587" s="504" t="s">
        <v>27997</v>
      </c>
      <c r="C587" s="502" t="s">
        <v>1717</v>
      </c>
      <c r="D587" s="503" t="s">
        <v>30826</v>
      </c>
      <c r="F587" t="str">
        <f t="shared" si="19"/>
        <v>90686</v>
      </c>
      <c r="H587" s="14">
        <f t="shared" si="20"/>
        <v>244.19</v>
      </c>
    </row>
    <row r="588" spans="1:8" ht="41.4">
      <c r="A588" s="502" t="s">
        <v>3194</v>
      </c>
      <c r="B588" s="504" t="s">
        <v>1883</v>
      </c>
      <c r="C588" s="502" t="s">
        <v>1717</v>
      </c>
      <c r="D588" s="503" t="s">
        <v>11854</v>
      </c>
      <c r="F588" t="str">
        <f t="shared" si="19"/>
        <v>90692</v>
      </c>
      <c r="H588" s="14">
        <f t="shared" si="20"/>
        <v>185.42</v>
      </c>
    </row>
    <row r="589" spans="1:8" ht="41.4">
      <c r="A589" s="502" t="s">
        <v>3195</v>
      </c>
      <c r="B589" s="504" t="s">
        <v>1726</v>
      </c>
      <c r="C589" s="502" t="s">
        <v>1717</v>
      </c>
      <c r="D589" s="503" t="s">
        <v>16180</v>
      </c>
      <c r="F589" t="str">
        <f t="shared" si="19"/>
        <v>90964</v>
      </c>
      <c r="H589" s="14">
        <f t="shared" si="20"/>
        <v>43.69</v>
      </c>
    </row>
    <row r="590" spans="1:8" ht="41.4">
      <c r="A590" s="502" t="s">
        <v>3196</v>
      </c>
      <c r="B590" s="504" t="s">
        <v>1884</v>
      </c>
      <c r="C590" s="502" t="s">
        <v>1717</v>
      </c>
      <c r="D590" s="503" t="s">
        <v>29551</v>
      </c>
      <c r="F590" t="str">
        <f t="shared" si="19"/>
        <v>90972</v>
      </c>
      <c r="H590" s="14">
        <f t="shared" si="20"/>
        <v>104.35</v>
      </c>
    </row>
    <row r="591" spans="1:8" ht="41.4">
      <c r="A591" s="502" t="s">
        <v>3197</v>
      </c>
      <c r="B591" s="504" t="s">
        <v>2323</v>
      </c>
      <c r="C591" s="502" t="s">
        <v>1717</v>
      </c>
      <c r="D591" s="503" t="s">
        <v>30827</v>
      </c>
      <c r="F591" t="str">
        <f t="shared" si="19"/>
        <v>90979</v>
      </c>
      <c r="H591" s="14">
        <f t="shared" si="20"/>
        <v>269.42</v>
      </c>
    </row>
    <row r="592" spans="1:8" ht="41.4">
      <c r="A592" s="502" t="s">
        <v>3198</v>
      </c>
      <c r="B592" s="504" t="s">
        <v>1885</v>
      </c>
      <c r="C592" s="502" t="s">
        <v>1717</v>
      </c>
      <c r="D592" s="503" t="s">
        <v>30828</v>
      </c>
      <c r="F592" t="str">
        <f t="shared" si="19"/>
        <v>90999</v>
      </c>
      <c r="H592" s="14">
        <f t="shared" si="20"/>
        <v>137.62</v>
      </c>
    </row>
    <row r="593" spans="1:8" ht="55.2">
      <c r="A593" s="502" t="s">
        <v>3199</v>
      </c>
      <c r="B593" s="504" t="s">
        <v>2324</v>
      </c>
      <c r="C593" s="502" t="s">
        <v>1717</v>
      </c>
      <c r="D593" s="503" t="s">
        <v>30829</v>
      </c>
      <c r="F593" t="str">
        <f t="shared" si="19"/>
        <v>91031</v>
      </c>
      <c r="H593" s="14">
        <f t="shared" si="20"/>
        <v>346.44</v>
      </c>
    </row>
    <row r="594" spans="1:8" ht="41.4">
      <c r="A594" s="502" t="s">
        <v>3200</v>
      </c>
      <c r="B594" s="504" t="s">
        <v>1886</v>
      </c>
      <c r="C594" s="502" t="s">
        <v>1717</v>
      </c>
      <c r="D594" s="503" t="s">
        <v>10217</v>
      </c>
      <c r="F594" t="str">
        <f t="shared" si="19"/>
        <v>91277</v>
      </c>
      <c r="H594" s="14">
        <f t="shared" si="20"/>
        <v>13.88</v>
      </c>
    </row>
    <row r="595" spans="1:8" ht="55.2">
      <c r="A595" s="502" t="s">
        <v>3201</v>
      </c>
      <c r="B595" s="504" t="s">
        <v>2325</v>
      </c>
      <c r="C595" s="502" t="s">
        <v>1717</v>
      </c>
      <c r="D595" s="503" t="s">
        <v>30830</v>
      </c>
      <c r="F595" t="str">
        <f t="shared" si="19"/>
        <v>91283</v>
      </c>
      <c r="H595" s="14">
        <f t="shared" si="20"/>
        <v>14.47</v>
      </c>
    </row>
    <row r="596" spans="1:8" ht="69">
      <c r="A596" s="502" t="s">
        <v>3202</v>
      </c>
      <c r="B596" s="504" t="s">
        <v>1887</v>
      </c>
      <c r="C596" s="502" t="s">
        <v>1717</v>
      </c>
      <c r="D596" s="503" t="s">
        <v>30831</v>
      </c>
      <c r="F596" t="str">
        <f t="shared" si="19"/>
        <v>91386</v>
      </c>
      <c r="H596" s="14">
        <f t="shared" si="20"/>
        <v>359.18</v>
      </c>
    </row>
    <row r="597" spans="1:8" ht="41.4">
      <c r="A597" s="502" t="s">
        <v>3203</v>
      </c>
      <c r="B597" s="504" t="s">
        <v>1888</v>
      </c>
      <c r="C597" s="502" t="s">
        <v>1717</v>
      </c>
      <c r="D597" s="503" t="s">
        <v>30832</v>
      </c>
      <c r="F597" t="str">
        <f t="shared" si="19"/>
        <v>91533</v>
      </c>
      <c r="H597" s="14">
        <f t="shared" si="20"/>
        <v>63.25</v>
      </c>
    </row>
    <row r="598" spans="1:8" ht="69">
      <c r="A598" s="502" t="s">
        <v>3204</v>
      </c>
      <c r="B598" s="504" t="s">
        <v>1889</v>
      </c>
      <c r="C598" s="502" t="s">
        <v>1717</v>
      </c>
      <c r="D598" s="503" t="s">
        <v>30833</v>
      </c>
      <c r="F598" t="str">
        <f t="shared" si="19"/>
        <v>91634</v>
      </c>
      <c r="H598" s="14">
        <f t="shared" si="20"/>
        <v>313.27</v>
      </c>
    </row>
    <row r="599" spans="1:8" ht="69">
      <c r="A599" s="502" t="s">
        <v>3205</v>
      </c>
      <c r="B599" s="504" t="s">
        <v>1890</v>
      </c>
      <c r="C599" s="502" t="s">
        <v>1717</v>
      </c>
      <c r="D599" s="503" t="s">
        <v>30834</v>
      </c>
      <c r="F599" t="str">
        <f t="shared" si="19"/>
        <v>91645</v>
      </c>
      <c r="H599" s="14">
        <f t="shared" si="20"/>
        <v>632.82000000000005</v>
      </c>
    </row>
    <row r="600" spans="1:8" ht="41.4">
      <c r="A600" s="502" t="s">
        <v>3206</v>
      </c>
      <c r="B600" s="504" t="s">
        <v>1891</v>
      </c>
      <c r="C600" s="502" t="s">
        <v>1717</v>
      </c>
      <c r="D600" s="503" t="s">
        <v>30835</v>
      </c>
      <c r="F600" t="str">
        <f t="shared" si="19"/>
        <v>91692</v>
      </c>
      <c r="H600" s="14">
        <f t="shared" si="20"/>
        <v>53.57</v>
      </c>
    </row>
    <row r="601" spans="1:8" ht="41.4">
      <c r="A601" s="502" t="s">
        <v>3207</v>
      </c>
      <c r="B601" s="504" t="s">
        <v>1892</v>
      </c>
      <c r="C601" s="502" t="s">
        <v>1717</v>
      </c>
      <c r="D601" s="503" t="s">
        <v>7359</v>
      </c>
      <c r="F601" t="str">
        <f t="shared" si="19"/>
        <v>92043</v>
      </c>
      <c r="H601" s="14">
        <f t="shared" si="20"/>
        <v>17.579999999999998</v>
      </c>
    </row>
    <row r="602" spans="1:8" ht="69">
      <c r="A602" s="502" t="s">
        <v>3208</v>
      </c>
      <c r="B602" s="504" t="s">
        <v>27998</v>
      </c>
      <c r="C602" s="502" t="s">
        <v>1717</v>
      </c>
      <c r="D602" s="503" t="s">
        <v>19931</v>
      </c>
      <c r="F602" t="str">
        <f t="shared" si="19"/>
        <v>92106</v>
      </c>
      <c r="H602" s="14">
        <f t="shared" si="20"/>
        <v>475.21</v>
      </c>
    </row>
    <row r="603" spans="1:8" ht="41.4">
      <c r="A603" s="502" t="s">
        <v>3209</v>
      </c>
      <c r="B603" s="504" t="s">
        <v>27999</v>
      </c>
      <c r="C603" s="502" t="s">
        <v>1717</v>
      </c>
      <c r="D603" s="503" t="s">
        <v>30836</v>
      </c>
      <c r="F603" t="str">
        <f t="shared" si="19"/>
        <v>92112</v>
      </c>
      <c r="H603" s="14">
        <f t="shared" si="20"/>
        <v>4.25</v>
      </c>
    </row>
    <row r="604" spans="1:8" ht="27.6">
      <c r="A604" s="502" t="s">
        <v>3210</v>
      </c>
      <c r="B604" s="504" t="s">
        <v>28000</v>
      </c>
      <c r="C604" s="502" t="s">
        <v>1717</v>
      </c>
      <c r="D604" s="503" t="s">
        <v>3883</v>
      </c>
      <c r="F604" t="str">
        <f t="shared" si="19"/>
        <v>92118</v>
      </c>
      <c r="H604" s="14">
        <f t="shared" si="20"/>
        <v>0.53</v>
      </c>
    </row>
    <row r="605" spans="1:8" ht="27.6">
      <c r="A605" s="502" t="s">
        <v>3212</v>
      </c>
      <c r="B605" s="504" t="s">
        <v>1893</v>
      </c>
      <c r="C605" s="502" t="s">
        <v>1717</v>
      </c>
      <c r="D605" s="503" t="s">
        <v>30837</v>
      </c>
      <c r="F605" t="str">
        <f t="shared" si="19"/>
        <v>92138</v>
      </c>
      <c r="H605" s="14">
        <f t="shared" si="20"/>
        <v>126.87</v>
      </c>
    </row>
    <row r="606" spans="1:8" ht="41.4">
      <c r="A606" s="502" t="s">
        <v>3213</v>
      </c>
      <c r="B606" s="504" t="s">
        <v>2326</v>
      </c>
      <c r="C606" s="502" t="s">
        <v>1717</v>
      </c>
      <c r="D606" s="503" t="s">
        <v>30838</v>
      </c>
      <c r="F606" t="str">
        <f t="shared" si="19"/>
        <v>92145</v>
      </c>
      <c r="H606" s="14">
        <f t="shared" si="20"/>
        <v>106.4</v>
      </c>
    </row>
    <row r="607" spans="1:8" ht="69">
      <c r="A607" s="502" t="s">
        <v>3214</v>
      </c>
      <c r="B607" s="504" t="s">
        <v>1894</v>
      </c>
      <c r="C607" s="502" t="s">
        <v>1717</v>
      </c>
      <c r="D607" s="503" t="s">
        <v>30839</v>
      </c>
      <c r="F607" t="str">
        <f t="shared" si="19"/>
        <v>92242</v>
      </c>
      <c r="H607" s="14">
        <f t="shared" si="20"/>
        <v>548.51</v>
      </c>
    </row>
    <row r="608" spans="1:8" ht="41.4">
      <c r="A608" s="502" t="s">
        <v>3215</v>
      </c>
      <c r="B608" s="504" t="s">
        <v>28001</v>
      </c>
      <c r="C608" s="502" t="s">
        <v>1717</v>
      </c>
      <c r="D608" s="503" t="s">
        <v>30840</v>
      </c>
      <c r="F608" t="str">
        <f t="shared" si="19"/>
        <v>92716</v>
      </c>
      <c r="H608" s="14">
        <f t="shared" si="20"/>
        <v>118.63</v>
      </c>
    </row>
    <row r="609" spans="1:8" ht="41.4">
      <c r="A609" s="502" t="s">
        <v>3217</v>
      </c>
      <c r="B609" s="504" t="s">
        <v>1895</v>
      </c>
      <c r="C609" s="502" t="s">
        <v>1717</v>
      </c>
      <c r="D609" s="503" t="s">
        <v>10623</v>
      </c>
      <c r="F609" t="str">
        <f t="shared" si="19"/>
        <v>92960</v>
      </c>
      <c r="H609" s="14">
        <f t="shared" si="20"/>
        <v>25.61</v>
      </c>
    </row>
    <row r="610" spans="1:8" ht="27.6">
      <c r="A610" s="502" t="s">
        <v>3218</v>
      </c>
      <c r="B610" s="504" t="s">
        <v>1896</v>
      </c>
      <c r="C610" s="502" t="s">
        <v>1717</v>
      </c>
      <c r="D610" s="503" t="s">
        <v>29866</v>
      </c>
      <c r="F610" t="str">
        <f t="shared" si="19"/>
        <v>92966</v>
      </c>
      <c r="H610" s="14">
        <f t="shared" si="20"/>
        <v>43.13</v>
      </c>
    </row>
    <row r="611" spans="1:8" ht="69">
      <c r="A611" s="502" t="s">
        <v>3219</v>
      </c>
      <c r="B611" s="504" t="s">
        <v>1897</v>
      </c>
      <c r="C611" s="502" t="s">
        <v>1717</v>
      </c>
      <c r="D611" s="503" t="s">
        <v>30841</v>
      </c>
      <c r="F611" t="str">
        <f t="shared" si="19"/>
        <v>93224</v>
      </c>
      <c r="H611" s="14">
        <f t="shared" si="20"/>
        <v>1502.74</v>
      </c>
    </row>
    <row r="612" spans="1:8" ht="41.4">
      <c r="A612" s="502" t="s">
        <v>3220</v>
      </c>
      <c r="B612" s="504" t="s">
        <v>2327</v>
      </c>
      <c r="C612" s="502" t="s">
        <v>1717</v>
      </c>
      <c r="D612" s="503" t="s">
        <v>7300</v>
      </c>
      <c r="F612" t="str">
        <f t="shared" si="19"/>
        <v>93233</v>
      </c>
      <c r="H612" s="14">
        <f t="shared" si="20"/>
        <v>7.53</v>
      </c>
    </row>
    <row r="613" spans="1:8" ht="27.6">
      <c r="A613" s="502" t="s">
        <v>3221</v>
      </c>
      <c r="B613" s="504" t="s">
        <v>28002</v>
      </c>
      <c r="C613" s="502" t="s">
        <v>1717</v>
      </c>
      <c r="D613" s="503" t="s">
        <v>30842</v>
      </c>
      <c r="F613" t="str">
        <f t="shared" si="19"/>
        <v>93272</v>
      </c>
      <c r="H613" s="14">
        <f t="shared" si="20"/>
        <v>158.61000000000001</v>
      </c>
    </row>
    <row r="614" spans="1:8" ht="41.4">
      <c r="A614" s="502" t="s">
        <v>3222</v>
      </c>
      <c r="B614" s="504" t="s">
        <v>2328</v>
      </c>
      <c r="C614" s="502" t="s">
        <v>1717</v>
      </c>
      <c r="D614" s="503" t="s">
        <v>30843</v>
      </c>
      <c r="F614" t="str">
        <f t="shared" si="19"/>
        <v>93281</v>
      </c>
      <c r="H614" s="14">
        <f t="shared" si="20"/>
        <v>42.15</v>
      </c>
    </row>
    <row r="615" spans="1:8" ht="41.4">
      <c r="A615" s="502" t="s">
        <v>3223</v>
      </c>
      <c r="B615" s="504" t="s">
        <v>2329</v>
      </c>
      <c r="C615" s="502" t="s">
        <v>1717</v>
      </c>
      <c r="D615" s="503" t="s">
        <v>28490</v>
      </c>
      <c r="F615" t="str">
        <f t="shared" si="19"/>
        <v>93287</v>
      </c>
      <c r="H615" s="14">
        <f t="shared" si="20"/>
        <v>493.88</v>
      </c>
    </row>
    <row r="616" spans="1:8" ht="69">
      <c r="A616" s="502" t="s">
        <v>3224</v>
      </c>
      <c r="B616" s="504" t="s">
        <v>2330</v>
      </c>
      <c r="C616" s="502" t="s">
        <v>1717</v>
      </c>
      <c r="D616" s="503" t="s">
        <v>30844</v>
      </c>
      <c r="F616" t="str">
        <f t="shared" si="19"/>
        <v>93402</v>
      </c>
      <c r="H616" s="14">
        <f t="shared" si="20"/>
        <v>361.05</v>
      </c>
    </row>
    <row r="617" spans="1:8" ht="69">
      <c r="A617" s="502" t="s">
        <v>3225</v>
      </c>
      <c r="B617" s="504" t="s">
        <v>28003</v>
      </c>
      <c r="C617" s="502" t="s">
        <v>1717</v>
      </c>
      <c r="D617" s="503" t="s">
        <v>30845</v>
      </c>
      <c r="F617" t="str">
        <f t="shared" si="19"/>
        <v>93408</v>
      </c>
      <c r="H617" s="14">
        <f t="shared" si="20"/>
        <v>121.92</v>
      </c>
    </row>
    <row r="618" spans="1:8" ht="41.4">
      <c r="A618" s="502" t="s">
        <v>3226</v>
      </c>
      <c r="B618" s="504" t="s">
        <v>2331</v>
      </c>
      <c r="C618" s="502" t="s">
        <v>1717</v>
      </c>
      <c r="D618" s="503" t="s">
        <v>16432</v>
      </c>
      <c r="F618" t="str">
        <f t="shared" si="19"/>
        <v>93415</v>
      </c>
      <c r="H618" s="14">
        <f t="shared" si="20"/>
        <v>16.02</v>
      </c>
    </row>
    <row r="619" spans="1:8" ht="27.6">
      <c r="A619" s="502" t="s">
        <v>3227</v>
      </c>
      <c r="B619" s="504" t="s">
        <v>2332</v>
      </c>
      <c r="C619" s="502" t="s">
        <v>1717</v>
      </c>
      <c r="D619" s="503" t="s">
        <v>30846</v>
      </c>
      <c r="F619" t="str">
        <f t="shared" si="19"/>
        <v>93421</v>
      </c>
      <c r="H619" s="14">
        <f t="shared" si="20"/>
        <v>102.46</v>
      </c>
    </row>
    <row r="620" spans="1:8" ht="27.6">
      <c r="A620" s="502" t="s">
        <v>3228</v>
      </c>
      <c r="B620" s="504" t="s">
        <v>2333</v>
      </c>
      <c r="C620" s="502" t="s">
        <v>1717</v>
      </c>
      <c r="D620" s="503" t="s">
        <v>30847</v>
      </c>
      <c r="F620" t="str">
        <f t="shared" si="19"/>
        <v>93427</v>
      </c>
      <c r="H620" s="14">
        <f t="shared" si="20"/>
        <v>231.78</v>
      </c>
    </row>
    <row r="621" spans="1:8" ht="41.4">
      <c r="A621" s="502" t="s">
        <v>3229</v>
      </c>
      <c r="B621" s="504" t="s">
        <v>28004</v>
      </c>
      <c r="C621" s="502" t="s">
        <v>1717</v>
      </c>
      <c r="D621" s="503" t="s">
        <v>30848</v>
      </c>
      <c r="F621" t="str">
        <f t="shared" si="19"/>
        <v>93433</v>
      </c>
      <c r="H621" s="14">
        <f t="shared" si="20"/>
        <v>3581.16</v>
      </c>
    </row>
    <row r="622" spans="1:8" ht="41.4">
      <c r="A622" s="502" t="s">
        <v>3230</v>
      </c>
      <c r="B622" s="504" t="s">
        <v>28005</v>
      </c>
      <c r="C622" s="502" t="s">
        <v>1717</v>
      </c>
      <c r="D622" s="503" t="s">
        <v>30849</v>
      </c>
      <c r="F622" t="str">
        <f t="shared" si="19"/>
        <v>93439</v>
      </c>
      <c r="H622" s="14">
        <f t="shared" si="20"/>
        <v>363.16</v>
      </c>
    </row>
    <row r="623" spans="1:8" ht="27.6">
      <c r="A623" s="502" t="s">
        <v>3231</v>
      </c>
      <c r="B623" s="504" t="s">
        <v>2334</v>
      </c>
      <c r="C623" s="502" t="s">
        <v>1717</v>
      </c>
      <c r="D623" s="503" t="s">
        <v>30850</v>
      </c>
      <c r="F623" t="str">
        <f t="shared" si="19"/>
        <v>95121</v>
      </c>
      <c r="H623" s="14">
        <f t="shared" si="20"/>
        <v>489.88</v>
      </c>
    </row>
    <row r="624" spans="1:8" ht="27.6">
      <c r="A624" s="502" t="s">
        <v>3232</v>
      </c>
      <c r="B624" s="504" t="s">
        <v>2335</v>
      </c>
      <c r="C624" s="502" t="s">
        <v>1717</v>
      </c>
      <c r="D624" s="503" t="s">
        <v>30851</v>
      </c>
      <c r="F624" t="str">
        <f t="shared" si="19"/>
        <v>95127</v>
      </c>
      <c r="H624" s="14">
        <f t="shared" si="20"/>
        <v>304.45999999999998</v>
      </c>
    </row>
    <row r="625" spans="1:8" ht="41.4">
      <c r="A625" s="502" t="s">
        <v>3233</v>
      </c>
      <c r="B625" s="504" t="s">
        <v>2336</v>
      </c>
      <c r="C625" s="502" t="s">
        <v>1717</v>
      </c>
      <c r="D625" s="503" t="s">
        <v>30852</v>
      </c>
      <c r="F625" t="str">
        <f t="shared" si="19"/>
        <v>95133</v>
      </c>
      <c r="H625" s="14">
        <f t="shared" si="20"/>
        <v>251.32</v>
      </c>
    </row>
    <row r="626" spans="1:8" ht="27.6">
      <c r="A626" s="502" t="s">
        <v>3234</v>
      </c>
      <c r="B626" s="504" t="s">
        <v>2337</v>
      </c>
      <c r="C626" s="502" t="s">
        <v>1717</v>
      </c>
      <c r="D626" s="503" t="s">
        <v>3552</v>
      </c>
      <c r="F626" t="str">
        <f t="shared" si="19"/>
        <v>95139</v>
      </c>
      <c r="H626" s="14">
        <f t="shared" si="20"/>
        <v>7.0000000000000007E-2</v>
      </c>
    </row>
    <row r="627" spans="1:8" ht="27.6">
      <c r="A627" s="502" t="s">
        <v>3236</v>
      </c>
      <c r="B627" s="504" t="s">
        <v>28006</v>
      </c>
      <c r="C627" s="502" t="s">
        <v>1717</v>
      </c>
      <c r="D627" s="503" t="s">
        <v>30853</v>
      </c>
      <c r="F627" t="str">
        <f t="shared" si="19"/>
        <v>95212</v>
      </c>
      <c r="H627" s="14">
        <f t="shared" si="20"/>
        <v>242.26</v>
      </c>
    </row>
    <row r="628" spans="1:8" ht="27.6">
      <c r="A628" s="502" t="s">
        <v>3237</v>
      </c>
      <c r="B628" s="504" t="s">
        <v>2338</v>
      </c>
      <c r="C628" s="502" t="s">
        <v>1717</v>
      </c>
      <c r="D628" s="503" t="s">
        <v>30854</v>
      </c>
      <c r="F628" t="str">
        <f t="shared" si="19"/>
        <v>95258</v>
      </c>
      <c r="H628" s="14">
        <f t="shared" si="20"/>
        <v>42.33</v>
      </c>
    </row>
    <row r="629" spans="1:8" ht="41.4">
      <c r="A629" s="502" t="s">
        <v>3238</v>
      </c>
      <c r="B629" s="504" t="s">
        <v>2339</v>
      </c>
      <c r="C629" s="502" t="s">
        <v>1717</v>
      </c>
      <c r="D629" s="503" t="s">
        <v>28161</v>
      </c>
      <c r="F629" t="str">
        <f t="shared" si="19"/>
        <v>95264</v>
      </c>
      <c r="H629" s="14">
        <f t="shared" si="20"/>
        <v>8.81</v>
      </c>
    </row>
    <row r="630" spans="1:8" ht="41.4">
      <c r="A630" s="502" t="s">
        <v>3239</v>
      </c>
      <c r="B630" s="504" t="s">
        <v>2340</v>
      </c>
      <c r="C630" s="502" t="s">
        <v>1717</v>
      </c>
      <c r="D630" s="503" t="s">
        <v>30855</v>
      </c>
      <c r="F630" t="str">
        <f t="shared" si="19"/>
        <v>95270</v>
      </c>
      <c r="H630" s="14">
        <f t="shared" si="20"/>
        <v>13.31</v>
      </c>
    </row>
    <row r="631" spans="1:8" ht="41.4">
      <c r="A631" s="502" t="s">
        <v>3240</v>
      </c>
      <c r="B631" s="504" t="s">
        <v>28007</v>
      </c>
      <c r="C631" s="502" t="s">
        <v>1717</v>
      </c>
      <c r="D631" s="503" t="s">
        <v>7013</v>
      </c>
      <c r="F631" t="str">
        <f t="shared" si="19"/>
        <v>95276</v>
      </c>
      <c r="H631" s="14">
        <f t="shared" si="20"/>
        <v>4.21</v>
      </c>
    </row>
    <row r="632" spans="1:8" ht="41.4">
      <c r="A632" s="502" t="s">
        <v>3242</v>
      </c>
      <c r="B632" s="504" t="s">
        <v>28008</v>
      </c>
      <c r="C632" s="502" t="s">
        <v>1717</v>
      </c>
      <c r="D632" s="503" t="s">
        <v>30856</v>
      </c>
      <c r="F632" t="str">
        <f t="shared" si="19"/>
        <v>95282</v>
      </c>
      <c r="H632" s="14">
        <f t="shared" si="20"/>
        <v>13.6</v>
      </c>
    </row>
    <row r="633" spans="1:8" ht="55.2">
      <c r="A633" s="502" t="s">
        <v>3243</v>
      </c>
      <c r="B633" s="504" t="s">
        <v>2341</v>
      </c>
      <c r="C633" s="502" t="s">
        <v>1717</v>
      </c>
      <c r="D633" s="503" t="s">
        <v>28965</v>
      </c>
      <c r="F633" t="str">
        <f t="shared" si="19"/>
        <v>95620</v>
      </c>
      <c r="H633" s="14">
        <f t="shared" si="20"/>
        <v>41.4</v>
      </c>
    </row>
    <row r="634" spans="1:8" ht="41.4">
      <c r="A634" s="502" t="s">
        <v>3244</v>
      </c>
      <c r="B634" s="504" t="s">
        <v>2342</v>
      </c>
      <c r="C634" s="502" t="s">
        <v>1717</v>
      </c>
      <c r="D634" s="503" t="s">
        <v>30857</v>
      </c>
      <c r="F634" t="str">
        <f t="shared" si="19"/>
        <v>95631</v>
      </c>
      <c r="H634" s="14">
        <f t="shared" si="20"/>
        <v>319.25</v>
      </c>
    </row>
    <row r="635" spans="1:8" ht="41.4">
      <c r="A635" s="502" t="s">
        <v>3245</v>
      </c>
      <c r="B635" s="504" t="s">
        <v>2343</v>
      </c>
      <c r="C635" s="502" t="s">
        <v>1717</v>
      </c>
      <c r="D635" s="503" t="s">
        <v>30858</v>
      </c>
      <c r="F635" t="str">
        <f t="shared" si="19"/>
        <v>95702</v>
      </c>
      <c r="H635" s="14">
        <f t="shared" si="20"/>
        <v>72.55</v>
      </c>
    </row>
    <row r="636" spans="1:8" ht="41.4">
      <c r="A636" s="502" t="s">
        <v>3246</v>
      </c>
      <c r="B636" s="504" t="s">
        <v>28009</v>
      </c>
      <c r="C636" s="502" t="s">
        <v>1717</v>
      </c>
      <c r="D636" s="503" t="s">
        <v>28930</v>
      </c>
      <c r="F636" t="str">
        <f t="shared" si="19"/>
        <v>95708</v>
      </c>
      <c r="H636" s="14">
        <f t="shared" si="20"/>
        <v>238.02</v>
      </c>
    </row>
    <row r="637" spans="1:8" ht="69">
      <c r="A637" s="502" t="s">
        <v>3247</v>
      </c>
      <c r="B637" s="504" t="s">
        <v>2344</v>
      </c>
      <c r="C637" s="502" t="s">
        <v>1717</v>
      </c>
      <c r="D637" s="503" t="s">
        <v>30859</v>
      </c>
      <c r="F637" t="str">
        <f t="shared" si="19"/>
        <v>95720</v>
      </c>
      <c r="H637" s="14">
        <f t="shared" si="20"/>
        <v>387.24</v>
      </c>
    </row>
    <row r="638" spans="1:8" ht="41.4">
      <c r="A638" s="502" t="s">
        <v>3248</v>
      </c>
      <c r="B638" s="504" t="s">
        <v>2345</v>
      </c>
      <c r="C638" s="502" t="s">
        <v>1717</v>
      </c>
      <c r="D638" s="503" t="s">
        <v>30860</v>
      </c>
      <c r="F638" t="str">
        <f t="shared" si="19"/>
        <v>95872</v>
      </c>
      <c r="H638" s="14">
        <f t="shared" si="20"/>
        <v>392.87</v>
      </c>
    </row>
    <row r="639" spans="1:8" ht="41.4">
      <c r="A639" s="502" t="s">
        <v>3249</v>
      </c>
      <c r="B639" s="504" t="s">
        <v>2346</v>
      </c>
      <c r="C639" s="502" t="s">
        <v>1717</v>
      </c>
      <c r="D639" s="503" t="s">
        <v>30861</v>
      </c>
      <c r="F639" t="str">
        <f t="shared" si="19"/>
        <v>96013</v>
      </c>
      <c r="H639" s="14">
        <f t="shared" si="20"/>
        <v>254.07</v>
      </c>
    </row>
    <row r="640" spans="1:8" ht="41.4">
      <c r="A640" s="502" t="s">
        <v>3250</v>
      </c>
      <c r="B640" s="504" t="s">
        <v>2347</v>
      </c>
      <c r="C640" s="502" t="s">
        <v>1717</v>
      </c>
      <c r="D640" s="503" t="s">
        <v>30862</v>
      </c>
      <c r="F640" t="str">
        <f t="shared" si="19"/>
        <v>96020</v>
      </c>
      <c r="H640" s="14">
        <f t="shared" si="20"/>
        <v>253.44</v>
      </c>
    </row>
    <row r="641" spans="1:8" ht="41.4">
      <c r="A641" s="502" t="s">
        <v>3251</v>
      </c>
      <c r="B641" s="504" t="s">
        <v>2348</v>
      </c>
      <c r="C641" s="502" t="s">
        <v>1717</v>
      </c>
      <c r="D641" s="503" t="s">
        <v>30863</v>
      </c>
      <c r="F641" t="str">
        <f t="shared" si="19"/>
        <v>96028</v>
      </c>
      <c r="H641" s="14">
        <f t="shared" si="20"/>
        <v>197.74</v>
      </c>
    </row>
    <row r="642" spans="1:8" ht="41.4">
      <c r="A642" s="502" t="s">
        <v>3252</v>
      </c>
      <c r="B642" s="504" t="s">
        <v>2349</v>
      </c>
      <c r="C642" s="502" t="s">
        <v>1717</v>
      </c>
      <c r="D642" s="503" t="s">
        <v>30864</v>
      </c>
      <c r="F642" t="str">
        <f t="shared" si="19"/>
        <v>96035</v>
      </c>
      <c r="H642" s="14">
        <f t="shared" si="20"/>
        <v>377.43</v>
      </c>
    </row>
    <row r="643" spans="1:8" ht="41.4">
      <c r="A643" s="502" t="s">
        <v>3253</v>
      </c>
      <c r="B643" s="504" t="s">
        <v>2350</v>
      </c>
      <c r="C643" s="502" t="s">
        <v>1717</v>
      </c>
      <c r="D643" s="503" t="s">
        <v>30865</v>
      </c>
      <c r="F643" t="str">
        <f t="shared" si="19"/>
        <v>96157</v>
      </c>
      <c r="H643" s="14">
        <f t="shared" si="20"/>
        <v>198.37</v>
      </c>
    </row>
    <row r="644" spans="1:8" ht="41.4">
      <c r="A644" s="502" t="s">
        <v>3254</v>
      </c>
      <c r="B644" s="504" t="s">
        <v>2351</v>
      </c>
      <c r="C644" s="502" t="s">
        <v>1717</v>
      </c>
      <c r="D644" s="503" t="s">
        <v>30866</v>
      </c>
      <c r="F644" t="str">
        <f t="shared" si="19"/>
        <v>96158</v>
      </c>
      <c r="H644" s="14">
        <f t="shared" si="20"/>
        <v>197.85</v>
      </c>
    </row>
    <row r="645" spans="1:8" ht="41.4">
      <c r="A645" s="502" t="s">
        <v>3255</v>
      </c>
      <c r="B645" s="504" t="s">
        <v>30867</v>
      </c>
      <c r="C645" s="502" t="s">
        <v>1717</v>
      </c>
      <c r="D645" s="503" t="s">
        <v>30868</v>
      </c>
      <c r="F645" t="str">
        <f t="shared" ref="F645:F708" si="21">TRIM(A645)</f>
        <v>96245</v>
      </c>
      <c r="H645" s="14">
        <f t="shared" ref="H645:H708" si="22">ROUND(D645*(1+$H$1),2)</f>
        <v>167.15</v>
      </c>
    </row>
    <row r="646" spans="1:8" ht="55.2">
      <c r="A646" s="502" t="s">
        <v>3257</v>
      </c>
      <c r="B646" s="504" t="s">
        <v>30869</v>
      </c>
      <c r="C646" s="502" t="s">
        <v>1717</v>
      </c>
      <c r="D646" s="503" t="s">
        <v>30870</v>
      </c>
      <c r="F646" t="str">
        <f t="shared" si="21"/>
        <v>96463</v>
      </c>
      <c r="H646" s="14">
        <f t="shared" si="22"/>
        <v>303.05</v>
      </c>
    </row>
    <row r="647" spans="1:8" ht="55.2">
      <c r="A647" s="502" t="s">
        <v>9545</v>
      </c>
      <c r="B647" s="504" t="s">
        <v>9546</v>
      </c>
      <c r="C647" s="502" t="s">
        <v>1717</v>
      </c>
      <c r="D647" s="503" t="s">
        <v>28010</v>
      </c>
      <c r="F647" t="str">
        <f t="shared" si="21"/>
        <v>98764</v>
      </c>
      <c r="H647" s="14">
        <f t="shared" si="22"/>
        <v>5.42</v>
      </c>
    </row>
    <row r="648" spans="1:8" ht="55.2">
      <c r="A648" s="502" t="s">
        <v>10395</v>
      </c>
      <c r="B648" s="504" t="s">
        <v>28011</v>
      </c>
      <c r="C648" s="502" t="s">
        <v>1717</v>
      </c>
      <c r="D648" s="503" t="s">
        <v>2970</v>
      </c>
      <c r="F648" t="str">
        <f t="shared" si="21"/>
        <v>99833</v>
      </c>
      <c r="H648" s="14">
        <f t="shared" si="22"/>
        <v>5.49</v>
      </c>
    </row>
    <row r="649" spans="1:8" ht="41.4">
      <c r="A649" s="502" t="s">
        <v>11786</v>
      </c>
      <c r="B649" s="504" t="s">
        <v>11787</v>
      </c>
      <c r="C649" s="502" t="s">
        <v>1717</v>
      </c>
      <c r="D649" s="503" t="s">
        <v>30871</v>
      </c>
      <c r="F649" t="str">
        <f t="shared" si="21"/>
        <v>100641</v>
      </c>
      <c r="H649" s="14">
        <f t="shared" si="22"/>
        <v>6435.56</v>
      </c>
    </row>
    <row r="650" spans="1:8" ht="27.6">
      <c r="A650" s="502" t="s">
        <v>11788</v>
      </c>
      <c r="B650" s="504" t="s">
        <v>11789</v>
      </c>
      <c r="C650" s="502" t="s">
        <v>1717</v>
      </c>
      <c r="D650" s="503" t="s">
        <v>30872</v>
      </c>
      <c r="F650" t="str">
        <f t="shared" si="21"/>
        <v>100647</v>
      </c>
      <c r="H650" s="14">
        <f t="shared" si="22"/>
        <v>8768.0499999999993</v>
      </c>
    </row>
    <row r="651" spans="1:8" ht="41.4">
      <c r="A651" s="502" t="s">
        <v>11790</v>
      </c>
      <c r="B651" s="504" t="s">
        <v>11791</v>
      </c>
      <c r="C651" s="502" t="s">
        <v>1717</v>
      </c>
      <c r="D651" s="503" t="s">
        <v>15563</v>
      </c>
      <c r="F651" t="str">
        <f t="shared" si="21"/>
        <v>102275</v>
      </c>
      <c r="H651" s="14">
        <f t="shared" si="22"/>
        <v>41.65</v>
      </c>
    </row>
    <row r="652" spans="1:8" ht="55.2">
      <c r="A652" s="502" t="s">
        <v>30873</v>
      </c>
      <c r="B652" s="504" t="s">
        <v>30874</v>
      </c>
      <c r="C652" s="502" t="s">
        <v>1717</v>
      </c>
      <c r="D652" s="503" t="s">
        <v>30875</v>
      </c>
      <c r="F652" t="str">
        <f t="shared" si="21"/>
        <v>102874</v>
      </c>
      <c r="H652" s="14">
        <f t="shared" si="22"/>
        <v>1394.23</v>
      </c>
    </row>
    <row r="653" spans="1:8" ht="41.4">
      <c r="A653" s="502" t="s">
        <v>30876</v>
      </c>
      <c r="B653" s="504" t="s">
        <v>30877</v>
      </c>
      <c r="C653" s="502" t="s">
        <v>1717</v>
      </c>
      <c r="D653" s="503" t="s">
        <v>30878</v>
      </c>
      <c r="F653" t="str">
        <f t="shared" si="21"/>
        <v>102880</v>
      </c>
      <c r="H653" s="14">
        <f t="shared" si="22"/>
        <v>1934.99</v>
      </c>
    </row>
    <row r="654" spans="1:8" ht="55.2">
      <c r="A654" s="502" t="s">
        <v>30879</v>
      </c>
      <c r="B654" s="504" t="s">
        <v>30880</v>
      </c>
      <c r="C654" s="502" t="s">
        <v>1717</v>
      </c>
      <c r="D654" s="503" t="s">
        <v>30881</v>
      </c>
      <c r="F654" t="str">
        <f t="shared" si="21"/>
        <v>102964</v>
      </c>
      <c r="H654" s="14">
        <f t="shared" si="22"/>
        <v>667.41</v>
      </c>
    </row>
    <row r="655" spans="1:8" ht="41.4">
      <c r="A655" s="502" t="s">
        <v>30882</v>
      </c>
      <c r="B655" s="504" t="s">
        <v>30883</v>
      </c>
      <c r="C655" s="502" t="s">
        <v>1717</v>
      </c>
      <c r="D655" s="503" t="s">
        <v>30884</v>
      </c>
      <c r="F655" t="str">
        <f t="shared" si="21"/>
        <v>102976</v>
      </c>
      <c r="H655" s="14">
        <f t="shared" si="22"/>
        <v>386.41</v>
      </c>
    </row>
    <row r="656" spans="1:8" ht="55.2">
      <c r="A656" s="502" t="s">
        <v>30885</v>
      </c>
      <c r="B656" s="504" t="s">
        <v>30886</v>
      </c>
      <c r="C656" s="502" t="s">
        <v>1717</v>
      </c>
      <c r="D656" s="503" t="s">
        <v>22941</v>
      </c>
      <c r="F656" t="str">
        <f t="shared" si="21"/>
        <v>103224</v>
      </c>
      <c r="H656" s="14">
        <f t="shared" si="22"/>
        <v>601.4</v>
      </c>
    </row>
    <row r="657" spans="1:8" ht="55.2">
      <c r="A657" s="502" t="s">
        <v>30887</v>
      </c>
      <c r="B657" s="504" t="s">
        <v>30888</v>
      </c>
      <c r="C657" s="502" t="s">
        <v>1717</v>
      </c>
      <c r="D657" s="503" t="s">
        <v>30889</v>
      </c>
      <c r="F657" t="str">
        <f t="shared" si="21"/>
        <v>103230</v>
      </c>
      <c r="H657" s="14">
        <f t="shared" si="22"/>
        <v>1321.45</v>
      </c>
    </row>
    <row r="658" spans="1:8" ht="55.2">
      <c r="A658" s="502" t="s">
        <v>30890</v>
      </c>
      <c r="B658" s="504" t="s">
        <v>30891</v>
      </c>
      <c r="C658" s="502" t="s">
        <v>1717</v>
      </c>
      <c r="D658" s="503" t="s">
        <v>30892</v>
      </c>
      <c r="F658" t="str">
        <f t="shared" si="21"/>
        <v>103236</v>
      </c>
      <c r="H658" s="14">
        <f t="shared" si="22"/>
        <v>1805.08</v>
      </c>
    </row>
    <row r="659" spans="1:8" ht="41.4">
      <c r="A659" s="502" t="s">
        <v>23947</v>
      </c>
      <c r="B659" s="504" t="s">
        <v>23948</v>
      </c>
      <c r="C659" s="502" t="s">
        <v>1717</v>
      </c>
      <c r="D659" s="503" t="s">
        <v>2990</v>
      </c>
      <c r="F659" t="str">
        <f t="shared" si="21"/>
        <v>104091</v>
      </c>
      <c r="H659" s="14">
        <f t="shared" si="22"/>
        <v>0.96</v>
      </c>
    </row>
    <row r="660" spans="1:8" ht="41.4">
      <c r="A660" s="502" t="s">
        <v>23949</v>
      </c>
      <c r="B660" s="504" t="s">
        <v>23950</v>
      </c>
      <c r="C660" s="502" t="s">
        <v>1717</v>
      </c>
      <c r="D660" s="503" t="s">
        <v>16556</v>
      </c>
      <c r="F660" t="str">
        <f t="shared" si="21"/>
        <v>104097</v>
      </c>
      <c r="H660" s="14">
        <f t="shared" si="22"/>
        <v>1.32</v>
      </c>
    </row>
    <row r="661" spans="1:8" ht="41.4">
      <c r="A661" s="502" t="s">
        <v>30893</v>
      </c>
      <c r="B661" s="504" t="s">
        <v>30894</v>
      </c>
      <c r="C661" s="502" t="s">
        <v>1717</v>
      </c>
      <c r="D661" s="503" t="s">
        <v>17951</v>
      </c>
      <c r="F661" t="str">
        <f t="shared" si="21"/>
        <v>104695</v>
      </c>
      <c r="H661" s="14">
        <f t="shared" si="22"/>
        <v>57.42</v>
      </c>
    </row>
    <row r="662" spans="1:8" ht="55.2">
      <c r="A662" s="502" t="s">
        <v>30895</v>
      </c>
      <c r="B662" s="504" t="s">
        <v>30896</v>
      </c>
      <c r="C662" s="502" t="s">
        <v>1717</v>
      </c>
      <c r="D662" s="503" t="s">
        <v>30897</v>
      </c>
      <c r="F662" t="str">
        <f t="shared" si="21"/>
        <v>104716</v>
      </c>
      <c r="H662" s="14">
        <f t="shared" si="22"/>
        <v>374.14</v>
      </c>
    </row>
    <row r="663" spans="1:8" ht="41.4">
      <c r="A663" s="502" t="s">
        <v>3258</v>
      </c>
      <c r="B663" s="504" t="s">
        <v>1898</v>
      </c>
      <c r="C663" s="502" t="s">
        <v>1727</v>
      </c>
      <c r="D663" s="503" t="s">
        <v>30898</v>
      </c>
      <c r="F663" t="str">
        <f t="shared" si="21"/>
        <v>5632</v>
      </c>
      <c r="H663" s="14">
        <f t="shared" si="22"/>
        <v>129.16</v>
      </c>
    </row>
    <row r="664" spans="1:8" ht="69">
      <c r="A664" s="502" t="s">
        <v>3259</v>
      </c>
      <c r="B664" s="504" t="s">
        <v>2352</v>
      </c>
      <c r="C664" s="502" t="s">
        <v>1727</v>
      </c>
      <c r="D664" s="503" t="s">
        <v>19856</v>
      </c>
      <c r="F664" t="str">
        <f t="shared" si="21"/>
        <v>5679</v>
      </c>
      <c r="H664" s="14">
        <f t="shared" si="22"/>
        <v>97.01</v>
      </c>
    </row>
    <row r="665" spans="1:8" ht="69">
      <c r="A665" s="502" t="s">
        <v>3260</v>
      </c>
      <c r="B665" s="504" t="s">
        <v>2353</v>
      </c>
      <c r="C665" s="502" t="s">
        <v>1727</v>
      </c>
      <c r="D665" s="503" t="s">
        <v>30899</v>
      </c>
      <c r="F665" t="str">
        <f t="shared" si="21"/>
        <v>5681</v>
      </c>
      <c r="H665" s="14">
        <f t="shared" si="22"/>
        <v>91.81</v>
      </c>
    </row>
    <row r="666" spans="1:8" ht="55.2">
      <c r="A666" s="502" t="s">
        <v>3261</v>
      </c>
      <c r="B666" s="504" t="s">
        <v>2354</v>
      </c>
      <c r="C666" s="502" t="s">
        <v>1727</v>
      </c>
      <c r="D666" s="503" t="s">
        <v>30900</v>
      </c>
      <c r="F666" t="str">
        <f t="shared" si="21"/>
        <v>5685</v>
      </c>
      <c r="H666" s="14">
        <f t="shared" si="22"/>
        <v>93.94</v>
      </c>
    </row>
    <row r="667" spans="1:8" ht="41.4">
      <c r="A667" s="502" t="s">
        <v>3262</v>
      </c>
      <c r="B667" s="504" t="s">
        <v>28012</v>
      </c>
      <c r="C667" s="502" t="s">
        <v>1727</v>
      </c>
      <c r="D667" s="503" t="s">
        <v>3338</v>
      </c>
      <c r="F667" t="str">
        <f t="shared" si="21"/>
        <v>5690</v>
      </c>
      <c r="H667" s="14">
        <f t="shared" si="22"/>
        <v>5.45</v>
      </c>
    </row>
    <row r="668" spans="1:8" ht="55.2">
      <c r="A668" s="502" t="s">
        <v>3263</v>
      </c>
      <c r="B668" s="504" t="s">
        <v>2355</v>
      </c>
      <c r="C668" s="502" t="s">
        <v>1727</v>
      </c>
      <c r="D668" s="503" t="s">
        <v>3331</v>
      </c>
      <c r="F668" t="str">
        <f t="shared" si="21"/>
        <v>5806</v>
      </c>
      <c r="H668" s="14">
        <f t="shared" si="22"/>
        <v>0.37</v>
      </c>
    </row>
    <row r="669" spans="1:8" ht="69">
      <c r="A669" s="502" t="s">
        <v>3265</v>
      </c>
      <c r="B669" s="504" t="s">
        <v>2356</v>
      </c>
      <c r="C669" s="502" t="s">
        <v>1727</v>
      </c>
      <c r="D669" s="503" t="s">
        <v>30901</v>
      </c>
      <c r="F669" t="str">
        <f t="shared" si="21"/>
        <v>5826</v>
      </c>
      <c r="H669" s="14">
        <f t="shared" si="22"/>
        <v>83.44</v>
      </c>
    </row>
    <row r="670" spans="1:8" ht="27.6">
      <c r="A670" s="502" t="s">
        <v>3267</v>
      </c>
      <c r="B670" s="504" t="s">
        <v>2357</v>
      </c>
      <c r="C670" s="502" t="s">
        <v>1727</v>
      </c>
      <c r="D670" s="503" t="s">
        <v>30902</v>
      </c>
      <c r="F670" t="str">
        <f t="shared" si="21"/>
        <v>5829</v>
      </c>
      <c r="H670" s="14">
        <f t="shared" si="22"/>
        <v>242.59</v>
      </c>
    </row>
    <row r="671" spans="1:8" ht="41.4">
      <c r="A671" s="502" t="s">
        <v>3268</v>
      </c>
      <c r="B671" s="504" t="s">
        <v>2358</v>
      </c>
      <c r="C671" s="502" t="s">
        <v>1727</v>
      </c>
      <c r="D671" s="503" t="s">
        <v>15376</v>
      </c>
      <c r="F671" t="str">
        <f t="shared" si="21"/>
        <v>5837</v>
      </c>
      <c r="H671" s="14">
        <f t="shared" si="22"/>
        <v>201.62</v>
      </c>
    </row>
    <row r="672" spans="1:8" ht="41.4">
      <c r="A672" s="502" t="s">
        <v>3269</v>
      </c>
      <c r="B672" s="504" t="s">
        <v>1899</v>
      </c>
      <c r="C672" s="502" t="s">
        <v>1727</v>
      </c>
      <c r="D672" s="503" t="s">
        <v>30903</v>
      </c>
      <c r="F672" t="str">
        <f t="shared" si="21"/>
        <v>5841</v>
      </c>
      <c r="H672" s="14">
        <f t="shared" si="22"/>
        <v>6.25</v>
      </c>
    </row>
    <row r="673" spans="1:8" ht="27.6">
      <c r="A673" s="502" t="s">
        <v>3270</v>
      </c>
      <c r="B673" s="504" t="s">
        <v>2359</v>
      </c>
      <c r="C673" s="502" t="s">
        <v>1727</v>
      </c>
      <c r="D673" s="503" t="s">
        <v>30904</v>
      </c>
      <c r="F673" t="str">
        <f t="shared" si="21"/>
        <v>5845</v>
      </c>
      <c r="H673" s="14">
        <f t="shared" si="22"/>
        <v>85.59</v>
      </c>
    </row>
    <row r="674" spans="1:8" ht="41.4">
      <c r="A674" s="502" t="s">
        <v>3271</v>
      </c>
      <c r="B674" s="504" t="s">
        <v>1900</v>
      </c>
      <c r="C674" s="502" t="s">
        <v>1727</v>
      </c>
      <c r="D674" s="503" t="s">
        <v>30905</v>
      </c>
      <c r="F674" t="str">
        <f t="shared" si="21"/>
        <v>5849</v>
      </c>
      <c r="H674" s="14">
        <f t="shared" si="22"/>
        <v>134.86000000000001</v>
      </c>
    </row>
    <row r="675" spans="1:8" ht="41.4">
      <c r="A675" s="502" t="s">
        <v>3272</v>
      </c>
      <c r="B675" s="504" t="s">
        <v>2360</v>
      </c>
      <c r="C675" s="502" t="s">
        <v>1727</v>
      </c>
      <c r="D675" s="503" t="s">
        <v>30906</v>
      </c>
      <c r="F675" t="str">
        <f t="shared" si="21"/>
        <v>5853</v>
      </c>
      <c r="H675" s="14">
        <f t="shared" si="22"/>
        <v>135.38</v>
      </c>
    </row>
    <row r="676" spans="1:8" ht="41.4">
      <c r="A676" s="502" t="s">
        <v>3273</v>
      </c>
      <c r="B676" s="504" t="s">
        <v>1901</v>
      </c>
      <c r="C676" s="502" t="s">
        <v>1727</v>
      </c>
      <c r="D676" s="503" t="s">
        <v>23198</v>
      </c>
      <c r="F676" t="str">
        <f t="shared" si="21"/>
        <v>5857</v>
      </c>
      <c r="H676" s="14">
        <f t="shared" si="22"/>
        <v>325.54000000000002</v>
      </c>
    </row>
    <row r="677" spans="1:8" ht="55.2">
      <c r="A677" s="502" t="s">
        <v>3274</v>
      </c>
      <c r="B677" s="504" t="s">
        <v>1902</v>
      </c>
      <c r="C677" s="502" t="s">
        <v>1727</v>
      </c>
      <c r="D677" s="503" t="s">
        <v>5310</v>
      </c>
      <c r="F677" t="str">
        <f t="shared" si="21"/>
        <v>5865</v>
      </c>
      <c r="H677" s="14">
        <f t="shared" si="22"/>
        <v>16.34</v>
      </c>
    </row>
    <row r="678" spans="1:8" ht="41.4">
      <c r="A678" s="502" t="s">
        <v>3275</v>
      </c>
      <c r="B678" s="504" t="s">
        <v>1903</v>
      </c>
      <c r="C678" s="502" t="s">
        <v>1727</v>
      </c>
      <c r="D678" s="503" t="s">
        <v>29319</v>
      </c>
      <c r="F678" t="str">
        <f t="shared" si="21"/>
        <v>5869</v>
      </c>
      <c r="H678" s="14">
        <f t="shared" si="22"/>
        <v>106.29</v>
      </c>
    </row>
    <row r="679" spans="1:8" ht="69">
      <c r="A679" s="502" t="s">
        <v>3276</v>
      </c>
      <c r="B679" s="504" t="s">
        <v>2361</v>
      </c>
      <c r="C679" s="502" t="s">
        <v>1727</v>
      </c>
      <c r="D679" s="503" t="s">
        <v>27865</v>
      </c>
      <c r="F679" t="str">
        <f t="shared" si="21"/>
        <v>5877</v>
      </c>
      <c r="H679" s="14">
        <f t="shared" si="22"/>
        <v>95.35</v>
      </c>
    </row>
    <row r="680" spans="1:8" ht="55.2">
      <c r="A680" s="502" t="s">
        <v>3277</v>
      </c>
      <c r="B680" s="504" t="s">
        <v>1904</v>
      </c>
      <c r="C680" s="502" t="s">
        <v>1727</v>
      </c>
      <c r="D680" s="503" t="s">
        <v>30907</v>
      </c>
      <c r="F680" t="str">
        <f t="shared" si="21"/>
        <v>5881</v>
      </c>
      <c r="H680" s="14">
        <f t="shared" si="22"/>
        <v>113.8</v>
      </c>
    </row>
    <row r="681" spans="1:8" ht="55.2">
      <c r="A681" s="502" t="s">
        <v>3278</v>
      </c>
      <c r="B681" s="504" t="s">
        <v>2362</v>
      </c>
      <c r="C681" s="502" t="s">
        <v>1727</v>
      </c>
      <c r="D681" s="503" t="s">
        <v>30908</v>
      </c>
      <c r="F681" t="str">
        <f t="shared" si="21"/>
        <v>5884</v>
      </c>
      <c r="H681" s="14">
        <f t="shared" si="22"/>
        <v>74.67</v>
      </c>
    </row>
    <row r="682" spans="1:8" ht="55.2">
      <c r="A682" s="502" t="s">
        <v>3279</v>
      </c>
      <c r="B682" s="504" t="s">
        <v>2363</v>
      </c>
      <c r="C682" s="502" t="s">
        <v>1727</v>
      </c>
      <c r="D682" s="503" t="s">
        <v>29584</v>
      </c>
      <c r="F682" t="str">
        <f t="shared" si="21"/>
        <v>5892</v>
      </c>
      <c r="H682" s="14">
        <f t="shared" si="22"/>
        <v>76.53</v>
      </c>
    </row>
    <row r="683" spans="1:8" ht="55.2">
      <c r="A683" s="502" t="s">
        <v>3280</v>
      </c>
      <c r="B683" s="504" t="s">
        <v>2364</v>
      </c>
      <c r="C683" s="502" t="s">
        <v>1727</v>
      </c>
      <c r="D683" s="503" t="s">
        <v>30909</v>
      </c>
      <c r="F683" t="str">
        <f t="shared" si="21"/>
        <v>5896</v>
      </c>
      <c r="H683" s="14">
        <f t="shared" si="22"/>
        <v>80.16</v>
      </c>
    </row>
    <row r="684" spans="1:8" ht="69">
      <c r="A684" s="502" t="s">
        <v>3281</v>
      </c>
      <c r="B684" s="504" t="s">
        <v>2365</v>
      </c>
      <c r="C684" s="502" t="s">
        <v>1727</v>
      </c>
      <c r="D684" s="503" t="s">
        <v>30910</v>
      </c>
      <c r="F684" t="str">
        <f t="shared" si="21"/>
        <v>5903</v>
      </c>
      <c r="H684" s="14">
        <f t="shared" si="22"/>
        <v>99.35</v>
      </c>
    </row>
    <row r="685" spans="1:8" ht="41.4">
      <c r="A685" s="502" t="s">
        <v>3282</v>
      </c>
      <c r="B685" s="504" t="s">
        <v>2366</v>
      </c>
      <c r="C685" s="502" t="s">
        <v>1727</v>
      </c>
      <c r="D685" s="503" t="s">
        <v>16182</v>
      </c>
      <c r="F685" t="str">
        <f t="shared" si="21"/>
        <v>5911</v>
      </c>
      <c r="H685" s="14">
        <f t="shared" si="22"/>
        <v>38.42</v>
      </c>
    </row>
    <row r="686" spans="1:8" ht="27.6">
      <c r="A686" s="502" t="s">
        <v>3283</v>
      </c>
      <c r="B686" s="504" t="s">
        <v>1905</v>
      </c>
      <c r="C686" s="502" t="s">
        <v>1727</v>
      </c>
      <c r="D686" s="503" t="s">
        <v>3779</v>
      </c>
      <c r="F686" t="str">
        <f t="shared" si="21"/>
        <v>5923</v>
      </c>
      <c r="H686" s="14">
        <f t="shared" si="22"/>
        <v>4.28</v>
      </c>
    </row>
    <row r="687" spans="1:8" ht="69">
      <c r="A687" s="502" t="s">
        <v>3285</v>
      </c>
      <c r="B687" s="504" t="s">
        <v>1906</v>
      </c>
      <c r="C687" s="502" t="s">
        <v>1727</v>
      </c>
      <c r="D687" s="503" t="s">
        <v>17944</v>
      </c>
      <c r="F687" t="str">
        <f t="shared" si="21"/>
        <v>5930</v>
      </c>
      <c r="H687" s="14">
        <f t="shared" si="22"/>
        <v>97.61</v>
      </c>
    </row>
    <row r="688" spans="1:8" ht="41.4">
      <c r="A688" s="502" t="s">
        <v>3286</v>
      </c>
      <c r="B688" s="504" t="s">
        <v>1728</v>
      </c>
      <c r="C688" s="502" t="s">
        <v>1727</v>
      </c>
      <c r="D688" s="503" t="s">
        <v>29736</v>
      </c>
      <c r="F688" t="str">
        <f t="shared" si="21"/>
        <v>5934</v>
      </c>
      <c r="H688" s="14">
        <f t="shared" si="22"/>
        <v>152.49</v>
      </c>
    </row>
    <row r="689" spans="1:8" ht="41.4">
      <c r="A689" s="502" t="s">
        <v>3287</v>
      </c>
      <c r="B689" s="504" t="s">
        <v>1907</v>
      </c>
      <c r="C689" s="502" t="s">
        <v>1727</v>
      </c>
      <c r="D689" s="503" t="s">
        <v>30911</v>
      </c>
      <c r="F689" t="str">
        <f t="shared" si="21"/>
        <v>5942</v>
      </c>
      <c r="H689" s="14">
        <f t="shared" si="22"/>
        <v>110.12</v>
      </c>
    </row>
    <row r="690" spans="1:8" ht="41.4">
      <c r="A690" s="502" t="s">
        <v>3288</v>
      </c>
      <c r="B690" s="504" t="s">
        <v>1908</v>
      </c>
      <c r="C690" s="502" t="s">
        <v>1727</v>
      </c>
      <c r="D690" s="503" t="s">
        <v>30912</v>
      </c>
      <c r="F690" t="str">
        <f t="shared" si="21"/>
        <v>5946</v>
      </c>
      <c r="H690" s="14">
        <f t="shared" si="22"/>
        <v>134.72999999999999</v>
      </c>
    </row>
    <row r="691" spans="1:8" ht="27.6">
      <c r="A691" s="502" t="s">
        <v>3289</v>
      </c>
      <c r="B691" s="504" t="s">
        <v>2367</v>
      </c>
      <c r="C691" s="502" t="s">
        <v>1727</v>
      </c>
      <c r="D691" s="503" t="s">
        <v>24484</v>
      </c>
      <c r="F691" t="str">
        <f t="shared" si="21"/>
        <v>5952</v>
      </c>
      <c r="H691" s="14">
        <f t="shared" si="22"/>
        <v>40.04</v>
      </c>
    </row>
    <row r="692" spans="1:8" ht="41.4">
      <c r="A692" s="502" t="s">
        <v>3290</v>
      </c>
      <c r="B692" s="504" t="s">
        <v>2368</v>
      </c>
      <c r="C692" s="502" t="s">
        <v>1727</v>
      </c>
      <c r="D692" s="503" t="s">
        <v>9554</v>
      </c>
      <c r="F692" t="str">
        <f t="shared" si="21"/>
        <v>5954</v>
      </c>
      <c r="H692" s="14">
        <f t="shared" si="22"/>
        <v>8.98</v>
      </c>
    </row>
    <row r="693" spans="1:8" ht="55.2">
      <c r="A693" s="502" t="s">
        <v>3292</v>
      </c>
      <c r="B693" s="504" t="s">
        <v>1909</v>
      </c>
      <c r="C693" s="502" t="s">
        <v>1727</v>
      </c>
      <c r="D693" s="503" t="s">
        <v>30913</v>
      </c>
      <c r="F693" t="str">
        <f t="shared" si="21"/>
        <v>5961</v>
      </c>
      <c r="H693" s="14">
        <f t="shared" si="22"/>
        <v>86.32</v>
      </c>
    </row>
    <row r="694" spans="1:8" ht="55.2">
      <c r="A694" s="502" t="s">
        <v>3293</v>
      </c>
      <c r="B694" s="504" t="s">
        <v>2369</v>
      </c>
      <c r="C694" s="502" t="s">
        <v>1727</v>
      </c>
      <c r="D694" s="503" t="s">
        <v>30914</v>
      </c>
      <c r="F694" t="str">
        <f t="shared" si="21"/>
        <v>6260</v>
      </c>
      <c r="H694" s="14">
        <f t="shared" si="22"/>
        <v>82.51</v>
      </c>
    </row>
    <row r="695" spans="1:8" ht="55.2">
      <c r="A695" s="502" t="s">
        <v>3294</v>
      </c>
      <c r="B695" s="504" t="s">
        <v>2370</v>
      </c>
      <c r="C695" s="502" t="s">
        <v>1727</v>
      </c>
      <c r="D695" s="503" t="s">
        <v>28838</v>
      </c>
      <c r="F695" t="str">
        <f t="shared" si="21"/>
        <v>6880</v>
      </c>
      <c r="H695" s="14">
        <f t="shared" si="22"/>
        <v>124.44</v>
      </c>
    </row>
    <row r="696" spans="1:8" ht="27.6">
      <c r="A696" s="502" t="s">
        <v>3295</v>
      </c>
      <c r="B696" s="504" t="s">
        <v>28016</v>
      </c>
      <c r="C696" s="502" t="s">
        <v>1727</v>
      </c>
      <c r="D696" s="503" t="s">
        <v>10061</v>
      </c>
      <c r="F696" t="str">
        <f t="shared" si="21"/>
        <v>7031</v>
      </c>
      <c r="H696" s="14">
        <f t="shared" si="22"/>
        <v>8.43</v>
      </c>
    </row>
    <row r="697" spans="1:8" ht="55.2">
      <c r="A697" s="502" t="s">
        <v>3296</v>
      </c>
      <c r="B697" s="504" t="s">
        <v>1910</v>
      </c>
      <c r="C697" s="502" t="s">
        <v>1727</v>
      </c>
      <c r="D697" s="503" t="s">
        <v>4038</v>
      </c>
      <c r="F697" t="str">
        <f t="shared" si="21"/>
        <v>7043</v>
      </c>
      <c r="H697" s="14">
        <f t="shared" si="22"/>
        <v>0.45</v>
      </c>
    </row>
    <row r="698" spans="1:8" ht="55.2">
      <c r="A698" s="502" t="s">
        <v>3298</v>
      </c>
      <c r="B698" s="504" t="s">
        <v>1911</v>
      </c>
      <c r="C698" s="502" t="s">
        <v>1727</v>
      </c>
      <c r="D698" s="503" t="s">
        <v>30915</v>
      </c>
      <c r="F698" t="str">
        <f t="shared" si="21"/>
        <v>7050</v>
      </c>
      <c r="H698" s="14">
        <f t="shared" si="22"/>
        <v>114.97</v>
      </c>
    </row>
    <row r="699" spans="1:8" ht="55.2">
      <c r="A699" s="502" t="s">
        <v>3299</v>
      </c>
      <c r="B699" s="504" t="s">
        <v>1912</v>
      </c>
      <c r="C699" s="502" t="s">
        <v>1727</v>
      </c>
      <c r="D699" s="503" t="s">
        <v>30483</v>
      </c>
      <c r="F699" t="str">
        <f t="shared" si="21"/>
        <v>67827</v>
      </c>
      <c r="H699" s="14">
        <f t="shared" si="22"/>
        <v>87.93</v>
      </c>
    </row>
    <row r="700" spans="1:8" ht="27.6">
      <c r="A700" s="502" t="s">
        <v>3300</v>
      </c>
      <c r="B700" s="504" t="s">
        <v>1913</v>
      </c>
      <c r="C700" s="502" t="s">
        <v>1727</v>
      </c>
      <c r="D700" s="503" t="s">
        <v>5968</v>
      </c>
      <c r="F700" t="str">
        <f t="shared" si="21"/>
        <v>73395</v>
      </c>
      <c r="H700" s="14">
        <f t="shared" si="22"/>
        <v>12.89</v>
      </c>
    </row>
    <row r="701" spans="1:8" ht="41.4">
      <c r="A701" s="502" t="s">
        <v>3301</v>
      </c>
      <c r="B701" s="504" t="s">
        <v>1914</v>
      </c>
      <c r="C701" s="502" t="s">
        <v>1727</v>
      </c>
      <c r="D701" s="503" t="s">
        <v>30916</v>
      </c>
      <c r="F701" t="str">
        <f t="shared" si="21"/>
        <v>83766</v>
      </c>
      <c r="H701" s="14">
        <f t="shared" si="22"/>
        <v>62.95</v>
      </c>
    </row>
    <row r="702" spans="1:8" ht="41.4">
      <c r="A702" s="502" t="s">
        <v>3302</v>
      </c>
      <c r="B702" s="504" t="s">
        <v>28018</v>
      </c>
      <c r="C702" s="502" t="s">
        <v>1727</v>
      </c>
      <c r="D702" s="503" t="s">
        <v>3399</v>
      </c>
      <c r="F702" t="str">
        <f t="shared" si="21"/>
        <v>87446</v>
      </c>
      <c r="H702" s="14">
        <f t="shared" si="22"/>
        <v>0.65</v>
      </c>
    </row>
    <row r="703" spans="1:8" ht="41.4">
      <c r="A703" s="502" t="s">
        <v>3304</v>
      </c>
      <c r="B703" s="504" t="s">
        <v>28019</v>
      </c>
      <c r="C703" s="502" t="s">
        <v>1727</v>
      </c>
      <c r="D703" s="503" t="s">
        <v>3976</v>
      </c>
      <c r="F703" t="str">
        <f t="shared" si="21"/>
        <v>88392</v>
      </c>
      <c r="H703" s="14">
        <f t="shared" si="22"/>
        <v>1.27</v>
      </c>
    </row>
    <row r="704" spans="1:8" ht="41.4">
      <c r="A704" s="502" t="s">
        <v>3306</v>
      </c>
      <c r="B704" s="504" t="s">
        <v>28020</v>
      </c>
      <c r="C704" s="502" t="s">
        <v>1727</v>
      </c>
      <c r="D704" s="503" t="s">
        <v>15832</v>
      </c>
      <c r="F704" t="str">
        <f t="shared" si="21"/>
        <v>88398</v>
      </c>
      <c r="H704" s="14">
        <f t="shared" si="22"/>
        <v>1.51</v>
      </c>
    </row>
    <row r="705" spans="1:8" ht="41.4">
      <c r="A705" s="502" t="s">
        <v>3307</v>
      </c>
      <c r="B705" s="504" t="s">
        <v>28021</v>
      </c>
      <c r="C705" s="502" t="s">
        <v>1727</v>
      </c>
      <c r="D705" s="503" t="s">
        <v>7275</v>
      </c>
      <c r="F705" t="str">
        <f t="shared" si="21"/>
        <v>88404</v>
      </c>
      <c r="H705" s="14">
        <f t="shared" si="22"/>
        <v>1.2</v>
      </c>
    </row>
    <row r="706" spans="1:8" ht="41.4">
      <c r="A706" s="502" t="s">
        <v>3308</v>
      </c>
      <c r="B706" s="504" t="s">
        <v>1729</v>
      </c>
      <c r="C706" s="502" t="s">
        <v>1727</v>
      </c>
      <c r="D706" s="503" t="s">
        <v>4678</v>
      </c>
      <c r="F706" t="str">
        <f t="shared" si="21"/>
        <v>88430</v>
      </c>
      <c r="H706" s="14">
        <f t="shared" si="22"/>
        <v>7.84</v>
      </c>
    </row>
    <row r="707" spans="1:8" ht="41.4">
      <c r="A707" s="502" t="s">
        <v>3310</v>
      </c>
      <c r="B707" s="504" t="s">
        <v>1915</v>
      </c>
      <c r="C707" s="502" t="s">
        <v>1727</v>
      </c>
      <c r="D707" s="503" t="s">
        <v>10709</v>
      </c>
      <c r="F707" t="str">
        <f t="shared" si="21"/>
        <v>88438</v>
      </c>
      <c r="H707" s="14">
        <f t="shared" si="22"/>
        <v>10.39</v>
      </c>
    </row>
    <row r="708" spans="1:8" ht="41.4">
      <c r="A708" s="502" t="s">
        <v>3312</v>
      </c>
      <c r="B708" s="504" t="s">
        <v>28022</v>
      </c>
      <c r="C708" s="502" t="s">
        <v>1727</v>
      </c>
      <c r="D708" s="503" t="s">
        <v>3946</v>
      </c>
      <c r="F708" t="str">
        <f t="shared" si="21"/>
        <v>88831</v>
      </c>
      <c r="H708" s="14">
        <f t="shared" si="22"/>
        <v>0.47</v>
      </c>
    </row>
    <row r="709" spans="1:8" ht="41.4">
      <c r="A709" s="502" t="s">
        <v>3314</v>
      </c>
      <c r="B709" s="504" t="s">
        <v>1916</v>
      </c>
      <c r="C709" s="502" t="s">
        <v>1727</v>
      </c>
      <c r="D709" s="503" t="s">
        <v>30917</v>
      </c>
      <c r="F709" t="str">
        <f t="shared" ref="F709:F772" si="23">TRIM(A709)</f>
        <v>88844</v>
      </c>
      <c r="H709" s="14">
        <f t="shared" ref="H709:H772" si="24">ROUND(D709*(1+$H$1),2)</f>
        <v>119.27</v>
      </c>
    </row>
    <row r="710" spans="1:8" ht="41.4">
      <c r="A710" s="502" t="s">
        <v>3315</v>
      </c>
      <c r="B710" s="504" t="s">
        <v>1917</v>
      </c>
      <c r="C710" s="502" t="s">
        <v>1727</v>
      </c>
      <c r="D710" s="503" t="s">
        <v>30918</v>
      </c>
      <c r="F710" t="str">
        <f t="shared" si="23"/>
        <v>88908</v>
      </c>
      <c r="H710" s="14">
        <f t="shared" si="24"/>
        <v>139.57</v>
      </c>
    </row>
    <row r="711" spans="1:8" ht="55.2">
      <c r="A711" s="502" t="s">
        <v>3316</v>
      </c>
      <c r="B711" s="504" t="s">
        <v>28023</v>
      </c>
      <c r="C711" s="502" t="s">
        <v>1727</v>
      </c>
      <c r="D711" s="503" t="s">
        <v>3603</v>
      </c>
      <c r="F711" t="str">
        <f t="shared" si="23"/>
        <v>89022</v>
      </c>
      <c r="H711" s="14">
        <f t="shared" si="24"/>
        <v>0.52</v>
      </c>
    </row>
    <row r="712" spans="1:8" ht="27.6">
      <c r="A712" s="502" t="s">
        <v>3317</v>
      </c>
      <c r="B712" s="504" t="s">
        <v>28024</v>
      </c>
      <c r="C712" s="502" t="s">
        <v>1727</v>
      </c>
      <c r="D712" s="503" t="s">
        <v>11632</v>
      </c>
      <c r="F712" t="str">
        <f t="shared" si="23"/>
        <v>89027</v>
      </c>
      <c r="H712" s="14">
        <f t="shared" si="24"/>
        <v>6.85</v>
      </c>
    </row>
    <row r="713" spans="1:8" ht="41.4">
      <c r="A713" s="502" t="s">
        <v>3318</v>
      </c>
      <c r="B713" s="504" t="s">
        <v>1918</v>
      </c>
      <c r="C713" s="502" t="s">
        <v>1727</v>
      </c>
      <c r="D713" s="503" t="s">
        <v>30919</v>
      </c>
      <c r="F713" t="str">
        <f t="shared" si="23"/>
        <v>89031</v>
      </c>
      <c r="H713" s="14">
        <f t="shared" si="24"/>
        <v>116.26</v>
      </c>
    </row>
    <row r="714" spans="1:8" ht="27.6">
      <c r="A714" s="502" t="s">
        <v>3319</v>
      </c>
      <c r="B714" s="504" t="s">
        <v>1730</v>
      </c>
      <c r="C714" s="502" t="s">
        <v>1727</v>
      </c>
      <c r="D714" s="503" t="s">
        <v>29584</v>
      </c>
      <c r="F714" t="str">
        <f t="shared" si="23"/>
        <v>89036</v>
      </c>
      <c r="H714" s="14">
        <f t="shared" si="24"/>
        <v>76.53</v>
      </c>
    </row>
    <row r="715" spans="1:8" ht="41.4">
      <c r="A715" s="502" t="s">
        <v>3320</v>
      </c>
      <c r="B715" s="504" t="s">
        <v>1731</v>
      </c>
      <c r="C715" s="502" t="s">
        <v>1727</v>
      </c>
      <c r="D715" s="503" t="s">
        <v>30920</v>
      </c>
      <c r="F715" t="str">
        <f t="shared" si="23"/>
        <v>89218</v>
      </c>
      <c r="H715" s="14">
        <f t="shared" si="24"/>
        <v>150.35</v>
      </c>
    </row>
    <row r="716" spans="1:8" ht="41.4">
      <c r="A716" s="502" t="s">
        <v>3321</v>
      </c>
      <c r="B716" s="504" t="s">
        <v>28027</v>
      </c>
      <c r="C716" s="502" t="s">
        <v>1727</v>
      </c>
      <c r="D716" s="503" t="s">
        <v>26925</v>
      </c>
      <c r="F716" t="str">
        <f t="shared" si="23"/>
        <v>89226</v>
      </c>
      <c r="H716" s="14">
        <f t="shared" si="24"/>
        <v>1.95</v>
      </c>
    </row>
    <row r="717" spans="1:8" ht="41.4">
      <c r="A717" s="502" t="s">
        <v>3322</v>
      </c>
      <c r="B717" s="504" t="s">
        <v>1919</v>
      </c>
      <c r="C717" s="502" t="s">
        <v>1727</v>
      </c>
      <c r="D717" s="503" t="s">
        <v>30921</v>
      </c>
      <c r="F717" t="str">
        <f t="shared" si="23"/>
        <v>89235</v>
      </c>
      <c r="H717" s="14">
        <f t="shared" si="24"/>
        <v>255.49</v>
      </c>
    </row>
    <row r="718" spans="1:8" ht="41.4">
      <c r="A718" s="502" t="s">
        <v>3323</v>
      </c>
      <c r="B718" s="504" t="s">
        <v>1920</v>
      </c>
      <c r="C718" s="502" t="s">
        <v>1727</v>
      </c>
      <c r="D718" s="503" t="s">
        <v>30922</v>
      </c>
      <c r="F718" t="str">
        <f t="shared" si="23"/>
        <v>89243</v>
      </c>
      <c r="H718" s="14">
        <f t="shared" si="24"/>
        <v>534.79</v>
      </c>
    </row>
    <row r="719" spans="1:8" ht="41.4">
      <c r="A719" s="502" t="s">
        <v>3324</v>
      </c>
      <c r="B719" s="504" t="s">
        <v>1732</v>
      </c>
      <c r="C719" s="502" t="s">
        <v>1727</v>
      </c>
      <c r="D719" s="503" t="s">
        <v>30923</v>
      </c>
      <c r="F719" t="str">
        <f t="shared" si="23"/>
        <v>89251</v>
      </c>
      <c r="H719" s="14">
        <f t="shared" si="24"/>
        <v>470.79</v>
      </c>
    </row>
    <row r="720" spans="1:8" ht="41.4">
      <c r="A720" s="502" t="s">
        <v>3325</v>
      </c>
      <c r="B720" s="504" t="s">
        <v>2371</v>
      </c>
      <c r="C720" s="502" t="s">
        <v>1727</v>
      </c>
      <c r="D720" s="503" t="s">
        <v>29108</v>
      </c>
      <c r="F720" t="str">
        <f t="shared" si="23"/>
        <v>89258</v>
      </c>
      <c r="H720" s="14">
        <f t="shared" si="24"/>
        <v>173.6</v>
      </c>
    </row>
    <row r="721" spans="1:8" ht="55.2">
      <c r="A721" s="502" t="s">
        <v>3326</v>
      </c>
      <c r="B721" s="504" t="s">
        <v>2372</v>
      </c>
      <c r="C721" s="502" t="s">
        <v>1727</v>
      </c>
      <c r="D721" s="503" t="s">
        <v>30924</v>
      </c>
      <c r="F721" t="str">
        <f t="shared" si="23"/>
        <v>89273</v>
      </c>
      <c r="H721" s="14">
        <f t="shared" si="24"/>
        <v>167.87</v>
      </c>
    </row>
    <row r="722" spans="1:8" ht="41.4">
      <c r="A722" s="502" t="s">
        <v>3327</v>
      </c>
      <c r="B722" s="504" t="s">
        <v>28028</v>
      </c>
      <c r="C722" s="502" t="s">
        <v>1727</v>
      </c>
      <c r="D722" s="503" t="s">
        <v>4153</v>
      </c>
      <c r="F722" t="str">
        <f t="shared" si="23"/>
        <v>89279</v>
      </c>
      <c r="H722" s="14">
        <f t="shared" si="24"/>
        <v>2.37</v>
      </c>
    </row>
    <row r="723" spans="1:8" ht="55.2">
      <c r="A723" s="502" t="s">
        <v>3328</v>
      </c>
      <c r="B723" s="504" t="s">
        <v>2373</v>
      </c>
      <c r="C723" s="502" t="s">
        <v>1727</v>
      </c>
      <c r="D723" s="503" t="s">
        <v>30925</v>
      </c>
      <c r="F723" t="str">
        <f t="shared" si="23"/>
        <v>89877</v>
      </c>
      <c r="H723" s="14">
        <f t="shared" si="24"/>
        <v>121.38</v>
      </c>
    </row>
    <row r="724" spans="1:8" ht="55.2">
      <c r="A724" s="502" t="s">
        <v>3329</v>
      </c>
      <c r="B724" s="504" t="s">
        <v>2374</v>
      </c>
      <c r="C724" s="502" t="s">
        <v>1727</v>
      </c>
      <c r="D724" s="503" t="s">
        <v>30926</v>
      </c>
      <c r="F724" t="str">
        <f t="shared" si="23"/>
        <v>89884</v>
      </c>
      <c r="H724" s="14">
        <f t="shared" si="24"/>
        <v>126.63</v>
      </c>
    </row>
    <row r="725" spans="1:8" ht="41.4">
      <c r="A725" s="502" t="s">
        <v>3330</v>
      </c>
      <c r="B725" s="504" t="s">
        <v>1921</v>
      </c>
      <c r="C725" s="502" t="s">
        <v>1727</v>
      </c>
      <c r="D725" s="503" t="s">
        <v>3402</v>
      </c>
      <c r="F725" t="str">
        <f t="shared" si="23"/>
        <v>90587</v>
      </c>
      <c r="H725" s="14">
        <f t="shared" si="24"/>
        <v>0.71</v>
      </c>
    </row>
    <row r="726" spans="1:8" ht="41.4">
      <c r="A726" s="502" t="s">
        <v>3332</v>
      </c>
      <c r="B726" s="504" t="s">
        <v>1733</v>
      </c>
      <c r="C726" s="502" t="s">
        <v>1727</v>
      </c>
      <c r="D726" s="503" t="s">
        <v>4767</v>
      </c>
      <c r="F726" t="str">
        <f t="shared" si="23"/>
        <v>90626</v>
      </c>
      <c r="H726" s="14">
        <f t="shared" si="24"/>
        <v>3.84</v>
      </c>
    </row>
    <row r="727" spans="1:8" ht="41.4">
      <c r="A727" s="502" t="s">
        <v>3334</v>
      </c>
      <c r="B727" s="504" t="s">
        <v>1734</v>
      </c>
      <c r="C727" s="502" t="s">
        <v>1727</v>
      </c>
      <c r="D727" s="503" t="s">
        <v>30927</v>
      </c>
      <c r="F727" t="str">
        <f t="shared" si="23"/>
        <v>90632</v>
      </c>
      <c r="H727" s="14">
        <f t="shared" si="24"/>
        <v>142.28</v>
      </c>
    </row>
    <row r="728" spans="1:8" ht="55.2">
      <c r="A728" s="502" t="s">
        <v>3335</v>
      </c>
      <c r="B728" s="504" t="s">
        <v>2375</v>
      </c>
      <c r="C728" s="502" t="s">
        <v>1727</v>
      </c>
      <c r="D728" s="503" t="s">
        <v>7278</v>
      </c>
      <c r="F728" t="str">
        <f t="shared" si="23"/>
        <v>90638</v>
      </c>
      <c r="H728" s="14">
        <f t="shared" si="24"/>
        <v>6.04</v>
      </c>
    </row>
    <row r="729" spans="1:8" ht="41.4">
      <c r="A729" s="502" t="s">
        <v>3337</v>
      </c>
      <c r="B729" s="504" t="s">
        <v>1922</v>
      </c>
      <c r="C729" s="502" t="s">
        <v>1727</v>
      </c>
      <c r="D729" s="503" t="s">
        <v>7469</v>
      </c>
      <c r="F729" t="str">
        <f t="shared" si="23"/>
        <v>90644</v>
      </c>
      <c r="H729" s="14">
        <f t="shared" si="24"/>
        <v>9.02</v>
      </c>
    </row>
    <row r="730" spans="1:8" ht="55.2">
      <c r="A730" s="502" t="s">
        <v>3339</v>
      </c>
      <c r="B730" s="504" t="s">
        <v>2376</v>
      </c>
      <c r="C730" s="502" t="s">
        <v>1727</v>
      </c>
      <c r="D730" s="503" t="s">
        <v>16556</v>
      </c>
      <c r="F730" t="str">
        <f t="shared" si="23"/>
        <v>90651</v>
      </c>
      <c r="H730" s="14">
        <f t="shared" si="24"/>
        <v>1.32</v>
      </c>
    </row>
    <row r="731" spans="1:8" ht="27.6">
      <c r="A731" s="502" t="s">
        <v>3341</v>
      </c>
      <c r="B731" s="504" t="s">
        <v>2377</v>
      </c>
      <c r="C731" s="502" t="s">
        <v>1727</v>
      </c>
      <c r="D731" s="503" t="s">
        <v>7357</v>
      </c>
      <c r="F731" t="str">
        <f t="shared" si="23"/>
        <v>90657</v>
      </c>
      <c r="H731" s="14">
        <f t="shared" si="24"/>
        <v>5.86</v>
      </c>
    </row>
    <row r="732" spans="1:8" ht="27.6">
      <c r="A732" s="502" t="s">
        <v>3342</v>
      </c>
      <c r="B732" s="504" t="s">
        <v>2378</v>
      </c>
      <c r="C732" s="502" t="s">
        <v>1727</v>
      </c>
      <c r="D732" s="503" t="s">
        <v>3311</v>
      </c>
      <c r="F732" t="str">
        <f t="shared" si="23"/>
        <v>90663</v>
      </c>
      <c r="H732" s="14">
        <f t="shared" si="24"/>
        <v>6.28</v>
      </c>
    </row>
    <row r="733" spans="1:8" ht="55.2">
      <c r="A733" s="502" t="s">
        <v>3344</v>
      </c>
      <c r="B733" s="504" t="s">
        <v>28030</v>
      </c>
      <c r="C733" s="502" t="s">
        <v>1727</v>
      </c>
      <c r="D733" s="503" t="s">
        <v>7322</v>
      </c>
      <c r="F733" t="str">
        <f t="shared" si="23"/>
        <v>90669</v>
      </c>
      <c r="H733" s="14">
        <f t="shared" si="24"/>
        <v>12.05</v>
      </c>
    </row>
    <row r="734" spans="1:8" ht="69">
      <c r="A734" s="502" t="s">
        <v>3345</v>
      </c>
      <c r="B734" s="504" t="s">
        <v>1923</v>
      </c>
      <c r="C734" s="502" t="s">
        <v>1727</v>
      </c>
      <c r="D734" s="503" t="s">
        <v>30928</v>
      </c>
      <c r="F734" t="str">
        <f t="shared" si="23"/>
        <v>90675</v>
      </c>
      <c r="H734" s="14">
        <f t="shared" si="24"/>
        <v>460.03</v>
      </c>
    </row>
    <row r="735" spans="1:8" ht="69">
      <c r="A735" s="502" t="s">
        <v>3346</v>
      </c>
      <c r="B735" s="504" t="s">
        <v>2379</v>
      </c>
      <c r="C735" s="502" t="s">
        <v>1727</v>
      </c>
      <c r="D735" s="503" t="s">
        <v>30929</v>
      </c>
      <c r="F735" t="str">
        <f t="shared" si="23"/>
        <v>90681</v>
      </c>
      <c r="H735" s="14">
        <f t="shared" si="24"/>
        <v>238.68</v>
      </c>
    </row>
    <row r="736" spans="1:8" ht="41.4">
      <c r="A736" s="502" t="s">
        <v>3347</v>
      </c>
      <c r="B736" s="504" t="s">
        <v>28032</v>
      </c>
      <c r="C736" s="502" t="s">
        <v>1727</v>
      </c>
      <c r="D736" s="503" t="s">
        <v>30930</v>
      </c>
      <c r="F736" t="str">
        <f t="shared" si="23"/>
        <v>90687</v>
      </c>
      <c r="H736" s="14">
        <f t="shared" si="24"/>
        <v>111.17</v>
      </c>
    </row>
    <row r="737" spans="1:8" ht="41.4">
      <c r="A737" s="502" t="s">
        <v>3348</v>
      </c>
      <c r="B737" s="504" t="s">
        <v>1924</v>
      </c>
      <c r="C737" s="502" t="s">
        <v>1727</v>
      </c>
      <c r="D737" s="503" t="s">
        <v>30931</v>
      </c>
      <c r="F737" t="str">
        <f t="shared" si="23"/>
        <v>90693</v>
      </c>
      <c r="H737" s="14">
        <f t="shared" si="24"/>
        <v>88.56</v>
      </c>
    </row>
    <row r="738" spans="1:8" ht="41.4">
      <c r="A738" s="502" t="s">
        <v>3349</v>
      </c>
      <c r="B738" s="504" t="s">
        <v>1735</v>
      </c>
      <c r="C738" s="502" t="s">
        <v>1727</v>
      </c>
      <c r="D738" s="503" t="s">
        <v>7954</v>
      </c>
      <c r="F738" t="str">
        <f t="shared" si="23"/>
        <v>90965</v>
      </c>
      <c r="H738" s="14">
        <f t="shared" si="24"/>
        <v>11.99</v>
      </c>
    </row>
    <row r="739" spans="1:8" ht="41.4">
      <c r="A739" s="502" t="s">
        <v>3350</v>
      </c>
      <c r="B739" s="504" t="s">
        <v>1925</v>
      </c>
      <c r="C739" s="502" t="s">
        <v>1727</v>
      </c>
      <c r="D739" s="503" t="s">
        <v>28031</v>
      </c>
      <c r="F739" t="str">
        <f t="shared" si="23"/>
        <v>90973</v>
      </c>
      <c r="H739" s="14">
        <f t="shared" si="24"/>
        <v>12.03</v>
      </c>
    </row>
    <row r="740" spans="1:8" ht="41.4">
      <c r="A740" s="502" t="s">
        <v>3351</v>
      </c>
      <c r="B740" s="504" t="s">
        <v>2380</v>
      </c>
      <c r="C740" s="502" t="s">
        <v>1727</v>
      </c>
      <c r="D740" s="503" t="s">
        <v>9782</v>
      </c>
      <c r="F740" t="str">
        <f t="shared" si="23"/>
        <v>90982</v>
      </c>
      <c r="H740" s="14">
        <f t="shared" si="24"/>
        <v>30.57</v>
      </c>
    </row>
    <row r="741" spans="1:8" ht="41.4">
      <c r="A741" s="502" t="s">
        <v>3352</v>
      </c>
      <c r="B741" s="504" t="s">
        <v>1926</v>
      </c>
      <c r="C741" s="502" t="s">
        <v>1727</v>
      </c>
      <c r="D741" s="503" t="s">
        <v>24528</v>
      </c>
      <c r="F741" t="str">
        <f t="shared" si="23"/>
        <v>91001</v>
      </c>
      <c r="H741" s="14">
        <f t="shared" si="24"/>
        <v>14.27</v>
      </c>
    </row>
    <row r="742" spans="1:8" ht="55.2">
      <c r="A742" s="502" t="s">
        <v>3353</v>
      </c>
      <c r="B742" s="504" t="s">
        <v>2381</v>
      </c>
      <c r="C742" s="502" t="s">
        <v>1727</v>
      </c>
      <c r="D742" s="503" t="s">
        <v>30932</v>
      </c>
      <c r="F742" t="str">
        <f t="shared" si="23"/>
        <v>91032</v>
      </c>
      <c r="H742" s="14">
        <f t="shared" si="24"/>
        <v>91.16</v>
      </c>
    </row>
    <row r="743" spans="1:8" ht="41.4">
      <c r="A743" s="502" t="s">
        <v>3354</v>
      </c>
      <c r="B743" s="504" t="s">
        <v>1927</v>
      </c>
      <c r="C743" s="502" t="s">
        <v>1727</v>
      </c>
      <c r="D743" s="503" t="s">
        <v>7277</v>
      </c>
      <c r="F743" t="str">
        <f t="shared" si="23"/>
        <v>91278</v>
      </c>
      <c r="H743" s="14">
        <f t="shared" si="24"/>
        <v>1.01</v>
      </c>
    </row>
    <row r="744" spans="1:8" ht="55.2">
      <c r="A744" s="502" t="s">
        <v>3355</v>
      </c>
      <c r="B744" s="504" t="s">
        <v>2382</v>
      </c>
      <c r="C744" s="502" t="s">
        <v>1727</v>
      </c>
      <c r="D744" s="503" t="s">
        <v>3160</v>
      </c>
      <c r="F744" t="str">
        <f t="shared" si="23"/>
        <v>91285</v>
      </c>
      <c r="H744" s="14">
        <f t="shared" si="24"/>
        <v>1.25</v>
      </c>
    </row>
    <row r="745" spans="1:8" ht="69">
      <c r="A745" s="502" t="s">
        <v>3356</v>
      </c>
      <c r="B745" s="504" t="s">
        <v>1928</v>
      </c>
      <c r="C745" s="502" t="s">
        <v>1727</v>
      </c>
      <c r="D745" s="503" t="s">
        <v>16127</v>
      </c>
      <c r="F745" t="str">
        <f t="shared" si="23"/>
        <v>91387</v>
      </c>
      <c r="H745" s="14">
        <f t="shared" si="24"/>
        <v>100.75</v>
      </c>
    </row>
    <row r="746" spans="1:8" ht="69">
      <c r="A746" s="502" t="s">
        <v>3357</v>
      </c>
      <c r="B746" s="504" t="s">
        <v>2383</v>
      </c>
      <c r="C746" s="502" t="s">
        <v>1727</v>
      </c>
      <c r="D746" s="503" t="s">
        <v>15601</v>
      </c>
      <c r="F746" t="str">
        <f t="shared" si="23"/>
        <v>91395</v>
      </c>
      <c r="H746" s="14">
        <f t="shared" si="24"/>
        <v>79.58</v>
      </c>
    </row>
    <row r="747" spans="1:8" ht="69">
      <c r="A747" s="502" t="s">
        <v>3358</v>
      </c>
      <c r="B747" s="504" t="s">
        <v>28034</v>
      </c>
      <c r="C747" s="502" t="s">
        <v>1727</v>
      </c>
      <c r="D747" s="503" t="s">
        <v>30643</v>
      </c>
      <c r="F747" t="str">
        <f t="shared" si="23"/>
        <v>91486</v>
      </c>
      <c r="H747" s="14">
        <f t="shared" si="24"/>
        <v>92.12</v>
      </c>
    </row>
    <row r="748" spans="1:8" ht="41.4">
      <c r="A748" s="502" t="s">
        <v>3359</v>
      </c>
      <c r="B748" s="504" t="s">
        <v>1929</v>
      </c>
      <c r="C748" s="502" t="s">
        <v>1727</v>
      </c>
      <c r="D748" s="503" t="s">
        <v>21371</v>
      </c>
      <c r="F748" t="str">
        <f t="shared" si="23"/>
        <v>91534</v>
      </c>
      <c r="H748" s="14">
        <f t="shared" si="24"/>
        <v>53.29</v>
      </c>
    </row>
    <row r="749" spans="1:8" ht="69">
      <c r="A749" s="502" t="s">
        <v>3360</v>
      </c>
      <c r="B749" s="504" t="s">
        <v>1930</v>
      </c>
      <c r="C749" s="502" t="s">
        <v>1727</v>
      </c>
      <c r="D749" s="503" t="s">
        <v>30933</v>
      </c>
      <c r="F749" t="str">
        <f t="shared" si="23"/>
        <v>91635</v>
      </c>
      <c r="H749" s="14">
        <f t="shared" si="24"/>
        <v>86.29</v>
      </c>
    </row>
    <row r="750" spans="1:8" ht="69">
      <c r="A750" s="502" t="s">
        <v>3361</v>
      </c>
      <c r="B750" s="504" t="s">
        <v>1931</v>
      </c>
      <c r="C750" s="502" t="s">
        <v>1727</v>
      </c>
      <c r="D750" s="503" t="s">
        <v>30934</v>
      </c>
      <c r="F750" t="str">
        <f t="shared" si="23"/>
        <v>91646</v>
      </c>
      <c r="H750" s="14">
        <f t="shared" si="24"/>
        <v>133.36000000000001</v>
      </c>
    </row>
    <row r="751" spans="1:8" ht="41.4">
      <c r="A751" s="502" t="s">
        <v>3362</v>
      </c>
      <c r="B751" s="504" t="s">
        <v>1932</v>
      </c>
      <c r="C751" s="502" t="s">
        <v>1727</v>
      </c>
      <c r="D751" s="503" t="s">
        <v>30935</v>
      </c>
      <c r="F751" t="str">
        <f t="shared" si="23"/>
        <v>91693</v>
      </c>
      <c r="H751" s="14">
        <f t="shared" si="24"/>
        <v>51.94</v>
      </c>
    </row>
    <row r="752" spans="1:8" ht="41.4">
      <c r="A752" s="502" t="s">
        <v>3363</v>
      </c>
      <c r="B752" s="504" t="s">
        <v>1933</v>
      </c>
      <c r="C752" s="502" t="s">
        <v>1727</v>
      </c>
      <c r="D752" s="503" t="s">
        <v>10709</v>
      </c>
      <c r="F752" t="str">
        <f t="shared" si="23"/>
        <v>92044</v>
      </c>
      <c r="H752" s="14">
        <f t="shared" si="24"/>
        <v>10.39</v>
      </c>
    </row>
    <row r="753" spans="1:8" ht="69">
      <c r="A753" s="502" t="s">
        <v>3364</v>
      </c>
      <c r="B753" s="504" t="s">
        <v>28035</v>
      </c>
      <c r="C753" s="502" t="s">
        <v>1727</v>
      </c>
      <c r="D753" s="503" t="s">
        <v>24765</v>
      </c>
      <c r="F753" t="str">
        <f t="shared" si="23"/>
        <v>92107</v>
      </c>
      <c r="H753" s="14">
        <f t="shared" si="24"/>
        <v>125.53</v>
      </c>
    </row>
    <row r="754" spans="1:8" ht="41.4">
      <c r="A754" s="502" t="s">
        <v>3365</v>
      </c>
      <c r="B754" s="504" t="s">
        <v>28037</v>
      </c>
      <c r="C754" s="502" t="s">
        <v>1727</v>
      </c>
      <c r="D754" s="503" t="s">
        <v>7366</v>
      </c>
      <c r="F754" t="str">
        <f t="shared" si="23"/>
        <v>92113</v>
      </c>
      <c r="H754" s="14">
        <f t="shared" si="24"/>
        <v>1.4</v>
      </c>
    </row>
    <row r="755" spans="1:8" ht="27.6">
      <c r="A755" s="502" t="s">
        <v>3367</v>
      </c>
      <c r="B755" s="504" t="s">
        <v>28038</v>
      </c>
      <c r="C755" s="502" t="s">
        <v>1727</v>
      </c>
      <c r="D755" s="503" t="s">
        <v>3920</v>
      </c>
      <c r="F755" t="str">
        <f t="shared" si="23"/>
        <v>92119</v>
      </c>
      <c r="H755" s="14">
        <f t="shared" si="24"/>
        <v>0.33</v>
      </c>
    </row>
    <row r="756" spans="1:8" ht="27.6">
      <c r="A756" s="502" t="s">
        <v>3369</v>
      </c>
      <c r="B756" s="504" t="s">
        <v>1934</v>
      </c>
      <c r="C756" s="502" t="s">
        <v>1727</v>
      </c>
      <c r="D756" s="503" t="s">
        <v>30936</v>
      </c>
      <c r="F756" t="str">
        <f t="shared" si="23"/>
        <v>92139</v>
      </c>
      <c r="H756" s="14">
        <f t="shared" si="24"/>
        <v>58.87</v>
      </c>
    </row>
    <row r="757" spans="1:8" ht="41.4">
      <c r="A757" s="502" t="s">
        <v>3370</v>
      </c>
      <c r="B757" s="504" t="s">
        <v>2384</v>
      </c>
      <c r="C757" s="502" t="s">
        <v>1727</v>
      </c>
      <c r="D757" s="503" t="s">
        <v>15283</v>
      </c>
      <c r="F757" t="str">
        <f t="shared" si="23"/>
        <v>92146</v>
      </c>
      <c r="H757" s="14">
        <f t="shared" si="24"/>
        <v>43.45</v>
      </c>
    </row>
    <row r="758" spans="1:8" ht="69">
      <c r="A758" s="502" t="s">
        <v>3371</v>
      </c>
      <c r="B758" s="504" t="s">
        <v>1935</v>
      </c>
      <c r="C758" s="502" t="s">
        <v>1727</v>
      </c>
      <c r="D758" s="503" t="s">
        <v>30937</v>
      </c>
      <c r="F758" t="str">
        <f t="shared" si="23"/>
        <v>92243</v>
      </c>
      <c r="H758" s="14">
        <f t="shared" si="24"/>
        <v>109.74</v>
      </c>
    </row>
    <row r="759" spans="1:8" ht="41.4">
      <c r="A759" s="502" t="s">
        <v>3372</v>
      </c>
      <c r="B759" s="504" t="s">
        <v>28039</v>
      </c>
      <c r="C759" s="502" t="s">
        <v>1727</v>
      </c>
      <c r="D759" s="503" t="s">
        <v>3481</v>
      </c>
      <c r="F759" t="str">
        <f t="shared" si="23"/>
        <v>92717</v>
      </c>
      <c r="H759" s="14">
        <f t="shared" si="24"/>
        <v>0.24</v>
      </c>
    </row>
    <row r="760" spans="1:8" ht="41.4">
      <c r="A760" s="502" t="s">
        <v>3373</v>
      </c>
      <c r="B760" s="504" t="s">
        <v>1936</v>
      </c>
      <c r="C760" s="502" t="s">
        <v>1727</v>
      </c>
      <c r="D760" s="503" t="s">
        <v>9969</v>
      </c>
      <c r="F760" t="str">
        <f t="shared" si="23"/>
        <v>92961</v>
      </c>
      <c r="H760" s="14">
        <f t="shared" si="24"/>
        <v>7.05</v>
      </c>
    </row>
    <row r="761" spans="1:8" ht="27.6">
      <c r="A761" s="502" t="s">
        <v>3374</v>
      </c>
      <c r="B761" s="504" t="s">
        <v>1937</v>
      </c>
      <c r="C761" s="502" t="s">
        <v>1727</v>
      </c>
      <c r="D761" s="503" t="s">
        <v>30938</v>
      </c>
      <c r="F761" t="str">
        <f t="shared" si="23"/>
        <v>92967</v>
      </c>
      <c r="H761" s="14">
        <f t="shared" si="24"/>
        <v>40.119999999999997</v>
      </c>
    </row>
    <row r="762" spans="1:8" ht="69">
      <c r="A762" s="502" t="s">
        <v>3375</v>
      </c>
      <c r="B762" s="504" t="s">
        <v>1938</v>
      </c>
      <c r="C762" s="502" t="s">
        <v>1727</v>
      </c>
      <c r="D762" s="503" t="s">
        <v>30939</v>
      </c>
      <c r="F762" t="str">
        <f t="shared" si="23"/>
        <v>93225</v>
      </c>
      <c r="H762" s="14">
        <f t="shared" si="24"/>
        <v>677.76</v>
      </c>
    </row>
    <row r="763" spans="1:8" ht="41.4">
      <c r="A763" s="502" t="s">
        <v>3376</v>
      </c>
      <c r="B763" s="504" t="s">
        <v>2385</v>
      </c>
      <c r="C763" s="502" t="s">
        <v>1727</v>
      </c>
      <c r="D763" s="503" t="s">
        <v>3568</v>
      </c>
      <c r="F763" t="str">
        <f t="shared" si="23"/>
        <v>93234</v>
      </c>
      <c r="H763" s="14">
        <f t="shared" si="24"/>
        <v>0.59</v>
      </c>
    </row>
    <row r="764" spans="1:8" ht="55.2">
      <c r="A764" s="502" t="s">
        <v>3378</v>
      </c>
      <c r="B764" s="504" t="s">
        <v>2386</v>
      </c>
      <c r="C764" s="502" t="s">
        <v>1727</v>
      </c>
      <c r="D764" s="503" t="s">
        <v>30940</v>
      </c>
      <c r="F764" t="str">
        <f t="shared" si="23"/>
        <v>93244</v>
      </c>
      <c r="H764" s="14">
        <f t="shared" si="24"/>
        <v>96.18</v>
      </c>
    </row>
    <row r="765" spans="1:8" ht="27.6">
      <c r="A765" s="502" t="s">
        <v>3379</v>
      </c>
      <c r="B765" s="504" t="s">
        <v>28041</v>
      </c>
      <c r="C765" s="502" t="s">
        <v>1727</v>
      </c>
      <c r="D765" s="503" t="s">
        <v>30941</v>
      </c>
      <c r="F765" t="str">
        <f t="shared" si="23"/>
        <v>93274</v>
      </c>
      <c r="H765" s="14">
        <f t="shared" si="24"/>
        <v>113.09</v>
      </c>
    </row>
    <row r="766" spans="1:8" ht="41.4">
      <c r="A766" s="502" t="s">
        <v>3380</v>
      </c>
      <c r="B766" s="504" t="s">
        <v>2387</v>
      </c>
      <c r="C766" s="502" t="s">
        <v>1727</v>
      </c>
      <c r="D766" s="503" t="s">
        <v>30942</v>
      </c>
      <c r="F766" t="str">
        <f t="shared" si="23"/>
        <v>93282</v>
      </c>
      <c r="H766" s="14">
        <f t="shared" si="24"/>
        <v>40.950000000000003</v>
      </c>
    </row>
    <row r="767" spans="1:8" ht="41.4">
      <c r="A767" s="502" t="s">
        <v>3381</v>
      </c>
      <c r="B767" s="504" t="s">
        <v>2388</v>
      </c>
      <c r="C767" s="502" t="s">
        <v>1727</v>
      </c>
      <c r="D767" s="503" t="s">
        <v>30943</v>
      </c>
      <c r="F767" t="str">
        <f t="shared" si="23"/>
        <v>93288</v>
      </c>
      <c r="H767" s="14">
        <f t="shared" si="24"/>
        <v>263.89</v>
      </c>
    </row>
    <row r="768" spans="1:8" ht="69">
      <c r="A768" s="502" t="s">
        <v>3382</v>
      </c>
      <c r="B768" s="504" t="s">
        <v>2389</v>
      </c>
      <c r="C768" s="502" t="s">
        <v>1727</v>
      </c>
      <c r="D768" s="503" t="s">
        <v>30944</v>
      </c>
      <c r="F768" t="str">
        <f t="shared" si="23"/>
        <v>93403</v>
      </c>
      <c r="H768" s="14">
        <f t="shared" si="24"/>
        <v>93.39</v>
      </c>
    </row>
    <row r="769" spans="1:8" ht="69">
      <c r="A769" s="502" t="s">
        <v>3383</v>
      </c>
      <c r="B769" s="504" t="s">
        <v>28043</v>
      </c>
      <c r="C769" s="502" t="s">
        <v>1727</v>
      </c>
      <c r="D769" s="503" t="s">
        <v>30945</v>
      </c>
      <c r="F769" t="str">
        <f t="shared" si="23"/>
        <v>93409</v>
      </c>
      <c r="H769" s="14">
        <f t="shared" si="24"/>
        <v>46.81</v>
      </c>
    </row>
    <row r="770" spans="1:8" ht="41.4">
      <c r="A770" s="502" t="s">
        <v>3384</v>
      </c>
      <c r="B770" s="504" t="s">
        <v>2390</v>
      </c>
      <c r="C770" s="502" t="s">
        <v>1727</v>
      </c>
      <c r="D770" s="503" t="s">
        <v>6908</v>
      </c>
      <c r="F770" t="str">
        <f t="shared" si="23"/>
        <v>93416</v>
      </c>
      <c r="H770" s="14">
        <f t="shared" si="24"/>
        <v>0.61</v>
      </c>
    </row>
    <row r="771" spans="1:8" ht="27.6">
      <c r="A771" s="502" t="s">
        <v>3386</v>
      </c>
      <c r="B771" s="504" t="s">
        <v>2391</v>
      </c>
      <c r="C771" s="502" t="s">
        <v>1727</v>
      </c>
      <c r="D771" s="503" t="s">
        <v>10405</v>
      </c>
      <c r="F771" t="str">
        <f t="shared" si="23"/>
        <v>93422</v>
      </c>
      <c r="H771" s="14">
        <f t="shared" si="24"/>
        <v>8.09</v>
      </c>
    </row>
    <row r="772" spans="1:8" ht="27.6">
      <c r="A772" s="502" t="s">
        <v>3388</v>
      </c>
      <c r="B772" s="504" t="s">
        <v>2392</v>
      </c>
      <c r="C772" s="502" t="s">
        <v>1727</v>
      </c>
      <c r="D772" s="503" t="s">
        <v>2909</v>
      </c>
      <c r="F772" t="str">
        <f t="shared" si="23"/>
        <v>93428</v>
      </c>
      <c r="H772" s="14">
        <f t="shared" si="24"/>
        <v>11.46</v>
      </c>
    </row>
    <row r="773" spans="1:8" ht="41.4">
      <c r="A773" s="502" t="s">
        <v>3389</v>
      </c>
      <c r="B773" s="504" t="s">
        <v>28045</v>
      </c>
      <c r="C773" s="502" t="s">
        <v>1727</v>
      </c>
      <c r="D773" s="503" t="s">
        <v>30946</v>
      </c>
      <c r="F773" t="str">
        <f t="shared" ref="F773:F836" si="25">TRIM(A773)</f>
        <v>93434</v>
      </c>
      <c r="H773" s="14">
        <f t="shared" ref="H773:H836" si="26">ROUND(D773*(1+$H$1),2)</f>
        <v>459.91</v>
      </c>
    </row>
    <row r="774" spans="1:8" ht="41.4">
      <c r="A774" s="502" t="s">
        <v>3390</v>
      </c>
      <c r="B774" s="504" t="s">
        <v>28046</v>
      </c>
      <c r="C774" s="502" t="s">
        <v>1727</v>
      </c>
      <c r="D774" s="503" t="s">
        <v>30947</v>
      </c>
      <c r="F774" t="str">
        <f t="shared" si="25"/>
        <v>93440</v>
      </c>
      <c r="H774" s="14">
        <f t="shared" si="26"/>
        <v>201.23</v>
      </c>
    </row>
    <row r="775" spans="1:8" ht="27.6">
      <c r="A775" s="502" t="s">
        <v>3391</v>
      </c>
      <c r="B775" s="504" t="s">
        <v>2393</v>
      </c>
      <c r="C775" s="502" t="s">
        <v>1727</v>
      </c>
      <c r="D775" s="503" t="s">
        <v>30948</v>
      </c>
      <c r="F775" t="str">
        <f t="shared" si="25"/>
        <v>95122</v>
      </c>
      <c r="H775" s="14">
        <f t="shared" si="26"/>
        <v>311.64999999999998</v>
      </c>
    </row>
    <row r="776" spans="1:8" ht="27.6">
      <c r="A776" s="502" t="s">
        <v>3392</v>
      </c>
      <c r="B776" s="504" t="s">
        <v>2394</v>
      </c>
      <c r="C776" s="502" t="s">
        <v>1727</v>
      </c>
      <c r="D776" s="503" t="s">
        <v>30949</v>
      </c>
      <c r="F776" t="str">
        <f t="shared" si="25"/>
        <v>95128</v>
      </c>
      <c r="H776" s="14">
        <f t="shared" si="26"/>
        <v>82.96</v>
      </c>
    </row>
    <row r="777" spans="1:8" ht="27.6">
      <c r="A777" s="502" t="s">
        <v>3393</v>
      </c>
      <c r="B777" s="504" t="s">
        <v>2395</v>
      </c>
      <c r="C777" s="502" t="s">
        <v>1727</v>
      </c>
      <c r="D777" s="503" t="s">
        <v>3235</v>
      </c>
      <c r="F777" t="str">
        <f t="shared" si="25"/>
        <v>95140</v>
      </c>
      <c r="H777" s="14">
        <f t="shared" si="26"/>
        <v>0.04</v>
      </c>
    </row>
    <row r="778" spans="1:8" ht="27.6">
      <c r="A778" s="502" t="s">
        <v>3395</v>
      </c>
      <c r="B778" s="504" t="s">
        <v>28047</v>
      </c>
      <c r="C778" s="502" t="s">
        <v>1727</v>
      </c>
      <c r="D778" s="503" t="s">
        <v>30950</v>
      </c>
      <c r="F778" t="str">
        <f t="shared" si="25"/>
        <v>95213</v>
      </c>
      <c r="H778" s="14">
        <f t="shared" si="26"/>
        <v>152.66</v>
      </c>
    </row>
    <row r="779" spans="1:8" ht="27.6">
      <c r="A779" s="502" t="s">
        <v>3396</v>
      </c>
      <c r="B779" s="504" t="s">
        <v>2396</v>
      </c>
      <c r="C779" s="502" t="s">
        <v>1727</v>
      </c>
      <c r="D779" s="503" t="s">
        <v>30951</v>
      </c>
      <c r="F779" t="str">
        <f t="shared" si="25"/>
        <v>95259</v>
      </c>
      <c r="H779" s="14">
        <f t="shared" si="26"/>
        <v>39.74</v>
      </c>
    </row>
    <row r="780" spans="1:8" ht="41.4">
      <c r="A780" s="502" t="s">
        <v>3397</v>
      </c>
      <c r="B780" s="504" t="s">
        <v>2397</v>
      </c>
      <c r="C780" s="502" t="s">
        <v>1727</v>
      </c>
      <c r="D780" s="503" t="s">
        <v>7275</v>
      </c>
      <c r="F780" t="str">
        <f t="shared" si="25"/>
        <v>95265</v>
      </c>
      <c r="H780" s="14">
        <f t="shared" si="26"/>
        <v>1.2</v>
      </c>
    </row>
    <row r="781" spans="1:8" ht="41.4">
      <c r="A781" s="502" t="s">
        <v>3398</v>
      </c>
      <c r="B781" s="504" t="s">
        <v>2398</v>
      </c>
      <c r="C781" s="502" t="s">
        <v>1727</v>
      </c>
      <c r="D781" s="503" t="s">
        <v>3817</v>
      </c>
      <c r="F781" t="str">
        <f t="shared" si="25"/>
        <v>95271</v>
      </c>
      <c r="H781" s="14">
        <f t="shared" si="26"/>
        <v>0.8</v>
      </c>
    </row>
    <row r="782" spans="1:8" ht="41.4">
      <c r="A782" s="502" t="s">
        <v>3400</v>
      </c>
      <c r="B782" s="504" t="s">
        <v>28049</v>
      </c>
      <c r="C782" s="502" t="s">
        <v>1727</v>
      </c>
      <c r="D782" s="503" t="s">
        <v>3817</v>
      </c>
      <c r="F782" t="str">
        <f t="shared" si="25"/>
        <v>95277</v>
      </c>
      <c r="H782" s="14">
        <f t="shared" si="26"/>
        <v>0.8</v>
      </c>
    </row>
    <row r="783" spans="1:8" ht="41.4">
      <c r="A783" s="502" t="s">
        <v>3401</v>
      </c>
      <c r="B783" s="504" t="s">
        <v>28050</v>
      </c>
      <c r="C783" s="502" t="s">
        <v>1727</v>
      </c>
      <c r="D783" s="503" t="s">
        <v>2990</v>
      </c>
      <c r="F783" t="str">
        <f t="shared" si="25"/>
        <v>95283</v>
      </c>
      <c r="H783" s="14">
        <f t="shared" si="26"/>
        <v>0.96</v>
      </c>
    </row>
    <row r="784" spans="1:8" ht="55.2">
      <c r="A784" s="502" t="s">
        <v>3403</v>
      </c>
      <c r="B784" s="504" t="s">
        <v>2399</v>
      </c>
      <c r="C784" s="502" t="s">
        <v>1727</v>
      </c>
      <c r="D784" s="503" t="s">
        <v>30952</v>
      </c>
      <c r="F784" t="str">
        <f t="shared" si="25"/>
        <v>95621</v>
      </c>
      <c r="H784" s="14">
        <f t="shared" si="26"/>
        <v>39.270000000000003</v>
      </c>
    </row>
    <row r="785" spans="1:8" ht="41.4">
      <c r="A785" s="502" t="s">
        <v>3404</v>
      </c>
      <c r="B785" s="504" t="s">
        <v>2400</v>
      </c>
      <c r="C785" s="502" t="s">
        <v>1727</v>
      </c>
      <c r="D785" s="503" t="s">
        <v>30953</v>
      </c>
      <c r="F785" t="str">
        <f t="shared" si="25"/>
        <v>95632</v>
      </c>
      <c r="H785" s="14">
        <f t="shared" si="26"/>
        <v>120.8</v>
      </c>
    </row>
    <row r="786" spans="1:8" ht="41.4">
      <c r="A786" s="502" t="s">
        <v>3405</v>
      </c>
      <c r="B786" s="504" t="s">
        <v>2401</v>
      </c>
      <c r="C786" s="502" t="s">
        <v>1727</v>
      </c>
      <c r="D786" s="503" t="s">
        <v>28058</v>
      </c>
      <c r="F786" t="str">
        <f t="shared" si="25"/>
        <v>95703</v>
      </c>
      <c r="H786" s="14">
        <f t="shared" si="26"/>
        <v>60.32</v>
      </c>
    </row>
    <row r="787" spans="1:8" ht="41.4">
      <c r="A787" s="502" t="s">
        <v>3406</v>
      </c>
      <c r="B787" s="504" t="s">
        <v>28051</v>
      </c>
      <c r="C787" s="502" t="s">
        <v>1727</v>
      </c>
      <c r="D787" s="503" t="s">
        <v>15522</v>
      </c>
      <c r="F787" t="str">
        <f t="shared" si="25"/>
        <v>95709</v>
      </c>
      <c r="H787" s="14">
        <f t="shared" si="26"/>
        <v>143.18</v>
      </c>
    </row>
    <row r="788" spans="1:8" ht="69">
      <c r="A788" s="502" t="s">
        <v>3407</v>
      </c>
      <c r="B788" s="504" t="s">
        <v>2402</v>
      </c>
      <c r="C788" s="502" t="s">
        <v>1727</v>
      </c>
      <c r="D788" s="503" t="s">
        <v>30954</v>
      </c>
      <c r="F788" t="str">
        <f t="shared" si="25"/>
        <v>95721</v>
      </c>
      <c r="H788" s="14">
        <f t="shared" si="26"/>
        <v>159.59</v>
      </c>
    </row>
    <row r="789" spans="1:8" ht="41.4">
      <c r="A789" s="502" t="s">
        <v>3408</v>
      </c>
      <c r="B789" s="504" t="s">
        <v>2403</v>
      </c>
      <c r="C789" s="502" t="s">
        <v>1727</v>
      </c>
      <c r="D789" s="503" t="s">
        <v>28052</v>
      </c>
      <c r="F789" t="str">
        <f t="shared" si="25"/>
        <v>95873</v>
      </c>
      <c r="H789" s="14">
        <f t="shared" si="26"/>
        <v>18.32</v>
      </c>
    </row>
    <row r="790" spans="1:8" ht="41.4">
      <c r="A790" s="502" t="s">
        <v>3410</v>
      </c>
      <c r="B790" s="504" t="s">
        <v>2404</v>
      </c>
      <c r="C790" s="502" t="s">
        <v>1727</v>
      </c>
      <c r="D790" s="503" t="s">
        <v>29689</v>
      </c>
      <c r="F790" t="str">
        <f t="shared" si="25"/>
        <v>96014</v>
      </c>
      <c r="H790" s="14">
        <f t="shared" si="26"/>
        <v>91.49</v>
      </c>
    </row>
    <row r="791" spans="1:8" ht="41.4">
      <c r="A791" s="502" t="s">
        <v>3411</v>
      </c>
      <c r="B791" s="504" t="s">
        <v>2405</v>
      </c>
      <c r="C791" s="502" t="s">
        <v>1727</v>
      </c>
      <c r="D791" s="503" t="s">
        <v>30932</v>
      </c>
      <c r="F791" t="str">
        <f t="shared" si="25"/>
        <v>96021</v>
      </c>
      <c r="H791" s="14">
        <f t="shared" si="26"/>
        <v>91.16</v>
      </c>
    </row>
    <row r="792" spans="1:8" ht="41.4">
      <c r="A792" s="502" t="s">
        <v>3412</v>
      </c>
      <c r="B792" s="504" t="s">
        <v>2406</v>
      </c>
      <c r="C792" s="502" t="s">
        <v>1727</v>
      </c>
      <c r="D792" s="503" t="s">
        <v>30955</v>
      </c>
      <c r="F792" t="str">
        <f t="shared" si="25"/>
        <v>96029</v>
      </c>
      <c r="H792" s="14">
        <f t="shared" si="26"/>
        <v>82.15</v>
      </c>
    </row>
    <row r="793" spans="1:8" ht="41.4">
      <c r="A793" s="502" t="s">
        <v>3413</v>
      </c>
      <c r="B793" s="504" t="s">
        <v>2407</v>
      </c>
      <c r="C793" s="502" t="s">
        <v>1727</v>
      </c>
      <c r="D793" s="503" t="s">
        <v>30956</v>
      </c>
      <c r="F793" t="str">
        <f t="shared" si="25"/>
        <v>96036</v>
      </c>
      <c r="H793" s="14">
        <f t="shared" si="26"/>
        <v>111.82</v>
      </c>
    </row>
    <row r="794" spans="1:8" ht="41.4">
      <c r="A794" s="502" t="s">
        <v>3414</v>
      </c>
      <c r="B794" s="504" t="s">
        <v>2408</v>
      </c>
      <c r="C794" s="502" t="s">
        <v>1727</v>
      </c>
      <c r="D794" s="503" t="s">
        <v>10022</v>
      </c>
      <c r="F794" t="str">
        <f t="shared" si="25"/>
        <v>96155</v>
      </c>
      <c r="H794" s="14">
        <f t="shared" si="26"/>
        <v>82.48</v>
      </c>
    </row>
    <row r="795" spans="1:8" ht="41.4">
      <c r="A795" s="502" t="s">
        <v>3415</v>
      </c>
      <c r="B795" s="504" t="s">
        <v>2409</v>
      </c>
      <c r="C795" s="502" t="s">
        <v>1727</v>
      </c>
      <c r="D795" s="503" t="s">
        <v>15311</v>
      </c>
      <c r="F795" t="str">
        <f t="shared" si="25"/>
        <v>96156</v>
      </c>
      <c r="H795" s="14">
        <f t="shared" si="26"/>
        <v>94.81</v>
      </c>
    </row>
    <row r="796" spans="1:8" ht="41.4">
      <c r="A796" s="502" t="s">
        <v>3416</v>
      </c>
      <c r="B796" s="504" t="s">
        <v>2410</v>
      </c>
      <c r="C796" s="502" t="s">
        <v>1727</v>
      </c>
      <c r="D796" s="503" t="s">
        <v>30957</v>
      </c>
      <c r="F796" t="str">
        <f t="shared" si="25"/>
        <v>96159</v>
      </c>
      <c r="H796" s="14">
        <f t="shared" si="26"/>
        <v>133.4</v>
      </c>
    </row>
    <row r="797" spans="1:8" ht="41.4">
      <c r="A797" s="502" t="s">
        <v>3417</v>
      </c>
      <c r="B797" s="504" t="s">
        <v>30958</v>
      </c>
      <c r="C797" s="502" t="s">
        <v>1727</v>
      </c>
      <c r="D797" s="503" t="s">
        <v>30959</v>
      </c>
      <c r="F797" t="str">
        <f t="shared" si="25"/>
        <v>96246</v>
      </c>
      <c r="H797" s="14">
        <f t="shared" si="26"/>
        <v>97.33</v>
      </c>
    </row>
    <row r="798" spans="1:8" ht="55.2">
      <c r="A798" s="502" t="s">
        <v>3419</v>
      </c>
      <c r="B798" s="504" t="s">
        <v>30960</v>
      </c>
      <c r="C798" s="502" t="s">
        <v>1727</v>
      </c>
      <c r="D798" s="503" t="s">
        <v>29734</v>
      </c>
      <c r="F798" t="str">
        <f t="shared" si="25"/>
        <v>96464</v>
      </c>
      <c r="H798" s="14">
        <f t="shared" si="26"/>
        <v>129.63999999999999</v>
      </c>
    </row>
    <row r="799" spans="1:8" ht="55.2">
      <c r="A799" s="502" t="s">
        <v>9547</v>
      </c>
      <c r="B799" s="504" t="s">
        <v>9548</v>
      </c>
      <c r="C799" s="502" t="s">
        <v>1727</v>
      </c>
      <c r="D799" s="503" t="s">
        <v>3368</v>
      </c>
      <c r="F799" t="str">
        <f t="shared" si="25"/>
        <v>98765</v>
      </c>
      <c r="H799" s="14">
        <f t="shared" si="26"/>
        <v>0.08</v>
      </c>
    </row>
    <row r="800" spans="1:8" ht="55.2">
      <c r="A800" s="502" t="s">
        <v>10402</v>
      </c>
      <c r="B800" s="504" t="s">
        <v>28054</v>
      </c>
      <c r="C800" s="502" t="s">
        <v>1727</v>
      </c>
      <c r="D800" s="503" t="s">
        <v>3385</v>
      </c>
      <c r="F800" t="str">
        <f t="shared" si="25"/>
        <v>99834</v>
      </c>
      <c r="H800" s="14">
        <f t="shared" si="26"/>
        <v>0.27</v>
      </c>
    </row>
    <row r="801" spans="1:8" ht="41.4">
      <c r="A801" s="502" t="s">
        <v>11803</v>
      </c>
      <c r="B801" s="504" t="s">
        <v>11804</v>
      </c>
      <c r="C801" s="502" t="s">
        <v>1727</v>
      </c>
      <c r="D801" s="503" t="s">
        <v>30961</v>
      </c>
      <c r="F801" t="str">
        <f t="shared" si="25"/>
        <v>100642</v>
      </c>
      <c r="H801" s="14">
        <f t="shared" si="26"/>
        <v>395.42</v>
      </c>
    </row>
    <row r="802" spans="1:8" ht="27.6">
      <c r="A802" s="502" t="s">
        <v>11805</v>
      </c>
      <c r="B802" s="504" t="s">
        <v>11806</v>
      </c>
      <c r="C802" s="502" t="s">
        <v>1727</v>
      </c>
      <c r="D802" s="503" t="s">
        <v>30962</v>
      </c>
      <c r="F802" t="str">
        <f t="shared" si="25"/>
        <v>100648</v>
      </c>
      <c r="H802" s="14">
        <f t="shared" si="26"/>
        <v>772.37</v>
      </c>
    </row>
    <row r="803" spans="1:8" ht="41.4">
      <c r="A803" s="502" t="s">
        <v>11807</v>
      </c>
      <c r="B803" s="504" t="s">
        <v>11808</v>
      </c>
      <c r="C803" s="502" t="s">
        <v>1727</v>
      </c>
      <c r="D803" s="503" t="s">
        <v>30963</v>
      </c>
      <c r="F803" t="str">
        <f t="shared" si="25"/>
        <v>102274</v>
      </c>
      <c r="H803" s="14">
        <f t="shared" si="26"/>
        <v>38.43</v>
      </c>
    </row>
    <row r="804" spans="1:8" ht="55.2">
      <c r="A804" s="502" t="s">
        <v>30964</v>
      </c>
      <c r="B804" s="504" t="s">
        <v>30965</v>
      </c>
      <c r="C804" s="502" t="s">
        <v>1727</v>
      </c>
      <c r="D804" s="503" t="s">
        <v>30966</v>
      </c>
      <c r="F804" t="str">
        <f t="shared" si="25"/>
        <v>102875</v>
      </c>
      <c r="H804" s="14">
        <f t="shared" si="26"/>
        <v>648.04999999999995</v>
      </c>
    </row>
    <row r="805" spans="1:8" ht="41.4">
      <c r="A805" s="502" t="s">
        <v>30967</v>
      </c>
      <c r="B805" s="504" t="s">
        <v>30968</v>
      </c>
      <c r="C805" s="502" t="s">
        <v>1727</v>
      </c>
      <c r="D805" s="503" t="s">
        <v>30969</v>
      </c>
      <c r="F805" t="str">
        <f t="shared" si="25"/>
        <v>102881</v>
      </c>
      <c r="H805" s="14">
        <f t="shared" si="26"/>
        <v>880.38</v>
      </c>
    </row>
    <row r="806" spans="1:8" ht="55.2">
      <c r="A806" s="502" t="s">
        <v>30970</v>
      </c>
      <c r="B806" s="504" t="s">
        <v>30971</v>
      </c>
      <c r="C806" s="502" t="s">
        <v>1727</v>
      </c>
      <c r="D806" s="503" t="s">
        <v>30972</v>
      </c>
      <c r="F806" t="str">
        <f t="shared" si="25"/>
        <v>102965</v>
      </c>
      <c r="H806" s="14">
        <f t="shared" si="26"/>
        <v>341.17</v>
      </c>
    </row>
    <row r="807" spans="1:8" ht="41.4">
      <c r="A807" s="502" t="s">
        <v>30973</v>
      </c>
      <c r="B807" s="504" t="s">
        <v>30974</v>
      </c>
      <c r="C807" s="502" t="s">
        <v>1727</v>
      </c>
      <c r="D807" s="503" t="s">
        <v>30975</v>
      </c>
      <c r="F807" t="str">
        <f t="shared" si="25"/>
        <v>102975</v>
      </c>
      <c r="H807" s="14">
        <f t="shared" si="26"/>
        <v>207.15</v>
      </c>
    </row>
    <row r="808" spans="1:8" ht="55.2">
      <c r="A808" s="502" t="s">
        <v>30976</v>
      </c>
      <c r="B808" s="504" t="s">
        <v>30977</v>
      </c>
      <c r="C808" s="502" t="s">
        <v>1727</v>
      </c>
      <c r="D808" s="503" t="s">
        <v>30978</v>
      </c>
      <c r="F808" t="str">
        <f t="shared" si="25"/>
        <v>103225</v>
      </c>
      <c r="H808" s="14">
        <f t="shared" si="26"/>
        <v>305.20999999999998</v>
      </c>
    </row>
    <row r="809" spans="1:8" ht="55.2">
      <c r="A809" s="502" t="s">
        <v>30979</v>
      </c>
      <c r="B809" s="504" t="s">
        <v>30980</v>
      </c>
      <c r="C809" s="502" t="s">
        <v>1727</v>
      </c>
      <c r="D809" s="503" t="s">
        <v>30981</v>
      </c>
      <c r="F809" t="str">
        <f t="shared" si="25"/>
        <v>103231</v>
      </c>
      <c r="H809" s="14">
        <f t="shared" si="26"/>
        <v>633.15</v>
      </c>
    </row>
    <row r="810" spans="1:8" ht="55.2">
      <c r="A810" s="502" t="s">
        <v>30982</v>
      </c>
      <c r="B810" s="504" t="s">
        <v>30983</v>
      </c>
      <c r="C810" s="502" t="s">
        <v>1727</v>
      </c>
      <c r="D810" s="503" t="s">
        <v>30984</v>
      </c>
      <c r="F810" t="str">
        <f t="shared" si="25"/>
        <v>103237</v>
      </c>
      <c r="H810" s="14">
        <f t="shared" si="26"/>
        <v>846.8</v>
      </c>
    </row>
    <row r="811" spans="1:8" ht="41.4">
      <c r="A811" s="502" t="s">
        <v>23956</v>
      </c>
      <c r="B811" s="504" t="s">
        <v>23957</v>
      </c>
      <c r="C811" s="502" t="s">
        <v>1727</v>
      </c>
      <c r="D811" s="503" t="s">
        <v>3888</v>
      </c>
      <c r="F811" t="str">
        <f t="shared" si="25"/>
        <v>104092</v>
      </c>
      <c r="H811" s="14">
        <f t="shared" si="26"/>
        <v>0.09</v>
      </c>
    </row>
    <row r="812" spans="1:8" ht="41.4">
      <c r="A812" s="502" t="s">
        <v>23958</v>
      </c>
      <c r="B812" s="504" t="s">
        <v>23959</v>
      </c>
      <c r="C812" s="502" t="s">
        <v>1727</v>
      </c>
      <c r="D812" s="503" t="s">
        <v>4032</v>
      </c>
      <c r="F812" t="str">
        <f t="shared" si="25"/>
        <v>104098</v>
      </c>
      <c r="H812" s="14">
        <f t="shared" si="26"/>
        <v>0.12</v>
      </c>
    </row>
    <row r="813" spans="1:8" ht="41.4">
      <c r="A813" s="502" t="s">
        <v>30985</v>
      </c>
      <c r="B813" s="504" t="s">
        <v>30986</v>
      </c>
      <c r="C813" s="502" t="s">
        <v>1727</v>
      </c>
      <c r="D813" s="503" t="s">
        <v>30987</v>
      </c>
      <c r="F813" t="str">
        <f t="shared" si="25"/>
        <v>104696</v>
      </c>
      <c r="H813" s="14">
        <f t="shared" si="26"/>
        <v>53.38</v>
      </c>
    </row>
    <row r="814" spans="1:8" ht="55.2">
      <c r="A814" s="502" t="s">
        <v>30988</v>
      </c>
      <c r="B814" s="504" t="s">
        <v>30989</v>
      </c>
      <c r="C814" s="502" t="s">
        <v>1727</v>
      </c>
      <c r="D814" s="503" t="s">
        <v>30990</v>
      </c>
      <c r="F814" t="str">
        <f t="shared" si="25"/>
        <v>104717</v>
      </c>
      <c r="H814" s="14">
        <f t="shared" si="26"/>
        <v>153.01</v>
      </c>
    </row>
    <row r="815" spans="1:8" ht="55.2">
      <c r="A815" s="502" t="s">
        <v>3420</v>
      </c>
      <c r="B815" s="504" t="s">
        <v>2411</v>
      </c>
      <c r="C815" s="502" t="s">
        <v>109</v>
      </c>
      <c r="D815" s="503" t="s">
        <v>11821</v>
      </c>
      <c r="F815" t="str">
        <f t="shared" si="25"/>
        <v>5089</v>
      </c>
      <c r="H815" s="14">
        <f t="shared" si="26"/>
        <v>55.58</v>
      </c>
    </row>
    <row r="816" spans="1:8" ht="41.4">
      <c r="A816" s="502" t="s">
        <v>3421</v>
      </c>
      <c r="B816" s="504" t="s">
        <v>1939</v>
      </c>
      <c r="C816" s="502" t="s">
        <v>109</v>
      </c>
      <c r="D816" s="503" t="s">
        <v>25008</v>
      </c>
      <c r="F816" t="str">
        <f t="shared" si="25"/>
        <v>5627</v>
      </c>
      <c r="H816" s="14">
        <f t="shared" si="26"/>
        <v>62.56</v>
      </c>
    </row>
    <row r="817" spans="1:8" ht="41.4">
      <c r="A817" s="502" t="s">
        <v>3422</v>
      </c>
      <c r="B817" s="504" t="s">
        <v>1940</v>
      </c>
      <c r="C817" s="502" t="s">
        <v>109</v>
      </c>
      <c r="D817" s="503" t="s">
        <v>30991</v>
      </c>
      <c r="F817" t="str">
        <f t="shared" si="25"/>
        <v>5628</v>
      </c>
      <c r="H817" s="14">
        <f t="shared" si="26"/>
        <v>16.52</v>
      </c>
    </row>
    <row r="818" spans="1:8" ht="41.4">
      <c r="A818" s="502" t="s">
        <v>3423</v>
      </c>
      <c r="B818" s="504" t="s">
        <v>1941</v>
      </c>
      <c r="C818" s="502" t="s">
        <v>109</v>
      </c>
      <c r="D818" s="503" t="s">
        <v>30992</v>
      </c>
      <c r="F818" t="str">
        <f t="shared" si="25"/>
        <v>5629</v>
      </c>
      <c r="H818" s="14">
        <f t="shared" si="26"/>
        <v>78.2</v>
      </c>
    </row>
    <row r="819" spans="1:8" ht="41.4">
      <c r="A819" s="502" t="s">
        <v>3424</v>
      </c>
      <c r="B819" s="504" t="s">
        <v>1942</v>
      </c>
      <c r="C819" s="502" t="s">
        <v>109</v>
      </c>
      <c r="D819" s="503" t="s">
        <v>29998</v>
      </c>
      <c r="F819" t="str">
        <f t="shared" si="25"/>
        <v>5630</v>
      </c>
      <c r="H819" s="14">
        <f t="shared" si="26"/>
        <v>85.52</v>
      </c>
    </row>
    <row r="820" spans="1:8" ht="41.4">
      <c r="A820" s="502" t="s">
        <v>3425</v>
      </c>
      <c r="B820" s="504" t="s">
        <v>28055</v>
      </c>
      <c r="C820" s="502" t="s">
        <v>109</v>
      </c>
      <c r="D820" s="503" t="s">
        <v>3555</v>
      </c>
      <c r="F820" t="str">
        <f t="shared" si="25"/>
        <v>5658</v>
      </c>
      <c r="H820" s="14">
        <f t="shared" si="26"/>
        <v>2.97</v>
      </c>
    </row>
    <row r="821" spans="1:8" ht="69">
      <c r="A821" s="502" t="s">
        <v>3426</v>
      </c>
      <c r="B821" s="504" t="s">
        <v>2412</v>
      </c>
      <c r="C821" s="502" t="s">
        <v>109</v>
      </c>
      <c r="D821" s="503" t="s">
        <v>28056</v>
      </c>
      <c r="F821" t="str">
        <f t="shared" si="25"/>
        <v>5664</v>
      </c>
      <c r="H821" s="14">
        <f t="shared" si="26"/>
        <v>46.4</v>
      </c>
    </row>
    <row r="822" spans="1:8" ht="69">
      <c r="A822" s="502" t="s">
        <v>3427</v>
      </c>
      <c r="B822" s="504" t="s">
        <v>2413</v>
      </c>
      <c r="C822" s="502" t="s">
        <v>109</v>
      </c>
      <c r="D822" s="503" t="s">
        <v>28057</v>
      </c>
      <c r="F822" t="str">
        <f t="shared" si="25"/>
        <v>5667</v>
      </c>
      <c r="H822" s="14">
        <f t="shared" si="26"/>
        <v>41.27</v>
      </c>
    </row>
    <row r="823" spans="1:8" ht="69">
      <c r="A823" s="502" t="s">
        <v>3428</v>
      </c>
      <c r="B823" s="504" t="s">
        <v>2414</v>
      </c>
      <c r="C823" s="502" t="s">
        <v>109</v>
      </c>
      <c r="D823" s="503" t="s">
        <v>30993</v>
      </c>
      <c r="F823" t="str">
        <f t="shared" si="25"/>
        <v>5668</v>
      </c>
      <c r="H823" s="14">
        <f t="shared" si="26"/>
        <v>60.83</v>
      </c>
    </row>
    <row r="824" spans="1:8" ht="55.2">
      <c r="A824" s="502" t="s">
        <v>3429</v>
      </c>
      <c r="B824" s="504" t="s">
        <v>2415</v>
      </c>
      <c r="C824" s="502" t="s">
        <v>109</v>
      </c>
      <c r="D824" s="503" t="s">
        <v>30994</v>
      </c>
      <c r="F824" t="str">
        <f t="shared" si="25"/>
        <v>5674</v>
      </c>
      <c r="H824" s="14">
        <f t="shared" si="26"/>
        <v>53.45</v>
      </c>
    </row>
    <row r="825" spans="1:8" ht="55.2">
      <c r="A825" s="502" t="s">
        <v>3431</v>
      </c>
      <c r="B825" s="504" t="s">
        <v>2416</v>
      </c>
      <c r="C825" s="502" t="s">
        <v>109</v>
      </c>
      <c r="D825" s="503" t="s">
        <v>3920</v>
      </c>
      <c r="F825" t="str">
        <f t="shared" si="25"/>
        <v>5692</v>
      </c>
      <c r="H825" s="14">
        <f t="shared" si="26"/>
        <v>0.33</v>
      </c>
    </row>
    <row r="826" spans="1:8" ht="55.2">
      <c r="A826" s="502" t="s">
        <v>3433</v>
      </c>
      <c r="B826" s="504" t="s">
        <v>2417</v>
      </c>
      <c r="C826" s="502" t="s">
        <v>109</v>
      </c>
      <c r="D826" s="503" t="s">
        <v>27836</v>
      </c>
      <c r="F826" t="str">
        <f t="shared" si="25"/>
        <v>5693</v>
      </c>
      <c r="H826" s="14">
        <f t="shared" si="26"/>
        <v>28.37</v>
      </c>
    </row>
    <row r="827" spans="1:8" ht="55.2">
      <c r="A827" s="502" t="s">
        <v>3434</v>
      </c>
      <c r="B827" s="504" t="s">
        <v>1943</v>
      </c>
      <c r="C827" s="502" t="s">
        <v>109</v>
      </c>
      <c r="D827" s="503" t="s">
        <v>30994</v>
      </c>
      <c r="F827" t="str">
        <f t="shared" si="25"/>
        <v>5695</v>
      </c>
      <c r="H827" s="14">
        <f t="shared" si="26"/>
        <v>53.45</v>
      </c>
    </row>
    <row r="828" spans="1:8" ht="41.4">
      <c r="A828" s="502" t="s">
        <v>3435</v>
      </c>
      <c r="B828" s="504" t="s">
        <v>2418</v>
      </c>
      <c r="C828" s="502" t="s">
        <v>109</v>
      </c>
      <c r="D828" s="503" t="s">
        <v>7517</v>
      </c>
      <c r="F828" t="str">
        <f t="shared" si="25"/>
        <v>5703</v>
      </c>
      <c r="H828" s="14">
        <f t="shared" si="26"/>
        <v>27.26</v>
      </c>
    </row>
    <row r="829" spans="1:8" ht="69">
      <c r="A829" s="502" t="s">
        <v>3436</v>
      </c>
      <c r="B829" s="504" t="s">
        <v>2419</v>
      </c>
      <c r="C829" s="502" t="s">
        <v>109</v>
      </c>
      <c r="D829" s="503" t="s">
        <v>28780</v>
      </c>
      <c r="F829" t="str">
        <f t="shared" si="25"/>
        <v>5705</v>
      </c>
      <c r="H829" s="14">
        <f t="shared" si="26"/>
        <v>51.33</v>
      </c>
    </row>
    <row r="830" spans="1:8" ht="27.6">
      <c r="A830" s="502" t="s">
        <v>3437</v>
      </c>
      <c r="B830" s="504" t="s">
        <v>2420</v>
      </c>
      <c r="C830" s="502" t="s">
        <v>109</v>
      </c>
      <c r="D830" s="503" t="s">
        <v>30995</v>
      </c>
      <c r="F830" t="str">
        <f t="shared" si="25"/>
        <v>5707</v>
      </c>
      <c r="H830" s="14">
        <f t="shared" si="26"/>
        <v>105.19</v>
      </c>
    </row>
    <row r="831" spans="1:8" ht="41.4">
      <c r="A831" s="502" t="s">
        <v>3438</v>
      </c>
      <c r="B831" s="504" t="s">
        <v>2421</v>
      </c>
      <c r="C831" s="502" t="s">
        <v>109</v>
      </c>
      <c r="D831" s="503" t="s">
        <v>30996</v>
      </c>
      <c r="F831" t="str">
        <f t="shared" si="25"/>
        <v>5710</v>
      </c>
      <c r="H831" s="14">
        <f t="shared" si="26"/>
        <v>184.44</v>
      </c>
    </row>
    <row r="832" spans="1:8" ht="55.2">
      <c r="A832" s="502" t="s">
        <v>3439</v>
      </c>
      <c r="B832" s="504" t="s">
        <v>2422</v>
      </c>
      <c r="C832" s="502" t="s">
        <v>109</v>
      </c>
      <c r="D832" s="503" t="s">
        <v>28048</v>
      </c>
      <c r="F832" t="str">
        <f t="shared" si="25"/>
        <v>5711</v>
      </c>
      <c r="H832" s="14">
        <f t="shared" si="26"/>
        <v>118.17</v>
      </c>
    </row>
    <row r="833" spans="1:8" ht="27.6">
      <c r="A833" s="502" t="s">
        <v>3440</v>
      </c>
      <c r="B833" s="504" t="s">
        <v>1736</v>
      </c>
      <c r="C833" s="502" t="s">
        <v>109</v>
      </c>
      <c r="D833" s="503" t="s">
        <v>9912</v>
      </c>
      <c r="F833" t="str">
        <f t="shared" si="25"/>
        <v>5714</v>
      </c>
      <c r="H833" s="14">
        <f t="shared" si="26"/>
        <v>21.32</v>
      </c>
    </row>
    <row r="834" spans="1:8" ht="41.4">
      <c r="A834" s="502" t="s">
        <v>3441</v>
      </c>
      <c r="B834" s="504" t="s">
        <v>1737</v>
      </c>
      <c r="C834" s="502" t="s">
        <v>109</v>
      </c>
      <c r="D834" s="503" t="s">
        <v>30997</v>
      </c>
      <c r="F834" t="str">
        <f t="shared" si="25"/>
        <v>5715</v>
      </c>
      <c r="H834" s="14">
        <f t="shared" si="26"/>
        <v>89.41</v>
      </c>
    </row>
    <row r="835" spans="1:8" ht="41.4">
      <c r="A835" s="502" t="s">
        <v>3442</v>
      </c>
      <c r="B835" s="504" t="s">
        <v>1944</v>
      </c>
      <c r="C835" s="502" t="s">
        <v>109</v>
      </c>
      <c r="D835" s="503" t="s">
        <v>30998</v>
      </c>
      <c r="F835" t="str">
        <f t="shared" si="25"/>
        <v>5718</v>
      </c>
      <c r="H835" s="14">
        <f t="shared" si="26"/>
        <v>141.03</v>
      </c>
    </row>
    <row r="836" spans="1:8" ht="41.4">
      <c r="A836" s="502" t="s">
        <v>3443</v>
      </c>
      <c r="B836" s="504" t="s">
        <v>2423</v>
      </c>
      <c r="C836" s="502" t="s">
        <v>109</v>
      </c>
      <c r="D836" s="503" t="s">
        <v>28838</v>
      </c>
      <c r="F836" t="str">
        <f t="shared" si="25"/>
        <v>5721</v>
      </c>
      <c r="H836" s="14">
        <f t="shared" si="26"/>
        <v>124.44</v>
      </c>
    </row>
    <row r="837" spans="1:8" ht="41.4">
      <c r="A837" s="502" t="s">
        <v>3444</v>
      </c>
      <c r="B837" s="504" t="s">
        <v>1945</v>
      </c>
      <c r="C837" s="502" t="s">
        <v>109</v>
      </c>
      <c r="D837" s="503" t="s">
        <v>30999</v>
      </c>
      <c r="F837" t="str">
        <f t="shared" ref="F837:F900" si="27">TRIM(A837)</f>
        <v>5722</v>
      </c>
      <c r="H837" s="14">
        <f t="shared" ref="H837:H900" si="28">ROUND(D837*(1+$H$1),2)</f>
        <v>287.81</v>
      </c>
    </row>
    <row r="838" spans="1:8" ht="41.4">
      <c r="A838" s="502" t="s">
        <v>3445</v>
      </c>
      <c r="B838" s="504" t="s">
        <v>1946</v>
      </c>
      <c r="C838" s="502" t="s">
        <v>109</v>
      </c>
      <c r="D838" s="503" t="s">
        <v>31000</v>
      </c>
      <c r="F838" t="str">
        <f t="shared" si="27"/>
        <v>5724</v>
      </c>
      <c r="H838" s="14">
        <f t="shared" si="28"/>
        <v>80</v>
      </c>
    </row>
    <row r="839" spans="1:8" ht="55.2">
      <c r="A839" s="502" t="s">
        <v>3446</v>
      </c>
      <c r="B839" s="504" t="s">
        <v>1947</v>
      </c>
      <c r="C839" s="502" t="s">
        <v>109</v>
      </c>
      <c r="D839" s="503" t="s">
        <v>31001</v>
      </c>
      <c r="F839" t="str">
        <f t="shared" si="27"/>
        <v>5727</v>
      </c>
      <c r="H839" s="14">
        <f t="shared" si="28"/>
        <v>16.12</v>
      </c>
    </row>
    <row r="840" spans="1:8" ht="41.4">
      <c r="A840" s="502" t="s">
        <v>3447</v>
      </c>
      <c r="B840" s="504" t="s">
        <v>1948</v>
      </c>
      <c r="C840" s="502" t="s">
        <v>109</v>
      </c>
      <c r="D840" s="503" t="s">
        <v>15681</v>
      </c>
      <c r="F840" t="str">
        <f t="shared" si="27"/>
        <v>5729</v>
      </c>
      <c r="H840" s="14">
        <f t="shared" si="28"/>
        <v>65.64</v>
      </c>
    </row>
    <row r="841" spans="1:8" ht="55.2">
      <c r="A841" s="502" t="s">
        <v>3448</v>
      </c>
      <c r="B841" s="504" t="s">
        <v>1949</v>
      </c>
      <c r="C841" s="502" t="s">
        <v>109</v>
      </c>
      <c r="D841" s="503" t="s">
        <v>24237</v>
      </c>
      <c r="F841" t="str">
        <f t="shared" si="27"/>
        <v>5730</v>
      </c>
      <c r="H841" s="14">
        <f t="shared" si="28"/>
        <v>54.23</v>
      </c>
    </row>
    <row r="842" spans="1:8" ht="69">
      <c r="A842" s="502" t="s">
        <v>3449</v>
      </c>
      <c r="B842" s="504" t="s">
        <v>2424</v>
      </c>
      <c r="C842" s="502" t="s">
        <v>109</v>
      </c>
      <c r="D842" s="503" t="s">
        <v>28061</v>
      </c>
      <c r="F842" t="str">
        <f t="shared" si="27"/>
        <v>5735</v>
      </c>
      <c r="H842" s="14">
        <f t="shared" si="28"/>
        <v>44.77</v>
      </c>
    </row>
    <row r="843" spans="1:8" ht="69">
      <c r="A843" s="502" t="s">
        <v>3450</v>
      </c>
      <c r="B843" s="504" t="s">
        <v>2425</v>
      </c>
      <c r="C843" s="502" t="s">
        <v>109</v>
      </c>
      <c r="D843" s="503" t="s">
        <v>31002</v>
      </c>
      <c r="F843" t="str">
        <f t="shared" si="27"/>
        <v>5736</v>
      </c>
      <c r="H843" s="14">
        <f t="shared" si="28"/>
        <v>55.43</v>
      </c>
    </row>
    <row r="844" spans="1:8" ht="55.2">
      <c r="A844" s="502" t="s">
        <v>3451</v>
      </c>
      <c r="B844" s="504" t="s">
        <v>1950</v>
      </c>
      <c r="C844" s="502" t="s">
        <v>109</v>
      </c>
      <c r="D844" s="503" t="s">
        <v>14631</v>
      </c>
      <c r="F844" t="str">
        <f t="shared" si="27"/>
        <v>5738</v>
      </c>
      <c r="H844" s="14">
        <f t="shared" si="28"/>
        <v>58.36</v>
      </c>
    </row>
    <row r="845" spans="1:8" ht="55.2">
      <c r="A845" s="502" t="s">
        <v>3452</v>
      </c>
      <c r="B845" s="504" t="s">
        <v>1951</v>
      </c>
      <c r="C845" s="502" t="s">
        <v>109</v>
      </c>
      <c r="D845" s="503" t="s">
        <v>29553</v>
      </c>
      <c r="F845" t="str">
        <f t="shared" si="27"/>
        <v>5739</v>
      </c>
      <c r="H845" s="14">
        <f t="shared" si="28"/>
        <v>73.03</v>
      </c>
    </row>
    <row r="846" spans="1:8" ht="55.2">
      <c r="A846" s="502" t="s">
        <v>3453</v>
      </c>
      <c r="B846" s="504" t="s">
        <v>2426</v>
      </c>
      <c r="C846" s="502" t="s">
        <v>109</v>
      </c>
      <c r="D846" s="503" t="s">
        <v>16467</v>
      </c>
      <c r="F846" t="str">
        <f t="shared" si="27"/>
        <v>5741</v>
      </c>
      <c r="H846" s="14">
        <f t="shared" si="28"/>
        <v>57</v>
      </c>
    </row>
    <row r="847" spans="1:8" ht="55.2">
      <c r="A847" s="502" t="s">
        <v>3454</v>
      </c>
      <c r="B847" s="504" t="s">
        <v>2427</v>
      </c>
      <c r="C847" s="502" t="s">
        <v>109</v>
      </c>
      <c r="D847" s="503" t="s">
        <v>30306</v>
      </c>
      <c r="F847" t="str">
        <f t="shared" si="27"/>
        <v>5742</v>
      </c>
      <c r="H847" s="14">
        <f t="shared" si="28"/>
        <v>36.6</v>
      </c>
    </row>
    <row r="848" spans="1:8" ht="55.2">
      <c r="A848" s="502" t="s">
        <v>3455</v>
      </c>
      <c r="B848" s="504" t="s">
        <v>2428</v>
      </c>
      <c r="C848" s="502" t="s">
        <v>109</v>
      </c>
      <c r="D848" s="503" t="s">
        <v>31003</v>
      </c>
      <c r="F848" t="str">
        <f t="shared" si="27"/>
        <v>5747</v>
      </c>
      <c r="H848" s="14">
        <f t="shared" si="28"/>
        <v>209.9</v>
      </c>
    </row>
    <row r="849" spans="1:8" ht="55.2">
      <c r="A849" s="502" t="s">
        <v>3456</v>
      </c>
      <c r="B849" s="504" t="s">
        <v>2429</v>
      </c>
      <c r="C849" s="502" t="s">
        <v>109</v>
      </c>
      <c r="D849" s="503" t="s">
        <v>22266</v>
      </c>
      <c r="F849" t="str">
        <f t="shared" si="27"/>
        <v>5751</v>
      </c>
      <c r="H849" s="14">
        <f t="shared" si="28"/>
        <v>44</v>
      </c>
    </row>
    <row r="850" spans="1:8" ht="55.2">
      <c r="A850" s="502" t="s">
        <v>3457</v>
      </c>
      <c r="B850" s="504" t="s">
        <v>2430</v>
      </c>
      <c r="C850" s="502" t="s">
        <v>109</v>
      </c>
      <c r="D850" s="503" t="s">
        <v>10338</v>
      </c>
      <c r="F850" t="str">
        <f t="shared" si="27"/>
        <v>5754</v>
      </c>
      <c r="H850" s="14">
        <f t="shared" si="28"/>
        <v>48.32</v>
      </c>
    </row>
    <row r="851" spans="1:8" ht="69">
      <c r="A851" s="502" t="s">
        <v>3459</v>
      </c>
      <c r="B851" s="504" t="s">
        <v>2431</v>
      </c>
      <c r="C851" s="502" t="s">
        <v>109</v>
      </c>
      <c r="D851" s="503" t="s">
        <v>28065</v>
      </c>
      <c r="F851" t="str">
        <f t="shared" si="27"/>
        <v>5763</v>
      </c>
      <c r="H851" s="14">
        <f t="shared" si="28"/>
        <v>68.78</v>
      </c>
    </row>
    <row r="852" spans="1:8" ht="41.4">
      <c r="A852" s="502" t="s">
        <v>3460</v>
      </c>
      <c r="B852" s="504" t="s">
        <v>2432</v>
      </c>
      <c r="C852" s="502" t="s">
        <v>109</v>
      </c>
      <c r="D852" s="503" t="s">
        <v>6650</v>
      </c>
      <c r="F852" t="str">
        <f t="shared" si="27"/>
        <v>5765</v>
      </c>
      <c r="H852" s="14">
        <f t="shared" si="28"/>
        <v>6.18</v>
      </c>
    </row>
    <row r="853" spans="1:8" ht="41.4">
      <c r="A853" s="502" t="s">
        <v>3462</v>
      </c>
      <c r="B853" s="504" t="s">
        <v>2433</v>
      </c>
      <c r="C853" s="502" t="s">
        <v>109</v>
      </c>
      <c r="D853" s="503" t="s">
        <v>15839</v>
      </c>
      <c r="F853" t="str">
        <f t="shared" si="27"/>
        <v>5766</v>
      </c>
      <c r="H853" s="14">
        <f t="shared" si="28"/>
        <v>3.96</v>
      </c>
    </row>
    <row r="854" spans="1:8" ht="41.4">
      <c r="A854" s="502" t="s">
        <v>3464</v>
      </c>
      <c r="B854" s="504" t="s">
        <v>1738</v>
      </c>
      <c r="C854" s="502" t="s">
        <v>109</v>
      </c>
      <c r="D854" s="503" t="s">
        <v>28066</v>
      </c>
      <c r="F854" t="str">
        <f t="shared" si="27"/>
        <v>5779</v>
      </c>
      <c r="H854" s="14">
        <f t="shared" si="28"/>
        <v>111.38</v>
      </c>
    </row>
    <row r="855" spans="1:8" ht="55.2">
      <c r="A855" s="502" t="s">
        <v>3465</v>
      </c>
      <c r="B855" s="504" t="s">
        <v>1952</v>
      </c>
      <c r="C855" s="502" t="s">
        <v>109</v>
      </c>
      <c r="D855" s="503" t="s">
        <v>29943</v>
      </c>
      <c r="F855" t="str">
        <f t="shared" si="27"/>
        <v>5787</v>
      </c>
      <c r="H855" s="14">
        <f t="shared" si="28"/>
        <v>93.38</v>
      </c>
    </row>
    <row r="856" spans="1:8" ht="41.4">
      <c r="A856" s="502" t="s">
        <v>3466</v>
      </c>
      <c r="B856" s="504" t="s">
        <v>2434</v>
      </c>
      <c r="C856" s="502" t="s">
        <v>109</v>
      </c>
      <c r="D856" s="503" t="s">
        <v>29342</v>
      </c>
      <c r="F856" t="str">
        <f t="shared" si="27"/>
        <v>5797</v>
      </c>
      <c r="H856" s="14">
        <f t="shared" si="28"/>
        <v>8.86</v>
      </c>
    </row>
    <row r="857" spans="1:8" ht="55.2">
      <c r="A857" s="502" t="s">
        <v>3468</v>
      </c>
      <c r="B857" s="504" t="s">
        <v>28068</v>
      </c>
      <c r="C857" s="502" t="s">
        <v>109</v>
      </c>
      <c r="D857" s="503" t="s">
        <v>26983</v>
      </c>
      <c r="F857" t="str">
        <f t="shared" si="27"/>
        <v>5800</v>
      </c>
      <c r="H857" s="14">
        <f t="shared" si="28"/>
        <v>0.48</v>
      </c>
    </row>
    <row r="858" spans="1:8" ht="27.6">
      <c r="A858" s="502" t="s">
        <v>3470</v>
      </c>
      <c r="B858" s="504" t="s">
        <v>28069</v>
      </c>
      <c r="C858" s="502" t="s">
        <v>109</v>
      </c>
      <c r="D858" s="503" t="s">
        <v>7724</v>
      </c>
      <c r="F858" t="str">
        <f t="shared" si="27"/>
        <v>7032</v>
      </c>
      <c r="H858" s="14">
        <f t="shared" si="28"/>
        <v>6.26</v>
      </c>
    </row>
    <row r="859" spans="1:8" ht="27.6">
      <c r="A859" s="502" t="s">
        <v>3472</v>
      </c>
      <c r="B859" s="504" t="s">
        <v>28070</v>
      </c>
      <c r="C859" s="502" t="s">
        <v>109</v>
      </c>
      <c r="D859" s="503" t="s">
        <v>3639</v>
      </c>
      <c r="F859" t="str">
        <f t="shared" si="27"/>
        <v>7033</v>
      </c>
      <c r="H859" s="14">
        <f t="shared" si="28"/>
        <v>2.17</v>
      </c>
    </row>
    <row r="860" spans="1:8" ht="27.6">
      <c r="A860" s="502" t="s">
        <v>3473</v>
      </c>
      <c r="B860" s="504" t="s">
        <v>28071</v>
      </c>
      <c r="C860" s="502" t="s">
        <v>109</v>
      </c>
      <c r="D860" s="503" t="s">
        <v>4678</v>
      </c>
      <c r="F860" t="str">
        <f t="shared" si="27"/>
        <v>7034</v>
      </c>
      <c r="H860" s="14">
        <f t="shared" si="28"/>
        <v>7.84</v>
      </c>
    </row>
    <row r="861" spans="1:8" ht="41.4">
      <c r="A861" s="502" t="s">
        <v>3474</v>
      </c>
      <c r="B861" s="504" t="s">
        <v>28072</v>
      </c>
      <c r="C861" s="502" t="s">
        <v>109</v>
      </c>
      <c r="D861" s="503" t="s">
        <v>31004</v>
      </c>
      <c r="F861" t="str">
        <f t="shared" si="27"/>
        <v>7035</v>
      </c>
      <c r="H861" s="14">
        <f t="shared" si="28"/>
        <v>340.39</v>
      </c>
    </row>
    <row r="862" spans="1:8" ht="55.2">
      <c r="A862" s="502" t="s">
        <v>3475</v>
      </c>
      <c r="B862" s="504" t="s">
        <v>2435</v>
      </c>
      <c r="C862" s="502" t="s">
        <v>109</v>
      </c>
      <c r="D862" s="503" t="s">
        <v>31005</v>
      </c>
      <c r="F862" t="str">
        <f t="shared" si="27"/>
        <v>7038</v>
      </c>
      <c r="H862" s="14">
        <f t="shared" si="28"/>
        <v>66.760000000000005</v>
      </c>
    </row>
    <row r="863" spans="1:8" ht="55.2">
      <c r="A863" s="502" t="s">
        <v>3477</v>
      </c>
      <c r="B863" s="504" t="s">
        <v>2436</v>
      </c>
      <c r="C863" s="502" t="s">
        <v>109</v>
      </c>
      <c r="D863" s="503" t="s">
        <v>9933</v>
      </c>
      <c r="F863" t="str">
        <f t="shared" si="27"/>
        <v>7039</v>
      </c>
      <c r="H863" s="14">
        <f t="shared" si="28"/>
        <v>17.91</v>
      </c>
    </row>
    <row r="864" spans="1:8" ht="55.2">
      <c r="A864" s="502" t="s">
        <v>3479</v>
      </c>
      <c r="B864" s="504" t="s">
        <v>2437</v>
      </c>
      <c r="C864" s="502" t="s">
        <v>109</v>
      </c>
      <c r="D864" s="503" t="s">
        <v>31006</v>
      </c>
      <c r="F864" t="str">
        <f t="shared" si="27"/>
        <v>7040</v>
      </c>
      <c r="H864" s="14">
        <f t="shared" si="28"/>
        <v>83.53</v>
      </c>
    </row>
    <row r="865" spans="1:8" ht="55.2">
      <c r="A865" s="502" t="s">
        <v>3480</v>
      </c>
      <c r="B865" s="504" t="s">
        <v>1953</v>
      </c>
      <c r="C865" s="502" t="s">
        <v>109</v>
      </c>
      <c r="D865" s="503" t="s">
        <v>3331</v>
      </c>
      <c r="F865" t="str">
        <f t="shared" si="27"/>
        <v>7044</v>
      </c>
      <c r="H865" s="14">
        <f t="shared" si="28"/>
        <v>0.37</v>
      </c>
    </row>
    <row r="866" spans="1:8" ht="55.2">
      <c r="A866" s="502" t="s">
        <v>3482</v>
      </c>
      <c r="B866" s="504" t="s">
        <v>1954</v>
      </c>
      <c r="C866" s="502" t="s">
        <v>109</v>
      </c>
      <c r="D866" s="503" t="s">
        <v>3368</v>
      </c>
      <c r="F866" t="str">
        <f t="shared" si="27"/>
        <v>7045</v>
      </c>
      <c r="H866" s="14">
        <f t="shared" si="28"/>
        <v>0.08</v>
      </c>
    </row>
    <row r="867" spans="1:8" ht="55.2">
      <c r="A867" s="502" t="s">
        <v>3484</v>
      </c>
      <c r="B867" s="504" t="s">
        <v>1955</v>
      </c>
      <c r="C867" s="502" t="s">
        <v>109</v>
      </c>
      <c r="D867" s="503" t="s">
        <v>26896</v>
      </c>
      <c r="F867" t="str">
        <f t="shared" si="27"/>
        <v>7046</v>
      </c>
      <c r="H867" s="14">
        <f t="shared" si="28"/>
        <v>0.41</v>
      </c>
    </row>
    <row r="868" spans="1:8" ht="55.2">
      <c r="A868" s="502" t="s">
        <v>3485</v>
      </c>
      <c r="B868" s="504" t="s">
        <v>1956</v>
      </c>
      <c r="C868" s="502" t="s">
        <v>109</v>
      </c>
      <c r="D868" s="503" t="s">
        <v>13167</v>
      </c>
      <c r="F868" t="str">
        <f t="shared" si="27"/>
        <v>7047</v>
      </c>
      <c r="H868" s="14">
        <f t="shared" si="28"/>
        <v>33.49</v>
      </c>
    </row>
    <row r="869" spans="1:8" ht="69">
      <c r="A869" s="502" t="s">
        <v>3486</v>
      </c>
      <c r="B869" s="504" t="s">
        <v>1957</v>
      </c>
      <c r="C869" s="502" t="s">
        <v>109</v>
      </c>
      <c r="D869" s="503" t="s">
        <v>31007</v>
      </c>
      <c r="F869" t="str">
        <f t="shared" si="27"/>
        <v>7051</v>
      </c>
      <c r="H869" s="14">
        <f t="shared" si="28"/>
        <v>59.2</v>
      </c>
    </row>
    <row r="870" spans="1:8" ht="55.2">
      <c r="A870" s="502" t="s">
        <v>3487</v>
      </c>
      <c r="B870" s="504" t="s">
        <v>1958</v>
      </c>
      <c r="C870" s="502" t="s">
        <v>109</v>
      </c>
      <c r="D870" s="503" t="s">
        <v>10245</v>
      </c>
      <c r="F870" t="str">
        <f t="shared" si="27"/>
        <v>7052</v>
      </c>
      <c r="H870" s="14">
        <f t="shared" si="28"/>
        <v>15.99</v>
      </c>
    </row>
    <row r="871" spans="1:8" ht="55.2">
      <c r="A871" s="502" t="s">
        <v>3488</v>
      </c>
      <c r="B871" s="504" t="s">
        <v>1959</v>
      </c>
      <c r="C871" s="502" t="s">
        <v>109</v>
      </c>
      <c r="D871" s="503" t="s">
        <v>24063</v>
      </c>
      <c r="F871" t="str">
        <f t="shared" si="27"/>
        <v>7053</v>
      </c>
      <c r="H871" s="14">
        <f t="shared" si="28"/>
        <v>74.099999999999994</v>
      </c>
    </row>
    <row r="872" spans="1:8" ht="69">
      <c r="A872" s="502" t="s">
        <v>3489</v>
      </c>
      <c r="B872" s="504" t="s">
        <v>1960</v>
      </c>
      <c r="C872" s="502" t="s">
        <v>109</v>
      </c>
      <c r="D872" s="503" t="s">
        <v>29871</v>
      </c>
      <c r="F872" t="str">
        <f t="shared" si="27"/>
        <v>7054</v>
      </c>
      <c r="H872" s="14">
        <f t="shared" si="28"/>
        <v>118.49</v>
      </c>
    </row>
    <row r="873" spans="1:8" ht="55.2">
      <c r="A873" s="502" t="s">
        <v>3490</v>
      </c>
      <c r="B873" s="504" t="s">
        <v>1961</v>
      </c>
      <c r="C873" s="502" t="s">
        <v>109</v>
      </c>
      <c r="D873" s="503" t="s">
        <v>10292</v>
      </c>
      <c r="F873" t="str">
        <f t="shared" si="27"/>
        <v>7058</v>
      </c>
      <c r="H873" s="14">
        <f t="shared" si="28"/>
        <v>30.69</v>
      </c>
    </row>
    <row r="874" spans="1:8" ht="55.2">
      <c r="A874" s="502" t="s">
        <v>3492</v>
      </c>
      <c r="B874" s="504" t="s">
        <v>1962</v>
      </c>
      <c r="C874" s="502" t="s">
        <v>109</v>
      </c>
      <c r="D874" s="503" t="s">
        <v>7311</v>
      </c>
      <c r="F874" t="str">
        <f t="shared" si="27"/>
        <v>7059</v>
      </c>
      <c r="H874" s="14">
        <f t="shared" si="28"/>
        <v>11.81</v>
      </c>
    </row>
    <row r="875" spans="1:8" ht="55.2">
      <c r="A875" s="502" t="s">
        <v>3494</v>
      </c>
      <c r="B875" s="504" t="s">
        <v>1963</v>
      </c>
      <c r="C875" s="502" t="s">
        <v>109</v>
      </c>
      <c r="D875" s="503" t="s">
        <v>31008</v>
      </c>
      <c r="F875" t="str">
        <f t="shared" si="27"/>
        <v>7060</v>
      </c>
      <c r="H875" s="14">
        <f t="shared" si="28"/>
        <v>55.29</v>
      </c>
    </row>
    <row r="876" spans="1:8" ht="69">
      <c r="A876" s="502" t="s">
        <v>3495</v>
      </c>
      <c r="B876" s="504" t="s">
        <v>1964</v>
      </c>
      <c r="C876" s="502" t="s">
        <v>109</v>
      </c>
      <c r="D876" s="503" t="s">
        <v>31009</v>
      </c>
      <c r="F876" t="str">
        <f t="shared" si="27"/>
        <v>7061</v>
      </c>
      <c r="H876" s="14">
        <f t="shared" si="28"/>
        <v>108.16</v>
      </c>
    </row>
    <row r="877" spans="1:8" ht="27.6">
      <c r="A877" s="502" t="s">
        <v>3496</v>
      </c>
      <c r="B877" s="504" t="s">
        <v>2438</v>
      </c>
      <c r="C877" s="502" t="s">
        <v>109</v>
      </c>
      <c r="D877" s="503" t="s">
        <v>7555</v>
      </c>
      <c r="F877" t="str">
        <f t="shared" si="27"/>
        <v>7063</v>
      </c>
      <c r="H877" s="14">
        <f t="shared" si="28"/>
        <v>26.6</v>
      </c>
    </row>
    <row r="878" spans="1:8" ht="27.6">
      <c r="A878" s="502" t="s">
        <v>3498</v>
      </c>
      <c r="B878" s="504" t="s">
        <v>2439</v>
      </c>
      <c r="C878" s="502" t="s">
        <v>109</v>
      </c>
      <c r="D878" s="503" t="s">
        <v>9908</v>
      </c>
      <c r="F878" t="str">
        <f t="shared" si="27"/>
        <v>7064</v>
      </c>
      <c r="H878" s="14">
        <f t="shared" si="28"/>
        <v>7.18</v>
      </c>
    </row>
    <row r="879" spans="1:8" ht="27.6">
      <c r="A879" s="502" t="s">
        <v>3499</v>
      </c>
      <c r="B879" s="504" t="s">
        <v>2440</v>
      </c>
      <c r="C879" s="502" t="s">
        <v>109</v>
      </c>
      <c r="D879" s="503" t="s">
        <v>10024</v>
      </c>
      <c r="F879" t="str">
        <f t="shared" si="27"/>
        <v>7065</v>
      </c>
      <c r="H879" s="14">
        <f t="shared" si="28"/>
        <v>29.09</v>
      </c>
    </row>
    <row r="880" spans="1:8" ht="41.4">
      <c r="A880" s="502" t="s">
        <v>3500</v>
      </c>
      <c r="B880" s="504" t="s">
        <v>2441</v>
      </c>
      <c r="C880" s="502" t="s">
        <v>109</v>
      </c>
      <c r="D880" s="503" t="s">
        <v>31010</v>
      </c>
      <c r="F880" t="str">
        <f t="shared" si="27"/>
        <v>7066</v>
      </c>
      <c r="H880" s="14">
        <f t="shared" si="28"/>
        <v>128.33000000000001</v>
      </c>
    </row>
    <row r="881" spans="1:8" ht="69">
      <c r="A881" s="502" t="s">
        <v>3501</v>
      </c>
      <c r="B881" s="504" t="s">
        <v>2442</v>
      </c>
      <c r="C881" s="502" t="s">
        <v>109</v>
      </c>
      <c r="D881" s="503" t="s">
        <v>15174</v>
      </c>
      <c r="F881" t="str">
        <f t="shared" si="27"/>
        <v>53786</v>
      </c>
      <c r="H881" s="14">
        <f t="shared" si="28"/>
        <v>67.73</v>
      </c>
    </row>
    <row r="882" spans="1:8" ht="55.2">
      <c r="A882" s="502" t="s">
        <v>3502</v>
      </c>
      <c r="B882" s="504" t="s">
        <v>2443</v>
      </c>
      <c r="C882" s="502" t="s">
        <v>109</v>
      </c>
      <c r="D882" s="503" t="s">
        <v>31011</v>
      </c>
      <c r="F882" t="str">
        <f t="shared" si="27"/>
        <v>53788</v>
      </c>
      <c r="H882" s="14">
        <f t="shared" si="28"/>
        <v>75.83</v>
      </c>
    </row>
    <row r="883" spans="1:8" ht="55.2">
      <c r="A883" s="502" t="s">
        <v>3503</v>
      </c>
      <c r="B883" s="504" t="s">
        <v>1965</v>
      </c>
      <c r="C883" s="502" t="s">
        <v>109</v>
      </c>
      <c r="D883" s="503" t="s">
        <v>31012</v>
      </c>
      <c r="F883" t="str">
        <f t="shared" si="27"/>
        <v>53792</v>
      </c>
      <c r="H883" s="14">
        <f t="shared" si="28"/>
        <v>134.44999999999999</v>
      </c>
    </row>
    <row r="884" spans="1:8" ht="27.6">
      <c r="A884" s="502" t="s">
        <v>3504</v>
      </c>
      <c r="B884" s="504" t="s">
        <v>2444</v>
      </c>
      <c r="C884" s="502" t="s">
        <v>109</v>
      </c>
      <c r="D884" s="503" t="s">
        <v>11690</v>
      </c>
      <c r="F884" t="str">
        <f t="shared" si="27"/>
        <v>53794</v>
      </c>
      <c r="H884" s="14">
        <f t="shared" si="28"/>
        <v>47.46</v>
      </c>
    </row>
    <row r="885" spans="1:8" ht="69">
      <c r="A885" s="502" t="s">
        <v>3506</v>
      </c>
      <c r="B885" s="504" t="s">
        <v>2445</v>
      </c>
      <c r="C885" s="502" t="s">
        <v>109</v>
      </c>
      <c r="D885" s="503" t="s">
        <v>31013</v>
      </c>
      <c r="F885" t="str">
        <f t="shared" si="27"/>
        <v>53797</v>
      </c>
      <c r="H885" s="14">
        <f t="shared" si="28"/>
        <v>154.62</v>
      </c>
    </row>
    <row r="886" spans="1:8" ht="41.4">
      <c r="A886" s="502" t="s">
        <v>3507</v>
      </c>
      <c r="B886" s="504" t="s">
        <v>1966</v>
      </c>
      <c r="C886" s="502" t="s">
        <v>109</v>
      </c>
      <c r="D886" s="503" t="s">
        <v>6650</v>
      </c>
      <c r="F886" t="str">
        <f t="shared" si="27"/>
        <v>53804</v>
      </c>
      <c r="H886" s="14">
        <f t="shared" si="28"/>
        <v>6.18</v>
      </c>
    </row>
    <row r="887" spans="1:8" ht="41.4">
      <c r="A887" s="502" t="s">
        <v>3509</v>
      </c>
      <c r="B887" s="504" t="s">
        <v>1967</v>
      </c>
      <c r="C887" s="502" t="s">
        <v>109</v>
      </c>
      <c r="D887" s="503" t="s">
        <v>16223</v>
      </c>
      <c r="F887" t="str">
        <f t="shared" si="27"/>
        <v>53806</v>
      </c>
      <c r="H887" s="14">
        <f t="shared" si="28"/>
        <v>103.08</v>
      </c>
    </row>
    <row r="888" spans="1:8" ht="41.4">
      <c r="A888" s="502" t="s">
        <v>3510</v>
      </c>
      <c r="B888" s="504" t="s">
        <v>2446</v>
      </c>
      <c r="C888" s="502" t="s">
        <v>109</v>
      </c>
      <c r="D888" s="503" t="s">
        <v>31014</v>
      </c>
      <c r="F888" t="str">
        <f t="shared" si="27"/>
        <v>53810</v>
      </c>
      <c r="H888" s="14">
        <f t="shared" si="28"/>
        <v>103.72</v>
      </c>
    </row>
    <row r="889" spans="1:8" ht="41.4">
      <c r="A889" s="502" t="s">
        <v>3511</v>
      </c>
      <c r="B889" s="504" t="s">
        <v>1968</v>
      </c>
      <c r="C889" s="502" t="s">
        <v>109</v>
      </c>
      <c r="D889" s="503" t="s">
        <v>31015</v>
      </c>
      <c r="F889" t="str">
        <f t="shared" si="27"/>
        <v>53814</v>
      </c>
      <c r="H889" s="14">
        <f t="shared" si="28"/>
        <v>339.73</v>
      </c>
    </row>
    <row r="890" spans="1:8" ht="41.4">
      <c r="A890" s="502" t="s">
        <v>3512</v>
      </c>
      <c r="B890" s="504" t="s">
        <v>1969</v>
      </c>
      <c r="C890" s="502" t="s">
        <v>109</v>
      </c>
      <c r="D890" s="503" t="s">
        <v>29967</v>
      </c>
      <c r="F890" t="str">
        <f t="shared" si="27"/>
        <v>53817</v>
      </c>
      <c r="H890" s="14">
        <f t="shared" si="28"/>
        <v>82.91</v>
      </c>
    </row>
    <row r="891" spans="1:8" ht="55.2">
      <c r="A891" s="502" t="s">
        <v>3513</v>
      </c>
      <c r="B891" s="504" t="s">
        <v>1970</v>
      </c>
      <c r="C891" s="502" t="s">
        <v>109</v>
      </c>
      <c r="D891" s="503" t="s">
        <v>5968</v>
      </c>
      <c r="F891" t="str">
        <f t="shared" si="27"/>
        <v>53818</v>
      </c>
      <c r="H891" s="14">
        <f t="shared" si="28"/>
        <v>12.89</v>
      </c>
    </row>
    <row r="892" spans="1:8" ht="55.2">
      <c r="A892" s="502" t="s">
        <v>3515</v>
      </c>
      <c r="B892" s="504" t="s">
        <v>2447</v>
      </c>
      <c r="C892" s="502" t="s">
        <v>109</v>
      </c>
      <c r="D892" s="503" t="s">
        <v>31016</v>
      </c>
      <c r="F892" t="str">
        <f t="shared" si="27"/>
        <v>53827</v>
      </c>
      <c r="H892" s="14">
        <f t="shared" si="28"/>
        <v>151.36000000000001</v>
      </c>
    </row>
    <row r="893" spans="1:8" ht="55.2">
      <c r="A893" s="502" t="s">
        <v>3516</v>
      </c>
      <c r="B893" s="504" t="s">
        <v>2448</v>
      </c>
      <c r="C893" s="502" t="s">
        <v>109</v>
      </c>
      <c r="D893" s="503" t="s">
        <v>31013</v>
      </c>
      <c r="F893" t="str">
        <f t="shared" si="27"/>
        <v>53829</v>
      </c>
      <c r="H893" s="14">
        <f t="shared" si="28"/>
        <v>154.62</v>
      </c>
    </row>
    <row r="894" spans="1:8" ht="69">
      <c r="A894" s="502" t="s">
        <v>3517</v>
      </c>
      <c r="B894" s="504" t="s">
        <v>2449</v>
      </c>
      <c r="C894" s="502" t="s">
        <v>109</v>
      </c>
      <c r="D894" s="503" t="s">
        <v>31017</v>
      </c>
      <c r="F894" t="str">
        <f t="shared" si="27"/>
        <v>53831</v>
      </c>
      <c r="H894" s="14">
        <f t="shared" si="28"/>
        <v>255.4</v>
      </c>
    </row>
    <row r="895" spans="1:8" ht="27.6">
      <c r="A895" s="502" t="s">
        <v>3518</v>
      </c>
      <c r="B895" s="504" t="s">
        <v>1971</v>
      </c>
      <c r="C895" s="502" t="s">
        <v>109</v>
      </c>
      <c r="D895" s="503" t="s">
        <v>7314</v>
      </c>
      <c r="F895" t="str">
        <f t="shared" si="27"/>
        <v>53840</v>
      </c>
      <c r="H895" s="14">
        <f t="shared" si="28"/>
        <v>3.36</v>
      </c>
    </row>
    <row r="896" spans="1:8" ht="27.6">
      <c r="A896" s="502" t="s">
        <v>3519</v>
      </c>
      <c r="B896" s="504" t="s">
        <v>1972</v>
      </c>
      <c r="C896" s="502" t="s">
        <v>109</v>
      </c>
      <c r="D896" s="503" t="s">
        <v>3971</v>
      </c>
      <c r="F896" t="str">
        <f t="shared" si="27"/>
        <v>53841</v>
      </c>
      <c r="H896" s="14">
        <f t="shared" si="28"/>
        <v>2.33</v>
      </c>
    </row>
    <row r="897" spans="1:8" ht="41.4">
      <c r="A897" s="502" t="s">
        <v>3521</v>
      </c>
      <c r="B897" s="504" t="s">
        <v>1973</v>
      </c>
      <c r="C897" s="502" t="s">
        <v>109</v>
      </c>
      <c r="D897" s="503" t="s">
        <v>31018</v>
      </c>
      <c r="F897" t="str">
        <f t="shared" si="27"/>
        <v>53849</v>
      </c>
      <c r="H897" s="14">
        <f t="shared" si="28"/>
        <v>111.1</v>
      </c>
    </row>
    <row r="898" spans="1:8" ht="41.4">
      <c r="A898" s="502" t="s">
        <v>3522</v>
      </c>
      <c r="B898" s="504" t="s">
        <v>1974</v>
      </c>
      <c r="C898" s="502" t="s">
        <v>109</v>
      </c>
      <c r="D898" s="503" t="s">
        <v>19403</v>
      </c>
      <c r="F898" t="str">
        <f t="shared" si="27"/>
        <v>53857</v>
      </c>
      <c r="H898" s="14">
        <f t="shared" si="28"/>
        <v>62.96</v>
      </c>
    </row>
    <row r="899" spans="1:8" ht="55.2">
      <c r="A899" s="502" t="s">
        <v>3523</v>
      </c>
      <c r="B899" s="504" t="s">
        <v>2450</v>
      </c>
      <c r="C899" s="502" t="s">
        <v>109</v>
      </c>
      <c r="D899" s="503" t="s">
        <v>29060</v>
      </c>
      <c r="F899" t="str">
        <f t="shared" si="27"/>
        <v>53858</v>
      </c>
      <c r="H899" s="14">
        <f t="shared" si="28"/>
        <v>60.67</v>
      </c>
    </row>
    <row r="900" spans="1:8" ht="41.4">
      <c r="A900" s="502" t="s">
        <v>3524</v>
      </c>
      <c r="B900" s="504" t="s">
        <v>1975</v>
      </c>
      <c r="C900" s="502" t="s">
        <v>109</v>
      </c>
      <c r="D900" s="503" t="s">
        <v>15971</v>
      </c>
      <c r="F900" t="str">
        <f t="shared" si="27"/>
        <v>53861</v>
      </c>
      <c r="H900" s="14">
        <f t="shared" si="28"/>
        <v>87.29</v>
      </c>
    </row>
    <row r="901" spans="1:8" ht="27.6">
      <c r="A901" s="502" t="s">
        <v>3525</v>
      </c>
      <c r="B901" s="504" t="s">
        <v>2451</v>
      </c>
      <c r="C901" s="502" t="s">
        <v>109</v>
      </c>
      <c r="D901" s="503" t="s">
        <v>10320</v>
      </c>
      <c r="F901" t="str">
        <f t="shared" ref="F901:F964" si="29">TRIM(A901)</f>
        <v>53863</v>
      </c>
      <c r="H901" s="14">
        <f t="shared" ref="H901:H964" si="30">ROUND(D901*(1+$H$1),2)</f>
        <v>2.92</v>
      </c>
    </row>
    <row r="902" spans="1:8" ht="41.4">
      <c r="A902" s="502" t="s">
        <v>3527</v>
      </c>
      <c r="B902" s="504" t="s">
        <v>2452</v>
      </c>
      <c r="C902" s="502" t="s">
        <v>109</v>
      </c>
      <c r="D902" s="503" t="s">
        <v>31019</v>
      </c>
      <c r="F902" t="str">
        <f t="shared" si="29"/>
        <v>53865</v>
      </c>
      <c r="H902" s="14">
        <f t="shared" si="30"/>
        <v>62.57</v>
      </c>
    </row>
    <row r="903" spans="1:8" ht="55.2">
      <c r="A903" s="502" t="s">
        <v>3528</v>
      </c>
      <c r="B903" s="504" t="s">
        <v>28077</v>
      </c>
      <c r="C903" s="502" t="s">
        <v>109</v>
      </c>
      <c r="D903" s="503" t="s">
        <v>7240</v>
      </c>
      <c r="F903" t="str">
        <f t="shared" si="29"/>
        <v>53866</v>
      </c>
      <c r="H903" s="14">
        <f t="shared" si="30"/>
        <v>2.2000000000000002</v>
      </c>
    </row>
    <row r="904" spans="1:8" ht="55.2">
      <c r="A904" s="502" t="s">
        <v>3529</v>
      </c>
      <c r="B904" s="504" t="s">
        <v>2453</v>
      </c>
      <c r="C904" s="502" t="s">
        <v>109</v>
      </c>
      <c r="D904" s="503" t="s">
        <v>28078</v>
      </c>
      <c r="F904" t="str">
        <f t="shared" si="29"/>
        <v>53882</v>
      </c>
      <c r="H904" s="14">
        <f t="shared" si="30"/>
        <v>49.14</v>
      </c>
    </row>
    <row r="905" spans="1:8" ht="55.2">
      <c r="A905" s="502" t="s">
        <v>3530</v>
      </c>
      <c r="B905" s="504" t="s">
        <v>2454</v>
      </c>
      <c r="C905" s="502" t="s">
        <v>109</v>
      </c>
      <c r="D905" s="503" t="s">
        <v>29998</v>
      </c>
      <c r="F905" t="str">
        <f t="shared" si="29"/>
        <v>55263</v>
      </c>
      <c r="H905" s="14">
        <f t="shared" si="30"/>
        <v>85.52</v>
      </c>
    </row>
    <row r="906" spans="1:8" ht="27.6">
      <c r="A906" s="502" t="s">
        <v>3531</v>
      </c>
      <c r="B906" s="504" t="s">
        <v>1976</v>
      </c>
      <c r="C906" s="502" t="s">
        <v>109</v>
      </c>
      <c r="D906" s="503" t="s">
        <v>5815</v>
      </c>
      <c r="F906" t="str">
        <f t="shared" si="29"/>
        <v>73303</v>
      </c>
      <c r="H906" s="14">
        <f t="shared" si="30"/>
        <v>9.5299999999999994</v>
      </c>
    </row>
    <row r="907" spans="1:8" ht="27.6">
      <c r="A907" s="502" t="s">
        <v>3533</v>
      </c>
      <c r="B907" s="504" t="s">
        <v>1977</v>
      </c>
      <c r="C907" s="502" t="s">
        <v>109</v>
      </c>
      <c r="D907" s="503" t="s">
        <v>16286</v>
      </c>
      <c r="F907" t="str">
        <f t="shared" si="29"/>
        <v>73307</v>
      </c>
      <c r="H907" s="14">
        <f t="shared" si="30"/>
        <v>8.5</v>
      </c>
    </row>
    <row r="908" spans="1:8" ht="55.2">
      <c r="A908" s="502" t="s">
        <v>3535</v>
      </c>
      <c r="B908" s="504" t="s">
        <v>2455</v>
      </c>
      <c r="C908" s="502" t="s">
        <v>109</v>
      </c>
      <c r="D908" s="503" t="s">
        <v>31020</v>
      </c>
      <c r="F908" t="str">
        <f t="shared" si="29"/>
        <v>73309</v>
      </c>
      <c r="H908" s="14">
        <f t="shared" si="30"/>
        <v>44.41</v>
      </c>
    </row>
    <row r="909" spans="1:8" ht="27.6">
      <c r="A909" s="502" t="s">
        <v>3536</v>
      </c>
      <c r="B909" s="504" t="s">
        <v>1978</v>
      </c>
      <c r="C909" s="502" t="s">
        <v>109</v>
      </c>
      <c r="D909" s="503" t="s">
        <v>31021</v>
      </c>
      <c r="F909" t="str">
        <f t="shared" si="29"/>
        <v>73311</v>
      </c>
      <c r="H909" s="14">
        <f t="shared" si="30"/>
        <v>236.41</v>
      </c>
    </row>
    <row r="910" spans="1:8" ht="55.2">
      <c r="A910" s="502" t="s">
        <v>3537</v>
      </c>
      <c r="B910" s="504" t="s">
        <v>2456</v>
      </c>
      <c r="C910" s="502" t="s">
        <v>109</v>
      </c>
      <c r="D910" s="503" t="s">
        <v>7954</v>
      </c>
      <c r="F910" t="str">
        <f t="shared" si="29"/>
        <v>73313</v>
      </c>
      <c r="H910" s="14">
        <f t="shared" si="30"/>
        <v>11.99</v>
      </c>
    </row>
    <row r="911" spans="1:8" ht="55.2">
      <c r="A911" s="502" t="s">
        <v>3539</v>
      </c>
      <c r="B911" s="504" t="s">
        <v>2457</v>
      </c>
      <c r="C911" s="502" t="s">
        <v>109</v>
      </c>
      <c r="D911" s="503" t="s">
        <v>31011</v>
      </c>
      <c r="F911" t="str">
        <f t="shared" si="29"/>
        <v>73315</v>
      </c>
      <c r="H911" s="14">
        <f t="shared" si="30"/>
        <v>75.83</v>
      </c>
    </row>
    <row r="912" spans="1:8" ht="69">
      <c r="A912" s="502" t="s">
        <v>3540</v>
      </c>
      <c r="B912" s="504" t="s">
        <v>2458</v>
      </c>
      <c r="C912" s="502" t="s">
        <v>109</v>
      </c>
      <c r="D912" s="503" t="s">
        <v>30945</v>
      </c>
      <c r="F912" t="str">
        <f t="shared" si="29"/>
        <v>73335</v>
      </c>
      <c r="H912" s="14">
        <f t="shared" si="30"/>
        <v>46.81</v>
      </c>
    </row>
    <row r="913" spans="1:8" ht="69">
      <c r="A913" s="502" t="s">
        <v>3541</v>
      </c>
      <c r="B913" s="504" t="s">
        <v>2459</v>
      </c>
      <c r="C913" s="502" t="s">
        <v>109</v>
      </c>
      <c r="D913" s="503" t="s">
        <v>28581</v>
      </c>
      <c r="F913" t="str">
        <f t="shared" si="29"/>
        <v>73340</v>
      </c>
      <c r="H913" s="14">
        <f t="shared" si="30"/>
        <v>205.44</v>
      </c>
    </row>
    <row r="914" spans="1:8" ht="69">
      <c r="A914" s="502" t="s">
        <v>3542</v>
      </c>
      <c r="B914" s="504" t="s">
        <v>2460</v>
      </c>
      <c r="C914" s="502" t="s">
        <v>109</v>
      </c>
      <c r="D914" s="503" t="s">
        <v>28080</v>
      </c>
      <c r="F914" t="str">
        <f t="shared" si="29"/>
        <v>83361</v>
      </c>
      <c r="H914" s="14">
        <f t="shared" si="30"/>
        <v>57.04</v>
      </c>
    </row>
    <row r="915" spans="1:8" ht="41.4">
      <c r="A915" s="502" t="s">
        <v>3543</v>
      </c>
      <c r="B915" s="504" t="s">
        <v>1979</v>
      </c>
      <c r="C915" s="502" t="s">
        <v>109</v>
      </c>
      <c r="D915" s="503" t="s">
        <v>16163</v>
      </c>
      <c r="F915" t="str">
        <f t="shared" si="29"/>
        <v>83761</v>
      </c>
      <c r="H915" s="14">
        <f t="shared" si="30"/>
        <v>12.69</v>
      </c>
    </row>
    <row r="916" spans="1:8" ht="41.4">
      <c r="A916" s="502" t="s">
        <v>3544</v>
      </c>
      <c r="B916" s="504" t="s">
        <v>1980</v>
      </c>
      <c r="C916" s="502" t="s">
        <v>109</v>
      </c>
      <c r="D916" s="503" t="s">
        <v>10627</v>
      </c>
      <c r="F916" t="str">
        <f t="shared" si="29"/>
        <v>83762</v>
      </c>
      <c r="H916" s="14">
        <f t="shared" si="30"/>
        <v>11.33</v>
      </c>
    </row>
    <row r="917" spans="1:8" ht="41.4">
      <c r="A917" s="502" t="s">
        <v>3545</v>
      </c>
      <c r="B917" s="504" t="s">
        <v>1981</v>
      </c>
      <c r="C917" s="502" t="s">
        <v>109</v>
      </c>
      <c r="D917" s="503" t="s">
        <v>29083</v>
      </c>
      <c r="F917" t="str">
        <f t="shared" si="29"/>
        <v>83763</v>
      </c>
      <c r="H917" s="14">
        <f t="shared" si="30"/>
        <v>66.63</v>
      </c>
    </row>
    <row r="918" spans="1:8" ht="41.4">
      <c r="A918" s="502" t="s">
        <v>3546</v>
      </c>
      <c r="B918" s="504" t="s">
        <v>1982</v>
      </c>
      <c r="C918" s="502" t="s">
        <v>109</v>
      </c>
      <c r="D918" s="503" t="s">
        <v>18063</v>
      </c>
      <c r="F918" t="str">
        <f t="shared" si="29"/>
        <v>83764</v>
      </c>
      <c r="H918" s="14">
        <f t="shared" si="30"/>
        <v>4.46</v>
      </c>
    </row>
    <row r="919" spans="1:8" ht="27.6">
      <c r="A919" s="502" t="s">
        <v>3548</v>
      </c>
      <c r="B919" s="504" t="s">
        <v>1983</v>
      </c>
      <c r="C919" s="502" t="s">
        <v>109</v>
      </c>
      <c r="D919" s="503" t="s">
        <v>3088</v>
      </c>
      <c r="F919" t="str">
        <f t="shared" si="29"/>
        <v>87026</v>
      </c>
      <c r="H919" s="14">
        <f t="shared" si="30"/>
        <v>0.92</v>
      </c>
    </row>
    <row r="920" spans="1:8" ht="41.4">
      <c r="A920" s="502" t="s">
        <v>3549</v>
      </c>
      <c r="B920" s="504" t="s">
        <v>28082</v>
      </c>
      <c r="C920" s="502" t="s">
        <v>109</v>
      </c>
      <c r="D920" s="503" t="s">
        <v>3883</v>
      </c>
      <c r="F920" t="str">
        <f t="shared" si="29"/>
        <v>87441</v>
      </c>
      <c r="H920" s="14">
        <f t="shared" si="30"/>
        <v>0.53</v>
      </c>
    </row>
    <row r="921" spans="1:8" ht="41.4">
      <c r="A921" s="502" t="s">
        <v>3551</v>
      </c>
      <c r="B921" s="504" t="s">
        <v>28083</v>
      </c>
      <c r="C921" s="502" t="s">
        <v>109</v>
      </c>
      <c r="D921" s="503" t="s">
        <v>4032</v>
      </c>
      <c r="F921" t="str">
        <f t="shared" si="29"/>
        <v>87442</v>
      </c>
      <c r="H921" s="14">
        <f t="shared" si="30"/>
        <v>0.12</v>
      </c>
    </row>
    <row r="922" spans="1:8" ht="41.4">
      <c r="A922" s="502" t="s">
        <v>3553</v>
      </c>
      <c r="B922" s="504" t="s">
        <v>28084</v>
      </c>
      <c r="C922" s="502" t="s">
        <v>109</v>
      </c>
      <c r="D922" s="503" t="s">
        <v>3728</v>
      </c>
      <c r="F922" t="str">
        <f t="shared" si="29"/>
        <v>87443</v>
      </c>
      <c r="H922" s="14">
        <f t="shared" si="30"/>
        <v>0.67</v>
      </c>
    </row>
    <row r="923" spans="1:8" ht="41.4">
      <c r="A923" s="502" t="s">
        <v>3554</v>
      </c>
      <c r="B923" s="504" t="s">
        <v>28085</v>
      </c>
      <c r="C923" s="502" t="s">
        <v>109</v>
      </c>
      <c r="D923" s="503" t="s">
        <v>10194</v>
      </c>
      <c r="F923" t="str">
        <f t="shared" si="29"/>
        <v>87444</v>
      </c>
      <c r="H923" s="14">
        <f t="shared" si="30"/>
        <v>5.56</v>
      </c>
    </row>
    <row r="924" spans="1:8" ht="41.4">
      <c r="A924" s="502" t="s">
        <v>3556</v>
      </c>
      <c r="B924" s="504" t="s">
        <v>28086</v>
      </c>
      <c r="C924" s="502" t="s">
        <v>109</v>
      </c>
      <c r="D924" s="503" t="s">
        <v>7225</v>
      </c>
      <c r="F924" t="str">
        <f t="shared" si="29"/>
        <v>88387</v>
      </c>
      <c r="H924" s="14">
        <f t="shared" si="30"/>
        <v>1.03</v>
      </c>
    </row>
    <row r="925" spans="1:8" ht="41.4">
      <c r="A925" s="502" t="s">
        <v>3557</v>
      </c>
      <c r="B925" s="504" t="s">
        <v>28087</v>
      </c>
      <c r="C925" s="502" t="s">
        <v>109</v>
      </c>
      <c r="D925" s="503" t="s">
        <v>3481</v>
      </c>
      <c r="F925" t="str">
        <f t="shared" si="29"/>
        <v>88389</v>
      </c>
      <c r="H925" s="14">
        <f t="shared" si="30"/>
        <v>0.24</v>
      </c>
    </row>
    <row r="926" spans="1:8" ht="41.4">
      <c r="A926" s="502" t="s">
        <v>3559</v>
      </c>
      <c r="B926" s="504" t="s">
        <v>28088</v>
      </c>
      <c r="C926" s="502" t="s">
        <v>109</v>
      </c>
      <c r="D926" s="503" t="s">
        <v>15846</v>
      </c>
      <c r="F926" t="str">
        <f t="shared" si="29"/>
        <v>88390</v>
      </c>
      <c r="H926" s="14">
        <f t="shared" si="30"/>
        <v>1.1299999999999999</v>
      </c>
    </row>
    <row r="927" spans="1:8" ht="41.4">
      <c r="A927" s="502" t="s">
        <v>3560</v>
      </c>
      <c r="B927" s="504" t="s">
        <v>28089</v>
      </c>
      <c r="C927" s="502" t="s">
        <v>109</v>
      </c>
      <c r="D927" s="503" t="s">
        <v>6521</v>
      </c>
      <c r="F927" t="str">
        <f t="shared" si="29"/>
        <v>88391</v>
      </c>
      <c r="H927" s="14">
        <f t="shared" si="30"/>
        <v>3.58</v>
      </c>
    </row>
    <row r="928" spans="1:8" ht="41.4">
      <c r="A928" s="502" t="s">
        <v>3561</v>
      </c>
      <c r="B928" s="504" t="s">
        <v>28090</v>
      </c>
      <c r="C928" s="502" t="s">
        <v>109</v>
      </c>
      <c r="D928" s="503" t="s">
        <v>7274</v>
      </c>
      <c r="F928" t="str">
        <f t="shared" si="29"/>
        <v>88394</v>
      </c>
      <c r="H928" s="14">
        <f t="shared" si="30"/>
        <v>1.23</v>
      </c>
    </row>
    <row r="929" spans="1:8" ht="41.4">
      <c r="A929" s="502" t="s">
        <v>3563</v>
      </c>
      <c r="B929" s="504" t="s">
        <v>28091</v>
      </c>
      <c r="C929" s="502" t="s">
        <v>109</v>
      </c>
      <c r="D929" s="503" t="s">
        <v>3313</v>
      </c>
      <c r="F929" t="str">
        <f t="shared" si="29"/>
        <v>88395</v>
      </c>
      <c r="H929" s="14">
        <f t="shared" si="30"/>
        <v>0.28000000000000003</v>
      </c>
    </row>
    <row r="930" spans="1:8" ht="41.4">
      <c r="A930" s="502" t="s">
        <v>3565</v>
      </c>
      <c r="B930" s="504" t="s">
        <v>28092</v>
      </c>
      <c r="C930" s="502" t="s">
        <v>109</v>
      </c>
      <c r="D930" s="503" t="s">
        <v>10763</v>
      </c>
      <c r="F930" t="str">
        <f t="shared" si="29"/>
        <v>88396</v>
      </c>
      <c r="H930" s="14">
        <f t="shared" si="30"/>
        <v>1.35</v>
      </c>
    </row>
    <row r="931" spans="1:8" ht="41.4">
      <c r="A931" s="502" t="s">
        <v>3566</v>
      </c>
      <c r="B931" s="504" t="s">
        <v>28093</v>
      </c>
      <c r="C931" s="502" t="s">
        <v>109</v>
      </c>
      <c r="D931" s="503" t="s">
        <v>20975</v>
      </c>
      <c r="F931" t="str">
        <f t="shared" si="29"/>
        <v>88397</v>
      </c>
      <c r="H931" s="14">
        <f t="shared" si="30"/>
        <v>5.37</v>
      </c>
    </row>
    <row r="932" spans="1:8" ht="41.4">
      <c r="A932" s="502" t="s">
        <v>3567</v>
      </c>
      <c r="B932" s="504" t="s">
        <v>28094</v>
      </c>
      <c r="C932" s="502" t="s">
        <v>109</v>
      </c>
      <c r="D932" s="503" t="s">
        <v>23954</v>
      </c>
      <c r="F932" t="str">
        <f t="shared" si="29"/>
        <v>88400</v>
      </c>
      <c r="H932" s="14">
        <f t="shared" si="30"/>
        <v>0.97</v>
      </c>
    </row>
    <row r="933" spans="1:8" ht="41.4">
      <c r="A933" s="502" t="s">
        <v>3569</v>
      </c>
      <c r="B933" s="504" t="s">
        <v>28095</v>
      </c>
      <c r="C933" s="502" t="s">
        <v>109</v>
      </c>
      <c r="D933" s="503" t="s">
        <v>3264</v>
      </c>
      <c r="F933" t="str">
        <f t="shared" si="29"/>
        <v>88401</v>
      </c>
      <c r="H933" s="14">
        <f t="shared" si="30"/>
        <v>0.23</v>
      </c>
    </row>
    <row r="934" spans="1:8" ht="41.4">
      <c r="A934" s="502" t="s">
        <v>3570</v>
      </c>
      <c r="B934" s="504" t="s">
        <v>28096</v>
      </c>
      <c r="C934" s="502" t="s">
        <v>109</v>
      </c>
      <c r="D934" s="503" t="s">
        <v>3256</v>
      </c>
      <c r="F934" t="str">
        <f t="shared" si="29"/>
        <v>88402</v>
      </c>
      <c r="H934" s="14">
        <f t="shared" si="30"/>
        <v>1.07</v>
      </c>
    </row>
    <row r="935" spans="1:8" ht="41.4">
      <c r="A935" s="502" t="s">
        <v>3572</v>
      </c>
      <c r="B935" s="504" t="s">
        <v>28097</v>
      </c>
      <c r="C935" s="502" t="s">
        <v>109</v>
      </c>
      <c r="D935" s="503" t="s">
        <v>3004</v>
      </c>
      <c r="F935" t="str">
        <f t="shared" si="29"/>
        <v>88403</v>
      </c>
      <c r="H935" s="14">
        <f t="shared" si="30"/>
        <v>2.15</v>
      </c>
    </row>
    <row r="936" spans="1:8" ht="41.4">
      <c r="A936" s="502" t="s">
        <v>3574</v>
      </c>
      <c r="B936" s="504" t="s">
        <v>1739</v>
      </c>
      <c r="C936" s="502" t="s">
        <v>109</v>
      </c>
      <c r="D936" s="503" t="s">
        <v>4084</v>
      </c>
      <c r="F936" t="str">
        <f t="shared" si="29"/>
        <v>88419</v>
      </c>
      <c r="H936" s="14">
        <f t="shared" si="30"/>
        <v>6.37</v>
      </c>
    </row>
    <row r="937" spans="1:8" ht="41.4">
      <c r="A937" s="502" t="s">
        <v>3576</v>
      </c>
      <c r="B937" s="504" t="s">
        <v>1740</v>
      </c>
      <c r="C937" s="502" t="s">
        <v>109</v>
      </c>
      <c r="D937" s="503" t="s">
        <v>3934</v>
      </c>
      <c r="F937" t="str">
        <f t="shared" si="29"/>
        <v>88422</v>
      </c>
      <c r="H937" s="14">
        <f t="shared" si="30"/>
        <v>1.47</v>
      </c>
    </row>
    <row r="938" spans="1:8" ht="41.4">
      <c r="A938" s="502" t="s">
        <v>3578</v>
      </c>
      <c r="B938" s="504" t="s">
        <v>1741</v>
      </c>
      <c r="C938" s="502" t="s">
        <v>109</v>
      </c>
      <c r="D938" s="503" t="s">
        <v>4521</v>
      </c>
      <c r="F938" t="str">
        <f t="shared" si="29"/>
        <v>88425</v>
      </c>
      <c r="H938" s="14">
        <f t="shared" si="30"/>
        <v>7.97</v>
      </c>
    </row>
    <row r="939" spans="1:8" ht="41.4">
      <c r="A939" s="502" t="s">
        <v>3579</v>
      </c>
      <c r="B939" s="504" t="s">
        <v>1984</v>
      </c>
      <c r="C939" s="502" t="s">
        <v>109</v>
      </c>
      <c r="D939" s="503" t="s">
        <v>7538</v>
      </c>
      <c r="F939" t="str">
        <f t="shared" si="29"/>
        <v>88427</v>
      </c>
      <c r="H939" s="14">
        <f t="shared" si="30"/>
        <v>1.21</v>
      </c>
    </row>
    <row r="940" spans="1:8" ht="41.4">
      <c r="A940" s="502" t="s">
        <v>3580</v>
      </c>
      <c r="B940" s="504" t="s">
        <v>1985</v>
      </c>
      <c r="C940" s="502" t="s">
        <v>109</v>
      </c>
      <c r="D940" s="503" t="s">
        <v>9486</v>
      </c>
      <c r="F940" t="str">
        <f t="shared" si="29"/>
        <v>88434</v>
      </c>
      <c r="H940" s="14">
        <f t="shared" si="30"/>
        <v>8.4499999999999993</v>
      </c>
    </row>
    <row r="941" spans="1:8" ht="41.4">
      <c r="A941" s="502" t="s">
        <v>3581</v>
      </c>
      <c r="B941" s="504" t="s">
        <v>1986</v>
      </c>
      <c r="C941" s="502" t="s">
        <v>109</v>
      </c>
      <c r="D941" s="503" t="s">
        <v>26925</v>
      </c>
      <c r="F941" t="str">
        <f t="shared" si="29"/>
        <v>88435</v>
      </c>
      <c r="H941" s="14">
        <f t="shared" si="30"/>
        <v>1.95</v>
      </c>
    </row>
    <row r="942" spans="1:8" ht="41.4">
      <c r="A942" s="502" t="s">
        <v>3582</v>
      </c>
      <c r="B942" s="504" t="s">
        <v>1987</v>
      </c>
      <c r="C942" s="502" t="s">
        <v>109</v>
      </c>
      <c r="D942" s="503" t="s">
        <v>28098</v>
      </c>
      <c r="F942" t="str">
        <f t="shared" si="29"/>
        <v>88436</v>
      </c>
      <c r="H942" s="14">
        <f t="shared" si="30"/>
        <v>10.57</v>
      </c>
    </row>
    <row r="943" spans="1:8" ht="41.4">
      <c r="A943" s="502" t="s">
        <v>3583</v>
      </c>
      <c r="B943" s="504" t="s">
        <v>1988</v>
      </c>
      <c r="C943" s="502" t="s">
        <v>109</v>
      </c>
      <c r="D943" s="503" t="s">
        <v>7538</v>
      </c>
      <c r="F943" t="str">
        <f t="shared" si="29"/>
        <v>88437</v>
      </c>
      <c r="H943" s="14">
        <f t="shared" si="30"/>
        <v>1.21</v>
      </c>
    </row>
    <row r="944" spans="1:8" ht="41.4">
      <c r="A944" s="502" t="s">
        <v>3584</v>
      </c>
      <c r="B944" s="504" t="s">
        <v>2461</v>
      </c>
      <c r="C944" s="502" t="s">
        <v>109</v>
      </c>
      <c r="D944" s="503" t="s">
        <v>31022</v>
      </c>
      <c r="F944" t="str">
        <f t="shared" si="29"/>
        <v>88569</v>
      </c>
      <c r="H944" s="14">
        <f t="shared" si="30"/>
        <v>4.9400000000000004</v>
      </c>
    </row>
    <row r="945" spans="1:8" ht="41.4">
      <c r="A945" s="502" t="s">
        <v>3585</v>
      </c>
      <c r="B945" s="504" t="s">
        <v>2462</v>
      </c>
      <c r="C945" s="502" t="s">
        <v>109</v>
      </c>
      <c r="D945" s="503" t="s">
        <v>7336</v>
      </c>
      <c r="F945" t="str">
        <f t="shared" si="29"/>
        <v>88570</v>
      </c>
      <c r="H945" s="14">
        <f t="shared" si="30"/>
        <v>1.71</v>
      </c>
    </row>
    <row r="946" spans="1:8" ht="41.4">
      <c r="A946" s="502" t="s">
        <v>3586</v>
      </c>
      <c r="B946" s="504" t="s">
        <v>28099</v>
      </c>
      <c r="C946" s="502" t="s">
        <v>109</v>
      </c>
      <c r="D946" s="503" t="s">
        <v>3303</v>
      </c>
      <c r="F946" t="str">
        <f t="shared" si="29"/>
        <v>88826</v>
      </c>
      <c r="H946" s="14">
        <f t="shared" si="30"/>
        <v>0.39</v>
      </c>
    </row>
    <row r="947" spans="1:8" ht="41.4">
      <c r="A947" s="502" t="s">
        <v>3587</v>
      </c>
      <c r="B947" s="504" t="s">
        <v>28100</v>
      </c>
      <c r="C947" s="502" t="s">
        <v>109</v>
      </c>
      <c r="D947" s="503" t="s">
        <v>3368</v>
      </c>
      <c r="F947" t="str">
        <f t="shared" si="29"/>
        <v>88827</v>
      </c>
      <c r="H947" s="14">
        <f t="shared" si="30"/>
        <v>0.08</v>
      </c>
    </row>
    <row r="948" spans="1:8" ht="41.4">
      <c r="A948" s="502" t="s">
        <v>3588</v>
      </c>
      <c r="B948" s="504" t="s">
        <v>28101</v>
      </c>
      <c r="C948" s="502" t="s">
        <v>109</v>
      </c>
      <c r="D948" s="503" t="s">
        <v>3717</v>
      </c>
      <c r="F948" t="str">
        <f t="shared" si="29"/>
        <v>88828</v>
      </c>
      <c r="H948" s="14">
        <f t="shared" si="30"/>
        <v>0.43</v>
      </c>
    </row>
    <row r="949" spans="1:8" ht="55.2">
      <c r="A949" s="502" t="s">
        <v>3589</v>
      </c>
      <c r="B949" s="504" t="s">
        <v>28102</v>
      </c>
      <c r="C949" s="502" t="s">
        <v>109</v>
      </c>
      <c r="D949" s="503" t="s">
        <v>10073</v>
      </c>
      <c r="F949" t="str">
        <f t="shared" si="29"/>
        <v>88829</v>
      </c>
      <c r="H949" s="14">
        <f t="shared" si="30"/>
        <v>1.43</v>
      </c>
    </row>
    <row r="950" spans="1:8" ht="41.4">
      <c r="A950" s="502" t="s">
        <v>3591</v>
      </c>
      <c r="B950" s="504" t="s">
        <v>1989</v>
      </c>
      <c r="C950" s="502" t="s">
        <v>109</v>
      </c>
      <c r="D950" s="503" t="s">
        <v>25503</v>
      </c>
      <c r="F950" t="str">
        <f t="shared" si="29"/>
        <v>88839</v>
      </c>
      <c r="H950" s="14">
        <f t="shared" si="30"/>
        <v>46.84</v>
      </c>
    </row>
    <row r="951" spans="1:8" ht="41.4">
      <c r="A951" s="502" t="s">
        <v>3592</v>
      </c>
      <c r="B951" s="504" t="s">
        <v>1990</v>
      </c>
      <c r="C951" s="502" t="s">
        <v>109</v>
      </c>
      <c r="D951" s="503" t="s">
        <v>24552</v>
      </c>
      <c r="F951" t="str">
        <f t="shared" si="29"/>
        <v>88840</v>
      </c>
      <c r="H951" s="14">
        <f t="shared" si="30"/>
        <v>20.63</v>
      </c>
    </row>
    <row r="952" spans="1:8" ht="41.4">
      <c r="A952" s="502" t="s">
        <v>3594</v>
      </c>
      <c r="B952" s="504" t="s">
        <v>1991</v>
      </c>
      <c r="C952" s="502" t="s">
        <v>109</v>
      </c>
      <c r="D952" s="503" t="s">
        <v>31023</v>
      </c>
      <c r="F952" t="str">
        <f t="shared" si="29"/>
        <v>88841</v>
      </c>
      <c r="H952" s="14">
        <f t="shared" si="30"/>
        <v>83.73</v>
      </c>
    </row>
    <row r="953" spans="1:8" ht="41.4">
      <c r="A953" s="502" t="s">
        <v>3595</v>
      </c>
      <c r="B953" s="504" t="s">
        <v>1992</v>
      </c>
      <c r="C953" s="502" t="s">
        <v>109</v>
      </c>
      <c r="D953" s="503" t="s">
        <v>31024</v>
      </c>
      <c r="F953" t="str">
        <f t="shared" si="29"/>
        <v>88842</v>
      </c>
      <c r="H953" s="14">
        <f t="shared" si="30"/>
        <v>103.71</v>
      </c>
    </row>
    <row r="954" spans="1:8" ht="55.2">
      <c r="A954" s="502" t="s">
        <v>3596</v>
      </c>
      <c r="B954" s="504" t="s">
        <v>2463</v>
      </c>
      <c r="C954" s="502" t="s">
        <v>109</v>
      </c>
      <c r="D954" s="503" t="s">
        <v>15809</v>
      </c>
      <c r="F954" t="str">
        <f t="shared" si="29"/>
        <v>88847</v>
      </c>
      <c r="H954" s="14">
        <f t="shared" si="30"/>
        <v>30.41</v>
      </c>
    </row>
    <row r="955" spans="1:8" ht="55.2">
      <c r="A955" s="502" t="s">
        <v>3597</v>
      </c>
      <c r="B955" s="504" t="s">
        <v>2464</v>
      </c>
      <c r="C955" s="502" t="s">
        <v>109</v>
      </c>
      <c r="D955" s="503" t="s">
        <v>5188</v>
      </c>
      <c r="F955" t="str">
        <f t="shared" si="29"/>
        <v>88848</v>
      </c>
      <c r="H955" s="14">
        <f t="shared" si="30"/>
        <v>12.5</v>
      </c>
    </row>
    <row r="956" spans="1:8" ht="55.2">
      <c r="A956" s="502" t="s">
        <v>3598</v>
      </c>
      <c r="B956" s="504" t="s">
        <v>2465</v>
      </c>
      <c r="C956" s="502" t="s">
        <v>109</v>
      </c>
      <c r="D956" s="503" t="s">
        <v>3710</v>
      </c>
      <c r="F956" t="str">
        <f t="shared" si="29"/>
        <v>88853</v>
      </c>
      <c r="H956" s="14">
        <f t="shared" si="30"/>
        <v>0.31</v>
      </c>
    </row>
    <row r="957" spans="1:8" ht="55.2">
      <c r="A957" s="502" t="s">
        <v>3600</v>
      </c>
      <c r="B957" s="504" t="s">
        <v>2466</v>
      </c>
      <c r="C957" s="502" t="s">
        <v>109</v>
      </c>
      <c r="D957" s="503" t="s">
        <v>3552</v>
      </c>
      <c r="F957" t="str">
        <f t="shared" si="29"/>
        <v>88854</v>
      </c>
      <c r="H957" s="14">
        <f t="shared" si="30"/>
        <v>7.0000000000000007E-2</v>
      </c>
    </row>
    <row r="958" spans="1:8" ht="41.4">
      <c r="A958" s="502" t="s">
        <v>3601</v>
      </c>
      <c r="B958" s="504" t="s">
        <v>28104</v>
      </c>
      <c r="C958" s="502" t="s">
        <v>109</v>
      </c>
      <c r="D958" s="503" t="s">
        <v>3779</v>
      </c>
      <c r="F958" t="str">
        <f t="shared" si="29"/>
        <v>88855</v>
      </c>
      <c r="H958" s="14">
        <f t="shared" si="30"/>
        <v>4.28</v>
      </c>
    </row>
    <row r="959" spans="1:8" ht="41.4">
      <c r="A959" s="502" t="s">
        <v>3602</v>
      </c>
      <c r="B959" s="504" t="s">
        <v>28105</v>
      </c>
      <c r="C959" s="502" t="s">
        <v>109</v>
      </c>
      <c r="D959" s="503" t="s">
        <v>15795</v>
      </c>
      <c r="F959" t="str">
        <f t="shared" si="29"/>
        <v>88856</v>
      </c>
      <c r="H959" s="14">
        <f t="shared" si="30"/>
        <v>1.17</v>
      </c>
    </row>
    <row r="960" spans="1:8" ht="69">
      <c r="A960" s="502" t="s">
        <v>3604</v>
      </c>
      <c r="B960" s="504" t="s">
        <v>2467</v>
      </c>
      <c r="C960" s="502" t="s">
        <v>109</v>
      </c>
      <c r="D960" s="503" t="s">
        <v>26494</v>
      </c>
      <c r="F960" t="str">
        <f t="shared" si="29"/>
        <v>88857</v>
      </c>
      <c r="H960" s="14">
        <f t="shared" si="30"/>
        <v>37.119999999999997</v>
      </c>
    </row>
    <row r="961" spans="1:8" ht="69">
      <c r="A961" s="502" t="s">
        <v>3605</v>
      </c>
      <c r="B961" s="504" t="s">
        <v>2468</v>
      </c>
      <c r="C961" s="502" t="s">
        <v>109</v>
      </c>
      <c r="D961" s="503" t="s">
        <v>10145</v>
      </c>
      <c r="F961" t="str">
        <f t="shared" si="29"/>
        <v>88858</v>
      </c>
      <c r="H961" s="14">
        <f t="shared" si="30"/>
        <v>9.81</v>
      </c>
    </row>
    <row r="962" spans="1:8" ht="69">
      <c r="A962" s="502" t="s">
        <v>3607</v>
      </c>
      <c r="B962" s="504" t="s">
        <v>2469</v>
      </c>
      <c r="C962" s="502" t="s">
        <v>109</v>
      </c>
      <c r="D962" s="503" t="s">
        <v>10233</v>
      </c>
      <c r="F962" t="str">
        <f t="shared" si="29"/>
        <v>88859</v>
      </c>
      <c r="H962" s="14">
        <f t="shared" si="30"/>
        <v>33.020000000000003</v>
      </c>
    </row>
    <row r="963" spans="1:8" ht="69">
      <c r="A963" s="502" t="s">
        <v>3609</v>
      </c>
      <c r="B963" s="504" t="s">
        <v>2470</v>
      </c>
      <c r="C963" s="502" t="s">
        <v>109</v>
      </c>
      <c r="D963" s="503" t="s">
        <v>3787</v>
      </c>
      <c r="F963" t="str">
        <f t="shared" si="29"/>
        <v>88860</v>
      </c>
      <c r="H963" s="14">
        <f t="shared" si="30"/>
        <v>8.7100000000000009</v>
      </c>
    </row>
    <row r="964" spans="1:8" ht="41.4">
      <c r="A964" s="502" t="s">
        <v>3610</v>
      </c>
      <c r="B964" s="504" t="s">
        <v>1993</v>
      </c>
      <c r="C964" s="502" t="s">
        <v>109</v>
      </c>
      <c r="D964" s="503" t="s">
        <v>31025</v>
      </c>
      <c r="F964" t="str">
        <f t="shared" si="29"/>
        <v>88900</v>
      </c>
      <c r="H964" s="14">
        <f t="shared" si="30"/>
        <v>70.78</v>
      </c>
    </row>
    <row r="965" spans="1:8" ht="41.4">
      <c r="A965" s="502" t="s">
        <v>3611</v>
      </c>
      <c r="B965" s="504" t="s">
        <v>1994</v>
      </c>
      <c r="C965" s="502" t="s">
        <v>109</v>
      </c>
      <c r="D965" s="503" t="s">
        <v>3902</v>
      </c>
      <c r="F965" t="str">
        <f t="shared" ref="F965:F1028" si="31">TRIM(A965)</f>
        <v>88902</v>
      </c>
      <c r="H965" s="14">
        <f t="shared" ref="H965:H1028" si="32">ROUND(D965*(1+$H$1),2)</f>
        <v>18.71</v>
      </c>
    </row>
    <row r="966" spans="1:8" ht="41.4">
      <c r="A966" s="502" t="s">
        <v>3612</v>
      </c>
      <c r="B966" s="504" t="s">
        <v>1995</v>
      </c>
      <c r="C966" s="502" t="s">
        <v>109</v>
      </c>
      <c r="D966" s="503" t="s">
        <v>31026</v>
      </c>
      <c r="F966" t="str">
        <f t="shared" si="31"/>
        <v>88903</v>
      </c>
      <c r="H966" s="14">
        <f t="shared" si="32"/>
        <v>88.49</v>
      </c>
    </row>
    <row r="967" spans="1:8" ht="41.4">
      <c r="A967" s="502" t="s">
        <v>3613</v>
      </c>
      <c r="B967" s="504" t="s">
        <v>1996</v>
      </c>
      <c r="C967" s="502" t="s">
        <v>109</v>
      </c>
      <c r="D967" s="503" t="s">
        <v>31027</v>
      </c>
      <c r="F967" t="str">
        <f t="shared" si="31"/>
        <v>88904</v>
      </c>
      <c r="H967" s="14">
        <f t="shared" si="32"/>
        <v>119.35</v>
      </c>
    </row>
    <row r="968" spans="1:8" ht="41.4">
      <c r="A968" s="502" t="s">
        <v>3614</v>
      </c>
      <c r="B968" s="504" t="s">
        <v>2471</v>
      </c>
      <c r="C968" s="502" t="s">
        <v>109</v>
      </c>
      <c r="D968" s="503" t="s">
        <v>31028</v>
      </c>
      <c r="F968" t="str">
        <f t="shared" si="31"/>
        <v>89009</v>
      </c>
      <c r="H968" s="14">
        <f t="shared" si="32"/>
        <v>58.02</v>
      </c>
    </row>
    <row r="969" spans="1:8" ht="41.4">
      <c r="A969" s="502" t="s">
        <v>3615</v>
      </c>
      <c r="B969" s="504" t="s">
        <v>2472</v>
      </c>
      <c r="C969" s="502" t="s">
        <v>109</v>
      </c>
      <c r="D969" s="503" t="s">
        <v>28692</v>
      </c>
      <c r="F969" t="str">
        <f t="shared" si="31"/>
        <v>89010</v>
      </c>
      <c r="H969" s="14">
        <f t="shared" si="32"/>
        <v>25.56</v>
      </c>
    </row>
    <row r="970" spans="1:8" ht="69">
      <c r="A970" s="502" t="s">
        <v>3617</v>
      </c>
      <c r="B970" s="504" t="s">
        <v>2473</v>
      </c>
      <c r="C970" s="502" t="s">
        <v>109</v>
      </c>
      <c r="D970" s="503" t="s">
        <v>26610</v>
      </c>
      <c r="F970" t="str">
        <f t="shared" si="31"/>
        <v>89011</v>
      </c>
      <c r="H970" s="14">
        <f t="shared" si="32"/>
        <v>35.82</v>
      </c>
    </row>
    <row r="971" spans="1:8" ht="69">
      <c r="A971" s="502" t="s">
        <v>3618</v>
      </c>
      <c r="B971" s="504" t="s">
        <v>2474</v>
      </c>
      <c r="C971" s="502" t="s">
        <v>109</v>
      </c>
      <c r="D971" s="503" t="s">
        <v>25270</v>
      </c>
      <c r="F971" t="str">
        <f t="shared" si="31"/>
        <v>89012</v>
      </c>
      <c r="H971" s="14">
        <f t="shared" si="32"/>
        <v>9.4600000000000009</v>
      </c>
    </row>
    <row r="972" spans="1:8" ht="41.4">
      <c r="A972" s="502" t="s">
        <v>3619</v>
      </c>
      <c r="B972" s="504" t="s">
        <v>1997</v>
      </c>
      <c r="C972" s="502" t="s">
        <v>109</v>
      </c>
      <c r="D972" s="503" t="s">
        <v>31029</v>
      </c>
      <c r="F972" t="str">
        <f t="shared" si="31"/>
        <v>89013</v>
      </c>
      <c r="H972" s="14">
        <f t="shared" si="32"/>
        <v>190.03</v>
      </c>
    </row>
    <row r="973" spans="1:8" ht="41.4">
      <c r="A973" s="502" t="s">
        <v>3620</v>
      </c>
      <c r="B973" s="504" t="s">
        <v>1998</v>
      </c>
      <c r="C973" s="502" t="s">
        <v>109</v>
      </c>
      <c r="D973" s="503" t="s">
        <v>31030</v>
      </c>
      <c r="F973" t="str">
        <f t="shared" si="31"/>
        <v>89014</v>
      </c>
      <c r="H973" s="14">
        <f t="shared" si="32"/>
        <v>83.71</v>
      </c>
    </row>
    <row r="974" spans="1:8" ht="41.4">
      <c r="A974" s="502" t="s">
        <v>3621</v>
      </c>
      <c r="B974" s="504" t="s">
        <v>1999</v>
      </c>
      <c r="C974" s="502" t="s">
        <v>109</v>
      </c>
      <c r="D974" s="503" t="s">
        <v>31022</v>
      </c>
      <c r="F974" t="str">
        <f t="shared" si="31"/>
        <v>89015</v>
      </c>
      <c r="H974" s="14">
        <f t="shared" si="32"/>
        <v>4.9400000000000004</v>
      </c>
    </row>
    <row r="975" spans="1:8" ht="41.4">
      <c r="A975" s="502" t="s">
        <v>3623</v>
      </c>
      <c r="B975" s="504" t="s">
        <v>2000</v>
      </c>
      <c r="C975" s="502" t="s">
        <v>109</v>
      </c>
      <c r="D975" s="503" t="s">
        <v>4086</v>
      </c>
      <c r="F975" t="str">
        <f t="shared" si="31"/>
        <v>89016</v>
      </c>
      <c r="H975" s="14">
        <f t="shared" si="32"/>
        <v>1.31</v>
      </c>
    </row>
    <row r="976" spans="1:8" ht="41.4">
      <c r="A976" s="502" t="s">
        <v>3624</v>
      </c>
      <c r="B976" s="504" t="s">
        <v>2001</v>
      </c>
      <c r="C976" s="502" t="s">
        <v>109</v>
      </c>
      <c r="D976" s="503" t="s">
        <v>31031</v>
      </c>
      <c r="F976" t="str">
        <f t="shared" si="31"/>
        <v>89017</v>
      </c>
      <c r="H976" s="14">
        <f t="shared" si="32"/>
        <v>57.66</v>
      </c>
    </row>
    <row r="977" spans="1:8" ht="41.4">
      <c r="A977" s="502" t="s">
        <v>3625</v>
      </c>
      <c r="B977" s="504" t="s">
        <v>2002</v>
      </c>
      <c r="C977" s="502" t="s">
        <v>109</v>
      </c>
      <c r="D977" s="503" t="s">
        <v>25960</v>
      </c>
      <c r="F977" t="str">
        <f t="shared" si="31"/>
        <v>89018</v>
      </c>
      <c r="H977" s="14">
        <f t="shared" si="32"/>
        <v>25.4</v>
      </c>
    </row>
    <row r="978" spans="1:8" ht="55.2">
      <c r="A978" s="502" t="s">
        <v>3626</v>
      </c>
      <c r="B978" s="504" t="s">
        <v>28107</v>
      </c>
      <c r="C978" s="502" t="s">
        <v>109</v>
      </c>
      <c r="D978" s="503" t="s">
        <v>3717</v>
      </c>
      <c r="F978" t="str">
        <f t="shared" si="31"/>
        <v>89019</v>
      </c>
      <c r="H978" s="14">
        <f t="shared" si="32"/>
        <v>0.43</v>
      </c>
    </row>
    <row r="979" spans="1:8" ht="55.2">
      <c r="A979" s="502" t="s">
        <v>3627</v>
      </c>
      <c r="B979" s="504" t="s">
        <v>28108</v>
      </c>
      <c r="C979" s="502" t="s">
        <v>109</v>
      </c>
      <c r="D979" s="503" t="s">
        <v>3888</v>
      </c>
      <c r="F979" t="str">
        <f t="shared" si="31"/>
        <v>89020</v>
      </c>
      <c r="H979" s="14">
        <f t="shared" si="32"/>
        <v>0.09</v>
      </c>
    </row>
    <row r="980" spans="1:8" ht="27.6">
      <c r="A980" s="502" t="s">
        <v>3628</v>
      </c>
      <c r="B980" s="504" t="s">
        <v>28109</v>
      </c>
      <c r="C980" s="502" t="s">
        <v>109</v>
      </c>
      <c r="D980" s="503" t="s">
        <v>3795</v>
      </c>
      <c r="F980" t="str">
        <f t="shared" si="31"/>
        <v>89023</v>
      </c>
      <c r="H980" s="14">
        <f t="shared" si="32"/>
        <v>5.09</v>
      </c>
    </row>
    <row r="981" spans="1:8" ht="27.6">
      <c r="A981" s="502" t="s">
        <v>3629</v>
      </c>
      <c r="B981" s="504" t="s">
        <v>28111</v>
      </c>
      <c r="C981" s="502" t="s">
        <v>109</v>
      </c>
      <c r="D981" s="503" t="s">
        <v>28112</v>
      </c>
      <c r="F981" t="str">
        <f t="shared" si="31"/>
        <v>89024</v>
      </c>
      <c r="H981" s="14">
        <f t="shared" si="32"/>
        <v>1.76</v>
      </c>
    </row>
    <row r="982" spans="1:8" ht="27.6">
      <c r="A982" s="502" t="s">
        <v>3631</v>
      </c>
      <c r="B982" s="504" t="s">
        <v>28113</v>
      </c>
      <c r="C982" s="502" t="s">
        <v>109</v>
      </c>
      <c r="D982" s="503" t="s">
        <v>4084</v>
      </c>
      <c r="F982" t="str">
        <f t="shared" si="31"/>
        <v>89025</v>
      </c>
      <c r="H982" s="14">
        <f t="shared" si="32"/>
        <v>6.37</v>
      </c>
    </row>
    <row r="983" spans="1:8" ht="41.4">
      <c r="A983" s="502" t="s">
        <v>3633</v>
      </c>
      <c r="B983" s="504" t="s">
        <v>28114</v>
      </c>
      <c r="C983" s="502" t="s">
        <v>109</v>
      </c>
      <c r="D983" s="503" t="s">
        <v>31032</v>
      </c>
      <c r="F983" t="str">
        <f t="shared" si="31"/>
        <v>89026</v>
      </c>
      <c r="H983" s="14">
        <f t="shared" si="32"/>
        <v>226.92</v>
      </c>
    </row>
    <row r="984" spans="1:8" ht="41.4">
      <c r="A984" s="502" t="s">
        <v>3634</v>
      </c>
      <c r="B984" s="504" t="s">
        <v>2003</v>
      </c>
      <c r="C984" s="502" t="s">
        <v>109</v>
      </c>
      <c r="D984" s="503" t="s">
        <v>6921</v>
      </c>
      <c r="F984" t="str">
        <f t="shared" si="31"/>
        <v>89029</v>
      </c>
      <c r="H984" s="14">
        <f t="shared" si="32"/>
        <v>44.75</v>
      </c>
    </row>
    <row r="985" spans="1:8" ht="41.4">
      <c r="A985" s="502" t="s">
        <v>3635</v>
      </c>
      <c r="B985" s="504" t="s">
        <v>2004</v>
      </c>
      <c r="C985" s="502" t="s">
        <v>109</v>
      </c>
      <c r="D985" s="503" t="s">
        <v>10186</v>
      </c>
      <c r="F985" t="str">
        <f t="shared" si="31"/>
        <v>89030</v>
      </c>
      <c r="H985" s="14">
        <f t="shared" si="32"/>
        <v>19.71</v>
      </c>
    </row>
    <row r="986" spans="1:8" ht="27.6">
      <c r="A986" s="502" t="s">
        <v>3637</v>
      </c>
      <c r="B986" s="504" t="s">
        <v>1742</v>
      </c>
      <c r="C986" s="502" t="s">
        <v>109</v>
      </c>
      <c r="D986" s="503" t="s">
        <v>10185</v>
      </c>
      <c r="F986" t="str">
        <f t="shared" si="31"/>
        <v>89033</v>
      </c>
      <c r="H986" s="14">
        <f t="shared" si="32"/>
        <v>19.489999999999998</v>
      </c>
    </row>
    <row r="987" spans="1:8" ht="27.6">
      <c r="A987" s="502" t="s">
        <v>3638</v>
      </c>
      <c r="B987" s="504" t="s">
        <v>1743</v>
      </c>
      <c r="C987" s="502" t="s">
        <v>109</v>
      </c>
      <c r="D987" s="503" t="s">
        <v>31033</v>
      </c>
      <c r="F987" t="str">
        <f t="shared" si="31"/>
        <v>89034</v>
      </c>
      <c r="H987" s="14">
        <f t="shared" si="32"/>
        <v>5.22</v>
      </c>
    </row>
    <row r="988" spans="1:8" ht="41.4">
      <c r="A988" s="502" t="s">
        <v>3640</v>
      </c>
      <c r="B988" s="504" t="s">
        <v>2005</v>
      </c>
      <c r="C988" s="502" t="s">
        <v>109</v>
      </c>
      <c r="D988" s="503" t="s">
        <v>28967</v>
      </c>
      <c r="F988" t="str">
        <f t="shared" si="31"/>
        <v>89128</v>
      </c>
      <c r="H988" s="14">
        <f t="shared" si="32"/>
        <v>50.37</v>
      </c>
    </row>
    <row r="989" spans="1:8" ht="41.4">
      <c r="A989" s="502" t="s">
        <v>3641</v>
      </c>
      <c r="B989" s="504" t="s">
        <v>2006</v>
      </c>
      <c r="C989" s="502" t="s">
        <v>109</v>
      </c>
      <c r="D989" s="503" t="s">
        <v>30855</v>
      </c>
      <c r="F989" t="str">
        <f t="shared" si="31"/>
        <v>89129</v>
      </c>
      <c r="H989" s="14">
        <f t="shared" si="32"/>
        <v>13.31</v>
      </c>
    </row>
    <row r="990" spans="1:8" ht="41.4">
      <c r="A990" s="502" t="s">
        <v>3642</v>
      </c>
      <c r="B990" s="504" t="s">
        <v>2007</v>
      </c>
      <c r="C990" s="502" t="s">
        <v>109</v>
      </c>
      <c r="D990" s="503" t="s">
        <v>16939</v>
      </c>
      <c r="F990" t="str">
        <f t="shared" si="31"/>
        <v>89130</v>
      </c>
      <c r="H990" s="14">
        <f t="shared" si="32"/>
        <v>69.84</v>
      </c>
    </row>
    <row r="991" spans="1:8" ht="41.4">
      <c r="A991" s="502" t="s">
        <v>3643</v>
      </c>
      <c r="B991" s="504" t="s">
        <v>2008</v>
      </c>
      <c r="C991" s="502" t="s">
        <v>109</v>
      </c>
      <c r="D991" s="503" t="s">
        <v>31034</v>
      </c>
      <c r="F991" t="str">
        <f t="shared" si="31"/>
        <v>89131</v>
      </c>
      <c r="H991" s="14">
        <f t="shared" si="32"/>
        <v>18.46</v>
      </c>
    </row>
    <row r="992" spans="1:8" ht="55.2">
      <c r="A992" s="502" t="s">
        <v>3644</v>
      </c>
      <c r="B992" s="504" t="s">
        <v>2475</v>
      </c>
      <c r="C992" s="502" t="s">
        <v>109</v>
      </c>
      <c r="D992" s="503" t="s">
        <v>31035</v>
      </c>
      <c r="F992" t="str">
        <f t="shared" si="31"/>
        <v>89210</v>
      </c>
      <c r="H992" s="14">
        <f t="shared" si="32"/>
        <v>42.71</v>
      </c>
    </row>
    <row r="993" spans="1:8" ht="55.2">
      <c r="A993" s="502" t="s">
        <v>3646</v>
      </c>
      <c r="B993" s="504" t="s">
        <v>2476</v>
      </c>
      <c r="C993" s="502" t="s">
        <v>109</v>
      </c>
      <c r="D993" s="503" t="s">
        <v>2909</v>
      </c>
      <c r="F993" t="str">
        <f t="shared" si="31"/>
        <v>89211</v>
      </c>
      <c r="H993" s="14">
        <f t="shared" si="32"/>
        <v>11.46</v>
      </c>
    </row>
    <row r="994" spans="1:8" ht="41.4">
      <c r="A994" s="502" t="s">
        <v>3647</v>
      </c>
      <c r="B994" s="504" t="s">
        <v>1744</v>
      </c>
      <c r="C994" s="502" t="s">
        <v>109</v>
      </c>
      <c r="D994" s="503" t="s">
        <v>16277</v>
      </c>
      <c r="F994" t="str">
        <f t="shared" si="31"/>
        <v>89212</v>
      </c>
      <c r="H994" s="14">
        <f t="shared" si="32"/>
        <v>39.979999999999997</v>
      </c>
    </row>
    <row r="995" spans="1:8" ht="27.6">
      <c r="A995" s="502" t="s">
        <v>3648</v>
      </c>
      <c r="B995" s="504" t="s">
        <v>1745</v>
      </c>
      <c r="C995" s="502" t="s">
        <v>109</v>
      </c>
      <c r="D995" s="503" t="s">
        <v>10737</v>
      </c>
      <c r="F995" t="str">
        <f t="shared" si="31"/>
        <v>89213</v>
      </c>
      <c r="H995" s="14">
        <f t="shared" si="32"/>
        <v>12.33</v>
      </c>
    </row>
    <row r="996" spans="1:8" ht="41.4">
      <c r="A996" s="502" t="s">
        <v>3649</v>
      </c>
      <c r="B996" s="504" t="s">
        <v>1746</v>
      </c>
      <c r="C996" s="502" t="s">
        <v>109</v>
      </c>
      <c r="D996" s="503" t="s">
        <v>17761</v>
      </c>
      <c r="F996" t="str">
        <f t="shared" si="31"/>
        <v>89214</v>
      </c>
      <c r="H996" s="14">
        <f t="shared" si="32"/>
        <v>37.520000000000003</v>
      </c>
    </row>
    <row r="997" spans="1:8" ht="41.4">
      <c r="A997" s="502" t="s">
        <v>3650</v>
      </c>
      <c r="B997" s="504" t="s">
        <v>1747</v>
      </c>
      <c r="C997" s="502" t="s">
        <v>109</v>
      </c>
      <c r="D997" s="503" t="s">
        <v>28992</v>
      </c>
      <c r="F997" t="str">
        <f t="shared" si="31"/>
        <v>89215</v>
      </c>
      <c r="H997" s="14">
        <f t="shared" si="32"/>
        <v>123.24</v>
      </c>
    </row>
    <row r="998" spans="1:8" ht="41.4">
      <c r="A998" s="502" t="s">
        <v>3651</v>
      </c>
      <c r="B998" s="504" t="s">
        <v>28117</v>
      </c>
      <c r="C998" s="502" t="s">
        <v>109</v>
      </c>
      <c r="D998" s="503" t="s">
        <v>6471</v>
      </c>
      <c r="F998" t="str">
        <f t="shared" si="31"/>
        <v>89221</v>
      </c>
      <c r="H998" s="14">
        <f t="shared" si="32"/>
        <v>1.59</v>
      </c>
    </row>
    <row r="999" spans="1:8" ht="41.4">
      <c r="A999" s="502" t="s">
        <v>3652</v>
      </c>
      <c r="B999" s="504" t="s">
        <v>28118</v>
      </c>
      <c r="C999" s="502" t="s">
        <v>109</v>
      </c>
      <c r="D999" s="503" t="s">
        <v>3377</v>
      </c>
      <c r="F999" t="str">
        <f t="shared" si="31"/>
        <v>89222</v>
      </c>
      <c r="H999" s="14">
        <f t="shared" si="32"/>
        <v>0.36</v>
      </c>
    </row>
    <row r="1000" spans="1:8" ht="41.4">
      <c r="A1000" s="502" t="s">
        <v>3653</v>
      </c>
      <c r="B1000" s="504" t="s">
        <v>28119</v>
      </c>
      <c r="C1000" s="502" t="s">
        <v>109</v>
      </c>
      <c r="D1000" s="503" t="s">
        <v>6990</v>
      </c>
      <c r="F1000" t="str">
        <f t="shared" si="31"/>
        <v>89223</v>
      </c>
      <c r="H1000" s="14">
        <f t="shared" si="32"/>
        <v>1.73</v>
      </c>
    </row>
    <row r="1001" spans="1:8" ht="55.2">
      <c r="A1001" s="502" t="s">
        <v>3654</v>
      </c>
      <c r="B1001" s="504" t="s">
        <v>28120</v>
      </c>
      <c r="C1001" s="502" t="s">
        <v>109</v>
      </c>
      <c r="D1001" s="503" t="s">
        <v>17356</v>
      </c>
      <c r="F1001" t="str">
        <f t="shared" si="31"/>
        <v>89224</v>
      </c>
      <c r="H1001" s="14">
        <f t="shared" si="32"/>
        <v>2.86</v>
      </c>
    </row>
    <row r="1002" spans="1:8" ht="41.4">
      <c r="A1002" s="502" t="s">
        <v>3655</v>
      </c>
      <c r="B1002" s="504" t="s">
        <v>1748</v>
      </c>
      <c r="C1002" s="502" t="s">
        <v>109</v>
      </c>
      <c r="D1002" s="503" t="s">
        <v>28121</v>
      </c>
      <c r="F1002" t="str">
        <f t="shared" si="31"/>
        <v>89228</v>
      </c>
      <c r="H1002" s="14">
        <f t="shared" si="32"/>
        <v>69.290000000000006</v>
      </c>
    </row>
    <row r="1003" spans="1:8" ht="41.4">
      <c r="A1003" s="502" t="s">
        <v>3656</v>
      </c>
      <c r="B1003" s="504" t="s">
        <v>1749</v>
      </c>
      <c r="C1003" s="502" t="s">
        <v>109</v>
      </c>
      <c r="D1003" s="503" t="s">
        <v>9517</v>
      </c>
      <c r="F1003" t="str">
        <f t="shared" si="31"/>
        <v>89229</v>
      </c>
      <c r="H1003" s="14">
        <f t="shared" si="32"/>
        <v>24.42</v>
      </c>
    </row>
    <row r="1004" spans="1:8" ht="41.4">
      <c r="A1004" s="502" t="s">
        <v>3658</v>
      </c>
      <c r="B1004" s="504" t="s">
        <v>2009</v>
      </c>
      <c r="C1004" s="502" t="s">
        <v>109</v>
      </c>
      <c r="D1004" s="503" t="s">
        <v>31036</v>
      </c>
      <c r="F1004" t="str">
        <f t="shared" si="31"/>
        <v>89230</v>
      </c>
      <c r="H1004" s="14">
        <f t="shared" si="32"/>
        <v>160.05000000000001</v>
      </c>
    </row>
    <row r="1005" spans="1:8" ht="41.4">
      <c r="A1005" s="502" t="s">
        <v>3659</v>
      </c>
      <c r="B1005" s="504" t="s">
        <v>2010</v>
      </c>
      <c r="C1005" s="502" t="s">
        <v>109</v>
      </c>
      <c r="D1005" s="503" t="s">
        <v>30253</v>
      </c>
      <c r="F1005" t="str">
        <f t="shared" si="31"/>
        <v>89231</v>
      </c>
      <c r="H1005" s="14">
        <f t="shared" si="32"/>
        <v>49.01</v>
      </c>
    </row>
    <row r="1006" spans="1:8" ht="41.4">
      <c r="A1006" s="502" t="s">
        <v>3660</v>
      </c>
      <c r="B1006" s="504" t="s">
        <v>2011</v>
      </c>
      <c r="C1006" s="502" t="s">
        <v>109</v>
      </c>
      <c r="D1006" s="503" t="s">
        <v>31037</v>
      </c>
      <c r="F1006" t="str">
        <f t="shared" si="31"/>
        <v>89232</v>
      </c>
      <c r="H1006" s="14">
        <f t="shared" si="32"/>
        <v>285.49</v>
      </c>
    </row>
    <row r="1007" spans="1:8" ht="41.4">
      <c r="A1007" s="502" t="s">
        <v>3661</v>
      </c>
      <c r="B1007" s="504" t="s">
        <v>2012</v>
      </c>
      <c r="C1007" s="502" t="s">
        <v>109</v>
      </c>
      <c r="D1007" s="503" t="s">
        <v>31038</v>
      </c>
      <c r="F1007" t="str">
        <f t="shared" si="31"/>
        <v>89233</v>
      </c>
      <c r="H1007" s="14">
        <f t="shared" si="32"/>
        <v>221.81</v>
      </c>
    </row>
    <row r="1008" spans="1:8" ht="41.4">
      <c r="A1008" s="502" t="s">
        <v>3662</v>
      </c>
      <c r="B1008" s="504" t="s">
        <v>2013</v>
      </c>
      <c r="C1008" s="502" t="s">
        <v>109</v>
      </c>
      <c r="D1008" s="503" t="s">
        <v>31039</v>
      </c>
      <c r="F1008" t="str">
        <f t="shared" si="31"/>
        <v>89236</v>
      </c>
      <c r="H1008" s="14">
        <f t="shared" si="32"/>
        <v>373.87</v>
      </c>
    </row>
    <row r="1009" spans="1:8" ht="41.4">
      <c r="A1009" s="502" t="s">
        <v>3663</v>
      </c>
      <c r="B1009" s="504" t="s">
        <v>2014</v>
      </c>
      <c r="C1009" s="502" t="s">
        <v>109</v>
      </c>
      <c r="D1009" s="503" t="s">
        <v>31040</v>
      </c>
      <c r="F1009" t="str">
        <f t="shared" si="31"/>
        <v>89237</v>
      </c>
      <c r="H1009" s="14">
        <f t="shared" si="32"/>
        <v>114.48</v>
      </c>
    </row>
    <row r="1010" spans="1:8" ht="41.4">
      <c r="A1010" s="502" t="s">
        <v>3664</v>
      </c>
      <c r="B1010" s="504" t="s">
        <v>2015</v>
      </c>
      <c r="C1010" s="502" t="s">
        <v>109</v>
      </c>
      <c r="D1010" s="503" t="s">
        <v>31041</v>
      </c>
      <c r="F1010" t="str">
        <f t="shared" si="31"/>
        <v>89238</v>
      </c>
      <c r="H1010" s="14">
        <f t="shared" si="32"/>
        <v>666.89</v>
      </c>
    </row>
    <row r="1011" spans="1:8" ht="41.4">
      <c r="A1011" s="502" t="s">
        <v>3665</v>
      </c>
      <c r="B1011" s="504" t="s">
        <v>2016</v>
      </c>
      <c r="C1011" s="502" t="s">
        <v>109</v>
      </c>
      <c r="D1011" s="503" t="s">
        <v>31042</v>
      </c>
      <c r="F1011" t="str">
        <f t="shared" si="31"/>
        <v>89239</v>
      </c>
      <c r="H1011" s="14">
        <f t="shared" si="32"/>
        <v>586.57000000000005</v>
      </c>
    </row>
    <row r="1012" spans="1:8" ht="41.4">
      <c r="A1012" s="502" t="s">
        <v>3666</v>
      </c>
      <c r="B1012" s="504" t="s">
        <v>2477</v>
      </c>
      <c r="C1012" s="502" t="s">
        <v>109</v>
      </c>
      <c r="D1012" s="503" t="s">
        <v>28285</v>
      </c>
      <c r="F1012" t="str">
        <f t="shared" si="31"/>
        <v>89240</v>
      </c>
      <c r="H1012" s="14">
        <f t="shared" si="32"/>
        <v>114.74</v>
      </c>
    </row>
    <row r="1013" spans="1:8" ht="41.4">
      <c r="A1013" s="502" t="s">
        <v>3667</v>
      </c>
      <c r="B1013" s="504" t="s">
        <v>2478</v>
      </c>
      <c r="C1013" s="502" t="s">
        <v>109</v>
      </c>
      <c r="D1013" s="503" t="s">
        <v>10699</v>
      </c>
      <c r="F1013" t="str">
        <f t="shared" si="31"/>
        <v>89241</v>
      </c>
      <c r="H1013" s="14">
        <f t="shared" si="32"/>
        <v>40.44</v>
      </c>
    </row>
    <row r="1014" spans="1:8" ht="41.4">
      <c r="A1014" s="502" t="s">
        <v>3668</v>
      </c>
      <c r="B1014" s="504" t="s">
        <v>1750</v>
      </c>
      <c r="C1014" s="502" t="s">
        <v>109</v>
      </c>
      <c r="D1014" s="503" t="s">
        <v>31043</v>
      </c>
      <c r="F1014" t="str">
        <f t="shared" si="31"/>
        <v>89246</v>
      </c>
      <c r="H1014" s="14">
        <f t="shared" si="32"/>
        <v>324.88</v>
      </c>
    </row>
    <row r="1015" spans="1:8" ht="41.4">
      <c r="A1015" s="502" t="s">
        <v>3669</v>
      </c>
      <c r="B1015" s="504" t="s">
        <v>1751</v>
      </c>
      <c r="C1015" s="502" t="s">
        <v>109</v>
      </c>
      <c r="D1015" s="503" t="s">
        <v>31044</v>
      </c>
      <c r="F1015" t="str">
        <f t="shared" si="31"/>
        <v>89247</v>
      </c>
      <c r="H1015" s="14">
        <f t="shared" si="32"/>
        <v>99.47</v>
      </c>
    </row>
    <row r="1016" spans="1:8" ht="41.4">
      <c r="A1016" s="502" t="s">
        <v>3670</v>
      </c>
      <c r="B1016" s="504" t="s">
        <v>1752</v>
      </c>
      <c r="C1016" s="502" t="s">
        <v>109</v>
      </c>
      <c r="D1016" s="503" t="s">
        <v>31045</v>
      </c>
      <c r="F1016" t="str">
        <f t="shared" si="31"/>
        <v>89248</v>
      </c>
      <c r="H1016" s="14">
        <f t="shared" si="32"/>
        <v>579.49</v>
      </c>
    </row>
    <row r="1017" spans="1:8" ht="41.4">
      <c r="A1017" s="502" t="s">
        <v>3671</v>
      </c>
      <c r="B1017" s="504" t="s">
        <v>1753</v>
      </c>
      <c r="C1017" s="502" t="s">
        <v>109</v>
      </c>
      <c r="D1017" s="503" t="s">
        <v>31046</v>
      </c>
      <c r="F1017" t="str">
        <f t="shared" si="31"/>
        <v>89249</v>
      </c>
      <c r="H1017" s="14">
        <f t="shared" si="32"/>
        <v>500.01</v>
      </c>
    </row>
    <row r="1018" spans="1:8" ht="41.4">
      <c r="A1018" s="502" t="s">
        <v>3672</v>
      </c>
      <c r="B1018" s="504" t="s">
        <v>2479</v>
      </c>
      <c r="C1018" s="502" t="s">
        <v>109</v>
      </c>
      <c r="D1018" s="503" t="s">
        <v>22882</v>
      </c>
      <c r="F1018" t="str">
        <f t="shared" si="31"/>
        <v>89253</v>
      </c>
      <c r="H1018" s="14">
        <f t="shared" si="32"/>
        <v>94.02</v>
      </c>
    </row>
    <row r="1019" spans="1:8" ht="41.4">
      <c r="A1019" s="502" t="s">
        <v>3673</v>
      </c>
      <c r="B1019" s="504" t="s">
        <v>2480</v>
      </c>
      <c r="C1019" s="502" t="s">
        <v>109</v>
      </c>
      <c r="D1019" s="503" t="s">
        <v>27885</v>
      </c>
      <c r="F1019" t="str">
        <f t="shared" si="31"/>
        <v>89254</v>
      </c>
      <c r="H1019" s="14">
        <f t="shared" si="32"/>
        <v>33.14</v>
      </c>
    </row>
    <row r="1020" spans="1:8" ht="41.4">
      <c r="A1020" s="502" t="s">
        <v>3674</v>
      </c>
      <c r="B1020" s="504" t="s">
        <v>2481</v>
      </c>
      <c r="C1020" s="502" t="s">
        <v>109</v>
      </c>
      <c r="D1020" s="503" t="s">
        <v>31047</v>
      </c>
      <c r="F1020" t="str">
        <f t="shared" si="31"/>
        <v>89255</v>
      </c>
      <c r="H1020" s="14">
        <f t="shared" si="32"/>
        <v>151.15</v>
      </c>
    </row>
    <row r="1021" spans="1:8" ht="55.2">
      <c r="A1021" s="502" t="s">
        <v>3675</v>
      </c>
      <c r="B1021" s="504" t="s">
        <v>2482</v>
      </c>
      <c r="C1021" s="502" t="s">
        <v>109</v>
      </c>
      <c r="D1021" s="503" t="s">
        <v>31048</v>
      </c>
      <c r="F1021" t="str">
        <f t="shared" si="31"/>
        <v>89256</v>
      </c>
      <c r="H1021" s="14">
        <f t="shared" si="32"/>
        <v>112.53</v>
      </c>
    </row>
    <row r="1022" spans="1:8" ht="69">
      <c r="A1022" s="502" t="s">
        <v>3676</v>
      </c>
      <c r="B1022" s="504" t="s">
        <v>2017</v>
      </c>
      <c r="C1022" s="502" t="s">
        <v>109</v>
      </c>
      <c r="D1022" s="503" t="s">
        <v>28125</v>
      </c>
      <c r="F1022" t="str">
        <f t="shared" si="31"/>
        <v>89259</v>
      </c>
      <c r="H1022" s="14">
        <f t="shared" si="32"/>
        <v>36.4</v>
      </c>
    </row>
    <row r="1023" spans="1:8" ht="69">
      <c r="A1023" s="502" t="s">
        <v>3677</v>
      </c>
      <c r="B1023" s="504" t="s">
        <v>2018</v>
      </c>
      <c r="C1023" s="502" t="s">
        <v>109</v>
      </c>
      <c r="D1023" s="503" t="s">
        <v>7337</v>
      </c>
      <c r="F1023" t="str">
        <f t="shared" si="31"/>
        <v>89260</v>
      </c>
      <c r="H1023" s="14">
        <f t="shared" si="32"/>
        <v>13.36</v>
      </c>
    </row>
    <row r="1024" spans="1:8" ht="69">
      <c r="A1024" s="502" t="s">
        <v>3678</v>
      </c>
      <c r="B1024" s="504" t="s">
        <v>2019</v>
      </c>
      <c r="C1024" s="502" t="s">
        <v>109</v>
      </c>
      <c r="D1024" s="503" t="s">
        <v>28126</v>
      </c>
      <c r="F1024" t="str">
        <f t="shared" si="31"/>
        <v>89262</v>
      </c>
      <c r="H1024" s="14">
        <f t="shared" si="32"/>
        <v>61.61</v>
      </c>
    </row>
    <row r="1025" spans="1:8" ht="69">
      <c r="A1025" s="502" t="s">
        <v>3679</v>
      </c>
      <c r="B1025" s="504" t="s">
        <v>2483</v>
      </c>
      <c r="C1025" s="502" t="s">
        <v>109</v>
      </c>
      <c r="D1025" s="503" t="s">
        <v>16233</v>
      </c>
      <c r="F1025" t="str">
        <f t="shared" si="31"/>
        <v>89264</v>
      </c>
      <c r="H1025" s="14">
        <f t="shared" si="32"/>
        <v>28.17</v>
      </c>
    </row>
    <row r="1026" spans="1:8" ht="69">
      <c r="A1026" s="502" t="s">
        <v>3681</v>
      </c>
      <c r="B1026" s="504" t="s">
        <v>2484</v>
      </c>
      <c r="C1026" s="502" t="s">
        <v>109</v>
      </c>
      <c r="D1026" s="503" t="s">
        <v>31049</v>
      </c>
      <c r="F1026" t="str">
        <f t="shared" si="31"/>
        <v>89265</v>
      </c>
      <c r="H1026" s="14">
        <f t="shared" si="32"/>
        <v>11.22</v>
      </c>
    </row>
    <row r="1027" spans="1:8" ht="69">
      <c r="A1027" s="502" t="s">
        <v>3682</v>
      </c>
      <c r="B1027" s="504" t="s">
        <v>2485</v>
      </c>
      <c r="C1027" s="502" t="s">
        <v>109</v>
      </c>
      <c r="D1027" s="503" t="s">
        <v>31050</v>
      </c>
      <c r="F1027" t="str">
        <f t="shared" si="31"/>
        <v>89266</v>
      </c>
      <c r="H1027" s="14">
        <f t="shared" si="32"/>
        <v>4.53</v>
      </c>
    </row>
    <row r="1028" spans="1:8" ht="55.2">
      <c r="A1028" s="502" t="s">
        <v>3684</v>
      </c>
      <c r="B1028" s="504" t="s">
        <v>2486</v>
      </c>
      <c r="C1028" s="502" t="s">
        <v>109</v>
      </c>
      <c r="D1028" s="503" t="s">
        <v>23693</v>
      </c>
      <c r="F1028" t="str">
        <f t="shared" si="31"/>
        <v>89267</v>
      </c>
      <c r="H1028" s="14">
        <f t="shared" si="32"/>
        <v>69.569999999999993</v>
      </c>
    </row>
    <row r="1029" spans="1:8" ht="41.4">
      <c r="A1029" s="502" t="s">
        <v>3685</v>
      </c>
      <c r="B1029" s="504" t="s">
        <v>2487</v>
      </c>
      <c r="C1029" s="502" t="s">
        <v>109</v>
      </c>
      <c r="D1029" s="503" t="s">
        <v>15858</v>
      </c>
      <c r="F1029" t="str">
        <f t="shared" ref="F1029:F1092" si="33">TRIM(A1029)</f>
        <v>89268</v>
      </c>
      <c r="H1029" s="14">
        <f t="shared" ref="H1029:H1092" si="34">ROUND(D1029*(1+$H$1),2)</f>
        <v>24.52</v>
      </c>
    </row>
    <row r="1030" spans="1:8" ht="55.2">
      <c r="A1030" s="502" t="s">
        <v>3687</v>
      </c>
      <c r="B1030" s="504" t="s">
        <v>2488</v>
      </c>
      <c r="C1030" s="502" t="s">
        <v>109</v>
      </c>
      <c r="D1030" s="503" t="s">
        <v>7515</v>
      </c>
      <c r="F1030" t="str">
        <f t="shared" si="33"/>
        <v>89269</v>
      </c>
      <c r="H1030" s="14">
        <f t="shared" si="34"/>
        <v>9.91</v>
      </c>
    </row>
    <row r="1031" spans="1:8" ht="55.2">
      <c r="A1031" s="502" t="s">
        <v>3688</v>
      </c>
      <c r="B1031" s="504" t="s">
        <v>2489</v>
      </c>
      <c r="C1031" s="502" t="s">
        <v>109</v>
      </c>
      <c r="D1031" s="503" t="s">
        <v>28127</v>
      </c>
      <c r="F1031" t="str">
        <f t="shared" si="33"/>
        <v>89270</v>
      </c>
      <c r="H1031" s="14">
        <f t="shared" si="34"/>
        <v>111.85</v>
      </c>
    </row>
    <row r="1032" spans="1:8" ht="55.2">
      <c r="A1032" s="502" t="s">
        <v>3689</v>
      </c>
      <c r="B1032" s="504" t="s">
        <v>2490</v>
      </c>
      <c r="C1032" s="502" t="s">
        <v>109</v>
      </c>
      <c r="D1032" s="503" t="s">
        <v>16195</v>
      </c>
      <c r="F1032" t="str">
        <f t="shared" si="33"/>
        <v>89271</v>
      </c>
      <c r="H1032" s="14">
        <f t="shared" si="34"/>
        <v>38.51</v>
      </c>
    </row>
    <row r="1033" spans="1:8" ht="41.4">
      <c r="A1033" s="502" t="s">
        <v>3690</v>
      </c>
      <c r="B1033" s="504" t="s">
        <v>28128</v>
      </c>
      <c r="C1033" s="502" t="s">
        <v>109</v>
      </c>
      <c r="D1033" s="503" t="s">
        <v>3715</v>
      </c>
      <c r="F1033" t="str">
        <f t="shared" si="33"/>
        <v>89274</v>
      </c>
      <c r="H1033" s="14">
        <f t="shared" si="34"/>
        <v>1.93</v>
      </c>
    </row>
    <row r="1034" spans="1:8" ht="41.4">
      <c r="A1034" s="502" t="s">
        <v>3691</v>
      </c>
      <c r="B1034" s="504" t="s">
        <v>28129</v>
      </c>
      <c r="C1034" s="502" t="s">
        <v>109</v>
      </c>
      <c r="D1034" s="503" t="s">
        <v>6906</v>
      </c>
      <c r="F1034" t="str">
        <f t="shared" si="33"/>
        <v>89275</v>
      </c>
      <c r="H1034" s="14">
        <f t="shared" si="34"/>
        <v>0.44</v>
      </c>
    </row>
    <row r="1035" spans="1:8" ht="41.4">
      <c r="A1035" s="502" t="s">
        <v>3692</v>
      </c>
      <c r="B1035" s="504" t="s">
        <v>28130</v>
      </c>
      <c r="C1035" s="502" t="s">
        <v>109</v>
      </c>
      <c r="D1035" s="503" t="s">
        <v>3719</v>
      </c>
      <c r="F1035" t="str">
        <f t="shared" si="33"/>
        <v>89276</v>
      </c>
      <c r="H1035" s="14">
        <f t="shared" si="34"/>
        <v>2.41</v>
      </c>
    </row>
    <row r="1036" spans="1:8" ht="41.4">
      <c r="A1036" s="502" t="s">
        <v>3693</v>
      </c>
      <c r="B1036" s="504" t="s">
        <v>28131</v>
      </c>
      <c r="C1036" s="502" t="s">
        <v>109</v>
      </c>
      <c r="D1036" s="503" t="s">
        <v>3189</v>
      </c>
      <c r="F1036" t="str">
        <f t="shared" si="33"/>
        <v>89277</v>
      </c>
      <c r="H1036" s="14">
        <f t="shared" si="34"/>
        <v>11.11</v>
      </c>
    </row>
    <row r="1037" spans="1:8" ht="41.4">
      <c r="A1037" s="502" t="s">
        <v>3695</v>
      </c>
      <c r="B1037" s="504" t="s">
        <v>2020</v>
      </c>
      <c r="C1037" s="502" t="s">
        <v>109</v>
      </c>
      <c r="D1037" s="503" t="s">
        <v>28148</v>
      </c>
      <c r="F1037" t="str">
        <f t="shared" si="33"/>
        <v>89280</v>
      </c>
      <c r="H1037" s="14">
        <f t="shared" si="34"/>
        <v>52.45</v>
      </c>
    </row>
    <row r="1038" spans="1:8" ht="41.4">
      <c r="A1038" s="502" t="s">
        <v>3696</v>
      </c>
      <c r="B1038" s="504" t="s">
        <v>2021</v>
      </c>
      <c r="C1038" s="502" t="s">
        <v>109</v>
      </c>
      <c r="D1038" s="503" t="s">
        <v>11661</v>
      </c>
      <c r="F1038" t="str">
        <f t="shared" si="33"/>
        <v>89281</v>
      </c>
      <c r="H1038" s="14">
        <f t="shared" si="34"/>
        <v>14.07</v>
      </c>
    </row>
    <row r="1039" spans="1:8" ht="55.2">
      <c r="A1039" s="502" t="s">
        <v>3697</v>
      </c>
      <c r="B1039" s="504" t="s">
        <v>2491</v>
      </c>
      <c r="C1039" s="502" t="s">
        <v>109</v>
      </c>
      <c r="D1039" s="503" t="s">
        <v>31051</v>
      </c>
      <c r="F1039" t="str">
        <f t="shared" si="33"/>
        <v>89870</v>
      </c>
      <c r="H1039" s="14">
        <f t="shared" si="34"/>
        <v>54.06</v>
      </c>
    </row>
    <row r="1040" spans="1:8" ht="55.2">
      <c r="A1040" s="502" t="s">
        <v>3698</v>
      </c>
      <c r="B1040" s="504" t="s">
        <v>2492</v>
      </c>
      <c r="C1040" s="502" t="s">
        <v>109</v>
      </c>
      <c r="D1040" s="503" t="s">
        <v>6395</v>
      </c>
      <c r="F1040" t="str">
        <f t="shared" si="33"/>
        <v>89871</v>
      </c>
      <c r="H1040" s="14">
        <f t="shared" si="34"/>
        <v>18.97</v>
      </c>
    </row>
    <row r="1041" spans="1:8" ht="55.2">
      <c r="A1041" s="502" t="s">
        <v>3700</v>
      </c>
      <c r="B1041" s="504" t="s">
        <v>2493</v>
      </c>
      <c r="C1041" s="502" t="s">
        <v>109</v>
      </c>
      <c r="D1041" s="503" t="s">
        <v>6349</v>
      </c>
      <c r="F1041" t="str">
        <f t="shared" si="33"/>
        <v>89872</v>
      </c>
      <c r="H1041" s="14">
        <f t="shared" si="34"/>
        <v>7.66</v>
      </c>
    </row>
    <row r="1042" spans="1:8" ht="55.2">
      <c r="A1042" s="502" t="s">
        <v>3702</v>
      </c>
      <c r="B1042" s="504" t="s">
        <v>2494</v>
      </c>
      <c r="C1042" s="502" t="s">
        <v>109</v>
      </c>
      <c r="D1042" s="503" t="s">
        <v>31052</v>
      </c>
      <c r="F1042" t="str">
        <f t="shared" si="33"/>
        <v>89873</v>
      </c>
      <c r="H1042" s="14">
        <f t="shared" si="34"/>
        <v>92.38</v>
      </c>
    </row>
    <row r="1043" spans="1:8" ht="55.2">
      <c r="A1043" s="502" t="s">
        <v>3703</v>
      </c>
      <c r="B1043" s="504" t="s">
        <v>2495</v>
      </c>
      <c r="C1043" s="502" t="s">
        <v>109</v>
      </c>
      <c r="D1043" s="503" t="s">
        <v>17850</v>
      </c>
      <c r="F1043" t="str">
        <f t="shared" si="33"/>
        <v>89874</v>
      </c>
      <c r="H1043" s="14">
        <f t="shared" si="34"/>
        <v>234.04</v>
      </c>
    </row>
    <row r="1044" spans="1:8" ht="55.2">
      <c r="A1044" s="502" t="s">
        <v>3704</v>
      </c>
      <c r="B1044" s="504" t="s">
        <v>2496</v>
      </c>
      <c r="C1044" s="502" t="s">
        <v>109</v>
      </c>
      <c r="D1044" s="503" t="s">
        <v>29573</v>
      </c>
      <c r="F1044" t="str">
        <f t="shared" si="33"/>
        <v>89878</v>
      </c>
      <c r="H1044" s="14">
        <f t="shared" si="34"/>
        <v>57.91</v>
      </c>
    </row>
    <row r="1045" spans="1:8" ht="55.2">
      <c r="A1045" s="502" t="s">
        <v>3705</v>
      </c>
      <c r="B1045" s="504" t="s">
        <v>2497</v>
      </c>
      <c r="C1045" s="502" t="s">
        <v>109</v>
      </c>
      <c r="D1045" s="503" t="s">
        <v>9475</v>
      </c>
      <c r="F1045" t="str">
        <f t="shared" si="33"/>
        <v>89879</v>
      </c>
      <c r="H1045" s="14">
        <f t="shared" si="34"/>
        <v>19.97</v>
      </c>
    </row>
    <row r="1046" spans="1:8" ht="55.2">
      <c r="A1046" s="502" t="s">
        <v>3706</v>
      </c>
      <c r="B1046" s="504" t="s">
        <v>2498</v>
      </c>
      <c r="C1046" s="502" t="s">
        <v>109</v>
      </c>
      <c r="D1046" s="503" t="s">
        <v>16164</v>
      </c>
      <c r="F1046" t="str">
        <f t="shared" si="33"/>
        <v>89880</v>
      </c>
      <c r="H1046" s="14">
        <f t="shared" si="34"/>
        <v>8.06</v>
      </c>
    </row>
    <row r="1047" spans="1:8" ht="55.2">
      <c r="A1047" s="502" t="s">
        <v>3707</v>
      </c>
      <c r="B1047" s="504" t="s">
        <v>2499</v>
      </c>
      <c r="C1047" s="502" t="s">
        <v>109</v>
      </c>
      <c r="D1047" s="503" t="s">
        <v>23879</v>
      </c>
      <c r="F1047" t="str">
        <f t="shared" si="33"/>
        <v>89881</v>
      </c>
      <c r="H1047" s="14">
        <f t="shared" si="34"/>
        <v>97.98</v>
      </c>
    </row>
    <row r="1048" spans="1:8" ht="55.2">
      <c r="A1048" s="502" t="s">
        <v>3708</v>
      </c>
      <c r="B1048" s="504" t="s">
        <v>2500</v>
      </c>
      <c r="C1048" s="502" t="s">
        <v>109</v>
      </c>
      <c r="D1048" s="503" t="s">
        <v>31053</v>
      </c>
      <c r="F1048" t="str">
        <f t="shared" si="33"/>
        <v>89882</v>
      </c>
      <c r="H1048" s="14">
        <f t="shared" si="34"/>
        <v>270.02</v>
      </c>
    </row>
    <row r="1049" spans="1:8" ht="41.4">
      <c r="A1049" s="502" t="s">
        <v>3709</v>
      </c>
      <c r="B1049" s="504" t="s">
        <v>2022</v>
      </c>
      <c r="C1049" s="502" t="s">
        <v>109</v>
      </c>
      <c r="D1049" s="503" t="s">
        <v>3805</v>
      </c>
      <c r="F1049" t="str">
        <f t="shared" si="33"/>
        <v>90582</v>
      </c>
      <c r="H1049" s="14">
        <f t="shared" si="34"/>
        <v>0.56999999999999995</v>
      </c>
    </row>
    <row r="1050" spans="1:8" ht="41.4">
      <c r="A1050" s="502" t="s">
        <v>3711</v>
      </c>
      <c r="B1050" s="504" t="s">
        <v>2023</v>
      </c>
      <c r="C1050" s="502" t="s">
        <v>109</v>
      </c>
      <c r="D1050" s="503" t="s">
        <v>3558</v>
      </c>
      <c r="F1050" t="str">
        <f t="shared" si="33"/>
        <v>90583</v>
      </c>
      <c r="H1050" s="14">
        <f t="shared" si="34"/>
        <v>0.13</v>
      </c>
    </row>
    <row r="1051" spans="1:8" ht="41.4">
      <c r="A1051" s="502" t="s">
        <v>3712</v>
      </c>
      <c r="B1051" s="504" t="s">
        <v>2024</v>
      </c>
      <c r="C1051" s="502" t="s">
        <v>109</v>
      </c>
      <c r="D1051" s="503" t="s">
        <v>6906</v>
      </c>
      <c r="F1051" t="str">
        <f t="shared" si="33"/>
        <v>90584</v>
      </c>
      <c r="H1051" s="14">
        <f t="shared" si="34"/>
        <v>0.44</v>
      </c>
    </row>
    <row r="1052" spans="1:8" ht="41.4">
      <c r="A1052" s="502" t="s">
        <v>3713</v>
      </c>
      <c r="B1052" s="504" t="s">
        <v>2025</v>
      </c>
      <c r="C1052" s="502" t="s">
        <v>109</v>
      </c>
      <c r="D1052" s="503" t="s">
        <v>3568</v>
      </c>
      <c r="F1052" t="str">
        <f t="shared" si="33"/>
        <v>90585</v>
      </c>
      <c r="H1052" s="14">
        <f t="shared" si="34"/>
        <v>0.59</v>
      </c>
    </row>
    <row r="1053" spans="1:8" ht="41.4">
      <c r="A1053" s="502" t="s">
        <v>3714</v>
      </c>
      <c r="B1053" s="504" t="s">
        <v>1754</v>
      </c>
      <c r="C1053" s="502" t="s">
        <v>109</v>
      </c>
      <c r="D1053" s="503" t="s">
        <v>7326</v>
      </c>
      <c r="F1053" t="str">
        <f t="shared" si="33"/>
        <v>90621</v>
      </c>
      <c r="H1053" s="14">
        <f t="shared" si="34"/>
        <v>3.12</v>
      </c>
    </row>
    <row r="1054" spans="1:8" ht="27.6">
      <c r="A1054" s="502" t="s">
        <v>3716</v>
      </c>
      <c r="B1054" s="504" t="s">
        <v>1755</v>
      </c>
      <c r="C1054" s="502" t="s">
        <v>109</v>
      </c>
      <c r="D1054" s="503" t="s">
        <v>23955</v>
      </c>
      <c r="F1054" t="str">
        <f t="shared" si="33"/>
        <v>90622</v>
      </c>
      <c r="H1054" s="14">
        <f t="shared" si="34"/>
        <v>0.72</v>
      </c>
    </row>
    <row r="1055" spans="1:8" ht="41.4">
      <c r="A1055" s="502" t="s">
        <v>3718</v>
      </c>
      <c r="B1055" s="504" t="s">
        <v>1756</v>
      </c>
      <c r="C1055" s="502" t="s">
        <v>109</v>
      </c>
      <c r="D1055" s="503" t="s">
        <v>7301</v>
      </c>
      <c r="F1055" t="str">
        <f t="shared" si="33"/>
        <v>90623</v>
      </c>
      <c r="H1055" s="14">
        <f t="shared" si="34"/>
        <v>3.89</v>
      </c>
    </row>
    <row r="1056" spans="1:8" ht="41.4">
      <c r="A1056" s="502" t="s">
        <v>3720</v>
      </c>
      <c r="B1056" s="504" t="s">
        <v>1757</v>
      </c>
      <c r="C1056" s="502" t="s">
        <v>109</v>
      </c>
      <c r="D1056" s="503" t="s">
        <v>6521</v>
      </c>
      <c r="F1056" t="str">
        <f t="shared" si="33"/>
        <v>90624</v>
      </c>
      <c r="H1056" s="14">
        <f t="shared" si="34"/>
        <v>3.58</v>
      </c>
    </row>
    <row r="1057" spans="1:8" ht="41.4">
      <c r="A1057" s="502" t="s">
        <v>3721</v>
      </c>
      <c r="B1057" s="504" t="s">
        <v>1758</v>
      </c>
      <c r="C1057" s="502" t="s">
        <v>109</v>
      </c>
      <c r="D1057" s="503" t="s">
        <v>31054</v>
      </c>
      <c r="F1057" t="str">
        <f t="shared" si="33"/>
        <v>90627</v>
      </c>
      <c r="H1057" s="14">
        <f t="shared" si="34"/>
        <v>71.34</v>
      </c>
    </row>
    <row r="1058" spans="1:8" ht="41.4">
      <c r="A1058" s="502" t="s">
        <v>3722</v>
      </c>
      <c r="B1058" s="504" t="s">
        <v>1759</v>
      </c>
      <c r="C1058" s="502" t="s">
        <v>109</v>
      </c>
      <c r="D1058" s="503" t="s">
        <v>31055</v>
      </c>
      <c r="F1058" t="str">
        <f t="shared" si="33"/>
        <v>90628</v>
      </c>
      <c r="H1058" s="14">
        <f t="shared" si="34"/>
        <v>19.13</v>
      </c>
    </row>
    <row r="1059" spans="1:8" ht="41.4">
      <c r="A1059" s="502" t="s">
        <v>3724</v>
      </c>
      <c r="B1059" s="504" t="s">
        <v>1760</v>
      </c>
      <c r="C1059" s="502" t="s">
        <v>109</v>
      </c>
      <c r="D1059" s="503" t="s">
        <v>24486</v>
      </c>
      <c r="F1059" t="str">
        <f t="shared" si="33"/>
        <v>90629</v>
      </c>
      <c r="H1059" s="14">
        <f t="shared" si="34"/>
        <v>89.28</v>
      </c>
    </row>
    <row r="1060" spans="1:8" ht="41.4">
      <c r="A1060" s="502" t="s">
        <v>3725</v>
      </c>
      <c r="B1060" s="504" t="s">
        <v>2026</v>
      </c>
      <c r="C1060" s="502" t="s">
        <v>109</v>
      </c>
      <c r="D1060" s="503" t="s">
        <v>7336</v>
      </c>
      <c r="F1060" t="str">
        <f t="shared" si="33"/>
        <v>90630</v>
      </c>
      <c r="H1060" s="14">
        <f t="shared" si="34"/>
        <v>1.71</v>
      </c>
    </row>
    <row r="1061" spans="1:8" ht="55.2">
      <c r="A1061" s="502" t="s">
        <v>3726</v>
      </c>
      <c r="B1061" s="504" t="s">
        <v>2501</v>
      </c>
      <c r="C1061" s="502" t="s">
        <v>109</v>
      </c>
      <c r="D1061" s="503" t="s">
        <v>28133</v>
      </c>
      <c r="F1061" t="str">
        <f t="shared" si="33"/>
        <v>90633</v>
      </c>
      <c r="H1061" s="14">
        <f t="shared" si="34"/>
        <v>4.9000000000000004</v>
      </c>
    </row>
    <row r="1062" spans="1:8" ht="55.2">
      <c r="A1062" s="502" t="s">
        <v>3727</v>
      </c>
      <c r="B1062" s="504" t="s">
        <v>2502</v>
      </c>
      <c r="C1062" s="502" t="s">
        <v>109</v>
      </c>
      <c r="D1062" s="503" t="s">
        <v>15846</v>
      </c>
      <c r="F1062" t="str">
        <f t="shared" si="33"/>
        <v>90634</v>
      </c>
      <c r="H1062" s="14">
        <f t="shared" si="34"/>
        <v>1.1299999999999999</v>
      </c>
    </row>
    <row r="1063" spans="1:8" ht="55.2">
      <c r="A1063" s="502" t="s">
        <v>3729</v>
      </c>
      <c r="B1063" s="504" t="s">
        <v>2503</v>
      </c>
      <c r="C1063" s="502" t="s">
        <v>109</v>
      </c>
      <c r="D1063" s="503" t="s">
        <v>20975</v>
      </c>
      <c r="F1063" t="str">
        <f t="shared" si="33"/>
        <v>90635</v>
      </c>
      <c r="H1063" s="14">
        <f t="shared" si="34"/>
        <v>5.37</v>
      </c>
    </row>
    <row r="1064" spans="1:8" ht="69">
      <c r="A1064" s="502" t="s">
        <v>3730</v>
      </c>
      <c r="B1064" s="504" t="s">
        <v>2504</v>
      </c>
      <c r="C1064" s="502" t="s">
        <v>109</v>
      </c>
      <c r="D1064" s="503" t="s">
        <v>15831</v>
      </c>
      <c r="F1064" t="str">
        <f t="shared" si="33"/>
        <v>90636</v>
      </c>
      <c r="H1064" s="14">
        <f t="shared" si="34"/>
        <v>7.17</v>
      </c>
    </row>
    <row r="1065" spans="1:8" ht="41.4">
      <c r="A1065" s="502" t="s">
        <v>3731</v>
      </c>
      <c r="B1065" s="504" t="s">
        <v>2027</v>
      </c>
      <c r="C1065" s="502" t="s">
        <v>109</v>
      </c>
      <c r="D1065" s="503" t="s">
        <v>9481</v>
      </c>
      <c r="F1065" t="str">
        <f t="shared" si="33"/>
        <v>90639</v>
      </c>
      <c r="H1065" s="14">
        <f t="shared" si="34"/>
        <v>7.33</v>
      </c>
    </row>
    <row r="1066" spans="1:8" ht="41.4">
      <c r="A1066" s="502" t="s">
        <v>3732</v>
      </c>
      <c r="B1066" s="504" t="s">
        <v>2028</v>
      </c>
      <c r="C1066" s="502" t="s">
        <v>109</v>
      </c>
      <c r="D1066" s="503" t="s">
        <v>3013</v>
      </c>
      <c r="F1066" t="str">
        <f t="shared" si="33"/>
        <v>90640</v>
      </c>
      <c r="H1066" s="14">
        <f t="shared" si="34"/>
        <v>1.69</v>
      </c>
    </row>
    <row r="1067" spans="1:8" ht="41.4">
      <c r="A1067" s="502" t="s">
        <v>3733</v>
      </c>
      <c r="B1067" s="504" t="s">
        <v>2029</v>
      </c>
      <c r="C1067" s="502" t="s">
        <v>109</v>
      </c>
      <c r="D1067" s="503" t="s">
        <v>10670</v>
      </c>
      <c r="F1067" t="str">
        <f t="shared" si="33"/>
        <v>90641</v>
      </c>
      <c r="H1067" s="14">
        <f t="shared" si="34"/>
        <v>8.01</v>
      </c>
    </row>
    <row r="1068" spans="1:8" ht="41.4">
      <c r="A1068" s="502" t="s">
        <v>3735</v>
      </c>
      <c r="B1068" s="504" t="s">
        <v>2030</v>
      </c>
      <c r="C1068" s="502" t="s">
        <v>109</v>
      </c>
      <c r="D1068" s="503" t="s">
        <v>10207</v>
      </c>
      <c r="F1068" t="str">
        <f t="shared" si="33"/>
        <v>90642</v>
      </c>
      <c r="H1068" s="14">
        <f t="shared" si="34"/>
        <v>16.670000000000002</v>
      </c>
    </row>
    <row r="1069" spans="1:8" ht="55.2">
      <c r="A1069" s="502" t="s">
        <v>3736</v>
      </c>
      <c r="B1069" s="504" t="s">
        <v>2505</v>
      </c>
      <c r="C1069" s="502" t="s">
        <v>109</v>
      </c>
      <c r="D1069" s="503" t="s">
        <v>3520</v>
      </c>
      <c r="F1069" t="str">
        <f t="shared" si="33"/>
        <v>90646</v>
      </c>
      <c r="H1069" s="14">
        <f t="shared" si="34"/>
        <v>1.08</v>
      </c>
    </row>
    <row r="1070" spans="1:8" ht="55.2">
      <c r="A1070" s="502" t="s">
        <v>3738</v>
      </c>
      <c r="B1070" s="504" t="s">
        <v>2506</v>
      </c>
      <c r="C1070" s="502" t="s">
        <v>109</v>
      </c>
      <c r="D1070" s="503" t="s">
        <v>3481</v>
      </c>
      <c r="F1070" t="str">
        <f t="shared" si="33"/>
        <v>90647</v>
      </c>
      <c r="H1070" s="14">
        <f t="shared" si="34"/>
        <v>0.24</v>
      </c>
    </row>
    <row r="1071" spans="1:8" ht="55.2">
      <c r="A1071" s="502" t="s">
        <v>3739</v>
      </c>
      <c r="B1071" s="504" t="s">
        <v>2507</v>
      </c>
      <c r="C1071" s="502" t="s">
        <v>109</v>
      </c>
      <c r="D1071" s="503" t="s">
        <v>15795</v>
      </c>
      <c r="F1071" t="str">
        <f t="shared" si="33"/>
        <v>90648</v>
      </c>
      <c r="H1071" s="14">
        <f t="shared" si="34"/>
        <v>1.17</v>
      </c>
    </row>
    <row r="1072" spans="1:8" ht="55.2">
      <c r="A1072" s="502" t="s">
        <v>3740</v>
      </c>
      <c r="B1072" s="504" t="s">
        <v>2508</v>
      </c>
      <c r="C1072" s="502" t="s">
        <v>109</v>
      </c>
      <c r="D1072" s="503" t="s">
        <v>26587</v>
      </c>
      <c r="F1072" t="str">
        <f t="shared" si="33"/>
        <v>90649</v>
      </c>
      <c r="H1072" s="14">
        <f t="shared" si="34"/>
        <v>11.14</v>
      </c>
    </row>
    <row r="1073" spans="1:8" ht="27.6">
      <c r="A1073" s="502" t="s">
        <v>3741</v>
      </c>
      <c r="B1073" s="504" t="s">
        <v>2031</v>
      </c>
      <c r="C1073" s="502" t="s">
        <v>109</v>
      </c>
      <c r="D1073" s="503" t="s">
        <v>28110</v>
      </c>
      <c r="F1073" t="str">
        <f t="shared" si="33"/>
        <v>90652</v>
      </c>
      <c r="H1073" s="14">
        <f t="shared" si="34"/>
        <v>4.7699999999999996</v>
      </c>
    </row>
    <row r="1074" spans="1:8" ht="27.6">
      <c r="A1074" s="502" t="s">
        <v>3742</v>
      </c>
      <c r="B1074" s="504" t="s">
        <v>2032</v>
      </c>
      <c r="C1074" s="502" t="s">
        <v>109</v>
      </c>
      <c r="D1074" s="503" t="s">
        <v>24013</v>
      </c>
      <c r="F1074" t="str">
        <f t="shared" si="33"/>
        <v>90653</v>
      </c>
      <c r="H1074" s="14">
        <f t="shared" si="34"/>
        <v>1.0900000000000001</v>
      </c>
    </row>
    <row r="1075" spans="1:8" ht="27.6">
      <c r="A1075" s="502" t="s">
        <v>3743</v>
      </c>
      <c r="B1075" s="504" t="s">
        <v>2033</v>
      </c>
      <c r="C1075" s="502" t="s">
        <v>109</v>
      </c>
      <c r="D1075" s="503" t="s">
        <v>27938</v>
      </c>
      <c r="F1075" t="str">
        <f t="shared" si="33"/>
        <v>90654</v>
      </c>
      <c r="H1075" s="14">
        <f t="shared" si="34"/>
        <v>5.21</v>
      </c>
    </row>
    <row r="1076" spans="1:8" ht="27.6">
      <c r="A1076" s="502" t="s">
        <v>3745</v>
      </c>
      <c r="B1076" s="504" t="s">
        <v>2034</v>
      </c>
      <c r="C1076" s="502" t="s">
        <v>109</v>
      </c>
      <c r="D1076" s="503" t="s">
        <v>9481</v>
      </c>
      <c r="F1076" t="str">
        <f t="shared" si="33"/>
        <v>90655</v>
      </c>
      <c r="H1076" s="14">
        <f t="shared" si="34"/>
        <v>7.33</v>
      </c>
    </row>
    <row r="1077" spans="1:8" ht="27.6">
      <c r="A1077" s="502" t="s">
        <v>3746</v>
      </c>
      <c r="B1077" s="504" t="s">
        <v>2035</v>
      </c>
      <c r="C1077" s="502" t="s">
        <v>109</v>
      </c>
      <c r="D1077" s="503" t="s">
        <v>11810</v>
      </c>
      <c r="F1077" t="str">
        <f t="shared" si="33"/>
        <v>90658</v>
      </c>
      <c r="H1077" s="14">
        <f t="shared" si="34"/>
        <v>5.0999999999999996</v>
      </c>
    </row>
    <row r="1078" spans="1:8" ht="27.6">
      <c r="A1078" s="502" t="s">
        <v>3748</v>
      </c>
      <c r="B1078" s="504" t="s">
        <v>2036</v>
      </c>
      <c r="C1078" s="502" t="s">
        <v>109</v>
      </c>
      <c r="D1078" s="503" t="s">
        <v>15795</v>
      </c>
      <c r="F1078" t="str">
        <f t="shared" si="33"/>
        <v>90659</v>
      </c>
      <c r="H1078" s="14">
        <f t="shared" si="34"/>
        <v>1.17</v>
      </c>
    </row>
    <row r="1079" spans="1:8" ht="27.6">
      <c r="A1079" s="502" t="s">
        <v>3749</v>
      </c>
      <c r="B1079" s="504" t="s">
        <v>2037</v>
      </c>
      <c r="C1079" s="502" t="s">
        <v>109</v>
      </c>
      <c r="D1079" s="503" t="s">
        <v>28134</v>
      </c>
      <c r="F1079" t="str">
        <f t="shared" si="33"/>
        <v>90660</v>
      </c>
      <c r="H1079" s="14">
        <f t="shared" si="34"/>
        <v>5.58</v>
      </c>
    </row>
    <row r="1080" spans="1:8" ht="27.6">
      <c r="A1080" s="502" t="s">
        <v>3750</v>
      </c>
      <c r="B1080" s="504" t="s">
        <v>2038</v>
      </c>
      <c r="C1080" s="502" t="s">
        <v>109</v>
      </c>
      <c r="D1080" s="503" t="s">
        <v>9481</v>
      </c>
      <c r="F1080" t="str">
        <f t="shared" si="33"/>
        <v>90661</v>
      </c>
      <c r="H1080" s="14">
        <f t="shared" si="34"/>
        <v>7.33</v>
      </c>
    </row>
    <row r="1081" spans="1:8" ht="55.2">
      <c r="A1081" s="502" t="s">
        <v>3751</v>
      </c>
      <c r="B1081" s="504" t="s">
        <v>28135</v>
      </c>
      <c r="C1081" s="502" t="s">
        <v>109</v>
      </c>
      <c r="D1081" s="503" t="s">
        <v>10288</v>
      </c>
      <c r="F1081" t="str">
        <f t="shared" si="33"/>
        <v>90664</v>
      </c>
      <c r="H1081" s="14">
        <f t="shared" si="34"/>
        <v>9.51</v>
      </c>
    </row>
    <row r="1082" spans="1:8" ht="55.2">
      <c r="A1082" s="502" t="s">
        <v>3752</v>
      </c>
      <c r="B1082" s="504" t="s">
        <v>28136</v>
      </c>
      <c r="C1082" s="502" t="s">
        <v>109</v>
      </c>
      <c r="D1082" s="503" t="s">
        <v>7470</v>
      </c>
      <c r="F1082" t="str">
        <f t="shared" si="33"/>
        <v>90665</v>
      </c>
      <c r="H1082" s="14">
        <f t="shared" si="34"/>
        <v>2.5299999999999998</v>
      </c>
    </row>
    <row r="1083" spans="1:8" ht="55.2">
      <c r="A1083" s="502" t="s">
        <v>3753</v>
      </c>
      <c r="B1083" s="504" t="s">
        <v>28137</v>
      </c>
      <c r="C1083" s="502" t="s">
        <v>109</v>
      </c>
      <c r="D1083" s="503" t="s">
        <v>29059</v>
      </c>
      <c r="F1083" t="str">
        <f t="shared" si="33"/>
        <v>90666</v>
      </c>
      <c r="H1083" s="14">
        <f t="shared" si="34"/>
        <v>11.9</v>
      </c>
    </row>
    <row r="1084" spans="1:8" ht="55.2">
      <c r="A1084" s="502" t="s">
        <v>3754</v>
      </c>
      <c r="B1084" s="504" t="s">
        <v>28138</v>
      </c>
      <c r="C1084" s="502" t="s">
        <v>109</v>
      </c>
      <c r="D1084" s="503" t="s">
        <v>9975</v>
      </c>
      <c r="F1084" t="str">
        <f t="shared" si="33"/>
        <v>90667</v>
      </c>
      <c r="H1084" s="14">
        <f t="shared" si="34"/>
        <v>19.850000000000001</v>
      </c>
    </row>
    <row r="1085" spans="1:8" ht="69">
      <c r="A1085" s="502" t="s">
        <v>3755</v>
      </c>
      <c r="B1085" s="504" t="s">
        <v>2039</v>
      </c>
      <c r="C1085" s="502" t="s">
        <v>109</v>
      </c>
      <c r="D1085" s="503" t="s">
        <v>31056</v>
      </c>
      <c r="F1085" t="str">
        <f t="shared" si="33"/>
        <v>90670</v>
      </c>
      <c r="H1085" s="14">
        <f t="shared" si="34"/>
        <v>321.88</v>
      </c>
    </row>
    <row r="1086" spans="1:8" ht="69">
      <c r="A1086" s="502" t="s">
        <v>3756</v>
      </c>
      <c r="B1086" s="504" t="s">
        <v>2509</v>
      </c>
      <c r="C1086" s="502" t="s">
        <v>109</v>
      </c>
      <c r="D1086" s="503" t="s">
        <v>30607</v>
      </c>
      <c r="F1086" t="str">
        <f t="shared" si="33"/>
        <v>90671</v>
      </c>
      <c r="H1086" s="14">
        <f t="shared" si="34"/>
        <v>86.35</v>
      </c>
    </row>
    <row r="1087" spans="1:8" ht="69">
      <c r="A1087" s="502" t="s">
        <v>3757</v>
      </c>
      <c r="B1087" s="504" t="s">
        <v>2040</v>
      </c>
      <c r="C1087" s="502" t="s">
        <v>109</v>
      </c>
      <c r="D1087" s="503" t="s">
        <v>31057</v>
      </c>
      <c r="F1087" t="str">
        <f t="shared" si="33"/>
        <v>90672</v>
      </c>
      <c r="H1087" s="14">
        <f t="shared" si="34"/>
        <v>402.8</v>
      </c>
    </row>
    <row r="1088" spans="1:8" ht="69">
      <c r="A1088" s="502" t="s">
        <v>3758</v>
      </c>
      <c r="B1088" s="504" t="s">
        <v>2041</v>
      </c>
      <c r="C1088" s="502" t="s">
        <v>109</v>
      </c>
      <c r="D1088" s="503" t="s">
        <v>31058</v>
      </c>
      <c r="F1088" t="str">
        <f t="shared" si="33"/>
        <v>90673</v>
      </c>
      <c r="H1088" s="14">
        <f t="shared" si="34"/>
        <v>158.75</v>
      </c>
    </row>
    <row r="1089" spans="1:8" ht="69">
      <c r="A1089" s="502" t="s">
        <v>3759</v>
      </c>
      <c r="B1089" s="504" t="s">
        <v>2510</v>
      </c>
      <c r="C1089" s="502" t="s">
        <v>109</v>
      </c>
      <c r="D1089" s="503" t="s">
        <v>31059</v>
      </c>
      <c r="F1089" t="str">
        <f t="shared" si="33"/>
        <v>90676</v>
      </c>
      <c r="H1089" s="14">
        <f t="shared" si="34"/>
        <v>131.21</v>
      </c>
    </row>
    <row r="1090" spans="1:8" ht="69">
      <c r="A1090" s="502" t="s">
        <v>3760</v>
      </c>
      <c r="B1090" s="504" t="s">
        <v>2511</v>
      </c>
      <c r="C1090" s="502" t="s">
        <v>109</v>
      </c>
      <c r="D1090" s="503" t="s">
        <v>24097</v>
      </c>
      <c r="F1090" t="str">
        <f t="shared" si="33"/>
        <v>90677</v>
      </c>
      <c r="H1090" s="14">
        <f t="shared" si="34"/>
        <v>39.619999999999997</v>
      </c>
    </row>
    <row r="1091" spans="1:8" ht="69">
      <c r="A1091" s="502" t="s">
        <v>3761</v>
      </c>
      <c r="B1091" s="504" t="s">
        <v>2512</v>
      </c>
      <c r="C1091" s="502" t="s">
        <v>109</v>
      </c>
      <c r="D1091" s="503" t="s">
        <v>31060</v>
      </c>
      <c r="F1091" t="str">
        <f t="shared" si="33"/>
        <v>90678</v>
      </c>
      <c r="H1091" s="14">
        <f t="shared" si="34"/>
        <v>183.42</v>
      </c>
    </row>
    <row r="1092" spans="1:8" ht="69">
      <c r="A1092" s="502" t="s">
        <v>3762</v>
      </c>
      <c r="B1092" s="504" t="s">
        <v>2513</v>
      </c>
      <c r="C1092" s="502" t="s">
        <v>109</v>
      </c>
      <c r="D1092" s="503" t="s">
        <v>26483</v>
      </c>
      <c r="F1092" t="str">
        <f t="shared" si="33"/>
        <v>90679</v>
      </c>
      <c r="H1092" s="14">
        <f t="shared" si="34"/>
        <v>121.74</v>
      </c>
    </row>
    <row r="1093" spans="1:8" ht="41.4">
      <c r="A1093" s="502" t="s">
        <v>3763</v>
      </c>
      <c r="B1093" s="504" t="s">
        <v>28141</v>
      </c>
      <c r="C1093" s="502" t="s">
        <v>109</v>
      </c>
      <c r="D1093" s="503" t="s">
        <v>14333</v>
      </c>
      <c r="F1093" t="str">
        <f t="shared" ref="F1093:F1156" si="35">TRIM(A1093)</f>
        <v>90682</v>
      </c>
      <c r="H1093" s="14">
        <f t="shared" ref="H1093:H1156" si="36">ROUND(D1093*(1+$H$1),2)</f>
        <v>52.58</v>
      </c>
    </row>
    <row r="1094" spans="1:8" ht="41.4">
      <c r="A1094" s="502" t="s">
        <v>3764</v>
      </c>
      <c r="B1094" s="504" t="s">
        <v>28142</v>
      </c>
      <c r="C1094" s="502" t="s">
        <v>109</v>
      </c>
      <c r="D1094" s="503" t="s">
        <v>10234</v>
      </c>
      <c r="F1094" t="str">
        <f t="shared" si="35"/>
        <v>90683</v>
      </c>
      <c r="H1094" s="14">
        <f t="shared" si="36"/>
        <v>12.15</v>
      </c>
    </row>
    <row r="1095" spans="1:8" ht="41.4">
      <c r="A1095" s="502" t="s">
        <v>3765</v>
      </c>
      <c r="B1095" s="504" t="s">
        <v>28143</v>
      </c>
      <c r="C1095" s="502" t="s">
        <v>109</v>
      </c>
      <c r="D1095" s="503" t="s">
        <v>31061</v>
      </c>
      <c r="F1095" t="str">
        <f t="shared" si="35"/>
        <v>90684</v>
      </c>
      <c r="H1095" s="14">
        <f t="shared" si="36"/>
        <v>57.51</v>
      </c>
    </row>
    <row r="1096" spans="1:8" ht="55.2">
      <c r="A1096" s="502" t="s">
        <v>3766</v>
      </c>
      <c r="B1096" s="504" t="s">
        <v>28145</v>
      </c>
      <c r="C1096" s="502" t="s">
        <v>109</v>
      </c>
      <c r="D1096" s="503" t="s">
        <v>11693</v>
      </c>
      <c r="F1096" t="str">
        <f t="shared" si="35"/>
        <v>90685</v>
      </c>
      <c r="H1096" s="14">
        <f t="shared" si="36"/>
        <v>75.510000000000005</v>
      </c>
    </row>
    <row r="1097" spans="1:8" ht="41.4">
      <c r="A1097" s="502" t="s">
        <v>3767</v>
      </c>
      <c r="B1097" s="504" t="s">
        <v>2042</v>
      </c>
      <c r="C1097" s="502" t="s">
        <v>109</v>
      </c>
      <c r="D1097" s="503" t="s">
        <v>10266</v>
      </c>
      <c r="F1097" t="str">
        <f t="shared" si="35"/>
        <v>90688</v>
      </c>
      <c r="H1097" s="14">
        <f t="shared" si="36"/>
        <v>35.18</v>
      </c>
    </row>
    <row r="1098" spans="1:8" ht="41.4">
      <c r="A1098" s="502" t="s">
        <v>3768</v>
      </c>
      <c r="B1098" s="504" t="s">
        <v>2043</v>
      </c>
      <c r="C1098" s="502" t="s">
        <v>109</v>
      </c>
      <c r="D1098" s="503" t="s">
        <v>7634</v>
      </c>
      <c r="F1098" t="str">
        <f t="shared" si="35"/>
        <v>90689</v>
      </c>
      <c r="H1098" s="14">
        <f t="shared" si="36"/>
        <v>6.94</v>
      </c>
    </row>
    <row r="1099" spans="1:8" ht="41.4">
      <c r="A1099" s="502" t="s">
        <v>3769</v>
      </c>
      <c r="B1099" s="504" t="s">
        <v>2044</v>
      </c>
      <c r="C1099" s="502" t="s">
        <v>109</v>
      </c>
      <c r="D1099" s="503" t="s">
        <v>31062</v>
      </c>
      <c r="F1099" t="str">
        <f t="shared" si="35"/>
        <v>90690</v>
      </c>
      <c r="H1099" s="14">
        <f t="shared" si="36"/>
        <v>43.97</v>
      </c>
    </row>
    <row r="1100" spans="1:8" ht="41.4">
      <c r="A1100" s="502" t="s">
        <v>3770</v>
      </c>
      <c r="B1100" s="504" t="s">
        <v>2045</v>
      </c>
      <c r="C1100" s="502" t="s">
        <v>109</v>
      </c>
      <c r="D1100" s="503" t="s">
        <v>28059</v>
      </c>
      <c r="F1100" t="str">
        <f t="shared" si="35"/>
        <v>90691</v>
      </c>
      <c r="H1100" s="14">
        <f t="shared" si="36"/>
        <v>52.89</v>
      </c>
    </row>
    <row r="1101" spans="1:8" ht="41.4">
      <c r="A1101" s="502" t="s">
        <v>3771</v>
      </c>
      <c r="B1101" s="504" t="s">
        <v>2514</v>
      </c>
      <c r="C1101" s="502" t="s">
        <v>109</v>
      </c>
      <c r="D1101" s="503" t="s">
        <v>27741</v>
      </c>
      <c r="F1101" t="str">
        <f t="shared" si="35"/>
        <v>90957</v>
      </c>
      <c r="H1101" s="14">
        <f t="shared" si="36"/>
        <v>7.09</v>
      </c>
    </row>
    <row r="1102" spans="1:8" ht="41.4">
      <c r="A1102" s="502" t="s">
        <v>3773</v>
      </c>
      <c r="B1102" s="504" t="s">
        <v>2515</v>
      </c>
      <c r="C1102" s="502" t="s">
        <v>109</v>
      </c>
      <c r="D1102" s="503" t="s">
        <v>7233</v>
      </c>
      <c r="F1102" t="str">
        <f t="shared" si="35"/>
        <v>90958</v>
      </c>
      <c r="H1102" s="14">
        <f t="shared" si="36"/>
        <v>1.89</v>
      </c>
    </row>
    <row r="1103" spans="1:8" ht="41.4">
      <c r="A1103" s="502" t="s">
        <v>3774</v>
      </c>
      <c r="B1103" s="504" t="s">
        <v>1761</v>
      </c>
      <c r="C1103" s="502" t="s">
        <v>109</v>
      </c>
      <c r="D1103" s="503" t="s">
        <v>25270</v>
      </c>
      <c r="F1103" t="str">
        <f t="shared" si="35"/>
        <v>90960</v>
      </c>
      <c r="H1103" s="14">
        <f t="shared" si="36"/>
        <v>9.4600000000000009</v>
      </c>
    </row>
    <row r="1104" spans="1:8" ht="41.4">
      <c r="A1104" s="502" t="s">
        <v>3776</v>
      </c>
      <c r="B1104" s="504" t="s">
        <v>1762</v>
      </c>
      <c r="C1104" s="502" t="s">
        <v>109</v>
      </c>
      <c r="D1104" s="503" t="s">
        <v>7470</v>
      </c>
      <c r="F1104" t="str">
        <f t="shared" si="35"/>
        <v>90961</v>
      </c>
      <c r="H1104" s="14">
        <f t="shared" si="36"/>
        <v>2.5299999999999998</v>
      </c>
    </row>
    <row r="1105" spans="1:8" ht="41.4">
      <c r="A1105" s="502" t="s">
        <v>3778</v>
      </c>
      <c r="B1105" s="504" t="s">
        <v>1763</v>
      </c>
      <c r="C1105" s="502" t="s">
        <v>109</v>
      </c>
      <c r="D1105" s="503" t="s">
        <v>31063</v>
      </c>
      <c r="F1105" t="str">
        <f t="shared" si="35"/>
        <v>90962</v>
      </c>
      <c r="H1105" s="14">
        <f t="shared" si="36"/>
        <v>11.85</v>
      </c>
    </row>
    <row r="1106" spans="1:8" ht="41.4">
      <c r="A1106" s="502" t="s">
        <v>3780</v>
      </c>
      <c r="B1106" s="504" t="s">
        <v>2046</v>
      </c>
      <c r="C1106" s="502" t="s">
        <v>109</v>
      </c>
      <c r="D1106" s="503" t="s">
        <v>9975</v>
      </c>
      <c r="F1106" t="str">
        <f t="shared" si="35"/>
        <v>90963</v>
      </c>
      <c r="H1106" s="14">
        <f t="shared" si="36"/>
        <v>19.850000000000001</v>
      </c>
    </row>
    <row r="1107" spans="1:8" ht="41.4">
      <c r="A1107" s="502" t="s">
        <v>3781</v>
      </c>
      <c r="B1107" s="504" t="s">
        <v>2047</v>
      </c>
      <c r="C1107" s="502" t="s">
        <v>109</v>
      </c>
      <c r="D1107" s="503" t="s">
        <v>31064</v>
      </c>
      <c r="F1107" t="str">
        <f t="shared" si="35"/>
        <v>90968</v>
      </c>
      <c r="H1107" s="14">
        <f t="shared" si="36"/>
        <v>9.49</v>
      </c>
    </row>
    <row r="1108" spans="1:8" ht="41.4">
      <c r="A1108" s="502" t="s">
        <v>3782</v>
      </c>
      <c r="B1108" s="504" t="s">
        <v>2048</v>
      </c>
      <c r="C1108" s="502" t="s">
        <v>109</v>
      </c>
      <c r="D1108" s="503" t="s">
        <v>6957</v>
      </c>
      <c r="F1108" t="str">
        <f t="shared" si="35"/>
        <v>90969</v>
      </c>
      <c r="H1108" s="14">
        <f t="shared" si="36"/>
        <v>2.5499999999999998</v>
      </c>
    </row>
    <row r="1109" spans="1:8" ht="41.4">
      <c r="A1109" s="502" t="s">
        <v>3783</v>
      </c>
      <c r="B1109" s="504" t="s">
        <v>2049</v>
      </c>
      <c r="C1109" s="502" t="s">
        <v>109</v>
      </c>
      <c r="D1109" s="503" t="s">
        <v>16176</v>
      </c>
      <c r="F1109" t="str">
        <f t="shared" si="35"/>
        <v>90970</v>
      </c>
      <c r="H1109" s="14">
        <f t="shared" si="36"/>
        <v>11.87</v>
      </c>
    </row>
    <row r="1110" spans="1:8" ht="41.4">
      <c r="A1110" s="502" t="s">
        <v>3785</v>
      </c>
      <c r="B1110" s="504" t="s">
        <v>2050</v>
      </c>
      <c r="C1110" s="502" t="s">
        <v>109</v>
      </c>
      <c r="D1110" s="503" t="s">
        <v>31065</v>
      </c>
      <c r="F1110" t="str">
        <f t="shared" si="35"/>
        <v>90971</v>
      </c>
      <c r="H1110" s="14">
        <f t="shared" si="36"/>
        <v>80.44</v>
      </c>
    </row>
    <row r="1111" spans="1:8" ht="41.4">
      <c r="A1111" s="502" t="s">
        <v>3786</v>
      </c>
      <c r="B1111" s="504" t="s">
        <v>2516</v>
      </c>
      <c r="C1111" s="502" t="s">
        <v>109</v>
      </c>
      <c r="D1111" s="503" t="s">
        <v>10751</v>
      </c>
      <c r="F1111" t="str">
        <f t="shared" si="35"/>
        <v>90975</v>
      </c>
      <c r="H1111" s="14">
        <f t="shared" si="36"/>
        <v>24.1</v>
      </c>
    </row>
    <row r="1112" spans="1:8" ht="41.4">
      <c r="A1112" s="502" t="s">
        <v>3788</v>
      </c>
      <c r="B1112" s="504" t="s">
        <v>2517</v>
      </c>
      <c r="C1112" s="502" t="s">
        <v>109</v>
      </c>
      <c r="D1112" s="503" t="s">
        <v>2975</v>
      </c>
      <c r="F1112" t="str">
        <f t="shared" si="35"/>
        <v>90976</v>
      </c>
      <c r="H1112" s="14">
        <f t="shared" si="36"/>
        <v>6.46</v>
      </c>
    </row>
    <row r="1113" spans="1:8" ht="41.4">
      <c r="A1113" s="502" t="s">
        <v>3790</v>
      </c>
      <c r="B1113" s="504" t="s">
        <v>2518</v>
      </c>
      <c r="C1113" s="502" t="s">
        <v>109</v>
      </c>
      <c r="D1113" s="503" t="s">
        <v>29344</v>
      </c>
      <c r="F1113" t="str">
        <f t="shared" si="35"/>
        <v>90977</v>
      </c>
      <c r="H1113" s="14">
        <f t="shared" si="36"/>
        <v>30.15</v>
      </c>
    </row>
    <row r="1114" spans="1:8" ht="41.4">
      <c r="A1114" s="502" t="s">
        <v>3791</v>
      </c>
      <c r="B1114" s="504" t="s">
        <v>2519</v>
      </c>
      <c r="C1114" s="502" t="s">
        <v>109</v>
      </c>
      <c r="D1114" s="503" t="s">
        <v>31066</v>
      </c>
      <c r="F1114" t="str">
        <f t="shared" si="35"/>
        <v>90978</v>
      </c>
      <c r="H1114" s="14">
        <f t="shared" si="36"/>
        <v>208.7</v>
      </c>
    </row>
    <row r="1115" spans="1:8" ht="41.4">
      <c r="A1115" s="502" t="s">
        <v>3792</v>
      </c>
      <c r="B1115" s="504" t="s">
        <v>2051</v>
      </c>
      <c r="C1115" s="502" t="s">
        <v>109</v>
      </c>
      <c r="D1115" s="503" t="s">
        <v>15791</v>
      </c>
      <c r="F1115" t="str">
        <f t="shared" si="35"/>
        <v>90992</v>
      </c>
      <c r="H1115" s="14">
        <f t="shared" si="36"/>
        <v>11.26</v>
      </c>
    </row>
    <row r="1116" spans="1:8" ht="41.4">
      <c r="A1116" s="502" t="s">
        <v>3793</v>
      </c>
      <c r="B1116" s="504" t="s">
        <v>2052</v>
      </c>
      <c r="C1116" s="502" t="s">
        <v>109</v>
      </c>
      <c r="D1116" s="503" t="s">
        <v>7232</v>
      </c>
      <c r="F1116" t="str">
        <f t="shared" si="35"/>
        <v>90993</v>
      </c>
      <c r="H1116" s="14">
        <f t="shared" si="36"/>
        <v>3.01</v>
      </c>
    </row>
    <row r="1117" spans="1:8" ht="41.4">
      <c r="A1117" s="502" t="s">
        <v>3794</v>
      </c>
      <c r="B1117" s="504" t="s">
        <v>2053</v>
      </c>
      <c r="C1117" s="502" t="s">
        <v>109</v>
      </c>
      <c r="D1117" s="503" t="s">
        <v>3123</v>
      </c>
      <c r="F1117" t="str">
        <f t="shared" si="35"/>
        <v>90994</v>
      </c>
      <c r="H1117" s="14">
        <f t="shared" si="36"/>
        <v>14.08</v>
      </c>
    </row>
    <row r="1118" spans="1:8" ht="41.4">
      <c r="A1118" s="502" t="s">
        <v>3796</v>
      </c>
      <c r="B1118" s="504" t="s">
        <v>2054</v>
      </c>
      <c r="C1118" s="502" t="s">
        <v>109</v>
      </c>
      <c r="D1118" s="503" t="s">
        <v>31067</v>
      </c>
      <c r="F1118" t="str">
        <f t="shared" si="35"/>
        <v>90995</v>
      </c>
      <c r="H1118" s="14">
        <f t="shared" si="36"/>
        <v>109.27</v>
      </c>
    </row>
    <row r="1119" spans="1:8" ht="69">
      <c r="A1119" s="502" t="s">
        <v>3797</v>
      </c>
      <c r="B1119" s="504" t="s">
        <v>2520</v>
      </c>
      <c r="C1119" s="502" t="s">
        <v>109</v>
      </c>
      <c r="D1119" s="503" t="s">
        <v>10385</v>
      </c>
      <c r="F1119" t="str">
        <f t="shared" si="35"/>
        <v>91021</v>
      </c>
      <c r="H1119" s="14">
        <f t="shared" si="36"/>
        <v>16.04</v>
      </c>
    </row>
    <row r="1120" spans="1:8" ht="55.2">
      <c r="A1120" s="502" t="s">
        <v>3799</v>
      </c>
      <c r="B1120" s="504" t="s">
        <v>2521</v>
      </c>
      <c r="C1120" s="502" t="s">
        <v>109</v>
      </c>
      <c r="D1120" s="503" t="s">
        <v>31068</v>
      </c>
      <c r="F1120" t="str">
        <f t="shared" si="35"/>
        <v>91026</v>
      </c>
      <c r="H1120" s="14">
        <f t="shared" si="36"/>
        <v>33.049999999999997</v>
      </c>
    </row>
    <row r="1121" spans="1:8" ht="55.2">
      <c r="A1121" s="502" t="s">
        <v>3800</v>
      </c>
      <c r="B1121" s="504" t="s">
        <v>2522</v>
      </c>
      <c r="C1121" s="502" t="s">
        <v>109</v>
      </c>
      <c r="D1121" s="503" t="s">
        <v>7352</v>
      </c>
      <c r="F1121" t="str">
        <f t="shared" si="35"/>
        <v>91027</v>
      </c>
      <c r="H1121" s="14">
        <f t="shared" si="36"/>
        <v>13.25</v>
      </c>
    </row>
    <row r="1122" spans="1:8" ht="55.2">
      <c r="A1122" s="502" t="s">
        <v>3801</v>
      </c>
      <c r="B1122" s="504" t="s">
        <v>2523</v>
      </c>
      <c r="C1122" s="502" t="s">
        <v>109</v>
      </c>
      <c r="D1122" s="503" t="s">
        <v>4110</v>
      </c>
      <c r="F1122" t="str">
        <f t="shared" si="35"/>
        <v>91028</v>
      </c>
      <c r="H1122" s="14">
        <f t="shared" si="36"/>
        <v>5.34</v>
      </c>
    </row>
    <row r="1123" spans="1:8" ht="55.2">
      <c r="A1123" s="502" t="s">
        <v>3802</v>
      </c>
      <c r="B1123" s="504" t="s">
        <v>2524</v>
      </c>
      <c r="C1123" s="502" t="s">
        <v>109</v>
      </c>
      <c r="D1123" s="503" t="s">
        <v>13156</v>
      </c>
      <c r="F1123" t="str">
        <f t="shared" si="35"/>
        <v>91029</v>
      </c>
      <c r="H1123" s="14">
        <f t="shared" si="36"/>
        <v>60.56</v>
      </c>
    </row>
    <row r="1124" spans="1:8" ht="55.2">
      <c r="A1124" s="502" t="s">
        <v>3803</v>
      </c>
      <c r="B1124" s="504" t="s">
        <v>2525</v>
      </c>
      <c r="C1124" s="502" t="s">
        <v>109</v>
      </c>
      <c r="D1124" s="503" t="s">
        <v>29442</v>
      </c>
      <c r="F1124" t="str">
        <f t="shared" si="35"/>
        <v>91030</v>
      </c>
      <c r="H1124" s="14">
        <f t="shared" si="36"/>
        <v>194.72</v>
      </c>
    </row>
    <row r="1125" spans="1:8" ht="41.4">
      <c r="A1125" s="502" t="s">
        <v>3804</v>
      </c>
      <c r="B1125" s="504" t="s">
        <v>2055</v>
      </c>
      <c r="C1125" s="502" t="s">
        <v>109</v>
      </c>
      <c r="D1125" s="503" t="s">
        <v>3817</v>
      </c>
      <c r="F1125" t="str">
        <f t="shared" si="35"/>
        <v>91273</v>
      </c>
      <c r="H1125" s="14">
        <f t="shared" si="36"/>
        <v>0.8</v>
      </c>
    </row>
    <row r="1126" spans="1:8" ht="41.4">
      <c r="A1126" s="502" t="s">
        <v>3806</v>
      </c>
      <c r="B1126" s="504" t="s">
        <v>2056</v>
      </c>
      <c r="C1126" s="502" t="s">
        <v>109</v>
      </c>
      <c r="D1126" s="503" t="s">
        <v>3432</v>
      </c>
      <c r="F1126" t="str">
        <f t="shared" si="35"/>
        <v>91274</v>
      </c>
      <c r="H1126" s="14">
        <f t="shared" si="36"/>
        <v>0.21</v>
      </c>
    </row>
    <row r="1127" spans="1:8" ht="41.4">
      <c r="A1127" s="502" t="s">
        <v>3807</v>
      </c>
      <c r="B1127" s="504" t="s">
        <v>2057</v>
      </c>
      <c r="C1127" s="502" t="s">
        <v>109</v>
      </c>
      <c r="D1127" s="503" t="s">
        <v>31069</v>
      </c>
      <c r="F1127" t="str">
        <f t="shared" si="35"/>
        <v>91275</v>
      </c>
      <c r="H1127" s="14">
        <f t="shared" si="36"/>
        <v>1</v>
      </c>
    </row>
    <row r="1128" spans="1:8" ht="41.4">
      <c r="A1128" s="502" t="s">
        <v>3808</v>
      </c>
      <c r="B1128" s="504" t="s">
        <v>2058</v>
      </c>
      <c r="C1128" s="502" t="s">
        <v>109</v>
      </c>
      <c r="D1128" s="503" t="s">
        <v>16176</v>
      </c>
      <c r="F1128" t="str">
        <f t="shared" si="35"/>
        <v>91276</v>
      </c>
      <c r="H1128" s="14">
        <f t="shared" si="36"/>
        <v>11.87</v>
      </c>
    </row>
    <row r="1129" spans="1:8" ht="55.2">
      <c r="A1129" s="502" t="s">
        <v>3809</v>
      </c>
      <c r="B1129" s="504" t="s">
        <v>2526</v>
      </c>
      <c r="C1129" s="502" t="s">
        <v>109</v>
      </c>
      <c r="D1129" s="503" t="s">
        <v>7225</v>
      </c>
      <c r="F1129" t="str">
        <f t="shared" si="35"/>
        <v>91279</v>
      </c>
      <c r="H1129" s="14">
        <f t="shared" si="36"/>
        <v>1.03</v>
      </c>
    </row>
    <row r="1130" spans="1:8" ht="55.2">
      <c r="A1130" s="502" t="s">
        <v>3810</v>
      </c>
      <c r="B1130" s="504" t="s">
        <v>2527</v>
      </c>
      <c r="C1130" s="502" t="s">
        <v>109</v>
      </c>
      <c r="D1130" s="503" t="s">
        <v>3264</v>
      </c>
      <c r="F1130" t="str">
        <f t="shared" si="35"/>
        <v>91280</v>
      </c>
      <c r="H1130" s="14">
        <f t="shared" si="36"/>
        <v>0.23</v>
      </c>
    </row>
    <row r="1131" spans="1:8" ht="55.2">
      <c r="A1131" s="502" t="s">
        <v>3811</v>
      </c>
      <c r="B1131" s="504" t="s">
        <v>2528</v>
      </c>
      <c r="C1131" s="502" t="s">
        <v>109</v>
      </c>
      <c r="D1131" s="503" t="s">
        <v>3976</v>
      </c>
      <c r="F1131" t="str">
        <f t="shared" si="35"/>
        <v>91281</v>
      </c>
      <c r="H1131" s="14">
        <f t="shared" si="36"/>
        <v>1.27</v>
      </c>
    </row>
    <row r="1132" spans="1:8" ht="55.2">
      <c r="A1132" s="502" t="s">
        <v>3813</v>
      </c>
      <c r="B1132" s="504" t="s">
        <v>2529</v>
      </c>
      <c r="C1132" s="502" t="s">
        <v>109</v>
      </c>
      <c r="D1132" s="503" t="s">
        <v>16167</v>
      </c>
      <c r="F1132" t="str">
        <f t="shared" si="35"/>
        <v>91282</v>
      </c>
      <c r="H1132" s="14">
        <f t="shared" si="36"/>
        <v>11.95</v>
      </c>
    </row>
    <row r="1133" spans="1:8" ht="55.2">
      <c r="A1133" s="502" t="s">
        <v>3814</v>
      </c>
      <c r="B1133" s="504" t="s">
        <v>2530</v>
      </c>
      <c r="C1133" s="502" t="s">
        <v>109</v>
      </c>
      <c r="D1133" s="503" t="s">
        <v>7719</v>
      </c>
      <c r="F1133" t="str">
        <f t="shared" si="35"/>
        <v>91354</v>
      </c>
      <c r="H1133" s="14">
        <f t="shared" si="36"/>
        <v>23.47</v>
      </c>
    </row>
    <row r="1134" spans="1:8" ht="55.2">
      <c r="A1134" s="502" t="s">
        <v>3815</v>
      </c>
      <c r="B1134" s="504" t="s">
        <v>2531</v>
      </c>
      <c r="C1134" s="502" t="s">
        <v>109</v>
      </c>
      <c r="D1134" s="503" t="s">
        <v>5089</v>
      </c>
      <c r="F1134" t="str">
        <f t="shared" si="35"/>
        <v>91355</v>
      </c>
      <c r="H1134" s="14">
        <f t="shared" si="36"/>
        <v>9.65</v>
      </c>
    </row>
    <row r="1135" spans="1:8" ht="55.2">
      <c r="A1135" s="502" t="s">
        <v>3816</v>
      </c>
      <c r="B1135" s="504" t="s">
        <v>2532</v>
      </c>
      <c r="C1135" s="502" t="s">
        <v>109</v>
      </c>
      <c r="D1135" s="503" t="s">
        <v>7301</v>
      </c>
      <c r="F1135" t="str">
        <f t="shared" si="35"/>
        <v>91356</v>
      </c>
      <c r="H1135" s="14">
        <f t="shared" si="36"/>
        <v>3.89</v>
      </c>
    </row>
    <row r="1136" spans="1:8" ht="55.2">
      <c r="A1136" s="502" t="s">
        <v>3818</v>
      </c>
      <c r="B1136" s="504" t="s">
        <v>2533</v>
      </c>
      <c r="C1136" s="502" t="s">
        <v>109</v>
      </c>
      <c r="D1136" s="503" t="s">
        <v>16474</v>
      </c>
      <c r="F1136" t="str">
        <f t="shared" si="35"/>
        <v>91359</v>
      </c>
      <c r="H1136" s="14">
        <f t="shared" si="36"/>
        <v>27.97</v>
      </c>
    </row>
    <row r="1137" spans="1:8" ht="55.2">
      <c r="A1137" s="502" t="s">
        <v>3819</v>
      </c>
      <c r="B1137" s="504" t="s">
        <v>2534</v>
      </c>
      <c r="C1137" s="502" t="s">
        <v>109</v>
      </c>
      <c r="D1137" s="503" t="s">
        <v>7476</v>
      </c>
      <c r="F1137" t="str">
        <f t="shared" si="35"/>
        <v>91360</v>
      </c>
      <c r="H1137" s="14">
        <f t="shared" si="36"/>
        <v>10.7</v>
      </c>
    </row>
    <row r="1138" spans="1:8" ht="55.2">
      <c r="A1138" s="502" t="s">
        <v>3821</v>
      </c>
      <c r="B1138" s="504" t="s">
        <v>2535</v>
      </c>
      <c r="C1138" s="502" t="s">
        <v>109</v>
      </c>
      <c r="D1138" s="503" t="s">
        <v>28151</v>
      </c>
      <c r="F1138" t="str">
        <f t="shared" si="35"/>
        <v>91361</v>
      </c>
      <c r="H1138" s="14">
        <f t="shared" si="36"/>
        <v>4.32</v>
      </c>
    </row>
    <row r="1139" spans="1:8" ht="55.2">
      <c r="A1139" s="502" t="s">
        <v>3823</v>
      </c>
      <c r="B1139" s="504" t="s">
        <v>2059</v>
      </c>
      <c r="C1139" s="502" t="s">
        <v>109</v>
      </c>
      <c r="D1139" s="503" t="s">
        <v>24810</v>
      </c>
      <c r="F1139" t="str">
        <f t="shared" si="35"/>
        <v>91367</v>
      </c>
      <c r="H1139" s="14">
        <f t="shared" si="36"/>
        <v>29.67</v>
      </c>
    </row>
    <row r="1140" spans="1:8" ht="55.2">
      <c r="A1140" s="502" t="s">
        <v>3824</v>
      </c>
      <c r="B1140" s="504" t="s">
        <v>2060</v>
      </c>
      <c r="C1140" s="502" t="s">
        <v>109</v>
      </c>
      <c r="D1140" s="503" t="s">
        <v>31070</v>
      </c>
      <c r="F1140" t="str">
        <f t="shared" si="35"/>
        <v>91368</v>
      </c>
      <c r="H1140" s="14">
        <f t="shared" si="36"/>
        <v>11.38</v>
      </c>
    </row>
    <row r="1141" spans="1:8" ht="55.2">
      <c r="A1141" s="502" t="s">
        <v>3825</v>
      </c>
      <c r="B1141" s="504" t="s">
        <v>2061</v>
      </c>
      <c r="C1141" s="502" t="s">
        <v>109</v>
      </c>
      <c r="D1141" s="503" t="s">
        <v>7361</v>
      </c>
      <c r="F1141" t="str">
        <f t="shared" si="35"/>
        <v>91369</v>
      </c>
      <c r="H1141" s="14">
        <f t="shared" si="36"/>
        <v>4.58</v>
      </c>
    </row>
    <row r="1142" spans="1:8" ht="55.2">
      <c r="A1142" s="502" t="s">
        <v>3826</v>
      </c>
      <c r="B1142" s="504" t="s">
        <v>2536</v>
      </c>
      <c r="C1142" s="502" t="s">
        <v>109</v>
      </c>
      <c r="D1142" s="503" t="s">
        <v>10265</v>
      </c>
      <c r="F1142" t="str">
        <f t="shared" si="35"/>
        <v>91375</v>
      </c>
      <c r="H1142" s="14">
        <f t="shared" si="36"/>
        <v>25.77</v>
      </c>
    </row>
    <row r="1143" spans="1:8" ht="55.2">
      <c r="A1143" s="502" t="s">
        <v>3827</v>
      </c>
      <c r="B1143" s="504" t="s">
        <v>2537</v>
      </c>
      <c r="C1143" s="502" t="s">
        <v>109</v>
      </c>
      <c r="D1143" s="503" t="s">
        <v>28152</v>
      </c>
      <c r="F1143" t="str">
        <f t="shared" si="35"/>
        <v>91376</v>
      </c>
      <c r="H1143" s="14">
        <f t="shared" si="36"/>
        <v>10.59</v>
      </c>
    </row>
    <row r="1144" spans="1:8" ht="55.2">
      <c r="A1144" s="502" t="s">
        <v>3829</v>
      </c>
      <c r="B1144" s="504" t="s">
        <v>2538</v>
      </c>
      <c r="C1144" s="502" t="s">
        <v>109</v>
      </c>
      <c r="D1144" s="503" t="s">
        <v>3779</v>
      </c>
      <c r="F1144" t="str">
        <f t="shared" si="35"/>
        <v>91377</v>
      </c>
      <c r="H1144" s="14">
        <f t="shared" si="36"/>
        <v>4.28</v>
      </c>
    </row>
    <row r="1145" spans="1:8" ht="69">
      <c r="A1145" s="502" t="s">
        <v>3830</v>
      </c>
      <c r="B1145" s="504" t="s">
        <v>2062</v>
      </c>
      <c r="C1145" s="502" t="s">
        <v>109</v>
      </c>
      <c r="D1145" s="503" t="s">
        <v>10345</v>
      </c>
      <c r="F1145" t="str">
        <f t="shared" si="35"/>
        <v>91380</v>
      </c>
      <c r="H1145" s="14">
        <f t="shared" si="36"/>
        <v>39.06</v>
      </c>
    </row>
    <row r="1146" spans="1:8" ht="69">
      <c r="A1146" s="502" t="s">
        <v>3831</v>
      </c>
      <c r="B1146" s="504" t="s">
        <v>2063</v>
      </c>
      <c r="C1146" s="502" t="s">
        <v>109</v>
      </c>
      <c r="D1146" s="503" t="s">
        <v>16276</v>
      </c>
      <c r="F1146" t="str">
        <f t="shared" si="35"/>
        <v>91381</v>
      </c>
      <c r="H1146" s="14">
        <f t="shared" si="36"/>
        <v>14.96</v>
      </c>
    </row>
    <row r="1147" spans="1:8" ht="69">
      <c r="A1147" s="502" t="s">
        <v>3833</v>
      </c>
      <c r="B1147" s="504" t="s">
        <v>2064</v>
      </c>
      <c r="C1147" s="502" t="s">
        <v>109</v>
      </c>
      <c r="D1147" s="503" t="s">
        <v>28154</v>
      </c>
      <c r="F1147" t="str">
        <f t="shared" si="35"/>
        <v>91382</v>
      </c>
      <c r="H1147" s="14">
        <f t="shared" si="36"/>
        <v>6.05</v>
      </c>
    </row>
    <row r="1148" spans="1:8" ht="69">
      <c r="A1148" s="502" t="s">
        <v>3835</v>
      </c>
      <c r="B1148" s="504" t="s">
        <v>2065</v>
      </c>
      <c r="C1148" s="502" t="s">
        <v>109</v>
      </c>
      <c r="D1148" s="503" t="s">
        <v>22904</v>
      </c>
      <c r="F1148" t="str">
        <f t="shared" si="35"/>
        <v>91383</v>
      </c>
      <c r="H1148" s="14">
        <f t="shared" si="36"/>
        <v>70.209999999999994</v>
      </c>
    </row>
    <row r="1149" spans="1:8" ht="69">
      <c r="A1149" s="502" t="s">
        <v>3836</v>
      </c>
      <c r="B1149" s="504" t="s">
        <v>2066</v>
      </c>
      <c r="C1149" s="502" t="s">
        <v>109</v>
      </c>
      <c r="D1149" s="503" t="s">
        <v>31071</v>
      </c>
      <c r="F1149" t="str">
        <f t="shared" si="35"/>
        <v>91384</v>
      </c>
      <c r="H1149" s="14">
        <f t="shared" si="36"/>
        <v>188.22</v>
      </c>
    </row>
    <row r="1150" spans="1:8" ht="69">
      <c r="A1150" s="502" t="s">
        <v>3837</v>
      </c>
      <c r="B1150" s="504" t="s">
        <v>2539</v>
      </c>
      <c r="C1150" s="502" t="s">
        <v>109</v>
      </c>
      <c r="D1150" s="503" t="s">
        <v>30743</v>
      </c>
      <c r="F1150" t="str">
        <f t="shared" si="35"/>
        <v>91390</v>
      </c>
      <c r="H1150" s="14">
        <f t="shared" si="36"/>
        <v>25.7</v>
      </c>
    </row>
    <row r="1151" spans="1:8" ht="69">
      <c r="A1151" s="502" t="s">
        <v>3838</v>
      </c>
      <c r="B1151" s="504" t="s">
        <v>2540</v>
      </c>
      <c r="C1151" s="502" t="s">
        <v>109</v>
      </c>
      <c r="D1151" s="503" t="s">
        <v>4732</v>
      </c>
      <c r="F1151" t="str">
        <f t="shared" si="35"/>
        <v>91391</v>
      </c>
      <c r="H1151" s="14">
        <f t="shared" si="36"/>
        <v>10.23</v>
      </c>
    </row>
    <row r="1152" spans="1:8" ht="69">
      <c r="A1152" s="502" t="s">
        <v>3839</v>
      </c>
      <c r="B1152" s="504" t="s">
        <v>2541</v>
      </c>
      <c r="C1152" s="502" t="s">
        <v>109</v>
      </c>
      <c r="D1152" s="503" t="s">
        <v>15848</v>
      </c>
      <c r="F1152" t="str">
        <f t="shared" si="35"/>
        <v>91392</v>
      </c>
      <c r="H1152" s="14">
        <f t="shared" si="36"/>
        <v>4.12</v>
      </c>
    </row>
    <row r="1153" spans="1:8" ht="69">
      <c r="A1153" s="502" t="s">
        <v>3840</v>
      </c>
      <c r="B1153" s="504" t="s">
        <v>2542</v>
      </c>
      <c r="C1153" s="502" t="s">
        <v>109</v>
      </c>
      <c r="D1153" s="503" t="s">
        <v>21618</v>
      </c>
      <c r="F1153" t="str">
        <f t="shared" si="35"/>
        <v>91396</v>
      </c>
      <c r="H1153" s="14">
        <f t="shared" si="36"/>
        <v>38.79</v>
      </c>
    </row>
    <row r="1154" spans="1:8" ht="69">
      <c r="A1154" s="502" t="s">
        <v>3841</v>
      </c>
      <c r="B1154" s="504" t="s">
        <v>2543</v>
      </c>
      <c r="C1154" s="502" t="s">
        <v>109</v>
      </c>
      <c r="D1154" s="503" t="s">
        <v>10189</v>
      </c>
      <c r="F1154" t="str">
        <f t="shared" si="35"/>
        <v>91397</v>
      </c>
      <c r="H1154" s="14">
        <f t="shared" si="36"/>
        <v>14.99</v>
      </c>
    </row>
    <row r="1155" spans="1:8" ht="69">
      <c r="A1155" s="502" t="s">
        <v>3842</v>
      </c>
      <c r="B1155" s="504" t="s">
        <v>2544</v>
      </c>
      <c r="C1155" s="502" t="s">
        <v>109</v>
      </c>
      <c r="D1155" s="503" t="s">
        <v>28154</v>
      </c>
      <c r="F1155" t="str">
        <f t="shared" si="35"/>
        <v>91398</v>
      </c>
      <c r="H1155" s="14">
        <f t="shared" si="36"/>
        <v>6.05</v>
      </c>
    </row>
    <row r="1156" spans="1:8" ht="55.2">
      <c r="A1156" s="502" t="s">
        <v>3843</v>
      </c>
      <c r="B1156" s="504" t="s">
        <v>2067</v>
      </c>
      <c r="C1156" s="502" t="s">
        <v>109</v>
      </c>
      <c r="D1156" s="503" t="s">
        <v>31072</v>
      </c>
      <c r="F1156" t="str">
        <f t="shared" si="35"/>
        <v>91402</v>
      </c>
      <c r="H1156" s="14">
        <f t="shared" si="36"/>
        <v>4.76</v>
      </c>
    </row>
    <row r="1157" spans="1:8" ht="69">
      <c r="A1157" s="502" t="s">
        <v>3844</v>
      </c>
      <c r="B1157" s="504" t="s">
        <v>2068</v>
      </c>
      <c r="C1157" s="502" t="s">
        <v>109</v>
      </c>
      <c r="D1157" s="503" t="s">
        <v>7235</v>
      </c>
      <c r="F1157" t="str">
        <f t="shared" ref="F1157:F1220" si="37">TRIM(A1157)</f>
        <v>91466</v>
      </c>
      <c r="H1157" s="14">
        <f t="shared" ref="H1157:H1220" si="38">ROUND(D1157*(1+$H$1),2)</f>
        <v>5.4</v>
      </c>
    </row>
    <row r="1158" spans="1:8" ht="69">
      <c r="A1158" s="502" t="s">
        <v>3845</v>
      </c>
      <c r="B1158" s="504" t="s">
        <v>2069</v>
      </c>
      <c r="C1158" s="502" t="s">
        <v>109</v>
      </c>
      <c r="D1158" s="503" t="s">
        <v>31003</v>
      </c>
      <c r="F1158" t="str">
        <f t="shared" si="37"/>
        <v>91467</v>
      </c>
      <c r="H1158" s="14">
        <f t="shared" si="38"/>
        <v>209.9</v>
      </c>
    </row>
    <row r="1159" spans="1:8" ht="69">
      <c r="A1159" s="502" t="s">
        <v>3846</v>
      </c>
      <c r="B1159" s="504" t="s">
        <v>28155</v>
      </c>
      <c r="C1159" s="502" t="s">
        <v>109</v>
      </c>
      <c r="D1159" s="503" t="s">
        <v>10410</v>
      </c>
      <c r="F1159" t="str">
        <f t="shared" si="37"/>
        <v>91468</v>
      </c>
      <c r="H1159" s="14">
        <f t="shared" si="38"/>
        <v>33.950000000000003</v>
      </c>
    </row>
    <row r="1160" spans="1:8" ht="69">
      <c r="A1160" s="502" t="s">
        <v>3848</v>
      </c>
      <c r="B1160" s="504" t="s">
        <v>28157</v>
      </c>
      <c r="C1160" s="502" t="s">
        <v>109</v>
      </c>
      <c r="D1160" s="503" t="s">
        <v>28158</v>
      </c>
      <c r="F1160" t="str">
        <f t="shared" si="37"/>
        <v>91469</v>
      </c>
      <c r="H1160" s="14">
        <f t="shared" si="38"/>
        <v>13.29</v>
      </c>
    </row>
    <row r="1161" spans="1:8" ht="69">
      <c r="A1161" s="502" t="s">
        <v>3849</v>
      </c>
      <c r="B1161" s="504" t="s">
        <v>28159</v>
      </c>
      <c r="C1161" s="502" t="s">
        <v>109</v>
      </c>
      <c r="D1161" s="503" t="s">
        <v>9919</v>
      </c>
      <c r="F1161" t="str">
        <f t="shared" si="37"/>
        <v>91484</v>
      </c>
      <c r="H1161" s="14">
        <f t="shared" si="38"/>
        <v>5.36</v>
      </c>
    </row>
    <row r="1162" spans="1:8" ht="69">
      <c r="A1162" s="502" t="s">
        <v>3850</v>
      </c>
      <c r="B1162" s="504" t="s">
        <v>28160</v>
      </c>
      <c r="C1162" s="502" t="s">
        <v>109</v>
      </c>
      <c r="D1162" s="503" t="s">
        <v>28581</v>
      </c>
      <c r="F1162" t="str">
        <f t="shared" si="37"/>
        <v>91485</v>
      </c>
      <c r="H1162" s="14">
        <f t="shared" si="38"/>
        <v>205.44</v>
      </c>
    </row>
    <row r="1163" spans="1:8" ht="41.4">
      <c r="A1163" s="502" t="s">
        <v>3851</v>
      </c>
      <c r="B1163" s="504" t="s">
        <v>2070</v>
      </c>
      <c r="C1163" s="502" t="s">
        <v>109</v>
      </c>
      <c r="D1163" s="503" t="s">
        <v>15795</v>
      </c>
      <c r="F1163" t="str">
        <f t="shared" si="37"/>
        <v>91529</v>
      </c>
      <c r="H1163" s="14">
        <f t="shared" si="38"/>
        <v>1.17</v>
      </c>
    </row>
    <row r="1164" spans="1:8" ht="41.4">
      <c r="A1164" s="502" t="s">
        <v>3852</v>
      </c>
      <c r="B1164" s="504" t="s">
        <v>2071</v>
      </c>
      <c r="C1164" s="502" t="s">
        <v>109</v>
      </c>
      <c r="D1164" s="503" t="s">
        <v>3710</v>
      </c>
      <c r="F1164" t="str">
        <f t="shared" si="37"/>
        <v>91530</v>
      </c>
      <c r="H1164" s="14">
        <f t="shared" si="38"/>
        <v>0.31</v>
      </c>
    </row>
    <row r="1165" spans="1:8" ht="41.4">
      <c r="A1165" s="502" t="s">
        <v>3853</v>
      </c>
      <c r="B1165" s="504" t="s">
        <v>2072</v>
      </c>
      <c r="C1165" s="502" t="s">
        <v>109</v>
      </c>
      <c r="D1165" s="503" t="s">
        <v>7335</v>
      </c>
      <c r="F1165" t="str">
        <f t="shared" si="37"/>
        <v>91531</v>
      </c>
      <c r="H1165" s="14">
        <f t="shared" si="38"/>
        <v>1.48</v>
      </c>
    </row>
    <row r="1166" spans="1:8" ht="41.4">
      <c r="A1166" s="524" t="s">
        <v>3855</v>
      </c>
      <c r="B1166" s="504" t="s">
        <v>2073</v>
      </c>
      <c r="C1166" s="502" t="s">
        <v>109</v>
      </c>
      <c r="D1166" s="503" t="s">
        <v>31073</v>
      </c>
      <c r="F1166" t="str">
        <f t="shared" si="37"/>
        <v>91532</v>
      </c>
      <c r="H1166" s="14">
        <f t="shared" si="38"/>
        <v>8.49</v>
      </c>
    </row>
    <row r="1167" spans="1:8" ht="69">
      <c r="A1167" s="502" t="s">
        <v>3856</v>
      </c>
      <c r="B1167" s="504" t="s">
        <v>2074</v>
      </c>
      <c r="C1167" s="502" t="s">
        <v>109</v>
      </c>
      <c r="D1167" s="503" t="s">
        <v>7265</v>
      </c>
      <c r="F1167" t="str">
        <f t="shared" si="37"/>
        <v>91629</v>
      </c>
      <c r="H1167" s="14">
        <f t="shared" si="38"/>
        <v>28.82</v>
      </c>
    </row>
    <row r="1168" spans="1:8" ht="69">
      <c r="A1168" s="502" t="s">
        <v>3857</v>
      </c>
      <c r="B1168" s="504" t="s">
        <v>2075</v>
      </c>
      <c r="C1168" s="502" t="s">
        <v>109</v>
      </c>
      <c r="D1168" s="503" t="s">
        <v>2986</v>
      </c>
      <c r="F1168" t="str">
        <f t="shared" si="37"/>
        <v>91630</v>
      </c>
      <c r="H1168" s="14">
        <f t="shared" si="38"/>
        <v>10.71</v>
      </c>
    </row>
    <row r="1169" spans="1:8" ht="69">
      <c r="A1169" s="502" t="s">
        <v>3858</v>
      </c>
      <c r="B1169" s="504" t="s">
        <v>2076</v>
      </c>
      <c r="C1169" s="502" t="s">
        <v>109</v>
      </c>
      <c r="D1169" s="503" t="s">
        <v>28151</v>
      </c>
      <c r="F1169" t="str">
        <f t="shared" si="37"/>
        <v>91631</v>
      </c>
      <c r="H1169" s="14">
        <f t="shared" si="38"/>
        <v>4.32</v>
      </c>
    </row>
    <row r="1170" spans="1:8" ht="69">
      <c r="A1170" s="502" t="s">
        <v>3859</v>
      </c>
      <c r="B1170" s="504" t="s">
        <v>2077</v>
      </c>
      <c r="C1170" s="502" t="s">
        <v>109</v>
      </c>
      <c r="D1170" s="503" t="s">
        <v>24649</v>
      </c>
      <c r="F1170" t="str">
        <f t="shared" si="37"/>
        <v>91632</v>
      </c>
      <c r="H1170" s="14">
        <f t="shared" si="38"/>
        <v>49.33</v>
      </c>
    </row>
    <row r="1171" spans="1:8" ht="69">
      <c r="A1171" s="502" t="s">
        <v>3860</v>
      </c>
      <c r="B1171" s="504" t="s">
        <v>2078</v>
      </c>
      <c r="C1171" s="502" t="s">
        <v>109</v>
      </c>
      <c r="D1171" s="503" t="s">
        <v>31074</v>
      </c>
      <c r="F1171" t="str">
        <f t="shared" si="37"/>
        <v>91633</v>
      </c>
      <c r="H1171" s="14">
        <f t="shared" si="38"/>
        <v>177.65</v>
      </c>
    </row>
    <row r="1172" spans="1:8" ht="69">
      <c r="A1172" s="502" t="s">
        <v>3861</v>
      </c>
      <c r="B1172" s="504" t="s">
        <v>2079</v>
      </c>
      <c r="C1172" s="502" t="s">
        <v>109</v>
      </c>
      <c r="D1172" s="503" t="s">
        <v>15189</v>
      </c>
      <c r="F1172" t="str">
        <f t="shared" si="37"/>
        <v>91640</v>
      </c>
      <c r="H1172" s="14">
        <f t="shared" si="38"/>
        <v>55.26</v>
      </c>
    </row>
    <row r="1173" spans="1:8" ht="69">
      <c r="A1173" s="502" t="s">
        <v>3862</v>
      </c>
      <c r="B1173" s="504" t="s">
        <v>2080</v>
      </c>
      <c r="C1173" s="502" t="s">
        <v>109</v>
      </c>
      <c r="D1173" s="503" t="s">
        <v>10746</v>
      </c>
      <c r="F1173" t="str">
        <f t="shared" si="37"/>
        <v>91641</v>
      </c>
      <c r="H1173" s="14">
        <f t="shared" si="38"/>
        <v>22.31</v>
      </c>
    </row>
    <row r="1174" spans="1:8" ht="69">
      <c r="A1174" s="502" t="s">
        <v>3863</v>
      </c>
      <c r="B1174" s="504" t="s">
        <v>2081</v>
      </c>
      <c r="C1174" s="502" t="s">
        <v>109</v>
      </c>
      <c r="D1174" s="503" t="s">
        <v>7469</v>
      </c>
      <c r="F1174" t="str">
        <f t="shared" si="37"/>
        <v>91642</v>
      </c>
      <c r="H1174" s="14">
        <f t="shared" si="38"/>
        <v>9.02</v>
      </c>
    </row>
    <row r="1175" spans="1:8" ht="69">
      <c r="A1175" s="502" t="s">
        <v>3865</v>
      </c>
      <c r="B1175" s="504" t="s">
        <v>2082</v>
      </c>
      <c r="C1175" s="502" t="s">
        <v>109</v>
      </c>
      <c r="D1175" s="503" t="s">
        <v>10027</v>
      </c>
      <c r="F1175" t="str">
        <f t="shared" si="37"/>
        <v>91643</v>
      </c>
      <c r="H1175" s="14">
        <f t="shared" si="38"/>
        <v>99.68</v>
      </c>
    </row>
    <row r="1176" spans="1:8" ht="69">
      <c r="A1176" s="502" t="s">
        <v>3866</v>
      </c>
      <c r="B1176" s="504" t="s">
        <v>2083</v>
      </c>
      <c r="C1176" s="502" t="s">
        <v>109</v>
      </c>
      <c r="D1176" s="503" t="s">
        <v>31075</v>
      </c>
      <c r="F1176" t="str">
        <f t="shared" si="37"/>
        <v>91644</v>
      </c>
      <c r="H1176" s="14">
        <f t="shared" si="38"/>
        <v>399.78</v>
      </c>
    </row>
    <row r="1177" spans="1:8" ht="41.4">
      <c r="A1177" s="502" t="s">
        <v>3867</v>
      </c>
      <c r="B1177" s="504" t="s">
        <v>2084</v>
      </c>
      <c r="C1177" s="502" t="s">
        <v>109</v>
      </c>
      <c r="D1177" s="503" t="s">
        <v>4032</v>
      </c>
      <c r="F1177" t="str">
        <f t="shared" si="37"/>
        <v>91688</v>
      </c>
      <c r="H1177" s="14">
        <f t="shared" si="38"/>
        <v>0.12</v>
      </c>
    </row>
    <row r="1178" spans="1:8" ht="41.4">
      <c r="A1178" s="502" t="s">
        <v>3868</v>
      </c>
      <c r="B1178" s="504" t="s">
        <v>2085</v>
      </c>
      <c r="C1178" s="502" t="s">
        <v>109</v>
      </c>
      <c r="D1178" s="503" t="s">
        <v>3869</v>
      </c>
      <c r="F1178" t="str">
        <f t="shared" si="37"/>
        <v>91689</v>
      </c>
      <c r="H1178" s="14">
        <f t="shared" si="38"/>
        <v>0.01</v>
      </c>
    </row>
    <row r="1179" spans="1:8" ht="41.4">
      <c r="A1179" s="502" t="s">
        <v>3870</v>
      </c>
      <c r="B1179" s="504" t="s">
        <v>2086</v>
      </c>
      <c r="C1179" s="502" t="s">
        <v>109</v>
      </c>
      <c r="D1179" s="503" t="s">
        <v>3368</v>
      </c>
      <c r="F1179" t="str">
        <f t="shared" si="37"/>
        <v>91690</v>
      </c>
      <c r="H1179" s="14">
        <f t="shared" si="38"/>
        <v>0.08</v>
      </c>
    </row>
    <row r="1180" spans="1:8" ht="41.4">
      <c r="A1180" s="502" t="s">
        <v>3871</v>
      </c>
      <c r="B1180" s="504" t="s">
        <v>2087</v>
      </c>
      <c r="C1180" s="502" t="s">
        <v>109</v>
      </c>
      <c r="D1180" s="503" t="s">
        <v>10284</v>
      </c>
      <c r="F1180" t="str">
        <f t="shared" si="37"/>
        <v>91691</v>
      </c>
      <c r="H1180" s="14">
        <f t="shared" si="38"/>
        <v>1.55</v>
      </c>
    </row>
    <row r="1181" spans="1:8" ht="41.4">
      <c r="A1181" s="502" t="s">
        <v>3872</v>
      </c>
      <c r="B1181" s="504" t="s">
        <v>2088</v>
      </c>
      <c r="C1181" s="502" t="s">
        <v>109</v>
      </c>
      <c r="D1181" s="503" t="s">
        <v>6776</v>
      </c>
      <c r="F1181" t="str">
        <f t="shared" si="37"/>
        <v>92040</v>
      </c>
      <c r="H1181" s="14">
        <f t="shared" si="38"/>
        <v>8.6199999999999992</v>
      </c>
    </row>
    <row r="1182" spans="1:8" ht="27.6">
      <c r="A1182" s="502" t="s">
        <v>3873</v>
      </c>
      <c r="B1182" s="504" t="s">
        <v>2089</v>
      </c>
      <c r="C1182" s="502" t="s">
        <v>109</v>
      </c>
      <c r="D1182" s="503" t="s">
        <v>7252</v>
      </c>
      <c r="F1182" t="str">
        <f t="shared" si="37"/>
        <v>92041</v>
      </c>
      <c r="H1182" s="14">
        <f t="shared" si="38"/>
        <v>1.77</v>
      </c>
    </row>
    <row r="1183" spans="1:8" ht="41.4">
      <c r="A1183" s="502" t="s">
        <v>3874</v>
      </c>
      <c r="B1183" s="504" t="s">
        <v>2090</v>
      </c>
      <c r="C1183" s="502" t="s">
        <v>109</v>
      </c>
      <c r="D1183" s="503" t="s">
        <v>9908</v>
      </c>
      <c r="F1183" t="str">
        <f t="shared" si="37"/>
        <v>92042</v>
      </c>
      <c r="H1183" s="14">
        <f t="shared" si="38"/>
        <v>7.18</v>
      </c>
    </row>
    <row r="1184" spans="1:8" ht="69">
      <c r="A1184" s="502" t="s">
        <v>3875</v>
      </c>
      <c r="B1184" s="504" t="s">
        <v>28162</v>
      </c>
      <c r="C1184" s="502" t="s">
        <v>109</v>
      </c>
      <c r="D1184" s="503" t="s">
        <v>31076</v>
      </c>
      <c r="F1184" t="str">
        <f t="shared" si="37"/>
        <v>92101</v>
      </c>
      <c r="H1184" s="14">
        <f t="shared" si="38"/>
        <v>59.72</v>
      </c>
    </row>
    <row r="1185" spans="1:8" ht="69">
      <c r="A1185" s="502" t="s">
        <v>3876</v>
      </c>
      <c r="B1185" s="504" t="s">
        <v>28163</v>
      </c>
      <c r="C1185" s="502" t="s">
        <v>109</v>
      </c>
      <c r="D1185" s="503" t="s">
        <v>10281</v>
      </c>
      <c r="F1185" t="str">
        <f t="shared" si="37"/>
        <v>92102</v>
      </c>
      <c r="H1185" s="14">
        <f t="shared" si="38"/>
        <v>18.72</v>
      </c>
    </row>
    <row r="1186" spans="1:8" ht="82.8">
      <c r="A1186" s="502" t="s">
        <v>3877</v>
      </c>
      <c r="B1186" s="504" t="s">
        <v>28164</v>
      </c>
      <c r="C1186" s="502" t="s">
        <v>109</v>
      </c>
      <c r="D1186" s="503" t="s">
        <v>4565</v>
      </c>
      <c r="F1186" t="str">
        <f t="shared" si="37"/>
        <v>92103</v>
      </c>
      <c r="H1186" s="14">
        <f t="shared" si="38"/>
        <v>7.57</v>
      </c>
    </row>
    <row r="1187" spans="1:8" ht="69">
      <c r="A1187" s="502" t="s">
        <v>3878</v>
      </c>
      <c r="B1187" s="504" t="s">
        <v>28165</v>
      </c>
      <c r="C1187" s="502" t="s">
        <v>109</v>
      </c>
      <c r="D1187" s="503" t="s">
        <v>31077</v>
      </c>
      <c r="F1187" t="str">
        <f t="shared" si="37"/>
        <v>92104</v>
      </c>
      <c r="H1187" s="14">
        <f t="shared" si="38"/>
        <v>94.27</v>
      </c>
    </row>
    <row r="1188" spans="1:8" ht="82.8">
      <c r="A1188" s="502" t="s">
        <v>3879</v>
      </c>
      <c r="B1188" s="504" t="s">
        <v>28166</v>
      </c>
      <c r="C1188" s="502" t="s">
        <v>109</v>
      </c>
      <c r="D1188" s="503" t="s">
        <v>31017</v>
      </c>
      <c r="F1188" t="str">
        <f t="shared" si="37"/>
        <v>92105</v>
      </c>
      <c r="H1188" s="14">
        <f t="shared" si="38"/>
        <v>255.4</v>
      </c>
    </row>
    <row r="1189" spans="1:8" ht="41.4">
      <c r="A1189" s="502" t="s">
        <v>3880</v>
      </c>
      <c r="B1189" s="504" t="s">
        <v>28167</v>
      </c>
      <c r="C1189" s="502" t="s">
        <v>109</v>
      </c>
      <c r="D1189" s="503" t="s">
        <v>3573</v>
      </c>
      <c r="F1189" t="str">
        <f t="shared" si="37"/>
        <v>92108</v>
      </c>
      <c r="H1189" s="14">
        <f t="shared" si="38"/>
        <v>1.1499999999999999</v>
      </c>
    </row>
    <row r="1190" spans="1:8" ht="41.4">
      <c r="A1190" s="502" t="s">
        <v>3881</v>
      </c>
      <c r="B1190" s="504" t="s">
        <v>28168</v>
      </c>
      <c r="C1190" s="502" t="s">
        <v>109</v>
      </c>
      <c r="D1190" s="503" t="s">
        <v>3469</v>
      </c>
      <c r="F1190" t="str">
        <f t="shared" si="37"/>
        <v>92109</v>
      </c>
      <c r="H1190" s="14">
        <f t="shared" si="38"/>
        <v>0.25</v>
      </c>
    </row>
    <row r="1191" spans="1:8" ht="41.4">
      <c r="A1191" s="502" t="s">
        <v>3882</v>
      </c>
      <c r="B1191" s="504" t="s">
        <v>28169</v>
      </c>
      <c r="C1191" s="502" t="s">
        <v>109</v>
      </c>
      <c r="D1191" s="503" t="s">
        <v>10073</v>
      </c>
      <c r="F1191" t="str">
        <f t="shared" si="37"/>
        <v>92110</v>
      </c>
      <c r="H1191" s="14">
        <f t="shared" si="38"/>
        <v>1.43</v>
      </c>
    </row>
    <row r="1192" spans="1:8" ht="41.4">
      <c r="A1192" s="502" t="s">
        <v>3884</v>
      </c>
      <c r="B1192" s="504" t="s">
        <v>28170</v>
      </c>
      <c r="C1192" s="502" t="s">
        <v>109</v>
      </c>
      <c r="D1192" s="503" t="s">
        <v>10073</v>
      </c>
      <c r="F1192" t="str">
        <f t="shared" si="37"/>
        <v>92111</v>
      </c>
      <c r="H1192" s="14">
        <f t="shared" si="38"/>
        <v>1.43</v>
      </c>
    </row>
    <row r="1193" spans="1:8" ht="27.6">
      <c r="A1193" s="502" t="s">
        <v>3885</v>
      </c>
      <c r="B1193" s="504" t="s">
        <v>28171</v>
      </c>
      <c r="C1193" s="502" t="s">
        <v>109</v>
      </c>
      <c r="D1193" s="503" t="s">
        <v>3313</v>
      </c>
      <c r="F1193" t="str">
        <f t="shared" si="37"/>
        <v>92114</v>
      </c>
      <c r="H1193" s="14">
        <f t="shared" si="38"/>
        <v>0.28000000000000003</v>
      </c>
    </row>
    <row r="1194" spans="1:8" ht="27.6">
      <c r="A1194" s="502" t="s">
        <v>3886</v>
      </c>
      <c r="B1194" s="504" t="s">
        <v>28172</v>
      </c>
      <c r="C1194" s="502" t="s">
        <v>109</v>
      </c>
      <c r="D1194" s="503" t="s">
        <v>3483</v>
      </c>
      <c r="F1194" t="str">
        <f t="shared" si="37"/>
        <v>92115</v>
      </c>
      <c r="H1194" s="14">
        <f t="shared" si="38"/>
        <v>0.05</v>
      </c>
    </row>
    <row r="1195" spans="1:8" ht="27.6">
      <c r="A1195" s="502" t="s">
        <v>3887</v>
      </c>
      <c r="B1195" s="504" t="s">
        <v>28173</v>
      </c>
      <c r="C1195" s="502" t="s">
        <v>109</v>
      </c>
      <c r="D1195" s="503" t="s">
        <v>3964</v>
      </c>
      <c r="F1195" t="str">
        <f t="shared" si="37"/>
        <v>92116</v>
      </c>
      <c r="H1195" s="14">
        <f t="shared" si="38"/>
        <v>0.2</v>
      </c>
    </row>
    <row r="1196" spans="1:8" ht="27.6">
      <c r="A1196" s="502" t="s">
        <v>3889</v>
      </c>
      <c r="B1196" s="504" t="s">
        <v>2091</v>
      </c>
      <c r="C1196" s="502" t="s">
        <v>109</v>
      </c>
      <c r="D1196" s="503" t="s">
        <v>9549</v>
      </c>
      <c r="F1196" t="str">
        <f t="shared" si="37"/>
        <v>92133</v>
      </c>
      <c r="H1196" s="14">
        <f t="shared" si="38"/>
        <v>16.98</v>
      </c>
    </row>
    <row r="1197" spans="1:8" ht="27.6">
      <c r="A1197" s="502" t="s">
        <v>3890</v>
      </c>
      <c r="B1197" s="504" t="s">
        <v>2092</v>
      </c>
      <c r="C1197" s="502" t="s">
        <v>109</v>
      </c>
      <c r="D1197" s="503" t="s">
        <v>3914</v>
      </c>
      <c r="F1197" t="str">
        <f t="shared" si="37"/>
        <v>92134</v>
      </c>
      <c r="H1197" s="14">
        <f t="shared" si="38"/>
        <v>5.24</v>
      </c>
    </row>
    <row r="1198" spans="1:8" ht="27.6">
      <c r="A1198" s="502" t="s">
        <v>3891</v>
      </c>
      <c r="B1198" s="504" t="s">
        <v>2093</v>
      </c>
      <c r="C1198" s="502" t="s">
        <v>109</v>
      </c>
      <c r="D1198" s="503" t="s">
        <v>7306</v>
      </c>
      <c r="F1198" t="str">
        <f t="shared" si="37"/>
        <v>92135</v>
      </c>
      <c r="H1198" s="14">
        <f t="shared" si="38"/>
        <v>2.12</v>
      </c>
    </row>
    <row r="1199" spans="1:8" ht="27.6">
      <c r="A1199" s="502" t="s">
        <v>3893</v>
      </c>
      <c r="B1199" s="504" t="s">
        <v>2094</v>
      </c>
      <c r="C1199" s="502" t="s">
        <v>109</v>
      </c>
      <c r="D1199" s="503" t="s">
        <v>31078</v>
      </c>
      <c r="F1199" t="str">
        <f t="shared" si="37"/>
        <v>92136</v>
      </c>
      <c r="H1199" s="14">
        <f t="shared" si="38"/>
        <v>21.23</v>
      </c>
    </row>
    <row r="1200" spans="1:8" ht="41.4">
      <c r="A1200" s="502" t="s">
        <v>3894</v>
      </c>
      <c r="B1200" s="504" t="s">
        <v>2095</v>
      </c>
      <c r="C1200" s="502" t="s">
        <v>109</v>
      </c>
      <c r="D1200" s="503" t="s">
        <v>16500</v>
      </c>
      <c r="F1200" t="str">
        <f t="shared" si="37"/>
        <v>92137</v>
      </c>
      <c r="H1200" s="14">
        <f t="shared" si="38"/>
        <v>46.77</v>
      </c>
    </row>
    <row r="1201" spans="1:8" ht="41.4">
      <c r="A1201" s="502" t="s">
        <v>3895</v>
      </c>
      <c r="B1201" s="504" t="s">
        <v>2545</v>
      </c>
      <c r="C1201" s="502" t="s">
        <v>109</v>
      </c>
      <c r="D1201" s="503" t="s">
        <v>31079</v>
      </c>
      <c r="F1201" t="str">
        <f t="shared" si="37"/>
        <v>92140</v>
      </c>
      <c r="H1201" s="14">
        <f t="shared" si="38"/>
        <v>6.22</v>
      </c>
    </row>
    <row r="1202" spans="1:8" ht="41.4">
      <c r="A1202" s="502" t="s">
        <v>3897</v>
      </c>
      <c r="B1202" s="504" t="s">
        <v>2546</v>
      </c>
      <c r="C1202" s="502" t="s">
        <v>109</v>
      </c>
      <c r="D1202" s="503" t="s">
        <v>6986</v>
      </c>
      <c r="F1202" t="str">
        <f t="shared" si="37"/>
        <v>92141</v>
      </c>
      <c r="H1202" s="14">
        <f t="shared" si="38"/>
        <v>1.92</v>
      </c>
    </row>
    <row r="1203" spans="1:8" ht="41.4">
      <c r="A1203" s="502" t="s">
        <v>3898</v>
      </c>
      <c r="B1203" s="504" t="s">
        <v>2547</v>
      </c>
      <c r="C1203" s="502" t="s">
        <v>109</v>
      </c>
      <c r="D1203" s="503" t="s">
        <v>3812</v>
      </c>
      <c r="F1203" t="str">
        <f t="shared" si="37"/>
        <v>92142</v>
      </c>
      <c r="H1203" s="14">
        <f t="shared" si="38"/>
        <v>0.77</v>
      </c>
    </row>
    <row r="1204" spans="1:8" ht="41.4">
      <c r="A1204" s="502" t="s">
        <v>3899</v>
      </c>
      <c r="B1204" s="504" t="s">
        <v>2548</v>
      </c>
      <c r="C1204" s="502" t="s">
        <v>109</v>
      </c>
      <c r="D1204" s="503" t="s">
        <v>28929</v>
      </c>
      <c r="F1204" t="str">
        <f t="shared" si="37"/>
        <v>92143</v>
      </c>
      <c r="H1204" s="14">
        <f t="shared" si="38"/>
        <v>7.77</v>
      </c>
    </row>
    <row r="1205" spans="1:8" ht="41.4">
      <c r="A1205" s="502" t="s">
        <v>3900</v>
      </c>
      <c r="B1205" s="504" t="s">
        <v>2549</v>
      </c>
      <c r="C1205" s="502" t="s">
        <v>109</v>
      </c>
      <c r="D1205" s="503" t="s">
        <v>11793</v>
      </c>
      <c r="F1205" t="str">
        <f t="shared" si="37"/>
        <v>92144</v>
      </c>
      <c r="H1205" s="14">
        <f t="shared" si="38"/>
        <v>55.18</v>
      </c>
    </row>
    <row r="1206" spans="1:8" ht="69">
      <c r="A1206" s="502" t="s">
        <v>3901</v>
      </c>
      <c r="B1206" s="504" t="s">
        <v>2096</v>
      </c>
      <c r="C1206" s="502" t="s">
        <v>109</v>
      </c>
      <c r="D1206" s="503" t="s">
        <v>31080</v>
      </c>
      <c r="F1206" t="str">
        <f t="shared" si="37"/>
        <v>92237</v>
      </c>
      <c r="H1206" s="14">
        <f t="shared" si="38"/>
        <v>40.229999999999997</v>
      </c>
    </row>
    <row r="1207" spans="1:8" ht="69">
      <c r="A1207" s="502" t="s">
        <v>3903</v>
      </c>
      <c r="B1207" s="504" t="s">
        <v>2097</v>
      </c>
      <c r="C1207" s="502" t="s">
        <v>109</v>
      </c>
      <c r="D1207" s="503" t="s">
        <v>17548</v>
      </c>
      <c r="F1207" t="str">
        <f t="shared" si="37"/>
        <v>92238</v>
      </c>
      <c r="H1207" s="14">
        <f t="shared" si="38"/>
        <v>16.2</v>
      </c>
    </row>
    <row r="1208" spans="1:8" ht="69">
      <c r="A1208" s="502" t="s">
        <v>3904</v>
      </c>
      <c r="B1208" s="504" t="s">
        <v>2550</v>
      </c>
      <c r="C1208" s="502" t="s">
        <v>109</v>
      </c>
      <c r="D1208" s="503" t="s">
        <v>23963</v>
      </c>
      <c r="F1208" t="str">
        <f t="shared" si="37"/>
        <v>92239</v>
      </c>
      <c r="H1208" s="14">
        <f t="shared" si="38"/>
        <v>6.54</v>
      </c>
    </row>
    <row r="1209" spans="1:8" ht="69">
      <c r="A1209" s="502" t="s">
        <v>3905</v>
      </c>
      <c r="B1209" s="504" t="s">
        <v>2098</v>
      </c>
      <c r="C1209" s="502" t="s">
        <v>109</v>
      </c>
      <c r="D1209" s="503" t="s">
        <v>28064</v>
      </c>
      <c r="F1209" t="str">
        <f t="shared" si="37"/>
        <v>92240</v>
      </c>
      <c r="H1209" s="14">
        <f t="shared" si="38"/>
        <v>72.260000000000005</v>
      </c>
    </row>
    <row r="1210" spans="1:8" ht="69">
      <c r="A1210" s="502" t="s">
        <v>3906</v>
      </c>
      <c r="B1210" s="504" t="s">
        <v>2099</v>
      </c>
      <c r="C1210" s="502" t="s">
        <v>109</v>
      </c>
      <c r="D1210" s="503" t="s">
        <v>31081</v>
      </c>
      <c r="F1210" t="str">
        <f t="shared" si="37"/>
        <v>92241</v>
      </c>
      <c r="H1210" s="14">
        <f t="shared" si="38"/>
        <v>366.5</v>
      </c>
    </row>
    <row r="1211" spans="1:8" ht="41.4">
      <c r="A1211" s="502" t="s">
        <v>3907</v>
      </c>
      <c r="B1211" s="504" t="s">
        <v>28176</v>
      </c>
      <c r="C1211" s="502" t="s">
        <v>109</v>
      </c>
      <c r="D1211" s="503" t="s">
        <v>3964</v>
      </c>
      <c r="F1211" t="str">
        <f t="shared" si="37"/>
        <v>92712</v>
      </c>
      <c r="H1211" s="14">
        <f t="shared" si="38"/>
        <v>0.2</v>
      </c>
    </row>
    <row r="1212" spans="1:8" ht="41.4">
      <c r="A1212" s="502" t="s">
        <v>3908</v>
      </c>
      <c r="B1212" s="504" t="s">
        <v>28177</v>
      </c>
      <c r="C1212" s="502" t="s">
        <v>109</v>
      </c>
      <c r="D1212" s="503" t="s">
        <v>3235</v>
      </c>
      <c r="F1212" t="str">
        <f t="shared" si="37"/>
        <v>92713</v>
      </c>
      <c r="H1212" s="14">
        <f t="shared" si="38"/>
        <v>0.04</v>
      </c>
    </row>
    <row r="1213" spans="1:8" ht="29.25" customHeight="1">
      <c r="A1213" s="502" t="s">
        <v>3909</v>
      </c>
      <c r="B1213" s="504" t="s">
        <v>28178</v>
      </c>
      <c r="C1213" s="502" t="s">
        <v>109</v>
      </c>
      <c r="D1213" s="503" t="s">
        <v>3481</v>
      </c>
      <c r="F1213" t="str">
        <f t="shared" si="37"/>
        <v>92714</v>
      </c>
      <c r="H1213" s="14">
        <f t="shared" si="38"/>
        <v>0.24</v>
      </c>
    </row>
    <row r="1214" spans="1:8" ht="41.4">
      <c r="A1214" s="502" t="s">
        <v>3910</v>
      </c>
      <c r="B1214" s="504" t="s">
        <v>28179</v>
      </c>
      <c r="C1214" s="502" t="s">
        <v>109</v>
      </c>
      <c r="D1214" s="503" t="s">
        <v>31082</v>
      </c>
      <c r="F1214" t="str">
        <f t="shared" si="37"/>
        <v>92715</v>
      </c>
      <c r="H1214" s="14">
        <f t="shared" si="38"/>
        <v>118.15</v>
      </c>
    </row>
    <row r="1215" spans="1:8" ht="41.4">
      <c r="A1215" s="502" t="s">
        <v>3911</v>
      </c>
      <c r="B1215" s="504" t="s">
        <v>2100</v>
      </c>
      <c r="C1215" s="502" t="s">
        <v>109</v>
      </c>
      <c r="D1215" s="503" t="s">
        <v>3941</v>
      </c>
      <c r="F1215" t="str">
        <f t="shared" si="37"/>
        <v>92956</v>
      </c>
      <c r="H1215" s="14">
        <f t="shared" si="38"/>
        <v>5.73</v>
      </c>
    </row>
    <row r="1216" spans="1:8" ht="41.4">
      <c r="A1216" s="502" t="s">
        <v>3912</v>
      </c>
      <c r="B1216" s="504" t="s">
        <v>2101</v>
      </c>
      <c r="C1216" s="502" t="s">
        <v>109</v>
      </c>
      <c r="D1216" s="503" t="s">
        <v>16556</v>
      </c>
      <c r="F1216" t="str">
        <f t="shared" si="37"/>
        <v>92957</v>
      </c>
      <c r="H1216" s="14">
        <f t="shared" si="38"/>
        <v>1.32</v>
      </c>
    </row>
    <row r="1217" spans="1:8" ht="41.4">
      <c r="A1217" s="502" t="s">
        <v>3913</v>
      </c>
      <c r="B1217" s="504" t="s">
        <v>2102</v>
      </c>
      <c r="C1217" s="502" t="s">
        <v>109</v>
      </c>
      <c r="D1217" s="503" t="s">
        <v>7724</v>
      </c>
      <c r="F1217" t="str">
        <f t="shared" si="37"/>
        <v>92958</v>
      </c>
      <c r="H1217" s="14">
        <f t="shared" si="38"/>
        <v>6.26</v>
      </c>
    </row>
    <row r="1218" spans="1:8" ht="41.4">
      <c r="A1218" s="502" t="s">
        <v>3915</v>
      </c>
      <c r="B1218" s="504" t="s">
        <v>2103</v>
      </c>
      <c r="C1218" s="502" t="s">
        <v>109</v>
      </c>
      <c r="D1218" s="503" t="s">
        <v>25116</v>
      </c>
      <c r="F1218" t="str">
        <f t="shared" si="37"/>
        <v>92959</v>
      </c>
      <c r="H1218" s="14">
        <f t="shared" si="38"/>
        <v>12.3</v>
      </c>
    </row>
    <row r="1219" spans="1:8" ht="27.6">
      <c r="A1219" s="502" t="s">
        <v>3917</v>
      </c>
      <c r="B1219" s="504" t="s">
        <v>2104</v>
      </c>
      <c r="C1219" s="502" t="s">
        <v>109</v>
      </c>
      <c r="D1219" s="503" t="s">
        <v>7226</v>
      </c>
      <c r="F1219" t="str">
        <f t="shared" si="37"/>
        <v>92963</v>
      </c>
      <c r="H1219" s="14">
        <f t="shared" si="38"/>
        <v>2.4</v>
      </c>
    </row>
    <row r="1220" spans="1:8" ht="27.6">
      <c r="A1220" s="502" t="s">
        <v>3919</v>
      </c>
      <c r="B1220" s="504" t="s">
        <v>2551</v>
      </c>
      <c r="C1220" s="502" t="s">
        <v>109</v>
      </c>
      <c r="D1220" s="503" t="s">
        <v>4025</v>
      </c>
      <c r="F1220" t="str">
        <f t="shared" si="37"/>
        <v>92964</v>
      </c>
      <c r="H1220" s="14">
        <f t="shared" si="38"/>
        <v>0.55000000000000004</v>
      </c>
    </row>
    <row r="1221" spans="1:8" ht="27.6">
      <c r="A1221" s="502" t="s">
        <v>3921</v>
      </c>
      <c r="B1221" s="504" t="s">
        <v>2105</v>
      </c>
      <c r="C1221" s="502" t="s">
        <v>109</v>
      </c>
      <c r="D1221" s="503" t="s">
        <v>7232</v>
      </c>
      <c r="F1221" t="str">
        <f t="shared" ref="F1221:F1284" si="39">TRIM(A1221)</f>
        <v>92965</v>
      </c>
      <c r="H1221" s="14">
        <f t="shared" ref="H1221:H1284" si="40">ROUND(D1221*(1+$H$1),2)</f>
        <v>3.01</v>
      </c>
    </row>
    <row r="1222" spans="1:8" ht="69">
      <c r="A1222" s="502" t="s">
        <v>3923</v>
      </c>
      <c r="B1222" s="504" t="s">
        <v>2106</v>
      </c>
      <c r="C1222" s="502" t="s">
        <v>109</v>
      </c>
      <c r="D1222" s="503" t="s">
        <v>31083</v>
      </c>
      <c r="F1222" t="str">
        <f t="shared" si="39"/>
        <v>93220</v>
      </c>
      <c r="H1222" s="14">
        <f t="shared" si="40"/>
        <v>493.54</v>
      </c>
    </row>
    <row r="1223" spans="1:8" ht="69">
      <c r="A1223" s="502" t="s">
        <v>3924</v>
      </c>
      <c r="B1223" s="504" t="s">
        <v>2552</v>
      </c>
      <c r="C1223" s="502" t="s">
        <v>109</v>
      </c>
      <c r="D1223" s="503" t="s">
        <v>31084</v>
      </c>
      <c r="F1223" t="str">
        <f t="shared" si="39"/>
        <v>93221</v>
      </c>
      <c r="H1223" s="14">
        <f t="shared" si="40"/>
        <v>132.41</v>
      </c>
    </row>
    <row r="1224" spans="1:8" ht="69">
      <c r="A1224" s="502" t="s">
        <v>3925</v>
      </c>
      <c r="B1224" s="504" t="s">
        <v>2107</v>
      </c>
      <c r="C1224" s="502" t="s">
        <v>109</v>
      </c>
      <c r="D1224" s="503" t="s">
        <v>31085</v>
      </c>
      <c r="F1224" t="str">
        <f t="shared" si="39"/>
        <v>93222</v>
      </c>
      <c r="H1224" s="14">
        <f t="shared" si="40"/>
        <v>617.63</v>
      </c>
    </row>
    <row r="1225" spans="1:8" ht="69">
      <c r="A1225" s="502" t="s">
        <v>3926</v>
      </c>
      <c r="B1225" s="504" t="s">
        <v>28180</v>
      </c>
      <c r="C1225" s="502" t="s">
        <v>109</v>
      </c>
      <c r="D1225" s="503" t="s">
        <v>31086</v>
      </c>
      <c r="F1225" t="str">
        <f t="shared" si="39"/>
        <v>93223</v>
      </c>
      <c r="H1225" s="14">
        <f t="shared" si="40"/>
        <v>207.35</v>
      </c>
    </row>
    <row r="1226" spans="1:8" ht="41.4">
      <c r="A1226" s="502" t="s">
        <v>3927</v>
      </c>
      <c r="B1226" s="504" t="s">
        <v>23977</v>
      </c>
      <c r="C1226" s="502" t="s">
        <v>109</v>
      </c>
      <c r="D1226" s="503" t="s">
        <v>26983</v>
      </c>
      <c r="F1226" t="str">
        <f t="shared" si="39"/>
        <v>93229</v>
      </c>
      <c r="H1226" s="14">
        <f t="shared" si="40"/>
        <v>0.48</v>
      </c>
    </row>
    <row r="1227" spans="1:8" ht="41.4">
      <c r="A1227" s="502" t="s">
        <v>3928</v>
      </c>
      <c r="B1227" s="504" t="s">
        <v>23978</v>
      </c>
      <c r="C1227" s="502" t="s">
        <v>109</v>
      </c>
      <c r="D1227" s="503" t="s">
        <v>4027</v>
      </c>
      <c r="F1227" t="str">
        <f t="shared" si="39"/>
        <v>93230</v>
      </c>
      <c r="H1227" s="14">
        <f t="shared" si="40"/>
        <v>0.11</v>
      </c>
    </row>
    <row r="1228" spans="1:8" ht="41.4">
      <c r="A1228" s="502" t="s">
        <v>3929</v>
      </c>
      <c r="B1228" s="504" t="s">
        <v>23979</v>
      </c>
      <c r="C1228" s="502" t="s">
        <v>109</v>
      </c>
      <c r="D1228" s="503" t="s">
        <v>3892</v>
      </c>
      <c r="F1228" t="str">
        <f t="shared" si="39"/>
        <v>93231</v>
      </c>
      <c r="H1228" s="14">
        <f t="shared" si="40"/>
        <v>0.6</v>
      </c>
    </row>
    <row r="1229" spans="1:8" ht="41.4">
      <c r="A1229" s="502" t="s">
        <v>3930</v>
      </c>
      <c r="B1229" s="504" t="s">
        <v>23980</v>
      </c>
      <c r="C1229" s="502" t="s">
        <v>109</v>
      </c>
      <c r="D1229" s="503" t="s">
        <v>4870</v>
      </c>
      <c r="F1229" t="str">
        <f t="shared" si="39"/>
        <v>93232</v>
      </c>
      <c r="H1229" s="14">
        <f t="shared" si="40"/>
        <v>6.34</v>
      </c>
    </row>
    <row r="1230" spans="1:8" ht="27.6">
      <c r="A1230" s="502" t="s">
        <v>3932</v>
      </c>
      <c r="B1230" s="504" t="s">
        <v>2108</v>
      </c>
      <c r="C1230" s="502" t="s">
        <v>109</v>
      </c>
      <c r="D1230" s="503" t="s">
        <v>7314</v>
      </c>
      <c r="F1230" t="str">
        <f t="shared" si="39"/>
        <v>93235</v>
      </c>
      <c r="H1230" s="14">
        <f t="shared" si="40"/>
        <v>3.36</v>
      </c>
    </row>
    <row r="1231" spans="1:8" ht="55.2">
      <c r="A1231" s="502" t="s">
        <v>3933</v>
      </c>
      <c r="B1231" s="504" t="s">
        <v>2109</v>
      </c>
      <c r="C1231" s="502" t="s">
        <v>109</v>
      </c>
      <c r="D1231" s="503" t="s">
        <v>31087</v>
      </c>
      <c r="F1231" t="str">
        <f t="shared" si="39"/>
        <v>93238</v>
      </c>
      <c r="H1231" s="14">
        <f t="shared" si="40"/>
        <v>3.45</v>
      </c>
    </row>
    <row r="1232" spans="1:8" ht="55.2">
      <c r="A1232" s="502" t="s">
        <v>3935</v>
      </c>
      <c r="B1232" s="504" t="s">
        <v>2110</v>
      </c>
      <c r="C1232" s="502" t="s">
        <v>109</v>
      </c>
      <c r="D1232" s="503" t="s">
        <v>9997</v>
      </c>
      <c r="F1232" t="str">
        <f t="shared" si="39"/>
        <v>93239</v>
      </c>
      <c r="H1232" s="14">
        <f t="shared" si="40"/>
        <v>15.66</v>
      </c>
    </row>
    <row r="1233" spans="1:8" ht="55.2">
      <c r="A1233" s="502" t="s">
        <v>3936</v>
      </c>
      <c r="B1233" s="504" t="s">
        <v>2111</v>
      </c>
      <c r="C1233" s="502" t="s">
        <v>109</v>
      </c>
      <c r="D1233" s="503" t="s">
        <v>29062</v>
      </c>
      <c r="F1233" t="str">
        <f t="shared" si="39"/>
        <v>93240</v>
      </c>
      <c r="H1233" s="14">
        <f t="shared" si="40"/>
        <v>15.88</v>
      </c>
    </row>
    <row r="1234" spans="1:8" ht="27.6">
      <c r="A1234" s="502" t="s">
        <v>3937</v>
      </c>
      <c r="B1234" s="504" t="s">
        <v>28181</v>
      </c>
      <c r="C1234" s="502" t="s">
        <v>109</v>
      </c>
      <c r="D1234" s="503" t="s">
        <v>31088</v>
      </c>
      <c r="F1234" t="str">
        <f t="shared" si="39"/>
        <v>93267</v>
      </c>
      <c r="H1234" s="14">
        <f t="shared" si="40"/>
        <v>35.799999999999997</v>
      </c>
    </row>
    <row r="1235" spans="1:8" ht="27.6">
      <c r="A1235" s="502" t="s">
        <v>3938</v>
      </c>
      <c r="B1235" s="504" t="s">
        <v>28182</v>
      </c>
      <c r="C1235" s="502" t="s">
        <v>109</v>
      </c>
      <c r="D1235" s="503" t="s">
        <v>6035</v>
      </c>
      <c r="F1235" t="str">
        <f t="shared" si="39"/>
        <v>93269</v>
      </c>
      <c r="H1235" s="14">
        <f t="shared" si="40"/>
        <v>13.42</v>
      </c>
    </row>
    <row r="1236" spans="1:8" ht="27.6">
      <c r="A1236" s="502" t="s">
        <v>3939</v>
      </c>
      <c r="B1236" s="504" t="s">
        <v>28183</v>
      </c>
      <c r="C1236" s="502" t="s">
        <v>109</v>
      </c>
      <c r="D1236" s="503" t="s">
        <v>30180</v>
      </c>
      <c r="F1236" t="str">
        <f t="shared" si="39"/>
        <v>93270</v>
      </c>
      <c r="H1236" s="14">
        <f t="shared" si="40"/>
        <v>34.799999999999997</v>
      </c>
    </row>
    <row r="1237" spans="1:8" ht="41.4">
      <c r="A1237" s="502" t="s">
        <v>3940</v>
      </c>
      <c r="B1237" s="504" t="s">
        <v>28184</v>
      </c>
      <c r="C1237" s="502" t="s">
        <v>109</v>
      </c>
      <c r="D1237" s="503" t="s">
        <v>2986</v>
      </c>
      <c r="F1237" t="str">
        <f t="shared" si="39"/>
        <v>93271</v>
      </c>
      <c r="H1237" s="14">
        <f t="shared" si="40"/>
        <v>10.71</v>
      </c>
    </row>
    <row r="1238" spans="1:8" ht="41.4">
      <c r="A1238" s="502" t="s">
        <v>3942</v>
      </c>
      <c r="B1238" s="504" t="s">
        <v>2553</v>
      </c>
      <c r="C1238" s="502" t="s">
        <v>109</v>
      </c>
      <c r="D1238" s="503" t="s">
        <v>3920</v>
      </c>
      <c r="F1238" t="str">
        <f t="shared" si="39"/>
        <v>93277</v>
      </c>
      <c r="H1238" s="14">
        <f t="shared" si="40"/>
        <v>0.33</v>
      </c>
    </row>
    <row r="1239" spans="1:8" ht="41.4">
      <c r="A1239" s="502" t="s">
        <v>3943</v>
      </c>
      <c r="B1239" s="504" t="s">
        <v>2554</v>
      </c>
      <c r="C1239" s="502" t="s">
        <v>109</v>
      </c>
      <c r="D1239" s="503" t="s">
        <v>3552</v>
      </c>
      <c r="F1239" t="str">
        <f t="shared" si="39"/>
        <v>93278</v>
      </c>
      <c r="H1239" s="14">
        <f t="shared" si="40"/>
        <v>7.0000000000000007E-2</v>
      </c>
    </row>
    <row r="1240" spans="1:8" ht="41.4">
      <c r="A1240" s="502" t="s">
        <v>3944</v>
      </c>
      <c r="B1240" s="504" t="s">
        <v>2555</v>
      </c>
      <c r="C1240" s="502" t="s">
        <v>109</v>
      </c>
      <c r="D1240" s="503" t="s">
        <v>3710</v>
      </c>
      <c r="F1240" t="str">
        <f t="shared" si="39"/>
        <v>93279</v>
      </c>
      <c r="H1240" s="14">
        <f t="shared" si="40"/>
        <v>0.31</v>
      </c>
    </row>
    <row r="1241" spans="1:8" ht="41.4">
      <c r="A1241" s="502" t="s">
        <v>3945</v>
      </c>
      <c r="B1241" s="504" t="s">
        <v>2556</v>
      </c>
      <c r="C1241" s="502" t="s">
        <v>109</v>
      </c>
      <c r="D1241" s="503" t="s">
        <v>3777</v>
      </c>
      <c r="F1241" t="str">
        <f t="shared" si="39"/>
        <v>93280</v>
      </c>
      <c r="H1241" s="14">
        <f t="shared" si="40"/>
        <v>0.89</v>
      </c>
    </row>
    <row r="1242" spans="1:8" ht="41.4">
      <c r="A1242" s="502" t="s">
        <v>3947</v>
      </c>
      <c r="B1242" s="504" t="s">
        <v>2557</v>
      </c>
      <c r="C1242" s="502" t="s">
        <v>109</v>
      </c>
      <c r="D1242" s="503" t="s">
        <v>28185</v>
      </c>
      <c r="F1242" t="str">
        <f t="shared" si="39"/>
        <v>93283</v>
      </c>
      <c r="H1242" s="14">
        <f t="shared" si="40"/>
        <v>133.81</v>
      </c>
    </row>
    <row r="1243" spans="1:8" ht="41.4">
      <c r="A1243" s="502" t="s">
        <v>3948</v>
      </c>
      <c r="B1243" s="504" t="s">
        <v>2558</v>
      </c>
      <c r="C1243" s="502" t="s">
        <v>109</v>
      </c>
      <c r="D1243" s="503" t="s">
        <v>28186</v>
      </c>
      <c r="F1243" t="str">
        <f t="shared" si="39"/>
        <v>93284</v>
      </c>
      <c r="H1243" s="14">
        <f t="shared" si="40"/>
        <v>47.16</v>
      </c>
    </row>
    <row r="1244" spans="1:8" ht="41.4">
      <c r="A1244" s="502" t="s">
        <v>3949</v>
      </c>
      <c r="B1244" s="504" t="s">
        <v>2559</v>
      </c>
      <c r="C1244" s="502" t="s">
        <v>109</v>
      </c>
      <c r="D1244" s="503" t="s">
        <v>27610</v>
      </c>
      <c r="F1244" t="str">
        <f t="shared" si="39"/>
        <v>93285</v>
      </c>
      <c r="H1244" s="14">
        <f t="shared" si="40"/>
        <v>215.09</v>
      </c>
    </row>
    <row r="1245" spans="1:8" ht="41.4">
      <c r="A1245" s="502" t="s">
        <v>3950</v>
      </c>
      <c r="B1245" s="504" t="s">
        <v>2560</v>
      </c>
      <c r="C1245" s="502" t="s">
        <v>109</v>
      </c>
      <c r="D1245" s="503" t="s">
        <v>5804</v>
      </c>
      <c r="F1245" t="str">
        <f t="shared" si="39"/>
        <v>93286</v>
      </c>
      <c r="H1245" s="14">
        <f t="shared" si="40"/>
        <v>14.9</v>
      </c>
    </row>
    <row r="1246" spans="1:8" ht="41.4">
      <c r="A1246" s="502" t="s">
        <v>3951</v>
      </c>
      <c r="B1246" s="504" t="s">
        <v>2561</v>
      </c>
      <c r="C1246" s="502" t="s">
        <v>109</v>
      </c>
      <c r="D1246" s="503" t="s">
        <v>7899</v>
      </c>
      <c r="F1246" t="str">
        <f t="shared" si="39"/>
        <v>93296</v>
      </c>
      <c r="H1246" s="14">
        <f t="shared" si="40"/>
        <v>19.05</v>
      </c>
    </row>
    <row r="1247" spans="1:8" ht="69">
      <c r="A1247" s="502" t="s">
        <v>3952</v>
      </c>
      <c r="B1247" s="504" t="s">
        <v>2562</v>
      </c>
      <c r="C1247" s="502" t="s">
        <v>109</v>
      </c>
      <c r="D1247" s="503" t="s">
        <v>24647</v>
      </c>
      <c r="F1247" t="str">
        <f t="shared" si="39"/>
        <v>93397</v>
      </c>
      <c r="H1247" s="14">
        <f t="shared" si="40"/>
        <v>33.33</v>
      </c>
    </row>
    <row r="1248" spans="1:8" ht="69">
      <c r="A1248" s="502" t="s">
        <v>3953</v>
      </c>
      <c r="B1248" s="504" t="s">
        <v>2563</v>
      </c>
      <c r="C1248" s="502" t="s">
        <v>109</v>
      </c>
      <c r="D1248" s="503" t="s">
        <v>4793</v>
      </c>
      <c r="F1248" t="str">
        <f t="shared" si="39"/>
        <v>93398</v>
      </c>
      <c r="H1248" s="14">
        <f t="shared" si="40"/>
        <v>12.57</v>
      </c>
    </row>
    <row r="1249" spans="1:8" ht="69">
      <c r="A1249" s="502" t="s">
        <v>3954</v>
      </c>
      <c r="B1249" s="504" t="s">
        <v>28187</v>
      </c>
      <c r="C1249" s="502" t="s">
        <v>109</v>
      </c>
      <c r="D1249" s="503" t="s">
        <v>3538</v>
      </c>
      <c r="F1249" t="str">
        <f t="shared" si="39"/>
        <v>93399</v>
      </c>
      <c r="H1249" s="14">
        <f t="shared" si="40"/>
        <v>5.0599999999999996</v>
      </c>
    </row>
    <row r="1250" spans="1:8" ht="69">
      <c r="A1250" s="502" t="s">
        <v>3955</v>
      </c>
      <c r="B1250" s="504" t="s">
        <v>2564</v>
      </c>
      <c r="C1250" s="502" t="s">
        <v>109</v>
      </c>
      <c r="D1250" s="503" t="s">
        <v>28188</v>
      </c>
      <c r="F1250" t="str">
        <f t="shared" si="39"/>
        <v>93400</v>
      </c>
      <c r="H1250" s="14">
        <f t="shared" si="40"/>
        <v>57.76</v>
      </c>
    </row>
    <row r="1251" spans="1:8" ht="69">
      <c r="A1251" s="502" t="s">
        <v>3956</v>
      </c>
      <c r="B1251" s="504" t="s">
        <v>2565</v>
      </c>
      <c r="C1251" s="502" t="s">
        <v>109</v>
      </c>
      <c r="D1251" s="503" t="s">
        <v>31003</v>
      </c>
      <c r="F1251" t="str">
        <f t="shared" si="39"/>
        <v>93401</v>
      </c>
      <c r="H1251" s="14">
        <f t="shared" si="40"/>
        <v>209.9</v>
      </c>
    </row>
    <row r="1252" spans="1:8" ht="69">
      <c r="A1252" s="502" t="s">
        <v>3957</v>
      </c>
      <c r="B1252" s="504" t="s">
        <v>28189</v>
      </c>
      <c r="C1252" s="502" t="s">
        <v>109</v>
      </c>
      <c r="D1252" s="503" t="s">
        <v>3657</v>
      </c>
      <c r="F1252" t="str">
        <f t="shared" si="39"/>
        <v>93404</v>
      </c>
      <c r="H1252" s="14">
        <f t="shared" si="40"/>
        <v>10.45</v>
      </c>
    </row>
    <row r="1253" spans="1:8" ht="69">
      <c r="A1253" s="502" t="s">
        <v>3959</v>
      </c>
      <c r="B1253" s="504" t="s">
        <v>28190</v>
      </c>
      <c r="C1253" s="502" t="s">
        <v>109</v>
      </c>
      <c r="D1253" s="503" t="s">
        <v>10407</v>
      </c>
      <c r="F1253" t="str">
        <f t="shared" si="39"/>
        <v>93405</v>
      </c>
      <c r="H1253" s="14">
        <f t="shared" si="40"/>
        <v>2.67</v>
      </c>
    </row>
    <row r="1254" spans="1:8" ht="69">
      <c r="A1254" s="502" t="s">
        <v>3960</v>
      </c>
      <c r="B1254" s="504" t="s">
        <v>28191</v>
      </c>
      <c r="C1254" s="502" t="s">
        <v>109</v>
      </c>
      <c r="D1254" s="503" t="s">
        <v>31089</v>
      </c>
      <c r="F1254" t="str">
        <f t="shared" si="39"/>
        <v>93406</v>
      </c>
      <c r="H1254" s="14">
        <f t="shared" si="40"/>
        <v>12.54</v>
      </c>
    </row>
    <row r="1255" spans="1:8" ht="69">
      <c r="A1255" s="502" t="s">
        <v>3962</v>
      </c>
      <c r="B1255" s="504" t="s">
        <v>28192</v>
      </c>
      <c r="C1255" s="502" t="s">
        <v>109</v>
      </c>
      <c r="D1255" s="503" t="s">
        <v>31019</v>
      </c>
      <c r="F1255" t="str">
        <f t="shared" si="39"/>
        <v>93407</v>
      </c>
      <c r="H1255" s="14">
        <f t="shared" si="40"/>
        <v>62.57</v>
      </c>
    </row>
    <row r="1256" spans="1:8" ht="41.4">
      <c r="A1256" s="502" t="s">
        <v>3963</v>
      </c>
      <c r="B1256" s="504" t="s">
        <v>2566</v>
      </c>
      <c r="C1256" s="502" t="s">
        <v>109</v>
      </c>
      <c r="D1256" s="503" t="s">
        <v>4038</v>
      </c>
      <c r="F1256" t="str">
        <f t="shared" si="39"/>
        <v>93411</v>
      </c>
      <c r="H1256" s="14">
        <f t="shared" si="40"/>
        <v>0.45</v>
      </c>
    </row>
    <row r="1257" spans="1:8" ht="41.4">
      <c r="A1257" s="502" t="s">
        <v>3965</v>
      </c>
      <c r="B1257" s="504" t="s">
        <v>2567</v>
      </c>
      <c r="C1257" s="502" t="s">
        <v>109</v>
      </c>
      <c r="D1257" s="503" t="s">
        <v>3564</v>
      </c>
      <c r="F1257" t="str">
        <f t="shared" si="39"/>
        <v>93412</v>
      </c>
      <c r="H1257" s="14">
        <f t="shared" si="40"/>
        <v>0.16</v>
      </c>
    </row>
    <row r="1258" spans="1:8" ht="41.4">
      <c r="A1258" s="502" t="s">
        <v>3966</v>
      </c>
      <c r="B1258" s="504" t="s">
        <v>2568</v>
      </c>
      <c r="C1258" s="502" t="s">
        <v>109</v>
      </c>
      <c r="D1258" s="503" t="s">
        <v>6899</v>
      </c>
      <c r="F1258" t="str">
        <f t="shared" si="39"/>
        <v>93413</v>
      </c>
      <c r="H1258" s="14">
        <f t="shared" si="40"/>
        <v>0.4</v>
      </c>
    </row>
    <row r="1259" spans="1:8" ht="41.4">
      <c r="A1259" s="502" t="s">
        <v>3967</v>
      </c>
      <c r="B1259" s="504" t="s">
        <v>2569</v>
      </c>
      <c r="C1259" s="502" t="s">
        <v>109</v>
      </c>
      <c r="D1259" s="503" t="s">
        <v>9971</v>
      </c>
      <c r="F1259" t="str">
        <f t="shared" si="39"/>
        <v>93414</v>
      </c>
      <c r="H1259" s="14">
        <f t="shared" si="40"/>
        <v>15</v>
      </c>
    </row>
    <row r="1260" spans="1:8" ht="27.6">
      <c r="A1260" s="502" t="s">
        <v>3968</v>
      </c>
      <c r="B1260" s="504" t="s">
        <v>2570</v>
      </c>
      <c r="C1260" s="502" t="s">
        <v>109</v>
      </c>
      <c r="D1260" s="503" t="s">
        <v>28193</v>
      </c>
      <c r="F1260" t="str">
        <f t="shared" si="39"/>
        <v>93417</v>
      </c>
      <c r="H1260" s="14">
        <f t="shared" si="40"/>
        <v>5.98</v>
      </c>
    </row>
    <row r="1261" spans="1:8" ht="27.6">
      <c r="A1261" s="502" t="s">
        <v>3969</v>
      </c>
      <c r="B1261" s="504" t="s">
        <v>2571</v>
      </c>
      <c r="C1261" s="502" t="s">
        <v>109</v>
      </c>
      <c r="D1261" s="503" t="s">
        <v>7246</v>
      </c>
      <c r="F1261" t="str">
        <f t="shared" si="39"/>
        <v>93418</v>
      </c>
      <c r="H1261" s="14">
        <f t="shared" si="40"/>
        <v>2.11</v>
      </c>
    </row>
    <row r="1262" spans="1:8" ht="27.6">
      <c r="A1262" s="502" t="s">
        <v>3970</v>
      </c>
      <c r="B1262" s="504" t="s">
        <v>2572</v>
      </c>
      <c r="C1262" s="502" t="s">
        <v>109</v>
      </c>
      <c r="D1262" s="503" t="s">
        <v>4110</v>
      </c>
      <c r="F1262" t="str">
        <f t="shared" si="39"/>
        <v>93419</v>
      </c>
      <c r="H1262" s="14">
        <f t="shared" si="40"/>
        <v>5.34</v>
      </c>
    </row>
    <row r="1263" spans="1:8" ht="27.6">
      <c r="A1263" s="524" t="s">
        <v>3972</v>
      </c>
      <c r="B1263" s="504" t="s">
        <v>2573</v>
      </c>
      <c r="C1263" s="502" t="s">
        <v>109</v>
      </c>
      <c r="D1263" s="503" t="s">
        <v>31090</v>
      </c>
      <c r="F1263" t="str">
        <f t="shared" si="39"/>
        <v>93420</v>
      </c>
      <c r="H1263" s="14">
        <f t="shared" si="40"/>
        <v>89.02</v>
      </c>
    </row>
    <row r="1264" spans="1:8" ht="27.6">
      <c r="A1264" s="502" t="s">
        <v>3973</v>
      </c>
      <c r="B1264" s="504" t="s">
        <v>2574</v>
      </c>
      <c r="C1264" s="502" t="s">
        <v>109</v>
      </c>
      <c r="D1264" s="503" t="s">
        <v>4676</v>
      </c>
      <c r="F1264" t="str">
        <f t="shared" si="39"/>
        <v>93423</v>
      </c>
      <c r="H1264" s="14">
        <f t="shared" si="40"/>
        <v>8.4700000000000006</v>
      </c>
    </row>
    <row r="1265" spans="1:8" ht="27.6">
      <c r="A1265" s="502" t="s">
        <v>3975</v>
      </c>
      <c r="B1265" s="504" t="s">
        <v>2575</v>
      </c>
      <c r="C1265" s="502" t="s">
        <v>109</v>
      </c>
      <c r="D1265" s="503" t="s">
        <v>28194</v>
      </c>
      <c r="F1265" t="str">
        <f t="shared" si="39"/>
        <v>93424</v>
      </c>
      <c r="H1265" s="14">
        <f t="shared" si="40"/>
        <v>2.98</v>
      </c>
    </row>
    <row r="1266" spans="1:8" ht="27.6">
      <c r="A1266" s="502" t="s">
        <v>3977</v>
      </c>
      <c r="B1266" s="504" t="s">
        <v>2576</v>
      </c>
      <c r="C1266" s="502" t="s">
        <v>109</v>
      </c>
      <c r="D1266" s="503" t="s">
        <v>4565</v>
      </c>
      <c r="F1266" t="str">
        <f t="shared" si="39"/>
        <v>93425</v>
      </c>
      <c r="H1266" s="14">
        <f t="shared" si="40"/>
        <v>7.57</v>
      </c>
    </row>
    <row r="1267" spans="1:8" ht="27.6">
      <c r="A1267" s="502" t="s">
        <v>3978</v>
      </c>
      <c r="B1267" s="504" t="s">
        <v>2577</v>
      </c>
      <c r="C1267" s="502" t="s">
        <v>109</v>
      </c>
      <c r="D1267" s="503" t="s">
        <v>29932</v>
      </c>
      <c r="F1267" t="str">
        <f t="shared" si="39"/>
        <v>93426</v>
      </c>
      <c r="H1267" s="14">
        <f t="shared" si="40"/>
        <v>212.75</v>
      </c>
    </row>
    <row r="1268" spans="1:8" ht="41.4">
      <c r="A1268" s="502" t="s">
        <v>3979</v>
      </c>
      <c r="B1268" s="504" t="s">
        <v>28195</v>
      </c>
      <c r="C1268" s="502" t="s">
        <v>109</v>
      </c>
      <c r="D1268" s="503" t="s">
        <v>31091</v>
      </c>
      <c r="F1268" t="str">
        <f t="shared" si="39"/>
        <v>93429</v>
      </c>
      <c r="H1268" s="14">
        <f t="shared" si="40"/>
        <v>209.63</v>
      </c>
    </row>
    <row r="1269" spans="1:8" ht="27.6">
      <c r="A1269" s="502" t="s">
        <v>3980</v>
      </c>
      <c r="B1269" s="504" t="s">
        <v>28196</v>
      </c>
      <c r="C1269" s="502" t="s">
        <v>109</v>
      </c>
      <c r="D1269" s="503" t="s">
        <v>31092</v>
      </c>
      <c r="F1269" t="str">
        <f t="shared" si="39"/>
        <v>93430</v>
      </c>
      <c r="H1269" s="14">
        <f t="shared" si="40"/>
        <v>64.44</v>
      </c>
    </row>
    <row r="1270" spans="1:8" ht="41.4">
      <c r="A1270" s="502" t="s">
        <v>3982</v>
      </c>
      <c r="B1270" s="504" t="s">
        <v>28197</v>
      </c>
      <c r="C1270" s="502" t="s">
        <v>109</v>
      </c>
      <c r="D1270" s="503" t="s">
        <v>31093</v>
      </c>
      <c r="F1270" t="str">
        <f t="shared" si="39"/>
        <v>93431</v>
      </c>
      <c r="H1270" s="14">
        <f t="shared" si="40"/>
        <v>262.24</v>
      </c>
    </row>
    <row r="1271" spans="1:8" ht="41.4">
      <c r="A1271" s="502" t="s">
        <v>3983</v>
      </c>
      <c r="B1271" s="504" t="s">
        <v>28198</v>
      </c>
      <c r="C1271" s="502" t="s">
        <v>109</v>
      </c>
      <c r="D1271" s="503" t="s">
        <v>31094</v>
      </c>
      <c r="F1271" t="str">
        <f t="shared" si="39"/>
        <v>93432</v>
      </c>
      <c r="H1271" s="14">
        <f t="shared" si="40"/>
        <v>2859.01</v>
      </c>
    </row>
    <row r="1272" spans="1:8" ht="41.4">
      <c r="A1272" s="502" t="s">
        <v>3984</v>
      </c>
      <c r="B1272" s="504" t="s">
        <v>28199</v>
      </c>
      <c r="C1272" s="502" t="s">
        <v>109</v>
      </c>
      <c r="D1272" s="503" t="s">
        <v>26398</v>
      </c>
      <c r="F1272" t="str">
        <f t="shared" si="39"/>
        <v>93435</v>
      </c>
      <c r="H1272" s="14">
        <f t="shared" si="40"/>
        <v>11.77</v>
      </c>
    </row>
    <row r="1273" spans="1:8" ht="41.4">
      <c r="A1273" s="502" t="s">
        <v>3985</v>
      </c>
      <c r="B1273" s="504" t="s">
        <v>28200</v>
      </c>
      <c r="C1273" s="502" t="s">
        <v>109</v>
      </c>
      <c r="D1273" s="503" t="s">
        <v>31095</v>
      </c>
      <c r="F1273" t="str">
        <f t="shared" si="39"/>
        <v>93436</v>
      </c>
      <c r="H1273" s="14">
        <f t="shared" si="40"/>
        <v>3.62</v>
      </c>
    </row>
    <row r="1274" spans="1:8" ht="41.4">
      <c r="A1274" s="502" t="s">
        <v>3986</v>
      </c>
      <c r="B1274" s="504" t="s">
        <v>28201</v>
      </c>
      <c r="C1274" s="502" t="s">
        <v>109</v>
      </c>
      <c r="D1274" s="503" t="s">
        <v>7251</v>
      </c>
      <c r="F1274" t="str">
        <f t="shared" si="39"/>
        <v>93437</v>
      </c>
      <c r="H1274" s="14">
        <f t="shared" si="40"/>
        <v>12.87</v>
      </c>
    </row>
    <row r="1275" spans="1:8" ht="41.4">
      <c r="A1275" s="502" t="s">
        <v>3988</v>
      </c>
      <c r="B1275" s="504" t="s">
        <v>28202</v>
      </c>
      <c r="C1275" s="502" t="s">
        <v>109</v>
      </c>
      <c r="D1275" s="503" t="s">
        <v>31096</v>
      </c>
      <c r="F1275" t="str">
        <f t="shared" si="39"/>
        <v>93438</v>
      </c>
      <c r="H1275" s="14">
        <f t="shared" si="40"/>
        <v>149.05000000000001</v>
      </c>
    </row>
    <row r="1276" spans="1:8" ht="27.6">
      <c r="A1276" s="502" t="s">
        <v>3989</v>
      </c>
      <c r="B1276" s="504" t="s">
        <v>2578</v>
      </c>
      <c r="C1276" s="502" t="s">
        <v>109</v>
      </c>
      <c r="D1276" s="503" t="s">
        <v>3971</v>
      </c>
      <c r="F1276" t="str">
        <f t="shared" si="39"/>
        <v>95114</v>
      </c>
      <c r="H1276" s="14">
        <f t="shared" si="40"/>
        <v>2.33</v>
      </c>
    </row>
    <row r="1277" spans="1:8" ht="27.6">
      <c r="A1277" s="502" t="s">
        <v>3991</v>
      </c>
      <c r="B1277" s="504" t="s">
        <v>2579</v>
      </c>
      <c r="C1277" s="502" t="s">
        <v>109</v>
      </c>
      <c r="D1277" s="503" t="s">
        <v>3883</v>
      </c>
      <c r="F1277" t="str">
        <f t="shared" si="39"/>
        <v>95115</v>
      </c>
      <c r="H1277" s="14">
        <f t="shared" si="40"/>
        <v>0.53</v>
      </c>
    </row>
    <row r="1278" spans="1:8" ht="27.6">
      <c r="A1278" s="502" t="s">
        <v>3992</v>
      </c>
      <c r="B1278" s="504" t="s">
        <v>2580</v>
      </c>
      <c r="C1278" s="502" t="s">
        <v>109</v>
      </c>
      <c r="D1278" s="503" t="s">
        <v>20540</v>
      </c>
      <c r="F1278" t="str">
        <f t="shared" si="39"/>
        <v>95116</v>
      </c>
      <c r="H1278" s="14">
        <f t="shared" si="40"/>
        <v>43.37</v>
      </c>
    </row>
    <row r="1279" spans="1:8" ht="27.6">
      <c r="A1279" s="502" t="s">
        <v>3994</v>
      </c>
      <c r="B1279" s="504" t="s">
        <v>2581</v>
      </c>
      <c r="C1279" s="502" t="s">
        <v>109</v>
      </c>
      <c r="D1279" s="503" t="s">
        <v>7239</v>
      </c>
      <c r="F1279" t="str">
        <f t="shared" si="39"/>
        <v>95117</v>
      </c>
      <c r="H1279" s="14">
        <f t="shared" si="40"/>
        <v>13.38</v>
      </c>
    </row>
    <row r="1280" spans="1:8" ht="27.6">
      <c r="A1280" s="502" t="s">
        <v>3995</v>
      </c>
      <c r="B1280" s="504" t="s">
        <v>2582</v>
      </c>
      <c r="C1280" s="502" t="s">
        <v>109</v>
      </c>
      <c r="D1280" s="503" t="s">
        <v>30500</v>
      </c>
      <c r="F1280" t="str">
        <f t="shared" si="39"/>
        <v>95118</v>
      </c>
      <c r="H1280" s="14">
        <f t="shared" si="40"/>
        <v>96.14</v>
      </c>
    </row>
    <row r="1281" spans="1:8" ht="27.6">
      <c r="A1281" s="502" t="s">
        <v>3996</v>
      </c>
      <c r="B1281" s="504" t="s">
        <v>2583</v>
      </c>
      <c r="C1281" s="502" t="s">
        <v>109</v>
      </c>
      <c r="D1281" s="503" t="s">
        <v>31097</v>
      </c>
      <c r="F1281" t="str">
        <f t="shared" si="39"/>
        <v>95119</v>
      </c>
      <c r="H1281" s="14">
        <f t="shared" si="40"/>
        <v>29.66</v>
      </c>
    </row>
    <row r="1282" spans="1:8" ht="41.4">
      <c r="A1282" s="502" t="s">
        <v>3997</v>
      </c>
      <c r="B1282" s="504" t="s">
        <v>2584</v>
      </c>
      <c r="C1282" s="502" t="s">
        <v>109</v>
      </c>
      <c r="D1282" s="503" t="s">
        <v>21589</v>
      </c>
      <c r="F1282" t="str">
        <f t="shared" si="39"/>
        <v>95120</v>
      </c>
      <c r="H1282" s="14">
        <f t="shared" si="40"/>
        <v>73.05</v>
      </c>
    </row>
    <row r="1283" spans="1:8" ht="27.6">
      <c r="A1283" s="502" t="s">
        <v>3998</v>
      </c>
      <c r="B1283" s="504" t="s">
        <v>2585</v>
      </c>
      <c r="C1283" s="502" t="s">
        <v>109</v>
      </c>
      <c r="D1283" s="503" t="s">
        <v>28204</v>
      </c>
      <c r="F1283" t="str">
        <f t="shared" si="39"/>
        <v>95123</v>
      </c>
      <c r="H1283" s="14">
        <f t="shared" si="40"/>
        <v>23.81</v>
      </c>
    </row>
    <row r="1284" spans="1:8" ht="27.6">
      <c r="A1284" s="502" t="s">
        <v>3999</v>
      </c>
      <c r="B1284" s="504" t="s">
        <v>2586</v>
      </c>
      <c r="C1284" s="502" t="s">
        <v>109</v>
      </c>
      <c r="D1284" s="503" t="s">
        <v>9494</v>
      </c>
      <c r="F1284" t="str">
        <f t="shared" si="39"/>
        <v>95124</v>
      </c>
      <c r="H1284" s="14">
        <f t="shared" si="40"/>
        <v>7.34</v>
      </c>
    </row>
    <row r="1285" spans="1:8" ht="27.6">
      <c r="A1285" s="502" t="s">
        <v>4000</v>
      </c>
      <c r="B1285" s="504" t="s">
        <v>2587</v>
      </c>
      <c r="C1285" s="502" t="s">
        <v>109</v>
      </c>
      <c r="D1285" s="503" t="s">
        <v>10216</v>
      </c>
      <c r="F1285" t="str">
        <f t="shared" ref="F1285:F1348" si="41">TRIM(A1285)</f>
        <v>95125</v>
      </c>
      <c r="H1285" s="14">
        <f t="shared" ref="H1285:H1348" si="42">ROUND(D1285*(1+$H$1),2)</f>
        <v>26.06</v>
      </c>
    </row>
    <row r="1286" spans="1:8" ht="41.4">
      <c r="A1286" s="502" t="s">
        <v>4001</v>
      </c>
      <c r="B1286" s="504" t="s">
        <v>28205</v>
      </c>
      <c r="C1286" s="502" t="s">
        <v>109</v>
      </c>
      <c r="D1286" s="503" t="s">
        <v>31098</v>
      </c>
      <c r="F1286" t="str">
        <f t="shared" si="41"/>
        <v>95126</v>
      </c>
      <c r="H1286" s="14">
        <f t="shared" si="42"/>
        <v>195.44</v>
      </c>
    </row>
    <row r="1287" spans="1:8" ht="41.4">
      <c r="A1287" s="502" t="s">
        <v>4002</v>
      </c>
      <c r="B1287" s="504" t="s">
        <v>2588</v>
      </c>
      <c r="C1287" s="502" t="s">
        <v>109</v>
      </c>
      <c r="D1287" s="503" t="s">
        <v>15287</v>
      </c>
      <c r="F1287" t="str">
        <f t="shared" si="41"/>
        <v>95129</v>
      </c>
      <c r="H1287" s="14">
        <f t="shared" si="42"/>
        <v>63.83</v>
      </c>
    </row>
    <row r="1288" spans="1:8" ht="27.6">
      <c r="A1288" s="502" t="s">
        <v>4003</v>
      </c>
      <c r="B1288" s="504" t="s">
        <v>2589</v>
      </c>
      <c r="C1288" s="502" t="s">
        <v>109</v>
      </c>
      <c r="D1288" s="503" t="s">
        <v>9573</v>
      </c>
      <c r="F1288" t="str">
        <f t="shared" si="41"/>
        <v>95130</v>
      </c>
      <c r="H1288" s="14">
        <f t="shared" si="42"/>
        <v>23.13</v>
      </c>
    </row>
    <row r="1289" spans="1:8" ht="41.4">
      <c r="A1289" s="502" t="s">
        <v>4005</v>
      </c>
      <c r="B1289" s="504" t="s">
        <v>2590</v>
      </c>
      <c r="C1289" s="502" t="s">
        <v>109</v>
      </c>
      <c r="D1289" s="503" t="s">
        <v>11802</v>
      </c>
      <c r="F1289" t="str">
        <f t="shared" si="41"/>
        <v>95131</v>
      </c>
      <c r="H1289" s="14">
        <f t="shared" si="42"/>
        <v>75.13</v>
      </c>
    </row>
    <row r="1290" spans="1:8" ht="41.4">
      <c r="A1290" s="502" t="s">
        <v>4006</v>
      </c>
      <c r="B1290" s="504" t="s">
        <v>2591</v>
      </c>
      <c r="C1290" s="502" t="s">
        <v>109</v>
      </c>
      <c r="D1290" s="503" t="s">
        <v>31099</v>
      </c>
      <c r="F1290" t="str">
        <f t="shared" si="41"/>
        <v>95132</v>
      </c>
      <c r="H1290" s="14">
        <f t="shared" si="42"/>
        <v>42.8</v>
      </c>
    </row>
    <row r="1291" spans="1:8" ht="27.6">
      <c r="A1291" s="502" t="s">
        <v>4008</v>
      </c>
      <c r="B1291" s="504" t="s">
        <v>2592</v>
      </c>
      <c r="C1291" s="502" t="s">
        <v>109</v>
      </c>
      <c r="D1291" s="503" t="s">
        <v>3394</v>
      </c>
      <c r="F1291" t="str">
        <f t="shared" si="41"/>
        <v>95136</v>
      </c>
      <c r="H1291" s="14">
        <f t="shared" si="42"/>
        <v>0.03</v>
      </c>
    </row>
    <row r="1292" spans="1:8" ht="27.6">
      <c r="A1292" s="502" t="s">
        <v>4009</v>
      </c>
      <c r="B1292" s="504" t="s">
        <v>2593</v>
      </c>
      <c r="C1292" s="502" t="s">
        <v>109</v>
      </c>
      <c r="D1292" s="503" t="s">
        <v>3869</v>
      </c>
      <c r="F1292" t="str">
        <f t="shared" si="41"/>
        <v>95137</v>
      </c>
      <c r="H1292" s="14">
        <f t="shared" si="42"/>
        <v>0.01</v>
      </c>
    </row>
    <row r="1293" spans="1:8" ht="27.6">
      <c r="A1293" s="502" t="s">
        <v>4010</v>
      </c>
      <c r="B1293" s="504" t="s">
        <v>2594</v>
      </c>
      <c r="C1293" s="502" t="s">
        <v>109</v>
      </c>
      <c r="D1293" s="503" t="s">
        <v>3394</v>
      </c>
      <c r="F1293" t="str">
        <f t="shared" si="41"/>
        <v>95138</v>
      </c>
      <c r="H1293" s="14">
        <f t="shared" si="42"/>
        <v>0.03</v>
      </c>
    </row>
    <row r="1294" spans="1:8" ht="27.6">
      <c r="A1294" s="502" t="s">
        <v>4011</v>
      </c>
      <c r="B1294" s="504" t="s">
        <v>28207</v>
      </c>
      <c r="C1294" s="502" t="s">
        <v>109</v>
      </c>
      <c r="D1294" s="503" t="s">
        <v>31100</v>
      </c>
      <c r="F1294" t="str">
        <f t="shared" si="41"/>
        <v>95208</v>
      </c>
      <c r="H1294" s="14">
        <f t="shared" si="42"/>
        <v>72.13</v>
      </c>
    </row>
    <row r="1295" spans="1:8" ht="27.6">
      <c r="A1295" s="502" t="s">
        <v>4012</v>
      </c>
      <c r="B1295" s="504" t="s">
        <v>28209</v>
      </c>
      <c r="C1295" s="502" t="s">
        <v>109</v>
      </c>
      <c r="D1295" s="503" t="s">
        <v>10207</v>
      </c>
      <c r="F1295" t="str">
        <f t="shared" si="41"/>
        <v>95209</v>
      </c>
      <c r="H1295" s="14">
        <f t="shared" si="42"/>
        <v>16.670000000000002</v>
      </c>
    </row>
    <row r="1296" spans="1:8" ht="27.6">
      <c r="A1296" s="502" t="s">
        <v>4013</v>
      </c>
      <c r="B1296" s="504" t="s">
        <v>28210</v>
      </c>
      <c r="C1296" s="502" t="s">
        <v>109</v>
      </c>
      <c r="D1296" s="503" t="s">
        <v>31101</v>
      </c>
      <c r="F1296" t="str">
        <f t="shared" si="41"/>
        <v>95210</v>
      </c>
      <c r="H1296" s="14">
        <f t="shared" si="42"/>
        <v>78.88</v>
      </c>
    </row>
    <row r="1297" spans="1:8" ht="41.4">
      <c r="A1297" s="502" t="s">
        <v>4014</v>
      </c>
      <c r="B1297" s="504" t="s">
        <v>28211</v>
      </c>
      <c r="C1297" s="502" t="s">
        <v>109</v>
      </c>
      <c r="D1297" s="503" t="s">
        <v>2986</v>
      </c>
      <c r="F1297" t="str">
        <f t="shared" si="41"/>
        <v>95211</v>
      </c>
      <c r="H1297" s="14">
        <f t="shared" si="42"/>
        <v>10.71</v>
      </c>
    </row>
    <row r="1298" spans="1:8" ht="41.4">
      <c r="A1298" s="502" t="s">
        <v>4015</v>
      </c>
      <c r="B1298" s="504" t="s">
        <v>28212</v>
      </c>
      <c r="C1298" s="502" t="s">
        <v>109</v>
      </c>
      <c r="D1298" s="503" t="s">
        <v>23955</v>
      </c>
      <c r="F1298" t="str">
        <f t="shared" si="41"/>
        <v>95217</v>
      </c>
      <c r="H1298" s="14">
        <f t="shared" si="42"/>
        <v>0.72</v>
      </c>
    </row>
    <row r="1299" spans="1:8" ht="27.6">
      <c r="A1299" s="502" t="s">
        <v>4016</v>
      </c>
      <c r="B1299" s="504" t="s">
        <v>2595</v>
      </c>
      <c r="C1299" s="502" t="s">
        <v>109</v>
      </c>
      <c r="D1299" s="503" t="s">
        <v>3864</v>
      </c>
      <c r="F1299" t="str">
        <f t="shared" si="41"/>
        <v>95255</v>
      </c>
      <c r="H1299" s="14">
        <f t="shared" si="42"/>
        <v>2.08</v>
      </c>
    </row>
    <row r="1300" spans="1:8" ht="27.6">
      <c r="A1300" s="502" t="s">
        <v>4018</v>
      </c>
      <c r="B1300" s="504" t="s">
        <v>2596</v>
      </c>
      <c r="C1300" s="502" t="s">
        <v>109</v>
      </c>
      <c r="D1300" s="503" t="s">
        <v>26983</v>
      </c>
      <c r="F1300" t="str">
        <f t="shared" si="41"/>
        <v>95256</v>
      </c>
      <c r="H1300" s="14">
        <f t="shared" si="42"/>
        <v>0.48</v>
      </c>
    </row>
    <row r="1301" spans="1:8" ht="27.6">
      <c r="A1301" s="502" t="s">
        <v>4019</v>
      </c>
      <c r="B1301" s="504" t="s">
        <v>2597</v>
      </c>
      <c r="C1301" s="502" t="s">
        <v>109</v>
      </c>
      <c r="D1301" s="503" t="s">
        <v>3155</v>
      </c>
      <c r="F1301" t="str">
        <f t="shared" si="41"/>
        <v>95257</v>
      </c>
      <c r="H1301" s="14">
        <f t="shared" si="42"/>
        <v>2.6</v>
      </c>
    </row>
    <row r="1302" spans="1:8" ht="41.4">
      <c r="A1302" s="502" t="s">
        <v>4020</v>
      </c>
      <c r="B1302" s="504" t="s">
        <v>2598</v>
      </c>
      <c r="C1302" s="502" t="s">
        <v>109</v>
      </c>
      <c r="D1302" s="503" t="s">
        <v>26401</v>
      </c>
      <c r="F1302" t="str">
        <f t="shared" si="41"/>
        <v>95260</v>
      </c>
      <c r="H1302" s="14">
        <f t="shared" si="42"/>
        <v>0.95</v>
      </c>
    </row>
    <row r="1303" spans="1:8" ht="27.6">
      <c r="A1303" s="502" t="s">
        <v>4021</v>
      </c>
      <c r="B1303" s="504" t="s">
        <v>2599</v>
      </c>
      <c r="C1303" s="502" t="s">
        <v>109</v>
      </c>
      <c r="D1303" s="503" t="s">
        <v>3469</v>
      </c>
      <c r="F1303" t="str">
        <f t="shared" si="41"/>
        <v>95261</v>
      </c>
      <c r="H1303" s="14">
        <f t="shared" si="42"/>
        <v>0.25</v>
      </c>
    </row>
    <row r="1304" spans="1:8" ht="41.4">
      <c r="A1304" s="502" t="s">
        <v>4022</v>
      </c>
      <c r="B1304" s="504" t="s">
        <v>2600</v>
      </c>
      <c r="C1304" s="502" t="s">
        <v>109</v>
      </c>
      <c r="D1304" s="503" t="s">
        <v>7014</v>
      </c>
      <c r="F1304" t="str">
        <f t="shared" si="41"/>
        <v>95262</v>
      </c>
      <c r="H1304" s="14">
        <f t="shared" si="42"/>
        <v>1.19</v>
      </c>
    </row>
    <row r="1305" spans="1:8" ht="41.4">
      <c r="A1305" s="502" t="s">
        <v>4023</v>
      </c>
      <c r="B1305" s="504" t="s">
        <v>2601</v>
      </c>
      <c r="C1305" s="502" t="s">
        <v>109</v>
      </c>
      <c r="D1305" s="503" t="s">
        <v>28230</v>
      </c>
      <c r="F1305" t="str">
        <f t="shared" si="41"/>
        <v>95263</v>
      </c>
      <c r="H1305" s="14">
        <f t="shared" si="42"/>
        <v>6.42</v>
      </c>
    </row>
    <row r="1306" spans="1:8" ht="41.4">
      <c r="A1306" s="502" t="s">
        <v>4024</v>
      </c>
      <c r="B1306" s="504" t="s">
        <v>2602</v>
      </c>
      <c r="C1306" s="502" t="s">
        <v>109</v>
      </c>
      <c r="D1306" s="503" t="s">
        <v>3728</v>
      </c>
      <c r="F1306" t="str">
        <f t="shared" si="41"/>
        <v>95266</v>
      </c>
      <c r="H1306" s="14">
        <f t="shared" si="42"/>
        <v>0.67</v>
      </c>
    </row>
    <row r="1307" spans="1:8" ht="41.4">
      <c r="A1307" s="502" t="s">
        <v>4026</v>
      </c>
      <c r="B1307" s="504" t="s">
        <v>2603</v>
      </c>
      <c r="C1307" s="502" t="s">
        <v>109</v>
      </c>
      <c r="D1307" s="503" t="s">
        <v>3558</v>
      </c>
      <c r="F1307" t="str">
        <f t="shared" si="41"/>
        <v>95267</v>
      </c>
      <c r="H1307" s="14">
        <f t="shared" si="42"/>
        <v>0.13</v>
      </c>
    </row>
    <row r="1308" spans="1:8" ht="41.4">
      <c r="A1308" s="502" t="s">
        <v>4028</v>
      </c>
      <c r="B1308" s="504" t="s">
        <v>2604</v>
      </c>
      <c r="C1308" s="502" t="s">
        <v>109</v>
      </c>
      <c r="D1308" s="503" t="s">
        <v>15854</v>
      </c>
      <c r="F1308" t="str">
        <f t="shared" si="41"/>
        <v>95268</v>
      </c>
      <c r="H1308" s="14">
        <f t="shared" si="42"/>
        <v>0.64</v>
      </c>
    </row>
    <row r="1309" spans="1:8" ht="41.4">
      <c r="A1309" s="502" t="s">
        <v>4029</v>
      </c>
      <c r="B1309" s="504" t="s">
        <v>28213</v>
      </c>
      <c r="C1309" s="502" t="s">
        <v>109</v>
      </c>
      <c r="D1309" s="503" t="s">
        <v>16176</v>
      </c>
      <c r="F1309" t="str">
        <f t="shared" si="41"/>
        <v>95269</v>
      </c>
      <c r="H1309" s="14">
        <f t="shared" si="42"/>
        <v>11.87</v>
      </c>
    </row>
    <row r="1310" spans="1:8" ht="41.4">
      <c r="A1310" s="502" t="s">
        <v>4030</v>
      </c>
      <c r="B1310" s="504" t="s">
        <v>28214</v>
      </c>
      <c r="C1310" s="502" t="s">
        <v>109</v>
      </c>
      <c r="D1310" s="503" t="s">
        <v>3399</v>
      </c>
      <c r="F1310" t="str">
        <f t="shared" si="41"/>
        <v>95272</v>
      </c>
      <c r="H1310" s="14">
        <f t="shared" si="42"/>
        <v>0.65</v>
      </c>
    </row>
    <row r="1311" spans="1:8" ht="41.4">
      <c r="A1311" s="502" t="s">
        <v>4031</v>
      </c>
      <c r="B1311" s="504" t="s">
        <v>28215</v>
      </c>
      <c r="C1311" s="502" t="s">
        <v>109</v>
      </c>
      <c r="D1311" s="503" t="s">
        <v>3418</v>
      </c>
      <c r="F1311" t="str">
        <f t="shared" si="41"/>
        <v>95273</v>
      </c>
      <c r="H1311" s="14">
        <f t="shared" si="42"/>
        <v>0.15</v>
      </c>
    </row>
    <row r="1312" spans="1:8" ht="41.4">
      <c r="A1312" s="502" t="s">
        <v>4033</v>
      </c>
      <c r="B1312" s="504" t="s">
        <v>28216</v>
      </c>
      <c r="C1312" s="502" t="s">
        <v>109</v>
      </c>
      <c r="D1312" s="503" t="s">
        <v>7249</v>
      </c>
      <c r="F1312" t="str">
        <f t="shared" si="41"/>
        <v>95274</v>
      </c>
      <c r="H1312" s="14">
        <f t="shared" si="42"/>
        <v>0.51</v>
      </c>
    </row>
    <row r="1313" spans="1:8" ht="41.4">
      <c r="A1313" s="502" t="s">
        <v>4034</v>
      </c>
      <c r="B1313" s="504" t="s">
        <v>28217</v>
      </c>
      <c r="C1313" s="502" t="s">
        <v>109</v>
      </c>
      <c r="D1313" s="503" t="s">
        <v>2965</v>
      </c>
      <c r="F1313" t="str">
        <f t="shared" si="41"/>
        <v>95275</v>
      </c>
      <c r="H1313" s="14">
        <f t="shared" si="42"/>
        <v>2.9</v>
      </c>
    </row>
    <row r="1314" spans="1:8" ht="41.4">
      <c r="A1314" s="502" t="s">
        <v>4035</v>
      </c>
      <c r="B1314" s="504" t="s">
        <v>28218</v>
      </c>
      <c r="C1314" s="502" t="s">
        <v>109</v>
      </c>
      <c r="D1314" s="503" t="s">
        <v>3817</v>
      </c>
      <c r="F1314" t="str">
        <f t="shared" si="41"/>
        <v>95278</v>
      </c>
      <c r="H1314" s="14">
        <f t="shared" si="42"/>
        <v>0.8</v>
      </c>
    </row>
    <row r="1315" spans="1:8" ht="41.4">
      <c r="A1315" s="502" t="s">
        <v>4036</v>
      </c>
      <c r="B1315" s="504" t="s">
        <v>28219</v>
      </c>
      <c r="C1315" s="502" t="s">
        <v>109</v>
      </c>
      <c r="D1315" s="503" t="s">
        <v>3564</v>
      </c>
      <c r="F1315" t="str">
        <f t="shared" si="41"/>
        <v>95279</v>
      </c>
      <c r="H1315" s="14">
        <f t="shared" si="42"/>
        <v>0.16</v>
      </c>
    </row>
    <row r="1316" spans="1:8" ht="41.4">
      <c r="A1316" s="502" t="s">
        <v>4037</v>
      </c>
      <c r="B1316" s="504" t="s">
        <v>28220</v>
      </c>
      <c r="C1316" s="502" t="s">
        <v>109</v>
      </c>
      <c r="D1316" s="503" t="s">
        <v>3812</v>
      </c>
      <c r="F1316" t="str">
        <f t="shared" si="41"/>
        <v>95280</v>
      </c>
      <c r="H1316" s="14">
        <f t="shared" si="42"/>
        <v>0.77</v>
      </c>
    </row>
    <row r="1317" spans="1:8" ht="41.4">
      <c r="A1317" s="502" t="s">
        <v>4039</v>
      </c>
      <c r="B1317" s="504" t="s">
        <v>28221</v>
      </c>
      <c r="C1317" s="502" t="s">
        <v>109</v>
      </c>
      <c r="D1317" s="503" t="s">
        <v>16176</v>
      </c>
      <c r="F1317" t="str">
        <f t="shared" si="41"/>
        <v>95281</v>
      </c>
      <c r="H1317" s="14">
        <f t="shared" si="42"/>
        <v>11.87</v>
      </c>
    </row>
    <row r="1318" spans="1:8" ht="55.2">
      <c r="A1318" s="502" t="s">
        <v>4040</v>
      </c>
      <c r="B1318" s="504" t="s">
        <v>2605</v>
      </c>
      <c r="C1318" s="502" t="s">
        <v>109</v>
      </c>
      <c r="D1318" s="503" t="s">
        <v>7336</v>
      </c>
      <c r="F1318" t="str">
        <f t="shared" si="41"/>
        <v>95617</v>
      </c>
      <c r="H1318" s="14">
        <f t="shared" si="42"/>
        <v>1.71</v>
      </c>
    </row>
    <row r="1319" spans="1:8" ht="41.4">
      <c r="A1319" s="502" t="s">
        <v>4041</v>
      </c>
      <c r="B1319" s="504" t="s">
        <v>2606</v>
      </c>
      <c r="C1319" s="502" t="s">
        <v>109</v>
      </c>
      <c r="D1319" s="503" t="s">
        <v>3303</v>
      </c>
      <c r="F1319" t="str">
        <f t="shared" si="41"/>
        <v>95618</v>
      </c>
      <c r="H1319" s="14">
        <f t="shared" si="42"/>
        <v>0.39</v>
      </c>
    </row>
    <row r="1320" spans="1:8" ht="55.2">
      <c r="A1320" s="502" t="s">
        <v>4042</v>
      </c>
      <c r="B1320" s="504" t="s">
        <v>2607</v>
      </c>
      <c r="C1320" s="502" t="s">
        <v>109</v>
      </c>
      <c r="D1320" s="503" t="s">
        <v>3002</v>
      </c>
      <c r="F1320" t="str">
        <f t="shared" si="41"/>
        <v>95619</v>
      </c>
      <c r="H1320" s="14">
        <f t="shared" si="42"/>
        <v>2.13</v>
      </c>
    </row>
    <row r="1321" spans="1:8" ht="55.2">
      <c r="A1321" s="502" t="s">
        <v>4043</v>
      </c>
      <c r="B1321" s="504" t="s">
        <v>2608</v>
      </c>
      <c r="C1321" s="502" t="s">
        <v>109</v>
      </c>
      <c r="D1321" s="503" t="s">
        <v>31102</v>
      </c>
      <c r="F1321" t="str">
        <f t="shared" si="41"/>
        <v>95627</v>
      </c>
      <c r="H1321" s="14">
        <f t="shared" si="42"/>
        <v>63.89</v>
      </c>
    </row>
    <row r="1322" spans="1:8" ht="41.4">
      <c r="A1322" s="502" t="s">
        <v>4045</v>
      </c>
      <c r="B1322" s="504" t="s">
        <v>2609</v>
      </c>
      <c r="C1322" s="502" t="s">
        <v>109</v>
      </c>
      <c r="D1322" s="503" t="s">
        <v>28174</v>
      </c>
      <c r="F1322" t="str">
        <f t="shared" si="41"/>
        <v>95628</v>
      </c>
      <c r="H1322" s="14">
        <f t="shared" si="42"/>
        <v>17.14</v>
      </c>
    </row>
    <row r="1323" spans="1:8" ht="41.4">
      <c r="A1323" s="502" t="s">
        <v>4047</v>
      </c>
      <c r="B1323" s="504" t="s">
        <v>2610</v>
      </c>
      <c r="C1323" s="502" t="s">
        <v>109</v>
      </c>
      <c r="D1323" s="503" t="s">
        <v>31103</v>
      </c>
      <c r="F1323" t="str">
        <f t="shared" si="41"/>
        <v>95629</v>
      </c>
      <c r="H1323" s="14">
        <f t="shared" si="42"/>
        <v>79.959999999999994</v>
      </c>
    </row>
    <row r="1324" spans="1:8" ht="55.2">
      <c r="A1324" s="502" t="s">
        <v>4049</v>
      </c>
      <c r="B1324" s="504" t="s">
        <v>2611</v>
      </c>
      <c r="C1324" s="502" t="s">
        <v>109</v>
      </c>
      <c r="D1324" s="503" t="s">
        <v>29871</v>
      </c>
      <c r="F1324" t="str">
        <f t="shared" si="41"/>
        <v>95630</v>
      </c>
      <c r="H1324" s="14">
        <f t="shared" si="42"/>
        <v>118.49</v>
      </c>
    </row>
    <row r="1325" spans="1:8" ht="41.4">
      <c r="A1325" s="502" t="s">
        <v>4050</v>
      </c>
      <c r="B1325" s="504" t="s">
        <v>2612</v>
      </c>
      <c r="C1325" s="502" t="s">
        <v>109</v>
      </c>
      <c r="D1325" s="503" t="s">
        <v>27752</v>
      </c>
      <c r="F1325" t="str">
        <f t="shared" si="41"/>
        <v>95698</v>
      </c>
      <c r="H1325" s="14">
        <f t="shared" si="42"/>
        <v>6.92</v>
      </c>
    </row>
    <row r="1326" spans="1:8" ht="41.4">
      <c r="A1326" s="502" t="s">
        <v>4051</v>
      </c>
      <c r="B1326" s="504" t="s">
        <v>2613</v>
      </c>
      <c r="C1326" s="502" t="s">
        <v>109</v>
      </c>
      <c r="D1326" s="503" t="s">
        <v>10398</v>
      </c>
      <c r="F1326" t="str">
        <f t="shared" si="41"/>
        <v>95699</v>
      </c>
      <c r="H1326" s="14">
        <f t="shared" si="42"/>
        <v>1.6</v>
      </c>
    </row>
    <row r="1327" spans="1:8" ht="41.4">
      <c r="A1327" s="502" t="s">
        <v>4052</v>
      </c>
      <c r="B1327" s="504" t="s">
        <v>2614</v>
      </c>
      <c r="C1327" s="502" t="s">
        <v>109</v>
      </c>
      <c r="D1327" s="503" t="s">
        <v>3987</v>
      </c>
      <c r="F1327" t="str">
        <f t="shared" si="41"/>
        <v>95700</v>
      </c>
      <c r="H1327" s="14">
        <f t="shared" si="42"/>
        <v>8.65</v>
      </c>
    </row>
    <row r="1328" spans="1:8" ht="41.4">
      <c r="A1328" s="502" t="s">
        <v>4053</v>
      </c>
      <c r="B1328" s="504" t="s">
        <v>2615</v>
      </c>
      <c r="C1328" s="502" t="s">
        <v>109</v>
      </c>
      <c r="D1328" s="503" t="s">
        <v>6521</v>
      </c>
      <c r="F1328" t="str">
        <f t="shared" si="41"/>
        <v>95701</v>
      </c>
      <c r="H1328" s="14">
        <f t="shared" si="42"/>
        <v>3.58</v>
      </c>
    </row>
    <row r="1329" spans="1:8" ht="41.4">
      <c r="A1329" s="502" t="s">
        <v>4054</v>
      </c>
      <c r="B1329" s="504" t="s">
        <v>28222</v>
      </c>
      <c r="C1329" s="502" t="s">
        <v>109</v>
      </c>
      <c r="D1329" s="503" t="s">
        <v>11451</v>
      </c>
      <c r="F1329" t="str">
        <f t="shared" si="41"/>
        <v>95704</v>
      </c>
      <c r="H1329" s="14">
        <f t="shared" si="42"/>
        <v>72.05</v>
      </c>
    </row>
    <row r="1330" spans="1:8" ht="41.4">
      <c r="A1330" s="502" t="s">
        <v>4055</v>
      </c>
      <c r="B1330" s="504" t="s">
        <v>28223</v>
      </c>
      <c r="C1330" s="502" t="s">
        <v>109</v>
      </c>
      <c r="D1330" s="503" t="s">
        <v>25128</v>
      </c>
      <c r="F1330" t="str">
        <f t="shared" si="41"/>
        <v>95705</v>
      </c>
      <c r="H1330" s="14">
        <f t="shared" si="42"/>
        <v>19.32</v>
      </c>
    </row>
    <row r="1331" spans="1:8" ht="41.4">
      <c r="A1331" s="502" t="s">
        <v>4056</v>
      </c>
      <c r="B1331" s="504" t="s">
        <v>28225</v>
      </c>
      <c r="C1331" s="502" t="s">
        <v>109</v>
      </c>
      <c r="D1331" s="503" t="s">
        <v>31104</v>
      </c>
      <c r="F1331" t="str">
        <f t="shared" si="41"/>
        <v>95706</v>
      </c>
      <c r="H1331" s="14">
        <f t="shared" si="42"/>
        <v>90.16</v>
      </c>
    </row>
    <row r="1332" spans="1:8" ht="41.4">
      <c r="A1332" s="502" t="s">
        <v>4057</v>
      </c>
      <c r="B1332" s="504" t="s">
        <v>28226</v>
      </c>
      <c r="C1332" s="502" t="s">
        <v>109</v>
      </c>
      <c r="D1332" s="503" t="s">
        <v>27707</v>
      </c>
      <c r="F1332" t="str">
        <f t="shared" si="41"/>
        <v>95707</v>
      </c>
      <c r="H1332" s="14">
        <f t="shared" si="42"/>
        <v>4.6900000000000004</v>
      </c>
    </row>
    <row r="1333" spans="1:8" ht="69">
      <c r="A1333" s="502" t="s">
        <v>4059</v>
      </c>
      <c r="B1333" s="504" t="s">
        <v>2616</v>
      </c>
      <c r="C1333" s="502" t="s">
        <v>109</v>
      </c>
      <c r="D1333" s="503" t="s">
        <v>28241</v>
      </c>
      <c r="F1333" t="str">
        <f t="shared" si="41"/>
        <v>95716</v>
      </c>
      <c r="H1333" s="14">
        <f t="shared" si="42"/>
        <v>86.63</v>
      </c>
    </row>
    <row r="1334" spans="1:8" ht="69">
      <c r="A1334" s="502" t="s">
        <v>4060</v>
      </c>
      <c r="B1334" s="504" t="s">
        <v>2617</v>
      </c>
      <c r="C1334" s="502" t="s">
        <v>109</v>
      </c>
      <c r="D1334" s="503" t="s">
        <v>10224</v>
      </c>
      <c r="F1334" t="str">
        <f t="shared" si="41"/>
        <v>95717</v>
      </c>
      <c r="H1334" s="14">
        <f t="shared" si="42"/>
        <v>22.89</v>
      </c>
    </row>
    <row r="1335" spans="1:8" ht="69">
      <c r="A1335" s="502" t="s">
        <v>4061</v>
      </c>
      <c r="B1335" s="504" t="s">
        <v>2618</v>
      </c>
      <c r="C1335" s="502" t="s">
        <v>109</v>
      </c>
      <c r="D1335" s="503" t="s">
        <v>31105</v>
      </c>
      <c r="F1335" t="str">
        <f t="shared" si="41"/>
        <v>95718</v>
      </c>
      <c r="H1335" s="14">
        <f t="shared" si="42"/>
        <v>108.29</v>
      </c>
    </row>
    <row r="1336" spans="1:8" ht="69">
      <c r="A1336" s="502" t="s">
        <v>4062</v>
      </c>
      <c r="B1336" s="504" t="s">
        <v>2619</v>
      </c>
      <c r="C1336" s="502" t="s">
        <v>109</v>
      </c>
      <c r="D1336" s="503" t="s">
        <v>31027</v>
      </c>
      <c r="F1336" t="str">
        <f t="shared" si="41"/>
        <v>95719</v>
      </c>
      <c r="H1336" s="14">
        <f t="shared" si="42"/>
        <v>119.35</v>
      </c>
    </row>
    <row r="1337" spans="1:8" ht="27.6">
      <c r="A1337" s="502" t="s">
        <v>4063</v>
      </c>
      <c r="B1337" s="504" t="s">
        <v>2620</v>
      </c>
      <c r="C1337" s="502" t="s">
        <v>109</v>
      </c>
      <c r="D1337" s="503" t="s">
        <v>28110</v>
      </c>
      <c r="F1337" t="str">
        <f t="shared" si="41"/>
        <v>95869</v>
      </c>
      <c r="H1337" s="14">
        <f t="shared" si="42"/>
        <v>4.7699999999999996</v>
      </c>
    </row>
    <row r="1338" spans="1:8" ht="41.4">
      <c r="A1338" s="502" t="s">
        <v>4064</v>
      </c>
      <c r="B1338" s="504" t="s">
        <v>2621</v>
      </c>
      <c r="C1338" s="502" t="s">
        <v>109</v>
      </c>
      <c r="D1338" s="503" t="s">
        <v>9788</v>
      </c>
      <c r="F1338" t="str">
        <f t="shared" si="41"/>
        <v>95870</v>
      </c>
      <c r="H1338" s="14">
        <f t="shared" si="42"/>
        <v>12.1</v>
      </c>
    </row>
    <row r="1339" spans="1:8" ht="41.4">
      <c r="A1339" s="502" t="s">
        <v>4065</v>
      </c>
      <c r="B1339" s="504" t="s">
        <v>2622</v>
      </c>
      <c r="C1339" s="502" t="s">
        <v>109</v>
      </c>
      <c r="D1339" s="503" t="s">
        <v>31106</v>
      </c>
      <c r="F1339" t="str">
        <f t="shared" si="41"/>
        <v>95871</v>
      </c>
      <c r="H1339" s="14">
        <f t="shared" si="42"/>
        <v>362.45</v>
      </c>
    </row>
    <row r="1340" spans="1:8" ht="41.4">
      <c r="A1340" s="502" t="s">
        <v>4066</v>
      </c>
      <c r="B1340" s="504" t="s">
        <v>2623</v>
      </c>
      <c r="C1340" s="502" t="s">
        <v>109</v>
      </c>
      <c r="D1340" s="503" t="s">
        <v>10143</v>
      </c>
      <c r="F1340" t="str">
        <f t="shared" si="41"/>
        <v>95874</v>
      </c>
      <c r="H1340" s="14">
        <f t="shared" si="42"/>
        <v>13.55</v>
      </c>
    </row>
    <row r="1341" spans="1:8" ht="41.4">
      <c r="A1341" s="502" t="s">
        <v>4068</v>
      </c>
      <c r="B1341" s="504" t="s">
        <v>2624</v>
      </c>
      <c r="C1341" s="502" t="s">
        <v>109</v>
      </c>
      <c r="D1341" s="503" t="s">
        <v>18181</v>
      </c>
      <c r="F1341" t="str">
        <f t="shared" si="41"/>
        <v>96008</v>
      </c>
      <c r="H1341" s="14">
        <f t="shared" si="42"/>
        <v>31.3</v>
      </c>
    </row>
    <row r="1342" spans="1:8" ht="27.6">
      <c r="A1342" s="502" t="s">
        <v>4069</v>
      </c>
      <c r="B1342" s="504" t="s">
        <v>2625</v>
      </c>
      <c r="C1342" s="502" t="s">
        <v>109</v>
      </c>
      <c r="D1342" s="503" t="s">
        <v>16446</v>
      </c>
      <c r="F1342" t="str">
        <f t="shared" si="41"/>
        <v>96009</v>
      </c>
      <c r="H1342" s="14">
        <f t="shared" si="42"/>
        <v>8.3800000000000008</v>
      </c>
    </row>
    <row r="1343" spans="1:8" ht="41.4">
      <c r="A1343" s="502" t="s">
        <v>4070</v>
      </c>
      <c r="B1343" s="504" t="s">
        <v>2626</v>
      </c>
      <c r="C1343" s="502" t="s">
        <v>109</v>
      </c>
      <c r="D1343" s="503" t="s">
        <v>24485</v>
      </c>
      <c r="F1343" t="str">
        <f t="shared" si="41"/>
        <v>96011</v>
      </c>
      <c r="H1343" s="14">
        <f t="shared" si="42"/>
        <v>34.25</v>
      </c>
    </row>
    <row r="1344" spans="1:8" ht="41.4">
      <c r="A1344" s="502" t="s">
        <v>4071</v>
      </c>
      <c r="B1344" s="504" t="s">
        <v>2627</v>
      </c>
      <c r="C1344" s="502" t="s">
        <v>109</v>
      </c>
      <c r="D1344" s="503" t="s">
        <v>31010</v>
      </c>
      <c r="F1344" t="str">
        <f t="shared" si="41"/>
        <v>96012</v>
      </c>
      <c r="H1344" s="14">
        <f t="shared" si="42"/>
        <v>128.33000000000001</v>
      </c>
    </row>
    <row r="1345" spans="1:8" ht="41.4">
      <c r="A1345" s="502" t="s">
        <v>4072</v>
      </c>
      <c r="B1345" s="504" t="s">
        <v>2628</v>
      </c>
      <c r="C1345" s="502" t="s">
        <v>109</v>
      </c>
      <c r="D1345" s="503" t="s">
        <v>16565</v>
      </c>
      <c r="F1345" t="str">
        <f t="shared" si="41"/>
        <v>96015</v>
      </c>
      <c r="H1345" s="14">
        <f t="shared" si="42"/>
        <v>31.03</v>
      </c>
    </row>
    <row r="1346" spans="1:8" ht="27.6">
      <c r="A1346" s="502" t="s">
        <v>4074</v>
      </c>
      <c r="B1346" s="504" t="s">
        <v>2629</v>
      </c>
      <c r="C1346" s="502" t="s">
        <v>109</v>
      </c>
      <c r="D1346" s="503" t="s">
        <v>5162</v>
      </c>
      <c r="F1346" t="str">
        <f t="shared" si="41"/>
        <v>96016</v>
      </c>
      <c r="H1346" s="14">
        <f t="shared" si="42"/>
        <v>8.31</v>
      </c>
    </row>
    <row r="1347" spans="1:8" ht="41.4">
      <c r="A1347" s="502" t="s">
        <v>4075</v>
      </c>
      <c r="B1347" s="504" t="s">
        <v>2630</v>
      </c>
      <c r="C1347" s="502" t="s">
        <v>109</v>
      </c>
      <c r="D1347" s="503" t="s">
        <v>10410</v>
      </c>
      <c r="F1347" t="str">
        <f t="shared" si="41"/>
        <v>96018</v>
      </c>
      <c r="H1347" s="14">
        <f t="shared" si="42"/>
        <v>33.950000000000003</v>
      </c>
    </row>
    <row r="1348" spans="1:8" ht="41.4">
      <c r="A1348" s="502" t="s">
        <v>4076</v>
      </c>
      <c r="B1348" s="504" t="s">
        <v>2631</v>
      </c>
      <c r="C1348" s="502" t="s">
        <v>109</v>
      </c>
      <c r="D1348" s="503" t="s">
        <v>31010</v>
      </c>
      <c r="F1348" t="str">
        <f t="shared" si="41"/>
        <v>96019</v>
      </c>
      <c r="H1348" s="14">
        <f t="shared" si="42"/>
        <v>128.33000000000001</v>
      </c>
    </row>
    <row r="1349" spans="1:8" ht="41.4">
      <c r="A1349" s="502" t="s">
        <v>4077</v>
      </c>
      <c r="B1349" s="504" t="s">
        <v>2632</v>
      </c>
      <c r="C1349" s="502" t="s">
        <v>109</v>
      </c>
      <c r="D1349" s="503" t="s">
        <v>10267</v>
      </c>
      <c r="F1349" t="str">
        <f t="shared" ref="F1349:F1412" si="43">TRIM(A1349)</f>
        <v>96023</v>
      </c>
      <c r="H1349" s="14">
        <f t="shared" ref="H1349:H1412" si="44">ROUND(D1349*(1+$H$1),2)</f>
        <v>23.93</v>
      </c>
    </row>
    <row r="1350" spans="1:8" ht="27.6">
      <c r="A1350" s="502" t="s">
        <v>4078</v>
      </c>
      <c r="B1350" s="504" t="s">
        <v>2633</v>
      </c>
      <c r="C1350" s="502" t="s">
        <v>109</v>
      </c>
      <c r="D1350" s="503" t="s">
        <v>10066</v>
      </c>
      <c r="F1350" t="str">
        <f t="shared" si="43"/>
        <v>96024</v>
      </c>
      <c r="H1350" s="14">
        <f t="shared" si="44"/>
        <v>6.41</v>
      </c>
    </row>
    <row r="1351" spans="1:8" ht="41.4">
      <c r="A1351" s="502" t="s">
        <v>4079</v>
      </c>
      <c r="B1351" s="504" t="s">
        <v>2634</v>
      </c>
      <c r="C1351" s="502" t="s">
        <v>109</v>
      </c>
      <c r="D1351" s="503" t="s">
        <v>28825</v>
      </c>
      <c r="F1351" t="str">
        <f t="shared" si="43"/>
        <v>96026</v>
      </c>
      <c r="H1351" s="14">
        <f t="shared" si="44"/>
        <v>26.18</v>
      </c>
    </row>
    <row r="1352" spans="1:8" ht="41.4">
      <c r="A1352" s="502" t="s">
        <v>4081</v>
      </c>
      <c r="B1352" s="504" t="s">
        <v>2635</v>
      </c>
      <c r="C1352" s="502" t="s">
        <v>109</v>
      </c>
      <c r="D1352" s="503" t="s">
        <v>30997</v>
      </c>
      <c r="F1352" t="str">
        <f t="shared" si="43"/>
        <v>96027</v>
      </c>
      <c r="H1352" s="14">
        <f t="shared" si="44"/>
        <v>89.41</v>
      </c>
    </row>
    <row r="1353" spans="1:8" ht="41.4">
      <c r="A1353" s="502" t="s">
        <v>4082</v>
      </c>
      <c r="B1353" s="504" t="s">
        <v>2636</v>
      </c>
      <c r="C1353" s="502" t="s">
        <v>109</v>
      </c>
      <c r="D1353" s="503" t="s">
        <v>16184</v>
      </c>
      <c r="F1353" t="str">
        <f t="shared" si="43"/>
        <v>96030</v>
      </c>
      <c r="H1353" s="14">
        <f t="shared" si="44"/>
        <v>47.68</v>
      </c>
    </row>
    <row r="1354" spans="1:8" ht="41.4">
      <c r="A1354" s="502" t="s">
        <v>4083</v>
      </c>
      <c r="B1354" s="504" t="s">
        <v>2637</v>
      </c>
      <c r="C1354" s="502" t="s">
        <v>109</v>
      </c>
      <c r="D1354" s="503" t="s">
        <v>10007</v>
      </c>
      <c r="F1354" t="str">
        <f t="shared" si="43"/>
        <v>96031</v>
      </c>
      <c r="H1354" s="14">
        <f t="shared" si="44"/>
        <v>16.739999999999998</v>
      </c>
    </row>
    <row r="1355" spans="1:8" ht="41.4">
      <c r="A1355" s="502" t="s">
        <v>4085</v>
      </c>
      <c r="B1355" s="504" t="s">
        <v>2638</v>
      </c>
      <c r="C1355" s="502" t="s">
        <v>109</v>
      </c>
      <c r="D1355" s="503" t="s">
        <v>16440</v>
      </c>
      <c r="F1355" t="str">
        <f t="shared" si="43"/>
        <v>96032</v>
      </c>
      <c r="H1355" s="14">
        <f t="shared" si="44"/>
        <v>6.73</v>
      </c>
    </row>
    <row r="1356" spans="1:8" ht="41.4">
      <c r="A1356" s="502" t="s">
        <v>4087</v>
      </c>
      <c r="B1356" s="504" t="s">
        <v>2639</v>
      </c>
      <c r="C1356" s="502" t="s">
        <v>109</v>
      </c>
      <c r="D1356" s="503" t="s">
        <v>28867</v>
      </c>
      <c r="F1356" t="str">
        <f t="shared" si="43"/>
        <v>96033</v>
      </c>
      <c r="H1356" s="14">
        <f t="shared" si="44"/>
        <v>77.39</v>
      </c>
    </row>
    <row r="1357" spans="1:8" ht="55.2">
      <c r="A1357" s="502" t="s">
        <v>4089</v>
      </c>
      <c r="B1357" s="504" t="s">
        <v>2640</v>
      </c>
      <c r="C1357" s="502" t="s">
        <v>109</v>
      </c>
      <c r="D1357" s="503" t="s">
        <v>31071</v>
      </c>
      <c r="F1357" t="str">
        <f t="shared" si="43"/>
        <v>96034</v>
      </c>
      <c r="H1357" s="14">
        <f t="shared" si="44"/>
        <v>188.22</v>
      </c>
    </row>
    <row r="1358" spans="1:8" ht="41.4">
      <c r="A1358" s="502" t="s">
        <v>4090</v>
      </c>
      <c r="B1358" s="504" t="s">
        <v>2641</v>
      </c>
      <c r="C1358" s="502" t="s">
        <v>109</v>
      </c>
      <c r="D1358" s="503" t="s">
        <v>25336</v>
      </c>
      <c r="F1358" t="str">
        <f t="shared" si="43"/>
        <v>96053</v>
      </c>
      <c r="H1358" s="14">
        <f t="shared" si="44"/>
        <v>24.2</v>
      </c>
    </row>
    <row r="1359" spans="1:8" ht="41.4">
      <c r="A1359" s="502" t="s">
        <v>4091</v>
      </c>
      <c r="B1359" s="504" t="s">
        <v>2642</v>
      </c>
      <c r="C1359" s="502" t="s">
        <v>109</v>
      </c>
      <c r="D1359" s="503" t="s">
        <v>30938</v>
      </c>
      <c r="F1359" t="str">
        <f t="shared" si="43"/>
        <v>96054</v>
      </c>
      <c r="H1359" s="14">
        <f t="shared" si="44"/>
        <v>40.119999999999997</v>
      </c>
    </row>
    <row r="1360" spans="1:8" ht="27.6">
      <c r="A1360" s="502" t="s">
        <v>4093</v>
      </c>
      <c r="B1360" s="504" t="s">
        <v>2643</v>
      </c>
      <c r="C1360" s="502" t="s">
        <v>109</v>
      </c>
      <c r="D1360" s="503" t="s">
        <v>28147</v>
      </c>
      <c r="F1360" t="str">
        <f t="shared" si="43"/>
        <v>96055</v>
      </c>
      <c r="H1360" s="14">
        <f t="shared" si="44"/>
        <v>6.48</v>
      </c>
    </row>
    <row r="1361" spans="1:8" ht="41.4">
      <c r="A1361" s="502" t="s">
        <v>4094</v>
      </c>
      <c r="B1361" s="504" t="s">
        <v>2644</v>
      </c>
      <c r="C1361" s="502" t="s">
        <v>109</v>
      </c>
      <c r="D1361" s="503" t="s">
        <v>16154</v>
      </c>
      <c r="F1361" t="str">
        <f t="shared" si="43"/>
        <v>96056</v>
      </c>
      <c r="H1361" s="14">
        <f t="shared" si="44"/>
        <v>26.48</v>
      </c>
    </row>
    <row r="1362" spans="1:8" ht="41.4">
      <c r="A1362" s="502" t="s">
        <v>4095</v>
      </c>
      <c r="B1362" s="504" t="s">
        <v>2645</v>
      </c>
      <c r="C1362" s="502" t="s">
        <v>109</v>
      </c>
      <c r="D1362" s="503" t="s">
        <v>30997</v>
      </c>
      <c r="F1362" t="str">
        <f t="shared" si="43"/>
        <v>96057</v>
      </c>
      <c r="H1362" s="14">
        <f t="shared" si="44"/>
        <v>89.41</v>
      </c>
    </row>
    <row r="1363" spans="1:8" ht="41.4">
      <c r="A1363" s="502" t="s">
        <v>4096</v>
      </c>
      <c r="B1363" s="504" t="s">
        <v>2646</v>
      </c>
      <c r="C1363" s="502" t="s">
        <v>109</v>
      </c>
      <c r="D1363" s="503" t="s">
        <v>31107</v>
      </c>
      <c r="F1363" t="str">
        <f t="shared" si="43"/>
        <v>96060</v>
      </c>
      <c r="H1363" s="14">
        <f t="shared" si="44"/>
        <v>8.25</v>
      </c>
    </row>
    <row r="1364" spans="1:8" ht="41.4">
      <c r="A1364" s="502" t="s">
        <v>4097</v>
      </c>
      <c r="B1364" s="504" t="s">
        <v>2647</v>
      </c>
      <c r="C1364" s="502" t="s">
        <v>109</v>
      </c>
      <c r="D1364" s="503" t="s">
        <v>31108</v>
      </c>
      <c r="F1364" t="str">
        <f t="shared" si="43"/>
        <v>96061</v>
      </c>
      <c r="H1364" s="14">
        <f t="shared" si="44"/>
        <v>50.16</v>
      </c>
    </row>
    <row r="1365" spans="1:8" ht="41.4">
      <c r="A1365" s="502" t="s">
        <v>4098</v>
      </c>
      <c r="B1365" s="504" t="s">
        <v>2648</v>
      </c>
      <c r="C1365" s="502" t="s">
        <v>109</v>
      </c>
      <c r="D1365" s="503" t="s">
        <v>28059</v>
      </c>
      <c r="F1365" t="str">
        <f t="shared" si="43"/>
        <v>96062</v>
      </c>
      <c r="H1365" s="14">
        <f t="shared" si="44"/>
        <v>52.89</v>
      </c>
    </row>
    <row r="1366" spans="1:8" ht="41.4">
      <c r="A1366" s="502" t="s">
        <v>4099</v>
      </c>
      <c r="B1366" s="504" t="s">
        <v>31109</v>
      </c>
      <c r="C1366" s="502" t="s">
        <v>109</v>
      </c>
      <c r="D1366" s="503" t="s">
        <v>30111</v>
      </c>
      <c r="F1366" t="str">
        <f t="shared" si="43"/>
        <v>96241</v>
      </c>
      <c r="H1366" s="14">
        <f t="shared" si="44"/>
        <v>37.380000000000003</v>
      </c>
    </row>
    <row r="1367" spans="1:8" ht="41.4">
      <c r="A1367" s="502" t="s">
        <v>4101</v>
      </c>
      <c r="B1367" s="504" t="s">
        <v>31110</v>
      </c>
      <c r="C1367" s="502" t="s">
        <v>109</v>
      </c>
      <c r="D1367" s="503" t="s">
        <v>16162</v>
      </c>
      <c r="F1367" t="str">
        <f t="shared" si="43"/>
        <v>96242</v>
      </c>
      <c r="H1367" s="14">
        <f t="shared" si="44"/>
        <v>9.8699999999999992</v>
      </c>
    </row>
    <row r="1368" spans="1:8" ht="41.4">
      <c r="A1368" s="502" t="s">
        <v>4102</v>
      </c>
      <c r="B1368" s="504" t="s">
        <v>31111</v>
      </c>
      <c r="C1368" s="502" t="s">
        <v>109</v>
      </c>
      <c r="D1368" s="503" t="s">
        <v>11654</v>
      </c>
      <c r="F1368" t="str">
        <f t="shared" si="43"/>
        <v>96243</v>
      </c>
      <c r="H1368" s="14">
        <f t="shared" si="44"/>
        <v>46.72</v>
      </c>
    </row>
    <row r="1369" spans="1:8" ht="41.4">
      <c r="A1369" s="502" t="s">
        <v>4104</v>
      </c>
      <c r="B1369" s="504" t="s">
        <v>31112</v>
      </c>
      <c r="C1369" s="502" t="s">
        <v>109</v>
      </c>
      <c r="D1369" s="503" t="s">
        <v>29329</v>
      </c>
      <c r="F1369" t="str">
        <f t="shared" si="43"/>
        <v>96244</v>
      </c>
      <c r="H1369" s="14">
        <f t="shared" si="44"/>
        <v>23.11</v>
      </c>
    </row>
    <row r="1370" spans="1:8" ht="41.4">
      <c r="A1370" s="502" t="s">
        <v>4105</v>
      </c>
      <c r="B1370" s="504" t="s">
        <v>2649</v>
      </c>
      <c r="C1370" s="502" t="s">
        <v>109</v>
      </c>
      <c r="D1370" s="503" t="s">
        <v>19525</v>
      </c>
      <c r="F1370" t="str">
        <f t="shared" si="43"/>
        <v>96301</v>
      </c>
      <c r="H1370" s="14">
        <f t="shared" si="44"/>
        <v>65.2</v>
      </c>
    </row>
    <row r="1371" spans="1:8" ht="55.2">
      <c r="A1371" s="502" t="s">
        <v>4106</v>
      </c>
      <c r="B1371" s="504" t="s">
        <v>31113</v>
      </c>
      <c r="C1371" s="502" t="s">
        <v>109</v>
      </c>
      <c r="D1371" s="503" t="s">
        <v>28289</v>
      </c>
      <c r="F1371" t="str">
        <f t="shared" si="43"/>
        <v>96457</v>
      </c>
      <c r="H1371" s="14">
        <f t="shared" si="44"/>
        <v>84.73</v>
      </c>
    </row>
    <row r="1372" spans="1:8" ht="55.2">
      <c r="A1372" s="502" t="s">
        <v>4107</v>
      </c>
      <c r="B1372" s="504" t="s">
        <v>31114</v>
      </c>
      <c r="C1372" s="502" t="s">
        <v>109</v>
      </c>
      <c r="D1372" s="503" t="s">
        <v>29361</v>
      </c>
      <c r="F1372" t="str">
        <f t="shared" si="43"/>
        <v>96458</v>
      </c>
      <c r="H1372" s="14">
        <f t="shared" si="44"/>
        <v>88.68</v>
      </c>
    </row>
    <row r="1373" spans="1:8" ht="55.2">
      <c r="A1373" s="502" t="s">
        <v>4108</v>
      </c>
      <c r="B1373" s="504" t="s">
        <v>31115</v>
      </c>
      <c r="C1373" s="502" t="s">
        <v>109</v>
      </c>
      <c r="D1373" s="503" t="s">
        <v>28811</v>
      </c>
      <c r="F1373" t="str">
        <f t="shared" si="43"/>
        <v>96459</v>
      </c>
      <c r="H1373" s="14">
        <f t="shared" si="44"/>
        <v>19</v>
      </c>
    </row>
    <row r="1374" spans="1:8" ht="55.2">
      <c r="A1374" s="502" t="s">
        <v>4109</v>
      </c>
      <c r="B1374" s="504" t="s">
        <v>31116</v>
      </c>
      <c r="C1374" s="502" t="s">
        <v>109</v>
      </c>
      <c r="D1374" s="503" t="s">
        <v>23067</v>
      </c>
      <c r="F1374" t="str">
        <f t="shared" si="43"/>
        <v>96460</v>
      </c>
      <c r="H1374" s="14">
        <f t="shared" si="44"/>
        <v>70.86</v>
      </c>
    </row>
    <row r="1375" spans="1:8" ht="55.2">
      <c r="A1375" s="502" t="s">
        <v>7547</v>
      </c>
      <c r="B1375" s="504" t="s">
        <v>7548</v>
      </c>
      <c r="C1375" s="502" t="s">
        <v>109</v>
      </c>
      <c r="D1375" s="503" t="s">
        <v>3552</v>
      </c>
      <c r="F1375" t="str">
        <f t="shared" si="43"/>
        <v>98760</v>
      </c>
      <c r="H1375" s="14">
        <f t="shared" si="44"/>
        <v>7.0000000000000007E-2</v>
      </c>
    </row>
    <row r="1376" spans="1:8" ht="41.4">
      <c r="A1376" s="502" t="s">
        <v>7549</v>
      </c>
      <c r="B1376" s="504" t="s">
        <v>7550</v>
      </c>
      <c r="C1376" s="502" t="s">
        <v>109</v>
      </c>
      <c r="D1376" s="503" t="s">
        <v>3869</v>
      </c>
      <c r="F1376" t="str">
        <f t="shared" si="43"/>
        <v>98761</v>
      </c>
      <c r="H1376" s="14">
        <f t="shared" si="44"/>
        <v>0.01</v>
      </c>
    </row>
    <row r="1377" spans="1:8" ht="55.2">
      <c r="A1377" s="502" t="s">
        <v>7551</v>
      </c>
      <c r="B1377" s="504" t="s">
        <v>7552</v>
      </c>
      <c r="C1377" s="502" t="s">
        <v>109</v>
      </c>
      <c r="D1377" s="503" t="s">
        <v>3888</v>
      </c>
      <c r="F1377" t="str">
        <f t="shared" si="43"/>
        <v>98762</v>
      </c>
      <c r="H1377" s="14">
        <f t="shared" si="44"/>
        <v>0.09</v>
      </c>
    </row>
    <row r="1378" spans="1:8" ht="55.2">
      <c r="A1378" s="502" t="s">
        <v>7553</v>
      </c>
      <c r="B1378" s="504" t="s">
        <v>7554</v>
      </c>
      <c r="C1378" s="502" t="s">
        <v>109</v>
      </c>
      <c r="D1378" s="503" t="s">
        <v>28233</v>
      </c>
      <c r="F1378" t="str">
        <f t="shared" si="43"/>
        <v>98763</v>
      </c>
      <c r="H1378" s="14">
        <f t="shared" si="44"/>
        <v>5.25</v>
      </c>
    </row>
    <row r="1379" spans="1:8" ht="55.2">
      <c r="A1379" s="502" t="s">
        <v>10417</v>
      </c>
      <c r="B1379" s="504" t="s">
        <v>28234</v>
      </c>
      <c r="C1379" s="502" t="s">
        <v>109</v>
      </c>
      <c r="D1379" s="503" t="s">
        <v>3264</v>
      </c>
      <c r="F1379" t="str">
        <f t="shared" si="43"/>
        <v>99829</v>
      </c>
      <c r="H1379" s="14">
        <f t="shared" si="44"/>
        <v>0.23</v>
      </c>
    </row>
    <row r="1380" spans="1:8" ht="55.2">
      <c r="A1380" s="502" t="s">
        <v>10418</v>
      </c>
      <c r="B1380" s="504" t="s">
        <v>28235</v>
      </c>
      <c r="C1380" s="502" t="s">
        <v>109</v>
      </c>
      <c r="D1380" s="503" t="s">
        <v>3235</v>
      </c>
      <c r="F1380" t="str">
        <f t="shared" si="43"/>
        <v>99830</v>
      </c>
      <c r="H1380" s="14">
        <f t="shared" si="44"/>
        <v>0.04</v>
      </c>
    </row>
    <row r="1381" spans="1:8" ht="55.2">
      <c r="A1381" s="502" t="s">
        <v>10419</v>
      </c>
      <c r="B1381" s="504" t="s">
        <v>28236</v>
      </c>
      <c r="C1381" s="502" t="s">
        <v>109</v>
      </c>
      <c r="D1381" s="503" t="s">
        <v>3564</v>
      </c>
      <c r="F1381" t="str">
        <f t="shared" si="43"/>
        <v>99831</v>
      </c>
      <c r="H1381" s="14">
        <f t="shared" si="44"/>
        <v>0.16</v>
      </c>
    </row>
    <row r="1382" spans="1:8" ht="55.2">
      <c r="A1382" s="502" t="s">
        <v>10420</v>
      </c>
      <c r="B1382" s="504" t="s">
        <v>28237</v>
      </c>
      <c r="C1382" s="502" t="s">
        <v>109</v>
      </c>
      <c r="D1382" s="503" t="s">
        <v>3538</v>
      </c>
      <c r="F1382" t="str">
        <f t="shared" si="43"/>
        <v>99832</v>
      </c>
      <c r="H1382" s="14">
        <f t="shared" si="44"/>
        <v>5.0599999999999996</v>
      </c>
    </row>
    <row r="1383" spans="1:8" ht="41.4">
      <c r="A1383" s="502" t="s">
        <v>11824</v>
      </c>
      <c r="B1383" s="504" t="s">
        <v>11825</v>
      </c>
      <c r="C1383" s="502" t="s">
        <v>109</v>
      </c>
      <c r="D1383" s="503" t="s">
        <v>31117</v>
      </c>
      <c r="F1383" t="str">
        <f t="shared" si="43"/>
        <v>100637</v>
      </c>
      <c r="H1383" s="14">
        <f t="shared" si="44"/>
        <v>257.49</v>
      </c>
    </row>
    <row r="1384" spans="1:8" ht="27.6">
      <c r="A1384" s="502" t="s">
        <v>11826</v>
      </c>
      <c r="B1384" s="504" t="s">
        <v>11827</v>
      </c>
      <c r="C1384" s="502" t="s">
        <v>109</v>
      </c>
      <c r="D1384" s="503" t="s">
        <v>11638</v>
      </c>
      <c r="F1384" t="str">
        <f t="shared" si="43"/>
        <v>100638</v>
      </c>
      <c r="H1384" s="14">
        <f t="shared" si="44"/>
        <v>79.150000000000006</v>
      </c>
    </row>
    <row r="1385" spans="1:8" ht="41.4">
      <c r="A1385" s="502" t="s">
        <v>11828</v>
      </c>
      <c r="B1385" s="504" t="s">
        <v>11829</v>
      </c>
      <c r="C1385" s="502" t="s">
        <v>109</v>
      </c>
      <c r="D1385" s="503" t="s">
        <v>21641</v>
      </c>
      <c r="F1385" t="str">
        <f t="shared" si="43"/>
        <v>100639</v>
      </c>
      <c r="H1385" s="14">
        <f t="shared" si="44"/>
        <v>322.12</v>
      </c>
    </row>
    <row r="1386" spans="1:8" ht="41.4">
      <c r="A1386" s="502" t="s">
        <v>11830</v>
      </c>
      <c r="B1386" s="504" t="s">
        <v>11831</v>
      </c>
      <c r="C1386" s="502" t="s">
        <v>109</v>
      </c>
      <c r="D1386" s="503" t="s">
        <v>31118</v>
      </c>
      <c r="F1386" t="str">
        <f t="shared" si="43"/>
        <v>100640</v>
      </c>
      <c r="H1386" s="14">
        <f t="shared" si="44"/>
        <v>5718.02</v>
      </c>
    </row>
    <row r="1387" spans="1:8" ht="27.6">
      <c r="A1387" s="502" t="s">
        <v>11832</v>
      </c>
      <c r="B1387" s="504" t="s">
        <v>11833</v>
      </c>
      <c r="C1387" s="502" t="s">
        <v>109</v>
      </c>
      <c r="D1387" s="503" t="s">
        <v>31119</v>
      </c>
      <c r="F1387" t="str">
        <f t="shared" si="43"/>
        <v>100643</v>
      </c>
      <c r="H1387" s="14">
        <f t="shared" si="44"/>
        <v>527.62</v>
      </c>
    </row>
    <row r="1388" spans="1:8" ht="27.6">
      <c r="A1388" s="502" t="s">
        <v>11834</v>
      </c>
      <c r="B1388" s="504" t="s">
        <v>11835</v>
      </c>
      <c r="C1388" s="502" t="s">
        <v>109</v>
      </c>
      <c r="D1388" s="503" t="s">
        <v>31120</v>
      </c>
      <c r="F1388" t="str">
        <f t="shared" si="43"/>
        <v>100644</v>
      </c>
      <c r="H1388" s="14">
        <f t="shared" si="44"/>
        <v>185.98</v>
      </c>
    </row>
    <row r="1389" spans="1:8" ht="27.6">
      <c r="A1389" s="502" t="s">
        <v>11836</v>
      </c>
      <c r="B1389" s="504" t="s">
        <v>11837</v>
      </c>
      <c r="C1389" s="502" t="s">
        <v>109</v>
      </c>
      <c r="D1389" s="503" t="s">
        <v>31121</v>
      </c>
      <c r="F1389" t="str">
        <f t="shared" si="43"/>
        <v>100645</v>
      </c>
      <c r="H1389" s="14">
        <f t="shared" si="44"/>
        <v>848.15</v>
      </c>
    </row>
    <row r="1390" spans="1:8" ht="27.6">
      <c r="A1390" s="502" t="s">
        <v>11838</v>
      </c>
      <c r="B1390" s="504" t="s">
        <v>11839</v>
      </c>
      <c r="C1390" s="502" t="s">
        <v>109</v>
      </c>
      <c r="D1390" s="503" t="s">
        <v>31122</v>
      </c>
      <c r="F1390" t="str">
        <f t="shared" si="43"/>
        <v>100646</v>
      </c>
      <c r="H1390" s="14">
        <f t="shared" si="44"/>
        <v>7147.53</v>
      </c>
    </row>
    <row r="1391" spans="1:8" ht="41.4">
      <c r="A1391" s="502" t="s">
        <v>11840</v>
      </c>
      <c r="B1391" s="504" t="s">
        <v>11841</v>
      </c>
      <c r="C1391" s="502" t="s">
        <v>109</v>
      </c>
      <c r="D1391" s="503" t="s">
        <v>7225</v>
      </c>
      <c r="F1391" t="str">
        <f t="shared" si="43"/>
        <v>102270</v>
      </c>
      <c r="H1391" s="14">
        <f t="shared" si="44"/>
        <v>1.03</v>
      </c>
    </row>
    <row r="1392" spans="1:8" ht="41.4">
      <c r="A1392" s="502" t="s">
        <v>11842</v>
      </c>
      <c r="B1392" s="504" t="s">
        <v>11843</v>
      </c>
      <c r="C1392" s="502" t="s">
        <v>109</v>
      </c>
      <c r="D1392" s="503" t="s">
        <v>3264</v>
      </c>
      <c r="F1392" t="str">
        <f t="shared" si="43"/>
        <v>102271</v>
      </c>
      <c r="H1392" s="14">
        <f t="shared" si="44"/>
        <v>0.23</v>
      </c>
    </row>
    <row r="1393" spans="1:8" ht="41.4">
      <c r="A1393" s="502" t="s">
        <v>11844</v>
      </c>
      <c r="B1393" s="504" t="s">
        <v>11845</v>
      </c>
      <c r="C1393" s="502" t="s">
        <v>109</v>
      </c>
      <c r="D1393" s="503" t="s">
        <v>6994</v>
      </c>
      <c r="F1393" t="str">
        <f t="shared" si="43"/>
        <v>102272</v>
      </c>
      <c r="H1393" s="14">
        <f t="shared" si="44"/>
        <v>1.28</v>
      </c>
    </row>
    <row r="1394" spans="1:8" ht="41.4">
      <c r="A1394" s="502" t="s">
        <v>11846</v>
      </c>
      <c r="B1394" s="504" t="s">
        <v>11847</v>
      </c>
      <c r="C1394" s="502" t="s">
        <v>109</v>
      </c>
      <c r="D1394" s="503" t="s">
        <v>26925</v>
      </c>
      <c r="F1394" t="str">
        <f t="shared" si="43"/>
        <v>102273</v>
      </c>
      <c r="H1394" s="14">
        <f t="shared" si="44"/>
        <v>1.95</v>
      </c>
    </row>
    <row r="1395" spans="1:8" ht="27.6">
      <c r="A1395" s="502" t="s">
        <v>23986</v>
      </c>
      <c r="B1395" s="504" t="s">
        <v>28238</v>
      </c>
      <c r="C1395" s="502" t="s">
        <v>109</v>
      </c>
      <c r="D1395" s="503" t="s">
        <v>10250</v>
      </c>
      <c r="F1395" t="str">
        <f t="shared" si="43"/>
        <v>102809</v>
      </c>
      <c r="H1395" s="14">
        <f t="shared" si="44"/>
        <v>20.92</v>
      </c>
    </row>
    <row r="1396" spans="1:8" ht="69">
      <c r="A1396" s="502" t="s">
        <v>23987</v>
      </c>
      <c r="B1396" s="504" t="s">
        <v>23988</v>
      </c>
      <c r="C1396" s="502" t="s">
        <v>109</v>
      </c>
      <c r="D1396" s="503" t="s">
        <v>7301</v>
      </c>
      <c r="F1396" t="str">
        <f t="shared" si="43"/>
        <v>102815</v>
      </c>
      <c r="H1396" s="14">
        <f t="shared" si="44"/>
        <v>3.89</v>
      </c>
    </row>
    <row r="1397" spans="1:8" ht="41.4">
      <c r="A1397" s="502" t="s">
        <v>23989</v>
      </c>
      <c r="B1397" s="504" t="s">
        <v>28239</v>
      </c>
      <c r="C1397" s="502" t="s">
        <v>109</v>
      </c>
      <c r="D1397" s="503" t="s">
        <v>4046</v>
      </c>
      <c r="F1397" t="str">
        <f t="shared" si="43"/>
        <v>102826</v>
      </c>
      <c r="H1397" s="14">
        <f t="shared" si="44"/>
        <v>7.3</v>
      </c>
    </row>
    <row r="1398" spans="1:8" ht="41.4">
      <c r="A1398" s="502" t="s">
        <v>23990</v>
      </c>
      <c r="B1398" s="504" t="s">
        <v>28240</v>
      </c>
      <c r="C1398" s="502" t="s">
        <v>109</v>
      </c>
      <c r="D1398" s="503" t="s">
        <v>15803</v>
      </c>
      <c r="F1398" t="str">
        <f t="shared" si="43"/>
        <v>102832</v>
      </c>
      <c r="H1398" s="14">
        <f t="shared" si="44"/>
        <v>9.74</v>
      </c>
    </row>
    <row r="1399" spans="1:8" ht="41.4">
      <c r="A1399" s="502" t="s">
        <v>23991</v>
      </c>
      <c r="B1399" s="504" t="s">
        <v>23992</v>
      </c>
      <c r="C1399" s="502" t="s">
        <v>109</v>
      </c>
      <c r="D1399" s="503" t="s">
        <v>31123</v>
      </c>
      <c r="F1399" t="str">
        <f t="shared" si="43"/>
        <v>102843</v>
      </c>
      <c r="H1399" s="14">
        <f t="shared" si="44"/>
        <v>178.69</v>
      </c>
    </row>
    <row r="1400" spans="1:8" ht="41.4">
      <c r="A1400" s="502" t="s">
        <v>23993</v>
      </c>
      <c r="B1400" s="504" t="s">
        <v>23994</v>
      </c>
      <c r="C1400" s="502" t="s">
        <v>109</v>
      </c>
      <c r="D1400" s="503" t="s">
        <v>31124</v>
      </c>
      <c r="F1400" t="str">
        <f t="shared" si="43"/>
        <v>102849</v>
      </c>
      <c r="H1400" s="14">
        <f t="shared" si="44"/>
        <v>87.36</v>
      </c>
    </row>
    <row r="1401" spans="1:8" ht="41.4">
      <c r="A1401" s="502" t="s">
        <v>23995</v>
      </c>
      <c r="B1401" s="504" t="s">
        <v>23996</v>
      </c>
      <c r="C1401" s="502" t="s">
        <v>109</v>
      </c>
      <c r="D1401" s="503" t="s">
        <v>31124</v>
      </c>
      <c r="F1401" t="str">
        <f t="shared" si="43"/>
        <v>102855</v>
      </c>
      <c r="H1401" s="14">
        <f t="shared" si="44"/>
        <v>87.36</v>
      </c>
    </row>
    <row r="1402" spans="1:8" ht="41.4">
      <c r="A1402" s="502" t="s">
        <v>23997</v>
      </c>
      <c r="B1402" s="504" t="s">
        <v>28242</v>
      </c>
      <c r="C1402" s="502" t="s">
        <v>109</v>
      </c>
      <c r="D1402" s="503" t="s">
        <v>10073</v>
      </c>
      <c r="F1402" t="str">
        <f t="shared" si="43"/>
        <v>102861</v>
      </c>
      <c r="H1402" s="14">
        <f t="shared" si="44"/>
        <v>1.43</v>
      </c>
    </row>
    <row r="1403" spans="1:8" ht="41.4">
      <c r="A1403" s="502" t="s">
        <v>23998</v>
      </c>
      <c r="B1403" s="504" t="s">
        <v>28243</v>
      </c>
      <c r="C1403" s="502" t="s">
        <v>109</v>
      </c>
      <c r="D1403" s="503" t="s">
        <v>3812</v>
      </c>
      <c r="F1403" t="str">
        <f t="shared" si="43"/>
        <v>102867</v>
      </c>
      <c r="H1403" s="14">
        <f t="shared" si="44"/>
        <v>0.77</v>
      </c>
    </row>
    <row r="1404" spans="1:8" ht="55.2">
      <c r="A1404" s="502" t="s">
        <v>31125</v>
      </c>
      <c r="B1404" s="504" t="s">
        <v>31126</v>
      </c>
      <c r="C1404" s="502" t="s">
        <v>109</v>
      </c>
      <c r="D1404" s="503" t="s">
        <v>31127</v>
      </c>
      <c r="F1404" t="str">
        <f t="shared" si="43"/>
        <v>102870</v>
      </c>
      <c r="H1404" s="14">
        <f t="shared" si="44"/>
        <v>469.43</v>
      </c>
    </row>
    <row r="1405" spans="1:8" ht="41.4">
      <c r="A1405" s="502" t="s">
        <v>31128</v>
      </c>
      <c r="B1405" s="504" t="s">
        <v>31129</v>
      </c>
      <c r="C1405" s="502" t="s">
        <v>109</v>
      </c>
      <c r="D1405" s="503" t="s">
        <v>31130</v>
      </c>
      <c r="F1405" t="str">
        <f t="shared" si="43"/>
        <v>102871</v>
      </c>
      <c r="H1405" s="14">
        <f t="shared" si="44"/>
        <v>126.81</v>
      </c>
    </row>
    <row r="1406" spans="1:8" ht="55.2">
      <c r="A1406" s="502" t="s">
        <v>31131</v>
      </c>
      <c r="B1406" s="504" t="s">
        <v>31132</v>
      </c>
      <c r="C1406" s="502" t="s">
        <v>109</v>
      </c>
      <c r="D1406" s="503" t="s">
        <v>31133</v>
      </c>
      <c r="F1406" t="str">
        <f t="shared" si="43"/>
        <v>102872</v>
      </c>
      <c r="H1406" s="14">
        <f t="shared" si="44"/>
        <v>587.42999999999995</v>
      </c>
    </row>
    <row r="1407" spans="1:8" ht="55.2">
      <c r="A1407" s="502" t="s">
        <v>23999</v>
      </c>
      <c r="B1407" s="504" t="s">
        <v>24000</v>
      </c>
      <c r="C1407" s="502" t="s">
        <v>109</v>
      </c>
      <c r="D1407" s="503" t="s">
        <v>31058</v>
      </c>
      <c r="F1407" t="str">
        <f t="shared" si="43"/>
        <v>102873</v>
      </c>
      <c r="H1407" s="14">
        <f t="shared" si="44"/>
        <v>158.75</v>
      </c>
    </row>
    <row r="1408" spans="1:8" ht="41.4">
      <c r="A1408" s="502" t="s">
        <v>31134</v>
      </c>
      <c r="B1408" s="504" t="s">
        <v>31135</v>
      </c>
      <c r="C1408" s="502" t="s">
        <v>109</v>
      </c>
      <c r="D1408" s="503" t="s">
        <v>31136</v>
      </c>
      <c r="F1408" t="str">
        <f t="shared" si="43"/>
        <v>102876</v>
      </c>
      <c r="H1408" s="14">
        <f t="shared" si="44"/>
        <v>652.34</v>
      </c>
    </row>
    <row r="1409" spans="1:8" ht="41.4">
      <c r="A1409" s="502" t="s">
        <v>31137</v>
      </c>
      <c r="B1409" s="504" t="s">
        <v>31138</v>
      </c>
      <c r="C1409" s="502" t="s">
        <v>109</v>
      </c>
      <c r="D1409" s="503" t="s">
        <v>31139</v>
      </c>
      <c r="F1409" t="str">
        <f t="shared" si="43"/>
        <v>102877</v>
      </c>
      <c r="H1409" s="14">
        <f t="shared" si="44"/>
        <v>176.24</v>
      </c>
    </row>
    <row r="1410" spans="1:8" ht="41.4">
      <c r="A1410" s="502" t="s">
        <v>31140</v>
      </c>
      <c r="B1410" s="504" t="s">
        <v>31141</v>
      </c>
      <c r="C1410" s="502" t="s">
        <v>109</v>
      </c>
      <c r="D1410" s="503" t="s">
        <v>31142</v>
      </c>
      <c r="F1410" t="str">
        <f t="shared" si="43"/>
        <v>102878</v>
      </c>
      <c r="H1410" s="14">
        <f t="shared" si="44"/>
        <v>816.36</v>
      </c>
    </row>
    <row r="1411" spans="1:8" ht="41.4">
      <c r="A1411" s="502" t="s">
        <v>24001</v>
      </c>
      <c r="B1411" s="504" t="s">
        <v>24002</v>
      </c>
      <c r="C1411" s="502" t="s">
        <v>109</v>
      </c>
      <c r="D1411" s="503" t="s">
        <v>31143</v>
      </c>
      <c r="F1411" t="str">
        <f t="shared" si="43"/>
        <v>102879</v>
      </c>
      <c r="H1411" s="14">
        <f t="shared" si="44"/>
        <v>238.25</v>
      </c>
    </row>
    <row r="1412" spans="1:8" ht="27.6">
      <c r="A1412" s="502" t="s">
        <v>24003</v>
      </c>
      <c r="B1412" s="504" t="s">
        <v>24004</v>
      </c>
      <c r="C1412" s="502" t="s">
        <v>109</v>
      </c>
      <c r="D1412" s="503" t="s">
        <v>3934</v>
      </c>
      <c r="F1412" t="str">
        <f t="shared" si="43"/>
        <v>102885</v>
      </c>
      <c r="H1412" s="14">
        <f t="shared" si="44"/>
        <v>1.47</v>
      </c>
    </row>
    <row r="1413" spans="1:8" ht="27.6">
      <c r="A1413" s="502" t="s">
        <v>24005</v>
      </c>
      <c r="B1413" s="504" t="s">
        <v>24006</v>
      </c>
      <c r="C1413" s="502" t="s">
        <v>109</v>
      </c>
      <c r="D1413" s="503" t="s">
        <v>3934</v>
      </c>
      <c r="F1413" t="str">
        <f t="shared" ref="F1413:F1476" si="45">TRIM(A1413)</f>
        <v>102891</v>
      </c>
      <c r="H1413" s="14">
        <f t="shared" ref="H1413:H1476" si="46">ROUND(D1413*(1+$H$1),2)</f>
        <v>1.47</v>
      </c>
    </row>
    <row r="1414" spans="1:8" ht="55.2">
      <c r="A1414" s="502" t="s">
        <v>24007</v>
      </c>
      <c r="B1414" s="504" t="s">
        <v>24008</v>
      </c>
      <c r="C1414" s="502" t="s">
        <v>109</v>
      </c>
      <c r="D1414" s="503" t="s">
        <v>31027</v>
      </c>
      <c r="F1414" t="str">
        <f t="shared" si="45"/>
        <v>102897</v>
      </c>
      <c r="H1414" s="14">
        <f t="shared" si="46"/>
        <v>119.35</v>
      </c>
    </row>
    <row r="1415" spans="1:8" ht="41.4">
      <c r="A1415" s="502" t="s">
        <v>24009</v>
      </c>
      <c r="B1415" s="504" t="s">
        <v>28244</v>
      </c>
      <c r="C1415" s="502" t="s">
        <v>109</v>
      </c>
      <c r="D1415" s="503" t="s">
        <v>4407</v>
      </c>
      <c r="F1415" t="str">
        <f t="shared" si="45"/>
        <v>102903</v>
      </c>
      <c r="H1415" s="14">
        <f t="shared" si="46"/>
        <v>15.48</v>
      </c>
    </row>
    <row r="1416" spans="1:8" ht="27.6">
      <c r="A1416" s="502" t="s">
        <v>24010</v>
      </c>
      <c r="B1416" s="504" t="s">
        <v>28245</v>
      </c>
      <c r="C1416" s="502" t="s">
        <v>109</v>
      </c>
      <c r="D1416" s="503" t="s">
        <v>16559</v>
      </c>
      <c r="F1416" t="str">
        <f t="shared" si="45"/>
        <v>102909</v>
      </c>
      <c r="H1416" s="14">
        <f t="shared" si="46"/>
        <v>4.66</v>
      </c>
    </row>
    <row r="1417" spans="1:8" ht="27.6">
      <c r="A1417" s="502" t="s">
        <v>24011</v>
      </c>
      <c r="B1417" s="504" t="s">
        <v>28246</v>
      </c>
      <c r="C1417" s="502" t="s">
        <v>109</v>
      </c>
      <c r="D1417" s="503" t="s">
        <v>23955</v>
      </c>
      <c r="F1417" t="str">
        <f t="shared" si="45"/>
        <v>102915</v>
      </c>
      <c r="H1417" s="14">
        <f t="shared" si="46"/>
        <v>0.72</v>
      </c>
    </row>
    <row r="1418" spans="1:8" ht="55.2">
      <c r="A1418" s="502" t="s">
        <v>24012</v>
      </c>
      <c r="B1418" s="504" t="s">
        <v>28247</v>
      </c>
      <c r="C1418" s="502" t="s">
        <v>109</v>
      </c>
      <c r="D1418" s="503" t="s">
        <v>3256</v>
      </c>
      <c r="F1418" t="str">
        <f t="shared" si="45"/>
        <v>102927</v>
      </c>
      <c r="H1418" s="14">
        <f t="shared" si="46"/>
        <v>1.07</v>
      </c>
    </row>
    <row r="1419" spans="1:8" ht="69">
      <c r="A1419" s="502" t="s">
        <v>24014</v>
      </c>
      <c r="B1419" s="504" t="s">
        <v>24015</v>
      </c>
      <c r="C1419" s="502" t="s">
        <v>109</v>
      </c>
      <c r="D1419" s="503" t="s">
        <v>3256</v>
      </c>
      <c r="F1419" t="str">
        <f t="shared" si="45"/>
        <v>102933</v>
      </c>
      <c r="H1419" s="14">
        <f t="shared" si="46"/>
        <v>1.07</v>
      </c>
    </row>
    <row r="1420" spans="1:8" ht="27.6">
      <c r="A1420" s="502" t="s">
        <v>24016</v>
      </c>
      <c r="B1420" s="504" t="s">
        <v>28248</v>
      </c>
      <c r="C1420" s="502" t="s">
        <v>109</v>
      </c>
      <c r="D1420" s="503" t="s">
        <v>2986</v>
      </c>
      <c r="F1420" t="str">
        <f t="shared" si="45"/>
        <v>102939</v>
      </c>
      <c r="H1420" s="14">
        <f t="shared" si="46"/>
        <v>10.71</v>
      </c>
    </row>
    <row r="1421" spans="1:8" ht="55.2">
      <c r="A1421" s="502" t="s">
        <v>24017</v>
      </c>
      <c r="B1421" s="504" t="s">
        <v>28249</v>
      </c>
      <c r="C1421" s="502" t="s">
        <v>109</v>
      </c>
      <c r="D1421" s="503" t="s">
        <v>3869</v>
      </c>
      <c r="F1421" t="str">
        <f t="shared" si="45"/>
        <v>102945</v>
      </c>
      <c r="H1421" s="14">
        <f t="shared" si="46"/>
        <v>0.01</v>
      </c>
    </row>
    <row r="1422" spans="1:8" ht="41.4">
      <c r="A1422" s="502" t="s">
        <v>24018</v>
      </c>
      <c r="B1422" s="504" t="s">
        <v>28250</v>
      </c>
      <c r="C1422" s="502" t="s">
        <v>109</v>
      </c>
      <c r="D1422" s="503" t="s">
        <v>23955</v>
      </c>
      <c r="F1422" t="str">
        <f t="shared" si="45"/>
        <v>102951</v>
      </c>
      <c r="H1422" s="14">
        <f t="shared" si="46"/>
        <v>0.72</v>
      </c>
    </row>
    <row r="1423" spans="1:8" ht="55.2">
      <c r="A1423" s="502" t="s">
        <v>24019</v>
      </c>
      <c r="B1423" s="504" t="s">
        <v>24020</v>
      </c>
      <c r="C1423" s="502" t="s">
        <v>109</v>
      </c>
      <c r="D1423" s="503" t="s">
        <v>31144</v>
      </c>
      <c r="F1423" t="str">
        <f t="shared" si="45"/>
        <v>102957</v>
      </c>
      <c r="H1423" s="14">
        <f t="shared" si="46"/>
        <v>52.17</v>
      </c>
    </row>
    <row r="1424" spans="1:8" ht="55.2">
      <c r="A1424" s="502" t="s">
        <v>31145</v>
      </c>
      <c r="B1424" s="504" t="s">
        <v>31146</v>
      </c>
      <c r="C1424" s="502" t="s">
        <v>109</v>
      </c>
      <c r="D1424" s="503" t="s">
        <v>31147</v>
      </c>
      <c r="F1424" t="str">
        <f t="shared" si="45"/>
        <v>102960</v>
      </c>
      <c r="H1424" s="14">
        <f t="shared" si="46"/>
        <v>227.82</v>
      </c>
    </row>
    <row r="1425" spans="1:8" ht="41.4">
      <c r="A1425" s="502" t="s">
        <v>31148</v>
      </c>
      <c r="B1425" s="504" t="s">
        <v>31149</v>
      </c>
      <c r="C1425" s="502" t="s">
        <v>109</v>
      </c>
      <c r="D1425" s="503" t="s">
        <v>28283</v>
      </c>
      <c r="F1425" t="str">
        <f t="shared" si="45"/>
        <v>102961</v>
      </c>
      <c r="H1425" s="14">
        <f t="shared" si="46"/>
        <v>61.55</v>
      </c>
    </row>
    <row r="1426" spans="1:8" ht="55.2">
      <c r="A1426" s="502" t="s">
        <v>31150</v>
      </c>
      <c r="B1426" s="504" t="s">
        <v>31151</v>
      </c>
      <c r="C1426" s="502" t="s">
        <v>109</v>
      </c>
      <c r="D1426" s="503" t="s">
        <v>31152</v>
      </c>
      <c r="F1426" t="str">
        <f t="shared" si="45"/>
        <v>102962</v>
      </c>
      <c r="H1426" s="14">
        <f t="shared" si="46"/>
        <v>213.71</v>
      </c>
    </row>
    <row r="1427" spans="1:8" ht="55.2">
      <c r="A1427" s="502" t="s">
        <v>24021</v>
      </c>
      <c r="B1427" s="504" t="s">
        <v>24022</v>
      </c>
      <c r="C1427" s="502" t="s">
        <v>109</v>
      </c>
      <c r="D1427" s="503" t="s">
        <v>31048</v>
      </c>
      <c r="F1427" t="str">
        <f t="shared" si="45"/>
        <v>102963</v>
      </c>
      <c r="H1427" s="14">
        <f t="shared" si="46"/>
        <v>112.53</v>
      </c>
    </row>
    <row r="1428" spans="1:8" ht="55.2">
      <c r="A1428" s="502" t="s">
        <v>24023</v>
      </c>
      <c r="B1428" s="504" t="s">
        <v>28251</v>
      </c>
      <c r="C1428" s="502" t="s">
        <v>109</v>
      </c>
      <c r="D1428" s="503" t="s">
        <v>3564</v>
      </c>
      <c r="F1428" t="str">
        <f t="shared" si="45"/>
        <v>102969</v>
      </c>
      <c r="H1428" s="14">
        <f t="shared" si="46"/>
        <v>0.16</v>
      </c>
    </row>
    <row r="1429" spans="1:8" ht="41.4">
      <c r="A1429" s="502" t="s">
        <v>31153</v>
      </c>
      <c r="B1429" s="504" t="s">
        <v>31154</v>
      </c>
      <c r="C1429" s="502" t="s">
        <v>109</v>
      </c>
      <c r="D1429" s="503" t="s">
        <v>31155</v>
      </c>
      <c r="F1429" t="str">
        <f t="shared" si="45"/>
        <v>102972</v>
      </c>
      <c r="H1429" s="14">
        <f t="shared" si="46"/>
        <v>121.59</v>
      </c>
    </row>
    <row r="1430" spans="1:8" ht="41.4">
      <c r="A1430" s="502" t="s">
        <v>31156</v>
      </c>
      <c r="B1430" s="504" t="s">
        <v>31157</v>
      </c>
      <c r="C1430" s="502" t="s">
        <v>109</v>
      </c>
      <c r="D1430" s="503" t="s">
        <v>29784</v>
      </c>
      <c r="F1430" t="str">
        <f t="shared" si="45"/>
        <v>102973</v>
      </c>
      <c r="H1430" s="14">
        <f t="shared" si="46"/>
        <v>33.75</v>
      </c>
    </row>
    <row r="1431" spans="1:8" ht="41.4">
      <c r="A1431" s="502" t="s">
        <v>31158</v>
      </c>
      <c r="B1431" s="504" t="s">
        <v>31159</v>
      </c>
      <c r="C1431" s="502" t="s">
        <v>109</v>
      </c>
      <c r="D1431" s="503" t="s">
        <v>31160</v>
      </c>
      <c r="F1431" t="str">
        <f t="shared" si="45"/>
        <v>102974</v>
      </c>
      <c r="H1431" s="14">
        <f t="shared" si="46"/>
        <v>114.06</v>
      </c>
    </row>
    <row r="1432" spans="1:8" ht="41.4">
      <c r="A1432" s="502" t="s">
        <v>24024</v>
      </c>
      <c r="B1432" s="504" t="s">
        <v>24025</v>
      </c>
      <c r="C1432" s="502" t="s">
        <v>109</v>
      </c>
      <c r="D1432" s="503" t="s">
        <v>9975</v>
      </c>
      <c r="F1432" t="str">
        <f t="shared" si="45"/>
        <v>102985</v>
      </c>
      <c r="H1432" s="14">
        <f t="shared" si="46"/>
        <v>19.850000000000001</v>
      </c>
    </row>
    <row r="1433" spans="1:8" ht="55.2">
      <c r="A1433" s="502" t="s">
        <v>24026</v>
      </c>
      <c r="B1433" s="504" t="s">
        <v>28252</v>
      </c>
      <c r="C1433" s="502" t="s">
        <v>109</v>
      </c>
      <c r="D1433" s="503" t="s">
        <v>6912</v>
      </c>
      <c r="F1433" t="str">
        <f t="shared" si="45"/>
        <v>103156</v>
      </c>
      <c r="H1433" s="14">
        <f t="shared" si="46"/>
        <v>2.72</v>
      </c>
    </row>
    <row r="1434" spans="1:8" ht="55.2">
      <c r="A1434" s="502" t="s">
        <v>24027</v>
      </c>
      <c r="B1434" s="504" t="s">
        <v>28253</v>
      </c>
      <c r="C1434" s="502" t="s">
        <v>109</v>
      </c>
      <c r="D1434" s="503" t="s">
        <v>3305</v>
      </c>
      <c r="F1434" t="str">
        <f t="shared" si="45"/>
        <v>103162</v>
      </c>
      <c r="H1434" s="14">
        <f t="shared" si="46"/>
        <v>0.76</v>
      </c>
    </row>
    <row r="1435" spans="1:8" ht="55.2">
      <c r="A1435" s="502" t="s">
        <v>24028</v>
      </c>
      <c r="B1435" s="504" t="s">
        <v>28254</v>
      </c>
      <c r="C1435" s="502" t="s">
        <v>109</v>
      </c>
      <c r="D1435" s="503" t="s">
        <v>3577</v>
      </c>
      <c r="F1435" t="str">
        <f t="shared" si="45"/>
        <v>103168</v>
      </c>
      <c r="H1435" s="14">
        <f t="shared" si="46"/>
        <v>0.87</v>
      </c>
    </row>
    <row r="1436" spans="1:8" ht="55.2">
      <c r="A1436" s="502" t="s">
        <v>24029</v>
      </c>
      <c r="B1436" s="504" t="s">
        <v>28255</v>
      </c>
      <c r="C1436" s="502" t="s">
        <v>109</v>
      </c>
      <c r="D1436" s="503" t="s">
        <v>3639</v>
      </c>
      <c r="F1436" t="str">
        <f t="shared" si="45"/>
        <v>103174</v>
      </c>
      <c r="H1436" s="14">
        <f t="shared" si="46"/>
        <v>2.17</v>
      </c>
    </row>
    <row r="1437" spans="1:8" ht="55.2">
      <c r="A1437" s="502" t="s">
        <v>24030</v>
      </c>
      <c r="B1437" s="504" t="s">
        <v>28256</v>
      </c>
      <c r="C1437" s="502" t="s">
        <v>109</v>
      </c>
      <c r="D1437" s="503" t="s">
        <v>17321</v>
      </c>
      <c r="F1437" t="str">
        <f t="shared" si="45"/>
        <v>103180</v>
      </c>
      <c r="H1437" s="14">
        <f t="shared" si="46"/>
        <v>5</v>
      </c>
    </row>
    <row r="1438" spans="1:8" ht="55.2">
      <c r="A1438" s="502" t="s">
        <v>31161</v>
      </c>
      <c r="B1438" s="504" t="s">
        <v>31162</v>
      </c>
      <c r="C1438" s="502" t="s">
        <v>109</v>
      </c>
      <c r="D1438" s="503" t="s">
        <v>31163</v>
      </c>
      <c r="F1438" t="str">
        <f t="shared" si="45"/>
        <v>103220</v>
      </c>
      <c r="H1438" s="14">
        <f t="shared" si="46"/>
        <v>199.5</v>
      </c>
    </row>
    <row r="1439" spans="1:8" ht="55.2">
      <c r="A1439" s="502" t="s">
        <v>31164</v>
      </c>
      <c r="B1439" s="504" t="s">
        <v>31165</v>
      </c>
      <c r="C1439" s="502" t="s">
        <v>109</v>
      </c>
      <c r="D1439" s="503" t="s">
        <v>30043</v>
      </c>
      <c r="F1439" t="str">
        <f t="shared" si="45"/>
        <v>103221</v>
      </c>
      <c r="H1439" s="14">
        <f t="shared" si="46"/>
        <v>53.9</v>
      </c>
    </row>
    <row r="1440" spans="1:8" ht="55.2">
      <c r="A1440" s="502" t="s">
        <v>31166</v>
      </c>
      <c r="B1440" s="504" t="s">
        <v>31167</v>
      </c>
      <c r="C1440" s="502" t="s">
        <v>109</v>
      </c>
      <c r="D1440" s="503" t="s">
        <v>31168</v>
      </c>
      <c r="F1440" t="str">
        <f t="shared" si="45"/>
        <v>103222</v>
      </c>
      <c r="H1440" s="14">
        <f t="shared" si="46"/>
        <v>249.66</v>
      </c>
    </row>
    <row r="1441" spans="1:8" ht="55.2">
      <c r="A1441" s="502" t="s">
        <v>24031</v>
      </c>
      <c r="B1441" s="504" t="s">
        <v>28257</v>
      </c>
      <c r="C1441" s="502" t="s">
        <v>109</v>
      </c>
      <c r="D1441" s="503" t="s">
        <v>31169</v>
      </c>
      <c r="F1441" t="str">
        <f t="shared" si="45"/>
        <v>103223</v>
      </c>
      <c r="H1441" s="14">
        <f t="shared" si="46"/>
        <v>46.53</v>
      </c>
    </row>
    <row r="1442" spans="1:8" ht="55.2">
      <c r="A1442" s="502" t="s">
        <v>31170</v>
      </c>
      <c r="B1442" s="504" t="s">
        <v>31171</v>
      </c>
      <c r="C1442" s="502" t="s">
        <v>109</v>
      </c>
      <c r="D1442" s="503" t="s">
        <v>31172</v>
      </c>
      <c r="F1442" t="str">
        <f t="shared" si="45"/>
        <v>103226</v>
      </c>
      <c r="H1442" s="14">
        <f t="shared" si="46"/>
        <v>457.69</v>
      </c>
    </row>
    <row r="1443" spans="1:8" ht="55.2">
      <c r="A1443" s="502" t="s">
        <v>31173</v>
      </c>
      <c r="B1443" s="504" t="s">
        <v>31174</v>
      </c>
      <c r="C1443" s="502" t="s">
        <v>109</v>
      </c>
      <c r="D1443" s="503" t="s">
        <v>31175</v>
      </c>
      <c r="F1443" t="str">
        <f t="shared" si="45"/>
        <v>103227</v>
      </c>
      <c r="H1443" s="14">
        <f t="shared" si="46"/>
        <v>123.66</v>
      </c>
    </row>
    <row r="1444" spans="1:8" ht="55.2">
      <c r="A1444" s="502" t="s">
        <v>31176</v>
      </c>
      <c r="B1444" s="504" t="s">
        <v>31177</v>
      </c>
      <c r="C1444" s="502" t="s">
        <v>109</v>
      </c>
      <c r="D1444" s="503" t="s">
        <v>31178</v>
      </c>
      <c r="F1444" t="str">
        <f t="shared" si="45"/>
        <v>103228</v>
      </c>
      <c r="H1444" s="14">
        <f t="shared" si="46"/>
        <v>572.76</v>
      </c>
    </row>
    <row r="1445" spans="1:8" ht="55.2">
      <c r="A1445" s="502" t="s">
        <v>24032</v>
      </c>
      <c r="B1445" s="504" t="s">
        <v>28258</v>
      </c>
      <c r="C1445" s="502" t="s">
        <v>109</v>
      </c>
      <c r="D1445" s="503" t="s">
        <v>15134</v>
      </c>
      <c r="F1445" t="str">
        <f t="shared" si="45"/>
        <v>103229</v>
      </c>
      <c r="H1445" s="14">
        <f t="shared" si="46"/>
        <v>115.54</v>
      </c>
    </row>
    <row r="1446" spans="1:8" ht="55.2">
      <c r="A1446" s="502" t="s">
        <v>31179</v>
      </c>
      <c r="B1446" s="504" t="s">
        <v>31180</v>
      </c>
      <c r="C1446" s="502" t="s">
        <v>109</v>
      </c>
      <c r="D1446" s="503" t="s">
        <v>31181</v>
      </c>
      <c r="F1446" t="str">
        <f t="shared" si="45"/>
        <v>103232</v>
      </c>
      <c r="H1446" s="14">
        <f t="shared" si="46"/>
        <v>625.9</v>
      </c>
    </row>
    <row r="1447" spans="1:8" ht="55.2">
      <c r="A1447" s="502" t="s">
        <v>31182</v>
      </c>
      <c r="B1447" s="504" t="s">
        <v>31183</v>
      </c>
      <c r="C1447" s="502" t="s">
        <v>109</v>
      </c>
      <c r="D1447" s="503" t="s">
        <v>31184</v>
      </c>
      <c r="F1447" t="str">
        <f t="shared" si="45"/>
        <v>103233</v>
      </c>
      <c r="H1447" s="14">
        <f t="shared" si="46"/>
        <v>169.09</v>
      </c>
    </row>
    <row r="1448" spans="1:8" ht="55.2">
      <c r="A1448" s="502" t="s">
        <v>31185</v>
      </c>
      <c r="B1448" s="504" t="s">
        <v>31186</v>
      </c>
      <c r="C1448" s="502" t="s">
        <v>109</v>
      </c>
      <c r="D1448" s="503" t="s">
        <v>31187</v>
      </c>
      <c r="F1448" t="str">
        <f t="shared" si="45"/>
        <v>103234</v>
      </c>
      <c r="H1448" s="14">
        <f t="shared" si="46"/>
        <v>822.02</v>
      </c>
    </row>
    <row r="1449" spans="1:8" ht="55.2">
      <c r="A1449" s="502" t="s">
        <v>24033</v>
      </c>
      <c r="B1449" s="504" t="s">
        <v>28259</v>
      </c>
      <c r="C1449" s="502" t="s">
        <v>109</v>
      </c>
      <c r="D1449" s="503" t="s">
        <v>31188</v>
      </c>
      <c r="F1449" t="str">
        <f t="shared" si="45"/>
        <v>103235</v>
      </c>
      <c r="H1449" s="14">
        <f t="shared" si="46"/>
        <v>136.26</v>
      </c>
    </row>
    <row r="1450" spans="1:8" ht="55.2">
      <c r="A1450" s="502" t="s">
        <v>24034</v>
      </c>
      <c r="B1450" s="504" t="s">
        <v>28260</v>
      </c>
      <c r="C1450" s="502" t="s">
        <v>109</v>
      </c>
      <c r="D1450" s="503" t="s">
        <v>10688</v>
      </c>
      <c r="F1450" t="str">
        <f t="shared" si="45"/>
        <v>103241</v>
      </c>
      <c r="H1450" s="14">
        <f t="shared" si="46"/>
        <v>13.43</v>
      </c>
    </row>
    <row r="1451" spans="1:8" ht="27.6">
      <c r="A1451" s="502" t="s">
        <v>24035</v>
      </c>
      <c r="B1451" s="504" t="s">
        <v>28261</v>
      </c>
      <c r="C1451" s="502" t="s">
        <v>109</v>
      </c>
      <c r="D1451" s="503" t="s">
        <v>10245</v>
      </c>
      <c r="F1451" t="str">
        <f t="shared" si="45"/>
        <v>103660</v>
      </c>
      <c r="H1451" s="14">
        <f t="shared" si="46"/>
        <v>15.99</v>
      </c>
    </row>
    <row r="1452" spans="1:8" ht="55.2">
      <c r="A1452" s="502" t="s">
        <v>24036</v>
      </c>
      <c r="B1452" s="504" t="s">
        <v>28262</v>
      </c>
      <c r="C1452" s="502" t="s">
        <v>109</v>
      </c>
      <c r="D1452" s="503" t="s">
        <v>31189</v>
      </c>
      <c r="F1452" t="str">
        <f t="shared" si="45"/>
        <v>103666</v>
      </c>
      <c r="H1452" s="14">
        <f t="shared" si="46"/>
        <v>180.11</v>
      </c>
    </row>
    <row r="1453" spans="1:8" ht="82.8">
      <c r="A1453" s="502" t="s">
        <v>24037</v>
      </c>
      <c r="B1453" s="504" t="s">
        <v>28263</v>
      </c>
      <c r="C1453" s="502" t="s">
        <v>109</v>
      </c>
      <c r="D1453" s="503" t="s">
        <v>9919</v>
      </c>
      <c r="F1453" t="str">
        <f t="shared" si="45"/>
        <v>103792</v>
      </c>
      <c r="H1453" s="14">
        <f t="shared" si="46"/>
        <v>5.36</v>
      </c>
    </row>
    <row r="1454" spans="1:8" ht="55.2">
      <c r="A1454" s="502" t="s">
        <v>24038</v>
      </c>
      <c r="B1454" s="504" t="s">
        <v>24039</v>
      </c>
      <c r="C1454" s="502" t="s">
        <v>109</v>
      </c>
      <c r="D1454" s="503" t="s">
        <v>7261</v>
      </c>
      <c r="F1454" t="str">
        <f t="shared" si="45"/>
        <v>103937</v>
      </c>
      <c r="H1454" s="14">
        <f t="shared" si="46"/>
        <v>1.75</v>
      </c>
    </row>
    <row r="1455" spans="1:8" ht="55.2">
      <c r="A1455" s="502" t="s">
        <v>24040</v>
      </c>
      <c r="B1455" s="504" t="s">
        <v>24041</v>
      </c>
      <c r="C1455" s="502" t="s">
        <v>109</v>
      </c>
      <c r="D1455" s="503" t="s">
        <v>7261</v>
      </c>
      <c r="F1455" t="str">
        <f t="shared" si="45"/>
        <v>103943</v>
      </c>
      <c r="H1455" s="14">
        <f t="shared" si="46"/>
        <v>1.75</v>
      </c>
    </row>
    <row r="1456" spans="1:8" ht="41.4">
      <c r="A1456" s="502" t="s">
        <v>24042</v>
      </c>
      <c r="B1456" s="504" t="s">
        <v>24043</v>
      </c>
      <c r="C1456" s="502" t="s">
        <v>109</v>
      </c>
      <c r="D1456" s="503" t="s">
        <v>3368</v>
      </c>
      <c r="F1456" t="str">
        <f t="shared" si="45"/>
        <v>104087</v>
      </c>
      <c r="H1456" s="14">
        <f t="shared" si="46"/>
        <v>0.08</v>
      </c>
    </row>
    <row r="1457" spans="1:8" ht="41.4">
      <c r="A1457" s="502" t="s">
        <v>24044</v>
      </c>
      <c r="B1457" s="504" t="s">
        <v>24045</v>
      </c>
      <c r="C1457" s="502" t="s">
        <v>109</v>
      </c>
      <c r="D1457" s="503" t="s">
        <v>3869</v>
      </c>
      <c r="F1457" t="str">
        <f t="shared" si="45"/>
        <v>104088</v>
      </c>
      <c r="H1457" s="14">
        <f t="shared" si="46"/>
        <v>0.01</v>
      </c>
    </row>
    <row r="1458" spans="1:8" ht="41.4">
      <c r="A1458" s="502" t="s">
        <v>24046</v>
      </c>
      <c r="B1458" s="504" t="s">
        <v>24047</v>
      </c>
      <c r="C1458" s="502" t="s">
        <v>109</v>
      </c>
      <c r="D1458" s="503" t="s">
        <v>3888</v>
      </c>
      <c r="F1458" t="str">
        <f t="shared" si="45"/>
        <v>104089</v>
      </c>
      <c r="H1458" s="14">
        <f t="shared" si="46"/>
        <v>0.09</v>
      </c>
    </row>
    <row r="1459" spans="1:8" ht="41.4">
      <c r="A1459" s="502" t="s">
        <v>24048</v>
      </c>
      <c r="B1459" s="504" t="s">
        <v>24049</v>
      </c>
      <c r="C1459" s="502" t="s">
        <v>109</v>
      </c>
      <c r="D1459" s="503" t="s">
        <v>3812</v>
      </c>
      <c r="F1459" t="str">
        <f t="shared" si="45"/>
        <v>104090</v>
      </c>
      <c r="H1459" s="14">
        <f t="shared" si="46"/>
        <v>0.77</v>
      </c>
    </row>
    <row r="1460" spans="1:8" ht="41.4">
      <c r="A1460" s="502" t="s">
        <v>24050</v>
      </c>
      <c r="B1460" s="504" t="s">
        <v>24051</v>
      </c>
      <c r="C1460" s="502" t="s">
        <v>109</v>
      </c>
      <c r="D1460" s="503" t="s">
        <v>4027</v>
      </c>
      <c r="F1460" t="str">
        <f t="shared" si="45"/>
        <v>104093</v>
      </c>
      <c r="H1460" s="14">
        <f t="shared" si="46"/>
        <v>0.11</v>
      </c>
    </row>
    <row r="1461" spans="1:8" ht="41.4">
      <c r="A1461" s="502" t="s">
        <v>24052</v>
      </c>
      <c r="B1461" s="504" t="s">
        <v>24053</v>
      </c>
      <c r="C1461" s="502" t="s">
        <v>109</v>
      </c>
      <c r="D1461" s="503" t="s">
        <v>3869</v>
      </c>
      <c r="F1461" t="str">
        <f t="shared" si="45"/>
        <v>104094</v>
      </c>
      <c r="H1461" s="14">
        <f t="shared" si="46"/>
        <v>0.01</v>
      </c>
    </row>
    <row r="1462" spans="1:8" ht="41.4">
      <c r="A1462" s="502" t="s">
        <v>24054</v>
      </c>
      <c r="B1462" s="504" t="s">
        <v>24055</v>
      </c>
      <c r="C1462" s="502" t="s">
        <v>109</v>
      </c>
      <c r="D1462" s="503" t="s">
        <v>3558</v>
      </c>
      <c r="F1462" t="str">
        <f t="shared" si="45"/>
        <v>104095</v>
      </c>
      <c r="H1462" s="14">
        <f t="shared" si="46"/>
        <v>0.13</v>
      </c>
    </row>
    <row r="1463" spans="1:8" ht="41.4">
      <c r="A1463" s="502" t="s">
        <v>24056</v>
      </c>
      <c r="B1463" s="504" t="s">
        <v>24057</v>
      </c>
      <c r="C1463" s="502" t="s">
        <v>109</v>
      </c>
      <c r="D1463" s="503" t="s">
        <v>3256</v>
      </c>
      <c r="F1463" t="str">
        <f t="shared" si="45"/>
        <v>104096</v>
      </c>
      <c r="H1463" s="14">
        <f t="shared" si="46"/>
        <v>1.07</v>
      </c>
    </row>
    <row r="1464" spans="1:8" ht="55.2">
      <c r="A1464" s="502" t="s">
        <v>24058</v>
      </c>
      <c r="B1464" s="504" t="s">
        <v>24059</v>
      </c>
      <c r="C1464" s="502" t="s">
        <v>109</v>
      </c>
      <c r="D1464" s="503" t="s">
        <v>3571</v>
      </c>
      <c r="F1464" t="str">
        <f t="shared" si="45"/>
        <v>104519</v>
      </c>
      <c r="H1464" s="14">
        <f t="shared" si="46"/>
        <v>0.73</v>
      </c>
    </row>
    <row r="1465" spans="1:8" ht="27.6">
      <c r="A1465" s="502" t="s">
        <v>28264</v>
      </c>
      <c r="B1465" s="504" t="s">
        <v>28265</v>
      </c>
      <c r="C1465" s="502" t="s">
        <v>109</v>
      </c>
      <c r="D1465" s="503" t="s">
        <v>3812</v>
      </c>
      <c r="F1465" t="str">
        <f t="shared" si="45"/>
        <v>104655</v>
      </c>
      <c r="H1465" s="14">
        <f t="shared" si="46"/>
        <v>0.77</v>
      </c>
    </row>
    <row r="1466" spans="1:8" ht="55.2">
      <c r="A1466" s="502" t="s">
        <v>28266</v>
      </c>
      <c r="B1466" s="504" t="s">
        <v>28267</v>
      </c>
      <c r="C1466" s="502" t="s">
        <v>109</v>
      </c>
      <c r="D1466" s="503" t="s">
        <v>31190</v>
      </c>
      <c r="F1466" t="str">
        <f t="shared" si="45"/>
        <v>104687</v>
      </c>
      <c r="H1466" s="14">
        <f t="shared" si="46"/>
        <v>596.57000000000005</v>
      </c>
    </row>
    <row r="1467" spans="1:8" ht="41.4">
      <c r="A1467" s="502" t="s">
        <v>31191</v>
      </c>
      <c r="B1467" s="504" t="s">
        <v>31192</v>
      </c>
      <c r="C1467" s="502" t="s">
        <v>109</v>
      </c>
      <c r="D1467" s="503" t="s">
        <v>6994</v>
      </c>
      <c r="F1467" t="str">
        <f t="shared" si="45"/>
        <v>104691</v>
      </c>
      <c r="H1467" s="14">
        <f t="shared" si="46"/>
        <v>1.28</v>
      </c>
    </row>
    <row r="1468" spans="1:8" ht="41.4">
      <c r="A1468" s="502" t="s">
        <v>31193</v>
      </c>
      <c r="B1468" s="504" t="s">
        <v>31194</v>
      </c>
      <c r="C1468" s="502" t="s">
        <v>109</v>
      </c>
      <c r="D1468" s="503" t="s">
        <v>3297</v>
      </c>
      <c r="F1468" t="str">
        <f t="shared" si="45"/>
        <v>104692</v>
      </c>
      <c r="H1468" s="14">
        <f t="shared" si="46"/>
        <v>0.28999999999999998</v>
      </c>
    </row>
    <row r="1469" spans="1:8" ht="41.4">
      <c r="A1469" s="502" t="s">
        <v>31195</v>
      </c>
      <c r="B1469" s="504" t="s">
        <v>31196</v>
      </c>
      <c r="C1469" s="502" t="s">
        <v>109</v>
      </c>
      <c r="D1469" s="503" t="s">
        <v>10398</v>
      </c>
      <c r="F1469" t="str">
        <f t="shared" si="45"/>
        <v>104693</v>
      </c>
      <c r="H1469" s="14">
        <f t="shared" si="46"/>
        <v>1.6</v>
      </c>
    </row>
    <row r="1470" spans="1:8" ht="41.4">
      <c r="A1470" s="502" t="s">
        <v>28268</v>
      </c>
      <c r="B1470" s="504" t="s">
        <v>28269</v>
      </c>
      <c r="C1470" s="502" t="s">
        <v>109</v>
      </c>
      <c r="D1470" s="503" t="s">
        <v>3098</v>
      </c>
      <c r="F1470" t="str">
        <f t="shared" si="45"/>
        <v>104694</v>
      </c>
      <c r="H1470" s="14">
        <f t="shared" si="46"/>
        <v>2.44</v>
      </c>
    </row>
    <row r="1471" spans="1:8" ht="55.2">
      <c r="A1471" s="502" t="s">
        <v>28270</v>
      </c>
      <c r="B1471" s="504" t="s">
        <v>28271</v>
      </c>
      <c r="C1471" s="502" t="s">
        <v>109</v>
      </c>
      <c r="D1471" s="503" t="s">
        <v>31197</v>
      </c>
      <c r="F1471" t="str">
        <f t="shared" si="45"/>
        <v>104703</v>
      </c>
      <c r="H1471" s="14">
        <f t="shared" si="46"/>
        <v>122.78</v>
      </c>
    </row>
    <row r="1472" spans="1:8" ht="69">
      <c r="A1472" s="502" t="s">
        <v>28272</v>
      </c>
      <c r="B1472" s="504" t="s">
        <v>28273</v>
      </c>
      <c r="C1472" s="502" t="s">
        <v>109</v>
      </c>
      <c r="D1472" s="503" t="s">
        <v>31198</v>
      </c>
      <c r="F1472" t="str">
        <f t="shared" si="45"/>
        <v>104709</v>
      </c>
      <c r="H1472" s="14">
        <f t="shared" si="46"/>
        <v>1552.6</v>
      </c>
    </row>
    <row r="1473" spans="1:8" ht="55.2">
      <c r="A1473" s="502" t="s">
        <v>31199</v>
      </c>
      <c r="B1473" s="504" t="s">
        <v>31200</v>
      </c>
      <c r="C1473" s="502" t="s">
        <v>109</v>
      </c>
      <c r="D1473" s="503" t="s">
        <v>31201</v>
      </c>
      <c r="F1473" t="str">
        <f t="shared" si="45"/>
        <v>104712</v>
      </c>
      <c r="H1473" s="14">
        <f t="shared" si="46"/>
        <v>81.42</v>
      </c>
    </row>
    <row r="1474" spans="1:8" ht="55.2">
      <c r="A1474" s="502" t="s">
        <v>31202</v>
      </c>
      <c r="B1474" s="504" t="s">
        <v>31203</v>
      </c>
      <c r="C1474" s="502" t="s">
        <v>109</v>
      </c>
      <c r="D1474" s="503" t="s">
        <v>31204</v>
      </c>
      <c r="F1474" t="str">
        <f t="shared" si="45"/>
        <v>104713</v>
      </c>
      <c r="H1474" s="14">
        <f t="shared" si="46"/>
        <v>21.52</v>
      </c>
    </row>
    <row r="1475" spans="1:8" ht="55.2">
      <c r="A1475" s="502" t="s">
        <v>31205</v>
      </c>
      <c r="B1475" s="504" t="s">
        <v>31206</v>
      </c>
      <c r="C1475" s="502" t="s">
        <v>109</v>
      </c>
      <c r="D1475" s="503" t="s">
        <v>31207</v>
      </c>
      <c r="F1475" t="str">
        <f t="shared" si="45"/>
        <v>104714</v>
      </c>
      <c r="H1475" s="14">
        <f t="shared" si="46"/>
        <v>101.78</v>
      </c>
    </row>
    <row r="1476" spans="1:8" ht="55.2">
      <c r="A1476" s="502" t="s">
        <v>28274</v>
      </c>
      <c r="B1476" s="504" t="s">
        <v>28275</v>
      </c>
      <c r="C1476" s="502" t="s">
        <v>109</v>
      </c>
      <c r="D1476" s="503" t="s">
        <v>31027</v>
      </c>
      <c r="F1476" t="str">
        <f t="shared" si="45"/>
        <v>104715</v>
      </c>
      <c r="H1476" s="14">
        <f t="shared" si="46"/>
        <v>119.35</v>
      </c>
    </row>
    <row r="1477" spans="1:8" ht="55.2">
      <c r="A1477" s="502" t="s">
        <v>28276</v>
      </c>
      <c r="B1477" s="504" t="s">
        <v>28277</v>
      </c>
      <c r="C1477" s="502" t="s">
        <v>109</v>
      </c>
      <c r="D1477" s="503" t="s">
        <v>31208</v>
      </c>
      <c r="F1477" t="str">
        <f t="shared" ref="F1477:F1540" si="47">TRIM(A1477)</f>
        <v>104906</v>
      </c>
      <c r="H1477" s="14">
        <f t="shared" ref="H1477:H1540" si="48">ROUND(D1477*(1+$H$1),2)</f>
        <v>131.04</v>
      </c>
    </row>
    <row r="1478" spans="1:8" ht="41.4">
      <c r="A1478" s="502" t="s">
        <v>28279</v>
      </c>
      <c r="B1478" s="504" t="s">
        <v>28280</v>
      </c>
      <c r="C1478" s="502" t="s">
        <v>109</v>
      </c>
      <c r="D1478" s="503" t="s">
        <v>28103</v>
      </c>
      <c r="F1478" t="str">
        <f t="shared" si="47"/>
        <v>104912</v>
      </c>
      <c r="H1478" s="14">
        <f t="shared" si="48"/>
        <v>43.83</v>
      </c>
    </row>
    <row r="1479" spans="1:8" ht="55.2">
      <c r="A1479" s="502" t="s">
        <v>4112</v>
      </c>
      <c r="B1479" s="504" t="s">
        <v>10421</v>
      </c>
      <c r="C1479" s="502" t="s">
        <v>114</v>
      </c>
      <c r="D1479" s="503" t="s">
        <v>31209</v>
      </c>
      <c r="F1479" t="str">
        <f t="shared" si="47"/>
        <v>92259</v>
      </c>
      <c r="H1479" s="14">
        <f t="shared" si="48"/>
        <v>683.03</v>
      </c>
    </row>
    <row r="1480" spans="1:8" ht="55.2">
      <c r="A1480" s="502" t="s">
        <v>4113</v>
      </c>
      <c r="B1480" s="504" t="s">
        <v>10422</v>
      </c>
      <c r="C1480" s="502" t="s">
        <v>114</v>
      </c>
      <c r="D1480" s="503" t="s">
        <v>31210</v>
      </c>
      <c r="F1480" t="str">
        <f t="shared" si="47"/>
        <v>92260</v>
      </c>
      <c r="H1480" s="14">
        <f t="shared" si="48"/>
        <v>785.83</v>
      </c>
    </row>
    <row r="1481" spans="1:8" ht="55.2">
      <c r="A1481" s="502" t="s">
        <v>4114</v>
      </c>
      <c r="B1481" s="504" t="s">
        <v>10423</v>
      </c>
      <c r="C1481" s="502" t="s">
        <v>114</v>
      </c>
      <c r="D1481" s="503" t="s">
        <v>31211</v>
      </c>
      <c r="F1481" t="str">
        <f t="shared" si="47"/>
        <v>92261</v>
      </c>
      <c r="H1481" s="14">
        <f t="shared" si="48"/>
        <v>885.51</v>
      </c>
    </row>
    <row r="1482" spans="1:8" ht="55.2">
      <c r="A1482" s="502" t="s">
        <v>4115</v>
      </c>
      <c r="B1482" s="504" t="s">
        <v>10424</v>
      </c>
      <c r="C1482" s="502" t="s">
        <v>114</v>
      </c>
      <c r="D1482" s="503" t="s">
        <v>31212</v>
      </c>
      <c r="F1482" t="str">
        <f t="shared" si="47"/>
        <v>92262</v>
      </c>
      <c r="H1482" s="14">
        <f t="shared" si="48"/>
        <v>1046</v>
      </c>
    </row>
    <row r="1483" spans="1:8" ht="55.2">
      <c r="A1483" s="502" t="s">
        <v>4116</v>
      </c>
      <c r="B1483" s="504" t="s">
        <v>10425</v>
      </c>
      <c r="C1483" s="502" t="s">
        <v>73</v>
      </c>
      <c r="D1483" s="503" t="s">
        <v>31213</v>
      </c>
      <c r="F1483" t="str">
        <f t="shared" si="47"/>
        <v>92539</v>
      </c>
      <c r="H1483" s="14">
        <f t="shared" si="48"/>
        <v>112.01</v>
      </c>
    </row>
    <row r="1484" spans="1:8" ht="55.2">
      <c r="A1484" s="502" t="s">
        <v>4117</v>
      </c>
      <c r="B1484" s="504" t="s">
        <v>10426</v>
      </c>
      <c r="C1484" s="502" t="s">
        <v>73</v>
      </c>
      <c r="D1484" s="503" t="s">
        <v>31214</v>
      </c>
      <c r="F1484" t="str">
        <f t="shared" si="47"/>
        <v>92540</v>
      </c>
      <c r="H1484" s="14">
        <f t="shared" si="48"/>
        <v>127.24</v>
      </c>
    </row>
    <row r="1485" spans="1:8" ht="55.2">
      <c r="A1485" s="502" t="s">
        <v>4118</v>
      </c>
      <c r="B1485" s="504" t="s">
        <v>10427</v>
      </c>
      <c r="C1485" s="502" t="s">
        <v>73</v>
      </c>
      <c r="D1485" s="503" t="s">
        <v>31215</v>
      </c>
      <c r="F1485" t="str">
        <f t="shared" si="47"/>
        <v>92541</v>
      </c>
      <c r="H1485" s="14">
        <f t="shared" si="48"/>
        <v>120.62</v>
      </c>
    </row>
    <row r="1486" spans="1:8" ht="55.2">
      <c r="A1486" s="502" t="s">
        <v>4119</v>
      </c>
      <c r="B1486" s="504" t="s">
        <v>10428</v>
      </c>
      <c r="C1486" s="502" t="s">
        <v>73</v>
      </c>
      <c r="D1486" s="503" t="s">
        <v>31216</v>
      </c>
      <c r="F1486" t="str">
        <f t="shared" si="47"/>
        <v>92542</v>
      </c>
      <c r="H1486" s="14">
        <f t="shared" si="48"/>
        <v>147.56</v>
      </c>
    </row>
    <row r="1487" spans="1:8" ht="55.2">
      <c r="A1487" s="502" t="s">
        <v>4120</v>
      </c>
      <c r="B1487" s="504" t="s">
        <v>10429</v>
      </c>
      <c r="C1487" s="502" t="s">
        <v>73</v>
      </c>
      <c r="D1487" s="503" t="s">
        <v>25720</v>
      </c>
      <c r="F1487" t="str">
        <f t="shared" si="47"/>
        <v>92543</v>
      </c>
      <c r="H1487" s="14">
        <f t="shared" si="48"/>
        <v>33.43</v>
      </c>
    </row>
    <row r="1488" spans="1:8" ht="55.2">
      <c r="A1488" s="502" t="s">
        <v>4121</v>
      </c>
      <c r="B1488" s="504" t="s">
        <v>10430</v>
      </c>
      <c r="C1488" s="502" t="s">
        <v>73</v>
      </c>
      <c r="D1488" s="503" t="s">
        <v>31217</v>
      </c>
      <c r="F1488" t="str">
        <f t="shared" si="47"/>
        <v>92544</v>
      </c>
      <c r="H1488" s="14">
        <f t="shared" si="48"/>
        <v>26.64</v>
      </c>
    </row>
    <row r="1489" spans="1:8" ht="55.2">
      <c r="A1489" s="502" t="s">
        <v>4122</v>
      </c>
      <c r="B1489" s="504" t="s">
        <v>10431</v>
      </c>
      <c r="C1489" s="502" t="s">
        <v>114</v>
      </c>
      <c r="D1489" s="503" t="s">
        <v>31218</v>
      </c>
      <c r="F1489" t="str">
        <f t="shared" si="47"/>
        <v>92545</v>
      </c>
      <c r="H1489" s="14">
        <f t="shared" si="48"/>
        <v>1510.23</v>
      </c>
    </row>
    <row r="1490" spans="1:8" ht="55.2">
      <c r="A1490" s="502" t="s">
        <v>4123</v>
      </c>
      <c r="B1490" s="504" t="s">
        <v>10432</v>
      </c>
      <c r="C1490" s="502" t="s">
        <v>114</v>
      </c>
      <c r="D1490" s="503" t="s">
        <v>31219</v>
      </c>
      <c r="F1490" t="str">
        <f t="shared" si="47"/>
        <v>92546</v>
      </c>
      <c r="H1490" s="14">
        <f t="shared" si="48"/>
        <v>1862.45</v>
      </c>
    </row>
    <row r="1491" spans="1:8" ht="55.2">
      <c r="A1491" s="502" t="s">
        <v>4124</v>
      </c>
      <c r="B1491" s="504" t="s">
        <v>10433</v>
      </c>
      <c r="C1491" s="502" t="s">
        <v>114</v>
      </c>
      <c r="D1491" s="503" t="s">
        <v>31220</v>
      </c>
      <c r="F1491" t="str">
        <f t="shared" si="47"/>
        <v>92547</v>
      </c>
      <c r="H1491" s="14">
        <f t="shared" si="48"/>
        <v>1962.99</v>
      </c>
    </row>
    <row r="1492" spans="1:8" ht="55.2">
      <c r="A1492" s="502" t="s">
        <v>4125</v>
      </c>
      <c r="B1492" s="504" t="s">
        <v>10434</v>
      </c>
      <c r="C1492" s="502" t="s">
        <v>114</v>
      </c>
      <c r="D1492" s="503" t="s">
        <v>31221</v>
      </c>
      <c r="F1492" t="str">
        <f t="shared" si="47"/>
        <v>92548</v>
      </c>
      <c r="H1492" s="14">
        <f t="shared" si="48"/>
        <v>2185.9</v>
      </c>
    </row>
    <row r="1493" spans="1:8" ht="55.2">
      <c r="A1493" s="502" t="s">
        <v>4126</v>
      </c>
      <c r="B1493" s="504" t="s">
        <v>10435</v>
      </c>
      <c r="C1493" s="502" t="s">
        <v>114</v>
      </c>
      <c r="D1493" s="503" t="s">
        <v>31222</v>
      </c>
      <c r="F1493" t="str">
        <f t="shared" si="47"/>
        <v>92549</v>
      </c>
      <c r="H1493" s="14">
        <f t="shared" si="48"/>
        <v>2755.33</v>
      </c>
    </row>
    <row r="1494" spans="1:8" ht="55.2">
      <c r="A1494" s="502" t="s">
        <v>4127</v>
      </c>
      <c r="B1494" s="504" t="s">
        <v>10436</v>
      </c>
      <c r="C1494" s="502" t="s">
        <v>114</v>
      </c>
      <c r="D1494" s="503" t="s">
        <v>31223</v>
      </c>
      <c r="F1494" t="str">
        <f t="shared" si="47"/>
        <v>92550</v>
      </c>
      <c r="H1494" s="14">
        <f t="shared" si="48"/>
        <v>3323.22</v>
      </c>
    </row>
    <row r="1495" spans="1:8" ht="55.2">
      <c r="A1495" s="502" t="s">
        <v>4128</v>
      </c>
      <c r="B1495" s="504" t="s">
        <v>10437</v>
      </c>
      <c r="C1495" s="502" t="s">
        <v>114</v>
      </c>
      <c r="D1495" s="503" t="s">
        <v>31224</v>
      </c>
      <c r="F1495" t="str">
        <f t="shared" si="47"/>
        <v>92551</v>
      </c>
      <c r="H1495" s="14">
        <f t="shared" si="48"/>
        <v>3452.43</v>
      </c>
    </row>
    <row r="1496" spans="1:8" ht="55.2">
      <c r="A1496" s="502" t="s">
        <v>4129</v>
      </c>
      <c r="B1496" s="504" t="s">
        <v>10438</v>
      </c>
      <c r="C1496" s="502" t="s">
        <v>114</v>
      </c>
      <c r="D1496" s="503" t="s">
        <v>31225</v>
      </c>
      <c r="F1496" t="str">
        <f t="shared" si="47"/>
        <v>92552</v>
      </c>
      <c r="H1496" s="14">
        <f t="shared" si="48"/>
        <v>3761.73</v>
      </c>
    </row>
    <row r="1497" spans="1:8" ht="55.2">
      <c r="A1497" s="502" t="s">
        <v>4130</v>
      </c>
      <c r="B1497" s="504" t="s">
        <v>10439</v>
      </c>
      <c r="C1497" s="502" t="s">
        <v>114</v>
      </c>
      <c r="D1497" s="503" t="s">
        <v>31226</v>
      </c>
      <c r="F1497" t="str">
        <f t="shared" si="47"/>
        <v>92553</v>
      </c>
      <c r="H1497" s="14">
        <f t="shared" si="48"/>
        <v>4344.82</v>
      </c>
    </row>
    <row r="1498" spans="1:8" ht="55.2">
      <c r="A1498" s="502" t="s">
        <v>4131</v>
      </c>
      <c r="B1498" s="504" t="s">
        <v>10440</v>
      </c>
      <c r="C1498" s="502" t="s">
        <v>114</v>
      </c>
      <c r="D1498" s="503" t="s">
        <v>31227</v>
      </c>
      <c r="F1498" t="str">
        <f t="shared" si="47"/>
        <v>92554</v>
      </c>
      <c r="H1498" s="14">
        <f t="shared" si="48"/>
        <v>4492.9399999999996</v>
      </c>
    </row>
    <row r="1499" spans="1:8" ht="55.2">
      <c r="A1499" s="502" t="s">
        <v>4132</v>
      </c>
      <c r="B1499" s="504" t="s">
        <v>10441</v>
      </c>
      <c r="C1499" s="502" t="s">
        <v>114</v>
      </c>
      <c r="D1499" s="503" t="s">
        <v>31228</v>
      </c>
      <c r="F1499" t="str">
        <f t="shared" si="47"/>
        <v>92555</v>
      </c>
      <c r="H1499" s="14">
        <f t="shared" si="48"/>
        <v>1490.64</v>
      </c>
    </row>
    <row r="1500" spans="1:8" ht="55.2">
      <c r="A1500" s="502" t="s">
        <v>4133</v>
      </c>
      <c r="B1500" s="504" t="s">
        <v>10442</v>
      </c>
      <c r="C1500" s="502" t="s">
        <v>114</v>
      </c>
      <c r="D1500" s="503" t="s">
        <v>31229</v>
      </c>
      <c r="F1500" t="str">
        <f t="shared" si="47"/>
        <v>92556</v>
      </c>
      <c r="H1500" s="14">
        <f t="shared" si="48"/>
        <v>1828.12</v>
      </c>
    </row>
    <row r="1501" spans="1:8" ht="55.2">
      <c r="A1501" s="502" t="s">
        <v>4134</v>
      </c>
      <c r="B1501" s="504" t="s">
        <v>10443</v>
      </c>
      <c r="C1501" s="502" t="s">
        <v>114</v>
      </c>
      <c r="D1501" s="503" t="s">
        <v>31230</v>
      </c>
      <c r="F1501" t="str">
        <f t="shared" si="47"/>
        <v>92557</v>
      </c>
      <c r="H1501" s="14">
        <f t="shared" si="48"/>
        <v>1928.66</v>
      </c>
    </row>
    <row r="1502" spans="1:8" ht="55.2">
      <c r="A1502" s="502" t="s">
        <v>4135</v>
      </c>
      <c r="B1502" s="504" t="s">
        <v>10444</v>
      </c>
      <c r="C1502" s="502" t="s">
        <v>114</v>
      </c>
      <c r="D1502" s="503" t="s">
        <v>31231</v>
      </c>
      <c r="F1502" t="str">
        <f t="shared" si="47"/>
        <v>92558</v>
      </c>
      <c r="H1502" s="14">
        <f t="shared" si="48"/>
        <v>2166.31</v>
      </c>
    </row>
    <row r="1503" spans="1:8" ht="55.2">
      <c r="A1503" s="502" t="s">
        <v>4136</v>
      </c>
      <c r="B1503" s="504" t="s">
        <v>10445</v>
      </c>
      <c r="C1503" s="502" t="s">
        <v>114</v>
      </c>
      <c r="D1503" s="503" t="s">
        <v>31232</v>
      </c>
      <c r="F1503" t="str">
        <f t="shared" si="47"/>
        <v>92559</v>
      </c>
      <c r="H1503" s="14">
        <f t="shared" si="48"/>
        <v>2718.86</v>
      </c>
    </row>
    <row r="1504" spans="1:8" ht="55.2">
      <c r="A1504" s="502" t="s">
        <v>4137</v>
      </c>
      <c r="B1504" s="504" t="s">
        <v>10446</v>
      </c>
      <c r="C1504" s="502" t="s">
        <v>114</v>
      </c>
      <c r="D1504" s="503" t="s">
        <v>31233</v>
      </c>
      <c r="F1504" t="str">
        <f t="shared" si="47"/>
        <v>92560</v>
      </c>
      <c r="H1504" s="14">
        <f t="shared" si="48"/>
        <v>3273.54</v>
      </c>
    </row>
    <row r="1505" spans="1:8" ht="55.2">
      <c r="A1505" s="502" t="s">
        <v>4138</v>
      </c>
      <c r="B1505" s="504" t="s">
        <v>10447</v>
      </c>
      <c r="C1505" s="502" t="s">
        <v>114</v>
      </c>
      <c r="D1505" s="503" t="s">
        <v>31234</v>
      </c>
      <c r="F1505" t="str">
        <f t="shared" si="47"/>
        <v>92561</v>
      </c>
      <c r="H1505" s="14">
        <f t="shared" si="48"/>
        <v>3404.11</v>
      </c>
    </row>
    <row r="1506" spans="1:8" ht="55.2">
      <c r="A1506" s="502" t="s">
        <v>4139</v>
      </c>
      <c r="B1506" s="504" t="s">
        <v>10448</v>
      </c>
      <c r="C1506" s="502" t="s">
        <v>114</v>
      </c>
      <c r="D1506" s="503" t="s">
        <v>31235</v>
      </c>
      <c r="F1506" t="str">
        <f t="shared" si="47"/>
        <v>92562</v>
      </c>
      <c r="H1506" s="14">
        <f t="shared" si="48"/>
        <v>3679.09</v>
      </c>
    </row>
    <row r="1507" spans="1:8" ht="55.2">
      <c r="A1507" s="502" t="s">
        <v>4140</v>
      </c>
      <c r="B1507" s="504" t="s">
        <v>10449</v>
      </c>
      <c r="C1507" s="502" t="s">
        <v>114</v>
      </c>
      <c r="D1507" s="503" t="s">
        <v>31236</v>
      </c>
      <c r="F1507" t="str">
        <f t="shared" si="47"/>
        <v>92563</v>
      </c>
      <c r="H1507" s="14">
        <f t="shared" si="48"/>
        <v>4248.18</v>
      </c>
    </row>
    <row r="1508" spans="1:8" ht="55.2">
      <c r="A1508" s="502" t="s">
        <v>4141</v>
      </c>
      <c r="B1508" s="504" t="s">
        <v>10450</v>
      </c>
      <c r="C1508" s="502" t="s">
        <v>114</v>
      </c>
      <c r="D1508" s="503" t="s">
        <v>31237</v>
      </c>
      <c r="F1508" t="str">
        <f t="shared" si="47"/>
        <v>92564</v>
      </c>
      <c r="H1508" s="14">
        <f t="shared" si="48"/>
        <v>4374.57</v>
      </c>
    </row>
    <row r="1509" spans="1:8" ht="69">
      <c r="A1509" s="502" t="s">
        <v>10451</v>
      </c>
      <c r="B1509" s="504" t="s">
        <v>10452</v>
      </c>
      <c r="C1509" s="502" t="s">
        <v>73</v>
      </c>
      <c r="D1509" s="503" t="s">
        <v>10160</v>
      </c>
      <c r="F1509" t="str">
        <f t="shared" si="47"/>
        <v>100379</v>
      </c>
      <c r="H1509" s="14">
        <f t="shared" si="48"/>
        <v>56.18</v>
      </c>
    </row>
    <row r="1510" spans="1:8" ht="69">
      <c r="A1510" s="502" t="s">
        <v>10453</v>
      </c>
      <c r="B1510" s="504" t="s">
        <v>10454</v>
      </c>
      <c r="C1510" s="502" t="s">
        <v>73</v>
      </c>
      <c r="D1510" s="503" t="s">
        <v>31238</v>
      </c>
      <c r="F1510" t="str">
        <f t="shared" si="47"/>
        <v>100380</v>
      </c>
      <c r="H1510" s="14">
        <f t="shared" si="48"/>
        <v>75.03</v>
      </c>
    </row>
    <row r="1511" spans="1:8" ht="69">
      <c r="A1511" s="502" t="s">
        <v>10455</v>
      </c>
      <c r="B1511" s="504" t="s">
        <v>10456</v>
      </c>
      <c r="C1511" s="502" t="s">
        <v>73</v>
      </c>
      <c r="D1511" s="503" t="s">
        <v>28785</v>
      </c>
      <c r="F1511" t="str">
        <f t="shared" si="47"/>
        <v>100381</v>
      </c>
      <c r="H1511" s="14">
        <f t="shared" si="48"/>
        <v>84.71</v>
      </c>
    </row>
    <row r="1512" spans="1:8" ht="69">
      <c r="A1512" s="502" t="s">
        <v>10457</v>
      </c>
      <c r="B1512" s="504" t="s">
        <v>10458</v>
      </c>
      <c r="C1512" s="502" t="s">
        <v>73</v>
      </c>
      <c r="D1512" s="503" t="s">
        <v>28487</v>
      </c>
      <c r="F1512" t="str">
        <f t="shared" si="47"/>
        <v>100383</v>
      </c>
      <c r="H1512" s="14">
        <f t="shared" si="48"/>
        <v>36.99</v>
      </c>
    </row>
    <row r="1513" spans="1:8" ht="69">
      <c r="A1513" s="502" t="s">
        <v>10460</v>
      </c>
      <c r="B1513" s="504" t="s">
        <v>10461</v>
      </c>
      <c r="C1513" s="502" t="s">
        <v>73</v>
      </c>
      <c r="D1513" s="503" t="s">
        <v>10056</v>
      </c>
      <c r="F1513" t="str">
        <f t="shared" si="47"/>
        <v>100384</v>
      </c>
      <c r="H1513" s="14">
        <f t="shared" si="48"/>
        <v>39.14</v>
      </c>
    </row>
    <row r="1514" spans="1:8" ht="69">
      <c r="A1514" s="502" t="s">
        <v>10462</v>
      </c>
      <c r="B1514" s="504" t="s">
        <v>10463</v>
      </c>
      <c r="C1514" s="502" t="s">
        <v>73</v>
      </c>
      <c r="D1514" s="503" t="s">
        <v>31239</v>
      </c>
      <c r="F1514" t="str">
        <f t="shared" si="47"/>
        <v>100385</v>
      </c>
      <c r="H1514" s="14">
        <f t="shared" si="48"/>
        <v>49.96</v>
      </c>
    </row>
    <row r="1515" spans="1:8" ht="55.2">
      <c r="A1515" s="502" t="s">
        <v>10464</v>
      </c>
      <c r="B1515" s="504" t="s">
        <v>10465</v>
      </c>
      <c r="C1515" s="502" t="s">
        <v>73</v>
      </c>
      <c r="D1515" s="503" t="s">
        <v>29065</v>
      </c>
      <c r="F1515" t="str">
        <f t="shared" si="47"/>
        <v>100386</v>
      </c>
      <c r="H1515" s="14">
        <f t="shared" si="48"/>
        <v>64.63</v>
      </c>
    </row>
    <row r="1516" spans="1:8" ht="69">
      <c r="A1516" s="502" t="s">
        <v>10466</v>
      </c>
      <c r="B1516" s="504" t="s">
        <v>10467</v>
      </c>
      <c r="C1516" s="502" t="s">
        <v>73</v>
      </c>
      <c r="D1516" s="503" t="s">
        <v>31240</v>
      </c>
      <c r="F1516" t="str">
        <f t="shared" si="47"/>
        <v>100387</v>
      </c>
      <c r="H1516" s="14">
        <f t="shared" si="48"/>
        <v>79.12</v>
      </c>
    </row>
    <row r="1517" spans="1:8" ht="41.4">
      <c r="A1517" s="502" t="s">
        <v>10468</v>
      </c>
      <c r="B1517" s="504" t="s">
        <v>10469</v>
      </c>
      <c r="C1517" s="502" t="s">
        <v>73</v>
      </c>
      <c r="D1517" s="503" t="s">
        <v>31241</v>
      </c>
      <c r="F1517" t="str">
        <f t="shared" si="47"/>
        <v>100388</v>
      </c>
      <c r="H1517" s="14">
        <f t="shared" si="48"/>
        <v>29.06</v>
      </c>
    </row>
    <row r="1518" spans="1:8" ht="41.4">
      <c r="A1518" s="502" t="s">
        <v>10470</v>
      </c>
      <c r="B1518" s="504" t="s">
        <v>10471</v>
      </c>
      <c r="C1518" s="502" t="s">
        <v>73</v>
      </c>
      <c r="D1518" s="503" t="s">
        <v>31242</v>
      </c>
      <c r="F1518" t="str">
        <f t="shared" si="47"/>
        <v>100389</v>
      </c>
      <c r="H1518" s="14">
        <f t="shared" si="48"/>
        <v>26.46</v>
      </c>
    </row>
    <row r="1519" spans="1:8" ht="41.4">
      <c r="A1519" s="502" t="s">
        <v>10472</v>
      </c>
      <c r="B1519" s="504" t="s">
        <v>10473</v>
      </c>
      <c r="C1519" s="502" t="s">
        <v>73</v>
      </c>
      <c r="D1519" s="503" t="s">
        <v>16238</v>
      </c>
      <c r="F1519" t="str">
        <f t="shared" si="47"/>
        <v>100390</v>
      </c>
      <c r="H1519" s="14">
        <f t="shared" si="48"/>
        <v>35.1</v>
      </c>
    </row>
    <row r="1520" spans="1:8" ht="41.4">
      <c r="A1520" s="502" t="s">
        <v>10474</v>
      </c>
      <c r="B1520" s="504" t="s">
        <v>10475</v>
      </c>
      <c r="C1520" s="502" t="s">
        <v>73</v>
      </c>
      <c r="D1520" s="503" t="s">
        <v>16282</v>
      </c>
      <c r="F1520" t="str">
        <f t="shared" si="47"/>
        <v>100391</v>
      </c>
      <c r="H1520" s="14">
        <f t="shared" si="48"/>
        <v>30.46</v>
      </c>
    </row>
    <row r="1521" spans="1:8" ht="41.4">
      <c r="A1521" s="502" t="s">
        <v>10476</v>
      </c>
      <c r="B1521" s="504" t="s">
        <v>10477</v>
      </c>
      <c r="C1521" s="502" t="s">
        <v>73</v>
      </c>
      <c r="D1521" s="503" t="s">
        <v>16144</v>
      </c>
      <c r="F1521" t="str">
        <f t="shared" si="47"/>
        <v>100392</v>
      </c>
      <c r="H1521" s="14">
        <f t="shared" si="48"/>
        <v>22.88</v>
      </c>
    </row>
    <row r="1522" spans="1:8" ht="41.4">
      <c r="A1522" s="502" t="s">
        <v>10478</v>
      </c>
      <c r="B1522" s="504" t="s">
        <v>10479</v>
      </c>
      <c r="C1522" s="502" t="s">
        <v>73</v>
      </c>
      <c r="D1522" s="503" t="s">
        <v>25657</v>
      </c>
      <c r="F1522" t="str">
        <f t="shared" si="47"/>
        <v>100393</v>
      </c>
      <c r="H1522" s="14">
        <f t="shared" si="48"/>
        <v>30.26</v>
      </c>
    </row>
    <row r="1523" spans="1:8" ht="41.4">
      <c r="A1523" s="502" t="s">
        <v>10480</v>
      </c>
      <c r="B1523" s="504" t="s">
        <v>10481</v>
      </c>
      <c r="C1523" s="502" t="s">
        <v>73</v>
      </c>
      <c r="D1523" s="503" t="s">
        <v>27655</v>
      </c>
      <c r="F1523" t="str">
        <f t="shared" si="47"/>
        <v>100394</v>
      </c>
      <c r="H1523" s="14">
        <f t="shared" si="48"/>
        <v>27.64</v>
      </c>
    </row>
    <row r="1524" spans="1:8" ht="41.4">
      <c r="A1524" s="502" t="s">
        <v>10482</v>
      </c>
      <c r="B1524" s="504" t="s">
        <v>10483</v>
      </c>
      <c r="C1524" s="502" t="s">
        <v>73</v>
      </c>
      <c r="D1524" s="503" t="s">
        <v>23695</v>
      </c>
      <c r="F1524" t="str">
        <f t="shared" si="47"/>
        <v>100395</v>
      </c>
      <c r="H1524" s="14">
        <f t="shared" si="48"/>
        <v>36.32</v>
      </c>
    </row>
    <row r="1525" spans="1:8" ht="41.4">
      <c r="A1525" s="502" t="s">
        <v>4142</v>
      </c>
      <c r="B1525" s="504" t="s">
        <v>10484</v>
      </c>
      <c r="C1525" s="502" t="s">
        <v>73</v>
      </c>
      <c r="D1525" s="503" t="s">
        <v>31243</v>
      </c>
      <c r="F1525" t="str">
        <f t="shared" si="47"/>
        <v>94189</v>
      </c>
      <c r="H1525" s="14">
        <f t="shared" si="48"/>
        <v>56.99</v>
      </c>
    </row>
    <row r="1526" spans="1:8" ht="41.4">
      <c r="A1526" s="502" t="s">
        <v>4144</v>
      </c>
      <c r="B1526" s="504" t="s">
        <v>10486</v>
      </c>
      <c r="C1526" s="502" t="s">
        <v>73</v>
      </c>
      <c r="D1526" s="503" t="s">
        <v>31244</v>
      </c>
      <c r="F1526" t="str">
        <f t="shared" si="47"/>
        <v>94192</v>
      </c>
      <c r="H1526" s="14">
        <f t="shared" si="48"/>
        <v>61.04</v>
      </c>
    </row>
    <row r="1527" spans="1:8" ht="41.4">
      <c r="A1527" s="502" t="s">
        <v>4145</v>
      </c>
      <c r="B1527" s="504" t="s">
        <v>10488</v>
      </c>
      <c r="C1527" s="502" t="s">
        <v>73</v>
      </c>
      <c r="D1527" s="503" t="s">
        <v>29917</v>
      </c>
      <c r="F1527" t="str">
        <f t="shared" si="47"/>
        <v>94195</v>
      </c>
      <c r="H1527" s="14">
        <f t="shared" si="48"/>
        <v>35.200000000000003</v>
      </c>
    </row>
    <row r="1528" spans="1:8" ht="41.4">
      <c r="A1528" s="502" t="s">
        <v>4146</v>
      </c>
      <c r="B1528" s="504" t="s">
        <v>10489</v>
      </c>
      <c r="C1528" s="502" t="s">
        <v>73</v>
      </c>
      <c r="D1528" s="503" t="s">
        <v>31245</v>
      </c>
      <c r="F1528" t="str">
        <f t="shared" si="47"/>
        <v>94198</v>
      </c>
      <c r="H1528" s="14">
        <f t="shared" si="48"/>
        <v>40.53</v>
      </c>
    </row>
    <row r="1529" spans="1:8" ht="41.4">
      <c r="A1529" s="502" t="s">
        <v>4147</v>
      </c>
      <c r="B1529" s="504" t="s">
        <v>10490</v>
      </c>
      <c r="C1529" s="502" t="s">
        <v>73</v>
      </c>
      <c r="D1529" s="503" t="s">
        <v>23972</v>
      </c>
      <c r="F1529" t="str">
        <f t="shared" si="47"/>
        <v>94201</v>
      </c>
      <c r="H1529" s="14">
        <f t="shared" si="48"/>
        <v>51.38</v>
      </c>
    </row>
    <row r="1530" spans="1:8" ht="41.4">
      <c r="A1530" s="502" t="s">
        <v>4148</v>
      </c>
      <c r="B1530" s="504" t="s">
        <v>10492</v>
      </c>
      <c r="C1530" s="502" t="s">
        <v>73</v>
      </c>
      <c r="D1530" s="503" t="s">
        <v>29306</v>
      </c>
      <c r="F1530" t="str">
        <f t="shared" si="47"/>
        <v>94204</v>
      </c>
      <c r="H1530" s="14">
        <f t="shared" si="48"/>
        <v>60.47</v>
      </c>
    </row>
    <row r="1531" spans="1:8" ht="27.6">
      <c r="A1531" s="502" t="s">
        <v>4149</v>
      </c>
      <c r="B1531" s="504" t="s">
        <v>10493</v>
      </c>
      <c r="C1531" s="502" t="s">
        <v>75</v>
      </c>
      <c r="D1531" s="503" t="s">
        <v>31246</v>
      </c>
      <c r="F1531" t="str">
        <f t="shared" si="47"/>
        <v>94224</v>
      </c>
      <c r="H1531" s="14">
        <f t="shared" si="48"/>
        <v>39.32</v>
      </c>
    </row>
    <row r="1532" spans="1:8" ht="41.4">
      <c r="A1532" s="502" t="s">
        <v>4150</v>
      </c>
      <c r="B1532" s="504" t="s">
        <v>10494</v>
      </c>
      <c r="C1532" s="502" t="s">
        <v>73</v>
      </c>
      <c r="D1532" s="503" t="s">
        <v>31247</v>
      </c>
      <c r="F1532" t="str">
        <f t="shared" si="47"/>
        <v>94226</v>
      </c>
      <c r="H1532" s="14">
        <f t="shared" si="48"/>
        <v>25.24</v>
      </c>
    </row>
    <row r="1533" spans="1:8" ht="27.6">
      <c r="A1533" s="502" t="s">
        <v>4152</v>
      </c>
      <c r="B1533" s="504" t="s">
        <v>10495</v>
      </c>
      <c r="C1533" s="502" t="s">
        <v>114</v>
      </c>
      <c r="D1533" s="503" t="s">
        <v>31248</v>
      </c>
      <c r="F1533" t="str">
        <f t="shared" si="47"/>
        <v>94232</v>
      </c>
      <c r="H1533" s="14">
        <f t="shared" si="48"/>
        <v>4.6500000000000004</v>
      </c>
    </row>
    <row r="1534" spans="1:8" ht="41.4">
      <c r="A1534" s="502" t="s">
        <v>4154</v>
      </c>
      <c r="B1534" s="504" t="s">
        <v>10496</v>
      </c>
      <c r="C1534" s="502" t="s">
        <v>73</v>
      </c>
      <c r="D1534" s="503" t="s">
        <v>29917</v>
      </c>
      <c r="F1534" t="str">
        <f t="shared" si="47"/>
        <v>94440</v>
      </c>
      <c r="H1534" s="14">
        <f t="shared" si="48"/>
        <v>35.200000000000003</v>
      </c>
    </row>
    <row r="1535" spans="1:8" ht="41.4">
      <c r="A1535" s="502" t="s">
        <v>4155</v>
      </c>
      <c r="B1535" s="504" t="s">
        <v>10497</v>
      </c>
      <c r="C1535" s="502" t="s">
        <v>73</v>
      </c>
      <c r="D1535" s="503" t="s">
        <v>31245</v>
      </c>
      <c r="F1535" t="str">
        <f t="shared" si="47"/>
        <v>94441</v>
      </c>
      <c r="H1535" s="14">
        <f t="shared" si="48"/>
        <v>40.53</v>
      </c>
    </row>
    <row r="1536" spans="1:8" ht="41.4">
      <c r="A1536" s="502" t="s">
        <v>4156</v>
      </c>
      <c r="B1536" s="504" t="s">
        <v>10498</v>
      </c>
      <c r="C1536" s="502" t="s">
        <v>73</v>
      </c>
      <c r="D1536" s="503" t="s">
        <v>29917</v>
      </c>
      <c r="F1536" t="str">
        <f t="shared" si="47"/>
        <v>94442</v>
      </c>
      <c r="H1536" s="14">
        <f t="shared" si="48"/>
        <v>35.200000000000003</v>
      </c>
    </row>
    <row r="1537" spans="1:8" ht="41.4">
      <c r="A1537" s="502" t="s">
        <v>4157</v>
      </c>
      <c r="B1537" s="504" t="s">
        <v>10499</v>
      </c>
      <c r="C1537" s="502" t="s">
        <v>73</v>
      </c>
      <c r="D1537" s="503" t="s">
        <v>31245</v>
      </c>
      <c r="F1537" t="str">
        <f t="shared" si="47"/>
        <v>94443</v>
      </c>
      <c r="H1537" s="14">
        <f t="shared" si="48"/>
        <v>40.53</v>
      </c>
    </row>
    <row r="1538" spans="1:8" ht="41.4">
      <c r="A1538" s="502" t="s">
        <v>4158</v>
      </c>
      <c r="B1538" s="504" t="s">
        <v>10500</v>
      </c>
      <c r="C1538" s="502" t="s">
        <v>73</v>
      </c>
      <c r="D1538" s="503" t="s">
        <v>23972</v>
      </c>
      <c r="F1538" t="str">
        <f t="shared" si="47"/>
        <v>94445</v>
      </c>
      <c r="H1538" s="14">
        <f t="shared" si="48"/>
        <v>51.38</v>
      </c>
    </row>
    <row r="1539" spans="1:8" ht="41.4">
      <c r="A1539" s="502" t="s">
        <v>4159</v>
      </c>
      <c r="B1539" s="504" t="s">
        <v>10501</v>
      </c>
      <c r="C1539" s="502" t="s">
        <v>73</v>
      </c>
      <c r="D1539" s="503" t="s">
        <v>29306</v>
      </c>
      <c r="F1539" t="str">
        <f t="shared" si="47"/>
        <v>94446</v>
      </c>
      <c r="H1539" s="14">
        <f t="shared" si="48"/>
        <v>60.47</v>
      </c>
    </row>
    <row r="1540" spans="1:8" ht="41.4">
      <c r="A1540" s="502" t="s">
        <v>4160</v>
      </c>
      <c r="B1540" s="504" t="s">
        <v>10502</v>
      </c>
      <c r="C1540" s="502" t="s">
        <v>73</v>
      </c>
      <c r="D1540" s="503" t="s">
        <v>23972</v>
      </c>
      <c r="F1540" t="str">
        <f t="shared" si="47"/>
        <v>94447</v>
      </c>
      <c r="H1540" s="14">
        <f t="shared" si="48"/>
        <v>51.38</v>
      </c>
    </row>
    <row r="1541" spans="1:8" ht="41.4">
      <c r="A1541" s="502" t="s">
        <v>4161</v>
      </c>
      <c r="B1541" s="504" t="s">
        <v>10503</v>
      </c>
      <c r="C1541" s="502" t="s">
        <v>73</v>
      </c>
      <c r="D1541" s="503" t="s">
        <v>29306</v>
      </c>
      <c r="F1541" t="str">
        <f t="shared" ref="F1541:F1604" si="49">TRIM(A1541)</f>
        <v>94448</v>
      </c>
      <c r="H1541" s="14">
        <f t="shared" ref="H1541:H1604" si="50">ROUND(D1541*(1+$H$1),2)</f>
        <v>60.47</v>
      </c>
    </row>
    <row r="1542" spans="1:8" ht="55.2">
      <c r="A1542" s="502" t="s">
        <v>4162</v>
      </c>
      <c r="B1542" s="504" t="s">
        <v>10504</v>
      </c>
      <c r="C1542" s="502" t="s">
        <v>73</v>
      </c>
      <c r="D1542" s="503" t="s">
        <v>31249</v>
      </c>
      <c r="F1542" t="str">
        <f t="shared" si="49"/>
        <v>94207</v>
      </c>
      <c r="H1542" s="14">
        <f t="shared" si="50"/>
        <v>62.52</v>
      </c>
    </row>
    <row r="1543" spans="1:8" ht="55.2">
      <c r="A1543" s="502" t="s">
        <v>4163</v>
      </c>
      <c r="B1543" s="504" t="s">
        <v>10505</v>
      </c>
      <c r="C1543" s="502" t="s">
        <v>73</v>
      </c>
      <c r="D1543" s="503" t="s">
        <v>23176</v>
      </c>
      <c r="F1543" t="str">
        <f t="shared" si="49"/>
        <v>94210</v>
      </c>
      <c r="H1543" s="14">
        <f t="shared" si="50"/>
        <v>66.44</v>
      </c>
    </row>
    <row r="1544" spans="1:8" ht="41.4">
      <c r="A1544" s="502" t="s">
        <v>4164</v>
      </c>
      <c r="B1544" s="504" t="s">
        <v>24062</v>
      </c>
      <c r="C1544" s="502" t="s">
        <v>73</v>
      </c>
      <c r="D1544" s="503" t="s">
        <v>31250</v>
      </c>
      <c r="F1544" t="str">
        <f t="shared" si="49"/>
        <v>94218</v>
      </c>
      <c r="H1544" s="14">
        <f t="shared" si="50"/>
        <v>156.65</v>
      </c>
    </row>
    <row r="1545" spans="1:8" ht="27.6">
      <c r="A1545" s="502" t="s">
        <v>4165</v>
      </c>
      <c r="B1545" s="504" t="s">
        <v>10506</v>
      </c>
      <c r="C1545" s="502" t="s">
        <v>73</v>
      </c>
      <c r="D1545" s="503" t="s">
        <v>23226</v>
      </c>
      <c r="F1545" t="str">
        <f t="shared" si="49"/>
        <v>94213</v>
      </c>
      <c r="H1545" s="14">
        <f t="shared" si="50"/>
        <v>96.54</v>
      </c>
    </row>
    <row r="1546" spans="1:8" ht="27.6">
      <c r="A1546" s="502" t="s">
        <v>4166</v>
      </c>
      <c r="B1546" s="504" t="s">
        <v>10508</v>
      </c>
      <c r="C1546" s="502" t="s">
        <v>73</v>
      </c>
      <c r="D1546" s="503" t="s">
        <v>31251</v>
      </c>
      <c r="F1546" t="str">
        <f t="shared" si="49"/>
        <v>94216</v>
      </c>
      <c r="H1546" s="14">
        <f t="shared" si="50"/>
        <v>271.91000000000003</v>
      </c>
    </row>
    <row r="1547" spans="1:8" ht="55.2">
      <c r="A1547" s="502" t="s">
        <v>4167</v>
      </c>
      <c r="B1547" s="504" t="s">
        <v>10509</v>
      </c>
      <c r="C1547" s="502" t="s">
        <v>75</v>
      </c>
      <c r="D1547" s="503" t="s">
        <v>31252</v>
      </c>
      <c r="F1547" t="str">
        <f t="shared" si="49"/>
        <v>94219</v>
      </c>
      <c r="H1547" s="14">
        <f t="shared" si="50"/>
        <v>41.64</v>
      </c>
    </row>
    <row r="1548" spans="1:8" ht="55.2">
      <c r="A1548" s="502" t="s">
        <v>4168</v>
      </c>
      <c r="B1548" s="504" t="s">
        <v>10510</v>
      </c>
      <c r="C1548" s="502" t="s">
        <v>75</v>
      </c>
      <c r="D1548" s="503" t="s">
        <v>31253</v>
      </c>
      <c r="F1548" t="str">
        <f t="shared" si="49"/>
        <v>94220</v>
      </c>
      <c r="H1548" s="14">
        <f t="shared" si="50"/>
        <v>79.42</v>
      </c>
    </row>
    <row r="1549" spans="1:8" ht="55.2">
      <c r="A1549" s="502" t="s">
        <v>4169</v>
      </c>
      <c r="B1549" s="504" t="s">
        <v>10511</v>
      </c>
      <c r="C1549" s="502" t="s">
        <v>75</v>
      </c>
      <c r="D1549" s="503" t="s">
        <v>31254</v>
      </c>
      <c r="F1549" t="str">
        <f t="shared" si="49"/>
        <v>94221</v>
      </c>
      <c r="H1549" s="14">
        <f t="shared" si="50"/>
        <v>31.09</v>
      </c>
    </row>
    <row r="1550" spans="1:8" ht="55.2">
      <c r="A1550" s="502" t="s">
        <v>4170</v>
      </c>
      <c r="B1550" s="504" t="s">
        <v>10512</v>
      </c>
      <c r="C1550" s="502" t="s">
        <v>75</v>
      </c>
      <c r="D1550" s="503" t="s">
        <v>31255</v>
      </c>
      <c r="F1550" t="str">
        <f t="shared" si="49"/>
        <v>94222</v>
      </c>
      <c r="H1550" s="14">
        <f t="shared" si="50"/>
        <v>68.86</v>
      </c>
    </row>
    <row r="1551" spans="1:8" ht="41.4">
      <c r="A1551" s="502" t="s">
        <v>4171</v>
      </c>
      <c r="B1551" s="504" t="s">
        <v>10514</v>
      </c>
      <c r="C1551" s="502" t="s">
        <v>75</v>
      </c>
      <c r="D1551" s="503" t="s">
        <v>31256</v>
      </c>
      <c r="F1551" t="str">
        <f t="shared" si="49"/>
        <v>94223</v>
      </c>
      <c r="H1551" s="14">
        <f t="shared" si="50"/>
        <v>106.77</v>
      </c>
    </row>
    <row r="1552" spans="1:8" ht="41.4">
      <c r="A1552" s="502" t="s">
        <v>4172</v>
      </c>
      <c r="B1552" s="504" t="s">
        <v>10515</v>
      </c>
      <c r="C1552" s="502" t="s">
        <v>75</v>
      </c>
      <c r="D1552" s="503" t="s">
        <v>24439</v>
      </c>
      <c r="F1552" t="str">
        <f t="shared" si="49"/>
        <v>94451</v>
      </c>
      <c r="H1552" s="14">
        <f t="shared" si="50"/>
        <v>118.65</v>
      </c>
    </row>
    <row r="1553" spans="1:8" ht="41.4">
      <c r="A1553" s="502" t="s">
        <v>10516</v>
      </c>
      <c r="B1553" s="504" t="s">
        <v>10517</v>
      </c>
      <c r="C1553" s="502" t="s">
        <v>75</v>
      </c>
      <c r="D1553" s="503" t="s">
        <v>31257</v>
      </c>
      <c r="F1553" t="str">
        <f t="shared" si="49"/>
        <v>100325</v>
      </c>
      <c r="H1553" s="14">
        <f t="shared" si="50"/>
        <v>115.09</v>
      </c>
    </row>
    <row r="1554" spans="1:8" ht="41.4">
      <c r="A1554" s="502" t="s">
        <v>10518</v>
      </c>
      <c r="B1554" s="504" t="s">
        <v>10519</v>
      </c>
      <c r="C1554" s="502" t="s">
        <v>75</v>
      </c>
      <c r="D1554" s="503" t="s">
        <v>23067</v>
      </c>
      <c r="F1554" t="str">
        <f t="shared" si="49"/>
        <v>100327</v>
      </c>
      <c r="H1554" s="14">
        <f t="shared" si="50"/>
        <v>70.86</v>
      </c>
    </row>
    <row r="1555" spans="1:8" ht="41.4">
      <c r="A1555" s="502" t="s">
        <v>10520</v>
      </c>
      <c r="B1555" s="504" t="s">
        <v>10521</v>
      </c>
      <c r="C1555" s="502" t="s">
        <v>73</v>
      </c>
      <c r="D1555" s="503" t="s">
        <v>9535</v>
      </c>
      <c r="F1555" t="str">
        <f t="shared" si="49"/>
        <v>100328</v>
      </c>
      <c r="H1555" s="14">
        <f t="shared" si="50"/>
        <v>17.36</v>
      </c>
    </row>
    <row r="1556" spans="1:8" ht="41.4">
      <c r="A1556" s="502" t="s">
        <v>10522</v>
      </c>
      <c r="B1556" s="504" t="s">
        <v>10523</v>
      </c>
      <c r="C1556" s="502" t="s">
        <v>73</v>
      </c>
      <c r="D1556" s="503" t="s">
        <v>31258</v>
      </c>
      <c r="F1556" t="str">
        <f t="shared" si="49"/>
        <v>100329</v>
      </c>
      <c r="H1556" s="14">
        <f t="shared" si="50"/>
        <v>22.71</v>
      </c>
    </row>
    <row r="1557" spans="1:8" ht="41.4">
      <c r="A1557" s="502" t="s">
        <v>10524</v>
      </c>
      <c r="B1557" s="504" t="s">
        <v>10525</v>
      </c>
      <c r="C1557" s="502" t="s">
        <v>73</v>
      </c>
      <c r="D1557" s="503" t="s">
        <v>20186</v>
      </c>
      <c r="F1557" t="str">
        <f t="shared" si="49"/>
        <v>100330</v>
      </c>
      <c r="H1557" s="14">
        <f t="shared" si="50"/>
        <v>23.51</v>
      </c>
    </row>
    <row r="1558" spans="1:8" ht="41.4">
      <c r="A1558" s="502" t="s">
        <v>10526</v>
      </c>
      <c r="B1558" s="504" t="s">
        <v>10527</v>
      </c>
      <c r="C1558" s="502" t="s">
        <v>73</v>
      </c>
      <c r="D1558" s="503" t="s">
        <v>16438</v>
      </c>
      <c r="F1558" t="str">
        <f t="shared" si="49"/>
        <v>100331</v>
      </c>
      <c r="H1558" s="14">
        <f t="shared" si="50"/>
        <v>32.65</v>
      </c>
    </row>
    <row r="1559" spans="1:8" ht="55.2">
      <c r="A1559" s="502" t="s">
        <v>10528</v>
      </c>
      <c r="B1559" s="504" t="s">
        <v>10529</v>
      </c>
      <c r="C1559" s="502" t="s">
        <v>75</v>
      </c>
      <c r="D1559" s="503" t="s">
        <v>31259</v>
      </c>
      <c r="F1559" t="str">
        <f t="shared" si="49"/>
        <v>100434</v>
      </c>
      <c r="H1559" s="14">
        <f t="shared" si="50"/>
        <v>274.52</v>
      </c>
    </row>
    <row r="1560" spans="1:8" ht="41.4">
      <c r="A1560" s="502" t="s">
        <v>10530</v>
      </c>
      <c r="B1560" s="504" t="s">
        <v>10531</v>
      </c>
      <c r="C1560" s="502" t="s">
        <v>75</v>
      </c>
      <c r="D1560" s="503" t="s">
        <v>31260</v>
      </c>
      <c r="F1560" t="str">
        <f t="shared" si="49"/>
        <v>100435</v>
      </c>
      <c r="H1560" s="14">
        <f t="shared" si="50"/>
        <v>80.400000000000006</v>
      </c>
    </row>
    <row r="1561" spans="1:8" ht="41.4">
      <c r="A1561" s="502" t="s">
        <v>4173</v>
      </c>
      <c r="B1561" s="504" t="s">
        <v>10532</v>
      </c>
      <c r="C1561" s="502" t="s">
        <v>75</v>
      </c>
      <c r="D1561" s="503" t="s">
        <v>31261</v>
      </c>
      <c r="F1561" t="str">
        <f t="shared" si="49"/>
        <v>94227</v>
      </c>
      <c r="H1561" s="14">
        <f t="shared" si="50"/>
        <v>78.7</v>
      </c>
    </row>
    <row r="1562" spans="1:8" ht="41.4">
      <c r="A1562" s="502" t="s">
        <v>4174</v>
      </c>
      <c r="B1562" s="504" t="s">
        <v>10534</v>
      </c>
      <c r="C1562" s="502" t="s">
        <v>75</v>
      </c>
      <c r="D1562" s="503" t="s">
        <v>31262</v>
      </c>
      <c r="F1562" t="str">
        <f t="shared" si="49"/>
        <v>94228</v>
      </c>
      <c r="H1562" s="14">
        <f t="shared" si="50"/>
        <v>106.49</v>
      </c>
    </row>
    <row r="1563" spans="1:8" ht="41.4">
      <c r="A1563" s="502" t="s">
        <v>4175</v>
      </c>
      <c r="B1563" s="504" t="s">
        <v>10535</v>
      </c>
      <c r="C1563" s="502" t="s">
        <v>75</v>
      </c>
      <c r="D1563" s="503" t="s">
        <v>31263</v>
      </c>
      <c r="F1563" t="str">
        <f t="shared" si="49"/>
        <v>94229</v>
      </c>
      <c r="H1563" s="14">
        <f t="shared" si="50"/>
        <v>204.87</v>
      </c>
    </row>
    <row r="1564" spans="1:8" ht="27.6">
      <c r="A1564" s="502" t="s">
        <v>4176</v>
      </c>
      <c r="B1564" s="504" t="s">
        <v>10536</v>
      </c>
      <c r="C1564" s="502" t="s">
        <v>75</v>
      </c>
      <c r="D1564" s="503" t="s">
        <v>12958</v>
      </c>
      <c r="F1564" t="str">
        <f t="shared" si="49"/>
        <v>94231</v>
      </c>
      <c r="H1564" s="14">
        <f t="shared" si="50"/>
        <v>62.89</v>
      </c>
    </row>
    <row r="1565" spans="1:8" ht="41.4">
      <c r="A1565" s="502" t="s">
        <v>4177</v>
      </c>
      <c r="B1565" s="504" t="s">
        <v>10537</v>
      </c>
      <c r="C1565" s="502" t="s">
        <v>73</v>
      </c>
      <c r="D1565" s="503" t="s">
        <v>31264</v>
      </c>
      <c r="F1565" t="str">
        <f t="shared" si="49"/>
        <v>94449</v>
      </c>
      <c r="H1565" s="14">
        <f t="shared" si="50"/>
        <v>87.49</v>
      </c>
    </row>
    <row r="1566" spans="1:8" ht="41.4">
      <c r="A1566" s="502" t="s">
        <v>4178</v>
      </c>
      <c r="B1566" s="504" t="s">
        <v>10538</v>
      </c>
      <c r="C1566" s="502" t="s">
        <v>114</v>
      </c>
      <c r="D1566" s="503" t="s">
        <v>31265</v>
      </c>
      <c r="F1566" t="str">
        <f t="shared" si="49"/>
        <v>92255</v>
      </c>
      <c r="H1566" s="14">
        <f t="shared" si="50"/>
        <v>297.93</v>
      </c>
    </row>
    <row r="1567" spans="1:8" ht="41.4">
      <c r="A1567" s="502" t="s">
        <v>4179</v>
      </c>
      <c r="B1567" s="504" t="s">
        <v>10539</v>
      </c>
      <c r="C1567" s="502" t="s">
        <v>114</v>
      </c>
      <c r="D1567" s="503" t="s">
        <v>31266</v>
      </c>
      <c r="F1567" t="str">
        <f t="shared" si="49"/>
        <v>92256</v>
      </c>
      <c r="H1567" s="14">
        <f t="shared" si="50"/>
        <v>375.65</v>
      </c>
    </row>
    <row r="1568" spans="1:8" ht="41.4">
      <c r="A1568" s="502" t="s">
        <v>4180</v>
      </c>
      <c r="B1568" s="504" t="s">
        <v>10540</v>
      </c>
      <c r="C1568" s="502" t="s">
        <v>114</v>
      </c>
      <c r="D1568" s="503" t="s">
        <v>31267</v>
      </c>
      <c r="F1568" t="str">
        <f t="shared" si="49"/>
        <v>92257</v>
      </c>
      <c r="H1568" s="14">
        <f t="shared" si="50"/>
        <v>452.26</v>
      </c>
    </row>
    <row r="1569" spans="1:8" ht="41.4">
      <c r="A1569" s="502" t="s">
        <v>4181</v>
      </c>
      <c r="B1569" s="504" t="s">
        <v>10541</v>
      </c>
      <c r="C1569" s="502" t="s">
        <v>114</v>
      </c>
      <c r="D1569" s="503" t="s">
        <v>31268</v>
      </c>
      <c r="F1569" t="str">
        <f t="shared" si="49"/>
        <v>92258</v>
      </c>
      <c r="H1569" s="14">
        <f t="shared" si="50"/>
        <v>575.47</v>
      </c>
    </row>
    <row r="1570" spans="1:8" ht="55.2">
      <c r="A1570" s="502" t="s">
        <v>4182</v>
      </c>
      <c r="B1570" s="504" t="s">
        <v>10542</v>
      </c>
      <c r="C1570" s="502" t="s">
        <v>73</v>
      </c>
      <c r="D1570" s="503" t="s">
        <v>24673</v>
      </c>
      <c r="F1570" t="str">
        <f t="shared" si="49"/>
        <v>92568</v>
      </c>
      <c r="H1570" s="14">
        <f t="shared" si="50"/>
        <v>169.32</v>
      </c>
    </row>
    <row r="1571" spans="1:8" ht="55.2">
      <c r="A1571" s="502" t="s">
        <v>4183</v>
      </c>
      <c r="B1571" s="504" t="s">
        <v>10543</v>
      </c>
      <c r="C1571" s="502" t="s">
        <v>73</v>
      </c>
      <c r="D1571" s="503" t="s">
        <v>16881</v>
      </c>
      <c r="F1571" t="str">
        <f t="shared" si="49"/>
        <v>92569</v>
      </c>
      <c r="H1571" s="14">
        <f t="shared" si="50"/>
        <v>93.75</v>
      </c>
    </row>
    <row r="1572" spans="1:8" ht="41.4">
      <c r="A1572" s="502" t="s">
        <v>4184</v>
      </c>
      <c r="B1572" s="504" t="s">
        <v>10544</v>
      </c>
      <c r="C1572" s="502" t="s">
        <v>73</v>
      </c>
      <c r="D1572" s="503" t="s">
        <v>11660</v>
      </c>
      <c r="F1572" t="str">
        <f t="shared" si="49"/>
        <v>92570</v>
      </c>
      <c r="H1572" s="14">
        <f t="shared" si="50"/>
        <v>59.15</v>
      </c>
    </row>
    <row r="1573" spans="1:8" ht="55.2">
      <c r="A1573" s="502" t="s">
        <v>4185</v>
      </c>
      <c r="B1573" s="504" t="s">
        <v>10545</v>
      </c>
      <c r="C1573" s="502" t="s">
        <v>73</v>
      </c>
      <c r="D1573" s="503" t="s">
        <v>31269</v>
      </c>
      <c r="F1573" t="str">
        <f t="shared" si="49"/>
        <v>92571</v>
      </c>
      <c r="H1573" s="14">
        <f t="shared" si="50"/>
        <v>183.81</v>
      </c>
    </row>
    <row r="1574" spans="1:8" ht="55.2">
      <c r="A1574" s="502" t="s">
        <v>4186</v>
      </c>
      <c r="B1574" s="504" t="s">
        <v>10546</v>
      </c>
      <c r="C1574" s="502" t="s">
        <v>73</v>
      </c>
      <c r="D1574" s="503" t="s">
        <v>31270</v>
      </c>
      <c r="F1574" t="str">
        <f t="shared" si="49"/>
        <v>92572</v>
      </c>
      <c r="H1574" s="14">
        <f t="shared" si="50"/>
        <v>109.56</v>
      </c>
    </row>
    <row r="1575" spans="1:8" ht="55.2">
      <c r="A1575" s="502" t="s">
        <v>4187</v>
      </c>
      <c r="B1575" s="504" t="s">
        <v>10547</v>
      </c>
      <c r="C1575" s="502" t="s">
        <v>73</v>
      </c>
      <c r="D1575" s="503" t="s">
        <v>26159</v>
      </c>
      <c r="F1575" t="str">
        <f t="shared" si="49"/>
        <v>92573</v>
      </c>
      <c r="H1575" s="14">
        <f t="shared" si="50"/>
        <v>65.41</v>
      </c>
    </row>
    <row r="1576" spans="1:8" ht="41.4">
      <c r="A1576" s="502" t="s">
        <v>4188</v>
      </c>
      <c r="B1576" s="504" t="s">
        <v>10548</v>
      </c>
      <c r="C1576" s="502" t="s">
        <v>73</v>
      </c>
      <c r="D1576" s="503" t="s">
        <v>31271</v>
      </c>
      <c r="F1576" t="str">
        <f t="shared" si="49"/>
        <v>92574</v>
      </c>
      <c r="H1576" s="14">
        <f t="shared" si="50"/>
        <v>172.6</v>
      </c>
    </row>
    <row r="1577" spans="1:8" ht="41.4">
      <c r="A1577" s="502" t="s">
        <v>4189</v>
      </c>
      <c r="B1577" s="504" t="s">
        <v>10549</v>
      </c>
      <c r="C1577" s="502" t="s">
        <v>73</v>
      </c>
      <c r="D1577" s="503" t="s">
        <v>31272</v>
      </c>
      <c r="F1577" t="str">
        <f t="shared" si="49"/>
        <v>92575</v>
      </c>
      <c r="H1577" s="14">
        <f t="shared" si="50"/>
        <v>86.03</v>
      </c>
    </row>
    <row r="1578" spans="1:8" ht="41.4">
      <c r="A1578" s="502" t="s">
        <v>4190</v>
      </c>
      <c r="B1578" s="504" t="s">
        <v>10550</v>
      </c>
      <c r="C1578" s="502" t="s">
        <v>73</v>
      </c>
      <c r="D1578" s="503" t="s">
        <v>27841</v>
      </c>
      <c r="F1578" t="str">
        <f t="shared" si="49"/>
        <v>92576</v>
      </c>
      <c r="H1578" s="14">
        <f t="shared" si="50"/>
        <v>46.8</v>
      </c>
    </row>
    <row r="1579" spans="1:8" ht="55.2">
      <c r="A1579" s="502" t="s">
        <v>4192</v>
      </c>
      <c r="B1579" s="504" t="s">
        <v>10551</v>
      </c>
      <c r="C1579" s="502" t="s">
        <v>73</v>
      </c>
      <c r="D1579" s="503" t="s">
        <v>31273</v>
      </c>
      <c r="F1579" t="str">
        <f t="shared" si="49"/>
        <v>92577</v>
      </c>
      <c r="H1579" s="14">
        <f t="shared" si="50"/>
        <v>187.54</v>
      </c>
    </row>
    <row r="1580" spans="1:8" ht="41.4">
      <c r="A1580" s="502" t="s">
        <v>4193</v>
      </c>
      <c r="B1580" s="504" t="s">
        <v>10552</v>
      </c>
      <c r="C1580" s="502" t="s">
        <v>73</v>
      </c>
      <c r="D1580" s="503" t="s">
        <v>31274</v>
      </c>
      <c r="F1580" t="str">
        <f t="shared" si="49"/>
        <v>92578</v>
      </c>
      <c r="H1580" s="14">
        <f t="shared" si="50"/>
        <v>94.43</v>
      </c>
    </row>
    <row r="1581" spans="1:8" ht="41.4">
      <c r="A1581" s="502" t="s">
        <v>4194</v>
      </c>
      <c r="B1581" s="504" t="s">
        <v>10553</v>
      </c>
      <c r="C1581" s="502" t="s">
        <v>73</v>
      </c>
      <c r="D1581" s="503" t="s">
        <v>31275</v>
      </c>
      <c r="F1581" t="str">
        <f t="shared" si="49"/>
        <v>92579</v>
      </c>
      <c r="H1581" s="14">
        <f t="shared" si="50"/>
        <v>51.78</v>
      </c>
    </row>
    <row r="1582" spans="1:8" ht="55.2">
      <c r="A1582" s="502" t="s">
        <v>4195</v>
      </c>
      <c r="B1582" s="504" t="s">
        <v>10554</v>
      </c>
      <c r="C1582" s="502" t="s">
        <v>73</v>
      </c>
      <c r="D1582" s="503" t="s">
        <v>31276</v>
      </c>
      <c r="F1582" t="str">
        <f t="shared" si="49"/>
        <v>92580</v>
      </c>
      <c r="H1582" s="14">
        <f t="shared" si="50"/>
        <v>65.33</v>
      </c>
    </row>
    <row r="1583" spans="1:8" ht="41.4">
      <c r="A1583" s="502" t="s">
        <v>4196</v>
      </c>
      <c r="B1583" s="504" t="s">
        <v>10556</v>
      </c>
      <c r="C1583" s="502" t="s">
        <v>73</v>
      </c>
      <c r="D1583" s="503" t="s">
        <v>31277</v>
      </c>
      <c r="F1583" t="str">
        <f t="shared" si="49"/>
        <v>92581</v>
      </c>
      <c r="H1583" s="14">
        <f t="shared" si="50"/>
        <v>67.599999999999994</v>
      </c>
    </row>
    <row r="1584" spans="1:8" ht="41.4">
      <c r="A1584" s="502" t="s">
        <v>4197</v>
      </c>
      <c r="B1584" s="504" t="s">
        <v>28292</v>
      </c>
      <c r="C1584" s="502" t="s">
        <v>114</v>
      </c>
      <c r="D1584" s="503" t="s">
        <v>31278</v>
      </c>
      <c r="F1584" t="str">
        <f t="shared" si="49"/>
        <v>92582</v>
      </c>
      <c r="H1584" s="14">
        <f t="shared" si="50"/>
        <v>980.68</v>
      </c>
    </row>
    <row r="1585" spans="1:8" ht="41.4">
      <c r="A1585" s="502" t="s">
        <v>4198</v>
      </c>
      <c r="B1585" s="504" t="s">
        <v>28293</v>
      </c>
      <c r="C1585" s="502" t="s">
        <v>114</v>
      </c>
      <c r="D1585" s="503" t="s">
        <v>31279</v>
      </c>
      <c r="F1585" t="str">
        <f t="shared" si="49"/>
        <v>92584</v>
      </c>
      <c r="H1585" s="14">
        <f t="shared" si="50"/>
        <v>1135.33</v>
      </c>
    </row>
    <row r="1586" spans="1:8" ht="41.4">
      <c r="A1586" s="502" t="s">
        <v>4199</v>
      </c>
      <c r="B1586" s="504" t="s">
        <v>28294</v>
      </c>
      <c r="C1586" s="502" t="s">
        <v>114</v>
      </c>
      <c r="D1586" s="503" t="s">
        <v>31280</v>
      </c>
      <c r="F1586" t="str">
        <f t="shared" si="49"/>
        <v>92586</v>
      </c>
      <c r="H1586" s="14">
        <f t="shared" si="50"/>
        <v>1289.97</v>
      </c>
    </row>
    <row r="1587" spans="1:8" ht="41.4">
      <c r="A1587" s="502" t="s">
        <v>4200</v>
      </c>
      <c r="B1587" s="504" t="s">
        <v>28295</v>
      </c>
      <c r="C1587" s="502" t="s">
        <v>114</v>
      </c>
      <c r="D1587" s="503" t="s">
        <v>31281</v>
      </c>
      <c r="F1587" t="str">
        <f t="shared" si="49"/>
        <v>92588</v>
      </c>
      <c r="H1587" s="14">
        <f t="shared" si="50"/>
        <v>1642.51</v>
      </c>
    </row>
    <row r="1588" spans="1:8" ht="41.4">
      <c r="A1588" s="502" t="s">
        <v>4201</v>
      </c>
      <c r="B1588" s="504" t="s">
        <v>28296</v>
      </c>
      <c r="C1588" s="502" t="s">
        <v>114</v>
      </c>
      <c r="D1588" s="503" t="s">
        <v>31282</v>
      </c>
      <c r="F1588" t="str">
        <f t="shared" si="49"/>
        <v>92590</v>
      </c>
      <c r="H1588" s="14">
        <f t="shared" si="50"/>
        <v>1797.14</v>
      </c>
    </row>
    <row r="1589" spans="1:8" ht="41.4">
      <c r="A1589" s="502" t="s">
        <v>4202</v>
      </c>
      <c r="B1589" s="504" t="s">
        <v>28297</v>
      </c>
      <c r="C1589" s="502" t="s">
        <v>114</v>
      </c>
      <c r="D1589" s="503" t="s">
        <v>31283</v>
      </c>
      <c r="F1589" t="str">
        <f t="shared" si="49"/>
        <v>92592</v>
      </c>
      <c r="H1589" s="14">
        <f t="shared" si="50"/>
        <v>2028.41</v>
      </c>
    </row>
    <row r="1590" spans="1:8" ht="41.4">
      <c r="A1590" s="502" t="s">
        <v>4203</v>
      </c>
      <c r="B1590" s="504" t="s">
        <v>28298</v>
      </c>
      <c r="C1590" s="502" t="s">
        <v>114</v>
      </c>
      <c r="D1590" s="503" t="s">
        <v>31284</v>
      </c>
      <c r="F1590" t="str">
        <f t="shared" si="49"/>
        <v>92594</v>
      </c>
      <c r="H1590" s="14">
        <f t="shared" si="50"/>
        <v>2342.35</v>
      </c>
    </row>
    <row r="1591" spans="1:8" ht="41.4">
      <c r="A1591" s="502" t="s">
        <v>4204</v>
      </c>
      <c r="B1591" s="504" t="s">
        <v>28299</v>
      </c>
      <c r="C1591" s="502" t="s">
        <v>114</v>
      </c>
      <c r="D1591" s="503" t="s">
        <v>31285</v>
      </c>
      <c r="F1591" t="str">
        <f t="shared" si="49"/>
        <v>92596</v>
      </c>
      <c r="H1591" s="14">
        <f t="shared" si="50"/>
        <v>2626.81</v>
      </c>
    </row>
    <row r="1592" spans="1:8" ht="41.4">
      <c r="A1592" s="502" t="s">
        <v>4205</v>
      </c>
      <c r="B1592" s="504" t="s">
        <v>28300</v>
      </c>
      <c r="C1592" s="502" t="s">
        <v>114</v>
      </c>
      <c r="D1592" s="503" t="s">
        <v>31286</v>
      </c>
      <c r="F1592" t="str">
        <f t="shared" si="49"/>
        <v>92598</v>
      </c>
      <c r="H1592" s="14">
        <f t="shared" si="50"/>
        <v>2781.45</v>
      </c>
    </row>
    <row r="1593" spans="1:8" ht="41.4">
      <c r="A1593" s="502" t="s">
        <v>4206</v>
      </c>
      <c r="B1593" s="504" t="s">
        <v>28301</v>
      </c>
      <c r="C1593" s="502" t="s">
        <v>114</v>
      </c>
      <c r="D1593" s="503" t="s">
        <v>31287</v>
      </c>
      <c r="F1593" t="str">
        <f t="shared" si="49"/>
        <v>92600</v>
      </c>
      <c r="H1593" s="14">
        <f t="shared" si="50"/>
        <v>2975.21</v>
      </c>
    </row>
    <row r="1594" spans="1:8" ht="55.2">
      <c r="A1594" s="502" t="s">
        <v>4207</v>
      </c>
      <c r="B1594" s="504" t="s">
        <v>28302</v>
      </c>
      <c r="C1594" s="502" t="s">
        <v>114</v>
      </c>
      <c r="D1594" s="503" t="s">
        <v>31278</v>
      </c>
      <c r="F1594" t="str">
        <f t="shared" si="49"/>
        <v>92602</v>
      </c>
      <c r="H1594" s="14">
        <f t="shared" si="50"/>
        <v>980.68</v>
      </c>
    </row>
    <row r="1595" spans="1:8" ht="55.2">
      <c r="A1595" s="502" t="s">
        <v>4208</v>
      </c>
      <c r="B1595" s="504" t="s">
        <v>28303</v>
      </c>
      <c r="C1595" s="502" t="s">
        <v>114</v>
      </c>
      <c r="D1595" s="503" t="s">
        <v>31288</v>
      </c>
      <c r="F1595" t="str">
        <f t="shared" si="49"/>
        <v>92604</v>
      </c>
      <c r="H1595" s="14">
        <f t="shared" si="50"/>
        <v>1096.21</v>
      </c>
    </row>
    <row r="1596" spans="1:8" ht="55.2">
      <c r="A1596" s="502" t="s">
        <v>4209</v>
      </c>
      <c r="B1596" s="504" t="s">
        <v>28304</v>
      </c>
      <c r="C1596" s="502" t="s">
        <v>114</v>
      </c>
      <c r="D1596" s="503" t="s">
        <v>31289</v>
      </c>
      <c r="F1596" t="str">
        <f t="shared" si="49"/>
        <v>92606</v>
      </c>
      <c r="H1596" s="14">
        <f t="shared" si="50"/>
        <v>1250.8599999999999</v>
      </c>
    </row>
    <row r="1597" spans="1:8" ht="55.2">
      <c r="A1597" s="502" t="s">
        <v>4210</v>
      </c>
      <c r="B1597" s="504" t="s">
        <v>28305</v>
      </c>
      <c r="C1597" s="502" t="s">
        <v>114</v>
      </c>
      <c r="D1597" s="503" t="s">
        <v>31290</v>
      </c>
      <c r="F1597" t="str">
        <f t="shared" si="49"/>
        <v>92608</v>
      </c>
      <c r="H1597" s="14">
        <f t="shared" si="50"/>
        <v>1564.28</v>
      </c>
    </row>
    <row r="1598" spans="1:8" ht="55.2">
      <c r="A1598" s="502" t="s">
        <v>4211</v>
      </c>
      <c r="B1598" s="504" t="s">
        <v>28306</v>
      </c>
      <c r="C1598" s="502" t="s">
        <v>114</v>
      </c>
      <c r="D1598" s="503" t="s">
        <v>31291</v>
      </c>
      <c r="F1598" t="str">
        <f t="shared" si="49"/>
        <v>92610</v>
      </c>
      <c r="H1598" s="14">
        <f t="shared" si="50"/>
        <v>1718.93</v>
      </c>
    </row>
    <row r="1599" spans="1:8" ht="55.2">
      <c r="A1599" s="502" t="s">
        <v>4212</v>
      </c>
      <c r="B1599" s="504" t="s">
        <v>28307</v>
      </c>
      <c r="C1599" s="502" t="s">
        <v>114</v>
      </c>
      <c r="D1599" s="503" t="s">
        <v>31292</v>
      </c>
      <c r="F1599" t="str">
        <f t="shared" si="49"/>
        <v>92612</v>
      </c>
      <c r="H1599" s="14">
        <f t="shared" si="50"/>
        <v>1950.18</v>
      </c>
    </row>
    <row r="1600" spans="1:8" ht="55.2">
      <c r="A1600" s="502" t="s">
        <v>4213</v>
      </c>
      <c r="B1600" s="504" t="s">
        <v>28308</v>
      </c>
      <c r="C1600" s="502" t="s">
        <v>114</v>
      </c>
      <c r="D1600" s="503" t="s">
        <v>31221</v>
      </c>
      <c r="F1600" t="str">
        <f t="shared" si="49"/>
        <v>92614</v>
      </c>
      <c r="H1600" s="14">
        <f t="shared" si="50"/>
        <v>2185.9</v>
      </c>
    </row>
    <row r="1601" spans="1:8" ht="55.2">
      <c r="A1601" s="502" t="s">
        <v>4214</v>
      </c>
      <c r="B1601" s="504" t="s">
        <v>28309</v>
      </c>
      <c r="C1601" s="502" t="s">
        <v>114</v>
      </c>
      <c r="D1601" s="503" t="s">
        <v>31293</v>
      </c>
      <c r="F1601" t="str">
        <f t="shared" si="49"/>
        <v>92616</v>
      </c>
      <c r="H1601" s="14">
        <f t="shared" si="50"/>
        <v>2509.4699999999998</v>
      </c>
    </row>
    <row r="1602" spans="1:8" ht="55.2">
      <c r="A1602" s="502" t="s">
        <v>4215</v>
      </c>
      <c r="B1602" s="504" t="s">
        <v>28310</v>
      </c>
      <c r="C1602" s="502" t="s">
        <v>114</v>
      </c>
      <c r="D1602" s="503" t="s">
        <v>31294</v>
      </c>
      <c r="F1602" t="str">
        <f t="shared" si="49"/>
        <v>92618</v>
      </c>
      <c r="H1602" s="14">
        <f t="shared" si="50"/>
        <v>2664.11</v>
      </c>
    </row>
    <row r="1603" spans="1:8" ht="55.2">
      <c r="A1603" s="502" t="s">
        <v>4216</v>
      </c>
      <c r="B1603" s="504" t="s">
        <v>28311</v>
      </c>
      <c r="C1603" s="502" t="s">
        <v>114</v>
      </c>
      <c r="D1603" s="503" t="s">
        <v>31295</v>
      </c>
      <c r="F1603" t="str">
        <f t="shared" si="49"/>
        <v>92620</v>
      </c>
      <c r="H1603" s="14">
        <f t="shared" si="50"/>
        <v>2818.74</v>
      </c>
    </row>
    <row r="1604" spans="1:8" ht="41.4">
      <c r="A1604" s="502" t="s">
        <v>10557</v>
      </c>
      <c r="B1604" s="504" t="s">
        <v>10558</v>
      </c>
      <c r="C1604" s="502" t="s">
        <v>114</v>
      </c>
      <c r="D1604" s="503" t="s">
        <v>31296</v>
      </c>
      <c r="F1604" t="str">
        <f t="shared" si="49"/>
        <v>100357</v>
      </c>
      <c r="H1604" s="14">
        <f t="shared" si="50"/>
        <v>1565.11</v>
      </c>
    </row>
    <row r="1605" spans="1:8" ht="41.4">
      <c r="A1605" s="502" t="s">
        <v>10559</v>
      </c>
      <c r="B1605" s="504" t="s">
        <v>10560</v>
      </c>
      <c r="C1605" s="502" t="s">
        <v>114</v>
      </c>
      <c r="D1605" s="503" t="s">
        <v>31297</v>
      </c>
      <c r="F1605" t="str">
        <f t="shared" ref="F1605:F1668" si="51">TRIM(A1605)</f>
        <v>100358</v>
      </c>
      <c r="H1605" s="14">
        <f t="shared" ref="H1605:H1668" si="52">ROUND(D1605*(1+$H$1),2)</f>
        <v>2141.5500000000002</v>
      </c>
    </row>
    <row r="1606" spans="1:8" ht="41.4">
      <c r="A1606" s="502" t="s">
        <v>10561</v>
      </c>
      <c r="B1606" s="504" t="s">
        <v>10562</v>
      </c>
      <c r="C1606" s="502" t="s">
        <v>114</v>
      </c>
      <c r="D1606" s="503" t="s">
        <v>31298</v>
      </c>
      <c r="F1606" t="str">
        <f t="shared" si="51"/>
        <v>100359</v>
      </c>
      <c r="H1606" s="14">
        <f t="shared" si="52"/>
        <v>2244.2399999999998</v>
      </c>
    </row>
    <row r="1607" spans="1:8" ht="41.4">
      <c r="A1607" s="502" t="s">
        <v>10563</v>
      </c>
      <c r="B1607" s="504" t="s">
        <v>10564</v>
      </c>
      <c r="C1607" s="502" t="s">
        <v>114</v>
      </c>
      <c r="D1607" s="503" t="s">
        <v>31299</v>
      </c>
      <c r="F1607" t="str">
        <f t="shared" si="51"/>
        <v>100360</v>
      </c>
      <c r="H1607" s="14">
        <f t="shared" si="52"/>
        <v>2487.54</v>
      </c>
    </row>
    <row r="1608" spans="1:8" ht="41.4">
      <c r="A1608" s="502" t="s">
        <v>10565</v>
      </c>
      <c r="B1608" s="504" t="s">
        <v>10566</v>
      </c>
      <c r="C1608" s="502" t="s">
        <v>114</v>
      </c>
      <c r="D1608" s="503" t="s">
        <v>31300</v>
      </c>
      <c r="F1608" t="str">
        <f t="shared" si="51"/>
        <v>100361</v>
      </c>
      <c r="H1608" s="14">
        <f t="shared" si="52"/>
        <v>3107.42</v>
      </c>
    </row>
    <row r="1609" spans="1:8" ht="41.4">
      <c r="A1609" s="502" t="s">
        <v>10567</v>
      </c>
      <c r="B1609" s="504" t="s">
        <v>10568</v>
      </c>
      <c r="C1609" s="502" t="s">
        <v>114</v>
      </c>
      <c r="D1609" s="503" t="s">
        <v>31301</v>
      </c>
      <c r="F1609" t="str">
        <f t="shared" si="51"/>
        <v>100362</v>
      </c>
      <c r="H1609" s="14">
        <f t="shared" si="52"/>
        <v>4006.04</v>
      </c>
    </row>
    <row r="1610" spans="1:8" ht="41.4">
      <c r="A1610" s="502" t="s">
        <v>10569</v>
      </c>
      <c r="B1610" s="504" t="s">
        <v>10570</v>
      </c>
      <c r="C1610" s="502" t="s">
        <v>114</v>
      </c>
      <c r="D1610" s="503" t="s">
        <v>31302</v>
      </c>
      <c r="F1610" t="str">
        <f t="shared" si="51"/>
        <v>100363</v>
      </c>
      <c r="H1610" s="14">
        <f t="shared" si="52"/>
        <v>4132.04</v>
      </c>
    </row>
    <row r="1611" spans="1:8" ht="55.2">
      <c r="A1611" s="502" t="s">
        <v>10571</v>
      </c>
      <c r="B1611" s="504" t="s">
        <v>10572</v>
      </c>
      <c r="C1611" s="502" t="s">
        <v>114</v>
      </c>
      <c r="D1611" s="503" t="s">
        <v>31303</v>
      </c>
      <c r="F1611" t="str">
        <f t="shared" si="51"/>
        <v>100364</v>
      </c>
      <c r="H1611" s="14">
        <f t="shared" si="52"/>
        <v>4494.88</v>
      </c>
    </row>
    <row r="1612" spans="1:8" ht="55.2">
      <c r="A1612" s="502" t="s">
        <v>10573</v>
      </c>
      <c r="B1612" s="504" t="s">
        <v>10574</v>
      </c>
      <c r="C1612" s="502" t="s">
        <v>114</v>
      </c>
      <c r="D1612" s="503" t="s">
        <v>31304</v>
      </c>
      <c r="F1612" t="str">
        <f t="shared" si="51"/>
        <v>100365</v>
      </c>
      <c r="H1612" s="14">
        <f t="shared" si="52"/>
        <v>5191.1400000000003</v>
      </c>
    </row>
    <row r="1613" spans="1:8" ht="55.2">
      <c r="A1613" s="502" t="s">
        <v>10575</v>
      </c>
      <c r="B1613" s="504" t="s">
        <v>10576</v>
      </c>
      <c r="C1613" s="502" t="s">
        <v>114</v>
      </c>
      <c r="D1613" s="503" t="s">
        <v>31305</v>
      </c>
      <c r="F1613" t="str">
        <f t="shared" si="51"/>
        <v>100366</v>
      </c>
      <c r="H1613" s="14">
        <f t="shared" si="52"/>
        <v>5527.82</v>
      </c>
    </row>
    <row r="1614" spans="1:8" ht="55.2">
      <c r="A1614" s="502" t="s">
        <v>10577</v>
      </c>
      <c r="B1614" s="504" t="s">
        <v>10578</v>
      </c>
      <c r="C1614" s="502" t="s">
        <v>114</v>
      </c>
      <c r="D1614" s="503" t="s">
        <v>31306</v>
      </c>
      <c r="F1614" t="str">
        <f t="shared" si="51"/>
        <v>100367</v>
      </c>
      <c r="H1614" s="14">
        <f t="shared" si="52"/>
        <v>1525.94</v>
      </c>
    </row>
    <row r="1615" spans="1:8" ht="55.2">
      <c r="A1615" s="502" t="s">
        <v>10579</v>
      </c>
      <c r="B1615" s="504" t="s">
        <v>10580</v>
      </c>
      <c r="C1615" s="502" t="s">
        <v>114</v>
      </c>
      <c r="D1615" s="503" t="s">
        <v>31307</v>
      </c>
      <c r="F1615" t="str">
        <f t="shared" si="51"/>
        <v>100368</v>
      </c>
      <c r="H1615" s="14">
        <f t="shared" si="52"/>
        <v>2093.2399999999998</v>
      </c>
    </row>
    <row r="1616" spans="1:8" ht="55.2">
      <c r="A1616" s="502" t="s">
        <v>10581</v>
      </c>
      <c r="B1616" s="504" t="s">
        <v>10582</v>
      </c>
      <c r="C1616" s="502" t="s">
        <v>114</v>
      </c>
      <c r="D1616" s="503" t="s">
        <v>31308</v>
      </c>
      <c r="F1616" t="str">
        <f t="shared" si="51"/>
        <v>100369</v>
      </c>
      <c r="H1616" s="14">
        <f t="shared" si="52"/>
        <v>2195.92</v>
      </c>
    </row>
    <row r="1617" spans="1:8" ht="55.2">
      <c r="A1617" s="502" t="s">
        <v>10583</v>
      </c>
      <c r="B1617" s="504" t="s">
        <v>10584</v>
      </c>
      <c r="C1617" s="502" t="s">
        <v>114</v>
      </c>
      <c r="D1617" s="503" t="s">
        <v>31309</v>
      </c>
      <c r="F1617" t="str">
        <f t="shared" si="51"/>
        <v>100370</v>
      </c>
      <c r="H1617" s="14">
        <f t="shared" si="52"/>
        <v>2588.9299999999998</v>
      </c>
    </row>
    <row r="1618" spans="1:8" ht="55.2">
      <c r="A1618" s="502" t="s">
        <v>10585</v>
      </c>
      <c r="B1618" s="504" t="s">
        <v>10586</v>
      </c>
      <c r="C1618" s="502" t="s">
        <v>114</v>
      </c>
      <c r="D1618" s="503" t="s">
        <v>31310</v>
      </c>
      <c r="F1618" t="str">
        <f t="shared" si="51"/>
        <v>100371</v>
      </c>
      <c r="H1618" s="14">
        <f t="shared" si="52"/>
        <v>2978.56</v>
      </c>
    </row>
    <row r="1619" spans="1:8" ht="55.2">
      <c r="A1619" s="502" t="s">
        <v>10587</v>
      </c>
      <c r="B1619" s="504" t="s">
        <v>10588</v>
      </c>
      <c r="C1619" s="502" t="s">
        <v>114</v>
      </c>
      <c r="D1619" s="503" t="s">
        <v>31311</v>
      </c>
      <c r="F1619" t="str">
        <f t="shared" si="51"/>
        <v>100372</v>
      </c>
      <c r="H1619" s="14">
        <f t="shared" si="52"/>
        <v>3785.26</v>
      </c>
    </row>
    <row r="1620" spans="1:8" ht="55.2">
      <c r="A1620" s="502" t="s">
        <v>10589</v>
      </c>
      <c r="B1620" s="504" t="s">
        <v>10590</v>
      </c>
      <c r="C1620" s="502" t="s">
        <v>114</v>
      </c>
      <c r="D1620" s="503" t="s">
        <v>31312</v>
      </c>
      <c r="F1620" t="str">
        <f t="shared" si="51"/>
        <v>100373</v>
      </c>
      <c r="H1620" s="14">
        <f t="shared" si="52"/>
        <v>3909.62</v>
      </c>
    </row>
    <row r="1621" spans="1:8" ht="55.2">
      <c r="A1621" s="502" t="s">
        <v>10591</v>
      </c>
      <c r="B1621" s="504" t="s">
        <v>10592</v>
      </c>
      <c r="C1621" s="502" t="s">
        <v>114</v>
      </c>
      <c r="D1621" s="503" t="s">
        <v>31313</v>
      </c>
      <c r="F1621" t="str">
        <f t="shared" si="51"/>
        <v>100374</v>
      </c>
      <c r="H1621" s="14">
        <f t="shared" si="52"/>
        <v>4201.47</v>
      </c>
    </row>
    <row r="1622" spans="1:8" ht="55.2">
      <c r="A1622" s="502" t="s">
        <v>10593</v>
      </c>
      <c r="B1622" s="504" t="s">
        <v>10594</v>
      </c>
      <c r="C1622" s="502" t="s">
        <v>114</v>
      </c>
      <c r="D1622" s="503" t="s">
        <v>31314</v>
      </c>
      <c r="F1622" t="str">
        <f t="shared" si="51"/>
        <v>100375</v>
      </c>
      <c r="H1622" s="14">
        <f t="shared" si="52"/>
        <v>4754.4799999999996</v>
      </c>
    </row>
    <row r="1623" spans="1:8" ht="55.2">
      <c r="A1623" s="502" t="s">
        <v>10595</v>
      </c>
      <c r="B1623" s="504" t="s">
        <v>10596</v>
      </c>
      <c r="C1623" s="502" t="s">
        <v>114</v>
      </c>
      <c r="D1623" s="503" t="s">
        <v>31315</v>
      </c>
      <c r="F1623" t="str">
        <f t="shared" si="51"/>
        <v>100376</v>
      </c>
      <c r="H1623" s="14">
        <f t="shared" si="52"/>
        <v>4660.1000000000004</v>
      </c>
    </row>
    <row r="1624" spans="1:8" ht="55.2">
      <c r="A1624" s="502" t="s">
        <v>10597</v>
      </c>
      <c r="B1624" s="504" t="s">
        <v>11431</v>
      </c>
      <c r="C1624" s="502" t="s">
        <v>71</v>
      </c>
      <c r="D1624" s="503" t="s">
        <v>16432</v>
      </c>
      <c r="F1624" t="str">
        <f t="shared" si="51"/>
        <v>100377</v>
      </c>
      <c r="H1624" s="14">
        <f t="shared" si="52"/>
        <v>16.02</v>
      </c>
    </row>
    <row r="1625" spans="1:8" ht="41.4">
      <c r="A1625" s="502" t="s">
        <v>10598</v>
      </c>
      <c r="B1625" s="504" t="s">
        <v>11432</v>
      </c>
      <c r="C1625" s="502" t="s">
        <v>71</v>
      </c>
      <c r="D1625" s="503" t="s">
        <v>10286</v>
      </c>
      <c r="F1625" t="str">
        <f t="shared" si="51"/>
        <v>100378</v>
      </c>
      <c r="H1625" s="14">
        <f t="shared" si="52"/>
        <v>14.82</v>
      </c>
    </row>
    <row r="1626" spans="1:8" ht="69">
      <c r="A1626" s="502" t="s">
        <v>10599</v>
      </c>
      <c r="B1626" s="504" t="s">
        <v>10600</v>
      </c>
      <c r="C1626" s="502" t="s">
        <v>73</v>
      </c>
      <c r="D1626" s="503" t="s">
        <v>30308</v>
      </c>
      <c r="F1626" t="str">
        <f t="shared" si="51"/>
        <v>100382</v>
      </c>
      <c r="H1626" s="14">
        <f t="shared" si="52"/>
        <v>33.99</v>
      </c>
    </row>
    <row r="1627" spans="1:8" ht="55.2">
      <c r="A1627" s="502" t="s">
        <v>24064</v>
      </c>
      <c r="B1627" s="504" t="s">
        <v>24065</v>
      </c>
      <c r="C1627" s="502" t="s">
        <v>71</v>
      </c>
      <c r="D1627" s="503" t="s">
        <v>4220</v>
      </c>
      <c r="F1627" t="str">
        <f t="shared" si="51"/>
        <v>104314</v>
      </c>
      <c r="H1627" s="14">
        <f t="shared" si="52"/>
        <v>15.07</v>
      </c>
    </row>
    <row r="1628" spans="1:8" ht="41.4">
      <c r="A1628" s="502" t="s">
        <v>4217</v>
      </c>
      <c r="B1628" s="504" t="s">
        <v>10601</v>
      </c>
      <c r="C1628" s="502" t="s">
        <v>73</v>
      </c>
      <c r="D1628" s="503" t="s">
        <v>31316</v>
      </c>
      <c r="F1628" t="str">
        <f t="shared" si="51"/>
        <v>94444</v>
      </c>
      <c r="H1628" s="14">
        <f t="shared" si="52"/>
        <v>997.31</v>
      </c>
    </row>
    <row r="1629" spans="1:8" ht="27.6">
      <c r="A1629" s="502" t="s">
        <v>24066</v>
      </c>
      <c r="B1629" s="504" t="s">
        <v>24067</v>
      </c>
      <c r="C1629" s="502" t="s">
        <v>109</v>
      </c>
      <c r="D1629" s="503" t="s">
        <v>31317</v>
      </c>
      <c r="F1629" t="str">
        <f t="shared" si="51"/>
        <v>104482</v>
      </c>
      <c r="H1629" s="14">
        <f t="shared" si="52"/>
        <v>51.51</v>
      </c>
    </row>
    <row r="1630" spans="1:8" ht="41.4">
      <c r="A1630" s="502" t="s">
        <v>24068</v>
      </c>
      <c r="B1630" s="504" t="s">
        <v>24069</v>
      </c>
      <c r="C1630" s="502" t="s">
        <v>114</v>
      </c>
      <c r="D1630" s="503" t="s">
        <v>31318</v>
      </c>
      <c r="F1630" t="str">
        <f t="shared" si="51"/>
        <v>104184</v>
      </c>
      <c r="H1630" s="14">
        <f t="shared" si="52"/>
        <v>51.79</v>
      </c>
    </row>
    <row r="1631" spans="1:8" ht="55.2">
      <c r="A1631" s="502" t="s">
        <v>24070</v>
      </c>
      <c r="B1631" s="504" t="s">
        <v>24071</v>
      </c>
      <c r="C1631" s="502" t="s">
        <v>114</v>
      </c>
      <c r="D1631" s="503" t="s">
        <v>29216</v>
      </c>
      <c r="F1631" t="str">
        <f t="shared" si="51"/>
        <v>104185</v>
      </c>
      <c r="H1631" s="14">
        <f t="shared" si="52"/>
        <v>43.05</v>
      </c>
    </row>
    <row r="1632" spans="1:8" ht="41.4">
      <c r="A1632" s="502" t="s">
        <v>31319</v>
      </c>
      <c r="B1632" s="504" t="s">
        <v>31320</v>
      </c>
      <c r="C1632" s="502" t="s">
        <v>75</v>
      </c>
      <c r="D1632" s="503" t="s">
        <v>31321</v>
      </c>
      <c r="F1632" t="str">
        <f t="shared" si="51"/>
        <v>104186</v>
      </c>
      <c r="H1632" s="14">
        <f t="shared" si="52"/>
        <v>382.15</v>
      </c>
    </row>
    <row r="1633" spans="1:8" ht="55.2">
      <c r="A1633" s="502" t="s">
        <v>31322</v>
      </c>
      <c r="B1633" s="504" t="s">
        <v>31323</v>
      </c>
      <c r="C1633" s="502" t="s">
        <v>75</v>
      </c>
      <c r="D1633" s="503" t="s">
        <v>31324</v>
      </c>
      <c r="F1633" t="str">
        <f t="shared" si="51"/>
        <v>104187</v>
      </c>
      <c r="H1633" s="14">
        <f t="shared" si="52"/>
        <v>2254.19</v>
      </c>
    </row>
    <row r="1634" spans="1:8" ht="55.2">
      <c r="A1634" s="502" t="s">
        <v>24073</v>
      </c>
      <c r="B1634" s="504" t="s">
        <v>24074</v>
      </c>
      <c r="C1634" s="502" t="s">
        <v>83</v>
      </c>
      <c r="D1634" s="503" t="s">
        <v>31325</v>
      </c>
      <c r="F1634" t="str">
        <f t="shared" si="51"/>
        <v>104189</v>
      </c>
      <c r="H1634" s="14">
        <f t="shared" si="52"/>
        <v>182.07</v>
      </c>
    </row>
    <row r="1635" spans="1:8" ht="55.2">
      <c r="A1635" s="502" t="s">
        <v>24075</v>
      </c>
      <c r="B1635" s="504" t="s">
        <v>24076</v>
      </c>
      <c r="C1635" s="502" t="s">
        <v>114</v>
      </c>
      <c r="D1635" s="503" t="s">
        <v>31326</v>
      </c>
      <c r="F1635" t="str">
        <f t="shared" si="51"/>
        <v>104190</v>
      </c>
      <c r="H1635" s="14">
        <f t="shared" si="52"/>
        <v>1086.07</v>
      </c>
    </row>
    <row r="1636" spans="1:8" ht="41.4">
      <c r="A1636" s="502" t="s">
        <v>15859</v>
      </c>
      <c r="B1636" s="504" t="s">
        <v>15860</v>
      </c>
      <c r="C1636" s="502" t="s">
        <v>75</v>
      </c>
      <c r="D1636" s="503" t="s">
        <v>31327</v>
      </c>
      <c r="F1636" t="str">
        <f t="shared" si="51"/>
        <v>102661</v>
      </c>
      <c r="H1636" s="14">
        <f t="shared" si="52"/>
        <v>45.29</v>
      </c>
    </row>
    <row r="1637" spans="1:8" ht="41.4">
      <c r="A1637" s="502" t="s">
        <v>24077</v>
      </c>
      <c r="B1637" s="504" t="s">
        <v>24078</v>
      </c>
      <c r="C1637" s="502" t="s">
        <v>75</v>
      </c>
      <c r="D1637" s="503" t="s">
        <v>31328</v>
      </c>
      <c r="F1637" t="str">
        <f t="shared" si="51"/>
        <v>102662</v>
      </c>
      <c r="H1637" s="14">
        <f t="shared" si="52"/>
        <v>140.35</v>
      </c>
    </row>
    <row r="1638" spans="1:8" ht="41.4">
      <c r="A1638" s="502" t="s">
        <v>15861</v>
      </c>
      <c r="B1638" s="504" t="s">
        <v>15862</v>
      </c>
      <c r="C1638" s="502" t="s">
        <v>75</v>
      </c>
      <c r="D1638" s="503" t="s">
        <v>31329</v>
      </c>
      <c r="F1638" t="str">
        <f t="shared" si="51"/>
        <v>102663</v>
      </c>
      <c r="H1638" s="14">
        <f t="shared" si="52"/>
        <v>100.6</v>
      </c>
    </row>
    <row r="1639" spans="1:8" ht="41.4">
      <c r="A1639" s="502" t="s">
        <v>15863</v>
      </c>
      <c r="B1639" s="504" t="s">
        <v>15864</v>
      </c>
      <c r="C1639" s="502" t="s">
        <v>75</v>
      </c>
      <c r="D1639" s="503" t="s">
        <v>23216</v>
      </c>
      <c r="F1639" t="str">
        <f t="shared" si="51"/>
        <v>102664</v>
      </c>
      <c r="H1639" s="14">
        <f t="shared" si="52"/>
        <v>77.510000000000005</v>
      </c>
    </row>
    <row r="1640" spans="1:8" ht="27.6">
      <c r="A1640" s="502" t="s">
        <v>15865</v>
      </c>
      <c r="B1640" s="504" t="s">
        <v>15866</v>
      </c>
      <c r="C1640" s="502" t="s">
        <v>75</v>
      </c>
      <c r="D1640" s="503" t="s">
        <v>29865</v>
      </c>
      <c r="F1640" t="str">
        <f t="shared" si="51"/>
        <v>102665</v>
      </c>
      <c r="H1640" s="14">
        <f t="shared" si="52"/>
        <v>42.84</v>
      </c>
    </row>
    <row r="1641" spans="1:8" ht="55.2">
      <c r="A1641" s="502" t="s">
        <v>15867</v>
      </c>
      <c r="B1641" s="504" t="s">
        <v>15868</v>
      </c>
      <c r="C1641" s="502" t="s">
        <v>75</v>
      </c>
      <c r="D1641" s="503" t="s">
        <v>31330</v>
      </c>
      <c r="F1641" t="str">
        <f t="shared" si="51"/>
        <v>102666</v>
      </c>
      <c r="H1641" s="14">
        <f t="shared" si="52"/>
        <v>92.34</v>
      </c>
    </row>
    <row r="1642" spans="1:8" ht="55.2">
      <c r="A1642" s="502" t="s">
        <v>24079</v>
      </c>
      <c r="B1642" s="504" t="s">
        <v>24080</v>
      </c>
      <c r="C1642" s="502" t="s">
        <v>75</v>
      </c>
      <c r="D1642" s="503" t="s">
        <v>19962</v>
      </c>
      <c r="F1642" t="str">
        <f t="shared" si="51"/>
        <v>102668</v>
      </c>
      <c r="H1642" s="14">
        <f t="shared" si="52"/>
        <v>187.39</v>
      </c>
    </row>
    <row r="1643" spans="1:8" ht="55.2">
      <c r="A1643" s="502" t="s">
        <v>15869</v>
      </c>
      <c r="B1643" s="504" t="s">
        <v>15870</v>
      </c>
      <c r="C1643" s="502" t="s">
        <v>75</v>
      </c>
      <c r="D1643" s="503" t="s">
        <v>15614</v>
      </c>
      <c r="F1643" t="str">
        <f t="shared" si="51"/>
        <v>102669</v>
      </c>
      <c r="H1643" s="14">
        <f t="shared" si="52"/>
        <v>145.74</v>
      </c>
    </row>
    <row r="1644" spans="1:8" ht="41.4">
      <c r="A1644" s="502" t="s">
        <v>15871</v>
      </c>
      <c r="B1644" s="504" t="s">
        <v>15872</v>
      </c>
      <c r="C1644" s="502" t="s">
        <v>75</v>
      </c>
      <c r="D1644" s="503" t="s">
        <v>31331</v>
      </c>
      <c r="F1644" t="str">
        <f t="shared" si="51"/>
        <v>102670</v>
      </c>
      <c r="H1644" s="14">
        <f t="shared" si="52"/>
        <v>128.66999999999999</v>
      </c>
    </row>
    <row r="1645" spans="1:8" ht="55.2">
      <c r="A1645" s="502" t="s">
        <v>24081</v>
      </c>
      <c r="B1645" s="504" t="s">
        <v>24082</v>
      </c>
      <c r="C1645" s="502" t="s">
        <v>75</v>
      </c>
      <c r="D1645" s="503" t="s">
        <v>31332</v>
      </c>
      <c r="F1645" t="str">
        <f t="shared" si="51"/>
        <v>102672</v>
      </c>
      <c r="H1645" s="14">
        <f t="shared" si="52"/>
        <v>243.49</v>
      </c>
    </row>
    <row r="1646" spans="1:8" ht="41.4">
      <c r="A1646" s="502" t="s">
        <v>15873</v>
      </c>
      <c r="B1646" s="504" t="s">
        <v>15874</v>
      </c>
      <c r="C1646" s="502" t="s">
        <v>75</v>
      </c>
      <c r="D1646" s="503" t="s">
        <v>31333</v>
      </c>
      <c r="F1646" t="str">
        <f t="shared" si="51"/>
        <v>102673</v>
      </c>
      <c r="H1646" s="14">
        <f t="shared" si="52"/>
        <v>224.23</v>
      </c>
    </row>
    <row r="1647" spans="1:8" ht="41.4">
      <c r="A1647" s="502" t="s">
        <v>15876</v>
      </c>
      <c r="B1647" s="504" t="s">
        <v>15877</v>
      </c>
      <c r="C1647" s="502" t="s">
        <v>75</v>
      </c>
      <c r="D1647" s="503" t="s">
        <v>31334</v>
      </c>
      <c r="F1647" t="str">
        <f t="shared" si="51"/>
        <v>102674</v>
      </c>
      <c r="H1647" s="14">
        <f t="shared" si="52"/>
        <v>139.83000000000001</v>
      </c>
    </row>
    <row r="1648" spans="1:8" ht="41.4">
      <c r="A1648" s="502" t="s">
        <v>24083</v>
      </c>
      <c r="B1648" s="504" t="s">
        <v>24084</v>
      </c>
      <c r="C1648" s="502" t="s">
        <v>75</v>
      </c>
      <c r="D1648" s="503" t="s">
        <v>31335</v>
      </c>
      <c r="F1648" t="str">
        <f t="shared" si="51"/>
        <v>102676</v>
      </c>
      <c r="H1648" s="14">
        <f t="shared" si="52"/>
        <v>240.34</v>
      </c>
    </row>
    <row r="1649" spans="1:8" ht="41.4">
      <c r="A1649" s="502" t="s">
        <v>15878</v>
      </c>
      <c r="B1649" s="504" t="s">
        <v>15879</v>
      </c>
      <c r="C1649" s="502" t="s">
        <v>75</v>
      </c>
      <c r="D1649" s="503" t="s">
        <v>31336</v>
      </c>
      <c r="F1649" t="str">
        <f t="shared" si="51"/>
        <v>102677</v>
      </c>
      <c r="H1649" s="14">
        <f t="shared" si="52"/>
        <v>204.49</v>
      </c>
    </row>
    <row r="1650" spans="1:8" ht="41.4">
      <c r="A1650" s="502" t="s">
        <v>15880</v>
      </c>
      <c r="B1650" s="504" t="s">
        <v>15881</v>
      </c>
      <c r="C1650" s="502" t="s">
        <v>75</v>
      </c>
      <c r="D1650" s="503" t="s">
        <v>15375</v>
      </c>
      <c r="F1650" t="str">
        <f t="shared" si="51"/>
        <v>102678</v>
      </c>
      <c r="H1650" s="14">
        <f t="shared" si="52"/>
        <v>229.02</v>
      </c>
    </row>
    <row r="1651" spans="1:8" ht="41.4">
      <c r="A1651" s="502" t="s">
        <v>15882</v>
      </c>
      <c r="B1651" s="504" t="s">
        <v>15883</v>
      </c>
      <c r="C1651" s="502" t="s">
        <v>75</v>
      </c>
      <c r="D1651" s="503" t="s">
        <v>29957</v>
      </c>
      <c r="F1651" t="str">
        <f t="shared" si="51"/>
        <v>102679</v>
      </c>
      <c r="H1651" s="14">
        <f t="shared" si="52"/>
        <v>253.18</v>
      </c>
    </row>
    <row r="1652" spans="1:8" ht="55.2">
      <c r="A1652" s="502" t="s">
        <v>15884</v>
      </c>
      <c r="B1652" s="504" t="s">
        <v>15885</v>
      </c>
      <c r="C1652" s="502" t="s">
        <v>75</v>
      </c>
      <c r="D1652" s="503" t="s">
        <v>31337</v>
      </c>
      <c r="F1652" t="str">
        <f t="shared" si="51"/>
        <v>102680</v>
      </c>
      <c r="H1652" s="14">
        <f t="shared" si="52"/>
        <v>245.74</v>
      </c>
    </row>
    <row r="1653" spans="1:8" ht="55.2">
      <c r="A1653" s="502" t="s">
        <v>24085</v>
      </c>
      <c r="B1653" s="504" t="s">
        <v>24086</v>
      </c>
      <c r="C1653" s="502" t="s">
        <v>75</v>
      </c>
      <c r="D1653" s="503" t="s">
        <v>31338</v>
      </c>
      <c r="F1653" t="str">
        <f t="shared" si="51"/>
        <v>102681</v>
      </c>
      <c r="H1653" s="14">
        <f t="shared" si="52"/>
        <v>346.22</v>
      </c>
    </row>
    <row r="1654" spans="1:8" ht="55.2">
      <c r="A1654" s="502" t="s">
        <v>15886</v>
      </c>
      <c r="B1654" s="504" t="s">
        <v>15887</v>
      </c>
      <c r="C1654" s="502" t="s">
        <v>75</v>
      </c>
      <c r="D1654" s="503" t="s">
        <v>31339</v>
      </c>
      <c r="F1654" t="str">
        <f t="shared" si="51"/>
        <v>102683</v>
      </c>
      <c r="H1654" s="14">
        <f t="shared" si="52"/>
        <v>314.36</v>
      </c>
    </row>
    <row r="1655" spans="1:8" ht="41.4">
      <c r="A1655" s="502" t="s">
        <v>15888</v>
      </c>
      <c r="B1655" s="504" t="s">
        <v>15889</v>
      </c>
      <c r="C1655" s="502" t="s">
        <v>75</v>
      </c>
      <c r="D1655" s="503" t="s">
        <v>21331</v>
      </c>
      <c r="F1655" t="str">
        <f t="shared" si="51"/>
        <v>102684</v>
      </c>
      <c r="H1655" s="14">
        <f t="shared" si="52"/>
        <v>269.89999999999998</v>
      </c>
    </row>
    <row r="1656" spans="1:8" ht="55.2">
      <c r="A1656" s="525" t="s">
        <v>24087</v>
      </c>
      <c r="B1656" s="504" t="s">
        <v>24088</v>
      </c>
      <c r="C1656" s="502" t="s">
        <v>75</v>
      </c>
      <c r="D1656" s="503" t="s">
        <v>31340</v>
      </c>
      <c r="F1656" t="str">
        <f t="shared" si="51"/>
        <v>102685</v>
      </c>
      <c r="H1656" s="14">
        <f t="shared" si="52"/>
        <v>370.4</v>
      </c>
    </row>
    <row r="1657" spans="1:8" ht="41.4">
      <c r="A1657" s="525" t="s">
        <v>15890</v>
      </c>
      <c r="B1657" s="504" t="s">
        <v>15891</v>
      </c>
      <c r="C1657" s="502" t="s">
        <v>75</v>
      </c>
      <c r="D1657" s="503" t="s">
        <v>31341</v>
      </c>
      <c r="F1657" t="str">
        <f t="shared" si="51"/>
        <v>102687</v>
      </c>
      <c r="H1657" s="14">
        <f t="shared" si="52"/>
        <v>332.63</v>
      </c>
    </row>
    <row r="1658" spans="1:8" ht="55.2">
      <c r="A1658" s="502" t="s">
        <v>15892</v>
      </c>
      <c r="B1658" s="504" t="s">
        <v>28319</v>
      </c>
      <c r="C1658" s="502" t="s">
        <v>75</v>
      </c>
      <c r="D1658" s="503" t="s">
        <v>31342</v>
      </c>
      <c r="F1658" t="str">
        <f t="shared" si="51"/>
        <v>102688</v>
      </c>
      <c r="H1658" s="14">
        <f t="shared" si="52"/>
        <v>54.79</v>
      </c>
    </row>
    <row r="1659" spans="1:8" ht="55.2">
      <c r="A1659" s="502" t="s">
        <v>24089</v>
      </c>
      <c r="B1659" s="504" t="s">
        <v>28320</v>
      </c>
      <c r="C1659" s="502" t="s">
        <v>75</v>
      </c>
      <c r="D1659" s="503" t="s">
        <v>31343</v>
      </c>
      <c r="F1659" t="str">
        <f t="shared" si="51"/>
        <v>102689</v>
      </c>
      <c r="H1659" s="14">
        <f t="shared" si="52"/>
        <v>145.91</v>
      </c>
    </row>
    <row r="1660" spans="1:8" ht="55.2">
      <c r="A1660" s="541" t="s">
        <v>15893</v>
      </c>
      <c r="B1660" s="504" t="s">
        <v>15894</v>
      </c>
      <c r="C1660" s="502" t="s">
        <v>75</v>
      </c>
      <c r="D1660" s="503" t="s">
        <v>28539</v>
      </c>
      <c r="F1660" t="str">
        <f t="shared" si="51"/>
        <v>102690</v>
      </c>
      <c r="H1660" s="14">
        <f t="shared" si="52"/>
        <v>101.83</v>
      </c>
    </row>
    <row r="1661" spans="1:8" ht="55.2">
      <c r="A1661" s="541" t="s">
        <v>24090</v>
      </c>
      <c r="B1661" s="504" t="s">
        <v>28322</v>
      </c>
      <c r="C1661" s="502" t="s">
        <v>75</v>
      </c>
      <c r="D1661" s="503" t="s">
        <v>31344</v>
      </c>
      <c r="F1661" t="str">
        <f t="shared" si="51"/>
        <v>102693</v>
      </c>
      <c r="H1661" s="14">
        <f t="shared" si="52"/>
        <v>192.95</v>
      </c>
    </row>
    <row r="1662" spans="1:8" ht="55.2">
      <c r="A1662" s="541" t="s">
        <v>15895</v>
      </c>
      <c r="B1662" s="504" t="s">
        <v>28323</v>
      </c>
      <c r="C1662" s="502" t="s">
        <v>75</v>
      </c>
      <c r="D1662" s="503" t="s">
        <v>31345</v>
      </c>
      <c r="F1662" t="str">
        <f t="shared" si="51"/>
        <v>102694</v>
      </c>
      <c r="H1662" s="14">
        <f t="shared" si="52"/>
        <v>99.36</v>
      </c>
    </row>
    <row r="1663" spans="1:8" ht="55.2">
      <c r="A1663" s="502" t="s">
        <v>24091</v>
      </c>
      <c r="B1663" s="504" t="s">
        <v>28324</v>
      </c>
      <c r="C1663" s="502" t="s">
        <v>75</v>
      </c>
      <c r="D1663" s="503" t="s">
        <v>31346</v>
      </c>
      <c r="F1663" t="str">
        <f t="shared" si="51"/>
        <v>102696</v>
      </c>
      <c r="H1663" s="14">
        <f t="shared" si="52"/>
        <v>190.25</v>
      </c>
    </row>
    <row r="1664" spans="1:8" ht="55.2">
      <c r="A1664" s="502" t="s">
        <v>15896</v>
      </c>
      <c r="B1664" s="504" t="s">
        <v>28325</v>
      </c>
      <c r="C1664" s="502" t="s">
        <v>75</v>
      </c>
      <c r="D1664" s="503" t="s">
        <v>30286</v>
      </c>
      <c r="F1664" t="str">
        <f t="shared" si="51"/>
        <v>102697</v>
      </c>
      <c r="H1664" s="14">
        <f t="shared" si="52"/>
        <v>178.89</v>
      </c>
    </row>
    <row r="1665" spans="1:8" ht="55.2">
      <c r="A1665" s="502" t="s">
        <v>24092</v>
      </c>
      <c r="B1665" s="504" t="s">
        <v>28326</v>
      </c>
      <c r="C1665" s="502" t="s">
        <v>75</v>
      </c>
      <c r="D1665" s="503" t="s">
        <v>31347</v>
      </c>
      <c r="F1665" t="str">
        <f t="shared" si="51"/>
        <v>102703</v>
      </c>
      <c r="H1665" s="14">
        <f t="shared" si="52"/>
        <v>269.8</v>
      </c>
    </row>
    <row r="1666" spans="1:8" ht="27.6">
      <c r="A1666" s="502" t="s">
        <v>15897</v>
      </c>
      <c r="B1666" s="504" t="s">
        <v>15898</v>
      </c>
      <c r="C1666" s="502" t="s">
        <v>75</v>
      </c>
      <c r="D1666" s="503" t="s">
        <v>11698</v>
      </c>
      <c r="F1666" t="str">
        <f t="shared" si="51"/>
        <v>102704</v>
      </c>
      <c r="H1666" s="14">
        <f t="shared" si="52"/>
        <v>16.32</v>
      </c>
    </row>
    <row r="1667" spans="1:8" ht="41.4">
      <c r="A1667" s="502" t="s">
        <v>24093</v>
      </c>
      <c r="B1667" s="504" t="s">
        <v>24094</v>
      </c>
      <c r="C1667" s="502" t="s">
        <v>75</v>
      </c>
      <c r="D1667" s="503" t="s">
        <v>31348</v>
      </c>
      <c r="F1667" t="str">
        <f t="shared" si="51"/>
        <v>102705</v>
      </c>
      <c r="H1667" s="14">
        <f t="shared" si="52"/>
        <v>105.67</v>
      </c>
    </row>
    <row r="1668" spans="1:8" ht="27.6">
      <c r="A1668" s="502" t="s">
        <v>15899</v>
      </c>
      <c r="B1668" s="504" t="s">
        <v>15900</v>
      </c>
      <c r="C1668" s="502" t="s">
        <v>75</v>
      </c>
      <c r="D1668" s="503" t="s">
        <v>31349</v>
      </c>
      <c r="F1668" t="str">
        <f t="shared" si="51"/>
        <v>102707</v>
      </c>
      <c r="H1668" s="14">
        <f t="shared" si="52"/>
        <v>76.290000000000006</v>
      </c>
    </row>
    <row r="1669" spans="1:8" ht="41.4">
      <c r="A1669" s="502" t="s">
        <v>15901</v>
      </c>
      <c r="B1669" s="504" t="s">
        <v>15902</v>
      </c>
      <c r="C1669" s="502" t="s">
        <v>114</v>
      </c>
      <c r="D1669" s="503" t="s">
        <v>31350</v>
      </c>
      <c r="F1669" t="str">
        <f t="shared" ref="F1669:F1732" si="53">TRIM(A1669)</f>
        <v>102708</v>
      </c>
      <c r="H1669" s="14">
        <f t="shared" ref="H1669:H1732" si="54">ROUND(D1669*(1+$H$1),2)</f>
        <v>37.39</v>
      </c>
    </row>
    <row r="1670" spans="1:8" ht="41.4">
      <c r="A1670" s="502" t="s">
        <v>15903</v>
      </c>
      <c r="B1670" s="504" t="s">
        <v>15904</v>
      </c>
      <c r="C1670" s="502" t="s">
        <v>114</v>
      </c>
      <c r="D1670" s="503" t="s">
        <v>31351</v>
      </c>
      <c r="F1670" t="str">
        <f t="shared" si="53"/>
        <v>102710</v>
      </c>
      <c r="H1670" s="14">
        <f t="shared" si="54"/>
        <v>93.5</v>
      </c>
    </row>
    <row r="1671" spans="1:8" ht="41.4">
      <c r="A1671" s="502" t="s">
        <v>15905</v>
      </c>
      <c r="B1671" s="504" t="s">
        <v>15906</v>
      </c>
      <c r="C1671" s="502" t="s">
        <v>114</v>
      </c>
      <c r="D1671" s="503" t="s">
        <v>15626</v>
      </c>
      <c r="F1671" t="str">
        <f t="shared" si="53"/>
        <v>102711</v>
      </c>
      <c r="H1671" s="14">
        <f t="shared" si="54"/>
        <v>124.11</v>
      </c>
    </row>
    <row r="1672" spans="1:8" ht="41.4">
      <c r="A1672" s="502" t="s">
        <v>15907</v>
      </c>
      <c r="B1672" s="504" t="s">
        <v>15908</v>
      </c>
      <c r="C1672" s="502" t="s">
        <v>73</v>
      </c>
      <c r="D1672" s="503" t="s">
        <v>25186</v>
      </c>
      <c r="F1672" t="str">
        <f t="shared" si="53"/>
        <v>102712</v>
      </c>
      <c r="H1672" s="14">
        <f t="shared" si="54"/>
        <v>13.5</v>
      </c>
    </row>
    <row r="1673" spans="1:8" ht="41.4">
      <c r="A1673" s="502" t="s">
        <v>15909</v>
      </c>
      <c r="B1673" s="504" t="s">
        <v>15910</v>
      </c>
      <c r="C1673" s="502" t="s">
        <v>73</v>
      </c>
      <c r="D1673" s="503" t="s">
        <v>9967</v>
      </c>
      <c r="F1673" t="str">
        <f t="shared" si="53"/>
        <v>102713</v>
      </c>
      <c r="H1673" s="14">
        <f t="shared" si="54"/>
        <v>18.55</v>
      </c>
    </row>
    <row r="1674" spans="1:8" ht="41.4">
      <c r="A1674" s="502" t="s">
        <v>15911</v>
      </c>
      <c r="B1674" s="504" t="s">
        <v>15912</v>
      </c>
      <c r="C1674" s="502" t="s">
        <v>73</v>
      </c>
      <c r="D1674" s="503" t="s">
        <v>31352</v>
      </c>
      <c r="F1674" t="str">
        <f t="shared" si="53"/>
        <v>102715</v>
      </c>
      <c r="H1674" s="14">
        <f t="shared" si="54"/>
        <v>36.68</v>
      </c>
    </row>
    <row r="1675" spans="1:8" ht="27.6">
      <c r="A1675" s="502" t="s">
        <v>15913</v>
      </c>
      <c r="B1675" s="504" t="s">
        <v>15914</v>
      </c>
      <c r="C1675" s="502" t="s">
        <v>83</v>
      </c>
      <c r="D1675" s="503" t="s">
        <v>31353</v>
      </c>
      <c r="F1675" t="str">
        <f t="shared" si="53"/>
        <v>102716</v>
      </c>
      <c r="H1675" s="14">
        <f t="shared" si="54"/>
        <v>160.79</v>
      </c>
    </row>
    <row r="1676" spans="1:8" ht="27.6">
      <c r="A1676" s="502" t="s">
        <v>15915</v>
      </c>
      <c r="B1676" s="504" t="s">
        <v>15916</v>
      </c>
      <c r="C1676" s="502" t="s">
        <v>83</v>
      </c>
      <c r="D1676" s="503" t="s">
        <v>30853</v>
      </c>
      <c r="F1676" t="str">
        <f t="shared" si="53"/>
        <v>102717</v>
      </c>
      <c r="H1676" s="14">
        <f t="shared" si="54"/>
        <v>242.26</v>
      </c>
    </row>
    <row r="1677" spans="1:8" ht="27.6">
      <c r="A1677" s="502" t="s">
        <v>15917</v>
      </c>
      <c r="B1677" s="504" t="s">
        <v>15918</v>
      </c>
      <c r="C1677" s="502" t="s">
        <v>83</v>
      </c>
      <c r="D1677" s="503" t="s">
        <v>31354</v>
      </c>
      <c r="F1677" t="str">
        <f t="shared" si="53"/>
        <v>102718</v>
      </c>
      <c r="H1677" s="14">
        <f t="shared" si="54"/>
        <v>174.56</v>
      </c>
    </row>
    <row r="1678" spans="1:8" ht="27.6">
      <c r="A1678" s="502" t="s">
        <v>15919</v>
      </c>
      <c r="B1678" s="504" t="s">
        <v>15920</v>
      </c>
      <c r="C1678" s="502" t="s">
        <v>83</v>
      </c>
      <c r="D1678" s="503" t="s">
        <v>31355</v>
      </c>
      <c r="F1678" t="str">
        <f t="shared" si="53"/>
        <v>102719</v>
      </c>
      <c r="H1678" s="14">
        <f t="shared" si="54"/>
        <v>256.02999999999997</v>
      </c>
    </row>
    <row r="1679" spans="1:8" ht="55.2">
      <c r="A1679" s="502" t="s">
        <v>15921</v>
      </c>
      <c r="B1679" s="504" t="s">
        <v>15922</v>
      </c>
      <c r="C1679" s="502" t="s">
        <v>75</v>
      </c>
      <c r="D1679" s="503" t="s">
        <v>31356</v>
      </c>
      <c r="F1679" t="str">
        <f t="shared" si="53"/>
        <v>102722</v>
      </c>
      <c r="H1679" s="14">
        <f t="shared" si="54"/>
        <v>81.760000000000005</v>
      </c>
    </row>
    <row r="1680" spans="1:8" ht="55.2">
      <c r="A1680" s="502" t="s">
        <v>15923</v>
      </c>
      <c r="B1680" s="504" t="s">
        <v>28330</v>
      </c>
      <c r="C1680" s="502" t="s">
        <v>75</v>
      </c>
      <c r="D1680" s="503" t="s">
        <v>31357</v>
      </c>
      <c r="F1680" t="str">
        <f t="shared" si="53"/>
        <v>102723</v>
      </c>
      <c r="H1680" s="14">
        <f t="shared" si="54"/>
        <v>171.11</v>
      </c>
    </row>
    <row r="1681" spans="1:8" ht="27.6">
      <c r="A1681" s="502" t="s">
        <v>15924</v>
      </c>
      <c r="B1681" s="504" t="s">
        <v>15925</v>
      </c>
      <c r="C1681" s="502" t="s">
        <v>114</v>
      </c>
      <c r="D1681" s="503" t="s">
        <v>15303</v>
      </c>
      <c r="F1681" t="str">
        <f t="shared" si="53"/>
        <v>102724</v>
      </c>
      <c r="H1681" s="14">
        <f t="shared" si="54"/>
        <v>46.58</v>
      </c>
    </row>
    <row r="1682" spans="1:8" ht="27.6">
      <c r="A1682" s="502" t="s">
        <v>15926</v>
      </c>
      <c r="B1682" s="504" t="s">
        <v>15927</v>
      </c>
      <c r="C1682" s="502" t="s">
        <v>114</v>
      </c>
      <c r="D1682" s="503" t="s">
        <v>28488</v>
      </c>
      <c r="F1682" t="str">
        <f t="shared" si="53"/>
        <v>102725</v>
      </c>
      <c r="H1682" s="14">
        <f t="shared" si="54"/>
        <v>45.57</v>
      </c>
    </row>
    <row r="1683" spans="1:8" ht="27.6">
      <c r="A1683" s="502" t="s">
        <v>15928</v>
      </c>
      <c r="B1683" s="504" t="s">
        <v>15929</v>
      </c>
      <c r="C1683" s="502" t="s">
        <v>114</v>
      </c>
      <c r="D1683" s="503" t="s">
        <v>31358</v>
      </c>
      <c r="F1683" t="str">
        <f t="shared" si="53"/>
        <v>102726</v>
      </c>
      <c r="H1683" s="14">
        <f t="shared" si="54"/>
        <v>42.32</v>
      </c>
    </row>
    <row r="1684" spans="1:8" ht="41.4">
      <c r="A1684" s="502" t="s">
        <v>24095</v>
      </c>
      <c r="B1684" s="504" t="s">
        <v>24096</v>
      </c>
      <c r="C1684" s="502" t="s">
        <v>73</v>
      </c>
      <c r="D1684" s="503" t="s">
        <v>31359</v>
      </c>
      <c r="F1684" t="str">
        <f t="shared" si="53"/>
        <v>103653</v>
      </c>
      <c r="H1684" s="14">
        <f t="shared" si="54"/>
        <v>43.81</v>
      </c>
    </row>
    <row r="1685" spans="1:8" ht="55.2">
      <c r="A1685" s="502" t="s">
        <v>4223</v>
      </c>
      <c r="B1685" s="504" t="s">
        <v>28333</v>
      </c>
      <c r="C1685" s="502" t="s">
        <v>83</v>
      </c>
      <c r="D1685" s="503" t="s">
        <v>31360</v>
      </c>
      <c r="F1685" t="str">
        <f t="shared" si="53"/>
        <v>92743</v>
      </c>
      <c r="H1685" s="14">
        <f t="shared" si="54"/>
        <v>1074.07</v>
      </c>
    </row>
    <row r="1686" spans="1:8" ht="55.2">
      <c r="A1686" s="502" t="s">
        <v>4224</v>
      </c>
      <c r="B1686" s="504" t="s">
        <v>28334</v>
      </c>
      <c r="C1686" s="502" t="s">
        <v>83</v>
      </c>
      <c r="D1686" s="503" t="s">
        <v>31361</v>
      </c>
      <c r="F1686" t="str">
        <f t="shared" si="53"/>
        <v>92744</v>
      </c>
      <c r="H1686" s="14">
        <f t="shared" si="54"/>
        <v>1028.78</v>
      </c>
    </row>
    <row r="1687" spans="1:8" ht="69">
      <c r="A1687" s="502" t="s">
        <v>4225</v>
      </c>
      <c r="B1687" s="504" t="s">
        <v>28335</v>
      </c>
      <c r="C1687" s="502" t="s">
        <v>83</v>
      </c>
      <c r="D1687" s="503" t="s">
        <v>31362</v>
      </c>
      <c r="F1687" t="str">
        <f t="shared" si="53"/>
        <v>92745</v>
      </c>
      <c r="H1687" s="14">
        <f t="shared" si="54"/>
        <v>1305.1199999999999</v>
      </c>
    </row>
    <row r="1688" spans="1:8" ht="69">
      <c r="A1688" s="502" t="s">
        <v>4226</v>
      </c>
      <c r="B1688" s="504" t="s">
        <v>28336</v>
      </c>
      <c r="C1688" s="502" t="s">
        <v>83</v>
      </c>
      <c r="D1688" s="503" t="s">
        <v>31363</v>
      </c>
      <c r="F1688" t="str">
        <f t="shared" si="53"/>
        <v>92746</v>
      </c>
      <c r="H1688" s="14">
        <f t="shared" si="54"/>
        <v>1210.7</v>
      </c>
    </row>
    <row r="1689" spans="1:8" ht="69">
      <c r="A1689" s="502" t="s">
        <v>4227</v>
      </c>
      <c r="B1689" s="504" t="s">
        <v>28337</v>
      </c>
      <c r="C1689" s="502" t="s">
        <v>83</v>
      </c>
      <c r="D1689" s="503" t="s">
        <v>31364</v>
      </c>
      <c r="F1689" t="str">
        <f t="shared" si="53"/>
        <v>92747</v>
      </c>
      <c r="H1689" s="14">
        <f t="shared" si="54"/>
        <v>1447.27</v>
      </c>
    </row>
    <row r="1690" spans="1:8" ht="69">
      <c r="A1690" s="502" t="s">
        <v>4228</v>
      </c>
      <c r="B1690" s="504" t="s">
        <v>28338</v>
      </c>
      <c r="C1690" s="502" t="s">
        <v>83</v>
      </c>
      <c r="D1690" s="503" t="s">
        <v>31365</v>
      </c>
      <c r="F1690" t="str">
        <f t="shared" si="53"/>
        <v>92748</v>
      </c>
      <c r="H1690" s="14">
        <f t="shared" si="54"/>
        <v>1319.75</v>
      </c>
    </row>
    <row r="1691" spans="1:8" ht="55.2">
      <c r="A1691" s="502" t="s">
        <v>4229</v>
      </c>
      <c r="B1691" s="504" t="s">
        <v>28339</v>
      </c>
      <c r="C1691" s="502" t="s">
        <v>83</v>
      </c>
      <c r="D1691" s="503" t="s">
        <v>31366</v>
      </c>
      <c r="F1691" t="str">
        <f t="shared" si="53"/>
        <v>92749</v>
      </c>
      <c r="H1691" s="14">
        <f t="shared" si="54"/>
        <v>1540.06</v>
      </c>
    </row>
    <row r="1692" spans="1:8" ht="55.2">
      <c r="A1692" s="502" t="s">
        <v>4230</v>
      </c>
      <c r="B1692" s="504" t="s">
        <v>28340</v>
      </c>
      <c r="C1692" s="502" t="s">
        <v>83</v>
      </c>
      <c r="D1692" s="503" t="s">
        <v>31367</v>
      </c>
      <c r="F1692" t="str">
        <f t="shared" si="53"/>
        <v>92750</v>
      </c>
      <c r="H1692" s="14">
        <f t="shared" si="54"/>
        <v>2579.85</v>
      </c>
    </row>
    <row r="1693" spans="1:8" ht="55.2">
      <c r="A1693" s="502" t="s">
        <v>4231</v>
      </c>
      <c r="B1693" s="504" t="s">
        <v>28341</v>
      </c>
      <c r="C1693" s="502" t="s">
        <v>83</v>
      </c>
      <c r="D1693" s="503" t="s">
        <v>31368</v>
      </c>
      <c r="F1693" t="str">
        <f t="shared" si="53"/>
        <v>92751</v>
      </c>
      <c r="H1693" s="14">
        <f t="shared" si="54"/>
        <v>3188.11</v>
      </c>
    </row>
    <row r="1694" spans="1:8" ht="55.2">
      <c r="A1694" s="502" t="s">
        <v>4232</v>
      </c>
      <c r="B1694" s="504" t="s">
        <v>28342</v>
      </c>
      <c r="C1694" s="502" t="s">
        <v>83</v>
      </c>
      <c r="D1694" s="503" t="s">
        <v>31369</v>
      </c>
      <c r="F1694" t="str">
        <f t="shared" si="53"/>
        <v>92752</v>
      </c>
      <c r="H1694" s="14">
        <f t="shared" si="54"/>
        <v>3792.81</v>
      </c>
    </row>
    <row r="1695" spans="1:8" ht="69">
      <c r="A1695" s="502" t="s">
        <v>4233</v>
      </c>
      <c r="B1695" s="504" t="s">
        <v>28343</v>
      </c>
      <c r="C1695" s="502" t="s">
        <v>83</v>
      </c>
      <c r="D1695" s="503" t="s">
        <v>31370</v>
      </c>
      <c r="F1695" t="str">
        <f t="shared" si="53"/>
        <v>92753</v>
      </c>
      <c r="H1695" s="14">
        <f t="shared" si="54"/>
        <v>985.94</v>
      </c>
    </row>
    <row r="1696" spans="1:8" ht="69">
      <c r="A1696" s="502" t="s">
        <v>4234</v>
      </c>
      <c r="B1696" s="504" t="s">
        <v>28344</v>
      </c>
      <c r="C1696" s="502" t="s">
        <v>83</v>
      </c>
      <c r="D1696" s="503" t="s">
        <v>31371</v>
      </c>
      <c r="F1696" t="str">
        <f t="shared" si="53"/>
        <v>92754</v>
      </c>
      <c r="H1696" s="14">
        <f t="shared" si="54"/>
        <v>958.41</v>
      </c>
    </row>
    <row r="1697" spans="1:8" ht="55.2">
      <c r="A1697" s="502" t="s">
        <v>4235</v>
      </c>
      <c r="B1697" s="504" t="s">
        <v>28345</v>
      </c>
      <c r="C1697" s="502" t="s">
        <v>73</v>
      </c>
      <c r="D1697" s="503" t="s">
        <v>31372</v>
      </c>
      <c r="F1697" t="str">
        <f t="shared" si="53"/>
        <v>92755</v>
      </c>
      <c r="H1697" s="14">
        <f t="shared" si="54"/>
        <v>390.61</v>
      </c>
    </row>
    <row r="1698" spans="1:8" ht="55.2">
      <c r="A1698" s="502" t="s">
        <v>4236</v>
      </c>
      <c r="B1698" s="504" t="s">
        <v>28346</v>
      </c>
      <c r="C1698" s="502" t="s">
        <v>73</v>
      </c>
      <c r="D1698" s="503" t="s">
        <v>31373</v>
      </c>
      <c r="F1698" t="str">
        <f t="shared" si="53"/>
        <v>92756</v>
      </c>
      <c r="H1698" s="14">
        <f t="shared" si="54"/>
        <v>447.57</v>
      </c>
    </row>
    <row r="1699" spans="1:8" ht="55.2">
      <c r="A1699" s="502" t="s">
        <v>4237</v>
      </c>
      <c r="B1699" s="504" t="s">
        <v>28347</v>
      </c>
      <c r="C1699" s="502" t="s">
        <v>73</v>
      </c>
      <c r="D1699" s="503" t="s">
        <v>31374</v>
      </c>
      <c r="F1699" t="str">
        <f t="shared" si="53"/>
        <v>92757</v>
      </c>
      <c r="H1699" s="14">
        <f t="shared" si="54"/>
        <v>515.96</v>
      </c>
    </row>
    <row r="1700" spans="1:8" ht="55.2">
      <c r="A1700" s="502" t="s">
        <v>4238</v>
      </c>
      <c r="B1700" s="504" t="s">
        <v>28348</v>
      </c>
      <c r="C1700" s="502" t="s">
        <v>83</v>
      </c>
      <c r="D1700" s="503" t="s">
        <v>31375</v>
      </c>
      <c r="F1700" t="str">
        <f t="shared" si="53"/>
        <v>92758</v>
      </c>
      <c r="H1700" s="14">
        <f t="shared" si="54"/>
        <v>1147.26</v>
      </c>
    </row>
    <row r="1701" spans="1:8" ht="69">
      <c r="A1701" s="502" t="s">
        <v>4239</v>
      </c>
      <c r="B1701" s="504" t="s">
        <v>28349</v>
      </c>
      <c r="C1701" s="502" t="s">
        <v>73</v>
      </c>
      <c r="D1701" s="503" t="s">
        <v>31376</v>
      </c>
      <c r="F1701" t="str">
        <f t="shared" si="53"/>
        <v>91069</v>
      </c>
      <c r="H1701" s="14">
        <f t="shared" si="54"/>
        <v>276.41000000000003</v>
      </c>
    </row>
    <row r="1702" spans="1:8" ht="69">
      <c r="A1702" s="502" t="s">
        <v>4240</v>
      </c>
      <c r="B1702" s="504" t="s">
        <v>28350</v>
      </c>
      <c r="C1702" s="502" t="s">
        <v>73</v>
      </c>
      <c r="D1702" s="503" t="s">
        <v>31377</v>
      </c>
      <c r="F1702" t="str">
        <f t="shared" si="53"/>
        <v>91070</v>
      </c>
      <c r="H1702" s="14">
        <f t="shared" si="54"/>
        <v>290.31</v>
      </c>
    </row>
    <row r="1703" spans="1:8" ht="55.2">
      <c r="A1703" s="502" t="s">
        <v>4241</v>
      </c>
      <c r="B1703" s="504" t="s">
        <v>28351</v>
      </c>
      <c r="C1703" s="502" t="s">
        <v>73</v>
      </c>
      <c r="D1703" s="503" t="s">
        <v>31378</v>
      </c>
      <c r="F1703" t="str">
        <f t="shared" si="53"/>
        <v>91071</v>
      </c>
      <c r="H1703" s="14">
        <f t="shared" si="54"/>
        <v>459.77</v>
      </c>
    </row>
    <row r="1704" spans="1:8" ht="55.2">
      <c r="A1704" s="502" t="s">
        <v>4242</v>
      </c>
      <c r="B1704" s="504" t="s">
        <v>28352</v>
      </c>
      <c r="C1704" s="502" t="s">
        <v>73</v>
      </c>
      <c r="D1704" s="503" t="s">
        <v>31379</v>
      </c>
      <c r="F1704" t="str">
        <f t="shared" si="53"/>
        <v>91072</v>
      </c>
      <c r="H1704" s="14">
        <f t="shared" si="54"/>
        <v>470.25</v>
      </c>
    </row>
    <row r="1705" spans="1:8" ht="69">
      <c r="A1705" s="502" t="s">
        <v>4243</v>
      </c>
      <c r="B1705" s="504" t="s">
        <v>28353</v>
      </c>
      <c r="C1705" s="502" t="s">
        <v>73</v>
      </c>
      <c r="D1705" s="503" t="s">
        <v>31380</v>
      </c>
      <c r="F1705" t="str">
        <f t="shared" si="53"/>
        <v>91073</v>
      </c>
      <c r="H1705" s="14">
        <f t="shared" si="54"/>
        <v>363.49</v>
      </c>
    </row>
    <row r="1706" spans="1:8" ht="69">
      <c r="A1706" s="502" t="s">
        <v>4244</v>
      </c>
      <c r="B1706" s="504" t="s">
        <v>28355</v>
      </c>
      <c r="C1706" s="502" t="s">
        <v>73</v>
      </c>
      <c r="D1706" s="503" t="s">
        <v>31381</v>
      </c>
      <c r="F1706" t="str">
        <f t="shared" si="53"/>
        <v>91074</v>
      </c>
      <c r="H1706" s="14">
        <f t="shared" si="54"/>
        <v>341.71</v>
      </c>
    </row>
    <row r="1707" spans="1:8" ht="55.2">
      <c r="A1707" s="502" t="s">
        <v>4245</v>
      </c>
      <c r="B1707" s="504" t="s">
        <v>28356</v>
      </c>
      <c r="C1707" s="502" t="s">
        <v>73</v>
      </c>
      <c r="D1707" s="503" t="s">
        <v>31382</v>
      </c>
      <c r="F1707" t="str">
        <f t="shared" si="53"/>
        <v>91075</v>
      </c>
      <c r="H1707" s="14">
        <f t="shared" si="54"/>
        <v>588.86</v>
      </c>
    </row>
    <row r="1708" spans="1:8" ht="55.2">
      <c r="A1708" s="502" t="s">
        <v>4246</v>
      </c>
      <c r="B1708" s="504" t="s">
        <v>28357</v>
      </c>
      <c r="C1708" s="502" t="s">
        <v>73</v>
      </c>
      <c r="D1708" s="503" t="s">
        <v>31383</v>
      </c>
      <c r="F1708" t="str">
        <f t="shared" si="53"/>
        <v>91076</v>
      </c>
      <c r="H1708" s="14">
        <f t="shared" si="54"/>
        <v>537.16</v>
      </c>
    </row>
    <row r="1709" spans="1:8" ht="69">
      <c r="A1709" s="502" t="s">
        <v>4247</v>
      </c>
      <c r="B1709" s="504" t="s">
        <v>28358</v>
      </c>
      <c r="C1709" s="502" t="s">
        <v>73</v>
      </c>
      <c r="D1709" s="503" t="s">
        <v>31384</v>
      </c>
      <c r="F1709" t="str">
        <f t="shared" si="53"/>
        <v>91077</v>
      </c>
      <c r="H1709" s="14">
        <f t="shared" si="54"/>
        <v>247.01</v>
      </c>
    </row>
    <row r="1710" spans="1:8" ht="69">
      <c r="A1710" s="502" t="s">
        <v>4248</v>
      </c>
      <c r="B1710" s="504" t="s">
        <v>28359</v>
      </c>
      <c r="C1710" s="502" t="s">
        <v>73</v>
      </c>
      <c r="D1710" s="503" t="s">
        <v>31385</v>
      </c>
      <c r="F1710" t="str">
        <f t="shared" si="53"/>
        <v>91078</v>
      </c>
      <c r="H1710" s="14">
        <f t="shared" si="54"/>
        <v>268.13</v>
      </c>
    </row>
    <row r="1711" spans="1:8" ht="69">
      <c r="A1711" s="502" t="s">
        <v>4249</v>
      </c>
      <c r="B1711" s="504" t="s">
        <v>28360</v>
      </c>
      <c r="C1711" s="502" t="s">
        <v>73</v>
      </c>
      <c r="D1711" s="503" t="s">
        <v>31386</v>
      </c>
      <c r="F1711" t="str">
        <f t="shared" si="53"/>
        <v>91079</v>
      </c>
      <c r="H1711" s="14">
        <f t="shared" si="54"/>
        <v>270.48</v>
      </c>
    </row>
    <row r="1712" spans="1:8" ht="69">
      <c r="A1712" s="502" t="s">
        <v>4250</v>
      </c>
      <c r="B1712" s="504" t="s">
        <v>28361</v>
      </c>
      <c r="C1712" s="502" t="s">
        <v>73</v>
      </c>
      <c r="D1712" s="503" t="s">
        <v>31387</v>
      </c>
      <c r="F1712" t="str">
        <f t="shared" si="53"/>
        <v>91080</v>
      </c>
      <c r="H1712" s="14">
        <f t="shared" si="54"/>
        <v>286.10000000000002</v>
      </c>
    </row>
    <row r="1713" spans="1:8" ht="69">
      <c r="A1713" s="502" t="s">
        <v>4251</v>
      </c>
      <c r="B1713" s="504" t="s">
        <v>28362</v>
      </c>
      <c r="C1713" s="502" t="s">
        <v>73</v>
      </c>
      <c r="D1713" s="503" t="s">
        <v>31388</v>
      </c>
      <c r="F1713" t="str">
        <f t="shared" si="53"/>
        <v>91081</v>
      </c>
      <c r="H1713" s="14">
        <f t="shared" si="54"/>
        <v>370.53</v>
      </c>
    </row>
    <row r="1714" spans="1:8" ht="69">
      <c r="A1714" s="502" t="s">
        <v>4252</v>
      </c>
      <c r="B1714" s="504" t="s">
        <v>28363</v>
      </c>
      <c r="C1714" s="502" t="s">
        <v>73</v>
      </c>
      <c r="D1714" s="503" t="s">
        <v>31389</v>
      </c>
      <c r="F1714" t="str">
        <f t="shared" si="53"/>
        <v>91082</v>
      </c>
      <c r="H1714" s="14">
        <f t="shared" si="54"/>
        <v>331.59</v>
      </c>
    </row>
    <row r="1715" spans="1:8" ht="69">
      <c r="A1715" s="502" t="s">
        <v>4253</v>
      </c>
      <c r="B1715" s="504" t="s">
        <v>28364</v>
      </c>
      <c r="C1715" s="502" t="s">
        <v>73</v>
      </c>
      <c r="D1715" s="503" t="s">
        <v>31390</v>
      </c>
      <c r="F1715" t="str">
        <f t="shared" si="53"/>
        <v>91083</v>
      </c>
      <c r="H1715" s="14">
        <f t="shared" si="54"/>
        <v>469.01</v>
      </c>
    </row>
    <row r="1716" spans="1:8" ht="69">
      <c r="A1716" s="502" t="s">
        <v>4254</v>
      </c>
      <c r="B1716" s="504" t="s">
        <v>28365</v>
      </c>
      <c r="C1716" s="502" t="s">
        <v>73</v>
      </c>
      <c r="D1716" s="503" t="s">
        <v>31391</v>
      </c>
      <c r="F1716" t="str">
        <f t="shared" si="53"/>
        <v>91084</v>
      </c>
      <c r="H1716" s="14">
        <f t="shared" si="54"/>
        <v>370.71</v>
      </c>
    </row>
    <row r="1717" spans="1:8" ht="69">
      <c r="A1717" s="502" t="s">
        <v>4255</v>
      </c>
      <c r="B1717" s="504" t="s">
        <v>28366</v>
      </c>
      <c r="C1717" s="502" t="s">
        <v>73</v>
      </c>
      <c r="D1717" s="503" t="s">
        <v>31392</v>
      </c>
      <c r="F1717" t="str">
        <f t="shared" si="53"/>
        <v>91086</v>
      </c>
      <c r="H1717" s="14">
        <f t="shared" si="54"/>
        <v>307.07</v>
      </c>
    </row>
    <row r="1718" spans="1:8" ht="69">
      <c r="A1718" s="502" t="s">
        <v>4256</v>
      </c>
      <c r="B1718" s="504" t="s">
        <v>28367</v>
      </c>
      <c r="C1718" s="502" t="s">
        <v>73</v>
      </c>
      <c r="D1718" s="503" t="s">
        <v>31393</v>
      </c>
      <c r="F1718" t="str">
        <f t="shared" si="53"/>
        <v>91087</v>
      </c>
      <c r="H1718" s="14">
        <f t="shared" si="54"/>
        <v>323.27999999999997</v>
      </c>
    </row>
    <row r="1719" spans="1:8" ht="55.2">
      <c r="A1719" s="502" t="s">
        <v>4257</v>
      </c>
      <c r="B1719" s="504" t="s">
        <v>28368</v>
      </c>
      <c r="C1719" s="502" t="s">
        <v>73</v>
      </c>
      <c r="D1719" s="503" t="s">
        <v>31394</v>
      </c>
      <c r="F1719" t="str">
        <f t="shared" si="53"/>
        <v>91088</v>
      </c>
      <c r="H1719" s="14">
        <f t="shared" si="54"/>
        <v>490.92</v>
      </c>
    </row>
    <row r="1720" spans="1:8" ht="55.2">
      <c r="A1720" s="502" t="s">
        <v>4258</v>
      </c>
      <c r="B1720" s="504" t="s">
        <v>28369</v>
      </c>
      <c r="C1720" s="502" t="s">
        <v>73</v>
      </c>
      <c r="D1720" s="503" t="s">
        <v>31395</v>
      </c>
      <c r="F1720" t="str">
        <f t="shared" si="53"/>
        <v>91089</v>
      </c>
      <c r="H1720" s="14">
        <f t="shared" si="54"/>
        <v>504.98</v>
      </c>
    </row>
    <row r="1721" spans="1:8" ht="69">
      <c r="A1721" s="502" t="s">
        <v>4259</v>
      </c>
      <c r="B1721" s="504" t="s">
        <v>28370</v>
      </c>
      <c r="C1721" s="502" t="s">
        <v>73</v>
      </c>
      <c r="D1721" s="503" t="s">
        <v>31396</v>
      </c>
      <c r="F1721" t="str">
        <f t="shared" si="53"/>
        <v>91090</v>
      </c>
      <c r="H1721" s="14">
        <f t="shared" si="54"/>
        <v>372.82</v>
      </c>
    </row>
    <row r="1722" spans="1:8" ht="69">
      <c r="A1722" s="502" t="s">
        <v>4260</v>
      </c>
      <c r="B1722" s="504" t="s">
        <v>28371</v>
      </c>
      <c r="C1722" s="502" t="s">
        <v>73</v>
      </c>
      <c r="D1722" s="503" t="s">
        <v>31397</v>
      </c>
      <c r="F1722" t="str">
        <f t="shared" si="53"/>
        <v>91091</v>
      </c>
      <c r="H1722" s="14">
        <f t="shared" si="54"/>
        <v>366.18</v>
      </c>
    </row>
    <row r="1723" spans="1:8" ht="55.2">
      <c r="A1723" s="502" t="s">
        <v>4261</v>
      </c>
      <c r="B1723" s="504" t="s">
        <v>28372</v>
      </c>
      <c r="C1723" s="502" t="s">
        <v>73</v>
      </c>
      <c r="D1723" s="503" t="s">
        <v>31398</v>
      </c>
      <c r="F1723" t="str">
        <f t="shared" si="53"/>
        <v>91092</v>
      </c>
      <c r="H1723" s="14">
        <f t="shared" si="54"/>
        <v>583.53</v>
      </c>
    </row>
    <row r="1724" spans="1:8" ht="55.2">
      <c r="A1724" s="502" t="s">
        <v>4262</v>
      </c>
      <c r="B1724" s="504" t="s">
        <v>28373</v>
      </c>
      <c r="C1724" s="502" t="s">
        <v>73</v>
      </c>
      <c r="D1724" s="503" t="s">
        <v>31399</v>
      </c>
      <c r="F1724" t="str">
        <f t="shared" si="53"/>
        <v>91093</v>
      </c>
      <c r="H1724" s="14">
        <f t="shared" si="54"/>
        <v>559.69000000000005</v>
      </c>
    </row>
    <row r="1725" spans="1:8" ht="69">
      <c r="A1725" s="502" t="s">
        <v>4263</v>
      </c>
      <c r="B1725" s="504" t="s">
        <v>28374</v>
      </c>
      <c r="C1725" s="502" t="s">
        <v>73</v>
      </c>
      <c r="D1725" s="503" t="s">
        <v>31400</v>
      </c>
      <c r="F1725" t="str">
        <f t="shared" si="53"/>
        <v>91094</v>
      </c>
      <c r="H1725" s="14">
        <f t="shared" si="54"/>
        <v>235.07</v>
      </c>
    </row>
    <row r="1726" spans="1:8" ht="69">
      <c r="A1726" s="502" t="s">
        <v>4264</v>
      </c>
      <c r="B1726" s="504" t="s">
        <v>28375</v>
      </c>
      <c r="C1726" s="502" t="s">
        <v>73</v>
      </c>
      <c r="D1726" s="503" t="s">
        <v>31401</v>
      </c>
      <c r="F1726" t="str">
        <f t="shared" si="53"/>
        <v>91095</v>
      </c>
      <c r="H1726" s="14">
        <f t="shared" si="54"/>
        <v>259.61</v>
      </c>
    </row>
    <row r="1727" spans="1:8" ht="69">
      <c r="A1727" s="502" t="s">
        <v>4265</v>
      </c>
      <c r="B1727" s="504" t="s">
        <v>28376</v>
      </c>
      <c r="C1727" s="502" t="s">
        <v>73</v>
      </c>
      <c r="D1727" s="503" t="s">
        <v>31402</v>
      </c>
      <c r="F1727" t="str">
        <f t="shared" si="53"/>
        <v>91096</v>
      </c>
      <c r="H1727" s="14">
        <f t="shared" si="54"/>
        <v>254.35</v>
      </c>
    </row>
    <row r="1728" spans="1:8" ht="69">
      <c r="A1728" s="502" t="s">
        <v>4266</v>
      </c>
      <c r="B1728" s="504" t="s">
        <v>28377</v>
      </c>
      <c r="C1728" s="502" t="s">
        <v>73</v>
      </c>
      <c r="D1728" s="503" t="s">
        <v>31403</v>
      </c>
      <c r="F1728" t="str">
        <f t="shared" si="53"/>
        <v>91097</v>
      </c>
      <c r="H1728" s="14">
        <f t="shared" si="54"/>
        <v>275.41000000000003</v>
      </c>
    </row>
    <row r="1729" spans="1:8" ht="69">
      <c r="A1729" s="502" t="s">
        <v>4267</v>
      </c>
      <c r="B1729" s="504" t="s">
        <v>28378</v>
      </c>
      <c r="C1729" s="502" t="s">
        <v>73</v>
      </c>
      <c r="D1729" s="503" t="s">
        <v>31404</v>
      </c>
      <c r="F1729" t="str">
        <f t="shared" si="53"/>
        <v>91098</v>
      </c>
      <c r="H1729" s="14">
        <f t="shared" si="54"/>
        <v>323.37</v>
      </c>
    </row>
    <row r="1730" spans="1:8" ht="69">
      <c r="A1730" s="502" t="s">
        <v>4268</v>
      </c>
      <c r="B1730" s="504" t="s">
        <v>28379</v>
      </c>
      <c r="C1730" s="502" t="s">
        <v>73</v>
      </c>
      <c r="D1730" s="503" t="s">
        <v>31405</v>
      </c>
      <c r="F1730" t="str">
        <f t="shared" si="53"/>
        <v>91099</v>
      </c>
      <c r="H1730" s="14">
        <f t="shared" si="54"/>
        <v>311.5</v>
      </c>
    </row>
    <row r="1731" spans="1:8" ht="69">
      <c r="A1731" s="502" t="s">
        <v>4269</v>
      </c>
      <c r="B1731" s="504" t="s">
        <v>28380</v>
      </c>
      <c r="C1731" s="502" t="s">
        <v>73</v>
      </c>
      <c r="D1731" s="503" t="s">
        <v>31406</v>
      </c>
      <c r="F1731" t="str">
        <f t="shared" si="53"/>
        <v>91100</v>
      </c>
      <c r="H1731" s="14">
        <f t="shared" si="54"/>
        <v>385.72</v>
      </c>
    </row>
    <row r="1732" spans="1:8" ht="69">
      <c r="A1732" s="502" t="s">
        <v>4270</v>
      </c>
      <c r="B1732" s="504" t="s">
        <v>28381</v>
      </c>
      <c r="C1732" s="502" t="s">
        <v>73</v>
      </c>
      <c r="D1732" s="503" t="s">
        <v>31407</v>
      </c>
      <c r="F1732" t="str">
        <f t="shared" si="53"/>
        <v>91101</v>
      </c>
      <c r="H1732" s="14">
        <f t="shared" si="54"/>
        <v>342.41</v>
      </c>
    </row>
    <row r="1733" spans="1:8" ht="55.2">
      <c r="A1733" s="502" t="s">
        <v>4271</v>
      </c>
      <c r="B1733" s="504" t="s">
        <v>28382</v>
      </c>
      <c r="C1733" s="502" t="s">
        <v>75</v>
      </c>
      <c r="D1733" s="503" t="s">
        <v>31408</v>
      </c>
      <c r="F1733" t="str">
        <f t="shared" ref="F1733:F1796" si="55">TRIM(A1733)</f>
        <v>93957</v>
      </c>
      <c r="H1733" s="14">
        <f t="shared" ref="H1733:H1796" si="56">ROUND(D1733*(1+$H$1),2)</f>
        <v>501.67</v>
      </c>
    </row>
    <row r="1734" spans="1:8" ht="55.2">
      <c r="A1734" s="502" t="s">
        <v>4272</v>
      </c>
      <c r="B1734" s="504" t="s">
        <v>28383</v>
      </c>
      <c r="C1734" s="502" t="s">
        <v>75</v>
      </c>
      <c r="D1734" s="503" t="s">
        <v>31409</v>
      </c>
      <c r="F1734" t="str">
        <f t="shared" si="55"/>
        <v>93959</v>
      </c>
      <c r="H1734" s="14">
        <f t="shared" si="56"/>
        <v>404.75</v>
      </c>
    </row>
    <row r="1735" spans="1:8" ht="55.2">
      <c r="A1735" s="502" t="s">
        <v>4273</v>
      </c>
      <c r="B1735" s="504" t="s">
        <v>28384</v>
      </c>
      <c r="C1735" s="502" t="s">
        <v>75</v>
      </c>
      <c r="D1735" s="503" t="s">
        <v>31410</v>
      </c>
      <c r="F1735" t="str">
        <f t="shared" si="55"/>
        <v>93961</v>
      </c>
      <c r="H1735" s="14">
        <f t="shared" si="56"/>
        <v>364.05</v>
      </c>
    </row>
    <row r="1736" spans="1:8" ht="55.2">
      <c r="A1736" s="502" t="s">
        <v>4274</v>
      </c>
      <c r="B1736" s="504" t="s">
        <v>28385</v>
      </c>
      <c r="C1736" s="502" t="s">
        <v>75</v>
      </c>
      <c r="D1736" s="503" t="s">
        <v>31411</v>
      </c>
      <c r="F1736" t="str">
        <f t="shared" si="55"/>
        <v>93967</v>
      </c>
      <c r="H1736" s="14">
        <f t="shared" si="56"/>
        <v>417.63</v>
      </c>
    </row>
    <row r="1737" spans="1:8" ht="55.2">
      <c r="A1737" s="502" t="s">
        <v>4275</v>
      </c>
      <c r="B1737" s="504" t="s">
        <v>28386</v>
      </c>
      <c r="C1737" s="502" t="s">
        <v>75</v>
      </c>
      <c r="D1737" s="503" t="s">
        <v>31412</v>
      </c>
      <c r="F1737" t="str">
        <f t="shared" si="55"/>
        <v>93969</v>
      </c>
      <c r="H1737" s="14">
        <f t="shared" si="56"/>
        <v>336.79</v>
      </c>
    </row>
    <row r="1738" spans="1:8" ht="55.2">
      <c r="A1738" s="502" t="s">
        <v>4276</v>
      </c>
      <c r="B1738" s="504" t="s">
        <v>31413</v>
      </c>
      <c r="C1738" s="502" t="s">
        <v>75</v>
      </c>
      <c r="D1738" s="503" t="s">
        <v>31414</v>
      </c>
      <c r="F1738" t="str">
        <f t="shared" si="55"/>
        <v>93971</v>
      </c>
      <c r="H1738" s="14">
        <f t="shared" si="56"/>
        <v>303.98</v>
      </c>
    </row>
    <row r="1739" spans="1:8" ht="41.4">
      <c r="A1739" s="502" t="s">
        <v>4277</v>
      </c>
      <c r="B1739" s="504" t="s">
        <v>28387</v>
      </c>
      <c r="C1739" s="502" t="s">
        <v>114</v>
      </c>
      <c r="D1739" s="503" t="s">
        <v>31415</v>
      </c>
      <c r="F1739" t="str">
        <f t="shared" si="55"/>
        <v>95108</v>
      </c>
      <c r="H1739" s="14">
        <f t="shared" si="56"/>
        <v>53.55</v>
      </c>
    </row>
    <row r="1740" spans="1:8" ht="55.2">
      <c r="A1740" s="502" t="s">
        <v>10608</v>
      </c>
      <c r="B1740" s="504" t="s">
        <v>31416</v>
      </c>
      <c r="C1740" s="502" t="s">
        <v>73</v>
      </c>
      <c r="D1740" s="503" t="s">
        <v>31417</v>
      </c>
      <c r="F1740" t="str">
        <f t="shared" si="55"/>
        <v>100341</v>
      </c>
      <c r="H1740" s="14">
        <f t="shared" si="56"/>
        <v>60.96</v>
      </c>
    </row>
    <row r="1741" spans="1:8" ht="27.6">
      <c r="A1741" s="502" t="s">
        <v>10609</v>
      </c>
      <c r="B1741" s="504" t="s">
        <v>31418</v>
      </c>
      <c r="C1741" s="502" t="s">
        <v>71</v>
      </c>
      <c r="D1741" s="503" t="s">
        <v>31217</v>
      </c>
      <c r="F1741" t="str">
        <f t="shared" si="55"/>
        <v>100342</v>
      </c>
      <c r="H1741" s="14">
        <f t="shared" si="56"/>
        <v>26.64</v>
      </c>
    </row>
    <row r="1742" spans="1:8" ht="27.6">
      <c r="A1742" s="502" t="s">
        <v>10610</v>
      </c>
      <c r="B1742" s="504" t="s">
        <v>31419</v>
      </c>
      <c r="C1742" s="502" t="s">
        <v>71</v>
      </c>
      <c r="D1742" s="503" t="s">
        <v>24543</v>
      </c>
      <c r="F1742" t="str">
        <f t="shared" si="55"/>
        <v>100343</v>
      </c>
      <c r="H1742" s="14">
        <f t="shared" si="56"/>
        <v>23.88</v>
      </c>
    </row>
    <row r="1743" spans="1:8" ht="27.6">
      <c r="A1743" s="502" t="s">
        <v>10611</v>
      </c>
      <c r="B1743" s="504" t="s">
        <v>31420</v>
      </c>
      <c r="C1743" s="502" t="s">
        <v>71</v>
      </c>
      <c r="D1743" s="503" t="s">
        <v>25579</v>
      </c>
      <c r="F1743" t="str">
        <f t="shared" si="55"/>
        <v>100344</v>
      </c>
      <c r="H1743" s="14">
        <f t="shared" si="56"/>
        <v>19.91</v>
      </c>
    </row>
    <row r="1744" spans="1:8" ht="27.6">
      <c r="A1744" s="502" t="s">
        <v>10612</v>
      </c>
      <c r="B1744" s="504" t="s">
        <v>31421</v>
      </c>
      <c r="C1744" s="502" t="s">
        <v>71</v>
      </c>
      <c r="D1744" s="503" t="s">
        <v>5206</v>
      </c>
      <c r="F1744" t="str">
        <f t="shared" si="55"/>
        <v>100345</v>
      </c>
      <c r="H1744" s="14">
        <f t="shared" si="56"/>
        <v>15.72</v>
      </c>
    </row>
    <row r="1745" spans="1:8" ht="27.6">
      <c r="A1745" s="502" t="s">
        <v>10613</v>
      </c>
      <c r="B1745" s="504" t="s">
        <v>31422</v>
      </c>
      <c r="C1745" s="502" t="s">
        <v>71</v>
      </c>
      <c r="D1745" s="503" t="s">
        <v>16151</v>
      </c>
      <c r="F1745" t="str">
        <f t="shared" si="55"/>
        <v>100346</v>
      </c>
      <c r="H1745" s="14">
        <f t="shared" si="56"/>
        <v>15.12</v>
      </c>
    </row>
    <row r="1746" spans="1:8" ht="27.6">
      <c r="A1746" s="502" t="s">
        <v>10614</v>
      </c>
      <c r="B1746" s="504" t="s">
        <v>31423</v>
      </c>
      <c r="C1746" s="502" t="s">
        <v>71</v>
      </c>
      <c r="D1746" s="503" t="s">
        <v>16150</v>
      </c>
      <c r="F1746" t="str">
        <f t="shared" si="55"/>
        <v>100347</v>
      </c>
      <c r="H1746" s="14">
        <f t="shared" si="56"/>
        <v>17.079999999999998</v>
      </c>
    </row>
    <row r="1747" spans="1:8" ht="27.6">
      <c r="A1747" s="502" t="s">
        <v>10615</v>
      </c>
      <c r="B1747" s="504" t="s">
        <v>31424</v>
      </c>
      <c r="C1747" s="502" t="s">
        <v>71</v>
      </c>
      <c r="D1747" s="503" t="s">
        <v>31425</v>
      </c>
      <c r="F1747" t="str">
        <f t="shared" si="55"/>
        <v>100348</v>
      </c>
      <c r="H1747" s="14">
        <f t="shared" si="56"/>
        <v>16.82</v>
      </c>
    </row>
    <row r="1748" spans="1:8" ht="41.4">
      <c r="A1748" s="502" t="s">
        <v>10616</v>
      </c>
      <c r="B1748" s="504" t="s">
        <v>31426</v>
      </c>
      <c r="C1748" s="502" t="s">
        <v>83</v>
      </c>
      <c r="D1748" s="503" t="s">
        <v>31427</v>
      </c>
      <c r="F1748" t="str">
        <f t="shared" si="55"/>
        <v>100349</v>
      </c>
      <c r="H1748" s="14">
        <f t="shared" si="56"/>
        <v>1027.48</v>
      </c>
    </row>
    <row r="1749" spans="1:8" ht="69">
      <c r="A1749" s="502" t="s">
        <v>28389</v>
      </c>
      <c r="B1749" s="504" t="s">
        <v>28390</v>
      </c>
      <c r="C1749" s="502" t="s">
        <v>75</v>
      </c>
      <c r="D1749" s="503" t="s">
        <v>31428</v>
      </c>
      <c r="F1749" t="str">
        <f t="shared" si="55"/>
        <v>104841</v>
      </c>
      <c r="H1749" s="14">
        <f t="shared" si="56"/>
        <v>114.41</v>
      </c>
    </row>
    <row r="1750" spans="1:8" ht="69">
      <c r="A1750" s="502" t="s">
        <v>28391</v>
      </c>
      <c r="B1750" s="504" t="s">
        <v>28392</v>
      </c>
      <c r="C1750" s="502" t="s">
        <v>75</v>
      </c>
      <c r="D1750" s="503" t="s">
        <v>31429</v>
      </c>
      <c r="F1750" t="str">
        <f t="shared" si="55"/>
        <v>104842</v>
      </c>
      <c r="H1750" s="14">
        <f t="shared" si="56"/>
        <v>97.29</v>
      </c>
    </row>
    <row r="1751" spans="1:8" ht="69">
      <c r="A1751" s="502" t="s">
        <v>28393</v>
      </c>
      <c r="B1751" s="504" t="s">
        <v>28394</v>
      </c>
      <c r="C1751" s="502" t="s">
        <v>75</v>
      </c>
      <c r="D1751" s="503" t="s">
        <v>31430</v>
      </c>
      <c r="F1751" t="str">
        <f t="shared" si="55"/>
        <v>104843</v>
      </c>
      <c r="H1751" s="14">
        <f t="shared" si="56"/>
        <v>158.22</v>
      </c>
    </row>
    <row r="1752" spans="1:8" ht="69">
      <c r="A1752" s="502" t="s">
        <v>28395</v>
      </c>
      <c r="B1752" s="504" t="s">
        <v>28396</v>
      </c>
      <c r="C1752" s="502" t="s">
        <v>75</v>
      </c>
      <c r="D1752" s="503" t="s">
        <v>31431</v>
      </c>
      <c r="F1752" t="str">
        <f t="shared" si="55"/>
        <v>104844</v>
      </c>
      <c r="H1752" s="14">
        <f t="shared" si="56"/>
        <v>126.64</v>
      </c>
    </row>
    <row r="1753" spans="1:8" ht="69">
      <c r="A1753" s="502" t="s">
        <v>28397</v>
      </c>
      <c r="B1753" s="504" t="s">
        <v>28398</v>
      </c>
      <c r="C1753" s="502" t="s">
        <v>75</v>
      </c>
      <c r="D1753" s="503" t="s">
        <v>24947</v>
      </c>
      <c r="F1753" t="str">
        <f t="shared" si="55"/>
        <v>104845</v>
      </c>
      <c r="H1753" s="14">
        <f t="shared" si="56"/>
        <v>180.83</v>
      </c>
    </row>
    <row r="1754" spans="1:8" ht="69">
      <c r="A1754" s="502" t="s">
        <v>28399</v>
      </c>
      <c r="B1754" s="504" t="s">
        <v>28400</v>
      </c>
      <c r="C1754" s="502" t="s">
        <v>75</v>
      </c>
      <c r="D1754" s="503" t="s">
        <v>31432</v>
      </c>
      <c r="F1754" t="str">
        <f t="shared" si="55"/>
        <v>104846</v>
      </c>
      <c r="H1754" s="14">
        <f t="shared" si="56"/>
        <v>144.78</v>
      </c>
    </row>
    <row r="1755" spans="1:8" ht="69">
      <c r="A1755" s="502" t="s">
        <v>28401</v>
      </c>
      <c r="B1755" s="504" t="s">
        <v>28402</v>
      </c>
      <c r="C1755" s="502" t="s">
        <v>75</v>
      </c>
      <c r="D1755" s="503" t="s">
        <v>31433</v>
      </c>
      <c r="F1755" t="str">
        <f t="shared" si="55"/>
        <v>104847</v>
      </c>
      <c r="H1755" s="14">
        <f t="shared" si="56"/>
        <v>122.62</v>
      </c>
    </row>
    <row r="1756" spans="1:8" ht="69">
      <c r="A1756" s="502" t="s">
        <v>28403</v>
      </c>
      <c r="B1756" s="504" t="s">
        <v>28404</v>
      </c>
      <c r="C1756" s="502" t="s">
        <v>75</v>
      </c>
      <c r="D1756" s="503" t="s">
        <v>10104</v>
      </c>
      <c r="F1756" t="str">
        <f t="shared" si="55"/>
        <v>104848</v>
      </c>
      <c r="H1756" s="14">
        <f t="shared" si="56"/>
        <v>89.46</v>
      </c>
    </row>
    <row r="1757" spans="1:8" ht="69">
      <c r="A1757" s="502" t="s">
        <v>28405</v>
      </c>
      <c r="B1757" s="504" t="s">
        <v>28406</v>
      </c>
      <c r="C1757" s="502" t="s">
        <v>75</v>
      </c>
      <c r="D1757" s="503" t="s">
        <v>29584</v>
      </c>
      <c r="F1757" t="str">
        <f t="shared" si="55"/>
        <v>104849</v>
      </c>
      <c r="H1757" s="14">
        <f t="shared" si="56"/>
        <v>76.53</v>
      </c>
    </row>
    <row r="1758" spans="1:8" ht="69">
      <c r="A1758" s="502" t="s">
        <v>28407</v>
      </c>
      <c r="B1758" s="504" t="s">
        <v>28408</v>
      </c>
      <c r="C1758" s="502" t="s">
        <v>75</v>
      </c>
      <c r="D1758" s="503" t="s">
        <v>31434</v>
      </c>
      <c r="F1758" t="str">
        <f t="shared" si="55"/>
        <v>104850</v>
      </c>
      <c r="H1758" s="14">
        <f t="shared" si="56"/>
        <v>67.84</v>
      </c>
    </row>
    <row r="1759" spans="1:8" ht="69">
      <c r="A1759" s="502" t="s">
        <v>28409</v>
      </c>
      <c r="B1759" s="504" t="s">
        <v>28410</v>
      </c>
      <c r="C1759" s="502" t="s">
        <v>75</v>
      </c>
      <c r="D1759" s="503" t="s">
        <v>27936</v>
      </c>
      <c r="F1759" t="str">
        <f t="shared" si="55"/>
        <v>104851</v>
      </c>
      <c r="H1759" s="14">
        <f t="shared" si="56"/>
        <v>99.46</v>
      </c>
    </row>
    <row r="1760" spans="1:8" ht="69">
      <c r="A1760" s="502" t="s">
        <v>28411</v>
      </c>
      <c r="B1760" s="504" t="s">
        <v>28412</v>
      </c>
      <c r="C1760" s="502" t="s">
        <v>75</v>
      </c>
      <c r="D1760" s="503" t="s">
        <v>12845</v>
      </c>
      <c r="F1760" t="str">
        <f t="shared" si="55"/>
        <v>104852</v>
      </c>
      <c r="H1760" s="14">
        <f t="shared" si="56"/>
        <v>84.52</v>
      </c>
    </row>
    <row r="1761" spans="1:8" ht="69">
      <c r="A1761" s="502" t="s">
        <v>28413</v>
      </c>
      <c r="B1761" s="504" t="s">
        <v>28414</v>
      </c>
      <c r="C1761" s="502" t="s">
        <v>75</v>
      </c>
      <c r="D1761" s="503" t="s">
        <v>28315</v>
      </c>
      <c r="F1761" t="str">
        <f t="shared" si="55"/>
        <v>104853</v>
      </c>
      <c r="H1761" s="14">
        <f t="shared" si="56"/>
        <v>74.569999999999993</v>
      </c>
    </row>
    <row r="1762" spans="1:8" ht="69">
      <c r="A1762" s="502" t="s">
        <v>28415</v>
      </c>
      <c r="B1762" s="504" t="s">
        <v>28416</v>
      </c>
      <c r="C1762" s="502" t="s">
        <v>75</v>
      </c>
      <c r="D1762" s="503" t="s">
        <v>28074</v>
      </c>
      <c r="F1762" t="str">
        <f t="shared" si="55"/>
        <v>104854</v>
      </c>
      <c r="H1762" s="14">
        <f t="shared" si="56"/>
        <v>96.46</v>
      </c>
    </row>
    <row r="1763" spans="1:8" ht="69">
      <c r="A1763" s="502" t="s">
        <v>28418</v>
      </c>
      <c r="B1763" s="504" t="s">
        <v>28419</v>
      </c>
      <c r="C1763" s="502" t="s">
        <v>75</v>
      </c>
      <c r="D1763" s="503" t="s">
        <v>31435</v>
      </c>
      <c r="F1763" t="str">
        <f t="shared" si="55"/>
        <v>104855</v>
      </c>
      <c r="H1763" s="14">
        <f t="shared" si="56"/>
        <v>84.48</v>
      </c>
    </row>
    <row r="1764" spans="1:8" ht="27.6">
      <c r="A1764" s="502" t="s">
        <v>31436</v>
      </c>
      <c r="B1764" s="504" t="s">
        <v>31437</v>
      </c>
      <c r="C1764" s="502" t="s">
        <v>75</v>
      </c>
      <c r="D1764" s="503" t="s">
        <v>29830</v>
      </c>
      <c r="F1764" t="str">
        <f t="shared" si="55"/>
        <v>104875</v>
      </c>
      <c r="H1764" s="14">
        <f t="shared" si="56"/>
        <v>198.7</v>
      </c>
    </row>
    <row r="1765" spans="1:8" ht="27.6">
      <c r="A1765" s="502" t="s">
        <v>28420</v>
      </c>
      <c r="B1765" s="504" t="s">
        <v>28421</v>
      </c>
      <c r="C1765" s="502" t="s">
        <v>114</v>
      </c>
      <c r="D1765" s="503" t="s">
        <v>20516</v>
      </c>
      <c r="F1765" t="str">
        <f t="shared" si="55"/>
        <v>104876</v>
      </c>
      <c r="H1765" s="14">
        <f t="shared" si="56"/>
        <v>36.24</v>
      </c>
    </row>
    <row r="1766" spans="1:8" ht="41.4">
      <c r="A1766" s="502" t="s">
        <v>28422</v>
      </c>
      <c r="B1766" s="504" t="s">
        <v>28423</v>
      </c>
      <c r="C1766" s="502" t="s">
        <v>114</v>
      </c>
      <c r="D1766" s="503" t="s">
        <v>31438</v>
      </c>
      <c r="F1766" t="str">
        <f t="shared" si="55"/>
        <v>104877</v>
      </c>
      <c r="H1766" s="14">
        <f t="shared" si="56"/>
        <v>810.85</v>
      </c>
    </row>
    <row r="1767" spans="1:8" ht="41.4">
      <c r="A1767" s="502" t="s">
        <v>28424</v>
      </c>
      <c r="B1767" s="504" t="s">
        <v>28425</v>
      </c>
      <c r="C1767" s="502" t="s">
        <v>114</v>
      </c>
      <c r="D1767" s="503" t="s">
        <v>31439</v>
      </c>
      <c r="F1767" t="str">
        <f t="shared" si="55"/>
        <v>104878</v>
      </c>
      <c r="H1767" s="14">
        <f t="shared" si="56"/>
        <v>3079.3</v>
      </c>
    </row>
    <row r="1768" spans="1:8" ht="69">
      <c r="A1768" s="502" t="s">
        <v>28426</v>
      </c>
      <c r="B1768" s="504" t="s">
        <v>28427</v>
      </c>
      <c r="C1768" s="502" t="s">
        <v>75</v>
      </c>
      <c r="D1768" s="503" t="s">
        <v>26399</v>
      </c>
      <c r="F1768" t="str">
        <f t="shared" si="55"/>
        <v>104879</v>
      </c>
      <c r="H1768" s="14">
        <f t="shared" si="56"/>
        <v>107.48</v>
      </c>
    </row>
    <row r="1769" spans="1:8" ht="69">
      <c r="A1769" s="502" t="s">
        <v>28428</v>
      </c>
      <c r="B1769" s="504" t="s">
        <v>28429</v>
      </c>
      <c r="C1769" s="502" t="s">
        <v>75</v>
      </c>
      <c r="D1769" s="503" t="s">
        <v>31440</v>
      </c>
      <c r="F1769" t="str">
        <f t="shared" si="55"/>
        <v>104880</v>
      </c>
      <c r="H1769" s="14">
        <f t="shared" si="56"/>
        <v>114.3</v>
      </c>
    </row>
    <row r="1770" spans="1:8" ht="55.2">
      <c r="A1770" s="502" t="s">
        <v>28430</v>
      </c>
      <c r="B1770" s="504" t="s">
        <v>28431</v>
      </c>
      <c r="C1770" s="502" t="s">
        <v>75</v>
      </c>
      <c r="D1770" s="503" t="s">
        <v>31441</v>
      </c>
      <c r="F1770" t="str">
        <f t="shared" si="55"/>
        <v>104886</v>
      </c>
      <c r="H1770" s="14">
        <f t="shared" si="56"/>
        <v>67.8</v>
      </c>
    </row>
    <row r="1771" spans="1:8" ht="55.2">
      <c r="A1771" s="502" t="s">
        <v>28433</v>
      </c>
      <c r="B1771" s="504" t="s">
        <v>28434</v>
      </c>
      <c r="C1771" s="502" t="s">
        <v>75</v>
      </c>
      <c r="D1771" s="503" t="s">
        <v>31442</v>
      </c>
      <c r="F1771" t="str">
        <f t="shared" si="55"/>
        <v>104887</v>
      </c>
      <c r="H1771" s="14">
        <f t="shared" si="56"/>
        <v>59.27</v>
      </c>
    </row>
    <row r="1772" spans="1:8" ht="55.2">
      <c r="A1772" s="502" t="s">
        <v>28435</v>
      </c>
      <c r="B1772" s="504" t="s">
        <v>28436</v>
      </c>
      <c r="C1772" s="502" t="s">
        <v>75</v>
      </c>
      <c r="D1772" s="503" t="s">
        <v>31443</v>
      </c>
      <c r="F1772" t="str">
        <f t="shared" si="55"/>
        <v>104888</v>
      </c>
      <c r="H1772" s="14">
        <f t="shared" si="56"/>
        <v>53.5</v>
      </c>
    </row>
    <row r="1773" spans="1:8" ht="55.2">
      <c r="A1773" s="502" t="s">
        <v>28437</v>
      </c>
      <c r="B1773" s="504" t="s">
        <v>28438</v>
      </c>
      <c r="C1773" s="502" t="s">
        <v>75</v>
      </c>
      <c r="D1773" s="503" t="s">
        <v>31444</v>
      </c>
      <c r="F1773" t="str">
        <f t="shared" si="55"/>
        <v>104889</v>
      </c>
      <c r="H1773" s="14">
        <f t="shared" si="56"/>
        <v>79.22</v>
      </c>
    </row>
    <row r="1774" spans="1:8" ht="55.2">
      <c r="A1774" s="502" t="s">
        <v>28439</v>
      </c>
      <c r="B1774" s="504" t="s">
        <v>28440</v>
      </c>
      <c r="C1774" s="502" t="s">
        <v>75</v>
      </c>
      <c r="D1774" s="503" t="s">
        <v>31445</v>
      </c>
      <c r="F1774" t="str">
        <f t="shared" si="55"/>
        <v>104890</v>
      </c>
      <c r="H1774" s="14">
        <f t="shared" si="56"/>
        <v>68.45</v>
      </c>
    </row>
    <row r="1775" spans="1:8" ht="55.2">
      <c r="A1775" s="502" t="s">
        <v>28441</v>
      </c>
      <c r="B1775" s="504" t="s">
        <v>28442</v>
      </c>
      <c r="C1775" s="502" t="s">
        <v>75</v>
      </c>
      <c r="D1775" s="503" t="s">
        <v>16477</v>
      </c>
      <c r="F1775" t="str">
        <f t="shared" si="55"/>
        <v>104891</v>
      </c>
      <c r="H1775" s="14">
        <f t="shared" si="56"/>
        <v>61.22</v>
      </c>
    </row>
    <row r="1776" spans="1:8" ht="69">
      <c r="A1776" s="502" t="s">
        <v>28443</v>
      </c>
      <c r="B1776" s="504" t="s">
        <v>28444</v>
      </c>
      <c r="C1776" s="502" t="s">
        <v>75</v>
      </c>
      <c r="D1776" s="503" t="s">
        <v>31446</v>
      </c>
      <c r="F1776" t="str">
        <f t="shared" si="55"/>
        <v>104892</v>
      </c>
      <c r="H1776" s="14">
        <f t="shared" si="56"/>
        <v>142.99</v>
      </c>
    </row>
    <row r="1777" spans="1:8" ht="27.6">
      <c r="A1777" s="502" t="s">
        <v>15932</v>
      </c>
      <c r="B1777" s="504" t="s">
        <v>15933</v>
      </c>
      <c r="C1777" s="502" t="s">
        <v>75</v>
      </c>
      <c r="D1777" s="503" t="s">
        <v>28489</v>
      </c>
      <c r="F1777" t="str">
        <f t="shared" si="55"/>
        <v>102989</v>
      </c>
      <c r="H1777" s="14">
        <f t="shared" si="56"/>
        <v>63.12</v>
      </c>
    </row>
    <row r="1778" spans="1:8" ht="27.6">
      <c r="A1778" s="502" t="s">
        <v>15934</v>
      </c>
      <c r="B1778" s="504" t="s">
        <v>15935</v>
      </c>
      <c r="C1778" s="502" t="s">
        <v>75</v>
      </c>
      <c r="D1778" s="503" t="s">
        <v>31447</v>
      </c>
      <c r="F1778" t="str">
        <f t="shared" si="55"/>
        <v>102990</v>
      </c>
      <c r="H1778" s="14">
        <f t="shared" si="56"/>
        <v>76.650000000000006</v>
      </c>
    </row>
    <row r="1779" spans="1:8" ht="27.6">
      <c r="A1779" s="502" t="s">
        <v>15936</v>
      </c>
      <c r="B1779" s="504" t="s">
        <v>15937</v>
      </c>
      <c r="C1779" s="502" t="s">
        <v>75</v>
      </c>
      <c r="D1779" s="503" t="s">
        <v>30490</v>
      </c>
      <c r="F1779" t="str">
        <f t="shared" si="55"/>
        <v>102991</v>
      </c>
      <c r="H1779" s="14">
        <f t="shared" si="56"/>
        <v>99.34</v>
      </c>
    </row>
    <row r="1780" spans="1:8" ht="27.6">
      <c r="A1780" s="502" t="s">
        <v>15938</v>
      </c>
      <c r="B1780" s="504" t="s">
        <v>15939</v>
      </c>
      <c r="C1780" s="502" t="s">
        <v>75</v>
      </c>
      <c r="D1780" s="503" t="s">
        <v>31448</v>
      </c>
      <c r="F1780" t="str">
        <f t="shared" si="55"/>
        <v>102992</v>
      </c>
      <c r="H1780" s="14">
        <f t="shared" si="56"/>
        <v>147.47999999999999</v>
      </c>
    </row>
    <row r="1781" spans="1:8" ht="27.6">
      <c r="A1781" s="502" t="s">
        <v>15940</v>
      </c>
      <c r="B1781" s="504" t="s">
        <v>15941</v>
      </c>
      <c r="C1781" s="502" t="s">
        <v>75</v>
      </c>
      <c r="D1781" s="503" t="s">
        <v>31449</v>
      </c>
      <c r="F1781" t="str">
        <f t="shared" si="55"/>
        <v>102993</v>
      </c>
      <c r="H1781" s="14">
        <f t="shared" si="56"/>
        <v>191.97</v>
      </c>
    </row>
    <row r="1782" spans="1:8" ht="27.6">
      <c r="A1782" s="502" t="s">
        <v>15942</v>
      </c>
      <c r="B1782" s="504" t="s">
        <v>15943</v>
      </c>
      <c r="C1782" s="502" t="s">
        <v>75</v>
      </c>
      <c r="D1782" s="503" t="s">
        <v>31450</v>
      </c>
      <c r="F1782" t="str">
        <f t="shared" si="55"/>
        <v>102994</v>
      </c>
      <c r="H1782" s="14">
        <f t="shared" si="56"/>
        <v>330.27</v>
      </c>
    </row>
    <row r="1783" spans="1:8" ht="55.2">
      <c r="A1783" s="502" t="s">
        <v>15945</v>
      </c>
      <c r="B1783" s="504" t="s">
        <v>15946</v>
      </c>
      <c r="C1783" s="502" t="s">
        <v>75</v>
      </c>
      <c r="D1783" s="503" t="s">
        <v>31451</v>
      </c>
      <c r="F1783" t="str">
        <f t="shared" si="55"/>
        <v>102995</v>
      </c>
      <c r="H1783" s="14">
        <f t="shared" si="56"/>
        <v>71.760000000000005</v>
      </c>
    </row>
    <row r="1784" spans="1:8" ht="55.2">
      <c r="A1784" s="502" t="s">
        <v>15947</v>
      </c>
      <c r="B1784" s="504" t="s">
        <v>15948</v>
      </c>
      <c r="C1784" s="502" t="s">
        <v>75</v>
      </c>
      <c r="D1784" s="503" t="s">
        <v>31452</v>
      </c>
      <c r="F1784" t="str">
        <f t="shared" si="55"/>
        <v>102996</v>
      </c>
      <c r="H1784" s="14">
        <f t="shared" si="56"/>
        <v>101.35</v>
      </c>
    </row>
    <row r="1785" spans="1:8" ht="55.2">
      <c r="A1785" s="502" t="s">
        <v>15949</v>
      </c>
      <c r="B1785" s="504" t="s">
        <v>15950</v>
      </c>
      <c r="C1785" s="502" t="s">
        <v>75</v>
      </c>
      <c r="D1785" s="503" t="s">
        <v>31453</v>
      </c>
      <c r="F1785" t="str">
        <f t="shared" si="55"/>
        <v>102997</v>
      </c>
      <c r="H1785" s="14">
        <f t="shared" si="56"/>
        <v>134.44</v>
      </c>
    </row>
    <row r="1786" spans="1:8" ht="55.2">
      <c r="A1786" s="525" t="s">
        <v>15952</v>
      </c>
      <c r="B1786" s="504" t="s">
        <v>15953</v>
      </c>
      <c r="C1786" s="502" t="s">
        <v>75</v>
      </c>
      <c r="D1786" s="503" t="s">
        <v>31454</v>
      </c>
      <c r="F1786" t="str">
        <f t="shared" si="55"/>
        <v>102998</v>
      </c>
      <c r="H1786" s="14">
        <f t="shared" si="56"/>
        <v>128.76</v>
      </c>
    </row>
    <row r="1787" spans="1:8" ht="55.2">
      <c r="A1787" s="502" t="s">
        <v>15954</v>
      </c>
      <c r="B1787" s="504" t="s">
        <v>15955</v>
      </c>
      <c r="C1787" s="502" t="s">
        <v>75</v>
      </c>
      <c r="D1787" s="503" t="s">
        <v>31455</v>
      </c>
      <c r="F1787" t="str">
        <f t="shared" si="55"/>
        <v>102999</v>
      </c>
      <c r="H1787" s="14">
        <f t="shared" si="56"/>
        <v>162.86000000000001</v>
      </c>
    </row>
    <row r="1788" spans="1:8" ht="55.2">
      <c r="A1788" s="502" t="s">
        <v>15956</v>
      </c>
      <c r="B1788" s="504" t="s">
        <v>15957</v>
      </c>
      <c r="C1788" s="502" t="s">
        <v>75</v>
      </c>
      <c r="D1788" s="503" t="s">
        <v>31456</v>
      </c>
      <c r="F1788" t="str">
        <f t="shared" si="55"/>
        <v>103000</v>
      </c>
      <c r="H1788" s="14">
        <f t="shared" si="56"/>
        <v>163.54</v>
      </c>
    </row>
    <row r="1789" spans="1:8" ht="41.4">
      <c r="A1789" s="502" t="s">
        <v>15958</v>
      </c>
      <c r="B1789" s="504" t="s">
        <v>15959</v>
      </c>
      <c r="C1789" s="502" t="s">
        <v>114</v>
      </c>
      <c r="D1789" s="503" t="s">
        <v>31457</v>
      </c>
      <c r="F1789" t="str">
        <f t="shared" si="55"/>
        <v>103001</v>
      </c>
      <c r="H1789" s="14">
        <f t="shared" si="56"/>
        <v>221.09</v>
      </c>
    </row>
    <row r="1790" spans="1:8" ht="41.4">
      <c r="A1790" s="502" t="s">
        <v>15960</v>
      </c>
      <c r="B1790" s="504" t="s">
        <v>15961</v>
      </c>
      <c r="C1790" s="502" t="s">
        <v>114</v>
      </c>
      <c r="D1790" s="503" t="s">
        <v>29919</v>
      </c>
      <c r="F1790" t="str">
        <f t="shared" si="55"/>
        <v>103002</v>
      </c>
      <c r="H1790" s="14">
        <f t="shared" si="56"/>
        <v>272.35000000000002</v>
      </c>
    </row>
    <row r="1791" spans="1:8" ht="41.4">
      <c r="A1791" s="502" t="s">
        <v>15962</v>
      </c>
      <c r="B1791" s="504" t="s">
        <v>15963</v>
      </c>
      <c r="C1791" s="502" t="s">
        <v>114</v>
      </c>
      <c r="D1791" s="503" t="s">
        <v>31458</v>
      </c>
      <c r="F1791" t="str">
        <f t="shared" si="55"/>
        <v>103003</v>
      </c>
      <c r="H1791" s="14">
        <f t="shared" si="56"/>
        <v>374.97</v>
      </c>
    </row>
    <row r="1792" spans="1:8" ht="41.4">
      <c r="A1792" s="502" t="s">
        <v>15964</v>
      </c>
      <c r="B1792" s="504" t="s">
        <v>15965</v>
      </c>
      <c r="C1792" s="502" t="s">
        <v>114</v>
      </c>
      <c r="D1792" s="503" t="s">
        <v>31459</v>
      </c>
      <c r="F1792" t="str">
        <f t="shared" si="55"/>
        <v>103005</v>
      </c>
      <c r="H1792" s="14">
        <f t="shared" si="56"/>
        <v>686</v>
      </c>
    </row>
    <row r="1793" spans="1:8" ht="41.4">
      <c r="A1793" s="502" t="s">
        <v>15966</v>
      </c>
      <c r="B1793" s="504" t="s">
        <v>15967</v>
      </c>
      <c r="C1793" s="502" t="s">
        <v>114</v>
      </c>
      <c r="D1793" s="503" t="s">
        <v>31460</v>
      </c>
      <c r="F1793" t="str">
        <f t="shared" si="55"/>
        <v>103006</v>
      </c>
      <c r="H1793" s="14">
        <f t="shared" si="56"/>
        <v>942.84</v>
      </c>
    </row>
    <row r="1794" spans="1:8" ht="41.4">
      <c r="A1794" s="502" t="s">
        <v>15968</v>
      </c>
      <c r="B1794" s="504" t="s">
        <v>15969</v>
      </c>
      <c r="C1794" s="502" t="s">
        <v>114</v>
      </c>
      <c r="D1794" s="503" t="s">
        <v>31461</v>
      </c>
      <c r="F1794" t="str">
        <f t="shared" si="55"/>
        <v>103007</v>
      </c>
      <c r="H1794" s="14">
        <f t="shared" si="56"/>
        <v>1229.1099999999999</v>
      </c>
    </row>
    <row r="1795" spans="1:8" ht="41.4">
      <c r="A1795" s="502" t="s">
        <v>11855</v>
      </c>
      <c r="B1795" s="504" t="s">
        <v>11856</v>
      </c>
      <c r="C1795" s="502" t="s">
        <v>114</v>
      </c>
      <c r="D1795" s="503" t="s">
        <v>31462</v>
      </c>
      <c r="F1795" t="str">
        <f t="shared" si="55"/>
        <v>97933</v>
      </c>
      <c r="H1795" s="14">
        <f t="shared" si="56"/>
        <v>1481.51</v>
      </c>
    </row>
    <row r="1796" spans="1:8" ht="41.4">
      <c r="A1796" s="502" t="s">
        <v>11857</v>
      </c>
      <c r="B1796" s="504" t="s">
        <v>24098</v>
      </c>
      <c r="C1796" s="502" t="s">
        <v>114</v>
      </c>
      <c r="D1796" s="503" t="s">
        <v>31463</v>
      </c>
      <c r="F1796" t="str">
        <f t="shared" si="55"/>
        <v>97934</v>
      </c>
      <c r="H1796" s="14">
        <f t="shared" si="56"/>
        <v>3271.14</v>
      </c>
    </row>
    <row r="1797" spans="1:8" ht="41.4">
      <c r="A1797" s="502" t="s">
        <v>11858</v>
      </c>
      <c r="B1797" s="504" t="s">
        <v>11859</v>
      </c>
      <c r="C1797" s="502" t="s">
        <v>114</v>
      </c>
      <c r="D1797" s="503" t="s">
        <v>21665</v>
      </c>
      <c r="F1797" t="str">
        <f t="shared" ref="F1797:F1860" si="57">TRIM(A1797)</f>
        <v>97935</v>
      </c>
      <c r="H1797" s="14">
        <f t="shared" ref="H1797:H1860" si="58">ROUND(D1797*(1+$H$1),2)</f>
        <v>1219.3800000000001</v>
      </c>
    </row>
    <row r="1798" spans="1:8" ht="41.4">
      <c r="A1798" s="502" t="s">
        <v>11860</v>
      </c>
      <c r="B1798" s="504" t="s">
        <v>11861</v>
      </c>
      <c r="C1798" s="502" t="s">
        <v>114</v>
      </c>
      <c r="D1798" s="503" t="s">
        <v>31464</v>
      </c>
      <c r="F1798" t="str">
        <f t="shared" si="57"/>
        <v>97936</v>
      </c>
      <c r="H1798" s="14">
        <f t="shared" si="58"/>
        <v>2795.39</v>
      </c>
    </row>
    <row r="1799" spans="1:8" ht="41.4">
      <c r="A1799" s="502" t="s">
        <v>11862</v>
      </c>
      <c r="B1799" s="504" t="s">
        <v>11863</v>
      </c>
      <c r="C1799" s="502" t="s">
        <v>114</v>
      </c>
      <c r="D1799" s="503" t="s">
        <v>31465</v>
      </c>
      <c r="F1799" t="str">
        <f t="shared" si="57"/>
        <v>97947</v>
      </c>
      <c r="H1799" s="14">
        <f t="shared" si="58"/>
        <v>2296.8000000000002</v>
      </c>
    </row>
    <row r="1800" spans="1:8" ht="41.4">
      <c r="A1800" s="502" t="s">
        <v>11864</v>
      </c>
      <c r="B1800" s="504" t="s">
        <v>11865</v>
      </c>
      <c r="C1800" s="502" t="s">
        <v>114</v>
      </c>
      <c r="D1800" s="503" t="s">
        <v>31466</v>
      </c>
      <c r="F1800" t="str">
        <f t="shared" si="57"/>
        <v>97948</v>
      </c>
      <c r="H1800" s="14">
        <f t="shared" si="58"/>
        <v>4273.95</v>
      </c>
    </row>
    <row r="1801" spans="1:8" ht="41.4">
      <c r="A1801" s="502" t="s">
        <v>11866</v>
      </c>
      <c r="B1801" s="504" t="s">
        <v>11867</v>
      </c>
      <c r="C1801" s="502" t="s">
        <v>114</v>
      </c>
      <c r="D1801" s="503" t="s">
        <v>31467</v>
      </c>
      <c r="F1801" t="str">
        <f t="shared" si="57"/>
        <v>97949</v>
      </c>
      <c r="H1801" s="14">
        <f t="shared" si="58"/>
        <v>2286.41</v>
      </c>
    </row>
    <row r="1802" spans="1:8" ht="41.4">
      <c r="A1802" s="502" t="s">
        <v>11868</v>
      </c>
      <c r="B1802" s="504" t="s">
        <v>11869</v>
      </c>
      <c r="C1802" s="502" t="s">
        <v>114</v>
      </c>
      <c r="D1802" s="503" t="s">
        <v>31468</v>
      </c>
      <c r="F1802" t="str">
        <f t="shared" si="57"/>
        <v>97950</v>
      </c>
      <c r="H1802" s="14">
        <f t="shared" si="58"/>
        <v>4065.32</v>
      </c>
    </row>
    <row r="1803" spans="1:8" ht="55.2">
      <c r="A1803" s="502" t="s">
        <v>11870</v>
      </c>
      <c r="B1803" s="504" t="s">
        <v>11871</v>
      </c>
      <c r="C1803" s="502" t="s">
        <v>114</v>
      </c>
      <c r="D1803" s="503" t="s">
        <v>31469</v>
      </c>
      <c r="F1803" t="str">
        <f t="shared" si="57"/>
        <v>97951</v>
      </c>
      <c r="H1803" s="14">
        <f t="shared" si="58"/>
        <v>3714.94</v>
      </c>
    </row>
    <row r="1804" spans="1:8" ht="55.2">
      <c r="A1804" s="502" t="s">
        <v>11872</v>
      </c>
      <c r="B1804" s="504" t="s">
        <v>11873</v>
      </c>
      <c r="C1804" s="502" t="s">
        <v>114</v>
      </c>
      <c r="D1804" s="503" t="s">
        <v>31470</v>
      </c>
      <c r="F1804" t="str">
        <f t="shared" si="57"/>
        <v>97952</v>
      </c>
      <c r="H1804" s="14">
        <f t="shared" si="58"/>
        <v>6516.95</v>
      </c>
    </row>
    <row r="1805" spans="1:8" ht="41.4">
      <c r="A1805" s="502" t="s">
        <v>11874</v>
      </c>
      <c r="B1805" s="504" t="s">
        <v>11875</v>
      </c>
      <c r="C1805" s="502" t="s">
        <v>114</v>
      </c>
      <c r="D1805" s="503" t="s">
        <v>31471</v>
      </c>
      <c r="F1805" t="str">
        <f t="shared" si="57"/>
        <v>97953</v>
      </c>
      <c r="H1805" s="14">
        <f t="shared" si="58"/>
        <v>1914.14</v>
      </c>
    </row>
    <row r="1806" spans="1:8" ht="41.4">
      <c r="A1806" s="502" t="s">
        <v>11876</v>
      </c>
      <c r="B1806" s="504" t="s">
        <v>11877</v>
      </c>
      <c r="C1806" s="502" t="s">
        <v>114</v>
      </c>
      <c r="D1806" s="503" t="s">
        <v>31472</v>
      </c>
      <c r="F1806" t="str">
        <f t="shared" si="57"/>
        <v>97955</v>
      </c>
      <c r="H1806" s="14">
        <f t="shared" si="58"/>
        <v>4099.88</v>
      </c>
    </row>
    <row r="1807" spans="1:8" ht="41.4">
      <c r="A1807" s="502" t="s">
        <v>11878</v>
      </c>
      <c r="B1807" s="504" t="s">
        <v>11879</v>
      </c>
      <c r="C1807" s="502" t="s">
        <v>114</v>
      </c>
      <c r="D1807" s="503" t="s">
        <v>31473</v>
      </c>
      <c r="F1807" t="str">
        <f t="shared" si="57"/>
        <v>97956</v>
      </c>
      <c r="H1807" s="14">
        <f t="shared" si="58"/>
        <v>2050.4499999999998</v>
      </c>
    </row>
    <row r="1808" spans="1:8" ht="41.4">
      <c r="A1808" s="502" t="s">
        <v>11880</v>
      </c>
      <c r="B1808" s="504" t="s">
        <v>11881</v>
      </c>
      <c r="C1808" s="502" t="s">
        <v>114</v>
      </c>
      <c r="D1808" s="503" t="s">
        <v>31474</v>
      </c>
      <c r="F1808" t="str">
        <f t="shared" si="57"/>
        <v>97957</v>
      </c>
      <c r="H1808" s="14">
        <f t="shared" si="58"/>
        <v>3679.55</v>
      </c>
    </row>
    <row r="1809" spans="1:8" ht="41.4">
      <c r="A1809" s="502" t="s">
        <v>11882</v>
      </c>
      <c r="B1809" s="504" t="s">
        <v>11883</v>
      </c>
      <c r="C1809" s="502" t="s">
        <v>114</v>
      </c>
      <c r="D1809" s="503" t="s">
        <v>31475</v>
      </c>
      <c r="F1809" t="str">
        <f t="shared" si="57"/>
        <v>97961</v>
      </c>
      <c r="H1809" s="14">
        <f t="shared" si="58"/>
        <v>3332.88</v>
      </c>
    </row>
    <row r="1810" spans="1:8" ht="41.4">
      <c r="A1810" s="502" t="s">
        <v>11884</v>
      </c>
      <c r="B1810" s="504" t="s">
        <v>11885</v>
      </c>
      <c r="C1810" s="502" t="s">
        <v>114</v>
      </c>
      <c r="D1810" s="503" t="s">
        <v>31476</v>
      </c>
      <c r="F1810" t="str">
        <f t="shared" si="57"/>
        <v>97973</v>
      </c>
      <c r="H1810" s="14">
        <f t="shared" si="58"/>
        <v>6216.5</v>
      </c>
    </row>
    <row r="1811" spans="1:8" ht="55.2">
      <c r="A1811" s="502" t="s">
        <v>11886</v>
      </c>
      <c r="B1811" s="504" t="s">
        <v>24099</v>
      </c>
      <c r="C1811" s="502" t="s">
        <v>114</v>
      </c>
      <c r="D1811" s="503" t="s">
        <v>31477</v>
      </c>
      <c r="F1811" t="str">
        <f t="shared" si="57"/>
        <v>97974</v>
      </c>
      <c r="H1811" s="14">
        <f t="shared" si="58"/>
        <v>678.32</v>
      </c>
    </row>
    <row r="1812" spans="1:8" ht="55.2">
      <c r="A1812" s="502" t="s">
        <v>11887</v>
      </c>
      <c r="B1812" s="504" t="s">
        <v>24100</v>
      </c>
      <c r="C1812" s="502" t="s">
        <v>114</v>
      </c>
      <c r="D1812" s="503" t="s">
        <v>31478</v>
      </c>
      <c r="F1812" t="str">
        <f t="shared" si="57"/>
        <v>97975</v>
      </c>
      <c r="H1812" s="14">
        <f t="shared" si="58"/>
        <v>881.7</v>
      </c>
    </row>
    <row r="1813" spans="1:8" ht="55.2">
      <c r="A1813" s="502" t="s">
        <v>7556</v>
      </c>
      <c r="B1813" s="504" t="s">
        <v>24101</v>
      </c>
      <c r="C1813" s="502" t="s">
        <v>114</v>
      </c>
      <c r="D1813" s="503" t="s">
        <v>31479</v>
      </c>
      <c r="F1813" t="str">
        <f t="shared" si="57"/>
        <v>97976</v>
      </c>
      <c r="H1813" s="14">
        <f t="shared" si="58"/>
        <v>1516.32</v>
      </c>
    </row>
    <row r="1814" spans="1:8" ht="55.2">
      <c r="A1814" s="502" t="s">
        <v>7557</v>
      </c>
      <c r="B1814" s="504" t="s">
        <v>24102</v>
      </c>
      <c r="C1814" s="502" t="s">
        <v>114</v>
      </c>
      <c r="D1814" s="503" t="s">
        <v>31480</v>
      </c>
      <c r="F1814" t="str">
        <f t="shared" si="57"/>
        <v>97977</v>
      </c>
      <c r="H1814" s="14">
        <f t="shared" si="58"/>
        <v>2130.36</v>
      </c>
    </row>
    <row r="1815" spans="1:8" ht="55.2">
      <c r="A1815" s="502" t="s">
        <v>11888</v>
      </c>
      <c r="B1815" s="504" t="s">
        <v>24103</v>
      </c>
      <c r="C1815" s="502" t="s">
        <v>114</v>
      </c>
      <c r="D1815" s="503" t="s">
        <v>31481</v>
      </c>
      <c r="F1815" t="str">
        <f t="shared" si="57"/>
        <v>97978</v>
      </c>
      <c r="H1815" s="14">
        <f t="shared" si="58"/>
        <v>1358.39</v>
      </c>
    </row>
    <row r="1816" spans="1:8" ht="55.2">
      <c r="A1816" s="502" t="s">
        <v>7558</v>
      </c>
      <c r="B1816" s="504" t="s">
        <v>24104</v>
      </c>
      <c r="C1816" s="502" t="s">
        <v>114</v>
      </c>
      <c r="D1816" s="503" t="s">
        <v>31482</v>
      </c>
      <c r="F1816" t="str">
        <f t="shared" si="57"/>
        <v>97980</v>
      </c>
      <c r="H1816" s="14">
        <f t="shared" si="58"/>
        <v>2782.55</v>
      </c>
    </row>
    <row r="1817" spans="1:8" ht="41.4">
      <c r="A1817" s="502" t="s">
        <v>7559</v>
      </c>
      <c r="B1817" s="504" t="s">
        <v>11889</v>
      </c>
      <c r="C1817" s="502" t="s">
        <v>75</v>
      </c>
      <c r="D1817" s="503" t="s">
        <v>31483</v>
      </c>
      <c r="F1817" t="str">
        <f t="shared" si="57"/>
        <v>97981</v>
      </c>
      <c r="H1817" s="14">
        <f t="shared" si="58"/>
        <v>1524.66</v>
      </c>
    </row>
    <row r="1818" spans="1:8" ht="41.4">
      <c r="A1818" s="502" t="s">
        <v>7560</v>
      </c>
      <c r="B1818" s="504" t="s">
        <v>11890</v>
      </c>
      <c r="C1818" s="502" t="s">
        <v>75</v>
      </c>
      <c r="D1818" s="503" t="s">
        <v>31484</v>
      </c>
      <c r="F1818" t="str">
        <f t="shared" si="57"/>
        <v>97983</v>
      </c>
      <c r="H1818" s="14">
        <f t="shared" si="58"/>
        <v>716.26</v>
      </c>
    </row>
    <row r="1819" spans="1:8" ht="41.4">
      <c r="A1819" s="502" t="s">
        <v>7561</v>
      </c>
      <c r="B1819" s="504" t="s">
        <v>11891</v>
      </c>
      <c r="C1819" s="502" t="s">
        <v>75</v>
      </c>
      <c r="D1819" s="503" t="s">
        <v>31485</v>
      </c>
      <c r="F1819" t="str">
        <f t="shared" si="57"/>
        <v>97985</v>
      </c>
      <c r="H1819" s="14">
        <f t="shared" si="58"/>
        <v>1837.12</v>
      </c>
    </row>
    <row r="1820" spans="1:8" ht="41.4">
      <c r="A1820" s="502" t="s">
        <v>7562</v>
      </c>
      <c r="B1820" s="504" t="s">
        <v>11892</v>
      </c>
      <c r="C1820" s="502" t="s">
        <v>75</v>
      </c>
      <c r="D1820" s="503" t="s">
        <v>31486</v>
      </c>
      <c r="F1820" t="str">
        <f t="shared" si="57"/>
        <v>97987</v>
      </c>
      <c r="H1820" s="14">
        <f t="shared" si="58"/>
        <v>951.88</v>
      </c>
    </row>
    <row r="1821" spans="1:8" ht="55.2">
      <c r="A1821" s="502" t="s">
        <v>7563</v>
      </c>
      <c r="B1821" s="504" t="s">
        <v>24105</v>
      </c>
      <c r="C1821" s="502" t="s">
        <v>114</v>
      </c>
      <c r="D1821" s="503" t="s">
        <v>31487</v>
      </c>
      <c r="F1821" t="str">
        <f t="shared" si="57"/>
        <v>97988</v>
      </c>
      <c r="H1821" s="14">
        <f t="shared" si="58"/>
        <v>4076.44</v>
      </c>
    </row>
    <row r="1822" spans="1:8" ht="41.4">
      <c r="A1822" s="502" t="s">
        <v>7564</v>
      </c>
      <c r="B1822" s="504" t="s">
        <v>11893</v>
      </c>
      <c r="C1822" s="502" t="s">
        <v>75</v>
      </c>
      <c r="D1822" s="503" t="s">
        <v>31488</v>
      </c>
      <c r="F1822" t="str">
        <f t="shared" si="57"/>
        <v>97989</v>
      </c>
      <c r="H1822" s="14">
        <f t="shared" si="58"/>
        <v>2149.4299999999998</v>
      </c>
    </row>
    <row r="1823" spans="1:8" ht="41.4">
      <c r="A1823" s="502" t="s">
        <v>7565</v>
      </c>
      <c r="B1823" s="504" t="s">
        <v>11894</v>
      </c>
      <c r="C1823" s="502" t="s">
        <v>75</v>
      </c>
      <c r="D1823" s="503" t="s">
        <v>31489</v>
      </c>
      <c r="F1823" t="str">
        <f t="shared" si="57"/>
        <v>97991</v>
      </c>
      <c r="H1823" s="14">
        <f t="shared" si="58"/>
        <v>1303.76</v>
      </c>
    </row>
    <row r="1824" spans="1:8" ht="55.2">
      <c r="A1824" s="502" t="s">
        <v>7566</v>
      </c>
      <c r="B1824" s="504" t="s">
        <v>24106</v>
      </c>
      <c r="C1824" s="502" t="s">
        <v>114</v>
      </c>
      <c r="D1824" s="503" t="s">
        <v>31490</v>
      </c>
      <c r="F1824" t="str">
        <f t="shared" si="57"/>
        <v>97992</v>
      </c>
      <c r="H1824" s="14">
        <f t="shared" si="58"/>
        <v>5211.9399999999996</v>
      </c>
    </row>
    <row r="1825" spans="1:8" ht="41.4">
      <c r="A1825" s="502" t="s">
        <v>7567</v>
      </c>
      <c r="B1825" s="504" t="s">
        <v>11895</v>
      </c>
      <c r="C1825" s="502" t="s">
        <v>75</v>
      </c>
      <c r="D1825" s="503" t="s">
        <v>31491</v>
      </c>
      <c r="F1825" t="str">
        <f t="shared" si="57"/>
        <v>97993</v>
      </c>
      <c r="H1825" s="14">
        <f t="shared" si="58"/>
        <v>2618.08</v>
      </c>
    </row>
    <row r="1826" spans="1:8" ht="55.2">
      <c r="A1826" s="502" t="s">
        <v>7568</v>
      </c>
      <c r="B1826" s="504" t="s">
        <v>24107</v>
      </c>
      <c r="C1826" s="502" t="s">
        <v>114</v>
      </c>
      <c r="D1826" s="503" t="s">
        <v>31492</v>
      </c>
      <c r="F1826" t="str">
        <f t="shared" si="57"/>
        <v>97994</v>
      </c>
      <c r="H1826" s="14">
        <f t="shared" si="58"/>
        <v>3688.11</v>
      </c>
    </row>
    <row r="1827" spans="1:8" ht="41.4">
      <c r="A1827" s="502" t="s">
        <v>7569</v>
      </c>
      <c r="B1827" s="504" t="s">
        <v>11896</v>
      </c>
      <c r="C1827" s="502" t="s">
        <v>75</v>
      </c>
      <c r="D1827" s="503" t="s">
        <v>31493</v>
      </c>
      <c r="F1827" t="str">
        <f t="shared" si="57"/>
        <v>97995</v>
      </c>
      <c r="H1827" s="14">
        <f t="shared" si="58"/>
        <v>1857.6</v>
      </c>
    </row>
    <row r="1828" spans="1:8" ht="55.2">
      <c r="A1828" s="502" t="s">
        <v>7570</v>
      </c>
      <c r="B1828" s="504" t="s">
        <v>24108</v>
      </c>
      <c r="C1828" s="502" t="s">
        <v>114</v>
      </c>
      <c r="D1828" s="503" t="s">
        <v>31494</v>
      </c>
      <c r="F1828" t="str">
        <f t="shared" si="57"/>
        <v>97996</v>
      </c>
      <c r="H1828" s="14">
        <f t="shared" si="58"/>
        <v>4665.63</v>
      </c>
    </row>
    <row r="1829" spans="1:8" ht="41.4">
      <c r="A1829" s="502" t="s">
        <v>7571</v>
      </c>
      <c r="B1829" s="504" t="s">
        <v>11897</v>
      </c>
      <c r="C1829" s="502" t="s">
        <v>75</v>
      </c>
      <c r="D1829" s="503" t="s">
        <v>31495</v>
      </c>
      <c r="F1829" t="str">
        <f t="shared" si="57"/>
        <v>97997</v>
      </c>
      <c r="H1829" s="14">
        <f t="shared" si="58"/>
        <v>2219.96</v>
      </c>
    </row>
    <row r="1830" spans="1:8" ht="41.4">
      <c r="A1830" s="502" t="s">
        <v>7572</v>
      </c>
      <c r="B1830" s="504" t="s">
        <v>11898</v>
      </c>
      <c r="C1830" s="502" t="s">
        <v>75</v>
      </c>
      <c r="D1830" s="503" t="s">
        <v>31496</v>
      </c>
      <c r="F1830" t="str">
        <f t="shared" si="57"/>
        <v>97999</v>
      </c>
      <c r="H1830" s="14">
        <f t="shared" si="58"/>
        <v>2582.41</v>
      </c>
    </row>
    <row r="1831" spans="1:8" ht="41.4">
      <c r="A1831" s="502" t="s">
        <v>7573</v>
      </c>
      <c r="B1831" s="504" t="s">
        <v>11899</v>
      </c>
      <c r="C1831" s="502" t="s">
        <v>75</v>
      </c>
      <c r="D1831" s="503" t="s">
        <v>31497</v>
      </c>
      <c r="F1831" t="str">
        <f t="shared" si="57"/>
        <v>98001</v>
      </c>
      <c r="H1831" s="14">
        <f t="shared" si="58"/>
        <v>2944.76</v>
      </c>
    </row>
    <row r="1832" spans="1:8" ht="55.2">
      <c r="A1832" s="502" t="s">
        <v>7574</v>
      </c>
      <c r="B1832" s="504" t="s">
        <v>24109</v>
      </c>
      <c r="C1832" s="502" t="s">
        <v>114</v>
      </c>
      <c r="D1832" s="503" t="s">
        <v>31498</v>
      </c>
      <c r="F1832" t="str">
        <f t="shared" si="57"/>
        <v>98002</v>
      </c>
      <c r="H1832" s="14">
        <f t="shared" si="58"/>
        <v>7643.18</v>
      </c>
    </row>
    <row r="1833" spans="1:8" ht="41.4">
      <c r="A1833" s="502" t="s">
        <v>7575</v>
      </c>
      <c r="B1833" s="504" t="s">
        <v>11900</v>
      </c>
      <c r="C1833" s="502" t="s">
        <v>75</v>
      </c>
      <c r="D1833" s="503" t="s">
        <v>31499</v>
      </c>
      <c r="F1833" t="str">
        <f t="shared" si="57"/>
        <v>98003</v>
      </c>
      <c r="H1833" s="14">
        <f t="shared" si="58"/>
        <v>3307.24</v>
      </c>
    </row>
    <row r="1834" spans="1:8" ht="41.4">
      <c r="A1834" s="502" t="s">
        <v>7576</v>
      </c>
      <c r="B1834" s="504" t="s">
        <v>11901</v>
      </c>
      <c r="C1834" s="502" t="s">
        <v>75</v>
      </c>
      <c r="D1834" s="503" t="s">
        <v>31500</v>
      </c>
      <c r="F1834" t="str">
        <f t="shared" si="57"/>
        <v>98005</v>
      </c>
      <c r="H1834" s="14">
        <f t="shared" si="58"/>
        <v>3669.68</v>
      </c>
    </row>
    <row r="1835" spans="1:8" ht="55.2">
      <c r="A1835" s="502" t="s">
        <v>7577</v>
      </c>
      <c r="B1835" s="504" t="s">
        <v>24110</v>
      </c>
      <c r="C1835" s="502" t="s">
        <v>114</v>
      </c>
      <c r="D1835" s="503" t="s">
        <v>31501</v>
      </c>
      <c r="F1835" t="str">
        <f t="shared" si="57"/>
        <v>98006</v>
      </c>
      <c r="H1835" s="14">
        <f t="shared" si="58"/>
        <v>9609.58</v>
      </c>
    </row>
    <row r="1836" spans="1:8" ht="41.4">
      <c r="A1836" s="502" t="s">
        <v>7578</v>
      </c>
      <c r="B1836" s="504" t="s">
        <v>11902</v>
      </c>
      <c r="C1836" s="502" t="s">
        <v>75</v>
      </c>
      <c r="D1836" s="503" t="s">
        <v>31502</v>
      </c>
      <c r="F1836" t="str">
        <f t="shared" si="57"/>
        <v>98007</v>
      </c>
      <c r="H1836" s="14">
        <f t="shared" si="58"/>
        <v>4032.04</v>
      </c>
    </row>
    <row r="1837" spans="1:8" ht="55.2">
      <c r="A1837" s="502" t="s">
        <v>7579</v>
      </c>
      <c r="B1837" s="504" t="s">
        <v>24111</v>
      </c>
      <c r="C1837" s="502" t="s">
        <v>114</v>
      </c>
      <c r="D1837" s="503" t="s">
        <v>31503</v>
      </c>
      <c r="F1837" t="str">
        <f t="shared" si="57"/>
        <v>98008</v>
      </c>
      <c r="H1837" s="14">
        <f t="shared" si="58"/>
        <v>5773.35</v>
      </c>
    </row>
    <row r="1838" spans="1:8" ht="41.4">
      <c r="A1838" s="502" t="s">
        <v>7580</v>
      </c>
      <c r="B1838" s="504" t="s">
        <v>11903</v>
      </c>
      <c r="C1838" s="502" t="s">
        <v>75</v>
      </c>
      <c r="D1838" s="503" t="s">
        <v>31496</v>
      </c>
      <c r="F1838" t="str">
        <f t="shared" si="57"/>
        <v>98009</v>
      </c>
      <c r="H1838" s="14">
        <f t="shared" si="58"/>
        <v>2582.41</v>
      </c>
    </row>
    <row r="1839" spans="1:8" ht="55.2">
      <c r="A1839" s="502" t="s">
        <v>7581</v>
      </c>
      <c r="B1839" s="504" t="s">
        <v>24112</v>
      </c>
      <c r="C1839" s="502" t="s">
        <v>114</v>
      </c>
      <c r="D1839" s="503" t="s">
        <v>31504</v>
      </c>
      <c r="F1839" t="str">
        <f t="shared" si="57"/>
        <v>98010</v>
      </c>
      <c r="H1839" s="14">
        <f t="shared" si="58"/>
        <v>7041.52</v>
      </c>
    </row>
    <row r="1840" spans="1:8" ht="41.4">
      <c r="A1840" s="502" t="s">
        <v>7582</v>
      </c>
      <c r="B1840" s="504" t="s">
        <v>11904</v>
      </c>
      <c r="C1840" s="502" t="s">
        <v>75</v>
      </c>
      <c r="D1840" s="503" t="s">
        <v>31497</v>
      </c>
      <c r="F1840" t="str">
        <f t="shared" si="57"/>
        <v>98011</v>
      </c>
      <c r="H1840" s="14">
        <f t="shared" si="58"/>
        <v>2944.76</v>
      </c>
    </row>
    <row r="1841" spans="1:8" ht="55.2">
      <c r="A1841" s="502" t="s">
        <v>7583</v>
      </c>
      <c r="B1841" s="504" t="s">
        <v>24113</v>
      </c>
      <c r="C1841" s="502" t="s">
        <v>114</v>
      </c>
      <c r="D1841" s="503" t="s">
        <v>31505</v>
      </c>
      <c r="F1841" t="str">
        <f t="shared" si="57"/>
        <v>98012</v>
      </c>
      <c r="H1841" s="14">
        <f t="shared" si="58"/>
        <v>8274.0400000000009</v>
      </c>
    </row>
    <row r="1842" spans="1:8" ht="41.4">
      <c r="A1842" s="502" t="s">
        <v>7584</v>
      </c>
      <c r="B1842" s="504" t="s">
        <v>11905</v>
      </c>
      <c r="C1842" s="502" t="s">
        <v>75</v>
      </c>
      <c r="D1842" s="503" t="s">
        <v>31499</v>
      </c>
      <c r="F1842" t="str">
        <f t="shared" si="57"/>
        <v>98013</v>
      </c>
      <c r="H1842" s="14">
        <f t="shared" si="58"/>
        <v>3307.24</v>
      </c>
    </row>
    <row r="1843" spans="1:8" ht="55.2">
      <c r="A1843" s="502" t="s">
        <v>7585</v>
      </c>
      <c r="B1843" s="504" t="s">
        <v>24114</v>
      </c>
      <c r="C1843" s="502" t="s">
        <v>114</v>
      </c>
      <c r="D1843" s="503" t="s">
        <v>31506</v>
      </c>
      <c r="F1843" t="str">
        <f t="shared" si="57"/>
        <v>98014</v>
      </c>
      <c r="H1843" s="14">
        <f t="shared" si="58"/>
        <v>9506.3700000000008</v>
      </c>
    </row>
    <row r="1844" spans="1:8" ht="41.4">
      <c r="A1844" s="502" t="s">
        <v>7586</v>
      </c>
      <c r="B1844" s="504" t="s">
        <v>11906</v>
      </c>
      <c r="C1844" s="502" t="s">
        <v>75</v>
      </c>
      <c r="D1844" s="503" t="s">
        <v>31500</v>
      </c>
      <c r="F1844" t="str">
        <f t="shared" si="57"/>
        <v>98015</v>
      </c>
      <c r="H1844" s="14">
        <f t="shared" si="58"/>
        <v>3669.68</v>
      </c>
    </row>
    <row r="1845" spans="1:8" ht="55.2">
      <c r="A1845" s="502" t="s">
        <v>7587</v>
      </c>
      <c r="B1845" s="504" t="s">
        <v>24115</v>
      </c>
      <c r="C1845" s="502" t="s">
        <v>114</v>
      </c>
      <c r="D1845" s="503" t="s">
        <v>31507</v>
      </c>
      <c r="F1845" t="str">
        <f t="shared" si="57"/>
        <v>98016</v>
      </c>
      <c r="H1845" s="14">
        <f t="shared" si="58"/>
        <v>10738.92</v>
      </c>
    </row>
    <row r="1846" spans="1:8" ht="41.4">
      <c r="A1846" s="502" t="s">
        <v>7588</v>
      </c>
      <c r="B1846" s="504" t="s">
        <v>11907</v>
      </c>
      <c r="C1846" s="502" t="s">
        <v>75</v>
      </c>
      <c r="D1846" s="503" t="s">
        <v>31502</v>
      </c>
      <c r="F1846" t="str">
        <f t="shared" si="57"/>
        <v>98017</v>
      </c>
      <c r="H1846" s="14">
        <f t="shared" si="58"/>
        <v>4032.04</v>
      </c>
    </row>
    <row r="1847" spans="1:8" ht="55.2">
      <c r="A1847" s="502" t="s">
        <v>7589</v>
      </c>
      <c r="B1847" s="504" t="s">
        <v>24116</v>
      </c>
      <c r="C1847" s="502" t="s">
        <v>114</v>
      </c>
      <c r="D1847" s="503" t="s">
        <v>31508</v>
      </c>
      <c r="F1847" t="str">
        <f t="shared" si="57"/>
        <v>98018</v>
      </c>
      <c r="H1847" s="14">
        <f t="shared" si="58"/>
        <v>11971.34</v>
      </c>
    </row>
    <row r="1848" spans="1:8" ht="41.4">
      <c r="A1848" s="502" t="s">
        <v>7590</v>
      </c>
      <c r="B1848" s="504" t="s">
        <v>11908</v>
      </c>
      <c r="C1848" s="502" t="s">
        <v>75</v>
      </c>
      <c r="D1848" s="503" t="s">
        <v>31509</v>
      </c>
      <c r="F1848" t="str">
        <f t="shared" si="57"/>
        <v>98019</v>
      </c>
      <c r="H1848" s="14">
        <f t="shared" si="58"/>
        <v>4425.62</v>
      </c>
    </row>
    <row r="1849" spans="1:8" ht="55.2">
      <c r="A1849" s="502" t="s">
        <v>7591</v>
      </c>
      <c r="B1849" s="504" t="s">
        <v>24117</v>
      </c>
      <c r="C1849" s="502" t="s">
        <v>114</v>
      </c>
      <c r="D1849" s="503" t="s">
        <v>31510</v>
      </c>
      <c r="F1849" t="str">
        <f t="shared" si="57"/>
        <v>98020</v>
      </c>
      <c r="H1849" s="14">
        <f t="shared" si="58"/>
        <v>8509.98</v>
      </c>
    </row>
    <row r="1850" spans="1:8" ht="41.4">
      <c r="A1850" s="502" t="s">
        <v>7592</v>
      </c>
      <c r="B1850" s="504" t="s">
        <v>11909</v>
      </c>
      <c r="C1850" s="502" t="s">
        <v>75</v>
      </c>
      <c r="D1850" s="503" t="s">
        <v>31511</v>
      </c>
      <c r="F1850" t="str">
        <f t="shared" si="57"/>
        <v>98021</v>
      </c>
      <c r="H1850" s="14">
        <f t="shared" si="58"/>
        <v>3338.45</v>
      </c>
    </row>
    <row r="1851" spans="1:8" ht="55.2">
      <c r="A1851" s="502" t="s">
        <v>7593</v>
      </c>
      <c r="B1851" s="504" t="s">
        <v>24118</v>
      </c>
      <c r="C1851" s="502" t="s">
        <v>114</v>
      </c>
      <c r="D1851" s="503" t="s">
        <v>31512</v>
      </c>
      <c r="F1851" t="str">
        <f t="shared" si="57"/>
        <v>98022</v>
      </c>
      <c r="H1851" s="14">
        <f t="shared" si="58"/>
        <v>9974.6200000000008</v>
      </c>
    </row>
    <row r="1852" spans="1:8" ht="41.4">
      <c r="A1852" s="502" t="s">
        <v>7594</v>
      </c>
      <c r="B1852" s="504" t="s">
        <v>11910</v>
      </c>
      <c r="C1852" s="502" t="s">
        <v>75</v>
      </c>
      <c r="D1852" s="503" t="s">
        <v>31513</v>
      </c>
      <c r="F1852" t="str">
        <f t="shared" si="57"/>
        <v>98023</v>
      </c>
      <c r="H1852" s="14">
        <f t="shared" si="58"/>
        <v>3700.81</v>
      </c>
    </row>
    <row r="1853" spans="1:8" ht="55.2">
      <c r="A1853" s="502" t="s">
        <v>7595</v>
      </c>
      <c r="B1853" s="504" t="s">
        <v>24119</v>
      </c>
      <c r="C1853" s="502" t="s">
        <v>114</v>
      </c>
      <c r="D1853" s="503" t="s">
        <v>31514</v>
      </c>
      <c r="F1853" t="str">
        <f t="shared" si="57"/>
        <v>98024</v>
      </c>
      <c r="H1853" s="14">
        <f t="shared" si="58"/>
        <v>11518.33</v>
      </c>
    </row>
    <row r="1854" spans="1:8" ht="41.4">
      <c r="A1854" s="502" t="s">
        <v>7596</v>
      </c>
      <c r="B1854" s="504" t="s">
        <v>11911</v>
      </c>
      <c r="C1854" s="502" t="s">
        <v>75</v>
      </c>
      <c r="D1854" s="503" t="s">
        <v>31515</v>
      </c>
      <c r="F1854" t="str">
        <f t="shared" si="57"/>
        <v>98025</v>
      </c>
      <c r="H1854" s="14">
        <f t="shared" si="58"/>
        <v>4063.25</v>
      </c>
    </row>
    <row r="1855" spans="1:8" ht="55.2">
      <c r="A1855" s="502" t="s">
        <v>7597</v>
      </c>
      <c r="B1855" s="504" t="s">
        <v>24120</v>
      </c>
      <c r="C1855" s="502" t="s">
        <v>114</v>
      </c>
      <c r="D1855" s="503" t="s">
        <v>31516</v>
      </c>
      <c r="F1855" t="str">
        <f t="shared" si="57"/>
        <v>98026</v>
      </c>
      <c r="H1855" s="14">
        <f t="shared" si="58"/>
        <v>12992.98</v>
      </c>
    </row>
    <row r="1856" spans="1:8" ht="41.4">
      <c r="A1856" s="502" t="s">
        <v>7598</v>
      </c>
      <c r="B1856" s="504" t="s">
        <v>11912</v>
      </c>
      <c r="C1856" s="502" t="s">
        <v>75</v>
      </c>
      <c r="D1856" s="503" t="s">
        <v>31509</v>
      </c>
      <c r="F1856" t="str">
        <f t="shared" si="57"/>
        <v>98027</v>
      </c>
      <c r="H1856" s="14">
        <f t="shared" si="58"/>
        <v>4425.62</v>
      </c>
    </row>
    <row r="1857" spans="1:8" ht="55.2">
      <c r="A1857" s="502" t="s">
        <v>7599</v>
      </c>
      <c r="B1857" s="504" t="s">
        <v>24121</v>
      </c>
      <c r="C1857" s="502" t="s">
        <v>114</v>
      </c>
      <c r="D1857" s="503" t="s">
        <v>31517</v>
      </c>
      <c r="F1857" t="str">
        <f t="shared" si="57"/>
        <v>98028</v>
      </c>
      <c r="H1857" s="14">
        <f t="shared" si="58"/>
        <v>14467.69</v>
      </c>
    </row>
    <row r="1858" spans="1:8" ht="41.4">
      <c r="A1858" s="502" t="s">
        <v>7600</v>
      </c>
      <c r="B1858" s="504" t="s">
        <v>11913</v>
      </c>
      <c r="C1858" s="502" t="s">
        <v>75</v>
      </c>
      <c r="D1858" s="503" t="s">
        <v>31518</v>
      </c>
      <c r="F1858" t="str">
        <f t="shared" si="57"/>
        <v>98029</v>
      </c>
      <c r="H1858" s="14">
        <f t="shared" si="58"/>
        <v>4794.45</v>
      </c>
    </row>
    <row r="1859" spans="1:8" ht="55.2">
      <c r="A1859" s="502" t="s">
        <v>7601</v>
      </c>
      <c r="B1859" s="504" t="s">
        <v>24122</v>
      </c>
      <c r="C1859" s="502" t="s">
        <v>114</v>
      </c>
      <c r="D1859" s="503" t="s">
        <v>31519</v>
      </c>
      <c r="F1859" t="str">
        <f t="shared" si="57"/>
        <v>98030</v>
      </c>
      <c r="H1859" s="14">
        <f t="shared" si="58"/>
        <v>11783.23</v>
      </c>
    </row>
    <row r="1860" spans="1:8" ht="41.4">
      <c r="A1860" s="502" t="s">
        <v>7602</v>
      </c>
      <c r="B1860" s="504" t="s">
        <v>11914</v>
      </c>
      <c r="C1860" s="502" t="s">
        <v>75</v>
      </c>
      <c r="D1860" s="503" t="s">
        <v>31520</v>
      </c>
      <c r="F1860" t="str">
        <f t="shared" si="57"/>
        <v>98031</v>
      </c>
      <c r="H1860" s="14">
        <f t="shared" si="58"/>
        <v>4069.76</v>
      </c>
    </row>
    <row r="1861" spans="1:8" ht="55.2">
      <c r="A1861" s="502" t="s">
        <v>7603</v>
      </c>
      <c r="B1861" s="504" t="s">
        <v>24123</v>
      </c>
      <c r="C1861" s="502" t="s">
        <v>114</v>
      </c>
      <c r="D1861" s="503" t="s">
        <v>31521</v>
      </c>
      <c r="F1861" t="str">
        <f t="shared" ref="F1861:F1924" si="59">TRIM(A1861)</f>
        <v>98032</v>
      </c>
      <c r="H1861" s="14">
        <f t="shared" ref="H1861:H1924" si="60">ROUND(D1861*(1+$H$1),2)</f>
        <v>13558.69</v>
      </c>
    </row>
    <row r="1862" spans="1:8" ht="41.4">
      <c r="A1862" s="502" t="s">
        <v>7604</v>
      </c>
      <c r="B1862" s="504" t="s">
        <v>11915</v>
      </c>
      <c r="C1862" s="502" t="s">
        <v>75</v>
      </c>
      <c r="D1862" s="503" t="s">
        <v>31522</v>
      </c>
      <c r="F1862" t="str">
        <f t="shared" si="59"/>
        <v>98033</v>
      </c>
      <c r="H1862" s="14">
        <f t="shared" si="60"/>
        <v>4432.12</v>
      </c>
    </row>
    <row r="1863" spans="1:8" ht="55.2">
      <c r="A1863" s="502" t="s">
        <v>7605</v>
      </c>
      <c r="B1863" s="504" t="s">
        <v>24124</v>
      </c>
      <c r="C1863" s="502" t="s">
        <v>114</v>
      </c>
      <c r="D1863" s="503" t="s">
        <v>31523</v>
      </c>
      <c r="F1863" t="str">
        <f t="shared" si="59"/>
        <v>98034</v>
      </c>
      <c r="H1863" s="14">
        <f t="shared" si="60"/>
        <v>15334.21</v>
      </c>
    </row>
    <row r="1864" spans="1:8" ht="41.4">
      <c r="A1864" s="502" t="s">
        <v>7606</v>
      </c>
      <c r="B1864" s="504" t="s">
        <v>11916</v>
      </c>
      <c r="C1864" s="502" t="s">
        <v>75</v>
      </c>
      <c r="D1864" s="503" t="s">
        <v>31518</v>
      </c>
      <c r="F1864" t="str">
        <f t="shared" si="59"/>
        <v>98035</v>
      </c>
      <c r="H1864" s="14">
        <f t="shared" si="60"/>
        <v>4794.45</v>
      </c>
    </row>
    <row r="1865" spans="1:8" ht="55.2">
      <c r="A1865" s="502" t="s">
        <v>7607</v>
      </c>
      <c r="B1865" s="504" t="s">
        <v>24125</v>
      </c>
      <c r="C1865" s="502" t="s">
        <v>114</v>
      </c>
      <c r="D1865" s="503" t="s">
        <v>31524</v>
      </c>
      <c r="F1865" t="str">
        <f t="shared" si="59"/>
        <v>98036</v>
      </c>
      <c r="H1865" s="14">
        <f t="shared" si="60"/>
        <v>17109.669999999998</v>
      </c>
    </row>
    <row r="1866" spans="1:8" ht="41.4">
      <c r="A1866" s="502" t="s">
        <v>7608</v>
      </c>
      <c r="B1866" s="504" t="s">
        <v>11917</v>
      </c>
      <c r="C1866" s="502" t="s">
        <v>75</v>
      </c>
      <c r="D1866" s="503" t="s">
        <v>31525</v>
      </c>
      <c r="F1866" t="str">
        <f t="shared" si="59"/>
        <v>98037</v>
      </c>
      <c r="H1866" s="14">
        <f t="shared" si="60"/>
        <v>5163.3</v>
      </c>
    </row>
    <row r="1867" spans="1:8" ht="55.2">
      <c r="A1867" s="502" t="s">
        <v>7609</v>
      </c>
      <c r="B1867" s="504" t="s">
        <v>24126</v>
      </c>
      <c r="C1867" s="502" t="s">
        <v>114</v>
      </c>
      <c r="D1867" s="503" t="s">
        <v>31526</v>
      </c>
      <c r="F1867" t="str">
        <f t="shared" si="59"/>
        <v>98038</v>
      </c>
      <c r="H1867" s="14">
        <f t="shared" si="60"/>
        <v>15658.23</v>
      </c>
    </row>
    <row r="1868" spans="1:8" ht="41.4">
      <c r="A1868" s="502" t="s">
        <v>7610</v>
      </c>
      <c r="B1868" s="504" t="s">
        <v>11918</v>
      </c>
      <c r="C1868" s="502" t="s">
        <v>75</v>
      </c>
      <c r="D1868" s="503" t="s">
        <v>31527</v>
      </c>
      <c r="F1868" t="str">
        <f t="shared" si="59"/>
        <v>98039</v>
      </c>
      <c r="H1868" s="14">
        <f t="shared" si="60"/>
        <v>4800.96</v>
      </c>
    </row>
    <row r="1869" spans="1:8" ht="55.2">
      <c r="A1869" s="502" t="s">
        <v>7611</v>
      </c>
      <c r="B1869" s="504" t="s">
        <v>24127</v>
      </c>
      <c r="C1869" s="502" t="s">
        <v>114</v>
      </c>
      <c r="D1869" s="503" t="s">
        <v>31528</v>
      </c>
      <c r="F1869" t="str">
        <f t="shared" si="59"/>
        <v>98040</v>
      </c>
      <c r="H1869" s="14">
        <f t="shared" si="60"/>
        <v>17698.07</v>
      </c>
    </row>
    <row r="1870" spans="1:8" ht="41.4">
      <c r="A1870" s="502" t="s">
        <v>7612</v>
      </c>
      <c r="B1870" s="504" t="s">
        <v>11919</v>
      </c>
      <c r="C1870" s="502" t="s">
        <v>75</v>
      </c>
      <c r="D1870" s="503" t="s">
        <v>31525</v>
      </c>
      <c r="F1870" t="str">
        <f t="shared" si="59"/>
        <v>98041</v>
      </c>
      <c r="H1870" s="14">
        <f t="shared" si="60"/>
        <v>5163.3</v>
      </c>
    </row>
    <row r="1871" spans="1:8" ht="55.2">
      <c r="A1871" s="502" t="s">
        <v>7613</v>
      </c>
      <c r="B1871" s="504" t="s">
        <v>24128</v>
      </c>
      <c r="C1871" s="502" t="s">
        <v>114</v>
      </c>
      <c r="D1871" s="503" t="s">
        <v>31529</v>
      </c>
      <c r="F1871" t="str">
        <f t="shared" si="59"/>
        <v>98042</v>
      </c>
      <c r="H1871" s="14">
        <f t="shared" si="60"/>
        <v>19738.03</v>
      </c>
    </row>
    <row r="1872" spans="1:8" ht="41.4">
      <c r="A1872" s="502" t="s">
        <v>7614</v>
      </c>
      <c r="B1872" s="504" t="s">
        <v>11920</v>
      </c>
      <c r="C1872" s="502" t="s">
        <v>75</v>
      </c>
      <c r="D1872" s="503" t="s">
        <v>31530</v>
      </c>
      <c r="F1872" t="str">
        <f t="shared" si="59"/>
        <v>98043</v>
      </c>
      <c r="H1872" s="14">
        <f t="shared" si="60"/>
        <v>5532.26</v>
      </c>
    </row>
    <row r="1873" spans="1:8" ht="55.2">
      <c r="A1873" s="502" t="s">
        <v>7615</v>
      </c>
      <c r="B1873" s="504" t="s">
        <v>24129</v>
      </c>
      <c r="C1873" s="502" t="s">
        <v>114</v>
      </c>
      <c r="D1873" s="503" t="s">
        <v>31531</v>
      </c>
      <c r="F1873" t="str">
        <f t="shared" si="59"/>
        <v>98044</v>
      </c>
      <c r="H1873" s="14">
        <f t="shared" si="60"/>
        <v>20062.12</v>
      </c>
    </row>
    <row r="1874" spans="1:8" ht="41.4">
      <c r="A1874" s="502" t="s">
        <v>7616</v>
      </c>
      <c r="B1874" s="504" t="s">
        <v>11921</v>
      </c>
      <c r="C1874" s="502" t="s">
        <v>75</v>
      </c>
      <c r="D1874" s="503" t="s">
        <v>31530</v>
      </c>
      <c r="F1874" t="str">
        <f t="shared" si="59"/>
        <v>98045</v>
      </c>
      <c r="H1874" s="14">
        <f t="shared" si="60"/>
        <v>5532.26</v>
      </c>
    </row>
    <row r="1875" spans="1:8" ht="55.2">
      <c r="A1875" s="502" t="s">
        <v>7617</v>
      </c>
      <c r="B1875" s="504" t="s">
        <v>24130</v>
      </c>
      <c r="C1875" s="502" t="s">
        <v>114</v>
      </c>
      <c r="D1875" s="503" t="s">
        <v>31532</v>
      </c>
      <c r="F1875" t="str">
        <f t="shared" si="59"/>
        <v>98046</v>
      </c>
      <c r="H1875" s="14">
        <f t="shared" si="60"/>
        <v>22366.21</v>
      </c>
    </row>
    <row r="1876" spans="1:8" ht="41.4">
      <c r="A1876" s="502" t="s">
        <v>7618</v>
      </c>
      <c r="B1876" s="504" t="s">
        <v>11922</v>
      </c>
      <c r="C1876" s="502" t="s">
        <v>75</v>
      </c>
      <c r="D1876" s="503" t="s">
        <v>31533</v>
      </c>
      <c r="F1876" t="str">
        <f t="shared" si="59"/>
        <v>98047</v>
      </c>
      <c r="H1876" s="14">
        <f t="shared" si="60"/>
        <v>5901.15</v>
      </c>
    </row>
    <row r="1877" spans="1:8" ht="55.2">
      <c r="A1877" s="502" t="s">
        <v>7619</v>
      </c>
      <c r="B1877" s="504" t="s">
        <v>24131</v>
      </c>
      <c r="C1877" s="502" t="s">
        <v>114</v>
      </c>
      <c r="D1877" s="503" t="s">
        <v>31534</v>
      </c>
      <c r="F1877" t="str">
        <f t="shared" si="59"/>
        <v>98048</v>
      </c>
      <c r="H1877" s="14">
        <f t="shared" si="60"/>
        <v>24994.560000000001</v>
      </c>
    </row>
    <row r="1878" spans="1:8" ht="41.4">
      <c r="A1878" s="502" t="s">
        <v>7620</v>
      </c>
      <c r="B1878" s="504" t="s">
        <v>11923</v>
      </c>
      <c r="C1878" s="502" t="s">
        <v>75</v>
      </c>
      <c r="D1878" s="503" t="s">
        <v>31535</v>
      </c>
      <c r="F1878" t="str">
        <f t="shared" si="59"/>
        <v>98049</v>
      </c>
      <c r="H1878" s="14">
        <f t="shared" si="60"/>
        <v>6206.47</v>
      </c>
    </row>
    <row r="1879" spans="1:8" ht="41.4">
      <c r="A1879" s="502" t="s">
        <v>7621</v>
      </c>
      <c r="B1879" s="504" t="s">
        <v>11924</v>
      </c>
      <c r="C1879" s="502" t="s">
        <v>75</v>
      </c>
      <c r="D1879" s="503" t="s">
        <v>31536</v>
      </c>
      <c r="F1879" t="str">
        <f t="shared" si="59"/>
        <v>98050</v>
      </c>
      <c r="H1879" s="14">
        <f t="shared" si="60"/>
        <v>396.35</v>
      </c>
    </row>
    <row r="1880" spans="1:8" ht="41.4">
      <c r="A1880" s="502" t="s">
        <v>7622</v>
      </c>
      <c r="B1880" s="504" t="s">
        <v>11925</v>
      </c>
      <c r="C1880" s="502" t="s">
        <v>75</v>
      </c>
      <c r="D1880" s="503" t="s">
        <v>31537</v>
      </c>
      <c r="F1880" t="str">
        <f t="shared" si="59"/>
        <v>98051</v>
      </c>
      <c r="H1880" s="14">
        <f t="shared" si="60"/>
        <v>1226.27</v>
      </c>
    </row>
    <row r="1881" spans="1:8" ht="55.2">
      <c r="A1881" s="502" t="s">
        <v>7623</v>
      </c>
      <c r="B1881" s="504" t="s">
        <v>24132</v>
      </c>
      <c r="C1881" s="502" t="s">
        <v>114</v>
      </c>
      <c r="D1881" s="503" t="s">
        <v>31538</v>
      </c>
      <c r="F1881" t="str">
        <f t="shared" si="59"/>
        <v>98405</v>
      </c>
      <c r="H1881" s="14">
        <f t="shared" si="60"/>
        <v>3428.18</v>
      </c>
    </row>
    <row r="1882" spans="1:8" ht="55.2">
      <c r="A1882" s="502" t="s">
        <v>7624</v>
      </c>
      <c r="B1882" s="504" t="s">
        <v>24133</v>
      </c>
      <c r="C1882" s="502" t="s">
        <v>114</v>
      </c>
      <c r="D1882" s="503" t="s">
        <v>31539</v>
      </c>
      <c r="F1882" t="str">
        <f t="shared" si="59"/>
        <v>98406</v>
      </c>
      <c r="H1882" s="14">
        <f t="shared" si="60"/>
        <v>8626.2999999999993</v>
      </c>
    </row>
    <row r="1883" spans="1:8" ht="55.2">
      <c r="A1883" s="502" t="s">
        <v>7625</v>
      </c>
      <c r="B1883" s="504" t="s">
        <v>24134</v>
      </c>
      <c r="C1883" s="502" t="s">
        <v>114</v>
      </c>
      <c r="D1883" s="503" t="s">
        <v>31540</v>
      </c>
      <c r="F1883" t="str">
        <f t="shared" si="59"/>
        <v>98407</v>
      </c>
      <c r="H1883" s="14">
        <f t="shared" si="60"/>
        <v>5643.1</v>
      </c>
    </row>
    <row r="1884" spans="1:8" ht="55.2">
      <c r="A1884" s="502" t="s">
        <v>7626</v>
      </c>
      <c r="B1884" s="504" t="s">
        <v>24135</v>
      </c>
      <c r="C1884" s="502" t="s">
        <v>114</v>
      </c>
      <c r="D1884" s="503" t="s">
        <v>31541</v>
      </c>
      <c r="F1884" t="str">
        <f t="shared" si="59"/>
        <v>98408</v>
      </c>
      <c r="H1884" s="14">
        <f t="shared" si="60"/>
        <v>6620.58</v>
      </c>
    </row>
    <row r="1885" spans="1:8" ht="41.4">
      <c r="A1885" s="502" t="s">
        <v>7627</v>
      </c>
      <c r="B1885" s="504" t="s">
        <v>11926</v>
      </c>
      <c r="C1885" s="502" t="s">
        <v>75</v>
      </c>
      <c r="D1885" s="503" t="s">
        <v>31542</v>
      </c>
      <c r="F1885" t="str">
        <f t="shared" si="59"/>
        <v>98409</v>
      </c>
      <c r="H1885" s="14">
        <f t="shared" si="60"/>
        <v>543.37</v>
      </c>
    </row>
    <row r="1886" spans="1:8" ht="55.2">
      <c r="A1886" s="502" t="s">
        <v>11927</v>
      </c>
      <c r="B1886" s="504" t="s">
        <v>24136</v>
      </c>
      <c r="C1886" s="502" t="s">
        <v>114</v>
      </c>
      <c r="D1886" s="503" t="s">
        <v>31543</v>
      </c>
      <c r="F1886" t="str">
        <f t="shared" si="59"/>
        <v>98410</v>
      </c>
      <c r="H1886" s="14">
        <f t="shared" si="60"/>
        <v>1717.02</v>
      </c>
    </row>
    <row r="1887" spans="1:8" ht="41.4">
      <c r="A1887" s="502" t="s">
        <v>9791</v>
      </c>
      <c r="B1887" s="504" t="s">
        <v>11928</v>
      </c>
      <c r="C1887" s="502" t="s">
        <v>75</v>
      </c>
      <c r="D1887" s="503" t="s">
        <v>31544</v>
      </c>
      <c r="F1887" t="str">
        <f t="shared" si="59"/>
        <v>99240</v>
      </c>
      <c r="H1887" s="14">
        <f t="shared" si="60"/>
        <v>947.95</v>
      </c>
    </row>
    <row r="1888" spans="1:8" ht="41.4">
      <c r="A1888" s="502" t="s">
        <v>9792</v>
      </c>
      <c r="B1888" s="504" t="s">
        <v>11929</v>
      </c>
      <c r="C1888" s="502" t="s">
        <v>75</v>
      </c>
      <c r="D1888" s="503" t="s">
        <v>31545</v>
      </c>
      <c r="F1888" t="str">
        <f t="shared" si="59"/>
        <v>99241</v>
      </c>
      <c r="H1888" s="14">
        <f t="shared" si="60"/>
        <v>2499.9</v>
      </c>
    </row>
    <row r="1889" spans="1:8" ht="55.2">
      <c r="A1889" s="502" t="s">
        <v>9793</v>
      </c>
      <c r="B1889" s="504" t="s">
        <v>24137</v>
      </c>
      <c r="C1889" s="502" t="s">
        <v>114</v>
      </c>
      <c r="D1889" s="503" t="s">
        <v>31546</v>
      </c>
      <c r="F1889" t="str">
        <f t="shared" si="59"/>
        <v>99242</v>
      </c>
      <c r="H1889" s="14">
        <f t="shared" si="60"/>
        <v>3964.27</v>
      </c>
    </row>
    <row r="1890" spans="1:8" ht="41.4">
      <c r="A1890" s="502" t="s">
        <v>9794</v>
      </c>
      <c r="B1890" s="504" t="s">
        <v>11930</v>
      </c>
      <c r="C1890" s="502" t="s">
        <v>75</v>
      </c>
      <c r="D1890" s="503" t="s">
        <v>31547</v>
      </c>
      <c r="F1890" t="str">
        <f t="shared" si="59"/>
        <v>99243</v>
      </c>
      <c r="H1890" s="14">
        <f t="shared" si="60"/>
        <v>2043.19</v>
      </c>
    </row>
    <row r="1891" spans="1:8" ht="55.2">
      <c r="A1891" s="502" t="s">
        <v>9795</v>
      </c>
      <c r="B1891" s="504" t="s">
        <v>24138</v>
      </c>
      <c r="C1891" s="502" t="s">
        <v>114</v>
      </c>
      <c r="D1891" s="503" t="s">
        <v>31548</v>
      </c>
      <c r="F1891" t="str">
        <f t="shared" si="59"/>
        <v>99244</v>
      </c>
      <c r="H1891" s="14">
        <f t="shared" si="60"/>
        <v>6906.73</v>
      </c>
    </row>
    <row r="1892" spans="1:8" ht="41.4">
      <c r="A1892" s="502" t="s">
        <v>9796</v>
      </c>
      <c r="B1892" s="504" t="s">
        <v>11931</v>
      </c>
      <c r="C1892" s="502" t="s">
        <v>75</v>
      </c>
      <c r="D1892" s="503" t="s">
        <v>31549</v>
      </c>
      <c r="F1892" t="str">
        <f t="shared" si="59"/>
        <v>99246</v>
      </c>
      <c r="H1892" s="14">
        <f t="shared" si="60"/>
        <v>1298.3900000000001</v>
      </c>
    </row>
    <row r="1893" spans="1:8" ht="41.4">
      <c r="A1893" s="502" t="s">
        <v>9797</v>
      </c>
      <c r="B1893" s="504" t="s">
        <v>11932</v>
      </c>
      <c r="C1893" s="502" t="s">
        <v>75</v>
      </c>
      <c r="D1893" s="503" t="s">
        <v>31550</v>
      </c>
      <c r="F1893" t="str">
        <f t="shared" si="59"/>
        <v>99247</v>
      </c>
      <c r="H1893" s="14">
        <f t="shared" si="60"/>
        <v>2850.14</v>
      </c>
    </row>
    <row r="1894" spans="1:8" ht="55.2">
      <c r="A1894" s="502" t="s">
        <v>9798</v>
      </c>
      <c r="B1894" s="504" t="s">
        <v>24139</v>
      </c>
      <c r="C1894" s="502" t="s">
        <v>114</v>
      </c>
      <c r="D1894" s="503" t="s">
        <v>31551</v>
      </c>
      <c r="F1894" t="str">
        <f t="shared" si="59"/>
        <v>99248</v>
      </c>
      <c r="H1894" s="14">
        <f t="shared" si="60"/>
        <v>5076.55</v>
      </c>
    </row>
    <row r="1895" spans="1:8" ht="41.4">
      <c r="A1895" s="502" t="s">
        <v>9799</v>
      </c>
      <c r="B1895" s="504" t="s">
        <v>11933</v>
      </c>
      <c r="C1895" s="502" t="s">
        <v>75</v>
      </c>
      <c r="D1895" s="503" t="s">
        <v>31552</v>
      </c>
      <c r="F1895" t="str">
        <f t="shared" si="59"/>
        <v>99249</v>
      </c>
      <c r="H1895" s="14">
        <f t="shared" si="60"/>
        <v>2495.31</v>
      </c>
    </row>
    <row r="1896" spans="1:8" ht="55.2">
      <c r="A1896" s="502" t="s">
        <v>9800</v>
      </c>
      <c r="B1896" s="504" t="s">
        <v>24140</v>
      </c>
      <c r="C1896" s="502" t="s">
        <v>114</v>
      </c>
      <c r="D1896" s="503" t="s">
        <v>31553</v>
      </c>
      <c r="F1896" t="str">
        <f t="shared" si="59"/>
        <v>99252</v>
      </c>
      <c r="H1896" s="14">
        <f t="shared" si="60"/>
        <v>3617.86</v>
      </c>
    </row>
    <row r="1897" spans="1:8" ht="41.4">
      <c r="A1897" s="502" t="s">
        <v>9801</v>
      </c>
      <c r="B1897" s="504" t="s">
        <v>11934</v>
      </c>
      <c r="C1897" s="502" t="s">
        <v>75</v>
      </c>
      <c r="D1897" s="503" t="s">
        <v>31554</v>
      </c>
      <c r="F1897" t="str">
        <f t="shared" si="59"/>
        <v>99254</v>
      </c>
      <c r="H1897" s="14">
        <f t="shared" si="60"/>
        <v>1799.37</v>
      </c>
    </row>
    <row r="1898" spans="1:8" ht="55.2">
      <c r="A1898" s="502" t="s">
        <v>9802</v>
      </c>
      <c r="B1898" s="504" t="s">
        <v>24141</v>
      </c>
      <c r="C1898" s="502" t="s">
        <v>114</v>
      </c>
      <c r="D1898" s="503" t="s">
        <v>31555</v>
      </c>
      <c r="F1898" t="str">
        <f t="shared" si="59"/>
        <v>99256</v>
      </c>
      <c r="H1898" s="14">
        <f t="shared" si="60"/>
        <v>8114.96</v>
      </c>
    </row>
    <row r="1899" spans="1:8" ht="55.2">
      <c r="A1899" s="502" t="s">
        <v>9803</v>
      </c>
      <c r="B1899" s="504" t="s">
        <v>24142</v>
      </c>
      <c r="C1899" s="502" t="s">
        <v>114</v>
      </c>
      <c r="D1899" s="503" t="s">
        <v>31556</v>
      </c>
      <c r="F1899" t="str">
        <f t="shared" si="59"/>
        <v>99259</v>
      </c>
      <c r="H1899" s="14">
        <f t="shared" si="60"/>
        <v>4575.9799999999996</v>
      </c>
    </row>
    <row r="1900" spans="1:8" ht="41.4">
      <c r="A1900" s="502" t="s">
        <v>9804</v>
      </c>
      <c r="B1900" s="504" t="s">
        <v>11935</v>
      </c>
      <c r="C1900" s="502" t="s">
        <v>75</v>
      </c>
      <c r="D1900" s="503" t="s">
        <v>31557</v>
      </c>
      <c r="F1900" t="str">
        <f t="shared" si="59"/>
        <v>99261</v>
      </c>
      <c r="H1900" s="14">
        <f t="shared" si="60"/>
        <v>2149.6</v>
      </c>
    </row>
    <row r="1901" spans="1:8" ht="41.4">
      <c r="A1901" s="502" t="s">
        <v>9805</v>
      </c>
      <c r="B1901" s="504" t="s">
        <v>11936</v>
      </c>
      <c r="C1901" s="502" t="s">
        <v>75</v>
      </c>
      <c r="D1901" s="503" t="s">
        <v>31558</v>
      </c>
      <c r="F1901" t="str">
        <f t="shared" si="59"/>
        <v>99263</v>
      </c>
      <c r="H1901" s="14">
        <f t="shared" si="60"/>
        <v>3200.48</v>
      </c>
    </row>
    <row r="1902" spans="1:8" ht="55.2">
      <c r="A1902" s="502" t="s">
        <v>9806</v>
      </c>
      <c r="B1902" s="504" t="s">
        <v>24143</v>
      </c>
      <c r="C1902" s="502" t="s">
        <v>114</v>
      </c>
      <c r="D1902" s="503" t="s">
        <v>31559</v>
      </c>
      <c r="F1902" t="str">
        <f t="shared" si="59"/>
        <v>99265</v>
      </c>
      <c r="H1902" s="14">
        <f t="shared" si="60"/>
        <v>5534.07</v>
      </c>
    </row>
    <row r="1903" spans="1:8" ht="41.4">
      <c r="A1903" s="502" t="s">
        <v>9807</v>
      </c>
      <c r="B1903" s="504" t="s">
        <v>11937</v>
      </c>
      <c r="C1903" s="502" t="s">
        <v>75</v>
      </c>
      <c r="D1903" s="503" t="s">
        <v>31545</v>
      </c>
      <c r="F1903" t="str">
        <f t="shared" si="59"/>
        <v>99266</v>
      </c>
      <c r="H1903" s="14">
        <f t="shared" si="60"/>
        <v>2499.9</v>
      </c>
    </row>
    <row r="1904" spans="1:8" ht="55.2">
      <c r="A1904" s="502" t="s">
        <v>9808</v>
      </c>
      <c r="B1904" s="504" t="s">
        <v>24144</v>
      </c>
      <c r="C1904" s="502" t="s">
        <v>114</v>
      </c>
      <c r="D1904" s="503" t="s">
        <v>31560</v>
      </c>
      <c r="F1904" t="str">
        <f t="shared" si="59"/>
        <v>99267</v>
      </c>
      <c r="H1904" s="14">
        <f t="shared" si="60"/>
        <v>6492.15</v>
      </c>
    </row>
    <row r="1905" spans="1:8" ht="55.2">
      <c r="A1905" s="502" t="s">
        <v>11938</v>
      </c>
      <c r="B1905" s="504" t="s">
        <v>24145</v>
      </c>
      <c r="C1905" s="502" t="s">
        <v>114</v>
      </c>
      <c r="D1905" s="503" t="s">
        <v>31561</v>
      </c>
      <c r="F1905" t="str">
        <f t="shared" si="59"/>
        <v>99268</v>
      </c>
      <c r="H1905" s="14">
        <f t="shared" si="60"/>
        <v>673.3</v>
      </c>
    </row>
    <row r="1906" spans="1:8" ht="41.4">
      <c r="A1906" s="502" t="s">
        <v>9809</v>
      </c>
      <c r="B1906" s="504" t="s">
        <v>11939</v>
      </c>
      <c r="C1906" s="502" t="s">
        <v>75</v>
      </c>
      <c r="D1906" s="503" t="s">
        <v>31550</v>
      </c>
      <c r="F1906" t="str">
        <f t="shared" si="59"/>
        <v>99269</v>
      </c>
      <c r="H1906" s="14">
        <f t="shared" si="60"/>
        <v>2850.14</v>
      </c>
    </row>
    <row r="1907" spans="1:8" ht="55.2">
      <c r="A1907" s="502" t="s">
        <v>11940</v>
      </c>
      <c r="B1907" s="504" t="s">
        <v>24146</v>
      </c>
      <c r="C1907" s="502" t="s">
        <v>114</v>
      </c>
      <c r="D1907" s="503" t="s">
        <v>31562</v>
      </c>
      <c r="F1907" t="str">
        <f t="shared" si="59"/>
        <v>99270</v>
      </c>
      <c r="H1907" s="14">
        <f t="shared" si="60"/>
        <v>875.83</v>
      </c>
    </row>
    <row r="1908" spans="1:8" ht="55.2">
      <c r="A1908" s="502" t="s">
        <v>9810</v>
      </c>
      <c r="B1908" s="504" t="s">
        <v>24147</v>
      </c>
      <c r="C1908" s="502" t="s">
        <v>114</v>
      </c>
      <c r="D1908" s="503" t="s">
        <v>31563</v>
      </c>
      <c r="F1908" t="str">
        <f t="shared" si="59"/>
        <v>99271</v>
      </c>
      <c r="H1908" s="14">
        <f t="shared" si="60"/>
        <v>9322.98</v>
      </c>
    </row>
    <row r="1909" spans="1:8" ht="55.2">
      <c r="A1909" s="502" t="s">
        <v>9811</v>
      </c>
      <c r="B1909" s="504" t="s">
        <v>24148</v>
      </c>
      <c r="C1909" s="502" t="s">
        <v>114</v>
      </c>
      <c r="D1909" s="503" t="s">
        <v>31564</v>
      </c>
      <c r="F1909" t="str">
        <f t="shared" si="59"/>
        <v>99272</v>
      </c>
      <c r="H1909" s="14">
        <f t="shared" si="60"/>
        <v>1465.82</v>
      </c>
    </row>
    <row r="1910" spans="1:8" ht="55.2">
      <c r="A1910" s="502" t="s">
        <v>9812</v>
      </c>
      <c r="B1910" s="504" t="s">
        <v>24149</v>
      </c>
      <c r="C1910" s="502" t="s">
        <v>114</v>
      </c>
      <c r="D1910" s="503" t="s">
        <v>31565</v>
      </c>
      <c r="F1910" t="str">
        <f t="shared" si="59"/>
        <v>99273</v>
      </c>
      <c r="H1910" s="14">
        <f t="shared" si="60"/>
        <v>2040.86</v>
      </c>
    </row>
    <row r="1911" spans="1:8" ht="55.2">
      <c r="A1911" s="502" t="s">
        <v>9813</v>
      </c>
      <c r="B1911" s="504" t="s">
        <v>24150</v>
      </c>
      <c r="C1911" s="502" t="s">
        <v>114</v>
      </c>
      <c r="D1911" s="503" t="s">
        <v>31566</v>
      </c>
      <c r="F1911" t="str">
        <f t="shared" si="59"/>
        <v>99274</v>
      </c>
      <c r="H1911" s="14">
        <f t="shared" si="60"/>
        <v>7495.37</v>
      </c>
    </row>
    <row r="1912" spans="1:8" ht="55.2">
      <c r="A1912" s="502" t="s">
        <v>11941</v>
      </c>
      <c r="B1912" s="504" t="s">
        <v>24151</v>
      </c>
      <c r="C1912" s="502" t="s">
        <v>114</v>
      </c>
      <c r="D1912" s="503" t="s">
        <v>31567</v>
      </c>
      <c r="F1912" t="str">
        <f t="shared" si="59"/>
        <v>99275</v>
      </c>
      <c r="H1912" s="14">
        <f t="shared" si="60"/>
        <v>1348.54</v>
      </c>
    </row>
    <row r="1913" spans="1:8" ht="41.4">
      <c r="A1913" s="502" t="s">
        <v>9814</v>
      </c>
      <c r="B1913" s="504" t="s">
        <v>11942</v>
      </c>
      <c r="C1913" s="502" t="s">
        <v>75</v>
      </c>
      <c r="D1913" s="503" t="s">
        <v>31568</v>
      </c>
      <c r="F1913" t="str">
        <f t="shared" si="59"/>
        <v>99276</v>
      </c>
      <c r="H1913" s="14">
        <f t="shared" si="60"/>
        <v>3550.78</v>
      </c>
    </row>
    <row r="1914" spans="1:8" ht="41.4">
      <c r="A1914" s="502" t="s">
        <v>9815</v>
      </c>
      <c r="B1914" s="504" t="s">
        <v>11943</v>
      </c>
      <c r="C1914" s="502" t="s">
        <v>75</v>
      </c>
      <c r="D1914" s="503" t="s">
        <v>31558</v>
      </c>
      <c r="F1914" t="str">
        <f t="shared" si="59"/>
        <v>99277</v>
      </c>
      <c r="H1914" s="14">
        <f t="shared" si="60"/>
        <v>3200.48</v>
      </c>
    </row>
    <row r="1915" spans="1:8" ht="41.4">
      <c r="A1915" s="502" t="s">
        <v>9816</v>
      </c>
      <c r="B1915" s="504" t="s">
        <v>11944</v>
      </c>
      <c r="C1915" s="502" t="s">
        <v>75</v>
      </c>
      <c r="D1915" s="503" t="s">
        <v>31569</v>
      </c>
      <c r="F1915" t="str">
        <f t="shared" si="59"/>
        <v>99278</v>
      </c>
      <c r="H1915" s="14">
        <f t="shared" si="60"/>
        <v>540.98</v>
      </c>
    </row>
    <row r="1916" spans="1:8" ht="55.2">
      <c r="A1916" s="502" t="s">
        <v>9817</v>
      </c>
      <c r="B1916" s="504" t="s">
        <v>24152</v>
      </c>
      <c r="C1916" s="502" t="s">
        <v>114</v>
      </c>
      <c r="D1916" s="503" t="s">
        <v>31570</v>
      </c>
      <c r="F1916" t="str">
        <f t="shared" si="59"/>
        <v>99279</v>
      </c>
      <c r="H1916" s="14">
        <f t="shared" si="60"/>
        <v>8459.11</v>
      </c>
    </row>
    <row r="1917" spans="1:8" ht="55.2">
      <c r="A1917" s="502" t="s">
        <v>9818</v>
      </c>
      <c r="B1917" s="504" t="s">
        <v>24153</v>
      </c>
      <c r="C1917" s="502" t="s">
        <v>114</v>
      </c>
      <c r="D1917" s="503" t="s">
        <v>31571</v>
      </c>
      <c r="F1917" t="str">
        <f t="shared" si="59"/>
        <v>99280</v>
      </c>
      <c r="H1917" s="14">
        <f t="shared" si="60"/>
        <v>2694.08</v>
      </c>
    </row>
    <row r="1918" spans="1:8" ht="41.4">
      <c r="A1918" s="502" t="s">
        <v>9819</v>
      </c>
      <c r="B1918" s="504" t="s">
        <v>11945</v>
      </c>
      <c r="C1918" s="502" t="s">
        <v>75</v>
      </c>
      <c r="D1918" s="503" t="s">
        <v>31568</v>
      </c>
      <c r="F1918" t="str">
        <f t="shared" si="59"/>
        <v>99281</v>
      </c>
      <c r="H1918" s="14">
        <f t="shared" si="60"/>
        <v>3550.78</v>
      </c>
    </row>
    <row r="1919" spans="1:8" ht="41.4">
      <c r="A1919" s="502" t="s">
        <v>9820</v>
      </c>
      <c r="B1919" s="504" t="s">
        <v>11946</v>
      </c>
      <c r="C1919" s="502" t="s">
        <v>75</v>
      </c>
      <c r="D1919" s="503" t="s">
        <v>31572</v>
      </c>
      <c r="F1919" t="str">
        <f t="shared" si="59"/>
        <v>99282</v>
      </c>
      <c r="H1919" s="14">
        <f t="shared" si="60"/>
        <v>3934.33</v>
      </c>
    </row>
    <row r="1920" spans="1:8" ht="41.4">
      <c r="A1920" s="502" t="s">
        <v>9821</v>
      </c>
      <c r="B1920" s="504" t="s">
        <v>11947</v>
      </c>
      <c r="C1920" s="502" t="s">
        <v>75</v>
      </c>
      <c r="D1920" s="503" t="s">
        <v>31573</v>
      </c>
      <c r="F1920" t="str">
        <f t="shared" si="59"/>
        <v>99283</v>
      </c>
      <c r="H1920" s="14">
        <f t="shared" si="60"/>
        <v>1440.45</v>
      </c>
    </row>
    <row r="1921" spans="1:8" ht="55.2">
      <c r="A1921" s="502" t="s">
        <v>9822</v>
      </c>
      <c r="B1921" s="504" t="s">
        <v>24154</v>
      </c>
      <c r="C1921" s="502" t="s">
        <v>114</v>
      </c>
      <c r="D1921" s="503" t="s">
        <v>31574</v>
      </c>
      <c r="F1921" t="str">
        <f t="shared" si="59"/>
        <v>99284</v>
      </c>
      <c r="H1921" s="14">
        <f t="shared" si="60"/>
        <v>10531.21</v>
      </c>
    </row>
    <row r="1922" spans="1:8" ht="55.2">
      <c r="A1922" s="502" t="s">
        <v>11948</v>
      </c>
      <c r="B1922" s="504" t="s">
        <v>24155</v>
      </c>
      <c r="C1922" s="502" t="s">
        <v>114</v>
      </c>
      <c r="D1922" s="503" t="s">
        <v>31575</v>
      </c>
      <c r="F1922" t="str">
        <f t="shared" si="59"/>
        <v>99285</v>
      </c>
      <c r="H1922" s="14">
        <f t="shared" si="60"/>
        <v>1771.8</v>
      </c>
    </row>
    <row r="1923" spans="1:8" ht="55.2">
      <c r="A1923" s="502" t="s">
        <v>9823</v>
      </c>
      <c r="B1923" s="504" t="s">
        <v>24156</v>
      </c>
      <c r="C1923" s="502" t="s">
        <v>114</v>
      </c>
      <c r="D1923" s="503" t="s">
        <v>31576</v>
      </c>
      <c r="F1923" t="str">
        <f t="shared" si="59"/>
        <v>99286</v>
      </c>
      <c r="H1923" s="14">
        <f t="shared" si="60"/>
        <v>9423</v>
      </c>
    </row>
    <row r="1924" spans="1:8" ht="55.2">
      <c r="A1924" s="502" t="s">
        <v>9824</v>
      </c>
      <c r="B1924" s="504" t="s">
        <v>24157</v>
      </c>
      <c r="C1924" s="502" t="s">
        <v>114</v>
      </c>
      <c r="D1924" s="503" t="s">
        <v>31577</v>
      </c>
      <c r="F1924" t="str">
        <f t="shared" si="59"/>
        <v>99287</v>
      </c>
      <c r="H1924" s="14">
        <f t="shared" si="60"/>
        <v>13294.34</v>
      </c>
    </row>
    <row r="1925" spans="1:8" ht="41.4">
      <c r="A1925" s="502" t="s">
        <v>9825</v>
      </c>
      <c r="B1925" s="504" t="s">
        <v>11949</v>
      </c>
      <c r="C1925" s="502" t="s">
        <v>75</v>
      </c>
      <c r="D1925" s="503" t="s">
        <v>31578</v>
      </c>
      <c r="F1925" t="str">
        <f t="shared" ref="F1925:F1988" si="61">TRIM(A1925)</f>
        <v>99288</v>
      </c>
      <c r="H1925" s="14">
        <f t="shared" ref="H1925:H1988" si="62">ROUND(D1925*(1+$H$1),2)</f>
        <v>713.13</v>
      </c>
    </row>
    <row r="1926" spans="1:8" ht="41.4">
      <c r="A1926" s="502" t="s">
        <v>9826</v>
      </c>
      <c r="B1926" s="504" t="s">
        <v>11950</v>
      </c>
      <c r="C1926" s="502" t="s">
        <v>75</v>
      </c>
      <c r="D1926" s="503" t="s">
        <v>31579</v>
      </c>
      <c r="F1926" t="str">
        <f t="shared" si="61"/>
        <v>99289</v>
      </c>
      <c r="H1926" s="14">
        <f t="shared" si="62"/>
        <v>3901.03</v>
      </c>
    </row>
    <row r="1927" spans="1:8" ht="55.2">
      <c r="A1927" s="502" t="s">
        <v>9827</v>
      </c>
      <c r="B1927" s="504" t="s">
        <v>24158</v>
      </c>
      <c r="C1927" s="502" t="s">
        <v>114</v>
      </c>
      <c r="D1927" s="503" t="s">
        <v>31580</v>
      </c>
      <c r="F1927" t="str">
        <f t="shared" si="61"/>
        <v>99290</v>
      </c>
      <c r="H1927" s="14">
        <f t="shared" si="62"/>
        <v>5662.89</v>
      </c>
    </row>
    <row r="1928" spans="1:8" ht="41.4">
      <c r="A1928" s="502" t="s">
        <v>9828</v>
      </c>
      <c r="B1928" s="504" t="s">
        <v>11951</v>
      </c>
      <c r="C1928" s="502" t="s">
        <v>75</v>
      </c>
      <c r="D1928" s="503" t="s">
        <v>31579</v>
      </c>
      <c r="F1928" t="str">
        <f t="shared" si="61"/>
        <v>99291</v>
      </c>
      <c r="H1928" s="14">
        <f t="shared" si="62"/>
        <v>3901.03</v>
      </c>
    </row>
    <row r="1929" spans="1:8" ht="55.2">
      <c r="A1929" s="502" t="s">
        <v>9829</v>
      </c>
      <c r="B1929" s="504" t="s">
        <v>24159</v>
      </c>
      <c r="C1929" s="502" t="s">
        <v>114</v>
      </c>
      <c r="D1929" s="503" t="s">
        <v>31581</v>
      </c>
      <c r="F1929" t="str">
        <f t="shared" si="61"/>
        <v>99292</v>
      </c>
      <c r="H1929" s="14">
        <f t="shared" si="62"/>
        <v>3327.31</v>
      </c>
    </row>
    <row r="1930" spans="1:8" ht="41.4">
      <c r="A1930" s="502" t="s">
        <v>9830</v>
      </c>
      <c r="B1930" s="504" t="s">
        <v>11952</v>
      </c>
      <c r="C1930" s="502" t="s">
        <v>75</v>
      </c>
      <c r="D1930" s="503" t="s">
        <v>31582</v>
      </c>
      <c r="F1930" t="str">
        <f t="shared" si="61"/>
        <v>99293</v>
      </c>
      <c r="H1930" s="14">
        <f t="shared" si="62"/>
        <v>1741.88</v>
      </c>
    </row>
    <row r="1931" spans="1:8" ht="55.2">
      <c r="A1931" s="502" t="s">
        <v>9831</v>
      </c>
      <c r="B1931" s="504" t="s">
        <v>24160</v>
      </c>
      <c r="C1931" s="502" t="s">
        <v>114</v>
      </c>
      <c r="D1931" s="503" t="s">
        <v>31583</v>
      </c>
      <c r="F1931" t="str">
        <f t="shared" si="61"/>
        <v>99294</v>
      </c>
      <c r="H1931" s="14">
        <f t="shared" si="62"/>
        <v>11739.34</v>
      </c>
    </row>
    <row r="1932" spans="1:8" ht="41.4">
      <c r="A1932" s="502" t="s">
        <v>9832</v>
      </c>
      <c r="B1932" s="504" t="s">
        <v>11953</v>
      </c>
      <c r="C1932" s="502" t="s">
        <v>75</v>
      </c>
      <c r="D1932" s="503" t="s">
        <v>31584</v>
      </c>
      <c r="F1932" t="str">
        <f t="shared" si="61"/>
        <v>99296</v>
      </c>
      <c r="H1932" s="14">
        <f t="shared" si="62"/>
        <v>4284.5600000000004</v>
      </c>
    </row>
    <row r="1933" spans="1:8" ht="41.4">
      <c r="A1933" s="502" t="s">
        <v>9833</v>
      </c>
      <c r="B1933" s="504" t="s">
        <v>11954</v>
      </c>
      <c r="C1933" s="502" t="s">
        <v>75</v>
      </c>
      <c r="D1933" s="503" t="s">
        <v>31585</v>
      </c>
      <c r="F1933" t="str">
        <f t="shared" si="61"/>
        <v>99297</v>
      </c>
      <c r="H1933" s="14">
        <f t="shared" si="62"/>
        <v>4278.82</v>
      </c>
    </row>
    <row r="1934" spans="1:8" ht="55.2">
      <c r="A1934" s="502" t="s">
        <v>9834</v>
      </c>
      <c r="B1934" s="504" t="s">
        <v>24161</v>
      </c>
      <c r="C1934" s="502" t="s">
        <v>114</v>
      </c>
      <c r="D1934" s="503" t="s">
        <v>31586</v>
      </c>
      <c r="F1934" t="str">
        <f t="shared" si="61"/>
        <v>99298</v>
      </c>
      <c r="H1934" s="14">
        <f t="shared" si="62"/>
        <v>15034.34</v>
      </c>
    </row>
    <row r="1935" spans="1:8" ht="41.4">
      <c r="A1935" s="502" t="s">
        <v>9835</v>
      </c>
      <c r="B1935" s="504" t="s">
        <v>11955</v>
      </c>
      <c r="C1935" s="502" t="s">
        <v>75</v>
      </c>
      <c r="D1935" s="503" t="s">
        <v>31587</v>
      </c>
      <c r="F1935" t="str">
        <f t="shared" si="61"/>
        <v>99299</v>
      </c>
      <c r="H1935" s="14">
        <f t="shared" si="62"/>
        <v>4634.75</v>
      </c>
    </row>
    <row r="1936" spans="1:8" ht="55.2">
      <c r="A1936" s="502" t="s">
        <v>9836</v>
      </c>
      <c r="B1936" s="504" t="s">
        <v>24162</v>
      </c>
      <c r="C1936" s="502" t="s">
        <v>114</v>
      </c>
      <c r="D1936" s="503" t="s">
        <v>31588</v>
      </c>
      <c r="F1936" t="str">
        <f t="shared" si="61"/>
        <v>99300</v>
      </c>
      <c r="H1936" s="14">
        <f t="shared" si="62"/>
        <v>16774.3</v>
      </c>
    </row>
    <row r="1937" spans="1:8" ht="55.2">
      <c r="A1937" s="502" t="s">
        <v>9837</v>
      </c>
      <c r="B1937" s="504" t="s">
        <v>24163</v>
      </c>
      <c r="C1937" s="502" t="s">
        <v>114</v>
      </c>
      <c r="D1937" s="503" t="s">
        <v>31589</v>
      </c>
      <c r="F1937" t="str">
        <f t="shared" si="61"/>
        <v>99301</v>
      </c>
      <c r="H1937" s="14">
        <f t="shared" si="62"/>
        <v>8345.81</v>
      </c>
    </row>
    <row r="1938" spans="1:8" ht="41.4">
      <c r="A1938" s="502" t="s">
        <v>9838</v>
      </c>
      <c r="B1938" s="504" t="s">
        <v>11956</v>
      </c>
      <c r="C1938" s="502" t="s">
        <v>75</v>
      </c>
      <c r="D1938" s="503" t="s">
        <v>31590</v>
      </c>
      <c r="F1938" t="str">
        <f t="shared" si="61"/>
        <v>99302</v>
      </c>
      <c r="H1938" s="14">
        <f t="shared" si="62"/>
        <v>4990.72</v>
      </c>
    </row>
    <row r="1939" spans="1:8" ht="55.2">
      <c r="A1939" s="502" t="s">
        <v>9839</v>
      </c>
      <c r="B1939" s="504" t="s">
        <v>24164</v>
      </c>
      <c r="C1939" s="502" t="s">
        <v>114</v>
      </c>
      <c r="D1939" s="503" t="s">
        <v>31591</v>
      </c>
      <c r="F1939" t="str">
        <f t="shared" si="61"/>
        <v>99303</v>
      </c>
      <c r="H1939" s="14">
        <f t="shared" si="62"/>
        <v>15351.59</v>
      </c>
    </row>
    <row r="1940" spans="1:8" ht="41.4">
      <c r="A1940" s="502" t="s">
        <v>9840</v>
      </c>
      <c r="B1940" s="504" t="s">
        <v>11957</v>
      </c>
      <c r="C1940" s="502" t="s">
        <v>75</v>
      </c>
      <c r="D1940" s="503" t="s">
        <v>31592</v>
      </c>
      <c r="F1940" t="str">
        <f t="shared" si="61"/>
        <v>99304</v>
      </c>
      <c r="H1940" s="14">
        <f t="shared" si="62"/>
        <v>4640.5</v>
      </c>
    </row>
    <row r="1941" spans="1:8" ht="55.2">
      <c r="A1941" s="502" t="s">
        <v>9841</v>
      </c>
      <c r="B1941" s="504" t="s">
        <v>24165</v>
      </c>
      <c r="C1941" s="502" t="s">
        <v>114</v>
      </c>
      <c r="D1941" s="503" t="s">
        <v>31593</v>
      </c>
      <c r="F1941" t="str">
        <f t="shared" si="61"/>
        <v>99305</v>
      </c>
      <c r="H1941" s="14">
        <f t="shared" si="62"/>
        <v>17350.72</v>
      </c>
    </row>
    <row r="1942" spans="1:8" ht="41.4">
      <c r="A1942" s="502" t="s">
        <v>9842</v>
      </c>
      <c r="B1942" s="504" t="s">
        <v>11958</v>
      </c>
      <c r="C1942" s="502" t="s">
        <v>75</v>
      </c>
      <c r="D1942" s="503" t="s">
        <v>31590</v>
      </c>
      <c r="F1942" t="str">
        <f t="shared" si="61"/>
        <v>99306</v>
      </c>
      <c r="H1942" s="14">
        <f t="shared" si="62"/>
        <v>4990.72</v>
      </c>
    </row>
    <row r="1943" spans="1:8" ht="41.4">
      <c r="A1943" s="502" t="s">
        <v>9843</v>
      </c>
      <c r="B1943" s="504" t="s">
        <v>11959</v>
      </c>
      <c r="C1943" s="502" t="s">
        <v>75</v>
      </c>
      <c r="D1943" s="503" t="s">
        <v>31594</v>
      </c>
      <c r="F1943" t="str">
        <f t="shared" si="61"/>
        <v>99307</v>
      </c>
      <c r="H1943" s="14">
        <f t="shared" si="62"/>
        <v>3228.03</v>
      </c>
    </row>
    <row r="1944" spans="1:8" ht="55.2">
      <c r="A1944" s="502" t="s">
        <v>9844</v>
      </c>
      <c r="B1944" s="504" t="s">
        <v>24166</v>
      </c>
      <c r="C1944" s="502" t="s">
        <v>114</v>
      </c>
      <c r="D1944" s="503" t="s">
        <v>31595</v>
      </c>
      <c r="F1944" t="str">
        <f t="shared" si="61"/>
        <v>99308</v>
      </c>
      <c r="H1944" s="14">
        <f t="shared" si="62"/>
        <v>19349.98</v>
      </c>
    </row>
    <row r="1945" spans="1:8" ht="41.4">
      <c r="A1945" s="502" t="s">
        <v>9845</v>
      </c>
      <c r="B1945" s="504" t="s">
        <v>11960</v>
      </c>
      <c r="C1945" s="502" t="s">
        <v>75</v>
      </c>
      <c r="D1945" s="503" t="s">
        <v>31596</v>
      </c>
      <c r="F1945" t="str">
        <f t="shared" si="61"/>
        <v>99309</v>
      </c>
      <c r="H1945" s="14">
        <f t="shared" si="62"/>
        <v>5346.78</v>
      </c>
    </row>
    <row r="1946" spans="1:8" ht="55.2">
      <c r="A1946" s="502" t="s">
        <v>9846</v>
      </c>
      <c r="B1946" s="504" t="s">
        <v>24167</v>
      </c>
      <c r="C1946" s="502" t="s">
        <v>114</v>
      </c>
      <c r="D1946" s="503" t="s">
        <v>31597</v>
      </c>
      <c r="F1946" t="str">
        <f t="shared" si="61"/>
        <v>99310</v>
      </c>
      <c r="H1946" s="14">
        <f t="shared" si="62"/>
        <v>19667.27</v>
      </c>
    </row>
    <row r="1947" spans="1:8" ht="41.4">
      <c r="A1947" s="502" t="s">
        <v>9847</v>
      </c>
      <c r="B1947" s="504" t="s">
        <v>11961</v>
      </c>
      <c r="C1947" s="502" t="s">
        <v>75</v>
      </c>
      <c r="D1947" s="503" t="s">
        <v>31596</v>
      </c>
      <c r="F1947" t="str">
        <f t="shared" si="61"/>
        <v>99311</v>
      </c>
      <c r="H1947" s="14">
        <f t="shared" si="62"/>
        <v>5346.78</v>
      </c>
    </row>
    <row r="1948" spans="1:8" ht="55.2">
      <c r="A1948" s="502" t="s">
        <v>9848</v>
      </c>
      <c r="B1948" s="504" t="s">
        <v>24168</v>
      </c>
      <c r="C1948" s="502" t="s">
        <v>114</v>
      </c>
      <c r="D1948" s="503" t="s">
        <v>31598</v>
      </c>
      <c r="F1948" t="str">
        <f t="shared" si="61"/>
        <v>99312</v>
      </c>
      <c r="H1948" s="14">
        <f t="shared" si="62"/>
        <v>9781.7999999999993</v>
      </c>
    </row>
    <row r="1949" spans="1:8" ht="55.2">
      <c r="A1949" s="502" t="s">
        <v>9849</v>
      </c>
      <c r="B1949" s="504" t="s">
        <v>24169</v>
      </c>
      <c r="C1949" s="502" t="s">
        <v>114</v>
      </c>
      <c r="D1949" s="503" t="s">
        <v>31599</v>
      </c>
      <c r="F1949" t="str">
        <f t="shared" si="61"/>
        <v>99313</v>
      </c>
      <c r="H1949" s="14">
        <f t="shared" si="62"/>
        <v>21925.5</v>
      </c>
    </row>
    <row r="1950" spans="1:8" ht="41.4">
      <c r="A1950" s="502" t="s">
        <v>9850</v>
      </c>
      <c r="B1950" s="504" t="s">
        <v>11962</v>
      </c>
      <c r="C1950" s="502" t="s">
        <v>75</v>
      </c>
      <c r="D1950" s="503" t="s">
        <v>31600</v>
      </c>
      <c r="F1950" t="str">
        <f t="shared" si="61"/>
        <v>99314</v>
      </c>
      <c r="H1950" s="14">
        <f t="shared" si="62"/>
        <v>5702.78</v>
      </c>
    </row>
    <row r="1951" spans="1:8" ht="55.2">
      <c r="A1951" s="502" t="s">
        <v>9851</v>
      </c>
      <c r="B1951" s="504" t="s">
        <v>24170</v>
      </c>
      <c r="C1951" s="502" t="s">
        <v>114</v>
      </c>
      <c r="D1951" s="503" t="s">
        <v>31601</v>
      </c>
      <c r="F1951" t="str">
        <f t="shared" si="61"/>
        <v>99315</v>
      </c>
      <c r="H1951" s="14">
        <f t="shared" si="62"/>
        <v>24501.18</v>
      </c>
    </row>
    <row r="1952" spans="1:8" ht="41.4">
      <c r="A1952" s="502" t="s">
        <v>9852</v>
      </c>
      <c r="B1952" s="504" t="s">
        <v>11963</v>
      </c>
      <c r="C1952" s="502" t="s">
        <v>75</v>
      </c>
      <c r="D1952" s="503" t="s">
        <v>31602</v>
      </c>
      <c r="F1952" t="str">
        <f t="shared" si="61"/>
        <v>99317</v>
      </c>
      <c r="H1952" s="14">
        <f t="shared" si="62"/>
        <v>3578.27</v>
      </c>
    </row>
    <row r="1953" spans="1:8" ht="41.4">
      <c r="A1953" s="502" t="s">
        <v>9853</v>
      </c>
      <c r="B1953" s="504" t="s">
        <v>11964</v>
      </c>
      <c r="C1953" s="502" t="s">
        <v>75</v>
      </c>
      <c r="D1953" s="503" t="s">
        <v>31603</v>
      </c>
      <c r="F1953" t="str">
        <f t="shared" si="61"/>
        <v>99318</v>
      </c>
      <c r="H1953" s="14">
        <f t="shared" si="62"/>
        <v>395.29</v>
      </c>
    </row>
    <row r="1954" spans="1:8" ht="41.4">
      <c r="A1954" s="502" t="s">
        <v>9854</v>
      </c>
      <c r="B1954" s="504" t="s">
        <v>11965</v>
      </c>
      <c r="C1954" s="502" t="s">
        <v>75</v>
      </c>
      <c r="D1954" s="503" t="s">
        <v>31604</v>
      </c>
      <c r="F1954" t="str">
        <f t="shared" si="61"/>
        <v>99319</v>
      </c>
      <c r="H1954" s="14">
        <f t="shared" si="62"/>
        <v>1155.8399999999999</v>
      </c>
    </row>
    <row r="1955" spans="1:8" ht="55.2">
      <c r="A1955" s="502" t="s">
        <v>9855</v>
      </c>
      <c r="B1955" s="504" t="s">
        <v>24171</v>
      </c>
      <c r="C1955" s="502" t="s">
        <v>114</v>
      </c>
      <c r="D1955" s="503" t="s">
        <v>31605</v>
      </c>
      <c r="F1955" t="str">
        <f t="shared" si="61"/>
        <v>99320</v>
      </c>
      <c r="H1955" s="14">
        <f t="shared" si="62"/>
        <v>11296.88</v>
      </c>
    </row>
    <row r="1956" spans="1:8" ht="41.4">
      <c r="A1956" s="502" t="s">
        <v>9856</v>
      </c>
      <c r="B1956" s="504" t="s">
        <v>11966</v>
      </c>
      <c r="C1956" s="502" t="s">
        <v>75</v>
      </c>
      <c r="D1956" s="503" t="s">
        <v>31606</v>
      </c>
      <c r="F1956" t="str">
        <f t="shared" si="61"/>
        <v>99321</v>
      </c>
      <c r="H1956" s="14">
        <f t="shared" si="62"/>
        <v>3928.57</v>
      </c>
    </row>
    <row r="1957" spans="1:8" ht="55.2">
      <c r="A1957" s="502" t="s">
        <v>9857</v>
      </c>
      <c r="B1957" s="504" t="s">
        <v>24172</v>
      </c>
      <c r="C1957" s="502" t="s">
        <v>114</v>
      </c>
      <c r="D1957" s="503" t="s">
        <v>31607</v>
      </c>
      <c r="F1957" t="str">
        <f t="shared" si="61"/>
        <v>99322</v>
      </c>
      <c r="H1957" s="14">
        <f t="shared" si="62"/>
        <v>12742.9</v>
      </c>
    </row>
    <row r="1958" spans="1:8" ht="41.4">
      <c r="A1958" s="502" t="s">
        <v>9858</v>
      </c>
      <c r="B1958" s="504" t="s">
        <v>11967</v>
      </c>
      <c r="C1958" s="502" t="s">
        <v>75</v>
      </c>
      <c r="D1958" s="503" t="s">
        <v>31585</v>
      </c>
      <c r="F1958" t="str">
        <f t="shared" si="61"/>
        <v>99323</v>
      </c>
      <c r="H1958" s="14">
        <f t="shared" si="62"/>
        <v>4278.82</v>
      </c>
    </row>
    <row r="1959" spans="1:8" ht="55.2">
      <c r="A1959" s="502" t="s">
        <v>9859</v>
      </c>
      <c r="B1959" s="504" t="s">
        <v>24173</v>
      </c>
      <c r="C1959" s="502" t="s">
        <v>114</v>
      </c>
      <c r="D1959" s="503" t="s">
        <v>31608</v>
      </c>
      <c r="F1959" t="str">
        <f t="shared" si="61"/>
        <v>99324</v>
      </c>
      <c r="H1959" s="14">
        <f t="shared" si="62"/>
        <v>14188.97</v>
      </c>
    </row>
    <row r="1960" spans="1:8" ht="41.4">
      <c r="A1960" s="502" t="s">
        <v>9860</v>
      </c>
      <c r="B1960" s="504" t="s">
        <v>11968</v>
      </c>
      <c r="C1960" s="502" t="s">
        <v>75</v>
      </c>
      <c r="D1960" s="503" t="s">
        <v>31587</v>
      </c>
      <c r="F1960" t="str">
        <f t="shared" si="61"/>
        <v>99325</v>
      </c>
      <c r="H1960" s="14">
        <f t="shared" si="62"/>
        <v>4634.75</v>
      </c>
    </row>
    <row r="1961" spans="1:8" ht="55.2">
      <c r="A1961" s="502" t="s">
        <v>9861</v>
      </c>
      <c r="B1961" s="504" t="s">
        <v>24174</v>
      </c>
      <c r="C1961" s="502" t="s">
        <v>114</v>
      </c>
      <c r="D1961" s="503" t="s">
        <v>31609</v>
      </c>
      <c r="F1961" t="str">
        <f t="shared" si="61"/>
        <v>99326</v>
      </c>
      <c r="H1961" s="14">
        <f t="shared" si="62"/>
        <v>11554.41</v>
      </c>
    </row>
    <row r="1962" spans="1:8" ht="41.4">
      <c r="A1962" s="502" t="s">
        <v>9862</v>
      </c>
      <c r="B1962" s="504" t="s">
        <v>11969</v>
      </c>
      <c r="C1962" s="502" t="s">
        <v>75</v>
      </c>
      <c r="D1962" s="503" t="s">
        <v>31610</v>
      </c>
      <c r="F1962" t="str">
        <f t="shared" si="61"/>
        <v>99327</v>
      </c>
      <c r="H1962" s="14">
        <f t="shared" si="62"/>
        <v>6002.65</v>
      </c>
    </row>
    <row r="1963" spans="1:8" ht="41.4">
      <c r="A1963" s="502" t="s">
        <v>11970</v>
      </c>
      <c r="B1963" s="504" t="s">
        <v>11971</v>
      </c>
      <c r="C1963" s="502" t="s">
        <v>114</v>
      </c>
      <c r="D1963" s="503" t="s">
        <v>31611</v>
      </c>
      <c r="F1963" t="str">
        <f t="shared" si="61"/>
        <v>101800</v>
      </c>
      <c r="H1963" s="14">
        <f t="shared" si="62"/>
        <v>1724.48</v>
      </c>
    </row>
    <row r="1964" spans="1:8" ht="41.4">
      <c r="A1964" s="524" t="s">
        <v>11972</v>
      </c>
      <c r="B1964" s="582" t="s">
        <v>11973</v>
      </c>
      <c r="C1964" s="502" t="s">
        <v>114</v>
      </c>
      <c r="D1964" s="503" t="s">
        <v>31612</v>
      </c>
      <c r="F1964" t="str">
        <f t="shared" si="61"/>
        <v>101801</v>
      </c>
      <c r="H1964" s="14">
        <f t="shared" si="62"/>
        <v>1305.3699999999999</v>
      </c>
    </row>
    <row r="1965" spans="1:8" ht="55.2">
      <c r="A1965" s="502" t="s">
        <v>11974</v>
      </c>
      <c r="B1965" s="504" t="s">
        <v>24175</v>
      </c>
      <c r="C1965" s="502" t="s">
        <v>114</v>
      </c>
      <c r="D1965" s="503" t="s">
        <v>31613</v>
      </c>
      <c r="F1965" t="str">
        <f t="shared" si="61"/>
        <v>101806</v>
      </c>
      <c r="H1965" s="14">
        <f t="shared" si="62"/>
        <v>730.3</v>
      </c>
    </row>
    <row r="1966" spans="1:8" ht="55.2">
      <c r="A1966" s="502" t="s">
        <v>11975</v>
      </c>
      <c r="B1966" s="504" t="s">
        <v>24176</v>
      </c>
      <c r="C1966" s="502" t="s">
        <v>114</v>
      </c>
      <c r="D1966" s="503" t="s">
        <v>31614</v>
      </c>
      <c r="F1966" t="str">
        <f t="shared" si="61"/>
        <v>101807</v>
      </c>
      <c r="H1966" s="14">
        <f t="shared" si="62"/>
        <v>703.43</v>
      </c>
    </row>
    <row r="1967" spans="1:8" ht="55.2">
      <c r="A1967" s="502" t="s">
        <v>11977</v>
      </c>
      <c r="B1967" s="504" t="s">
        <v>24177</v>
      </c>
      <c r="C1967" s="502" t="s">
        <v>114</v>
      </c>
      <c r="D1967" s="503" t="s">
        <v>31615</v>
      </c>
      <c r="F1967" t="str">
        <f t="shared" si="61"/>
        <v>101808</v>
      </c>
      <c r="H1967" s="14">
        <f t="shared" si="62"/>
        <v>747.04</v>
      </c>
    </row>
    <row r="1968" spans="1:8" ht="55.2">
      <c r="A1968" s="502" t="s">
        <v>11978</v>
      </c>
      <c r="B1968" s="504" t="s">
        <v>24178</v>
      </c>
      <c r="C1968" s="502" t="s">
        <v>114</v>
      </c>
      <c r="D1968" s="503" t="s">
        <v>31616</v>
      </c>
      <c r="F1968" t="str">
        <f t="shared" si="61"/>
        <v>101809</v>
      </c>
      <c r="H1968" s="14">
        <f t="shared" si="62"/>
        <v>4011.26</v>
      </c>
    </row>
    <row r="1969" spans="1:8" ht="55.2">
      <c r="A1969" s="502" t="s">
        <v>11979</v>
      </c>
      <c r="B1969" s="504" t="s">
        <v>24179</v>
      </c>
      <c r="C1969" s="502" t="s">
        <v>114</v>
      </c>
      <c r="D1969" s="503" t="s">
        <v>31617</v>
      </c>
      <c r="F1969" t="str">
        <f t="shared" si="61"/>
        <v>102139</v>
      </c>
      <c r="H1969" s="14">
        <f t="shared" si="62"/>
        <v>2346.4</v>
      </c>
    </row>
    <row r="1970" spans="1:8" ht="55.2">
      <c r="A1970" s="502" t="s">
        <v>11980</v>
      </c>
      <c r="B1970" s="504" t="s">
        <v>24180</v>
      </c>
      <c r="C1970" s="502" t="s">
        <v>114</v>
      </c>
      <c r="D1970" s="503" t="s">
        <v>31618</v>
      </c>
      <c r="F1970" t="str">
        <f t="shared" si="61"/>
        <v>102141</v>
      </c>
      <c r="H1970" s="14">
        <f t="shared" si="62"/>
        <v>3592.54</v>
      </c>
    </row>
    <row r="1971" spans="1:8" ht="55.2">
      <c r="A1971" s="502" t="s">
        <v>11981</v>
      </c>
      <c r="B1971" s="504" t="s">
        <v>24181</v>
      </c>
      <c r="C1971" s="502" t="s">
        <v>114</v>
      </c>
      <c r="D1971" s="503" t="s">
        <v>31619</v>
      </c>
      <c r="F1971" t="str">
        <f t="shared" si="61"/>
        <v>102142</v>
      </c>
      <c r="H1971" s="14">
        <f t="shared" si="62"/>
        <v>3548.03</v>
      </c>
    </row>
    <row r="1972" spans="1:8" ht="55.2">
      <c r="A1972" s="502" t="s">
        <v>11982</v>
      </c>
      <c r="B1972" s="504" t="s">
        <v>24182</v>
      </c>
      <c r="C1972" s="502" t="s">
        <v>114</v>
      </c>
      <c r="D1972" s="503" t="s">
        <v>31620</v>
      </c>
      <c r="F1972" t="str">
        <f t="shared" si="61"/>
        <v>102457</v>
      </c>
      <c r="H1972" s="14">
        <f t="shared" si="62"/>
        <v>2216.9499999999998</v>
      </c>
    </row>
    <row r="1973" spans="1:8" ht="41.4">
      <c r="A1973" s="502" t="s">
        <v>4278</v>
      </c>
      <c r="B1973" s="504" t="s">
        <v>28447</v>
      </c>
      <c r="C1973" s="502" t="s">
        <v>75</v>
      </c>
      <c r="D1973" s="503" t="s">
        <v>15799</v>
      </c>
      <c r="F1973" t="str">
        <f t="shared" si="61"/>
        <v>94263</v>
      </c>
      <c r="H1973" s="14">
        <f t="shared" si="62"/>
        <v>51.37</v>
      </c>
    </row>
    <row r="1974" spans="1:8" ht="41.4">
      <c r="A1974" s="502" t="s">
        <v>4279</v>
      </c>
      <c r="B1974" s="504" t="s">
        <v>28448</v>
      </c>
      <c r="C1974" s="502" t="s">
        <v>75</v>
      </c>
      <c r="D1974" s="503" t="s">
        <v>30487</v>
      </c>
      <c r="F1974" t="str">
        <f t="shared" si="61"/>
        <v>94264</v>
      </c>
      <c r="H1974" s="14">
        <f t="shared" si="62"/>
        <v>58</v>
      </c>
    </row>
    <row r="1975" spans="1:8" ht="41.4">
      <c r="A1975" s="502" t="s">
        <v>4280</v>
      </c>
      <c r="B1975" s="504" t="s">
        <v>28449</v>
      </c>
      <c r="C1975" s="502" t="s">
        <v>75</v>
      </c>
      <c r="D1975" s="503" t="s">
        <v>31621</v>
      </c>
      <c r="F1975" t="str">
        <f t="shared" si="61"/>
        <v>94265</v>
      </c>
      <c r="H1975" s="14">
        <f t="shared" si="62"/>
        <v>70.62</v>
      </c>
    </row>
    <row r="1976" spans="1:8" ht="41.4">
      <c r="A1976" s="502" t="s">
        <v>4281</v>
      </c>
      <c r="B1976" s="504" t="s">
        <v>28450</v>
      </c>
      <c r="C1976" s="502" t="s">
        <v>75</v>
      </c>
      <c r="D1976" s="503" t="s">
        <v>31622</v>
      </c>
      <c r="F1976" t="str">
        <f t="shared" si="61"/>
        <v>94266</v>
      </c>
      <c r="H1976" s="14">
        <f t="shared" si="62"/>
        <v>78.23</v>
      </c>
    </row>
    <row r="1977" spans="1:8" ht="55.2">
      <c r="A1977" s="502" t="s">
        <v>4282</v>
      </c>
      <c r="B1977" s="504" t="s">
        <v>28452</v>
      </c>
      <c r="C1977" s="502" t="s">
        <v>75</v>
      </c>
      <c r="D1977" s="503" t="s">
        <v>28785</v>
      </c>
      <c r="F1977" t="str">
        <f t="shared" si="61"/>
        <v>94267</v>
      </c>
      <c r="H1977" s="14">
        <f t="shared" si="62"/>
        <v>84.71</v>
      </c>
    </row>
    <row r="1978" spans="1:8" ht="55.2">
      <c r="A1978" s="502" t="s">
        <v>4283</v>
      </c>
      <c r="B1978" s="504" t="s">
        <v>28453</v>
      </c>
      <c r="C1978" s="502" t="s">
        <v>75</v>
      </c>
      <c r="D1978" s="503" t="s">
        <v>30468</v>
      </c>
      <c r="F1978" t="str">
        <f t="shared" si="61"/>
        <v>94268</v>
      </c>
      <c r="H1978" s="14">
        <f t="shared" si="62"/>
        <v>93.09</v>
      </c>
    </row>
    <row r="1979" spans="1:8" ht="55.2">
      <c r="A1979" s="502" t="s">
        <v>4284</v>
      </c>
      <c r="B1979" s="504" t="s">
        <v>28454</v>
      </c>
      <c r="C1979" s="502" t="s">
        <v>75</v>
      </c>
      <c r="D1979" s="503" t="s">
        <v>31623</v>
      </c>
      <c r="F1979" t="str">
        <f t="shared" si="61"/>
        <v>94269</v>
      </c>
      <c r="H1979" s="14">
        <f t="shared" si="62"/>
        <v>122.34</v>
      </c>
    </row>
    <row r="1980" spans="1:8" ht="55.2">
      <c r="A1980" s="502" t="s">
        <v>4285</v>
      </c>
      <c r="B1980" s="504" t="s">
        <v>28455</v>
      </c>
      <c r="C1980" s="502" t="s">
        <v>75</v>
      </c>
      <c r="D1980" s="503" t="s">
        <v>31624</v>
      </c>
      <c r="F1980" t="str">
        <f t="shared" si="61"/>
        <v>94270</v>
      </c>
      <c r="H1980" s="14">
        <f t="shared" si="62"/>
        <v>133.96</v>
      </c>
    </row>
    <row r="1981" spans="1:8" ht="55.2">
      <c r="A1981" s="502" t="s">
        <v>4286</v>
      </c>
      <c r="B1981" s="504" t="s">
        <v>28457</v>
      </c>
      <c r="C1981" s="502" t="s">
        <v>75</v>
      </c>
      <c r="D1981" s="503" t="s">
        <v>31625</v>
      </c>
      <c r="F1981" t="str">
        <f t="shared" si="61"/>
        <v>94271</v>
      </c>
      <c r="H1981" s="14">
        <f t="shared" si="62"/>
        <v>149.63</v>
      </c>
    </row>
    <row r="1982" spans="1:8" ht="55.2">
      <c r="A1982" s="502" t="s">
        <v>4287</v>
      </c>
      <c r="B1982" s="504" t="s">
        <v>28458</v>
      </c>
      <c r="C1982" s="502" t="s">
        <v>75</v>
      </c>
      <c r="D1982" s="503" t="s">
        <v>31626</v>
      </c>
      <c r="F1982" t="str">
        <f t="shared" si="61"/>
        <v>94272</v>
      </c>
      <c r="H1982" s="14">
        <f t="shared" si="62"/>
        <v>165.18</v>
      </c>
    </row>
    <row r="1983" spans="1:8" ht="55.2">
      <c r="A1983" s="502" t="s">
        <v>4288</v>
      </c>
      <c r="B1983" s="504" t="s">
        <v>28459</v>
      </c>
      <c r="C1983" s="502" t="s">
        <v>75</v>
      </c>
      <c r="D1983" s="503" t="s">
        <v>29090</v>
      </c>
      <c r="F1983" t="str">
        <f t="shared" si="61"/>
        <v>94273</v>
      </c>
      <c r="H1983" s="14">
        <f t="shared" si="62"/>
        <v>75.290000000000006</v>
      </c>
    </row>
    <row r="1984" spans="1:8" ht="55.2">
      <c r="A1984" s="502" t="s">
        <v>4289</v>
      </c>
      <c r="B1984" s="504" t="s">
        <v>28460</v>
      </c>
      <c r="C1984" s="502" t="s">
        <v>75</v>
      </c>
      <c r="D1984" s="503" t="s">
        <v>31627</v>
      </c>
      <c r="F1984" t="str">
        <f t="shared" si="61"/>
        <v>94274</v>
      </c>
      <c r="H1984" s="14">
        <f t="shared" si="62"/>
        <v>79.430000000000007</v>
      </c>
    </row>
    <row r="1985" spans="1:8" ht="55.2">
      <c r="A1985" s="502" t="s">
        <v>4290</v>
      </c>
      <c r="B1985" s="504" t="s">
        <v>28462</v>
      </c>
      <c r="C1985" s="502" t="s">
        <v>75</v>
      </c>
      <c r="D1985" s="503" t="s">
        <v>31628</v>
      </c>
      <c r="F1985" t="str">
        <f t="shared" si="61"/>
        <v>94275</v>
      </c>
      <c r="H1985" s="14">
        <f t="shared" si="62"/>
        <v>68.41</v>
      </c>
    </row>
    <row r="1986" spans="1:8" ht="55.2">
      <c r="A1986" s="502" t="s">
        <v>4291</v>
      </c>
      <c r="B1986" s="504" t="s">
        <v>28463</v>
      </c>
      <c r="C1986" s="502" t="s">
        <v>75</v>
      </c>
      <c r="D1986" s="503" t="s">
        <v>30858</v>
      </c>
      <c r="F1986" t="str">
        <f t="shared" si="61"/>
        <v>94276</v>
      </c>
      <c r="H1986" s="14">
        <f t="shared" si="62"/>
        <v>72.55</v>
      </c>
    </row>
    <row r="1987" spans="1:8" ht="55.2">
      <c r="A1987" s="502" t="s">
        <v>11984</v>
      </c>
      <c r="B1987" s="504" t="s">
        <v>28464</v>
      </c>
      <c r="C1987" s="502" t="s">
        <v>75</v>
      </c>
      <c r="D1987" s="503" t="s">
        <v>27943</v>
      </c>
      <c r="F1987" t="str">
        <f t="shared" si="61"/>
        <v>94277</v>
      </c>
      <c r="H1987" s="14">
        <f t="shared" si="62"/>
        <v>60.04</v>
      </c>
    </row>
    <row r="1988" spans="1:8" ht="55.2">
      <c r="A1988" s="502" t="s">
        <v>11985</v>
      </c>
      <c r="B1988" s="504" t="s">
        <v>28466</v>
      </c>
      <c r="C1988" s="502" t="s">
        <v>75</v>
      </c>
      <c r="D1988" s="503" t="s">
        <v>31629</v>
      </c>
      <c r="F1988" t="str">
        <f t="shared" si="61"/>
        <v>94278</v>
      </c>
      <c r="H1988" s="14">
        <f t="shared" si="62"/>
        <v>64.17</v>
      </c>
    </row>
    <row r="1989" spans="1:8" ht="69">
      <c r="A1989" s="502" t="s">
        <v>11986</v>
      </c>
      <c r="B1989" s="504" t="s">
        <v>28467</v>
      </c>
      <c r="C1989" s="502" t="s">
        <v>75</v>
      </c>
      <c r="D1989" s="503" t="s">
        <v>15334</v>
      </c>
      <c r="F1989" t="str">
        <f t="shared" ref="F1989:F2052" si="63">TRIM(A1989)</f>
        <v>94279</v>
      </c>
      <c r="H1989" s="14">
        <f t="shared" ref="H1989:H2052" si="64">ROUND(D1989*(1+$H$1),2)</f>
        <v>73.010000000000005</v>
      </c>
    </row>
    <row r="1990" spans="1:8" ht="69">
      <c r="A1990" s="502" t="s">
        <v>11987</v>
      </c>
      <c r="B1990" s="504" t="s">
        <v>28468</v>
      </c>
      <c r="C1990" s="502" t="s">
        <v>75</v>
      </c>
      <c r="D1990" s="503" t="s">
        <v>31630</v>
      </c>
      <c r="F1990" t="str">
        <f t="shared" si="63"/>
        <v>94280</v>
      </c>
      <c r="H1990" s="14">
        <f t="shared" si="64"/>
        <v>77.14</v>
      </c>
    </row>
    <row r="1991" spans="1:8" ht="41.4">
      <c r="A1991" s="502" t="s">
        <v>4292</v>
      </c>
      <c r="B1991" s="504" t="s">
        <v>28469</v>
      </c>
      <c r="C1991" s="502" t="s">
        <v>75</v>
      </c>
      <c r="D1991" s="503" t="s">
        <v>31631</v>
      </c>
      <c r="F1991" t="str">
        <f t="shared" si="63"/>
        <v>94281</v>
      </c>
      <c r="H1991" s="14">
        <f t="shared" si="64"/>
        <v>66.11</v>
      </c>
    </row>
    <row r="1992" spans="1:8" ht="41.4">
      <c r="A1992" s="502" t="s">
        <v>4293</v>
      </c>
      <c r="B1992" s="504" t="s">
        <v>28470</v>
      </c>
      <c r="C1992" s="502" t="s">
        <v>75</v>
      </c>
      <c r="D1992" s="503" t="s">
        <v>28461</v>
      </c>
      <c r="F1992" t="str">
        <f t="shared" si="63"/>
        <v>94282</v>
      </c>
      <c r="H1992" s="14">
        <f t="shared" si="64"/>
        <v>77.03</v>
      </c>
    </row>
    <row r="1993" spans="1:8" ht="41.4">
      <c r="A1993" s="502" t="s">
        <v>4294</v>
      </c>
      <c r="B1993" s="504" t="s">
        <v>28472</v>
      </c>
      <c r="C1993" s="502" t="s">
        <v>75</v>
      </c>
      <c r="D1993" s="503" t="s">
        <v>31632</v>
      </c>
      <c r="F1993" t="str">
        <f t="shared" si="63"/>
        <v>94283</v>
      </c>
      <c r="H1993" s="14">
        <f t="shared" si="64"/>
        <v>90.56</v>
      </c>
    </row>
    <row r="1994" spans="1:8" ht="41.4">
      <c r="A1994" s="502" t="s">
        <v>4295</v>
      </c>
      <c r="B1994" s="504" t="s">
        <v>28473</v>
      </c>
      <c r="C1994" s="502" t="s">
        <v>75</v>
      </c>
      <c r="D1994" s="503" t="s">
        <v>30254</v>
      </c>
      <c r="F1994" t="str">
        <f t="shared" si="63"/>
        <v>94284</v>
      </c>
      <c r="H1994" s="14">
        <f t="shared" si="64"/>
        <v>101.51</v>
      </c>
    </row>
    <row r="1995" spans="1:8" ht="41.4">
      <c r="A1995" s="502" t="s">
        <v>4296</v>
      </c>
      <c r="B1995" s="504" t="s">
        <v>28474</v>
      </c>
      <c r="C1995" s="502" t="s">
        <v>75</v>
      </c>
      <c r="D1995" s="503" t="s">
        <v>31633</v>
      </c>
      <c r="F1995" t="str">
        <f t="shared" si="63"/>
        <v>94285</v>
      </c>
      <c r="H1995" s="14">
        <f t="shared" si="64"/>
        <v>118.41</v>
      </c>
    </row>
    <row r="1996" spans="1:8" ht="41.4">
      <c r="A1996" s="502" t="s">
        <v>4297</v>
      </c>
      <c r="B1996" s="504" t="s">
        <v>28476</v>
      </c>
      <c r="C1996" s="502" t="s">
        <v>75</v>
      </c>
      <c r="D1996" s="503" t="s">
        <v>31634</v>
      </c>
      <c r="F1996" t="str">
        <f t="shared" si="63"/>
        <v>94286</v>
      </c>
      <c r="H1996" s="14">
        <f t="shared" si="64"/>
        <v>129.36000000000001</v>
      </c>
    </row>
    <row r="1997" spans="1:8" ht="41.4">
      <c r="A1997" s="502" t="s">
        <v>4298</v>
      </c>
      <c r="B1997" s="504" t="s">
        <v>28477</v>
      </c>
      <c r="C1997" s="502" t="s">
        <v>75</v>
      </c>
      <c r="D1997" s="503" t="s">
        <v>31635</v>
      </c>
      <c r="F1997" t="str">
        <f t="shared" si="63"/>
        <v>94287</v>
      </c>
      <c r="H1997" s="14">
        <f t="shared" si="64"/>
        <v>49.56</v>
      </c>
    </row>
    <row r="1998" spans="1:8" ht="41.4">
      <c r="A1998" s="502" t="s">
        <v>4299</v>
      </c>
      <c r="B1998" s="504" t="s">
        <v>28478</v>
      </c>
      <c r="C1998" s="502" t="s">
        <v>75</v>
      </c>
      <c r="D1998" s="503" t="s">
        <v>31442</v>
      </c>
      <c r="F1998" t="str">
        <f t="shared" si="63"/>
        <v>94288</v>
      </c>
      <c r="H1998" s="14">
        <f t="shared" si="64"/>
        <v>59.27</v>
      </c>
    </row>
    <row r="1999" spans="1:8" ht="41.4">
      <c r="A1999" s="502" t="s">
        <v>4300</v>
      </c>
      <c r="B1999" s="504" t="s">
        <v>28479</v>
      </c>
      <c r="C1999" s="502" t="s">
        <v>75</v>
      </c>
      <c r="D1999" s="503" t="s">
        <v>31636</v>
      </c>
      <c r="F1999" t="str">
        <f t="shared" si="63"/>
        <v>94289</v>
      </c>
      <c r="H1999" s="14">
        <f t="shared" si="64"/>
        <v>65.010000000000005</v>
      </c>
    </row>
    <row r="2000" spans="1:8" ht="41.4">
      <c r="A2000" s="502" t="s">
        <v>4301</v>
      </c>
      <c r="B2000" s="504" t="s">
        <v>28480</v>
      </c>
      <c r="C2000" s="502" t="s">
        <v>75</v>
      </c>
      <c r="D2000" s="503" t="s">
        <v>16272</v>
      </c>
      <c r="F2000" t="str">
        <f t="shared" si="63"/>
        <v>94290</v>
      </c>
      <c r="H2000" s="14">
        <f t="shared" si="64"/>
        <v>74.75</v>
      </c>
    </row>
    <row r="2001" spans="1:8" ht="41.4">
      <c r="A2001" s="502" t="s">
        <v>4302</v>
      </c>
      <c r="B2001" s="504" t="s">
        <v>28481</v>
      </c>
      <c r="C2001" s="502" t="s">
        <v>75</v>
      </c>
      <c r="D2001" s="503" t="s">
        <v>31637</v>
      </c>
      <c r="F2001" t="str">
        <f t="shared" si="63"/>
        <v>94291</v>
      </c>
      <c r="H2001" s="14">
        <f t="shared" si="64"/>
        <v>81.23</v>
      </c>
    </row>
    <row r="2002" spans="1:8" ht="41.4">
      <c r="A2002" s="502" t="s">
        <v>4303</v>
      </c>
      <c r="B2002" s="504" t="s">
        <v>28482</v>
      </c>
      <c r="C2002" s="502" t="s">
        <v>75</v>
      </c>
      <c r="D2002" s="503" t="s">
        <v>29825</v>
      </c>
      <c r="F2002" t="str">
        <f t="shared" si="63"/>
        <v>94292</v>
      </c>
      <c r="H2002" s="14">
        <f t="shared" si="64"/>
        <v>90.96</v>
      </c>
    </row>
    <row r="2003" spans="1:8" ht="41.4">
      <c r="A2003" s="502" t="s">
        <v>4304</v>
      </c>
      <c r="B2003" s="504" t="s">
        <v>28483</v>
      </c>
      <c r="C2003" s="502" t="s">
        <v>75</v>
      </c>
      <c r="D2003" s="503" t="s">
        <v>31638</v>
      </c>
      <c r="F2003" t="str">
        <f t="shared" si="63"/>
        <v>94293</v>
      </c>
      <c r="H2003" s="14">
        <f t="shared" si="64"/>
        <v>265.17</v>
      </c>
    </row>
    <row r="2004" spans="1:8" ht="27.6">
      <c r="A2004" s="502" t="s">
        <v>4305</v>
      </c>
      <c r="B2004" s="504" t="s">
        <v>28484</v>
      </c>
      <c r="C2004" s="502" t="s">
        <v>75</v>
      </c>
      <c r="D2004" s="503" t="s">
        <v>31639</v>
      </c>
      <c r="F2004" t="str">
        <f t="shared" si="63"/>
        <v>94294</v>
      </c>
      <c r="H2004" s="14">
        <f t="shared" si="64"/>
        <v>10.62</v>
      </c>
    </row>
    <row r="2005" spans="1:8" ht="69">
      <c r="A2005" s="502" t="s">
        <v>24183</v>
      </c>
      <c r="B2005" s="504" t="s">
        <v>24184</v>
      </c>
      <c r="C2005" s="502" t="s">
        <v>75</v>
      </c>
      <c r="D2005" s="503" t="s">
        <v>31640</v>
      </c>
      <c r="F2005" t="str">
        <f t="shared" si="63"/>
        <v>104491</v>
      </c>
      <c r="H2005" s="14">
        <f t="shared" si="64"/>
        <v>5380.2</v>
      </c>
    </row>
    <row r="2006" spans="1:8" ht="69">
      <c r="A2006" s="502" t="s">
        <v>24185</v>
      </c>
      <c r="B2006" s="504" t="s">
        <v>24186</v>
      </c>
      <c r="C2006" s="502" t="s">
        <v>75</v>
      </c>
      <c r="D2006" s="503" t="s">
        <v>31641</v>
      </c>
      <c r="F2006" t="str">
        <f t="shared" si="63"/>
        <v>104492</v>
      </c>
      <c r="H2006" s="14">
        <f t="shared" si="64"/>
        <v>6726.75</v>
      </c>
    </row>
    <row r="2007" spans="1:8" ht="69">
      <c r="A2007" s="502" t="s">
        <v>24187</v>
      </c>
      <c r="B2007" s="504" t="s">
        <v>24188</v>
      </c>
      <c r="C2007" s="502" t="s">
        <v>75</v>
      </c>
      <c r="D2007" s="503" t="s">
        <v>31642</v>
      </c>
      <c r="F2007" t="str">
        <f t="shared" si="63"/>
        <v>104494</v>
      </c>
      <c r="H2007" s="14">
        <f t="shared" si="64"/>
        <v>9085.01</v>
      </c>
    </row>
    <row r="2008" spans="1:8" ht="69">
      <c r="A2008" s="502" t="s">
        <v>24189</v>
      </c>
      <c r="B2008" s="504" t="s">
        <v>24190</v>
      </c>
      <c r="C2008" s="502" t="s">
        <v>75</v>
      </c>
      <c r="D2008" s="503" t="s">
        <v>31643</v>
      </c>
      <c r="F2008" t="str">
        <f t="shared" si="63"/>
        <v>104497</v>
      </c>
      <c r="H2008" s="14">
        <f t="shared" si="64"/>
        <v>10904.81</v>
      </c>
    </row>
    <row r="2009" spans="1:8" ht="27.6">
      <c r="A2009" s="502" t="s">
        <v>24191</v>
      </c>
      <c r="B2009" s="504" t="s">
        <v>24192</v>
      </c>
      <c r="C2009" s="502" t="s">
        <v>73</v>
      </c>
      <c r="D2009" s="503" t="s">
        <v>16128</v>
      </c>
      <c r="F2009" t="str">
        <f t="shared" si="63"/>
        <v>104515</v>
      </c>
      <c r="H2009" s="14">
        <f t="shared" si="64"/>
        <v>37.840000000000003</v>
      </c>
    </row>
    <row r="2010" spans="1:8" ht="41.4">
      <c r="A2010" s="502" t="s">
        <v>15972</v>
      </c>
      <c r="B2010" s="504" t="s">
        <v>15973</v>
      </c>
      <c r="C2010" s="502" t="s">
        <v>73</v>
      </c>
      <c r="D2010" s="503" t="s">
        <v>31644</v>
      </c>
      <c r="F2010" t="str">
        <f t="shared" si="63"/>
        <v>102727</v>
      </c>
      <c r="H2010" s="14">
        <f t="shared" si="64"/>
        <v>147.07</v>
      </c>
    </row>
    <row r="2011" spans="1:8" ht="27.6">
      <c r="A2011" s="502" t="s">
        <v>15974</v>
      </c>
      <c r="B2011" s="504" t="s">
        <v>15975</v>
      </c>
      <c r="C2011" s="502" t="s">
        <v>71</v>
      </c>
      <c r="D2011" s="503" t="s">
        <v>29329</v>
      </c>
      <c r="F2011" t="str">
        <f t="shared" si="63"/>
        <v>102728</v>
      </c>
      <c r="H2011" s="14">
        <f t="shared" si="64"/>
        <v>23.11</v>
      </c>
    </row>
    <row r="2012" spans="1:8" ht="27.6">
      <c r="A2012" s="502" t="s">
        <v>15976</v>
      </c>
      <c r="B2012" s="504" t="s">
        <v>15977</v>
      </c>
      <c r="C2012" s="502" t="s">
        <v>71</v>
      </c>
      <c r="D2012" s="503" t="s">
        <v>10059</v>
      </c>
      <c r="F2012" t="str">
        <f t="shared" si="63"/>
        <v>102729</v>
      </c>
      <c r="H2012" s="14">
        <f t="shared" si="64"/>
        <v>21.59</v>
      </c>
    </row>
    <row r="2013" spans="1:8" ht="27.6">
      <c r="A2013" s="502" t="s">
        <v>15978</v>
      </c>
      <c r="B2013" s="504" t="s">
        <v>15979</v>
      </c>
      <c r="C2013" s="502" t="s">
        <v>71</v>
      </c>
      <c r="D2013" s="503" t="s">
        <v>31645</v>
      </c>
      <c r="F2013" t="str">
        <f t="shared" si="63"/>
        <v>102730</v>
      </c>
      <c r="H2013" s="14">
        <f t="shared" si="64"/>
        <v>19.21</v>
      </c>
    </row>
    <row r="2014" spans="1:8" ht="27.6">
      <c r="A2014" s="502" t="s">
        <v>15980</v>
      </c>
      <c r="B2014" s="504" t="s">
        <v>15981</v>
      </c>
      <c r="C2014" s="502" t="s">
        <v>71</v>
      </c>
      <c r="D2014" s="503" t="s">
        <v>31646</v>
      </c>
      <c r="F2014" t="str">
        <f t="shared" si="63"/>
        <v>102731</v>
      </c>
      <c r="H2014" s="14">
        <f t="shared" si="64"/>
        <v>16.18</v>
      </c>
    </row>
    <row r="2015" spans="1:8" ht="27.6">
      <c r="A2015" s="502" t="s">
        <v>15982</v>
      </c>
      <c r="B2015" s="504" t="s">
        <v>15983</v>
      </c>
      <c r="C2015" s="502" t="s">
        <v>71</v>
      </c>
      <c r="D2015" s="503" t="s">
        <v>10760</v>
      </c>
      <c r="F2015" t="str">
        <f t="shared" si="63"/>
        <v>102732</v>
      </c>
      <c r="H2015" s="14">
        <f t="shared" si="64"/>
        <v>15.28</v>
      </c>
    </row>
    <row r="2016" spans="1:8" ht="27.6">
      <c r="A2016" s="502" t="s">
        <v>15984</v>
      </c>
      <c r="B2016" s="504" t="s">
        <v>15985</v>
      </c>
      <c r="C2016" s="502" t="s">
        <v>71</v>
      </c>
      <c r="D2016" s="503" t="s">
        <v>15389</v>
      </c>
      <c r="F2016" t="str">
        <f t="shared" si="63"/>
        <v>102733</v>
      </c>
      <c r="H2016" s="14">
        <f t="shared" si="64"/>
        <v>17.02</v>
      </c>
    </row>
    <row r="2017" spans="1:8" ht="27.6">
      <c r="A2017" s="502" t="s">
        <v>15986</v>
      </c>
      <c r="B2017" s="504" t="s">
        <v>15987</v>
      </c>
      <c r="C2017" s="502" t="s">
        <v>71</v>
      </c>
      <c r="D2017" s="503" t="s">
        <v>31647</v>
      </c>
      <c r="F2017" t="str">
        <f t="shared" si="63"/>
        <v>102734</v>
      </c>
      <c r="H2017" s="14">
        <f t="shared" si="64"/>
        <v>21.64</v>
      </c>
    </row>
    <row r="2018" spans="1:8" ht="27.6">
      <c r="A2018" s="502" t="s">
        <v>15988</v>
      </c>
      <c r="B2018" s="504" t="s">
        <v>15989</v>
      </c>
      <c r="C2018" s="502" t="s">
        <v>71</v>
      </c>
      <c r="D2018" s="503" t="s">
        <v>29296</v>
      </c>
      <c r="F2018" t="str">
        <f t="shared" si="63"/>
        <v>102735</v>
      </c>
      <c r="H2018" s="14">
        <f t="shared" si="64"/>
        <v>20.309999999999999</v>
      </c>
    </row>
    <row r="2019" spans="1:8" ht="41.4">
      <c r="A2019" s="502" t="s">
        <v>15990</v>
      </c>
      <c r="B2019" s="504" t="s">
        <v>15991</v>
      </c>
      <c r="C2019" s="502" t="s">
        <v>83</v>
      </c>
      <c r="D2019" s="503" t="s">
        <v>31648</v>
      </c>
      <c r="F2019" t="str">
        <f t="shared" si="63"/>
        <v>102736</v>
      </c>
      <c r="H2019" s="14">
        <f t="shared" si="64"/>
        <v>993.05</v>
      </c>
    </row>
    <row r="2020" spans="1:8" ht="41.4">
      <c r="A2020" s="502" t="s">
        <v>15992</v>
      </c>
      <c r="B2020" s="504" t="s">
        <v>15993</v>
      </c>
      <c r="C2020" s="502" t="s">
        <v>114</v>
      </c>
      <c r="D2020" s="503" t="s">
        <v>31649</v>
      </c>
      <c r="F2020" t="str">
        <f t="shared" si="63"/>
        <v>102737</v>
      </c>
      <c r="H2020" s="14">
        <f t="shared" si="64"/>
        <v>1662.52</v>
      </c>
    </row>
    <row r="2021" spans="1:8" ht="41.4">
      <c r="A2021" s="502" t="s">
        <v>15994</v>
      </c>
      <c r="B2021" s="504" t="s">
        <v>15995</v>
      </c>
      <c r="C2021" s="502" t="s">
        <v>114</v>
      </c>
      <c r="D2021" s="503" t="s">
        <v>31650</v>
      </c>
      <c r="F2021" t="str">
        <f t="shared" si="63"/>
        <v>102738</v>
      </c>
      <c r="H2021" s="14">
        <f t="shared" si="64"/>
        <v>3410.91</v>
      </c>
    </row>
    <row r="2022" spans="1:8" ht="41.4">
      <c r="A2022" s="502" t="s">
        <v>15996</v>
      </c>
      <c r="B2022" s="504" t="s">
        <v>15997</v>
      </c>
      <c r="C2022" s="502" t="s">
        <v>114</v>
      </c>
      <c r="D2022" s="503" t="s">
        <v>31651</v>
      </c>
      <c r="F2022" t="str">
        <f t="shared" si="63"/>
        <v>102739</v>
      </c>
      <c r="H2022" s="14">
        <f t="shared" si="64"/>
        <v>5718.57</v>
      </c>
    </row>
    <row r="2023" spans="1:8" ht="41.4">
      <c r="A2023" s="502" t="s">
        <v>15998</v>
      </c>
      <c r="B2023" s="504" t="s">
        <v>15999</v>
      </c>
      <c r="C2023" s="502" t="s">
        <v>114</v>
      </c>
      <c r="D2023" s="503" t="s">
        <v>31652</v>
      </c>
      <c r="F2023" t="str">
        <f t="shared" si="63"/>
        <v>102740</v>
      </c>
      <c r="H2023" s="14">
        <f t="shared" si="64"/>
        <v>8579.89</v>
      </c>
    </row>
    <row r="2024" spans="1:8" ht="41.4">
      <c r="A2024" s="502" t="s">
        <v>16000</v>
      </c>
      <c r="B2024" s="504" t="s">
        <v>16001</v>
      </c>
      <c r="C2024" s="502" t="s">
        <v>114</v>
      </c>
      <c r="D2024" s="503" t="s">
        <v>31653</v>
      </c>
      <c r="F2024" t="str">
        <f t="shared" si="63"/>
        <v>102741</v>
      </c>
      <c r="H2024" s="14">
        <f t="shared" si="64"/>
        <v>12053.21</v>
      </c>
    </row>
    <row r="2025" spans="1:8" ht="41.4">
      <c r="A2025" s="502" t="s">
        <v>16002</v>
      </c>
      <c r="B2025" s="504" t="s">
        <v>16003</v>
      </c>
      <c r="C2025" s="502" t="s">
        <v>114</v>
      </c>
      <c r="D2025" s="503" t="s">
        <v>31654</v>
      </c>
      <c r="F2025" t="str">
        <f t="shared" si="63"/>
        <v>102742</v>
      </c>
      <c r="H2025" s="14">
        <f t="shared" si="64"/>
        <v>20889.07</v>
      </c>
    </row>
    <row r="2026" spans="1:8" ht="41.4">
      <c r="A2026" s="502" t="s">
        <v>16004</v>
      </c>
      <c r="B2026" s="504" t="s">
        <v>16005</v>
      </c>
      <c r="C2026" s="502" t="s">
        <v>114</v>
      </c>
      <c r="D2026" s="503" t="s">
        <v>31655</v>
      </c>
      <c r="F2026" t="str">
        <f t="shared" si="63"/>
        <v>102743</v>
      </c>
      <c r="H2026" s="14">
        <f t="shared" si="64"/>
        <v>6928.67</v>
      </c>
    </row>
    <row r="2027" spans="1:8" ht="41.4">
      <c r="A2027" s="502" t="s">
        <v>16006</v>
      </c>
      <c r="B2027" s="504" t="s">
        <v>16007</v>
      </c>
      <c r="C2027" s="502" t="s">
        <v>114</v>
      </c>
      <c r="D2027" s="503" t="s">
        <v>31656</v>
      </c>
      <c r="F2027" t="str">
        <f t="shared" si="63"/>
        <v>102744</v>
      </c>
      <c r="H2027" s="14">
        <f t="shared" si="64"/>
        <v>10390.25</v>
      </c>
    </row>
    <row r="2028" spans="1:8" ht="41.4">
      <c r="A2028" s="502" t="s">
        <v>16008</v>
      </c>
      <c r="B2028" s="504" t="s">
        <v>16009</v>
      </c>
      <c r="C2028" s="502" t="s">
        <v>114</v>
      </c>
      <c r="D2028" s="503" t="s">
        <v>31657</v>
      </c>
      <c r="F2028" t="str">
        <f t="shared" si="63"/>
        <v>102745</v>
      </c>
      <c r="H2028" s="14">
        <f t="shared" si="64"/>
        <v>14617.21</v>
      </c>
    </row>
    <row r="2029" spans="1:8" ht="41.4">
      <c r="A2029" s="502" t="s">
        <v>16010</v>
      </c>
      <c r="B2029" s="504" t="s">
        <v>16011</v>
      </c>
      <c r="C2029" s="502" t="s">
        <v>114</v>
      </c>
      <c r="D2029" s="503" t="s">
        <v>31658</v>
      </c>
      <c r="F2029" t="str">
        <f t="shared" si="63"/>
        <v>102746</v>
      </c>
      <c r="H2029" s="14">
        <f t="shared" si="64"/>
        <v>25364.12</v>
      </c>
    </row>
    <row r="2030" spans="1:8" ht="41.4">
      <c r="A2030" s="502" t="s">
        <v>16012</v>
      </c>
      <c r="B2030" s="504" t="s">
        <v>16013</v>
      </c>
      <c r="C2030" s="502" t="s">
        <v>114</v>
      </c>
      <c r="D2030" s="503" t="s">
        <v>31659</v>
      </c>
      <c r="F2030" t="str">
        <f t="shared" si="63"/>
        <v>102747</v>
      </c>
      <c r="H2030" s="14">
        <f t="shared" si="64"/>
        <v>12903.85</v>
      </c>
    </row>
    <row r="2031" spans="1:8" ht="41.4">
      <c r="A2031" s="502" t="s">
        <v>16014</v>
      </c>
      <c r="B2031" s="504" t="s">
        <v>16015</v>
      </c>
      <c r="C2031" s="502" t="s">
        <v>114</v>
      </c>
      <c r="D2031" s="503" t="s">
        <v>31660</v>
      </c>
      <c r="F2031" t="str">
        <f t="shared" si="63"/>
        <v>102748</v>
      </c>
      <c r="H2031" s="14">
        <f t="shared" si="64"/>
        <v>18073.91</v>
      </c>
    </row>
    <row r="2032" spans="1:8" ht="41.4">
      <c r="A2032" s="502" t="s">
        <v>16016</v>
      </c>
      <c r="B2032" s="504" t="s">
        <v>16017</v>
      </c>
      <c r="C2032" s="502" t="s">
        <v>114</v>
      </c>
      <c r="D2032" s="503" t="s">
        <v>31661</v>
      </c>
      <c r="F2032" t="str">
        <f t="shared" si="63"/>
        <v>102749</v>
      </c>
      <c r="H2032" s="14">
        <f t="shared" si="64"/>
        <v>31059.74</v>
      </c>
    </row>
    <row r="2033" spans="1:8" ht="41.4">
      <c r="A2033" s="502" t="s">
        <v>16018</v>
      </c>
      <c r="B2033" s="504" t="s">
        <v>16019</v>
      </c>
      <c r="C2033" s="502" t="s">
        <v>114</v>
      </c>
      <c r="D2033" s="503" t="s">
        <v>31662</v>
      </c>
      <c r="F2033" t="str">
        <f t="shared" si="63"/>
        <v>102750</v>
      </c>
      <c r="H2033" s="14">
        <f t="shared" si="64"/>
        <v>4162.12</v>
      </c>
    </row>
    <row r="2034" spans="1:8" ht="41.4">
      <c r="A2034" s="502" t="s">
        <v>16020</v>
      </c>
      <c r="B2034" s="504" t="s">
        <v>16021</v>
      </c>
      <c r="C2034" s="502" t="s">
        <v>114</v>
      </c>
      <c r="D2034" s="503" t="s">
        <v>31663</v>
      </c>
      <c r="F2034" t="str">
        <f t="shared" si="63"/>
        <v>102751</v>
      </c>
      <c r="H2034" s="14">
        <f t="shared" si="64"/>
        <v>7246.67</v>
      </c>
    </row>
    <row r="2035" spans="1:8" ht="41.4">
      <c r="A2035" s="502" t="s">
        <v>16022</v>
      </c>
      <c r="B2035" s="504" t="s">
        <v>16023</v>
      </c>
      <c r="C2035" s="502" t="s">
        <v>114</v>
      </c>
      <c r="D2035" s="503" t="s">
        <v>31664</v>
      </c>
      <c r="F2035" t="str">
        <f t="shared" si="63"/>
        <v>102752</v>
      </c>
      <c r="H2035" s="14">
        <f t="shared" si="64"/>
        <v>11563.08</v>
      </c>
    </row>
    <row r="2036" spans="1:8" ht="41.4">
      <c r="A2036" s="502" t="s">
        <v>16024</v>
      </c>
      <c r="B2036" s="504" t="s">
        <v>16025</v>
      </c>
      <c r="C2036" s="502" t="s">
        <v>114</v>
      </c>
      <c r="D2036" s="503" t="s">
        <v>31665</v>
      </c>
      <c r="F2036" t="str">
        <f t="shared" si="63"/>
        <v>102753</v>
      </c>
      <c r="H2036" s="14">
        <f t="shared" si="64"/>
        <v>17140.41</v>
      </c>
    </row>
    <row r="2037" spans="1:8" ht="41.4">
      <c r="A2037" s="502" t="s">
        <v>16026</v>
      </c>
      <c r="B2037" s="504" t="s">
        <v>16027</v>
      </c>
      <c r="C2037" s="502" t="s">
        <v>114</v>
      </c>
      <c r="D2037" s="503" t="s">
        <v>31666</v>
      </c>
      <c r="F2037" t="str">
        <f t="shared" si="63"/>
        <v>102754</v>
      </c>
      <c r="H2037" s="14">
        <f t="shared" si="64"/>
        <v>32617.919999999998</v>
      </c>
    </row>
    <row r="2038" spans="1:8" ht="41.4">
      <c r="A2038" s="502" t="s">
        <v>16028</v>
      </c>
      <c r="B2038" s="504" t="s">
        <v>16029</v>
      </c>
      <c r="C2038" s="502" t="s">
        <v>114</v>
      </c>
      <c r="D2038" s="503" t="s">
        <v>31667</v>
      </c>
      <c r="F2038" t="str">
        <f t="shared" si="63"/>
        <v>102755</v>
      </c>
      <c r="H2038" s="14">
        <f t="shared" si="64"/>
        <v>16165.98</v>
      </c>
    </row>
    <row r="2039" spans="1:8" ht="41.4">
      <c r="A2039" s="502" t="s">
        <v>16030</v>
      </c>
      <c r="B2039" s="504" t="s">
        <v>16031</v>
      </c>
      <c r="C2039" s="502" t="s">
        <v>114</v>
      </c>
      <c r="D2039" s="503" t="s">
        <v>31668</v>
      </c>
      <c r="F2039" t="str">
        <f t="shared" si="63"/>
        <v>102756</v>
      </c>
      <c r="H2039" s="14">
        <f t="shared" si="64"/>
        <v>24040.26</v>
      </c>
    </row>
    <row r="2040" spans="1:8" ht="41.4">
      <c r="A2040" s="502" t="s">
        <v>16032</v>
      </c>
      <c r="B2040" s="504" t="s">
        <v>16033</v>
      </c>
      <c r="C2040" s="502" t="s">
        <v>114</v>
      </c>
      <c r="D2040" s="503" t="s">
        <v>31669</v>
      </c>
      <c r="F2040" t="str">
        <f t="shared" si="63"/>
        <v>102757</v>
      </c>
      <c r="H2040" s="14">
        <f t="shared" si="64"/>
        <v>44766.06</v>
      </c>
    </row>
    <row r="2041" spans="1:8" ht="41.4">
      <c r="A2041" s="502" t="s">
        <v>16034</v>
      </c>
      <c r="B2041" s="504" t="s">
        <v>16035</v>
      </c>
      <c r="C2041" s="502" t="s">
        <v>114</v>
      </c>
      <c r="D2041" s="503" t="s">
        <v>31670</v>
      </c>
      <c r="F2041" t="str">
        <f t="shared" si="63"/>
        <v>102758</v>
      </c>
      <c r="H2041" s="14">
        <f t="shared" si="64"/>
        <v>20790.05</v>
      </c>
    </row>
    <row r="2042" spans="1:8" ht="41.4">
      <c r="A2042" s="502" t="s">
        <v>16036</v>
      </c>
      <c r="B2042" s="504" t="s">
        <v>16037</v>
      </c>
      <c r="C2042" s="502" t="s">
        <v>114</v>
      </c>
      <c r="D2042" s="503" t="s">
        <v>31671</v>
      </c>
      <c r="F2042" t="str">
        <f t="shared" si="63"/>
        <v>102759</v>
      </c>
      <c r="H2042" s="14">
        <f t="shared" si="64"/>
        <v>30972.26</v>
      </c>
    </row>
    <row r="2043" spans="1:8" ht="41.4">
      <c r="A2043" s="502" t="s">
        <v>16038</v>
      </c>
      <c r="B2043" s="504" t="s">
        <v>16039</v>
      </c>
      <c r="C2043" s="502" t="s">
        <v>114</v>
      </c>
      <c r="D2043" s="503" t="s">
        <v>31672</v>
      </c>
      <c r="F2043" t="str">
        <f t="shared" si="63"/>
        <v>102760</v>
      </c>
      <c r="H2043" s="14">
        <f t="shared" si="64"/>
        <v>57141.82</v>
      </c>
    </row>
    <row r="2044" spans="1:8" ht="41.4">
      <c r="A2044" s="502" t="s">
        <v>16040</v>
      </c>
      <c r="B2044" s="504" t="s">
        <v>16041</v>
      </c>
      <c r="C2044" s="502" t="s">
        <v>114</v>
      </c>
      <c r="D2044" s="503" t="s">
        <v>31673</v>
      </c>
      <c r="F2044" t="str">
        <f t="shared" si="63"/>
        <v>102761</v>
      </c>
      <c r="H2044" s="14">
        <f t="shared" si="64"/>
        <v>19793.53</v>
      </c>
    </row>
    <row r="2045" spans="1:8" ht="41.4">
      <c r="A2045" s="502" t="s">
        <v>16042</v>
      </c>
      <c r="B2045" s="504" t="s">
        <v>16043</v>
      </c>
      <c r="C2045" s="502" t="s">
        <v>114</v>
      </c>
      <c r="D2045" s="503" t="s">
        <v>31674</v>
      </c>
      <c r="F2045" t="str">
        <f t="shared" si="63"/>
        <v>102762</v>
      </c>
      <c r="H2045" s="14">
        <f t="shared" si="64"/>
        <v>30646.26</v>
      </c>
    </row>
    <row r="2046" spans="1:8" ht="41.4">
      <c r="A2046" s="502" t="s">
        <v>16044</v>
      </c>
      <c r="B2046" s="504" t="s">
        <v>16045</v>
      </c>
      <c r="C2046" s="502" t="s">
        <v>114</v>
      </c>
      <c r="D2046" s="503" t="s">
        <v>31675</v>
      </c>
      <c r="F2046" t="str">
        <f t="shared" si="63"/>
        <v>102763</v>
      </c>
      <c r="H2046" s="14">
        <f t="shared" si="64"/>
        <v>42627.94</v>
      </c>
    </row>
    <row r="2047" spans="1:8" ht="41.4">
      <c r="A2047" s="502" t="s">
        <v>16046</v>
      </c>
      <c r="B2047" s="504" t="s">
        <v>16047</v>
      </c>
      <c r="C2047" s="502" t="s">
        <v>114</v>
      </c>
      <c r="D2047" s="503" t="s">
        <v>31676</v>
      </c>
      <c r="F2047" t="str">
        <f t="shared" si="63"/>
        <v>102764</v>
      </c>
      <c r="H2047" s="14">
        <f t="shared" si="64"/>
        <v>60261.22</v>
      </c>
    </row>
    <row r="2048" spans="1:8" ht="41.4">
      <c r="A2048" s="502" t="s">
        <v>16048</v>
      </c>
      <c r="B2048" s="504" t="s">
        <v>16049</v>
      </c>
      <c r="C2048" s="502" t="s">
        <v>114</v>
      </c>
      <c r="D2048" s="503" t="s">
        <v>31677</v>
      </c>
      <c r="F2048" t="str">
        <f t="shared" si="63"/>
        <v>102765</v>
      </c>
      <c r="H2048" s="14">
        <f t="shared" si="64"/>
        <v>24647.119999999999</v>
      </c>
    </row>
    <row r="2049" spans="1:8" ht="41.4">
      <c r="A2049" s="502" t="s">
        <v>16050</v>
      </c>
      <c r="B2049" s="504" t="s">
        <v>16051</v>
      </c>
      <c r="C2049" s="502" t="s">
        <v>114</v>
      </c>
      <c r="D2049" s="503" t="s">
        <v>31678</v>
      </c>
      <c r="F2049" t="str">
        <f t="shared" si="63"/>
        <v>102766</v>
      </c>
      <c r="H2049" s="14">
        <f t="shared" si="64"/>
        <v>37215.85</v>
      </c>
    </row>
    <row r="2050" spans="1:8" ht="41.4">
      <c r="A2050" s="502" t="s">
        <v>16052</v>
      </c>
      <c r="B2050" s="504" t="s">
        <v>16053</v>
      </c>
      <c r="C2050" s="502" t="s">
        <v>114</v>
      </c>
      <c r="D2050" s="503" t="s">
        <v>31679</v>
      </c>
      <c r="F2050" t="str">
        <f t="shared" si="63"/>
        <v>102767</v>
      </c>
      <c r="H2050" s="14">
        <f t="shared" si="64"/>
        <v>52095.47</v>
      </c>
    </row>
    <row r="2051" spans="1:8" ht="41.4">
      <c r="A2051" s="502" t="s">
        <v>16054</v>
      </c>
      <c r="B2051" s="504" t="s">
        <v>16055</v>
      </c>
      <c r="C2051" s="502" t="s">
        <v>114</v>
      </c>
      <c r="D2051" s="503" t="s">
        <v>31680</v>
      </c>
      <c r="F2051" t="str">
        <f t="shared" si="63"/>
        <v>102768</v>
      </c>
      <c r="H2051" s="14">
        <f t="shared" si="64"/>
        <v>72976.77</v>
      </c>
    </row>
    <row r="2052" spans="1:8" ht="41.4">
      <c r="A2052" s="502" t="s">
        <v>16056</v>
      </c>
      <c r="B2052" s="504" t="s">
        <v>16057</v>
      </c>
      <c r="C2052" s="502" t="s">
        <v>114</v>
      </c>
      <c r="D2052" s="503" t="s">
        <v>31681</v>
      </c>
      <c r="F2052" t="str">
        <f t="shared" si="63"/>
        <v>102769</v>
      </c>
      <c r="H2052" s="14">
        <f t="shared" si="64"/>
        <v>28538.21</v>
      </c>
    </row>
    <row r="2053" spans="1:8" ht="41.4">
      <c r="A2053" s="502" t="s">
        <v>16058</v>
      </c>
      <c r="B2053" s="504" t="s">
        <v>16059</v>
      </c>
      <c r="C2053" s="502" t="s">
        <v>114</v>
      </c>
      <c r="D2053" s="503" t="s">
        <v>31682</v>
      </c>
      <c r="F2053" t="str">
        <f t="shared" ref="F2053:F2116" si="65">TRIM(A2053)</f>
        <v>102770</v>
      </c>
      <c r="H2053" s="14">
        <f t="shared" ref="H2053:H2116" si="66">ROUND(D2053*(1+$H$1),2)</f>
        <v>43869.24</v>
      </c>
    </row>
    <row r="2054" spans="1:8" ht="41.4">
      <c r="A2054" s="502" t="s">
        <v>16060</v>
      </c>
      <c r="B2054" s="504" t="s">
        <v>16061</v>
      </c>
      <c r="C2054" s="502" t="s">
        <v>114</v>
      </c>
      <c r="D2054" s="503" t="s">
        <v>31683</v>
      </c>
      <c r="F2054" t="str">
        <f t="shared" si="65"/>
        <v>102771</v>
      </c>
      <c r="H2054" s="14">
        <f t="shared" si="66"/>
        <v>61379.16</v>
      </c>
    </row>
    <row r="2055" spans="1:8" ht="41.4">
      <c r="A2055" s="502" t="s">
        <v>16062</v>
      </c>
      <c r="B2055" s="504" t="s">
        <v>16063</v>
      </c>
      <c r="C2055" s="502" t="s">
        <v>114</v>
      </c>
      <c r="D2055" s="503" t="s">
        <v>31684</v>
      </c>
      <c r="F2055" t="str">
        <f t="shared" si="65"/>
        <v>102772</v>
      </c>
      <c r="H2055" s="14">
        <f t="shared" si="66"/>
        <v>86575.16</v>
      </c>
    </row>
    <row r="2056" spans="1:8" ht="41.4">
      <c r="A2056" s="502" t="s">
        <v>16064</v>
      </c>
      <c r="B2056" s="504" t="s">
        <v>16065</v>
      </c>
      <c r="C2056" s="502" t="s">
        <v>114</v>
      </c>
      <c r="D2056" s="503" t="s">
        <v>31685</v>
      </c>
      <c r="F2056" t="str">
        <f t="shared" si="65"/>
        <v>102773</v>
      </c>
      <c r="H2056" s="14">
        <f t="shared" si="66"/>
        <v>13068.33</v>
      </c>
    </row>
    <row r="2057" spans="1:8" ht="41.4">
      <c r="A2057" s="502" t="s">
        <v>16066</v>
      </c>
      <c r="B2057" s="504" t="s">
        <v>16067</v>
      </c>
      <c r="C2057" s="502" t="s">
        <v>114</v>
      </c>
      <c r="D2057" s="503" t="s">
        <v>31685</v>
      </c>
      <c r="F2057" t="str">
        <f t="shared" si="65"/>
        <v>102774</v>
      </c>
      <c r="H2057" s="14">
        <f t="shared" si="66"/>
        <v>13068.33</v>
      </c>
    </row>
    <row r="2058" spans="1:8" ht="41.4">
      <c r="A2058" s="502" t="s">
        <v>16068</v>
      </c>
      <c r="B2058" s="504" t="s">
        <v>16069</v>
      </c>
      <c r="C2058" s="502" t="s">
        <v>114</v>
      </c>
      <c r="D2058" s="503" t="s">
        <v>31686</v>
      </c>
      <c r="F2058" t="str">
        <f t="shared" si="65"/>
        <v>102775</v>
      </c>
      <c r="H2058" s="14">
        <f t="shared" si="66"/>
        <v>19512.78</v>
      </c>
    </row>
    <row r="2059" spans="1:8" ht="41.4">
      <c r="A2059" s="502" t="s">
        <v>16070</v>
      </c>
      <c r="B2059" s="504" t="s">
        <v>16071</v>
      </c>
      <c r="C2059" s="502" t="s">
        <v>114</v>
      </c>
      <c r="D2059" s="503" t="s">
        <v>31686</v>
      </c>
      <c r="F2059" t="str">
        <f t="shared" si="65"/>
        <v>102776</v>
      </c>
      <c r="H2059" s="14">
        <f t="shared" si="66"/>
        <v>19512.78</v>
      </c>
    </row>
    <row r="2060" spans="1:8" ht="41.4">
      <c r="A2060" s="502" t="s">
        <v>16072</v>
      </c>
      <c r="B2060" s="504" t="s">
        <v>16073</v>
      </c>
      <c r="C2060" s="502" t="s">
        <v>114</v>
      </c>
      <c r="D2060" s="503" t="s">
        <v>31687</v>
      </c>
      <c r="F2060" t="str">
        <f t="shared" si="65"/>
        <v>102777</v>
      </c>
      <c r="H2060" s="14">
        <f t="shared" si="66"/>
        <v>29537.57</v>
      </c>
    </row>
    <row r="2061" spans="1:8" ht="41.4">
      <c r="A2061" s="502" t="s">
        <v>16074</v>
      </c>
      <c r="B2061" s="504" t="s">
        <v>16075</v>
      </c>
      <c r="C2061" s="502" t="s">
        <v>114</v>
      </c>
      <c r="D2061" s="503" t="s">
        <v>31688</v>
      </c>
      <c r="F2061" t="str">
        <f t="shared" si="65"/>
        <v>102778</v>
      </c>
      <c r="H2061" s="14">
        <f t="shared" si="66"/>
        <v>44516.91</v>
      </c>
    </row>
    <row r="2062" spans="1:8" ht="41.4">
      <c r="A2062" s="502" t="s">
        <v>16076</v>
      </c>
      <c r="B2062" s="504" t="s">
        <v>16077</v>
      </c>
      <c r="C2062" s="502" t="s">
        <v>114</v>
      </c>
      <c r="D2062" s="503" t="s">
        <v>31685</v>
      </c>
      <c r="F2062" t="str">
        <f t="shared" si="65"/>
        <v>102779</v>
      </c>
      <c r="H2062" s="14">
        <f t="shared" si="66"/>
        <v>13068.33</v>
      </c>
    </row>
    <row r="2063" spans="1:8" ht="41.4">
      <c r="A2063" s="502" t="s">
        <v>16078</v>
      </c>
      <c r="B2063" s="504" t="s">
        <v>16079</v>
      </c>
      <c r="C2063" s="502" t="s">
        <v>114</v>
      </c>
      <c r="D2063" s="503" t="s">
        <v>31689</v>
      </c>
      <c r="F2063" t="str">
        <f t="shared" si="65"/>
        <v>102780</v>
      </c>
      <c r="H2063" s="14">
        <f t="shared" si="66"/>
        <v>15037.56</v>
      </c>
    </row>
    <row r="2064" spans="1:8" ht="41.4">
      <c r="A2064" s="502" t="s">
        <v>16080</v>
      </c>
      <c r="B2064" s="504" t="s">
        <v>16081</v>
      </c>
      <c r="C2064" s="502" t="s">
        <v>114</v>
      </c>
      <c r="D2064" s="503" t="s">
        <v>31690</v>
      </c>
      <c r="F2064" t="str">
        <f t="shared" si="65"/>
        <v>102781</v>
      </c>
      <c r="H2064" s="14">
        <f t="shared" si="66"/>
        <v>22287.55</v>
      </c>
    </row>
    <row r="2065" spans="1:8" ht="41.4">
      <c r="A2065" s="502" t="s">
        <v>16082</v>
      </c>
      <c r="B2065" s="504" t="s">
        <v>16083</v>
      </c>
      <c r="C2065" s="502" t="s">
        <v>114</v>
      </c>
      <c r="D2065" s="503" t="s">
        <v>31691</v>
      </c>
      <c r="F2065" t="str">
        <f t="shared" si="65"/>
        <v>102782</v>
      </c>
      <c r="H2065" s="14">
        <f t="shared" si="66"/>
        <v>24881.17</v>
      </c>
    </row>
    <row r="2066" spans="1:8" ht="41.4">
      <c r="A2066" s="502" t="s">
        <v>16084</v>
      </c>
      <c r="B2066" s="504" t="s">
        <v>16085</v>
      </c>
      <c r="C2066" s="502" t="s">
        <v>114</v>
      </c>
      <c r="D2066" s="503" t="s">
        <v>31692</v>
      </c>
      <c r="F2066" t="str">
        <f t="shared" si="65"/>
        <v>102783</v>
      </c>
      <c r="H2066" s="14">
        <f t="shared" si="66"/>
        <v>32936.74</v>
      </c>
    </row>
    <row r="2067" spans="1:8" ht="41.4">
      <c r="A2067" s="502" t="s">
        <v>16086</v>
      </c>
      <c r="B2067" s="504" t="s">
        <v>16087</v>
      </c>
      <c r="C2067" s="502" t="s">
        <v>114</v>
      </c>
      <c r="D2067" s="503" t="s">
        <v>31693</v>
      </c>
      <c r="F2067" t="str">
        <f t="shared" si="65"/>
        <v>102784</v>
      </c>
      <c r="H2067" s="14">
        <f t="shared" si="66"/>
        <v>52006.57</v>
      </c>
    </row>
    <row r="2068" spans="1:8" ht="41.4">
      <c r="A2068" s="502" t="s">
        <v>16088</v>
      </c>
      <c r="B2068" s="504" t="s">
        <v>16089</v>
      </c>
      <c r="C2068" s="502" t="s">
        <v>114</v>
      </c>
      <c r="D2068" s="503" t="s">
        <v>31689</v>
      </c>
      <c r="F2068" t="str">
        <f t="shared" si="65"/>
        <v>102785</v>
      </c>
      <c r="H2068" s="14">
        <f t="shared" si="66"/>
        <v>15037.56</v>
      </c>
    </row>
    <row r="2069" spans="1:8" ht="41.4">
      <c r="A2069" s="502" t="s">
        <v>16090</v>
      </c>
      <c r="B2069" s="504" t="s">
        <v>16091</v>
      </c>
      <c r="C2069" s="502" t="s">
        <v>114</v>
      </c>
      <c r="D2069" s="503" t="s">
        <v>31694</v>
      </c>
      <c r="F2069" t="str">
        <f t="shared" si="65"/>
        <v>102786</v>
      </c>
      <c r="H2069" s="14">
        <f t="shared" si="66"/>
        <v>16825.61</v>
      </c>
    </row>
    <row r="2070" spans="1:8" ht="41.4">
      <c r="A2070" s="502" t="s">
        <v>16092</v>
      </c>
      <c r="B2070" s="504" t="s">
        <v>16093</v>
      </c>
      <c r="C2070" s="502" t="s">
        <v>114</v>
      </c>
      <c r="D2070" s="503" t="s">
        <v>31691</v>
      </c>
      <c r="F2070" t="str">
        <f t="shared" si="65"/>
        <v>102787</v>
      </c>
      <c r="H2070" s="14">
        <f t="shared" si="66"/>
        <v>24881.17</v>
      </c>
    </row>
    <row r="2071" spans="1:8" ht="41.4">
      <c r="A2071" s="502" t="s">
        <v>16094</v>
      </c>
      <c r="B2071" s="504" t="s">
        <v>16095</v>
      </c>
      <c r="C2071" s="502" t="s">
        <v>114</v>
      </c>
      <c r="D2071" s="503" t="s">
        <v>31695</v>
      </c>
      <c r="F2071" t="str">
        <f t="shared" si="65"/>
        <v>102788</v>
      </c>
      <c r="H2071" s="14">
        <f t="shared" si="66"/>
        <v>27440.81</v>
      </c>
    </row>
    <row r="2072" spans="1:8" ht="41.4">
      <c r="A2072" s="502" t="s">
        <v>16096</v>
      </c>
      <c r="B2072" s="504" t="s">
        <v>16097</v>
      </c>
      <c r="C2072" s="502" t="s">
        <v>114</v>
      </c>
      <c r="D2072" s="503" t="s">
        <v>31696</v>
      </c>
      <c r="F2072" t="str">
        <f t="shared" si="65"/>
        <v>102789</v>
      </c>
      <c r="H2072" s="14">
        <f t="shared" si="66"/>
        <v>36132.080000000002</v>
      </c>
    </row>
    <row r="2073" spans="1:8" ht="41.4">
      <c r="A2073" s="502" t="s">
        <v>16098</v>
      </c>
      <c r="B2073" s="504" t="s">
        <v>16099</v>
      </c>
      <c r="C2073" s="502" t="s">
        <v>114</v>
      </c>
      <c r="D2073" s="503" t="s">
        <v>31697</v>
      </c>
      <c r="F2073" t="str">
        <f t="shared" si="65"/>
        <v>102790</v>
      </c>
      <c r="H2073" s="14">
        <f t="shared" si="66"/>
        <v>60062.38</v>
      </c>
    </row>
    <row r="2074" spans="1:8" ht="41.4">
      <c r="A2074" s="502" t="s">
        <v>16100</v>
      </c>
      <c r="B2074" s="504" t="s">
        <v>16101</v>
      </c>
      <c r="C2074" s="502" t="s">
        <v>114</v>
      </c>
      <c r="D2074" s="503" t="s">
        <v>31698</v>
      </c>
      <c r="F2074" t="str">
        <f t="shared" si="65"/>
        <v>102791</v>
      </c>
      <c r="H2074" s="14">
        <f t="shared" si="66"/>
        <v>47881.47</v>
      </c>
    </row>
    <row r="2075" spans="1:8" ht="41.4">
      <c r="A2075" s="502" t="s">
        <v>16102</v>
      </c>
      <c r="B2075" s="504" t="s">
        <v>16103</v>
      </c>
      <c r="C2075" s="502" t="s">
        <v>114</v>
      </c>
      <c r="D2075" s="503" t="s">
        <v>31699</v>
      </c>
      <c r="F2075" t="str">
        <f t="shared" si="65"/>
        <v>102792</v>
      </c>
      <c r="H2075" s="14">
        <f t="shared" si="66"/>
        <v>78082.25</v>
      </c>
    </row>
    <row r="2076" spans="1:8" ht="41.4">
      <c r="A2076" s="502" t="s">
        <v>16104</v>
      </c>
      <c r="B2076" s="504" t="s">
        <v>16105</v>
      </c>
      <c r="C2076" s="502" t="s">
        <v>114</v>
      </c>
      <c r="D2076" s="503" t="s">
        <v>31700</v>
      </c>
      <c r="F2076" t="str">
        <f t="shared" si="65"/>
        <v>102793</v>
      </c>
      <c r="H2076" s="14">
        <f t="shared" si="66"/>
        <v>105437.34</v>
      </c>
    </row>
    <row r="2077" spans="1:8" ht="41.4">
      <c r="A2077" s="502" t="s">
        <v>16106</v>
      </c>
      <c r="B2077" s="504" t="s">
        <v>16107</v>
      </c>
      <c r="C2077" s="502" t="s">
        <v>114</v>
      </c>
      <c r="D2077" s="503" t="s">
        <v>31701</v>
      </c>
      <c r="F2077" t="str">
        <f t="shared" si="65"/>
        <v>102794</v>
      </c>
      <c r="H2077" s="14">
        <f t="shared" si="66"/>
        <v>151205.49</v>
      </c>
    </row>
    <row r="2078" spans="1:8" ht="41.4">
      <c r="A2078" s="502" t="s">
        <v>16108</v>
      </c>
      <c r="B2078" s="504" t="s">
        <v>16109</v>
      </c>
      <c r="C2078" s="502" t="s">
        <v>114</v>
      </c>
      <c r="D2078" s="503" t="s">
        <v>31702</v>
      </c>
      <c r="F2078" t="str">
        <f t="shared" si="65"/>
        <v>102795</v>
      </c>
      <c r="H2078" s="14">
        <f t="shared" si="66"/>
        <v>51081.29</v>
      </c>
    </row>
    <row r="2079" spans="1:8" ht="41.4">
      <c r="A2079" s="502" t="s">
        <v>16110</v>
      </c>
      <c r="B2079" s="504" t="s">
        <v>16111</v>
      </c>
      <c r="C2079" s="502" t="s">
        <v>114</v>
      </c>
      <c r="D2079" s="503" t="s">
        <v>31703</v>
      </c>
      <c r="F2079" t="str">
        <f t="shared" si="65"/>
        <v>102796</v>
      </c>
      <c r="H2079" s="14">
        <f t="shared" si="66"/>
        <v>82623.67</v>
      </c>
    </row>
    <row r="2080" spans="1:8" ht="41.4">
      <c r="A2080" s="502" t="s">
        <v>16112</v>
      </c>
      <c r="B2080" s="504" t="s">
        <v>16113</v>
      </c>
      <c r="C2080" s="502" t="s">
        <v>114</v>
      </c>
      <c r="D2080" s="503" t="s">
        <v>31704</v>
      </c>
      <c r="F2080" t="str">
        <f t="shared" si="65"/>
        <v>102797</v>
      </c>
      <c r="H2080" s="14">
        <f t="shared" si="66"/>
        <v>117276.56</v>
      </c>
    </row>
    <row r="2081" spans="1:8" ht="41.4">
      <c r="A2081" s="502" t="s">
        <v>16114</v>
      </c>
      <c r="B2081" s="504" t="s">
        <v>16115</v>
      </c>
      <c r="C2081" s="502" t="s">
        <v>114</v>
      </c>
      <c r="D2081" s="503" t="s">
        <v>31705</v>
      </c>
      <c r="F2081" t="str">
        <f t="shared" si="65"/>
        <v>102798</v>
      </c>
      <c r="H2081" s="14">
        <f t="shared" si="66"/>
        <v>143650.88</v>
      </c>
    </row>
    <row r="2082" spans="1:8" ht="41.4">
      <c r="A2082" s="502" t="s">
        <v>16116</v>
      </c>
      <c r="B2082" s="504" t="s">
        <v>16117</v>
      </c>
      <c r="C2082" s="502" t="s">
        <v>114</v>
      </c>
      <c r="D2082" s="503" t="s">
        <v>31706</v>
      </c>
      <c r="F2082" t="str">
        <f t="shared" si="65"/>
        <v>102799</v>
      </c>
      <c r="H2082" s="14">
        <f t="shared" si="66"/>
        <v>52155.37</v>
      </c>
    </row>
    <row r="2083" spans="1:8" ht="41.4">
      <c r="A2083" s="502" t="s">
        <v>16118</v>
      </c>
      <c r="B2083" s="504" t="s">
        <v>16119</v>
      </c>
      <c r="C2083" s="502" t="s">
        <v>114</v>
      </c>
      <c r="D2083" s="503" t="s">
        <v>31707</v>
      </c>
      <c r="F2083" t="str">
        <f t="shared" si="65"/>
        <v>102800</v>
      </c>
      <c r="H2083" s="14">
        <f t="shared" si="66"/>
        <v>90678.5</v>
      </c>
    </row>
    <row r="2084" spans="1:8" ht="41.4">
      <c r="A2084" s="502" t="s">
        <v>16120</v>
      </c>
      <c r="B2084" s="504" t="s">
        <v>16121</v>
      </c>
      <c r="C2084" s="502" t="s">
        <v>114</v>
      </c>
      <c r="D2084" s="503" t="s">
        <v>31708</v>
      </c>
      <c r="F2084" t="str">
        <f t="shared" si="65"/>
        <v>102801</v>
      </c>
      <c r="H2084" s="14">
        <f t="shared" si="66"/>
        <v>127164.74</v>
      </c>
    </row>
    <row r="2085" spans="1:8" ht="41.4">
      <c r="A2085" s="502" t="s">
        <v>16122</v>
      </c>
      <c r="B2085" s="504" t="s">
        <v>16123</v>
      </c>
      <c r="C2085" s="502" t="s">
        <v>114</v>
      </c>
      <c r="D2085" s="503" t="s">
        <v>31709</v>
      </c>
      <c r="F2085" t="str">
        <f t="shared" si="65"/>
        <v>102802</v>
      </c>
      <c r="H2085" s="14">
        <f t="shared" si="66"/>
        <v>152555.82</v>
      </c>
    </row>
    <row r="2086" spans="1:8" ht="41.4">
      <c r="A2086" s="502" t="s">
        <v>11989</v>
      </c>
      <c r="B2086" s="504" t="s">
        <v>11990</v>
      </c>
      <c r="C2086" s="502" t="s">
        <v>73</v>
      </c>
      <c r="D2086" s="503" t="s">
        <v>31710</v>
      </c>
      <c r="F2086" t="str">
        <f t="shared" si="65"/>
        <v>101570</v>
      </c>
      <c r="H2086" s="14">
        <f t="shared" si="66"/>
        <v>35.4</v>
      </c>
    </row>
    <row r="2087" spans="1:8" ht="41.4">
      <c r="A2087" s="502" t="s">
        <v>11991</v>
      </c>
      <c r="B2087" s="504" t="s">
        <v>11992</v>
      </c>
      <c r="C2087" s="502" t="s">
        <v>73</v>
      </c>
      <c r="D2087" s="503" t="s">
        <v>16838</v>
      </c>
      <c r="F2087" t="str">
        <f t="shared" si="65"/>
        <v>101571</v>
      </c>
      <c r="H2087" s="14">
        <f t="shared" si="66"/>
        <v>48.69</v>
      </c>
    </row>
    <row r="2088" spans="1:8" ht="41.4">
      <c r="A2088" s="502" t="s">
        <v>11993</v>
      </c>
      <c r="B2088" s="504" t="s">
        <v>11994</v>
      </c>
      <c r="C2088" s="502" t="s">
        <v>73</v>
      </c>
      <c r="D2088" s="503" t="s">
        <v>20851</v>
      </c>
      <c r="F2088" t="str">
        <f t="shared" si="65"/>
        <v>101572</v>
      </c>
      <c r="H2088" s="14">
        <f t="shared" si="66"/>
        <v>27.65</v>
      </c>
    </row>
    <row r="2089" spans="1:8" ht="41.4">
      <c r="A2089" s="502" t="s">
        <v>11995</v>
      </c>
      <c r="B2089" s="504" t="s">
        <v>11996</v>
      </c>
      <c r="C2089" s="502" t="s">
        <v>73</v>
      </c>
      <c r="D2089" s="503" t="s">
        <v>15460</v>
      </c>
      <c r="F2089" t="str">
        <f t="shared" si="65"/>
        <v>101573</v>
      </c>
      <c r="H2089" s="14">
        <f t="shared" si="66"/>
        <v>40.909999999999997</v>
      </c>
    </row>
    <row r="2090" spans="1:8" ht="41.4">
      <c r="A2090" s="502" t="s">
        <v>11997</v>
      </c>
      <c r="B2090" s="504" t="s">
        <v>11998</v>
      </c>
      <c r="C2090" s="502" t="s">
        <v>73</v>
      </c>
      <c r="D2090" s="503" t="s">
        <v>10206</v>
      </c>
      <c r="F2090" t="str">
        <f t="shared" si="65"/>
        <v>101574</v>
      </c>
      <c r="H2090" s="14">
        <f t="shared" si="66"/>
        <v>20.85</v>
      </c>
    </row>
    <row r="2091" spans="1:8" ht="41.4">
      <c r="A2091" s="502" t="s">
        <v>11999</v>
      </c>
      <c r="B2091" s="504" t="s">
        <v>12000</v>
      </c>
      <c r="C2091" s="502" t="s">
        <v>73</v>
      </c>
      <c r="D2091" s="503" t="s">
        <v>23969</v>
      </c>
      <c r="F2091" t="str">
        <f t="shared" si="65"/>
        <v>101575</v>
      </c>
      <c r="H2091" s="14">
        <f t="shared" si="66"/>
        <v>34.369999999999997</v>
      </c>
    </row>
    <row r="2092" spans="1:8" ht="41.4">
      <c r="A2092" s="502" t="s">
        <v>12001</v>
      </c>
      <c r="B2092" s="504" t="s">
        <v>12002</v>
      </c>
      <c r="C2092" s="502" t="s">
        <v>73</v>
      </c>
      <c r="D2092" s="503" t="s">
        <v>31711</v>
      </c>
      <c r="F2092" t="str">
        <f t="shared" si="65"/>
        <v>101576</v>
      </c>
      <c r="H2092" s="14">
        <f t="shared" si="66"/>
        <v>61.19</v>
      </c>
    </row>
    <row r="2093" spans="1:8" ht="41.4">
      <c r="A2093" s="502" t="s">
        <v>12003</v>
      </c>
      <c r="B2093" s="504" t="s">
        <v>12004</v>
      </c>
      <c r="C2093" s="502" t="s">
        <v>73</v>
      </c>
      <c r="D2093" s="503" t="s">
        <v>29703</v>
      </c>
      <c r="F2093" t="str">
        <f t="shared" si="65"/>
        <v>101577</v>
      </c>
      <c r="H2093" s="14">
        <f t="shared" si="66"/>
        <v>78.19</v>
      </c>
    </row>
    <row r="2094" spans="1:8" ht="41.4">
      <c r="A2094" s="502" t="s">
        <v>12005</v>
      </c>
      <c r="B2094" s="504" t="s">
        <v>12006</v>
      </c>
      <c r="C2094" s="502" t="s">
        <v>73</v>
      </c>
      <c r="D2094" s="503" t="s">
        <v>31712</v>
      </c>
      <c r="F2094" t="str">
        <f t="shared" si="65"/>
        <v>101578</v>
      </c>
      <c r="H2094" s="14">
        <f t="shared" si="66"/>
        <v>50.12</v>
      </c>
    </row>
    <row r="2095" spans="1:8" ht="41.4">
      <c r="A2095" s="502" t="s">
        <v>12007</v>
      </c>
      <c r="B2095" s="504" t="s">
        <v>12008</v>
      </c>
      <c r="C2095" s="502" t="s">
        <v>73</v>
      </c>
      <c r="D2095" s="503" t="s">
        <v>16135</v>
      </c>
      <c r="F2095" t="str">
        <f t="shared" si="65"/>
        <v>101579</v>
      </c>
      <c r="H2095" s="14">
        <f t="shared" si="66"/>
        <v>67.12</v>
      </c>
    </row>
    <row r="2096" spans="1:8" ht="41.4">
      <c r="A2096" s="502" t="s">
        <v>12009</v>
      </c>
      <c r="B2096" s="504" t="s">
        <v>12010</v>
      </c>
      <c r="C2096" s="502" t="s">
        <v>73</v>
      </c>
      <c r="D2096" s="503" t="s">
        <v>31713</v>
      </c>
      <c r="F2096" t="str">
        <f t="shared" si="65"/>
        <v>101580</v>
      </c>
      <c r="H2096" s="14">
        <f t="shared" si="66"/>
        <v>43.43</v>
      </c>
    </row>
    <row r="2097" spans="1:8" ht="41.4">
      <c r="A2097" s="502" t="s">
        <v>12011</v>
      </c>
      <c r="B2097" s="504" t="s">
        <v>12012</v>
      </c>
      <c r="C2097" s="502" t="s">
        <v>73</v>
      </c>
      <c r="D2097" s="503" t="s">
        <v>31714</v>
      </c>
      <c r="F2097" t="str">
        <f t="shared" si="65"/>
        <v>101581</v>
      </c>
      <c r="H2097" s="14">
        <f t="shared" si="66"/>
        <v>60.68</v>
      </c>
    </row>
    <row r="2098" spans="1:8" ht="41.4">
      <c r="A2098" s="502" t="s">
        <v>12013</v>
      </c>
      <c r="B2098" s="504" t="s">
        <v>12014</v>
      </c>
      <c r="C2098" s="502" t="s">
        <v>73</v>
      </c>
      <c r="D2098" s="503" t="s">
        <v>31715</v>
      </c>
      <c r="F2098" t="str">
        <f t="shared" si="65"/>
        <v>101582</v>
      </c>
      <c r="H2098" s="14">
        <f t="shared" si="66"/>
        <v>100.15</v>
      </c>
    </row>
    <row r="2099" spans="1:8" ht="41.4">
      <c r="A2099" s="502" t="s">
        <v>12015</v>
      </c>
      <c r="B2099" s="504" t="s">
        <v>12016</v>
      </c>
      <c r="C2099" s="502" t="s">
        <v>73</v>
      </c>
      <c r="D2099" s="503" t="s">
        <v>31716</v>
      </c>
      <c r="F2099" t="str">
        <f t="shared" si="65"/>
        <v>101583</v>
      </c>
      <c r="H2099" s="14">
        <f t="shared" si="66"/>
        <v>126.67</v>
      </c>
    </row>
    <row r="2100" spans="1:8" ht="41.4">
      <c r="A2100" s="502" t="s">
        <v>12017</v>
      </c>
      <c r="B2100" s="504" t="s">
        <v>12018</v>
      </c>
      <c r="C2100" s="502" t="s">
        <v>73</v>
      </c>
      <c r="D2100" s="503" t="s">
        <v>30312</v>
      </c>
      <c r="F2100" t="str">
        <f t="shared" si="65"/>
        <v>101584</v>
      </c>
      <c r="H2100" s="14">
        <f t="shared" si="66"/>
        <v>81.63</v>
      </c>
    </row>
    <row r="2101" spans="1:8" ht="41.4">
      <c r="A2101" s="502" t="s">
        <v>12019</v>
      </c>
      <c r="B2101" s="504" t="s">
        <v>12020</v>
      </c>
      <c r="C2101" s="502" t="s">
        <v>73</v>
      </c>
      <c r="D2101" s="503" t="s">
        <v>29918</v>
      </c>
      <c r="F2101" t="str">
        <f t="shared" si="65"/>
        <v>101585</v>
      </c>
      <c r="H2101" s="14">
        <f t="shared" si="66"/>
        <v>108.15</v>
      </c>
    </row>
    <row r="2102" spans="1:8" ht="41.4">
      <c r="A2102" s="502" t="s">
        <v>12021</v>
      </c>
      <c r="B2102" s="504" t="s">
        <v>12022</v>
      </c>
      <c r="C2102" s="502" t="s">
        <v>73</v>
      </c>
      <c r="D2102" s="503" t="s">
        <v>31717</v>
      </c>
      <c r="F2102" t="str">
        <f t="shared" si="65"/>
        <v>101586</v>
      </c>
      <c r="H2102" s="14">
        <f t="shared" si="66"/>
        <v>69.2</v>
      </c>
    </row>
    <row r="2103" spans="1:8" ht="41.4">
      <c r="A2103" s="502" t="s">
        <v>12023</v>
      </c>
      <c r="B2103" s="504" t="s">
        <v>12024</v>
      </c>
      <c r="C2103" s="502" t="s">
        <v>73</v>
      </c>
      <c r="D2103" s="503" t="s">
        <v>31718</v>
      </c>
      <c r="F2103" t="str">
        <f t="shared" si="65"/>
        <v>101587</v>
      </c>
      <c r="H2103" s="14">
        <f t="shared" si="66"/>
        <v>95.95</v>
      </c>
    </row>
    <row r="2104" spans="1:8" ht="41.4">
      <c r="A2104" s="502" t="s">
        <v>12025</v>
      </c>
      <c r="B2104" s="504" t="s">
        <v>12026</v>
      </c>
      <c r="C2104" s="502" t="s">
        <v>73</v>
      </c>
      <c r="D2104" s="503" t="s">
        <v>31719</v>
      </c>
      <c r="F2104" t="str">
        <f t="shared" si="65"/>
        <v>101588</v>
      </c>
      <c r="H2104" s="14">
        <f t="shared" si="66"/>
        <v>132.44999999999999</v>
      </c>
    </row>
    <row r="2105" spans="1:8" ht="55.2">
      <c r="A2105" s="502" t="s">
        <v>12027</v>
      </c>
      <c r="B2105" s="504" t="s">
        <v>12028</v>
      </c>
      <c r="C2105" s="502" t="s">
        <v>73</v>
      </c>
      <c r="D2105" s="503" t="s">
        <v>31720</v>
      </c>
      <c r="F2105" t="str">
        <f t="shared" si="65"/>
        <v>101589</v>
      </c>
      <c r="H2105" s="14">
        <f t="shared" si="66"/>
        <v>193.23</v>
      </c>
    </row>
    <row r="2106" spans="1:8" ht="41.4">
      <c r="A2106" s="502" t="s">
        <v>12029</v>
      </c>
      <c r="B2106" s="504" t="s">
        <v>12030</v>
      </c>
      <c r="C2106" s="502" t="s">
        <v>73</v>
      </c>
      <c r="D2106" s="503" t="s">
        <v>31721</v>
      </c>
      <c r="F2106" t="str">
        <f t="shared" si="65"/>
        <v>101590</v>
      </c>
      <c r="H2106" s="14">
        <f t="shared" si="66"/>
        <v>100.16</v>
      </c>
    </row>
    <row r="2107" spans="1:8" ht="55.2">
      <c r="A2107" s="502" t="s">
        <v>12031</v>
      </c>
      <c r="B2107" s="504" t="s">
        <v>12032</v>
      </c>
      <c r="C2107" s="502" t="s">
        <v>73</v>
      </c>
      <c r="D2107" s="503" t="s">
        <v>31722</v>
      </c>
      <c r="F2107" t="str">
        <f t="shared" si="65"/>
        <v>101591</v>
      </c>
      <c r="H2107" s="14">
        <f t="shared" si="66"/>
        <v>160.94999999999999</v>
      </c>
    </row>
    <row r="2108" spans="1:8" ht="41.4">
      <c r="A2108" s="502" t="s">
        <v>12033</v>
      </c>
      <c r="B2108" s="504" t="s">
        <v>12034</v>
      </c>
      <c r="C2108" s="502" t="s">
        <v>73</v>
      </c>
      <c r="D2108" s="503" t="s">
        <v>10188</v>
      </c>
      <c r="F2108" t="str">
        <f t="shared" si="65"/>
        <v>101592</v>
      </c>
      <c r="H2108" s="14">
        <f t="shared" si="66"/>
        <v>70.13</v>
      </c>
    </row>
    <row r="2109" spans="1:8" ht="55.2">
      <c r="A2109" s="502" t="s">
        <v>12036</v>
      </c>
      <c r="B2109" s="504" t="s">
        <v>12037</v>
      </c>
      <c r="C2109" s="502" t="s">
        <v>73</v>
      </c>
      <c r="D2109" s="503" t="s">
        <v>31723</v>
      </c>
      <c r="F2109" t="str">
        <f t="shared" si="65"/>
        <v>101593</v>
      </c>
      <c r="H2109" s="14">
        <f t="shared" si="66"/>
        <v>131.1</v>
      </c>
    </row>
    <row r="2110" spans="1:8" ht="41.4">
      <c r="A2110" s="502" t="s">
        <v>12038</v>
      </c>
      <c r="B2110" s="504" t="s">
        <v>12039</v>
      </c>
      <c r="C2110" s="502" t="s">
        <v>73</v>
      </c>
      <c r="D2110" s="503" t="s">
        <v>31724</v>
      </c>
      <c r="F2110" t="str">
        <f t="shared" si="65"/>
        <v>101600</v>
      </c>
      <c r="H2110" s="14">
        <f t="shared" si="66"/>
        <v>24.92</v>
      </c>
    </row>
    <row r="2111" spans="1:8" ht="55.2">
      <c r="A2111" s="502" t="s">
        <v>12040</v>
      </c>
      <c r="B2111" s="504" t="s">
        <v>12041</v>
      </c>
      <c r="C2111" s="502" t="s">
        <v>73</v>
      </c>
      <c r="D2111" s="503" t="s">
        <v>31725</v>
      </c>
      <c r="F2111" t="str">
        <f t="shared" si="65"/>
        <v>101601</v>
      </c>
      <c r="H2111" s="14">
        <f t="shared" si="66"/>
        <v>36.880000000000003</v>
      </c>
    </row>
    <row r="2112" spans="1:8" ht="41.4">
      <c r="A2112" s="502" t="s">
        <v>12042</v>
      </c>
      <c r="B2112" s="504" t="s">
        <v>12043</v>
      </c>
      <c r="C2112" s="502" t="s">
        <v>73</v>
      </c>
      <c r="D2112" s="503" t="s">
        <v>30734</v>
      </c>
      <c r="F2112" t="str">
        <f t="shared" si="65"/>
        <v>101602</v>
      </c>
      <c r="H2112" s="14">
        <f t="shared" si="66"/>
        <v>18.48</v>
      </c>
    </row>
    <row r="2113" spans="1:8" ht="55.2">
      <c r="A2113" s="502" t="s">
        <v>12044</v>
      </c>
      <c r="B2113" s="504" t="s">
        <v>12045</v>
      </c>
      <c r="C2113" s="502" t="s">
        <v>73</v>
      </c>
      <c r="D2113" s="503" t="s">
        <v>31726</v>
      </c>
      <c r="F2113" t="str">
        <f t="shared" si="65"/>
        <v>101603</v>
      </c>
      <c r="H2113" s="14">
        <f t="shared" si="66"/>
        <v>30.45</v>
      </c>
    </row>
    <row r="2114" spans="1:8" ht="41.4">
      <c r="A2114" s="502" t="s">
        <v>12046</v>
      </c>
      <c r="B2114" s="504" t="s">
        <v>12047</v>
      </c>
      <c r="C2114" s="502" t="s">
        <v>73</v>
      </c>
      <c r="D2114" s="503" t="s">
        <v>9551</v>
      </c>
      <c r="F2114" t="str">
        <f t="shared" si="65"/>
        <v>101604</v>
      </c>
      <c r="H2114" s="14">
        <f t="shared" si="66"/>
        <v>12.09</v>
      </c>
    </row>
    <row r="2115" spans="1:8" ht="55.2">
      <c r="A2115" s="502" t="s">
        <v>12048</v>
      </c>
      <c r="B2115" s="504" t="s">
        <v>12049</v>
      </c>
      <c r="C2115" s="502" t="s">
        <v>73</v>
      </c>
      <c r="D2115" s="503" t="s">
        <v>4658</v>
      </c>
      <c r="F2115" t="str">
        <f t="shared" si="65"/>
        <v>101605</v>
      </c>
      <c r="H2115" s="14">
        <f t="shared" si="66"/>
        <v>24.05</v>
      </c>
    </row>
    <row r="2116" spans="1:8" ht="69">
      <c r="A2116" s="502" t="s">
        <v>10090</v>
      </c>
      <c r="B2116" s="504" t="s">
        <v>12050</v>
      </c>
      <c r="C2116" s="502" t="s">
        <v>114</v>
      </c>
      <c r="D2116" s="503" t="s">
        <v>31316</v>
      </c>
      <c r="F2116" t="str">
        <f t="shared" si="65"/>
        <v>90788</v>
      </c>
      <c r="H2116" s="14">
        <f t="shared" si="66"/>
        <v>997.31</v>
      </c>
    </row>
    <row r="2117" spans="1:8" ht="69">
      <c r="A2117" s="502" t="s">
        <v>10091</v>
      </c>
      <c r="B2117" s="504" t="s">
        <v>12051</v>
      </c>
      <c r="C2117" s="502" t="s">
        <v>114</v>
      </c>
      <c r="D2117" s="503" t="s">
        <v>31727</v>
      </c>
      <c r="F2117" t="str">
        <f t="shared" ref="F2117:F2180" si="67">TRIM(A2117)</f>
        <v>90789</v>
      </c>
      <c r="H2117" s="14">
        <f t="shared" ref="H2117:H2180" si="68">ROUND(D2117*(1+$H$1),2)</f>
        <v>1000.16</v>
      </c>
    </row>
    <row r="2118" spans="1:8" ht="69">
      <c r="A2118" s="502" t="s">
        <v>10092</v>
      </c>
      <c r="B2118" s="504" t="s">
        <v>12052</v>
      </c>
      <c r="C2118" s="502" t="s">
        <v>114</v>
      </c>
      <c r="D2118" s="503" t="s">
        <v>31728</v>
      </c>
      <c r="F2118" t="str">
        <f t="shared" si="67"/>
        <v>90790</v>
      </c>
      <c r="H2118" s="14">
        <f t="shared" si="68"/>
        <v>1032.03</v>
      </c>
    </row>
    <row r="2119" spans="1:8" ht="69">
      <c r="A2119" s="502" t="s">
        <v>10093</v>
      </c>
      <c r="B2119" s="504" t="s">
        <v>12053</v>
      </c>
      <c r="C2119" s="502" t="s">
        <v>114</v>
      </c>
      <c r="D2119" s="503" t="s">
        <v>31729</v>
      </c>
      <c r="F2119" t="str">
        <f t="shared" si="67"/>
        <v>90791</v>
      </c>
      <c r="H2119" s="14">
        <f t="shared" si="68"/>
        <v>1210.8800000000001</v>
      </c>
    </row>
    <row r="2120" spans="1:8" ht="55.2">
      <c r="A2120" s="502" t="s">
        <v>10094</v>
      </c>
      <c r="B2120" s="504" t="s">
        <v>12054</v>
      </c>
      <c r="C2120" s="502" t="s">
        <v>114</v>
      </c>
      <c r="D2120" s="503" t="s">
        <v>31730</v>
      </c>
      <c r="F2120" t="str">
        <f t="shared" si="67"/>
        <v>90793</v>
      </c>
      <c r="H2120" s="14">
        <f t="shared" si="68"/>
        <v>1286.8599999999999</v>
      </c>
    </row>
    <row r="2121" spans="1:8" ht="55.2">
      <c r="A2121" s="502" t="s">
        <v>12055</v>
      </c>
      <c r="B2121" s="504" t="s">
        <v>12056</v>
      </c>
      <c r="C2121" s="502" t="s">
        <v>114</v>
      </c>
      <c r="D2121" s="503" t="s">
        <v>31731</v>
      </c>
      <c r="F2121" t="str">
        <f t="shared" si="67"/>
        <v>90794</v>
      </c>
      <c r="H2121" s="14">
        <f t="shared" si="68"/>
        <v>878.48</v>
      </c>
    </row>
    <row r="2122" spans="1:8" ht="55.2">
      <c r="A2122" s="502" t="s">
        <v>12057</v>
      </c>
      <c r="B2122" s="504" t="s">
        <v>12058</v>
      </c>
      <c r="C2122" s="502" t="s">
        <v>114</v>
      </c>
      <c r="D2122" s="503" t="s">
        <v>31732</v>
      </c>
      <c r="F2122" t="str">
        <f t="shared" si="67"/>
        <v>90795</v>
      </c>
      <c r="H2122" s="14">
        <f t="shared" si="68"/>
        <v>889.88</v>
      </c>
    </row>
    <row r="2123" spans="1:8" ht="55.2">
      <c r="A2123" s="502" t="s">
        <v>12059</v>
      </c>
      <c r="B2123" s="504" t="s">
        <v>12060</v>
      </c>
      <c r="C2123" s="502" t="s">
        <v>114</v>
      </c>
      <c r="D2123" s="503" t="s">
        <v>31733</v>
      </c>
      <c r="F2123" t="str">
        <f t="shared" si="67"/>
        <v>90796</v>
      </c>
      <c r="H2123" s="14">
        <f t="shared" si="68"/>
        <v>901.28</v>
      </c>
    </row>
    <row r="2124" spans="1:8" ht="55.2">
      <c r="A2124" s="502" t="s">
        <v>12061</v>
      </c>
      <c r="B2124" s="504" t="s">
        <v>12062</v>
      </c>
      <c r="C2124" s="502" t="s">
        <v>114</v>
      </c>
      <c r="D2124" s="503" t="s">
        <v>31734</v>
      </c>
      <c r="F2124" t="str">
        <f t="shared" si="67"/>
        <v>90797</v>
      </c>
      <c r="H2124" s="14">
        <f t="shared" si="68"/>
        <v>912.67</v>
      </c>
    </row>
    <row r="2125" spans="1:8" ht="55.2">
      <c r="A2125" s="502" t="s">
        <v>12063</v>
      </c>
      <c r="B2125" s="504" t="s">
        <v>12064</v>
      </c>
      <c r="C2125" s="502" t="s">
        <v>114</v>
      </c>
      <c r="D2125" s="503" t="s">
        <v>31735</v>
      </c>
      <c r="F2125" t="str">
        <f t="shared" si="67"/>
        <v>90798</v>
      </c>
      <c r="H2125" s="14">
        <f t="shared" si="68"/>
        <v>1309.25</v>
      </c>
    </row>
    <row r="2126" spans="1:8" ht="55.2">
      <c r="A2126" s="502" t="s">
        <v>12065</v>
      </c>
      <c r="B2126" s="504" t="s">
        <v>12066</v>
      </c>
      <c r="C2126" s="502" t="s">
        <v>114</v>
      </c>
      <c r="D2126" s="503" t="s">
        <v>31736</v>
      </c>
      <c r="F2126" t="str">
        <f t="shared" si="67"/>
        <v>90799</v>
      </c>
      <c r="H2126" s="14">
        <f t="shared" si="68"/>
        <v>1353.19</v>
      </c>
    </row>
    <row r="2127" spans="1:8" ht="27.6">
      <c r="A2127" s="502" t="s">
        <v>4308</v>
      </c>
      <c r="B2127" s="504" t="s">
        <v>12067</v>
      </c>
      <c r="C2127" s="502" t="s">
        <v>114</v>
      </c>
      <c r="D2127" s="503" t="s">
        <v>31737</v>
      </c>
      <c r="F2127" t="str">
        <f t="shared" si="67"/>
        <v>90801</v>
      </c>
      <c r="H2127" s="14">
        <f t="shared" si="68"/>
        <v>410.22</v>
      </c>
    </row>
    <row r="2128" spans="1:8" ht="41.4">
      <c r="A2128" s="524" t="s">
        <v>4309</v>
      </c>
      <c r="B2128" s="504" t="s">
        <v>24195</v>
      </c>
      <c r="C2128" s="502" t="s">
        <v>114</v>
      </c>
      <c r="D2128" s="503" t="s">
        <v>31738</v>
      </c>
      <c r="F2128" t="str">
        <f t="shared" si="67"/>
        <v>90806</v>
      </c>
      <c r="H2128" s="14">
        <f t="shared" si="68"/>
        <v>547.16</v>
      </c>
    </row>
    <row r="2129" spans="1:8" ht="41.4">
      <c r="A2129" s="502" t="s">
        <v>4310</v>
      </c>
      <c r="B2129" s="504" t="s">
        <v>12068</v>
      </c>
      <c r="C2129" s="502" t="s">
        <v>114</v>
      </c>
      <c r="D2129" s="503" t="s">
        <v>31739</v>
      </c>
      <c r="F2129" t="str">
        <f t="shared" si="67"/>
        <v>90820</v>
      </c>
      <c r="H2129" s="14">
        <f t="shared" si="68"/>
        <v>402.89</v>
      </c>
    </row>
    <row r="2130" spans="1:8" ht="41.4">
      <c r="A2130" s="502" t="s">
        <v>4311</v>
      </c>
      <c r="B2130" s="504" t="s">
        <v>12069</v>
      </c>
      <c r="C2130" s="502" t="s">
        <v>114</v>
      </c>
      <c r="D2130" s="503" t="s">
        <v>31740</v>
      </c>
      <c r="F2130" t="str">
        <f t="shared" si="67"/>
        <v>90821</v>
      </c>
      <c r="H2130" s="14">
        <f t="shared" si="68"/>
        <v>412.94</v>
      </c>
    </row>
    <row r="2131" spans="1:8" ht="41.4">
      <c r="A2131" s="523" t="s">
        <v>4312</v>
      </c>
      <c r="B2131" s="504" t="s">
        <v>12070</v>
      </c>
      <c r="C2131" s="502" t="s">
        <v>114</v>
      </c>
      <c r="D2131" s="503" t="s">
        <v>31741</v>
      </c>
      <c r="F2131" t="str">
        <f t="shared" si="67"/>
        <v>90822</v>
      </c>
      <c r="H2131" s="14">
        <f t="shared" si="68"/>
        <v>443.4</v>
      </c>
    </row>
    <row r="2132" spans="1:8" ht="41.4">
      <c r="A2132" s="502" t="s">
        <v>4313</v>
      </c>
      <c r="B2132" s="504" t="s">
        <v>12071</v>
      </c>
      <c r="C2132" s="502" t="s">
        <v>114</v>
      </c>
      <c r="D2132" s="503" t="s">
        <v>31742</v>
      </c>
      <c r="F2132" t="str">
        <f t="shared" si="67"/>
        <v>90823</v>
      </c>
      <c r="H2132" s="14">
        <f t="shared" si="68"/>
        <v>541.03</v>
      </c>
    </row>
    <row r="2133" spans="1:8" ht="41.4">
      <c r="A2133" s="502" t="s">
        <v>12072</v>
      </c>
      <c r="B2133" s="504" t="s">
        <v>12073</v>
      </c>
      <c r="C2133" s="502" t="s">
        <v>114</v>
      </c>
      <c r="D2133" s="503" t="s">
        <v>29591</v>
      </c>
      <c r="F2133" t="str">
        <f t="shared" si="67"/>
        <v>90824</v>
      </c>
      <c r="H2133" s="14">
        <f t="shared" si="68"/>
        <v>769.04</v>
      </c>
    </row>
    <row r="2134" spans="1:8" ht="41.4">
      <c r="A2134" s="502" t="s">
        <v>12074</v>
      </c>
      <c r="B2134" s="504" t="s">
        <v>12075</v>
      </c>
      <c r="C2134" s="502" t="s">
        <v>114</v>
      </c>
      <c r="D2134" s="503" t="s">
        <v>31743</v>
      </c>
      <c r="F2134" t="str">
        <f t="shared" si="67"/>
        <v>90825</v>
      </c>
      <c r="H2134" s="14">
        <f t="shared" si="68"/>
        <v>855.36</v>
      </c>
    </row>
    <row r="2135" spans="1:8" ht="41.4">
      <c r="A2135" s="502" t="s">
        <v>4315</v>
      </c>
      <c r="B2135" s="504" t="s">
        <v>12076</v>
      </c>
      <c r="C2135" s="502" t="s">
        <v>114</v>
      </c>
      <c r="D2135" s="503" t="s">
        <v>23011</v>
      </c>
      <c r="F2135" t="str">
        <f t="shared" si="67"/>
        <v>90830</v>
      </c>
      <c r="H2135" s="14">
        <f t="shared" si="68"/>
        <v>212.84</v>
      </c>
    </row>
    <row r="2136" spans="1:8" ht="41.4">
      <c r="A2136" s="502" t="s">
        <v>4316</v>
      </c>
      <c r="B2136" s="504" t="s">
        <v>12077</v>
      </c>
      <c r="C2136" s="502" t="s">
        <v>114</v>
      </c>
      <c r="D2136" s="503" t="s">
        <v>31744</v>
      </c>
      <c r="F2136" t="str">
        <f t="shared" si="67"/>
        <v>90831</v>
      </c>
      <c r="H2136" s="14">
        <f t="shared" si="68"/>
        <v>184.48</v>
      </c>
    </row>
    <row r="2137" spans="1:8" ht="69">
      <c r="A2137" s="502" t="s">
        <v>4317</v>
      </c>
      <c r="B2137" s="504" t="s">
        <v>12078</v>
      </c>
      <c r="C2137" s="502" t="s">
        <v>114</v>
      </c>
      <c r="D2137" s="503" t="s">
        <v>31745</v>
      </c>
      <c r="F2137" t="str">
        <f t="shared" si="67"/>
        <v>90841</v>
      </c>
      <c r="H2137" s="14">
        <f t="shared" si="68"/>
        <v>1274.8699999999999</v>
      </c>
    </row>
    <row r="2138" spans="1:8" ht="69">
      <c r="A2138" s="502" t="s">
        <v>4318</v>
      </c>
      <c r="B2138" s="504" t="s">
        <v>12079</v>
      </c>
      <c r="C2138" s="502" t="s">
        <v>114</v>
      </c>
      <c r="D2138" s="503" t="s">
        <v>31746</v>
      </c>
      <c r="F2138" t="str">
        <f t="shared" si="67"/>
        <v>90842</v>
      </c>
      <c r="H2138" s="14">
        <f t="shared" si="68"/>
        <v>1287.83</v>
      </c>
    </row>
    <row r="2139" spans="1:8" ht="69">
      <c r="A2139" s="502" t="s">
        <v>4319</v>
      </c>
      <c r="B2139" s="504" t="s">
        <v>12080</v>
      </c>
      <c r="C2139" s="502" t="s">
        <v>114</v>
      </c>
      <c r="D2139" s="503" t="s">
        <v>31747</v>
      </c>
      <c r="F2139" t="str">
        <f t="shared" si="67"/>
        <v>90843</v>
      </c>
      <c r="H2139" s="14">
        <f t="shared" si="68"/>
        <v>1349.58</v>
      </c>
    </row>
    <row r="2140" spans="1:8" ht="69">
      <c r="A2140" s="502" t="s">
        <v>4320</v>
      </c>
      <c r="B2140" s="504" t="s">
        <v>12081</v>
      </c>
      <c r="C2140" s="502" t="s">
        <v>114</v>
      </c>
      <c r="D2140" s="503" t="s">
        <v>31748</v>
      </c>
      <c r="F2140" t="str">
        <f t="shared" si="67"/>
        <v>90844</v>
      </c>
      <c r="H2140" s="14">
        <f t="shared" si="68"/>
        <v>1450.13</v>
      </c>
    </row>
    <row r="2141" spans="1:8" ht="82.8">
      <c r="A2141" s="502" t="s">
        <v>12082</v>
      </c>
      <c r="B2141" s="504" t="s">
        <v>12083</v>
      </c>
      <c r="C2141" s="502" t="s">
        <v>114</v>
      </c>
      <c r="D2141" s="503" t="s">
        <v>31749</v>
      </c>
      <c r="F2141" t="str">
        <f t="shared" si="67"/>
        <v>90845</v>
      </c>
      <c r="H2141" s="14">
        <f t="shared" si="68"/>
        <v>1675.22</v>
      </c>
    </row>
    <row r="2142" spans="1:8" ht="82.8">
      <c r="A2142" s="502" t="s">
        <v>12084</v>
      </c>
      <c r="B2142" s="504" t="s">
        <v>12085</v>
      </c>
      <c r="C2142" s="502" t="s">
        <v>114</v>
      </c>
      <c r="D2142" s="503" t="s">
        <v>31750</v>
      </c>
      <c r="F2142" t="str">
        <f t="shared" si="67"/>
        <v>90846</v>
      </c>
      <c r="H2142" s="14">
        <f t="shared" si="68"/>
        <v>1764.46</v>
      </c>
    </row>
    <row r="2143" spans="1:8" ht="69">
      <c r="A2143" s="502" t="s">
        <v>4321</v>
      </c>
      <c r="B2143" s="504" t="s">
        <v>12086</v>
      </c>
      <c r="C2143" s="502" t="s">
        <v>114</v>
      </c>
      <c r="D2143" s="503" t="s">
        <v>31751</v>
      </c>
      <c r="F2143" t="str">
        <f t="shared" si="67"/>
        <v>90847</v>
      </c>
      <c r="H2143" s="14">
        <f t="shared" si="68"/>
        <v>1090.3800000000001</v>
      </c>
    </row>
    <row r="2144" spans="1:8" ht="69">
      <c r="A2144" s="502" t="s">
        <v>4322</v>
      </c>
      <c r="B2144" s="504" t="s">
        <v>12087</v>
      </c>
      <c r="C2144" s="502" t="s">
        <v>114</v>
      </c>
      <c r="D2144" s="503" t="s">
        <v>31752</v>
      </c>
      <c r="F2144" t="str">
        <f t="shared" si="67"/>
        <v>90848</v>
      </c>
      <c r="H2144" s="14">
        <f t="shared" si="68"/>
        <v>1103.3499999999999</v>
      </c>
    </row>
    <row r="2145" spans="1:8" ht="69">
      <c r="A2145" s="502" t="s">
        <v>4323</v>
      </c>
      <c r="B2145" s="504" t="s">
        <v>12088</v>
      </c>
      <c r="C2145" s="502" t="s">
        <v>114</v>
      </c>
      <c r="D2145" s="503" t="s">
        <v>31753</v>
      </c>
      <c r="F2145" t="str">
        <f t="shared" si="67"/>
        <v>90849</v>
      </c>
      <c r="H2145" s="14">
        <f t="shared" si="68"/>
        <v>1136.74</v>
      </c>
    </row>
    <row r="2146" spans="1:8" ht="69">
      <c r="A2146" s="502" t="s">
        <v>4324</v>
      </c>
      <c r="B2146" s="504" t="s">
        <v>12089</v>
      </c>
      <c r="C2146" s="502" t="s">
        <v>114</v>
      </c>
      <c r="D2146" s="503" t="s">
        <v>31754</v>
      </c>
      <c r="F2146" t="str">
        <f t="shared" si="67"/>
        <v>90850</v>
      </c>
      <c r="H2146" s="14">
        <f t="shared" si="68"/>
        <v>1237.29</v>
      </c>
    </row>
    <row r="2147" spans="1:8" ht="69">
      <c r="A2147" s="502" t="s">
        <v>12090</v>
      </c>
      <c r="B2147" s="504" t="s">
        <v>12091</v>
      </c>
      <c r="C2147" s="502" t="s">
        <v>114</v>
      </c>
      <c r="D2147" s="503" t="s">
        <v>31755</v>
      </c>
      <c r="F2147" t="str">
        <f t="shared" si="67"/>
        <v>90851</v>
      </c>
      <c r="H2147" s="14">
        <f t="shared" si="68"/>
        <v>1462.38</v>
      </c>
    </row>
    <row r="2148" spans="1:8" ht="69">
      <c r="A2148" s="502" t="s">
        <v>12092</v>
      </c>
      <c r="B2148" s="504" t="s">
        <v>12093</v>
      </c>
      <c r="C2148" s="502" t="s">
        <v>114</v>
      </c>
      <c r="D2148" s="503" t="s">
        <v>31756</v>
      </c>
      <c r="F2148" t="str">
        <f t="shared" si="67"/>
        <v>90852</v>
      </c>
      <c r="H2148" s="14">
        <f t="shared" si="68"/>
        <v>1551.62</v>
      </c>
    </row>
    <row r="2149" spans="1:8" ht="41.4">
      <c r="A2149" s="502" t="s">
        <v>4325</v>
      </c>
      <c r="B2149" s="504" t="s">
        <v>12094</v>
      </c>
      <c r="C2149" s="502" t="s">
        <v>114</v>
      </c>
      <c r="D2149" s="503" t="s">
        <v>31757</v>
      </c>
      <c r="F2149" t="str">
        <f t="shared" si="67"/>
        <v>91009</v>
      </c>
      <c r="H2149" s="14">
        <f t="shared" si="68"/>
        <v>416.34</v>
      </c>
    </row>
    <row r="2150" spans="1:8" ht="41.4">
      <c r="A2150" s="502" t="s">
        <v>4326</v>
      </c>
      <c r="B2150" s="504" t="s">
        <v>12095</v>
      </c>
      <c r="C2150" s="502" t="s">
        <v>114</v>
      </c>
      <c r="D2150" s="503" t="s">
        <v>31758</v>
      </c>
      <c r="F2150" t="str">
        <f t="shared" si="67"/>
        <v>91010</v>
      </c>
      <c r="H2150" s="14">
        <f t="shared" si="68"/>
        <v>427.03</v>
      </c>
    </row>
    <row r="2151" spans="1:8" ht="41.4">
      <c r="A2151" s="502" t="s">
        <v>4327</v>
      </c>
      <c r="B2151" s="504" t="s">
        <v>12096</v>
      </c>
      <c r="C2151" s="502" t="s">
        <v>114</v>
      </c>
      <c r="D2151" s="503" t="s">
        <v>31759</v>
      </c>
      <c r="F2151" t="str">
        <f t="shared" si="67"/>
        <v>91011</v>
      </c>
      <c r="H2151" s="14">
        <f t="shared" si="68"/>
        <v>497.98</v>
      </c>
    </row>
    <row r="2152" spans="1:8" ht="41.4">
      <c r="A2152" s="502" t="s">
        <v>4328</v>
      </c>
      <c r="B2152" s="504" t="s">
        <v>12097</v>
      </c>
      <c r="C2152" s="502" t="s">
        <v>114</v>
      </c>
      <c r="D2152" s="503" t="s">
        <v>31760</v>
      </c>
      <c r="F2152" t="str">
        <f t="shared" si="67"/>
        <v>91012</v>
      </c>
      <c r="H2152" s="14">
        <f t="shared" si="68"/>
        <v>552.95000000000005</v>
      </c>
    </row>
    <row r="2153" spans="1:8" ht="69">
      <c r="A2153" s="502" t="s">
        <v>4329</v>
      </c>
      <c r="B2153" s="504" t="s">
        <v>12098</v>
      </c>
      <c r="C2153" s="502" t="s">
        <v>114</v>
      </c>
      <c r="D2153" s="503" t="s">
        <v>31761</v>
      </c>
      <c r="F2153" t="str">
        <f t="shared" si="67"/>
        <v>91013</v>
      </c>
      <c r="H2153" s="14">
        <f t="shared" si="68"/>
        <v>1103.83</v>
      </c>
    </row>
    <row r="2154" spans="1:8" ht="69">
      <c r="A2154" s="502" t="s">
        <v>4330</v>
      </c>
      <c r="B2154" s="504" t="s">
        <v>12099</v>
      </c>
      <c r="C2154" s="502" t="s">
        <v>114</v>
      </c>
      <c r="D2154" s="503" t="s">
        <v>31762</v>
      </c>
      <c r="F2154" t="str">
        <f t="shared" si="67"/>
        <v>91014</v>
      </c>
      <c r="H2154" s="14">
        <f t="shared" si="68"/>
        <v>1117.43</v>
      </c>
    </row>
    <row r="2155" spans="1:8" ht="69">
      <c r="A2155" s="502" t="s">
        <v>4331</v>
      </c>
      <c r="B2155" s="504" t="s">
        <v>12100</v>
      </c>
      <c r="C2155" s="502" t="s">
        <v>114</v>
      </c>
      <c r="D2155" s="503" t="s">
        <v>31763</v>
      </c>
      <c r="F2155" t="str">
        <f t="shared" si="67"/>
        <v>91015</v>
      </c>
      <c r="H2155" s="14">
        <f t="shared" si="68"/>
        <v>1191.32</v>
      </c>
    </row>
    <row r="2156" spans="1:8" ht="69">
      <c r="A2156" s="502" t="s">
        <v>4332</v>
      </c>
      <c r="B2156" s="504" t="s">
        <v>12101</v>
      </c>
      <c r="C2156" s="502" t="s">
        <v>114</v>
      </c>
      <c r="D2156" s="503" t="s">
        <v>31764</v>
      </c>
      <c r="F2156" t="str">
        <f t="shared" si="67"/>
        <v>91016</v>
      </c>
      <c r="H2156" s="14">
        <f t="shared" si="68"/>
        <v>1249.21</v>
      </c>
    </row>
    <row r="2157" spans="1:8" ht="27.6">
      <c r="A2157" s="502" t="s">
        <v>4333</v>
      </c>
      <c r="B2157" s="504" t="s">
        <v>12102</v>
      </c>
      <c r="C2157" s="502" t="s">
        <v>114</v>
      </c>
      <c r="D2157" s="503" t="s">
        <v>31765</v>
      </c>
      <c r="F2157" t="str">
        <f t="shared" si="67"/>
        <v>91287</v>
      </c>
      <c r="H2157" s="14">
        <f t="shared" si="68"/>
        <v>316.95999999999998</v>
      </c>
    </row>
    <row r="2158" spans="1:8" ht="41.4">
      <c r="A2158" s="502" t="s">
        <v>4334</v>
      </c>
      <c r="B2158" s="504" t="s">
        <v>24196</v>
      </c>
      <c r="C2158" s="502" t="s">
        <v>114</v>
      </c>
      <c r="D2158" s="503" t="s">
        <v>31766</v>
      </c>
      <c r="F2158" t="str">
        <f t="shared" si="67"/>
        <v>91292</v>
      </c>
      <c r="H2158" s="14">
        <f t="shared" si="68"/>
        <v>453.9</v>
      </c>
    </row>
    <row r="2159" spans="1:8" ht="41.4">
      <c r="A2159" s="502" t="s">
        <v>4335</v>
      </c>
      <c r="B2159" s="504" t="s">
        <v>12103</v>
      </c>
      <c r="C2159" s="502" t="s">
        <v>114</v>
      </c>
      <c r="D2159" s="503" t="s">
        <v>31767</v>
      </c>
      <c r="F2159" t="str">
        <f t="shared" si="67"/>
        <v>91295</v>
      </c>
      <c r="H2159" s="14">
        <f t="shared" si="68"/>
        <v>427.99</v>
      </c>
    </row>
    <row r="2160" spans="1:8" ht="41.4">
      <c r="A2160" s="502" t="s">
        <v>4336</v>
      </c>
      <c r="B2160" s="504" t="s">
        <v>12104</v>
      </c>
      <c r="C2160" s="502" t="s">
        <v>114</v>
      </c>
      <c r="D2160" s="503" t="s">
        <v>31768</v>
      </c>
      <c r="F2160" t="str">
        <f t="shared" si="67"/>
        <v>91296</v>
      </c>
      <c r="H2160" s="14">
        <f t="shared" si="68"/>
        <v>459.55</v>
      </c>
    </row>
    <row r="2161" spans="1:8" ht="41.4">
      <c r="A2161" s="502" t="s">
        <v>4337</v>
      </c>
      <c r="B2161" s="504" t="s">
        <v>12105</v>
      </c>
      <c r="C2161" s="502" t="s">
        <v>114</v>
      </c>
      <c r="D2161" s="503" t="s">
        <v>31769</v>
      </c>
      <c r="F2161" t="str">
        <f t="shared" si="67"/>
        <v>91297</v>
      </c>
      <c r="H2161" s="14">
        <f t="shared" si="68"/>
        <v>505.75</v>
      </c>
    </row>
    <row r="2162" spans="1:8" ht="41.4">
      <c r="A2162" s="502" t="s">
        <v>4338</v>
      </c>
      <c r="B2162" s="504" t="s">
        <v>12106</v>
      </c>
      <c r="C2162" s="502" t="s">
        <v>114</v>
      </c>
      <c r="D2162" s="503" t="s">
        <v>31770</v>
      </c>
      <c r="F2162" t="str">
        <f t="shared" si="67"/>
        <v>91298</v>
      </c>
      <c r="H2162" s="14">
        <f t="shared" si="68"/>
        <v>1191.3900000000001</v>
      </c>
    </row>
    <row r="2163" spans="1:8" ht="41.4">
      <c r="A2163" s="502" t="s">
        <v>4339</v>
      </c>
      <c r="B2163" s="504" t="s">
        <v>12107</v>
      </c>
      <c r="C2163" s="502" t="s">
        <v>114</v>
      </c>
      <c r="D2163" s="503" t="s">
        <v>31771</v>
      </c>
      <c r="F2163" t="str">
        <f t="shared" si="67"/>
        <v>91299</v>
      </c>
      <c r="H2163" s="14">
        <f t="shared" si="68"/>
        <v>1672.81</v>
      </c>
    </row>
    <row r="2164" spans="1:8" ht="55.2">
      <c r="A2164" s="502" t="s">
        <v>4340</v>
      </c>
      <c r="B2164" s="504" t="s">
        <v>12108</v>
      </c>
      <c r="C2164" s="502" t="s">
        <v>114</v>
      </c>
      <c r="D2164" s="503" t="s">
        <v>31772</v>
      </c>
      <c r="F2164" t="str">
        <f t="shared" si="67"/>
        <v>91304</v>
      </c>
      <c r="H2164" s="14">
        <f t="shared" si="68"/>
        <v>137.06</v>
      </c>
    </row>
    <row r="2165" spans="1:8" ht="55.2">
      <c r="A2165" s="502" t="s">
        <v>4341</v>
      </c>
      <c r="B2165" s="504" t="s">
        <v>12109</v>
      </c>
      <c r="C2165" s="502" t="s">
        <v>114</v>
      </c>
      <c r="D2165" s="503" t="s">
        <v>31773</v>
      </c>
      <c r="F2165" t="str">
        <f t="shared" si="67"/>
        <v>91305</v>
      </c>
      <c r="H2165" s="14">
        <f t="shared" si="68"/>
        <v>132.36000000000001</v>
      </c>
    </row>
    <row r="2166" spans="1:8" ht="41.4">
      <c r="A2166" s="502" t="s">
        <v>4342</v>
      </c>
      <c r="B2166" s="504" t="s">
        <v>12110</v>
      </c>
      <c r="C2166" s="502" t="s">
        <v>114</v>
      </c>
      <c r="D2166" s="503" t="s">
        <v>31744</v>
      </c>
      <c r="F2166" t="str">
        <f t="shared" si="67"/>
        <v>91306</v>
      </c>
      <c r="H2166" s="14">
        <f t="shared" si="68"/>
        <v>184.48</v>
      </c>
    </row>
    <row r="2167" spans="1:8" ht="41.4">
      <c r="A2167" s="502" t="s">
        <v>4343</v>
      </c>
      <c r="B2167" s="504" t="s">
        <v>12111</v>
      </c>
      <c r="C2167" s="502" t="s">
        <v>114</v>
      </c>
      <c r="D2167" s="503" t="s">
        <v>31774</v>
      </c>
      <c r="F2167" t="str">
        <f t="shared" si="67"/>
        <v>91307</v>
      </c>
      <c r="H2167" s="14">
        <f t="shared" si="68"/>
        <v>114.77</v>
      </c>
    </row>
    <row r="2168" spans="1:8" ht="82.8">
      <c r="A2168" s="502" t="s">
        <v>4344</v>
      </c>
      <c r="B2168" s="504" t="s">
        <v>12112</v>
      </c>
      <c r="C2168" s="502" t="s">
        <v>114</v>
      </c>
      <c r="D2168" s="503" t="s">
        <v>31775</v>
      </c>
      <c r="F2168" t="str">
        <f t="shared" si="67"/>
        <v>91312</v>
      </c>
      <c r="H2168" s="14">
        <f t="shared" si="68"/>
        <v>1089.19</v>
      </c>
    </row>
    <row r="2169" spans="1:8" ht="82.8">
      <c r="A2169" s="502" t="s">
        <v>4345</v>
      </c>
      <c r="B2169" s="504" t="s">
        <v>12113</v>
      </c>
      <c r="C2169" s="502" t="s">
        <v>114</v>
      </c>
      <c r="D2169" s="503" t="s">
        <v>31776</v>
      </c>
      <c r="F2169" t="str">
        <f t="shared" si="67"/>
        <v>91313</v>
      </c>
      <c r="H2169" s="14">
        <f t="shared" si="68"/>
        <v>1083.72</v>
      </c>
    </row>
    <row r="2170" spans="1:8" ht="82.8">
      <c r="A2170" s="502" t="s">
        <v>4346</v>
      </c>
      <c r="B2170" s="504" t="s">
        <v>12114</v>
      </c>
      <c r="C2170" s="502" t="s">
        <v>114</v>
      </c>
      <c r="D2170" s="503" t="s">
        <v>31777</v>
      </c>
      <c r="F2170" t="str">
        <f t="shared" si="67"/>
        <v>91314</v>
      </c>
      <c r="H2170" s="14">
        <f t="shared" si="68"/>
        <v>1138.57</v>
      </c>
    </row>
    <row r="2171" spans="1:8" ht="82.8">
      <c r="A2171" s="502" t="s">
        <v>4347</v>
      </c>
      <c r="B2171" s="504" t="s">
        <v>12115</v>
      </c>
      <c r="C2171" s="502" t="s">
        <v>114</v>
      </c>
      <c r="D2171" s="503" t="s">
        <v>31778</v>
      </c>
      <c r="F2171" t="str">
        <f t="shared" si="67"/>
        <v>91315</v>
      </c>
      <c r="H2171" s="14">
        <f t="shared" si="68"/>
        <v>1238.28</v>
      </c>
    </row>
    <row r="2172" spans="1:8" ht="82.8">
      <c r="A2172" s="502" t="s">
        <v>12116</v>
      </c>
      <c r="B2172" s="504" t="s">
        <v>12117</v>
      </c>
      <c r="C2172" s="502" t="s">
        <v>114</v>
      </c>
      <c r="D2172" s="503" t="s">
        <v>31779</v>
      </c>
      <c r="F2172" t="str">
        <f t="shared" si="67"/>
        <v>91316</v>
      </c>
      <c r="H2172" s="14">
        <f t="shared" si="68"/>
        <v>1464.2</v>
      </c>
    </row>
    <row r="2173" spans="1:8" ht="82.8">
      <c r="A2173" s="502" t="s">
        <v>12118</v>
      </c>
      <c r="B2173" s="504" t="s">
        <v>12119</v>
      </c>
      <c r="C2173" s="502" t="s">
        <v>114</v>
      </c>
      <c r="D2173" s="503" t="s">
        <v>31198</v>
      </c>
      <c r="F2173" t="str">
        <f t="shared" si="67"/>
        <v>91317</v>
      </c>
      <c r="H2173" s="14">
        <f t="shared" si="68"/>
        <v>1552.6</v>
      </c>
    </row>
    <row r="2174" spans="1:8" ht="69">
      <c r="A2174" s="502" t="s">
        <v>4348</v>
      </c>
      <c r="B2174" s="504" t="s">
        <v>12120</v>
      </c>
      <c r="C2174" s="502" t="s">
        <v>114</v>
      </c>
      <c r="D2174" s="503" t="s">
        <v>31780</v>
      </c>
      <c r="F2174" t="str">
        <f t="shared" si="67"/>
        <v>91318</v>
      </c>
      <c r="H2174" s="14">
        <f t="shared" si="68"/>
        <v>956.83</v>
      </c>
    </row>
    <row r="2175" spans="1:8" ht="69">
      <c r="A2175" s="502" t="s">
        <v>4349</v>
      </c>
      <c r="B2175" s="504" t="s">
        <v>12121</v>
      </c>
      <c r="C2175" s="502" t="s">
        <v>114</v>
      </c>
      <c r="D2175" s="503" t="s">
        <v>31781</v>
      </c>
      <c r="F2175" t="str">
        <f t="shared" si="67"/>
        <v>91319</v>
      </c>
      <c r="H2175" s="14">
        <f t="shared" si="68"/>
        <v>968.95</v>
      </c>
    </row>
    <row r="2176" spans="1:8" ht="69">
      <c r="A2176" s="502" t="s">
        <v>4350</v>
      </c>
      <c r="B2176" s="504" t="s">
        <v>12122</v>
      </c>
      <c r="C2176" s="502" t="s">
        <v>114</v>
      </c>
      <c r="D2176" s="503" t="s">
        <v>31782</v>
      </c>
      <c r="F2176" t="str">
        <f t="shared" si="67"/>
        <v>91320</v>
      </c>
      <c r="H2176" s="14">
        <f t="shared" si="68"/>
        <v>1001.51</v>
      </c>
    </row>
    <row r="2177" spans="1:8" ht="69">
      <c r="A2177" s="502" t="s">
        <v>4351</v>
      </c>
      <c r="B2177" s="504" t="s">
        <v>12123</v>
      </c>
      <c r="C2177" s="502" t="s">
        <v>114</v>
      </c>
      <c r="D2177" s="503" t="s">
        <v>31783</v>
      </c>
      <c r="F2177" t="str">
        <f t="shared" si="67"/>
        <v>91321</v>
      </c>
      <c r="H2177" s="14">
        <f t="shared" si="68"/>
        <v>1101.22</v>
      </c>
    </row>
    <row r="2178" spans="1:8" ht="69">
      <c r="A2178" s="502" t="s">
        <v>12124</v>
      </c>
      <c r="B2178" s="504" t="s">
        <v>12125</v>
      </c>
      <c r="C2178" s="502" t="s">
        <v>114</v>
      </c>
      <c r="D2178" s="503" t="s">
        <v>31784</v>
      </c>
      <c r="F2178" t="str">
        <f t="shared" si="67"/>
        <v>91322</v>
      </c>
      <c r="H2178" s="14">
        <f t="shared" si="68"/>
        <v>1327.14</v>
      </c>
    </row>
    <row r="2179" spans="1:8" ht="69">
      <c r="A2179" s="502" t="s">
        <v>12126</v>
      </c>
      <c r="B2179" s="504" t="s">
        <v>12127</v>
      </c>
      <c r="C2179" s="502" t="s">
        <v>114</v>
      </c>
      <c r="D2179" s="503" t="s">
        <v>31785</v>
      </c>
      <c r="F2179" t="str">
        <f t="shared" si="67"/>
        <v>91323</v>
      </c>
      <c r="H2179" s="14">
        <f t="shared" si="68"/>
        <v>1415.54</v>
      </c>
    </row>
    <row r="2180" spans="1:8" ht="69">
      <c r="A2180" s="502" t="s">
        <v>4352</v>
      </c>
      <c r="B2180" s="504" t="s">
        <v>12128</v>
      </c>
      <c r="C2180" s="502" t="s">
        <v>114</v>
      </c>
      <c r="D2180" s="503" t="s">
        <v>31786</v>
      </c>
      <c r="F2180" t="str">
        <f t="shared" si="67"/>
        <v>91324</v>
      </c>
      <c r="H2180" s="14">
        <f t="shared" si="68"/>
        <v>970.27</v>
      </c>
    </row>
    <row r="2181" spans="1:8" ht="69">
      <c r="A2181" s="502" t="s">
        <v>4353</v>
      </c>
      <c r="B2181" s="504" t="s">
        <v>12129</v>
      </c>
      <c r="C2181" s="502" t="s">
        <v>114</v>
      </c>
      <c r="D2181" s="503" t="s">
        <v>31787</v>
      </c>
      <c r="F2181" t="str">
        <f t="shared" ref="F2181:F2244" si="69">TRIM(A2181)</f>
        <v>91325</v>
      </c>
      <c r="H2181" s="14">
        <f t="shared" ref="H2181:H2244" si="70">ROUND(D2181*(1+$H$1),2)</f>
        <v>983.04</v>
      </c>
    </row>
    <row r="2182" spans="1:8" ht="69">
      <c r="A2182" s="502" t="s">
        <v>4354</v>
      </c>
      <c r="B2182" s="504" t="s">
        <v>12130</v>
      </c>
      <c r="C2182" s="502" t="s">
        <v>114</v>
      </c>
      <c r="D2182" s="503" t="s">
        <v>31788</v>
      </c>
      <c r="F2182" t="str">
        <f t="shared" si="69"/>
        <v>91326</v>
      </c>
      <c r="H2182" s="14">
        <f t="shared" si="70"/>
        <v>1056.0899999999999</v>
      </c>
    </row>
    <row r="2183" spans="1:8" ht="69">
      <c r="A2183" s="502" t="s">
        <v>4355</v>
      </c>
      <c r="B2183" s="504" t="s">
        <v>12131</v>
      </c>
      <c r="C2183" s="502" t="s">
        <v>114</v>
      </c>
      <c r="D2183" s="503" t="s">
        <v>31789</v>
      </c>
      <c r="F2183" t="str">
        <f t="shared" si="69"/>
        <v>91327</v>
      </c>
      <c r="H2183" s="14">
        <f t="shared" si="70"/>
        <v>1113.1300000000001</v>
      </c>
    </row>
    <row r="2184" spans="1:8" ht="69">
      <c r="A2184" s="502" t="s">
        <v>4356</v>
      </c>
      <c r="B2184" s="504" t="s">
        <v>12132</v>
      </c>
      <c r="C2184" s="502" t="s">
        <v>114</v>
      </c>
      <c r="D2184" s="503" t="s">
        <v>31790</v>
      </c>
      <c r="F2184" t="str">
        <f t="shared" si="69"/>
        <v>91328</v>
      </c>
      <c r="H2184" s="14">
        <f t="shared" si="70"/>
        <v>1115.48</v>
      </c>
    </row>
    <row r="2185" spans="1:8" ht="69">
      <c r="A2185" s="502" t="s">
        <v>4357</v>
      </c>
      <c r="B2185" s="504" t="s">
        <v>12133</v>
      </c>
      <c r="C2185" s="502" t="s">
        <v>114</v>
      </c>
      <c r="D2185" s="503" t="s">
        <v>31791</v>
      </c>
      <c r="F2185" t="str">
        <f t="shared" si="69"/>
        <v>91329</v>
      </c>
      <c r="H2185" s="14">
        <f t="shared" si="70"/>
        <v>981.92</v>
      </c>
    </row>
    <row r="2186" spans="1:8" ht="69">
      <c r="A2186" s="502" t="s">
        <v>4358</v>
      </c>
      <c r="B2186" s="504" t="s">
        <v>12134</v>
      </c>
      <c r="C2186" s="502" t="s">
        <v>114</v>
      </c>
      <c r="D2186" s="503" t="s">
        <v>31792</v>
      </c>
      <c r="F2186" t="str">
        <f t="shared" si="69"/>
        <v>91330</v>
      </c>
      <c r="H2186" s="14">
        <f t="shared" si="70"/>
        <v>1149.96</v>
      </c>
    </row>
    <row r="2187" spans="1:8" ht="69">
      <c r="A2187" s="502" t="s">
        <v>4359</v>
      </c>
      <c r="B2187" s="504" t="s">
        <v>12135</v>
      </c>
      <c r="C2187" s="502" t="s">
        <v>114</v>
      </c>
      <c r="D2187" s="503" t="s">
        <v>31793</v>
      </c>
      <c r="F2187" t="str">
        <f t="shared" si="69"/>
        <v>91331</v>
      </c>
      <c r="H2187" s="14">
        <f t="shared" si="70"/>
        <v>1015.56</v>
      </c>
    </row>
    <row r="2188" spans="1:8" ht="69">
      <c r="A2188" s="502" t="s">
        <v>4360</v>
      </c>
      <c r="B2188" s="504" t="s">
        <v>12136</v>
      </c>
      <c r="C2188" s="502" t="s">
        <v>114</v>
      </c>
      <c r="D2188" s="503" t="s">
        <v>31794</v>
      </c>
      <c r="F2188" t="str">
        <f t="shared" si="69"/>
        <v>91332</v>
      </c>
      <c r="H2188" s="14">
        <f t="shared" si="70"/>
        <v>1199.0899999999999</v>
      </c>
    </row>
    <row r="2189" spans="1:8" ht="69">
      <c r="A2189" s="502" t="s">
        <v>4361</v>
      </c>
      <c r="B2189" s="504" t="s">
        <v>12137</v>
      </c>
      <c r="C2189" s="502" t="s">
        <v>114</v>
      </c>
      <c r="D2189" s="503" t="s">
        <v>31795</v>
      </c>
      <c r="F2189" t="str">
        <f t="shared" si="69"/>
        <v>91333</v>
      </c>
      <c r="H2189" s="14">
        <f t="shared" si="70"/>
        <v>1063.8499999999999</v>
      </c>
    </row>
    <row r="2190" spans="1:8" ht="55.2">
      <c r="A2190" s="502" t="s">
        <v>4362</v>
      </c>
      <c r="B2190" s="504" t="s">
        <v>12138</v>
      </c>
      <c r="C2190" s="502" t="s">
        <v>114</v>
      </c>
      <c r="D2190" s="503" t="s">
        <v>31796</v>
      </c>
      <c r="F2190" t="str">
        <f t="shared" si="69"/>
        <v>91334</v>
      </c>
      <c r="H2190" s="14">
        <f t="shared" si="70"/>
        <v>1884.73</v>
      </c>
    </row>
    <row r="2191" spans="1:8" ht="69">
      <c r="A2191" s="502" t="s">
        <v>4363</v>
      </c>
      <c r="B2191" s="504" t="s">
        <v>12139</v>
      </c>
      <c r="C2191" s="502" t="s">
        <v>114</v>
      </c>
      <c r="D2191" s="503" t="s">
        <v>31797</v>
      </c>
      <c r="F2191" t="str">
        <f t="shared" si="69"/>
        <v>91335</v>
      </c>
      <c r="H2191" s="14">
        <f t="shared" si="70"/>
        <v>1749.49</v>
      </c>
    </row>
    <row r="2192" spans="1:8" ht="69">
      <c r="A2192" s="502" t="s">
        <v>4364</v>
      </c>
      <c r="B2192" s="504" t="s">
        <v>12140</v>
      </c>
      <c r="C2192" s="502" t="s">
        <v>114</v>
      </c>
      <c r="D2192" s="503" t="s">
        <v>31798</v>
      </c>
      <c r="F2192" t="str">
        <f t="shared" si="69"/>
        <v>91336</v>
      </c>
      <c r="H2192" s="14">
        <f t="shared" si="70"/>
        <v>2366.15</v>
      </c>
    </row>
    <row r="2193" spans="1:8" ht="69">
      <c r="A2193" s="502" t="s">
        <v>4365</v>
      </c>
      <c r="B2193" s="504" t="s">
        <v>12141</v>
      </c>
      <c r="C2193" s="502" t="s">
        <v>114</v>
      </c>
      <c r="D2193" s="503" t="s">
        <v>31799</v>
      </c>
      <c r="F2193" t="str">
        <f t="shared" si="69"/>
        <v>91337</v>
      </c>
      <c r="H2193" s="14">
        <f t="shared" si="70"/>
        <v>2230.91</v>
      </c>
    </row>
    <row r="2194" spans="1:8" ht="41.4">
      <c r="A2194" s="502" t="s">
        <v>12142</v>
      </c>
      <c r="B2194" s="504" t="s">
        <v>12143</v>
      </c>
      <c r="C2194" s="502" t="s">
        <v>75</v>
      </c>
      <c r="D2194" s="503" t="s">
        <v>31800</v>
      </c>
      <c r="F2194" t="str">
        <f t="shared" si="69"/>
        <v>100659</v>
      </c>
      <c r="H2194" s="14">
        <f t="shared" si="70"/>
        <v>14.62</v>
      </c>
    </row>
    <row r="2195" spans="1:8" ht="41.4">
      <c r="A2195" s="502" t="s">
        <v>12144</v>
      </c>
      <c r="B2195" s="504" t="s">
        <v>12145</v>
      </c>
      <c r="C2195" s="502" t="s">
        <v>75</v>
      </c>
      <c r="D2195" s="503" t="s">
        <v>29765</v>
      </c>
      <c r="F2195" t="str">
        <f t="shared" si="69"/>
        <v>100660</v>
      </c>
      <c r="H2195" s="14">
        <f t="shared" si="70"/>
        <v>10.42</v>
      </c>
    </row>
    <row r="2196" spans="1:8" ht="69">
      <c r="A2196" s="502" t="s">
        <v>12146</v>
      </c>
      <c r="B2196" s="504" t="s">
        <v>12147</v>
      </c>
      <c r="C2196" s="502" t="s">
        <v>114</v>
      </c>
      <c r="D2196" s="503" t="s">
        <v>31801</v>
      </c>
      <c r="F2196" t="str">
        <f t="shared" si="69"/>
        <v>100675</v>
      </c>
      <c r="H2196" s="14">
        <f t="shared" si="70"/>
        <v>1145.0999999999999</v>
      </c>
    </row>
    <row r="2197" spans="1:8" ht="27.6">
      <c r="A2197" s="502" t="s">
        <v>12148</v>
      </c>
      <c r="B2197" s="504" t="s">
        <v>12149</v>
      </c>
      <c r="C2197" s="502" t="s">
        <v>114</v>
      </c>
      <c r="D2197" s="503" t="s">
        <v>31802</v>
      </c>
      <c r="F2197" t="str">
        <f t="shared" si="69"/>
        <v>100676</v>
      </c>
      <c r="H2197" s="14">
        <f t="shared" si="70"/>
        <v>262.5</v>
      </c>
    </row>
    <row r="2198" spans="1:8" ht="69">
      <c r="A2198" s="502" t="s">
        <v>12150</v>
      </c>
      <c r="B2198" s="504" t="s">
        <v>12151</v>
      </c>
      <c r="C2198" s="502" t="s">
        <v>114</v>
      </c>
      <c r="D2198" s="503" t="s">
        <v>31803</v>
      </c>
      <c r="F2198" t="str">
        <f t="shared" si="69"/>
        <v>100678</v>
      </c>
      <c r="H2198" s="14">
        <f t="shared" si="70"/>
        <v>1288.31</v>
      </c>
    </row>
    <row r="2199" spans="1:8" ht="69">
      <c r="A2199" s="502" t="s">
        <v>12152</v>
      </c>
      <c r="B2199" s="504" t="s">
        <v>12153</v>
      </c>
      <c r="C2199" s="502" t="s">
        <v>114</v>
      </c>
      <c r="D2199" s="503" t="s">
        <v>31804</v>
      </c>
      <c r="F2199" t="str">
        <f t="shared" si="69"/>
        <v>100679</v>
      </c>
      <c r="H2199" s="14">
        <f t="shared" si="70"/>
        <v>1102.6300000000001</v>
      </c>
    </row>
    <row r="2200" spans="1:8" ht="69">
      <c r="A2200" s="502" t="s">
        <v>12154</v>
      </c>
      <c r="B2200" s="504" t="s">
        <v>12155</v>
      </c>
      <c r="C2200" s="502" t="s">
        <v>114</v>
      </c>
      <c r="D2200" s="503" t="s">
        <v>31805</v>
      </c>
      <c r="F2200" t="str">
        <f t="shared" si="69"/>
        <v>100680</v>
      </c>
      <c r="H2200" s="14">
        <f t="shared" si="70"/>
        <v>1301.92</v>
      </c>
    </row>
    <row r="2201" spans="1:8" ht="69">
      <c r="A2201" s="502" t="s">
        <v>12156</v>
      </c>
      <c r="B2201" s="504" t="s">
        <v>12157</v>
      </c>
      <c r="C2201" s="502" t="s">
        <v>114</v>
      </c>
      <c r="D2201" s="503" t="s">
        <v>31806</v>
      </c>
      <c r="F2201" t="str">
        <f t="shared" si="69"/>
        <v>100681</v>
      </c>
      <c r="H2201" s="14">
        <f t="shared" si="70"/>
        <v>1334.45</v>
      </c>
    </row>
    <row r="2202" spans="1:8" ht="69">
      <c r="A2202" s="502" t="s">
        <v>12158</v>
      </c>
      <c r="B2202" s="504" t="s">
        <v>12159</v>
      </c>
      <c r="C2202" s="502" t="s">
        <v>114</v>
      </c>
      <c r="D2202" s="503" t="s">
        <v>31807</v>
      </c>
      <c r="F2202" t="str">
        <f t="shared" si="69"/>
        <v>100682</v>
      </c>
      <c r="H2202" s="14">
        <f t="shared" si="70"/>
        <v>1130.33</v>
      </c>
    </row>
    <row r="2203" spans="1:8" ht="69">
      <c r="A2203" s="502" t="s">
        <v>12160</v>
      </c>
      <c r="B2203" s="504" t="s">
        <v>12161</v>
      </c>
      <c r="C2203" s="502" t="s">
        <v>114</v>
      </c>
      <c r="D2203" s="503" t="s">
        <v>31808</v>
      </c>
      <c r="F2203" t="str">
        <f t="shared" si="69"/>
        <v>100683</v>
      </c>
      <c r="H2203" s="14">
        <f t="shared" si="70"/>
        <v>1404.16</v>
      </c>
    </row>
    <row r="2204" spans="1:8" ht="69">
      <c r="A2204" s="502" t="s">
        <v>12162</v>
      </c>
      <c r="B2204" s="504" t="s">
        <v>12163</v>
      </c>
      <c r="C2204" s="502" t="s">
        <v>114</v>
      </c>
      <c r="D2204" s="503" t="s">
        <v>31809</v>
      </c>
      <c r="F2204" t="str">
        <f t="shared" si="69"/>
        <v>100684</v>
      </c>
      <c r="H2204" s="14">
        <f t="shared" si="70"/>
        <v>1193.1500000000001</v>
      </c>
    </row>
    <row r="2205" spans="1:8" ht="69">
      <c r="A2205" s="502" t="s">
        <v>12164</v>
      </c>
      <c r="B2205" s="504" t="s">
        <v>12165</v>
      </c>
      <c r="C2205" s="502" t="s">
        <v>114</v>
      </c>
      <c r="D2205" s="503" t="s">
        <v>31810</v>
      </c>
      <c r="F2205" t="str">
        <f t="shared" si="69"/>
        <v>100685</v>
      </c>
      <c r="H2205" s="14">
        <f t="shared" si="70"/>
        <v>1462.05</v>
      </c>
    </row>
    <row r="2206" spans="1:8" ht="69">
      <c r="A2206" s="502" t="s">
        <v>12166</v>
      </c>
      <c r="B2206" s="504" t="s">
        <v>12167</v>
      </c>
      <c r="C2206" s="502" t="s">
        <v>114</v>
      </c>
      <c r="D2206" s="503" t="s">
        <v>31811</v>
      </c>
      <c r="F2206" t="str">
        <f t="shared" si="69"/>
        <v>100686</v>
      </c>
      <c r="H2206" s="14">
        <f t="shared" si="70"/>
        <v>1250.19</v>
      </c>
    </row>
    <row r="2207" spans="1:8" ht="69">
      <c r="A2207" s="502" t="s">
        <v>12168</v>
      </c>
      <c r="B2207" s="504" t="s">
        <v>12169</v>
      </c>
      <c r="C2207" s="502" t="s">
        <v>114</v>
      </c>
      <c r="D2207" s="503" t="s">
        <v>31812</v>
      </c>
      <c r="F2207" t="str">
        <f t="shared" si="69"/>
        <v>100687</v>
      </c>
      <c r="H2207" s="14">
        <f t="shared" si="70"/>
        <v>1299.96</v>
      </c>
    </row>
    <row r="2208" spans="1:8" ht="69">
      <c r="A2208" s="502" t="s">
        <v>12170</v>
      </c>
      <c r="B2208" s="504" t="s">
        <v>12171</v>
      </c>
      <c r="C2208" s="502" t="s">
        <v>114</v>
      </c>
      <c r="D2208" s="503" t="s">
        <v>31813</v>
      </c>
      <c r="F2208" t="str">
        <f t="shared" si="69"/>
        <v>100688</v>
      </c>
      <c r="H2208" s="14">
        <f t="shared" si="70"/>
        <v>1114.28</v>
      </c>
    </row>
    <row r="2209" spans="1:8" ht="69">
      <c r="A2209" s="502" t="s">
        <v>12172</v>
      </c>
      <c r="B2209" s="504" t="s">
        <v>12173</v>
      </c>
      <c r="C2209" s="502" t="s">
        <v>114</v>
      </c>
      <c r="D2209" s="503" t="s">
        <v>31814</v>
      </c>
      <c r="F2209" t="str">
        <f t="shared" si="69"/>
        <v>100689</v>
      </c>
      <c r="H2209" s="14">
        <f t="shared" si="70"/>
        <v>1411.93</v>
      </c>
    </row>
    <row r="2210" spans="1:8" ht="69">
      <c r="A2210" s="502" t="s">
        <v>12174</v>
      </c>
      <c r="B2210" s="504" t="s">
        <v>12175</v>
      </c>
      <c r="C2210" s="502" t="s">
        <v>114</v>
      </c>
      <c r="D2210" s="503" t="s">
        <v>31815</v>
      </c>
      <c r="F2210" t="str">
        <f t="shared" si="69"/>
        <v>100690</v>
      </c>
      <c r="H2210" s="14">
        <f t="shared" si="70"/>
        <v>1200.92</v>
      </c>
    </row>
    <row r="2211" spans="1:8" ht="69">
      <c r="A2211" s="502" t="s">
        <v>12176</v>
      </c>
      <c r="B2211" s="504" t="s">
        <v>12177</v>
      </c>
      <c r="C2211" s="502" t="s">
        <v>114</v>
      </c>
      <c r="D2211" s="503" t="s">
        <v>31816</v>
      </c>
      <c r="F2211" t="str">
        <f t="shared" si="69"/>
        <v>100691</v>
      </c>
      <c r="H2211" s="14">
        <f t="shared" si="70"/>
        <v>2097.5700000000002</v>
      </c>
    </row>
    <row r="2212" spans="1:8" ht="69">
      <c r="A2212" s="502" t="s">
        <v>12178</v>
      </c>
      <c r="B2212" s="504" t="s">
        <v>12179</v>
      </c>
      <c r="C2212" s="502" t="s">
        <v>114</v>
      </c>
      <c r="D2212" s="503" t="s">
        <v>31817</v>
      </c>
      <c r="F2212" t="str">
        <f t="shared" si="69"/>
        <v>100692</v>
      </c>
      <c r="H2212" s="14">
        <f t="shared" si="70"/>
        <v>1886.55</v>
      </c>
    </row>
    <row r="2213" spans="1:8" ht="82.8">
      <c r="A2213" s="502" t="s">
        <v>12180</v>
      </c>
      <c r="B2213" s="504" t="s">
        <v>12181</v>
      </c>
      <c r="C2213" s="502" t="s">
        <v>114</v>
      </c>
      <c r="D2213" s="503" t="s">
        <v>31818</v>
      </c>
      <c r="F2213" t="str">
        <f t="shared" si="69"/>
        <v>100693</v>
      </c>
      <c r="H2213" s="14">
        <f t="shared" si="70"/>
        <v>2578.9899999999998</v>
      </c>
    </row>
    <row r="2214" spans="1:8" ht="82.8">
      <c r="A2214" s="502" t="s">
        <v>12182</v>
      </c>
      <c r="B2214" s="504" t="s">
        <v>12183</v>
      </c>
      <c r="C2214" s="502" t="s">
        <v>114</v>
      </c>
      <c r="D2214" s="503" t="s">
        <v>31819</v>
      </c>
      <c r="F2214" t="str">
        <f t="shared" si="69"/>
        <v>100694</v>
      </c>
      <c r="H2214" s="14">
        <f t="shared" si="70"/>
        <v>2367.9699999999998</v>
      </c>
    </row>
    <row r="2215" spans="1:8" ht="41.4">
      <c r="A2215" s="502" t="s">
        <v>12184</v>
      </c>
      <c r="B2215" s="504" t="s">
        <v>12185</v>
      </c>
      <c r="C2215" s="502" t="s">
        <v>114</v>
      </c>
      <c r="D2215" s="503" t="s">
        <v>31820</v>
      </c>
      <c r="F2215" t="str">
        <f t="shared" si="69"/>
        <v>100695</v>
      </c>
      <c r="H2215" s="14">
        <f t="shared" si="70"/>
        <v>95.61</v>
      </c>
    </row>
    <row r="2216" spans="1:8" ht="41.4">
      <c r="A2216" s="502" t="s">
        <v>12186</v>
      </c>
      <c r="B2216" s="504" t="s">
        <v>12187</v>
      </c>
      <c r="C2216" s="502" t="s">
        <v>114</v>
      </c>
      <c r="D2216" s="503" t="s">
        <v>31821</v>
      </c>
      <c r="F2216" t="str">
        <f t="shared" si="69"/>
        <v>100696</v>
      </c>
      <c r="H2216" s="14">
        <f t="shared" si="70"/>
        <v>106.32</v>
      </c>
    </row>
    <row r="2217" spans="1:8" ht="41.4">
      <c r="A2217" s="502" t="s">
        <v>12188</v>
      </c>
      <c r="B2217" s="504" t="s">
        <v>12189</v>
      </c>
      <c r="C2217" s="502" t="s">
        <v>114</v>
      </c>
      <c r="D2217" s="503" t="s">
        <v>31822</v>
      </c>
      <c r="F2217" t="str">
        <f t="shared" si="69"/>
        <v>100697</v>
      </c>
      <c r="H2217" s="14">
        <f t="shared" si="70"/>
        <v>117.07</v>
      </c>
    </row>
    <row r="2218" spans="1:8" ht="41.4">
      <c r="A2218" s="502" t="s">
        <v>12190</v>
      </c>
      <c r="B2218" s="504" t="s">
        <v>12191</v>
      </c>
      <c r="C2218" s="502" t="s">
        <v>114</v>
      </c>
      <c r="D2218" s="503" t="s">
        <v>31823</v>
      </c>
      <c r="F2218" t="str">
        <f t="shared" si="69"/>
        <v>100698</v>
      </c>
      <c r="H2218" s="14">
        <f t="shared" si="70"/>
        <v>127.81</v>
      </c>
    </row>
    <row r="2219" spans="1:8" ht="41.4">
      <c r="A2219" s="502" t="s">
        <v>12192</v>
      </c>
      <c r="B2219" s="504" t="s">
        <v>12193</v>
      </c>
      <c r="C2219" s="502" t="s">
        <v>114</v>
      </c>
      <c r="D2219" s="503" t="s">
        <v>31824</v>
      </c>
      <c r="F2219" t="str">
        <f t="shared" si="69"/>
        <v>100699</v>
      </c>
      <c r="H2219" s="14">
        <f t="shared" si="70"/>
        <v>152.69999999999999</v>
      </c>
    </row>
    <row r="2220" spans="1:8" ht="41.4">
      <c r="A2220" s="502" t="s">
        <v>12194</v>
      </c>
      <c r="B2220" s="504" t="s">
        <v>12195</v>
      </c>
      <c r="C2220" s="502" t="s">
        <v>114</v>
      </c>
      <c r="D2220" s="503" t="s">
        <v>31825</v>
      </c>
      <c r="F2220" t="str">
        <f t="shared" si="69"/>
        <v>100700</v>
      </c>
      <c r="H2220" s="14">
        <f t="shared" si="70"/>
        <v>1073.69</v>
      </c>
    </row>
    <row r="2221" spans="1:8" ht="69">
      <c r="A2221" s="502" t="s">
        <v>12196</v>
      </c>
      <c r="B2221" s="504" t="s">
        <v>12197</v>
      </c>
      <c r="C2221" s="502" t="s">
        <v>114</v>
      </c>
      <c r="D2221" s="503" t="s">
        <v>31826</v>
      </c>
      <c r="F2221" t="str">
        <f t="shared" si="69"/>
        <v>100712</v>
      </c>
      <c r="H2221" s="14">
        <f t="shared" si="70"/>
        <v>1097.81</v>
      </c>
    </row>
    <row r="2222" spans="1:8" ht="69">
      <c r="A2222" s="502" t="s">
        <v>12198</v>
      </c>
      <c r="B2222" s="504" t="s">
        <v>31827</v>
      </c>
      <c r="C2222" s="502" t="s">
        <v>73</v>
      </c>
      <c r="D2222" s="503" t="s">
        <v>31828</v>
      </c>
      <c r="F2222" t="str">
        <f t="shared" si="69"/>
        <v>100665</v>
      </c>
      <c r="H2222" s="14">
        <f t="shared" si="70"/>
        <v>1061.6400000000001</v>
      </c>
    </row>
    <row r="2223" spans="1:8" ht="69">
      <c r="A2223" s="502" t="s">
        <v>12199</v>
      </c>
      <c r="B2223" s="504" t="s">
        <v>31829</v>
      </c>
      <c r="C2223" s="502" t="s">
        <v>73</v>
      </c>
      <c r="D2223" s="503" t="s">
        <v>31830</v>
      </c>
      <c r="F2223" t="str">
        <f t="shared" si="69"/>
        <v>100666</v>
      </c>
      <c r="H2223" s="14">
        <f t="shared" si="70"/>
        <v>850.64</v>
      </c>
    </row>
    <row r="2224" spans="1:8" ht="69">
      <c r="A2224" s="502" t="s">
        <v>12200</v>
      </c>
      <c r="B2224" s="504" t="s">
        <v>31831</v>
      </c>
      <c r="C2224" s="502" t="s">
        <v>73</v>
      </c>
      <c r="D2224" s="503" t="s">
        <v>31832</v>
      </c>
      <c r="F2224" t="str">
        <f t="shared" si="69"/>
        <v>100667</v>
      </c>
      <c r="H2224" s="14">
        <f t="shared" si="70"/>
        <v>1359.95</v>
      </c>
    </row>
    <row r="2225" spans="1:8" ht="69">
      <c r="A2225" s="502" t="s">
        <v>12201</v>
      </c>
      <c r="B2225" s="504" t="s">
        <v>31833</v>
      </c>
      <c r="C2225" s="502" t="s">
        <v>73</v>
      </c>
      <c r="D2225" s="503" t="s">
        <v>31834</v>
      </c>
      <c r="F2225" t="str">
        <f t="shared" si="69"/>
        <v>100668</v>
      </c>
      <c r="H2225" s="14">
        <f t="shared" si="70"/>
        <v>1609.31</v>
      </c>
    </row>
    <row r="2226" spans="1:8" ht="69">
      <c r="A2226" s="502" t="s">
        <v>12202</v>
      </c>
      <c r="B2226" s="504" t="s">
        <v>31835</v>
      </c>
      <c r="C2226" s="502" t="s">
        <v>73</v>
      </c>
      <c r="D2226" s="503" t="s">
        <v>31836</v>
      </c>
      <c r="F2226" t="str">
        <f t="shared" si="69"/>
        <v>100669</v>
      </c>
      <c r="H2226" s="14">
        <f t="shared" si="70"/>
        <v>1121.18</v>
      </c>
    </row>
    <row r="2227" spans="1:8" ht="69">
      <c r="A2227" s="502" t="s">
        <v>12203</v>
      </c>
      <c r="B2227" s="504" t="s">
        <v>31837</v>
      </c>
      <c r="C2227" s="502" t="s">
        <v>73</v>
      </c>
      <c r="D2227" s="503" t="s">
        <v>31838</v>
      </c>
      <c r="F2227" t="str">
        <f t="shared" si="69"/>
        <v>100670</v>
      </c>
      <c r="H2227" s="14">
        <f t="shared" si="70"/>
        <v>1303.6400000000001</v>
      </c>
    </row>
    <row r="2228" spans="1:8" ht="69">
      <c r="A2228" s="502" t="s">
        <v>12204</v>
      </c>
      <c r="B2228" s="504" t="s">
        <v>31839</v>
      </c>
      <c r="C2228" s="502" t="s">
        <v>73</v>
      </c>
      <c r="D2228" s="503" t="s">
        <v>31840</v>
      </c>
      <c r="F2228" t="str">
        <f t="shared" si="69"/>
        <v>100671</v>
      </c>
      <c r="H2228" s="14">
        <f t="shared" si="70"/>
        <v>1606.98</v>
      </c>
    </row>
    <row r="2229" spans="1:8" ht="69">
      <c r="A2229" s="502" t="s">
        <v>12205</v>
      </c>
      <c r="B2229" s="504" t="s">
        <v>31841</v>
      </c>
      <c r="C2229" s="502" t="s">
        <v>73</v>
      </c>
      <c r="D2229" s="503" t="s">
        <v>31842</v>
      </c>
      <c r="F2229" t="str">
        <f t="shared" si="69"/>
        <v>100672</v>
      </c>
      <c r="H2229" s="14">
        <f t="shared" si="70"/>
        <v>1053.74</v>
      </c>
    </row>
    <row r="2230" spans="1:8" ht="27.6">
      <c r="A2230" s="502" t="s">
        <v>12206</v>
      </c>
      <c r="B2230" s="504" t="s">
        <v>12207</v>
      </c>
      <c r="C2230" s="502" t="s">
        <v>73</v>
      </c>
      <c r="D2230" s="503" t="s">
        <v>31843</v>
      </c>
      <c r="F2230" t="str">
        <f t="shared" si="69"/>
        <v>100701</v>
      </c>
      <c r="H2230" s="14">
        <f t="shared" si="70"/>
        <v>853.19</v>
      </c>
    </row>
    <row r="2231" spans="1:8" ht="69">
      <c r="A2231" s="502" t="s">
        <v>4366</v>
      </c>
      <c r="B2231" s="504" t="s">
        <v>31844</v>
      </c>
      <c r="C2231" s="502" t="s">
        <v>73</v>
      </c>
      <c r="D2231" s="503" t="s">
        <v>31845</v>
      </c>
      <c r="F2231" t="str">
        <f t="shared" si="69"/>
        <v>94559</v>
      </c>
      <c r="H2231" s="14">
        <f t="shared" si="70"/>
        <v>957.95</v>
      </c>
    </row>
    <row r="2232" spans="1:8" ht="55.2">
      <c r="A2232" s="502" t="s">
        <v>4367</v>
      </c>
      <c r="B2232" s="504" t="s">
        <v>31846</v>
      </c>
      <c r="C2232" s="502" t="s">
        <v>73</v>
      </c>
      <c r="D2232" s="503" t="s">
        <v>31847</v>
      </c>
      <c r="F2232" t="str">
        <f t="shared" si="69"/>
        <v>94562</v>
      </c>
      <c r="H2232" s="14">
        <f t="shared" si="70"/>
        <v>801.03</v>
      </c>
    </row>
    <row r="2233" spans="1:8" ht="27.6">
      <c r="A2233" s="502" t="s">
        <v>12208</v>
      </c>
      <c r="B2233" s="504" t="s">
        <v>31848</v>
      </c>
      <c r="C2233" s="502" t="s">
        <v>75</v>
      </c>
      <c r="D2233" s="503" t="s">
        <v>31849</v>
      </c>
      <c r="F2233" t="str">
        <f t="shared" si="69"/>
        <v>94587</v>
      </c>
      <c r="H2233" s="14">
        <f t="shared" si="70"/>
        <v>90.12</v>
      </c>
    </row>
    <row r="2234" spans="1:8" ht="27.6">
      <c r="A2234" s="502" t="s">
        <v>12210</v>
      </c>
      <c r="B2234" s="504" t="s">
        <v>31850</v>
      </c>
      <c r="C2234" s="502" t="s">
        <v>75</v>
      </c>
      <c r="D2234" s="503" t="s">
        <v>31851</v>
      </c>
      <c r="F2234" t="str">
        <f t="shared" si="69"/>
        <v>94588</v>
      </c>
      <c r="H2234" s="14">
        <f t="shared" si="70"/>
        <v>105.45</v>
      </c>
    </row>
    <row r="2235" spans="1:8" ht="69">
      <c r="A2235" s="502" t="s">
        <v>31852</v>
      </c>
      <c r="B2235" s="504" t="s">
        <v>31853</v>
      </c>
      <c r="C2235" s="502" t="s">
        <v>73</v>
      </c>
      <c r="D2235" s="503" t="s">
        <v>31854</v>
      </c>
      <c r="F2235" t="str">
        <f t="shared" si="69"/>
        <v>105813</v>
      </c>
      <c r="H2235" s="14">
        <f t="shared" si="70"/>
        <v>1365.77</v>
      </c>
    </row>
    <row r="2236" spans="1:8" ht="69">
      <c r="A2236" s="502" t="s">
        <v>10630</v>
      </c>
      <c r="B2236" s="504" t="s">
        <v>28491</v>
      </c>
      <c r="C2236" s="502" t="s">
        <v>75</v>
      </c>
      <c r="D2236" s="503" t="s">
        <v>31855</v>
      </c>
      <c r="F2236" t="str">
        <f t="shared" si="69"/>
        <v>99837</v>
      </c>
      <c r="H2236" s="14">
        <f t="shared" si="70"/>
        <v>1082.43</v>
      </c>
    </row>
    <row r="2237" spans="1:8" ht="69">
      <c r="A2237" s="502" t="s">
        <v>10631</v>
      </c>
      <c r="B2237" s="504" t="s">
        <v>24197</v>
      </c>
      <c r="C2237" s="502" t="s">
        <v>75</v>
      </c>
      <c r="D2237" s="503" t="s">
        <v>31856</v>
      </c>
      <c r="F2237" t="str">
        <f t="shared" si="69"/>
        <v>99839</v>
      </c>
      <c r="H2237" s="14">
        <f t="shared" si="70"/>
        <v>816.04</v>
      </c>
    </row>
    <row r="2238" spans="1:8" ht="41.4">
      <c r="A2238" s="502" t="s">
        <v>10632</v>
      </c>
      <c r="B2238" s="504" t="s">
        <v>24198</v>
      </c>
      <c r="C2238" s="502" t="s">
        <v>75</v>
      </c>
      <c r="D2238" s="503" t="s">
        <v>31857</v>
      </c>
      <c r="F2238" t="str">
        <f t="shared" si="69"/>
        <v>99841</v>
      </c>
      <c r="H2238" s="14">
        <f t="shared" si="70"/>
        <v>1578.88</v>
      </c>
    </row>
    <row r="2239" spans="1:8" ht="27.6">
      <c r="A2239" s="502" t="s">
        <v>10633</v>
      </c>
      <c r="B2239" s="504" t="s">
        <v>28492</v>
      </c>
      <c r="C2239" s="502" t="s">
        <v>75</v>
      </c>
      <c r="D2239" s="503" t="s">
        <v>31858</v>
      </c>
      <c r="F2239" t="str">
        <f t="shared" si="69"/>
        <v>99855</v>
      </c>
      <c r="H2239" s="14">
        <f t="shared" si="70"/>
        <v>195.62</v>
      </c>
    </row>
    <row r="2240" spans="1:8" ht="27.6">
      <c r="A2240" s="502" t="s">
        <v>10634</v>
      </c>
      <c r="B2240" s="504" t="s">
        <v>28493</v>
      </c>
      <c r="C2240" s="502" t="s">
        <v>75</v>
      </c>
      <c r="D2240" s="503" t="s">
        <v>31859</v>
      </c>
      <c r="F2240" t="str">
        <f t="shared" si="69"/>
        <v>99857</v>
      </c>
      <c r="H2240" s="14">
        <f t="shared" si="70"/>
        <v>141.05000000000001</v>
      </c>
    </row>
    <row r="2241" spans="1:8" ht="27.6">
      <c r="A2241" s="502" t="s">
        <v>10635</v>
      </c>
      <c r="B2241" s="504" t="s">
        <v>10636</v>
      </c>
      <c r="C2241" s="502" t="s">
        <v>73</v>
      </c>
      <c r="D2241" s="503" t="s">
        <v>31860</v>
      </c>
      <c r="F2241" t="str">
        <f t="shared" si="69"/>
        <v>99861</v>
      </c>
      <c r="H2241" s="14">
        <f t="shared" si="70"/>
        <v>929.13</v>
      </c>
    </row>
    <row r="2242" spans="1:8" ht="27.6">
      <c r="A2242" s="502" t="s">
        <v>10637</v>
      </c>
      <c r="B2242" s="504" t="s">
        <v>10638</v>
      </c>
      <c r="C2242" s="502" t="s">
        <v>73</v>
      </c>
      <c r="D2242" s="503" t="s">
        <v>31861</v>
      </c>
      <c r="F2242" t="str">
        <f t="shared" si="69"/>
        <v>99862</v>
      </c>
      <c r="H2242" s="14">
        <f t="shared" si="70"/>
        <v>924.62</v>
      </c>
    </row>
    <row r="2243" spans="1:8" ht="27.6">
      <c r="A2243" s="502" t="s">
        <v>4369</v>
      </c>
      <c r="B2243" s="504" t="s">
        <v>12211</v>
      </c>
      <c r="C2243" s="502" t="s">
        <v>114</v>
      </c>
      <c r="D2243" s="503" t="s">
        <v>31862</v>
      </c>
      <c r="F2243" t="str">
        <f t="shared" si="69"/>
        <v>90838</v>
      </c>
      <c r="H2243" s="14">
        <f t="shared" si="70"/>
        <v>2162.79</v>
      </c>
    </row>
    <row r="2244" spans="1:8" ht="41.4">
      <c r="A2244" s="502" t="s">
        <v>4370</v>
      </c>
      <c r="B2244" s="504" t="s">
        <v>12212</v>
      </c>
      <c r="C2244" s="502" t="s">
        <v>73</v>
      </c>
      <c r="D2244" s="503" t="s">
        <v>31863</v>
      </c>
      <c r="F2244" t="str">
        <f t="shared" si="69"/>
        <v>91338</v>
      </c>
      <c r="H2244" s="14">
        <f t="shared" si="70"/>
        <v>1079.3800000000001</v>
      </c>
    </row>
    <row r="2245" spans="1:8" ht="41.4">
      <c r="A2245" s="502" t="s">
        <v>4371</v>
      </c>
      <c r="B2245" s="504" t="s">
        <v>12213</v>
      </c>
      <c r="C2245" s="502" t="s">
        <v>73</v>
      </c>
      <c r="D2245" s="503" t="s">
        <v>31864</v>
      </c>
      <c r="F2245" t="str">
        <f t="shared" ref="F2245:F2308" si="71">TRIM(A2245)</f>
        <v>91341</v>
      </c>
      <c r="H2245" s="14">
        <f t="shared" ref="H2245:H2308" si="72">ROUND(D2245*(1+$H$1),2)</f>
        <v>839.69</v>
      </c>
    </row>
    <row r="2246" spans="1:8" ht="55.2">
      <c r="A2246" s="502" t="s">
        <v>4372</v>
      </c>
      <c r="B2246" s="504" t="s">
        <v>12214</v>
      </c>
      <c r="C2246" s="502" t="s">
        <v>114</v>
      </c>
      <c r="D2246" s="503" t="s">
        <v>31865</v>
      </c>
      <c r="F2246" t="str">
        <f t="shared" si="71"/>
        <v>94805</v>
      </c>
      <c r="H2246" s="14">
        <f t="shared" si="72"/>
        <v>1072.98</v>
      </c>
    </row>
    <row r="2247" spans="1:8" ht="41.4">
      <c r="A2247" s="502" t="s">
        <v>4373</v>
      </c>
      <c r="B2247" s="504" t="s">
        <v>12215</v>
      </c>
      <c r="C2247" s="502" t="s">
        <v>114</v>
      </c>
      <c r="D2247" s="503" t="s">
        <v>31866</v>
      </c>
      <c r="F2247" t="str">
        <f t="shared" si="71"/>
        <v>94806</v>
      </c>
      <c r="H2247" s="14">
        <f t="shared" si="72"/>
        <v>990.93</v>
      </c>
    </row>
    <row r="2248" spans="1:8" ht="41.4">
      <c r="A2248" s="502" t="s">
        <v>4374</v>
      </c>
      <c r="B2248" s="504" t="s">
        <v>12216</v>
      </c>
      <c r="C2248" s="502" t="s">
        <v>114</v>
      </c>
      <c r="D2248" s="503" t="s">
        <v>31867</v>
      </c>
      <c r="F2248" t="str">
        <f t="shared" si="71"/>
        <v>94807</v>
      </c>
      <c r="H2248" s="14">
        <f t="shared" si="72"/>
        <v>903.14</v>
      </c>
    </row>
    <row r="2249" spans="1:8" ht="41.4">
      <c r="A2249" s="502" t="s">
        <v>12217</v>
      </c>
      <c r="B2249" s="504" t="s">
        <v>12218</v>
      </c>
      <c r="C2249" s="502" t="s">
        <v>73</v>
      </c>
      <c r="D2249" s="503" t="s">
        <v>31868</v>
      </c>
      <c r="F2249" t="str">
        <f t="shared" si="71"/>
        <v>100702</v>
      </c>
      <c r="H2249" s="14">
        <f t="shared" si="72"/>
        <v>600.73</v>
      </c>
    </row>
    <row r="2250" spans="1:8" ht="27.6">
      <c r="A2250" s="502" t="s">
        <v>12219</v>
      </c>
      <c r="B2250" s="504" t="s">
        <v>12220</v>
      </c>
      <c r="C2250" s="502" t="s">
        <v>114</v>
      </c>
      <c r="D2250" s="503" t="s">
        <v>31869</v>
      </c>
      <c r="F2250" t="str">
        <f t="shared" si="71"/>
        <v>102188</v>
      </c>
      <c r="H2250" s="14">
        <f t="shared" si="72"/>
        <v>1084.08</v>
      </c>
    </row>
    <row r="2251" spans="1:8" ht="69">
      <c r="A2251" s="502" t="s">
        <v>12221</v>
      </c>
      <c r="B2251" s="504" t="s">
        <v>12222</v>
      </c>
      <c r="C2251" s="502" t="s">
        <v>114</v>
      </c>
      <c r="D2251" s="503" t="s">
        <v>31870</v>
      </c>
      <c r="F2251" t="str">
        <f t="shared" si="71"/>
        <v>102189</v>
      </c>
      <c r="H2251" s="14">
        <f t="shared" si="72"/>
        <v>314.27</v>
      </c>
    </row>
    <row r="2252" spans="1:8" ht="27.6">
      <c r="A2252" s="502" t="s">
        <v>12223</v>
      </c>
      <c r="B2252" s="504" t="s">
        <v>12224</v>
      </c>
      <c r="C2252" s="502" t="s">
        <v>114</v>
      </c>
      <c r="D2252" s="503" t="s">
        <v>22873</v>
      </c>
      <c r="F2252" t="str">
        <f t="shared" si="71"/>
        <v>100703</v>
      </c>
      <c r="H2252" s="14">
        <f t="shared" si="72"/>
        <v>45.92</v>
      </c>
    </row>
    <row r="2253" spans="1:8" ht="27.6">
      <c r="A2253" s="502" t="s">
        <v>12225</v>
      </c>
      <c r="B2253" s="504" t="s">
        <v>12226</v>
      </c>
      <c r="C2253" s="502" t="s">
        <v>114</v>
      </c>
      <c r="D2253" s="503" t="s">
        <v>31871</v>
      </c>
      <c r="F2253" t="str">
        <f t="shared" si="71"/>
        <v>100704</v>
      </c>
      <c r="H2253" s="14">
        <f t="shared" si="72"/>
        <v>95.14</v>
      </c>
    </row>
    <row r="2254" spans="1:8" ht="27.6">
      <c r="A2254" s="502" t="s">
        <v>12227</v>
      </c>
      <c r="B2254" s="504" t="s">
        <v>12228</v>
      </c>
      <c r="C2254" s="502" t="s">
        <v>114</v>
      </c>
      <c r="D2254" s="503" t="s">
        <v>31872</v>
      </c>
      <c r="F2254" t="str">
        <f t="shared" si="71"/>
        <v>100705</v>
      </c>
      <c r="H2254" s="14">
        <f t="shared" si="72"/>
        <v>113.5</v>
      </c>
    </row>
    <row r="2255" spans="1:8" ht="27.6">
      <c r="A2255" s="502" t="s">
        <v>12229</v>
      </c>
      <c r="B2255" s="504" t="s">
        <v>12230</v>
      </c>
      <c r="C2255" s="502" t="s">
        <v>114</v>
      </c>
      <c r="D2255" s="503" t="s">
        <v>31873</v>
      </c>
      <c r="F2255" t="str">
        <f t="shared" si="71"/>
        <v>100706</v>
      </c>
      <c r="H2255" s="14">
        <f t="shared" si="72"/>
        <v>106.05</v>
      </c>
    </row>
    <row r="2256" spans="1:8" ht="14.4">
      <c r="A2256" s="502" t="s">
        <v>12231</v>
      </c>
      <c r="B2256" s="504" t="s">
        <v>12232</v>
      </c>
      <c r="C2256" s="502" t="s">
        <v>114</v>
      </c>
      <c r="D2256" s="503" t="s">
        <v>31874</v>
      </c>
      <c r="F2256" t="str">
        <f t="shared" si="71"/>
        <v>100707</v>
      </c>
      <c r="H2256" s="14">
        <f t="shared" si="72"/>
        <v>201.3</v>
      </c>
    </row>
    <row r="2257" spans="1:8" ht="14.4">
      <c r="A2257" s="502" t="s">
        <v>12233</v>
      </c>
      <c r="B2257" s="504" t="s">
        <v>12234</v>
      </c>
      <c r="C2257" s="502" t="s">
        <v>114</v>
      </c>
      <c r="D2257" s="503" t="s">
        <v>19401</v>
      </c>
      <c r="F2257" t="str">
        <f t="shared" si="71"/>
        <v>100708</v>
      </c>
      <c r="H2257" s="14">
        <f t="shared" si="72"/>
        <v>249.95</v>
      </c>
    </row>
    <row r="2258" spans="1:8" ht="41.4">
      <c r="A2258" s="502" t="s">
        <v>12235</v>
      </c>
      <c r="B2258" s="504" t="s">
        <v>12236</v>
      </c>
      <c r="C2258" s="502" t="s">
        <v>114</v>
      </c>
      <c r="D2258" s="503" t="s">
        <v>20547</v>
      </c>
      <c r="F2258" t="str">
        <f t="shared" si="71"/>
        <v>100709</v>
      </c>
      <c r="H2258" s="14">
        <f t="shared" si="72"/>
        <v>69.41</v>
      </c>
    </row>
    <row r="2259" spans="1:8" ht="27.6">
      <c r="A2259" s="502" t="s">
        <v>12237</v>
      </c>
      <c r="B2259" s="504" t="s">
        <v>12238</v>
      </c>
      <c r="C2259" s="502" t="s">
        <v>114</v>
      </c>
      <c r="D2259" s="503" t="s">
        <v>31875</v>
      </c>
      <c r="F2259" t="str">
        <f t="shared" si="71"/>
        <v>100710</v>
      </c>
      <c r="H2259" s="14">
        <f t="shared" si="72"/>
        <v>151.77000000000001</v>
      </c>
    </row>
    <row r="2260" spans="1:8" ht="41.4">
      <c r="A2260" s="502" t="s">
        <v>12240</v>
      </c>
      <c r="B2260" s="504" t="s">
        <v>12241</v>
      </c>
      <c r="C2260" s="502" t="s">
        <v>73</v>
      </c>
      <c r="D2260" s="503" t="s">
        <v>31876</v>
      </c>
      <c r="F2260" t="str">
        <f t="shared" si="71"/>
        <v>102151</v>
      </c>
      <c r="H2260" s="14">
        <f t="shared" si="72"/>
        <v>245.33</v>
      </c>
    </row>
    <row r="2261" spans="1:8" ht="27.6">
      <c r="A2261" s="502" t="s">
        <v>12243</v>
      </c>
      <c r="B2261" s="504" t="s">
        <v>12244</v>
      </c>
      <c r="C2261" s="502" t="s">
        <v>73</v>
      </c>
      <c r="D2261" s="503" t="s">
        <v>31877</v>
      </c>
      <c r="F2261" t="str">
        <f t="shared" si="71"/>
        <v>102152</v>
      </c>
      <c r="H2261" s="14">
        <f t="shared" si="72"/>
        <v>271.98</v>
      </c>
    </row>
    <row r="2262" spans="1:8" ht="41.4">
      <c r="A2262" s="502" t="s">
        <v>12245</v>
      </c>
      <c r="B2262" s="504" t="s">
        <v>12246</v>
      </c>
      <c r="C2262" s="502" t="s">
        <v>73</v>
      </c>
      <c r="D2262" s="503" t="s">
        <v>31878</v>
      </c>
      <c r="F2262" t="str">
        <f t="shared" si="71"/>
        <v>102153</v>
      </c>
      <c r="H2262" s="14">
        <f t="shared" si="72"/>
        <v>343.04</v>
      </c>
    </row>
    <row r="2263" spans="1:8" ht="41.4">
      <c r="A2263" s="502" t="s">
        <v>12247</v>
      </c>
      <c r="B2263" s="504" t="s">
        <v>12248</v>
      </c>
      <c r="C2263" s="502" t="s">
        <v>73</v>
      </c>
      <c r="D2263" s="503" t="s">
        <v>31879</v>
      </c>
      <c r="F2263" t="str">
        <f t="shared" si="71"/>
        <v>102154</v>
      </c>
      <c r="H2263" s="14">
        <f t="shared" si="72"/>
        <v>295.93</v>
      </c>
    </row>
    <row r="2264" spans="1:8" ht="41.4">
      <c r="A2264" s="502" t="s">
        <v>12249</v>
      </c>
      <c r="B2264" s="504" t="s">
        <v>12250</v>
      </c>
      <c r="C2264" s="502" t="s">
        <v>73</v>
      </c>
      <c r="D2264" s="503" t="s">
        <v>31880</v>
      </c>
      <c r="F2264" t="str">
        <f t="shared" si="71"/>
        <v>102155</v>
      </c>
      <c r="H2264" s="14">
        <f t="shared" si="72"/>
        <v>354.07</v>
      </c>
    </row>
    <row r="2265" spans="1:8" ht="41.4">
      <c r="A2265" s="502" t="s">
        <v>12251</v>
      </c>
      <c r="B2265" s="504" t="s">
        <v>12252</v>
      </c>
      <c r="C2265" s="502" t="s">
        <v>73</v>
      </c>
      <c r="D2265" s="503" t="s">
        <v>31881</v>
      </c>
      <c r="F2265" t="str">
        <f t="shared" si="71"/>
        <v>102156</v>
      </c>
      <c r="H2265" s="14">
        <f t="shared" si="72"/>
        <v>338.22</v>
      </c>
    </row>
    <row r="2266" spans="1:8" ht="41.4">
      <c r="A2266" s="502" t="s">
        <v>12253</v>
      </c>
      <c r="B2266" s="504" t="s">
        <v>12254</v>
      </c>
      <c r="C2266" s="502" t="s">
        <v>73</v>
      </c>
      <c r="D2266" s="503" t="s">
        <v>23017</v>
      </c>
      <c r="F2266" t="str">
        <f t="shared" si="71"/>
        <v>102157</v>
      </c>
      <c r="H2266" s="14">
        <f t="shared" si="72"/>
        <v>462.59</v>
      </c>
    </row>
    <row r="2267" spans="1:8" ht="41.4">
      <c r="A2267" s="502" t="s">
        <v>12255</v>
      </c>
      <c r="B2267" s="504" t="s">
        <v>12256</v>
      </c>
      <c r="C2267" s="502" t="s">
        <v>73</v>
      </c>
      <c r="D2267" s="503" t="s">
        <v>31882</v>
      </c>
      <c r="F2267" t="str">
        <f t="shared" si="71"/>
        <v>102158</v>
      </c>
      <c r="H2267" s="14">
        <f t="shared" si="72"/>
        <v>467.48</v>
      </c>
    </row>
    <row r="2268" spans="1:8" ht="41.4">
      <c r="A2268" s="502" t="s">
        <v>12257</v>
      </c>
      <c r="B2268" s="504" t="s">
        <v>12258</v>
      </c>
      <c r="C2268" s="502" t="s">
        <v>73</v>
      </c>
      <c r="D2268" s="503" t="s">
        <v>31883</v>
      </c>
      <c r="F2268" t="str">
        <f t="shared" si="71"/>
        <v>102159</v>
      </c>
      <c r="H2268" s="14">
        <f t="shared" si="72"/>
        <v>556.53</v>
      </c>
    </row>
    <row r="2269" spans="1:8" ht="41.4">
      <c r="A2269" s="502" t="s">
        <v>12259</v>
      </c>
      <c r="B2269" s="504" t="s">
        <v>12260</v>
      </c>
      <c r="C2269" s="502" t="s">
        <v>73</v>
      </c>
      <c r="D2269" s="503" t="s">
        <v>31884</v>
      </c>
      <c r="F2269" t="str">
        <f t="shared" si="71"/>
        <v>102160</v>
      </c>
      <c r="H2269" s="14">
        <f t="shared" si="72"/>
        <v>236.44</v>
      </c>
    </row>
    <row r="2270" spans="1:8" ht="41.4">
      <c r="A2270" s="502" t="s">
        <v>12261</v>
      </c>
      <c r="B2270" s="504" t="s">
        <v>24200</v>
      </c>
      <c r="C2270" s="502" t="s">
        <v>73</v>
      </c>
      <c r="D2270" s="503" t="s">
        <v>31885</v>
      </c>
      <c r="F2270" t="str">
        <f t="shared" si="71"/>
        <v>102161</v>
      </c>
      <c r="H2270" s="14">
        <f t="shared" si="72"/>
        <v>391.22</v>
      </c>
    </row>
    <row r="2271" spans="1:8" ht="41.4">
      <c r="A2271" s="502" t="s">
        <v>12262</v>
      </c>
      <c r="B2271" s="504" t="s">
        <v>24201</v>
      </c>
      <c r="C2271" s="502" t="s">
        <v>73</v>
      </c>
      <c r="D2271" s="503" t="s">
        <v>31886</v>
      </c>
      <c r="F2271" t="str">
        <f t="shared" si="71"/>
        <v>102162</v>
      </c>
      <c r="H2271" s="14">
        <f t="shared" si="72"/>
        <v>417.87</v>
      </c>
    </row>
    <row r="2272" spans="1:8" ht="41.4">
      <c r="A2272" s="502" t="s">
        <v>12263</v>
      </c>
      <c r="B2272" s="504" t="s">
        <v>24202</v>
      </c>
      <c r="C2272" s="502" t="s">
        <v>73</v>
      </c>
      <c r="D2272" s="503" t="s">
        <v>31887</v>
      </c>
      <c r="F2272" t="str">
        <f t="shared" si="71"/>
        <v>102163</v>
      </c>
      <c r="H2272" s="14">
        <f t="shared" si="72"/>
        <v>488.93</v>
      </c>
    </row>
    <row r="2273" spans="1:8" ht="41.4">
      <c r="A2273" s="502" t="s">
        <v>12264</v>
      </c>
      <c r="B2273" s="504" t="s">
        <v>24203</v>
      </c>
      <c r="C2273" s="502" t="s">
        <v>73</v>
      </c>
      <c r="D2273" s="503" t="s">
        <v>31888</v>
      </c>
      <c r="F2273" t="str">
        <f t="shared" si="71"/>
        <v>102164</v>
      </c>
      <c r="H2273" s="14">
        <f t="shared" si="72"/>
        <v>414.99</v>
      </c>
    </row>
    <row r="2274" spans="1:8" ht="41.4">
      <c r="A2274" s="502" t="s">
        <v>12265</v>
      </c>
      <c r="B2274" s="504" t="s">
        <v>24204</v>
      </c>
      <c r="C2274" s="502" t="s">
        <v>73</v>
      </c>
      <c r="D2274" s="503" t="s">
        <v>31889</v>
      </c>
      <c r="F2274" t="str">
        <f t="shared" si="71"/>
        <v>102165</v>
      </c>
      <c r="H2274" s="14">
        <f t="shared" si="72"/>
        <v>473.13</v>
      </c>
    </row>
    <row r="2275" spans="1:8" ht="41.4">
      <c r="A2275" s="502" t="s">
        <v>12266</v>
      </c>
      <c r="B2275" s="504" t="s">
        <v>24205</v>
      </c>
      <c r="C2275" s="502" t="s">
        <v>73</v>
      </c>
      <c r="D2275" s="503" t="s">
        <v>31890</v>
      </c>
      <c r="F2275" t="str">
        <f t="shared" si="71"/>
        <v>102166</v>
      </c>
      <c r="H2275" s="14">
        <f t="shared" si="72"/>
        <v>430.38</v>
      </c>
    </row>
    <row r="2276" spans="1:8" ht="41.4">
      <c r="A2276" s="502" t="s">
        <v>12267</v>
      </c>
      <c r="B2276" s="504" t="s">
        <v>24206</v>
      </c>
      <c r="C2276" s="502" t="s">
        <v>73</v>
      </c>
      <c r="D2276" s="503" t="s">
        <v>31891</v>
      </c>
      <c r="F2276" t="str">
        <f t="shared" si="71"/>
        <v>102167</v>
      </c>
      <c r="H2276" s="14">
        <f t="shared" si="72"/>
        <v>554.76</v>
      </c>
    </row>
    <row r="2277" spans="1:8" ht="41.4">
      <c r="A2277" s="502" t="s">
        <v>12268</v>
      </c>
      <c r="B2277" s="504" t="s">
        <v>24207</v>
      </c>
      <c r="C2277" s="502" t="s">
        <v>73</v>
      </c>
      <c r="D2277" s="503" t="s">
        <v>31892</v>
      </c>
      <c r="F2277" t="str">
        <f t="shared" si="71"/>
        <v>102168</v>
      </c>
      <c r="H2277" s="14">
        <f t="shared" si="72"/>
        <v>535.79999999999995</v>
      </c>
    </row>
    <row r="2278" spans="1:8" ht="41.4">
      <c r="A2278" s="502" t="s">
        <v>12269</v>
      </c>
      <c r="B2278" s="504" t="s">
        <v>24208</v>
      </c>
      <c r="C2278" s="502" t="s">
        <v>73</v>
      </c>
      <c r="D2278" s="503" t="s">
        <v>31893</v>
      </c>
      <c r="F2278" t="str">
        <f t="shared" si="71"/>
        <v>102169</v>
      </c>
      <c r="H2278" s="14">
        <f t="shared" si="72"/>
        <v>616.03</v>
      </c>
    </row>
    <row r="2279" spans="1:8" ht="41.4">
      <c r="A2279" s="502" t="s">
        <v>12270</v>
      </c>
      <c r="B2279" s="504" t="s">
        <v>24209</v>
      </c>
      <c r="C2279" s="502" t="s">
        <v>73</v>
      </c>
      <c r="D2279" s="503" t="s">
        <v>31894</v>
      </c>
      <c r="F2279" t="str">
        <f t="shared" si="71"/>
        <v>102170</v>
      </c>
      <c r="H2279" s="14">
        <f t="shared" si="72"/>
        <v>382.33</v>
      </c>
    </row>
    <row r="2280" spans="1:8" ht="41.4">
      <c r="A2280" s="502" t="s">
        <v>12271</v>
      </c>
      <c r="B2280" s="504" t="s">
        <v>24210</v>
      </c>
      <c r="C2280" s="502" t="s">
        <v>73</v>
      </c>
      <c r="D2280" s="503" t="s">
        <v>31895</v>
      </c>
      <c r="F2280" t="str">
        <f t="shared" si="71"/>
        <v>102171</v>
      </c>
      <c r="H2280" s="14">
        <f t="shared" si="72"/>
        <v>699.27</v>
      </c>
    </row>
    <row r="2281" spans="1:8" ht="41.4">
      <c r="A2281" s="502" t="s">
        <v>12272</v>
      </c>
      <c r="B2281" s="504" t="s">
        <v>24211</v>
      </c>
      <c r="C2281" s="502" t="s">
        <v>73</v>
      </c>
      <c r="D2281" s="503" t="s">
        <v>31896</v>
      </c>
      <c r="F2281" t="str">
        <f t="shared" si="71"/>
        <v>102172</v>
      </c>
      <c r="H2281" s="14">
        <f t="shared" si="72"/>
        <v>679.12</v>
      </c>
    </row>
    <row r="2282" spans="1:8" ht="27.6">
      <c r="A2282" s="523" t="s">
        <v>12273</v>
      </c>
      <c r="B2282" s="504" t="s">
        <v>24212</v>
      </c>
      <c r="C2282" s="502" t="s">
        <v>73</v>
      </c>
      <c r="D2282" s="503" t="s">
        <v>31897</v>
      </c>
      <c r="F2282" t="str">
        <f t="shared" si="71"/>
        <v>102176</v>
      </c>
      <c r="H2282" s="14">
        <f t="shared" si="72"/>
        <v>1261.0899999999999</v>
      </c>
    </row>
    <row r="2283" spans="1:8" ht="27.6">
      <c r="A2283" s="502" t="s">
        <v>12274</v>
      </c>
      <c r="B2283" s="504" t="s">
        <v>24213</v>
      </c>
      <c r="C2283" s="502" t="s">
        <v>73</v>
      </c>
      <c r="D2283" s="503" t="s">
        <v>31898</v>
      </c>
      <c r="F2283" t="str">
        <f t="shared" si="71"/>
        <v>102177</v>
      </c>
      <c r="H2283" s="14">
        <f t="shared" si="72"/>
        <v>2523.33</v>
      </c>
    </row>
    <row r="2284" spans="1:8" ht="27.6">
      <c r="A2284" s="502" t="s">
        <v>12275</v>
      </c>
      <c r="B2284" s="504" t="s">
        <v>24214</v>
      </c>
      <c r="C2284" s="502" t="s">
        <v>73</v>
      </c>
      <c r="D2284" s="503" t="s">
        <v>31899</v>
      </c>
      <c r="F2284" t="str">
        <f t="shared" si="71"/>
        <v>102178</v>
      </c>
      <c r="H2284" s="14">
        <f t="shared" si="72"/>
        <v>2893.5</v>
      </c>
    </row>
    <row r="2285" spans="1:8" ht="27.6">
      <c r="A2285" s="502" t="s">
        <v>12276</v>
      </c>
      <c r="B2285" s="504" t="s">
        <v>24215</v>
      </c>
      <c r="C2285" s="502" t="s">
        <v>73</v>
      </c>
      <c r="D2285" s="503" t="s">
        <v>31900</v>
      </c>
      <c r="F2285" t="str">
        <f t="shared" si="71"/>
        <v>102179</v>
      </c>
      <c r="H2285" s="14">
        <f t="shared" si="72"/>
        <v>584.07000000000005</v>
      </c>
    </row>
    <row r="2286" spans="1:8" ht="27.6">
      <c r="A2286" s="502" t="s">
        <v>12277</v>
      </c>
      <c r="B2286" s="504" t="s">
        <v>24216</v>
      </c>
      <c r="C2286" s="502" t="s">
        <v>73</v>
      </c>
      <c r="D2286" s="503" t="s">
        <v>31901</v>
      </c>
      <c r="F2286" t="str">
        <f t="shared" si="71"/>
        <v>102180</v>
      </c>
      <c r="H2286" s="14">
        <f t="shared" si="72"/>
        <v>690.95</v>
      </c>
    </row>
    <row r="2287" spans="1:8" ht="27.6">
      <c r="A2287" s="502" t="s">
        <v>12278</v>
      </c>
      <c r="B2287" s="504" t="s">
        <v>24217</v>
      </c>
      <c r="C2287" s="502" t="s">
        <v>73</v>
      </c>
      <c r="D2287" s="503" t="s">
        <v>31902</v>
      </c>
      <c r="F2287" t="str">
        <f t="shared" si="71"/>
        <v>102181</v>
      </c>
      <c r="H2287" s="14">
        <f t="shared" si="72"/>
        <v>832.81</v>
      </c>
    </row>
    <row r="2288" spans="1:8" ht="27.6">
      <c r="A2288" s="502" t="s">
        <v>12279</v>
      </c>
      <c r="B2288" s="504" t="s">
        <v>12280</v>
      </c>
      <c r="C2288" s="502" t="s">
        <v>114</v>
      </c>
      <c r="D2288" s="503" t="s">
        <v>31903</v>
      </c>
      <c r="F2288" t="str">
        <f t="shared" si="71"/>
        <v>102182</v>
      </c>
      <c r="H2288" s="14">
        <f t="shared" si="72"/>
        <v>1691.38</v>
      </c>
    </row>
    <row r="2289" spans="1:8" ht="41.4">
      <c r="A2289" s="502" t="s">
        <v>12281</v>
      </c>
      <c r="B2289" s="504" t="s">
        <v>12282</v>
      </c>
      <c r="C2289" s="502" t="s">
        <v>114</v>
      </c>
      <c r="D2289" s="503" t="s">
        <v>31904</v>
      </c>
      <c r="F2289" t="str">
        <f t="shared" si="71"/>
        <v>102183</v>
      </c>
      <c r="H2289" s="14">
        <f t="shared" si="72"/>
        <v>3400.3</v>
      </c>
    </row>
    <row r="2290" spans="1:8" ht="41.4">
      <c r="A2290" s="502" t="s">
        <v>12283</v>
      </c>
      <c r="B2290" s="504" t="s">
        <v>12284</v>
      </c>
      <c r="C2290" s="502" t="s">
        <v>114</v>
      </c>
      <c r="D2290" s="503" t="s">
        <v>31905</v>
      </c>
      <c r="F2290" t="str">
        <f t="shared" si="71"/>
        <v>102184</v>
      </c>
      <c r="H2290" s="14">
        <f t="shared" si="72"/>
        <v>2742.87</v>
      </c>
    </row>
    <row r="2291" spans="1:8" ht="41.4">
      <c r="A2291" s="502" t="s">
        <v>12285</v>
      </c>
      <c r="B2291" s="504" t="s">
        <v>12286</v>
      </c>
      <c r="C2291" s="502" t="s">
        <v>114</v>
      </c>
      <c r="D2291" s="503" t="s">
        <v>31906</v>
      </c>
      <c r="F2291" t="str">
        <f t="shared" si="71"/>
        <v>102185</v>
      </c>
      <c r="H2291" s="14">
        <f t="shared" si="72"/>
        <v>5502.8</v>
      </c>
    </row>
    <row r="2292" spans="1:8" ht="27.6">
      <c r="A2292" s="502" t="s">
        <v>12287</v>
      </c>
      <c r="B2292" s="504" t="s">
        <v>12288</v>
      </c>
      <c r="C2292" s="502" t="s">
        <v>73</v>
      </c>
      <c r="D2292" s="503" t="s">
        <v>11623</v>
      </c>
      <c r="F2292" t="str">
        <f t="shared" si="71"/>
        <v>102190</v>
      </c>
      <c r="H2292" s="14">
        <f t="shared" si="72"/>
        <v>26.93</v>
      </c>
    </row>
    <row r="2293" spans="1:8" ht="27.6">
      <c r="A2293" s="502" t="s">
        <v>12289</v>
      </c>
      <c r="B2293" s="504" t="s">
        <v>12290</v>
      </c>
      <c r="C2293" s="502" t="s">
        <v>73</v>
      </c>
      <c r="D2293" s="503" t="s">
        <v>15270</v>
      </c>
      <c r="F2293" t="str">
        <f t="shared" si="71"/>
        <v>102191</v>
      </c>
      <c r="H2293" s="14">
        <f t="shared" si="72"/>
        <v>32.74</v>
      </c>
    </row>
    <row r="2294" spans="1:8" ht="27.6">
      <c r="A2294" s="502" t="s">
        <v>12291</v>
      </c>
      <c r="B2294" s="504" t="s">
        <v>12292</v>
      </c>
      <c r="C2294" s="502" t="s">
        <v>73</v>
      </c>
      <c r="D2294" s="503" t="s">
        <v>7327</v>
      </c>
      <c r="F2294" t="str">
        <f t="shared" si="71"/>
        <v>102192</v>
      </c>
      <c r="H2294" s="14">
        <f t="shared" si="72"/>
        <v>23.36</v>
      </c>
    </row>
    <row r="2295" spans="1:8" ht="55.2">
      <c r="A2295" s="502" t="s">
        <v>4376</v>
      </c>
      <c r="B2295" s="504" t="s">
        <v>31907</v>
      </c>
      <c r="C2295" s="502" t="s">
        <v>73</v>
      </c>
      <c r="D2295" s="503" t="s">
        <v>31908</v>
      </c>
      <c r="F2295" t="str">
        <f t="shared" si="71"/>
        <v>94569</v>
      </c>
      <c r="H2295" s="14">
        <f t="shared" si="72"/>
        <v>819.89</v>
      </c>
    </row>
    <row r="2296" spans="1:8" ht="69">
      <c r="A2296" s="502" t="s">
        <v>4377</v>
      </c>
      <c r="B2296" s="504" t="s">
        <v>31909</v>
      </c>
      <c r="C2296" s="502" t="s">
        <v>73</v>
      </c>
      <c r="D2296" s="503" t="s">
        <v>31910</v>
      </c>
      <c r="F2296" t="str">
        <f t="shared" si="71"/>
        <v>94570</v>
      </c>
      <c r="H2296" s="14">
        <f t="shared" si="72"/>
        <v>431.52</v>
      </c>
    </row>
    <row r="2297" spans="1:8" ht="69">
      <c r="A2297" s="502" t="s">
        <v>4378</v>
      </c>
      <c r="B2297" s="504" t="s">
        <v>31911</v>
      </c>
      <c r="C2297" s="502" t="s">
        <v>73</v>
      </c>
      <c r="D2297" s="503" t="s">
        <v>31912</v>
      </c>
      <c r="F2297" t="str">
        <f t="shared" si="71"/>
        <v>94572</v>
      </c>
      <c r="H2297" s="14">
        <f t="shared" si="72"/>
        <v>618.11</v>
      </c>
    </row>
    <row r="2298" spans="1:8" ht="55.2">
      <c r="A2298" s="502" t="s">
        <v>4379</v>
      </c>
      <c r="B2298" s="504" t="s">
        <v>31913</v>
      </c>
      <c r="C2298" s="502" t="s">
        <v>73</v>
      </c>
      <c r="D2298" s="503" t="s">
        <v>31914</v>
      </c>
      <c r="F2298" t="str">
        <f t="shared" si="71"/>
        <v>94573</v>
      </c>
      <c r="H2298" s="14">
        <f t="shared" si="72"/>
        <v>480.61</v>
      </c>
    </row>
    <row r="2299" spans="1:8" ht="27.6">
      <c r="A2299" s="502" t="s">
        <v>24218</v>
      </c>
      <c r="B2299" s="504" t="s">
        <v>31915</v>
      </c>
      <c r="C2299" s="502" t="s">
        <v>75</v>
      </c>
      <c r="D2299" s="503" t="s">
        <v>10098</v>
      </c>
      <c r="F2299" t="str">
        <f t="shared" si="71"/>
        <v>94589</v>
      </c>
      <c r="H2299" s="14">
        <f t="shared" si="72"/>
        <v>27.92</v>
      </c>
    </row>
    <row r="2300" spans="1:8" ht="27.6">
      <c r="A2300" s="502" t="s">
        <v>24219</v>
      </c>
      <c r="B2300" s="504" t="s">
        <v>31916</v>
      </c>
      <c r="C2300" s="502" t="s">
        <v>75</v>
      </c>
      <c r="D2300" s="503" t="s">
        <v>11628</v>
      </c>
      <c r="F2300" t="str">
        <f t="shared" si="71"/>
        <v>94590</v>
      </c>
      <c r="H2300" s="14">
        <f t="shared" si="72"/>
        <v>36.950000000000003</v>
      </c>
    </row>
    <row r="2301" spans="1:8" ht="55.2">
      <c r="A2301" s="502" t="s">
        <v>12293</v>
      </c>
      <c r="B2301" s="504" t="s">
        <v>31917</v>
      </c>
      <c r="C2301" s="502" t="s">
        <v>73</v>
      </c>
      <c r="D2301" s="503" t="s">
        <v>31918</v>
      </c>
      <c r="F2301" t="str">
        <f t="shared" si="71"/>
        <v>100674</v>
      </c>
      <c r="H2301" s="14">
        <f t="shared" si="72"/>
        <v>939.56</v>
      </c>
    </row>
    <row r="2302" spans="1:8" ht="27.6">
      <c r="A2302" s="502" t="s">
        <v>31919</v>
      </c>
      <c r="B2302" s="504" t="s">
        <v>31920</v>
      </c>
      <c r="C2302" s="502" t="s">
        <v>75</v>
      </c>
      <c r="D2302" s="503" t="s">
        <v>31921</v>
      </c>
      <c r="F2302" t="str">
        <f t="shared" si="71"/>
        <v>105812</v>
      </c>
      <c r="H2302" s="14">
        <f t="shared" si="72"/>
        <v>38.36</v>
      </c>
    </row>
    <row r="2303" spans="1:8" ht="41.4">
      <c r="A2303" s="502" t="s">
        <v>12294</v>
      </c>
      <c r="B2303" s="504" t="s">
        <v>24220</v>
      </c>
      <c r="C2303" s="502" t="s">
        <v>83</v>
      </c>
      <c r="D2303" s="503" t="s">
        <v>31922</v>
      </c>
      <c r="F2303" t="str">
        <f t="shared" si="71"/>
        <v>101096</v>
      </c>
      <c r="H2303" s="14">
        <f t="shared" si="72"/>
        <v>1817.69</v>
      </c>
    </row>
    <row r="2304" spans="1:8" ht="41.4">
      <c r="A2304" s="502" t="s">
        <v>12295</v>
      </c>
      <c r="B2304" s="504" t="s">
        <v>24221</v>
      </c>
      <c r="C2304" s="502" t="s">
        <v>83</v>
      </c>
      <c r="D2304" s="503" t="s">
        <v>31923</v>
      </c>
      <c r="F2304" t="str">
        <f t="shared" si="71"/>
        <v>101097</v>
      </c>
      <c r="H2304" s="14">
        <f t="shared" si="72"/>
        <v>1714.63</v>
      </c>
    </row>
    <row r="2305" spans="1:8" ht="41.4">
      <c r="A2305" s="502" t="s">
        <v>12296</v>
      </c>
      <c r="B2305" s="504" t="s">
        <v>24222</v>
      </c>
      <c r="C2305" s="502" t="s">
        <v>83</v>
      </c>
      <c r="D2305" s="503" t="s">
        <v>31924</v>
      </c>
      <c r="F2305" t="str">
        <f t="shared" si="71"/>
        <v>101098</v>
      </c>
      <c r="H2305" s="14">
        <f t="shared" si="72"/>
        <v>1584.21</v>
      </c>
    </row>
    <row r="2306" spans="1:8" ht="41.4">
      <c r="A2306" s="502" t="s">
        <v>12297</v>
      </c>
      <c r="B2306" s="504" t="s">
        <v>24223</v>
      </c>
      <c r="C2306" s="502" t="s">
        <v>83</v>
      </c>
      <c r="D2306" s="503" t="s">
        <v>31925</v>
      </c>
      <c r="F2306" t="str">
        <f t="shared" si="71"/>
        <v>101099</v>
      </c>
      <c r="H2306" s="14">
        <f t="shared" si="72"/>
        <v>1444.35</v>
      </c>
    </row>
    <row r="2307" spans="1:8" ht="55.2">
      <c r="A2307" s="502" t="s">
        <v>12298</v>
      </c>
      <c r="B2307" s="504" t="s">
        <v>24224</v>
      </c>
      <c r="C2307" s="502" t="s">
        <v>83</v>
      </c>
      <c r="D2307" s="503" t="s">
        <v>31926</v>
      </c>
      <c r="F2307" t="str">
        <f t="shared" si="71"/>
        <v>101100</v>
      </c>
      <c r="H2307" s="14">
        <f t="shared" si="72"/>
        <v>1277.4100000000001</v>
      </c>
    </row>
    <row r="2308" spans="1:8" ht="69">
      <c r="A2308" s="502" t="s">
        <v>12299</v>
      </c>
      <c r="B2308" s="504" t="s">
        <v>24225</v>
      </c>
      <c r="C2308" s="502" t="s">
        <v>83</v>
      </c>
      <c r="D2308" s="503" t="s">
        <v>31927</v>
      </c>
      <c r="F2308" t="str">
        <f t="shared" si="71"/>
        <v>101101</v>
      </c>
      <c r="H2308" s="14">
        <f t="shared" si="72"/>
        <v>1247.97</v>
      </c>
    </row>
    <row r="2309" spans="1:8" ht="69">
      <c r="A2309" s="502" t="s">
        <v>12300</v>
      </c>
      <c r="B2309" s="504" t="s">
        <v>24226</v>
      </c>
      <c r="C2309" s="502" t="s">
        <v>83</v>
      </c>
      <c r="D2309" s="503" t="s">
        <v>31928</v>
      </c>
      <c r="F2309" t="str">
        <f t="shared" ref="F2309:F2372" si="73">TRIM(A2309)</f>
        <v>101102</v>
      </c>
      <c r="H2309" s="14">
        <f t="shared" ref="H2309:H2372" si="74">ROUND(D2309*(1+$H$1),2)</f>
        <v>1218.96</v>
      </c>
    </row>
    <row r="2310" spans="1:8" ht="69">
      <c r="A2310" s="502" t="s">
        <v>12301</v>
      </c>
      <c r="B2310" s="504" t="s">
        <v>24227</v>
      </c>
      <c r="C2310" s="502" t="s">
        <v>83</v>
      </c>
      <c r="D2310" s="503" t="s">
        <v>31929</v>
      </c>
      <c r="F2310" t="str">
        <f t="shared" si="73"/>
        <v>101103</v>
      </c>
      <c r="H2310" s="14">
        <f t="shared" si="74"/>
        <v>1144.99</v>
      </c>
    </row>
    <row r="2311" spans="1:8" ht="55.2">
      <c r="A2311" s="502" t="s">
        <v>12302</v>
      </c>
      <c r="B2311" s="504" t="s">
        <v>24228</v>
      </c>
      <c r="C2311" s="502" t="s">
        <v>83</v>
      </c>
      <c r="D2311" s="503" t="s">
        <v>31930</v>
      </c>
      <c r="F2311" t="str">
        <f t="shared" si="73"/>
        <v>101104</v>
      </c>
      <c r="H2311" s="14">
        <f t="shared" si="74"/>
        <v>2010.5</v>
      </c>
    </row>
    <row r="2312" spans="1:8" ht="55.2">
      <c r="A2312" s="502" t="s">
        <v>12303</v>
      </c>
      <c r="B2312" s="504" t="s">
        <v>24229</v>
      </c>
      <c r="C2312" s="502" t="s">
        <v>83</v>
      </c>
      <c r="D2312" s="503" t="s">
        <v>31931</v>
      </c>
      <c r="F2312" t="str">
        <f t="shared" si="73"/>
        <v>101105</v>
      </c>
      <c r="H2312" s="14">
        <f t="shared" si="74"/>
        <v>1904.54</v>
      </c>
    </row>
    <row r="2313" spans="1:8" ht="55.2">
      <c r="A2313" s="502" t="s">
        <v>12304</v>
      </c>
      <c r="B2313" s="504" t="s">
        <v>24230</v>
      </c>
      <c r="C2313" s="502" t="s">
        <v>83</v>
      </c>
      <c r="D2313" s="503" t="s">
        <v>31932</v>
      </c>
      <c r="F2313" t="str">
        <f t="shared" si="73"/>
        <v>101106</v>
      </c>
      <c r="H2313" s="14">
        <f t="shared" si="74"/>
        <v>1770.49</v>
      </c>
    </row>
    <row r="2314" spans="1:8" ht="55.2">
      <c r="A2314" s="502" t="s">
        <v>12305</v>
      </c>
      <c r="B2314" s="504" t="s">
        <v>24231</v>
      </c>
      <c r="C2314" s="502" t="s">
        <v>83</v>
      </c>
      <c r="D2314" s="503" t="s">
        <v>31933</v>
      </c>
      <c r="F2314" t="str">
        <f t="shared" si="73"/>
        <v>101107</v>
      </c>
      <c r="H2314" s="14">
        <f t="shared" si="74"/>
        <v>1624.9</v>
      </c>
    </row>
    <row r="2315" spans="1:8" ht="69">
      <c r="A2315" s="502" t="s">
        <v>12306</v>
      </c>
      <c r="B2315" s="504" t="s">
        <v>24232</v>
      </c>
      <c r="C2315" s="502" t="s">
        <v>83</v>
      </c>
      <c r="D2315" s="503" t="s">
        <v>31934</v>
      </c>
      <c r="F2315" t="str">
        <f t="shared" si="73"/>
        <v>101108</v>
      </c>
      <c r="H2315" s="14">
        <f t="shared" si="74"/>
        <v>1461.93</v>
      </c>
    </row>
    <row r="2316" spans="1:8" ht="69">
      <c r="A2316" s="502" t="s">
        <v>12307</v>
      </c>
      <c r="B2316" s="504" t="s">
        <v>24233</v>
      </c>
      <c r="C2316" s="502" t="s">
        <v>83</v>
      </c>
      <c r="D2316" s="503" t="s">
        <v>31935</v>
      </c>
      <c r="F2316" t="str">
        <f t="shared" si="73"/>
        <v>101109</v>
      </c>
      <c r="H2316" s="14">
        <f t="shared" si="74"/>
        <v>1430.03</v>
      </c>
    </row>
    <row r="2317" spans="1:8" ht="69">
      <c r="A2317" s="502" t="s">
        <v>12308</v>
      </c>
      <c r="B2317" s="504" t="s">
        <v>24234</v>
      </c>
      <c r="C2317" s="502" t="s">
        <v>83</v>
      </c>
      <c r="D2317" s="503" t="s">
        <v>31936</v>
      </c>
      <c r="F2317" t="str">
        <f t="shared" si="73"/>
        <v>101110</v>
      </c>
      <c r="H2317" s="14">
        <f t="shared" si="74"/>
        <v>1398.31</v>
      </c>
    </row>
    <row r="2318" spans="1:8" ht="69">
      <c r="A2318" s="502" t="s">
        <v>12309</v>
      </c>
      <c r="B2318" s="504" t="s">
        <v>24235</v>
      </c>
      <c r="C2318" s="502" t="s">
        <v>83</v>
      </c>
      <c r="D2318" s="503" t="s">
        <v>31937</v>
      </c>
      <c r="F2318" t="str">
        <f t="shared" si="73"/>
        <v>101111</v>
      </c>
      <c r="H2318" s="14">
        <f t="shared" si="74"/>
        <v>1319.57</v>
      </c>
    </row>
    <row r="2319" spans="1:8" ht="41.4">
      <c r="A2319" s="502" t="s">
        <v>12310</v>
      </c>
      <c r="B2319" s="504" t="s">
        <v>12311</v>
      </c>
      <c r="C2319" s="502" t="s">
        <v>83</v>
      </c>
      <c r="D2319" s="503" t="s">
        <v>31938</v>
      </c>
      <c r="F2319" t="str">
        <f t="shared" si="73"/>
        <v>101112</v>
      </c>
      <c r="H2319" s="14">
        <f t="shared" si="74"/>
        <v>1250.94</v>
      </c>
    </row>
    <row r="2320" spans="1:8" ht="55.2">
      <c r="A2320" s="502" t="s">
        <v>12312</v>
      </c>
      <c r="B2320" s="504" t="s">
        <v>24236</v>
      </c>
      <c r="C2320" s="502" t="s">
        <v>83</v>
      </c>
      <c r="D2320" s="503" t="s">
        <v>31939</v>
      </c>
      <c r="F2320" t="str">
        <f t="shared" si="73"/>
        <v>101113</v>
      </c>
      <c r="H2320" s="14">
        <f t="shared" si="74"/>
        <v>1453.72</v>
      </c>
    </row>
    <row r="2321" spans="1:8" ht="27.6">
      <c r="A2321" s="502" t="s">
        <v>4380</v>
      </c>
      <c r="B2321" s="504" t="s">
        <v>12313</v>
      </c>
      <c r="C2321" s="502" t="s">
        <v>114</v>
      </c>
      <c r="D2321" s="503" t="s">
        <v>7319</v>
      </c>
      <c r="F2321" t="str">
        <f t="shared" si="73"/>
        <v>95601</v>
      </c>
      <c r="H2321" s="14">
        <f t="shared" si="74"/>
        <v>25.98</v>
      </c>
    </row>
    <row r="2322" spans="1:8" ht="27.6">
      <c r="A2322" s="502" t="s">
        <v>4381</v>
      </c>
      <c r="B2322" s="504" t="s">
        <v>12314</v>
      </c>
      <c r="C2322" s="502" t="s">
        <v>114</v>
      </c>
      <c r="D2322" s="503" t="s">
        <v>31940</v>
      </c>
      <c r="F2322" t="str">
        <f t="shared" si="73"/>
        <v>95602</v>
      </c>
      <c r="H2322" s="14">
        <f t="shared" si="74"/>
        <v>41.59</v>
      </c>
    </row>
    <row r="2323" spans="1:8" ht="27.6">
      <c r="A2323" s="502" t="s">
        <v>4382</v>
      </c>
      <c r="B2323" s="504" t="s">
        <v>12315</v>
      </c>
      <c r="C2323" s="502" t="s">
        <v>114</v>
      </c>
      <c r="D2323" s="503" t="s">
        <v>26627</v>
      </c>
      <c r="F2323" t="str">
        <f t="shared" si="73"/>
        <v>95603</v>
      </c>
      <c r="H2323" s="14">
        <f t="shared" si="74"/>
        <v>70.959999999999994</v>
      </c>
    </row>
    <row r="2324" spans="1:8" ht="27.6">
      <c r="A2324" s="502" t="s">
        <v>4383</v>
      </c>
      <c r="B2324" s="504" t="s">
        <v>12316</v>
      </c>
      <c r="C2324" s="502" t="s">
        <v>114</v>
      </c>
      <c r="D2324" s="503" t="s">
        <v>30911</v>
      </c>
      <c r="F2324" t="str">
        <f t="shared" si="73"/>
        <v>95604</v>
      </c>
      <c r="H2324" s="14">
        <f t="shared" si="74"/>
        <v>110.12</v>
      </c>
    </row>
    <row r="2325" spans="1:8" ht="27.6">
      <c r="A2325" s="524" t="s">
        <v>4384</v>
      </c>
      <c r="B2325" s="504" t="s">
        <v>12317</v>
      </c>
      <c r="C2325" s="502" t="s">
        <v>114</v>
      </c>
      <c r="D2325" s="503" t="s">
        <v>29116</v>
      </c>
      <c r="F2325" t="str">
        <f t="shared" si="73"/>
        <v>95605</v>
      </c>
      <c r="H2325" s="14">
        <f t="shared" si="74"/>
        <v>202.21</v>
      </c>
    </row>
    <row r="2326" spans="1:8" ht="27.6">
      <c r="A2326" s="502" t="s">
        <v>4385</v>
      </c>
      <c r="B2326" s="504" t="s">
        <v>31941</v>
      </c>
      <c r="C2326" s="502" t="s">
        <v>114</v>
      </c>
      <c r="D2326" s="503" t="s">
        <v>31942</v>
      </c>
      <c r="F2326" t="str">
        <f t="shared" si="73"/>
        <v>95607</v>
      </c>
      <c r="H2326" s="14">
        <f t="shared" si="74"/>
        <v>31.74</v>
      </c>
    </row>
    <row r="2327" spans="1:8" ht="27.6">
      <c r="A2327" s="502" t="s">
        <v>4386</v>
      </c>
      <c r="B2327" s="504" t="s">
        <v>12318</v>
      </c>
      <c r="C2327" s="502" t="s">
        <v>114</v>
      </c>
      <c r="D2327" s="503" t="s">
        <v>31943</v>
      </c>
      <c r="F2327" t="str">
        <f t="shared" si="73"/>
        <v>95608</v>
      </c>
      <c r="H2327" s="14">
        <f t="shared" si="74"/>
        <v>46.05</v>
      </c>
    </row>
    <row r="2328" spans="1:8" ht="27.6">
      <c r="A2328" s="502" t="s">
        <v>4387</v>
      </c>
      <c r="B2328" s="504" t="s">
        <v>12319</v>
      </c>
      <c r="C2328" s="502" t="s">
        <v>114</v>
      </c>
      <c r="D2328" s="503" t="s">
        <v>31944</v>
      </c>
      <c r="F2328" t="str">
        <f t="shared" si="73"/>
        <v>95609</v>
      </c>
      <c r="H2328" s="14">
        <f t="shared" si="74"/>
        <v>58.4</v>
      </c>
    </row>
    <row r="2329" spans="1:8" ht="55.2">
      <c r="A2329" s="502" t="s">
        <v>12320</v>
      </c>
      <c r="B2329" s="504" t="s">
        <v>28497</v>
      </c>
      <c r="C2329" s="502" t="s">
        <v>75</v>
      </c>
      <c r="D2329" s="503" t="s">
        <v>31945</v>
      </c>
      <c r="F2329" t="str">
        <f t="shared" si="73"/>
        <v>100651</v>
      </c>
      <c r="H2329" s="14">
        <f t="shared" si="74"/>
        <v>213.83</v>
      </c>
    </row>
    <row r="2330" spans="1:8" ht="55.2">
      <c r="A2330" s="524" t="s">
        <v>12321</v>
      </c>
      <c r="B2330" s="504" t="s">
        <v>28498</v>
      </c>
      <c r="C2330" s="502" t="s">
        <v>75</v>
      </c>
      <c r="D2330" s="503" t="s">
        <v>31946</v>
      </c>
      <c r="F2330" t="str">
        <f t="shared" si="73"/>
        <v>100652</v>
      </c>
      <c r="H2330" s="14">
        <f t="shared" si="74"/>
        <v>411.04</v>
      </c>
    </row>
    <row r="2331" spans="1:8" ht="55.2">
      <c r="A2331" s="502" t="s">
        <v>12322</v>
      </c>
      <c r="B2331" s="504" t="s">
        <v>28499</v>
      </c>
      <c r="C2331" s="502" t="s">
        <v>75</v>
      </c>
      <c r="D2331" s="503" t="s">
        <v>31947</v>
      </c>
      <c r="F2331" t="str">
        <f t="shared" si="73"/>
        <v>100653</v>
      </c>
      <c r="H2331" s="14">
        <f t="shared" si="74"/>
        <v>685.7</v>
      </c>
    </row>
    <row r="2332" spans="1:8" ht="55.2">
      <c r="A2332" s="502" t="s">
        <v>12323</v>
      </c>
      <c r="B2332" s="504" t="s">
        <v>28500</v>
      </c>
      <c r="C2332" s="502" t="s">
        <v>75</v>
      </c>
      <c r="D2332" s="503" t="s">
        <v>31948</v>
      </c>
      <c r="F2332" t="str">
        <f t="shared" si="73"/>
        <v>100654</v>
      </c>
      <c r="H2332" s="14">
        <f t="shared" si="74"/>
        <v>920.81</v>
      </c>
    </row>
    <row r="2333" spans="1:8" ht="55.2">
      <c r="A2333" s="502" t="s">
        <v>12324</v>
      </c>
      <c r="B2333" s="504" t="s">
        <v>28501</v>
      </c>
      <c r="C2333" s="502" t="s">
        <v>75</v>
      </c>
      <c r="D2333" s="503" t="s">
        <v>31949</v>
      </c>
      <c r="F2333" t="str">
        <f t="shared" si="73"/>
        <v>100655</v>
      </c>
      <c r="H2333" s="14">
        <f t="shared" si="74"/>
        <v>1068.67</v>
      </c>
    </row>
    <row r="2334" spans="1:8" ht="55.2">
      <c r="A2334" s="502" t="s">
        <v>12325</v>
      </c>
      <c r="B2334" s="504" t="s">
        <v>12326</v>
      </c>
      <c r="C2334" s="502" t="s">
        <v>75</v>
      </c>
      <c r="D2334" s="503" t="s">
        <v>31950</v>
      </c>
      <c r="F2334" t="str">
        <f t="shared" si="73"/>
        <v>100656</v>
      </c>
      <c r="H2334" s="14">
        <f t="shared" si="74"/>
        <v>157.09</v>
      </c>
    </row>
    <row r="2335" spans="1:8" ht="55.2">
      <c r="A2335" s="502" t="s">
        <v>12327</v>
      </c>
      <c r="B2335" s="504" t="s">
        <v>12328</v>
      </c>
      <c r="C2335" s="502" t="s">
        <v>75</v>
      </c>
      <c r="D2335" s="503" t="s">
        <v>31951</v>
      </c>
      <c r="F2335" t="str">
        <f t="shared" si="73"/>
        <v>100657</v>
      </c>
      <c r="H2335" s="14">
        <f t="shared" si="74"/>
        <v>201.5</v>
      </c>
    </row>
    <row r="2336" spans="1:8" ht="55.2">
      <c r="A2336" s="502" t="s">
        <v>12329</v>
      </c>
      <c r="B2336" s="504" t="s">
        <v>12330</v>
      </c>
      <c r="C2336" s="502" t="s">
        <v>75</v>
      </c>
      <c r="D2336" s="503" t="s">
        <v>31952</v>
      </c>
      <c r="F2336" t="str">
        <f t="shared" si="73"/>
        <v>100658</v>
      </c>
      <c r="H2336" s="14">
        <f t="shared" si="74"/>
        <v>460.17</v>
      </c>
    </row>
    <row r="2337" spans="1:8" ht="41.4">
      <c r="A2337" s="502" t="s">
        <v>12331</v>
      </c>
      <c r="B2337" s="504" t="s">
        <v>12332</v>
      </c>
      <c r="C2337" s="502" t="s">
        <v>71</v>
      </c>
      <c r="D2337" s="503" t="s">
        <v>11621</v>
      </c>
      <c r="F2337" t="str">
        <f t="shared" si="73"/>
        <v>100889</v>
      </c>
      <c r="H2337" s="14">
        <f t="shared" si="74"/>
        <v>16.100000000000001</v>
      </c>
    </row>
    <row r="2338" spans="1:8" ht="41.4">
      <c r="A2338" s="502" t="s">
        <v>12333</v>
      </c>
      <c r="B2338" s="504" t="s">
        <v>12334</v>
      </c>
      <c r="C2338" s="502" t="s">
        <v>71</v>
      </c>
      <c r="D2338" s="503" t="s">
        <v>7291</v>
      </c>
      <c r="F2338" t="str">
        <f t="shared" si="73"/>
        <v>100890</v>
      </c>
      <c r="H2338" s="14">
        <f t="shared" si="74"/>
        <v>15.82</v>
      </c>
    </row>
    <row r="2339" spans="1:8" ht="41.4">
      <c r="A2339" s="502" t="s">
        <v>12335</v>
      </c>
      <c r="B2339" s="504" t="s">
        <v>12336</v>
      </c>
      <c r="C2339" s="502" t="s">
        <v>71</v>
      </c>
      <c r="D2339" s="503" t="s">
        <v>10708</v>
      </c>
      <c r="F2339" t="str">
        <f t="shared" si="73"/>
        <v>100892</v>
      </c>
      <c r="H2339" s="14">
        <f t="shared" si="74"/>
        <v>16.78</v>
      </c>
    </row>
    <row r="2340" spans="1:8" ht="41.4">
      <c r="A2340" s="502" t="s">
        <v>12337</v>
      </c>
      <c r="B2340" s="504" t="s">
        <v>12338</v>
      </c>
      <c r="C2340" s="502" t="s">
        <v>71</v>
      </c>
      <c r="D2340" s="503" t="s">
        <v>7250</v>
      </c>
      <c r="F2340" t="str">
        <f t="shared" si="73"/>
        <v>100893</v>
      </c>
      <c r="H2340" s="14">
        <f t="shared" si="74"/>
        <v>16.510000000000002</v>
      </c>
    </row>
    <row r="2341" spans="1:8" ht="41.4">
      <c r="A2341" s="502" t="s">
        <v>12339</v>
      </c>
      <c r="B2341" s="504" t="s">
        <v>12340</v>
      </c>
      <c r="C2341" s="502" t="s">
        <v>71</v>
      </c>
      <c r="D2341" s="503" t="s">
        <v>24308</v>
      </c>
      <c r="F2341" t="str">
        <f t="shared" si="73"/>
        <v>100894</v>
      </c>
      <c r="H2341" s="14">
        <f t="shared" si="74"/>
        <v>16.3</v>
      </c>
    </row>
    <row r="2342" spans="1:8" ht="55.2">
      <c r="A2342" s="502" t="s">
        <v>12341</v>
      </c>
      <c r="B2342" s="504" t="s">
        <v>28503</v>
      </c>
      <c r="C2342" s="502" t="s">
        <v>75</v>
      </c>
      <c r="D2342" s="503" t="s">
        <v>28287</v>
      </c>
      <c r="F2342" t="str">
        <f t="shared" si="73"/>
        <v>100896</v>
      </c>
      <c r="H2342" s="14">
        <f t="shared" si="74"/>
        <v>92.45</v>
      </c>
    </row>
    <row r="2343" spans="1:8" ht="55.2">
      <c r="A2343" s="502" t="s">
        <v>12342</v>
      </c>
      <c r="B2343" s="504" t="s">
        <v>28504</v>
      </c>
      <c r="C2343" s="502" t="s">
        <v>75</v>
      </c>
      <c r="D2343" s="503" t="s">
        <v>31953</v>
      </c>
      <c r="F2343" t="str">
        <f t="shared" si="73"/>
        <v>100897</v>
      </c>
      <c r="H2343" s="14">
        <f t="shared" si="74"/>
        <v>183.02</v>
      </c>
    </row>
    <row r="2344" spans="1:8" ht="55.2">
      <c r="A2344" s="502" t="s">
        <v>12343</v>
      </c>
      <c r="B2344" s="504" t="s">
        <v>28505</v>
      </c>
      <c r="C2344" s="502" t="s">
        <v>75</v>
      </c>
      <c r="D2344" s="503" t="s">
        <v>31954</v>
      </c>
      <c r="F2344" t="str">
        <f t="shared" si="73"/>
        <v>100898</v>
      </c>
      <c r="H2344" s="14">
        <f t="shared" si="74"/>
        <v>357.19</v>
      </c>
    </row>
    <row r="2345" spans="1:8" ht="55.2">
      <c r="A2345" s="502" t="s">
        <v>12344</v>
      </c>
      <c r="B2345" s="504" t="s">
        <v>28506</v>
      </c>
      <c r="C2345" s="502" t="s">
        <v>75</v>
      </c>
      <c r="D2345" s="503" t="s">
        <v>31955</v>
      </c>
      <c r="F2345" t="str">
        <f t="shared" si="73"/>
        <v>100899</v>
      </c>
      <c r="H2345" s="14">
        <f t="shared" si="74"/>
        <v>128.16999999999999</v>
      </c>
    </row>
    <row r="2346" spans="1:8" ht="55.2">
      <c r="A2346" s="502" t="s">
        <v>12345</v>
      </c>
      <c r="B2346" s="504" t="s">
        <v>28507</v>
      </c>
      <c r="C2346" s="502" t="s">
        <v>75</v>
      </c>
      <c r="D2346" s="503" t="s">
        <v>31956</v>
      </c>
      <c r="F2346" t="str">
        <f t="shared" si="73"/>
        <v>100900</v>
      </c>
      <c r="H2346" s="14">
        <f t="shared" si="74"/>
        <v>411.18</v>
      </c>
    </row>
    <row r="2347" spans="1:8" ht="41.4">
      <c r="A2347" s="502" t="s">
        <v>12346</v>
      </c>
      <c r="B2347" s="504" t="s">
        <v>12347</v>
      </c>
      <c r="C2347" s="502" t="s">
        <v>75</v>
      </c>
      <c r="D2347" s="503" t="s">
        <v>31957</v>
      </c>
      <c r="F2347" t="str">
        <f t="shared" si="73"/>
        <v>101173</v>
      </c>
      <c r="H2347" s="14">
        <f t="shared" si="74"/>
        <v>87.67</v>
      </c>
    </row>
    <row r="2348" spans="1:8" ht="41.4">
      <c r="A2348" s="502" t="s">
        <v>12348</v>
      </c>
      <c r="B2348" s="504" t="s">
        <v>12349</v>
      </c>
      <c r="C2348" s="502" t="s">
        <v>75</v>
      </c>
      <c r="D2348" s="503" t="s">
        <v>31958</v>
      </c>
      <c r="F2348" t="str">
        <f t="shared" si="73"/>
        <v>101174</v>
      </c>
      <c r="H2348" s="14">
        <f t="shared" si="74"/>
        <v>122.56</v>
      </c>
    </row>
    <row r="2349" spans="1:8" ht="41.4">
      <c r="A2349" s="502" t="s">
        <v>12350</v>
      </c>
      <c r="B2349" s="504" t="s">
        <v>12351</v>
      </c>
      <c r="C2349" s="502" t="s">
        <v>75</v>
      </c>
      <c r="D2349" s="503" t="s">
        <v>28122</v>
      </c>
      <c r="F2349" t="str">
        <f t="shared" si="73"/>
        <v>101175</v>
      </c>
      <c r="H2349" s="14">
        <f t="shared" si="74"/>
        <v>167.3</v>
      </c>
    </row>
    <row r="2350" spans="1:8" ht="41.4">
      <c r="A2350" s="502" t="s">
        <v>12352</v>
      </c>
      <c r="B2350" s="504" t="s">
        <v>28510</v>
      </c>
      <c r="C2350" s="502" t="s">
        <v>75</v>
      </c>
      <c r="D2350" s="503" t="s">
        <v>31959</v>
      </c>
      <c r="F2350" t="str">
        <f t="shared" si="73"/>
        <v>101176</v>
      </c>
      <c r="H2350" s="14">
        <f t="shared" si="74"/>
        <v>211.61</v>
      </c>
    </row>
    <row r="2351" spans="1:8" ht="27.6">
      <c r="A2351" s="502" t="s">
        <v>12353</v>
      </c>
      <c r="B2351" s="504" t="s">
        <v>12354</v>
      </c>
      <c r="C2351" s="502" t="s">
        <v>114</v>
      </c>
      <c r="D2351" s="503" t="s">
        <v>31960</v>
      </c>
      <c r="F2351" t="str">
        <f t="shared" si="73"/>
        <v>102521</v>
      </c>
      <c r="H2351" s="14">
        <f t="shared" si="74"/>
        <v>166.82</v>
      </c>
    </row>
    <row r="2352" spans="1:8" ht="27.6">
      <c r="A2352" s="502" t="s">
        <v>12355</v>
      </c>
      <c r="B2352" s="504" t="s">
        <v>12356</v>
      </c>
      <c r="C2352" s="502" t="s">
        <v>114</v>
      </c>
      <c r="D2352" s="503" t="s">
        <v>31961</v>
      </c>
      <c r="F2352" t="str">
        <f t="shared" si="73"/>
        <v>102522</v>
      </c>
      <c r="H2352" s="14">
        <f t="shared" si="74"/>
        <v>244.73</v>
      </c>
    </row>
    <row r="2353" spans="1:8" ht="27.6">
      <c r="A2353" s="502" t="s">
        <v>12357</v>
      </c>
      <c r="B2353" s="504" t="s">
        <v>12358</v>
      </c>
      <c r="C2353" s="502" t="s">
        <v>114</v>
      </c>
      <c r="D2353" s="503" t="s">
        <v>31962</v>
      </c>
      <c r="F2353" t="str">
        <f t="shared" si="73"/>
        <v>102523</v>
      </c>
      <c r="H2353" s="14">
        <f t="shared" si="74"/>
        <v>322.62</v>
      </c>
    </row>
    <row r="2354" spans="1:8" ht="41.4">
      <c r="A2354" s="502" t="s">
        <v>4389</v>
      </c>
      <c r="B2354" s="504" t="s">
        <v>28511</v>
      </c>
      <c r="C2354" s="502" t="s">
        <v>73</v>
      </c>
      <c r="D2354" s="503" t="s">
        <v>31963</v>
      </c>
      <c r="F2354" t="str">
        <f t="shared" si="73"/>
        <v>95240</v>
      </c>
      <c r="H2354" s="14">
        <f t="shared" si="74"/>
        <v>25.65</v>
      </c>
    </row>
    <row r="2355" spans="1:8" ht="41.4">
      <c r="A2355" s="502" t="s">
        <v>4391</v>
      </c>
      <c r="B2355" s="504" t="s">
        <v>28512</v>
      </c>
      <c r="C2355" s="502" t="s">
        <v>73</v>
      </c>
      <c r="D2355" s="503" t="s">
        <v>29101</v>
      </c>
      <c r="F2355" t="str">
        <f t="shared" si="73"/>
        <v>95241</v>
      </c>
      <c r="H2355" s="14">
        <f t="shared" si="74"/>
        <v>49.06</v>
      </c>
    </row>
    <row r="2356" spans="1:8" ht="27.6">
      <c r="A2356" s="502" t="s">
        <v>4392</v>
      </c>
      <c r="B2356" s="504" t="s">
        <v>28513</v>
      </c>
      <c r="C2356" s="502" t="s">
        <v>83</v>
      </c>
      <c r="D2356" s="503" t="s">
        <v>31964</v>
      </c>
      <c r="F2356" t="str">
        <f t="shared" si="73"/>
        <v>96616</v>
      </c>
      <c r="H2356" s="14">
        <f t="shared" si="74"/>
        <v>1071.76</v>
      </c>
    </row>
    <row r="2357" spans="1:8" ht="41.4">
      <c r="A2357" s="502" t="s">
        <v>4393</v>
      </c>
      <c r="B2357" s="504" t="s">
        <v>28514</v>
      </c>
      <c r="C2357" s="502" t="s">
        <v>73</v>
      </c>
      <c r="D2357" s="503" t="s">
        <v>7897</v>
      </c>
      <c r="F2357" t="str">
        <f t="shared" si="73"/>
        <v>96617</v>
      </c>
      <c r="H2357" s="14">
        <f t="shared" si="74"/>
        <v>26.84</v>
      </c>
    </row>
    <row r="2358" spans="1:8" ht="41.4">
      <c r="A2358" s="502" t="s">
        <v>4395</v>
      </c>
      <c r="B2358" s="504" t="s">
        <v>28515</v>
      </c>
      <c r="C2358" s="502" t="s">
        <v>73</v>
      </c>
      <c r="D2358" s="503" t="s">
        <v>30835</v>
      </c>
      <c r="F2358" t="str">
        <f t="shared" si="73"/>
        <v>96619</v>
      </c>
      <c r="H2358" s="14">
        <f t="shared" si="74"/>
        <v>53.57</v>
      </c>
    </row>
    <row r="2359" spans="1:8" ht="27.6">
      <c r="A2359" s="502" t="s">
        <v>4396</v>
      </c>
      <c r="B2359" s="504" t="s">
        <v>28517</v>
      </c>
      <c r="C2359" s="502" t="s">
        <v>83</v>
      </c>
      <c r="D2359" s="503" t="s">
        <v>31965</v>
      </c>
      <c r="F2359" t="str">
        <f t="shared" si="73"/>
        <v>96620</v>
      </c>
      <c r="H2359" s="14">
        <f t="shared" si="74"/>
        <v>981.49</v>
      </c>
    </row>
    <row r="2360" spans="1:8" ht="27.6">
      <c r="A2360" s="502" t="s">
        <v>4397</v>
      </c>
      <c r="B2360" s="504" t="s">
        <v>28518</v>
      </c>
      <c r="C2360" s="502" t="s">
        <v>83</v>
      </c>
      <c r="D2360" s="503" t="s">
        <v>31966</v>
      </c>
      <c r="F2360" t="str">
        <f t="shared" si="73"/>
        <v>96621</v>
      </c>
      <c r="H2360" s="14">
        <f t="shared" si="74"/>
        <v>384.68</v>
      </c>
    </row>
    <row r="2361" spans="1:8" ht="27.6">
      <c r="A2361" s="502" t="s">
        <v>4398</v>
      </c>
      <c r="B2361" s="504" t="s">
        <v>28519</v>
      </c>
      <c r="C2361" s="502" t="s">
        <v>83</v>
      </c>
      <c r="D2361" s="503" t="s">
        <v>31967</v>
      </c>
      <c r="F2361" t="str">
        <f t="shared" si="73"/>
        <v>96622</v>
      </c>
      <c r="H2361" s="14">
        <f t="shared" si="74"/>
        <v>363.08</v>
      </c>
    </row>
    <row r="2362" spans="1:8" ht="27.6">
      <c r="A2362" s="502" t="s">
        <v>4399</v>
      </c>
      <c r="B2362" s="504" t="s">
        <v>28520</v>
      </c>
      <c r="C2362" s="502" t="s">
        <v>83</v>
      </c>
      <c r="D2362" s="503" t="s">
        <v>31968</v>
      </c>
      <c r="F2362" t="str">
        <f t="shared" si="73"/>
        <v>96623</v>
      </c>
      <c r="H2362" s="14">
        <f t="shared" si="74"/>
        <v>329.97</v>
      </c>
    </row>
    <row r="2363" spans="1:8" ht="41.4">
      <c r="A2363" s="502" t="s">
        <v>4400</v>
      </c>
      <c r="B2363" s="504" t="s">
        <v>28521</v>
      </c>
      <c r="C2363" s="502" t="s">
        <v>83</v>
      </c>
      <c r="D2363" s="503" t="s">
        <v>31969</v>
      </c>
      <c r="F2363" t="str">
        <f t="shared" si="73"/>
        <v>96624</v>
      </c>
      <c r="H2363" s="14">
        <f t="shared" si="74"/>
        <v>308.35000000000002</v>
      </c>
    </row>
    <row r="2364" spans="1:8" ht="27.6">
      <c r="A2364" s="502" t="s">
        <v>4401</v>
      </c>
      <c r="B2364" s="504" t="s">
        <v>24240</v>
      </c>
      <c r="C2364" s="502" t="s">
        <v>83</v>
      </c>
      <c r="D2364" s="503" t="s">
        <v>31970</v>
      </c>
      <c r="F2364" t="str">
        <f t="shared" si="73"/>
        <v>97082</v>
      </c>
      <c r="H2364" s="14">
        <f t="shared" si="74"/>
        <v>92.25</v>
      </c>
    </row>
    <row r="2365" spans="1:8" ht="41.4">
      <c r="A2365" s="502" t="s">
        <v>4402</v>
      </c>
      <c r="B2365" s="504" t="s">
        <v>24241</v>
      </c>
      <c r="C2365" s="502" t="s">
        <v>73</v>
      </c>
      <c r="D2365" s="503" t="s">
        <v>31022</v>
      </c>
      <c r="F2365" t="str">
        <f t="shared" si="73"/>
        <v>97083</v>
      </c>
      <c r="H2365" s="14">
        <f t="shared" si="74"/>
        <v>4.9400000000000004</v>
      </c>
    </row>
    <row r="2366" spans="1:8" ht="55.2">
      <c r="A2366" s="502" t="s">
        <v>4403</v>
      </c>
      <c r="B2366" s="504" t="s">
        <v>24242</v>
      </c>
      <c r="C2366" s="502" t="s">
        <v>73</v>
      </c>
      <c r="D2366" s="503" t="s">
        <v>7472</v>
      </c>
      <c r="F2366" t="str">
        <f t="shared" si="73"/>
        <v>97084</v>
      </c>
      <c r="H2366" s="14">
        <f t="shared" si="74"/>
        <v>1.04</v>
      </c>
    </row>
    <row r="2367" spans="1:8" ht="41.4">
      <c r="A2367" s="502" t="s">
        <v>4404</v>
      </c>
      <c r="B2367" s="504" t="s">
        <v>24243</v>
      </c>
      <c r="C2367" s="502" t="s">
        <v>73</v>
      </c>
      <c r="D2367" s="503" t="s">
        <v>31971</v>
      </c>
      <c r="F2367" t="str">
        <f t="shared" si="73"/>
        <v>97086</v>
      </c>
      <c r="H2367" s="14">
        <f t="shared" si="74"/>
        <v>196.54</v>
      </c>
    </row>
    <row r="2368" spans="1:8" ht="41.4">
      <c r="A2368" s="502" t="s">
        <v>12359</v>
      </c>
      <c r="B2368" s="504" t="s">
        <v>24244</v>
      </c>
      <c r="C2368" s="502" t="s">
        <v>73</v>
      </c>
      <c r="D2368" s="503" t="s">
        <v>31972</v>
      </c>
      <c r="F2368" t="str">
        <f t="shared" si="73"/>
        <v>97087</v>
      </c>
      <c r="H2368" s="14">
        <f t="shared" si="74"/>
        <v>2.85</v>
      </c>
    </row>
    <row r="2369" spans="1:8" ht="41.4">
      <c r="A2369" s="502" t="s">
        <v>12360</v>
      </c>
      <c r="B2369" s="504" t="s">
        <v>24245</v>
      </c>
      <c r="C2369" s="502" t="s">
        <v>71</v>
      </c>
      <c r="D2369" s="503" t="s">
        <v>31973</v>
      </c>
      <c r="F2369" t="str">
        <f t="shared" si="73"/>
        <v>97088</v>
      </c>
      <c r="H2369" s="14">
        <f t="shared" si="74"/>
        <v>22.84</v>
      </c>
    </row>
    <row r="2370" spans="1:8" ht="41.4">
      <c r="A2370" s="502" t="s">
        <v>12361</v>
      </c>
      <c r="B2370" s="504" t="s">
        <v>24246</v>
      </c>
      <c r="C2370" s="502" t="s">
        <v>71</v>
      </c>
      <c r="D2370" s="503" t="s">
        <v>10206</v>
      </c>
      <c r="F2370" t="str">
        <f t="shared" si="73"/>
        <v>97089</v>
      </c>
      <c r="H2370" s="14">
        <f t="shared" si="74"/>
        <v>20.85</v>
      </c>
    </row>
    <row r="2371" spans="1:8" ht="41.4">
      <c r="A2371" s="502" t="s">
        <v>12362</v>
      </c>
      <c r="B2371" s="504" t="s">
        <v>24247</v>
      </c>
      <c r="C2371" s="502" t="s">
        <v>71</v>
      </c>
      <c r="D2371" s="503" t="s">
        <v>29176</v>
      </c>
      <c r="F2371" t="str">
        <f t="shared" si="73"/>
        <v>97090</v>
      </c>
      <c r="H2371" s="14">
        <f t="shared" si="74"/>
        <v>20.43</v>
      </c>
    </row>
    <row r="2372" spans="1:8" ht="41.4">
      <c r="A2372" s="502" t="s">
        <v>12363</v>
      </c>
      <c r="B2372" s="504" t="s">
        <v>24248</v>
      </c>
      <c r="C2372" s="502" t="s">
        <v>71</v>
      </c>
      <c r="D2372" s="503" t="s">
        <v>9537</v>
      </c>
      <c r="F2372" t="str">
        <f t="shared" si="73"/>
        <v>97091</v>
      </c>
      <c r="H2372" s="14">
        <f t="shared" si="74"/>
        <v>19.760000000000002</v>
      </c>
    </row>
    <row r="2373" spans="1:8" ht="41.4">
      <c r="A2373" s="502" t="s">
        <v>12364</v>
      </c>
      <c r="B2373" s="504" t="s">
        <v>24249</v>
      </c>
      <c r="C2373" s="502" t="s">
        <v>71</v>
      </c>
      <c r="D2373" s="503" t="s">
        <v>10017</v>
      </c>
      <c r="F2373" t="str">
        <f t="shared" ref="F2373:F2436" si="75">TRIM(A2373)</f>
        <v>97092</v>
      </c>
      <c r="H2373" s="14">
        <f t="shared" ref="H2373:H2436" si="76">ROUND(D2373*(1+$H$1),2)</f>
        <v>19.079999999999998</v>
      </c>
    </row>
    <row r="2374" spans="1:8" ht="41.4">
      <c r="A2374" s="502" t="s">
        <v>12365</v>
      </c>
      <c r="B2374" s="504" t="s">
        <v>24250</v>
      </c>
      <c r="C2374" s="502" t="s">
        <v>71</v>
      </c>
      <c r="D2374" s="503" t="s">
        <v>31974</v>
      </c>
      <c r="F2374" t="str">
        <f t="shared" si="75"/>
        <v>97093</v>
      </c>
      <c r="H2374" s="14">
        <f t="shared" si="76"/>
        <v>17.86</v>
      </c>
    </row>
    <row r="2375" spans="1:8" ht="41.4">
      <c r="A2375" s="502" t="s">
        <v>4405</v>
      </c>
      <c r="B2375" s="504" t="s">
        <v>24251</v>
      </c>
      <c r="C2375" s="502" t="s">
        <v>83</v>
      </c>
      <c r="D2375" s="503" t="s">
        <v>31975</v>
      </c>
      <c r="F2375" t="str">
        <f t="shared" si="75"/>
        <v>97096</v>
      </c>
      <c r="H2375" s="14">
        <f t="shared" si="76"/>
        <v>974.88</v>
      </c>
    </row>
    <row r="2376" spans="1:8" ht="27.6">
      <c r="A2376" s="502" t="s">
        <v>12366</v>
      </c>
      <c r="B2376" s="504" t="s">
        <v>24252</v>
      </c>
      <c r="C2376" s="502" t="s">
        <v>73</v>
      </c>
      <c r="D2376" s="503" t="s">
        <v>31976</v>
      </c>
      <c r="F2376" t="str">
        <f t="shared" si="75"/>
        <v>97097</v>
      </c>
      <c r="H2376" s="14">
        <f t="shared" si="76"/>
        <v>43.31</v>
      </c>
    </row>
    <row r="2377" spans="1:8" ht="41.4">
      <c r="A2377" s="502" t="s">
        <v>12368</v>
      </c>
      <c r="B2377" s="504" t="s">
        <v>24253</v>
      </c>
      <c r="C2377" s="502" t="s">
        <v>73</v>
      </c>
      <c r="D2377" s="503" t="s">
        <v>31977</v>
      </c>
      <c r="F2377" t="str">
        <f t="shared" si="75"/>
        <v>97101</v>
      </c>
      <c r="H2377" s="14">
        <f t="shared" si="76"/>
        <v>264.93</v>
      </c>
    </row>
    <row r="2378" spans="1:8" ht="41.4">
      <c r="A2378" s="502" t="s">
        <v>12369</v>
      </c>
      <c r="B2378" s="504" t="s">
        <v>24254</v>
      </c>
      <c r="C2378" s="502" t="s">
        <v>73</v>
      </c>
      <c r="D2378" s="503" t="s">
        <v>31978</v>
      </c>
      <c r="F2378" t="str">
        <f t="shared" si="75"/>
        <v>97102</v>
      </c>
      <c r="H2378" s="14">
        <f t="shared" si="76"/>
        <v>332.41</v>
      </c>
    </row>
    <row r="2379" spans="1:8" ht="41.4">
      <c r="A2379" s="502" t="s">
        <v>12370</v>
      </c>
      <c r="B2379" s="504" t="s">
        <v>24255</v>
      </c>
      <c r="C2379" s="502" t="s">
        <v>73</v>
      </c>
      <c r="D2379" s="503" t="s">
        <v>31979</v>
      </c>
      <c r="F2379" t="str">
        <f t="shared" si="75"/>
        <v>97103</v>
      </c>
      <c r="H2379" s="14">
        <f t="shared" si="76"/>
        <v>394.81</v>
      </c>
    </row>
    <row r="2380" spans="1:8" ht="41.4">
      <c r="A2380" s="502" t="s">
        <v>10644</v>
      </c>
      <c r="B2380" s="504" t="s">
        <v>28522</v>
      </c>
      <c r="C2380" s="502" t="s">
        <v>83</v>
      </c>
      <c r="D2380" s="503" t="s">
        <v>31980</v>
      </c>
      <c r="F2380" t="str">
        <f t="shared" si="75"/>
        <v>100322</v>
      </c>
      <c r="H2380" s="14">
        <f t="shared" si="76"/>
        <v>294.95</v>
      </c>
    </row>
    <row r="2381" spans="1:8" ht="41.4">
      <c r="A2381" s="502" t="s">
        <v>10645</v>
      </c>
      <c r="B2381" s="504" t="s">
        <v>28523</v>
      </c>
      <c r="C2381" s="502" t="s">
        <v>83</v>
      </c>
      <c r="D2381" s="503" t="s">
        <v>31981</v>
      </c>
      <c r="F2381" t="str">
        <f t="shared" si="75"/>
        <v>100323</v>
      </c>
      <c r="H2381" s="14">
        <f t="shared" si="76"/>
        <v>218.5</v>
      </c>
    </row>
    <row r="2382" spans="1:8" ht="41.4">
      <c r="A2382" s="502" t="s">
        <v>10646</v>
      </c>
      <c r="B2382" s="504" t="s">
        <v>28525</v>
      </c>
      <c r="C2382" s="502" t="s">
        <v>83</v>
      </c>
      <c r="D2382" s="503" t="s">
        <v>31982</v>
      </c>
      <c r="F2382" t="str">
        <f t="shared" si="75"/>
        <v>100324</v>
      </c>
      <c r="H2382" s="14">
        <f t="shared" si="76"/>
        <v>307.75</v>
      </c>
    </row>
    <row r="2383" spans="1:8" ht="41.4">
      <c r="A2383" s="502" t="s">
        <v>24256</v>
      </c>
      <c r="B2383" s="504" t="s">
        <v>24257</v>
      </c>
      <c r="C2383" s="502" t="s">
        <v>73</v>
      </c>
      <c r="D2383" s="503" t="s">
        <v>31983</v>
      </c>
      <c r="F2383" t="str">
        <f t="shared" si="75"/>
        <v>103072</v>
      </c>
      <c r="H2383" s="14">
        <f t="shared" si="76"/>
        <v>466.57</v>
      </c>
    </row>
    <row r="2384" spans="1:8" ht="41.4">
      <c r="A2384" s="502" t="s">
        <v>24258</v>
      </c>
      <c r="B2384" s="504" t="s">
        <v>24259</v>
      </c>
      <c r="C2384" s="502" t="s">
        <v>73</v>
      </c>
      <c r="D2384" s="503" t="s">
        <v>31984</v>
      </c>
      <c r="F2384" t="str">
        <f t="shared" si="75"/>
        <v>103073</v>
      </c>
      <c r="H2384" s="14">
        <f t="shared" si="76"/>
        <v>560.54</v>
      </c>
    </row>
    <row r="2385" spans="1:8" ht="41.4">
      <c r="A2385" s="502" t="s">
        <v>24260</v>
      </c>
      <c r="B2385" s="504" t="s">
        <v>24261</v>
      </c>
      <c r="C2385" s="502" t="s">
        <v>73</v>
      </c>
      <c r="D2385" s="503" t="s">
        <v>31985</v>
      </c>
      <c r="F2385" t="str">
        <f t="shared" si="75"/>
        <v>103074</v>
      </c>
      <c r="H2385" s="14">
        <f t="shared" si="76"/>
        <v>263.85000000000002</v>
      </c>
    </row>
    <row r="2386" spans="1:8" ht="41.4">
      <c r="A2386" s="502" t="s">
        <v>24262</v>
      </c>
      <c r="B2386" s="504" t="s">
        <v>24263</v>
      </c>
      <c r="C2386" s="502" t="s">
        <v>73</v>
      </c>
      <c r="D2386" s="503" t="s">
        <v>31986</v>
      </c>
      <c r="F2386" t="str">
        <f t="shared" si="75"/>
        <v>103075</v>
      </c>
      <c r="H2386" s="14">
        <f t="shared" si="76"/>
        <v>307.14999999999998</v>
      </c>
    </row>
    <row r="2387" spans="1:8" ht="41.4">
      <c r="A2387" s="502" t="s">
        <v>24264</v>
      </c>
      <c r="B2387" s="504" t="s">
        <v>24265</v>
      </c>
      <c r="C2387" s="502" t="s">
        <v>73</v>
      </c>
      <c r="D2387" s="503" t="s">
        <v>31987</v>
      </c>
      <c r="F2387" t="str">
        <f t="shared" si="75"/>
        <v>103076</v>
      </c>
      <c r="H2387" s="14">
        <f t="shared" si="76"/>
        <v>226.91</v>
      </c>
    </row>
    <row r="2388" spans="1:8" ht="41.4">
      <c r="A2388" s="502" t="s">
        <v>24266</v>
      </c>
      <c r="B2388" s="504" t="s">
        <v>24267</v>
      </c>
      <c r="C2388" s="502" t="s">
        <v>73</v>
      </c>
      <c r="D2388" s="503" t="s">
        <v>31988</v>
      </c>
      <c r="F2388" t="str">
        <f t="shared" si="75"/>
        <v>103077</v>
      </c>
      <c r="H2388" s="14">
        <f t="shared" si="76"/>
        <v>294.39</v>
      </c>
    </row>
    <row r="2389" spans="1:8" ht="41.4">
      <c r="A2389" s="502" t="s">
        <v>24268</v>
      </c>
      <c r="B2389" s="504" t="s">
        <v>24269</v>
      </c>
      <c r="C2389" s="502" t="s">
        <v>73</v>
      </c>
      <c r="D2389" s="503" t="s">
        <v>31989</v>
      </c>
      <c r="F2389" t="str">
        <f t="shared" si="75"/>
        <v>103078</v>
      </c>
      <c r="H2389" s="14">
        <f t="shared" si="76"/>
        <v>356.78</v>
      </c>
    </row>
    <row r="2390" spans="1:8" ht="41.4">
      <c r="A2390" s="502" t="s">
        <v>24270</v>
      </c>
      <c r="B2390" s="504" t="s">
        <v>24271</v>
      </c>
      <c r="C2390" s="502" t="s">
        <v>73</v>
      </c>
      <c r="D2390" s="503" t="s">
        <v>31990</v>
      </c>
      <c r="F2390" t="str">
        <f t="shared" si="75"/>
        <v>103079</v>
      </c>
      <c r="H2390" s="14">
        <f t="shared" si="76"/>
        <v>428.55</v>
      </c>
    </row>
    <row r="2391" spans="1:8" ht="41.4">
      <c r="A2391" s="502" t="s">
        <v>24272</v>
      </c>
      <c r="B2391" s="504" t="s">
        <v>24273</v>
      </c>
      <c r="C2391" s="502" t="s">
        <v>73</v>
      </c>
      <c r="D2391" s="503" t="s">
        <v>31991</v>
      </c>
      <c r="F2391" t="str">
        <f t="shared" si="75"/>
        <v>103080</v>
      </c>
      <c r="H2391" s="14">
        <f t="shared" si="76"/>
        <v>522.51</v>
      </c>
    </row>
    <row r="2392" spans="1:8" ht="41.4">
      <c r="A2392" s="502" t="s">
        <v>4408</v>
      </c>
      <c r="B2392" s="504" t="s">
        <v>12371</v>
      </c>
      <c r="C2392" s="502" t="s">
        <v>73</v>
      </c>
      <c r="D2392" s="503" t="s">
        <v>31992</v>
      </c>
      <c r="F2392" t="str">
        <f t="shared" si="75"/>
        <v>92263</v>
      </c>
      <c r="H2392" s="14">
        <f t="shared" si="76"/>
        <v>246.9</v>
      </c>
    </row>
    <row r="2393" spans="1:8" ht="41.4">
      <c r="A2393" s="502" t="s">
        <v>4409</v>
      </c>
      <c r="B2393" s="504" t="s">
        <v>12372</v>
      </c>
      <c r="C2393" s="502" t="s">
        <v>73</v>
      </c>
      <c r="D2393" s="503" t="s">
        <v>31993</v>
      </c>
      <c r="F2393" t="str">
        <f t="shared" si="75"/>
        <v>92264</v>
      </c>
      <c r="H2393" s="14">
        <f t="shared" si="76"/>
        <v>320.17</v>
      </c>
    </row>
    <row r="2394" spans="1:8" ht="27.6">
      <c r="A2394" s="502" t="s">
        <v>4410</v>
      </c>
      <c r="B2394" s="504" t="s">
        <v>12373</v>
      </c>
      <c r="C2394" s="502" t="s">
        <v>73</v>
      </c>
      <c r="D2394" s="503" t="s">
        <v>30087</v>
      </c>
      <c r="F2394" t="str">
        <f t="shared" si="75"/>
        <v>92265</v>
      </c>
      <c r="H2394" s="14">
        <f t="shared" si="76"/>
        <v>184.15</v>
      </c>
    </row>
    <row r="2395" spans="1:8" ht="27.6">
      <c r="A2395" s="502" t="s">
        <v>4411</v>
      </c>
      <c r="B2395" s="504" t="s">
        <v>12374</v>
      </c>
      <c r="C2395" s="502" t="s">
        <v>73</v>
      </c>
      <c r="D2395" s="503" t="s">
        <v>31384</v>
      </c>
      <c r="F2395" t="str">
        <f t="shared" si="75"/>
        <v>92266</v>
      </c>
      <c r="H2395" s="14">
        <f t="shared" si="76"/>
        <v>247.01</v>
      </c>
    </row>
    <row r="2396" spans="1:8" ht="27.6">
      <c r="A2396" s="502" t="s">
        <v>4412</v>
      </c>
      <c r="B2396" s="504" t="s">
        <v>12375</v>
      </c>
      <c r="C2396" s="502" t="s">
        <v>73</v>
      </c>
      <c r="D2396" s="503" t="s">
        <v>31994</v>
      </c>
      <c r="F2396" t="str">
        <f t="shared" si="75"/>
        <v>92267</v>
      </c>
      <c r="H2396" s="14">
        <f t="shared" si="76"/>
        <v>84.79</v>
      </c>
    </row>
    <row r="2397" spans="1:8" ht="27.6">
      <c r="A2397" s="502" t="s">
        <v>4413</v>
      </c>
      <c r="B2397" s="504" t="s">
        <v>12376</v>
      </c>
      <c r="C2397" s="502" t="s">
        <v>73</v>
      </c>
      <c r="D2397" s="503" t="s">
        <v>31995</v>
      </c>
      <c r="F2397" t="str">
        <f t="shared" si="75"/>
        <v>92268</v>
      </c>
      <c r="H2397" s="14">
        <f t="shared" si="76"/>
        <v>142.38</v>
      </c>
    </row>
    <row r="2398" spans="1:8" ht="27.6">
      <c r="A2398" s="502" t="s">
        <v>4414</v>
      </c>
      <c r="B2398" s="504" t="s">
        <v>12377</v>
      </c>
      <c r="C2398" s="502" t="s">
        <v>73</v>
      </c>
      <c r="D2398" s="503" t="s">
        <v>31996</v>
      </c>
      <c r="F2398" t="str">
        <f t="shared" si="75"/>
        <v>92269</v>
      </c>
      <c r="H2398" s="14">
        <f t="shared" si="76"/>
        <v>178.97</v>
      </c>
    </row>
    <row r="2399" spans="1:8" ht="27.6">
      <c r="A2399" s="502" t="s">
        <v>4415</v>
      </c>
      <c r="B2399" s="504" t="s">
        <v>12378</v>
      </c>
      <c r="C2399" s="502" t="s">
        <v>73</v>
      </c>
      <c r="D2399" s="503" t="s">
        <v>31997</v>
      </c>
      <c r="F2399" t="str">
        <f t="shared" si="75"/>
        <v>92270</v>
      </c>
      <c r="H2399" s="14">
        <f t="shared" si="76"/>
        <v>244.37</v>
      </c>
    </row>
    <row r="2400" spans="1:8" ht="27.6">
      <c r="A2400" s="502" t="s">
        <v>4416</v>
      </c>
      <c r="B2400" s="504" t="s">
        <v>12379</v>
      </c>
      <c r="C2400" s="502" t="s">
        <v>73</v>
      </c>
      <c r="D2400" s="503" t="s">
        <v>31998</v>
      </c>
      <c r="F2400" t="str">
        <f t="shared" si="75"/>
        <v>92271</v>
      </c>
      <c r="H2400" s="14">
        <f t="shared" si="76"/>
        <v>148.16999999999999</v>
      </c>
    </row>
    <row r="2401" spans="1:8" ht="27.6">
      <c r="A2401" s="502" t="s">
        <v>4417</v>
      </c>
      <c r="B2401" s="504" t="s">
        <v>12380</v>
      </c>
      <c r="C2401" s="502" t="s">
        <v>75</v>
      </c>
      <c r="D2401" s="503" t="s">
        <v>31999</v>
      </c>
      <c r="F2401" t="str">
        <f t="shared" si="75"/>
        <v>92272</v>
      </c>
      <c r="H2401" s="14">
        <f t="shared" si="76"/>
        <v>53.98</v>
      </c>
    </row>
    <row r="2402" spans="1:8" ht="27.6">
      <c r="A2402" s="502" t="s">
        <v>4418</v>
      </c>
      <c r="B2402" s="504" t="s">
        <v>12381</v>
      </c>
      <c r="C2402" s="502" t="s">
        <v>75</v>
      </c>
      <c r="D2402" s="503" t="s">
        <v>23971</v>
      </c>
      <c r="F2402" t="str">
        <f t="shared" si="75"/>
        <v>92273</v>
      </c>
      <c r="H2402" s="14">
        <f t="shared" si="76"/>
        <v>21.2</v>
      </c>
    </row>
    <row r="2403" spans="1:8" ht="55.2">
      <c r="A2403" s="502" t="s">
        <v>4419</v>
      </c>
      <c r="B2403" s="504" t="s">
        <v>12382</v>
      </c>
      <c r="C2403" s="502" t="s">
        <v>73</v>
      </c>
      <c r="D2403" s="503" t="s">
        <v>32000</v>
      </c>
      <c r="F2403" t="str">
        <f t="shared" si="75"/>
        <v>92409</v>
      </c>
      <c r="H2403" s="14">
        <f t="shared" si="76"/>
        <v>334.1</v>
      </c>
    </row>
    <row r="2404" spans="1:8" ht="55.2">
      <c r="A2404" s="502" t="s">
        <v>4420</v>
      </c>
      <c r="B2404" s="504" t="s">
        <v>12383</v>
      </c>
      <c r="C2404" s="502" t="s">
        <v>73</v>
      </c>
      <c r="D2404" s="503" t="s">
        <v>32001</v>
      </c>
      <c r="F2404" t="str">
        <f t="shared" si="75"/>
        <v>92411</v>
      </c>
      <c r="H2404" s="14">
        <f t="shared" si="76"/>
        <v>228.74</v>
      </c>
    </row>
    <row r="2405" spans="1:8" ht="55.2">
      <c r="A2405" s="502" t="s">
        <v>4421</v>
      </c>
      <c r="B2405" s="504" t="s">
        <v>12384</v>
      </c>
      <c r="C2405" s="502" t="s">
        <v>73</v>
      </c>
      <c r="D2405" s="503" t="s">
        <v>32002</v>
      </c>
      <c r="F2405" t="str">
        <f t="shared" si="75"/>
        <v>92413</v>
      </c>
      <c r="H2405" s="14">
        <f t="shared" si="76"/>
        <v>152.4</v>
      </c>
    </row>
    <row r="2406" spans="1:8" ht="55.2">
      <c r="A2406" s="502" t="s">
        <v>4422</v>
      </c>
      <c r="B2406" s="504" t="s">
        <v>12385</v>
      </c>
      <c r="C2406" s="502" t="s">
        <v>73</v>
      </c>
      <c r="D2406" s="503" t="s">
        <v>32003</v>
      </c>
      <c r="F2406" t="str">
        <f t="shared" si="75"/>
        <v>92415</v>
      </c>
      <c r="H2406" s="14">
        <f t="shared" si="76"/>
        <v>210.42</v>
      </c>
    </row>
    <row r="2407" spans="1:8" ht="55.2">
      <c r="A2407" s="502" t="s">
        <v>4423</v>
      </c>
      <c r="B2407" s="504" t="s">
        <v>12386</v>
      </c>
      <c r="C2407" s="502" t="s">
        <v>73</v>
      </c>
      <c r="D2407" s="503" t="s">
        <v>32004</v>
      </c>
      <c r="F2407" t="str">
        <f t="shared" si="75"/>
        <v>92417</v>
      </c>
      <c r="H2407" s="14">
        <f t="shared" si="76"/>
        <v>246.63</v>
      </c>
    </row>
    <row r="2408" spans="1:8" ht="55.2">
      <c r="A2408" s="502" t="s">
        <v>4424</v>
      </c>
      <c r="B2408" s="504" t="s">
        <v>12387</v>
      </c>
      <c r="C2408" s="502" t="s">
        <v>73</v>
      </c>
      <c r="D2408" s="503" t="s">
        <v>32005</v>
      </c>
      <c r="F2408" t="str">
        <f t="shared" si="75"/>
        <v>92419</v>
      </c>
      <c r="H2408" s="14">
        <f t="shared" si="76"/>
        <v>132.85</v>
      </c>
    </row>
    <row r="2409" spans="1:8" ht="55.2">
      <c r="A2409" s="502" t="s">
        <v>4425</v>
      </c>
      <c r="B2409" s="504" t="s">
        <v>12388</v>
      </c>
      <c r="C2409" s="502" t="s">
        <v>73</v>
      </c>
      <c r="D2409" s="503" t="s">
        <v>32006</v>
      </c>
      <c r="F2409" t="str">
        <f t="shared" si="75"/>
        <v>92421</v>
      </c>
      <c r="H2409" s="14">
        <f t="shared" si="76"/>
        <v>160.63</v>
      </c>
    </row>
    <row r="2410" spans="1:8" ht="55.2">
      <c r="A2410" s="502" t="s">
        <v>4426</v>
      </c>
      <c r="B2410" s="504" t="s">
        <v>12389</v>
      </c>
      <c r="C2410" s="502" t="s">
        <v>73</v>
      </c>
      <c r="D2410" s="503" t="s">
        <v>32007</v>
      </c>
      <c r="F2410" t="str">
        <f t="shared" si="75"/>
        <v>92423</v>
      </c>
      <c r="H2410" s="14">
        <f t="shared" si="76"/>
        <v>108.64</v>
      </c>
    </row>
    <row r="2411" spans="1:8" ht="55.2">
      <c r="A2411" s="502" t="s">
        <v>4427</v>
      </c>
      <c r="B2411" s="504" t="s">
        <v>12390</v>
      </c>
      <c r="C2411" s="502" t="s">
        <v>73</v>
      </c>
      <c r="D2411" s="503" t="s">
        <v>32008</v>
      </c>
      <c r="F2411" t="str">
        <f t="shared" si="75"/>
        <v>92425</v>
      </c>
      <c r="H2411" s="14">
        <f t="shared" si="76"/>
        <v>132.80000000000001</v>
      </c>
    </row>
    <row r="2412" spans="1:8" ht="55.2">
      <c r="A2412" s="502" t="s">
        <v>4428</v>
      </c>
      <c r="B2412" s="504" t="s">
        <v>12391</v>
      </c>
      <c r="C2412" s="502" t="s">
        <v>73</v>
      </c>
      <c r="D2412" s="503" t="s">
        <v>21187</v>
      </c>
      <c r="F2412" t="str">
        <f t="shared" si="75"/>
        <v>92427</v>
      </c>
      <c r="H2412" s="14">
        <f t="shared" si="76"/>
        <v>96.41</v>
      </c>
    </row>
    <row r="2413" spans="1:8" ht="55.2">
      <c r="A2413" s="502" t="s">
        <v>4429</v>
      </c>
      <c r="B2413" s="504" t="s">
        <v>12392</v>
      </c>
      <c r="C2413" s="502" t="s">
        <v>73</v>
      </c>
      <c r="D2413" s="503" t="s">
        <v>22876</v>
      </c>
      <c r="F2413" t="str">
        <f t="shared" si="75"/>
        <v>92429</v>
      </c>
      <c r="H2413" s="14">
        <f t="shared" si="76"/>
        <v>118.79</v>
      </c>
    </row>
    <row r="2414" spans="1:8" ht="55.2">
      <c r="A2414" s="502" t="s">
        <v>4430</v>
      </c>
      <c r="B2414" s="504" t="s">
        <v>12393</v>
      </c>
      <c r="C2414" s="502" t="s">
        <v>73</v>
      </c>
      <c r="D2414" s="503" t="s">
        <v>17104</v>
      </c>
      <c r="F2414" t="str">
        <f t="shared" si="75"/>
        <v>92431</v>
      </c>
      <c r="H2414" s="14">
        <f t="shared" si="76"/>
        <v>91.26</v>
      </c>
    </row>
    <row r="2415" spans="1:8" ht="55.2">
      <c r="A2415" s="524" t="s">
        <v>4431</v>
      </c>
      <c r="B2415" s="504" t="s">
        <v>12394</v>
      </c>
      <c r="C2415" s="502" t="s">
        <v>73</v>
      </c>
      <c r="D2415" s="503" t="s">
        <v>32009</v>
      </c>
      <c r="F2415" t="str">
        <f t="shared" si="75"/>
        <v>92433</v>
      </c>
      <c r="H2415" s="14">
        <f t="shared" si="76"/>
        <v>112.52</v>
      </c>
    </row>
    <row r="2416" spans="1:8" ht="55.2">
      <c r="A2416" s="502" t="s">
        <v>4432</v>
      </c>
      <c r="B2416" s="504" t="s">
        <v>12395</v>
      </c>
      <c r="C2416" s="502" t="s">
        <v>73</v>
      </c>
      <c r="D2416" s="503" t="s">
        <v>32010</v>
      </c>
      <c r="F2416" t="str">
        <f t="shared" si="75"/>
        <v>92435</v>
      </c>
      <c r="H2416" s="14">
        <f t="shared" si="76"/>
        <v>86.6</v>
      </c>
    </row>
    <row r="2417" spans="1:8" ht="55.2">
      <c r="A2417" s="502" t="s">
        <v>4433</v>
      </c>
      <c r="B2417" s="504" t="s">
        <v>12396</v>
      </c>
      <c r="C2417" s="502" t="s">
        <v>73</v>
      </c>
      <c r="D2417" s="503" t="s">
        <v>15582</v>
      </c>
      <c r="F2417" t="str">
        <f t="shared" si="75"/>
        <v>92437</v>
      </c>
      <c r="H2417" s="14">
        <f t="shared" si="76"/>
        <v>107.13</v>
      </c>
    </row>
    <row r="2418" spans="1:8" ht="55.2">
      <c r="A2418" s="502" t="s">
        <v>4434</v>
      </c>
      <c r="B2418" s="504" t="s">
        <v>12397</v>
      </c>
      <c r="C2418" s="502" t="s">
        <v>73</v>
      </c>
      <c r="D2418" s="503" t="s">
        <v>17539</v>
      </c>
      <c r="F2418" t="str">
        <f t="shared" si="75"/>
        <v>92439</v>
      </c>
      <c r="H2418" s="14">
        <f t="shared" si="76"/>
        <v>83.24</v>
      </c>
    </row>
    <row r="2419" spans="1:8" ht="55.2">
      <c r="A2419" s="524" t="s">
        <v>4435</v>
      </c>
      <c r="B2419" s="504" t="s">
        <v>12398</v>
      </c>
      <c r="C2419" s="502" t="s">
        <v>73</v>
      </c>
      <c r="D2419" s="503" t="s">
        <v>32011</v>
      </c>
      <c r="F2419" t="str">
        <f t="shared" si="75"/>
        <v>92441</v>
      </c>
      <c r="H2419" s="14">
        <f t="shared" si="76"/>
        <v>103.27</v>
      </c>
    </row>
    <row r="2420" spans="1:8" ht="55.2">
      <c r="A2420" s="502" t="s">
        <v>4436</v>
      </c>
      <c r="B2420" s="504" t="s">
        <v>12399</v>
      </c>
      <c r="C2420" s="502" t="s">
        <v>73</v>
      </c>
      <c r="D2420" s="503" t="s">
        <v>29262</v>
      </c>
      <c r="F2420" t="str">
        <f t="shared" si="75"/>
        <v>92443</v>
      </c>
      <c r="H2420" s="14">
        <f t="shared" si="76"/>
        <v>76.06</v>
      </c>
    </row>
    <row r="2421" spans="1:8" ht="55.2">
      <c r="A2421" s="502" t="s">
        <v>4437</v>
      </c>
      <c r="B2421" s="504" t="s">
        <v>12400</v>
      </c>
      <c r="C2421" s="502" t="s">
        <v>73</v>
      </c>
      <c r="D2421" s="503" t="s">
        <v>32012</v>
      </c>
      <c r="F2421" t="str">
        <f t="shared" si="75"/>
        <v>92445</v>
      </c>
      <c r="H2421" s="14">
        <f t="shared" si="76"/>
        <v>95.37</v>
      </c>
    </row>
    <row r="2422" spans="1:8" ht="55.2">
      <c r="A2422" s="502" t="s">
        <v>4438</v>
      </c>
      <c r="B2422" s="504" t="s">
        <v>12402</v>
      </c>
      <c r="C2422" s="502" t="s">
        <v>73</v>
      </c>
      <c r="D2422" s="503" t="s">
        <v>32013</v>
      </c>
      <c r="F2422" t="str">
        <f t="shared" si="75"/>
        <v>92446</v>
      </c>
      <c r="H2422" s="14">
        <f t="shared" si="76"/>
        <v>434.66</v>
      </c>
    </row>
    <row r="2423" spans="1:8" ht="55.2">
      <c r="A2423" s="502" t="s">
        <v>4439</v>
      </c>
      <c r="B2423" s="504" t="s">
        <v>12403</v>
      </c>
      <c r="C2423" s="502" t="s">
        <v>73</v>
      </c>
      <c r="D2423" s="503" t="s">
        <v>32014</v>
      </c>
      <c r="F2423" t="str">
        <f t="shared" si="75"/>
        <v>92447</v>
      </c>
      <c r="H2423" s="14">
        <f t="shared" si="76"/>
        <v>303.44</v>
      </c>
    </row>
    <row r="2424" spans="1:8" ht="55.2">
      <c r="A2424" s="502" t="s">
        <v>4440</v>
      </c>
      <c r="B2424" s="504" t="s">
        <v>12404</v>
      </c>
      <c r="C2424" s="502" t="s">
        <v>73</v>
      </c>
      <c r="D2424" s="503" t="s">
        <v>29135</v>
      </c>
      <c r="F2424" t="str">
        <f t="shared" si="75"/>
        <v>92448</v>
      </c>
      <c r="H2424" s="14">
        <f t="shared" si="76"/>
        <v>237.07</v>
      </c>
    </row>
    <row r="2425" spans="1:8" ht="55.2">
      <c r="A2425" s="502" t="s">
        <v>4441</v>
      </c>
      <c r="B2425" s="504" t="s">
        <v>12406</v>
      </c>
      <c r="C2425" s="502" t="s">
        <v>73</v>
      </c>
      <c r="D2425" s="503" t="s">
        <v>32015</v>
      </c>
      <c r="F2425" t="str">
        <f t="shared" si="75"/>
        <v>92449</v>
      </c>
      <c r="H2425" s="14">
        <f t="shared" si="76"/>
        <v>413.79</v>
      </c>
    </row>
    <row r="2426" spans="1:8" ht="41.4">
      <c r="A2426" s="502" t="s">
        <v>4442</v>
      </c>
      <c r="B2426" s="504" t="s">
        <v>12407</v>
      </c>
      <c r="C2426" s="502" t="s">
        <v>73</v>
      </c>
      <c r="D2426" s="503" t="s">
        <v>32016</v>
      </c>
      <c r="F2426" t="str">
        <f t="shared" si="75"/>
        <v>92450</v>
      </c>
      <c r="H2426" s="14">
        <f t="shared" si="76"/>
        <v>458.34</v>
      </c>
    </row>
    <row r="2427" spans="1:8" ht="55.2">
      <c r="A2427" s="502" t="s">
        <v>4443</v>
      </c>
      <c r="B2427" s="504" t="s">
        <v>12408</v>
      </c>
      <c r="C2427" s="502" t="s">
        <v>73</v>
      </c>
      <c r="D2427" s="503" t="s">
        <v>32017</v>
      </c>
      <c r="F2427" t="str">
        <f t="shared" si="75"/>
        <v>92451</v>
      </c>
      <c r="H2427" s="14">
        <f t="shared" si="76"/>
        <v>283.14</v>
      </c>
    </row>
    <row r="2428" spans="1:8" ht="41.4">
      <c r="A2428" s="502" t="s">
        <v>4444</v>
      </c>
      <c r="B2428" s="504" t="s">
        <v>12410</v>
      </c>
      <c r="C2428" s="502" t="s">
        <v>73</v>
      </c>
      <c r="D2428" s="503" t="s">
        <v>32018</v>
      </c>
      <c r="F2428" t="str">
        <f t="shared" si="75"/>
        <v>92452</v>
      </c>
      <c r="H2428" s="14">
        <f t="shared" si="76"/>
        <v>274.44</v>
      </c>
    </row>
    <row r="2429" spans="1:8" ht="55.2">
      <c r="A2429" s="502" t="s">
        <v>4445</v>
      </c>
      <c r="B2429" s="504" t="s">
        <v>12411</v>
      </c>
      <c r="C2429" s="502" t="s">
        <v>73</v>
      </c>
      <c r="D2429" s="503" t="s">
        <v>32019</v>
      </c>
      <c r="F2429" t="str">
        <f t="shared" si="75"/>
        <v>92453</v>
      </c>
      <c r="H2429" s="14">
        <f t="shared" si="76"/>
        <v>353.53</v>
      </c>
    </row>
    <row r="2430" spans="1:8" ht="41.4">
      <c r="A2430" s="502" t="s">
        <v>4446</v>
      </c>
      <c r="B2430" s="504" t="s">
        <v>12412</v>
      </c>
      <c r="C2430" s="502" t="s">
        <v>73</v>
      </c>
      <c r="D2430" s="503" t="s">
        <v>32020</v>
      </c>
      <c r="F2430" t="str">
        <f t="shared" si="75"/>
        <v>92454</v>
      </c>
      <c r="H2430" s="14">
        <f t="shared" si="76"/>
        <v>410.45</v>
      </c>
    </row>
    <row r="2431" spans="1:8" ht="55.2">
      <c r="A2431" s="502" t="s">
        <v>4447</v>
      </c>
      <c r="B2431" s="504" t="s">
        <v>12413</v>
      </c>
      <c r="C2431" s="502" t="s">
        <v>73</v>
      </c>
      <c r="D2431" s="503" t="s">
        <v>32021</v>
      </c>
      <c r="F2431" t="str">
        <f t="shared" si="75"/>
        <v>92455</v>
      </c>
      <c r="H2431" s="14">
        <f t="shared" si="76"/>
        <v>231.4</v>
      </c>
    </row>
    <row r="2432" spans="1:8" ht="41.4">
      <c r="A2432" s="502" t="s">
        <v>4448</v>
      </c>
      <c r="B2432" s="504" t="s">
        <v>12414</v>
      </c>
      <c r="C2432" s="502" t="s">
        <v>73</v>
      </c>
      <c r="D2432" s="503" t="s">
        <v>32022</v>
      </c>
      <c r="F2432" t="str">
        <f t="shared" si="75"/>
        <v>92456</v>
      </c>
      <c r="H2432" s="14">
        <f t="shared" si="76"/>
        <v>226.54</v>
      </c>
    </row>
    <row r="2433" spans="1:8" ht="55.2">
      <c r="A2433" s="502" t="s">
        <v>4449</v>
      </c>
      <c r="B2433" s="504" t="s">
        <v>12415</v>
      </c>
      <c r="C2433" s="502" t="s">
        <v>73</v>
      </c>
      <c r="D2433" s="503" t="s">
        <v>32023</v>
      </c>
      <c r="F2433" t="str">
        <f t="shared" si="75"/>
        <v>92457</v>
      </c>
      <c r="H2433" s="14">
        <f t="shared" si="76"/>
        <v>306.95</v>
      </c>
    </row>
    <row r="2434" spans="1:8" ht="41.4">
      <c r="A2434" s="502" t="s">
        <v>4450</v>
      </c>
      <c r="B2434" s="504" t="s">
        <v>28531</v>
      </c>
      <c r="C2434" s="502" t="s">
        <v>73</v>
      </c>
      <c r="D2434" s="503" t="s">
        <v>32024</v>
      </c>
      <c r="F2434" t="str">
        <f t="shared" si="75"/>
        <v>92458</v>
      </c>
      <c r="H2434" s="14">
        <f t="shared" si="76"/>
        <v>380.66</v>
      </c>
    </row>
    <row r="2435" spans="1:8" ht="55.2">
      <c r="A2435" s="502" t="s">
        <v>4451</v>
      </c>
      <c r="B2435" s="504" t="s">
        <v>12416</v>
      </c>
      <c r="C2435" s="502" t="s">
        <v>73</v>
      </c>
      <c r="D2435" s="503" t="s">
        <v>32025</v>
      </c>
      <c r="F2435" t="str">
        <f t="shared" si="75"/>
        <v>92459</v>
      </c>
      <c r="H2435" s="14">
        <f t="shared" si="76"/>
        <v>196.33</v>
      </c>
    </row>
    <row r="2436" spans="1:8" ht="41.4">
      <c r="A2436" s="502" t="s">
        <v>4452</v>
      </c>
      <c r="B2436" s="504" t="s">
        <v>12417</v>
      </c>
      <c r="C2436" s="502" t="s">
        <v>73</v>
      </c>
      <c r="D2436" s="503" t="s">
        <v>32026</v>
      </c>
      <c r="F2436" t="str">
        <f t="shared" si="75"/>
        <v>92460</v>
      </c>
      <c r="H2436" s="14">
        <f t="shared" si="76"/>
        <v>189.88</v>
      </c>
    </row>
    <row r="2437" spans="1:8" ht="55.2">
      <c r="A2437" s="502" t="s">
        <v>4453</v>
      </c>
      <c r="B2437" s="504" t="s">
        <v>12418</v>
      </c>
      <c r="C2437" s="502" t="s">
        <v>73</v>
      </c>
      <c r="D2437" s="503" t="s">
        <v>27981</v>
      </c>
      <c r="F2437" t="str">
        <f t="shared" ref="F2437:F2500" si="77">TRIM(A2437)</f>
        <v>92461</v>
      </c>
      <c r="H2437" s="14">
        <f t="shared" ref="H2437:H2500" si="78">ROUND(D2437*(1+$H$1),2)</f>
        <v>282.97000000000003</v>
      </c>
    </row>
    <row r="2438" spans="1:8" ht="41.4">
      <c r="A2438" s="502" t="s">
        <v>4454</v>
      </c>
      <c r="B2438" s="504" t="s">
        <v>12419</v>
      </c>
      <c r="C2438" s="502" t="s">
        <v>73</v>
      </c>
      <c r="D2438" s="503" t="s">
        <v>32027</v>
      </c>
      <c r="F2438" t="str">
        <f t="shared" si="77"/>
        <v>92462</v>
      </c>
      <c r="H2438" s="14">
        <f t="shared" si="78"/>
        <v>361.81</v>
      </c>
    </row>
    <row r="2439" spans="1:8" ht="55.2">
      <c r="A2439" s="502" t="s">
        <v>4455</v>
      </c>
      <c r="B2439" s="504" t="s">
        <v>12420</v>
      </c>
      <c r="C2439" s="502" t="s">
        <v>73</v>
      </c>
      <c r="D2439" s="503" t="s">
        <v>32028</v>
      </c>
      <c r="F2439" t="str">
        <f t="shared" si="77"/>
        <v>92463</v>
      </c>
      <c r="H2439" s="14">
        <f t="shared" si="78"/>
        <v>177.74</v>
      </c>
    </row>
    <row r="2440" spans="1:8" ht="41.4">
      <c r="A2440" s="502" t="s">
        <v>4456</v>
      </c>
      <c r="B2440" s="504" t="s">
        <v>12421</v>
      </c>
      <c r="C2440" s="502" t="s">
        <v>73</v>
      </c>
      <c r="D2440" s="503" t="s">
        <v>32029</v>
      </c>
      <c r="F2440" t="str">
        <f t="shared" si="77"/>
        <v>92464</v>
      </c>
      <c r="H2440" s="14">
        <f t="shared" si="78"/>
        <v>179.51</v>
      </c>
    </row>
    <row r="2441" spans="1:8" ht="55.2">
      <c r="A2441" s="502" t="s">
        <v>4457</v>
      </c>
      <c r="B2441" s="504" t="s">
        <v>12422</v>
      </c>
      <c r="C2441" s="502" t="s">
        <v>73</v>
      </c>
      <c r="D2441" s="503" t="s">
        <v>32030</v>
      </c>
      <c r="F2441" t="str">
        <f t="shared" si="77"/>
        <v>92465</v>
      </c>
      <c r="H2441" s="14">
        <f t="shared" si="78"/>
        <v>227.31</v>
      </c>
    </row>
    <row r="2442" spans="1:8" ht="41.4">
      <c r="A2442" s="502" t="s">
        <v>4458</v>
      </c>
      <c r="B2442" s="504" t="s">
        <v>12423</v>
      </c>
      <c r="C2442" s="502" t="s">
        <v>73</v>
      </c>
      <c r="D2442" s="503" t="s">
        <v>32031</v>
      </c>
      <c r="F2442" t="str">
        <f t="shared" si="77"/>
        <v>92466</v>
      </c>
      <c r="H2442" s="14">
        <f t="shared" si="78"/>
        <v>352.06</v>
      </c>
    </row>
    <row r="2443" spans="1:8" ht="55.2">
      <c r="A2443" s="502" t="s">
        <v>4459</v>
      </c>
      <c r="B2443" s="504" t="s">
        <v>12424</v>
      </c>
      <c r="C2443" s="502" t="s">
        <v>73</v>
      </c>
      <c r="D2443" s="503" t="s">
        <v>32032</v>
      </c>
      <c r="F2443" t="str">
        <f t="shared" si="77"/>
        <v>92467</v>
      </c>
      <c r="H2443" s="14">
        <f t="shared" si="78"/>
        <v>147.69</v>
      </c>
    </row>
    <row r="2444" spans="1:8" ht="41.4">
      <c r="A2444" s="502" t="s">
        <v>4460</v>
      </c>
      <c r="B2444" s="504" t="s">
        <v>12425</v>
      </c>
      <c r="C2444" s="502" t="s">
        <v>73</v>
      </c>
      <c r="D2444" s="503" t="s">
        <v>29879</v>
      </c>
      <c r="F2444" t="str">
        <f t="shared" si="77"/>
        <v>92468</v>
      </c>
      <c r="H2444" s="14">
        <f t="shared" si="78"/>
        <v>170.56</v>
      </c>
    </row>
    <row r="2445" spans="1:8" ht="55.2">
      <c r="A2445" s="502" t="s">
        <v>4461</v>
      </c>
      <c r="B2445" s="504" t="s">
        <v>12426</v>
      </c>
      <c r="C2445" s="502" t="s">
        <v>73</v>
      </c>
      <c r="D2445" s="503" t="s">
        <v>20844</v>
      </c>
      <c r="F2445" t="str">
        <f t="shared" si="77"/>
        <v>92469</v>
      </c>
      <c r="H2445" s="14">
        <f t="shared" si="78"/>
        <v>206.98</v>
      </c>
    </row>
    <row r="2446" spans="1:8" ht="41.4">
      <c r="A2446" s="502" t="s">
        <v>4462</v>
      </c>
      <c r="B2446" s="504" t="s">
        <v>12427</v>
      </c>
      <c r="C2446" s="502" t="s">
        <v>73</v>
      </c>
      <c r="D2446" s="503" t="s">
        <v>32033</v>
      </c>
      <c r="F2446" t="str">
        <f t="shared" si="77"/>
        <v>92470</v>
      </c>
      <c r="H2446" s="14">
        <f t="shared" si="78"/>
        <v>341.4</v>
      </c>
    </row>
    <row r="2447" spans="1:8" ht="55.2">
      <c r="A2447" s="502" t="s">
        <v>4463</v>
      </c>
      <c r="B2447" s="504" t="s">
        <v>12428</v>
      </c>
      <c r="C2447" s="502" t="s">
        <v>73</v>
      </c>
      <c r="D2447" s="503" t="s">
        <v>32034</v>
      </c>
      <c r="F2447" t="str">
        <f t="shared" si="77"/>
        <v>92471</v>
      </c>
      <c r="H2447" s="14">
        <f t="shared" si="78"/>
        <v>134.66</v>
      </c>
    </row>
    <row r="2448" spans="1:8" ht="41.4">
      <c r="A2448" s="502" t="s">
        <v>4464</v>
      </c>
      <c r="B2448" s="504" t="s">
        <v>12429</v>
      </c>
      <c r="C2448" s="502" t="s">
        <v>73</v>
      </c>
      <c r="D2448" s="503" t="s">
        <v>32035</v>
      </c>
      <c r="F2448" t="str">
        <f t="shared" si="77"/>
        <v>92472</v>
      </c>
      <c r="H2448" s="14">
        <f t="shared" si="78"/>
        <v>161.25</v>
      </c>
    </row>
    <row r="2449" spans="1:8" ht="55.2">
      <c r="A2449" s="502" t="s">
        <v>4465</v>
      </c>
      <c r="B2449" s="504" t="s">
        <v>12430</v>
      </c>
      <c r="C2449" s="502" t="s">
        <v>73</v>
      </c>
      <c r="D2449" s="503" t="s">
        <v>32036</v>
      </c>
      <c r="F2449" t="str">
        <f t="shared" si="77"/>
        <v>92473</v>
      </c>
      <c r="H2449" s="14">
        <f t="shared" si="78"/>
        <v>190.51</v>
      </c>
    </row>
    <row r="2450" spans="1:8" ht="41.4">
      <c r="A2450" s="502" t="s">
        <v>4466</v>
      </c>
      <c r="B2450" s="504" t="s">
        <v>12431</v>
      </c>
      <c r="C2450" s="502" t="s">
        <v>73</v>
      </c>
      <c r="D2450" s="503" t="s">
        <v>32037</v>
      </c>
      <c r="F2450" t="str">
        <f t="shared" si="77"/>
        <v>92474</v>
      </c>
      <c r="H2450" s="14">
        <f t="shared" si="78"/>
        <v>332.21</v>
      </c>
    </row>
    <row r="2451" spans="1:8" ht="55.2">
      <c r="A2451" s="502" t="s">
        <v>4467</v>
      </c>
      <c r="B2451" s="504" t="s">
        <v>12432</v>
      </c>
      <c r="C2451" s="502" t="s">
        <v>73</v>
      </c>
      <c r="D2451" s="503" t="s">
        <v>9555</v>
      </c>
      <c r="F2451" t="str">
        <f t="shared" si="77"/>
        <v>92475</v>
      </c>
      <c r="H2451" s="14">
        <f t="shared" si="78"/>
        <v>124.06</v>
      </c>
    </row>
    <row r="2452" spans="1:8" ht="41.4">
      <c r="A2452" s="502" t="s">
        <v>4468</v>
      </c>
      <c r="B2452" s="504" t="s">
        <v>12433</v>
      </c>
      <c r="C2452" s="502" t="s">
        <v>73</v>
      </c>
      <c r="D2452" s="503" t="s">
        <v>32038</v>
      </c>
      <c r="F2452" t="str">
        <f t="shared" si="77"/>
        <v>92476</v>
      </c>
      <c r="H2452" s="14">
        <f t="shared" si="78"/>
        <v>153.34</v>
      </c>
    </row>
    <row r="2453" spans="1:8" ht="55.2">
      <c r="A2453" s="502" t="s">
        <v>4469</v>
      </c>
      <c r="B2453" s="504" t="s">
        <v>12434</v>
      </c>
      <c r="C2453" s="502" t="s">
        <v>73</v>
      </c>
      <c r="D2453" s="503" t="s">
        <v>32039</v>
      </c>
      <c r="F2453" t="str">
        <f t="shared" si="77"/>
        <v>92477</v>
      </c>
      <c r="H2453" s="14">
        <f t="shared" si="78"/>
        <v>155.34</v>
      </c>
    </row>
    <row r="2454" spans="1:8" ht="41.4">
      <c r="A2454" s="502" t="s">
        <v>4470</v>
      </c>
      <c r="B2454" s="504" t="s">
        <v>12435</v>
      </c>
      <c r="C2454" s="502" t="s">
        <v>73</v>
      </c>
      <c r="D2454" s="503" t="s">
        <v>32040</v>
      </c>
      <c r="F2454" t="str">
        <f t="shared" si="77"/>
        <v>92478</v>
      </c>
      <c r="H2454" s="14">
        <f t="shared" si="78"/>
        <v>314.07</v>
      </c>
    </row>
    <row r="2455" spans="1:8" ht="55.2">
      <c r="A2455" s="502" t="s">
        <v>4471</v>
      </c>
      <c r="B2455" s="504" t="s">
        <v>12436</v>
      </c>
      <c r="C2455" s="502" t="s">
        <v>73</v>
      </c>
      <c r="D2455" s="503" t="s">
        <v>28843</v>
      </c>
      <c r="F2455" t="str">
        <f t="shared" si="77"/>
        <v>92479</v>
      </c>
      <c r="H2455" s="14">
        <f t="shared" si="78"/>
        <v>101.4</v>
      </c>
    </row>
    <row r="2456" spans="1:8" ht="41.4">
      <c r="A2456" s="502" t="s">
        <v>4472</v>
      </c>
      <c r="B2456" s="504" t="s">
        <v>12437</v>
      </c>
      <c r="C2456" s="502" t="s">
        <v>73</v>
      </c>
      <c r="D2456" s="503" t="s">
        <v>15378</v>
      </c>
      <c r="F2456" t="str">
        <f t="shared" si="77"/>
        <v>92480</v>
      </c>
      <c r="H2456" s="14">
        <f t="shared" si="78"/>
        <v>137.54</v>
      </c>
    </row>
    <row r="2457" spans="1:8" ht="41.4">
      <c r="A2457" s="502" t="s">
        <v>4473</v>
      </c>
      <c r="B2457" s="504" t="s">
        <v>12438</v>
      </c>
      <c r="C2457" s="502" t="s">
        <v>73</v>
      </c>
      <c r="D2457" s="503" t="s">
        <v>10273</v>
      </c>
      <c r="F2457" t="str">
        <f t="shared" si="77"/>
        <v>92482</v>
      </c>
      <c r="H2457" s="14">
        <f t="shared" si="78"/>
        <v>480.83</v>
      </c>
    </row>
    <row r="2458" spans="1:8" ht="41.4">
      <c r="A2458" s="502" t="s">
        <v>4474</v>
      </c>
      <c r="B2458" s="504" t="s">
        <v>12439</v>
      </c>
      <c r="C2458" s="502" t="s">
        <v>73</v>
      </c>
      <c r="D2458" s="503" t="s">
        <v>32041</v>
      </c>
      <c r="F2458" t="str">
        <f t="shared" si="77"/>
        <v>92484</v>
      </c>
      <c r="H2458" s="14">
        <f t="shared" si="78"/>
        <v>335.68</v>
      </c>
    </row>
    <row r="2459" spans="1:8" ht="41.4">
      <c r="A2459" s="502" t="s">
        <v>4475</v>
      </c>
      <c r="B2459" s="504" t="s">
        <v>12440</v>
      </c>
      <c r="C2459" s="502" t="s">
        <v>73</v>
      </c>
      <c r="D2459" s="503" t="s">
        <v>32042</v>
      </c>
      <c r="F2459" t="str">
        <f t="shared" si="77"/>
        <v>92486</v>
      </c>
      <c r="H2459" s="14">
        <f t="shared" si="78"/>
        <v>242.2</v>
      </c>
    </row>
    <row r="2460" spans="1:8" ht="55.2">
      <c r="A2460" s="502" t="s">
        <v>4476</v>
      </c>
      <c r="B2460" s="504" t="s">
        <v>12441</v>
      </c>
      <c r="C2460" s="502" t="s">
        <v>73</v>
      </c>
      <c r="D2460" s="503" t="s">
        <v>31058</v>
      </c>
      <c r="F2460" t="str">
        <f t="shared" si="77"/>
        <v>92488</v>
      </c>
      <c r="H2460" s="14">
        <f t="shared" si="78"/>
        <v>158.75</v>
      </c>
    </row>
    <row r="2461" spans="1:8" ht="55.2">
      <c r="A2461" s="502" t="s">
        <v>4477</v>
      </c>
      <c r="B2461" s="504" t="s">
        <v>12442</v>
      </c>
      <c r="C2461" s="502" t="s">
        <v>73</v>
      </c>
      <c r="D2461" s="503" t="s">
        <v>31348</v>
      </c>
      <c r="F2461" t="str">
        <f t="shared" si="77"/>
        <v>92490</v>
      </c>
      <c r="H2461" s="14">
        <f t="shared" si="78"/>
        <v>105.67</v>
      </c>
    </row>
    <row r="2462" spans="1:8" ht="55.2">
      <c r="A2462" s="502" t="s">
        <v>4478</v>
      </c>
      <c r="B2462" s="504" t="s">
        <v>12443</v>
      </c>
      <c r="C2462" s="502" t="s">
        <v>73</v>
      </c>
      <c r="D2462" s="503" t="s">
        <v>32043</v>
      </c>
      <c r="F2462" t="str">
        <f t="shared" si="77"/>
        <v>92492</v>
      </c>
      <c r="H2462" s="14">
        <f t="shared" si="78"/>
        <v>149.87</v>
      </c>
    </row>
    <row r="2463" spans="1:8" ht="55.2">
      <c r="A2463" s="502" t="s">
        <v>4479</v>
      </c>
      <c r="B2463" s="504" t="s">
        <v>12444</v>
      </c>
      <c r="C2463" s="502" t="s">
        <v>73</v>
      </c>
      <c r="D2463" s="503" t="s">
        <v>29822</v>
      </c>
      <c r="F2463" t="str">
        <f t="shared" si="77"/>
        <v>92494</v>
      </c>
      <c r="H2463" s="14">
        <f t="shared" si="78"/>
        <v>98.5</v>
      </c>
    </row>
    <row r="2464" spans="1:8" ht="55.2">
      <c r="A2464" s="502" t="s">
        <v>4480</v>
      </c>
      <c r="B2464" s="504" t="s">
        <v>12445</v>
      </c>
      <c r="C2464" s="502" t="s">
        <v>73</v>
      </c>
      <c r="D2464" s="503" t="s">
        <v>32044</v>
      </c>
      <c r="F2464" t="str">
        <f t="shared" si="77"/>
        <v>92496</v>
      </c>
      <c r="H2464" s="14">
        <f t="shared" si="78"/>
        <v>142.44</v>
      </c>
    </row>
    <row r="2465" spans="1:8" ht="55.2">
      <c r="A2465" s="502" t="s">
        <v>4481</v>
      </c>
      <c r="B2465" s="504" t="s">
        <v>12446</v>
      </c>
      <c r="C2465" s="502" t="s">
        <v>73</v>
      </c>
      <c r="D2465" s="503" t="s">
        <v>29951</v>
      </c>
      <c r="F2465" t="str">
        <f t="shared" si="77"/>
        <v>92498</v>
      </c>
      <c r="H2465" s="14">
        <f t="shared" si="78"/>
        <v>92.56</v>
      </c>
    </row>
    <row r="2466" spans="1:8" ht="55.2">
      <c r="A2466" s="502" t="s">
        <v>4482</v>
      </c>
      <c r="B2466" s="504" t="s">
        <v>12447</v>
      </c>
      <c r="C2466" s="502" t="s">
        <v>73</v>
      </c>
      <c r="D2466" s="503" t="s">
        <v>32045</v>
      </c>
      <c r="F2466" t="str">
        <f t="shared" si="77"/>
        <v>92500</v>
      </c>
      <c r="H2466" s="14">
        <f t="shared" si="78"/>
        <v>136.5</v>
      </c>
    </row>
    <row r="2467" spans="1:8" ht="55.2">
      <c r="A2467" s="502" t="s">
        <v>4483</v>
      </c>
      <c r="B2467" s="504" t="s">
        <v>12448</v>
      </c>
      <c r="C2467" s="502" t="s">
        <v>73</v>
      </c>
      <c r="D2467" s="503" t="s">
        <v>32046</v>
      </c>
      <c r="F2467" t="str">
        <f t="shared" si="77"/>
        <v>92502</v>
      </c>
      <c r="H2467" s="14">
        <f t="shared" si="78"/>
        <v>88.05</v>
      </c>
    </row>
    <row r="2468" spans="1:8" ht="55.2">
      <c r="A2468" s="502" t="s">
        <v>4484</v>
      </c>
      <c r="B2468" s="504" t="s">
        <v>12449</v>
      </c>
      <c r="C2468" s="502" t="s">
        <v>73</v>
      </c>
      <c r="D2468" s="503" t="s">
        <v>32047</v>
      </c>
      <c r="F2468" t="str">
        <f t="shared" si="77"/>
        <v>92504</v>
      </c>
      <c r="H2468" s="14">
        <f t="shared" si="78"/>
        <v>125.65</v>
      </c>
    </row>
    <row r="2469" spans="1:8" ht="55.2">
      <c r="A2469" s="502" t="s">
        <v>4485</v>
      </c>
      <c r="B2469" s="504" t="s">
        <v>12450</v>
      </c>
      <c r="C2469" s="502" t="s">
        <v>73</v>
      </c>
      <c r="D2469" s="503" t="s">
        <v>15794</v>
      </c>
      <c r="F2469" t="str">
        <f t="shared" si="77"/>
        <v>92506</v>
      </c>
      <c r="H2469" s="14">
        <f t="shared" si="78"/>
        <v>79.680000000000007</v>
      </c>
    </row>
    <row r="2470" spans="1:8" ht="41.4">
      <c r="A2470" s="502" t="s">
        <v>4486</v>
      </c>
      <c r="B2470" s="504" t="s">
        <v>12451</v>
      </c>
      <c r="C2470" s="502" t="s">
        <v>73</v>
      </c>
      <c r="D2470" s="503" t="s">
        <v>28139</v>
      </c>
      <c r="F2470" t="str">
        <f t="shared" si="77"/>
        <v>92508</v>
      </c>
      <c r="H2470" s="14">
        <f t="shared" si="78"/>
        <v>157.41999999999999</v>
      </c>
    </row>
    <row r="2471" spans="1:8" ht="41.4">
      <c r="A2471" s="502" t="s">
        <v>4487</v>
      </c>
      <c r="B2471" s="504" t="s">
        <v>12452</v>
      </c>
      <c r="C2471" s="502" t="s">
        <v>73</v>
      </c>
      <c r="D2471" s="503" t="s">
        <v>31452</v>
      </c>
      <c r="F2471" t="str">
        <f t="shared" si="77"/>
        <v>92510</v>
      </c>
      <c r="H2471" s="14">
        <f t="shared" si="78"/>
        <v>101.35</v>
      </c>
    </row>
    <row r="2472" spans="1:8" ht="41.4">
      <c r="A2472" s="502" t="s">
        <v>4488</v>
      </c>
      <c r="B2472" s="504" t="s">
        <v>12454</v>
      </c>
      <c r="C2472" s="502" t="s">
        <v>73</v>
      </c>
      <c r="D2472" s="503" t="s">
        <v>32048</v>
      </c>
      <c r="F2472" t="str">
        <f t="shared" si="77"/>
        <v>92512</v>
      </c>
      <c r="H2472" s="14">
        <f t="shared" si="78"/>
        <v>132.96</v>
      </c>
    </row>
    <row r="2473" spans="1:8" ht="41.4">
      <c r="A2473" s="502" t="s">
        <v>4489</v>
      </c>
      <c r="B2473" s="504" t="s">
        <v>12455</v>
      </c>
      <c r="C2473" s="502" t="s">
        <v>73</v>
      </c>
      <c r="D2473" s="503" t="s">
        <v>32049</v>
      </c>
      <c r="F2473" t="str">
        <f t="shared" si="77"/>
        <v>92514</v>
      </c>
      <c r="H2473" s="14">
        <f t="shared" si="78"/>
        <v>78.739999999999995</v>
      </c>
    </row>
    <row r="2474" spans="1:8" ht="41.4">
      <c r="A2474" s="502" t="s">
        <v>4490</v>
      </c>
      <c r="B2474" s="504" t="s">
        <v>12456</v>
      </c>
      <c r="C2474" s="502" t="s">
        <v>73</v>
      </c>
      <c r="D2474" s="503" t="s">
        <v>32050</v>
      </c>
      <c r="F2474" t="str">
        <f t="shared" si="77"/>
        <v>92515</v>
      </c>
      <c r="H2474" s="14">
        <f t="shared" si="78"/>
        <v>120.68</v>
      </c>
    </row>
    <row r="2475" spans="1:8" ht="41.4">
      <c r="A2475" s="502" t="s">
        <v>4491</v>
      </c>
      <c r="B2475" s="504" t="s">
        <v>12457</v>
      </c>
      <c r="C2475" s="502" t="s">
        <v>73</v>
      </c>
      <c r="D2475" s="503" t="s">
        <v>28446</v>
      </c>
      <c r="F2475" t="str">
        <f t="shared" si="77"/>
        <v>92518</v>
      </c>
      <c r="H2475" s="14">
        <f t="shared" si="78"/>
        <v>68.22</v>
      </c>
    </row>
    <row r="2476" spans="1:8" ht="41.4">
      <c r="A2476" s="502" t="s">
        <v>4492</v>
      </c>
      <c r="B2476" s="504" t="s">
        <v>12458</v>
      </c>
      <c r="C2476" s="502" t="s">
        <v>73</v>
      </c>
      <c r="D2476" s="503" t="s">
        <v>32051</v>
      </c>
      <c r="F2476" t="str">
        <f t="shared" si="77"/>
        <v>92520</v>
      </c>
      <c r="H2476" s="14">
        <f t="shared" si="78"/>
        <v>112.61</v>
      </c>
    </row>
    <row r="2477" spans="1:8" ht="41.4">
      <c r="A2477" s="502" t="s">
        <v>4493</v>
      </c>
      <c r="B2477" s="504" t="s">
        <v>12459</v>
      </c>
      <c r="C2477" s="502" t="s">
        <v>73</v>
      </c>
      <c r="D2477" s="503" t="s">
        <v>28837</v>
      </c>
      <c r="F2477" t="str">
        <f t="shared" si="77"/>
        <v>92522</v>
      </c>
      <c r="H2477" s="14">
        <f t="shared" si="78"/>
        <v>61.76</v>
      </c>
    </row>
    <row r="2478" spans="1:8" ht="41.4">
      <c r="A2478" s="502" t="s">
        <v>4494</v>
      </c>
      <c r="B2478" s="504" t="s">
        <v>24274</v>
      </c>
      <c r="C2478" s="502" t="s">
        <v>73</v>
      </c>
      <c r="D2478" s="503" t="s">
        <v>32052</v>
      </c>
      <c r="F2478" t="str">
        <f t="shared" si="77"/>
        <v>92524</v>
      </c>
      <c r="H2478" s="14">
        <f t="shared" si="78"/>
        <v>111.89</v>
      </c>
    </row>
    <row r="2479" spans="1:8" ht="41.4">
      <c r="A2479" s="502" t="s">
        <v>4495</v>
      </c>
      <c r="B2479" s="504" t="s">
        <v>12460</v>
      </c>
      <c r="C2479" s="502" t="s">
        <v>73</v>
      </c>
      <c r="D2479" s="503" t="s">
        <v>32053</v>
      </c>
      <c r="F2479" t="str">
        <f t="shared" si="77"/>
        <v>92526</v>
      </c>
      <c r="H2479" s="14">
        <f t="shared" si="78"/>
        <v>62.55</v>
      </c>
    </row>
    <row r="2480" spans="1:8" ht="41.4">
      <c r="A2480" s="502" t="s">
        <v>4496</v>
      </c>
      <c r="B2480" s="504" t="s">
        <v>12461</v>
      </c>
      <c r="C2480" s="502" t="s">
        <v>73</v>
      </c>
      <c r="D2480" s="503" t="s">
        <v>32054</v>
      </c>
      <c r="F2480" t="str">
        <f t="shared" si="77"/>
        <v>92528</v>
      </c>
      <c r="H2480" s="14">
        <f t="shared" si="78"/>
        <v>106.6</v>
      </c>
    </row>
    <row r="2481" spans="1:8" ht="41.4">
      <c r="A2481" s="502" t="s">
        <v>4497</v>
      </c>
      <c r="B2481" s="504" t="s">
        <v>12462</v>
      </c>
      <c r="C2481" s="502" t="s">
        <v>73</v>
      </c>
      <c r="D2481" s="503" t="s">
        <v>27479</v>
      </c>
      <c r="F2481" t="str">
        <f t="shared" si="77"/>
        <v>92530</v>
      </c>
      <c r="H2481" s="14">
        <f t="shared" si="78"/>
        <v>58.64</v>
      </c>
    </row>
    <row r="2482" spans="1:8" ht="41.4">
      <c r="A2482" s="502" t="s">
        <v>4498</v>
      </c>
      <c r="B2482" s="504" t="s">
        <v>12463</v>
      </c>
      <c r="C2482" s="502" t="s">
        <v>73</v>
      </c>
      <c r="D2482" s="503" t="s">
        <v>23419</v>
      </c>
      <c r="F2482" t="str">
        <f t="shared" si="77"/>
        <v>92532</v>
      </c>
      <c r="H2482" s="14">
        <f t="shared" si="78"/>
        <v>102.04</v>
      </c>
    </row>
    <row r="2483" spans="1:8" ht="41.4">
      <c r="A2483" s="502" t="s">
        <v>4499</v>
      </c>
      <c r="B2483" s="504" t="s">
        <v>12464</v>
      </c>
      <c r="C2483" s="502" t="s">
        <v>73</v>
      </c>
      <c r="D2483" s="503" t="s">
        <v>32055</v>
      </c>
      <c r="F2483" t="str">
        <f t="shared" si="77"/>
        <v>92534</v>
      </c>
      <c r="H2483" s="14">
        <f t="shared" si="78"/>
        <v>55.35</v>
      </c>
    </row>
    <row r="2484" spans="1:8" ht="41.4">
      <c r="A2484" s="502" t="s">
        <v>4500</v>
      </c>
      <c r="B2484" s="504" t="s">
        <v>12465</v>
      </c>
      <c r="C2484" s="502" t="s">
        <v>73</v>
      </c>
      <c r="D2484" s="503" t="s">
        <v>32056</v>
      </c>
      <c r="F2484" t="str">
        <f t="shared" si="77"/>
        <v>92536</v>
      </c>
      <c r="H2484" s="14">
        <f t="shared" si="78"/>
        <v>93.25</v>
      </c>
    </row>
    <row r="2485" spans="1:8" ht="41.4">
      <c r="A2485" s="502" t="s">
        <v>4502</v>
      </c>
      <c r="B2485" s="504" t="s">
        <v>12466</v>
      </c>
      <c r="C2485" s="502" t="s">
        <v>73</v>
      </c>
      <c r="D2485" s="503" t="s">
        <v>29092</v>
      </c>
      <c r="F2485" t="str">
        <f t="shared" si="77"/>
        <v>92538</v>
      </c>
      <c r="H2485" s="14">
        <f t="shared" si="78"/>
        <v>48.77</v>
      </c>
    </row>
    <row r="2486" spans="1:8" ht="41.4">
      <c r="A2486" s="502" t="s">
        <v>4503</v>
      </c>
      <c r="B2486" s="504" t="s">
        <v>28542</v>
      </c>
      <c r="C2486" s="502" t="s">
        <v>73</v>
      </c>
      <c r="D2486" s="503" t="s">
        <v>32057</v>
      </c>
      <c r="F2486" t="str">
        <f t="shared" si="77"/>
        <v>96252</v>
      </c>
      <c r="H2486" s="14">
        <f t="shared" si="78"/>
        <v>226.26</v>
      </c>
    </row>
    <row r="2487" spans="1:8" ht="41.4">
      <c r="A2487" s="502" t="s">
        <v>4504</v>
      </c>
      <c r="B2487" s="504" t="s">
        <v>28543</v>
      </c>
      <c r="C2487" s="502" t="s">
        <v>73</v>
      </c>
      <c r="D2487" s="503" t="s">
        <v>32058</v>
      </c>
      <c r="F2487" t="str">
        <f t="shared" si="77"/>
        <v>96258</v>
      </c>
      <c r="H2487" s="14">
        <f t="shared" si="78"/>
        <v>213.27</v>
      </c>
    </row>
    <row r="2488" spans="1:8" ht="41.4">
      <c r="A2488" s="502" t="s">
        <v>4505</v>
      </c>
      <c r="B2488" s="504" t="s">
        <v>28544</v>
      </c>
      <c r="C2488" s="502" t="s">
        <v>73</v>
      </c>
      <c r="D2488" s="503" t="s">
        <v>32059</v>
      </c>
      <c r="F2488" t="str">
        <f t="shared" si="77"/>
        <v>96529</v>
      </c>
      <c r="H2488" s="14">
        <f t="shared" si="78"/>
        <v>381.39</v>
      </c>
    </row>
    <row r="2489" spans="1:8" ht="41.4">
      <c r="A2489" s="502" t="s">
        <v>4506</v>
      </c>
      <c r="B2489" s="504" t="s">
        <v>28545</v>
      </c>
      <c r="C2489" s="502" t="s">
        <v>73</v>
      </c>
      <c r="D2489" s="503" t="s">
        <v>32060</v>
      </c>
      <c r="F2489" t="str">
        <f t="shared" si="77"/>
        <v>96530</v>
      </c>
      <c r="H2489" s="14">
        <f t="shared" si="78"/>
        <v>201.41</v>
      </c>
    </row>
    <row r="2490" spans="1:8" ht="41.4">
      <c r="A2490" s="502" t="s">
        <v>4507</v>
      </c>
      <c r="B2490" s="504" t="s">
        <v>28546</v>
      </c>
      <c r="C2490" s="502" t="s">
        <v>73</v>
      </c>
      <c r="D2490" s="503" t="s">
        <v>32061</v>
      </c>
      <c r="F2490" t="str">
        <f t="shared" si="77"/>
        <v>96531</v>
      </c>
      <c r="H2490" s="14">
        <f t="shared" si="78"/>
        <v>150.19</v>
      </c>
    </row>
    <row r="2491" spans="1:8" ht="41.4">
      <c r="A2491" s="502" t="s">
        <v>4508</v>
      </c>
      <c r="B2491" s="504" t="s">
        <v>28547</v>
      </c>
      <c r="C2491" s="502" t="s">
        <v>73</v>
      </c>
      <c r="D2491" s="503" t="s">
        <v>32062</v>
      </c>
      <c r="F2491" t="str">
        <f t="shared" si="77"/>
        <v>96532</v>
      </c>
      <c r="H2491" s="14">
        <f t="shared" si="78"/>
        <v>260.54000000000002</v>
      </c>
    </row>
    <row r="2492" spans="1:8" ht="41.4">
      <c r="A2492" s="502" t="s">
        <v>4509</v>
      </c>
      <c r="B2492" s="504" t="s">
        <v>28548</v>
      </c>
      <c r="C2492" s="502" t="s">
        <v>73</v>
      </c>
      <c r="D2492" s="503" t="s">
        <v>32063</v>
      </c>
      <c r="F2492" t="str">
        <f t="shared" si="77"/>
        <v>96533</v>
      </c>
      <c r="H2492" s="14">
        <f t="shared" si="78"/>
        <v>133.65</v>
      </c>
    </row>
    <row r="2493" spans="1:8" ht="41.4">
      <c r="A2493" s="502" t="s">
        <v>4510</v>
      </c>
      <c r="B2493" s="504" t="s">
        <v>28549</v>
      </c>
      <c r="C2493" s="502" t="s">
        <v>73</v>
      </c>
      <c r="D2493" s="503" t="s">
        <v>32064</v>
      </c>
      <c r="F2493" t="str">
        <f t="shared" si="77"/>
        <v>96534</v>
      </c>
      <c r="H2493" s="14">
        <f t="shared" si="78"/>
        <v>113.62</v>
      </c>
    </row>
    <row r="2494" spans="1:8" ht="41.4">
      <c r="A2494" s="502" t="s">
        <v>4511</v>
      </c>
      <c r="B2494" s="504" t="s">
        <v>28550</v>
      </c>
      <c r="C2494" s="502" t="s">
        <v>73</v>
      </c>
      <c r="D2494" s="503" t="s">
        <v>32065</v>
      </c>
      <c r="F2494" t="str">
        <f t="shared" si="77"/>
        <v>96535</v>
      </c>
      <c r="H2494" s="14">
        <f t="shared" si="78"/>
        <v>197.65</v>
      </c>
    </row>
    <row r="2495" spans="1:8" ht="41.4">
      <c r="A2495" s="502" t="s">
        <v>4512</v>
      </c>
      <c r="B2495" s="504" t="s">
        <v>28551</v>
      </c>
      <c r="C2495" s="502" t="s">
        <v>73</v>
      </c>
      <c r="D2495" s="503" t="s">
        <v>19452</v>
      </c>
      <c r="F2495" t="str">
        <f t="shared" si="77"/>
        <v>96536</v>
      </c>
      <c r="H2495" s="14">
        <f t="shared" si="78"/>
        <v>98.35</v>
      </c>
    </row>
    <row r="2496" spans="1:8" ht="41.4">
      <c r="A2496" s="502" t="s">
        <v>4513</v>
      </c>
      <c r="B2496" s="504" t="s">
        <v>28552</v>
      </c>
      <c r="C2496" s="502" t="s">
        <v>73</v>
      </c>
      <c r="D2496" s="503" t="s">
        <v>32066</v>
      </c>
      <c r="F2496" t="str">
        <f t="shared" si="77"/>
        <v>96537</v>
      </c>
      <c r="H2496" s="14">
        <f t="shared" si="78"/>
        <v>270.42</v>
      </c>
    </row>
    <row r="2497" spans="1:8" ht="41.4">
      <c r="A2497" s="502" t="s">
        <v>4514</v>
      </c>
      <c r="B2497" s="504" t="s">
        <v>28553</v>
      </c>
      <c r="C2497" s="502" t="s">
        <v>73</v>
      </c>
      <c r="D2497" s="503" t="s">
        <v>32067</v>
      </c>
      <c r="F2497" t="str">
        <f t="shared" si="77"/>
        <v>96538</v>
      </c>
      <c r="H2497" s="14">
        <f t="shared" si="78"/>
        <v>368.45</v>
      </c>
    </row>
    <row r="2498" spans="1:8" ht="41.4">
      <c r="A2498" s="502" t="s">
        <v>4515</v>
      </c>
      <c r="B2498" s="504" t="s">
        <v>28554</v>
      </c>
      <c r="C2498" s="502" t="s">
        <v>73</v>
      </c>
      <c r="D2498" s="503" t="s">
        <v>32068</v>
      </c>
      <c r="F2498" t="str">
        <f t="shared" si="77"/>
        <v>96539</v>
      </c>
      <c r="H2498" s="14">
        <f t="shared" si="78"/>
        <v>194.41</v>
      </c>
    </row>
    <row r="2499" spans="1:8" ht="41.4">
      <c r="A2499" s="502" t="s">
        <v>4516</v>
      </c>
      <c r="B2499" s="504" t="s">
        <v>28555</v>
      </c>
      <c r="C2499" s="502" t="s">
        <v>73</v>
      </c>
      <c r="D2499" s="503" t="s">
        <v>32069</v>
      </c>
      <c r="F2499" t="str">
        <f t="shared" si="77"/>
        <v>96540</v>
      </c>
      <c r="H2499" s="14">
        <f t="shared" si="78"/>
        <v>192.64</v>
      </c>
    </row>
    <row r="2500" spans="1:8" ht="41.4">
      <c r="A2500" s="502" t="s">
        <v>4517</v>
      </c>
      <c r="B2500" s="504" t="s">
        <v>28556</v>
      </c>
      <c r="C2500" s="502" t="s">
        <v>73</v>
      </c>
      <c r="D2500" s="503" t="s">
        <v>32070</v>
      </c>
      <c r="F2500" t="str">
        <f t="shared" si="77"/>
        <v>96541</v>
      </c>
      <c r="H2500" s="14">
        <f t="shared" si="78"/>
        <v>271.86</v>
      </c>
    </row>
    <row r="2501" spans="1:8" ht="41.4">
      <c r="A2501" s="502" t="s">
        <v>4518</v>
      </c>
      <c r="B2501" s="504" t="s">
        <v>28557</v>
      </c>
      <c r="C2501" s="502" t="s">
        <v>73</v>
      </c>
      <c r="D2501" s="503" t="s">
        <v>32071</v>
      </c>
      <c r="F2501" t="str">
        <f t="shared" ref="F2501:F2564" si="79">TRIM(A2501)</f>
        <v>96542</v>
      </c>
      <c r="H2501" s="14">
        <f t="shared" ref="H2501:H2564" si="80">ROUND(D2501*(1+$H$1),2)</f>
        <v>145.15</v>
      </c>
    </row>
    <row r="2502" spans="1:8" ht="27.6">
      <c r="A2502" s="502" t="s">
        <v>4519</v>
      </c>
      <c r="B2502" s="504" t="s">
        <v>28558</v>
      </c>
      <c r="C2502" s="502" t="s">
        <v>71</v>
      </c>
      <c r="D2502" s="503" t="s">
        <v>32072</v>
      </c>
      <c r="F2502" t="str">
        <f t="shared" si="79"/>
        <v>96543</v>
      </c>
      <c r="H2502" s="14">
        <f t="shared" si="80"/>
        <v>30.99</v>
      </c>
    </row>
    <row r="2503" spans="1:8" ht="27.6">
      <c r="A2503" s="502" t="s">
        <v>12467</v>
      </c>
      <c r="B2503" s="504" t="s">
        <v>12468</v>
      </c>
      <c r="C2503" s="502" t="s">
        <v>75</v>
      </c>
      <c r="D2503" s="503" t="s">
        <v>19570</v>
      </c>
      <c r="F2503" t="str">
        <f t="shared" si="79"/>
        <v>101791</v>
      </c>
      <c r="H2503" s="14">
        <f t="shared" si="80"/>
        <v>34.619999999999997</v>
      </c>
    </row>
    <row r="2504" spans="1:8" ht="41.4">
      <c r="A2504" s="502" t="s">
        <v>12469</v>
      </c>
      <c r="B2504" s="504" t="s">
        <v>12470</v>
      </c>
      <c r="C2504" s="502" t="s">
        <v>83</v>
      </c>
      <c r="D2504" s="503" t="s">
        <v>29550</v>
      </c>
      <c r="F2504" t="str">
        <f t="shared" si="79"/>
        <v>101792</v>
      </c>
      <c r="H2504" s="14">
        <f t="shared" si="80"/>
        <v>24.25</v>
      </c>
    </row>
    <row r="2505" spans="1:8" ht="41.4">
      <c r="A2505" s="502" t="s">
        <v>12471</v>
      </c>
      <c r="B2505" s="504" t="s">
        <v>12472</v>
      </c>
      <c r="C2505" s="502" t="s">
        <v>83</v>
      </c>
      <c r="D2505" s="503" t="s">
        <v>28040</v>
      </c>
      <c r="F2505" t="str">
        <f t="shared" si="79"/>
        <v>101793</v>
      </c>
      <c r="H2505" s="14">
        <f t="shared" si="80"/>
        <v>36.340000000000003</v>
      </c>
    </row>
    <row r="2506" spans="1:8" ht="41.4">
      <c r="A2506" s="502" t="s">
        <v>12473</v>
      </c>
      <c r="B2506" s="504" t="s">
        <v>12474</v>
      </c>
      <c r="C2506" s="502" t="s">
        <v>73</v>
      </c>
      <c r="D2506" s="503" t="s">
        <v>32073</v>
      </c>
      <c r="F2506" t="str">
        <f t="shared" si="79"/>
        <v>101969</v>
      </c>
      <c r="H2506" s="14">
        <f t="shared" si="80"/>
        <v>285.85000000000002</v>
      </c>
    </row>
    <row r="2507" spans="1:8" ht="41.4">
      <c r="A2507" s="502" t="s">
        <v>12475</v>
      </c>
      <c r="B2507" s="504" t="s">
        <v>12476</v>
      </c>
      <c r="C2507" s="502" t="s">
        <v>73</v>
      </c>
      <c r="D2507" s="503" t="s">
        <v>29103</v>
      </c>
      <c r="F2507" t="str">
        <f t="shared" si="79"/>
        <v>101971</v>
      </c>
      <c r="H2507" s="14">
        <f t="shared" si="80"/>
        <v>220.14</v>
      </c>
    </row>
    <row r="2508" spans="1:8" ht="41.4">
      <c r="A2508" s="502" t="s">
        <v>12477</v>
      </c>
      <c r="B2508" s="504" t="s">
        <v>12478</v>
      </c>
      <c r="C2508" s="502" t="s">
        <v>73</v>
      </c>
      <c r="D2508" s="503" t="s">
        <v>32074</v>
      </c>
      <c r="F2508" t="str">
        <f t="shared" si="79"/>
        <v>101973</v>
      </c>
      <c r="H2508" s="14">
        <f t="shared" si="80"/>
        <v>294.14999999999998</v>
      </c>
    </row>
    <row r="2509" spans="1:8" ht="41.4">
      <c r="A2509" s="502" t="s">
        <v>12479</v>
      </c>
      <c r="B2509" s="504" t="s">
        <v>12480</v>
      </c>
      <c r="C2509" s="502" t="s">
        <v>73</v>
      </c>
      <c r="D2509" s="503" t="s">
        <v>32075</v>
      </c>
      <c r="F2509" t="str">
        <f t="shared" si="79"/>
        <v>101974</v>
      </c>
      <c r="H2509" s="14">
        <f t="shared" si="80"/>
        <v>714.05</v>
      </c>
    </row>
    <row r="2510" spans="1:8" ht="41.4">
      <c r="A2510" s="502" t="s">
        <v>12481</v>
      </c>
      <c r="B2510" s="504" t="s">
        <v>12482</v>
      </c>
      <c r="C2510" s="502" t="s">
        <v>73</v>
      </c>
      <c r="D2510" s="503" t="s">
        <v>32076</v>
      </c>
      <c r="F2510" t="str">
        <f t="shared" si="79"/>
        <v>101975</v>
      </c>
      <c r="H2510" s="14">
        <f t="shared" si="80"/>
        <v>603.78</v>
      </c>
    </row>
    <row r="2511" spans="1:8" ht="41.4">
      <c r="A2511" s="502" t="s">
        <v>12483</v>
      </c>
      <c r="B2511" s="504" t="s">
        <v>12484</v>
      </c>
      <c r="C2511" s="502" t="s">
        <v>73</v>
      </c>
      <c r="D2511" s="503" t="s">
        <v>32077</v>
      </c>
      <c r="F2511" t="str">
        <f t="shared" si="79"/>
        <v>101977</v>
      </c>
      <c r="H2511" s="14">
        <f t="shared" si="80"/>
        <v>466.44</v>
      </c>
    </row>
    <row r="2512" spans="1:8" ht="41.4">
      <c r="A2512" s="502" t="s">
        <v>12485</v>
      </c>
      <c r="B2512" s="504" t="s">
        <v>12486</v>
      </c>
      <c r="C2512" s="502" t="s">
        <v>73</v>
      </c>
      <c r="D2512" s="503" t="s">
        <v>32078</v>
      </c>
      <c r="F2512" t="str">
        <f t="shared" si="79"/>
        <v>101980</v>
      </c>
      <c r="H2512" s="14">
        <f t="shared" si="80"/>
        <v>429.52</v>
      </c>
    </row>
    <row r="2513" spans="1:8" ht="41.4">
      <c r="A2513" s="502" t="s">
        <v>12487</v>
      </c>
      <c r="B2513" s="504" t="s">
        <v>12488</v>
      </c>
      <c r="C2513" s="502" t="s">
        <v>73</v>
      </c>
      <c r="D2513" s="503" t="s">
        <v>32079</v>
      </c>
      <c r="F2513" t="str">
        <f t="shared" si="79"/>
        <v>101981</v>
      </c>
      <c r="H2513" s="14">
        <f t="shared" si="80"/>
        <v>374.13</v>
      </c>
    </row>
    <row r="2514" spans="1:8" ht="41.4">
      <c r="A2514" s="502" t="s">
        <v>12489</v>
      </c>
      <c r="B2514" s="504" t="s">
        <v>12490</v>
      </c>
      <c r="C2514" s="502" t="s">
        <v>73</v>
      </c>
      <c r="D2514" s="503" t="s">
        <v>32080</v>
      </c>
      <c r="F2514" t="str">
        <f t="shared" si="79"/>
        <v>101982</v>
      </c>
      <c r="H2514" s="14">
        <f t="shared" si="80"/>
        <v>334.03</v>
      </c>
    </row>
    <row r="2515" spans="1:8" ht="41.4">
      <c r="A2515" s="502" t="s">
        <v>12491</v>
      </c>
      <c r="B2515" s="504" t="s">
        <v>12492</v>
      </c>
      <c r="C2515" s="502" t="s">
        <v>73</v>
      </c>
      <c r="D2515" s="503" t="s">
        <v>32081</v>
      </c>
      <c r="F2515" t="str">
        <f t="shared" si="79"/>
        <v>101983</v>
      </c>
      <c r="H2515" s="14">
        <f t="shared" si="80"/>
        <v>308.82</v>
      </c>
    </row>
    <row r="2516" spans="1:8" ht="41.4">
      <c r="A2516" s="502" t="s">
        <v>12493</v>
      </c>
      <c r="B2516" s="504" t="s">
        <v>12494</v>
      </c>
      <c r="C2516" s="502" t="s">
        <v>73</v>
      </c>
      <c r="D2516" s="503" t="s">
        <v>32082</v>
      </c>
      <c r="F2516" t="str">
        <f t="shared" si="79"/>
        <v>101985</v>
      </c>
      <c r="H2516" s="14">
        <f t="shared" si="80"/>
        <v>306.22000000000003</v>
      </c>
    </row>
    <row r="2517" spans="1:8" ht="41.4">
      <c r="A2517" s="502" t="s">
        <v>12495</v>
      </c>
      <c r="B2517" s="504" t="s">
        <v>12496</v>
      </c>
      <c r="C2517" s="502" t="s">
        <v>73</v>
      </c>
      <c r="D2517" s="503" t="s">
        <v>32083</v>
      </c>
      <c r="F2517" t="str">
        <f t="shared" si="79"/>
        <v>101986</v>
      </c>
      <c r="H2517" s="14">
        <f t="shared" si="80"/>
        <v>222.69</v>
      </c>
    </row>
    <row r="2518" spans="1:8" ht="41.4">
      <c r="A2518" s="502" t="s">
        <v>12497</v>
      </c>
      <c r="B2518" s="504" t="s">
        <v>12498</v>
      </c>
      <c r="C2518" s="502" t="s">
        <v>73</v>
      </c>
      <c r="D2518" s="503" t="s">
        <v>32084</v>
      </c>
      <c r="F2518" t="str">
        <f t="shared" si="79"/>
        <v>101987</v>
      </c>
      <c r="H2518" s="14">
        <f t="shared" si="80"/>
        <v>345.14</v>
      </c>
    </row>
    <row r="2519" spans="1:8" ht="41.4">
      <c r="A2519" s="502" t="s">
        <v>12499</v>
      </c>
      <c r="B2519" s="504" t="s">
        <v>12500</v>
      </c>
      <c r="C2519" s="502" t="s">
        <v>73</v>
      </c>
      <c r="D2519" s="503" t="s">
        <v>21499</v>
      </c>
      <c r="F2519" t="str">
        <f t="shared" si="79"/>
        <v>101988</v>
      </c>
      <c r="H2519" s="14">
        <f t="shared" si="80"/>
        <v>297.2</v>
      </c>
    </row>
    <row r="2520" spans="1:8" ht="41.4">
      <c r="A2520" s="502" t="s">
        <v>12501</v>
      </c>
      <c r="B2520" s="504" t="s">
        <v>12502</v>
      </c>
      <c r="C2520" s="502" t="s">
        <v>73</v>
      </c>
      <c r="D2520" s="503" t="s">
        <v>32085</v>
      </c>
      <c r="F2520" t="str">
        <f t="shared" si="79"/>
        <v>101989</v>
      </c>
      <c r="H2520" s="14">
        <f t="shared" si="80"/>
        <v>232.31</v>
      </c>
    </row>
    <row r="2521" spans="1:8" ht="41.4">
      <c r="A2521" s="502" t="s">
        <v>12503</v>
      </c>
      <c r="B2521" s="504" t="s">
        <v>12504</v>
      </c>
      <c r="C2521" s="502" t="s">
        <v>73</v>
      </c>
      <c r="D2521" s="503" t="s">
        <v>32086</v>
      </c>
      <c r="F2521" t="str">
        <f t="shared" si="79"/>
        <v>101990</v>
      </c>
      <c r="H2521" s="14">
        <f t="shared" si="80"/>
        <v>316.66000000000003</v>
      </c>
    </row>
    <row r="2522" spans="1:8" ht="41.4">
      <c r="A2522" s="502" t="s">
        <v>12505</v>
      </c>
      <c r="B2522" s="504" t="s">
        <v>12506</v>
      </c>
      <c r="C2522" s="502" t="s">
        <v>73</v>
      </c>
      <c r="D2522" s="503" t="s">
        <v>32087</v>
      </c>
      <c r="F2522" t="str">
        <f t="shared" si="79"/>
        <v>101991</v>
      </c>
      <c r="H2522" s="14">
        <f t="shared" si="80"/>
        <v>306.81</v>
      </c>
    </row>
    <row r="2523" spans="1:8" ht="41.4">
      <c r="A2523" s="502" t="s">
        <v>12507</v>
      </c>
      <c r="B2523" s="504" t="s">
        <v>12508</v>
      </c>
      <c r="C2523" s="502" t="s">
        <v>73</v>
      </c>
      <c r="D2523" s="503" t="s">
        <v>32088</v>
      </c>
      <c r="F2523" t="str">
        <f t="shared" si="79"/>
        <v>101992</v>
      </c>
      <c r="H2523" s="14">
        <f t="shared" si="80"/>
        <v>226.95</v>
      </c>
    </row>
    <row r="2524" spans="1:8" ht="41.4">
      <c r="A2524" s="502" t="s">
        <v>12509</v>
      </c>
      <c r="B2524" s="504" t="s">
        <v>12510</v>
      </c>
      <c r="C2524" s="502" t="s">
        <v>73</v>
      </c>
      <c r="D2524" s="503" t="s">
        <v>32089</v>
      </c>
      <c r="F2524" t="str">
        <f t="shared" si="79"/>
        <v>101993</v>
      </c>
      <c r="H2524" s="14">
        <f t="shared" si="80"/>
        <v>404.21</v>
      </c>
    </row>
    <row r="2525" spans="1:8" ht="41.4">
      <c r="A2525" s="502" t="s">
        <v>12511</v>
      </c>
      <c r="B2525" s="504" t="s">
        <v>12512</v>
      </c>
      <c r="C2525" s="502" t="s">
        <v>73</v>
      </c>
      <c r="D2525" s="503" t="s">
        <v>32090</v>
      </c>
      <c r="F2525" t="str">
        <f t="shared" si="79"/>
        <v>101994</v>
      </c>
      <c r="H2525" s="14">
        <f t="shared" si="80"/>
        <v>315.42</v>
      </c>
    </row>
    <row r="2526" spans="1:8" ht="41.4">
      <c r="A2526" s="502" t="s">
        <v>12513</v>
      </c>
      <c r="B2526" s="504" t="s">
        <v>12514</v>
      </c>
      <c r="C2526" s="502" t="s">
        <v>73</v>
      </c>
      <c r="D2526" s="503" t="s">
        <v>32091</v>
      </c>
      <c r="F2526" t="str">
        <f t="shared" si="79"/>
        <v>101995</v>
      </c>
      <c r="H2526" s="14">
        <f t="shared" si="80"/>
        <v>242.58</v>
      </c>
    </row>
    <row r="2527" spans="1:8" ht="27.6">
      <c r="A2527" s="502" t="s">
        <v>12515</v>
      </c>
      <c r="B2527" s="504" t="s">
        <v>12516</v>
      </c>
      <c r="C2527" s="502" t="s">
        <v>73</v>
      </c>
      <c r="D2527" s="503" t="s">
        <v>32092</v>
      </c>
      <c r="F2527" t="str">
        <f t="shared" si="79"/>
        <v>101996</v>
      </c>
      <c r="H2527" s="14">
        <f t="shared" si="80"/>
        <v>339.57</v>
      </c>
    </row>
    <row r="2528" spans="1:8" ht="41.4">
      <c r="A2528" s="502" t="s">
        <v>12517</v>
      </c>
      <c r="B2528" s="504" t="s">
        <v>12518</v>
      </c>
      <c r="C2528" s="502" t="s">
        <v>73</v>
      </c>
      <c r="D2528" s="503" t="s">
        <v>32093</v>
      </c>
      <c r="F2528" t="str">
        <f t="shared" si="79"/>
        <v>101997</v>
      </c>
      <c r="H2528" s="14">
        <f t="shared" si="80"/>
        <v>307.08999999999997</v>
      </c>
    </row>
    <row r="2529" spans="1:8" ht="41.4">
      <c r="A2529" s="502" t="s">
        <v>12519</v>
      </c>
      <c r="B2529" s="504" t="s">
        <v>12520</v>
      </c>
      <c r="C2529" s="502" t="s">
        <v>73</v>
      </c>
      <c r="D2529" s="503" t="s">
        <v>32094</v>
      </c>
      <c r="F2529" t="str">
        <f t="shared" si="79"/>
        <v>101998</v>
      </c>
      <c r="H2529" s="14">
        <f t="shared" si="80"/>
        <v>225.42</v>
      </c>
    </row>
    <row r="2530" spans="1:8" ht="41.4">
      <c r="A2530" s="502" t="s">
        <v>12521</v>
      </c>
      <c r="B2530" s="504" t="s">
        <v>12522</v>
      </c>
      <c r="C2530" s="502" t="s">
        <v>73</v>
      </c>
      <c r="D2530" s="503" t="s">
        <v>32095</v>
      </c>
      <c r="F2530" t="str">
        <f t="shared" si="79"/>
        <v>101999</v>
      </c>
      <c r="H2530" s="14">
        <f t="shared" si="80"/>
        <v>432.62</v>
      </c>
    </row>
    <row r="2531" spans="1:8" ht="41.4">
      <c r="A2531" s="502" t="s">
        <v>12523</v>
      </c>
      <c r="B2531" s="504" t="s">
        <v>12524</v>
      </c>
      <c r="C2531" s="502" t="s">
        <v>73</v>
      </c>
      <c r="D2531" s="503" t="s">
        <v>32096</v>
      </c>
      <c r="F2531" t="str">
        <f t="shared" si="79"/>
        <v>102000</v>
      </c>
      <c r="H2531" s="14">
        <f t="shared" si="80"/>
        <v>728.57</v>
      </c>
    </row>
    <row r="2532" spans="1:8" ht="41.4">
      <c r="A2532" s="502" t="s">
        <v>12525</v>
      </c>
      <c r="B2532" s="504" t="s">
        <v>12526</v>
      </c>
      <c r="C2532" s="502" t="s">
        <v>73</v>
      </c>
      <c r="D2532" s="503" t="s">
        <v>32097</v>
      </c>
      <c r="F2532" t="str">
        <f t="shared" si="79"/>
        <v>102001</v>
      </c>
      <c r="H2532" s="14">
        <f t="shared" si="80"/>
        <v>623.53</v>
      </c>
    </row>
    <row r="2533" spans="1:8" ht="41.4">
      <c r="A2533" s="502" t="s">
        <v>12527</v>
      </c>
      <c r="B2533" s="504" t="s">
        <v>12528</v>
      </c>
      <c r="C2533" s="502" t="s">
        <v>73</v>
      </c>
      <c r="D2533" s="503" t="s">
        <v>32098</v>
      </c>
      <c r="F2533" t="str">
        <f t="shared" si="79"/>
        <v>102002</v>
      </c>
      <c r="H2533" s="14">
        <f t="shared" si="80"/>
        <v>459.99</v>
      </c>
    </row>
    <row r="2534" spans="1:8" ht="41.4">
      <c r="A2534" s="502" t="s">
        <v>12529</v>
      </c>
      <c r="B2534" s="504" t="s">
        <v>12530</v>
      </c>
      <c r="C2534" s="502" t="s">
        <v>73</v>
      </c>
      <c r="D2534" s="503" t="s">
        <v>32099</v>
      </c>
      <c r="F2534" t="str">
        <f t="shared" si="79"/>
        <v>102003</v>
      </c>
      <c r="H2534" s="14">
        <f t="shared" si="80"/>
        <v>421.66</v>
      </c>
    </row>
    <row r="2535" spans="1:8" ht="41.4">
      <c r="A2535" s="502" t="s">
        <v>12531</v>
      </c>
      <c r="B2535" s="504" t="s">
        <v>12532</v>
      </c>
      <c r="C2535" s="502" t="s">
        <v>73</v>
      </c>
      <c r="D2535" s="503" t="s">
        <v>32100</v>
      </c>
      <c r="F2535" t="str">
        <f t="shared" si="79"/>
        <v>102004</v>
      </c>
      <c r="H2535" s="14">
        <f t="shared" si="80"/>
        <v>372.58</v>
      </c>
    </row>
    <row r="2536" spans="1:8" ht="41.4">
      <c r="A2536" s="502" t="s">
        <v>12533</v>
      </c>
      <c r="B2536" s="504" t="s">
        <v>12534</v>
      </c>
      <c r="C2536" s="502" t="s">
        <v>73</v>
      </c>
      <c r="D2536" s="503" t="s">
        <v>32101</v>
      </c>
      <c r="F2536" t="str">
        <f t="shared" si="79"/>
        <v>102005</v>
      </c>
      <c r="H2536" s="14">
        <f t="shared" si="80"/>
        <v>330.26</v>
      </c>
    </row>
    <row r="2537" spans="1:8" ht="41.4">
      <c r="A2537" s="502" t="s">
        <v>12535</v>
      </c>
      <c r="B2537" s="504" t="s">
        <v>12536</v>
      </c>
      <c r="C2537" s="502" t="s">
        <v>73</v>
      </c>
      <c r="D2537" s="503" t="s">
        <v>32102</v>
      </c>
      <c r="F2537" t="str">
        <f t="shared" si="79"/>
        <v>102006</v>
      </c>
      <c r="H2537" s="14">
        <f t="shared" si="80"/>
        <v>303.62</v>
      </c>
    </row>
    <row r="2538" spans="1:8" ht="41.4">
      <c r="A2538" s="502" t="s">
        <v>12537</v>
      </c>
      <c r="B2538" s="504" t="s">
        <v>12538</v>
      </c>
      <c r="C2538" s="502" t="s">
        <v>73</v>
      </c>
      <c r="D2538" s="503" t="s">
        <v>32103</v>
      </c>
      <c r="F2538" t="str">
        <f t="shared" si="79"/>
        <v>102007</v>
      </c>
      <c r="H2538" s="14">
        <f t="shared" si="80"/>
        <v>706.7</v>
      </c>
    </row>
    <row r="2539" spans="1:8" ht="41.4">
      <c r="A2539" s="502" t="s">
        <v>12539</v>
      </c>
      <c r="B2539" s="504" t="s">
        <v>12540</v>
      </c>
      <c r="C2539" s="502" t="s">
        <v>73</v>
      </c>
      <c r="D2539" s="503" t="s">
        <v>32104</v>
      </c>
      <c r="F2539" t="str">
        <f t="shared" si="79"/>
        <v>102008</v>
      </c>
      <c r="H2539" s="14">
        <f t="shared" si="80"/>
        <v>587.47</v>
      </c>
    </row>
    <row r="2540" spans="1:8" ht="41.4">
      <c r="A2540" s="502" t="s">
        <v>12541</v>
      </c>
      <c r="B2540" s="504" t="s">
        <v>12542</v>
      </c>
      <c r="C2540" s="502" t="s">
        <v>73</v>
      </c>
      <c r="D2540" s="503" t="s">
        <v>32105</v>
      </c>
      <c r="F2540" t="str">
        <f t="shared" si="79"/>
        <v>102009</v>
      </c>
      <c r="H2540" s="14">
        <f t="shared" si="80"/>
        <v>469.03</v>
      </c>
    </row>
    <row r="2541" spans="1:8" ht="41.4">
      <c r="A2541" s="502" t="s">
        <v>12543</v>
      </c>
      <c r="B2541" s="504" t="s">
        <v>12544</v>
      </c>
      <c r="C2541" s="502" t="s">
        <v>73</v>
      </c>
      <c r="D2541" s="503" t="s">
        <v>32106</v>
      </c>
      <c r="F2541" t="str">
        <f t="shared" si="79"/>
        <v>102010</v>
      </c>
      <c r="H2541" s="14">
        <f t="shared" si="80"/>
        <v>427.88</v>
      </c>
    </row>
    <row r="2542" spans="1:8" ht="41.4">
      <c r="A2542" s="502" t="s">
        <v>12545</v>
      </c>
      <c r="B2542" s="504" t="s">
        <v>12546</v>
      </c>
      <c r="C2542" s="502" t="s">
        <v>73</v>
      </c>
      <c r="D2542" s="503" t="s">
        <v>32107</v>
      </c>
      <c r="F2542" t="str">
        <f t="shared" si="79"/>
        <v>102011</v>
      </c>
      <c r="H2542" s="14">
        <f t="shared" si="80"/>
        <v>368.92</v>
      </c>
    </row>
    <row r="2543" spans="1:8" ht="41.4">
      <c r="A2543" s="502" t="s">
        <v>12547</v>
      </c>
      <c r="B2543" s="504" t="s">
        <v>12548</v>
      </c>
      <c r="C2543" s="502" t="s">
        <v>73</v>
      </c>
      <c r="D2543" s="503" t="s">
        <v>32108</v>
      </c>
      <c r="F2543" t="str">
        <f t="shared" si="79"/>
        <v>102012</v>
      </c>
      <c r="H2543" s="14">
        <f t="shared" si="80"/>
        <v>327.57</v>
      </c>
    </row>
    <row r="2544" spans="1:8" ht="41.4">
      <c r="A2544" s="502" t="s">
        <v>12549</v>
      </c>
      <c r="B2544" s="504" t="s">
        <v>12550</v>
      </c>
      <c r="C2544" s="502" t="s">
        <v>73</v>
      </c>
      <c r="D2544" s="503" t="s">
        <v>32109</v>
      </c>
      <c r="F2544" t="str">
        <f t="shared" si="79"/>
        <v>102013</v>
      </c>
      <c r="H2544" s="14">
        <f t="shared" si="80"/>
        <v>304.54000000000002</v>
      </c>
    </row>
    <row r="2545" spans="1:8" ht="41.4">
      <c r="A2545" s="502" t="s">
        <v>12551</v>
      </c>
      <c r="B2545" s="504" t="s">
        <v>12552</v>
      </c>
      <c r="C2545" s="502" t="s">
        <v>73</v>
      </c>
      <c r="D2545" s="503" t="s">
        <v>32110</v>
      </c>
      <c r="F2545" t="str">
        <f t="shared" si="79"/>
        <v>102014</v>
      </c>
      <c r="H2545" s="14">
        <f t="shared" si="80"/>
        <v>787.59</v>
      </c>
    </row>
    <row r="2546" spans="1:8" ht="41.4">
      <c r="A2546" s="502" t="s">
        <v>12553</v>
      </c>
      <c r="B2546" s="504" t="s">
        <v>12554</v>
      </c>
      <c r="C2546" s="502" t="s">
        <v>73</v>
      </c>
      <c r="D2546" s="503" t="s">
        <v>32111</v>
      </c>
      <c r="F2546" t="str">
        <f t="shared" si="79"/>
        <v>102015</v>
      </c>
      <c r="H2546" s="14">
        <f t="shared" si="80"/>
        <v>657.2</v>
      </c>
    </row>
    <row r="2547" spans="1:8" ht="41.4">
      <c r="A2547" s="502" t="s">
        <v>12555</v>
      </c>
      <c r="B2547" s="504" t="s">
        <v>12556</v>
      </c>
      <c r="C2547" s="502" t="s">
        <v>73</v>
      </c>
      <c r="D2547" s="503" t="s">
        <v>32112</v>
      </c>
      <c r="F2547" t="str">
        <f t="shared" si="79"/>
        <v>102016</v>
      </c>
      <c r="H2547" s="14">
        <f t="shared" si="80"/>
        <v>457.39</v>
      </c>
    </row>
    <row r="2548" spans="1:8" ht="41.4">
      <c r="A2548" s="502" t="s">
        <v>12557</v>
      </c>
      <c r="B2548" s="504" t="s">
        <v>12558</v>
      </c>
      <c r="C2548" s="502" t="s">
        <v>73</v>
      </c>
      <c r="D2548" s="503" t="s">
        <v>32113</v>
      </c>
      <c r="F2548" t="str">
        <f t="shared" si="79"/>
        <v>102017</v>
      </c>
      <c r="H2548" s="14">
        <f t="shared" si="80"/>
        <v>415.86</v>
      </c>
    </row>
    <row r="2549" spans="1:8" ht="41.4">
      <c r="A2549" s="502" t="s">
        <v>12559</v>
      </c>
      <c r="B2549" s="504" t="s">
        <v>12560</v>
      </c>
      <c r="C2549" s="502" t="s">
        <v>73</v>
      </c>
      <c r="D2549" s="503" t="s">
        <v>32114</v>
      </c>
      <c r="F2549" t="str">
        <f t="shared" si="79"/>
        <v>102036</v>
      </c>
      <c r="H2549" s="14">
        <f t="shared" si="80"/>
        <v>363.8</v>
      </c>
    </row>
    <row r="2550" spans="1:8" ht="41.4">
      <c r="A2550" s="502" t="s">
        <v>12561</v>
      </c>
      <c r="B2550" s="504" t="s">
        <v>12562</v>
      </c>
      <c r="C2550" s="502" t="s">
        <v>73</v>
      </c>
      <c r="D2550" s="503" t="s">
        <v>32115</v>
      </c>
      <c r="F2550" t="str">
        <f t="shared" si="79"/>
        <v>102037</v>
      </c>
      <c r="H2550" s="14">
        <f t="shared" si="80"/>
        <v>321.39999999999998</v>
      </c>
    </row>
    <row r="2551" spans="1:8" ht="41.4">
      <c r="A2551" s="502" t="s">
        <v>12564</v>
      </c>
      <c r="B2551" s="504" t="s">
        <v>12565</v>
      </c>
      <c r="C2551" s="502" t="s">
        <v>73</v>
      </c>
      <c r="D2551" s="503" t="s">
        <v>32116</v>
      </c>
      <c r="F2551" t="str">
        <f t="shared" si="79"/>
        <v>102038</v>
      </c>
      <c r="H2551" s="14">
        <f t="shared" si="80"/>
        <v>297.79000000000002</v>
      </c>
    </row>
    <row r="2552" spans="1:8" ht="41.4">
      <c r="A2552" s="502" t="s">
        <v>12566</v>
      </c>
      <c r="B2552" s="504" t="s">
        <v>12567</v>
      </c>
      <c r="C2552" s="502" t="s">
        <v>73</v>
      </c>
      <c r="D2552" s="503" t="s">
        <v>32117</v>
      </c>
      <c r="F2552" t="str">
        <f t="shared" si="79"/>
        <v>102039</v>
      </c>
      <c r="H2552" s="14">
        <f t="shared" si="80"/>
        <v>737.01</v>
      </c>
    </row>
    <row r="2553" spans="1:8" ht="41.4">
      <c r="A2553" s="502" t="s">
        <v>12568</v>
      </c>
      <c r="B2553" s="504" t="s">
        <v>12569</v>
      </c>
      <c r="C2553" s="502" t="s">
        <v>73</v>
      </c>
      <c r="D2553" s="503" t="s">
        <v>32118</v>
      </c>
      <c r="F2553" t="str">
        <f t="shared" si="79"/>
        <v>102040</v>
      </c>
      <c r="H2553" s="14">
        <f t="shared" si="80"/>
        <v>611.05999999999995</v>
      </c>
    </row>
    <row r="2554" spans="1:8" ht="41.4">
      <c r="A2554" s="502" t="s">
        <v>12570</v>
      </c>
      <c r="B2554" s="504" t="s">
        <v>12571</v>
      </c>
      <c r="C2554" s="502" t="s">
        <v>73</v>
      </c>
      <c r="D2554" s="503" t="s">
        <v>32119</v>
      </c>
      <c r="F2554" t="str">
        <f t="shared" si="79"/>
        <v>102041</v>
      </c>
      <c r="H2554" s="14">
        <f t="shared" si="80"/>
        <v>469.68</v>
      </c>
    </row>
    <row r="2555" spans="1:8" ht="41.4">
      <c r="A2555" s="502" t="s">
        <v>12572</v>
      </c>
      <c r="B2555" s="504" t="s">
        <v>12573</v>
      </c>
      <c r="C2555" s="502" t="s">
        <v>73</v>
      </c>
      <c r="D2555" s="503" t="s">
        <v>32120</v>
      </c>
      <c r="F2555" t="str">
        <f t="shared" si="79"/>
        <v>102042</v>
      </c>
      <c r="H2555" s="14">
        <f t="shared" si="80"/>
        <v>424.17</v>
      </c>
    </row>
    <row r="2556" spans="1:8" ht="41.4">
      <c r="A2556" s="502" t="s">
        <v>12574</v>
      </c>
      <c r="B2556" s="504" t="s">
        <v>12575</v>
      </c>
      <c r="C2556" s="502" t="s">
        <v>73</v>
      </c>
      <c r="D2556" s="503" t="s">
        <v>32121</v>
      </c>
      <c r="F2556" t="str">
        <f t="shared" si="79"/>
        <v>102043</v>
      </c>
      <c r="H2556" s="14">
        <f t="shared" si="80"/>
        <v>367.06</v>
      </c>
    </row>
    <row r="2557" spans="1:8" ht="41.4">
      <c r="A2557" s="502" t="s">
        <v>12576</v>
      </c>
      <c r="B2557" s="504" t="s">
        <v>12577</v>
      </c>
      <c r="C2557" s="502" t="s">
        <v>73</v>
      </c>
      <c r="D2557" s="503" t="s">
        <v>32122</v>
      </c>
      <c r="F2557" t="str">
        <f t="shared" si="79"/>
        <v>102044</v>
      </c>
      <c r="H2557" s="14">
        <f t="shared" si="80"/>
        <v>326.88</v>
      </c>
    </row>
    <row r="2558" spans="1:8" ht="41.4">
      <c r="A2558" s="502" t="s">
        <v>12578</v>
      </c>
      <c r="B2558" s="504" t="s">
        <v>12579</v>
      </c>
      <c r="C2558" s="502" t="s">
        <v>73</v>
      </c>
      <c r="D2558" s="503" t="s">
        <v>32123</v>
      </c>
      <c r="F2558" t="str">
        <f t="shared" si="79"/>
        <v>102045</v>
      </c>
      <c r="H2558" s="14">
        <f t="shared" si="80"/>
        <v>302.76</v>
      </c>
    </row>
    <row r="2559" spans="1:8" ht="41.4">
      <c r="A2559" s="502" t="s">
        <v>12580</v>
      </c>
      <c r="B2559" s="504" t="s">
        <v>12581</v>
      </c>
      <c r="C2559" s="502" t="s">
        <v>73</v>
      </c>
      <c r="D2559" s="503" t="s">
        <v>32124</v>
      </c>
      <c r="F2559" t="str">
        <f t="shared" si="79"/>
        <v>102046</v>
      </c>
      <c r="H2559" s="14">
        <f t="shared" si="80"/>
        <v>801.66</v>
      </c>
    </row>
    <row r="2560" spans="1:8" ht="41.4">
      <c r="A2560" s="502" t="s">
        <v>12582</v>
      </c>
      <c r="B2560" s="504" t="s">
        <v>12583</v>
      </c>
      <c r="C2560" s="502" t="s">
        <v>73</v>
      </c>
      <c r="D2560" s="503" t="s">
        <v>32125</v>
      </c>
      <c r="F2560" t="str">
        <f t="shared" si="79"/>
        <v>102047</v>
      </c>
      <c r="H2560" s="14">
        <f t="shared" si="80"/>
        <v>679.68</v>
      </c>
    </row>
    <row r="2561" spans="1:8" ht="41.4">
      <c r="A2561" s="502" t="s">
        <v>12584</v>
      </c>
      <c r="B2561" s="504" t="s">
        <v>12585</v>
      </c>
      <c r="C2561" s="502" t="s">
        <v>73</v>
      </c>
      <c r="D2561" s="503" t="s">
        <v>32126</v>
      </c>
      <c r="F2561" t="str">
        <f t="shared" si="79"/>
        <v>102048</v>
      </c>
      <c r="H2561" s="14">
        <f t="shared" si="80"/>
        <v>446.43</v>
      </c>
    </row>
    <row r="2562" spans="1:8" ht="41.4">
      <c r="A2562" s="502" t="s">
        <v>12586</v>
      </c>
      <c r="B2562" s="504" t="s">
        <v>12587</v>
      </c>
      <c r="C2562" s="502" t="s">
        <v>73</v>
      </c>
      <c r="D2562" s="503" t="s">
        <v>32127</v>
      </c>
      <c r="F2562" t="str">
        <f t="shared" si="79"/>
        <v>102049</v>
      </c>
      <c r="H2562" s="14">
        <f t="shared" si="80"/>
        <v>399.31</v>
      </c>
    </row>
    <row r="2563" spans="1:8" ht="41.4">
      <c r="A2563" s="502" t="s">
        <v>12588</v>
      </c>
      <c r="B2563" s="504" t="s">
        <v>12589</v>
      </c>
      <c r="C2563" s="502" t="s">
        <v>73</v>
      </c>
      <c r="D2563" s="503" t="s">
        <v>32128</v>
      </c>
      <c r="F2563" t="str">
        <f t="shared" si="79"/>
        <v>102050</v>
      </c>
      <c r="H2563" s="14">
        <f t="shared" si="80"/>
        <v>350.23</v>
      </c>
    </row>
    <row r="2564" spans="1:8" ht="41.4">
      <c r="A2564" s="502" t="s">
        <v>12590</v>
      </c>
      <c r="B2564" s="504" t="s">
        <v>12591</v>
      </c>
      <c r="C2564" s="502" t="s">
        <v>73</v>
      </c>
      <c r="D2564" s="503" t="s">
        <v>32129</v>
      </c>
      <c r="F2564" t="str">
        <f t="shared" si="79"/>
        <v>102051</v>
      </c>
      <c r="H2564" s="14">
        <f t="shared" si="80"/>
        <v>307.81</v>
      </c>
    </row>
    <row r="2565" spans="1:8" ht="41.4">
      <c r="A2565" s="502" t="s">
        <v>12592</v>
      </c>
      <c r="B2565" s="504" t="s">
        <v>12593</v>
      </c>
      <c r="C2565" s="502" t="s">
        <v>73</v>
      </c>
      <c r="D2565" s="503" t="s">
        <v>32130</v>
      </c>
      <c r="F2565" t="str">
        <f t="shared" ref="F2565:F2628" si="81">TRIM(A2565)</f>
        <v>102052</v>
      </c>
      <c r="H2565" s="14">
        <f t="shared" ref="H2565:H2628" si="82">ROUND(D2565*(1+$H$1),2)</f>
        <v>284.18</v>
      </c>
    </row>
    <row r="2566" spans="1:8" ht="41.4">
      <c r="A2566" s="502" t="s">
        <v>12594</v>
      </c>
      <c r="B2566" s="504" t="s">
        <v>12595</v>
      </c>
      <c r="C2566" s="502" t="s">
        <v>73</v>
      </c>
      <c r="D2566" s="503" t="s">
        <v>32131</v>
      </c>
      <c r="F2566" t="str">
        <f t="shared" si="81"/>
        <v>102059</v>
      </c>
      <c r="H2566" s="14">
        <f t="shared" si="82"/>
        <v>684.36</v>
      </c>
    </row>
    <row r="2567" spans="1:8" ht="41.4">
      <c r="A2567" s="502" t="s">
        <v>12596</v>
      </c>
      <c r="B2567" s="504" t="s">
        <v>12597</v>
      </c>
      <c r="C2567" s="502" t="s">
        <v>73</v>
      </c>
      <c r="D2567" s="503" t="s">
        <v>32132</v>
      </c>
      <c r="F2567" t="str">
        <f t="shared" si="81"/>
        <v>102060</v>
      </c>
      <c r="H2567" s="14">
        <f t="shared" si="82"/>
        <v>572.23</v>
      </c>
    </row>
    <row r="2568" spans="1:8" ht="55.2">
      <c r="A2568" s="502" t="s">
        <v>12598</v>
      </c>
      <c r="B2568" s="504" t="s">
        <v>12599</v>
      </c>
      <c r="C2568" s="502" t="s">
        <v>73</v>
      </c>
      <c r="D2568" s="503" t="s">
        <v>32133</v>
      </c>
      <c r="F2568" t="str">
        <f t="shared" si="81"/>
        <v>102061</v>
      </c>
      <c r="H2568" s="14">
        <f t="shared" si="82"/>
        <v>434.41</v>
      </c>
    </row>
    <row r="2569" spans="1:8" ht="55.2">
      <c r="A2569" s="502" t="s">
        <v>12600</v>
      </c>
      <c r="B2569" s="504" t="s">
        <v>12601</v>
      </c>
      <c r="C2569" s="502" t="s">
        <v>73</v>
      </c>
      <c r="D2569" s="503" t="s">
        <v>32134</v>
      </c>
      <c r="F2569" t="str">
        <f t="shared" si="81"/>
        <v>102062</v>
      </c>
      <c r="H2569" s="14">
        <f t="shared" si="82"/>
        <v>401.64</v>
      </c>
    </row>
    <row r="2570" spans="1:8" ht="55.2">
      <c r="A2570" s="502" t="s">
        <v>12602</v>
      </c>
      <c r="B2570" s="504" t="s">
        <v>12603</v>
      </c>
      <c r="C2570" s="502" t="s">
        <v>73</v>
      </c>
      <c r="D2570" s="503" t="s">
        <v>32135</v>
      </c>
      <c r="F2570" t="str">
        <f t="shared" si="81"/>
        <v>102063</v>
      </c>
      <c r="H2570" s="14">
        <f t="shared" si="82"/>
        <v>346.66</v>
      </c>
    </row>
    <row r="2571" spans="1:8" ht="55.2">
      <c r="A2571" s="502" t="s">
        <v>12604</v>
      </c>
      <c r="B2571" s="504" t="s">
        <v>12605</v>
      </c>
      <c r="C2571" s="502" t="s">
        <v>73</v>
      </c>
      <c r="D2571" s="503" t="s">
        <v>32136</v>
      </c>
      <c r="F2571" t="str">
        <f t="shared" si="81"/>
        <v>102064</v>
      </c>
      <c r="H2571" s="14">
        <f t="shared" si="82"/>
        <v>306.17</v>
      </c>
    </row>
    <row r="2572" spans="1:8" ht="55.2">
      <c r="A2572" s="502" t="s">
        <v>12606</v>
      </c>
      <c r="B2572" s="504" t="s">
        <v>12607</v>
      </c>
      <c r="C2572" s="502" t="s">
        <v>73</v>
      </c>
      <c r="D2572" s="503" t="s">
        <v>32137</v>
      </c>
      <c r="F2572" t="str">
        <f t="shared" si="81"/>
        <v>102065</v>
      </c>
      <c r="H2572" s="14">
        <f t="shared" si="82"/>
        <v>283.68</v>
      </c>
    </row>
    <row r="2573" spans="1:8" ht="41.4">
      <c r="A2573" s="502" t="s">
        <v>12608</v>
      </c>
      <c r="B2573" s="504" t="s">
        <v>12609</v>
      </c>
      <c r="C2573" s="502" t="s">
        <v>73</v>
      </c>
      <c r="D2573" s="503" t="s">
        <v>32138</v>
      </c>
      <c r="F2573" t="str">
        <f t="shared" si="81"/>
        <v>102066</v>
      </c>
      <c r="H2573" s="14">
        <f t="shared" si="82"/>
        <v>713.65</v>
      </c>
    </row>
    <row r="2574" spans="1:8" ht="41.4">
      <c r="A2574" s="502" t="s">
        <v>12610</v>
      </c>
      <c r="B2574" s="504" t="s">
        <v>12611</v>
      </c>
      <c r="C2574" s="502" t="s">
        <v>73</v>
      </c>
      <c r="D2574" s="503" t="s">
        <v>32139</v>
      </c>
      <c r="F2574" t="str">
        <f t="shared" si="81"/>
        <v>102067</v>
      </c>
      <c r="H2574" s="14">
        <f t="shared" si="82"/>
        <v>608.04999999999995</v>
      </c>
    </row>
    <row r="2575" spans="1:8" ht="55.2">
      <c r="A2575" s="502" t="s">
        <v>12612</v>
      </c>
      <c r="B2575" s="504" t="s">
        <v>12613</v>
      </c>
      <c r="C2575" s="502" t="s">
        <v>73</v>
      </c>
      <c r="D2575" s="503" t="s">
        <v>32140</v>
      </c>
      <c r="F2575" t="str">
        <f t="shared" si="81"/>
        <v>102068</v>
      </c>
      <c r="H2575" s="14">
        <f t="shared" si="82"/>
        <v>409.02</v>
      </c>
    </row>
    <row r="2576" spans="1:8" ht="55.2">
      <c r="A2576" s="502" t="s">
        <v>12614</v>
      </c>
      <c r="B2576" s="504" t="s">
        <v>12615</v>
      </c>
      <c r="C2576" s="502" t="s">
        <v>73</v>
      </c>
      <c r="D2576" s="503" t="s">
        <v>32141</v>
      </c>
      <c r="F2576" t="str">
        <f t="shared" si="81"/>
        <v>102069</v>
      </c>
      <c r="H2576" s="14">
        <f t="shared" si="82"/>
        <v>375.9</v>
      </c>
    </row>
    <row r="2577" spans="1:8" ht="55.2">
      <c r="A2577" s="502" t="s">
        <v>12616</v>
      </c>
      <c r="B2577" s="504" t="s">
        <v>12617</v>
      </c>
      <c r="C2577" s="502" t="s">
        <v>73</v>
      </c>
      <c r="D2577" s="503" t="s">
        <v>32142</v>
      </c>
      <c r="F2577" t="str">
        <f t="shared" si="81"/>
        <v>102070</v>
      </c>
      <c r="H2577" s="14">
        <f t="shared" si="82"/>
        <v>329.87</v>
      </c>
    </row>
    <row r="2578" spans="1:8" ht="55.2">
      <c r="A2578" s="502" t="s">
        <v>12618</v>
      </c>
      <c r="B2578" s="504" t="s">
        <v>12619</v>
      </c>
      <c r="C2578" s="502" t="s">
        <v>73</v>
      </c>
      <c r="D2578" s="503" t="s">
        <v>29863</v>
      </c>
      <c r="F2578" t="str">
        <f t="shared" si="81"/>
        <v>102071</v>
      </c>
      <c r="H2578" s="14">
        <f t="shared" si="82"/>
        <v>290.63</v>
      </c>
    </row>
    <row r="2579" spans="1:8" ht="55.2">
      <c r="A2579" s="502" t="s">
        <v>12620</v>
      </c>
      <c r="B2579" s="504" t="s">
        <v>12621</v>
      </c>
      <c r="C2579" s="502" t="s">
        <v>73</v>
      </c>
      <c r="D2579" s="503" t="s">
        <v>32143</v>
      </c>
      <c r="F2579" t="str">
        <f t="shared" si="81"/>
        <v>102072</v>
      </c>
      <c r="H2579" s="14">
        <f t="shared" si="82"/>
        <v>272.83999999999997</v>
      </c>
    </row>
    <row r="2580" spans="1:8" ht="41.4">
      <c r="A2580" s="502" t="s">
        <v>12622</v>
      </c>
      <c r="B2580" s="504" t="s">
        <v>28563</v>
      </c>
      <c r="C2580" s="502" t="s">
        <v>83</v>
      </c>
      <c r="D2580" s="503" t="s">
        <v>32144</v>
      </c>
      <c r="F2580" t="str">
        <f t="shared" si="81"/>
        <v>102073</v>
      </c>
      <c r="H2580" s="14">
        <f t="shared" si="82"/>
        <v>5656.77</v>
      </c>
    </row>
    <row r="2581" spans="1:8" ht="41.4">
      <c r="A2581" s="502" t="s">
        <v>12623</v>
      </c>
      <c r="B2581" s="504" t="s">
        <v>28564</v>
      </c>
      <c r="C2581" s="502" t="s">
        <v>83</v>
      </c>
      <c r="D2581" s="503" t="s">
        <v>32145</v>
      </c>
      <c r="F2581" t="str">
        <f t="shared" si="81"/>
        <v>102074</v>
      </c>
      <c r="H2581" s="14">
        <f t="shared" si="82"/>
        <v>6785.41</v>
      </c>
    </row>
    <row r="2582" spans="1:8" ht="41.4">
      <c r="A2582" s="502" t="s">
        <v>12624</v>
      </c>
      <c r="B2582" s="504" t="s">
        <v>28565</v>
      </c>
      <c r="C2582" s="502" t="s">
        <v>83</v>
      </c>
      <c r="D2582" s="503" t="s">
        <v>32146</v>
      </c>
      <c r="F2582" t="str">
        <f t="shared" si="81"/>
        <v>102075</v>
      </c>
      <c r="H2582" s="14">
        <f t="shared" si="82"/>
        <v>7062.4</v>
      </c>
    </row>
    <row r="2583" spans="1:8" ht="41.4">
      <c r="A2583" s="502" t="s">
        <v>12625</v>
      </c>
      <c r="B2583" s="504" t="s">
        <v>28566</v>
      </c>
      <c r="C2583" s="502" t="s">
        <v>83</v>
      </c>
      <c r="D2583" s="503" t="s">
        <v>32147</v>
      </c>
      <c r="F2583" t="str">
        <f t="shared" si="81"/>
        <v>102076</v>
      </c>
      <c r="H2583" s="14">
        <f t="shared" si="82"/>
        <v>7237.31</v>
      </c>
    </row>
    <row r="2584" spans="1:8" ht="41.4">
      <c r="A2584" s="502" t="s">
        <v>12626</v>
      </c>
      <c r="B2584" s="504" t="s">
        <v>28567</v>
      </c>
      <c r="C2584" s="502" t="s">
        <v>83</v>
      </c>
      <c r="D2584" s="503" t="s">
        <v>32148</v>
      </c>
      <c r="F2584" t="str">
        <f t="shared" si="81"/>
        <v>102077</v>
      </c>
      <c r="H2584" s="14">
        <f t="shared" si="82"/>
        <v>7926.27</v>
      </c>
    </row>
    <row r="2585" spans="1:8" ht="41.4">
      <c r="A2585" s="502" t="s">
        <v>12627</v>
      </c>
      <c r="B2585" s="504" t="s">
        <v>28568</v>
      </c>
      <c r="C2585" s="502" t="s">
        <v>83</v>
      </c>
      <c r="D2585" s="503" t="s">
        <v>32149</v>
      </c>
      <c r="F2585" t="str">
        <f t="shared" si="81"/>
        <v>102078</v>
      </c>
      <c r="H2585" s="14">
        <f t="shared" si="82"/>
        <v>8100.45</v>
      </c>
    </row>
    <row r="2586" spans="1:8" ht="41.4">
      <c r="A2586" s="502" t="s">
        <v>12628</v>
      </c>
      <c r="B2586" s="504" t="s">
        <v>28569</v>
      </c>
      <c r="C2586" s="502" t="s">
        <v>83</v>
      </c>
      <c r="D2586" s="503" t="s">
        <v>32150</v>
      </c>
      <c r="F2586" t="str">
        <f t="shared" si="81"/>
        <v>102079</v>
      </c>
      <c r="H2586" s="14">
        <f t="shared" si="82"/>
        <v>7776.71</v>
      </c>
    </row>
    <row r="2587" spans="1:8" ht="41.4">
      <c r="A2587" s="502" t="s">
        <v>12629</v>
      </c>
      <c r="B2587" s="504" t="s">
        <v>28570</v>
      </c>
      <c r="C2587" s="502" t="s">
        <v>83</v>
      </c>
      <c r="D2587" s="503" t="s">
        <v>32151</v>
      </c>
      <c r="F2587" t="str">
        <f t="shared" si="81"/>
        <v>102080</v>
      </c>
      <c r="H2587" s="14">
        <f t="shared" si="82"/>
        <v>6821.23</v>
      </c>
    </row>
    <row r="2588" spans="1:8" ht="41.4">
      <c r="A2588" s="502" t="s">
        <v>12630</v>
      </c>
      <c r="B2588" s="504" t="s">
        <v>12631</v>
      </c>
      <c r="C2588" s="502" t="s">
        <v>73</v>
      </c>
      <c r="D2588" s="503" t="s">
        <v>32152</v>
      </c>
      <c r="F2588" t="str">
        <f t="shared" si="81"/>
        <v>102086</v>
      </c>
      <c r="H2588" s="14">
        <f t="shared" si="82"/>
        <v>302.24</v>
      </c>
    </row>
    <row r="2589" spans="1:8" ht="41.4">
      <c r="A2589" s="502" t="s">
        <v>12632</v>
      </c>
      <c r="B2589" s="504" t="s">
        <v>12633</v>
      </c>
      <c r="C2589" s="502" t="s">
        <v>73</v>
      </c>
      <c r="D2589" s="503" t="s">
        <v>32153</v>
      </c>
      <c r="F2589" t="str">
        <f t="shared" si="81"/>
        <v>102087</v>
      </c>
      <c r="H2589" s="14">
        <f t="shared" si="82"/>
        <v>234.12</v>
      </c>
    </row>
    <row r="2590" spans="1:8" ht="41.4">
      <c r="A2590" s="502" t="s">
        <v>12634</v>
      </c>
      <c r="B2590" s="504" t="s">
        <v>28571</v>
      </c>
      <c r="C2590" s="502" t="s">
        <v>73</v>
      </c>
      <c r="D2590" s="503" t="s">
        <v>32154</v>
      </c>
      <c r="F2590" t="str">
        <f t="shared" si="81"/>
        <v>102088</v>
      </c>
      <c r="H2590" s="14">
        <f t="shared" si="82"/>
        <v>316.77999999999997</v>
      </c>
    </row>
    <row r="2591" spans="1:8" ht="41.4">
      <c r="A2591" s="502" t="s">
        <v>12635</v>
      </c>
      <c r="B2591" s="504" t="s">
        <v>12636</v>
      </c>
      <c r="C2591" s="502" t="s">
        <v>73</v>
      </c>
      <c r="D2591" s="503" t="s">
        <v>32155</v>
      </c>
      <c r="F2591" t="str">
        <f t="shared" si="81"/>
        <v>102089</v>
      </c>
      <c r="H2591" s="14">
        <f t="shared" si="82"/>
        <v>290.91000000000003</v>
      </c>
    </row>
    <row r="2592" spans="1:8" ht="41.4">
      <c r="A2592" s="502" t="s">
        <v>12637</v>
      </c>
      <c r="B2592" s="504" t="s">
        <v>12638</v>
      </c>
      <c r="C2592" s="502" t="s">
        <v>73</v>
      </c>
      <c r="D2592" s="503" t="s">
        <v>32156</v>
      </c>
      <c r="F2592" t="str">
        <f t="shared" si="81"/>
        <v>102090</v>
      </c>
      <c r="H2592" s="14">
        <f t="shared" si="82"/>
        <v>213.64</v>
      </c>
    </row>
    <row r="2593" spans="1:8" ht="41.4">
      <c r="A2593" s="502" t="s">
        <v>12639</v>
      </c>
      <c r="B2593" s="504" t="s">
        <v>28572</v>
      </c>
      <c r="C2593" s="502" t="s">
        <v>73</v>
      </c>
      <c r="D2593" s="503" t="s">
        <v>32157</v>
      </c>
      <c r="F2593" t="str">
        <f t="shared" si="81"/>
        <v>102091</v>
      </c>
      <c r="H2593" s="14">
        <f t="shared" si="82"/>
        <v>367.4</v>
      </c>
    </row>
    <row r="2594" spans="1:8" ht="55.2">
      <c r="A2594" s="502" t="s">
        <v>24276</v>
      </c>
      <c r="B2594" s="504" t="s">
        <v>24277</v>
      </c>
      <c r="C2594" s="502" t="s">
        <v>73</v>
      </c>
      <c r="D2594" s="503" t="s">
        <v>32158</v>
      </c>
      <c r="F2594" t="str">
        <f t="shared" si="81"/>
        <v>103760</v>
      </c>
      <c r="H2594" s="14">
        <f t="shared" si="82"/>
        <v>173.88</v>
      </c>
    </row>
    <row r="2595" spans="1:8" ht="55.2">
      <c r="A2595" s="502" t="s">
        <v>24278</v>
      </c>
      <c r="B2595" s="504" t="s">
        <v>24279</v>
      </c>
      <c r="C2595" s="502" t="s">
        <v>73</v>
      </c>
      <c r="D2595" s="503" t="s">
        <v>32159</v>
      </c>
      <c r="F2595" t="str">
        <f t="shared" si="81"/>
        <v>103761</v>
      </c>
      <c r="H2595" s="14">
        <f t="shared" si="82"/>
        <v>119.3</v>
      </c>
    </row>
    <row r="2596" spans="1:8" ht="55.2">
      <c r="A2596" s="502" t="s">
        <v>24281</v>
      </c>
      <c r="B2596" s="504" t="s">
        <v>24282</v>
      </c>
      <c r="C2596" s="502" t="s">
        <v>73</v>
      </c>
      <c r="D2596" s="503" t="s">
        <v>31207</v>
      </c>
      <c r="F2596" t="str">
        <f t="shared" si="81"/>
        <v>103762</v>
      </c>
      <c r="H2596" s="14">
        <f t="shared" si="82"/>
        <v>101.78</v>
      </c>
    </row>
    <row r="2597" spans="1:8" ht="55.2">
      <c r="A2597" s="502" t="s">
        <v>24283</v>
      </c>
      <c r="B2597" s="504" t="s">
        <v>24284</v>
      </c>
      <c r="C2597" s="502" t="s">
        <v>73</v>
      </c>
      <c r="D2597" s="503" t="s">
        <v>30307</v>
      </c>
      <c r="F2597" t="str">
        <f t="shared" si="81"/>
        <v>103763</v>
      </c>
      <c r="H2597" s="14">
        <f t="shared" si="82"/>
        <v>89.74</v>
      </c>
    </row>
    <row r="2598" spans="1:8" ht="41.4">
      <c r="A2598" s="502" t="s">
        <v>28573</v>
      </c>
      <c r="B2598" s="504" t="s">
        <v>28574</v>
      </c>
      <c r="C2598" s="502" t="s">
        <v>73</v>
      </c>
      <c r="D2598" s="503" t="s">
        <v>32160</v>
      </c>
      <c r="F2598" t="str">
        <f t="shared" si="81"/>
        <v>104925</v>
      </c>
      <c r="H2598" s="14">
        <f t="shared" si="82"/>
        <v>226.18</v>
      </c>
    </row>
    <row r="2599" spans="1:8" ht="41.4">
      <c r="A2599" s="502" t="s">
        <v>28575</v>
      </c>
      <c r="B2599" s="504" t="s">
        <v>28576</v>
      </c>
      <c r="C2599" s="502" t="s">
        <v>73</v>
      </c>
      <c r="D2599" s="503" t="s">
        <v>32161</v>
      </c>
      <c r="F2599" t="str">
        <f t="shared" si="81"/>
        <v>104926</v>
      </c>
      <c r="H2599" s="14">
        <f t="shared" si="82"/>
        <v>146.97</v>
      </c>
    </row>
    <row r="2600" spans="1:8" ht="41.4">
      <c r="A2600" s="502" t="s">
        <v>28577</v>
      </c>
      <c r="B2600" s="504" t="s">
        <v>28578</v>
      </c>
      <c r="C2600" s="502" t="s">
        <v>73</v>
      </c>
      <c r="D2600" s="503" t="s">
        <v>32162</v>
      </c>
      <c r="F2600" t="str">
        <f t="shared" si="81"/>
        <v>104927</v>
      </c>
      <c r="H2600" s="14">
        <f t="shared" si="82"/>
        <v>105.79</v>
      </c>
    </row>
    <row r="2601" spans="1:8" ht="41.4">
      <c r="A2601" s="502" t="s">
        <v>28579</v>
      </c>
      <c r="B2601" s="504" t="s">
        <v>28580</v>
      </c>
      <c r="C2601" s="502" t="s">
        <v>73</v>
      </c>
      <c r="D2601" s="503" t="s">
        <v>32163</v>
      </c>
      <c r="F2601" t="str">
        <f t="shared" si="81"/>
        <v>104928</v>
      </c>
      <c r="H2601" s="14">
        <f t="shared" si="82"/>
        <v>222.51</v>
      </c>
    </row>
    <row r="2602" spans="1:8" ht="41.4">
      <c r="A2602" s="502" t="s">
        <v>28582</v>
      </c>
      <c r="B2602" s="504" t="s">
        <v>28583</v>
      </c>
      <c r="C2602" s="502" t="s">
        <v>73</v>
      </c>
      <c r="D2602" s="503" t="s">
        <v>32164</v>
      </c>
      <c r="F2602" t="str">
        <f t="shared" si="81"/>
        <v>104929</v>
      </c>
      <c r="H2602" s="14">
        <f t="shared" si="82"/>
        <v>137.37</v>
      </c>
    </row>
    <row r="2603" spans="1:8" ht="41.4">
      <c r="A2603" s="502" t="s">
        <v>28584</v>
      </c>
      <c r="B2603" s="504" t="s">
        <v>28585</v>
      </c>
      <c r="C2603" s="502" t="s">
        <v>73</v>
      </c>
      <c r="D2603" s="503" t="s">
        <v>32165</v>
      </c>
      <c r="F2603" t="str">
        <f t="shared" si="81"/>
        <v>105403</v>
      </c>
      <c r="H2603" s="14">
        <f t="shared" si="82"/>
        <v>276.37</v>
      </c>
    </row>
    <row r="2604" spans="1:8" ht="41.4">
      <c r="A2604" s="502" t="s">
        <v>28586</v>
      </c>
      <c r="B2604" s="504" t="s">
        <v>28587</v>
      </c>
      <c r="C2604" s="502" t="s">
        <v>73</v>
      </c>
      <c r="D2604" s="503" t="s">
        <v>32166</v>
      </c>
      <c r="F2604" t="str">
        <f t="shared" si="81"/>
        <v>105406</v>
      </c>
      <c r="H2604" s="14">
        <f t="shared" si="82"/>
        <v>293.39</v>
      </c>
    </row>
    <row r="2605" spans="1:8" ht="27.6">
      <c r="A2605" s="502" t="s">
        <v>4520</v>
      </c>
      <c r="B2605" s="504" t="s">
        <v>24285</v>
      </c>
      <c r="C2605" s="502" t="s">
        <v>71</v>
      </c>
      <c r="D2605" s="503" t="s">
        <v>28132</v>
      </c>
      <c r="F2605" t="str">
        <f t="shared" si="81"/>
        <v>89996</v>
      </c>
      <c r="H2605" s="14">
        <f t="shared" si="82"/>
        <v>17.11</v>
      </c>
    </row>
    <row r="2606" spans="1:8" ht="27.6">
      <c r="A2606" s="502" t="s">
        <v>4522</v>
      </c>
      <c r="B2606" s="504" t="s">
        <v>24286</v>
      </c>
      <c r="C2606" s="502" t="s">
        <v>71</v>
      </c>
      <c r="D2606" s="503" t="s">
        <v>5621</v>
      </c>
      <c r="F2606" t="str">
        <f t="shared" si="81"/>
        <v>89997</v>
      </c>
      <c r="H2606" s="14">
        <f t="shared" si="82"/>
        <v>13.94</v>
      </c>
    </row>
    <row r="2607" spans="1:8" ht="27.6">
      <c r="A2607" s="502" t="s">
        <v>4523</v>
      </c>
      <c r="B2607" s="504" t="s">
        <v>24287</v>
      </c>
      <c r="C2607" s="502" t="s">
        <v>71</v>
      </c>
      <c r="D2607" s="503" t="s">
        <v>24308</v>
      </c>
      <c r="F2607" t="str">
        <f t="shared" si="81"/>
        <v>89998</v>
      </c>
      <c r="H2607" s="14">
        <f t="shared" si="82"/>
        <v>16.3</v>
      </c>
    </row>
    <row r="2608" spans="1:8" ht="27.6">
      <c r="A2608" s="502" t="s">
        <v>4524</v>
      </c>
      <c r="B2608" s="504" t="s">
        <v>24288</v>
      </c>
      <c r="C2608" s="502" t="s">
        <v>71</v>
      </c>
      <c r="D2608" s="503" t="s">
        <v>9934</v>
      </c>
      <c r="F2608" t="str">
        <f t="shared" si="81"/>
        <v>89999</v>
      </c>
      <c r="H2608" s="14">
        <f t="shared" si="82"/>
        <v>25.48</v>
      </c>
    </row>
    <row r="2609" spans="1:8" ht="27.6">
      <c r="A2609" s="502" t="s">
        <v>4526</v>
      </c>
      <c r="B2609" s="504" t="s">
        <v>24289</v>
      </c>
      <c r="C2609" s="502" t="s">
        <v>71</v>
      </c>
      <c r="D2609" s="503" t="s">
        <v>32167</v>
      </c>
      <c r="F2609" t="str">
        <f t="shared" si="81"/>
        <v>90000</v>
      </c>
      <c r="H2609" s="14">
        <f t="shared" si="82"/>
        <v>20.52</v>
      </c>
    </row>
    <row r="2610" spans="1:8" ht="41.4">
      <c r="A2610" s="502" t="s">
        <v>4528</v>
      </c>
      <c r="B2610" s="504" t="s">
        <v>32168</v>
      </c>
      <c r="C2610" s="502" t="s">
        <v>71</v>
      </c>
      <c r="D2610" s="503" t="s">
        <v>7458</v>
      </c>
      <c r="F2610" t="str">
        <f t="shared" si="81"/>
        <v>91593</v>
      </c>
      <c r="H2610" s="14">
        <f t="shared" si="82"/>
        <v>14.94</v>
      </c>
    </row>
    <row r="2611" spans="1:8" ht="41.4">
      <c r="A2611" s="502" t="s">
        <v>4529</v>
      </c>
      <c r="B2611" s="504" t="s">
        <v>32169</v>
      </c>
      <c r="C2611" s="502" t="s">
        <v>71</v>
      </c>
      <c r="D2611" s="503" t="s">
        <v>18454</v>
      </c>
      <c r="F2611" t="str">
        <f t="shared" si="81"/>
        <v>91594</v>
      </c>
      <c r="H2611" s="14">
        <f t="shared" si="82"/>
        <v>14.95</v>
      </c>
    </row>
    <row r="2612" spans="1:8" ht="41.4">
      <c r="A2612" s="502" t="s">
        <v>4530</v>
      </c>
      <c r="B2612" s="504" t="s">
        <v>32170</v>
      </c>
      <c r="C2612" s="502" t="s">
        <v>71</v>
      </c>
      <c r="D2612" s="503" t="s">
        <v>3608</v>
      </c>
      <c r="F2612" t="str">
        <f t="shared" si="81"/>
        <v>91595</v>
      </c>
      <c r="H2612" s="14">
        <f t="shared" si="82"/>
        <v>15.3</v>
      </c>
    </row>
    <row r="2613" spans="1:8" ht="41.4">
      <c r="A2613" s="502" t="s">
        <v>4531</v>
      </c>
      <c r="B2613" s="504" t="s">
        <v>32171</v>
      </c>
      <c r="C2613" s="502" t="s">
        <v>71</v>
      </c>
      <c r="D2613" s="503" t="s">
        <v>32172</v>
      </c>
      <c r="F2613" t="str">
        <f t="shared" si="81"/>
        <v>91596</v>
      </c>
      <c r="H2613" s="14">
        <f t="shared" si="82"/>
        <v>14.86</v>
      </c>
    </row>
    <row r="2614" spans="1:8" ht="41.4">
      <c r="A2614" s="502" t="s">
        <v>4532</v>
      </c>
      <c r="B2614" s="504" t="s">
        <v>32173</v>
      </c>
      <c r="C2614" s="502" t="s">
        <v>71</v>
      </c>
      <c r="D2614" s="503" t="s">
        <v>32174</v>
      </c>
      <c r="F2614" t="str">
        <f t="shared" si="81"/>
        <v>91597</v>
      </c>
      <c r="H2614" s="14">
        <f t="shared" si="82"/>
        <v>10.99</v>
      </c>
    </row>
    <row r="2615" spans="1:8" ht="41.4">
      <c r="A2615" s="502" t="s">
        <v>4533</v>
      </c>
      <c r="B2615" s="504" t="s">
        <v>32175</v>
      </c>
      <c r="C2615" s="502" t="s">
        <v>71</v>
      </c>
      <c r="D2615" s="503" t="s">
        <v>10695</v>
      </c>
      <c r="F2615" t="str">
        <f t="shared" si="81"/>
        <v>91598</v>
      </c>
      <c r="H2615" s="14">
        <f t="shared" si="82"/>
        <v>14.42</v>
      </c>
    </row>
    <row r="2616" spans="1:8" ht="41.4">
      <c r="A2616" s="502" t="s">
        <v>4534</v>
      </c>
      <c r="B2616" s="504" t="s">
        <v>32176</v>
      </c>
      <c r="C2616" s="502" t="s">
        <v>71</v>
      </c>
      <c r="D2616" s="503" t="s">
        <v>2909</v>
      </c>
      <c r="F2616" t="str">
        <f t="shared" si="81"/>
        <v>91599</v>
      </c>
      <c r="H2616" s="14">
        <f t="shared" si="82"/>
        <v>11.46</v>
      </c>
    </row>
    <row r="2617" spans="1:8" ht="27.6">
      <c r="A2617" s="502" t="s">
        <v>4535</v>
      </c>
      <c r="B2617" s="504" t="s">
        <v>32177</v>
      </c>
      <c r="C2617" s="502" t="s">
        <v>71</v>
      </c>
      <c r="D2617" s="503" t="s">
        <v>9521</v>
      </c>
      <c r="F2617" t="str">
        <f t="shared" si="81"/>
        <v>91600</v>
      </c>
      <c r="H2617" s="14">
        <f t="shared" si="82"/>
        <v>16.62</v>
      </c>
    </row>
    <row r="2618" spans="1:8" ht="41.4">
      <c r="A2618" s="502" t="s">
        <v>4536</v>
      </c>
      <c r="B2618" s="504" t="s">
        <v>32178</v>
      </c>
      <c r="C2618" s="502" t="s">
        <v>71</v>
      </c>
      <c r="D2618" s="503" t="s">
        <v>7071</v>
      </c>
      <c r="F2618" t="str">
        <f t="shared" si="81"/>
        <v>91601</v>
      </c>
      <c r="H2618" s="14">
        <f t="shared" si="82"/>
        <v>19.649999999999999</v>
      </c>
    </row>
    <row r="2619" spans="1:8" ht="41.4">
      <c r="A2619" s="502" t="s">
        <v>4538</v>
      </c>
      <c r="B2619" s="504" t="s">
        <v>32179</v>
      </c>
      <c r="C2619" s="502" t="s">
        <v>71</v>
      </c>
      <c r="D2619" s="503" t="s">
        <v>24326</v>
      </c>
      <c r="F2619" t="str">
        <f t="shared" si="81"/>
        <v>91602</v>
      </c>
      <c r="H2619" s="14">
        <f t="shared" si="82"/>
        <v>18.36</v>
      </c>
    </row>
    <row r="2620" spans="1:8" ht="41.4">
      <c r="A2620" s="502" t="s">
        <v>4539</v>
      </c>
      <c r="B2620" s="504" t="s">
        <v>32180</v>
      </c>
      <c r="C2620" s="502" t="s">
        <v>71</v>
      </c>
      <c r="D2620" s="503" t="s">
        <v>27939</v>
      </c>
      <c r="F2620" t="str">
        <f t="shared" si="81"/>
        <v>91603</v>
      </c>
      <c r="H2620" s="14">
        <f t="shared" si="82"/>
        <v>16.440000000000001</v>
      </c>
    </row>
    <row r="2621" spans="1:8" ht="41.4">
      <c r="A2621" s="502" t="s">
        <v>4540</v>
      </c>
      <c r="B2621" s="504" t="s">
        <v>24291</v>
      </c>
      <c r="C2621" s="502" t="s">
        <v>71</v>
      </c>
      <c r="D2621" s="503" t="s">
        <v>16428</v>
      </c>
      <c r="F2621" t="str">
        <f t="shared" si="81"/>
        <v>92759</v>
      </c>
      <c r="H2621" s="14">
        <f t="shared" si="82"/>
        <v>22.28</v>
      </c>
    </row>
    <row r="2622" spans="1:8" ht="41.4">
      <c r="A2622" s="502" t="s">
        <v>4541</v>
      </c>
      <c r="B2622" s="504" t="s">
        <v>24292</v>
      </c>
      <c r="C2622" s="502" t="s">
        <v>71</v>
      </c>
      <c r="D2622" s="503" t="s">
        <v>7949</v>
      </c>
      <c r="F2622" t="str">
        <f t="shared" si="81"/>
        <v>92760</v>
      </c>
      <c r="H2622" s="14">
        <f t="shared" si="82"/>
        <v>21.16</v>
      </c>
    </row>
    <row r="2623" spans="1:8" ht="41.4">
      <c r="A2623" s="502" t="s">
        <v>4542</v>
      </c>
      <c r="B2623" s="504" t="s">
        <v>24293</v>
      </c>
      <c r="C2623" s="502" t="s">
        <v>71</v>
      </c>
      <c r="D2623" s="503" t="s">
        <v>9475</v>
      </c>
      <c r="F2623" t="str">
        <f t="shared" si="81"/>
        <v>92761</v>
      </c>
      <c r="H2623" s="14">
        <f t="shared" si="82"/>
        <v>19.97</v>
      </c>
    </row>
    <row r="2624" spans="1:8" ht="41.4">
      <c r="A2624" s="502" t="s">
        <v>4544</v>
      </c>
      <c r="B2624" s="504" t="s">
        <v>24294</v>
      </c>
      <c r="C2624" s="502" t="s">
        <v>71</v>
      </c>
      <c r="D2624" s="503" t="s">
        <v>10115</v>
      </c>
      <c r="F2624" t="str">
        <f t="shared" si="81"/>
        <v>92762</v>
      </c>
      <c r="H2624" s="14">
        <f t="shared" si="82"/>
        <v>17.899999999999999</v>
      </c>
    </row>
    <row r="2625" spans="1:8" ht="41.4">
      <c r="A2625" s="502" t="s">
        <v>4545</v>
      </c>
      <c r="B2625" s="504" t="s">
        <v>24295</v>
      </c>
      <c r="C2625" s="502" t="s">
        <v>71</v>
      </c>
      <c r="D2625" s="503" t="s">
        <v>4220</v>
      </c>
      <c r="F2625" t="str">
        <f t="shared" si="81"/>
        <v>92763</v>
      </c>
      <c r="H2625" s="14">
        <f t="shared" si="82"/>
        <v>15.07</v>
      </c>
    </row>
    <row r="2626" spans="1:8" ht="41.4">
      <c r="A2626" s="502" t="s">
        <v>4546</v>
      </c>
      <c r="B2626" s="504" t="s">
        <v>24296</v>
      </c>
      <c r="C2626" s="502" t="s">
        <v>71</v>
      </c>
      <c r="D2626" s="503" t="s">
        <v>10013</v>
      </c>
      <c r="F2626" t="str">
        <f t="shared" si="81"/>
        <v>92764</v>
      </c>
      <c r="H2626" s="14">
        <f t="shared" si="82"/>
        <v>14.64</v>
      </c>
    </row>
    <row r="2627" spans="1:8" ht="41.4">
      <c r="A2627" s="502" t="s">
        <v>4547</v>
      </c>
      <c r="B2627" s="504" t="s">
        <v>24298</v>
      </c>
      <c r="C2627" s="502" t="s">
        <v>71</v>
      </c>
      <c r="D2627" s="503" t="s">
        <v>27941</v>
      </c>
      <c r="F2627" t="str">
        <f t="shared" si="81"/>
        <v>92765</v>
      </c>
      <c r="H2627" s="14">
        <f t="shared" si="82"/>
        <v>16.71</v>
      </c>
    </row>
    <row r="2628" spans="1:8" ht="41.4">
      <c r="A2628" s="502" t="s">
        <v>4548</v>
      </c>
      <c r="B2628" s="504" t="s">
        <v>24299</v>
      </c>
      <c r="C2628" s="502" t="s">
        <v>71</v>
      </c>
      <c r="D2628" s="503" t="s">
        <v>30991</v>
      </c>
      <c r="F2628" t="str">
        <f t="shared" si="81"/>
        <v>92766</v>
      </c>
      <c r="H2628" s="14">
        <f t="shared" si="82"/>
        <v>16.52</v>
      </c>
    </row>
    <row r="2629" spans="1:8" ht="41.4">
      <c r="A2629" s="502" t="s">
        <v>4550</v>
      </c>
      <c r="B2629" s="504" t="s">
        <v>24300</v>
      </c>
      <c r="C2629" s="502" t="s">
        <v>71</v>
      </c>
      <c r="D2629" s="503" t="s">
        <v>9492</v>
      </c>
      <c r="F2629" t="str">
        <f t="shared" ref="F2629:F2692" si="83">TRIM(A2629)</f>
        <v>92767</v>
      </c>
      <c r="H2629" s="14">
        <f t="shared" ref="H2629:H2692" si="84">ROUND(D2629*(1+$H$1),2)</f>
        <v>24.28</v>
      </c>
    </row>
    <row r="2630" spans="1:8" ht="41.4">
      <c r="A2630" s="502" t="s">
        <v>4551</v>
      </c>
      <c r="B2630" s="504" t="s">
        <v>24301</v>
      </c>
      <c r="C2630" s="502" t="s">
        <v>71</v>
      </c>
      <c r="D2630" s="503" t="s">
        <v>10051</v>
      </c>
      <c r="F2630" t="str">
        <f t="shared" si="83"/>
        <v>92768</v>
      </c>
      <c r="H2630" s="14">
        <f t="shared" si="84"/>
        <v>21.43</v>
      </c>
    </row>
    <row r="2631" spans="1:8" ht="41.4">
      <c r="A2631" s="502" t="s">
        <v>4552</v>
      </c>
      <c r="B2631" s="504" t="s">
        <v>24302</v>
      </c>
      <c r="C2631" s="502" t="s">
        <v>71</v>
      </c>
      <c r="D2631" s="503" t="s">
        <v>32181</v>
      </c>
      <c r="F2631" t="str">
        <f t="shared" si="83"/>
        <v>92769</v>
      </c>
      <c r="H2631" s="14">
        <f t="shared" si="84"/>
        <v>20.36</v>
      </c>
    </row>
    <row r="2632" spans="1:8" ht="41.4">
      <c r="A2632" s="502" t="s">
        <v>4553</v>
      </c>
      <c r="B2632" s="504" t="s">
        <v>24303</v>
      </c>
      <c r="C2632" s="502" t="s">
        <v>71</v>
      </c>
      <c r="D2632" s="503" t="s">
        <v>32182</v>
      </c>
      <c r="F2632" t="str">
        <f t="shared" si="83"/>
        <v>92770</v>
      </c>
      <c r="H2632" s="14">
        <f t="shared" si="84"/>
        <v>19.23</v>
      </c>
    </row>
    <row r="2633" spans="1:8" ht="41.4">
      <c r="A2633" s="502" t="s">
        <v>4554</v>
      </c>
      <c r="B2633" s="504" t="s">
        <v>24304</v>
      </c>
      <c r="C2633" s="502" t="s">
        <v>71</v>
      </c>
      <c r="D2633" s="503" t="s">
        <v>29400</v>
      </c>
      <c r="F2633" t="str">
        <f t="shared" si="83"/>
        <v>92771</v>
      </c>
      <c r="H2633" s="14">
        <f t="shared" si="84"/>
        <v>17.22</v>
      </c>
    </row>
    <row r="2634" spans="1:8" ht="41.4">
      <c r="A2634" s="502" t="s">
        <v>4555</v>
      </c>
      <c r="B2634" s="504" t="s">
        <v>24306</v>
      </c>
      <c r="C2634" s="502" t="s">
        <v>71</v>
      </c>
      <c r="D2634" s="503" t="s">
        <v>28809</v>
      </c>
      <c r="F2634" t="str">
        <f t="shared" si="83"/>
        <v>92772</v>
      </c>
      <c r="H2634" s="14">
        <f t="shared" si="84"/>
        <v>14.48</v>
      </c>
    </row>
    <row r="2635" spans="1:8" ht="41.4">
      <c r="A2635" s="502" t="s">
        <v>4556</v>
      </c>
      <c r="B2635" s="504" t="s">
        <v>24307</v>
      </c>
      <c r="C2635" s="502" t="s">
        <v>71</v>
      </c>
      <c r="D2635" s="503" t="s">
        <v>23699</v>
      </c>
      <c r="F2635" t="str">
        <f t="shared" si="83"/>
        <v>92773</v>
      </c>
      <c r="H2635" s="14">
        <f t="shared" si="84"/>
        <v>14.24</v>
      </c>
    </row>
    <row r="2636" spans="1:8" ht="41.4">
      <c r="A2636" s="502" t="s">
        <v>4557</v>
      </c>
      <c r="B2636" s="504" t="s">
        <v>24309</v>
      </c>
      <c r="C2636" s="502" t="s">
        <v>71</v>
      </c>
      <c r="D2636" s="503" t="s">
        <v>32183</v>
      </c>
      <c r="F2636" t="str">
        <f t="shared" si="83"/>
        <v>92774</v>
      </c>
      <c r="H2636" s="14">
        <f t="shared" si="84"/>
        <v>16.47</v>
      </c>
    </row>
    <row r="2637" spans="1:8" ht="27.6">
      <c r="A2637" s="502" t="s">
        <v>4562</v>
      </c>
      <c r="B2637" s="504" t="s">
        <v>24311</v>
      </c>
      <c r="C2637" s="502" t="s">
        <v>71</v>
      </c>
      <c r="D2637" s="503" t="s">
        <v>7545</v>
      </c>
      <c r="F2637" t="str">
        <f t="shared" si="83"/>
        <v>92798</v>
      </c>
      <c r="H2637" s="14">
        <f t="shared" si="84"/>
        <v>15.03</v>
      </c>
    </row>
    <row r="2638" spans="1:8" ht="27.6">
      <c r="A2638" s="502" t="s">
        <v>4563</v>
      </c>
      <c r="B2638" s="504" t="s">
        <v>24313</v>
      </c>
      <c r="C2638" s="502" t="s">
        <v>71</v>
      </c>
      <c r="D2638" s="503" t="s">
        <v>32184</v>
      </c>
      <c r="F2638" t="str">
        <f t="shared" si="83"/>
        <v>92799</v>
      </c>
      <c r="H2638" s="14">
        <f t="shared" si="84"/>
        <v>17.7</v>
      </c>
    </row>
    <row r="2639" spans="1:8" ht="27.6">
      <c r="A2639" s="502" t="s">
        <v>4564</v>
      </c>
      <c r="B2639" s="504" t="s">
        <v>24314</v>
      </c>
      <c r="C2639" s="502" t="s">
        <v>71</v>
      </c>
      <c r="D2639" s="503" t="s">
        <v>10385</v>
      </c>
      <c r="F2639" t="str">
        <f t="shared" si="83"/>
        <v>92800</v>
      </c>
      <c r="H2639" s="14">
        <f t="shared" si="84"/>
        <v>16.04</v>
      </c>
    </row>
    <row r="2640" spans="1:8" ht="27.6">
      <c r="A2640" s="502" t="s">
        <v>4566</v>
      </c>
      <c r="B2640" s="504" t="s">
        <v>24315</v>
      </c>
      <c r="C2640" s="502" t="s">
        <v>71</v>
      </c>
      <c r="D2640" s="503" t="s">
        <v>24308</v>
      </c>
      <c r="F2640" t="str">
        <f t="shared" si="83"/>
        <v>92801</v>
      </c>
      <c r="H2640" s="14">
        <f t="shared" si="84"/>
        <v>16.3</v>
      </c>
    </row>
    <row r="2641" spans="1:8" ht="27.6">
      <c r="A2641" s="502" t="s">
        <v>4567</v>
      </c>
      <c r="B2641" s="504" t="s">
        <v>24316</v>
      </c>
      <c r="C2641" s="502" t="s">
        <v>71</v>
      </c>
      <c r="D2641" s="503" t="s">
        <v>7289</v>
      </c>
      <c r="F2641" t="str">
        <f t="shared" si="83"/>
        <v>92802</v>
      </c>
      <c r="H2641" s="14">
        <f t="shared" si="84"/>
        <v>16.239999999999998</v>
      </c>
    </row>
    <row r="2642" spans="1:8" ht="27.6">
      <c r="A2642" s="502" t="s">
        <v>4569</v>
      </c>
      <c r="B2642" s="504" t="s">
        <v>24317</v>
      </c>
      <c r="C2642" s="502" t="s">
        <v>71</v>
      </c>
      <c r="D2642" s="503" t="s">
        <v>9971</v>
      </c>
      <c r="F2642" t="str">
        <f t="shared" si="83"/>
        <v>92803</v>
      </c>
      <c r="H2642" s="14">
        <f t="shared" si="84"/>
        <v>15</v>
      </c>
    </row>
    <row r="2643" spans="1:8" ht="27.6">
      <c r="A2643" s="502" t="s">
        <v>4571</v>
      </c>
      <c r="B2643" s="504" t="s">
        <v>24318</v>
      </c>
      <c r="C2643" s="502" t="s">
        <v>71</v>
      </c>
      <c r="D2643" s="503" t="s">
        <v>7251</v>
      </c>
      <c r="F2643" t="str">
        <f t="shared" si="83"/>
        <v>92804</v>
      </c>
      <c r="H2643" s="14">
        <f t="shared" si="84"/>
        <v>12.87</v>
      </c>
    </row>
    <row r="2644" spans="1:8" ht="27.6">
      <c r="A2644" s="502" t="s">
        <v>4572</v>
      </c>
      <c r="B2644" s="504" t="s">
        <v>24319</v>
      </c>
      <c r="C2644" s="502" t="s">
        <v>71</v>
      </c>
      <c r="D2644" s="503" t="s">
        <v>9916</v>
      </c>
      <c r="F2644" t="str">
        <f t="shared" si="83"/>
        <v>92805</v>
      </c>
      <c r="H2644" s="14">
        <f t="shared" si="84"/>
        <v>12.75</v>
      </c>
    </row>
    <row r="2645" spans="1:8" ht="27.6">
      <c r="A2645" s="502" t="s">
        <v>4573</v>
      </c>
      <c r="B2645" s="504" t="s">
        <v>24320</v>
      </c>
      <c r="C2645" s="502" t="s">
        <v>71</v>
      </c>
      <c r="D2645" s="503" t="s">
        <v>7312</v>
      </c>
      <c r="F2645" t="str">
        <f t="shared" si="83"/>
        <v>92806</v>
      </c>
      <c r="H2645" s="14">
        <f t="shared" si="84"/>
        <v>15.04</v>
      </c>
    </row>
    <row r="2646" spans="1:8" ht="27.6">
      <c r="A2646" s="502" t="s">
        <v>4575</v>
      </c>
      <c r="B2646" s="504" t="s">
        <v>24321</v>
      </c>
      <c r="C2646" s="502" t="s">
        <v>71</v>
      </c>
      <c r="D2646" s="503" t="s">
        <v>24290</v>
      </c>
      <c r="F2646" t="str">
        <f t="shared" si="83"/>
        <v>92875</v>
      </c>
      <c r="H2646" s="14">
        <f t="shared" si="84"/>
        <v>15.44</v>
      </c>
    </row>
    <row r="2647" spans="1:8" ht="27.6">
      <c r="A2647" s="502" t="s">
        <v>4576</v>
      </c>
      <c r="B2647" s="504" t="s">
        <v>24322</v>
      </c>
      <c r="C2647" s="502" t="s">
        <v>71</v>
      </c>
      <c r="D2647" s="503" t="s">
        <v>7312</v>
      </c>
      <c r="F2647" t="str">
        <f t="shared" si="83"/>
        <v>92876</v>
      </c>
      <c r="H2647" s="14">
        <f t="shared" si="84"/>
        <v>15.04</v>
      </c>
    </row>
    <row r="2648" spans="1:8" ht="27.6">
      <c r="A2648" s="502" t="s">
        <v>4577</v>
      </c>
      <c r="B2648" s="504" t="s">
        <v>24323</v>
      </c>
      <c r="C2648" s="502" t="s">
        <v>71</v>
      </c>
      <c r="D2648" s="503" t="s">
        <v>7259</v>
      </c>
      <c r="F2648" t="str">
        <f t="shared" si="83"/>
        <v>92877</v>
      </c>
      <c r="H2648" s="14">
        <f t="shared" si="84"/>
        <v>16.260000000000002</v>
      </c>
    </row>
    <row r="2649" spans="1:8" ht="27.6">
      <c r="A2649" s="502" t="s">
        <v>4578</v>
      </c>
      <c r="B2649" s="504" t="s">
        <v>24324</v>
      </c>
      <c r="C2649" s="502" t="s">
        <v>71</v>
      </c>
      <c r="D2649" s="503" t="s">
        <v>32185</v>
      </c>
      <c r="F2649" t="str">
        <f t="shared" si="83"/>
        <v>92878</v>
      </c>
      <c r="H2649" s="14">
        <f t="shared" si="84"/>
        <v>16</v>
      </c>
    </row>
    <row r="2650" spans="1:8" ht="27.6">
      <c r="A2650" s="502" t="s">
        <v>4579</v>
      </c>
      <c r="B2650" s="504" t="s">
        <v>24325</v>
      </c>
      <c r="C2650" s="502" t="s">
        <v>71</v>
      </c>
      <c r="D2650" s="503" t="s">
        <v>28175</v>
      </c>
      <c r="F2650" t="str">
        <f t="shared" si="83"/>
        <v>92879</v>
      </c>
      <c r="H2650" s="14">
        <f t="shared" si="84"/>
        <v>15.84</v>
      </c>
    </row>
    <row r="2651" spans="1:8" ht="27.6">
      <c r="A2651" s="502" t="s">
        <v>4580</v>
      </c>
      <c r="B2651" s="504" t="s">
        <v>24327</v>
      </c>
      <c r="C2651" s="502" t="s">
        <v>71</v>
      </c>
      <c r="D2651" s="503" t="s">
        <v>17548</v>
      </c>
      <c r="F2651" t="str">
        <f t="shared" si="83"/>
        <v>92880</v>
      </c>
      <c r="H2651" s="14">
        <f t="shared" si="84"/>
        <v>16.2</v>
      </c>
    </row>
    <row r="2652" spans="1:8" ht="27.6">
      <c r="A2652" s="502" t="s">
        <v>4581</v>
      </c>
      <c r="B2652" s="504" t="s">
        <v>24328</v>
      </c>
      <c r="C2652" s="502" t="s">
        <v>71</v>
      </c>
      <c r="D2652" s="503" t="s">
        <v>16436</v>
      </c>
      <c r="F2652" t="str">
        <f t="shared" si="83"/>
        <v>92881</v>
      </c>
      <c r="H2652" s="14">
        <f t="shared" si="84"/>
        <v>16.16</v>
      </c>
    </row>
    <row r="2653" spans="1:8" ht="27.6">
      <c r="A2653" s="502" t="s">
        <v>4582</v>
      </c>
      <c r="B2653" s="504" t="s">
        <v>24329</v>
      </c>
      <c r="C2653" s="502" t="s">
        <v>71</v>
      </c>
      <c r="D2653" s="503" t="s">
        <v>28603</v>
      </c>
      <c r="F2653" t="str">
        <f t="shared" si="83"/>
        <v>92882</v>
      </c>
      <c r="H2653" s="14">
        <f t="shared" si="84"/>
        <v>21.05</v>
      </c>
    </row>
    <row r="2654" spans="1:8" ht="27.6">
      <c r="A2654" s="502" t="s">
        <v>4583</v>
      </c>
      <c r="B2654" s="504" t="s">
        <v>24330</v>
      </c>
      <c r="C2654" s="502" t="s">
        <v>71</v>
      </c>
      <c r="D2654" s="503" t="s">
        <v>28388</v>
      </c>
      <c r="F2654" t="str">
        <f t="shared" si="83"/>
        <v>92883</v>
      </c>
      <c r="H2654" s="14">
        <f t="shared" si="84"/>
        <v>19.47</v>
      </c>
    </row>
    <row r="2655" spans="1:8" ht="27.6">
      <c r="A2655" s="502" t="s">
        <v>4584</v>
      </c>
      <c r="B2655" s="504" t="s">
        <v>24331</v>
      </c>
      <c r="C2655" s="502" t="s">
        <v>71</v>
      </c>
      <c r="D2655" s="503" t="s">
        <v>32186</v>
      </c>
      <c r="F2655" t="str">
        <f t="shared" si="83"/>
        <v>92884</v>
      </c>
      <c r="H2655" s="14">
        <f t="shared" si="84"/>
        <v>19.8</v>
      </c>
    </row>
    <row r="2656" spans="1:8" ht="27.6">
      <c r="A2656" s="502" t="s">
        <v>4586</v>
      </c>
      <c r="B2656" s="504" t="s">
        <v>24332</v>
      </c>
      <c r="C2656" s="502" t="s">
        <v>71</v>
      </c>
      <c r="D2656" s="503" t="s">
        <v>7454</v>
      </c>
      <c r="F2656" t="str">
        <f t="shared" si="83"/>
        <v>92885</v>
      </c>
      <c r="H2656" s="14">
        <f t="shared" si="84"/>
        <v>18.809999999999999</v>
      </c>
    </row>
    <row r="2657" spans="1:8" ht="27.6">
      <c r="A2657" s="502" t="s">
        <v>4587</v>
      </c>
      <c r="B2657" s="504" t="s">
        <v>24333</v>
      </c>
      <c r="C2657" s="502" t="s">
        <v>71</v>
      </c>
      <c r="D2657" s="503" t="s">
        <v>9509</v>
      </c>
      <c r="F2657" t="str">
        <f t="shared" si="83"/>
        <v>92886</v>
      </c>
      <c r="H2657" s="14">
        <f t="shared" si="84"/>
        <v>18.04</v>
      </c>
    </row>
    <row r="2658" spans="1:8" ht="27.6">
      <c r="A2658" s="502" t="s">
        <v>4588</v>
      </c>
      <c r="B2658" s="504" t="s">
        <v>24334</v>
      </c>
      <c r="C2658" s="502" t="s">
        <v>71</v>
      </c>
      <c r="D2658" s="503" t="s">
        <v>7299</v>
      </c>
      <c r="F2658" t="str">
        <f t="shared" si="83"/>
        <v>92887</v>
      </c>
      <c r="H2658" s="14">
        <f t="shared" si="84"/>
        <v>17.96</v>
      </c>
    </row>
    <row r="2659" spans="1:8" ht="27.6">
      <c r="A2659" s="502" t="s">
        <v>4589</v>
      </c>
      <c r="B2659" s="504" t="s">
        <v>24335</v>
      </c>
      <c r="C2659" s="502" t="s">
        <v>71</v>
      </c>
      <c r="D2659" s="503" t="s">
        <v>16181</v>
      </c>
      <c r="F2659" t="str">
        <f t="shared" si="83"/>
        <v>92888</v>
      </c>
      <c r="H2659" s="14">
        <f t="shared" si="84"/>
        <v>17.559999999999999</v>
      </c>
    </row>
    <row r="2660" spans="1:8" ht="55.2">
      <c r="A2660" s="502" t="s">
        <v>4590</v>
      </c>
      <c r="B2660" s="504" t="s">
        <v>24336</v>
      </c>
      <c r="C2660" s="502" t="s">
        <v>71</v>
      </c>
      <c r="D2660" s="503" t="s">
        <v>32187</v>
      </c>
      <c r="F2660" t="str">
        <f t="shared" si="83"/>
        <v>92915</v>
      </c>
      <c r="H2660" s="14">
        <f t="shared" si="84"/>
        <v>26.33</v>
      </c>
    </row>
    <row r="2661" spans="1:8" ht="55.2">
      <c r="A2661" s="502" t="s">
        <v>4591</v>
      </c>
      <c r="B2661" s="504" t="s">
        <v>24337</v>
      </c>
      <c r="C2661" s="502" t="s">
        <v>71</v>
      </c>
      <c r="D2661" s="503" t="s">
        <v>24239</v>
      </c>
      <c r="F2661" t="str">
        <f t="shared" si="83"/>
        <v>92916</v>
      </c>
      <c r="H2661" s="14">
        <f t="shared" si="84"/>
        <v>24.16</v>
      </c>
    </row>
    <row r="2662" spans="1:8" ht="55.2">
      <c r="A2662" s="502" t="s">
        <v>4593</v>
      </c>
      <c r="B2662" s="504" t="s">
        <v>24338</v>
      </c>
      <c r="C2662" s="502" t="s">
        <v>71</v>
      </c>
      <c r="D2662" s="503" t="s">
        <v>28823</v>
      </c>
      <c r="F2662" t="str">
        <f t="shared" si="83"/>
        <v>92917</v>
      </c>
      <c r="H2662" s="14">
        <f t="shared" si="84"/>
        <v>22.11</v>
      </c>
    </row>
    <row r="2663" spans="1:8" ht="55.2">
      <c r="A2663" s="502" t="s">
        <v>4594</v>
      </c>
      <c r="B2663" s="504" t="s">
        <v>24339</v>
      </c>
      <c r="C2663" s="502" t="s">
        <v>71</v>
      </c>
      <c r="D2663" s="503" t="s">
        <v>24194</v>
      </c>
      <c r="F2663" t="str">
        <f t="shared" si="83"/>
        <v>92919</v>
      </c>
      <c r="H2663" s="14">
        <f t="shared" si="84"/>
        <v>19.37</v>
      </c>
    </row>
    <row r="2664" spans="1:8" ht="55.2">
      <c r="A2664" s="502" t="s">
        <v>4595</v>
      </c>
      <c r="B2664" s="504" t="s">
        <v>24340</v>
      </c>
      <c r="C2664" s="502" t="s">
        <v>71</v>
      </c>
      <c r="D2664" s="503" t="s">
        <v>10385</v>
      </c>
      <c r="F2664" t="str">
        <f t="shared" si="83"/>
        <v>92921</v>
      </c>
      <c r="H2664" s="14">
        <f t="shared" si="84"/>
        <v>16.04</v>
      </c>
    </row>
    <row r="2665" spans="1:8" ht="55.2">
      <c r="A2665" s="502" t="s">
        <v>4596</v>
      </c>
      <c r="B2665" s="504" t="s">
        <v>24341</v>
      </c>
      <c r="C2665" s="502" t="s">
        <v>71</v>
      </c>
      <c r="D2665" s="503" t="s">
        <v>10643</v>
      </c>
      <c r="F2665" t="str">
        <f t="shared" si="83"/>
        <v>92922</v>
      </c>
      <c r="H2665" s="14">
        <f t="shared" si="84"/>
        <v>15.36</v>
      </c>
    </row>
    <row r="2666" spans="1:8" ht="55.2">
      <c r="A2666" s="502" t="s">
        <v>4598</v>
      </c>
      <c r="B2666" s="504" t="s">
        <v>24342</v>
      </c>
      <c r="C2666" s="502" t="s">
        <v>71</v>
      </c>
      <c r="D2666" s="503" t="s">
        <v>30252</v>
      </c>
      <c r="F2666" t="str">
        <f t="shared" si="83"/>
        <v>92923</v>
      </c>
      <c r="H2666" s="14">
        <f t="shared" si="84"/>
        <v>17.28</v>
      </c>
    </row>
    <row r="2667" spans="1:8" ht="55.2">
      <c r="A2667" s="502" t="s">
        <v>4600</v>
      </c>
      <c r="B2667" s="504" t="s">
        <v>24343</v>
      </c>
      <c r="C2667" s="502" t="s">
        <v>71</v>
      </c>
      <c r="D2667" s="503" t="s">
        <v>32188</v>
      </c>
      <c r="F2667" t="str">
        <f t="shared" si="83"/>
        <v>92924</v>
      </c>
      <c r="H2667" s="14">
        <f t="shared" si="84"/>
        <v>16.96</v>
      </c>
    </row>
    <row r="2668" spans="1:8" ht="27.6">
      <c r="A2668" s="502" t="s">
        <v>12641</v>
      </c>
      <c r="B2668" s="504" t="s">
        <v>32189</v>
      </c>
      <c r="C2668" s="502" t="s">
        <v>71</v>
      </c>
      <c r="D2668" s="503" t="s">
        <v>16174</v>
      </c>
      <c r="F2668" t="str">
        <f t="shared" si="83"/>
        <v>95448</v>
      </c>
      <c r="H2668" s="14">
        <f t="shared" si="84"/>
        <v>16.48</v>
      </c>
    </row>
    <row r="2669" spans="1:8" ht="27.6">
      <c r="A2669" s="502" t="s">
        <v>4601</v>
      </c>
      <c r="B2669" s="504" t="s">
        <v>24345</v>
      </c>
      <c r="C2669" s="502" t="s">
        <v>71</v>
      </c>
      <c r="D2669" s="503" t="s">
        <v>16155</v>
      </c>
      <c r="F2669" t="str">
        <f t="shared" si="83"/>
        <v>95576</v>
      </c>
      <c r="H2669" s="14">
        <f t="shared" si="84"/>
        <v>20.28</v>
      </c>
    </row>
    <row r="2670" spans="1:8" ht="27.6">
      <c r="A2670" s="502" t="s">
        <v>4602</v>
      </c>
      <c r="B2670" s="504" t="s">
        <v>24346</v>
      </c>
      <c r="C2670" s="502" t="s">
        <v>71</v>
      </c>
      <c r="D2670" s="503" t="s">
        <v>9910</v>
      </c>
      <c r="F2670" t="str">
        <f t="shared" si="83"/>
        <v>95577</v>
      </c>
      <c r="H2670" s="14">
        <f t="shared" si="84"/>
        <v>17.34</v>
      </c>
    </row>
    <row r="2671" spans="1:8" ht="27.6">
      <c r="A2671" s="502" t="s">
        <v>4603</v>
      </c>
      <c r="B2671" s="504" t="s">
        <v>24347</v>
      </c>
      <c r="C2671" s="502" t="s">
        <v>71</v>
      </c>
      <c r="D2671" s="503" t="s">
        <v>28809</v>
      </c>
      <c r="F2671" t="str">
        <f t="shared" si="83"/>
        <v>95578</v>
      </c>
      <c r="H2671" s="14">
        <f t="shared" si="84"/>
        <v>14.48</v>
      </c>
    </row>
    <row r="2672" spans="1:8" ht="27.6">
      <c r="A2672" s="502" t="s">
        <v>4604</v>
      </c>
      <c r="B2672" s="504" t="s">
        <v>24348</v>
      </c>
      <c r="C2672" s="502" t="s">
        <v>71</v>
      </c>
      <c r="D2672" s="503" t="s">
        <v>6359</v>
      </c>
      <c r="F2672" t="str">
        <f t="shared" si="83"/>
        <v>95579</v>
      </c>
      <c r="H2672" s="14">
        <f t="shared" si="84"/>
        <v>14.04</v>
      </c>
    </row>
    <row r="2673" spans="1:8" ht="27.6">
      <c r="A2673" s="502" t="s">
        <v>4605</v>
      </c>
      <c r="B2673" s="504" t="s">
        <v>24349</v>
      </c>
      <c r="C2673" s="502" t="s">
        <v>71</v>
      </c>
      <c r="D2673" s="503" t="s">
        <v>7902</v>
      </c>
      <c r="F2673" t="str">
        <f t="shared" si="83"/>
        <v>95580</v>
      </c>
      <c r="H2673" s="14">
        <f t="shared" si="84"/>
        <v>16.22</v>
      </c>
    </row>
    <row r="2674" spans="1:8" ht="27.6">
      <c r="A2674" s="502" t="s">
        <v>4606</v>
      </c>
      <c r="B2674" s="504" t="s">
        <v>24350</v>
      </c>
      <c r="C2674" s="502" t="s">
        <v>71</v>
      </c>
      <c r="D2674" s="503" t="s">
        <v>31001</v>
      </c>
      <c r="F2674" t="str">
        <f t="shared" si="83"/>
        <v>95581</v>
      </c>
      <c r="H2674" s="14">
        <f t="shared" si="84"/>
        <v>16.12</v>
      </c>
    </row>
    <row r="2675" spans="1:8" ht="27.6">
      <c r="A2675" s="502" t="s">
        <v>12642</v>
      </c>
      <c r="B2675" s="504" t="s">
        <v>28592</v>
      </c>
      <c r="C2675" s="502" t="s">
        <v>71</v>
      </c>
      <c r="D2675" s="503" t="s">
        <v>16181</v>
      </c>
      <c r="F2675" t="str">
        <f t="shared" si="83"/>
        <v>95582</v>
      </c>
      <c r="H2675" s="14">
        <f t="shared" si="84"/>
        <v>17.559999999999999</v>
      </c>
    </row>
    <row r="2676" spans="1:8" ht="27.6">
      <c r="A2676" s="502" t="s">
        <v>4608</v>
      </c>
      <c r="B2676" s="504" t="s">
        <v>24351</v>
      </c>
      <c r="C2676" s="502" t="s">
        <v>71</v>
      </c>
      <c r="D2676" s="503" t="s">
        <v>32190</v>
      </c>
      <c r="F2676" t="str">
        <f t="shared" si="83"/>
        <v>95583</v>
      </c>
      <c r="H2676" s="14">
        <f t="shared" si="84"/>
        <v>25.04</v>
      </c>
    </row>
    <row r="2677" spans="1:8" ht="27.6">
      <c r="A2677" s="502" t="s">
        <v>4610</v>
      </c>
      <c r="B2677" s="504" t="s">
        <v>24352</v>
      </c>
      <c r="C2677" s="502" t="s">
        <v>71</v>
      </c>
      <c r="D2677" s="503" t="s">
        <v>16428</v>
      </c>
      <c r="F2677" t="str">
        <f t="shared" si="83"/>
        <v>95584</v>
      </c>
      <c r="H2677" s="14">
        <f t="shared" si="84"/>
        <v>22.28</v>
      </c>
    </row>
    <row r="2678" spans="1:8" ht="27.6">
      <c r="A2678" s="502" t="s">
        <v>4613</v>
      </c>
      <c r="B2678" s="504" t="s">
        <v>24353</v>
      </c>
      <c r="C2678" s="502" t="s">
        <v>71</v>
      </c>
      <c r="D2678" s="503" t="s">
        <v>32190</v>
      </c>
      <c r="F2678" t="str">
        <f t="shared" si="83"/>
        <v>95592</v>
      </c>
      <c r="H2678" s="14">
        <f t="shared" si="84"/>
        <v>25.04</v>
      </c>
    </row>
    <row r="2679" spans="1:8" ht="27.6">
      <c r="A2679" s="502" t="s">
        <v>4614</v>
      </c>
      <c r="B2679" s="504" t="s">
        <v>24354</v>
      </c>
      <c r="C2679" s="502" t="s">
        <v>71</v>
      </c>
      <c r="D2679" s="503" t="s">
        <v>16428</v>
      </c>
      <c r="F2679" t="str">
        <f t="shared" si="83"/>
        <v>95593</v>
      </c>
      <c r="H2679" s="14">
        <f t="shared" si="84"/>
        <v>22.28</v>
      </c>
    </row>
    <row r="2680" spans="1:8" ht="41.4">
      <c r="A2680" s="502" t="s">
        <v>4615</v>
      </c>
      <c r="B2680" s="504" t="s">
        <v>12644</v>
      </c>
      <c r="C2680" s="502" t="s">
        <v>71</v>
      </c>
      <c r="D2680" s="503" t="s">
        <v>32191</v>
      </c>
      <c r="F2680" t="str">
        <f t="shared" si="83"/>
        <v>95943</v>
      </c>
      <c r="H2680" s="14">
        <f t="shared" si="84"/>
        <v>34.33</v>
      </c>
    </row>
    <row r="2681" spans="1:8" ht="41.4">
      <c r="A2681" s="502" t="s">
        <v>4616</v>
      </c>
      <c r="B2681" s="504" t="s">
        <v>12645</v>
      </c>
      <c r="C2681" s="502" t="s">
        <v>71</v>
      </c>
      <c r="D2681" s="503" t="s">
        <v>18181</v>
      </c>
      <c r="F2681" t="str">
        <f t="shared" si="83"/>
        <v>95944</v>
      </c>
      <c r="H2681" s="14">
        <f t="shared" si="84"/>
        <v>31.3</v>
      </c>
    </row>
    <row r="2682" spans="1:8" ht="41.4">
      <c r="A2682" s="502" t="s">
        <v>4617</v>
      </c>
      <c r="B2682" s="504" t="s">
        <v>12646</v>
      </c>
      <c r="C2682" s="502" t="s">
        <v>71</v>
      </c>
      <c r="D2682" s="503" t="s">
        <v>7898</v>
      </c>
      <c r="F2682" t="str">
        <f t="shared" si="83"/>
        <v>95945</v>
      </c>
      <c r="H2682" s="14">
        <f t="shared" si="84"/>
        <v>25.5</v>
      </c>
    </row>
    <row r="2683" spans="1:8" ht="41.4">
      <c r="A2683" s="502" t="s">
        <v>4619</v>
      </c>
      <c r="B2683" s="504" t="s">
        <v>12647</v>
      </c>
      <c r="C2683" s="502" t="s">
        <v>71</v>
      </c>
      <c r="D2683" s="503" t="s">
        <v>29176</v>
      </c>
      <c r="F2683" t="str">
        <f t="shared" si="83"/>
        <v>95946</v>
      </c>
      <c r="H2683" s="14">
        <f t="shared" si="84"/>
        <v>20.43</v>
      </c>
    </row>
    <row r="2684" spans="1:8" ht="41.4">
      <c r="A2684" s="502" t="s">
        <v>4620</v>
      </c>
      <c r="B2684" s="504" t="s">
        <v>12648</v>
      </c>
      <c r="C2684" s="502" t="s">
        <v>71</v>
      </c>
      <c r="D2684" s="503" t="s">
        <v>28175</v>
      </c>
      <c r="F2684" t="str">
        <f t="shared" si="83"/>
        <v>95947</v>
      </c>
      <c r="H2684" s="14">
        <f t="shared" si="84"/>
        <v>15.84</v>
      </c>
    </row>
    <row r="2685" spans="1:8" ht="41.4">
      <c r="A2685" s="502" t="s">
        <v>4621</v>
      </c>
      <c r="B2685" s="504" t="s">
        <v>12649</v>
      </c>
      <c r="C2685" s="502" t="s">
        <v>71</v>
      </c>
      <c r="D2685" s="503" t="s">
        <v>25081</v>
      </c>
      <c r="F2685" t="str">
        <f t="shared" si="83"/>
        <v>95948</v>
      </c>
      <c r="H2685" s="14">
        <f t="shared" si="84"/>
        <v>14.02</v>
      </c>
    </row>
    <row r="2686" spans="1:8" ht="27.6">
      <c r="A2686" s="502" t="s">
        <v>4623</v>
      </c>
      <c r="B2686" s="504" t="s">
        <v>28593</v>
      </c>
      <c r="C2686" s="502" t="s">
        <v>71</v>
      </c>
      <c r="D2686" s="503" t="s">
        <v>10412</v>
      </c>
      <c r="F2686" t="str">
        <f t="shared" si="83"/>
        <v>96544</v>
      </c>
      <c r="H2686" s="14">
        <f t="shared" si="84"/>
        <v>28.1</v>
      </c>
    </row>
    <row r="2687" spans="1:8" ht="27.6">
      <c r="A2687" s="502" t="s">
        <v>4624</v>
      </c>
      <c r="B2687" s="504" t="s">
        <v>28594</v>
      </c>
      <c r="C2687" s="502" t="s">
        <v>71</v>
      </c>
      <c r="D2687" s="503" t="s">
        <v>7706</v>
      </c>
      <c r="F2687" t="str">
        <f t="shared" si="83"/>
        <v>96545</v>
      </c>
      <c r="H2687" s="14">
        <f t="shared" si="84"/>
        <v>25.49</v>
      </c>
    </row>
    <row r="2688" spans="1:8" ht="27.6">
      <c r="A2688" s="502" t="s">
        <v>4625</v>
      </c>
      <c r="B2688" s="504" t="s">
        <v>28595</v>
      </c>
      <c r="C2688" s="502" t="s">
        <v>71</v>
      </c>
      <c r="D2688" s="503" t="s">
        <v>32192</v>
      </c>
      <c r="F2688" t="str">
        <f t="shared" si="83"/>
        <v>96546</v>
      </c>
      <c r="H2688" s="14">
        <f t="shared" si="84"/>
        <v>22.35</v>
      </c>
    </row>
    <row r="2689" spans="1:8" ht="41.4">
      <c r="A2689" s="502" t="s">
        <v>12650</v>
      </c>
      <c r="B2689" s="504" t="s">
        <v>32193</v>
      </c>
      <c r="C2689" s="502" t="s">
        <v>71</v>
      </c>
      <c r="D2689" s="503" t="s">
        <v>7723</v>
      </c>
      <c r="F2689" t="str">
        <f t="shared" si="83"/>
        <v>100064</v>
      </c>
      <c r="H2689" s="14">
        <f t="shared" si="84"/>
        <v>14.76</v>
      </c>
    </row>
    <row r="2690" spans="1:8" ht="41.4">
      <c r="A2690" s="502" t="s">
        <v>10656</v>
      </c>
      <c r="B2690" s="504" t="s">
        <v>32194</v>
      </c>
      <c r="C2690" s="502" t="s">
        <v>71</v>
      </c>
      <c r="D2690" s="503" t="s">
        <v>3158</v>
      </c>
      <c r="F2690" t="str">
        <f t="shared" si="83"/>
        <v>100066</v>
      </c>
      <c r="H2690" s="14">
        <f t="shared" si="84"/>
        <v>14.8</v>
      </c>
    </row>
    <row r="2691" spans="1:8" ht="41.4">
      <c r="A2691" s="502" t="s">
        <v>10657</v>
      </c>
      <c r="B2691" s="504" t="s">
        <v>32195</v>
      </c>
      <c r="C2691" s="502" t="s">
        <v>71</v>
      </c>
      <c r="D2691" s="503" t="s">
        <v>25064</v>
      </c>
      <c r="F2691" t="str">
        <f t="shared" si="83"/>
        <v>100067</v>
      </c>
      <c r="H2691" s="14">
        <f t="shared" si="84"/>
        <v>19.010000000000002</v>
      </c>
    </row>
    <row r="2692" spans="1:8" ht="41.4">
      <c r="A2692" s="502" t="s">
        <v>10658</v>
      </c>
      <c r="B2692" s="504" t="s">
        <v>32196</v>
      </c>
      <c r="C2692" s="502" t="s">
        <v>71</v>
      </c>
      <c r="D2692" s="503" t="s">
        <v>7245</v>
      </c>
      <c r="F2692" t="str">
        <f t="shared" si="83"/>
        <v>100068</v>
      </c>
      <c r="H2692" s="14">
        <f t="shared" si="84"/>
        <v>14.18</v>
      </c>
    </row>
    <row r="2693" spans="1:8" ht="27.6">
      <c r="A2693" s="502" t="s">
        <v>24355</v>
      </c>
      <c r="B2693" s="504" t="s">
        <v>24356</v>
      </c>
      <c r="C2693" s="502" t="s">
        <v>71</v>
      </c>
      <c r="D2693" s="503" t="s">
        <v>6035</v>
      </c>
      <c r="F2693" t="str">
        <f t="shared" ref="F2693:F2756" si="85">TRIM(A2693)</f>
        <v>102920</v>
      </c>
      <c r="H2693" s="14">
        <f t="shared" ref="H2693:H2756" si="86">ROUND(D2693*(1+$H$1),2)</f>
        <v>13.42</v>
      </c>
    </row>
    <row r="2694" spans="1:8" ht="27.6">
      <c r="A2694" s="502" t="s">
        <v>24357</v>
      </c>
      <c r="B2694" s="504" t="s">
        <v>24358</v>
      </c>
      <c r="C2694" s="502" t="s">
        <v>71</v>
      </c>
      <c r="D2694" s="503" t="s">
        <v>7466</v>
      </c>
      <c r="F2694" t="str">
        <f t="shared" si="85"/>
        <v>102921</v>
      </c>
      <c r="H2694" s="14">
        <f t="shared" si="86"/>
        <v>12.94</v>
      </c>
    </row>
    <row r="2695" spans="1:8" ht="27.6">
      <c r="A2695" s="502" t="s">
        <v>24360</v>
      </c>
      <c r="B2695" s="504" t="s">
        <v>24361</v>
      </c>
      <c r="C2695" s="502" t="s">
        <v>71</v>
      </c>
      <c r="D2695" s="503" t="s">
        <v>9478</v>
      </c>
      <c r="F2695" t="str">
        <f t="shared" si="85"/>
        <v>102922</v>
      </c>
      <c r="H2695" s="14">
        <f t="shared" si="86"/>
        <v>14.28</v>
      </c>
    </row>
    <row r="2696" spans="1:8" ht="27.6">
      <c r="A2696" s="502" t="s">
        <v>24362</v>
      </c>
      <c r="B2696" s="504" t="s">
        <v>24363</v>
      </c>
      <c r="C2696" s="502" t="s">
        <v>71</v>
      </c>
      <c r="D2696" s="503" t="s">
        <v>32197</v>
      </c>
      <c r="F2696" t="str">
        <f t="shared" si="85"/>
        <v>102923</v>
      </c>
      <c r="H2696" s="14">
        <f t="shared" si="86"/>
        <v>12.62</v>
      </c>
    </row>
    <row r="2697" spans="1:8" ht="27.6">
      <c r="A2697" s="502" t="s">
        <v>24364</v>
      </c>
      <c r="B2697" s="504" t="s">
        <v>24365</v>
      </c>
      <c r="C2697" s="502" t="s">
        <v>71</v>
      </c>
      <c r="D2697" s="503" t="s">
        <v>29343</v>
      </c>
      <c r="F2697" t="str">
        <f t="shared" si="85"/>
        <v>103088</v>
      </c>
      <c r="H2697" s="14">
        <f t="shared" si="86"/>
        <v>16.11</v>
      </c>
    </row>
    <row r="2698" spans="1:8" ht="55.2">
      <c r="A2698" s="502" t="s">
        <v>24366</v>
      </c>
      <c r="B2698" s="504" t="s">
        <v>24367</v>
      </c>
      <c r="C2698" s="502" t="s">
        <v>71</v>
      </c>
      <c r="D2698" s="503" t="s">
        <v>10196</v>
      </c>
      <c r="F2698" t="str">
        <f t="shared" si="85"/>
        <v>104104</v>
      </c>
      <c r="H2698" s="14">
        <f t="shared" si="86"/>
        <v>17.82</v>
      </c>
    </row>
    <row r="2699" spans="1:8" ht="41.4">
      <c r="A2699" s="502" t="s">
        <v>24368</v>
      </c>
      <c r="B2699" s="504" t="s">
        <v>24369</v>
      </c>
      <c r="C2699" s="502" t="s">
        <v>71</v>
      </c>
      <c r="D2699" s="503" t="s">
        <v>13152</v>
      </c>
      <c r="F2699" t="str">
        <f t="shared" si="85"/>
        <v>104105</v>
      </c>
      <c r="H2699" s="14">
        <f t="shared" si="86"/>
        <v>17.829999999999998</v>
      </c>
    </row>
    <row r="2700" spans="1:8" ht="41.4">
      <c r="A2700" s="502" t="s">
        <v>24370</v>
      </c>
      <c r="B2700" s="504" t="s">
        <v>24371</v>
      </c>
      <c r="C2700" s="502" t="s">
        <v>71</v>
      </c>
      <c r="D2700" s="503" t="s">
        <v>29074</v>
      </c>
      <c r="F2700" t="str">
        <f t="shared" si="85"/>
        <v>104106</v>
      </c>
      <c r="H2700" s="14">
        <f t="shared" si="86"/>
        <v>16.36</v>
      </c>
    </row>
    <row r="2701" spans="1:8" ht="41.4">
      <c r="A2701" s="502" t="s">
        <v>24372</v>
      </c>
      <c r="B2701" s="504" t="s">
        <v>24373</v>
      </c>
      <c r="C2701" s="502" t="s">
        <v>71</v>
      </c>
      <c r="D2701" s="503" t="s">
        <v>9535</v>
      </c>
      <c r="F2701" t="str">
        <f t="shared" si="85"/>
        <v>104107</v>
      </c>
      <c r="H2701" s="14">
        <f t="shared" si="86"/>
        <v>17.36</v>
      </c>
    </row>
    <row r="2702" spans="1:8" ht="41.4">
      <c r="A2702" s="502" t="s">
        <v>24374</v>
      </c>
      <c r="B2702" s="504" t="s">
        <v>24375</v>
      </c>
      <c r="C2702" s="502" t="s">
        <v>71</v>
      </c>
      <c r="D2702" s="503" t="s">
        <v>16435</v>
      </c>
      <c r="F2702" t="str">
        <f t="shared" si="85"/>
        <v>104108</v>
      </c>
      <c r="H2702" s="14">
        <f t="shared" si="86"/>
        <v>20.55</v>
      </c>
    </row>
    <row r="2703" spans="1:8" ht="41.4">
      <c r="A2703" s="502" t="s">
        <v>24376</v>
      </c>
      <c r="B2703" s="504" t="s">
        <v>24377</v>
      </c>
      <c r="C2703" s="502" t="s">
        <v>71</v>
      </c>
      <c r="D2703" s="503" t="s">
        <v>32198</v>
      </c>
      <c r="F2703" t="str">
        <f t="shared" si="85"/>
        <v>104109</v>
      </c>
      <c r="H2703" s="14">
        <f t="shared" si="86"/>
        <v>24.97</v>
      </c>
    </row>
    <row r="2704" spans="1:8" ht="41.4">
      <c r="A2704" s="502" t="s">
        <v>24379</v>
      </c>
      <c r="B2704" s="504" t="s">
        <v>24380</v>
      </c>
      <c r="C2704" s="502" t="s">
        <v>71</v>
      </c>
      <c r="D2704" s="503" t="s">
        <v>7266</v>
      </c>
      <c r="F2704" t="str">
        <f t="shared" si="85"/>
        <v>104110</v>
      </c>
      <c r="H2704" s="14">
        <f t="shared" si="86"/>
        <v>28.18</v>
      </c>
    </row>
    <row r="2705" spans="1:8" ht="41.4">
      <c r="A2705" s="502" t="s">
        <v>24381</v>
      </c>
      <c r="B2705" s="504" t="s">
        <v>24382</v>
      </c>
      <c r="C2705" s="502" t="s">
        <v>71</v>
      </c>
      <c r="D2705" s="503" t="s">
        <v>10315</v>
      </c>
      <c r="F2705" t="str">
        <f t="shared" si="85"/>
        <v>104111</v>
      </c>
      <c r="H2705" s="14">
        <f t="shared" si="86"/>
        <v>31.78</v>
      </c>
    </row>
    <row r="2706" spans="1:8" ht="27.6">
      <c r="A2706" s="502" t="s">
        <v>28597</v>
      </c>
      <c r="B2706" s="504" t="s">
        <v>28598</v>
      </c>
      <c r="C2706" s="502" t="s">
        <v>71</v>
      </c>
      <c r="D2706" s="503" t="s">
        <v>9521</v>
      </c>
      <c r="F2706" t="str">
        <f t="shared" si="85"/>
        <v>104915</v>
      </c>
      <c r="H2706" s="14">
        <f t="shared" si="86"/>
        <v>16.62</v>
      </c>
    </row>
    <row r="2707" spans="1:8" ht="41.4">
      <c r="A2707" s="502" t="s">
        <v>28599</v>
      </c>
      <c r="B2707" s="504" t="s">
        <v>28600</v>
      </c>
      <c r="C2707" s="502" t="s">
        <v>71</v>
      </c>
      <c r="D2707" s="503" t="s">
        <v>15858</v>
      </c>
      <c r="F2707" t="str">
        <f t="shared" si="85"/>
        <v>104917</v>
      </c>
      <c r="H2707" s="14">
        <f t="shared" si="86"/>
        <v>24.52</v>
      </c>
    </row>
    <row r="2708" spans="1:8" ht="41.4">
      <c r="A2708" s="502" t="s">
        <v>28601</v>
      </c>
      <c r="B2708" s="504" t="s">
        <v>28602</v>
      </c>
      <c r="C2708" s="502" t="s">
        <v>71</v>
      </c>
      <c r="D2708" s="503" t="s">
        <v>31973</v>
      </c>
      <c r="F2708" t="str">
        <f t="shared" si="85"/>
        <v>104918</v>
      </c>
      <c r="H2708" s="14">
        <f t="shared" si="86"/>
        <v>22.84</v>
      </c>
    </row>
    <row r="2709" spans="1:8" ht="41.4">
      <c r="A2709" s="502" t="s">
        <v>28604</v>
      </c>
      <c r="B2709" s="504" t="s">
        <v>28605</v>
      </c>
      <c r="C2709" s="502" t="s">
        <v>71</v>
      </c>
      <c r="D2709" s="503" t="s">
        <v>32199</v>
      </c>
      <c r="F2709" t="str">
        <f t="shared" si="85"/>
        <v>104919</v>
      </c>
      <c r="H2709" s="14">
        <f t="shared" si="86"/>
        <v>20.440000000000001</v>
      </c>
    </row>
    <row r="2710" spans="1:8" ht="41.4">
      <c r="A2710" s="502" t="s">
        <v>28606</v>
      </c>
      <c r="B2710" s="504" t="s">
        <v>28607</v>
      </c>
      <c r="C2710" s="502" t="s">
        <v>71</v>
      </c>
      <c r="D2710" s="503" t="s">
        <v>7460</v>
      </c>
      <c r="F2710" t="str">
        <f t="shared" si="85"/>
        <v>104920</v>
      </c>
      <c r="H2710" s="14">
        <f t="shared" si="86"/>
        <v>17.38</v>
      </c>
    </row>
    <row r="2711" spans="1:8" ht="41.4">
      <c r="A2711" s="502" t="s">
        <v>28608</v>
      </c>
      <c r="B2711" s="504" t="s">
        <v>28609</v>
      </c>
      <c r="C2711" s="502" t="s">
        <v>71</v>
      </c>
      <c r="D2711" s="503" t="s">
        <v>28224</v>
      </c>
      <c r="F2711" t="str">
        <f t="shared" si="85"/>
        <v>104921</v>
      </c>
      <c r="H2711" s="14">
        <f t="shared" si="86"/>
        <v>16.399999999999999</v>
      </c>
    </row>
    <row r="2712" spans="1:8" ht="41.4">
      <c r="A2712" s="502" t="s">
        <v>28610</v>
      </c>
      <c r="B2712" s="504" t="s">
        <v>28611</v>
      </c>
      <c r="C2712" s="502" t="s">
        <v>71</v>
      </c>
      <c r="D2712" s="503" t="s">
        <v>32200</v>
      </c>
      <c r="F2712" t="str">
        <f t="shared" si="85"/>
        <v>104922</v>
      </c>
      <c r="H2712" s="14">
        <f t="shared" si="86"/>
        <v>18.12</v>
      </c>
    </row>
    <row r="2713" spans="1:8" ht="41.4">
      <c r="A2713" s="502" t="s">
        <v>32201</v>
      </c>
      <c r="B2713" s="504" t="s">
        <v>32202</v>
      </c>
      <c r="C2713" s="502" t="s">
        <v>71</v>
      </c>
      <c r="D2713" s="503" t="s">
        <v>5170</v>
      </c>
      <c r="F2713" t="str">
        <f t="shared" si="85"/>
        <v>105814</v>
      </c>
      <c r="H2713" s="14">
        <f t="shared" si="86"/>
        <v>14.55</v>
      </c>
    </row>
    <row r="2714" spans="1:8" ht="27.6">
      <c r="A2714" s="502" t="s">
        <v>4628</v>
      </c>
      <c r="B2714" s="504" t="s">
        <v>24383</v>
      </c>
      <c r="C2714" s="502" t="s">
        <v>83</v>
      </c>
      <c r="D2714" s="503" t="s">
        <v>32203</v>
      </c>
      <c r="F2714" t="str">
        <f t="shared" si="85"/>
        <v>89993</v>
      </c>
      <c r="H2714" s="14">
        <f t="shared" si="86"/>
        <v>1410.56</v>
      </c>
    </row>
    <row r="2715" spans="1:8" ht="27.6">
      <c r="A2715" s="502" t="s">
        <v>4629</v>
      </c>
      <c r="B2715" s="504" t="s">
        <v>24384</v>
      </c>
      <c r="C2715" s="502" t="s">
        <v>83</v>
      </c>
      <c r="D2715" s="503" t="s">
        <v>32204</v>
      </c>
      <c r="F2715" t="str">
        <f t="shared" si="85"/>
        <v>89994</v>
      </c>
      <c r="H2715" s="14">
        <f t="shared" si="86"/>
        <v>1193.76</v>
      </c>
    </row>
    <row r="2716" spans="1:8" ht="27.6">
      <c r="A2716" s="502" t="s">
        <v>4630</v>
      </c>
      <c r="B2716" s="504" t="s">
        <v>24385</v>
      </c>
      <c r="C2716" s="502" t="s">
        <v>83</v>
      </c>
      <c r="D2716" s="503" t="s">
        <v>32205</v>
      </c>
      <c r="F2716" t="str">
        <f t="shared" si="85"/>
        <v>89995</v>
      </c>
      <c r="H2716" s="14">
        <f t="shared" si="86"/>
        <v>1355.1</v>
      </c>
    </row>
    <row r="2717" spans="1:8" ht="41.4">
      <c r="A2717" s="502" t="s">
        <v>4631</v>
      </c>
      <c r="B2717" s="504" t="s">
        <v>24386</v>
      </c>
      <c r="C2717" s="502" t="s">
        <v>83</v>
      </c>
      <c r="D2717" s="503" t="s">
        <v>32206</v>
      </c>
      <c r="F2717" t="str">
        <f t="shared" si="85"/>
        <v>90278</v>
      </c>
      <c r="H2717" s="14">
        <f t="shared" si="86"/>
        <v>673.85</v>
      </c>
    </row>
    <row r="2718" spans="1:8" ht="41.4">
      <c r="A2718" s="502" t="s">
        <v>4632</v>
      </c>
      <c r="B2718" s="504" t="s">
        <v>24387</v>
      </c>
      <c r="C2718" s="502" t="s">
        <v>83</v>
      </c>
      <c r="D2718" s="503" t="s">
        <v>32207</v>
      </c>
      <c r="F2718" t="str">
        <f t="shared" si="85"/>
        <v>90279</v>
      </c>
      <c r="H2718" s="14">
        <f t="shared" si="86"/>
        <v>739.18</v>
      </c>
    </row>
    <row r="2719" spans="1:8" ht="41.4">
      <c r="A2719" s="502" t="s">
        <v>4633</v>
      </c>
      <c r="B2719" s="504" t="s">
        <v>24388</v>
      </c>
      <c r="C2719" s="502" t="s">
        <v>83</v>
      </c>
      <c r="D2719" s="503" t="s">
        <v>32208</v>
      </c>
      <c r="F2719" t="str">
        <f t="shared" si="85"/>
        <v>90280</v>
      </c>
      <c r="H2719" s="14">
        <f t="shared" si="86"/>
        <v>808.57</v>
      </c>
    </row>
    <row r="2720" spans="1:8" ht="41.4">
      <c r="A2720" s="502" t="s">
        <v>4634</v>
      </c>
      <c r="B2720" s="504" t="s">
        <v>24389</v>
      </c>
      <c r="C2720" s="502" t="s">
        <v>83</v>
      </c>
      <c r="D2720" s="503" t="s">
        <v>32209</v>
      </c>
      <c r="F2720" t="str">
        <f t="shared" si="85"/>
        <v>90281</v>
      </c>
      <c r="H2720" s="14">
        <f t="shared" si="86"/>
        <v>925.06</v>
      </c>
    </row>
    <row r="2721" spans="1:8" ht="41.4">
      <c r="A2721" s="502" t="s">
        <v>4635</v>
      </c>
      <c r="B2721" s="504" t="s">
        <v>24390</v>
      </c>
      <c r="C2721" s="502" t="s">
        <v>83</v>
      </c>
      <c r="D2721" s="503" t="s">
        <v>32210</v>
      </c>
      <c r="F2721" t="str">
        <f t="shared" si="85"/>
        <v>90282</v>
      </c>
      <c r="H2721" s="14">
        <f t="shared" si="86"/>
        <v>656.51</v>
      </c>
    </row>
    <row r="2722" spans="1:8" ht="41.4">
      <c r="A2722" s="502" t="s">
        <v>4636</v>
      </c>
      <c r="B2722" s="504" t="s">
        <v>24391</v>
      </c>
      <c r="C2722" s="502" t="s">
        <v>83</v>
      </c>
      <c r="D2722" s="503" t="s">
        <v>32211</v>
      </c>
      <c r="F2722" t="str">
        <f t="shared" si="85"/>
        <v>90283</v>
      </c>
      <c r="H2722" s="14">
        <f t="shared" si="86"/>
        <v>720.99</v>
      </c>
    </row>
    <row r="2723" spans="1:8" ht="41.4">
      <c r="A2723" s="502" t="s">
        <v>4637</v>
      </c>
      <c r="B2723" s="504" t="s">
        <v>24392</v>
      </c>
      <c r="C2723" s="502" t="s">
        <v>83</v>
      </c>
      <c r="D2723" s="503" t="s">
        <v>32212</v>
      </c>
      <c r="F2723" t="str">
        <f t="shared" si="85"/>
        <v>90284</v>
      </c>
      <c r="H2723" s="14">
        <f t="shared" si="86"/>
        <v>795.89</v>
      </c>
    </row>
    <row r="2724" spans="1:8" ht="41.4">
      <c r="A2724" s="502" t="s">
        <v>4638</v>
      </c>
      <c r="B2724" s="504" t="s">
        <v>24393</v>
      </c>
      <c r="C2724" s="502" t="s">
        <v>83</v>
      </c>
      <c r="D2724" s="503" t="s">
        <v>32213</v>
      </c>
      <c r="F2724" t="str">
        <f t="shared" si="85"/>
        <v>90285</v>
      </c>
      <c r="H2724" s="14">
        <f t="shared" si="86"/>
        <v>918.4</v>
      </c>
    </row>
    <row r="2725" spans="1:8" ht="41.4">
      <c r="A2725" s="502" t="s">
        <v>4639</v>
      </c>
      <c r="B2725" s="504" t="s">
        <v>12651</v>
      </c>
      <c r="C2725" s="502" t="s">
        <v>83</v>
      </c>
      <c r="D2725" s="503" t="s">
        <v>32214</v>
      </c>
      <c r="F2725" t="str">
        <f t="shared" si="85"/>
        <v>94962</v>
      </c>
      <c r="H2725" s="14">
        <f t="shared" si="86"/>
        <v>522.95000000000005</v>
      </c>
    </row>
    <row r="2726" spans="1:8" ht="41.4">
      <c r="A2726" s="502" t="s">
        <v>4640</v>
      </c>
      <c r="B2726" s="504" t="s">
        <v>12652</v>
      </c>
      <c r="C2726" s="502" t="s">
        <v>83</v>
      </c>
      <c r="D2726" s="503" t="s">
        <v>32215</v>
      </c>
      <c r="F2726" t="str">
        <f t="shared" si="85"/>
        <v>94963</v>
      </c>
      <c r="H2726" s="14">
        <f t="shared" si="86"/>
        <v>573.32000000000005</v>
      </c>
    </row>
    <row r="2727" spans="1:8" ht="41.4">
      <c r="A2727" s="502" t="s">
        <v>4641</v>
      </c>
      <c r="B2727" s="504" t="s">
        <v>12653</v>
      </c>
      <c r="C2727" s="502" t="s">
        <v>83</v>
      </c>
      <c r="D2727" s="503" t="s">
        <v>32216</v>
      </c>
      <c r="F2727" t="str">
        <f t="shared" si="85"/>
        <v>94964</v>
      </c>
      <c r="H2727" s="14">
        <f t="shared" si="86"/>
        <v>625.58000000000004</v>
      </c>
    </row>
    <row r="2728" spans="1:8" ht="41.4">
      <c r="A2728" s="502" t="s">
        <v>4642</v>
      </c>
      <c r="B2728" s="504" t="s">
        <v>12654</v>
      </c>
      <c r="C2728" s="502" t="s">
        <v>83</v>
      </c>
      <c r="D2728" s="503" t="s">
        <v>32217</v>
      </c>
      <c r="F2728" t="str">
        <f t="shared" si="85"/>
        <v>94965</v>
      </c>
      <c r="H2728" s="14">
        <f t="shared" si="86"/>
        <v>644.96</v>
      </c>
    </row>
    <row r="2729" spans="1:8" ht="41.4">
      <c r="A2729" s="502" t="s">
        <v>4643</v>
      </c>
      <c r="B2729" s="504" t="s">
        <v>12655</v>
      </c>
      <c r="C2729" s="502" t="s">
        <v>83</v>
      </c>
      <c r="D2729" s="503" t="s">
        <v>32218</v>
      </c>
      <c r="F2729" t="str">
        <f t="shared" si="85"/>
        <v>94966</v>
      </c>
      <c r="H2729" s="14">
        <f t="shared" si="86"/>
        <v>664.42</v>
      </c>
    </row>
    <row r="2730" spans="1:8" ht="41.4">
      <c r="A2730" s="502" t="s">
        <v>4644</v>
      </c>
      <c r="B2730" s="504" t="s">
        <v>12656</v>
      </c>
      <c r="C2730" s="502" t="s">
        <v>83</v>
      </c>
      <c r="D2730" s="503" t="s">
        <v>32219</v>
      </c>
      <c r="F2730" t="str">
        <f t="shared" si="85"/>
        <v>94967</v>
      </c>
      <c r="H2730" s="14">
        <f t="shared" si="86"/>
        <v>750.1</v>
      </c>
    </row>
    <row r="2731" spans="1:8" ht="41.4">
      <c r="A2731" s="502" t="s">
        <v>4645</v>
      </c>
      <c r="B2731" s="504" t="s">
        <v>12657</v>
      </c>
      <c r="C2731" s="502" t="s">
        <v>83</v>
      </c>
      <c r="D2731" s="503" t="s">
        <v>32220</v>
      </c>
      <c r="F2731" t="str">
        <f t="shared" si="85"/>
        <v>94968</v>
      </c>
      <c r="H2731" s="14">
        <f t="shared" si="86"/>
        <v>515.5</v>
      </c>
    </row>
    <row r="2732" spans="1:8" ht="41.4">
      <c r="A2732" s="502" t="s">
        <v>4646</v>
      </c>
      <c r="B2732" s="504" t="s">
        <v>12658</v>
      </c>
      <c r="C2732" s="502" t="s">
        <v>83</v>
      </c>
      <c r="D2732" s="503" t="s">
        <v>32221</v>
      </c>
      <c r="F2732" t="str">
        <f t="shared" si="85"/>
        <v>94969</v>
      </c>
      <c r="H2732" s="14">
        <f t="shared" si="86"/>
        <v>561.14</v>
      </c>
    </row>
    <row r="2733" spans="1:8" ht="41.4">
      <c r="A2733" s="502" t="s">
        <v>4647</v>
      </c>
      <c r="B2733" s="504" t="s">
        <v>12659</v>
      </c>
      <c r="C2733" s="502" t="s">
        <v>83</v>
      </c>
      <c r="D2733" s="503" t="s">
        <v>32222</v>
      </c>
      <c r="F2733" t="str">
        <f t="shared" si="85"/>
        <v>94970</v>
      </c>
      <c r="H2733" s="14">
        <f t="shared" si="86"/>
        <v>602.48</v>
      </c>
    </row>
    <row r="2734" spans="1:8" ht="41.4">
      <c r="A2734" s="502" t="s">
        <v>4648</v>
      </c>
      <c r="B2734" s="504" t="s">
        <v>12660</v>
      </c>
      <c r="C2734" s="502" t="s">
        <v>83</v>
      </c>
      <c r="D2734" s="503" t="s">
        <v>32223</v>
      </c>
      <c r="F2734" t="str">
        <f t="shared" si="85"/>
        <v>94971</v>
      </c>
      <c r="H2734" s="14">
        <f t="shared" si="86"/>
        <v>632.14</v>
      </c>
    </row>
    <row r="2735" spans="1:8" ht="41.4">
      <c r="A2735" s="502" t="s">
        <v>4649</v>
      </c>
      <c r="B2735" s="504" t="s">
        <v>12661</v>
      </c>
      <c r="C2735" s="502" t="s">
        <v>83</v>
      </c>
      <c r="D2735" s="503" t="s">
        <v>32224</v>
      </c>
      <c r="F2735" t="str">
        <f t="shared" si="85"/>
        <v>94972</v>
      </c>
      <c r="H2735" s="14">
        <f t="shared" si="86"/>
        <v>651.66</v>
      </c>
    </row>
    <row r="2736" spans="1:8" ht="41.4">
      <c r="A2736" s="502" t="s">
        <v>4650</v>
      </c>
      <c r="B2736" s="504" t="s">
        <v>12662</v>
      </c>
      <c r="C2736" s="502" t="s">
        <v>83</v>
      </c>
      <c r="D2736" s="503" t="s">
        <v>32225</v>
      </c>
      <c r="F2736" t="str">
        <f t="shared" si="85"/>
        <v>94973</v>
      </c>
      <c r="H2736" s="14">
        <f t="shared" si="86"/>
        <v>733.89</v>
      </c>
    </row>
    <row r="2737" spans="1:8" ht="41.4">
      <c r="A2737" s="502" t="s">
        <v>4651</v>
      </c>
      <c r="B2737" s="504" t="s">
        <v>12663</v>
      </c>
      <c r="C2737" s="502" t="s">
        <v>83</v>
      </c>
      <c r="D2737" s="503" t="s">
        <v>32226</v>
      </c>
      <c r="F2737" t="str">
        <f t="shared" si="85"/>
        <v>94974</v>
      </c>
      <c r="H2737" s="14">
        <f t="shared" si="86"/>
        <v>597.80999999999995</v>
      </c>
    </row>
    <row r="2738" spans="1:8" ht="41.4">
      <c r="A2738" s="502" t="s">
        <v>4652</v>
      </c>
      <c r="B2738" s="504" t="s">
        <v>12664</v>
      </c>
      <c r="C2738" s="502" t="s">
        <v>83</v>
      </c>
      <c r="D2738" s="503" t="s">
        <v>32227</v>
      </c>
      <c r="F2738" t="str">
        <f t="shared" si="85"/>
        <v>94975</v>
      </c>
      <c r="H2738" s="14">
        <f t="shared" si="86"/>
        <v>641.77</v>
      </c>
    </row>
    <row r="2739" spans="1:8" ht="41.4">
      <c r="A2739" s="502" t="s">
        <v>4653</v>
      </c>
      <c r="B2739" s="504" t="s">
        <v>28614</v>
      </c>
      <c r="C2739" s="502" t="s">
        <v>83</v>
      </c>
      <c r="D2739" s="503" t="s">
        <v>32228</v>
      </c>
      <c r="F2739" t="str">
        <f t="shared" si="85"/>
        <v>96555</v>
      </c>
      <c r="H2739" s="14">
        <f t="shared" si="86"/>
        <v>949.82</v>
      </c>
    </row>
    <row r="2740" spans="1:8" ht="41.4">
      <c r="A2740" s="502" t="s">
        <v>4654</v>
      </c>
      <c r="B2740" s="504" t="s">
        <v>28615</v>
      </c>
      <c r="C2740" s="502" t="s">
        <v>83</v>
      </c>
      <c r="D2740" s="503" t="s">
        <v>32229</v>
      </c>
      <c r="F2740" t="str">
        <f t="shared" si="85"/>
        <v>96556</v>
      </c>
      <c r="H2740" s="14">
        <f t="shared" si="86"/>
        <v>1172.1099999999999</v>
      </c>
    </row>
    <row r="2741" spans="1:8" ht="41.4">
      <c r="A2741" s="502" t="s">
        <v>4655</v>
      </c>
      <c r="B2741" s="504" t="s">
        <v>28616</v>
      </c>
      <c r="C2741" s="502" t="s">
        <v>83</v>
      </c>
      <c r="D2741" s="503" t="s">
        <v>32230</v>
      </c>
      <c r="F2741" t="str">
        <f t="shared" si="85"/>
        <v>96557</v>
      </c>
      <c r="H2741" s="14">
        <f t="shared" si="86"/>
        <v>1126.1400000000001</v>
      </c>
    </row>
    <row r="2742" spans="1:8" ht="27.6">
      <c r="A2742" s="502" t="s">
        <v>4656</v>
      </c>
      <c r="B2742" s="504" t="s">
        <v>28617</v>
      </c>
      <c r="C2742" s="502" t="s">
        <v>83</v>
      </c>
      <c r="D2742" s="503" t="s">
        <v>32231</v>
      </c>
      <c r="F2742" t="str">
        <f t="shared" si="85"/>
        <v>96558</v>
      </c>
      <c r="H2742" s="14">
        <f t="shared" si="86"/>
        <v>1175.6400000000001</v>
      </c>
    </row>
    <row r="2743" spans="1:8" ht="55.2">
      <c r="A2743" s="502" t="s">
        <v>9876</v>
      </c>
      <c r="B2743" s="504" t="s">
        <v>32232</v>
      </c>
      <c r="C2743" s="502" t="s">
        <v>83</v>
      </c>
      <c r="D2743" s="503" t="s">
        <v>32233</v>
      </c>
      <c r="F2743" t="str">
        <f t="shared" si="85"/>
        <v>99235</v>
      </c>
      <c r="H2743" s="14">
        <f t="shared" si="86"/>
        <v>1027.53</v>
      </c>
    </row>
    <row r="2744" spans="1:8" ht="55.2">
      <c r="A2744" s="502" t="s">
        <v>9877</v>
      </c>
      <c r="B2744" s="504" t="s">
        <v>32234</v>
      </c>
      <c r="C2744" s="502" t="s">
        <v>83</v>
      </c>
      <c r="D2744" s="503" t="s">
        <v>32235</v>
      </c>
      <c r="F2744" t="str">
        <f t="shared" si="85"/>
        <v>99431</v>
      </c>
      <c r="H2744" s="14">
        <f t="shared" si="86"/>
        <v>1144.96</v>
      </c>
    </row>
    <row r="2745" spans="1:8" ht="55.2">
      <c r="A2745" s="502" t="s">
        <v>9878</v>
      </c>
      <c r="B2745" s="504" t="s">
        <v>32236</v>
      </c>
      <c r="C2745" s="502" t="s">
        <v>83</v>
      </c>
      <c r="D2745" s="503" t="s">
        <v>32237</v>
      </c>
      <c r="F2745" t="str">
        <f t="shared" si="85"/>
        <v>99432</v>
      </c>
      <c r="H2745" s="14">
        <f t="shared" si="86"/>
        <v>1119.27</v>
      </c>
    </row>
    <row r="2746" spans="1:8" ht="69">
      <c r="A2746" s="502" t="s">
        <v>9879</v>
      </c>
      <c r="B2746" s="504" t="s">
        <v>32238</v>
      </c>
      <c r="C2746" s="502" t="s">
        <v>83</v>
      </c>
      <c r="D2746" s="503" t="s">
        <v>32239</v>
      </c>
      <c r="F2746" t="str">
        <f t="shared" si="85"/>
        <v>99433</v>
      </c>
      <c r="H2746" s="14">
        <f t="shared" si="86"/>
        <v>1212.69</v>
      </c>
    </row>
    <row r="2747" spans="1:8" ht="55.2">
      <c r="A2747" s="502" t="s">
        <v>9880</v>
      </c>
      <c r="B2747" s="504" t="s">
        <v>32240</v>
      </c>
      <c r="C2747" s="502" t="s">
        <v>83</v>
      </c>
      <c r="D2747" s="503" t="s">
        <v>32241</v>
      </c>
      <c r="F2747" t="str">
        <f t="shared" si="85"/>
        <v>99434</v>
      </c>
      <c r="H2747" s="14">
        <f t="shared" si="86"/>
        <v>1150.3599999999999</v>
      </c>
    </row>
    <row r="2748" spans="1:8" ht="69">
      <c r="A2748" s="502" t="s">
        <v>9881</v>
      </c>
      <c r="B2748" s="504" t="s">
        <v>32242</v>
      </c>
      <c r="C2748" s="502" t="s">
        <v>83</v>
      </c>
      <c r="D2748" s="503" t="s">
        <v>32243</v>
      </c>
      <c r="F2748" t="str">
        <f t="shared" si="85"/>
        <v>99435</v>
      </c>
      <c r="H2748" s="14">
        <f t="shared" si="86"/>
        <v>1123.1400000000001</v>
      </c>
    </row>
    <row r="2749" spans="1:8" ht="69">
      <c r="A2749" s="502" t="s">
        <v>9882</v>
      </c>
      <c r="B2749" s="504" t="s">
        <v>32244</v>
      </c>
      <c r="C2749" s="502" t="s">
        <v>83</v>
      </c>
      <c r="D2749" s="503" t="s">
        <v>32245</v>
      </c>
      <c r="F2749" t="str">
        <f t="shared" si="85"/>
        <v>99436</v>
      </c>
      <c r="H2749" s="14">
        <f t="shared" si="86"/>
        <v>1243.54</v>
      </c>
    </row>
    <row r="2750" spans="1:8" ht="55.2">
      <c r="A2750" s="502" t="s">
        <v>9883</v>
      </c>
      <c r="B2750" s="504" t="s">
        <v>32246</v>
      </c>
      <c r="C2750" s="502" t="s">
        <v>83</v>
      </c>
      <c r="D2750" s="503" t="s">
        <v>32247</v>
      </c>
      <c r="F2750" t="str">
        <f t="shared" si="85"/>
        <v>99437</v>
      </c>
      <c r="H2750" s="14">
        <f t="shared" si="86"/>
        <v>1092.49</v>
      </c>
    </row>
    <row r="2751" spans="1:8" ht="55.2">
      <c r="A2751" s="502" t="s">
        <v>9884</v>
      </c>
      <c r="B2751" s="504" t="s">
        <v>32248</v>
      </c>
      <c r="C2751" s="502" t="s">
        <v>83</v>
      </c>
      <c r="D2751" s="503" t="s">
        <v>32249</v>
      </c>
      <c r="F2751" t="str">
        <f t="shared" si="85"/>
        <v>99438</v>
      </c>
      <c r="H2751" s="14">
        <f t="shared" si="86"/>
        <v>1102.75</v>
      </c>
    </row>
    <row r="2752" spans="1:8" ht="55.2">
      <c r="A2752" s="502" t="s">
        <v>9885</v>
      </c>
      <c r="B2752" s="504" t="s">
        <v>32250</v>
      </c>
      <c r="C2752" s="502" t="s">
        <v>83</v>
      </c>
      <c r="D2752" s="503" t="s">
        <v>32251</v>
      </c>
      <c r="F2752" t="str">
        <f t="shared" si="85"/>
        <v>99439</v>
      </c>
      <c r="H2752" s="14">
        <f t="shared" si="86"/>
        <v>1130.73</v>
      </c>
    </row>
    <row r="2753" spans="1:8" ht="41.4">
      <c r="A2753" s="502" t="s">
        <v>12665</v>
      </c>
      <c r="B2753" s="504" t="s">
        <v>12666</v>
      </c>
      <c r="C2753" s="502" t="s">
        <v>83</v>
      </c>
      <c r="D2753" s="503" t="s">
        <v>32252</v>
      </c>
      <c r="F2753" t="str">
        <f t="shared" si="85"/>
        <v>102473</v>
      </c>
      <c r="H2753" s="14">
        <f t="shared" si="86"/>
        <v>788.61</v>
      </c>
    </row>
    <row r="2754" spans="1:8" ht="41.4">
      <c r="A2754" s="502" t="s">
        <v>12667</v>
      </c>
      <c r="B2754" s="504" t="s">
        <v>12668</v>
      </c>
      <c r="C2754" s="502" t="s">
        <v>83</v>
      </c>
      <c r="D2754" s="503" t="s">
        <v>32253</v>
      </c>
      <c r="F2754" t="str">
        <f t="shared" si="85"/>
        <v>102474</v>
      </c>
      <c r="H2754" s="14">
        <f t="shared" si="86"/>
        <v>832.03</v>
      </c>
    </row>
    <row r="2755" spans="1:8" ht="41.4">
      <c r="A2755" s="502" t="s">
        <v>12669</v>
      </c>
      <c r="B2755" s="504" t="s">
        <v>12670</v>
      </c>
      <c r="C2755" s="502" t="s">
        <v>83</v>
      </c>
      <c r="D2755" s="503" t="s">
        <v>32254</v>
      </c>
      <c r="F2755" t="str">
        <f t="shared" si="85"/>
        <v>102475</v>
      </c>
      <c r="H2755" s="14">
        <f t="shared" si="86"/>
        <v>893</v>
      </c>
    </row>
    <row r="2756" spans="1:8" ht="41.4">
      <c r="A2756" s="502" t="s">
        <v>12671</v>
      </c>
      <c r="B2756" s="504" t="s">
        <v>12672</v>
      </c>
      <c r="C2756" s="502" t="s">
        <v>83</v>
      </c>
      <c r="D2756" s="503" t="s">
        <v>32255</v>
      </c>
      <c r="F2756" t="str">
        <f t="shared" si="85"/>
        <v>102476</v>
      </c>
      <c r="H2756" s="14">
        <f t="shared" si="86"/>
        <v>907.63</v>
      </c>
    </row>
    <row r="2757" spans="1:8" ht="41.4">
      <c r="A2757" s="502" t="s">
        <v>12673</v>
      </c>
      <c r="B2757" s="504" t="s">
        <v>12674</v>
      </c>
      <c r="C2757" s="502" t="s">
        <v>83</v>
      </c>
      <c r="D2757" s="503" t="s">
        <v>32256</v>
      </c>
      <c r="F2757" t="str">
        <f t="shared" ref="F2757:F2820" si="87">TRIM(A2757)</f>
        <v>102477</v>
      </c>
      <c r="H2757" s="14">
        <f t="shared" ref="H2757:H2820" si="88">ROUND(D2757*(1+$H$1),2)</f>
        <v>955.54</v>
      </c>
    </row>
    <row r="2758" spans="1:8" ht="41.4">
      <c r="A2758" s="502" t="s">
        <v>12675</v>
      </c>
      <c r="B2758" s="504" t="s">
        <v>12676</v>
      </c>
      <c r="C2758" s="502" t="s">
        <v>83</v>
      </c>
      <c r="D2758" s="503" t="s">
        <v>32257</v>
      </c>
      <c r="F2758" t="str">
        <f t="shared" si="87"/>
        <v>102478</v>
      </c>
      <c r="H2758" s="14">
        <f t="shared" si="88"/>
        <v>1009.88</v>
      </c>
    </row>
    <row r="2759" spans="1:8" ht="41.4">
      <c r="A2759" s="502" t="s">
        <v>12677</v>
      </c>
      <c r="B2759" s="504" t="s">
        <v>12678</v>
      </c>
      <c r="C2759" s="502" t="s">
        <v>83</v>
      </c>
      <c r="D2759" s="503" t="s">
        <v>32258</v>
      </c>
      <c r="F2759" t="str">
        <f t="shared" si="87"/>
        <v>102479</v>
      </c>
      <c r="H2759" s="14">
        <f t="shared" si="88"/>
        <v>782.35</v>
      </c>
    </row>
    <row r="2760" spans="1:8" ht="41.4">
      <c r="A2760" s="502" t="s">
        <v>12679</v>
      </c>
      <c r="B2760" s="504" t="s">
        <v>12680</v>
      </c>
      <c r="C2760" s="502" t="s">
        <v>83</v>
      </c>
      <c r="D2760" s="503" t="s">
        <v>32259</v>
      </c>
      <c r="F2760" t="str">
        <f t="shared" si="87"/>
        <v>102480</v>
      </c>
      <c r="H2760" s="14">
        <f t="shared" si="88"/>
        <v>820.69</v>
      </c>
    </row>
    <row r="2761" spans="1:8" ht="41.4">
      <c r="A2761" s="502" t="s">
        <v>12681</v>
      </c>
      <c r="B2761" s="504" t="s">
        <v>12682</v>
      </c>
      <c r="C2761" s="502" t="s">
        <v>83</v>
      </c>
      <c r="D2761" s="503" t="s">
        <v>32260</v>
      </c>
      <c r="F2761" t="str">
        <f t="shared" si="87"/>
        <v>102481</v>
      </c>
      <c r="H2761" s="14">
        <f t="shared" si="88"/>
        <v>870.87</v>
      </c>
    </row>
    <row r="2762" spans="1:8" ht="41.4">
      <c r="A2762" s="502" t="s">
        <v>12683</v>
      </c>
      <c r="B2762" s="504" t="s">
        <v>12684</v>
      </c>
      <c r="C2762" s="502" t="s">
        <v>83</v>
      </c>
      <c r="D2762" s="503" t="s">
        <v>32261</v>
      </c>
      <c r="F2762" t="str">
        <f t="shared" si="87"/>
        <v>102482</v>
      </c>
      <c r="H2762" s="14">
        <f t="shared" si="88"/>
        <v>901.48</v>
      </c>
    </row>
    <row r="2763" spans="1:8" ht="41.4">
      <c r="A2763" s="502" t="s">
        <v>12685</v>
      </c>
      <c r="B2763" s="504" t="s">
        <v>12686</v>
      </c>
      <c r="C2763" s="502" t="s">
        <v>83</v>
      </c>
      <c r="D2763" s="503" t="s">
        <v>32262</v>
      </c>
      <c r="F2763" t="str">
        <f t="shared" si="87"/>
        <v>102483</v>
      </c>
      <c r="H2763" s="14">
        <f t="shared" si="88"/>
        <v>942.04</v>
      </c>
    </row>
    <row r="2764" spans="1:8" ht="41.4">
      <c r="A2764" s="502" t="s">
        <v>12687</v>
      </c>
      <c r="B2764" s="504" t="s">
        <v>12688</v>
      </c>
      <c r="C2764" s="502" t="s">
        <v>83</v>
      </c>
      <c r="D2764" s="503" t="s">
        <v>32263</v>
      </c>
      <c r="F2764" t="str">
        <f t="shared" si="87"/>
        <v>102484</v>
      </c>
      <c r="H2764" s="14">
        <f t="shared" si="88"/>
        <v>1006.66</v>
      </c>
    </row>
    <row r="2765" spans="1:8" ht="41.4">
      <c r="A2765" s="502" t="s">
        <v>12689</v>
      </c>
      <c r="B2765" s="504" t="s">
        <v>12690</v>
      </c>
      <c r="C2765" s="502" t="s">
        <v>83</v>
      </c>
      <c r="D2765" s="503" t="s">
        <v>32264</v>
      </c>
      <c r="F2765" t="str">
        <f t="shared" si="87"/>
        <v>102485</v>
      </c>
      <c r="H2765" s="14">
        <f t="shared" si="88"/>
        <v>869.48</v>
      </c>
    </row>
    <row r="2766" spans="1:8" ht="41.4">
      <c r="A2766" s="502" t="s">
        <v>12691</v>
      </c>
      <c r="B2766" s="504" t="s">
        <v>12692</v>
      </c>
      <c r="C2766" s="502" t="s">
        <v>83</v>
      </c>
      <c r="D2766" s="503" t="s">
        <v>32265</v>
      </c>
      <c r="F2766" t="str">
        <f t="shared" si="87"/>
        <v>102486</v>
      </c>
      <c r="H2766" s="14">
        <f t="shared" si="88"/>
        <v>902.73</v>
      </c>
    </row>
    <row r="2767" spans="1:8" ht="27.6">
      <c r="A2767" s="502" t="s">
        <v>12693</v>
      </c>
      <c r="B2767" s="504" t="s">
        <v>12694</v>
      </c>
      <c r="C2767" s="502" t="s">
        <v>83</v>
      </c>
      <c r="D2767" s="503" t="s">
        <v>32266</v>
      </c>
      <c r="F2767" t="str">
        <f t="shared" si="87"/>
        <v>102487</v>
      </c>
      <c r="H2767" s="14">
        <f t="shared" si="88"/>
        <v>816.6</v>
      </c>
    </row>
    <row r="2768" spans="1:8" ht="69">
      <c r="A2768" s="502" t="s">
        <v>24394</v>
      </c>
      <c r="B2768" s="504" t="s">
        <v>32267</v>
      </c>
      <c r="C2768" s="502" t="s">
        <v>83</v>
      </c>
      <c r="D2768" s="503" t="s">
        <v>32268</v>
      </c>
      <c r="F2768" t="str">
        <f t="shared" si="87"/>
        <v>103183</v>
      </c>
      <c r="H2768" s="14">
        <f t="shared" si="88"/>
        <v>1238.17</v>
      </c>
    </row>
    <row r="2769" spans="1:8" ht="55.2">
      <c r="A2769" s="502" t="s">
        <v>24395</v>
      </c>
      <c r="B2769" s="504" t="s">
        <v>32269</v>
      </c>
      <c r="C2769" s="502" t="s">
        <v>83</v>
      </c>
      <c r="D2769" s="503" t="s">
        <v>32270</v>
      </c>
      <c r="F2769" t="str">
        <f t="shared" si="87"/>
        <v>103184</v>
      </c>
      <c r="H2769" s="14">
        <f t="shared" si="88"/>
        <v>1058.7</v>
      </c>
    </row>
    <row r="2770" spans="1:8" ht="41.4">
      <c r="A2770" s="502" t="s">
        <v>24396</v>
      </c>
      <c r="B2770" s="504" t="s">
        <v>24397</v>
      </c>
      <c r="C2770" s="502" t="s">
        <v>83</v>
      </c>
      <c r="D2770" s="503" t="s">
        <v>32271</v>
      </c>
      <c r="F2770" t="str">
        <f t="shared" si="87"/>
        <v>103669</v>
      </c>
      <c r="H2770" s="14">
        <f t="shared" si="88"/>
        <v>1458.37</v>
      </c>
    </row>
    <row r="2771" spans="1:8" ht="27.6">
      <c r="A2771" s="502" t="s">
        <v>24398</v>
      </c>
      <c r="B2771" s="504" t="s">
        <v>24399</v>
      </c>
      <c r="C2771" s="502" t="s">
        <v>83</v>
      </c>
      <c r="D2771" s="503" t="s">
        <v>29030</v>
      </c>
      <c r="F2771" t="str">
        <f t="shared" si="87"/>
        <v>103670</v>
      </c>
      <c r="H2771" s="14">
        <f t="shared" si="88"/>
        <v>446.52</v>
      </c>
    </row>
    <row r="2772" spans="1:8" ht="41.4">
      <c r="A2772" s="502" t="s">
        <v>24400</v>
      </c>
      <c r="B2772" s="504" t="s">
        <v>24401</v>
      </c>
      <c r="C2772" s="502" t="s">
        <v>83</v>
      </c>
      <c r="D2772" s="503" t="s">
        <v>32272</v>
      </c>
      <c r="F2772" t="str">
        <f t="shared" si="87"/>
        <v>103671</v>
      </c>
      <c r="H2772" s="14">
        <f t="shared" si="88"/>
        <v>1084.24</v>
      </c>
    </row>
    <row r="2773" spans="1:8" ht="41.4">
      <c r="A2773" s="502" t="s">
        <v>24402</v>
      </c>
      <c r="B2773" s="504" t="s">
        <v>24403</v>
      </c>
      <c r="C2773" s="502" t="s">
        <v>83</v>
      </c>
      <c r="D2773" s="503" t="s">
        <v>32273</v>
      </c>
      <c r="F2773" t="str">
        <f t="shared" si="87"/>
        <v>103672</v>
      </c>
      <c r="H2773" s="14">
        <f t="shared" si="88"/>
        <v>1015.63</v>
      </c>
    </row>
    <row r="2774" spans="1:8" ht="27.6">
      <c r="A2774" s="502" t="s">
        <v>24404</v>
      </c>
      <c r="B2774" s="504" t="s">
        <v>24405</v>
      </c>
      <c r="C2774" s="502" t="s">
        <v>83</v>
      </c>
      <c r="D2774" s="503" t="s">
        <v>32274</v>
      </c>
      <c r="F2774" t="str">
        <f t="shared" si="87"/>
        <v>103673</v>
      </c>
      <c r="H2774" s="14">
        <f t="shared" si="88"/>
        <v>62.03</v>
      </c>
    </row>
    <row r="2775" spans="1:8" ht="41.4">
      <c r="A2775" s="502" t="s">
        <v>24406</v>
      </c>
      <c r="B2775" s="504" t="s">
        <v>24407</v>
      </c>
      <c r="C2775" s="502" t="s">
        <v>83</v>
      </c>
      <c r="D2775" s="503" t="s">
        <v>32275</v>
      </c>
      <c r="F2775" t="str">
        <f t="shared" si="87"/>
        <v>103674</v>
      </c>
      <c r="H2775" s="14">
        <f t="shared" si="88"/>
        <v>1046.5999999999999</v>
      </c>
    </row>
    <row r="2776" spans="1:8" ht="41.4">
      <c r="A2776" s="502" t="s">
        <v>24408</v>
      </c>
      <c r="B2776" s="504" t="s">
        <v>24409</v>
      </c>
      <c r="C2776" s="502" t="s">
        <v>83</v>
      </c>
      <c r="D2776" s="503" t="s">
        <v>32276</v>
      </c>
      <c r="F2776" t="str">
        <f t="shared" si="87"/>
        <v>103675</v>
      </c>
      <c r="H2776" s="14">
        <f t="shared" si="88"/>
        <v>1016.91</v>
      </c>
    </row>
    <row r="2777" spans="1:8" ht="55.2">
      <c r="A2777" s="502" t="s">
        <v>24410</v>
      </c>
      <c r="B2777" s="504" t="s">
        <v>24411</v>
      </c>
      <c r="C2777" s="502" t="s">
        <v>83</v>
      </c>
      <c r="D2777" s="503" t="s">
        <v>32277</v>
      </c>
      <c r="F2777" t="str">
        <f t="shared" si="87"/>
        <v>103676</v>
      </c>
      <c r="H2777" s="14">
        <f t="shared" si="88"/>
        <v>1536.96</v>
      </c>
    </row>
    <row r="2778" spans="1:8" ht="69">
      <c r="A2778" s="502" t="s">
        <v>24412</v>
      </c>
      <c r="B2778" s="504" t="s">
        <v>24413</v>
      </c>
      <c r="C2778" s="502" t="s">
        <v>83</v>
      </c>
      <c r="D2778" s="503" t="s">
        <v>32278</v>
      </c>
      <c r="F2778" t="str">
        <f t="shared" si="87"/>
        <v>103677</v>
      </c>
      <c r="H2778" s="14">
        <f t="shared" si="88"/>
        <v>1284.02</v>
      </c>
    </row>
    <row r="2779" spans="1:8" ht="55.2">
      <c r="A2779" s="502" t="s">
        <v>24414</v>
      </c>
      <c r="B2779" s="504" t="s">
        <v>24415</v>
      </c>
      <c r="C2779" s="502" t="s">
        <v>83</v>
      </c>
      <c r="D2779" s="503" t="s">
        <v>32279</v>
      </c>
      <c r="F2779" t="str">
        <f t="shared" si="87"/>
        <v>103678</v>
      </c>
      <c r="H2779" s="14">
        <f t="shared" si="88"/>
        <v>1394.38</v>
      </c>
    </row>
    <row r="2780" spans="1:8" ht="69">
      <c r="A2780" s="502" t="s">
        <v>24416</v>
      </c>
      <c r="B2780" s="504" t="s">
        <v>24417</v>
      </c>
      <c r="C2780" s="502" t="s">
        <v>83</v>
      </c>
      <c r="D2780" s="503" t="s">
        <v>32280</v>
      </c>
      <c r="F2780" t="str">
        <f t="shared" si="87"/>
        <v>103679</v>
      </c>
      <c r="H2780" s="14">
        <f t="shared" si="88"/>
        <v>1220.6199999999999</v>
      </c>
    </row>
    <row r="2781" spans="1:8" ht="55.2">
      <c r="A2781" s="502" t="s">
        <v>24418</v>
      </c>
      <c r="B2781" s="504" t="s">
        <v>24419</v>
      </c>
      <c r="C2781" s="502" t="s">
        <v>83</v>
      </c>
      <c r="D2781" s="503" t="s">
        <v>32281</v>
      </c>
      <c r="F2781" t="str">
        <f t="shared" si="87"/>
        <v>103680</v>
      </c>
      <c r="H2781" s="14">
        <f t="shared" si="88"/>
        <v>1295.98</v>
      </c>
    </row>
    <row r="2782" spans="1:8" ht="69">
      <c r="A2782" s="502" t="s">
        <v>24420</v>
      </c>
      <c r="B2782" s="504" t="s">
        <v>24421</v>
      </c>
      <c r="C2782" s="502" t="s">
        <v>83</v>
      </c>
      <c r="D2782" s="503" t="s">
        <v>32282</v>
      </c>
      <c r="F2782" t="str">
        <f t="shared" si="87"/>
        <v>103681</v>
      </c>
      <c r="H2782" s="14">
        <f t="shared" si="88"/>
        <v>1123.6600000000001</v>
      </c>
    </row>
    <row r="2783" spans="1:8" ht="55.2">
      <c r="A2783" s="502" t="s">
        <v>24422</v>
      </c>
      <c r="B2783" s="504" t="s">
        <v>24423</v>
      </c>
      <c r="C2783" s="502" t="s">
        <v>83</v>
      </c>
      <c r="D2783" s="503" t="s">
        <v>32283</v>
      </c>
      <c r="F2783" t="str">
        <f t="shared" si="87"/>
        <v>103682</v>
      </c>
      <c r="H2783" s="14">
        <f t="shared" si="88"/>
        <v>1481.21</v>
      </c>
    </row>
    <row r="2784" spans="1:8" ht="55.2">
      <c r="A2784" s="502" t="s">
        <v>24424</v>
      </c>
      <c r="B2784" s="504" t="s">
        <v>24425</v>
      </c>
      <c r="C2784" s="502" t="s">
        <v>83</v>
      </c>
      <c r="D2784" s="503" t="s">
        <v>32284</v>
      </c>
      <c r="F2784" t="str">
        <f t="shared" si="87"/>
        <v>103683</v>
      </c>
      <c r="H2784" s="14">
        <f t="shared" si="88"/>
        <v>1910.96</v>
      </c>
    </row>
    <row r="2785" spans="1:8" ht="41.4">
      <c r="A2785" s="502" t="s">
        <v>24426</v>
      </c>
      <c r="B2785" s="504" t="s">
        <v>24427</v>
      </c>
      <c r="C2785" s="502" t="s">
        <v>83</v>
      </c>
      <c r="D2785" s="503" t="s">
        <v>32285</v>
      </c>
      <c r="F2785" t="str">
        <f t="shared" si="87"/>
        <v>103684</v>
      </c>
      <c r="H2785" s="14">
        <f t="shared" si="88"/>
        <v>1042.52</v>
      </c>
    </row>
    <row r="2786" spans="1:8" ht="41.4">
      <c r="A2786" s="502" t="s">
        <v>24428</v>
      </c>
      <c r="B2786" s="504" t="s">
        <v>24429</v>
      </c>
      <c r="C2786" s="502" t="s">
        <v>83</v>
      </c>
      <c r="D2786" s="503" t="s">
        <v>32286</v>
      </c>
      <c r="F2786" t="str">
        <f t="shared" si="87"/>
        <v>103685</v>
      </c>
      <c r="H2786" s="14">
        <f t="shared" si="88"/>
        <v>1023.97</v>
      </c>
    </row>
    <row r="2787" spans="1:8" ht="41.4">
      <c r="A2787" s="502" t="s">
        <v>24430</v>
      </c>
      <c r="B2787" s="504" t="s">
        <v>24431</v>
      </c>
      <c r="C2787" s="502" t="s">
        <v>83</v>
      </c>
      <c r="D2787" s="503" t="s">
        <v>32287</v>
      </c>
      <c r="F2787" t="str">
        <f t="shared" si="87"/>
        <v>103686</v>
      </c>
      <c r="H2787" s="14">
        <f t="shared" si="88"/>
        <v>1116.42</v>
      </c>
    </row>
    <row r="2788" spans="1:8" ht="41.4">
      <c r="A2788" s="502" t="s">
        <v>24432</v>
      </c>
      <c r="B2788" s="504" t="s">
        <v>24433</v>
      </c>
      <c r="C2788" s="502" t="s">
        <v>83</v>
      </c>
      <c r="D2788" s="503" t="s">
        <v>32288</v>
      </c>
      <c r="F2788" t="str">
        <f t="shared" si="87"/>
        <v>103687</v>
      </c>
      <c r="H2788" s="14">
        <f t="shared" si="88"/>
        <v>1638.78</v>
      </c>
    </row>
    <row r="2789" spans="1:8" ht="41.4">
      <c r="A2789" s="502" t="s">
        <v>24434</v>
      </c>
      <c r="B2789" s="504" t="s">
        <v>24435</v>
      </c>
      <c r="C2789" s="502" t="s">
        <v>83</v>
      </c>
      <c r="D2789" s="503" t="s">
        <v>32289</v>
      </c>
      <c r="F2789" t="str">
        <f t="shared" si="87"/>
        <v>103688</v>
      </c>
      <c r="H2789" s="14">
        <f t="shared" si="88"/>
        <v>1275.3</v>
      </c>
    </row>
    <row r="2790" spans="1:8" ht="41.4">
      <c r="A2790" s="502" t="s">
        <v>28620</v>
      </c>
      <c r="B2790" s="504" t="s">
        <v>28621</v>
      </c>
      <c r="C2790" s="502" t="s">
        <v>71</v>
      </c>
      <c r="D2790" s="503" t="s">
        <v>9864</v>
      </c>
      <c r="F2790" t="str">
        <f t="shared" si="87"/>
        <v>104916</v>
      </c>
      <c r="H2790" s="14">
        <f t="shared" si="88"/>
        <v>26.22</v>
      </c>
    </row>
    <row r="2791" spans="1:8" ht="41.4">
      <c r="A2791" s="502" t="s">
        <v>28622</v>
      </c>
      <c r="B2791" s="504" t="s">
        <v>28623</v>
      </c>
      <c r="C2791" s="502" t="s">
        <v>83</v>
      </c>
      <c r="D2791" s="503" t="s">
        <v>32290</v>
      </c>
      <c r="F2791" t="str">
        <f t="shared" si="87"/>
        <v>104923</v>
      </c>
      <c r="H2791" s="14">
        <f t="shared" si="88"/>
        <v>1028.2</v>
      </c>
    </row>
    <row r="2792" spans="1:8" ht="41.4">
      <c r="A2792" s="502" t="s">
        <v>28624</v>
      </c>
      <c r="B2792" s="504" t="s">
        <v>28625</v>
      </c>
      <c r="C2792" s="502" t="s">
        <v>83</v>
      </c>
      <c r="D2792" s="503" t="s">
        <v>32291</v>
      </c>
      <c r="F2792" t="str">
        <f t="shared" si="87"/>
        <v>104924</v>
      </c>
      <c r="H2792" s="14">
        <f t="shared" si="88"/>
        <v>1162.4100000000001</v>
      </c>
    </row>
    <row r="2793" spans="1:8" ht="55.2">
      <c r="A2793" s="502" t="s">
        <v>12695</v>
      </c>
      <c r="B2793" s="504" t="s">
        <v>28626</v>
      </c>
      <c r="C2793" s="502" t="s">
        <v>73</v>
      </c>
      <c r="D2793" s="503" t="s">
        <v>32292</v>
      </c>
      <c r="F2793" t="str">
        <f t="shared" si="87"/>
        <v>101963</v>
      </c>
      <c r="H2793" s="14">
        <f t="shared" si="88"/>
        <v>255.91</v>
      </c>
    </row>
    <row r="2794" spans="1:8" ht="55.2">
      <c r="A2794" s="502" t="s">
        <v>12696</v>
      </c>
      <c r="B2794" s="504" t="s">
        <v>28627</v>
      </c>
      <c r="C2794" s="502" t="s">
        <v>73</v>
      </c>
      <c r="D2794" s="503" t="s">
        <v>32293</v>
      </c>
      <c r="F2794" t="str">
        <f t="shared" si="87"/>
        <v>101964</v>
      </c>
      <c r="H2794" s="14">
        <f t="shared" si="88"/>
        <v>237.62</v>
      </c>
    </row>
    <row r="2795" spans="1:8" ht="41.4">
      <c r="A2795" s="502" t="s">
        <v>12697</v>
      </c>
      <c r="B2795" s="504" t="s">
        <v>12698</v>
      </c>
      <c r="C2795" s="502" t="s">
        <v>83</v>
      </c>
      <c r="D2795" s="503" t="s">
        <v>32294</v>
      </c>
      <c r="F2795" t="str">
        <f t="shared" si="87"/>
        <v>101165</v>
      </c>
      <c r="H2795" s="14">
        <f t="shared" si="88"/>
        <v>1369.6</v>
      </c>
    </row>
    <row r="2796" spans="1:8" ht="41.4">
      <c r="A2796" s="502" t="s">
        <v>12699</v>
      </c>
      <c r="B2796" s="504" t="s">
        <v>12700</v>
      </c>
      <c r="C2796" s="502" t="s">
        <v>83</v>
      </c>
      <c r="D2796" s="503" t="s">
        <v>32295</v>
      </c>
      <c r="F2796" t="str">
        <f t="shared" si="87"/>
        <v>101166</v>
      </c>
      <c r="H2796" s="14">
        <f t="shared" si="88"/>
        <v>814.4</v>
      </c>
    </row>
    <row r="2797" spans="1:8" ht="41.4">
      <c r="A2797" s="502" t="s">
        <v>24436</v>
      </c>
      <c r="B2797" s="504" t="s">
        <v>28628</v>
      </c>
      <c r="C2797" s="502" t="s">
        <v>75</v>
      </c>
      <c r="D2797" s="503" t="s">
        <v>32296</v>
      </c>
      <c r="F2797" t="str">
        <f t="shared" si="87"/>
        <v>98575</v>
      </c>
      <c r="H2797" s="14">
        <f t="shared" si="88"/>
        <v>93.31</v>
      </c>
    </row>
    <row r="2798" spans="1:8" ht="27.6">
      <c r="A2798" s="502" t="s">
        <v>7639</v>
      </c>
      <c r="B2798" s="504" t="s">
        <v>28630</v>
      </c>
      <c r="C2798" s="502" t="s">
        <v>75</v>
      </c>
      <c r="D2798" s="503" t="s">
        <v>10782</v>
      </c>
      <c r="F2798" t="str">
        <f t="shared" si="87"/>
        <v>98576</v>
      </c>
      <c r="H2798" s="14">
        <f t="shared" si="88"/>
        <v>33.94</v>
      </c>
    </row>
    <row r="2799" spans="1:8" ht="41.4">
      <c r="A2799" s="502" t="s">
        <v>24437</v>
      </c>
      <c r="B2799" s="504" t="s">
        <v>28631</v>
      </c>
      <c r="C2799" s="502" t="s">
        <v>75</v>
      </c>
      <c r="D2799" s="503" t="s">
        <v>32297</v>
      </c>
      <c r="F2799" t="str">
        <f t="shared" si="87"/>
        <v>98577</v>
      </c>
      <c r="H2799" s="14">
        <f t="shared" si="88"/>
        <v>66.37</v>
      </c>
    </row>
    <row r="2800" spans="1:8" ht="27.6">
      <c r="A2800" s="502" t="s">
        <v>4657</v>
      </c>
      <c r="B2800" s="504" t="s">
        <v>28632</v>
      </c>
      <c r="C2800" s="502" t="s">
        <v>75</v>
      </c>
      <c r="D2800" s="503" t="s">
        <v>15847</v>
      </c>
      <c r="F2800" t="str">
        <f t="shared" si="87"/>
        <v>93184</v>
      </c>
      <c r="H2800" s="14">
        <f t="shared" si="88"/>
        <v>39.43</v>
      </c>
    </row>
    <row r="2801" spans="1:8" ht="27.6">
      <c r="A2801" s="502" t="s">
        <v>4659</v>
      </c>
      <c r="B2801" s="504" t="s">
        <v>28634</v>
      </c>
      <c r="C2801" s="502" t="s">
        <v>75</v>
      </c>
      <c r="D2801" s="503" t="s">
        <v>32298</v>
      </c>
      <c r="F2801" t="str">
        <f t="shared" si="87"/>
        <v>93187</v>
      </c>
      <c r="H2801" s="14">
        <f t="shared" si="88"/>
        <v>106.52</v>
      </c>
    </row>
    <row r="2802" spans="1:8" ht="27.6">
      <c r="A2802" s="502" t="s">
        <v>4660</v>
      </c>
      <c r="B2802" s="504" t="s">
        <v>28635</v>
      </c>
      <c r="C2802" s="502" t="s">
        <v>75</v>
      </c>
      <c r="D2802" s="503" t="s">
        <v>32299</v>
      </c>
      <c r="F2802" t="str">
        <f t="shared" si="87"/>
        <v>93191</v>
      </c>
      <c r="H2802" s="14">
        <f t="shared" si="88"/>
        <v>97.21</v>
      </c>
    </row>
    <row r="2803" spans="1:8" ht="27.6">
      <c r="A2803" s="502" t="s">
        <v>4661</v>
      </c>
      <c r="B2803" s="504" t="s">
        <v>28636</v>
      </c>
      <c r="C2803" s="502" t="s">
        <v>75</v>
      </c>
      <c r="D2803" s="503" t="s">
        <v>32300</v>
      </c>
      <c r="F2803" t="str">
        <f t="shared" si="87"/>
        <v>93194</v>
      </c>
      <c r="H2803" s="14">
        <f t="shared" si="88"/>
        <v>38.39</v>
      </c>
    </row>
    <row r="2804" spans="1:8" ht="27.6">
      <c r="A2804" s="502" t="s">
        <v>4662</v>
      </c>
      <c r="B2804" s="504" t="s">
        <v>28637</v>
      </c>
      <c r="C2804" s="502" t="s">
        <v>75</v>
      </c>
      <c r="D2804" s="503" t="s">
        <v>11638</v>
      </c>
      <c r="F2804" t="str">
        <f t="shared" si="87"/>
        <v>93197</v>
      </c>
      <c r="H2804" s="14">
        <f t="shared" si="88"/>
        <v>79.150000000000006</v>
      </c>
    </row>
    <row r="2805" spans="1:8" ht="27.6">
      <c r="A2805" s="502" t="s">
        <v>4663</v>
      </c>
      <c r="B2805" s="504" t="s">
        <v>28638</v>
      </c>
      <c r="C2805" s="502" t="s">
        <v>75</v>
      </c>
      <c r="D2805" s="503" t="s">
        <v>32301</v>
      </c>
      <c r="F2805" t="str">
        <f t="shared" si="87"/>
        <v>93199</v>
      </c>
      <c r="H2805" s="14">
        <f t="shared" si="88"/>
        <v>69.08</v>
      </c>
    </row>
    <row r="2806" spans="1:8" ht="27.6">
      <c r="A2806" s="502" t="s">
        <v>4664</v>
      </c>
      <c r="B2806" s="504" t="s">
        <v>28639</v>
      </c>
      <c r="C2806" s="502" t="s">
        <v>75</v>
      </c>
      <c r="D2806" s="503" t="s">
        <v>9477</v>
      </c>
      <c r="F2806" t="str">
        <f t="shared" si="87"/>
        <v>93200</v>
      </c>
      <c r="H2806" s="14">
        <f t="shared" si="88"/>
        <v>16.7</v>
      </c>
    </row>
    <row r="2807" spans="1:8" ht="27.6">
      <c r="A2807" s="502" t="s">
        <v>4666</v>
      </c>
      <c r="B2807" s="504" t="s">
        <v>28640</v>
      </c>
      <c r="C2807" s="502" t="s">
        <v>75</v>
      </c>
      <c r="D2807" s="503" t="s">
        <v>32302</v>
      </c>
      <c r="F2807" t="str">
        <f t="shared" si="87"/>
        <v>93202</v>
      </c>
      <c r="H2807" s="14">
        <f t="shared" si="88"/>
        <v>36.549999999999997</v>
      </c>
    </row>
    <row r="2808" spans="1:8" ht="27.6">
      <c r="A2808" s="502" t="s">
        <v>4667</v>
      </c>
      <c r="B2808" s="504" t="s">
        <v>28641</v>
      </c>
      <c r="C2808" s="502" t="s">
        <v>75</v>
      </c>
      <c r="D2808" s="503" t="s">
        <v>10219</v>
      </c>
      <c r="F2808" t="str">
        <f t="shared" si="87"/>
        <v>93203</v>
      </c>
      <c r="H2808" s="14">
        <f t="shared" si="88"/>
        <v>20.49</v>
      </c>
    </row>
    <row r="2809" spans="1:8" ht="41.4">
      <c r="A2809" s="502" t="s">
        <v>4668</v>
      </c>
      <c r="B2809" s="504" t="s">
        <v>28642</v>
      </c>
      <c r="C2809" s="502" t="s">
        <v>75</v>
      </c>
      <c r="D2809" s="503" t="s">
        <v>32303</v>
      </c>
      <c r="F2809" t="str">
        <f t="shared" si="87"/>
        <v>93205</v>
      </c>
      <c r="H2809" s="14">
        <f t="shared" si="88"/>
        <v>96.1</v>
      </c>
    </row>
    <row r="2810" spans="1:8" ht="27.6">
      <c r="A2810" s="502" t="s">
        <v>28643</v>
      </c>
      <c r="B2810" s="504" t="s">
        <v>28644</v>
      </c>
      <c r="C2810" s="502" t="s">
        <v>75</v>
      </c>
      <c r="D2810" s="503" t="s">
        <v>9572</v>
      </c>
      <c r="F2810" t="str">
        <f t="shared" si="87"/>
        <v>105021</v>
      </c>
      <c r="H2810" s="14">
        <f t="shared" si="88"/>
        <v>34.47</v>
      </c>
    </row>
    <row r="2811" spans="1:8" ht="27.6">
      <c r="A2811" s="502" t="s">
        <v>28645</v>
      </c>
      <c r="B2811" s="504" t="s">
        <v>28646</v>
      </c>
      <c r="C2811" s="502" t="s">
        <v>75</v>
      </c>
      <c r="D2811" s="503" t="s">
        <v>14100</v>
      </c>
      <c r="F2811" t="str">
        <f t="shared" si="87"/>
        <v>105022</v>
      </c>
      <c r="H2811" s="14">
        <f t="shared" si="88"/>
        <v>30.5</v>
      </c>
    </row>
    <row r="2812" spans="1:8" ht="27.6">
      <c r="A2812" s="502" t="s">
        <v>28648</v>
      </c>
      <c r="B2812" s="504" t="s">
        <v>28649</v>
      </c>
      <c r="C2812" s="502" t="s">
        <v>75</v>
      </c>
      <c r="D2812" s="503" t="s">
        <v>32304</v>
      </c>
      <c r="F2812" t="str">
        <f t="shared" si="87"/>
        <v>105023</v>
      </c>
      <c r="H2812" s="14">
        <f t="shared" si="88"/>
        <v>90.84</v>
      </c>
    </row>
    <row r="2813" spans="1:8" ht="27.6">
      <c r="A2813" s="502" t="s">
        <v>28650</v>
      </c>
      <c r="B2813" s="504" t="s">
        <v>28651</v>
      </c>
      <c r="C2813" s="502" t="s">
        <v>75</v>
      </c>
      <c r="D2813" s="503" t="s">
        <v>28839</v>
      </c>
      <c r="F2813" t="str">
        <f t="shared" si="87"/>
        <v>105024</v>
      </c>
      <c r="H2813" s="14">
        <f t="shared" si="88"/>
        <v>75.069999999999993</v>
      </c>
    </row>
    <row r="2814" spans="1:8" ht="27.6">
      <c r="A2814" s="502" t="s">
        <v>28652</v>
      </c>
      <c r="B2814" s="504" t="s">
        <v>28653</v>
      </c>
      <c r="C2814" s="502" t="s">
        <v>75</v>
      </c>
      <c r="D2814" s="503" t="s">
        <v>28329</v>
      </c>
      <c r="F2814" t="str">
        <f t="shared" si="87"/>
        <v>105025</v>
      </c>
      <c r="H2814" s="14">
        <f t="shared" si="88"/>
        <v>80.819999999999993</v>
      </c>
    </row>
    <row r="2815" spans="1:8" ht="27.6">
      <c r="A2815" s="502" t="s">
        <v>28654</v>
      </c>
      <c r="B2815" s="504" t="s">
        <v>28655</v>
      </c>
      <c r="C2815" s="502" t="s">
        <v>75</v>
      </c>
      <c r="D2815" s="503" t="s">
        <v>10350</v>
      </c>
      <c r="F2815" t="str">
        <f t="shared" si="87"/>
        <v>105026</v>
      </c>
      <c r="H2815" s="14">
        <f t="shared" si="88"/>
        <v>57.96</v>
      </c>
    </row>
    <row r="2816" spans="1:8" ht="27.6">
      <c r="A2816" s="502" t="s">
        <v>28656</v>
      </c>
      <c r="B2816" s="504" t="s">
        <v>28657</v>
      </c>
      <c r="C2816" s="502" t="s">
        <v>75</v>
      </c>
      <c r="D2816" s="503" t="s">
        <v>10410</v>
      </c>
      <c r="F2816" t="str">
        <f t="shared" si="87"/>
        <v>105027</v>
      </c>
      <c r="H2816" s="14">
        <f t="shared" si="88"/>
        <v>33.950000000000003</v>
      </c>
    </row>
    <row r="2817" spans="1:8" ht="27.6">
      <c r="A2817" s="502" t="s">
        <v>28658</v>
      </c>
      <c r="B2817" s="504" t="s">
        <v>28659</v>
      </c>
      <c r="C2817" s="502" t="s">
        <v>75</v>
      </c>
      <c r="D2817" s="503" t="s">
        <v>25364</v>
      </c>
      <c r="F2817" t="str">
        <f t="shared" si="87"/>
        <v>105028</v>
      </c>
      <c r="H2817" s="14">
        <f t="shared" si="88"/>
        <v>30.01</v>
      </c>
    </row>
    <row r="2818" spans="1:8" ht="27.6">
      <c r="A2818" s="502" t="s">
        <v>28660</v>
      </c>
      <c r="B2818" s="504" t="s">
        <v>28661</v>
      </c>
      <c r="C2818" s="502" t="s">
        <v>75</v>
      </c>
      <c r="D2818" s="503" t="s">
        <v>32305</v>
      </c>
      <c r="F2818" t="str">
        <f t="shared" si="87"/>
        <v>105029</v>
      </c>
      <c r="H2818" s="14">
        <f t="shared" si="88"/>
        <v>68.739999999999995</v>
      </c>
    </row>
    <row r="2819" spans="1:8" ht="27.6">
      <c r="A2819" s="502" t="s">
        <v>28663</v>
      </c>
      <c r="B2819" s="504" t="s">
        <v>28664</v>
      </c>
      <c r="C2819" s="502" t="s">
        <v>75</v>
      </c>
      <c r="D2819" s="503" t="s">
        <v>28465</v>
      </c>
      <c r="F2819" t="str">
        <f t="shared" si="87"/>
        <v>105030</v>
      </c>
      <c r="H2819" s="14">
        <f t="shared" si="88"/>
        <v>58.35</v>
      </c>
    </row>
    <row r="2820" spans="1:8" ht="27.6">
      <c r="A2820" s="502" t="s">
        <v>28665</v>
      </c>
      <c r="B2820" s="504" t="s">
        <v>28666</v>
      </c>
      <c r="C2820" s="502" t="s">
        <v>75</v>
      </c>
      <c r="D2820" s="503" t="s">
        <v>15816</v>
      </c>
      <c r="F2820" t="str">
        <f t="shared" si="87"/>
        <v>105031</v>
      </c>
      <c r="H2820" s="14">
        <f t="shared" si="88"/>
        <v>65.55</v>
      </c>
    </row>
    <row r="2821" spans="1:8" ht="27.6">
      <c r="A2821" s="502" t="s">
        <v>28667</v>
      </c>
      <c r="B2821" s="504" t="s">
        <v>28668</v>
      </c>
      <c r="C2821" s="502" t="s">
        <v>75</v>
      </c>
      <c r="D2821" s="503" t="s">
        <v>32306</v>
      </c>
      <c r="F2821" t="str">
        <f t="shared" ref="F2821:F2884" si="89">TRIM(A2821)</f>
        <v>105032</v>
      </c>
      <c r="H2821" s="14">
        <f t="shared" ref="H2821:H2884" si="90">ROUND(D2821*(1+$H$1),2)</f>
        <v>45.53</v>
      </c>
    </row>
    <row r="2822" spans="1:8" ht="41.4">
      <c r="A2822" s="502" t="s">
        <v>28669</v>
      </c>
      <c r="B2822" s="504" t="s">
        <v>28670</v>
      </c>
      <c r="C2822" s="502" t="s">
        <v>75</v>
      </c>
      <c r="D2822" s="503" t="s">
        <v>32307</v>
      </c>
      <c r="F2822" t="str">
        <f t="shared" si="89"/>
        <v>105033</v>
      </c>
      <c r="H2822" s="14">
        <f t="shared" si="90"/>
        <v>80.31</v>
      </c>
    </row>
    <row r="2823" spans="1:8" ht="41.4">
      <c r="A2823" s="502" t="s">
        <v>28671</v>
      </c>
      <c r="B2823" s="504" t="s">
        <v>28672</v>
      </c>
      <c r="C2823" s="502" t="s">
        <v>75</v>
      </c>
      <c r="D2823" s="503" t="s">
        <v>32308</v>
      </c>
      <c r="F2823" t="str">
        <f t="shared" si="89"/>
        <v>105034</v>
      </c>
      <c r="H2823" s="14">
        <f t="shared" si="90"/>
        <v>58.62</v>
      </c>
    </row>
    <row r="2824" spans="1:8" ht="27.6">
      <c r="A2824" s="502" t="s">
        <v>28673</v>
      </c>
      <c r="B2824" s="504" t="s">
        <v>28674</v>
      </c>
      <c r="C2824" s="502" t="s">
        <v>75</v>
      </c>
      <c r="D2824" s="503" t="s">
        <v>31871</v>
      </c>
      <c r="F2824" t="str">
        <f t="shared" si="89"/>
        <v>105035</v>
      </c>
      <c r="H2824" s="14">
        <f t="shared" si="90"/>
        <v>95.14</v>
      </c>
    </row>
    <row r="2825" spans="1:8" ht="27.6">
      <c r="A2825" s="502" t="s">
        <v>28675</v>
      </c>
      <c r="B2825" s="504" t="s">
        <v>28676</v>
      </c>
      <c r="C2825" s="502" t="s">
        <v>75</v>
      </c>
      <c r="D2825" s="503" t="s">
        <v>32309</v>
      </c>
      <c r="F2825" t="str">
        <f t="shared" si="89"/>
        <v>105036</v>
      </c>
      <c r="H2825" s="14">
        <f t="shared" si="90"/>
        <v>68.58</v>
      </c>
    </row>
    <row r="2826" spans="1:8" ht="27.6">
      <c r="A2826" s="502" t="s">
        <v>28677</v>
      </c>
      <c r="B2826" s="504" t="s">
        <v>28678</v>
      </c>
      <c r="C2826" s="502" t="s">
        <v>75</v>
      </c>
      <c r="D2826" s="503" t="s">
        <v>32310</v>
      </c>
      <c r="F2826" t="str">
        <f t="shared" si="89"/>
        <v>105037</v>
      </c>
      <c r="H2826" s="14">
        <f t="shared" si="90"/>
        <v>46.42</v>
      </c>
    </row>
    <row r="2827" spans="1:8" ht="27.6">
      <c r="A2827" s="502" t="s">
        <v>28679</v>
      </c>
      <c r="B2827" s="504" t="s">
        <v>28680</v>
      </c>
      <c r="C2827" s="502" t="s">
        <v>75</v>
      </c>
      <c r="D2827" s="503" t="s">
        <v>27672</v>
      </c>
      <c r="F2827" t="str">
        <f t="shared" si="89"/>
        <v>105038</v>
      </c>
      <c r="H2827" s="14">
        <f t="shared" si="90"/>
        <v>94.86</v>
      </c>
    </row>
    <row r="2828" spans="1:8" ht="27.6">
      <c r="A2828" s="502" t="s">
        <v>28681</v>
      </c>
      <c r="B2828" s="504" t="s">
        <v>28682</v>
      </c>
      <c r="C2828" s="502" t="s">
        <v>75</v>
      </c>
      <c r="D2828" s="503" t="s">
        <v>22700</v>
      </c>
      <c r="F2828" t="str">
        <f t="shared" si="89"/>
        <v>105039</v>
      </c>
      <c r="H2828" s="14">
        <f t="shared" si="90"/>
        <v>68.28</v>
      </c>
    </row>
    <row r="2829" spans="1:8" ht="27.6">
      <c r="A2829" s="502" t="s">
        <v>28683</v>
      </c>
      <c r="B2829" s="504" t="s">
        <v>28684</v>
      </c>
      <c r="C2829" s="502" t="s">
        <v>75</v>
      </c>
      <c r="D2829" s="503" t="s">
        <v>23970</v>
      </c>
      <c r="F2829" t="str">
        <f t="shared" si="89"/>
        <v>105040</v>
      </c>
      <c r="H2829" s="14">
        <f t="shared" si="90"/>
        <v>46.18</v>
      </c>
    </row>
    <row r="2830" spans="1:8" ht="41.4">
      <c r="A2830" s="502" t="s">
        <v>7641</v>
      </c>
      <c r="B2830" s="504" t="s">
        <v>28685</v>
      </c>
      <c r="C2830" s="502" t="s">
        <v>83</v>
      </c>
      <c r="D2830" s="503" t="s">
        <v>32311</v>
      </c>
      <c r="F2830" t="str">
        <f t="shared" si="89"/>
        <v>97733</v>
      </c>
      <c r="H2830" s="14">
        <f t="shared" si="90"/>
        <v>4976.33</v>
      </c>
    </row>
    <row r="2831" spans="1:8" ht="41.4">
      <c r="A2831" s="502" t="s">
        <v>7642</v>
      </c>
      <c r="B2831" s="504" t="s">
        <v>28686</v>
      </c>
      <c r="C2831" s="502" t="s">
        <v>83</v>
      </c>
      <c r="D2831" s="503" t="s">
        <v>32312</v>
      </c>
      <c r="F2831" t="str">
        <f t="shared" si="89"/>
        <v>97734</v>
      </c>
      <c r="H2831" s="14">
        <f t="shared" si="90"/>
        <v>4313.68</v>
      </c>
    </row>
    <row r="2832" spans="1:8" ht="41.4">
      <c r="A2832" s="502" t="s">
        <v>7643</v>
      </c>
      <c r="B2832" s="504" t="s">
        <v>28687</v>
      </c>
      <c r="C2832" s="502" t="s">
        <v>83</v>
      </c>
      <c r="D2832" s="503" t="s">
        <v>32313</v>
      </c>
      <c r="F2832" t="str">
        <f t="shared" si="89"/>
        <v>97735</v>
      </c>
      <c r="H2832" s="14">
        <f t="shared" si="90"/>
        <v>3506.5</v>
      </c>
    </row>
    <row r="2833" spans="1:8" ht="41.4">
      <c r="A2833" s="502" t="s">
        <v>7644</v>
      </c>
      <c r="B2833" s="504" t="s">
        <v>28688</v>
      </c>
      <c r="C2833" s="502" t="s">
        <v>83</v>
      </c>
      <c r="D2833" s="503" t="s">
        <v>32314</v>
      </c>
      <c r="F2833" t="str">
        <f t="shared" si="89"/>
        <v>97736</v>
      </c>
      <c r="H2833" s="14">
        <f t="shared" si="90"/>
        <v>2082.7399999999998</v>
      </c>
    </row>
    <row r="2834" spans="1:8" ht="41.4">
      <c r="A2834" s="502" t="s">
        <v>7645</v>
      </c>
      <c r="B2834" s="504" t="s">
        <v>32315</v>
      </c>
      <c r="C2834" s="502" t="s">
        <v>83</v>
      </c>
      <c r="D2834" s="503" t="s">
        <v>32316</v>
      </c>
      <c r="F2834" t="str">
        <f t="shared" si="89"/>
        <v>97737</v>
      </c>
      <c r="H2834" s="14">
        <f t="shared" si="90"/>
        <v>4703.71</v>
      </c>
    </row>
    <row r="2835" spans="1:8" ht="41.4">
      <c r="A2835" s="502" t="s">
        <v>7646</v>
      </c>
      <c r="B2835" s="504" t="s">
        <v>28689</v>
      </c>
      <c r="C2835" s="502" t="s">
        <v>83</v>
      </c>
      <c r="D2835" s="503" t="s">
        <v>32317</v>
      </c>
      <c r="F2835" t="str">
        <f t="shared" si="89"/>
        <v>97738</v>
      </c>
      <c r="H2835" s="14">
        <f t="shared" si="90"/>
        <v>5863.35</v>
      </c>
    </row>
    <row r="2836" spans="1:8" ht="41.4">
      <c r="A2836" s="502" t="s">
        <v>7647</v>
      </c>
      <c r="B2836" s="504" t="s">
        <v>28690</v>
      </c>
      <c r="C2836" s="502" t="s">
        <v>83</v>
      </c>
      <c r="D2836" s="503" t="s">
        <v>32318</v>
      </c>
      <c r="F2836" t="str">
        <f t="shared" si="89"/>
        <v>97739</v>
      </c>
      <c r="H2836" s="14">
        <f t="shared" si="90"/>
        <v>4196.16</v>
      </c>
    </row>
    <row r="2837" spans="1:8" ht="41.4">
      <c r="A2837" s="502" t="s">
        <v>7648</v>
      </c>
      <c r="B2837" s="504" t="s">
        <v>28691</v>
      </c>
      <c r="C2837" s="502" t="s">
        <v>83</v>
      </c>
      <c r="D2837" s="503" t="s">
        <v>32319</v>
      </c>
      <c r="F2837" t="str">
        <f t="shared" si="89"/>
        <v>97740</v>
      </c>
      <c r="H2837" s="14">
        <f t="shared" si="90"/>
        <v>2941.64</v>
      </c>
    </row>
    <row r="2838" spans="1:8" ht="41.4">
      <c r="A2838" s="502" t="s">
        <v>7649</v>
      </c>
      <c r="B2838" s="504" t="s">
        <v>7650</v>
      </c>
      <c r="C2838" s="502" t="s">
        <v>73</v>
      </c>
      <c r="D2838" s="503" t="s">
        <v>32320</v>
      </c>
      <c r="F2838" t="str">
        <f t="shared" si="89"/>
        <v>98615</v>
      </c>
      <c r="H2838" s="14">
        <f t="shared" si="90"/>
        <v>219.58</v>
      </c>
    </row>
    <row r="2839" spans="1:8" ht="41.4">
      <c r="A2839" s="502" t="s">
        <v>7651</v>
      </c>
      <c r="B2839" s="504" t="s">
        <v>7652</v>
      </c>
      <c r="C2839" s="502" t="s">
        <v>73</v>
      </c>
      <c r="D2839" s="503" t="s">
        <v>32321</v>
      </c>
      <c r="F2839" t="str">
        <f t="shared" si="89"/>
        <v>98616</v>
      </c>
      <c r="H2839" s="14">
        <f t="shared" si="90"/>
        <v>175.12</v>
      </c>
    </row>
    <row r="2840" spans="1:8" ht="41.4">
      <c r="A2840" s="502" t="s">
        <v>7653</v>
      </c>
      <c r="B2840" s="504" t="s">
        <v>7654</v>
      </c>
      <c r="C2840" s="502" t="s">
        <v>73</v>
      </c>
      <c r="D2840" s="503" t="s">
        <v>32322</v>
      </c>
      <c r="F2840" t="str">
        <f t="shared" si="89"/>
        <v>98617</v>
      </c>
      <c r="H2840" s="14">
        <f t="shared" si="90"/>
        <v>162.83000000000001</v>
      </c>
    </row>
    <row r="2841" spans="1:8" ht="41.4">
      <c r="A2841" s="502" t="s">
        <v>7655</v>
      </c>
      <c r="B2841" s="504" t="s">
        <v>7656</v>
      </c>
      <c r="C2841" s="502" t="s">
        <v>73</v>
      </c>
      <c r="D2841" s="503" t="s">
        <v>32323</v>
      </c>
      <c r="F2841" t="str">
        <f t="shared" si="89"/>
        <v>98618</v>
      </c>
      <c r="H2841" s="14">
        <f t="shared" si="90"/>
        <v>223.03</v>
      </c>
    </row>
    <row r="2842" spans="1:8" ht="41.4">
      <c r="A2842" s="502" t="s">
        <v>7657</v>
      </c>
      <c r="B2842" s="504" t="s">
        <v>7658</v>
      </c>
      <c r="C2842" s="502" t="s">
        <v>73</v>
      </c>
      <c r="D2842" s="503" t="s">
        <v>32324</v>
      </c>
      <c r="F2842" t="str">
        <f t="shared" si="89"/>
        <v>98619</v>
      </c>
      <c r="H2842" s="14">
        <f t="shared" si="90"/>
        <v>204.42</v>
      </c>
    </row>
    <row r="2843" spans="1:8" ht="41.4">
      <c r="A2843" s="502" t="s">
        <v>7659</v>
      </c>
      <c r="B2843" s="504" t="s">
        <v>7660</v>
      </c>
      <c r="C2843" s="502" t="s">
        <v>73</v>
      </c>
      <c r="D2843" s="503" t="s">
        <v>32325</v>
      </c>
      <c r="F2843" t="str">
        <f t="shared" si="89"/>
        <v>98620</v>
      </c>
      <c r="H2843" s="14">
        <f t="shared" si="90"/>
        <v>195</v>
      </c>
    </row>
    <row r="2844" spans="1:8" ht="41.4">
      <c r="A2844" s="524" t="s">
        <v>7661</v>
      </c>
      <c r="B2844" s="504" t="s">
        <v>7662</v>
      </c>
      <c r="C2844" s="502" t="s">
        <v>73</v>
      </c>
      <c r="D2844" s="503" t="s">
        <v>32326</v>
      </c>
      <c r="F2844" t="str">
        <f t="shared" si="89"/>
        <v>98621</v>
      </c>
      <c r="H2844" s="14">
        <f t="shared" si="90"/>
        <v>254.63</v>
      </c>
    </row>
    <row r="2845" spans="1:8" ht="41.4">
      <c r="A2845" s="502" t="s">
        <v>7663</v>
      </c>
      <c r="B2845" s="504" t="s">
        <v>7664</v>
      </c>
      <c r="C2845" s="502" t="s">
        <v>73</v>
      </c>
      <c r="D2845" s="503" t="s">
        <v>32327</v>
      </c>
      <c r="F2845" t="str">
        <f t="shared" si="89"/>
        <v>98622</v>
      </c>
      <c r="H2845" s="14">
        <f t="shared" si="90"/>
        <v>239.61</v>
      </c>
    </row>
    <row r="2846" spans="1:8" ht="41.4">
      <c r="A2846" s="502" t="s">
        <v>7665</v>
      </c>
      <c r="B2846" s="504" t="s">
        <v>7666</v>
      </c>
      <c r="C2846" s="502" t="s">
        <v>73</v>
      </c>
      <c r="D2846" s="503" t="s">
        <v>29582</v>
      </c>
      <c r="F2846" t="str">
        <f t="shared" si="89"/>
        <v>98623</v>
      </c>
      <c r="H2846" s="14">
        <f t="shared" si="90"/>
        <v>231.96</v>
      </c>
    </row>
    <row r="2847" spans="1:8" ht="41.4">
      <c r="A2847" s="502" t="s">
        <v>7667</v>
      </c>
      <c r="B2847" s="504" t="s">
        <v>7668</v>
      </c>
      <c r="C2847" s="502" t="s">
        <v>73</v>
      </c>
      <c r="D2847" s="503" t="s">
        <v>16309</v>
      </c>
      <c r="F2847" t="str">
        <f t="shared" si="89"/>
        <v>98624</v>
      </c>
      <c r="H2847" s="14">
        <f t="shared" si="90"/>
        <v>288.74</v>
      </c>
    </row>
    <row r="2848" spans="1:8" ht="41.4">
      <c r="A2848" s="502" t="s">
        <v>7669</v>
      </c>
      <c r="B2848" s="504" t="s">
        <v>7670</v>
      </c>
      <c r="C2848" s="502" t="s">
        <v>73</v>
      </c>
      <c r="D2848" s="503" t="s">
        <v>32328</v>
      </c>
      <c r="F2848" t="str">
        <f t="shared" si="89"/>
        <v>98625</v>
      </c>
      <c r="H2848" s="14">
        <f t="shared" si="90"/>
        <v>276.05</v>
      </c>
    </row>
    <row r="2849" spans="1:8" ht="41.4">
      <c r="A2849" s="502" t="s">
        <v>7671</v>
      </c>
      <c r="B2849" s="504" t="s">
        <v>7672</v>
      </c>
      <c r="C2849" s="502" t="s">
        <v>73</v>
      </c>
      <c r="D2849" s="503" t="s">
        <v>32329</v>
      </c>
      <c r="F2849" t="str">
        <f t="shared" si="89"/>
        <v>98626</v>
      </c>
      <c r="H2849" s="14">
        <f t="shared" si="90"/>
        <v>269.48</v>
      </c>
    </row>
    <row r="2850" spans="1:8" ht="41.4">
      <c r="A2850" s="502" t="s">
        <v>32330</v>
      </c>
      <c r="B2850" s="504" t="s">
        <v>32331</v>
      </c>
      <c r="C2850" s="502" t="s">
        <v>73</v>
      </c>
      <c r="D2850" s="503" t="s">
        <v>32332</v>
      </c>
      <c r="F2850" t="str">
        <f t="shared" si="89"/>
        <v>98627</v>
      </c>
      <c r="H2850" s="14">
        <f t="shared" si="90"/>
        <v>846.87</v>
      </c>
    </row>
    <row r="2851" spans="1:8" ht="41.4">
      <c r="A2851" s="502" t="s">
        <v>32333</v>
      </c>
      <c r="B2851" s="504" t="s">
        <v>32334</v>
      </c>
      <c r="C2851" s="502" t="s">
        <v>73</v>
      </c>
      <c r="D2851" s="503" t="s">
        <v>32335</v>
      </c>
      <c r="F2851" t="str">
        <f t="shared" si="89"/>
        <v>98628</v>
      </c>
      <c r="H2851" s="14">
        <f t="shared" si="90"/>
        <v>725.96</v>
      </c>
    </row>
    <row r="2852" spans="1:8" ht="41.4">
      <c r="A2852" s="502" t="s">
        <v>32336</v>
      </c>
      <c r="B2852" s="504" t="s">
        <v>32337</v>
      </c>
      <c r="C2852" s="502" t="s">
        <v>73</v>
      </c>
      <c r="D2852" s="503" t="s">
        <v>32338</v>
      </c>
      <c r="F2852" t="str">
        <f t="shared" si="89"/>
        <v>98629</v>
      </c>
      <c r="H2852" s="14">
        <f t="shared" si="90"/>
        <v>665.29</v>
      </c>
    </row>
    <row r="2853" spans="1:8" ht="41.4">
      <c r="A2853" s="502" t="s">
        <v>32339</v>
      </c>
      <c r="B2853" s="504" t="s">
        <v>32340</v>
      </c>
      <c r="C2853" s="502" t="s">
        <v>73</v>
      </c>
      <c r="D2853" s="503" t="s">
        <v>32341</v>
      </c>
      <c r="F2853" t="str">
        <f t="shared" si="89"/>
        <v>98630</v>
      </c>
      <c r="H2853" s="14">
        <f t="shared" si="90"/>
        <v>886.3</v>
      </c>
    </row>
    <row r="2854" spans="1:8" ht="41.4">
      <c r="A2854" s="502" t="s">
        <v>32342</v>
      </c>
      <c r="B2854" s="504" t="s">
        <v>32343</v>
      </c>
      <c r="C2854" s="502" t="s">
        <v>73</v>
      </c>
      <c r="D2854" s="503" t="s">
        <v>32344</v>
      </c>
      <c r="F2854" t="str">
        <f t="shared" si="89"/>
        <v>98632</v>
      </c>
      <c r="H2854" s="14">
        <f t="shared" si="90"/>
        <v>741.67</v>
      </c>
    </row>
    <row r="2855" spans="1:8" ht="27.6">
      <c r="A2855" s="502" t="s">
        <v>7673</v>
      </c>
      <c r="B2855" s="504" t="s">
        <v>7674</v>
      </c>
      <c r="C2855" s="502" t="s">
        <v>75</v>
      </c>
      <c r="D2855" s="503" t="s">
        <v>32345</v>
      </c>
      <c r="F2855" t="str">
        <f t="shared" si="89"/>
        <v>98655</v>
      </c>
      <c r="H2855" s="14">
        <f t="shared" si="90"/>
        <v>1000.93</v>
      </c>
    </row>
    <row r="2856" spans="1:8" ht="27.6">
      <c r="A2856" s="502" t="s">
        <v>7675</v>
      </c>
      <c r="B2856" s="504" t="s">
        <v>7676</v>
      </c>
      <c r="C2856" s="502" t="s">
        <v>75</v>
      </c>
      <c r="D2856" s="503" t="s">
        <v>32346</v>
      </c>
      <c r="F2856" t="str">
        <f t="shared" si="89"/>
        <v>98656</v>
      </c>
      <c r="H2856" s="14">
        <f t="shared" si="90"/>
        <v>1017.68</v>
      </c>
    </row>
    <row r="2857" spans="1:8" ht="27.6">
      <c r="A2857" s="502" t="s">
        <v>7677</v>
      </c>
      <c r="B2857" s="504" t="s">
        <v>7678</v>
      </c>
      <c r="C2857" s="502" t="s">
        <v>75</v>
      </c>
      <c r="D2857" s="503" t="s">
        <v>32347</v>
      </c>
      <c r="F2857" t="str">
        <f t="shared" si="89"/>
        <v>98657</v>
      </c>
      <c r="H2857" s="14">
        <f t="shared" si="90"/>
        <v>1034.45</v>
      </c>
    </row>
    <row r="2858" spans="1:8" ht="27.6">
      <c r="A2858" s="502" t="s">
        <v>7679</v>
      </c>
      <c r="B2858" s="504" t="s">
        <v>7680</v>
      </c>
      <c r="C2858" s="502" t="s">
        <v>75</v>
      </c>
      <c r="D2858" s="503" t="s">
        <v>32348</v>
      </c>
      <c r="F2858" t="str">
        <f t="shared" si="89"/>
        <v>98658</v>
      </c>
      <c r="H2858" s="14">
        <f t="shared" si="90"/>
        <v>1051.21</v>
      </c>
    </row>
    <row r="2859" spans="1:8" ht="27.6">
      <c r="A2859" s="502" t="s">
        <v>7681</v>
      </c>
      <c r="B2859" s="504" t="s">
        <v>7682</v>
      </c>
      <c r="C2859" s="502" t="s">
        <v>75</v>
      </c>
      <c r="D2859" s="503" t="s">
        <v>32349</v>
      </c>
      <c r="F2859" t="str">
        <f t="shared" si="89"/>
        <v>98659</v>
      </c>
      <c r="H2859" s="14">
        <f t="shared" si="90"/>
        <v>1084.73</v>
      </c>
    </row>
    <row r="2860" spans="1:8" ht="27.6">
      <c r="A2860" s="502" t="s">
        <v>9556</v>
      </c>
      <c r="B2860" s="504" t="s">
        <v>9557</v>
      </c>
      <c r="C2860" s="502" t="s">
        <v>75</v>
      </c>
      <c r="D2860" s="503" t="s">
        <v>32350</v>
      </c>
      <c r="F2860" t="str">
        <f t="shared" si="89"/>
        <v>98746</v>
      </c>
      <c r="H2860" s="14">
        <f t="shared" si="90"/>
        <v>93.63</v>
      </c>
    </row>
    <row r="2861" spans="1:8" ht="27.6">
      <c r="A2861" s="502" t="s">
        <v>9558</v>
      </c>
      <c r="B2861" s="504" t="s">
        <v>9559</v>
      </c>
      <c r="C2861" s="502" t="s">
        <v>75</v>
      </c>
      <c r="D2861" s="503" t="s">
        <v>32351</v>
      </c>
      <c r="F2861" t="str">
        <f t="shared" si="89"/>
        <v>98749</v>
      </c>
      <c r="H2861" s="14">
        <f t="shared" si="90"/>
        <v>107.68</v>
      </c>
    </row>
    <row r="2862" spans="1:8" ht="27.6">
      <c r="A2862" s="502" t="s">
        <v>9560</v>
      </c>
      <c r="B2862" s="504" t="s">
        <v>9561</v>
      </c>
      <c r="C2862" s="502" t="s">
        <v>75</v>
      </c>
      <c r="D2862" s="503" t="s">
        <v>32352</v>
      </c>
      <c r="F2862" t="str">
        <f t="shared" si="89"/>
        <v>98750</v>
      </c>
      <c r="H2862" s="14">
        <f t="shared" si="90"/>
        <v>124.27</v>
      </c>
    </row>
    <row r="2863" spans="1:8" ht="27.6">
      <c r="A2863" s="502" t="s">
        <v>9562</v>
      </c>
      <c r="B2863" s="504" t="s">
        <v>9563</v>
      </c>
      <c r="C2863" s="502" t="s">
        <v>75</v>
      </c>
      <c r="D2863" s="503" t="s">
        <v>32353</v>
      </c>
      <c r="F2863" t="str">
        <f t="shared" si="89"/>
        <v>98751</v>
      </c>
      <c r="H2863" s="14">
        <f t="shared" si="90"/>
        <v>167.42</v>
      </c>
    </row>
    <row r="2864" spans="1:8" ht="27.6">
      <c r="A2864" s="502" t="s">
        <v>9564</v>
      </c>
      <c r="B2864" s="504" t="s">
        <v>9565</v>
      </c>
      <c r="C2864" s="502" t="s">
        <v>75</v>
      </c>
      <c r="D2864" s="503" t="s">
        <v>32354</v>
      </c>
      <c r="F2864" t="str">
        <f t="shared" si="89"/>
        <v>98752</v>
      </c>
      <c r="H2864" s="14">
        <f t="shared" si="90"/>
        <v>218.76</v>
      </c>
    </row>
    <row r="2865" spans="1:8" ht="27.6">
      <c r="A2865" s="502" t="s">
        <v>9566</v>
      </c>
      <c r="B2865" s="504" t="s">
        <v>9567</v>
      </c>
      <c r="C2865" s="502" t="s">
        <v>75</v>
      </c>
      <c r="D2865" s="503" t="s">
        <v>32355</v>
      </c>
      <c r="F2865" t="str">
        <f t="shared" si="89"/>
        <v>98753</v>
      </c>
      <c r="H2865" s="14">
        <f t="shared" si="90"/>
        <v>282.14</v>
      </c>
    </row>
    <row r="2866" spans="1:8" ht="55.2">
      <c r="A2866" s="502" t="s">
        <v>12703</v>
      </c>
      <c r="B2866" s="504" t="s">
        <v>24440</v>
      </c>
      <c r="C2866" s="502" t="s">
        <v>71</v>
      </c>
      <c r="D2866" s="503" t="s">
        <v>10639</v>
      </c>
      <c r="F2866" t="str">
        <f t="shared" si="89"/>
        <v>100763</v>
      </c>
      <c r="H2866" s="14">
        <f t="shared" si="90"/>
        <v>21.61</v>
      </c>
    </row>
    <row r="2867" spans="1:8" ht="55.2">
      <c r="A2867" s="502" t="s">
        <v>12704</v>
      </c>
      <c r="B2867" s="504" t="s">
        <v>24441</v>
      </c>
      <c r="C2867" s="502" t="s">
        <v>71</v>
      </c>
      <c r="D2867" s="503" t="s">
        <v>31078</v>
      </c>
      <c r="F2867" t="str">
        <f t="shared" si="89"/>
        <v>100764</v>
      </c>
      <c r="H2867" s="14">
        <f t="shared" si="90"/>
        <v>21.23</v>
      </c>
    </row>
    <row r="2868" spans="1:8" ht="55.2">
      <c r="A2868" s="502" t="s">
        <v>12705</v>
      </c>
      <c r="B2868" s="504" t="s">
        <v>24442</v>
      </c>
      <c r="C2868" s="502" t="s">
        <v>71</v>
      </c>
      <c r="D2868" s="503" t="s">
        <v>28591</v>
      </c>
      <c r="F2868" t="str">
        <f t="shared" si="89"/>
        <v>100765</v>
      </c>
      <c r="H2868" s="14">
        <f t="shared" si="90"/>
        <v>18.73</v>
      </c>
    </row>
    <row r="2869" spans="1:8" ht="55.2">
      <c r="A2869" s="502" t="s">
        <v>12706</v>
      </c>
      <c r="B2869" s="504" t="s">
        <v>24443</v>
      </c>
      <c r="C2869" s="502" t="s">
        <v>71</v>
      </c>
      <c r="D2869" s="503" t="s">
        <v>7899</v>
      </c>
      <c r="F2869" t="str">
        <f t="shared" si="89"/>
        <v>100766</v>
      </c>
      <c r="H2869" s="14">
        <f t="shared" si="90"/>
        <v>19.05</v>
      </c>
    </row>
    <row r="2870" spans="1:8" ht="69">
      <c r="A2870" s="502" t="s">
        <v>12707</v>
      </c>
      <c r="B2870" s="504" t="s">
        <v>24444</v>
      </c>
      <c r="C2870" s="502" t="s">
        <v>71</v>
      </c>
      <c r="D2870" s="503" t="s">
        <v>10029</v>
      </c>
      <c r="F2870" t="str">
        <f t="shared" si="89"/>
        <v>100767</v>
      </c>
      <c r="H2870" s="14">
        <f t="shared" si="90"/>
        <v>23.21</v>
      </c>
    </row>
    <row r="2871" spans="1:8" ht="69">
      <c r="A2871" s="502" t="s">
        <v>12708</v>
      </c>
      <c r="B2871" s="504" t="s">
        <v>24445</v>
      </c>
      <c r="C2871" s="502" t="s">
        <v>71</v>
      </c>
      <c r="D2871" s="503" t="s">
        <v>32356</v>
      </c>
      <c r="F2871" t="str">
        <f t="shared" si="89"/>
        <v>100768</v>
      </c>
      <c r="H2871" s="14">
        <f t="shared" si="90"/>
        <v>21.97</v>
      </c>
    </row>
    <row r="2872" spans="1:8" ht="69">
      <c r="A2872" s="502" t="s">
        <v>12709</v>
      </c>
      <c r="B2872" s="504" t="s">
        <v>24446</v>
      </c>
      <c r="C2872" s="502" t="s">
        <v>71</v>
      </c>
      <c r="D2872" s="503" t="s">
        <v>25236</v>
      </c>
      <c r="F2872" t="str">
        <f t="shared" si="89"/>
        <v>100769</v>
      </c>
      <c r="H2872" s="14">
        <f t="shared" si="90"/>
        <v>31.37</v>
      </c>
    </row>
    <row r="2873" spans="1:8" ht="69">
      <c r="A2873" s="502" t="s">
        <v>12710</v>
      </c>
      <c r="B2873" s="504" t="s">
        <v>24447</v>
      </c>
      <c r="C2873" s="502" t="s">
        <v>71</v>
      </c>
      <c r="D2873" s="503" t="s">
        <v>32357</v>
      </c>
      <c r="F2873" t="str">
        <f t="shared" si="89"/>
        <v>100770</v>
      </c>
      <c r="H2873" s="14">
        <f t="shared" si="90"/>
        <v>29.85</v>
      </c>
    </row>
    <row r="2874" spans="1:8" ht="69">
      <c r="A2874" s="502" t="s">
        <v>12711</v>
      </c>
      <c r="B2874" s="504" t="s">
        <v>24449</v>
      </c>
      <c r="C2874" s="502" t="s">
        <v>71</v>
      </c>
      <c r="D2874" s="503" t="s">
        <v>24239</v>
      </c>
      <c r="F2874" t="str">
        <f t="shared" si="89"/>
        <v>100771</v>
      </c>
      <c r="H2874" s="14">
        <f t="shared" si="90"/>
        <v>24.16</v>
      </c>
    </row>
    <row r="2875" spans="1:8" ht="69">
      <c r="A2875" s="502" t="s">
        <v>12712</v>
      </c>
      <c r="B2875" s="504" t="s">
        <v>24450</v>
      </c>
      <c r="C2875" s="502" t="s">
        <v>71</v>
      </c>
      <c r="D2875" s="503" t="s">
        <v>9899</v>
      </c>
      <c r="F2875" t="str">
        <f t="shared" si="89"/>
        <v>100772</v>
      </c>
      <c r="H2875" s="14">
        <f t="shared" si="90"/>
        <v>22.79</v>
      </c>
    </row>
    <row r="2876" spans="1:8" ht="69">
      <c r="A2876" s="502" t="s">
        <v>12713</v>
      </c>
      <c r="B2876" s="504" t="s">
        <v>24451</v>
      </c>
      <c r="C2876" s="502" t="s">
        <v>71</v>
      </c>
      <c r="D2876" s="503" t="s">
        <v>11177</v>
      </c>
      <c r="F2876" t="str">
        <f t="shared" si="89"/>
        <v>100773</v>
      </c>
      <c r="H2876" s="14">
        <f t="shared" si="90"/>
        <v>25.92</v>
      </c>
    </row>
    <row r="2877" spans="1:8" ht="69">
      <c r="A2877" s="502" t="s">
        <v>12714</v>
      </c>
      <c r="B2877" s="504" t="s">
        <v>24452</v>
      </c>
      <c r="C2877" s="502" t="s">
        <v>71</v>
      </c>
      <c r="D2877" s="503" t="s">
        <v>10760</v>
      </c>
      <c r="F2877" t="str">
        <f t="shared" si="89"/>
        <v>100774</v>
      </c>
      <c r="H2877" s="14">
        <f t="shared" si="90"/>
        <v>15.28</v>
      </c>
    </row>
    <row r="2878" spans="1:8" ht="69">
      <c r="A2878" s="502" t="s">
        <v>12715</v>
      </c>
      <c r="B2878" s="504" t="s">
        <v>24453</v>
      </c>
      <c r="C2878" s="502" t="s">
        <v>71</v>
      </c>
      <c r="D2878" s="503" t="s">
        <v>10678</v>
      </c>
      <c r="F2878" t="str">
        <f t="shared" si="89"/>
        <v>100775</v>
      </c>
      <c r="H2878" s="14">
        <f t="shared" si="90"/>
        <v>17.3</v>
      </c>
    </row>
    <row r="2879" spans="1:8" ht="69">
      <c r="A2879" s="502" t="s">
        <v>12716</v>
      </c>
      <c r="B2879" s="504" t="s">
        <v>24454</v>
      </c>
      <c r="C2879" s="502" t="s">
        <v>71</v>
      </c>
      <c r="D2879" s="503" t="s">
        <v>7294</v>
      </c>
      <c r="F2879" t="str">
        <f t="shared" si="89"/>
        <v>100776</v>
      </c>
      <c r="H2879" s="14">
        <f t="shared" si="90"/>
        <v>26.1</v>
      </c>
    </row>
    <row r="2880" spans="1:8" ht="69">
      <c r="A2880" s="502" t="s">
        <v>12717</v>
      </c>
      <c r="B2880" s="504" t="s">
        <v>24455</v>
      </c>
      <c r="C2880" s="502" t="s">
        <v>71</v>
      </c>
      <c r="D2880" s="503" t="s">
        <v>9866</v>
      </c>
      <c r="F2880" t="str">
        <f t="shared" si="89"/>
        <v>100777</v>
      </c>
      <c r="H2880" s="14">
        <f t="shared" si="90"/>
        <v>15.22</v>
      </c>
    </row>
    <row r="2881" spans="1:8" ht="69">
      <c r="A2881" s="502" t="s">
        <v>12718</v>
      </c>
      <c r="B2881" s="504" t="s">
        <v>24456</v>
      </c>
      <c r="C2881" s="502" t="s">
        <v>71</v>
      </c>
      <c r="D2881" s="503" t="s">
        <v>7351</v>
      </c>
      <c r="F2881" t="str">
        <f t="shared" si="89"/>
        <v>100778</v>
      </c>
      <c r="H2881" s="14">
        <f t="shared" si="90"/>
        <v>17.239999999999998</v>
      </c>
    </row>
    <row r="2882" spans="1:8" ht="41.4">
      <c r="A2882" s="502" t="s">
        <v>24457</v>
      </c>
      <c r="B2882" s="504" t="s">
        <v>24458</v>
      </c>
      <c r="C2882" s="502" t="s">
        <v>73</v>
      </c>
      <c r="D2882" s="503" t="s">
        <v>21706</v>
      </c>
      <c r="F2882" t="str">
        <f t="shared" si="89"/>
        <v>103795</v>
      </c>
      <c r="H2882" s="14">
        <f t="shared" si="90"/>
        <v>126.2</v>
      </c>
    </row>
    <row r="2883" spans="1:8" ht="41.4">
      <c r="A2883" s="502" t="s">
        <v>24459</v>
      </c>
      <c r="B2883" s="504" t="s">
        <v>24460</v>
      </c>
      <c r="C2883" s="502" t="s">
        <v>73</v>
      </c>
      <c r="D2883" s="503" t="s">
        <v>32358</v>
      </c>
      <c r="F2883" t="str">
        <f t="shared" si="89"/>
        <v>103796</v>
      </c>
      <c r="H2883" s="14">
        <f t="shared" si="90"/>
        <v>80.08</v>
      </c>
    </row>
    <row r="2884" spans="1:8" ht="27.6">
      <c r="A2884" s="502" t="s">
        <v>24461</v>
      </c>
      <c r="B2884" s="504" t="s">
        <v>28694</v>
      </c>
      <c r="C2884" s="502" t="s">
        <v>71</v>
      </c>
      <c r="D2884" s="503" t="s">
        <v>24577</v>
      </c>
      <c r="F2884" t="str">
        <f t="shared" si="89"/>
        <v>103797</v>
      </c>
      <c r="H2884" s="14">
        <f t="shared" si="90"/>
        <v>25.53</v>
      </c>
    </row>
    <row r="2885" spans="1:8" ht="41.4">
      <c r="A2885" s="502" t="s">
        <v>24462</v>
      </c>
      <c r="B2885" s="504" t="s">
        <v>24463</v>
      </c>
      <c r="C2885" s="502" t="s">
        <v>83</v>
      </c>
      <c r="D2885" s="503" t="s">
        <v>32359</v>
      </c>
      <c r="F2885" t="str">
        <f t="shared" ref="F2885:F2948" si="91">TRIM(A2885)</f>
        <v>103798</v>
      </c>
      <c r="H2885" s="14">
        <f t="shared" ref="H2885:H2948" si="92">ROUND(D2885*(1+$H$1),2)</f>
        <v>1018.46</v>
      </c>
    </row>
    <row r="2886" spans="1:8" ht="69">
      <c r="A2886" s="502" t="s">
        <v>24464</v>
      </c>
      <c r="B2886" s="504" t="s">
        <v>24465</v>
      </c>
      <c r="C2886" s="502" t="s">
        <v>83</v>
      </c>
      <c r="D2886" s="503" t="s">
        <v>32360</v>
      </c>
      <c r="F2886" t="str">
        <f t="shared" si="91"/>
        <v>103799</v>
      </c>
      <c r="H2886" s="14">
        <f t="shared" si="92"/>
        <v>615.11</v>
      </c>
    </row>
    <row r="2887" spans="1:8" ht="55.2">
      <c r="A2887" s="502" t="s">
        <v>24466</v>
      </c>
      <c r="B2887" s="504" t="s">
        <v>24467</v>
      </c>
      <c r="C2887" s="502" t="s">
        <v>83</v>
      </c>
      <c r="D2887" s="503" t="s">
        <v>32361</v>
      </c>
      <c r="F2887" t="str">
        <f t="shared" si="91"/>
        <v>103800</v>
      </c>
      <c r="H2887" s="14">
        <f t="shared" si="92"/>
        <v>709.22</v>
      </c>
    </row>
    <row r="2888" spans="1:8" ht="55.2">
      <c r="A2888" s="502" t="s">
        <v>24468</v>
      </c>
      <c r="B2888" s="504" t="s">
        <v>24469</v>
      </c>
      <c r="C2888" s="502" t="s">
        <v>83</v>
      </c>
      <c r="D2888" s="503" t="s">
        <v>32362</v>
      </c>
      <c r="F2888" t="str">
        <f t="shared" si="91"/>
        <v>103801</v>
      </c>
      <c r="H2888" s="14">
        <f t="shared" si="92"/>
        <v>859.61</v>
      </c>
    </row>
    <row r="2889" spans="1:8" ht="69">
      <c r="A2889" s="502" t="s">
        <v>24470</v>
      </c>
      <c r="B2889" s="504" t="s">
        <v>28695</v>
      </c>
      <c r="C2889" s="502" t="s">
        <v>83</v>
      </c>
      <c r="D2889" s="503" t="s">
        <v>32363</v>
      </c>
      <c r="F2889" t="str">
        <f t="shared" si="91"/>
        <v>103925</v>
      </c>
      <c r="H2889" s="14">
        <f t="shared" si="92"/>
        <v>2600.85</v>
      </c>
    </row>
    <row r="2890" spans="1:8" ht="69">
      <c r="A2890" s="502" t="s">
        <v>24471</v>
      </c>
      <c r="B2890" s="504" t="s">
        <v>28696</v>
      </c>
      <c r="C2890" s="502" t="s">
        <v>83</v>
      </c>
      <c r="D2890" s="503" t="s">
        <v>32364</v>
      </c>
      <c r="F2890" t="str">
        <f t="shared" si="91"/>
        <v>103926</v>
      </c>
      <c r="H2890" s="14">
        <f t="shared" si="92"/>
        <v>2108.87</v>
      </c>
    </row>
    <row r="2891" spans="1:8" ht="55.2">
      <c r="A2891" s="502" t="s">
        <v>24472</v>
      </c>
      <c r="B2891" s="504" t="s">
        <v>24473</v>
      </c>
      <c r="C2891" s="502" t="s">
        <v>83</v>
      </c>
      <c r="D2891" s="503" t="s">
        <v>32361</v>
      </c>
      <c r="F2891" t="str">
        <f t="shared" si="91"/>
        <v>103928</v>
      </c>
      <c r="H2891" s="14">
        <f t="shared" si="92"/>
        <v>709.22</v>
      </c>
    </row>
    <row r="2892" spans="1:8" ht="55.2">
      <c r="A2892" s="502" t="s">
        <v>24474</v>
      </c>
      <c r="B2892" s="504" t="s">
        <v>24475</v>
      </c>
      <c r="C2892" s="502" t="s">
        <v>83</v>
      </c>
      <c r="D2892" s="503" t="s">
        <v>32365</v>
      </c>
      <c r="F2892" t="str">
        <f t="shared" si="91"/>
        <v>103929</v>
      </c>
      <c r="H2892" s="14">
        <f t="shared" si="92"/>
        <v>1660.52</v>
      </c>
    </row>
    <row r="2893" spans="1:8" ht="69">
      <c r="A2893" s="502" t="s">
        <v>24476</v>
      </c>
      <c r="B2893" s="504" t="s">
        <v>24477</v>
      </c>
      <c r="C2893" s="502" t="s">
        <v>83</v>
      </c>
      <c r="D2893" s="503" t="s">
        <v>32366</v>
      </c>
      <c r="F2893" t="str">
        <f t="shared" si="91"/>
        <v>103930</v>
      </c>
      <c r="H2893" s="14">
        <f t="shared" si="92"/>
        <v>1058.0999999999999</v>
      </c>
    </row>
    <row r="2894" spans="1:8" ht="69">
      <c r="A2894" s="502" t="s">
        <v>24478</v>
      </c>
      <c r="B2894" s="504" t="s">
        <v>24479</v>
      </c>
      <c r="C2894" s="502" t="s">
        <v>83</v>
      </c>
      <c r="D2894" s="503" t="s">
        <v>32367</v>
      </c>
      <c r="F2894" t="str">
        <f t="shared" si="91"/>
        <v>103931</v>
      </c>
      <c r="H2894" s="14">
        <f t="shared" si="92"/>
        <v>792.7</v>
      </c>
    </row>
    <row r="2895" spans="1:8" ht="69">
      <c r="A2895" s="502" t="s">
        <v>24480</v>
      </c>
      <c r="B2895" s="504" t="s">
        <v>24481</v>
      </c>
      <c r="C2895" s="502" t="s">
        <v>83</v>
      </c>
      <c r="D2895" s="503" t="s">
        <v>32368</v>
      </c>
      <c r="F2895" t="str">
        <f t="shared" si="91"/>
        <v>103932</v>
      </c>
      <c r="H2895" s="14">
        <f t="shared" si="92"/>
        <v>753.82</v>
      </c>
    </row>
    <row r="2896" spans="1:8" ht="55.2">
      <c r="A2896" s="502" t="s">
        <v>24482</v>
      </c>
      <c r="B2896" s="504" t="s">
        <v>24483</v>
      </c>
      <c r="C2896" s="502" t="s">
        <v>83</v>
      </c>
      <c r="D2896" s="503" t="s">
        <v>32369</v>
      </c>
      <c r="F2896" t="str">
        <f t="shared" si="91"/>
        <v>103933</v>
      </c>
      <c r="H2896" s="14">
        <f t="shared" si="92"/>
        <v>2310.8200000000002</v>
      </c>
    </row>
    <row r="2897" spans="1:8" ht="27.6">
      <c r="A2897" s="502" t="s">
        <v>28697</v>
      </c>
      <c r="B2897" s="504" t="s">
        <v>28698</v>
      </c>
      <c r="C2897" s="502" t="s">
        <v>75</v>
      </c>
      <c r="D2897" s="503" t="s">
        <v>28227</v>
      </c>
      <c r="F2897" t="str">
        <f t="shared" si="91"/>
        <v>105041</v>
      </c>
      <c r="H2897" s="14">
        <f t="shared" si="92"/>
        <v>73.47</v>
      </c>
    </row>
    <row r="2898" spans="1:8" ht="55.2">
      <c r="A2898" s="502" t="s">
        <v>28700</v>
      </c>
      <c r="B2898" s="504" t="s">
        <v>28701</v>
      </c>
      <c r="C2898" s="502" t="s">
        <v>75</v>
      </c>
      <c r="D2898" s="503" t="s">
        <v>32370</v>
      </c>
      <c r="F2898" t="str">
        <f t="shared" si="91"/>
        <v>105042</v>
      </c>
      <c r="H2898" s="14">
        <f t="shared" si="92"/>
        <v>86.88</v>
      </c>
    </row>
    <row r="2899" spans="1:8" ht="27.6">
      <c r="A2899" s="502" t="s">
        <v>28702</v>
      </c>
      <c r="B2899" s="504" t="s">
        <v>28703</v>
      </c>
      <c r="C2899" s="502" t="s">
        <v>75</v>
      </c>
      <c r="D2899" s="503" t="s">
        <v>32371</v>
      </c>
      <c r="F2899" t="str">
        <f t="shared" si="91"/>
        <v>105045</v>
      </c>
      <c r="H2899" s="14">
        <f t="shared" si="92"/>
        <v>83.64</v>
      </c>
    </row>
    <row r="2900" spans="1:8" ht="55.2">
      <c r="A2900" s="502" t="s">
        <v>28705</v>
      </c>
      <c r="B2900" s="504" t="s">
        <v>28706</v>
      </c>
      <c r="C2900" s="502" t="s">
        <v>75</v>
      </c>
      <c r="D2900" s="503" t="s">
        <v>32372</v>
      </c>
      <c r="F2900" t="str">
        <f t="shared" si="91"/>
        <v>105046</v>
      </c>
      <c r="H2900" s="14">
        <f t="shared" si="92"/>
        <v>71.06</v>
      </c>
    </row>
    <row r="2901" spans="1:8" ht="55.2">
      <c r="A2901" s="502" t="s">
        <v>28707</v>
      </c>
      <c r="B2901" s="504" t="s">
        <v>28708</v>
      </c>
      <c r="C2901" s="502" t="s">
        <v>75</v>
      </c>
      <c r="D2901" s="503" t="s">
        <v>32373</v>
      </c>
      <c r="F2901" t="str">
        <f t="shared" si="91"/>
        <v>105050</v>
      </c>
      <c r="H2901" s="14">
        <f t="shared" si="92"/>
        <v>253.06</v>
      </c>
    </row>
    <row r="2902" spans="1:8" ht="55.2">
      <c r="A2902" s="502" t="s">
        <v>28709</v>
      </c>
      <c r="B2902" s="504" t="s">
        <v>28710</v>
      </c>
      <c r="C2902" s="502" t="s">
        <v>75</v>
      </c>
      <c r="D2902" s="503" t="s">
        <v>32374</v>
      </c>
      <c r="F2902" t="str">
        <f t="shared" si="91"/>
        <v>105053</v>
      </c>
      <c r="H2902" s="14">
        <f t="shared" si="92"/>
        <v>237.45</v>
      </c>
    </row>
    <row r="2903" spans="1:8" ht="55.2">
      <c r="A2903" s="502" t="s">
        <v>28711</v>
      </c>
      <c r="B2903" s="504" t="s">
        <v>28712</v>
      </c>
      <c r="C2903" s="502" t="s">
        <v>75</v>
      </c>
      <c r="D2903" s="503" t="s">
        <v>32375</v>
      </c>
      <c r="F2903" t="str">
        <f t="shared" si="91"/>
        <v>105056</v>
      </c>
      <c r="H2903" s="14">
        <f t="shared" si="92"/>
        <v>346.74</v>
      </c>
    </row>
    <row r="2904" spans="1:8" ht="55.2">
      <c r="A2904" s="502" t="s">
        <v>28713</v>
      </c>
      <c r="B2904" s="504" t="s">
        <v>28714</v>
      </c>
      <c r="C2904" s="502" t="s">
        <v>75</v>
      </c>
      <c r="D2904" s="503" t="s">
        <v>32376</v>
      </c>
      <c r="F2904" t="str">
        <f t="shared" si="91"/>
        <v>105058</v>
      </c>
      <c r="H2904" s="14">
        <f t="shared" si="92"/>
        <v>332.22</v>
      </c>
    </row>
    <row r="2905" spans="1:8" ht="55.2">
      <c r="A2905" s="502" t="s">
        <v>28715</v>
      </c>
      <c r="B2905" s="504" t="s">
        <v>28716</v>
      </c>
      <c r="C2905" s="502" t="s">
        <v>75</v>
      </c>
      <c r="D2905" s="503" t="s">
        <v>32377</v>
      </c>
      <c r="F2905" t="str">
        <f t="shared" si="91"/>
        <v>105061</v>
      </c>
      <c r="H2905" s="14">
        <f t="shared" si="92"/>
        <v>134.46</v>
      </c>
    </row>
    <row r="2906" spans="1:8" ht="55.2">
      <c r="A2906" s="502" t="s">
        <v>28717</v>
      </c>
      <c r="B2906" s="504" t="s">
        <v>28718</v>
      </c>
      <c r="C2906" s="502" t="s">
        <v>75</v>
      </c>
      <c r="D2906" s="503" t="s">
        <v>32378</v>
      </c>
      <c r="F2906" t="str">
        <f t="shared" si="91"/>
        <v>105064</v>
      </c>
      <c r="H2906" s="14">
        <f t="shared" si="92"/>
        <v>114.28</v>
      </c>
    </row>
    <row r="2907" spans="1:8" ht="55.2">
      <c r="A2907" s="502" t="s">
        <v>28719</v>
      </c>
      <c r="B2907" s="504" t="s">
        <v>28720</v>
      </c>
      <c r="C2907" s="502" t="s">
        <v>75</v>
      </c>
      <c r="D2907" s="503" t="s">
        <v>32379</v>
      </c>
      <c r="F2907" t="str">
        <f t="shared" si="91"/>
        <v>105068</v>
      </c>
      <c r="H2907" s="14">
        <f t="shared" si="92"/>
        <v>221.01</v>
      </c>
    </row>
    <row r="2908" spans="1:8" ht="55.2">
      <c r="A2908" s="502" t="s">
        <v>28721</v>
      </c>
      <c r="B2908" s="504" t="s">
        <v>28722</v>
      </c>
      <c r="C2908" s="502" t="s">
        <v>75</v>
      </c>
      <c r="D2908" s="503" t="s">
        <v>32380</v>
      </c>
      <c r="F2908" t="str">
        <f t="shared" si="91"/>
        <v>105071</v>
      </c>
      <c r="H2908" s="14">
        <f t="shared" si="92"/>
        <v>200.85</v>
      </c>
    </row>
    <row r="2909" spans="1:8" ht="55.2">
      <c r="A2909" s="502" t="s">
        <v>28723</v>
      </c>
      <c r="B2909" s="504" t="s">
        <v>28724</v>
      </c>
      <c r="C2909" s="502" t="s">
        <v>75</v>
      </c>
      <c r="D2909" s="503" t="s">
        <v>32381</v>
      </c>
      <c r="F2909" t="str">
        <f t="shared" si="91"/>
        <v>105074</v>
      </c>
      <c r="H2909" s="14">
        <f t="shared" si="92"/>
        <v>342.12</v>
      </c>
    </row>
    <row r="2910" spans="1:8" ht="55.2">
      <c r="A2910" s="502" t="s">
        <v>28725</v>
      </c>
      <c r="B2910" s="504" t="s">
        <v>28726</v>
      </c>
      <c r="C2910" s="502" t="s">
        <v>75</v>
      </c>
      <c r="D2910" s="503" t="s">
        <v>32382</v>
      </c>
      <c r="F2910" t="str">
        <f t="shared" si="91"/>
        <v>105077</v>
      </c>
      <c r="H2910" s="14">
        <f t="shared" si="92"/>
        <v>322.07</v>
      </c>
    </row>
    <row r="2911" spans="1:8" ht="41.4">
      <c r="A2911" s="502" t="s">
        <v>28727</v>
      </c>
      <c r="B2911" s="504" t="s">
        <v>28728</v>
      </c>
      <c r="C2911" s="502" t="s">
        <v>75</v>
      </c>
      <c r="D2911" s="503" t="s">
        <v>32383</v>
      </c>
      <c r="F2911" t="str">
        <f t="shared" si="91"/>
        <v>105080</v>
      </c>
      <c r="H2911" s="14">
        <f t="shared" si="92"/>
        <v>89.92</v>
      </c>
    </row>
    <row r="2912" spans="1:8" ht="41.4">
      <c r="A2912" s="502" t="s">
        <v>28729</v>
      </c>
      <c r="B2912" s="504" t="s">
        <v>28730</v>
      </c>
      <c r="C2912" s="502" t="s">
        <v>75</v>
      </c>
      <c r="D2912" s="503" t="s">
        <v>31024</v>
      </c>
      <c r="F2912" t="str">
        <f t="shared" si="91"/>
        <v>105081</v>
      </c>
      <c r="H2912" s="14">
        <f t="shared" si="92"/>
        <v>103.71</v>
      </c>
    </row>
    <row r="2913" spans="1:8" ht="41.4">
      <c r="A2913" s="502" t="s">
        <v>28731</v>
      </c>
      <c r="B2913" s="504" t="s">
        <v>28732</v>
      </c>
      <c r="C2913" s="502" t="s">
        <v>75</v>
      </c>
      <c r="D2913" s="503" t="s">
        <v>32384</v>
      </c>
      <c r="F2913" t="str">
        <f t="shared" si="91"/>
        <v>105082</v>
      </c>
      <c r="H2913" s="14">
        <f t="shared" si="92"/>
        <v>93.61</v>
      </c>
    </row>
    <row r="2914" spans="1:8" ht="41.4">
      <c r="A2914" s="502" t="s">
        <v>28733</v>
      </c>
      <c r="B2914" s="504" t="s">
        <v>28734</v>
      </c>
      <c r="C2914" s="502" t="s">
        <v>75</v>
      </c>
      <c r="D2914" s="503" t="s">
        <v>32385</v>
      </c>
      <c r="F2914" t="str">
        <f t="shared" si="91"/>
        <v>105083</v>
      </c>
      <c r="H2914" s="14">
        <f t="shared" si="92"/>
        <v>105.4</v>
      </c>
    </row>
    <row r="2915" spans="1:8" ht="41.4">
      <c r="A2915" s="502" t="s">
        <v>28735</v>
      </c>
      <c r="B2915" s="504" t="s">
        <v>28736</v>
      </c>
      <c r="C2915" s="502" t="s">
        <v>75</v>
      </c>
      <c r="D2915" s="503" t="s">
        <v>16275</v>
      </c>
      <c r="F2915" t="str">
        <f t="shared" si="91"/>
        <v>105084</v>
      </c>
      <c r="H2915" s="14">
        <f t="shared" si="92"/>
        <v>130.33000000000001</v>
      </c>
    </row>
    <row r="2916" spans="1:8" ht="41.4">
      <c r="A2916" s="502" t="s">
        <v>28737</v>
      </c>
      <c r="B2916" s="504" t="s">
        <v>28738</v>
      </c>
      <c r="C2916" s="502" t="s">
        <v>75</v>
      </c>
      <c r="D2916" s="503" t="s">
        <v>32386</v>
      </c>
      <c r="F2916" t="str">
        <f t="shared" si="91"/>
        <v>105085</v>
      </c>
      <c r="H2916" s="14">
        <f t="shared" si="92"/>
        <v>136.13</v>
      </c>
    </row>
    <row r="2917" spans="1:8" ht="41.4">
      <c r="A2917" s="502" t="s">
        <v>28739</v>
      </c>
      <c r="B2917" s="504" t="s">
        <v>28740</v>
      </c>
      <c r="C2917" s="502" t="s">
        <v>75</v>
      </c>
      <c r="D2917" s="503" t="s">
        <v>32387</v>
      </c>
      <c r="F2917" t="str">
        <f t="shared" si="91"/>
        <v>105086</v>
      </c>
      <c r="H2917" s="14">
        <f t="shared" si="92"/>
        <v>121.43</v>
      </c>
    </row>
    <row r="2918" spans="1:8" ht="41.4">
      <c r="A2918" s="502" t="s">
        <v>28741</v>
      </c>
      <c r="B2918" s="504" t="s">
        <v>28742</v>
      </c>
      <c r="C2918" s="502" t="s">
        <v>75</v>
      </c>
      <c r="D2918" s="503" t="s">
        <v>32388</v>
      </c>
      <c r="F2918" t="str">
        <f t="shared" si="91"/>
        <v>105087</v>
      </c>
      <c r="H2918" s="14">
        <f t="shared" si="92"/>
        <v>136.13999999999999</v>
      </c>
    </row>
    <row r="2919" spans="1:8" ht="41.4">
      <c r="A2919" s="502" t="s">
        <v>28743</v>
      </c>
      <c r="B2919" s="504" t="s">
        <v>28744</v>
      </c>
      <c r="C2919" s="502" t="s">
        <v>75</v>
      </c>
      <c r="D2919" s="503" t="s">
        <v>22502</v>
      </c>
      <c r="F2919" t="str">
        <f t="shared" si="91"/>
        <v>105088</v>
      </c>
      <c r="H2919" s="14">
        <f t="shared" si="92"/>
        <v>243.9</v>
      </c>
    </row>
    <row r="2920" spans="1:8" ht="41.4">
      <c r="A2920" s="502" t="s">
        <v>28745</v>
      </c>
      <c r="B2920" s="504" t="s">
        <v>28746</v>
      </c>
      <c r="C2920" s="502" t="s">
        <v>75</v>
      </c>
      <c r="D2920" s="503" t="s">
        <v>32389</v>
      </c>
      <c r="F2920" t="str">
        <f t="shared" si="91"/>
        <v>105089</v>
      </c>
      <c r="H2920" s="14">
        <f t="shared" si="92"/>
        <v>225.37</v>
      </c>
    </row>
    <row r="2921" spans="1:8" ht="27.6">
      <c r="A2921" s="502" t="s">
        <v>28747</v>
      </c>
      <c r="B2921" s="504" t="s">
        <v>28748</v>
      </c>
      <c r="C2921" s="502" t="s">
        <v>73</v>
      </c>
      <c r="D2921" s="503" t="s">
        <v>32390</v>
      </c>
      <c r="F2921" t="str">
        <f t="shared" si="91"/>
        <v>105090</v>
      </c>
      <c r="H2921" s="14">
        <f t="shared" si="92"/>
        <v>445.6</v>
      </c>
    </row>
    <row r="2922" spans="1:8" ht="41.4">
      <c r="A2922" s="502" t="s">
        <v>28749</v>
      </c>
      <c r="B2922" s="504" t="s">
        <v>28750</v>
      </c>
      <c r="C2922" s="502" t="s">
        <v>75</v>
      </c>
      <c r="D2922" s="503" t="s">
        <v>28753</v>
      </c>
      <c r="F2922" t="str">
        <f t="shared" si="91"/>
        <v>105091</v>
      </c>
      <c r="H2922" s="14">
        <f t="shared" si="92"/>
        <v>179.06</v>
      </c>
    </row>
    <row r="2923" spans="1:8" ht="41.4">
      <c r="A2923" s="502" t="s">
        <v>28751</v>
      </c>
      <c r="B2923" s="504" t="s">
        <v>28752</v>
      </c>
      <c r="C2923" s="502" t="s">
        <v>75</v>
      </c>
      <c r="D2923" s="503" t="s">
        <v>32391</v>
      </c>
      <c r="F2923" t="str">
        <f t="shared" si="91"/>
        <v>105092</v>
      </c>
      <c r="H2923" s="14">
        <f t="shared" si="92"/>
        <v>194.49</v>
      </c>
    </row>
    <row r="2924" spans="1:8" ht="41.4">
      <c r="A2924" s="502" t="s">
        <v>28754</v>
      </c>
      <c r="B2924" s="504" t="s">
        <v>28755</v>
      </c>
      <c r="C2924" s="502" t="s">
        <v>75</v>
      </c>
      <c r="D2924" s="503" t="s">
        <v>29312</v>
      </c>
      <c r="F2924" t="str">
        <f t="shared" si="91"/>
        <v>105093</v>
      </c>
      <c r="H2924" s="14">
        <f t="shared" si="92"/>
        <v>197.56</v>
      </c>
    </row>
    <row r="2925" spans="1:8" ht="55.2">
      <c r="A2925" s="502" t="s">
        <v>28756</v>
      </c>
      <c r="B2925" s="504" t="s">
        <v>28757</v>
      </c>
      <c r="C2925" s="502" t="s">
        <v>75</v>
      </c>
      <c r="D2925" s="503" t="s">
        <v>32392</v>
      </c>
      <c r="F2925" t="str">
        <f t="shared" si="91"/>
        <v>105095</v>
      </c>
      <c r="H2925" s="14">
        <f t="shared" si="92"/>
        <v>125.79</v>
      </c>
    </row>
    <row r="2926" spans="1:8" ht="55.2">
      <c r="A2926" s="502" t="s">
        <v>28758</v>
      </c>
      <c r="B2926" s="504" t="s">
        <v>28759</v>
      </c>
      <c r="C2926" s="502" t="s">
        <v>75</v>
      </c>
      <c r="D2926" s="503" t="s">
        <v>32393</v>
      </c>
      <c r="F2926" t="str">
        <f t="shared" si="91"/>
        <v>105098</v>
      </c>
      <c r="H2926" s="14">
        <f t="shared" si="92"/>
        <v>110</v>
      </c>
    </row>
    <row r="2927" spans="1:8" ht="27.6">
      <c r="A2927" s="502" t="s">
        <v>28760</v>
      </c>
      <c r="B2927" s="504" t="s">
        <v>28761</v>
      </c>
      <c r="C2927" s="502" t="s">
        <v>75</v>
      </c>
      <c r="D2927" s="503" t="s">
        <v>32394</v>
      </c>
      <c r="F2927" t="str">
        <f t="shared" si="91"/>
        <v>105099</v>
      </c>
      <c r="H2927" s="14">
        <f t="shared" si="92"/>
        <v>109.11</v>
      </c>
    </row>
    <row r="2928" spans="1:8" ht="27.6">
      <c r="A2928" s="502" t="s">
        <v>28763</v>
      </c>
      <c r="B2928" s="504" t="s">
        <v>28764</v>
      </c>
      <c r="C2928" s="502" t="s">
        <v>75</v>
      </c>
      <c r="D2928" s="503" t="s">
        <v>32395</v>
      </c>
      <c r="F2928" t="str">
        <f t="shared" si="91"/>
        <v>105100</v>
      </c>
      <c r="H2928" s="14">
        <f t="shared" si="92"/>
        <v>152.24</v>
      </c>
    </row>
    <row r="2929" spans="1:8" ht="27.6">
      <c r="A2929" s="502" t="s">
        <v>28765</v>
      </c>
      <c r="B2929" s="504" t="s">
        <v>28766</v>
      </c>
      <c r="C2929" s="502" t="s">
        <v>75</v>
      </c>
      <c r="D2929" s="503" t="s">
        <v>28928</v>
      </c>
      <c r="F2929" t="str">
        <f t="shared" si="91"/>
        <v>105101</v>
      </c>
      <c r="H2929" s="14">
        <f t="shared" si="92"/>
        <v>288.29000000000002</v>
      </c>
    </row>
    <row r="2930" spans="1:8" ht="27.6">
      <c r="A2930" s="502" t="s">
        <v>28767</v>
      </c>
      <c r="B2930" s="504" t="s">
        <v>28768</v>
      </c>
      <c r="C2930" s="502" t="s">
        <v>75</v>
      </c>
      <c r="D2930" s="503" t="s">
        <v>32396</v>
      </c>
      <c r="F2930" t="str">
        <f t="shared" si="91"/>
        <v>105102</v>
      </c>
      <c r="H2930" s="14">
        <f t="shared" si="92"/>
        <v>393.39</v>
      </c>
    </row>
    <row r="2931" spans="1:8" ht="41.4">
      <c r="A2931" s="502" t="s">
        <v>7683</v>
      </c>
      <c r="B2931" s="504" t="s">
        <v>28769</v>
      </c>
      <c r="C2931" s="502" t="s">
        <v>73</v>
      </c>
      <c r="D2931" s="503" t="s">
        <v>31445</v>
      </c>
      <c r="F2931" t="str">
        <f t="shared" si="91"/>
        <v>98562</v>
      </c>
      <c r="H2931" s="14">
        <f t="shared" si="92"/>
        <v>68.45</v>
      </c>
    </row>
    <row r="2932" spans="1:8" ht="41.4">
      <c r="A2932" s="502" t="s">
        <v>7684</v>
      </c>
      <c r="B2932" s="504" t="s">
        <v>28770</v>
      </c>
      <c r="C2932" s="502" t="s">
        <v>73</v>
      </c>
      <c r="D2932" s="503" t="s">
        <v>32397</v>
      </c>
      <c r="F2932" t="str">
        <f t="shared" si="91"/>
        <v>98555</v>
      </c>
      <c r="H2932" s="14">
        <f t="shared" si="92"/>
        <v>40.69</v>
      </c>
    </row>
    <row r="2933" spans="1:8" ht="41.4">
      <c r="A2933" s="502" t="s">
        <v>7685</v>
      </c>
      <c r="B2933" s="504" t="s">
        <v>28771</v>
      </c>
      <c r="C2933" s="502" t="s">
        <v>73</v>
      </c>
      <c r="D2933" s="503" t="s">
        <v>32398</v>
      </c>
      <c r="F2933" t="str">
        <f t="shared" si="91"/>
        <v>98556</v>
      </c>
      <c r="H2933" s="14">
        <f t="shared" si="92"/>
        <v>77.59</v>
      </c>
    </row>
    <row r="2934" spans="1:8" ht="41.4">
      <c r="A2934" s="502" t="s">
        <v>7686</v>
      </c>
      <c r="B2934" s="504" t="s">
        <v>28772</v>
      </c>
      <c r="C2934" s="502" t="s">
        <v>114</v>
      </c>
      <c r="D2934" s="503" t="s">
        <v>29189</v>
      </c>
      <c r="F2934" t="str">
        <f t="shared" si="91"/>
        <v>98558</v>
      </c>
      <c r="H2934" s="14">
        <f t="shared" si="92"/>
        <v>12.93</v>
      </c>
    </row>
    <row r="2935" spans="1:8" ht="27.6">
      <c r="A2935" s="502" t="s">
        <v>7688</v>
      </c>
      <c r="B2935" s="504" t="s">
        <v>28773</v>
      </c>
      <c r="C2935" s="502" t="s">
        <v>75</v>
      </c>
      <c r="D2935" s="503" t="s">
        <v>4627</v>
      </c>
      <c r="F2935" t="str">
        <f t="shared" si="91"/>
        <v>98559</v>
      </c>
      <c r="H2935" s="14">
        <f t="shared" si="92"/>
        <v>7.24</v>
      </c>
    </row>
    <row r="2936" spans="1:8" ht="41.4">
      <c r="A2936" s="502" t="s">
        <v>7689</v>
      </c>
      <c r="B2936" s="504" t="s">
        <v>28774</v>
      </c>
      <c r="C2936" s="502" t="s">
        <v>73</v>
      </c>
      <c r="D2936" s="503" t="s">
        <v>32399</v>
      </c>
      <c r="F2936" t="str">
        <f t="shared" si="91"/>
        <v>98546</v>
      </c>
      <c r="H2936" s="14">
        <f t="shared" si="92"/>
        <v>176.8</v>
      </c>
    </row>
    <row r="2937" spans="1:8" ht="41.4">
      <c r="A2937" s="502" t="s">
        <v>7690</v>
      </c>
      <c r="B2937" s="504" t="s">
        <v>28775</v>
      </c>
      <c r="C2937" s="502" t="s">
        <v>73</v>
      </c>
      <c r="D2937" s="503" t="s">
        <v>32400</v>
      </c>
      <c r="F2937" t="str">
        <f t="shared" si="91"/>
        <v>98547</v>
      </c>
      <c r="H2937" s="14">
        <f t="shared" si="92"/>
        <v>299.89</v>
      </c>
    </row>
    <row r="2938" spans="1:8" ht="27.6">
      <c r="A2938" s="502" t="s">
        <v>12719</v>
      </c>
      <c r="B2938" s="504" t="s">
        <v>28776</v>
      </c>
      <c r="C2938" s="502" t="s">
        <v>73</v>
      </c>
      <c r="D2938" s="503" t="s">
        <v>32401</v>
      </c>
      <c r="F2938" t="str">
        <f t="shared" si="91"/>
        <v>98553</v>
      </c>
      <c r="H2938" s="14">
        <f t="shared" si="92"/>
        <v>206.72</v>
      </c>
    </row>
    <row r="2939" spans="1:8" ht="27.6">
      <c r="A2939" s="502" t="s">
        <v>12720</v>
      </c>
      <c r="B2939" s="504" t="s">
        <v>28777</v>
      </c>
      <c r="C2939" s="502" t="s">
        <v>73</v>
      </c>
      <c r="D2939" s="503" t="s">
        <v>15604</v>
      </c>
      <c r="F2939" t="str">
        <f t="shared" si="91"/>
        <v>98554</v>
      </c>
      <c r="H2939" s="14">
        <f t="shared" si="92"/>
        <v>57.47</v>
      </c>
    </row>
    <row r="2940" spans="1:8" ht="27.6">
      <c r="A2940" s="502" t="s">
        <v>7691</v>
      </c>
      <c r="B2940" s="504" t="s">
        <v>28779</v>
      </c>
      <c r="C2940" s="502" t="s">
        <v>73</v>
      </c>
      <c r="D2940" s="503" t="s">
        <v>32402</v>
      </c>
      <c r="F2940" t="str">
        <f t="shared" si="91"/>
        <v>98557</v>
      </c>
      <c r="H2940" s="14">
        <f t="shared" si="92"/>
        <v>50.29</v>
      </c>
    </row>
    <row r="2941" spans="1:8" ht="41.4">
      <c r="A2941" s="502" t="s">
        <v>7692</v>
      </c>
      <c r="B2941" s="504" t="s">
        <v>28781</v>
      </c>
      <c r="C2941" s="502" t="s">
        <v>73</v>
      </c>
      <c r="D2941" s="503" t="s">
        <v>32403</v>
      </c>
      <c r="F2941" t="str">
        <f t="shared" si="91"/>
        <v>98563</v>
      </c>
      <c r="H2941" s="14">
        <f t="shared" si="92"/>
        <v>50.64</v>
      </c>
    </row>
    <row r="2942" spans="1:8" ht="41.4">
      <c r="A2942" s="502" t="s">
        <v>7693</v>
      </c>
      <c r="B2942" s="504" t="s">
        <v>28782</v>
      </c>
      <c r="C2942" s="502" t="s">
        <v>73</v>
      </c>
      <c r="D2942" s="503" t="s">
        <v>10628</v>
      </c>
      <c r="F2942" t="str">
        <f t="shared" si="91"/>
        <v>98564</v>
      </c>
      <c r="H2942" s="14">
        <f t="shared" si="92"/>
        <v>67.94</v>
      </c>
    </row>
    <row r="2943" spans="1:8" ht="41.4">
      <c r="A2943" s="502" t="s">
        <v>7694</v>
      </c>
      <c r="B2943" s="504" t="s">
        <v>28783</v>
      </c>
      <c r="C2943" s="502" t="s">
        <v>73</v>
      </c>
      <c r="D2943" s="503" t="s">
        <v>32404</v>
      </c>
      <c r="F2943" t="str">
        <f t="shared" si="91"/>
        <v>98565</v>
      </c>
      <c r="H2943" s="14">
        <f t="shared" si="92"/>
        <v>72.25</v>
      </c>
    </row>
    <row r="2944" spans="1:8" ht="41.4">
      <c r="A2944" s="502" t="s">
        <v>7695</v>
      </c>
      <c r="B2944" s="504" t="s">
        <v>28784</v>
      </c>
      <c r="C2944" s="502" t="s">
        <v>73</v>
      </c>
      <c r="D2944" s="503" t="s">
        <v>32405</v>
      </c>
      <c r="F2944" t="str">
        <f t="shared" si="91"/>
        <v>98566</v>
      </c>
      <c r="H2944" s="14">
        <f t="shared" si="92"/>
        <v>89.56</v>
      </c>
    </row>
    <row r="2945" spans="1:8" ht="41.4">
      <c r="A2945" s="502" t="s">
        <v>7696</v>
      </c>
      <c r="B2945" s="504" t="s">
        <v>28786</v>
      </c>
      <c r="C2945" s="502" t="s">
        <v>73</v>
      </c>
      <c r="D2945" s="503" t="s">
        <v>32406</v>
      </c>
      <c r="F2945" t="str">
        <f t="shared" si="91"/>
        <v>98567</v>
      </c>
      <c r="H2945" s="14">
        <f t="shared" si="92"/>
        <v>92.85</v>
      </c>
    </row>
    <row r="2946" spans="1:8" ht="41.4">
      <c r="A2946" s="502" t="s">
        <v>7697</v>
      </c>
      <c r="B2946" s="504" t="s">
        <v>28787</v>
      </c>
      <c r="C2946" s="502" t="s">
        <v>73</v>
      </c>
      <c r="D2946" s="503" t="s">
        <v>32407</v>
      </c>
      <c r="F2946" t="str">
        <f t="shared" si="91"/>
        <v>98568</v>
      </c>
      <c r="H2946" s="14">
        <f t="shared" si="92"/>
        <v>110.16</v>
      </c>
    </row>
    <row r="2947" spans="1:8" ht="41.4">
      <c r="A2947" s="502" t="s">
        <v>7698</v>
      </c>
      <c r="B2947" s="504" t="s">
        <v>28788</v>
      </c>
      <c r="C2947" s="502" t="s">
        <v>73</v>
      </c>
      <c r="D2947" s="503" t="s">
        <v>31040</v>
      </c>
      <c r="F2947" t="str">
        <f t="shared" si="91"/>
        <v>98569</v>
      </c>
      <c r="H2947" s="14">
        <f t="shared" si="92"/>
        <v>114.48</v>
      </c>
    </row>
    <row r="2948" spans="1:8" ht="41.4">
      <c r="A2948" s="502" t="s">
        <v>7699</v>
      </c>
      <c r="B2948" s="504" t="s">
        <v>28789</v>
      </c>
      <c r="C2948" s="502" t="s">
        <v>73</v>
      </c>
      <c r="D2948" s="503" t="s">
        <v>30705</v>
      </c>
      <c r="F2948" t="str">
        <f t="shared" si="91"/>
        <v>98570</v>
      </c>
      <c r="H2948" s="14">
        <f t="shared" si="92"/>
        <v>131.78</v>
      </c>
    </row>
    <row r="2949" spans="1:8" ht="27.6">
      <c r="A2949" s="502" t="s">
        <v>7700</v>
      </c>
      <c r="B2949" s="504" t="s">
        <v>28790</v>
      </c>
      <c r="C2949" s="502" t="s">
        <v>73</v>
      </c>
      <c r="D2949" s="503" t="s">
        <v>32408</v>
      </c>
      <c r="F2949" t="str">
        <f t="shared" ref="F2949:F3012" si="93">TRIM(A2949)</f>
        <v>98571</v>
      </c>
      <c r="H2949" s="14">
        <f t="shared" ref="H2949:H3012" si="94">ROUND(D2949*(1+$H$1),2)</f>
        <v>68.64</v>
      </c>
    </row>
    <row r="2950" spans="1:8" ht="27.6">
      <c r="A2950" s="502" t="s">
        <v>7701</v>
      </c>
      <c r="B2950" s="504" t="s">
        <v>28791</v>
      </c>
      <c r="C2950" s="502" t="s">
        <v>73</v>
      </c>
      <c r="D2950" s="503" t="s">
        <v>32409</v>
      </c>
      <c r="F2950" t="str">
        <f t="shared" si="93"/>
        <v>98572</v>
      </c>
      <c r="H2950" s="14">
        <f t="shared" si="94"/>
        <v>84.2</v>
      </c>
    </row>
    <row r="2951" spans="1:8" ht="27.6">
      <c r="A2951" s="502" t="s">
        <v>7702</v>
      </c>
      <c r="B2951" s="504" t="s">
        <v>28792</v>
      </c>
      <c r="C2951" s="502" t="s">
        <v>73</v>
      </c>
      <c r="D2951" s="503" t="s">
        <v>32410</v>
      </c>
      <c r="F2951" t="str">
        <f t="shared" si="93"/>
        <v>98573</v>
      </c>
      <c r="H2951" s="14">
        <f t="shared" si="94"/>
        <v>100.67</v>
      </c>
    </row>
    <row r="2952" spans="1:8" ht="41.4">
      <c r="A2952" s="502" t="s">
        <v>4672</v>
      </c>
      <c r="B2952" s="504" t="s">
        <v>28793</v>
      </c>
      <c r="C2952" s="502" t="s">
        <v>75</v>
      </c>
      <c r="D2952" s="503" t="s">
        <v>32411</v>
      </c>
      <c r="F2952" t="str">
        <f t="shared" si="93"/>
        <v>91831</v>
      </c>
      <c r="H2952" s="14">
        <f t="shared" si="94"/>
        <v>24.22</v>
      </c>
    </row>
    <row r="2953" spans="1:8" ht="41.4">
      <c r="A2953" s="502" t="s">
        <v>10118</v>
      </c>
      <c r="B2953" s="504" t="s">
        <v>28794</v>
      </c>
      <c r="C2953" s="502" t="s">
        <v>75</v>
      </c>
      <c r="D2953" s="503" t="s">
        <v>16576</v>
      </c>
      <c r="F2953" t="str">
        <f t="shared" si="93"/>
        <v>91833</v>
      </c>
      <c r="H2953" s="14">
        <f t="shared" si="94"/>
        <v>24.88</v>
      </c>
    </row>
    <row r="2954" spans="1:8" ht="41.4">
      <c r="A2954" s="502" t="s">
        <v>4673</v>
      </c>
      <c r="B2954" s="504" t="s">
        <v>28795</v>
      </c>
      <c r="C2954" s="502" t="s">
        <v>75</v>
      </c>
      <c r="D2954" s="503" t="s">
        <v>32412</v>
      </c>
      <c r="F2954" t="str">
        <f t="shared" si="93"/>
        <v>91834</v>
      </c>
      <c r="H2954" s="14">
        <f t="shared" si="94"/>
        <v>25.41</v>
      </c>
    </row>
    <row r="2955" spans="1:8" ht="41.4">
      <c r="A2955" s="502" t="s">
        <v>10120</v>
      </c>
      <c r="B2955" s="504" t="s">
        <v>28797</v>
      </c>
      <c r="C2955" s="502" t="s">
        <v>75</v>
      </c>
      <c r="D2955" s="503" t="s">
        <v>10248</v>
      </c>
      <c r="F2955" t="str">
        <f t="shared" si="93"/>
        <v>91835</v>
      </c>
      <c r="H2955" s="14">
        <f t="shared" si="94"/>
        <v>27.04</v>
      </c>
    </row>
    <row r="2956" spans="1:8" ht="41.4">
      <c r="A2956" s="502" t="s">
        <v>4674</v>
      </c>
      <c r="B2956" s="504" t="s">
        <v>28798</v>
      </c>
      <c r="C2956" s="502" t="s">
        <v>75</v>
      </c>
      <c r="D2956" s="503" t="s">
        <v>7265</v>
      </c>
      <c r="F2956" t="str">
        <f t="shared" si="93"/>
        <v>91836</v>
      </c>
      <c r="H2956" s="14">
        <f t="shared" si="94"/>
        <v>28.82</v>
      </c>
    </row>
    <row r="2957" spans="1:8" ht="41.4">
      <c r="A2957" s="502" t="s">
        <v>10121</v>
      </c>
      <c r="B2957" s="504" t="s">
        <v>28799</v>
      </c>
      <c r="C2957" s="502" t="s">
        <v>75</v>
      </c>
      <c r="D2957" s="503" t="s">
        <v>32413</v>
      </c>
      <c r="F2957" t="str">
        <f t="shared" si="93"/>
        <v>91837</v>
      </c>
      <c r="H2957" s="14">
        <f t="shared" si="94"/>
        <v>32.630000000000003</v>
      </c>
    </row>
    <row r="2958" spans="1:8" ht="41.4">
      <c r="A2958" s="502" t="s">
        <v>10122</v>
      </c>
      <c r="B2958" s="504" t="s">
        <v>28800</v>
      </c>
      <c r="C2958" s="502" t="s">
        <v>75</v>
      </c>
      <c r="D2958" s="503" t="s">
        <v>10412</v>
      </c>
      <c r="F2958" t="str">
        <f t="shared" si="93"/>
        <v>91839</v>
      </c>
      <c r="H2958" s="14">
        <f t="shared" si="94"/>
        <v>28.1</v>
      </c>
    </row>
    <row r="2959" spans="1:8" ht="41.4">
      <c r="A2959" s="502" t="s">
        <v>10123</v>
      </c>
      <c r="B2959" s="504" t="s">
        <v>28801</v>
      </c>
      <c r="C2959" s="502" t="s">
        <v>75</v>
      </c>
      <c r="D2959" s="503" t="s">
        <v>6121</v>
      </c>
      <c r="F2959" t="str">
        <f t="shared" si="93"/>
        <v>91840</v>
      </c>
      <c r="H2959" s="14">
        <f t="shared" si="94"/>
        <v>32.01</v>
      </c>
    </row>
    <row r="2960" spans="1:8" ht="41.4">
      <c r="A2960" s="502" t="s">
        <v>10124</v>
      </c>
      <c r="B2960" s="504" t="s">
        <v>28803</v>
      </c>
      <c r="C2960" s="502" t="s">
        <v>75</v>
      </c>
      <c r="D2960" s="503" t="s">
        <v>7450</v>
      </c>
      <c r="F2960" t="str">
        <f t="shared" si="93"/>
        <v>91841</v>
      </c>
      <c r="H2960" s="14">
        <f t="shared" si="94"/>
        <v>30.95</v>
      </c>
    </row>
    <row r="2961" spans="1:8" ht="41.4">
      <c r="A2961" s="502" t="s">
        <v>10125</v>
      </c>
      <c r="B2961" s="504" t="s">
        <v>24487</v>
      </c>
      <c r="C2961" s="502" t="s">
        <v>75</v>
      </c>
      <c r="D2961" s="503" t="s">
        <v>32414</v>
      </c>
      <c r="F2961" t="str">
        <f t="shared" si="93"/>
        <v>91843</v>
      </c>
      <c r="H2961" s="14">
        <f t="shared" si="94"/>
        <v>8.77</v>
      </c>
    </row>
    <row r="2962" spans="1:8" ht="41.4">
      <c r="A2962" s="502" t="s">
        <v>10126</v>
      </c>
      <c r="B2962" s="504" t="s">
        <v>24488</v>
      </c>
      <c r="C2962" s="502" t="s">
        <v>75</v>
      </c>
      <c r="D2962" s="503" t="s">
        <v>32415</v>
      </c>
      <c r="F2962" t="str">
        <f t="shared" si="93"/>
        <v>91845</v>
      </c>
      <c r="H2962" s="14">
        <f t="shared" si="94"/>
        <v>10.87</v>
      </c>
    </row>
    <row r="2963" spans="1:8" ht="41.4">
      <c r="A2963" s="502" t="s">
        <v>10127</v>
      </c>
      <c r="B2963" s="504" t="s">
        <v>24489</v>
      </c>
      <c r="C2963" s="502" t="s">
        <v>75</v>
      </c>
      <c r="D2963" s="503" t="s">
        <v>4993</v>
      </c>
      <c r="F2963" t="str">
        <f t="shared" si="93"/>
        <v>91847</v>
      </c>
      <c r="H2963" s="14">
        <f t="shared" si="94"/>
        <v>16.54</v>
      </c>
    </row>
    <row r="2964" spans="1:8" ht="41.4">
      <c r="A2964" s="502" t="s">
        <v>10128</v>
      </c>
      <c r="B2964" s="504" t="s">
        <v>24490</v>
      </c>
      <c r="C2964" s="502" t="s">
        <v>75</v>
      </c>
      <c r="D2964" s="503" t="s">
        <v>3616</v>
      </c>
      <c r="F2964" t="str">
        <f t="shared" si="93"/>
        <v>91849</v>
      </c>
      <c r="H2964" s="14">
        <f t="shared" si="94"/>
        <v>12.01</v>
      </c>
    </row>
    <row r="2965" spans="1:8" ht="41.4">
      <c r="A2965" s="502" t="s">
        <v>10129</v>
      </c>
      <c r="B2965" s="504" t="s">
        <v>24491</v>
      </c>
      <c r="C2965" s="502" t="s">
        <v>75</v>
      </c>
      <c r="D2965" s="503" t="s">
        <v>28175</v>
      </c>
      <c r="F2965" t="str">
        <f t="shared" si="93"/>
        <v>91850</v>
      </c>
      <c r="H2965" s="14">
        <f t="shared" si="94"/>
        <v>15.84</v>
      </c>
    </row>
    <row r="2966" spans="1:8" ht="41.4">
      <c r="A2966" s="502" t="s">
        <v>10130</v>
      </c>
      <c r="B2966" s="504" t="s">
        <v>24493</v>
      </c>
      <c r="C2966" s="502" t="s">
        <v>75</v>
      </c>
      <c r="D2966" s="503" t="s">
        <v>10679</v>
      </c>
      <c r="F2966" t="str">
        <f t="shared" si="93"/>
        <v>91851</v>
      </c>
      <c r="H2966" s="14">
        <f t="shared" si="94"/>
        <v>14.79</v>
      </c>
    </row>
    <row r="2967" spans="1:8" ht="41.4">
      <c r="A2967" s="502" t="s">
        <v>4677</v>
      </c>
      <c r="B2967" s="504" t="s">
        <v>24494</v>
      </c>
      <c r="C2967" s="502" t="s">
        <v>75</v>
      </c>
      <c r="D2967" s="503" t="s">
        <v>18764</v>
      </c>
      <c r="F2967" t="str">
        <f t="shared" si="93"/>
        <v>91852</v>
      </c>
      <c r="H2967" s="14">
        <f t="shared" si="94"/>
        <v>13.23</v>
      </c>
    </row>
    <row r="2968" spans="1:8" ht="41.4">
      <c r="A2968" s="502" t="s">
        <v>10132</v>
      </c>
      <c r="B2968" s="504" t="s">
        <v>24495</v>
      </c>
      <c r="C2968" s="502" t="s">
        <v>75</v>
      </c>
      <c r="D2968" s="503" t="s">
        <v>11419</v>
      </c>
      <c r="F2968" t="str">
        <f t="shared" si="93"/>
        <v>91853</v>
      </c>
      <c r="H2968" s="14">
        <f t="shared" si="94"/>
        <v>13.83</v>
      </c>
    </row>
    <row r="2969" spans="1:8" ht="41.4">
      <c r="A2969" s="502" t="s">
        <v>4679</v>
      </c>
      <c r="B2969" s="504" t="s">
        <v>24496</v>
      </c>
      <c r="C2969" s="502" t="s">
        <v>75</v>
      </c>
      <c r="D2969" s="503" t="s">
        <v>7400</v>
      </c>
      <c r="F2969" t="str">
        <f t="shared" si="93"/>
        <v>91854</v>
      </c>
      <c r="H2969" s="14">
        <f t="shared" si="94"/>
        <v>14.32</v>
      </c>
    </row>
    <row r="2970" spans="1:8" ht="41.4">
      <c r="A2970" s="502" t="s">
        <v>10133</v>
      </c>
      <c r="B2970" s="504" t="s">
        <v>24497</v>
      </c>
      <c r="C2970" s="502" t="s">
        <v>75</v>
      </c>
      <c r="D2970" s="503" t="s">
        <v>10380</v>
      </c>
      <c r="F2970" t="str">
        <f t="shared" si="93"/>
        <v>91855</v>
      </c>
      <c r="H2970" s="14">
        <f t="shared" si="94"/>
        <v>15.83</v>
      </c>
    </row>
    <row r="2971" spans="1:8" ht="41.4">
      <c r="A2971" s="502" t="s">
        <v>4681</v>
      </c>
      <c r="B2971" s="504" t="s">
        <v>24498</v>
      </c>
      <c r="C2971" s="502" t="s">
        <v>75</v>
      </c>
      <c r="D2971" s="503" t="s">
        <v>32416</v>
      </c>
      <c r="F2971" t="str">
        <f t="shared" si="93"/>
        <v>91856</v>
      </c>
      <c r="H2971" s="14">
        <f t="shared" si="94"/>
        <v>17.64</v>
      </c>
    </row>
    <row r="2972" spans="1:8" ht="41.4">
      <c r="A2972" s="502" t="s">
        <v>10134</v>
      </c>
      <c r="B2972" s="504" t="s">
        <v>24499</v>
      </c>
      <c r="C2972" s="502" t="s">
        <v>75</v>
      </c>
      <c r="D2972" s="503" t="s">
        <v>7949</v>
      </c>
      <c r="F2972" t="str">
        <f t="shared" si="93"/>
        <v>91857</v>
      </c>
      <c r="H2972" s="14">
        <f t="shared" si="94"/>
        <v>21.16</v>
      </c>
    </row>
    <row r="2973" spans="1:8" ht="41.4">
      <c r="A2973" s="502" t="s">
        <v>10135</v>
      </c>
      <c r="B2973" s="504" t="s">
        <v>24500</v>
      </c>
      <c r="C2973" s="502" t="s">
        <v>75</v>
      </c>
      <c r="D2973" s="503" t="s">
        <v>9549</v>
      </c>
      <c r="F2973" t="str">
        <f t="shared" si="93"/>
        <v>91859</v>
      </c>
      <c r="H2973" s="14">
        <f t="shared" si="94"/>
        <v>16.98</v>
      </c>
    </row>
    <row r="2974" spans="1:8" ht="41.4">
      <c r="A2974" s="502" t="s">
        <v>10136</v>
      </c>
      <c r="B2974" s="504" t="s">
        <v>24502</v>
      </c>
      <c r="C2974" s="502" t="s">
        <v>75</v>
      </c>
      <c r="D2974" s="503" t="s">
        <v>7296</v>
      </c>
      <c r="F2974" t="str">
        <f t="shared" si="93"/>
        <v>91860</v>
      </c>
      <c r="H2974" s="14">
        <f t="shared" si="94"/>
        <v>20.61</v>
      </c>
    </row>
    <row r="2975" spans="1:8" ht="41.4">
      <c r="A2975" s="502" t="s">
        <v>10137</v>
      </c>
      <c r="B2975" s="504" t="s">
        <v>24503</v>
      </c>
      <c r="C2975" s="502" t="s">
        <v>75</v>
      </c>
      <c r="D2975" s="503" t="s">
        <v>16794</v>
      </c>
      <c r="F2975" t="str">
        <f t="shared" si="93"/>
        <v>91861</v>
      </c>
      <c r="H2975" s="14">
        <f t="shared" si="94"/>
        <v>19.63</v>
      </c>
    </row>
    <row r="2976" spans="1:8" ht="41.4">
      <c r="A2976" s="502" t="s">
        <v>4682</v>
      </c>
      <c r="B2976" s="504" t="s">
        <v>24504</v>
      </c>
      <c r="C2976" s="502" t="s">
        <v>75</v>
      </c>
      <c r="D2976" s="503" t="s">
        <v>4073</v>
      </c>
      <c r="F2976" t="str">
        <f t="shared" si="93"/>
        <v>91862</v>
      </c>
      <c r="H2976" s="14">
        <f t="shared" si="94"/>
        <v>13.35</v>
      </c>
    </row>
    <row r="2977" spans="1:8" ht="41.4">
      <c r="A2977" s="502" t="s">
        <v>4683</v>
      </c>
      <c r="B2977" s="504" t="s">
        <v>24505</v>
      </c>
      <c r="C2977" s="502" t="s">
        <v>75</v>
      </c>
      <c r="D2977" s="503" t="s">
        <v>7308</v>
      </c>
      <c r="F2977" t="str">
        <f t="shared" si="93"/>
        <v>91863</v>
      </c>
      <c r="H2977" s="14">
        <f t="shared" si="94"/>
        <v>15.62</v>
      </c>
    </row>
    <row r="2978" spans="1:8" ht="41.4">
      <c r="A2978" s="502" t="s">
        <v>4684</v>
      </c>
      <c r="B2978" s="504" t="s">
        <v>24506</v>
      </c>
      <c r="C2978" s="502" t="s">
        <v>75</v>
      </c>
      <c r="D2978" s="503" t="s">
        <v>29176</v>
      </c>
      <c r="F2978" t="str">
        <f t="shared" si="93"/>
        <v>91864</v>
      </c>
      <c r="H2978" s="14">
        <f t="shared" si="94"/>
        <v>20.43</v>
      </c>
    </row>
    <row r="2979" spans="1:8" ht="41.4">
      <c r="A2979" s="502" t="s">
        <v>4686</v>
      </c>
      <c r="B2979" s="504" t="s">
        <v>24507</v>
      </c>
      <c r="C2979" s="502" t="s">
        <v>75</v>
      </c>
      <c r="D2979" s="503" t="s">
        <v>31247</v>
      </c>
      <c r="F2979" t="str">
        <f t="shared" si="93"/>
        <v>91865</v>
      </c>
      <c r="H2979" s="14">
        <f t="shared" si="94"/>
        <v>25.24</v>
      </c>
    </row>
    <row r="2980" spans="1:8" ht="41.4">
      <c r="A2980" s="502" t="s">
        <v>4687</v>
      </c>
      <c r="B2980" s="504" t="s">
        <v>24508</v>
      </c>
      <c r="C2980" s="502" t="s">
        <v>75</v>
      </c>
      <c r="D2980" s="503" t="s">
        <v>7961</v>
      </c>
      <c r="F2980" t="str">
        <f t="shared" si="93"/>
        <v>91866</v>
      </c>
      <c r="H2980" s="14">
        <f t="shared" si="94"/>
        <v>11.27</v>
      </c>
    </row>
    <row r="2981" spans="1:8" ht="41.4">
      <c r="A2981" s="502" t="s">
        <v>4688</v>
      </c>
      <c r="B2981" s="504" t="s">
        <v>24509</v>
      </c>
      <c r="C2981" s="502" t="s">
        <v>75</v>
      </c>
      <c r="D2981" s="503" t="s">
        <v>10143</v>
      </c>
      <c r="F2981" t="str">
        <f t="shared" si="93"/>
        <v>91867</v>
      </c>
      <c r="H2981" s="14">
        <f t="shared" si="94"/>
        <v>13.55</v>
      </c>
    </row>
    <row r="2982" spans="1:8" ht="41.4">
      <c r="A2982" s="502" t="s">
        <v>4689</v>
      </c>
      <c r="B2982" s="504" t="s">
        <v>24510</v>
      </c>
      <c r="C2982" s="502" t="s">
        <v>75</v>
      </c>
      <c r="D2982" s="503" t="s">
        <v>32417</v>
      </c>
      <c r="F2982" t="str">
        <f t="shared" si="93"/>
        <v>91868</v>
      </c>
      <c r="H2982" s="14">
        <f t="shared" si="94"/>
        <v>18.350000000000001</v>
      </c>
    </row>
    <row r="2983" spans="1:8" ht="41.4">
      <c r="A2983" s="502" t="s">
        <v>4690</v>
      </c>
      <c r="B2983" s="504" t="s">
        <v>24511</v>
      </c>
      <c r="C2983" s="502" t="s">
        <v>75</v>
      </c>
      <c r="D2983" s="503" t="s">
        <v>25816</v>
      </c>
      <c r="F2983" t="str">
        <f t="shared" si="93"/>
        <v>91869</v>
      </c>
      <c r="H2983" s="14">
        <f t="shared" si="94"/>
        <v>23.09</v>
      </c>
    </row>
    <row r="2984" spans="1:8" ht="41.4">
      <c r="A2984" s="502" t="s">
        <v>4691</v>
      </c>
      <c r="B2984" s="504" t="s">
        <v>24512</v>
      </c>
      <c r="C2984" s="502" t="s">
        <v>75</v>
      </c>
      <c r="D2984" s="503" t="s">
        <v>16245</v>
      </c>
      <c r="F2984" t="str">
        <f t="shared" si="93"/>
        <v>91870</v>
      </c>
      <c r="H2984" s="14">
        <f t="shared" si="94"/>
        <v>18.309999999999999</v>
      </c>
    </row>
    <row r="2985" spans="1:8" ht="41.4">
      <c r="A2985" s="502" t="s">
        <v>4693</v>
      </c>
      <c r="B2985" s="504" t="s">
        <v>24513</v>
      </c>
      <c r="C2985" s="502" t="s">
        <v>75</v>
      </c>
      <c r="D2985" s="503" t="s">
        <v>28596</v>
      </c>
      <c r="F2985" t="str">
        <f t="shared" si="93"/>
        <v>91871</v>
      </c>
      <c r="H2985" s="14">
        <f t="shared" si="94"/>
        <v>20.57</v>
      </c>
    </row>
    <row r="2986" spans="1:8" ht="41.4">
      <c r="A2986" s="502" t="s">
        <v>4694</v>
      </c>
      <c r="B2986" s="504" t="s">
        <v>24514</v>
      </c>
      <c r="C2986" s="502" t="s">
        <v>75</v>
      </c>
      <c r="D2986" s="503" t="s">
        <v>10156</v>
      </c>
      <c r="F2986" t="str">
        <f t="shared" si="93"/>
        <v>91872</v>
      </c>
      <c r="H2986" s="14">
        <f t="shared" si="94"/>
        <v>25.38</v>
      </c>
    </row>
    <row r="2987" spans="1:8" ht="41.4">
      <c r="A2987" s="502" t="s">
        <v>4696</v>
      </c>
      <c r="B2987" s="504" t="s">
        <v>24515</v>
      </c>
      <c r="C2987" s="502" t="s">
        <v>75</v>
      </c>
      <c r="D2987" s="503" t="s">
        <v>16574</v>
      </c>
      <c r="F2987" t="str">
        <f t="shared" si="93"/>
        <v>91873</v>
      </c>
      <c r="H2987" s="14">
        <f t="shared" si="94"/>
        <v>30.11</v>
      </c>
    </row>
    <row r="2988" spans="1:8" ht="41.4">
      <c r="A2988" s="502" t="s">
        <v>4697</v>
      </c>
      <c r="B2988" s="504" t="s">
        <v>24516</v>
      </c>
      <c r="C2988" s="502" t="s">
        <v>75</v>
      </c>
      <c r="D2988" s="503" t="s">
        <v>16447</v>
      </c>
      <c r="F2988" t="str">
        <f t="shared" si="93"/>
        <v>93008</v>
      </c>
      <c r="H2988" s="14">
        <f t="shared" si="94"/>
        <v>23.12</v>
      </c>
    </row>
    <row r="2989" spans="1:8" ht="41.4">
      <c r="A2989" s="502" t="s">
        <v>4698</v>
      </c>
      <c r="B2989" s="504" t="s">
        <v>24517</v>
      </c>
      <c r="C2989" s="502" t="s">
        <v>75</v>
      </c>
      <c r="D2989" s="503" t="s">
        <v>13654</v>
      </c>
      <c r="F2989" t="str">
        <f t="shared" si="93"/>
        <v>93009</v>
      </c>
      <c r="H2989" s="14">
        <f t="shared" si="94"/>
        <v>33.18</v>
      </c>
    </row>
    <row r="2990" spans="1:8" ht="41.4">
      <c r="A2990" s="502" t="s">
        <v>4699</v>
      </c>
      <c r="B2990" s="504" t="s">
        <v>24518</v>
      </c>
      <c r="C2990" s="502" t="s">
        <v>75</v>
      </c>
      <c r="D2990" s="503" t="s">
        <v>32418</v>
      </c>
      <c r="F2990" t="str">
        <f t="shared" si="93"/>
        <v>93010</v>
      </c>
      <c r="H2990" s="14">
        <f t="shared" si="94"/>
        <v>45.49</v>
      </c>
    </row>
    <row r="2991" spans="1:8" ht="41.4">
      <c r="A2991" s="502" t="s">
        <v>4700</v>
      </c>
      <c r="B2991" s="504" t="s">
        <v>24519</v>
      </c>
      <c r="C2991" s="502" t="s">
        <v>75</v>
      </c>
      <c r="D2991" s="503" t="s">
        <v>32419</v>
      </c>
      <c r="F2991" t="str">
        <f t="shared" si="93"/>
        <v>93011</v>
      </c>
      <c r="H2991" s="14">
        <f t="shared" si="94"/>
        <v>55.14</v>
      </c>
    </row>
    <row r="2992" spans="1:8" ht="41.4">
      <c r="A2992" s="502" t="s">
        <v>4701</v>
      </c>
      <c r="B2992" s="504" t="s">
        <v>24520</v>
      </c>
      <c r="C2992" s="502" t="s">
        <v>75</v>
      </c>
      <c r="D2992" s="503" t="s">
        <v>29114</v>
      </c>
      <c r="F2992" t="str">
        <f t="shared" si="93"/>
        <v>93012</v>
      </c>
      <c r="H2992" s="14">
        <f t="shared" si="94"/>
        <v>82.1</v>
      </c>
    </row>
    <row r="2993" spans="1:8" ht="27.6">
      <c r="A2993" s="502" t="s">
        <v>4702</v>
      </c>
      <c r="B2993" s="504" t="s">
        <v>28806</v>
      </c>
      <c r="C2993" s="502" t="s">
        <v>75</v>
      </c>
      <c r="D2993" s="503" t="s">
        <v>10277</v>
      </c>
      <c r="F2993" t="str">
        <f t="shared" si="93"/>
        <v>95726</v>
      </c>
      <c r="H2993" s="14">
        <f t="shared" si="94"/>
        <v>22.64</v>
      </c>
    </row>
    <row r="2994" spans="1:8" ht="27.6">
      <c r="A2994" s="502" t="s">
        <v>4703</v>
      </c>
      <c r="B2994" s="504" t="s">
        <v>28807</v>
      </c>
      <c r="C2994" s="502" t="s">
        <v>75</v>
      </c>
      <c r="D2994" s="503" t="s">
        <v>10195</v>
      </c>
      <c r="F2994" t="str">
        <f t="shared" si="93"/>
        <v>95727</v>
      </c>
      <c r="H2994" s="14">
        <f t="shared" si="94"/>
        <v>28.25</v>
      </c>
    </row>
    <row r="2995" spans="1:8" ht="27.6">
      <c r="A2995" s="502" t="s">
        <v>4705</v>
      </c>
      <c r="B2995" s="504" t="s">
        <v>28808</v>
      </c>
      <c r="C2995" s="502" t="s">
        <v>75</v>
      </c>
      <c r="D2995" s="503" t="s">
        <v>28487</v>
      </c>
      <c r="F2995" t="str">
        <f t="shared" si="93"/>
        <v>95728</v>
      </c>
      <c r="H2995" s="14">
        <f t="shared" si="94"/>
        <v>36.99</v>
      </c>
    </row>
    <row r="2996" spans="1:8" ht="55.2">
      <c r="A2996" s="502" t="s">
        <v>10139</v>
      </c>
      <c r="B2996" s="504" t="s">
        <v>24521</v>
      </c>
      <c r="C2996" s="502" t="s">
        <v>75</v>
      </c>
      <c r="D2996" s="503" t="s">
        <v>29056</v>
      </c>
      <c r="F2996" t="str">
        <f t="shared" si="93"/>
        <v>97667</v>
      </c>
      <c r="H2996" s="14">
        <f t="shared" si="94"/>
        <v>13.74</v>
      </c>
    </row>
    <row r="2997" spans="1:8" ht="41.4">
      <c r="A2997" s="502" t="s">
        <v>10140</v>
      </c>
      <c r="B2997" s="504" t="s">
        <v>24522</v>
      </c>
      <c r="C2997" s="502" t="s">
        <v>75</v>
      </c>
      <c r="D2997" s="503" t="s">
        <v>32420</v>
      </c>
      <c r="F2997" t="str">
        <f t="shared" si="93"/>
        <v>97668</v>
      </c>
      <c r="H2997" s="14">
        <f t="shared" si="94"/>
        <v>19.559999999999999</v>
      </c>
    </row>
    <row r="2998" spans="1:8" ht="41.4">
      <c r="A2998" s="502" t="s">
        <v>10141</v>
      </c>
      <c r="B2998" s="504" t="s">
        <v>24523</v>
      </c>
      <c r="C2998" s="502" t="s">
        <v>75</v>
      </c>
      <c r="D2998" s="503" t="s">
        <v>29753</v>
      </c>
      <c r="F2998" t="str">
        <f t="shared" si="93"/>
        <v>97669</v>
      </c>
      <c r="H2998" s="14">
        <f t="shared" si="94"/>
        <v>29.02</v>
      </c>
    </row>
    <row r="2999" spans="1:8" ht="41.4">
      <c r="A2999" s="502" t="s">
        <v>10142</v>
      </c>
      <c r="B2999" s="504" t="s">
        <v>24524</v>
      </c>
      <c r="C2999" s="502" t="s">
        <v>75</v>
      </c>
      <c r="D2999" s="503" t="s">
        <v>32421</v>
      </c>
      <c r="F2999" t="str">
        <f t="shared" si="93"/>
        <v>97670</v>
      </c>
      <c r="H2999" s="14">
        <f t="shared" si="94"/>
        <v>37.159999999999997</v>
      </c>
    </row>
    <row r="3000" spans="1:8" ht="41.4">
      <c r="A3000" s="502" t="s">
        <v>4708</v>
      </c>
      <c r="B3000" s="504" t="s">
        <v>24525</v>
      </c>
      <c r="C3000" s="502" t="s">
        <v>114</v>
      </c>
      <c r="D3000" s="503" t="s">
        <v>31070</v>
      </c>
      <c r="F3000" t="str">
        <f t="shared" si="93"/>
        <v>91874</v>
      </c>
      <c r="H3000" s="14">
        <f t="shared" si="94"/>
        <v>11.38</v>
      </c>
    </row>
    <row r="3001" spans="1:8" ht="41.4">
      <c r="A3001" s="502" t="s">
        <v>4710</v>
      </c>
      <c r="B3001" s="504" t="s">
        <v>24526</v>
      </c>
      <c r="C3001" s="502" t="s">
        <v>114</v>
      </c>
      <c r="D3001" s="503" t="s">
        <v>29057</v>
      </c>
      <c r="F3001" t="str">
        <f t="shared" si="93"/>
        <v>91875</v>
      </c>
      <c r="H3001" s="14">
        <f t="shared" si="94"/>
        <v>13.26</v>
      </c>
    </row>
    <row r="3002" spans="1:8" ht="41.4">
      <c r="A3002" s="502" t="s">
        <v>4711</v>
      </c>
      <c r="B3002" s="504" t="s">
        <v>24527</v>
      </c>
      <c r="C3002" s="502" t="s">
        <v>114</v>
      </c>
      <c r="D3002" s="503" t="s">
        <v>10380</v>
      </c>
      <c r="F3002" t="str">
        <f t="shared" si="93"/>
        <v>91876</v>
      </c>
      <c r="H3002" s="14">
        <f t="shared" si="94"/>
        <v>15.83</v>
      </c>
    </row>
    <row r="3003" spans="1:8" ht="41.4">
      <c r="A3003" s="502" t="s">
        <v>4712</v>
      </c>
      <c r="B3003" s="504" t="s">
        <v>24529</v>
      </c>
      <c r="C3003" s="502" t="s">
        <v>114</v>
      </c>
      <c r="D3003" s="503" t="s">
        <v>10724</v>
      </c>
      <c r="F3003" t="str">
        <f t="shared" si="93"/>
        <v>91877</v>
      </c>
      <c r="H3003" s="14">
        <f t="shared" si="94"/>
        <v>19.25</v>
      </c>
    </row>
    <row r="3004" spans="1:8" ht="41.4">
      <c r="A3004" s="502" t="s">
        <v>4713</v>
      </c>
      <c r="B3004" s="504" t="s">
        <v>24530</v>
      </c>
      <c r="C3004" s="502" t="s">
        <v>114</v>
      </c>
      <c r="D3004" s="503" t="s">
        <v>26928</v>
      </c>
      <c r="F3004" t="str">
        <f t="shared" si="93"/>
        <v>91878</v>
      </c>
      <c r="H3004" s="14">
        <f t="shared" si="94"/>
        <v>8.9</v>
      </c>
    </row>
    <row r="3005" spans="1:8" ht="41.4">
      <c r="A3005" s="502" t="s">
        <v>4714</v>
      </c>
      <c r="B3005" s="504" t="s">
        <v>24531</v>
      </c>
      <c r="C3005" s="502" t="s">
        <v>114</v>
      </c>
      <c r="D3005" s="503" t="s">
        <v>32422</v>
      </c>
      <c r="F3005" t="str">
        <f t="shared" si="93"/>
        <v>91879</v>
      </c>
      <c r="H3005" s="14">
        <f t="shared" si="94"/>
        <v>10.77</v>
      </c>
    </row>
    <row r="3006" spans="1:8" ht="41.4">
      <c r="A3006" s="502" t="s">
        <v>4715</v>
      </c>
      <c r="B3006" s="504" t="s">
        <v>24532</v>
      </c>
      <c r="C3006" s="502" t="s">
        <v>114</v>
      </c>
      <c r="D3006" s="503" t="s">
        <v>4073</v>
      </c>
      <c r="F3006" t="str">
        <f t="shared" si="93"/>
        <v>91880</v>
      </c>
      <c r="H3006" s="14">
        <f t="shared" si="94"/>
        <v>13.35</v>
      </c>
    </row>
    <row r="3007" spans="1:8" ht="41.4">
      <c r="A3007" s="502" t="s">
        <v>4716</v>
      </c>
      <c r="B3007" s="504" t="s">
        <v>24533</v>
      </c>
      <c r="C3007" s="502" t="s">
        <v>114</v>
      </c>
      <c r="D3007" s="503" t="s">
        <v>11648</v>
      </c>
      <c r="F3007" t="str">
        <f t="shared" si="93"/>
        <v>91881</v>
      </c>
      <c r="H3007" s="14">
        <f t="shared" si="94"/>
        <v>16.760000000000002</v>
      </c>
    </row>
    <row r="3008" spans="1:8" ht="41.4">
      <c r="A3008" s="502" t="s">
        <v>4717</v>
      </c>
      <c r="B3008" s="504" t="s">
        <v>24534</v>
      </c>
      <c r="C3008" s="502" t="s">
        <v>114</v>
      </c>
      <c r="D3008" s="503" t="s">
        <v>7250</v>
      </c>
      <c r="F3008" t="str">
        <f t="shared" si="93"/>
        <v>91882</v>
      </c>
      <c r="H3008" s="14">
        <f t="shared" si="94"/>
        <v>16.510000000000002</v>
      </c>
    </row>
    <row r="3009" spans="1:8" ht="41.4">
      <c r="A3009" s="502" t="s">
        <v>4718</v>
      </c>
      <c r="B3009" s="504" t="s">
        <v>24535</v>
      </c>
      <c r="C3009" s="502" t="s">
        <v>114</v>
      </c>
      <c r="D3009" s="503" t="s">
        <v>5314</v>
      </c>
      <c r="F3009" t="str">
        <f t="shared" si="93"/>
        <v>91884</v>
      </c>
      <c r="H3009" s="14">
        <f t="shared" si="94"/>
        <v>18.39</v>
      </c>
    </row>
    <row r="3010" spans="1:8" ht="41.4">
      <c r="A3010" s="502" t="s">
        <v>4719</v>
      </c>
      <c r="B3010" s="504" t="s">
        <v>24536</v>
      </c>
      <c r="C3010" s="502" t="s">
        <v>114</v>
      </c>
      <c r="D3010" s="503" t="s">
        <v>9527</v>
      </c>
      <c r="F3010" t="str">
        <f t="shared" si="93"/>
        <v>91885</v>
      </c>
      <c r="H3010" s="14">
        <f t="shared" si="94"/>
        <v>20.88</v>
      </c>
    </row>
    <row r="3011" spans="1:8" ht="41.4">
      <c r="A3011" s="502" t="s">
        <v>4720</v>
      </c>
      <c r="B3011" s="504" t="s">
        <v>24537</v>
      </c>
      <c r="C3011" s="502" t="s">
        <v>114</v>
      </c>
      <c r="D3011" s="503" t="s">
        <v>24975</v>
      </c>
      <c r="F3011" t="str">
        <f t="shared" si="93"/>
        <v>91886</v>
      </c>
      <c r="H3011" s="14">
        <f t="shared" si="94"/>
        <v>24.21</v>
      </c>
    </row>
    <row r="3012" spans="1:8" ht="41.4">
      <c r="A3012" s="502" t="s">
        <v>4721</v>
      </c>
      <c r="B3012" s="504" t="s">
        <v>24538</v>
      </c>
      <c r="C3012" s="502" t="s">
        <v>114</v>
      </c>
      <c r="D3012" s="503" t="s">
        <v>10017</v>
      </c>
      <c r="F3012" t="str">
        <f t="shared" si="93"/>
        <v>91887</v>
      </c>
      <c r="H3012" s="14">
        <f t="shared" si="94"/>
        <v>19.079999999999998</v>
      </c>
    </row>
    <row r="3013" spans="1:8" ht="41.4">
      <c r="A3013" s="502" t="s">
        <v>4723</v>
      </c>
      <c r="B3013" s="504" t="s">
        <v>24539</v>
      </c>
      <c r="C3013" s="502" t="s">
        <v>114</v>
      </c>
      <c r="D3013" s="503" t="s">
        <v>28228</v>
      </c>
      <c r="F3013" t="str">
        <f t="shared" ref="F3013:F3076" si="95">TRIM(A3013)</f>
        <v>91889</v>
      </c>
      <c r="H3013" s="14">
        <f t="shared" ref="H3013:H3076" si="96">ROUND(D3013*(1+$H$1),2)</f>
        <v>18.690000000000001</v>
      </c>
    </row>
    <row r="3014" spans="1:8" ht="41.4">
      <c r="A3014" s="502" t="s">
        <v>4724</v>
      </c>
      <c r="B3014" s="504" t="s">
        <v>24540</v>
      </c>
      <c r="C3014" s="502" t="s">
        <v>114</v>
      </c>
      <c r="D3014" s="503" t="s">
        <v>10747</v>
      </c>
      <c r="F3014" t="str">
        <f t="shared" si="95"/>
        <v>91890</v>
      </c>
      <c r="H3014" s="14">
        <f t="shared" si="96"/>
        <v>21.19</v>
      </c>
    </row>
    <row r="3015" spans="1:8" ht="41.4">
      <c r="A3015" s="502" t="s">
        <v>4725</v>
      </c>
      <c r="B3015" s="504" t="s">
        <v>24541</v>
      </c>
      <c r="C3015" s="502" t="s">
        <v>114</v>
      </c>
      <c r="D3015" s="503" t="s">
        <v>6667</v>
      </c>
      <c r="F3015" t="str">
        <f t="shared" si="95"/>
        <v>91892</v>
      </c>
      <c r="H3015" s="14">
        <f t="shared" si="96"/>
        <v>23.76</v>
      </c>
    </row>
    <row r="3016" spans="1:8" ht="41.4">
      <c r="A3016" s="502" t="s">
        <v>4727</v>
      </c>
      <c r="B3016" s="504" t="s">
        <v>24542</v>
      </c>
      <c r="C3016" s="502" t="s">
        <v>114</v>
      </c>
      <c r="D3016" s="503" t="s">
        <v>9761</v>
      </c>
      <c r="F3016" t="str">
        <f t="shared" si="95"/>
        <v>91893</v>
      </c>
      <c r="H3016" s="14">
        <f t="shared" si="96"/>
        <v>25.93</v>
      </c>
    </row>
    <row r="3017" spans="1:8" ht="41.4">
      <c r="A3017" s="502" t="s">
        <v>10146</v>
      </c>
      <c r="B3017" s="504" t="s">
        <v>24544</v>
      </c>
      <c r="C3017" s="502" t="s">
        <v>114</v>
      </c>
      <c r="D3017" s="503" t="s">
        <v>5415</v>
      </c>
      <c r="F3017" t="str">
        <f t="shared" si="95"/>
        <v>91895</v>
      </c>
      <c r="H3017" s="14">
        <f t="shared" si="96"/>
        <v>28.54</v>
      </c>
    </row>
    <row r="3018" spans="1:8" ht="41.4">
      <c r="A3018" s="502" t="s">
        <v>4728</v>
      </c>
      <c r="B3018" s="504" t="s">
        <v>24545</v>
      </c>
      <c r="C3018" s="502" t="s">
        <v>114</v>
      </c>
      <c r="D3018" s="503" t="s">
        <v>23982</v>
      </c>
      <c r="F3018" t="str">
        <f t="shared" si="95"/>
        <v>91896</v>
      </c>
      <c r="H3018" s="14">
        <f t="shared" si="96"/>
        <v>29.89</v>
      </c>
    </row>
    <row r="3019" spans="1:8" ht="41.4">
      <c r="A3019" s="502" t="s">
        <v>4729</v>
      </c>
      <c r="B3019" s="504" t="s">
        <v>24546</v>
      </c>
      <c r="C3019" s="502" t="s">
        <v>114</v>
      </c>
      <c r="D3019" s="503" t="s">
        <v>32423</v>
      </c>
      <c r="F3019" t="str">
        <f t="shared" si="95"/>
        <v>91898</v>
      </c>
      <c r="H3019" s="14">
        <f t="shared" si="96"/>
        <v>32.67</v>
      </c>
    </row>
    <row r="3020" spans="1:8" ht="41.4">
      <c r="A3020" s="502" t="s">
        <v>4730</v>
      </c>
      <c r="B3020" s="504" t="s">
        <v>24547</v>
      </c>
      <c r="C3020" s="502" t="s">
        <v>114</v>
      </c>
      <c r="D3020" s="503" t="s">
        <v>16429</v>
      </c>
      <c r="F3020" t="str">
        <f t="shared" si="95"/>
        <v>91899</v>
      </c>
      <c r="H3020" s="14">
        <f t="shared" si="96"/>
        <v>15.32</v>
      </c>
    </row>
    <row r="3021" spans="1:8" ht="41.4">
      <c r="A3021" s="502" t="s">
        <v>4731</v>
      </c>
      <c r="B3021" s="504" t="s">
        <v>24548</v>
      </c>
      <c r="C3021" s="502" t="s">
        <v>114</v>
      </c>
      <c r="D3021" s="503" t="s">
        <v>7458</v>
      </c>
      <c r="F3021" t="str">
        <f t="shared" si="95"/>
        <v>91901</v>
      </c>
      <c r="H3021" s="14">
        <f t="shared" si="96"/>
        <v>14.94</v>
      </c>
    </row>
    <row r="3022" spans="1:8" ht="41.4">
      <c r="A3022" s="502" t="s">
        <v>4733</v>
      </c>
      <c r="B3022" s="504" t="s">
        <v>24549</v>
      </c>
      <c r="C3022" s="502" t="s">
        <v>114</v>
      </c>
      <c r="D3022" s="503" t="s">
        <v>16437</v>
      </c>
      <c r="F3022" t="str">
        <f t="shared" si="95"/>
        <v>91902</v>
      </c>
      <c r="H3022" s="14">
        <f t="shared" si="96"/>
        <v>17.420000000000002</v>
      </c>
    </row>
    <row r="3023" spans="1:8" ht="41.4">
      <c r="A3023" s="502" t="s">
        <v>4734</v>
      </c>
      <c r="B3023" s="504" t="s">
        <v>24550</v>
      </c>
      <c r="C3023" s="502" t="s">
        <v>114</v>
      </c>
      <c r="D3023" s="503" t="s">
        <v>10384</v>
      </c>
      <c r="F3023" t="str">
        <f t="shared" si="95"/>
        <v>91904</v>
      </c>
      <c r="H3023" s="14">
        <f t="shared" si="96"/>
        <v>19.989999999999998</v>
      </c>
    </row>
    <row r="3024" spans="1:8" ht="41.4">
      <c r="A3024" s="502" t="s">
        <v>4735</v>
      </c>
      <c r="B3024" s="504" t="s">
        <v>24551</v>
      </c>
      <c r="C3024" s="502" t="s">
        <v>114</v>
      </c>
      <c r="D3024" s="503" t="s">
        <v>7313</v>
      </c>
      <c r="F3024" t="str">
        <f t="shared" si="95"/>
        <v>91905</v>
      </c>
      <c r="H3024" s="14">
        <f t="shared" si="96"/>
        <v>22.17</v>
      </c>
    </row>
    <row r="3025" spans="1:8" ht="41.4">
      <c r="A3025" s="502" t="s">
        <v>10148</v>
      </c>
      <c r="B3025" s="504" t="s">
        <v>24553</v>
      </c>
      <c r="C3025" s="502" t="s">
        <v>114</v>
      </c>
      <c r="D3025" s="503" t="s">
        <v>32424</v>
      </c>
      <c r="F3025" t="str">
        <f t="shared" si="95"/>
        <v>91907</v>
      </c>
      <c r="H3025" s="14">
        <f t="shared" si="96"/>
        <v>24.78</v>
      </c>
    </row>
    <row r="3026" spans="1:8" ht="41.4">
      <c r="A3026" s="502" t="s">
        <v>4736</v>
      </c>
      <c r="B3026" s="504" t="s">
        <v>24554</v>
      </c>
      <c r="C3026" s="502" t="s">
        <v>114</v>
      </c>
      <c r="D3026" s="503" t="s">
        <v>32425</v>
      </c>
      <c r="F3026" t="str">
        <f t="shared" si="95"/>
        <v>91908</v>
      </c>
      <c r="H3026" s="14">
        <f t="shared" si="96"/>
        <v>26.21</v>
      </c>
    </row>
    <row r="3027" spans="1:8" ht="41.4">
      <c r="A3027" s="502" t="s">
        <v>4737</v>
      </c>
      <c r="B3027" s="504" t="s">
        <v>24555</v>
      </c>
      <c r="C3027" s="502" t="s">
        <v>114</v>
      </c>
      <c r="D3027" s="503" t="s">
        <v>23961</v>
      </c>
      <c r="F3027" t="str">
        <f t="shared" si="95"/>
        <v>91910</v>
      </c>
      <c r="H3027" s="14">
        <f t="shared" si="96"/>
        <v>29</v>
      </c>
    </row>
    <row r="3028" spans="1:8" ht="41.4">
      <c r="A3028" s="502" t="s">
        <v>4739</v>
      </c>
      <c r="B3028" s="504" t="s">
        <v>24556</v>
      </c>
      <c r="C3028" s="502" t="s">
        <v>114</v>
      </c>
      <c r="D3028" s="503" t="s">
        <v>6569</v>
      </c>
      <c r="F3028" t="str">
        <f t="shared" si="95"/>
        <v>91911</v>
      </c>
      <c r="H3028" s="14">
        <f t="shared" si="96"/>
        <v>26.77</v>
      </c>
    </row>
    <row r="3029" spans="1:8" ht="41.4">
      <c r="A3029" s="502" t="s">
        <v>4740</v>
      </c>
      <c r="B3029" s="504" t="s">
        <v>24557</v>
      </c>
      <c r="C3029" s="502" t="s">
        <v>114</v>
      </c>
      <c r="D3029" s="503" t="s">
        <v>32426</v>
      </c>
      <c r="F3029" t="str">
        <f t="shared" si="95"/>
        <v>91913</v>
      </c>
      <c r="H3029" s="14">
        <f t="shared" si="96"/>
        <v>26.38</v>
      </c>
    </row>
    <row r="3030" spans="1:8" ht="41.4">
      <c r="A3030" s="502" t="s">
        <v>4742</v>
      </c>
      <c r="B3030" s="504" t="s">
        <v>24558</v>
      </c>
      <c r="C3030" s="502" t="s">
        <v>114</v>
      </c>
      <c r="D3030" s="503" t="s">
        <v>29337</v>
      </c>
      <c r="F3030" t="str">
        <f t="shared" si="95"/>
        <v>91914</v>
      </c>
      <c r="H3030" s="14">
        <f t="shared" si="96"/>
        <v>28.78</v>
      </c>
    </row>
    <row r="3031" spans="1:8" ht="41.4">
      <c r="A3031" s="502" t="s">
        <v>4744</v>
      </c>
      <c r="B3031" s="504" t="s">
        <v>24559</v>
      </c>
      <c r="C3031" s="502" t="s">
        <v>114</v>
      </c>
      <c r="D3031" s="503" t="s">
        <v>10158</v>
      </c>
      <c r="F3031" t="str">
        <f t="shared" si="95"/>
        <v>91916</v>
      </c>
      <c r="H3031" s="14">
        <f t="shared" si="96"/>
        <v>31.35</v>
      </c>
    </row>
    <row r="3032" spans="1:8" ht="41.4">
      <c r="A3032" s="502" t="s">
        <v>4745</v>
      </c>
      <c r="B3032" s="504" t="s">
        <v>24560</v>
      </c>
      <c r="C3032" s="502" t="s">
        <v>114</v>
      </c>
      <c r="D3032" s="503" t="s">
        <v>10106</v>
      </c>
      <c r="F3032" t="str">
        <f t="shared" si="95"/>
        <v>91917</v>
      </c>
      <c r="H3032" s="14">
        <f t="shared" si="96"/>
        <v>33.450000000000003</v>
      </c>
    </row>
    <row r="3033" spans="1:8" ht="41.4">
      <c r="A3033" s="502" t="s">
        <v>10150</v>
      </c>
      <c r="B3033" s="504" t="s">
        <v>24561</v>
      </c>
      <c r="C3033" s="502" t="s">
        <v>114</v>
      </c>
      <c r="D3033" s="503" t="s">
        <v>20354</v>
      </c>
      <c r="F3033" t="str">
        <f t="shared" si="95"/>
        <v>91919</v>
      </c>
      <c r="H3033" s="14">
        <f t="shared" si="96"/>
        <v>36.06</v>
      </c>
    </row>
    <row r="3034" spans="1:8" ht="41.4">
      <c r="A3034" s="502" t="s">
        <v>4746</v>
      </c>
      <c r="B3034" s="504" t="s">
        <v>24562</v>
      </c>
      <c r="C3034" s="502" t="s">
        <v>114</v>
      </c>
      <c r="D3034" s="503" t="s">
        <v>10602</v>
      </c>
      <c r="F3034" t="str">
        <f t="shared" si="95"/>
        <v>91920</v>
      </c>
      <c r="H3034" s="14">
        <f t="shared" si="96"/>
        <v>37.32</v>
      </c>
    </row>
    <row r="3035" spans="1:8" ht="41.4">
      <c r="A3035" s="502" t="s">
        <v>4747</v>
      </c>
      <c r="B3035" s="504" t="s">
        <v>24563</v>
      </c>
      <c r="C3035" s="502" t="s">
        <v>114</v>
      </c>
      <c r="D3035" s="503" t="s">
        <v>32427</v>
      </c>
      <c r="F3035" t="str">
        <f t="shared" si="95"/>
        <v>91922</v>
      </c>
      <c r="H3035" s="14">
        <f t="shared" si="96"/>
        <v>40.11</v>
      </c>
    </row>
    <row r="3036" spans="1:8" ht="55.2">
      <c r="A3036" s="502" t="s">
        <v>4748</v>
      </c>
      <c r="B3036" s="504" t="s">
        <v>24564</v>
      </c>
      <c r="C3036" s="502" t="s">
        <v>114</v>
      </c>
      <c r="D3036" s="503" t="s">
        <v>26588</v>
      </c>
      <c r="F3036" t="str">
        <f t="shared" si="95"/>
        <v>93013</v>
      </c>
      <c r="H3036" s="14">
        <f t="shared" si="96"/>
        <v>23.8</v>
      </c>
    </row>
    <row r="3037" spans="1:8" ht="41.4">
      <c r="A3037" s="502" t="s">
        <v>4749</v>
      </c>
      <c r="B3037" s="504" t="s">
        <v>24565</v>
      </c>
      <c r="C3037" s="502" t="s">
        <v>114</v>
      </c>
      <c r="D3037" s="503" t="s">
        <v>9516</v>
      </c>
      <c r="F3037" t="str">
        <f t="shared" si="95"/>
        <v>93014</v>
      </c>
      <c r="H3037" s="14">
        <f t="shared" si="96"/>
        <v>28.74</v>
      </c>
    </row>
    <row r="3038" spans="1:8" ht="55.2">
      <c r="A3038" s="502" t="s">
        <v>4750</v>
      </c>
      <c r="B3038" s="504" t="s">
        <v>24566</v>
      </c>
      <c r="C3038" s="502" t="s">
        <v>114</v>
      </c>
      <c r="D3038" s="503" t="s">
        <v>28057</v>
      </c>
      <c r="F3038" t="str">
        <f t="shared" si="95"/>
        <v>93015</v>
      </c>
      <c r="H3038" s="14">
        <f t="shared" si="96"/>
        <v>41.27</v>
      </c>
    </row>
    <row r="3039" spans="1:8" ht="41.4">
      <c r="A3039" s="502" t="s">
        <v>4751</v>
      </c>
      <c r="B3039" s="504" t="s">
        <v>24567</v>
      </c>
      <c r="C3039" s="502" t="s">
        <v>114</v>
      </c>
      <c r="D3039" s="503" t="s">
        <v>17564</v>
      </c>
      <c r="F3039" t="str">
        <f t="shared" si="95"/>
        <v>93016</v>
      </c>
      <c r="H3039" s="14">
        <f t="shared" si="96"/>
        <v>49.26</v>
      </c>
    </row>
    <row r="3040" spans="1:8" ht="55.2">
      <c r="A3040" s="502" t="s">
        <v>4752</v>
      </c>
      <c r="B3040" s="504" t="s">
        <v>24568</v>
      </c>
      <c r="C3040" s="502" t="s">
        <v>114</v>
      </c>
      <c r="D3040" s="503" t="s">
        <v>28836</v>
      </c>
      <c r="F3040" t="str">
        <f t="shared" si="95"/>
        <v>93017</v>
      </c>
      <c r="H3040" s="14">
        <f t="shared" si="96"/>
        <v>71.62</v>
      </c>
    </row>
    <row r="3041" spans="1:8" ht="55.2">
      <c r="A3041" s="502" t="s">
        <v>4753</v>
      </c>
      <c r="B3041" s="504" t="s">
        <v>24569</v>
      </c>
      <c r="C3041" s="502" t="s">
        <v>114</v>
      </c>
      <c r="D3041" s="503" t="s">
        <v>32428</v>
      </c>
      <c r="F3041" t="str">
        <f t="shared" si="95"/>
        <v>93018</v>
      </c>
      <c r="H3041" s="14">
        <f t="shared" si="96"/>
        <v>36.18</v>
      </c>
    </row>
    <row r="3042" spans="1:8" ht="55.2">
      <c r="A3042" s="502" t="s">
        <v>4754</v>
      </c>
      <c r="B3042" s="504" t="s">
        <v>24570</v>
      </c>
      <c r="C3042" s="502" t="s">
        <v>114</v>
      </c>
      <c r="D3042" s="503" t="s">
        <v>9924</v>
      </c>
      <c r="F3042" t="str">
        <f t="shared" si="95"/>
        <v>93020</v>
      </c>
      <c r="H3042" s="14">
        <f t="shared" si="96"/>
        <v>45.12</v>
      </c>
    </row>
    <row r="3043" spans="1:8" ht="55.2">
      <c r="A3043" s="502" t="s">
        <v>4755</v>
      </c>
      <c r="B3043" s="504" t="s">
        <v>24571</v>
      </c>
      <c r="C3043" s="502" t="s">
        <v>114</v>
      </c>
      <c r="D3043" s="503" t="s">
        <v>29095</v>
      </c>
      <c r="F3043" t="str">
        <f t="shared" si="95"/>
        <v>93022</v>
      </c>
      <c r="H3043" s="14">
        <f t="shared" si="96"/>
        <v>70.33</v>
      </c>
    </row>
    <row r="3044" spans="1:8" ht="55.2">
      <c r="A3044" s="502" t="s">
        <v>4756</v>
      </c>
      <c r="B3044" s="504" t="s">
        <v>24572</v>
      </c>
      <c r="C3044" s="502" t="s">
        <v>114</v>
      </c>
      <c r="D3044" s="503" t="s">
        <v>20358</v>
      </c>
      <c r="F3044" t="str">
        <f t="shared" si="95"/>
        <v>93024</v>
      </c>
      <c r="H3044" s="14">
        <f t="shared" si="96"/>
        <v>74.69</v>
      </c>
    </row>
    <row r="3045" spans="1:8" ht="55.2">
      <c r="A3045" s="502" t="s">
        <v>4757</v>
      </c>
      <c r="B3045" s="504" t="s">
        <v>24573</v>
      </c>
      <c r="C3045" s="502" t="s">
        <v>114</v>
      </c>
      <c r="D3045" s="503" t="s">
        <v>32429</v>
      </c>
      <c r="F3045" t="str">
        <f t="shared" si="95"/>
        <v>93026</v>
      </c>
      <c r="H3045" s="14">
        <f t="shared" si="96"/>
        <v>116.59</v>
      </c>
    </row>
    <row r="3046" spans="1:8" ht="41.4">
      <c r="A3046" s="502" t="s">
        <v>10151</v>
      </c>
      <c r="B3046" s="504" t="s">
        <v>24574</v>
      </c>
      <c r="C3046" s="502" t="s">
        <v>114</v>
      </c>
      <c r="D3046" s="503" t="s">
        <v>11172</v>
      </c>
      <c r="F3046" t="str">
        <f t="shared" si="95"/>
        <v>97559</v>
      </c>
      <c r="H3046" s="14">
        <f t="shared" si="96"/>
        <v>20.91</v>
      </c>
    </row>
    <row r="3047" spans="1:8" ht="41.4">
      <c r="A3047" s="502" t="s">
        <v>10152</v>
      </c>
      <c r="B3047" s="504" t="s">
        <v>24575</v>
      </c>
      <c r="C3047" s="502" t="s">
        <v>114</v>
      </c>
      <c r="D3047" s="503" t="s">
        <v>28174</v>
      </c>
      <c r="F3047" t="str">
        <f t="shared" si="95"/>
        <v>97562</v>
      </c>
      <c r="H3047" s="14">
        <f t="shared" si="96"/>
        <v>17.14</v>
      </c>
    </row>
    <row r="3048" spans="1:8" ht="41.4">
      <c r="A3048" s="502" t="s">
        <v>10153</v>
      </c>
      <c r="B3048" s="504" t="s">
        <v>24576</v>
      </c>
      <c r="C3048" s="502" t="s">
        <v>114</v>
      </c>
      <c r="D3048" s="503" t="s">
        <v>29093</v>
      </c>
      <c r="F3048" t="str">
        <f t="shared" si="95"/>
        <v>97564</v>
      </c>
      <c r="H3048" s="14">
        <f t="shared" si="96"/>
        <v>28.5</v>
      </c>
    </row>
    <row r="3049" spans="1:8" ht="41.4">
      <c r="A3049" s="502" t="s">
        <v>24578</v>
      </c>
      <c r="B3049" s="504" t="s">
        <v>24579</v>
      </c>
      <c r="C3049" s="502" t="s">
        <v>114</v>
      </c>
      <c r="D3049" s="503" t="s">
        <v>18181</v>
      </c>
      <c r="F3049" t="str">
        <f t="shared" si="95"/>
        <v>104395</v>
      </c>
      <c r="H3049" s="14">
        <f t="shared" si="96"/>
        <v>31.3</v>
      </c>
    </row>
    <row r="3050" spans="1:8" ht="41.4">
      <c r="A3050" s="502" t="s">
        <v>4763</v>
      </c>
      <c r="B3050" s="504" t="s">
        <v>24580</v>
      </c>
      <c r="C3050" s="502" t="s">
        <v>75</v>
      </c>
      <c r="D3050" s="503" t="s">
        <v>7234</v>
      </c>
      <c r="F3050" t="str">
        <f t="shared" si="95"/>
        <v>91924</v>
      </c>
      <c r="H3050" s="14">
        <f t="shared" si="96"/>
        <v>4.4800000000000004</v>
      </c>
    </row>
    <row r="3051" spans="1:8" ht="41.4">
      <c r="A3051" s="502" t="s">
        <v>4764</v>
      </c>
      <c r="B3051" s="504" t="s">
        <v>24581</v>
      </c>
      <c r="C3051" s="502" t="s">
        <v>75</v>
      </c>
      <c r="D3051" s="503" t="s">
        <v>9919</v>
      </c>
      <c r="F3051" t="str">
        <f t="shared" si="95"/>
        <v>91925</v>
      </c>
      <c r="H3051" s="14">
        <f t="shared" si="96"/>
        <v>5.36</v>
      </c>
    </row>
    <row r="3052" spans="1:8" ht="41.4">
      <c r="A3052" s="502" t="s">
        <v>4765</v>
      </c>
      <c r="B3052" s="504" t="s">
        <v>24582</v>
      </c>
      <c r="C3052" s="502" t="s">
        <v>75</v>
      </c>
      <c r="D3052" s="503" t="s">
        <v>2975</v>
      </c>
      <c r="F3052" t="str">
        <f t="shared" si="95"/>
        <v>91926</v>
      </c>
      <c r="H3052" s="14">
        <f t="shared" si="96"/>
        <v>6.46</v>
      </c>
    </row>
    <row r="3053" spans="1:8" ht="41.4">
      <c r="A3053" s="502" t="s">
        <v>4766</v>
      </c>
      <c r="B3053" s="504" t="s">
        <v>24583</v>
      </c>
      <c r="C3053" s="502" t="s">
        <v>75</v>
      </c>
      <c r="D3053" s="503" t="s">
        <v>16284</v>
      </c>
      <c r="F3053" t="str">
        <f t="shared" si="95"/>
        <v>91927</v>
      </c>
      <c r="H3053" s="14">
        <f t="shared" si="96"/>
        <v>7.21</v>
      </c>
    </row>
    <row r="3054" spans="1:8" ht="41.4">
      <c r="A3054" s="502" t="s">
        <v>4768</v>
      </c>
      <c r="B3054" s="504" t="s">
        <v>24584</v>
      </c>
      <c r="C3054" s="502" t="s">
        <v>75</v>
      </c>
      <c r="D3054" s="503" t="s">
        <v>32430</v>
      </c>
      <c r="F3054" t="str">
        <f t="shared" si="95"/>
        <v>91928</v>
      </c>
      <c r="H3054" s="14">
        <f t="shared" si="96"/>
        <v>9.93</v>
      </c>
    </row>
    <row r="3055" spans="1:8" ht="41.4">
      <c r="A3055" s="502" t="s">
        <v>4769</v>
      </c>
      <c r="B3055" s="504" t="s">
        <v>24585</v>
      </c>
      <c r="C3055" s="502" t="s">
        <v>75</v>
      </c>
      <c r="D3055" s="503" t="s">
        <v>30555</v>
      </c>
      <c r="F3055" t="str">
        <f t="shared" si="95"/>
        <v>91929</v>
      </c>
      <c r="H3055" s="14">
        <f t="shared" si="96"/>
        <v>10.58</v>
      </c>
    </row>
    <row r="3056" spans="1:8" ht="41.4">
      <c r="A3056" s="502" t="s">
        <v>4770</v>
      </c>
      <c r="B3056" s="504" t="s">
        <v>24587</v>
      </c>
      <c r="C3056" s="502" t="s">
        <v>75</v>
      </c>
      <c r="D3056" s="503" t="s">
        <v>11419</v>
      </c>
      <c r="F3056" t="str">
        <f t="shared" si="95"/>
        <v>91930</v>
      </c>
      <c r="H3056" s="14">
        <f t="shared" si="96"/>
        <v>13.83</v>
      </c>
    </row>
    <row r="3057" spans="1:8" ht="41.4">
      <c r="A3057" s="502" t="s">
        <v>4771</v>
      </c>
      <c r="B3057" s="504" t="s">
        <v>24588</v>
      </c>
      <c r="C3057" s="502" t="s">
        <v>75</v>
      </c>
      <c r="D3057" s="503" t="s">
        <v>7457</v>
      </c>
      <c r="F3057" t="str">
        <f t="shared" si="95"/>
        <v>91931</v>
      </c>
      <c r="H3057" s="14">
        <f t="shared" si="96"/>
        <v>14.88</v>
      </c>
    </row>
    <row r="3058" spans="1:8" ht="41.4">
      <c r="A3058" s="502" t="s">
        <v>4772</v>
      </c>
      <c r="B3058" s="504" t="s">
        <v>24589</v>
      </c>
      <c r="C3058" s="502" t="s">
        <v>75</v>
      </c>
      <c r="D3058" s="503" t="s">
        <v>7461</v>
      </c>
      <c r="F3058" t="str">
        <f t="shared" si="95"/>
        <v>91932</v>
      </c>
      <c r="H3058" s="14">
        <f t="shared" si="96"/>
        <v>24.6</v>
      </c>
    </row>
    <row r="3059" spans="1:8" ht="41.4">
      <c r="A3059" s="502" t="s">
        <v>4773</v>
      </c>
      <c r="B3059" s="504" t="s">
        <v>24590</v>
      </c>
      <c r="C3059" s="502" t="s">
        <v>75</v>
      </c>
      <c r="D3059" s="503" t="s">
        <v>6667</v>
      </c>
      <c r="F3059" t="str">
        <f t="shared" si="95"/>
        <v>91933</v>
      </c>
      <c r="H3059" s="14">
        <f t="shared" si="96"/>
        <v>23.76</v>
      </c>
    </row>
    <row r="3060" spans="1:8" ht="41.4">
      <c r="A3060" s="502" t="s">
        <v>4774</v>
      </c>
      <c r="B3060" s="504" t="s">
        <v>24591</v>
      </c>
      <c r="C3060" s="502" t="s">
        <v>75</v>
      </c>
      <c r="D3060" s="503" t="s">
        <v>19138</v>
      </c>
      <c r="F3060" t="str">
        <f t="shared" si="95"/>
        <v>91934</v>
      </c>
      <c r="H3060" s="14">
        <f t="shared" si="96"/>
        <v>35.58</v>
      </c>
    </row>
    <row r="3061" spans="1:8" ht="41.4">
      <c r="A3061" s="502" t="s">
        <v>4775</v>
      </c>
      <c r="B3061" s="504" t="s">
        <v>24592</v>
      </c>
      <c r="C3061" s="502" t="s">
        <v>75</v>
      </c>
      <c r="D3061" s="503" t="s">
        <v>4969</v>
      </c>
      <c r="F3061" t="str">
        <f t="shared" si="95"/>
        <v>91935</v>
      </c>
      <c r="H3061" s="14">
        <f t="shared" si="96"/>
        <v>37.200000000000003</v>
      </c>
    </row>
    <row r="3062" spans="1:8" ht="41.4">
      <c r="A3062" s="502" t="s">
        <v>4777</v>
      </c>
      <c r="B3062" s="504" t="s">
        <v>28818</v>
      </c>
      <c r="C3062" s="502" t="s">
        <v>75</v>
      </c>
      <c r="D3062" s="503" t="s">
        <v>5206</v>
      </c>
      <c r="F3062" t="str">
        <f t="shared" si="95"/>
        <v>92979</v>
      </c>
      <c r="H3062" s="14">
        <f t="shared" si="96"/>
        <v>15.72</v>
      </c>
    </row>
    <row r="3063" spans="1:8" ht="41.4">
      <c r="A3063" s="502" t="s">
        <v>4778</v>
      </c>
      <c r="B3063" s="504" t="s">
        <v>28819</v>
      </c>
      <c r="C3063" s="502" t="s">
        <v>75</v>
      </c>
      <c r="D3063" s="503" t="s">
        <v>7545</v>
      </c>
      <c r="F3063" t="str">
        <f t="shared" si="95"/>
        <v>92980</v>
      </c>
      <c r="H3063" s="14">
        <f t="shared" si="96"/>
        <v>15.03</v>
      </c>
    </row>
    <row r="3064" spans="1:8" ht="41.4">
      <c r="A3064" s="502" t="s">
        <v>4779</v>
      </c>
      <c r="B3064" s="504" t="s">
        <v>28820</v>
      </c>
      <c r="C3064" s="502" t="s">
        <v>75</v>
      </c>
      <c r="D3064" s="503" t="s">
        <v>16575</v>
      </c>
      <c r="F3064" t="str">
        <f t="shared" si="95"/>
        <v>92981</v>
      </c>
      <c r="H3064" s="14">
        <f t="shared" si="96"/>
        <v>22.48</v>
      </c>
    </row>
    <row r="3065" spans="1:8" ht="41.4">
      <c r="A3065" s="502" t="s">
        <v>4780</v>
      </c>
      <c r="B3065" s="504" t="s">
        <v>28821</v>
      </c>
      <c r="C3065" s="502" t="s">
        <v>75</v>
      </c>
      <c r="D3065" s="503" t="s">
        <v>28204</v>
      </c>
      <c r="F3065" t="str">
        <f t="shared" si="95"/>
        <v>92982</v>
      </c>
      <c r="H3065" s="14">
        <f t="shared" si="96"/>
        <v>23.81</v>
      </c>
    </row>
    <row r="3066" spans="1:8" ht="55.2">
      <c r="A3066" s="502" t="s">
        <v>4781</v>
      </c>
      <c r="B3066" s="504" t="s">
        <v>24593</v>
      </c>
      <c r="C3066" s="502" t="s">
        <v>75</v>
      </c>
      <c r="D3066" s="503" t="s">
        <v>32431</v>
      </c>
      <c r="F3066" t="str">
        <f t="shared" si="95"/>
        <v>92984</v>
      </c>
      <c r="H3066" s="14">
        <f t="shared" si="96"/>
        <v>39.950000000000003</v>
      </c>
    </row>
    <row r="3067" spans="1:8" ht="55.2">
      <c r="A3067" s="502" t="s">
        <v>4782</v>
      </c>
      <c r="B3067" s="504" t="s">
        <v>24594</v>
      </c>
      <c r="C3067" s="502" t="s">
        <v>75</v>
      </c>
      <c r="D3067" s="503" t="s">
        <v>11456</v>
      </c>
      <c r="F3067" t="str">
        <f t="shared" si="95"/>
        <v>92986</v>
      </c>
      <c r="H3067" s="14">
        <f t="shared" si="96"/>
        <v>55.06</v>
      </c>
    </row>
    <row r="3068" spans="1:8" ht="55.2">
      <c r="A3068" s="502" t="s">
        <v>4783</v>
      </c>
      <c r="B3068" s="504" t="s">
        <v>24595</v>
      </c>
      <c r="C3068" s="502" t="s">
        <v>75</v>
      </c>
      <c r="D3068" s="503" t="s">
        <v>15794</v>
      </c>
      <c r="F3068" t="str">
        <f t="shared" si="95"/>
        <v>92988</v>
      </c>
      <c r="H3068" s="14">
        <f t="shared" si="96"/>
        <v>79.680000000000007</v>
      </c>
    </row>
    <row r="3069" spans="1:8" ht="55.2">
      <c r="A3069" s="502" t="s">
        <v>4784</v>
      </c>
      <c r="B3069" s="504" t="s">
        <v>24596</v>
      </c>
      <c r="C3069" s="502" t="s">
        <v>75</v>
      </c>
      <c r="D3069" s="503" t="s">
        <v>32432</v>
      </c>
      <c r="F3069" t="str">
        <f t="shared" si="95"/>
        <v>92990</v>
      </c>
      <c r="H3069" s="14">
        <f t="shared" si="96"/>
        <v>110.14</v>
      </c>
    </row>
    <row r="3070" spans="1:8" ht="55.2">
      <c r="A3070" s="502" t="s">
        <v>4785</v>
      </c>
      <c r="B3070" s="504" t="s">
        <v>24597</v>
      </c>
      <c r="C3070" s="502" t="s">
        <v>75</v>
      </c>
      <c r="D3070" s="503" t="s">
        <v>32433</v>
      </c>
      <c r="F3070" t="str">
        <f t="shared" si="95"/>
        <v>92992</v>
      </c>
      <c r="H3070" s="14">
        <f t="shared" si="96"/>
        <v>142.32</v>
      </c>
    </row>
    <row r="3071" spans="1:8" ht="55.2">
      <c r="A3071" s="502" t="s">
        <v>4786</v>
      </c>
      <c r="B3071" s="504" t="s">
        <v>24598</v>
      </c>
      <c r="C3071" s="502" t="s">
        <v>75</v>
      </c>
      <c r="D3071" s="503" t="s">
        <v>32434</v>
      </c>
      <c r="F3071" t="str">
        <f t="shared" si="95"/>
        <v>92994</v>
      </c>
      <c r="H3071" s="14">
        <f t="shared" si="96"/>
        <v>184.79</v>
      </c>
    </row>
    <row r="3072" spans="1:8" ht="55.2">
      <c r="A3072" s="502" t="s">
        <v>4787</v>
      </c>
      <c r="B3072" s="504" t="s">
        <v>24599</v>
      </c>
      <c r="C3072" s="502" t="s">
        <v>75</v>
      </c>
      <c r="D3072" s="503" t="s">
        <v>32435</v>
      </c>
      <c r="F3072" t="str">
        <f t="shared" si="95"/>
        <v>92996</v>
      </c>
      <c r="H3072" s="14">
        <f t="shared" si="96"/>
        <v>223.51</v>
      </c>
    </row>
    <row r="3073" spans="1:8" ht="55.2">
      <c r="A3073" s="502" t="s">
        <v>4788</v>
      </c>
      <c r="B3073" s="504" t="s">
        <v>24600</v>
      </c>
      <c r="C3073" s="502" t="s">
        <v>75</v>
      </c>
      <c r="D3073" s="503" t="s">
        <v>32436</v>
      </c>
      <c r="F3073" t="str">
        <f t="shared" si="95"/>
        <v>92998</v>
      </c>
      <c r="H3073" s="14">
        <f t="shared" si="96"/>
        <v>273.83</v>
      </c>
    </row>
    <row r="3074" spans="1:8" ht="55.2">
      <c r="A3074" s="502" t="s">
        <v>4789</v>
      </c>
      <c r="B3074" s="504" t="s">
        <v>24601</v>
      </c>
      <c r="C3074" s="502" t="s">
        <v>75</v>
      </c>
      <c r="D3074" s="503" t="s">
        <v>32437</v>
      </c>
      <c r="F3074" t="str">
        <f t="shared" si="95"/>
        <v>93000</v>
      </c>
      <c r="H3074" s="14">
        <f t="shared" si="96"/>
        <v>362.36</v>
      </c>
    </row>
    <row r="3075" spans="1:8" ht="55.2">
      <c r="A3075" s="502" t="s">
        <v>4790</v>
      </c>
      <c r="B3075" s="504" t="s">
        <v>24602</v>
      </c>
      <c r="C3075" s="502" t="s">
        <v>75</v>
      </c>
      <c r="D3075" s="503">
        <v>362.26</v>
      </c>
      <c r="F3075" t="str">
        <f t="shared" si="95"/>
        <v>93002</v>
      </c>
      <c r="H3075" s="14">
        <f t="shared" si="96"/>
        <v>482.71</v>
      </c>
    </row>
    <row r="3076" spans="1:8" ht="41.4">
      <c r="A3076" s="502" t="s">
        <v>12722</v>
      </c>
      <c r="B3076" s="504" t="s">
        <v>12723</v>
      </c>
      <c r="C3076" s="502" t="s">
        <v>75</v>
      </c>
      <c r="D3076" s="503" t="s">
        <v>3608</v>
      </c>
      <c r="F3076" t="str">
        <f t="shared" si="95"/>
        <v>101884</v>
      </c>
      <c r="H3076" s="14">
        <f t="shared" si="96"/>
        <v>15.3</v>
      </c>
    </row>
    <row r="3077" spans="1:8" ht="41.4">
      <c r="A3077" s="502" t="s">
        <v>12724</v>
      </c>
      <c r="B3077" s="504" t="s">
        <v>12725</v>
      </c>
      <c r="C3077" s="502" t="s">
        <v>75</v>
      </c>
      <c r="D3077" s="503" t="s">
        <v>10672</v>
      </c>
      <c r="F3077" t="str">
        <f t="shared" ref="F3077:F3140" si="97">TRIM(A3077)</f>
        <v>101885</v>
      </c>
      <c r="H3077" s="14">
        <f t="shared" ref="H3077:H3140" si="98">ROUND(D3077*(1+$H$1),2)</f>
        <v>14.6</v>
      </c>
    </row>
    <row r="3078" spans="1:8" ht="41.4">
      <c r="A3078" s="502" t="s">
        <v>12726</v>
      </c>
      <c r="B3078" s="504" t="s">
        <v>12727</v>
      </c>
      <c r="C3078" s="502" t="s">
        <v>75</v>
      </c>
      <c r="D3078" s="503" t="s">
        <v>5928</v>
      </c>
      <c r="F3078" t="str">
        <f t="shared" si="97"/>
        <v>101886</v>
      </c>
      <c r="H3078" s="14">
        <f t="shared" si="98"/>
        <v>21.96</v>
      </c>
    </row>
    <row r="3079" spans="1:8" ht="41.4">
      <c r="A3079" s="502" t="s">
        <v>12728</v>
      </c>
      <c r="B3079" s="504" t="s">
        <v>12729</v>
      </c>
      <c r="C3079" s="502" t="s">
        <v>75</v>
      </c>
      <c r="D3079" s="503" t="s">
        <v>32438</v>
      </c>
      <c r="F3079" t="str">
        <f t="shared" si="97"/>
        <v>101887</v>
      </c>
      <c r="H3079" s="14">
        <f t="shared" si="98"/>
        <v>23.29</v>
      </c>
    </row>
    <row r="3080" spans="1:8" ht="41.4">
      <c r="A3080" s="502" t="s">
        <v>12730</v>
      </c>
      <c r="B3080" s="504" t="s">
        <v>12731</v>
      </c>
      <c r="C3080" s="502" t="s">
        <v>75</v>
      </c>
      <c r="D3080" s="503" t="s">
        <v>24275</v>
      </c>
      <c r="F3080" t="str">
        <f t="shared" si="97"/>
        <v>101888</v>
      </c>
      <c r="H3080" s="14">
        <f t="shared" si="98"/>
        <v>34.43</v>
      </c>
    </row>
    <row r="3081" spans="1:8" ht="41.4">
      <c r="A3081" s="502" t="s">
        <v>12733</v>
      </c>
      <c r="B3081" s="504" t="s">
        <v>12734</v>
      </c>
      <c r="C3081" s="502" t="s">
        <v>75</v>
      </c>
      <c r="D3081" s="503" t="s">
        <v>14348</v>
      </c>
      <c r="F3081" t="str">
        <f t="shared" si="97"/>
        <v>101889</v>
      </c>
      <c r="H3081" s="14">
        <f t="shared" si="98"/>
        <v>36.19</v>
      </c>
    </row>
    <row r="3082" spans="1:8" ht="27.6">
      <c r="A3082" s="502" t="s">
        <v>4792</v>
      </c>
      <c r="B3082" s="504" t="s">
        <v>24603</v>
      </c>
      <c r="C3082" s="502" t="s">
        <v>114</v>
      </c>
      <c r="D3082" s="503" t="s">
        <v>10045</v>
      </c>
      <c r="F3082" t="str">
        <f t="shared" si="97"/>
        <v>91936</v>
      </c>
      <c r="H3082" s="14">
        <f t="shared" si="98"/>
        <v>26.97</v>
      </c>
    </row>
    <row r="3083" spans="1:8" ht="27.6">
      <c r="A3083" s="502" t="s">
        <v>4794</v>
      </c>
      <c r="B3083" s="504" t="s">
        <v>24604</v>
      </c>
      <c r="C3083" s="502" t="s">
        <v>114</v>
      </c>
      <c r="D3083" s="503" t="s">
        <v>12640</v>
      </c>
      <c r="F3083" t="str">
        <f t="shared" si="97"/>
        <v>91937</v>
      </c>
      <c r="H3083" s="14">
        <f t="shared" si="98"/>
        <v>24.5</v>
      </c>
    </row>
    <row r="3084" spans="1:8" ht="41.4">
      <c r="A3084" s="502" t="s">
        <v>4796</v>
      </c>
      <c r="B3084" s="504" t="s">
        <v>24605</v>
      </c>
      <c r="C3084" s="502" t="s">
        <v>114</v>
      </c>
      <c r="D3084" s="503" t="s">
        <v>11613</v>
      </c>
      <c r="F3084" t="str">
        <f t="shared" si="97"/>
        <v>91939</v>
      </c>
      <c r="H3084" s="14">
        <f t="shared" si="98"/>
        <v>50.81</v>
      </c>
    </row>
    <row r="3085" spans="1:8" ht="41.4">
      <c r="A3085" s="502" t="s">
        <v>4797</v>
      </c>
      <c r="B3085" s="504" t="s">
        <v>24606</v>
      </c>
      <c r="C3085" s="502" t="s">
        <v>114</v>
      </c>
      <c r="D3085" s="503" t="s">
        <v>32439</v>
      </c>
      <c r="F3085" t="str">
        <f t="shared" si="97"/>
        <v>91940</v>
      </c>
      <c r="H3085" s="14">
        <f t="shared" si="98"/>
        <v>28.69</v>
      </c>
    </row>
    <row r="3086" spans="1:8" ht="41.4">
      <c r="A3086" s="502" t="s">
        <v>4798</v>
      </c>
      <c r="B3086" s="504" t="s">
        <v>24607</v>
      </c>
      <c r="C3086" s="502" t="s">
        <v>114</v>
      </c>
      <c r="D3086" s="503" t="s">
        <v>13152</v>
      </c>
      <c r="F3086" t="str">
        <f t="shared" si="97"/>
        <v>91941</v>
      </c>
      <c r="H3086" s="14">
        <f t="shared" si="98"/>
        <v>17.829999999999998</v>
      </c>
    </row>
    <row r="3087" spans="1:8" ht="41.4">
      <c r="A3087" s="502" t="s">
        <v>4799</v>
      </c>
      <c r="B3087" s="504" t="s">
        <v>24608</v>
      </c>
      <c r="C3087" s="502" t="s">
        <v>114</v>
      </c>
      <c r="D3087" s="503" t="s">
        <v>32440</v>
      </c>
      <c r="F3087" t="str">
        <f t="shared" si="97"/>
        <v>91942</v>
      </c>
      <c r="H3087" s="14">
        <f t="shared" si="98"/>
        <v>55.74</v>
      </c>
    </row>
    <row r="3088" spans="1:8" ht="41.4">
      <c r="A3088" s="502" t="s">
        <v>4800</v>
      </c>
      <c r="B3088" s="504" t="s">
        <v>24609</v>
      </c>
      <c r="C3088" s="502" t="s">
        <v>114</v>
      </c>
      <c r="D3088" s="503" t="s">
        <v>29300</v>
      </c>
      <c r="F3088" t="str">
        <f t="shared" si="97"/>
        <v>91943</v>
      </c>
      <c r="H3088" s="14">
        <f t="shared" si="98"/>
        <v>32.83</v>
      </c>
    </row>
    <row r="3089" spans="1:8" ht="41.4">
      <c r="A3089" s="502" t="s">
        <v>4801</v>
      </c>
      <c r="B3089" s="504" t="s">
        <v>24610</v>
      </c>
      <c r="C3089" s="502" t="s">
        <v>114</v>
      </c>
      <c r="D3089" s="503" t="s">
        <v>10744</v>
      </c>
      <c r="F3089" t="str">
        <f t="shared" si="97"/>
        <v>91944</v>
      </c>
      <c r="H3089" s="14">
        <f t="shared" si="98"/>
        <v>21.56</v>
      </c>
    </row>
    <row r="3090" spans="1:8" ht="27.6">
      <c r="A3090" s="502" t="s">
        <v>4803</v>
      </c>
      <c r="B3090" s="504" t="s">
        <v>24611</v>
      </c>
      <c r="C3090" s="502" t="s">
        <v>114</v>
      </c>
      <c r="D3090" s="503" t="s">
        <v>29082</v>
      </c>
      <c r="F3090" t="str">
        <f t="shared" si="97"/>
        <v>92865</v>
      </c>
      <c r="H3090" s="14">
        <f t="shared" si="98"/>
        <v>23.04</v>
      </c>
    </row>
    <row r="3091" spans="1:8" ht="27.6">
      <c r="A3091" s="502" t="s">
        <v>4804</v>
      </c>
      <c r="B3091" s="504" t="s">
        <v>24612</v>
      </c>
      <c r="C3091" s="502" t="s">
        <v>114</v>
      </c>
      <c r="D3091" s="503" t="s">
        <v>27471</v>
      </c>
      <c r="F3091" t="str">
        <f t="shared" si="97"/>
        <v>92866</v>
      </c>
      <c r="H3091" s="14">
        <f t="shared" si="98"/>
        <v>20.83</v>
      </c>
    </row>
    <row r="3092" spans="1:8" ht="41.4">
      <c r="A3092" s="502" t="s">
        <v>4805</v>
      </c>
      <c r="B3092" s="504" t="s">
        <v>24613</v>
      </c>
      <c r="C3092" s="502" t="s">
        <v>114</v>
      </c>
      <c r="D3092" s="503" t="s">
        <v>32441</v>
      </c>
      <c r="F3092" t="str">
        <f t="shared" si="97"/>
        <v>92867</v>
      </c>
      <c r="H3092" s="14">
        <f t="shared" si="98"/>
        <v>49.65</v>
      </c>
    </row>
    <row r="3093" spans="1:8" ht="41.4">
      <c r="A3093" s="502" t="s">
        <v>4806</v>
      </c>
      <c r="B3093" s="504" t="s">
        <v>24614</v>
      </c>
      <c r="C3093" s="502" t="s">
        <v>114</v>
      </c>
      <c r="D3093" s="503" t="s">
        <v>10213</v>
      </c>
      <c r="F3093" t="str">
        <f t="shared" si="97"/>
        <v>92868</v>
      </c>
      <c r="H3093" s="14">
        <f t="shared" si="98"/>
        <v>27.53</v>
      </c>
    </row>
    <row r="3094" spans="1:8" ht="41.4">
      <c r="A3094" s="502" t="s">
        <v>4807</v>
      </c>
      <c r="B3094" s="504" t="s">
        <v>24615</v>
      </c>
      <c r="C3094" s="502" t="s">
        <v>114</v>
      </c>
      <c r="D3094" s="503" t="s">
        <v>10207</v>
      </c>
      <c r="F3094" t="str">
        <f t="shared" si="97"/>
        <v>92869</v>
      </c>
      <c r="H3094" s="14">
        <f t="shared" si="98"/>
        <v>16.670000000000002</v>
      </c>
    </row>
    <row r="3095" spans="1:8" ht="41.4">
      <c r="A3095" s="502" t="s">
        <v>4808</v>
      </c>
      <c r="B3095" s="504" t="s">
        <v>24616</v>
      </c>
      <c r="C3095" s="502" t="s">
        <v>114</v>
      </c>
      <c r="D3095" s="503" t="s">
        <v>32442</v>
      </c>
      <c r="F3095" t="str">
        <f t="shared" si="97"/>
        <v>92870</v>
      </c>
      <c r="H3095" s="14">
        <f t="shared" si="98"/>
        <v>53.66</v>
      </c>
    </row>
    <row r="3096" spans="1:8" ht="41.4">
      <c r="A3096" s="502" t="s">
        <v>4810</v>
      </c>
      <c r="B3096" s="504" t="s">
        <v>24617</v>
      </c>
      <c r="C3096" s="502" t="s">
        <v>114</v>
      </c>
      <c r="D3096" s="503" t="s">
        <v>9886</v>
      </c>
      <c r="F3096" t="str">
        <f t="shared" si="97"/>
        <v>92871</v>
      </c>
      <c r="H3096" s="14">
        <f t="shared" si="98"/>
        <v>30.75</v>
      </c>
    </row>
    <row r="3097" spans="1:8" ht="41.4">
      <c r="A3097" s="502" t="s">
        <v>4811</v>
      </c>
      <c r="B3097" s="504" t="s">
        <v>24618</v>
      </c>
      <c r="C3097" s="502" t="s">
        <v>114</v>
      </c>
      <c r="D3097" s="503" t="s">
        <v>24305</v>
      </c>
      <c r="F3097" t="str">
        <f t="shared" si="97"/>
        <v>92872</v>
      </c>
      <c r="H3097" s="14">
        <f t="shared" si="98"/>
        <v>19.48</v>
      </c>
    </row>
    <row r="3098" spans="1:8" ht="41.4">
      <c r="A3098" s="502" t="s">
        <v>4813</v>
      </c>
      <c r="B3098" s="504" t="s">
        <v>24619</v>
      </c>
      <c r="C3098" s="502" t="s">
        <v>114</v>
      </c>
      <c r="D3098" s="503" t="s">
        <v>10705</v>
      </c>
      <c r="F3098" t="str">
        <f t="shared" si="97"/>
        <v>95777</v>
      </c>
      <c r="H3098" s="14">
        <f t="shared" si="98"/>
        <v>38.15</v>
      </c>
    </row>
    <row r="3099" spans="1:8" ht="41.4">
      <c r="A3099" s="502" t="s">
        <v>4814</v>
      </c>
      <c r="B3099" s="504" t="s">
        <v>24620</v>
      </c>
      <c r="C3099" s="502" t="s">
        <v>114</v>
      </c>
      <c r="D3099" s="503" t="s">
        <v>28044</v>
      </c>
      <c r="F3099" t="str">
        <f t="shared" si="97"/>
        <v>95778</v>
      </c>
      <c r="H3099" s="14">
        <f t="shared" si="98"/>
        <v>42.85</v>
      </c>
    </row>
    <row r="3100" spans="1:8" ht="41.4">
      <c r="A3100" s="502" t="s">
        <v>4815</v>
      </c>
      <c r="B3100" s="504" t="s">
        <v>24621</v>
      </c>
      <c r="C3100" s="502" t="s">
        <v>114</v>
      </c>
      <c r="D3100" s="503" t="s">
        <v>32443</v>
      </c>
      <c r="F3100" t="str">
        <f t="shared" si="97"/>
        <v>95779</v>
      </c>
      <c r="H3100" s="14">
        <f t="shared" si="98"/>
        <v>35.619999999999997</v>
      </c>
    </row>
    <row r="3101" spans="1:8" ht="41.4">
      <c r="A3101" s="502" t="s">
        <v>4816</v>
      </c>
      <c r="B3101" s="504" t="s">
        <v>24622</v>
      </c>
      <c r="C3101" s="502" t="s">
        <v>114</v>
      </c>
      <c r="D3101" s="503" t="s">
        <v>29162</v>
      </c>
      <c r="F3101" t="str">
        <f t="shared" si="97"/>
        <v>95780</v>
      </c>
      <c r="H3101" s="14">
        <f t="shared" si="98"/>
        <v>45.33</v>
      </c>
    </row>
    <row r="3102" spans="1:8" ht="41.4">
      <c r="A3102" s="502" t="s">
        <v>4817</v>
      </c>
      <c r="B3102" s="504" t="s">
        <v>24623</v>
      </c>
      <c r="C3102" s="502" t="s">
        <v>114</v>
      </c>
      <c r="D3102" s="503" t="s">
        <v>29314</v>
      </c>
      <c r="F3102" t="str">
        <f t="shared" si="97"/>
        <v>95781</v>
      </c>
      <c r="H3102" s="14">
        <f t="shared" si="98"/>
        <v>51.9</v>
      </c>
    </row>
    <row r="3103" spans="1:8" ht="41.4">
      <c r="A3103" s="502" t="s">
        <v>4818</v>
      </c>
      <c r="B3103" s="504" t="s">
        <v>24624</v>
      </c>
      <c r="C3103" s="502" t="s">
        <v>114</v>
      </c>
      <c r="D3103" s="503" t="s">
        <v>11617</v>
      </c>
      <c r="F3103" t="str">
        <f t="shared" si="97"/>
        <v>95782</v>
      </c>
      <c r="H3103" s="14">
        <f t="shared" si="98"/>
        <v>48.22</v>
      </c>
    </row>
    <row r="3104" spans="1:8" ht="41.4">
      <c r="A3104" s="502" t="s">
        <v>4819</v>
      </c>
      <c r="B3104" s="504" t="s">
        <v>24625</v>
      </c>
      <c r="C3104" s="502" t="s">
        <v>114</v>
      </c>
      <c r="D3104" s="503" t="s">
        <v>28080</v>
      </c>
      <c r="F3104" t="str">
        <f t="shared" si="97"/>
        <v>95785</v>
      </c>
      <c r="H3104" s="14">
        <f t="shared" si="98"/>
        <v>57.04</v>
      </c>
    </row>
    <row r="3105" spans="1:8" ht="41.4">
      <c r="A3105" s="502" t="s">
        <v>4820</v>
      </c>
      <c r="B3105" s="504" t="s">
        <v>24626</v>
      </c>
      <c r="C3105" s="502" t="s">
        <v>114</v>
      </c>
      <c r="D3105" s="503" t="s">
        <v>32444</v>
      </c>
      <c r="F3105" t="str">
        <f t="shared" si="97"/>
        <v>95787</v>
      </c>
      <c r="H3105" s="14">
        <f t="shared" si="98"/>
        <v>43.41</v>
      </c>
    </row>
    <row r="3106" spans="1:8" ht="41.4">
      <c r="A3106" s="502" t="s">
        <v>4821</v>
      </c>
      <c r="B3106" s="504" t="s">
        <v>24627</v>
      </c>
      <c r="C3106" s="502" t="s">
        <v>114</v>
      </c>
      <c r="D3106" s="503" t="s">
        <v>18498</v>
      </c>
      <c r="F3106" t="str">
        <f t="shared" si="97"/>
        <v>95789</v>
      </c>
      <c r="H3106" s="14">
        <f t="shared" si="98"/>
        <v>58.91</v>
      </c>
    </row>
    <row r="3107" spans="1:8" ht="41.4">
      <c r="A3107" s="502" t="s">
        <v>4822</v>
      </c>
      <c r="B3107" s="504" t="s">
        <v>24628</v>
      </c>
      <c r="C3107" s="502" t="s">
        <v>114</v>
      </c>
      <c r="D3107" s="503" t="s">
        <v>28968</v>
      </c>
      <c r="F3107" t="str">
        <f t="shared" si="97"/>
        <v>95791</v>
      </c>
      <c r="H3107" s="14">
        <f t="shared" si="98"/>
        <v>81.59</v>
      </c>
    </row>
    <row r="3108" spans="1:8" ht="41.4">
      <c r="A3108" s="502" t="s">
        <v>4823</v>
      </c>
      <c r="B3108" s="504" t="s">
        <v>24629</v>
      </c>
      <c r="C3108" s="502" t="s">
        <v>114</v>
      </c>
      <c r="D3108" s="503" t="s">
        <v>32445</v>
      </c>
      <c r="F3108" t="str">
        <f t="shared" si="97"/>
        <v>95795</v>
      </c>
      <c r="H3108" s="14">
        <f t="shared" si="98"/>
        <v>49.49</v>
      </c>
    </row>
    <row r="3109" spans="1:8" ht="41.4">
      <c r="A3109" s="502" t="s">
        <v>4824</v>
      </c>
      <c r="B3109" s="504" t="s">
        <v>24630</v>
      </c>
      <c r="C3109" s="502" t="s">
        <v>114</v>
      </c>
      <c r="D3109" s="503" t="s">
        <v>29340</v>
      </c>
      <c r="F3109" t="str">
        <f t="shared" si="97"/>
        <v>95796</v>
      </c>
      <c r="H3109" s="14">
        <f t="shared" si="98"/>
        <v>69.239999999999995</v>
      </c>
    </row>
    <row r="3110" spans="1:8" ht="41.4">
      <c r="A3110" s="502" t="s">
        <v>4825</v>
      </c>
      <c r="B3110" s="504" t="s">
        <v>24631</v>
      </c>
      <c r="C3110" s="502" t="s">
        <v>114</v>
      </c>
      <c r="D3110" s="503" t="s">
        <v>32446</v>
      </c>
      <c r="F3110" t="str">
        <f t="shared" si="97"/>
        <v>95797</v>
      </c>
      <c r="H3110" s="14">
        <f t="shared" si="98"/>
        <v>95.54</v>
      </c>
    </row>
    <row r="3111" spans="1:8" ht="41.4">
      <c r="A3111" s="502" t="s">
        <v>4826</v>
      </c>
      <c r="B3111" s="504" t="s">
        <v>24632</v>
      </c>
      <c r="C3111" s="502" t="s">
        <v>114</v>
      </c>
      <c r="D3111" s="503" t="s">
        <v>32447</v>
      </c>
      <c r="F3111" t="str">
        <f t="shared" si="97"/>
        <v>95801</v>
      </c>
      <c r="H3111" s="14">
        <f t="shared" si="98"/>
        <v>59.03</v>
      </c>
    </row>
    <row r="3112" spans="1:8" ht="41.4">
      <c r="A3112" s="502" t="s">
        <v>4827</v>
      </c>
      <c r="B3112" s="504" t="s">
        <v>24634</v>
      </c>
      <c r="C3112" s="502" t="s">
        <v>114</v>
      </c>
      <c r="D3112" s="503" t="s">
        <v>32448</v>
      </c>
      <c r="F3112" t="str">
        <f t="shared" si="97"/>
        <v>95802</v>
      </c>
      <c r="H3112" s="14">
        <f t="shared" si="98"/>
        <v>73.739999999999995</v>
      </c>
    </row>
    <row r="3113" spans="1:8" ht="41.4">
      <c r="A3113" s="502" t="s">
        <v>4828</v>
      </c>
      <c r="B3113" s="504" t="s">
        <v>24635</v>
      </c>
      <c r="C3113" s="502" t="s">
        <v>114</v>
      </c>
      <c r="D3113" s="503" t="s">
        <v>32449</v>
      </c>
      <c r="F3113" t="str">
        <f t="shared" si="97"/>
        <v>95803</v>
      </c>
      <c r="H3113" s="14">
        <f t="shared" si="98"/>
        <v>106.83</v>
      </c>
    </row>
    <row r="3114" spans="1:8" ht="41.4">
      <c r="A3114" s="502" t="s">
        <v>4829</v>
      </c>
      <c r="B3114" s="504" t="s">
        <v>24636</v>
      </c>
      <c r="C3114" s="502" t="s">
        <v>114</v>
      </c>
      <c r="D3114" s="503" t="s">
        <v>9778</v>
      </c>
      <c r="F3114" t="str">
        <f t="shared" si="97"/>
        <v>95804</v>
      </c>
      <c r="H3114" s="14">
        <f t="shared" si="98"/>
        <v>31.9</v>
      </c>
    </row>
    <row r="3115" spans="1:8" ht="41.4">
      <c r="A3115" s="502" t="s">
        <v>4830</v>
      </c>
      <c r="B3115" s="504" t="s">
        <v>24637</v>
      </c>
      <c r="C3115" s="502" t="s">
        <v>114</v>
      </c>
      <c r="D3115" s="503" t="s">
        <v>28229</v>
      </c>
      <c r="F3115" t="str">
        <f t="shared" si="97"/>
        <v>95805</v>
      </c>
      <c r="H3115" s="14">
        <f t="shared" si="98"/>
        <v>34.020000000000003</v>
      </c>
    </row>
    <row r="3116" spans="1:8" ht="41.4">
      <c r="A3116" s="502" t="s">
        <v>4831</v>
      </c>
      <c r="B3116" s="504" t="s">
        <v>24638</v>
      </c>
      <c r="C3116" s="502" t="s">
        <v>114</v>
      </c>
      <c r="D3116" s="503" t="s">
        <v>32450</v>
      </c>
      <c r="F3116" t="str">
        <f t="shared" si="97"/>
        <v>95806</v>
      </c>
      <c r="H3116" s="14">
        <f t="shared" si="98"/>
        <v>37.6</v>
      </c>
    </row>
    <row r="3117" spans="1:8" ht="41.4">
      <c r="A3117" s="502" t="s">
        <v>4832</v>
      </c>
      <c r="B3117" s="504" t="s">
        <v>24639</v>
      </c>
      <c r="C3117" s="502" t="s">
        <v>114</v>
      </c>
      <c r="D3117" s="503" t="s">
        <v>32451</v>
      </c>
      <c r="F3117" t="str">
        <f t="shared" si="97"/>
        <v>95807</v>
      </c>
      <c r="H3117" s="14">
        <f t="shared" si="98"/>
        <v>37.909999999999997</v>
      </c>
    </row>
    <row r="3118" spans="1:8" ht="41.4">
      <c r="A3118" s="502" t="s">
        <v>4833</v>
      </c>
      <c r="B3118" s="504" t="s">
        <v>24640</v>
      </c>
      <c r="C3118" s="502" t="s">
        <v>114</v>
      </c>
      <c r="D3118" s="503" t="s">
        <v>16468</v>
      </c>
      <c r="F3118" t="str">
        <f t="shared" si="97"/>
        <v>95808</v>
      </c>
      <c r="H3118" s="14">
        <f t="shared" si="98"/>
        <v>44.29</v>
      </c>
    </row>
    <row r="3119" spans="1:8" ht="41.4">
      <c r="A3119" s="502" t="s">
        <v>4834</v>
      </c>
      <c r="B3119" s="504" t="s">
        <v>24641</v>
      </c>
      <c r="C3119" s="502" t="s">
        <v>114</v>
      </c>
      <c r="D3119" s="503" t="s">
        <v>11821</v>
      </c>
      <c r="F3119" t="str">
        <f t="shared" si="97"/>
        <v>95809</v>
      </c>
      <c r="H3119" s="14">
        <f t="shared" si="98"/>
        <v>55.58</v>
      </c>
    </row>
    <row r="3120" spans="1:8" ht="41.4">
      <c r="A3120" s="502" t="s">
        <v>4835</v>
      </c>
      <c r="B3120" s="504" t="s">
        <v>24642</v>
      </c>
      <c r="C3120" s="502" t="s">
        <v>114</v>
      </c>
      <c r="D3120" s="503" t="s">
        <v>15793</v>
      </c>
      <c r="F3120" t="str">
        <f t="shared" si="97"/>
        <v>95810</v>
      </c>
      <c r="H3120" s="14">
        <f t="shared" si="98"/>
        <v>21.36</v>
      </c>
    </row>
    <row r="3121" spans="1:8" ht="41.4">
      <c r="A3121" s="502" t="s">
        <v>4836</v>
      </c>
      <c r="B3121" s="504" t="s">
        <v>24643</v>
      </c>
      <c r="C3121" s="502" t="s">
        <v>114</v>
      </c>
      <c r="D3121" s="503" t="s">
        <v>27831</v>
      </c>
      <c r="F3121" t="str">
        <f t="shared" si="97"/>
        <v>95811</v>
      </c>
      <c r="H3121" s="14">
        <f t="shared" si="98"/>
        <v>27.74</v>
      </c>
    </row>
    <row r="3122" spans="1:8" ht="41.4">
      <c r="A3122" s="502" t="s">
        <v>4838</v>
      </c>
      <c r="B3122" s="504" t="s">
        <v>24644</v>
      </c>
      <c r="C3122" s="502" t="s">
        <v>114</v>
      </c>
      <c r="D3122" s="503" t="s">
        <v>11699</v>
      </c>
      <c r="F3122" t="str">
        <f t="shared" si="97"/>
        <v>95812</v>
      </c>
      <c r="H3122" s="14">
        <f t="shared" si="98"/>
        <v>39.04</v>
      </c>
    </row>
    <row r="3123" spans="1:8" ht="41.4">
      <c r="A3123" s="502" t="s">
        <v>4839</v>
      </c>
      <c r="B3123" s="504" t="s">
        <v>24645</v>
      </c>
      <c r="C3123" s="502" t="s">
        <v>114</v>
      </c>
      <c r="D3123" s="503" t="s">
        <v>32452</v>
      </c>
      <c r="F3123" t="str">
        <f t="shared" si="97"/>
        <v>95813</v>
      </c>
      <c r="H3123" s="14">
        <f t="shared" si="98"/>
        <v>25.17</v>
      </c>
    </row>
    <row r="3124" spans="1:8" ht="41.4">
      <c r="A3124" s="502" t="s">
        <v>4840</v>
      </c>
      <c r="B3124" s="504" t="s">
        <v>24646</v>
      </c>
      <c r="C3124" s="502" t="s">
        <v>114</v>
      </c>
      <c r="D3124" s="503" t="s">
        <v>10696</v>
      </c>
      <c r="F3124" t="str">
        <f t="shared" si="97"/>
        <v>95814</v>
      </c>
      <c r="H3124" s="14">
        <f t="shared" si="98"/>
        <v>33.700000000000003</v>
      </c>
    </row>
    <row r="3125" spans="1:8" ht="41.4">
      <c r="A3125" s="502" t="s">
        <v>4841</v>
      </c>
      <c r="B3125" s="504" t="s">
        <v>24648</v>
      </c>
      <c r="C3125" s="502" t="s">
        <v>114</v>
      </c>
      <c r="D3125" s="503" t="s">
        <v>29064</v>
      </c>
      <c r="F3125" t="str">
        <f t="shared" si="97"/>
        <v>95815</v>
      </c>
      <c r="H3125" s="14">
        <f t="shared" si="98"/>
        <v>50.66</v>
      </c>
    </row>
    <row r="3126" spans="1:8" ht="41.4">
      <c r="A3126" s="502" t="s">
        <v>4842</v>
      </c>
      <c r="B3126" s="504" t="s">
        <v>24650</v>
      </c>
      <c r="C3126" s="502" t="s">
        <v>114</v>
      </c>
      <c r="D3126" s="503" t="s">
        <v>32453</v>
      </c>
      <c r="F3126" t="str">
        <f t="shared" si="97"/>
        <v>95816</v>
      </c>
      <c r="H3126" s="14">
        <f t="shared" si="98"/>
        <v>45.88</v>
      </c>
    </row>
    <row r="3127" spans="1:8" ht="41.4">
      <c r="A3127" s="502" t="s">
        <v>4843</v>
      </c>
      <c r="B3127" s="504" t="s">
        <v>28833</v>
      </c>
      <c r="C3127" s="502" t="s">
        <v>114</v>
      </c>
      <c r="D3127" s="503" t="s">
        <v>15699</v>
      </c>
      <c r="F3127" t="str">
        <f t="shared" si="97"/>
        <v>95817</v>
      </c>
      <c r="H3127" s="14">
        <f t="shared" si="98"/>
        <v>55.93</v>
      </c>
    </row>
    <row r="3128" spans="1:8" ht="41.4">
      <c r="A3128" s="502" t="s">
        <v>4844</v>
      </c>
      <c r="B3128" s="504" t="s">
        <v>24651</v>
      </c>
      <c r="C3128" s="502" t="s">
        <v>114</v>
      </c>
      <c r="D3128" s="503" t="s">
        <v>32454</v>
      </c>
      <c r="F3128" t="str">
        <f t="shared" si="97"/>
        <v>95818</v>
      </c>
      <c r="H3128" s="14">
        <f t="shared" si="98"/>
        <v>77.64</v>
      </c>
    </row>
    <row r="3129" spans="1:8" ht="41.4">
      <c r="A3129" s="502" t="s">
        <v>12738</v>
      </c>
      <c r="B3129" s="504" t="s">
        <v>12739</v>
      </c>
      <c r="C3129" s="502" t="s">
        <v>114</v>
      </c>
      <c r="D3129" s="503" t="s">
        <v>32455</v>
      </c>
      <c r="F3129" t="str">
        <f t="shared" si="97"/>
        <v>97881</v>
      </c>
      <c r="H3129" s="14">
        <f t="shared" si="98"/>
        <v>189.55</v>
      </c>
    </row>
    <row r="3130" spans="1:8" ht="41.4">
      <c r="A3130" s="502" t="s">
        <v>12740</v>
      </c>
      <c r="B3130" s="504" t="s">
        <v>12741</v>
      </c>
      <c r="C3130" s="502" t="s">
        <v>114</v>
      </c>
      <c r="D3130" s="503" t="s">
        <v>29113</v>
      </c>
      <c r="F3130" t="str">
        <f t="shared" si="97"/>
        <v>97882</v>
      </c>
      <c r="H3130" s="14">
        <f t="shared" si="98"/>
        <v>297.81</v>
      </c>
    </row>
    <row r="3131" spans="1:8" ht="41.4">
      <c r="A3131" s="502" t="s">
        <v>12742</v>
      </c>
      <c r="B3131" s="504" t="s">
        <v>12743</v>
      </c>
      <c r="C3131" s="502" t="s">
        <v>114</v>
      </c>
      <c r="D3131" s="503" t="s">
        <v>32456</v>
      </c>
      <c r="F3131" t="str">
        <f t="shared" si="97"/>
        <v>97883</v>
      </c>
      <c r="H3131" s="14">
        <f t="shared" si="98"/>
        <v>574.16999999999996</v>
      </c>
    </row>
    <row r="3132" spans="1:8" ht="41.4">
      <c r="A3132" s="502" t="s">
        <v>12744</v>
      </c>
      <c r="B3132" s="504" t="s">
        <v>12745</v>
      </c>
      <c r="C3132" s="502" t="s">
        <v>114</v>
      </c>
      <c r="D3132" s="503" t="s">
        <v>32457</v>
      </c>
      <c r="F3132" t="str">
        <f t="shared" si="97"/>
        <v>97884</v>
      </c>
      <c r="H3132" s="14">
        <f t="shared" si="98"/>
        <v>1122.3800000000001</v>
      </c>
    </row>
    <row r="3133" spans="1:8" ht="41.4">
      <c r="A3133" s="502" t="s">
        <v>12746</v>
      </c>
      <c r="B3133" s="504" t="s">
        <v>12747</v>
      </c>
      <c r="C3133" s="502" t="s">
        <v>114</v>
      </c>
      <c r="D3133" s="503" t="s">
        <v>32458</v>
      </c>
      <c r="F3133" t="str">
        <f t="shared" si="97"/>
        <v>97885</v>
      </c>
      <c r="H3133" s="14">
        <f t="shared" si="98"/>
        <v>1725.93</v>
      </c>
    </row>
    <row r="3134" spans="1:8" ht="41.4">
      <c r="A3134" s="502" t="s">
        <v>7708</v>
      </c>
      <c r="B3134" s="504" t="s">
        <v>12748</v>
      </c>
      <c r="C3134" s="502" t="s">
        <v>114</v>
      </c>
      <c r="D3134" s="503" t="s">
        <v>32459</v>
      </c>
      <c r="F3134" t="str">
        <f t="shared" si="97"/>
        <v>97886</v>
      </c>
      <c r="H3134" s="14">
        <f t="shared" si="98"/>
        <v>223.7</v>
      </c>
    </row>
    <row r="3135" spans="1:8" ht="41.4">
      <c r="A3135" s="502" t="s">
        <v>7709</v>
      </c>
      <c r="B3135" s="504" t="s">
        <v>12749</v>
      </c>
      <c r="C3135" s="502" t="s">
        <v>114</v>
      </c>
      <c r="D3135" s="503" t="s">
        <v>32460</v>
      </c>
      <c r="F3135" t="str">
        <f t="shared" si="97"/>
        <v>97887</v>
      </c>
      <c r="H3135" s="14">
        <f t="shared" si="98"/>
        <v>350.49</v>
      </c>
    </row>
    <row r="3136" spans="1:8" ht="41.4">
      <c r="A3136" s="502" t="s">
        <v>7710</v>
      </c>
      <c r="B3136" s="504" t="s">
        <v>12750</v>
      </c>
      <c r="C3136" s="502" t="s">
        <v>114</v>
      </c>
      <c r="D3136" s="503" t="s">
        <v>32461</v>
      </c>
      <c r="F3136" t="str">
        <f t="shared" si="97"/>
        <v>97888</v>
      </c>
      <c r="H3136" s="14">
        <f t="shared" si="98"/>
        <v>668.09</v>
      </c>
    </row>
    <row r="3137" spans="1:8" ht="41.4">
      <c r="A3137" s="502" t="s">
        <v>7711</v>
      </c>
      <c r="B3137" s="504" t="s">
        <v>12751</v>
      </c>
      <c r="C3137" s="502" t="s">
        <v>114</v>
      </c>
      <c r="D3137" s="503" t="s">
        <v>32462</v>
      </c>
      <c r="F3137" t="str">
        <f t="shared" si="97"/>
        <v>97889</v>
      </c>
      <c r="H3137" s="14">
        <f t="shared" si="98"/>
        <v>911.4</v>
      </c>
    </row>
    <row r="3138" spans="1:8" ht="41.4">
      <c r="A3138" s="502" t="s">
        <v>7712</v>
      </c>
      <c r="B3138" s="504" t="s">
        <v>12752</v>
      </c>
      <c r="C3138" s="502" t="s">
        <v>114</v>
      </c>
      <c r="D3138" s="503" t="s">
        <v>32463</v>
      </c>
      <c r="F3138" t="str">
        <f t="shared" si="97"/>
        <v>97890</v>
      </c>
      <c r="H3138" s="14">
        <f t="shared" si="98"/>
        <v>1024.29</v>
      </c>
    </row>
    <row r="3139" spans="1:8" ht="41.4">
      <c r="A3139" s="502" t="s">
        <v>7713</v>
      </c>
      <c r="B3139" s="504" t="s">
        <v>12753</v>
      </c>
      <c r="C3139" s="502" t="s">
        <v>114</v>
      </c>
      <c r="D3139" s="503" t="s">
        <v>32464</v>
      </c>
      <c r="F3139" t="str">
        <f t="shared" si="97"/>
        <v>97891</v>
      </c>
      <c r="H3139" s="14">
        <f t="shared" si="98"/>
        <v>290.77999999999997</v>
      </c>
    </row>
    <row r="3140" spans="1:8" ht="41.4">
      <c r="A3140" s="502" t="s">
        <v>7714</v>
      </c>
      <c r="B3140" s="504" t="s">
        <v>12754</v>
      </c>
      <c r="C3140" s="502" t="s">
        <v>114</v>
      </c>
      <c r="D3140" s="503" t="s">
        <v>32465</v>
      </c>
      <c r="F3140" t="str">
        <f t="shared" si="97"/>
        <v>97892</v>
      </c>
      <c r="H3140" s="14">
        <f t="shared" si="98"/>
        <v>541.85</v>
      </c>
    </row>
    <row r="3141" spans="1:8" ht="41.4">
      <c r="A3141" s="502" t="s">
        <v>7715</v>
      </c>
      <c r="B3141" s="504" t="s">
        <v>12755</v>
      </c>
      <c r="C3141" s="502" t="s">
        <v>114</v>
      </c>
      <c r="D3141" s="503" t="s">
        <v>32466</v>
      </c>
      <c r="F3141" t="str">
        <f t="shared" ref="F3141:F3204" si="99">TRIM(A3141)</f>
        <v>97893</v>
      </c>
      <c r="H3141" s="14">
        <f t="shared" ref="H3141:H3204" si="100">ROUND(D3141*(1+$H$1),2)</f>
        <v>750.34</v>
      </c>
    </row>
    <row r="3142" spans="1:8" ht="41.4">
      <c r="A3142" s="502" t="s">
        <v>7716</v>
      </c>
      <c r="B3142" s="504" t="s">
        <v>12756</v>
      </c>
      <c r="C3142" s="502" t="s">
        <v>114</v>
      </c>
      <c r="D3142" s="503" t="s">
        <v>32467</v>
      </c>
      <c r="F3142" t="str">
        <f t="shared" si="99"/>
        <v>97894</v>
      </c>
      <c r="H3142" s="14">
        <f t="shared" si="100"/>
        <v>829.15</v>
      </c>
    </row>
    <row r="3143" spans="1:8" ht="41.4">
      <c r="A3143" s="502" t="s">
        <v>24652</v>
      </c>
      <c r="B3143" s="504" t="s">
        <v>24653</v>
      </c>
      <c r="C3143" s="502" t="s">
        <v>114</v>
      </c>
      <c r="D3143" s="503" t="s">
        <v>29754</v>
      </c>
      <c r="F3143" t="str">
        <f t="shared" si="99"/>
        <v>104396</v>
      </c>
      <c r="H3143" s="14">
        <f t="shared" si="100"/>
        <v>32.43</v>
      </c>
    </row>
    <row r="3144" spans="1:8" ht="41.4">
      <c r="A3144" s="502" t="s">
        <v>24654</v>
      </c>
      <c r="B3144" s="504" t="s">
        <v>24655</v>
      </c>
      <c r="C3144" s="502" t="s">
        <v>114</v>
      </c>
      <c r="D3144" s="503" t="s">
        <v>31921</v>
      </c>
      <c r="F3144" t="str">
        <f t="shared" si="99"/>
        <v>104397</v>
      </c>
      <c r="H3144" s="14">
        <f t="shared" si="100"/>
        <v>38.36</v>
      </c>
    </row>
    <row r="3145" spans="1:8" ht="41.4">
      <c r="A3145" s="502" t="s">
        <v>24656</v>
      </c>
      <c r="B3145" s="504" t="s">
        <v>24657</v>
      </c>
      <c r="C3145" s="502" t="s">
        <v>114</v>
      </c>
      <c r="D3145" s="503" t="s">
        <v>18638</v>
      </c>
      <c r="F3145" t="str">
        <f t="shared" si="99"/>
        <v>104398</v>
      </c>
      <c r="H3145" s="14">
        <f t="shared" si="100"/>
        <v>37.880000000000003</v>
      </c>
    </row>
    <row r="3146" spans="1:8" ht="41.4">
      <c r="A3146" s="502" t="s">
        <v>24658</v>
      </c>
      <c r="B3146" s="504" t="s">
        <v>24659</v>
      </c>
      <c r="C3146" s="502" t="s">
        <v>114</v>
      </c>
      <c r="D3146" s="503" t="s">
        <v>9868</v>
      </c>
      <c r="F3146" t="str">
        <f t="shared" si="99"/>
        <v>104399</v>
      </c>
      <c r="H3146" s="14">
        <f t="shared" si="100"/>
        <v>42.68</v>
      </c>
    </row>
    <row r="3147" spans="1:8" ht="41.4">
      <c r="A3147" s="502" t="s">
        <v>24660</v>
      </c>
      <c r="B3147" s="504" t="s">
        <v>24661</v>
      </c>
      <c r="C3147" s="502" t="s">
        <v>114</v>
      </c>
      <c r="D3147" s="503" t="s">
        <v>10754</v>
      </c>
      <c r="F3147" t="str">
        <f t="shared" si="99"/>
        <v>104400</v>
      </c>
      <c r="H3147" s="14">
        <f t="shared" si="100"/>
        <v>54.9</v>
      </c>
    </row>
    <row r="3148" spans="1:8" ht="41.4">
      <c r="A3148" s="502" t="s">
        <v>24662</v>
      </c>
      <c r="B3148" s="504" t="s">
        <v>24663</v>
      </c>
      <c r="C3148" s="502" t="s">
        <v>114</v>
      </c>
      <c r="D3148" s="503" t="s">
        <v>7481</v>
      </c>
      <c r="F3148" t="str">
        <f t="shared" si="99"/>
        <v>104401</v>
      </c>
      <c r="H3148" s="14">
        <f t="shared" si="100"/>
        <v>35.54</v>
      </c>
    </row>
    <row r="3149" spans="1:8" ht="41.4">
      <c r="A3149" s="502" t="s">
        <v>24664</v>
      </c>
      <c r="B3149" s="504" t="s">
        <v>24665</v>
      </c>
      <c r="C3149" s="502" t="s">
        <v>114</v>
      </c>
      <c r="D3149" s="503" t="s">
        <v>7349</v>
      </c>
      <c r="F3149" t="str">
        <f t="shared" si="99"/>
        <v>104402</v>
      </c>
      <c r="H3149" s="14">
        <f t="shared" si="100"/>
        <v>38.200000000000003</v>
      </c>
    </row>
    <row r="3150" spans="1:8" ht="41.4">
      <c r="A3150" s="502" t="s">
        <v>24666</v>
      </c>
      <c r="B3150" s="504" t="s">
        <v>24667</v>
      </c>
      <c r="C3150" s="502" t="s">
        <v>114</v>
      </c>
      <c r="D3150" s="503" t="s">
        <v>32468</v>
      </c>
      <c r="F3150" t="str">
        <f t="shared" si="99"/>
        <v>104403</v>
      </c>
      <c r="H3150" s="14">
        <f t="shared" si="100"/>
        <v>47.45</v>
      </c>
    </row>
    <row r="3151" spans="1:8" ht="41.4">
      <c r="A3151" s="502" t="s">
        <v>24668</v>
      </c>
      <c r="B3151" s="504" t="s">
        <v>24669</v>
      </c>
      <c r="C3151" s="502" t="s">
        <v>114</v>
      </c>
      <c r="D3151" s="503" t="s">
        <v>32469</v>
      </c>
      <c r="F3151" t="str">
        <f t="shared" si="99"/>
        <v>104404</v>
      </c>
      <c r="H3151" s="14">
        <f t="shared" si="100"/>
        <v>49.74</v>
      </c>
    </row>
    <row r="3152" spans="1:8" ht="41.4">
      <c r="A3152" s="502" t="s">
        <v>24670</v>
      </c>
      <c r="B3152" s="504" t="s">
        <v>24671</v>
      </c>
      <c r="C3152" s="502" t="s">
        <v>114</v>
      </c>
      <c r="D3152" s="503" t="s">
        <v>29916</v>
      </c>
      <c r="F3152" t="str">
        <f t="shared" si="99"/>
        <v>104405</v>
      </c>
      <c r="H3152" s="14">
        <f t="shared" si="100"/>
        <v>67.209999999999994</v>
      </c>
    </row>
    <row r="3153" spans="1:8" ht="27.6">
      <c r="A3153" s="502" t="s">
        <v>4845</v>
      </c>
      <c r="B3153" s="504" t="s">
        <v>12757</v>
      </c>
      <c r="C3153" s="502" t="s">
        <v>114</v>
      </c>
      <c r="D3153" s="503" t="s">
        <v>9866</v>
      </c>
      <c r="F3153" t="str">
        <f t="shared" si="99"/>
        <v>93653</v>
      </c>
      <c r="H3153" s="14">
        <f t="shared" si="100"/>
        <v>15.22</v>
      </c>
    </row>
    <row r="3154" spans="1:8" ht="27.6">
      <c r="A3154" s="502" t="s">
        <v>4846</v>
      </c>
      <c r="B3154" s="504" t="s">
        <v>12758</v>
      </c>
      <c r="C3154" s="502" t="s">
        <v>114</v>
      </c>
      <c r="D3154" s="503" t="s">
        <v>16234</v>
      </c>
      <c r="F3154" t="str">
        <f t="shared" si="99"/>
        <v>93654</v>
      </c>
      <c r="H3154" s="14">
        <f t="shared" si="100"/>
        <v>16.28</v>
      </c>
    </row>
    <row r="3155" spans="1:8" ht="27.6">
      <c r="A3155" s="502" t="s">
        <v>4847</v>
      </c>
      <c r="B3155" s="504" t="s">
        <v>12759</v>
      </c>
      <c r="C3155" s="502" t="s">
        <v>114</v>
      </c>
      <c r="D3155" s="503" t="s">
        <v>28052</v>
      </c>
      <c r="F3155" t="str">
        <f t="shared" si="99"/>
        <v>93655</v>
      </c>
      <c r="H3155" s="14">
        <f t="shared" si="100"/>
        <v>18.32</v>
      </c>
    </row>
    <row r="3156" spans="1:8" ht="27.6">
      <c r="A3156" s="502" t="s">
        <v>4849</v>
      </c>
      <c r="B3156" s="504" t="s">
        <v>12760</v>
      </c>
      <c r="C3156" s="502" t="s">
        <v>114</v>
      </c>
      <c r="D3156" s="503" t="s">
        <v>28052</v>
      </c>
      <c r="F3156" t="str">
        <f t="shared" si="99"/>
        <v>93656</v>
      </c>
      <c r="H3156" s="14">
        <f t="shared" si="100"/>
        <v>18.32</v>
      </c>
    </row>
    <row r="3157" spans="1:8" ht="27.6">
      <c r="A3157" s="502" t="s">
        <v>4850</v>
      </c>
      <c r="B3157" s="504" t="s">
        <v>12761</v>
      </c>
      <c r="C3157" s="502" t="s">
        <v>114</v>
      </c>
      <c r="D3157" s="503" t="s">
        <v>13334</v>
      </c>
      <c r="F3157" t="str">
        <f t="shared" si="99"/>
        <v>93657</v>
      </c>
      <c r="H3157" s="14">
        <f t="shared" si="100"/>
        <v>20.81</v>
      </c>
    </row>
    <row r="3158" spans="1:8" ht="27.6">
      <c r="A3158" s="502" t="s">
        <v>4851</v>
      </c>
      <c r="B3158" s="504" t="s">
        <v>12762</v>
      </c>
      <c r="C3158" s="502" t="s">
        <v>114</v>
      </c>
      <c r="D3158" s="503" t="s">
        <v>9501</v>
      </c>
      <c r="F3158" t="str">
        <f t="shared" si="99"/>
        <v>93658</v>
      </c>
      <c r="H3158" s="14">
        <f t="shared" si="100"/>
        <v>29.97</v>
      </c>
    </row>
    <row r="3159" spans="1:8" ht="27.6">
      <c r="A3159" s="502" t="s">
        <v>4852</v>
      </c>
      <c r="B3159" s="504" t="s">
        <v>12763</v>
      </c>
      <c r="C3159" s="502" t="s">
        <v>114</v>
      </c>
      <c r="D3159" s="503" t="s">
        <v>25688</v>
      </c>
      <c r="F3159" t="str">
        <f t="shared" si="99"/>
        <v>93659</v>
      </c>
      <c r="H3159" s="14">
        <f t="shared" si="100"/>
        <v>35.03</v>
      </c>
    </row>
    <row r="3160" spans="1:8" ht="27.6">
      <c r="A3160" s="502" t="s">
        <v>4853</v>
      </c>
      <c r="B3160" s="504" t="s">
        <v>12764</v>
      </c>
      <c r="C3160" s="502" t="s">
        <v>114</v>
      </c>
      <c r="D3160" s="503" t="s">
        <v>28026</v>
      </c>
      <c r="F3160" t="str">
        <f t="shared" si="99"/>
        <v>93660</v>
      </c>
      <c r="H3160" s="14">
        <f t="shared" si="100"/>
        <v>70.8</v>
      </c>
    </row>
    <row r="3161" spans="1:8" ht="27.6">
      <c r="A3161" s="502" t="s">
        <v>4854</v>
      </c>
      <c r="B3161" s="504" t="s">
        <v>12765</v>
      </c>
      <c r="C3161" s="502" t="s">
        <v>114</v>
      </c>
      <c r="D3161" s="503" t="s">
        <v>27889</v>
      </c>
      <c r="F3161" t="str">
        <f t="shared" si="99"/>
        <v>93661</v>
      </c>
      <c r="H3161" s="14">
        <f t="shared" si="100"/>
        <v>72.91</v>
      </c>
    </row>
    <row r="3162" spans="1:8" ht="27.6">
      <c r="A3162" s="502" t="s">
        <v>4855</v>
      </c>
      <c r="B3162" s="504" t="s">
        <v>12766</v>
      </c>
      <c r="C3162" s="502" t="s">
        <v>114</v>
      </c>
      <c r="D3162" s="503" t="s">
        <v>32470</v>
      </c>
      <c r="F3162" t="str">
        <f t="shared" si="99"/>
        <v>93662</v>
      </c>
      <c r="H3162" s="14">
        <f t="shared" si="100"/>
        <v>76.989999999999995</v>
      </c>
    </row>
    <row r="3163" spans="1:8" ht="27.6">
      <c r="A3163" s="502" t="s">
        <v>4856</v>
      </c>
      <c r="B3163" s="504" t="s">
        <v>12767</v>
      </c>
      <c r="C3163" s="502" t="s">
        <v>114</v>
      </c>
      <c r="D3163" s="503" t="s">
        <v>32470</v>
      </c>
      <c r="F3163" t="str">
        <f t="shared" si="99"/>
        <v>93663</v>
      </c>
      <c r="H3163" s="14">
        <f t="shared" si="100"/>
        <v>76.989999999999995</v>
      </c>
    </row>
    <row r="3164" spans="1:8" ht="27.6">
      <c r="A3164" s="502" t="s">
        <v>4857</v>
      </c>
      <c r="B3164" s="504" t="s">
        <v>12768</v>
      </c>
      <c r="C3164" s="502" t="s">
        <v>114</v>
      </c>
      <c r="D3164" s="503" t="s">
        <v>32471</v>
      </c>
      <c r="F3164" t="str">
        <f t="shared" si="99"/>
        <v>93664</v>
      </c>
      <c r="H3164" s="14">
        <f t="shared" si="100"/>
        <v>81.96</v>
      </c>
    </row>
    <row r="3165" spans="1:8" ht="27.6">
      <c r="A3165" s="502" t="s">
        <v>4858</v>
      </c>
      <c r="B3165" s="504" t="s">
        <v>12769</v>
      </c>
      <c r="C3165" s="502" t="s">
        <v>114</v>
      </c>
      <c r="D3165" s="503" t="s">
        <v>32472</v>
      </c>
      <c r="F3165" t="str">
        <f t="shared" si="99"/>
        <v>93665</v>
      </c>
      <c r="H3165" s="14">
        <f t="shared" si="100"/>
        <v>88.9</v>
      </c>
    </row>
    <row r="3166" spans="1:8" ht="27.6">
      <c r="A3166" s="502" t="s">
        <v>4859</v>
      </c>
      <c r="B3166" s="504" t="s">
        <v>12770</v>
      </c>
      <c r="C3166" s="502" t="s">
        <v>114</v>
      </c>
      <c r="D3166" s="503" t="s">
        <v>32473</v>
      </c>
      <c r="F3166" t="str">
        <f t="shared" si="99"/>
        <v>93666</v>
      </c>
      <c r="H3166" s="14">
        <f t="shared" si="100"/>
        <v>99.03</v>
      </c>
    </row>
    <row r="3167" spans="1:8" ht="27.6">
      <c r="A3167" s="502" t="s">
        <v>4860</v>
      </c>
      <c r="B3167" s="504" t="s">
        <v>12771</v>
      </c>
      <c r="C3167" s="502" t="s">
        <v>114</v>
      </c>
      <c r="D3167" s="503" t="s">
        <v>32474</v>
      </c>
      <c r="F3167" t="str">
        <f t="shared" si="99"/>
        <v>93667</v>
      </c>
      <c r="H3167" s="14">
        <f t="shared" si="100"/>
        <v>89.18</v>
      </c>
    </row>
    <row r="3168" spans="1:8" ht="27.6">
      <c r="A3168" s="502" t="s">
        <v>4861</v>
      </c>
      <c r="B3168" s="504" t="s">
        <v>12772</v>
      </c>
      <c r="C3168" s="502" t="s">
        <v>114</v>
      </c>
      <c r="D3168" s="503" t="s">
        <v>28290</v>
      </c>
      <c r="F3168" t="str">
        <f t="shared" si="99"/>
        <v>93668</v>
      </c>
      <c r="H3168" s="14">
        <f t="shared" si="100"/>
        <v>92.37</v>
      </c>
    </row>
    <row r="3169" spans="1:8" ht="27.6">
      <c r="A3169" s="502" t="s">
        <v>4862</v>
      </c>
      <c r="B3169" s="504" t="s">
        <v>12773</v>
      </c>
      <c r="C3169" s="502" t="s">
        <v>114</v>
      </c>
      <c r="D3169" s="503" t="s">
        <v>32475</v>
      </c>
      <c r="F3169" t="str">
        <f t="shared" si="99"/>
        <v>93669</v>
      </c>
      <c r="H3169" s="14">
        <f t="shared" si="100"/>
        <v>98.47</v>
      </c>
    </row>
    <row r="3170" spans="1:8" ht="27.6">
      <c r="A3170" s="502" t="s">
        <v>4863</v>
      </c>
      <c r="B3170" s="504" t="s">
        <v>12774</v>
      </c>
      <c r="C3170" s="502" t="s">
        <v>114</v>
      </c>
      <c r="D3170" s="503" t="s">
        <v>32475</v>
      </c>
      <c r="F3170" t="str">
        <f t="shared" si="99"/>
        <v>93670</v>
      </c>
      <c r="H3170" s="14">
        <f t="shared" si="100"/>
        <v>98.47</v>
      </c>
    </row>
    <row r="3171" spans="1:8" ht="27.6">
      <c r="A3171" s="502" t="s">
        <v>4864</v>
      </c>
      <c r="B3171" s="504" t="s">
        <v>12775</v>
      </c>
      <c r="C3171" s="502" t="s">
        <v>114</v>
      </c>
      <c r="D3171" s="503" t="s">
        <v>29127</v>
      </c>
      <c r="F3171" t="str">
        <f t="shared" si="99"/>
        <v>93671</v>
      </c>
      <c r="H3171" s="14">
        <f t="shared" si="100"/>
        <v>105.92</v>
      </c>
    </row>
    <row r="3172" spans="1:8" ht="27.6">
      <c r="A3172" s="502" t="s">
        <v>4865</v>
      </c>
      <c r="B3172" s="504" t="s">
        <v>12776</v>
      </c>
      <c r="C3172" s="502" t="s">
        <v>114</v>
      </c>
      <c r="D3172" s="503" t="s">
        <v>32476</v>
      </c>
      <c r="F3172" t="str">
        <f t="shared" si="99"/>
        <v>93672</v>
      </c>
      <c r="H3172" s="14">
        <f t="shared" si="100"/>
        <v>117.75</v>
      </c>
    </row>
    <row r="3173" spans="1:8" ht="27.6">
      <c r="A3173" s="502" t="s">
        <v>4866</v>
      </c>
      <c r="B3173" s="504" t="s">
        <v>12777</v>
      </c>
      <c r="C3173" s="502" t="s">
        <v>114</v>
      </c>
      <c r="D3173" s="503" t="s">
        <v>32048</v>
      </c>
      <c r="F3173" t="str">
        <f t="shared" si="99"/>
        <v>93673</v>
      </c>
      <c r="H3173" s="14">
        <f t="shared" si="100"/>
        <v>132.96</v>
      </c>
    </row>
    <row r="3174" spans="1:8" ht="27.6">
      <c r="A3174" s="502" t="s">
        <v>12778</v>
      </c>
      <c r="B3174" s="504" t="s">
        <v>12779</v>
      </c>
      <c r="C3174" s="502" t="s">
        <v>114</v>
      </c>
      <c r="D3174" s="503" t="s">
        <v>32477</v>
      </c>
      <c r="F3174" t="str">
        <f t="shared" si="99"/>
        <v>97359</v>
      </c>
      <c r="H3174" s="14">
        <f t="shared" si="100"/>
        <v>4991.1099999999997</v>
      </c>
    </row>
    <row r="3175" spans="1:8" ht="27.6">
      <c r="A3175" s="502" t="s">
        <v>12780</v>
      </c>
      <c r="B3175" s="504" t="s">
        <v>12781</v>
      </c>
      <c r="C3175" s="502" t="s">
        <v>114</v>
      </c>
      <c r="D3175" s="503" t="s">
        <v>32478</v>
      </c>
      <c r="F3175" t="str">
        <f t="shared" si="99"/>
        <v>97360</v>
      </c>
      <c r="H3175" s="14">
        <f t="shared" si="100"/>
        <v>9591.93</v>
      </c>
    </row>
    <row r="3176" spans="1:8" ht="27.6">
      <c r="A3176" s="502" t="s">
        <v>12782</v>
      </c>
      <c r="B3176" s="504" t="s">
        <v>12783</v>
      </c>
      <c r="C3176" s="502" t="s">
        <v>114</v>
      </c>
      <c r="D3176" s="503" t="s">
        <v>32479</v>
      </c>
      <c r="F3176" t="str">
        <f t="shared" si="99"/>
        <v>97361</v>
      </c>
      <c r="H3176" s="14">
        <f t="shared" si="100"/>
        <v>12789.24</v>
      </c>
    </row>
    <row r="3177" spans="1:8" ht="41.4">
      <c r="A3177" s="502" t="s">
        <v>12784</v>
      </c>
      <c r="B3177" s="504" t="s">
        <v>12785</v>
      </c>
      <c r="C3177" s="502" t="s">
        <v>114</v>
      </c>
      <c r="D3177" s="503" t="s">
        <v>32480</v>
      </c>
      <c r="F3177" t="str">
        <f t="shared" si="99"/>
        <v>97362</v>
      </c>
      <c r="H3177" s="14">
        <f t="shared" si="100"/>
        <v>2231.63</v>
      </c>
    </row>
    <row r="3178" spans="1:8" ht="55.2">
      <c r="A3178" s="502" t="s">
        <v>12786</v>
      </c>
      <c r="B3178" s="504" t="s">
        <v>12787</v>
      </c>
      <c r="C3178" s="502" t="s">
        <v>114</v>
      </c>
      <c r="D3178" s="503" t="s">
        <v>32481</v>
      </c>
      <c r="F3178" t="str">
        <f t="shared" si="99"/>
        <v>101875</v>
      </c>
      <c r="H3178" s="14">
        <f t="shared" si="100"/>
        <v>488.99</v>
      </c>
    </row>
    <row r="3179" spans="1:8" ht="41.4">
      <c r="A3179" s="502" t="s">
        <v>12788</v>
      </c>
      <c r="B3179" s="504" t="s">
        <v>12789</v>
      </c>
      <c r="C3179" s="502" t="s">
        <v>114</v>
      </c>
      <c r="D3179" s="503" t="s">
        <v>15516</v>
      </c>
      <c r="F3179" t="str">
        <f t="shared" si="99"/>
        <v>101876</v>
      </c>
      <c r="H3179" s="14">
        <f t="shared" si="100"/>
        <v>116.39</v>
      </c>
    </row>
    <row r="3180" spans="1:8" ht="41.4">
      <c r="A3180" s="502" t="s">
        <v>12790</v>
      </c>
      <c r="B3180" s="504" t="s">
        <v>12791</v>
      </c>
      <c r="C3180" s="502" t="s">
        <v>114</v>
      </c>
      <c r="D3180" s="503" t="s">
        <v>28508</v>
      </c>
      <c r="F3180" t="str">
        <f t="shared" si="99"/>
        <v>101877</v>
      </c>
      <c r="H3180" s="14">
        <f t="shared" si="100"/>
        <v>81.5</v>
      </c>
    </row>
    <row r="3181" spans="1:8" ht="55.2">
      <c r="A3181" s="502" t="s">
        <v>12792</v>
      </c>
      <c r="B3181" s="504" t="s">
        <v>12793</v>
      </c>
      <c r="C3181" s="502" t="s">
        <v>114</v>
      </c>
      <c r="D3181" s="503" t="s">
        <v>32482</v>
      </c>
      <c r="F3181" t="str">
        <f t="shared" si="99"/>
        <v>101878</v>
      </c>
      <c r="H3181" s="14">
        <f t="shared" si="100"/>
        <v>697.54</v>
      </c>
    </row>
    <row r="3182" spans="1:8" ht="55.2">
      <c r="A3182" s="502" t="s">
        <v>12794</v>
      </c>
      <c r="B3182" s="504" t="s">
        <v>12795</v>
      </c>
      <c r="C3182" s="502" t="s">
        <v>114</v>
      </c>
      <c r="D3182" s="503" t="s">
        <v>32483</v>
      </c>
      <c r="F3182" t="str">
        <f t="shared" si="99"/>
        <v>101879</v>
      </c>
      <c r="H3182" s="14">
        <f t="shared" si="100"/>
        <v>702.76</v>
      </c>
    </row>
    <row r="3183" spans="1:8" ht="55.2">
      <c r="A3183" s="502" t="s">
        <v>12796</v>
      </c>
      <c r="B3183" s="504" t="s">
        <v>12797</v>
      </c>
      <c r="C3183" s="502" t="s">
        <v>114</v>
      </c>
      <c r="D3183" s="503" t="s">
        <v>32484</v>
      </c>
      <c r="F3183" t="str">
        <f t="shared" si="99"/>
        <v>101880</v>
      </c>
      <c r="H3183" s="14">
        <f t="shared" si="100"/>
        <v>810.09</v>
      </c>
    </row>
    <row r="3184" spans="1:8" ht="55.2">
      <c r="A3184" s="502" t="s">
        <v>12798</v>
      </c>
      <c r="B3184" s="504" t="s">
        <v>12799</v>
      </c>
      <c r="C3184" s="502" t="s">
        <v>114</v>
      </c>
      <c r="D3184" s="503" t="s">
        <v>32485</v>
      </c>
      <c r="F3184" t="str">
        <f t="shared" si="99"/>
        <v>101881</v>
      </c>
      <c r="H3184" s="14">
        <f t="shared" si="100"/>
        <v>1155.52</v>
      </c>
    </row>
    <row r="3185" spans="1:8" ht="55.2">
      <c r="A3185" s="502" t="s">
        <v>12800</v>
      </c>
      <c r="B3185" s="504" t="s">
        <v>12801</v>
      </c>
      <c r="C3185" s="502" t="s">
        <v>114</v>
      </c>
      <c r="D3185" s="503" t="s">
        <v>32486</v>
      </c>
      <c r="F3185" t="str">
        <f t="shared" si="99"/>
        <v>101882</v>
      </c>
      <c r="H3185" s="14">
        <f t="shared" si="100"/>
        <v>1631.39</v>
      </c>
    </row>
    <row r="3186" spans="1:8" ht="55.2">
      <c r="A3186" s="502" t="s">
        <v>12802</v>
      </c>
      <c r="B3186" s="504" t="s">
        <v>12803</v>
      </c>
      <c r="C3186" s="502" t="s">
        <v>114</v>
      </c>
      <c r="D3186" s="503" t="s">
        <v>32487</v>
      </c>
      <c r="F3186" t="str">
        <f t="shared" si="99"/>
        <v>101883</v>
      </c>
      <c r="H3186" s="14">
        <f t="shared" si="100"/>
        <v>670.58</v>
      </c>
    </row>
    <row r="3187" spans="1:8" ht="27.6">
      <c r="A3187" s="502" t="s">
        <v>12804</v>
      </c>
      <c r="B3187" s="504" t="s">
        <v>12805</v>
      </c>
      <c r="C3187" s="502" t="s">
        <v>114</v>
      </c>
      <c r="D3187" s="503" t="s">
        <v>31204</v>
      </c>
      <c r="F3187" t="str">
        <f t="shared" si="99"/>
        <v>101890</v>
      </c>
      <c r="H3187" s="14">
        <f t="shared" si="100"/>
        <v>21.52</v>
      </c>
    </row>
    <row r="3188" spans="1:8" ht="27.6">
      <c r="A3188" s="502" t="s">
        <v>12807</v>
      </c>
      <c r="B3188" s="504" t="s">
        <v>12808</v>
      </c>
      <c r="C3188" s="502" t="s">
        <v>114</v>
      </c>
      <c r="D3188" s="503" t="s">
        <v>32488</v>
      </c>
      <c r="F3188" t="str">
        <f t="shared" si="99"/>
        <v>101891</v>
      </c>
      <c r="H3188" s="14">
        <f t="shared" si="100"/>
        <v>37.42</v>
      </c>
    </row>
    <row r="3189" spans="1:8" ht="27.6">
      <c r="A3189" s="502" t="s">
        <v>12809</v>
      </c>
      <c r="B3189" s="504" t="s">
        <v>12810</v>
      </c>
      <c r="C3189" s="502" t="s">
        <v>114</v>
      </c>
      <c r="D3189" s="503" t="s">
        <v>23976</v>
      </c>
      <c r="F3189" t="str">
        <f t="shared" si="99"/>
        <v>101892</v>
      </c>
      <c r="H3189" s="14">
        <f t="shared" si="100"/>
        <v>90.37</v>
      </c>
    </row>
    <row r="3190" spans="1:8" ht="27.6">
      <c r="A3190" s="502" t="s">
        <v>12811</v>
      </c>
      <c r="B3190" s="504" t="s">
        <v>12812</v>
      </c>
      <c r="C3190" s="502" t="s">
        <v>114</v>
      </c>
      <c r="D3190" s="503" t="s">
        <v>32489</v>
      </c>
      <c r="F3190" t="str">
        <f t="shared" si="99"/>
        <v>101893</v>
      </c>
      <c r="H3190" s="14">
        <f t="shared" si="100"/>
        <v>116.53</v>
      </c>
    </row>
    <row r="3191" spans="1:8" ht="27.6">
      <c r="A3191" s="502" t="s">
        <v>12813</v>
      </c>
      <c r="B3191" s="504" t="s">
        <v>12814</v>
      </c>
      <c r="C3191" s="502" t="s">
        <v>114</v>
      </c>
      <c r="D3191" s="503" t="s">
        <v>32490</v>
      </c>
      <c r="F3191" t="str">
        <f t="shared" si="99"/>
        <v>101894</v>
      </c>
      <c r="H3191" s="14">
        <f t="shared" si="100"/>
        <v>211.12</v>
      </c>
    </row>
    <row r="3192" spans="1:8" ht="41.4">
      <c r="A3192" s="502" t="s">
        <v>12815</v>
      </c>
      <c r="B3192" s="504" t="s">
        <v>12816</v>
      </c>
      <c r="C3192" s="502" t="s">
        <v>114</v>
      </c>
      <c r="D3192" s="503" t="s">
        <v>32491</v>
      </c>
      <c r="F3192" t="str">
        <f t="shared" si="99"/>
        <v>101895</v>
      </c>
      <c r="H3192" s="14">
        <f t="shared" si="100"/>
        <v>550.17999999999995</v>
      </c>
    </row>
    <row r="3193" spans="1:8" ht="41.4">
      <c r="A3193" s="502" t="s">
        <v>12817</v>
      </c>
      <c r="B3193" s="504" t="s">
        <v>12818</v>
      </c>
      <c r="C3193" s="502" t="s">
        <v>114</v>
      </c>
      <c r="D3193" s="503" t="s">
        <v>32492</v>
      </c>
      <c r="F3193" t="str">
        <f t="shared" si="99"/>
        <v>101896</v>
      </c>
      <c r="H3193" s="14">
        <f t="shared" si="100"/>
        <v>807.68</v>
      </c>
    </row>
    <row r="3194" spans="1:8" ht="41.4">
      <c r="A3194" s="502" t="s">
        <v>12819</v>
      </c>
      <c r="B3194" s="504" t="s">
        <v>12820</v>
      </c>
      <c r="C3194" s="502" t="s">
        <v>114</v>
      </c>
      <c r="D3194" s="503" t="s">
        <v>32493</v>
      </c>
      <c r="F3194" t="str">
        <f t="shared" si="99"/>
        <v>101897</v>
      </c>
      <c r="H3194" s="14">
        <f t="shared" si="100"/>
        <v>1266.73</v>
      </c>
    </row>
    <row r="3195" spans="1:8" ht="41.4">
      <c r="A3195" s="502" t="s">
        <v>12821</v>
      </c>
      <c r="B3195" s="504" t="s">
        <v>12822</v>
      </c>
      <c r="C3195" s="502" t="s">
        <v>114</v>
      </c>
      <c r="D3195" s="503" t="s">
        <v>32494</v>
      </c>
      <c r="F3195" t="str">
        <f t="shared" si="99"/>
        <v>101898</v>
      </c>
      <c r="H3195" s="14">
        <f t="shared" si="100"/>
        <v>1678.98</v>
      </c>
    </row>
    <row r="3196" spans="1:8" ht="41.4">
      <c r="A3196" s="502" t="s">
        <v>12823</v>
      </c>
      <c r="B3196" s="504" t="s">
        <v>12824</v>
      </c>
      <c r="C3196" s="502" t="s">
        <v>114</v>
      </c>
      <c r="D3196" s="503" t="s">
        <v>32495</v>
      </c>
      <c r="F3196" t="str">
        <f t="shared" si="99"/>
        <v>101899</v>
      </c>
      <c r="H3196" s="14">
        <f t="shared" si="100"/>
        <v>2659.55</v>
      </c>
    </row>
    <row r="3197" spans="1:8" ht="27.6">
      <c r="A3197" s="502" t="s">
        <v>12825</v>
      </c>
      <c r="B3197" s="504" t="s">
        <v>12826</v>
      </c>
      <c r="C3197" s="502" t="s">
        <v>114</v>
      </c>
      <c r="D3197" s="503" t="s">
        <v>32496</v>
      </c>
      <c r="F3197" t="str">
        <f t="shared" si="99"/>
        <v>101900</v>
      </c>
      <c r="H3197" s="14">
        <f t="shared" si="100"/>
        <v>5499.75</v>
      </c>
    </row>
    <row r="3198" spans="1:8" ht="27.6">
      <c r="A3198" s="502" t="s">
        <v>12827</v>
      </c>
      <c r="B3198" s="504" t="s">
        <v>12828</v>
      </c>
      <c r="C3198" s="502" t="s">
        <v>114</v>
      </c>
      <c r="D3198" s="503" t="s">
        <v>32497</v>
      </c>
      <c r="F3198" t="str">
        <f t="shared" si="99"/>
        <v>101901</v>
      </c>
      <c r="H3198" s="14">
        <f t="shared" si="100"/>
        <v>185.67</v>
      </c>
    </row>
    <row r="3199" spans="1:8" ht="27.6">
      <c r="A3199" s="502" t="s">
        <v>12829</v>
      </c>
      <c r="B3199" s="504" t="s">
        <v>12830</v>
      </c>
      <c r="C3199" s="502" t="s">
        <v>114</v>
      </c>
      <c r="D3199" s="503" t="s">
        <v>32498</v>
      </c>
      <c r="F3199" t="str">
        <f t="shared" si="99"/>
        <v>101902</v>
      </c>
      <c r="H3199" s="14">
        <f t="shared" si="100"/>
        <v>230.03</v>
      </c>
    </row>
    <row r="3200" spans="1:8" ht="27.6">
      <c r="A3200" s="502" t="s">
        <v>12831</v>
      </c>
      <c r="B3200" s="504" t="s">
        <v>12832</v>
      </c>
      <c r="C3200" s="502" t="s">
        <v>114</v>
      </c>
      <c r="D3200" s="503" t="s">
        <v>32499</v>
      </c>
      <c r="F3200" t="str">
        <f t="shared" si="99"/>
        <v>101903</v>
      </c>
      <c r="H3200" s="14">
        <f t="shared" si="100"/>
        <v>478.82</v>
      </c>
    </row>
    <row r="3201" spans="1:8" ht="27.6">
      <c r="A3201" s="502" t="s">
        <v>12833</v>
      </c>
      <c r="B3201" s="504" t="s">
        <v>12834</v>
      </c>
      <c r="C3201" s="502" t="s">
        <v>114</v>
      </c>
      <c r="D3201" s="503" t="s">
        <v>32500</v>
      </c>
      <c r="F3201" t="str">
        <f t="shared" si="99"/>
        <v>101904</v>
      </c>
      <c r="H3201" s="14">
        <f t="shared" si="100"/>
        <v>1740.82</v>
      </c>
    </row>
    <row r="3202" spans="1:8" ht="27.6">
      <c r="A3202" s="502" t="s">
        <v>12835</v>
      </c>
      <c r="B3202" s="504" t="s">
        <v>12836</v>
      </c>
      <c r="C3202" s="502" t="s">
        <v>114</v>
      </c>
      <c r="D3202" s="503" t="s">
        <v>28509</v>
      </c>
      <c r="F3202" t="str">
        <f t="shared" si="99"/>
        <v>101938</v>
      </c>
      <c r="H3202" s="14">
        <f t="shared" si="100"/>
        <v>155.41</v>
      </c>
    </row>
    <row r="3203" spans="1:8" ht="27.6">
      <c r="A3203" s="502" t="s">
        <v>12837</v>
      </c>
      <c r="B3203" s="504" t="s">
        <v>12838</v>
      </c>
      <c r="C3203" s="502" t="s">
        <v>114</v>
      </c>
      <c r="D3203" s="503" t="s">
        <v>32501</v>
      </c>
      <c r="F3203" t="str">
        <f t="shared" si="99"/>
        <v>101946</v>
      </c>
      <c r="H3203" s="14">
        <f t="shared" si="100"/>
        <v>245.25</v>
      </c>
    </row>
    <row r="3204" spans="1:8" ht="41.4">
      <c r="A3204" s="502" t="s">
        <v>4867</v>
      </c>
      <c r="B3204" s="504" t="s">
        <v>24674</v>
      </c>
      <c r="C3204" s="502" t="s">
        <v>114</v>
      </c>
      <c r="D3204" s="503" t="s">
        <v>32502</v>
      </c>
      <c r="F3204" t="str">
        <f t="shared" si="99"/>
        <v>91945</v>
      </c>
      <c r="H3204" s="14">
        <f t="shared" si="100"/>
        <v>23.27</v>
      </c>
    </row>
    <row r="3205" spans="1:8" ht="41.4">
      <c r="A3205" s="502" t="s">
        <v>4868</v>
      </c>
      <c r="B3205" s="504" t="s">
        <v>24675</v>
      </c>
      <c r="C3205" s="502" t="s">
        <v>114</v>
      </c>
      <c r="D3205" s="503" t="s">
        <v>6442</v>
      </c>
      <c r="F3205" t="str">
        <f t="shared" ref="F3205:F3268" si="101">TRIM(A3205)</f>
        <v>91946</v>
      </c>
      <c r="H3205" s="14">
        <f t="shared" ref="H3205:H3268" si="102">ROUND(D3205*(1+$H$1),2)</f>
        <v>18.23</v>
      </c>
    </row>
    <row r="3206" spans="1:8" ht="41.4">
      <c r="A3206" s="502" t="s">
        <v>4869</v>
      </c>
      <c r="B3206" s="504" t="s">
        <v>24676</v>
      </c>
      <c r="C3206" s="502" t="s">
        <v>114</v>
      </c>
      <c r="D3206" s="503" t="s">
        <v>29058</v>
      </c>
      <c r="F3206" t="str">
        <f t="shared" si="101"/>
        <v>91947</v>
      </c>
      <c r="H3206" s="14">
        <f t="shared" si="102"/>
        <v>15.06</v>
      </c>
    </row>
    <row r="3207" spans="1:8" ht="41.4">
      <c r="A3207" s="502" t="s">
        <v>4871</v>
      </c>
      <c r="B3207" s="504" t="s">
        <v>24677</v>
      </c>
      <c r="C3207" s="502" t="s">
        <v>114</v>
      </c>
      <c r="D3207" s="503" t="s">
        <v>29300</v>
      </c>
      <c r="F3207" t="str">
        <f t="shared" si="101"/>
        <v>91949</v>
      </c>
      <c r="H3207" s="14">
        <f t="shared" si="102"/>
        <v>32.83</v>
      </c>
    </row>
    <row r="3208" spans="1:8" ht="41.4">
      <c r="A3208" s="502" t="s">
        <v>4872</v>
      </c>
      <c r="B3208" s="504" t="s">
        <v>24678</v>
      </c>
      <c r="C3208" s="502" t="s">
        <v>114</v>
      </c>
      <c r="D3208" s="503" t="s">
        <v>32503</v>
      </c>
      <c r="F3208" t="str">
        <f t="shared" si="101"/>
        <v>91950</v>
      </c>
      <c r="H3208" s="14">
        <f t="shared" si="102"/>
        <v>26.68</v>
      </c>
    </row>
    <row r="3209" spans="1:8" ht="41.4">
      <c r="A3209" s="502" t="s">
        <v>4874</v>
      </c>
      <c r="B3209" s="504" t="s">
        <v>24679</v>
      </c>
      <c r="C3209" s="502" t="s">
        <v>114</v>
      </c>
      <c r="D3209" s="503" t="s">
        <v>16300</v>
      </c>
      <c r="F3209" t="str">
        <f t="shared" si="101"/>
        <v>91951</v>
      </c>
      <c r="H3209" s="14">
        <f t="shared" si="102"/>
        <v>23.01</v>
      </c>
    </row>
    <row r="3210" spans="1:8" ht="41.4">
      <c r="A3210" s="502" t="s">
        <v>4875</v>
      </c>
      <c r="B3210" s="504" t="s">
        <v>24680</v>
      </c>
      <c r="C3210" s="502" t="s">
        <v>114</v>
      </c>
      <c r="D3210" s="503" t="s">
        <v>25009</v>
      </c>
      <c r="F3210" t="str">
        <f t="shared" si="101"/>
        <v>91952</v>
      </c>
      <c r="H3210" s="14">
        <f t="shared" si="102"/>
        <v>31.17</v>
      </c>
    </row>
    <row r="3211" spans="1:8" ht="41.4">
      <c r="A3211" s="502" t="s">
        <v>4876</v>
      </c>
      <c r="B3211" s="504" t="s">
        <v>24681</v>
      </c>
      <c r="C3211" s="502" t="s">
        <v>114</v>
      </c>
      <c r="D3211" s="503" t="s">
        <v>32504</v>
      </c>
      <c r="F3211" t="str">
        <f t="shared" si="101"/>
        <v>91953</v>
      </c>
      <c r="H3211" s="14">
        <f t="shared" si="102"/>
        <v>49.4</v>
      </c>
    </row>
    <row r="3212" spans="1:8" ht="41.4">
      <c r="A3212" s="502" t="s">
        <v>4877</v>
      </c>
      <c r="B3212" s="504" t="s">
        <v>24683</v>
      </c>
      <c r="C3212" s="502" t="s">
        <v>114</v>
      </c>
      <c r="D3212" s="503" t="s">
        <v>28115</v>
      </c>
      <c r="F3212" t="str">
        <f t="shared" si="101"/>
        <v>91954</v>
      </c>
      <c r="H3212" s="14">
        <f t="shared" si="102"/>
        <v>41.87</v>
      </c>
    </row>
    <row r="3213" spans="1:8" ht="41.4">
      <c r="A3213" s="502" t="s">
        <v>4878</v>
      </c>
      <c r="B3213" s="504" t="s">
        <v>24684</v>
      </c>
      <c r="C3213" s="502" t="s">
        <v>114</v>
      </c>
      <c r="D3213" s="503" t="s">
        <v>25499</v>
      </c>
      <c r="F3213" t="str">
        <f t="shared" si="101"/>
        <v>91955</v>
      </c>
      <c r="H3213" s="14">
        <f t="shared" si="102"/>
        <v>60.1</v>
      </c>
    </row>
    <row r="3214" spans="1:8" ht="41.4">
      <c r="A3214" s="502" t="s">
        <v>4879</v>
      </c>
      <c r="B3214" s="504" t="s">
        <v>24685</v>
      </c>
      <c r="C3214" s="502" t="s">
        <v>114</v>
      </c>
      <c r="D3214" s="503" t="s">
        <v>24438</v>
      </c>
      <c r="F3214" t="str">
        <f t="shared" si="101"/>
        <v>91956</v>
      </c>
      <c r="H3214" s="14">
        <f t="shared" si="102"/>
        <v>67.66</v>
      </c>
    </row>
    <row r="3215" spans="1:8" ht="41.4">
      <c r="A3215" s="502" t="s">
        <v>4880</v>
      </c>
      <c r="B3215" s="504" t="s">
        <v>24686</v>
      </c>
      <c r="C3215" s="502" t="s">
        <v>114</v>
      </c>
      <c r="D3215" s="503" t="s">
        <v>32505</v>
      </c>
      <c r="F3215" t="str">
        <f t="shared" si="101"/>
        <v>91957</v>
      </c>
      <c r="H3215" s="14">
        <f t="shared" si="102"/>
        <v>85.89</v>
      </c>
    </row>
    <row r="3216" spans="1:8" ht="41.4">
      <c r="A3216" s="502" t="s">
        <v>4881</v>
      </c>
      <c r="B3216" s="504" t="s">
        <v>24687</v>
      </c>
      <c r="C3216" s="502" t="s">
        <v>114</v>
      </c>
      <c r="D3216" s="503" t="s">
        <v>28080</v>
      </c>
      <c r="F3216" t="str">
        <f t="shared" si="101"/>
        <v>91958</v>
      </c>
      <c r="H3216" s="14">
        <f t="shared" si="102"/>
        <v>57.04</v>
      </c>
    </row>
    <row r="3217" spans="1:8" ht="41.4">
      <c r="A3217" s="502" t="s">
        <v>4882</v>
      </c>
      <c r="B3217" s="504" t="s">
        <v>24688</v>
      </c>
      <c r="C3217" s="502" t="s">
        <v>114</v>
      </c>
      <c r="D3217" s="503" t="s">
        <v>19167</v>
      </c>
      <c r="F3217" t="str">
        <f t="shared" si="101"/>
        <v>91959</v>
      </c>
      <c r="H3217" s="14">
        <f t="shared" si="102"/>
        <v>75.27</v>
      </c>
    </row>
    <row r="3218" spans="1:8" ht="41.4">
      <c r="A3218" s="502" t="s">
        <v>4883</v>
      </c>
      <c r="B3218" s="504" t="s">
        <v>24689</v>
      </c>
      <c r="C3218" s="502" t="s">
        <v>114</v>
      </c>
      <c r="D3218" s="503" t="s">
        <v>32506</v>
      </c>
      <c r="F3218" t="str">
        <f t="shared" si="101"/>
        <v>91960</v>
      </c>
      <c r="H3218" s="14">
        <f t="shared" si="102"/>
        <v>78.44</v>
      </c>
    </row>
    <row r="3219" spans="1:8" ht="41.4">
      <c r="A3219" s="502" t="s">
        <v>4884</v>
      </c>
      <c r="B3219" s="504" t="s">
        <v>24690</v>
      </c>
      <c r="C3219" s="502" t="s">
        <v>114</v>
      </c>
      <c r="D3219" s="503" t="s">
        <v>32507</v>
      </c>
      <c r="F3219" t="str">
        <f t="shared" si="101"/>
        <v>91961</v>
      </c>
      <c r="H3219" s="14">
        <f t="shared" si="102"/>
        <v>96.67</v>
      </c>
    </row>
    <row r="3220" spans="1:8" ht="41.4">
      <c r="A3220" s="502" t="s">
        <v>4885</v>
      </c>
      <c r="B3220" s="504" t="s">
        <v>24691</v>
      </c>
      <c r="C3220" s="502" t="s">
        <v>114</v>
      </c>
      <c r="D3220" s="503" t="s">
        <v>32508</v>
      </c>
      <c r="F3220" t="str">
        <f t="shared" si="101"/>
        <v>91962</v>
      </c>
      <c r="H3220" s="14">
        <f t="shared" si="102"/>
        <v>104.24</v>
      </c>
    </row>
    <row r="3221" spans="1:8" ht="41.4">
      <c r="A3221" s="502" t="s">
        <v>4886</v>
      </c>
      <c r="B3221" s="504" t="s">
        <v>24692</v>
      </c>
      <c r="C3221" s="502" t="s">
        <v>114</v>
      </c>
      <c r="D3221" s="503" t="s">
        <v>32509</v>
      </c>
      <c r="F3221" t="str">
        <f t="shared" si="101"/>
        <v>91963</v>
      </c>
      <c r="H3221" s="14">
        <f t="shared" si="102"/>
        <v>122.47</v>
      </c>
    </row>
    <row r="3222" spans="1:8" ht="41.4">
      <c r="A3222" s="502" t="s">
        <v>4887</v>
      </c>
      <c r="B3222" s="504" t="s">
        <v>24693</v>
      </c>
      <c r="C3222" s="502" t="s">
        <v>114</v>
      </c>
      <c r="D3222" s="503" t="s">
        <v>29585</v>
      </c>
      <c r="F3222" t="str">
        <f t="shared" si="101"/>
        <v>91964</v>
      </c>
      <c r="H3222" s="14">
        <f t="shared" si="102"/>
        <v>93.54</v>
      </c>
    </row>
    <row r="3223" spans="1:8" ht="41.4">
      <c r="A3223" s="502" t="s">
        <v>4888</v>
      </c>
      <c r="B3223" s="504" t="s">
        <v>24694</v>
      </c>
      <c r="C3223" s="502" t="s">
        <v>114</v>
      </c>
      <c r="D3223" s="503" t="s">
        <v>28029</v>
      </c>
      <c r="F3223" t="str">
        <f t="shared" si="101"/>
        <v>91965</v>
      </c>
      <c r="H3223" s="14">
        <f t="shared" si="102"/>
        <v>111.77</v>
      </c>
    </row>
    <row r="3224" spans="1:8" ht="41.4">
      <c r="A3224" s="502" t="s">
        <v>4889</v>
      </c>
      <c r="B3224" s="504" t="s">
        <v>24695</v>
      </c>
      <c r="C3224" s="502" t="s">
        <v>114</v>
      </c>
      <c r="D3224" s="503" t="s">
        <v>32510</v>
      </c>
      <c r="F3224" t="str">
        <f t="shared" si="101"/>
        <v>91966</v>
      </c>
      <c r="H3224" s="14">
        <f t="shared" si="102"/>
        <v>82.92</v>
      </c>
    </row>
    <row r="3225" spans="1:8" ht="41.4">
      <c r="A3225" s="502" t="s">
        <v>4890</v>
      </c>
      <c r="B3225" s="504" t="s">
        <v>24696</v>
      </c>
      <c r="C3225" s="502" t="s">
        <v>114</v>
      </c>
      <c r="D3225" s="503" t="s">
        <v>32511</v>
      </c>
      <c r="F3225" t="str">
        <f t="shared" si="101"/>
        <v>91967</v>
      </c>
      <c r="H3225" s="14">
        <f t="shared" si="102"/>
        <v>101.15</v>
      </c>
    </row>
    <row r="3226" spans="1:8" ht="41.4">
      <c r="A3226" s="502" t="s">
        <v>4891</v>
      </c>
      <c r="B3226" s="504" t="s">
        <v>24697</v>
      </c>
      <c r="C3226" s="502" t="s">
        <v>114</v>
      </c>
      <c r="D3226" s="503" t="s">
        <v>30189</v>
      </c>
      <c r="F3226" t="str">
        <f t="shared" si="101"/>
        <v>91968</v>
      </c>
      <c r="H3226" s="14">
        <f t="shared" si="102"/>
        <v>114.94</v>
      </c>
    </row>
    <row r="3227" spans="1:8" ht="41.4">
      <c r="A3227" s="502" t="s">
        <v>4892</v>
      </c>
      <c r="B3227" s="504" t="s">
        <v>24698</v>
      </c>
      <c r="C3227" s="502" t="s">
        <v>114</v>
      </c>
      <c r="D3227" s="503" t="s">
        <v>32512</v>
      </c>
      <c r="F3227" t="str">
        <f t="shared" si="101"/>
        <v>91969</v>
      </c>
      <c r="H3227" s="14">
        <f t="shared" si="102"/>
        <v>133.16999999999999</v>
      </c>
    </row>
    <row r="3228" spans="1:8" ht="41.4">
      <c r="A3228" s="502" t="s">
        <v>4893</v>
      </c>
      <c r="B3228" s="504" t="s">
        <v>24699</v>
      </c>
      <c r="C3228" s="502" t="s">
        <v>114</v>
      </c>
      <c r="D3228" s="503" t="s">
        <v>29106</v>
      </c>
      <c r="F3228" t="str">
        <f t="shared" si="101"/>
        <v>91970</v>
      </c>
      <c r="H3228" s="14">
        <f t="shared" si="102"/>
        <v>120.02</v>
      </c>
    </row>
    <row r="3229" spans="1:8" ht="41.4">
      <c r="A3229" s="502" t="s">
        <v>4894</v>
      </c>
      <c r="B3229" s="504" t="s">
        <v>24700</v>
      </c>
      <c r="C3229" s="502" t="s">
        <v>114</v>
      </c>
      <c r="D3229" s="503" t="s">
        <v>32513</v>
      </c>
      <c r="F3229" t="str">
        <f t="shared" si="101"/>
        <v>91971</v>
      </c>
      <c r="H3229" s="14">
        <f t="shared" si="102"/>
        <v>146.69</v>
      </c>
    </row>
    <row r="3230" spans="1:8" ht="41.4">
      <c r="A3230" s="502" t="s">
        <v>4895</v>
      </c>
      <c r="B3230" s="504" t="s">
        <v>24701</v>
      </c>
      <c r="C3230" s="502" t="s">
        <v>114</v>
      </c>
      <c r="D3230" s="503" t="s">
        <v>32514</v>
      </c>
      <c r="F3230" t="str">
        <f t="shared" si="101"/>
        <v>91972</v>
      </c>
      <c r="H3230" s="14">
        <f t="shared" si="102"/>
        <v>130.81</v>
      </c>
    </row>
    <row r="3231" spans="1:8" ht="41.4">
      <c r="A3231" s="502" t="s">
        <v>4896</v>
      </c>
      <c r="B3231" s="504" t="s">
        <v>24702</v>
      </c>
      <c r="C3231" s="502" t="s">
        <v>114</v>
      </c>
      <c r="D3231" s="503" t="s">
        <v>32515</v>
      </c>
      <c r="F3231" t="str">
        <f t="shared" si="101"/>
        <v>91973</v>
      </c>
      <c r="H3231" s="14">
        <f t="shared" si="102"/>
        <v>157.49</v>
      </c>
    </row>
    <row r="3232" spans="1:8" ht="41.4">
      <c r="A3232" s="502" t="s">
        <v>4897</v>
      </c>
      <c r="B3232" s="504" t="s">
        <v>24703</v>
      </c>
      <c r="C3232" s="502" t="s">
        <v>114</v>
      </c>
      <c r="D3232" s="503" t="s">
        <v>23968</v>
      </c>
      <c r="F3232" t="str">
        <f t="shared" si="101"/>
        <v>91974</v>
      </c>
      <c r="H3232" s="14">
        <f t="shared" si="102"/>
        <v>109.32</v>
      </c>
    </row>
    <row r="3233" spans="1:8" ht="41.4">
      <c r="A3233" s="502" t="s">
        <v>4898</v>
      </c>
      <c r="B3233" s="504" t="s">
        <v>24704</v>
      </c>
      <c r="C3233" s="502" t="s">
        <v>114</v>
      </c>
      <c r="D3233" s="503" t="s">
        <v>32516</v>
      </c>
      <c r="F3233" t="str">
        <f t="shared" si="101"/>
        <v>91975</v>
      </c>
      <c r="H3233" s="14">
        <f t="shared" si="102"/>
        <v>135.99</v>
      </c>
    </row>
    <row r="3234" spans="1:8" ht="41.4">
      <c r="A3234" s="502" t="s">
        <v>4899</v>
      </c>
      <c r="B3234" s="504" t="s">
        <v>24705</v>
      </c>
      <c r="C3234" s="502" t="s">
        <v>114</v>
      </c>
      <c r="D3234" s="503" t="s">
        <v>32517</v>
      </c>
      <c r="F3234" t="str">
        <f t="shared" si="101"/>
        <v>91976</v>
      </c>
      <c r="H3234" s="14">
        <f t="shared" si="102"/>
        <v>161.16999999999999</v>
      </c>
    </row>
    <row r="3235" spans="1:8" ht="41.4">
      <c r="A3235" s="502" t="s">
        <v>4900</v>
      </c>
      <c r="B3235" s="504" t="s">
        <v>24706</v>
      </c>
      <c r="C3235" s="502" t="s">
        <v>114</v>
      </c>
      <c r="D3235" s="503" t="s">
        <v>32518</v>
      </c>
      <c r="F3235" t="str">
        <f t="shared" si="101"/>
        <v>91977</v>
      </c>
      <c r="H3235" s="14">
        <f t="shared" si="102"/>
        <v>187.84</v>
      </c>
    </row>
    <row r="3236" spans="1:8" ht="41.4">
      <c r="A3236" s="502" t="s">
        <v>4901</v>
      </c>
      <c r="B3236" s="504" t="s">
        <v>24707</v>
      </c>
      <c r="C3236" s="502" t="s">
        <v>114</v>
      </c>
      <c r="D3236" s="503" t="s">
        <v>29094</v>
      </c>
      <c r="F3236" t="str">
        <f t="shared" si="101"/>
        <v>91978</v>
      </c>
      <c r="H3236" s="14">
        <f t="shared" si="102"/>
        <v>65.760000000000005</v>
      </c>
    </row>
    <row r="3237" spans="1:8" ht="41.4">
      <c r="A3237" s="502" t="s">
        <v>4902</v>
      </c>
      <c r="B3237" s="504" t="s">
        <v>24708</v>
      </c>
      <c r="C3237" s="502" t="s">
        <v>114</v>
      </c>
      <c r="D3237" s="503" t="s">
        <v>32519</v>
      </c>
      <c r="F3237" t="str">
        <f t="shared" si="101"/>
        <v>91979</v>
      </c>
      <c r="H3237" s="14">
        <f t="shared" si="102"/>
        <v>83.99</v>
      </c>
    </row>
    <row r="3238" spans="1:8" ht="41.4">
      <c r="A3238" s="502" t="s">
        <v>4903</v>
      </c>
      <c r="B3238" s="504" t="s">
        <v>24709</v>
      </c>
      <c r="C3238" s="502" t="s">
        <v>114</v>
      </c>
      <c r="D3238" s="503" t="s">
        <v>32520</v>
      </c>
      <c r="F3238" t="str">
        <f t="shared" si="101"/>
        <v>91980</v>
      </c>
      <c r="H3238" s="14">
        <f t="shared" si="102"/>
        <v>63.77</v>
      </c>
    </row>
    <row r="3239" spans="1:8" ht="41.4">
      <c r="A3239" s="502" t="s">
        <v>4904</v>
      </c>
      <c r="B3239" s="504" t="s">
        <v>24710</v>
      </c>
      <c r="C3239" s="502" t="s">
        <v>114</v>
      </c>
      <c r="D3239" s="503" t="s">
        <v>32521</v>
      </c>
      <c r="F3239" t="str">
        <f t="shared" si="101"/>
        <v>91981</v>
      </c>
      <c r="H3239" s="14">
        <f t="shared" si="102"/>
        <v>82</v>
      </c>
    </row>
    <row r="3240" spans="1:8" ht="27.6">
      <c r="A3240" s="502" t="s">
        <v>4905</v>
      </c>
      <c r="B3240" s="504" t="s">
        <v>24711</v>
      </c>
      <c r="C3240" s="502" t="s">
        <v>114</v>
      </c>
      <c r="D3240" s="503" t="s">
        <v>32522</v>
      </c>
      <c r="F3240" t="str">
        <f t="shared" si="101"/>
        <v>91982</v>
      </c>
      <c r="H3240" s="14">
        <f t="shared" si="102"/>
        <v>146.26</v>
      </c>
    </row>
    <row r="3241" spans="1:8" ht="41.4">
      <c r="A3241" s="502" t="s">
        <v>4906</v>
      </c>
      <c r="B3241" s="504" t="s">
        <v>24712</v>
      </c>
      <c r="C3241" s="502" t="s">
        <v>114</v>
      </c>
      <c r="D3241" s="503" t="s">
        <v>32523</v>
      </c>
      <c r="F3241" t="str">
        <f t="shared" si="101"/>
        <v>91983</v>
      </c>
      <c r="H3241" s="14">
        <f t="shared" si="102"/>
        <v>164.48</v>
      </c>
    </row>
    <row r="3242" spans="1:8" ht="41.4">
      <c r="A3242" s="502" t="s">
        <v>4907</v>
      </c>
      <c r="B3242" s="504" t="s">
        <v>24713</v>
      </c>
      <c r="C3242" s="502" t="s">
        <v>114</v>
      </c>
      <c r="D3242" s="503" t="s">
        <v>32524</v>
      </c>
      <c r="F3242" t="str">
        <f t="shared" si="101"/>
        <v>91984</v>
      </c>
      <c r="H3242" s="14">
        <f t="shared" si="102"/>
        <v>29.33</v>
      </c>
    </row>
    <row r="3243" spans="1:8" ht="41.4">
      <c r="A3243" s="502" t="s">
        <v>4908</v>
      </c>
      <c r="B3243" s="504" t="s">
        <v>24714</v>
      </c>
      <c r="C3243" s="502" t="s">
        <v>114</v>
      </c>
      <c r="D3243" s="503" t="s">
        <v>18684</v>
      </c>
      <c r="F3243" t="str">
        <f t="shared" si="101"/>
        <v>91985</v>
      </c>
      <c r="H3243" s="14">
        <f t="shared" si="102"/>
        <v>47.56</v>
      </c>
    </row>
    <row r="3244" spans="1:8" ht="27.6">
      <c r="A3244" s="502" t="s">
        <v>4909</v>
      </c>
      <c r="B3244" s="504" t="s">
        <v>24715</v>
      </c>
      <c r="C3244" s="502" t="s">
        <v>114</v>
      </c>
      <c r="D3244" s="503" t="s">
        <v>32525</v>
      </c>
      <c r="F3244" t="str">
        <f t="shared" si="101"/>
        <v>91986</v>
      </c>
      <c r="H3244" s="14">
        <f t="shared" si="102"/>
        <v>61.27</v>
      </c>
    </row>
    <row r="3245" spans="1:8" ht="41.4">
      <c r="A3245" s="502" t="s">
        <v>4910</v>
      </c>
      <c r="B3245" s="504" t="s">
        <v>24716</v>
      </c>
      <c r="C3245" s="502" t="s">
        <v>114</v>
      </c>
      <c r="D3245" s="503" t="s">
        <v>32526</v>
      </c>
      <c r="F3245" t="str">
        <f t="shared" si="101"/>
        <v>91987</v>
      </c>
      <c r="H3245" s="14">
        <f t="shared" si="102"/>
        <v>79.5</v>
      </c>
    </row>
    <row r="3246" spans="1:8" ht="41.4">
      <c r="A3246" s="502" t="s">
        <v>4911</v>
      </c>
      <c r="B3246" s="504" t="s">
        <v>24717</v>
      </c>
      <c r="C3246" s="502" t="s">
        <v>114</v>
      </c>
      <c r="D3246" s="503" t="s">
        <v>32527</v>
      </c>
      <c r="F3246" t="str">
        <f t="shared" si="101"/>
        <v>91988</v>
      </c>
      <c r="H3246" s="14">
        <f t="shared" si="102"/>
        <v>36.020000000000003</v>
      </c>
    </row>
    <row r="3247" spans="1:8" ht="41.4">
      <c r="A3247" s="502" t="s">
        <v>4912</v>
      </c>
      <c r="B3247" s="504" t="s">
        <v>24718</v>
      </c>
      <c r="C3247" s="502" t="s">
        <v>114</v>
      </c>
      <c r="D3247" s="503" t="s">
        <v>32528</v>
      </c>
      <c r="F3247" t="str">
        <f t="shared" si="101"/>
        <v>91989</v>
      </c>
      <c r="H3247" s="14">
        <f t="shared" si="102"/>
        <v>54.25</v>
      </c>
    </row>
    <row r="3248" spans="1:8" ht="41.4">
      <c r="A3248" s="502" t="s">
        <v>4913</v>
      </c>
      <c r="B3248" s="504" t="s">
        <v>24719</v>
      </c>
      <c r="C3248" s="502" t="s">
        <v>114</v>
      </c>
      <c r="D3248" s="503" t="s">
        <v>15318</v>
      </c>
      <c r="F3248" t="str">
        <f t="shared" si="101"/>
        <v>91990</v>
      </c>
      <c r="H3248" s="14">
        <f t="shared" si="102"/>
        <v>56.58</v>
      </c>
    </row>
    <row r="3249" spans="1:8" ht="41.4">
      <c r="A3249" s="502" t="s">
        <v>4914</v>
      </c>
      <c r="B3249" s="504" t="s">
        <v>24720</v>
      </c>
      <c r="C3249" s="502" t="s">
        <v>114</v>
      </c>
      <c r="D3249" s="503" t="s">
        <v>32529</v>
      </c>
      <c r="F3249" t="str">
        <f t="shared" si="101"/>
        <v>91991</v>
      </c>
      <c r="H3249" s="14">
        <f t="shared" si="102"/>
        <v>60.19</v>
      </c>
    </row>
    <row r="3250" spans="1:8" ht="41.4">
      <c r="A3250" s="502" t="s">
        <v>4915</v>
      </c>
      <c r="B3250" s="504" t="s">
        <v>24721</v>
      </c>
      <c r="C3250" s="502" t="s">
        <v>114</v>
      </c>
      <c r="D3250" s="503" t="s">
        <v>32530</v>
      </c>
      <c r="F3250" t="str">
        <f t="shared" si="101"/>
        <v>91992</v>
      </c>
      <c r="H3250" s="14">
        <f t="shared" si="102"/>
        <v>74.81</v>
      </c>
    </row>
    <row r="3251" spans="1:8" ht="41.4">
      <c r="A3251" s="502" t="s">
        <v>4916</v>
      </c>
      <c r="B3251" s="504" t="s">
        <v>24722</v>
      </c>
      <c r="C3251" s="502" t="s">
        <v>114</v>
      </c>
      <c r="D3251" s="503" t="s">
        <v>10694</v>
      </c>
      <c r="F3251" t="str">
        <f t="shared" si="101"/>
        <v>91993</v>
      </c>
      <c r="H3251" s="14">
        <f t="shared" si="102"/>
        <v>78.42</v>
      </c>
    </row>
    <row r="3252" spans="1:8" ht="41.4">
      <c r="A3252" s="502" t="s">
        <v>4917</v>
      </c>
      <c r="B3252" s="504" t="s">
        <v>24723</v>
      </c>
      <c r="C3252" s="502" t="s">
        <v>114</v>
      </c>
      <c r="D3252" s="503" t="s">
        <v>32531</v>
      </c>
      <c r="F3252" t="str">
        <f t="shared" si="101"/>
        <v>91994</v>
      </c>
      <c r="H3252" s="14">
        <f t="shared" si="102"/>
        <v>40</v>
      </c>
    </row>
    <row r="3253" spans="1:8" ht="41.4">
      <c r="A3253" s="502" t="s">
        <v>4918</v>
      </c>
      <c r="B3253" s="504" t="s">
        <v>24724</v>
      </c>
      <c r="C3253" s="502" t="s">
        <v>114</v>
      </c>
      <c r="D3253" s="503" t="s">
        <v>32532</v>
      </c>
      <c r="F3253" t="str">
        <f t="shared" si="101"/>
        <v>91995</v>
      </c>
      <c r="H3253" s="14">
        <f t="shared" si="102"/>
        <v>43.61</v>
      </c>
    </row>
    <row r="3254" spans="1:8" ht="41.4">
      <c r="A3254" s="502" t="s">
        <v>4919</v>
      </c>
      <c r="B3254" s="504" t="s">
        <v>24725</v>
      </c>
      <c r="C3254" s="502" t="s">
        <v>114</v>
      </c>
      <c r="D3254" s="503" t="s">
        <v>32533</v>
      </c>
      <c r="F3254" t="str">
        <f t="shared" si="101"/>
        <v>91996</v>
      </c>
      <c r="H3254" s="14">
        <f t="shared" si="102"/>
        <v>58.23</v>
      </c>
    </row>
    <row r="3255" spans="1:8" ht="41.4">
      <c r="A3255" s="502" t="s">
        <v>4920</v>
      </c>
      <c r="B3255" s="504" t="s">
        <v>24726</v>
      </c>
      <c r="C3255" s="502" t="s">
        <v>114</v>
      </c>
      <c r="D3255" s="503" t="s">
        <v>25541</v>
      </c>
      <c r="F3255" t="str">
        <f t="shared" si="101"/>
        <v>91997</v>
      </c>
      <c r="H3255" s="14">
        <f t="shared" si="102"/>
        <v>61.84</v>
      </c>
    </row>
    <row r="3256" spans="1:8" ht="41.4">
      <c r="A3256" s="502" t="s">
        <v>4921</v>
      </c>
      <c r="B3256" s="504" t="s">
        <v>24727</v>
      </c>
      <c r="C3256" s="502" t="s">
        <v>114</v>
      </c>
      <c r="D3256" s="503" t="s">
        <v>32534</v>
      </c>
      <c r="F3256" t="str">
        <f t="shared" si="101"/>
        <v>91998</v>
      </c>
      <c r="H3256" s="14">
        <f t="shared" si="102"/>
        <v>33.590000000000003</v>
      </c>
    </row>
    <row r="3257" spans="1:8" ht="41.4">
      <c r="A3257" s="502" t="s">
        <v>4922</v>
      </c>
      <c r="B3257" s="504" t="s">
        <v>24728</v>
      </c>
      <c r="C3257" s="502" t="s">
        <v>114</v>
      </c>
      <c r="D3257" s="503" t="s">
        <v>4969</v>
      </c>
      <c r="F3257" t="str">
        <f t="shared" si="101"/>
        <v>91999</v>
      </c>
      <c r="H3257" s="14">
        <f t="shared" si="102"/>
        <v>37.200000000000003</v>
      </c>
    </row>
    <row r="3258" spans="1:8" ht="41.4">
      <c r="A3258" s="502" t="s">
        <v>4923</v>
      </c>
      <c r="B3258" s="504" t="s">
        <v>24729</v>
      </c>
      <c r="C3258" s="502" t="s">
        <v>114</v>
      </c>
      <c r="D3258" s="503" t="s">
        <v>32535</v>
      </c>
      <c r="F3258" t="str">
        <f t="shared" si="101"/>
        <v>92000</v>
      </c>
      <c r="H3258" s="14">
        <f t="shared" si="102"/>
        <v>51.82</v>
      </c>
    </row>
    <row r="3259" spans="1:8" ht="41.4">
      <c r="A3259" s="502" t="s">
        <v>4924</v>
      </c>
      <c r="B3259" s="504" t="s">
        <v>24730</v>
      </c>
      <c r="C3259" s="502" t="s">
        <v>114</v>
      </c>
      <c r="D3259" s="503" t="s">
        <v>31002</v>
      </c>
      <c r="F3259" t="str">
        <f t="shared" si="101"/>
        <v>92001</v>
      </c>
      <c r="H3259" s="14">
        <f t="shared" si="102"/>
        <v>55.43</v>
      </c>
    </row>
    <row r="3260" spans="1:8" ht="41.4">
      <c r="A3260" s="502" t="s">
        <v>4925</v>
      </c>
      <c r="B3260" s="504" t="s">
        <v>24731</v>
      </c>
      <c r="C3260" s="502" t="s">
        <v>114</v>
      </c>
      <c r="D3260" s="503" t="s">
        <v>32536</v>
      </c>
      <c r="F3260" t="str">
        <f t="shared" si="101"/>
        <v>92002</v>
      </c>
      <c r="H3260" s="14">
        <f t="shared" si="102"/>
        <v>74.709999999999994</v>
      </c>
    </row>
    <row r="3261" spans="1:8" ht="41.4">
      <c r="A3261" s="502" t="s">
        <v>4926</v>
      </c>
      <c r="B3261" s="504" t="s">
        <v>24732</v>
      </c>
      <c r="C3261" s="502" t="s">
        <v>114</v>
      </c>
      <c r="D3261" s="503" t="s">
        <v>32537</v>
      </c>
      <c r="F3261" t="str">
        <f t="shared" si="101"/>
        <v>92003</v>
      </c>
      <c r="H3261" s="14">
        <f t="shared" si="102"/>
        <v>81.94</v>
      </c>
    </row>
    <row r="3262" spans="1:8" ht="41.4">
      <c r="A3262" s="502" t="s">
        <v>4927</v>
      </c>
      <c r="B3262" s="504" t="s">
        <v>24733</v>
      </c>
      <c r="C3262" s="502" t="s">
        <v>114</v>
      </c>
      <c r="D3262" s="503" t="s">
        <v>32538</v>
      </c>
      <c r="F3262" t="str">
        <f t="shared" si="101"/>
        <v>92004</v>
      </c>
      <c r="H3262" s="14">
        <f t="shared" si="102"/>
        <v>92.94</v>
      </c>
    </row>
    <row r="3263" spans="1:8" ht="41.4">
      <c r="A3263" s="502" t="s">
        <v>4928</v>
      </c>
      <c r="B3263" s="504" t="s">
        <v>24734</v>
      </c>
      <c r="C3263" s="502" t="s">
        <v>114</v>
      </c>
      <c r="D3263" s="503" t="s">
        <v>31721</v>
      </c>
      <c r="F3263" t="str">
        <f t="shared" si="101"/>
        <v>92005</v>
      </c>
      <c r="H3263" s="14">
        <f t="shared" si="102"/>
        <v>100.16</v>
      </c>
    </row>
    <row r="3264" spans="1:8" ht="41.4">
      <c r="A3264" s="502" t="s">
        <v>4929</v>
      </c>
      <c r="B3264" s="504" t="s">
        <v>24735</v>
      </c>
      <c r="C3264" s="502" t="s">
        <v>114</v>
      </c>
      <c r="D3264" s="503" t="s">
        <v>32539</v>
      </c>
      <c r="F3264" t="str">
        <f t="shared" si="101"/>
        <v>92006</v>
      </c>
      <c r="H3264" s="14">
        <f t="shared" si="102"/>
        <v>61.81</v>
      </c>
    </row>
    <row r="3265" spans="1:8" ht="41.4">
      <c r="A3265" s="502" t="s">
        <v>4930</v>
      </c>
      <c r="B3265" s="504" t="s">
        <v>24736</v>
      </c>
      <c r="C3265" s="502" t="s">
        <v>114</v>
      </c>
      <c r="D3265" s="503" t="s">
        <v>32540</v>
      </c>
      <c r="F3265" t="str">
        <f t="shared" si="101"/>
        <v>92007</v>
      </c>
      <c r="H3265" s="14">
        <f t="shared" si="102"/>
        <v>69.040000000000006</v>
      </c>
    </row>
    <row r="3266" spans="1:8" ht="41.4">
      <c r="A3266" s="502" t="s">
        <v>4931</v>
      </c>
      <c r="B3266" s="504" t="s">
        <v>24737</v>
      </c>
      <c r="C3266" s="502" t="s">
        <v>114</v>
      </c>
      <c r="D3266" s="503" t="s">
        <v>32541</v>
      </c>
      <c r="F3266" t="str">
        <f t="shared" si="101"/>
        <v>92008</v>
      </c>
      <c r="H3266" s="14">
        <f t="shared" si="102"/>
        <v>80.040000000000006</v>
      </c>
    </row>
    <row r="3267" spans="1:8" ht="41.4">
      <c r="A3267" s="502" t="s">
        <v>4932</v>
      </c>
      <c r="B3267" s="504" t="s">
        <v>24738</v>
      </c>
      <c r="C3267" s="502" t="s">
        <v>114</v>
      </c>
      <c r="D3267" s="503" t="s">
        <v>27700</v>
      </c>
      <c r="F3267" t="str">
        <f t="shared" si="101"/>
        <v>92009</v>
      </c>
      <c r="H3267" s="14">
        <f t="shared" si="102"/>
        <v>87.27</v>
      </c>
    </row>
    <row r="3268" spans="1:8" ht="41.4">
      <c r="A3268" s="502" t="s">
        <v>4933</v>
      </c>
      <c r="B3268" s="504" t="s">
        <v>24739</v>
      </c>
      <c r="C3268" s="502" t="s">
        <v>114</v>
      </c>
      <c r="D3268" s="503" t="s">
        <v>32542</v>
      </c>
      <c r="F3268" t="str">
        <f t="shared" si="101"/>
        <v>92010</v>
      </c>
      <c r="H3268" s="14">
        <f t="shared" si="102"/>
        <v>109.34</v>
      </c>
    </row>
    <row r="3269" spans="1:8" ht="41.4">
      <c r="A3269" s="502" t="s">
        <v>4934</v>
      </c>
      <c r="B3269" s="504" t="s">
        <v>24740</v>
      </c>
      <c r="C3269" s="502" t="s">
        <v>114</v>
      </c>
      <c r="D3269" s="503" t="s">
        <v>32543</v>
      </c>
      <c r="F3269" t="str">
        <f t="shared" ref="F3269:F3332" si="103">TRIM(A3269)</f>
        <v>92011</v>
      </c>
      <c r="H3269" s="14">
        <f t="shared" ref="H3269:H3332" si="104">ROUND(D3269*(1+$H$1),2)</f>
        <v>120.18</v>
      </c>
    </row>
    <row r="3270" spans="1:8" ht="41.4">
      <c r="A3270" s="502" t="s">
        <v>4935</v>
      </c>
      <c r="B3270" s="504" t="s">
        <v>24741</v>
      </c>
      <c r="C3270" s="502" t="s">
        <v>114</v>
      </c>
      <c r="D3270" s="503" t="s">
        <v>32544</v>
      </c>
      <c r="F3270" t="str">
        <f t="shared" si="103"/>
        <v>92012</v>
      </c>
      <c r="H3270" s="14">
        <f t="shared" si="104"/>
        <v>127.57</v>
      </c>
    </row>
    <row r="3271" spans="1:8" ht="41.4">
      <c r="A3271" s="502" t="s">
        <v>4936</v>
      </c>
      <c r="B3271" s="504" t="s">
        <v>24742</v>
      </c>
      <c r="C3271" s="502" t="s">
        <v>114</v>
      </c>
      <c r="D3271" s="503" t="s">
        <v>32545</v>
      </c>
      <c r="F3271" t="str">
        <f t="shared" si="103"/>
        <v>92013</v>
      </c>
      <c r="H3271" s="14">
        <f t="shared" si="104"/>
        <v>138.41</v>
      </c>
    </row>
    <row r="3272" spans="1:8" ht="41.4">
      <c r="A3272" s="502" t="s">
        <v>4937</v>
      </c>
      <c r="B3272" s="504" t="s">
        <v>24743</v>
      </c>
      <c r="C3272" s="502" t="s">
        <v>114</v>
      </c>
      <c r="D3272" s="503" t="s">
        <v>29023</v>
      </c>
      <c r="F3272" t="str">
        <f t="shared" si="103"/>
        <v>92014</v>
      </c>
      <c r="H3272" s="14">
        <f t="shared" si="104"/>
        <v>90.04</v>
      </c>
    </row>
    <row r="3273" spans="1:8" ht="41.4">
      <c r="A3273" s="502" t="s">
        <v>4938</v>
      </c>
      <c r="B3273" s="504" t="s">
        <v>24744</v>
      </c>
      <c r="C3273" s="502" t="s">
        <v>114</v>
      </c>
      <c r="D3273" s="503" t="s">
        <v>32546</v>
      </c>
      <c r="F3273" t="str">
        <f t="shared" si="103"/>
        <v>92015</v>
      </c>
      <c r="H3273" s="14">
        <f t="shared" si="104"/>
        <v>100.87</v>
      </c>
    </row>
    <row r="3274" spans="1:8" ht="41.4">
      <c r="A3274" s="502" t="s">
        <v>4939</v>
      </c>
      <c r="B3274" s="504" t="s">
        <v>24745</v>
      </c>
      <c r="C3274" s="502" t="s">
        <v>114</v>
      </c>
      <c r="D3274" s="503" t="s">
        <v>29870</v>
      </c>
      <c r="F3274" t="str">
        <f t="shared" si="103"/>
        <v>92016</v>
      </c>
      <c r="H3274" s="14">
        <f t="shared" si="104"/>
        <v>108.27</v>
      </c>
    </row>
    <row r="3275" spans="1:8" ht="41.4">
      <c r="A3275" s="502" t="s">
        <v>4940</v>
      </c>
      <c r="B3275" s="504" t="s">
        <v>24746</v>
      </c>
      <c r="C3275" s="502" t="s">
        <v>114</v>
      </c>
      <c r="D3275" s="503" t="s">
        <v>29263</v>
      </c>
      <c r="F3275" t="str">
        <f t="shared" si="103"/>
        <v>92017</v>
      </c>
      <c r="H3275" s="14">
        <f t="shared" si="104"/>
        <v>119.1</v>
      </c>
    </row>
    <row r="3276" spans="1:8" ht="41.4">
      <c r="A3276" s="502" t="s">
        <v>4941</v>
      </c>
      <c r="B3276" s="504" t="s">
        <v>24747</v>
      </c>
      <c r="C3276" s="502" t="s">
        <v>114</v>
      </c>
      <c r="D3276" s="503" t="s">
        <v>32547</v>
      </c>
      <c r="F3276" t="str">
        <f t="shared" si="103"/>
        <v>92018</v>
      </c>
      <c r="H3276" s="14">
        <f t="shared" si="104"/>
        <v>119.19</v>
      </c>
    </row>
    <row r="3277" spans="1:8" ht="41.4">
      <c r="A3277" s="502" t="s">
        <v>4942</v>
      </c>
      <c r="B3277" s="504" t="s">
        <v>24748</v>
      </c>
      <c r="C3277" s="502" t="s">
        <v>114</v>
      </c>
      <c r="D3277" s="503" t="s">
        <v>32548</v>
      </c>
      <c r="F3277" t="str">
        <f t="shared" si="103"/>
        <v>92019</v>
      </c>
      <c r="H3277" s="14">
        <f t="shared" si="104"/>
        <v>145.87</v>
      </c>
    </row>
    <row r="3278" spans="1:8" ht="41.4">
      <c r="A3278" s="502" t="s">
        <v>4943</v>
      </c>
      <c r="B3278" s="504" t="s">
        <v>24749</v>
      </c>
      <c r="C3278" s="502" t="s">
        <v>114</v>
      </c>
      <c r="D3278" s="503" t="s">
        <v>32549</v>
      </c>
      <c r="F3278" t="str">
        <f t="shared" si="103"/>
        <v>92020</v>
      </c>
      <c r="H3278" s="14">
        <f t="shared" si="104"/>
        <v>176.06</v>
      </c>
    </row>
    <row r="3279" spans="1:8" ht="41.4">
      <c r="A3279" s="502" t="s">
        <v>4944</v>
      </c>
      <c r="B3279" s="504" t="s">
        <v>24750</v>
      </c>
      <c r="C3279" s="502" t="s">
        <v>114</v>
      </c>
      <c r="D3279" s="503" t="s">
        <v>32550</v>
      </c>
      <c r="F3279" t="str">
        <f t="shared" si="103"/>
        <v>92021</v>
      </c>
      <c r="H3279" s="14">
        <f t="shared" si="104"/>
        <v>202.74</v>
      </c>
    </row>
    <row r="3280" spans="1:8" ht="41.4">
      <c r="A3280" s="502" t="s">
        <v>4945</v>
      </c>
      <c r="B3280" s="504" t="s">
        <v>24751</v>
      </c>
      <c r="C3280" s="502" t="s">
        <v>114</v>
      </c>
      <c r="D3280" s="503" t="s">
        <v>32551</v>
      </c>
      <c r="F3280" t="str">
        <f t="shared" si="103"/>
        <v>92022</v>
      </c>
      <c r="H3280" s="14">
        <f t="shared" si="104"/>
        <v>65.8</v>
      </c>
    </row>
    <row r="3281" spans="1:8" ht="41.4">
      <c r="A3281" s="502" t="s">
        <v>4946</v>
      </c>
      <c r="B3281" s="504" t="s">
        <v>24752</v>
      </c>
      <c r="C3281" s="502" t="s">
        <v>114</v>
      </c>
      <c r="D3281" s="503" t="s">
        <v>32552</v>
      </c>
      <c r="F3281" t="str">
        <f t="shared" si="103"/>
        <v>92023</v>
      </c>
      <c r="H3281" s="14">
        <f t="shared" si="104"/>
        <v>84.03</v>
      </c>
    </row>
    <row r="3282" spans="1:8" ht="41.4">
      <c r="A3282" s="502" t="s">
        <v>4948</v>
      </c>
      <c r="B3282" s="504" t="s">
        <v>24753</v>
      </c>
      <c r="C3282" s="502" t="s">
        <v>114</v>
      </c>
      <c r="D3282" s="503" t="s">
        <v>16221</v>
      </c>
      <c r="F3282" t="str">
        <f t="shared" si="103"/>
        <v>92024</v>
      </c>
      <c r="H3282" s="14">
        <f t="shared" si="104"/>
        <v>100.51</v>
      </c>
    </row>
    <row r="3283" spans="1:8" ht="41.4">
      <c r="A3283" s="502" t="s">
        <v>4949</v>
      </c>
      <c r="B3283" s="504" t="s">
        <v>24754</v>
      </c>
      <c r="C3283" s="502" t="s">
        <v>114</v>
      </c>
      <c r="D3283" s="503" t="s">
        <v>32553</v>
      </c>
      <c r="F3283" t="str">
        <f t="shared" si="103"/>
        <v>92025</v>
      </c>
      <c r="H3283" s="14">
        <f t="shared" si="104"/>
        <v>118.74</v>
      </c>
    </row>
    <row r="3284" spans="1:8" ht="41.4">
      <c r="A3284" s="502" t="s">
        <v>4950</v>
      </c>
      <c r="B3284" s="504" t="s">
        <v>24755</v>
      </c>
      <c r="C3284" s="502" t="s">
        <v>114</v>
      </c>
      <c r="D3284" s="503" t="s">
        <v>19424</v>
      </c>
      <c r="F3284" t="str">
        <f t="shared" si="103"/>
        <v>92026</v>
      </c>
      <c r="H3284" s="14">
        <f t="shared" si="104"/>
        <v>91.68</v>
      </c>
    </row>
    <row r="3285" spans="1:8" ht="41.4">
      <c r="A3285" s="502" t="s">
        <v>4951</v>
      </c>
      <c r="B3285" s="504" t="s">
        <v>24756</v>
      </c>
      <c r="C3285" s="502" t="s">
        <v>114</v>
      </c>
      <c r="D3285" s="503" t="s">
        <v>32554</v>
      </c>
      <c r="F3285" t="str">
        <f t="shared" si="103"/>
        <v>92027</v>
      </c>
      <c r="H3285" s="14">
        <f t="shared" si="104"/>
        <v>109.9</v>
      </c>
    </row>
    <row r="3286" spans="1:8" ht="41.4">
      <c r="A3286" s="502" t="s">
        <v>4952</v>
      </c>
      <c r="B3286" s="504" t="s">
        <v>24757</v>
      </c>
      <c r="C3286" s="502" t="s">
        <v>114</v>
      </c>
      <c r="D3286" s="503" t="s">
        <v>10642</v>
      </c>
      <c r="F3286" t="str">
        <f t="shared" si="103"/>
        <v>92028</v>
      </c>
      <c r="H3286" s="14">
        <f t="shared" si="104"/>
        <v>76.58</v>
      </c>
    </row>
    <row r="3287" spans="1:8" ht="41.4">
      <c r="A3287" s="502" t="s">
        <v>4953</v>
      </c>
      <c r="B3287" s="504" t="s">
        <v>24758</v>
      </c>
      <c r="C3287" s="502" t="s">
        <v>114</v>
      </c>
      <c r="D3287" s="503" t="s">
        <v>15311</v>
      </c>
      <c r="F3287" t="str">
        <f t="shared" si="103"/>
        <v>92029</v>
      </c>
      <c r="H3287" s="14">
        <f t="shared" si="104"/>
        <v>94.81</v>
      </c>
    </row>
    <row r="3288" spans="1:8" ht="41.4">
      <c r="A3288" s="502" t="s">
        <v>4954</v>
      </c>
      <c r="B3288" s="504" t="s">
        <v>24759</v>
      </c>
      <c r="C3288" s="502" t="s">
        <v>114</v>
      </c>
      <c r="D3288" s="503" t="s">
        <v>32555</v>
      </c>
      <c r="F3288" t="str">
        <f t="shared" si="103"/>
        <v>92030</v>
      </c>
      <c r="H3288" s="14">
        <f t="shared" si="104"/>
        <v>111.21</v>
      </c>
    </row>
    <row r="3289" spans="1:8" ht="41.4">
      <c r="A3289" s="502" t="s">
        <v>4955</v>
      </c>
      <c r="B3289" s="504" t="s">
        <v>24760</v>
      </c>
      <c r="C3289" s="502" t="s">
        <v>114</v>
      </c>
      <c r="D3289" s="503" t="s">
        <v>32556</v>
      </c>
      <c r="F3289" t="str">
        <f t="shared" si="103"/>
        <v>92031</v>
      </c>
      <c r="H3289" s="14">
        <f t="shared" si="104"/>
        <v>129.44</v>
      </c>
    </row>
    <row r="3290" spans="1:8" ht="41.4">
      <c r="A3290" s="502" t="s">
        <v>4956</v>
      </c>
      <c r="B3290" s="504" t="s">
        <v>24761</v>
      </c>
      <c r="C3290" s="502" t="s">
        <v>114</v>
      </c>
      <c r="D3290" s="503" t="s">
        <v>24280</v>
      </c>
      <c r="F3290" t="str">
        <f t="shared" si="103"/>
        <v>92032</v>
      </c>
      <c r="H3290" s="14">
        <f t="shared" si="104"/>
        <v>113.08</v>
      </c>
    </row>
    <row r="3291" spans="1:8" ht="41.4">
      <c r="A3291" s="502" t="s">
        <v>4957</v>
      </c>
      <c r="B3291" s="504" t="s">
        <v>24762</v>
      </c>
      <c r="C3291" s="502" t="s">
        <v>114</v>
      </c>
      <c r="D3291" s="503" t="s">
        <v>32557</v>
      </c>
      <c r="F3291" t="str">
        <f t="shared" si="103"/>
        <v>92033</v>
      </c>
      <c r="H3291" s="14">
        <f t="shared" si="104"/>
        <v>131.30000000000001</v>
      </c>
    </row>
    <row r="3292" spans="1:8" ht="55.2">
      <c r="A3292" s="502" t="s">
        <v>4958</v>
      </c>
      <c r="B3292" s="504" t="s">
        <v>24763</v>
      </c>
      <c r="C3292" s="502" t="s">
        <v>114</v>
      </c>
      <c r="D3292" s="503" t="s">
        <v>32558</v>
      </c>
      <c r="F3292" t="str">
        <f t="shared" si="103"/>
        <v>92034</v>
      </c>
      <c r="H3292" s="14">
        <f t="shared" si="104"/>
        <v>102.38</v>
      </c>
    </row>
    <row r="3293" spans="1:8" ht="55.2">
      <c r="A3293" s="502" t="s">
        <v>4959</v>
      </c>
      <c r="B3293" s="504" t="s">
        <v>24764</v>
      </c>
      <c r="C3293" s="502" t="s">
        <v>114</v>
      </c>
      <c r="D3293" s="503" t="s">
        <v>32559</v>
      </c>
      <c r="F3293" t="str">
        <f t="shared" si="103"/>
        <v>92035</v>
      </c>
      <c r="H3293" s="14">
        <f t="shared" si="104"/>
        <v>120.6</v>
      </c>
    </row>
    <row r="3294" spans="1:8" ht="27.6">
      <c r="A3294" s="502" t="s">
        <v>4961</v>
      </c>
      <c r="B3294" s="504" t="s">
        <v>32560</v>
      </c>
      <c r="C3294" s="502" t="s">
        <v>114</v>
      </c>
      <c r="D3294" s="503" t="s">
        <v>32561</v>
      </c>
      <c r="F3294" t="str">
        <f t="shared" si="103"/>
        <v>97595</v>
      </c>
      <c r="H3294" s="14">
        <f t="shared" si="104"/>
        <v>142.87</v>
      </c>
    </row>
    <row r="3295" spans="1:8" ht="27.6">
      <c r="A3295" s="502" t="s">
        <v>4962</v>
      </c>
      <c r="B3295" s="504" t="s">
        <v>32562</v>
      </c>
      <c r="C3295" s="502" t="s">
        <v>114</v>
      </c>
      <c r="D3295" s="503" t="s">
        <v>32563</v>
      </c>
      <c r="F3295" t="str">
        <f t="shared" si="103"/>
        <v>97596</v>
      </c>
      <c r="H3295" s="14">
        <f t="shared" si="104"/>
        <v>103.04</v>
      </c>
    </row>
    <row r="3296" spans="1:8" ht="27.6">
      <c r="A3296" s="502" t="s">
        <v>4963</v>
      </c>
      <c r="B3296" s="504" t="s">
        <v>32564</v>
      </c>
      <c r="C3296" s="502" t="s">
        <v>114</v>
      </c>
      <c r="D3296" s="503" t="s">
        <v>32565</v>
      </c>
      <c r="F3296" t="str">
        <f t="shared" si="103"/>
        <v>97597</v>
      </c>
      <c r="H3296" s="14">
        <f t="shared" si="104"/>
        <v>100.9</v>
      </c>
    </row>
    <row r="3297" spans="1:8" ht="27.6">
      <c r="A3297" s="502" t="s">
        <v>4964</v>
      </c>
      <c r="B3297" s="504" t="s">
        <v>32566</v>
      </c>
      <c r="C3297" s="502" t="s">
        <v>114</v>
      </c>
      <c r="D3297" s="503" t="s">
        <v>32567</v>
      </c>
      <c r="F3297" t="str">
        <f t="shared" si="103"/>
        <v>97598</v>
      </c>
      <c r="H3297" s="14">
        <f t="shared" si="104"/>
        <v>95.81</v>
      </c>
    </row>
    <row r="3298" spans="1:8" ht="41.4">
      <c r="A3298" s="502" t="s">
        <v>4965</v>
      </c>
      <c r="B3298" s="504" t="s">
        <v>32568</v>
      </c>
      <c r="C3298" s="502" t="s">
        <v>114</v>
      </c>
      <c r="D3298" s="503" t="s">
        <v>23982</v>
      </c>
      <c r="F3298" t="str">
        <f t="shared" si="103"/>
        <v>97599</v>
      </c>
      <c r="H3298" s="14">
        <f t="shared" si="104"/>
        <v>29.89</v>
      </c>
    </row>
    <row r="3299" spans="1:8" ht="27.6">
      <c r="A3299" s="502" t="s">
        <v>4966</v>
      </c>
      <c r="B3299" s="504" t="s">
        <v>32569</v>
      </c>
      <c r="C3299" s="502" t="s">
        <v>114</v>
      </c>
      <c r="D3299" s="503" t="s">
        <v>32570</v>
      </c>
      <c r="F3299" t="str">
        <f t="shared" si="103"/>
        <v>97609</v>
      </c>
      <c r="H3299" s="14">
        <f t="shared" si="104"/>
        <v>20.29</v>
      </c>
    </row>
    <row r="3300" spans="1:8" ht="27.6">
      <c r="A3300" s="502" t="s">
        <v>4967</v>
      </c>
      <c r="B3300" s="504" t="s">
        <v>32571</v>
      </c>
      <c r="C3300" s="502" t="s">
        <v>114</v>
      </c>
      <c r="D3300" s="503" t="s">
        <v>29233</v>
      </c>
      <c r="F3300" t="str">
        <f t="shared" si="103"/>
        <v>97610</v>
      </c>
      <c r="H3300" s="14">
        <f t="shared" si="104"/>
        <v>21.29</v>
      </c>
    </row>
    <row r="3301" spans="1:8" ht="27.6">
      <c r="A3301" s="502" t="s">
        <v>12846</v>
      </c>
      <c r="B3301" s="504" t="s">
        <v>32572</v>
      </c>
      <c r="C3301" s="502" t="s">
        <v>114</v>
      </c>
      <c r="D3301" s="503" t="s">
        <v>32573</v>
      </c>
      <c r="F3301" t="str">
        <f t="shared" si="103"/>
        <v>100902</v>
      </c>
      <c r="H3301" s="14">
        <f t="shared" si="104"/>
        <v>42.13</v>
      </c>
    </row>
    <row r="3302" spans="1:8" ht="27.6">
      <c r="A3302" s="502" t="s">
        <v>12847</v>
      </c>
      <c r="B3302" s="504" t="s">
        <v>32574</v>
      </c>
      <c r="C3302" s="502" t="s">
        <v>114</v>
      </c>
      <c r="D3302" s="503" t="s">
        <v>26584</v>
      </c>
      <c r="F3302" t="str">
        <f t="shared" si="103"/>
        <v>100903</v>
      </c>
      <c r="H3302" s="14">
        <f t="shared" si="104"/>
        <v>46.54</v>
      </c>
    </row>
    <row r="3303" spans="1:8" ht="41.4">
      <c r="A3303" s="502" t="s">
        <v>24767</v>
      </c>
      <c r="B3303" s="504" t="s">
        <v>32575</v>
      </c>
      <c r="C3303" s="502" t="s">
        <v>114</v>
      </c>
      <c r="D3303" s="503" t="s">
        <v>29942</v>
      </c>
      <c r="F3303" t="str">
        <f t="shared" si="103"/>
        <v>103782</v>
      </c>
      <c r="H3303" s="14">
        <f t="shared" si="104"/>
        <v>47.04</v>
      </c>
    </row>
    <row r="3304" spans="1:8" ht="27.6">
      <c r="A3304" s="502" t="s">
        <v>32576</v>
      </c>
      <c r="B3304" s="504" t="s">
        <v>32577</v>
      </c>
      <c r="C3304" s="502" t="s">
        <v>114</v>
      </c>
      <c r="D3304" s="503" t="s">
        <v>32578</v>
      </c>
      <c r="F3304" t="str">
        <f t="shared" si="103"/>
        <v>105554</v>
      </c>
      <c r="H3304" s="14">
        <f t="shared" si="104"/>
        <v>24.81</v>
      </c>
    </row>
    <row r="3305" spans="1:8" ht="55.2">
      <c r="A3305" s="502" t="s">
        <v>12849</v>
      </c>
      <c r="B3305" s="504" t="s">
        <v>24769</v>
      </c>
      <c r="C3305" s="502" t="s">
        <v>114</v>
      </c>
      <c r="D3305" s="503" t="s">
        <v>32579</v>
      </c>
      <c r="F3305" t="str">
        <f t="shared" si="103"/>
        <v>101489</v>
      </c>
      <c r="H3305" s="14">
        <f t="shared" si="104"/>
        <v>2107.7399999999998</v>
      </c>
    </row>
    <row r="3306" spans="1:8" ht="55.2">
      <c r="A3306" s="502" t="s">
        <v>12850</v>
      </c>
      <c r="B3306" s="504" t="s">
        <v>24770</v>
      </c>
      <c r="C3306" s="502" t="s">
        <v>114</v>
      </c>
      <c r="D3306" s="503" t="s">
        <v>32580</v>
      </c>
      <c r="F3306" t="str">
        <f t="shared" si="103"/>
        <v>101490</v>
      </c>
      <c r="H3306" s="14">
        <f t="shared" si="104"/>
        <v>2255.63</v>
      </c>
    </row>
    <row r="3307" spans="1:8" ht="55.2">
      <c r="A3307" s="502" t="s">
        <v>12851</v>
      </c>
      <c r="B3307" s="504" t="s">
        <v>24771</v>
      </c>
      <c r="C3307" s="502" t="s">
        <v>114</v>
      </c>
      <c r="D3307" s="503" t="s">
        <v>32581</v>
      </c>
      <c r="F3307" t="str">
        <f t="shared" si="103"/>
        <v>101491</v>
      </c>
      <c r="H3307" s="14">
        <f t="shared" si="104"/>
        <v>2285.8200000000002</v>
      </c>
    </row>
    <row r="3308" spans="1:8" ht="55.2">
      <c r="A3308" s="502" t="s">
        <v>12852</v>
      </c>
      <c r="B3308" s="504" t="s">
        <v>24772</v>
      </c>
      <c r="C3308" s="502" t="s">
        <v>114</v>
      </c>
      <c r="D3308" s="503" t="s">
        <v>32582</v>
      </c>
      <c r="F3308" t="str">
        <f t="shared" si="103"/>
        <v>101492</v>
      </c>
      <c r="H3308" s="14">
        <f t="shared" si="104"/>
        <v>2491.92</v>
      </c>
    </row>
    <row r="3309" spans="1:8" ht="55.2">
      <c r="A3309" s="502" t="s">
        <v>12853</v>
      </c>
      <c r="B3309" s="504" t="s">
        <v>24773</v>
      </c>
      <c r="C3309" s="502" t="s">
        <v>114</v>
      </c>
      <c r="D3309" s="503" t="s">
        <v>32583</v>
      </c>
      <c r="F3309" t="str">
        <f t="shared" si="103"/>
        <v>101493</v>
      </c>
      <c r="H3309" s="14">
        <f t="shared" si="104"/>
        <v>2077.9299999999998</v>
      </c>
    </row>
    <row r="3310" spans="1:8" ht="55.2">
      <c r="A3310" s="502" t="s">
        <v>12854</v>
      </c>
      <c r="B3310" s="504" t="s">
        <v>24774</v>
      </c>
      <c r="C3310" s="502" t="s">
        <v>114</v>
      </c>
      <c r="D3310" s="503" t="s">
        <v>32584</v>
      </c>
      <c r="F3310" t="str">
        <f t="shared" si="103"/>
        <v>101494</v>
      </c>
      <c r="H3310" s="14">
        <f t="shared" si="104"/>
        <v>2225.8200000000002</v>
      </c>
    </row>
    <row r="3311" spans="1:8" ht="55.2">
      <c r="A3311" s="502" t="s">
        <v>12855</v>
      </c>
      <c r="B3311" s="504" t="s">
        <v>24775</v>
      </c>
      <c r="C3311" s="502" t="s">
        <v>114</v>
      </c>
      <c r="D3311" s="503" t="s">
        <v>32585</v>
      </c>
      <c r="F3311" t="str">
        <f t="shared" si="103"/>
        <v>101495</v>
      </c>
      <c r="H3311" s="14">
        <f t="shared" si="104"/>
        <v>2256.02</v>
      </c>
    </row>
    <row r="3312" spans="1:8" ht="55.2">
      <c r="A3312" s="502" t="s">
        <v>12856</v>
      </c>
      <c r="B3312" s="504" t="s">
        <v>24776</v>
      </c>
      <c r="C3312" s="502" t="s">
        <v>114</v>
      </c>
      <c r="D3312" s="503" t="s">
        <v>32586</v>
      </c>
      <c r="F3312" t="str">
        <f t="shared" si="103"/>
        <v>101496</v>
      </c>
      <c r="H3312" s="14">
        <f t="shared" si="104"/>
        <v>2462.11</v>
      </c>
    </row>
    <row r="3313" spans="1:8" ht="55.2">
      <c r="A3313" s="502" t="s">
        <v>12857</v>
      </c>
      <c r="B3313" s="504" t="s">
        <v>24777</v>
      </c>
      <c r="C3313" s="502" t="s">
        <v>114</v>
      </c>
      <c r="D3313" s="503" t="s">
        <v>32587</v>
      </c>
      <c r="F3313" t="str">
        <f t="shared" si="103"/>
        <v>101497</v>
      </c>
      <c r="H3313" s="14">
        <f t="shared" si="104"/>
        <v>2462.39</v>
      </c>
    </row>
    <row r="3314" spans="1:8" ht="55.2">
      <c r="A3314" s="502" t="s">
        <v>12858</v>
      </c>
      <c r="B3314" s="504" t="s">
        <v>24778</v>
      </c>
      <c r="C3314" s="502" t="s">
        <v>114</v>
      </c>
      <c r="D3314" s="503" t="s">
        <v>32588</v>
      </c>
      <c r="F3314" t="str">
        <f t="shared" si="103"/>
        <v>101498</v>
      </c>
      <c r="H3314" s="14">
        <f t="shared" si="104"/>
        <v>2686.25</v>
      </c>
    </row>
    <row r="3315" spans="1:8" ht="55.2">
      <c r="A3315" s="502" t="s">
        <v>12859</v>
      </c>
      <c r="B3315" s="504" t="s">
        <v>24779</v>
      </c>
      <c r="C3315" s="502" t="s">
        <v>114</v>
      </c>
      <c r="D3315" s="503" t="s">
        <v>32589</v>
      </c>
      <c r="F3315" t="str">
        <f t="shared" si="103"/>
        <v>101499</v>
      </c>
      <c r="H3315" s="14">
        <f t="shared" si="104"/>
        <v>2731.96</v>
      </c>
    </row>
    <row r="3316" spans="1:8" ht="55.2">
      <c r="A3316" s="502" t="s">
        <v>12860</v>
      </c>
      <c r="B3316" s="504" t="s">
        <v>24780</v>
      </c>
      <c r="C3316" s="502" t="s">
        <v>114</v>
      </c>
      <c r="D3316" s="503" t="s">
        <v>32590</v>
      </c>
      <c r="F3316" t="str">
        <f t="shared" si="103"/>
        <v>101500</v>
      </c>
      <c r="H3316" s="14">
        <f t="shared" si="104"/>
        <v>3023.43</v>
      </c>
    </row>
    <row r="3317" spans="1:8" ht="55.2">
      <c r="A3317" s="502" t="s">
        <v>12861</v>
      </c>
      <c r="B3317" s="504" t="s">
        <v>24781</v>
      </c>
      <c r="C3317" s="502" t="s">
        <v>114</v>
      </c>
      <c r="D3317" s="503" t="s">
        <v>32591</v>
      </c>
      <c r="F3317" t="str">
        <f t="shared" si="103"/>
        <v>101501</v>
      </c>
      <c r="H3317" s="14">
        <f t="shared" si="104"/>
        <v>2443.7399999999998</v>
      </c>
    </row>
    <row r="3318" spans="1:8" ht="55.2">
      <c r="A3318" s="502" t="s">
        <v>12862</v>
      </c>
      <c r="B3318" s="504" t="s">
        <v>24782</v>
      </c>
      <c r="C3318" s="502" t="s">
        <v>114</v>
      </c>
      <c r="D3318" s="503" t="s">
        <v>32592</v>
      </c>
      <c r="F3318" t="str">
        <f t="shared" si="103"/>
        <v>101502</v>
      </c>
      <c r="H3318" s="14">
        <f t="shared" si="104"/>
        <v>2667.6</v>
      </c>
    </row>
    <row r="3319" spans="1:8" ht="55.2">
      <c r="A3319" s="502" t="s">
        <v>12863</v>
      </c>
      <c r="B3319" s="504" t="s">
        <v>24783</v>
      </c>
      <c r="C3319" s="502" t="s">
        <v>114</v>
      </c>
      <c r="D3319" s="503" t="s">
        <v>32593</v>
      </c>
      <c r="F3319" t="str">
        <f t="shared" si="103"/>
        <v>101503</v>
      </c>
      <c r="H3319" s="14">
        <f t="shared" si="104"/>
        <v>2713.3</v>
      </c>
    </row>
    <row r="3320" spans="1:8" ht="55.2">
      <c r="A3320" s="502" t="s">
        <v>12864</v>
      </c>
      <c r="B3320" s="504" t="s">
        <v>24784</v>
      </c>
      <c r="C3320" s="502" t="s">
        <v>114</v>
      </c>
      <c r="D3320" s="503" t="s">
        <v>32594</v>
      </c>
      <c r="F3320" t="str">
        <f t="shared" si="103"/>
        <v>101504</v>
      </c>
      <c r="H3320" s="14">
        <f t="shared" si="104"/>
        <v>3004.77</v>
      </c>
    </row>
    <row r="3321" spans="1:8" ht="55.2">
      <c r="A3321" s="502" t="s">
        <v>12865</v>
      </c>
      <c r="B3321" s="504" t="s">
        <v>24785</v>
      </c>
      <c r="C3321" s="502" t="s">
        <v>114</v>
      </c>
      <c r="D3321" s="503" t="s">
        <v>32595</v>
      </c>
      <c r="F3321" t="str">
        <f t="shared" si="103"/>
        <v>101505</v>
      </c>
      <c r="H3321" s="14">
        <f t="shared" si="104"/>
        <v>2628.18</v>
      </c>
    </row>
    <row r="3322" spans="1:8" ht="55.2">
      <c r="A3322" s="502" t="s">
        <v>12866</v>
      </c>
      <c r="B3322" s="504" t="s">
        <v>24786</v>
      </c>
      <c r="C3322" s="502" t="s">
        <v>114</v>
      </c>
      <c r="D3322" s="503" t="s">
        <v>32596</v>
      </c>
      <c r="F3322" t="str">
        <f t="shared" si="103"/>
        <v>101506</v>
      </c>
      <c r="H3322" s="14">
        <f t="shared" si="104"/>
        <v>2926.66</v>
      </c>
    </row>
    <row r="3323" spans="1:8" ht="55.2">
      <c r="A3323" s="502" t="s">
        <v>12867</v>
      </c>
      <c r="B3323" s="504" t="s">
        <v>24787</v>
      </c>
      <c r="C3323" s="502" t="s">
        <v>114</v>
      </c>
      <c r="D3323" s="503" t="s">
        <v>32597</v>
      </c>
      <c r="F3323" t="str">
        <f t="shared" si="103"/>
        <v>101507</v>
      </c>
      <c r="H3323" s="14">
        <f t="shared" si="104"/>
        <v>2987.6</v>
      </c>
    </row>
    <row r="3324" spans="1:8" ht="55.2">
      <c r="A3324" s="502" t="s">
        <v>12868</v>
      </c>
      <c r="B3324" s="504" t="s">
        <v>24788</v>
      </c>
      <c r="C3324" s="502" t="s">
        <v>114</v>
      </c>
      <c r="D3324" s="503" t="s">
        <v>32598</v>
      </c>
      <c r="F3324" t="str">
        <f t="shared" si="103"/>
        <v>101508</v>
      </c>
      <c r="H3324" s="14">
        <f t="shared" si="104"/>
        <v>3362.94</v>
      </c>
    </row>
    <row r="3325" spans="1:8" ht="41.4">
      <c r="A3325" s="502" t="s">
        <v>12869</v>
      </c>
      <c r="B3325" s="504" t="s">
        <v>28847</v>
      </c>
      <c r="C3325" s="502" t="s">
        <v>114</v>
      </c>
      <c r="D3325" s="503" t="s">
        <v>32599</v>
      </c>
      <c r="F3325" t="str">
        <f t="shared" si="103"/>
        <v>101509</v>
      </c>
      <c r="H3325" s="14">
        <f t="shared" si="104"/>
        <v>2668.9</v>
      </c>
    </row>
    <row r="3326" spans="1:8" ht="41.4">
      <c r="A3326" s="502" t="s">
        <v>12870</v>
      </c>
      <c r="B3326" s="504" t="s">
        <v>28848</v>
      </c>
      <c r="C3326" s="502" t="s">
        <v>114</v>
      </c>
      <c r="D3326" s="503" t="s">
        <v>32600</v>
      </c>
      <c r="F3326" t="str">
        <f t="shared" si="103"/>
        <v>101510</v>
      </c>
      <c r="H3326" s="14">
        <f t="shared" si="104"/>
        <v>2967.38</v>
      </c>
    </row>
    <row r="3327" spans="1:8" ht="41.4">
      <c r="A3327" s="502" t="s">
        <v>12871</v>
      </c>
      <c r="B3327" s="504" t="s">
        <v>28849</v>
      </c>
      <c r="C3327" s="502" t="s">
        <v>114</v>
      </c>
      <c r="D3327" s="503" t="s">
        <v>32601</v>
      </c>
      <c r="F3327" t="str">
        <f t="shared" si="103"/>
        <v>101511</v>
      </c>
      <c r="H3327" s="14">
        <f t="shared" si="104"/>
        <v>3028.32</v>
      </c>
    </row>
    <row r="3328" spans="1:8" ht="41.4">
      <c r="A3328" s="502" t="s">
        <v>12872</v>
      </c>
      <c r="B3328" s="504" t="s">
        <v>28850</v>
      </c>
      <c r="C3328" s="502" t="s">
        <v>114</v>
      </c>
      <c r="D3328" s="503" t="s">
        <v>32602</v>
      </c>
      <c r="F3328" t="str">
        <f t="shared" si="103"/>
        <v>101512</v>
      </c>
      <c r="H3328" s="14">
        <f t="shared" si="104"/>
        <v>3403.66</v>
      </c>
    </row>
    <row r="3329" spans="1:8" ht="55.2">
      <c r="A3329" s="502" t="s">
        <v>12873</v>
      </c>
      <c r="B3329" s="504" t="s">
        <v>24789</v>
      </c>
      <c r="C3329" s="502" t="s">
        <v>114</v>
      </c>
      <c r="D3329" s="503" t="s">
        <v>28612</v>
      </c>
      <c r="F3329" t="str">
        <f t="shared" si="103"/>
        <v>101513</v>
      </c>
      <c r="H3329" s="14">
        <f t="shared" si="104"/>
        <v>1139.78</v>
      </c>
    </row>
    <row r="3330" spans="1:8" ht="55.2">
      <c r="A3330" s="502" t="s">
        <v>12874</v>
      </c>
      <c r="B3330" s="504" t="s">
        <v>24790</v>
      </c>
      <c r="C3330" s="502" t="s">
        <v>114</v>
      </c>
      <c r="D3330" s="503" t="s">
        <v>32603</v>
      </c>
      <c r="F3330" t="str">
        <f t="shared" si="103"/>
        <v>101514</v>
      </c>
      <c r="H3330" s="14">
        <f t="shared" si="104"/>
        <v>1317.26</v>
      </c>
    </row>
    <row r="3331" spans="1:8" ht="55.2">
      <c r="A3331" s="502" t="s">
        <v>12875</v>
      </c>
      <c r="B3331" s="504" t="s">
        <v>24791</v>
      </c>
      <c r="C3331" s="502" t="s">
        <v>114</v>
      </c>
      <c r="D3331" s="503" t="s">
        <v>32604</v>
      </c>
      <c r="F3331" t="str">
        <f t="shared" si="103"/>
        <v>101515</v>
      </c>
      <c r="H3331" s="14">
        <f t="shared" si="104"/>
        <v>1353.49</v>
      </c>
    </row>
    <row r="3332" spans="1:8" ht="55.2">
      <c r="A3332" s="502" t="s">
        <v>12876</v>
      </c>
      <c r="B3332" s="504" t="s">
        <v>24792</v>
      </c>
      <c r="C3332" s="502" t="s">
        <v>114</v>
      </c>
      <c r="D3332" s="503" t="s">
        <v>32605</v>
      </c>
      <c r="F3332" t="str">
        <f t="shared" si="103"/>
        <v>101516</v>
      </c>
      <c r="H3332" s="14">
        <f t="shared" si="104"/>
        <v>1552.95</v>
      </c>
    </row>
    <row r="3333" spans="1:8" ht="55.2">
      <c r="A3333" s="502" t="s">
        <v>12877</v>
      </c>
      <c r="B3333" s="504" t="s">
        <v>24793</v>
      </c>
      <c r="C3333" s="502" t="s">
        <v>114</v>
      </c>
      <c r="D3333" s="503" t="s">
        <v>32606</v>
      </c>
      <c r="F3333" t="str">
        <f t="shared" ref="F3333:F3396" si="105">TRIM(A3333)</f>
        <v>101517</v>
      </c>
      <c r="H3333" s="14">
        <f t="shared" ref="H3333:H3396" si="106">ROUND(D3333*(1+$H$1),2)</f>
        <v>1109.96</v>
      </c>
    </row>
    <row r="3334" spans="1:8" ht="55.2">
      <c r="A3334" s="502" t="s">
        <v>12878</v>
      </c>
      <c r="B3334" s="504" t="s">
        <v>24794</v>
      </c>
      <c r="C3334" s="502" t="s">
        <v>114</v>
      </c>
      <c r="D3334" s="503" t="s">
        <v>32607</v>
      </c>
      <c r="F3334" t="str">
        <f t="shared" si="105"/>
        <v>101518</v>
      </c>
      <c r="H3334" s="14">
        <f t="shared" si="106"/>
        <v>1287.43</v>
      </c>
    </row>
    <row r="3335" spans="1:8" ht="55.2">
      <c r="A3335" s="502" t="s">
        <v>12879</v>
      </c>
      <c r="B3335" s="504" t="s">
        <v>24795</v>
      </c>
      <c r="C3335" s="502" t="s">
        <v>114</v>
      </c>
      <c r="D3335" s="503" t="s">
        <v>32608</v>
      </c>
      <c r="F3335" t="str">
        <f t="shared" si="105"/>
        <v>101519</v>
      </c>
      <c r="H3335" s="14">
        <f t="shared" si="106"/>
        <v>1323.67</v>
      </c>
    </row>
    <row r="3336" spans="1:8" ht="55.2">
      <c r="A3336" s="502" t="s">
        <v>12880</v>
      </c>
      <c r="B3336" s="504" t="s">
        <v>24796</v>
      </c>
      <c r="C3336" s="502" t="s">
        <v>114</v>
      </c>
      <c r="D3336" s="503" t="s">
        <v>32609</v>
      </c>
      <c r="F3336" t="str">
        <f t="shared" si="105"/>
        <v>101520</v>
      </c>
      <c r="H3336" s="14">
        <f t="shared" si="106"/>
        <v>1523.13</v>
      </c>
    </row>
    <row r="3337" spans="1:8" ht="55.2">
      <c r="A3337" s="502" t="s">
        <v>12881</v>
      </c>
      <c r="B3337" s="504" t="s">
        <v>24797</v>
      </c>
      <c r="C3337" s="502" t="s">
        <v>114</v>
      </c>
      <c r="D3337" s="503" t="s">
        <v>32610</v>
      </c>
      <c r="F3337" t="str">
        <f t="shared" si="105"/>
        <v>101521</v>
      </c>
      <c r="H3337" s="14">
        <f t="shared" si="106"/>
        <v>1517.02</v>
      </c>
    </row>
    <row r="3338" spans="1:8" ht="55.2">
      <c r="A3338" s="502" t="s">
        <v>12882</v>
      </c>
      <c r="B3338" s="504" t="s">
        <v>24798</v>
      </c>
      <c r="C3338" s="502" t="s">
        <v>114</v>
      </c>
      <c r="D3338" s="503" t="s">
        <v>32611</v>
      </c>
      <c r="F3338" t="str">
        <f t="shared" si="105"/>
        <v>101522</v>
      </c>
      <c r="H3338" s="14">
        <f t="shared" si="106"/>
        <v>1783.23</v>
      </c>
    </row>
    <row r="3339" spans="1:8" ht="55.2">
      <c r="A3339" s="502" t="s">
        <v>12883</v>
      </c>
      <c r="B3339" s="504" t="s">
        <v>24799</v>
      </c>
      <c r="C3339" s="502" t="s">
        <v>114</v>
      </c>
      <c r="D3339" s="503" t="s">
        <v>32612</v>
      </c>
      <c r="F3339" t="str">
        <f t="shared" si="105"/>
        <v>101523</v>
      </c>
      <c r="H3339" s="14">
        <f t="shared" si="106"/>
        <v>1837.58</v>
      </c>
    </row>
    <row r="3340" spans="1:8" ht="55.2">
      <c r="A3340" s="502" t="s">
        <v>12884</v>
      </c>
      <c r="B3340" s="504" t="s">
        <v>24800</v>
      </c>
      <c r="C3340" s="502" t="s">
        <v>114</v>
      </c>
      <c r="D3340" s="503" t="s">
        <v>32613</v>
      </c>
      <c r="F3340" t="str">
        <f t="shared" si="105"/>
        <v>101524</v>
      </c>
      <c r="H3340" s="14">
        <f t="shared" si="106"/>
        <v>2136.77</v>
      </c>
    </row>
    <row r="3341" spans="1:8" ht="55.2">
      <c r="A3341" s="502" t="s">
        <v>12885</v>
      </c>
      <c r="B3341" s="504" t="s">
        <v>24801</v>
      </c>
      <c r="C3341" s="502" t="s">
        <v>114</v>
      </c>
      <c r="D3341" s="503" t="s">
        <v>32614</v>
      </c>
      <c r="F3341" t="str">
        <f t="shared" si="105"/>
        <v>101525</v>
      </c>
      <c r="H3341" s="14">
        <f t="shared" si="106"/>
        <v>1498.37</v>
      </c>
    </row>
    <row r="3342" spans="1:8" ht="55.2">
      <c r="A3342" s="502" t="s">
        <v>12886</v>
      </c>
      <c r="B3342" s="504" t="s">
        <v>24802</v>
      </c>
      <c r="C3342" s="502" t="s">
        <v>114</v>
      </c>
      <c r="D3342" s="503" t="s">
        <v>32615</v>
      </c>
      <c r="F3342" t="str">
        <f t="shared" si="105"/>
        <v>101526</v>
      </c>
      <c r="H3342" s="14">
        <f t="shared" si="106"/>
        <v>1764.58</v>
      </c>
    </row>
    <row r="3343" spans="1:8" ht="55.2">
      <c r="A3343" s="502" t="s">
        <v>12887</v>
      </c>
      <c r="B3343" s="504" t="s">
        <v>24803</v>
      </c>
      <c r="C3343" s="502" t="s">
        <v>114</v>
      </c>
      <c r="D3343" s="503" t="s">
        <v>32616</v>
      </c>
      <c r="F3343" t="str">
        <f t="shared" si="105"/>
        <v>101527</v>
      </c>
      <c r="H3343" s="14">
        <f t="shared" si="106"/>
        <v>1818.93</v>
      </c>
    </row>
    <row r="3344" spans="1:8" ht="55.2">
      <c r="A3344" s="502" t="s">
        <v>12888</v>
      </c>
      <c r="B3344" s="504" t="s">
        <v>24804</v>
      </c>
      <c r="C3344" s="502" t="s">
        <v>114</v>
      </c>
      <c r="D3344" s="503" t="s">
        <v>32617</v>
      </c>
      <c r="F3344" t="str">
        <f t="shared" si="105"/>
        <v>101528</v>
      </c>
      <c r="H3344" s="14">
        <f t="shared" si="106"/>
        <v>2118.12</v>
      </c>
    </row>
    <row r="3345" spans="1:8" ht="55.2">
      <c r="A3345" s="502" t="s">
        <v>12889</v>
      </c>
      <c r="B3345" s="504" t="s">
        <v>24805</v>
      </c>
      <c r="C3345" s="502" t="s">
        <v>114</v>
      </c>
      <c r="D3345" s="503" t="s">
        <v>32618</v>
      </c>
      <c r="F3345" t="str">
        <f t="shared" si="105"/>
        <v>101529</v>
      </c>
      <c r="H3345" s="14">
        <f t="shared" si="106"/>
        <v>1707.76</v>
      </c>
    </row>
    <row r="3346" spans="1:8" ht="55.2">
      <c r="A3346" s="502" t="s">
        <v>12890</v>
      </c>
      <c r="B3346" s="504" t="s">
        <v>24806</v>
      </c>
      <c r="C3346" s="502" t="s">
        <v>114</v>
      </c>
      <c r="D3346" s="503" t="s">
        <v>32619</v>
      </c>
      <c r="F3346" t="str">
        <f t="shared" si="105"/>
        <v>101530</v>
      </c>
      <c r="H3346" s="14">
        <f t="shared" si="106"/>
        <v>2062.6999999999998</v>
      </c>
    </row>
    <row r="3347" spans="1:8" ht="55.2">
      <c r="A3347" s="502" t="s">
        <v>12891</v>
      </c>
      <c r="B3347" s="504" t="s">
        <v>24807</v>
      </c>
      <c r="C3347" s="502" t="s">
        <v>114</v>
      </c>
      <c r="D3347" s="503" t="s">
        <v>32620</v>
      </c>
      <c r="F3347" t="str">
        <f t="shared" si="105"/>
        <v>101531</v>
      </c>
      <c r="H3347" s="14">
        <f t="shared" si="106"/>
        <v>2135.17</v>
      </c>
    </row>
    <row r="3348" spans="1:8" ht="55.2">
      <c r="A3348" s="502" t="s">
        <v>12892</v>
      </c>
      <c r="B3348" s="504" t="s">
        <v>24808</v>
      </c>
      <c r="C3348" s="502" t="s">
        <v>114</v>
      </c>
      <c r="D3348" s="503" t="s">
        <v>32621</v>
      </c>
      <c r="F3348" t="str">
        <f t="shared" si="105"/>
        <v>101532</v>
      </c>
      <c r="H3348" s="14">
        <f t="shared" si="106"/>
        <v>2534.08</v>
      </c>
    </row>
    <row r="3349" spans="1:8" ht="55.2">
      <c r="A3349" s="502" t="s">
        <v>12893</v>
      </c>
      <c r="B3349" s="504" t="s">
        <v>28851</v>
      </c>
      <c r="C3349" s="502" t="s">
        <v>114</v>
      </c>
      <c r="D3349" s="503" t="s">
        <v>32622</v>
      </c>
      <c r="F3349" t="str">
        <f t="shared" si="105"/>
        <v>101533</v>
      </c>
      <c r="H3349" s="14">
        <f t="shared" si="106"/>
        <v>1748.48</v>
      </c>
    </row>
    <row r="3350" spans="1:8" ht="55.2">
      <c r="A3350" s="502" t="s">
        <v>12894</v>
      </c>
      <c r="B3350" s="504" t="s">
        <v>28852</v>
      </c>
      <c r="C3350" s="502" t="s">
        <v>114</v>
      </c>
      <c r="D3350" s="503" t="s">
        <v>32623</v>
      </c>
      <c r="F3350" t="str">
        <f t="shared" si="105"/>
        <v>101534</v>
      </c>
      <c r="H3350" s="14">
        <f t="shared" si="106"/>
        <v>2103.42</v>
      </c>
    </row>
    <row r="3351" spans="1:8" ht="55.2">
      <c r="A3351" s="502" t="s">
        <v>12895</v>
      </c>
      <c r="B3351" s="504" t="s">
        <v>28853</v>
      </c>
      <c r="C3351" s="502" t="s">
        <v>114</v>
      </c>
      <c r="D3351" s="503" t="s">
        <v>32624</v>
      </c>
      <c r="F3351" t="str">
        <f t="shared" si="105"/>
        <v>101535</v>
      </c>
      <c r="H3351" s="14">
        <f t="shared" si="106"/>
        <v>2175.89</v>
      </c>
    </row>
    <row r="3352" spans="1:8" ht="55.2">
      <c r="A3352" s="502" t="s">
        <v>12896</v>
      </c>
      <c r="B3352" s="504" t="s">
        <v>28854</v>
      </c>
      <c r="C3352" s="502" t="s">
        <v>114</v>
      </c>
      <c r="D3352" s="503" t="s">
        <v>32625</v>
      </c>
      <c r="F3352" t="str">
        <f t="shared" si="105"/>
        <v>101536</v>
      </c>
      <c r="H3352" s="14">
        <f t="shared" si="106"/>
        <v>2574.8000000000002</v>
      </c>
    </row>
    <row r="3353" spans="1:8" ht="41.4">
      <c r="A3353" s="502" t="s">
        <v>12897</v>
      </c>
      <c r="B3353" s="504" t="s">
        <v>12898</v>
      </c>
      <c r="C3353" s="502" t="s">
        <v>114</v>
      </c>
      <c r="D3353" s="503" t="s">
        <v>32626</v>
      </c>
      <c r="F3353" t="str">
        <f t="shared" si="105"/>
        <v>101537</v>
      </c>
      <c r="H3353" s="14">
        <f t="shared" si="106"/>
        <v>156.19999999999999</v>
      </c>
    </row>
    <row r="3354" spans="1:8" ht="27.6">
      <c r="A3354" s="502" t="s">
        <v>12900</v>
      </c>
      <c r="B3354" s="504" t="s">
        <v>12901</v>
      </c>
      <c r="C3354" s="502" t="s">
        <v>114</v>
      </c>
      <c r="D3354" s="503" t="s">
        <v>19167</v>
      </c>
      <c r="F3354" t="str">
        <f t="shared" si="105"/>
        <v>101538</v>
      </c>
      <c r="H3354" s="14">
        <f t="shared" si="106"/>
        <v>75.27</v>
      </c>
    </row>
    <row r="3355" spans="1:8" ht="27.6">
      <c r="A3355" s="502" t="s">
        <v>12902</v>
      </c>
      <c r="B3355" s="504" t="s">
        <v>12903</v>
      </c>
      <c r="C3355" s="502" t="s">
        <v>114</v>
      </c>
      <c r="D3355" s="503" t="s">
        <v>23516</v>
      </c>
      <c r="F3355" t="str">
        <f t="shared" si="105"/>
        <v>101539</v>
      </c>
      <c r="H3355" s="14">
        <f t="shared" si="106"/>
        <v>124.98</v>
      </c>
    </row>
    <row r="3356" spans="1:8" ht="27.6">
      <c r="A3356" s="502" t="s">
        <v>12904</v>
      </c>
      <c r="B3356" s="504" t="s">
        <v>12905</v>
      </c>
      <c r="C3356" s="502" t="s">
        <v>114</v>
      </c>
      <c r="D3356" s="503" t="s">
        <v>32627</v>
      </c>
      <c r="F3356" t="str">
        <f t="shared" si="105"/>
        <v>101540</v>
      </c>
      <c r="H3356" s="14">
        <f t="shared" si="106"/>
        <v>210.22</v>
      </c>
    </row>
    <row r="3357" spans="1:8" ht="27.6">
      <c r="A3357" s="502" t="s">
        <v>12906</v>
      </c>
      <c r="B3357" s="504" t="s">
        <v>12907</v>
      </c>
      <c r="C3357" s="502" t="s">
        <v>114</v>
      </c>
      <c r="D3357" s="503" t="s">
        <v>32628</v>
      </c>
      <c r="F3357" t="str">
        <f t="shared" si="105"/>
        <v>101541</v>
      </c>
      <c r="H3357" s="14">
        <f t="shared" si="106"/>
        <v>274.3</v>
      </c>
    </row>
    <row r="3358" spans="1:8" ht="27.6">
      <c r="A3358" s="502" t="s">
        <v>12908</v>
      </c>
      <c r="B3358" s="504" t="s">
        <v>12909</v>
      </c>
      <c r="C3358" s="502" t="s">
        <v>114</v>
      </c>
      <c r="D3358" s="503" t="s">
        <v>29107</v>
      </c>
      <c r="F3358" t="str">
        <f t="shared" si="105"/>
        <v>101542</v>
      </c>
      <c r="H3358" s="14">
        <f t="shared" si="106"/>
        <v>56.95</v>
      </c>
    </row>
    <row r="3359" spans="1:8" ht="27.6">
      <c r="A3359" s="502" t="s">
        <v>12910</v>
      </c>
      <c r="B3359" s="504" t="s">
        <v>12911</v>
      </c>
      <c r="C3359" s="502" t="s">
        <v>114</v>
      </c>
      <c r="D3359" s="503" t="s">
        <v>32629</v>
      </c>
      <c r="F3359" t="str">
        <f t="shared" si="105"/>
        <v>101543</v>
      </c>
      <c r="H3359" s="14">
        <f t="shared" si="106"/>
        <v>101.52</v>
      </c>
    </row>
    <row r="3360" spans="1:8" ht="27.6">
      <c r="A3360" s="502" t="s">
        <v>12912</v>
      </c>
      <c r="B3360" s="504" t="s">
        <v>12913</v>
      </c>
      <c r="C3360" s="502" t="s">
        <v>114</v>
      </c>
      <c r="D3360" s="503" t="s">
        <v>32630</v>
      </c>
      <c r="F3360" t="str">
        <f t="shared" si="105"/>
        <v>101544</v>
      </c>
      <c r="H3360" s="14">
        <f t="shared" si="106"/>
        <v>162.13999999999999</v>
      </c>
    </row>
    <row r="3361" spans="1:8" ht="27.6">
      <c r="A3361" s="502" t="s">
        <v>12914</v>
      </c>
      <c r="B3361" s="504" t="s">
        <v>12915</v>
      </c>
      <c r="C3361" s="502" t="s">
        <v>114</v>
      </c>
      <c r="D3361" s="503" t="s">
        <v>32631</v>
      </c>
      <c r="F3361" t="str">
        <f t="shared" si="105"/>
        <v>101545</v>
      </c>
      <c r="H3361" s="14">
        <f t="shared" si="106"/>
        <v>234.81</v>
      </c>
    </row>
    <row r="3362" spans="1:8" ht="27.6">
      <c r="A3362" s="502" t="s">
        <v>12916</v>
      </c>
      <c r="B3362" s="504" t="s">
        <v>12917</v>
      </c>
      <c r="C3362" s="502" t="s">
        <v>114</v>
      </c>
      <c r="D3362" s="503" t="s">
        <v>30547</v>
      </c>
      <c r="F3362" t="str">
        <f t="shared" si="105"/>
        <v>101546</v>
      </c>
      <c r="H3362" s="14">
        <f t="shared" si="106"/>
        <v>52.91</v>
      </c>
    </row>
    <row r="3363" spans="1:8" ht="27.6">
      <c r="A3363" s="502" t="s">
        <v>12918</v>
      </c>
      <c r="B3363" s="504" t="s">
        <v>12919</v>
      </c>
      <c r="C3363" s="502" t="s">
        <v>114</v>
      </c>
      <c r="D3363" s="503" t="s">
        <v>15715</v>
      </c>
      <c r="F3363" t="str">
        <f t="shared" si="105"/>
        <v>101547</v>
      </c>
      <c r="H3363" s="14">
        <f t="shared" si="106"/>
        <v>165.28</v>
      </c>
    </row>
    <row r="3364" spans="1:8" ht="27.6">
      <c r="A3364" s="502" t="s">
        <v>12920</v>
      </c>
      <c r="B3364" s="504" t="s">
        <v>12921</v>
      </c>
      <c r="C3364" s="502" t="s">
        <v>114</v>
      </c>
      <c r="D3364" s="503" t="s">
        <v>28158</v>
      </c>
      <c r="F3364" t="str">
        <f t="shared" si="105"/>
        <v>101548</v>
      </c>
      <c r="H3364" s="14">
        <f t="shared" si="106"/>
        <v>13.29</v>
      </c>
    </row>
    <row r="3365" spans="1:8" ht="41.4">
      <c r="A3365" s="502" t="s">
        <v>12922</v>
      </c>
      <c r="B3365" s="504" t="s">
        <v>12923</v>
      </c>
      <c r="C3365" s="502" t="s">
        <v>114</v>
      </c>
      <c r="D3365" s="503" t="s">
        <v>32632</v>
      </c>
      <c r="F3365" t="str">
        <f t="shared" si="105"/>
        <v>101549</v>
      </c>
      <c r="H3365" s="14">
        <f t="shared" si="106"/>
        <v>28.26</v>
      </c>
    </row>
    <row r="3366" spans="1:8" ht="41.4">
      <c r="A3366" s="502" t="s">
        <v>12924</v>
      </c>
      <c r="B3366" s="504" t="s">
        <v>12925</v>
      </c>
      <c r="C3366" s="502" t="s">
        <v>114</v>
      </c>
      <c r="D3366" s="503" t="s">
        <v>29070</v>
      </c>
      <c r="F3366" t="str">
        <f t="shared" si="105"/>
        <v>101553</v>
      </c>
      <c r="H3366" s="14">
        <f t="shared" si="106"/>
        <v>26.78</v>
      </c>
    </row>
    <row r="3367" spans="1:8" ht="41.4">
      <c r="A3367" s="502" t="s">
        <v>12926</v>
      </c>
      <c r="B3367" s="504" t="s">
        <v>12927</v>
      </c>
      <c r="C3367" s="502" t="s">
        <v>114</v>
      </c>
      <c r="D3367" s="503" t="s">
        <v>9614</v>
      </c>
      <c r="F3367" t="str">
        <f t="shared" si="105"/>
        <v>101554</v>
      </c>
      <c r="H3367" s="14">
        <f t="shared" si="106"/>
        <v>19.52</v>
      </c>
    </row>
    <row r="3368" spans="1:8" ht="41.4">
      <c r="A3368" s="502" t="s">
        <v>12928</v>
      </c>
      <c r="B3368" s="504" t="s">
        <v>12929</v>
      </c>
      <c r="C3368" s="502" t="s">
        <v>114</v>
      </c>
      <c r="D3368" s="503" t="s">
        <v>4685</v>
      </c>
      <c r="F3368" t="str">
        <f t="shared" si="105"/>
        <v>101555</v>
      </c>
      <c r="H3368" s="14">
        <f t="shared" si="106"/>
        <v>12.91</v>
      </c>
    </row>
    <row r="3369" spans="1:8" ht="41.4">
      <c r="A3369" s="502" t="s">
        <v>12930</v>
      </c>
      <c r="B3369" s="504" t="s">
        <v>12931</v>
      </c>
      <c r="C3369" s="502" t="s">
        <v>114</v>
      </c>
      <c r="D3369" s="503" t="s">
        <v>10605</v>
      </c>
      <c r="F3369" t="str">
        <f t="shared" si="105"/>
        <v>101556</v>
      </c>
      <c r="H3369" s="14">
        <f t="shared" si="106"/>
        <v>11.86</v>
      </c>
    </row>
    <row r="3370" spans="1:8" ht="55.2">
      <c r="A3370" s="502" t="s">
        <v>12932</v>
      </c>
      <c r="B3370" s="504" t="s">
        <v>12933</v>
      </c>
      <c r="C3370" s="502" t="s">
        <v>75</v>
      </c>
      <c r="D3370" s="503" t="s">
        <v>5143</v>
      </c>
      <c r="F3370" t="str">
        <f t="shared" si="105"/>
        <v>101560</v>
      </c>
      <c r="H3370" s="14">
        <f t="shared" si="106"/>
        <v>14.54</v>
      </c>
    </row>
    <row r="3371" spans="1:8" ht="55.2">
      <c r="A3371" s="502" t="s">
        <v>12934</v>
      </c>
      <c r="B3371" s="504" t="s">
        <v>12935</v>
      </c>
      <c r="C3371" s="502" t="s">
        <v>75</v>
      </c>
      <c r="D3371" s="503" t="s">
        <v>28911</v>
      </c>
      <c r="F3371" t="str">
        <f t="shared" si="105"/>
        <v>101561</v>
      </c>
      <c r="H3371" s="14">
        <f t="shared" si="106"/>
        <v>23.08</v>
      </c>
    </row>
    <row r="3372" spans="1:8" ht="55.2">
      <c r="A3372" s="502" t="s">
        <v>12936</v>
      </c>
      <c r="B3372" s="504" t="s">
        <v>12937</v>
      </c>
      <c r="C3372" s="502" t="s">
        <v>75</v>
      </c>
      <c r="D3372" s="503" t="s">
        <v>32633</v>
      </c>
      <c r="F3372" t="str">
        <f t="shared" si="105"/>
        <v>101562</v>
      </c>
      <c r="H3372" s="14">
        <f t="shared" si="106"/>
        <v>35.71</v>
      </c>
    </row>
    <row r="3373" spans="1:8" ht="55.2">
      <c r="A3373" s="502" t="s">
        <v>12938</v>
      </c>
      <c r="B3373" s="504" t="s">
        <v>12939</v>
      </c>
      <c r="C3373" s="502" t="s">
        <v>75</v>
      </c>
      <c r="D3373" s="503" t="s">
        <v>32634</v>
      </c>
      <c r="F3373" t="str">
        <f t="shared" si="105"/>
        <v>101563</v>
      </c>
      <c r="H3373" s="14">
        <f t="shared" si="106"/>
        <v>50.44</v>
      </c>
    </row>
    <row r="3374" spans="1:8" ht="55.2">
      <c r="A3374" s="502" t="s">
        <v>12940</v>
      </c>
      <c r="B3374" s="504" t="s">
        <v>12941</v>
      </c>
      <c r="C3374" s="502" t="s">
        <v>75</v>
      </c>
      <c r="D3374" s="503" t="s">
        <v>28451</v>
      </c>
      <c r="F3374" t="str">
        <f t="shared" si="105"/>
        <v>101564</v>
      </c>
      <c r="H3374" s="14">
        <f t="shared" si="106"/>
        <v>74.510000000000005</v>
      </c>
    </row>
    <row r="3375" spans="1:8" ht="55.2">
      <c r="A3375" s="502" t="s">
        <v>12942</v>
      </c>
      <c r="B3375" s="504" t="s">
        <v>12943</v>
      </c>
      <c r="C3375" s="502" t="s">
        <v>75</v>
      </c>
      <c r="D3375" s="503" t="s">
        <v>30469</v>
      </c>
      <c r="F3375" t="str">
        <f t="shared" si="105"/>
        <v>101565</v>
      </c>
      <c r="H3375" s="14">
        <f t="shared" si="106"/>
        <v>104.16</v>
      </c>
    </row>
    <row r="3376" spans="1:8" ht="55.2">
      <c r="A3376" s="502" t="s">
        <v>12944</v>
      </c>
      <c r="B3376" s="504" t="s">
        <v>12945</v>
      </c>
      <c r="C3376" s="502" t="s">
        <v>75</v>
      </c>
      <c r="D3376" s="503" t="s">
        <v>27985</v>
      </c>
      <c r="F3376" t="str">
        <f t="shared" si="105"/>
        <v>101567</v>
      </c>
      <c r="H3376" s="14">
        <f t="shared" si="106"/>
        <v>135.22</v>
      </c>
    </row>
    <row r="3377" spans="1:8" ht="55.2">
      <c r="A3377" s="502" t="s">
        <v>12946</v>
      </c>
      <c r="B3377" s="504" t="s">
        <v>12947</v>
      </c>
      <c r="C3377" s="502" t="s">
        <v>75</v>
      </c>
      <c r="D3377" s="503" t="s">
        <v>32399</v>
      </c>
      <c r="F3377" t="str">
        <f t="shared" si="105"/>
        <v>101568</v>
      </c>
      <c r="H3377" s="14">
        <f t="shared" si="106"/>
        <v>176.8</v>
      </c>
    </row>
    <row r="3378" spans="1:8" ht="27.6">
      <c r="A3378" s="502" t="s">
        <v>12948</v>
      </c>
      <c r="B3378" s="504" t="s">
        <v>12949</v>
      </c>
      <c r="C3378" s="502" t="s">
        <v>114</v>
      </c>
      <c r="D3378" s="503" t="s">
        <v>32635</v>
      </c>
      <c r="F3378" t="str">
        <f t="shared" si="105"/>
        <v>101630</v>
      </c>
      <c r="H3378" s="14">
        <f t="shared" si="106"/>
        <v>111.84</v>
      </c>
    </row>
    <row r="3379" spans="1:8" ht="41.4">
      <c r="A3379" s="502" t="s">
        <v>12950</v>
      </c>
      <c r="B3379" s="504" t="s">
        <v>12951</v>
      </c>
      <c r="C3379" s="502" t="s">
        <v>114</v>
      </c>
      <c r="D3379" s="503" t="s">
        <v>32636</v>
      </c>
      <c r="F3379" t="str">
        <f t="shared" si="105"/>
        <v>101632</v>
      </c>
      <c r="H3379" s="14">
        <f t="shared" si="106"/>
        <v>48.78</v>
      </c>
    </row>
    <row r="3380" spans="1:8" ht="41.4">
      <c r="A3380" s="502" t="s">
        <v>12952</v>
      </c>
      <c r="B3380" s="504" t="s">
        <v>12953</v>
      </c>
      <c r="C3380" s="502" t="s">
        <v>114</v>
      </c>
      <c r="D3380" s="503" t="s">
        <v>32637</v>
      </c>
      <c r="F3380" t="str">
        <f t="shared" si="105"/>
        <v>101633</v>
      </c>
      <c r="H3380" s="14">
        <f t="shared" si="106"/>
        <v>138.34</v>
      </c>
    </row>
    <row r="3381" spans="1:8" ht="55.2">
      <c r="A3381" s="502" t="s">
        <v>12954</v>
      </c>
      <c r="B3381" s="504" t="s">
        <v>12955</v>
      </c>
      <c r="C3381" s="502" t="s">
        <v>114</v>
      </c>
      <c r="D3381" s="503" t="s">
        <v>32638</v>
      </c>
      <c r="F3381" t="str">
        <f t="shared" si="105"/>
        <v>101636</v>
      </c>
      <c r="H3381" s="14">
        <f t="shared" si="106"/>
        <v>216.52</v>
      </c>
    </row>
    <row r="3382" spans="1:8" ht="55.2">
      <c r="A3382" s="502" t="s">
        <v>12956</v>
      </c>
      <c r="B3382" s="504" t="s">
        <v>12957</v>
      </c>
      <c r="C3382" s="502" t="s">
        <v>114</v>
      </c>
      <c r="D3382" s="503" t="s">
        <v>16200</v>
      </c>
      <c r="F3382" t="str">
        <f t="shared" si="105"/>
        <v>101637</v>
      </c>
      <c r="H3382" s="14">
        <f t="shared" si="106"/>
        <v>208.95</v>
      </c>
    </row>
    <row r="3383" spans="1:8" ht="27.6">
      <c r="A3383" s="502" t="s">
        <v>12959</v>
      </c>
      <c r="B3383" s="504" t="s">
        <v>12960</v>
      </c>
      <c r="C3383" s="502" t="s">
        <v>114</v>
      </c>
      <c r="D3383" s="503" t="s">
        <v>29826</v>
      </c>
      <c r="F3383" t="str">
        <f t="shared" si="105"/>
        <v>101651</v>
      </c>
      <c r="H3383" s="14">
        <f t="shared" si="106"/>
        <v>93.1</v>
      </c>
    </row>
    <row r="3384" spans="1:8" ht="69">
      <c r="A3384" s="502" t="s">
        <v>12961</v>
      </c>
      <c r="B3384" s="504" t="s">
        <v>12962</v>
      </c>
      <c r="C3384" s="502" t="s">
        <v>114</v>
      </c>
      <c r="D3384" s="503" t="s">
        <v>32639</v>
      </c>
      <c r="F3384" t="str">
        <f t="shared" si="105"/>
        <v>101653</v>
      </c>
      <c r="H3384" s="14">
        <f t="shared" si="106"/>
        <v>397.22</v>
      </c>
    </row>
    <row r="3385" spans="1:8" ht="27.6">
      <c r="A3385" s="502" t="s">
        <v>12963</v>
      </c>
      <c r="B3385" s="504" t="s">
        <v>12964</v>
      </c>
      <c r="C3385" s="502" t="s">
        <v>114</v>
      </c>
      <c r="D3385" s="503" t="s">
        <v>32640</v>
      </c>
      <c r="F3385" t="str">
        <f t="shared" si="105"/>
        <v>101654</v>
      </c>
      <c r="H3385" s="14">
        <f t="shared" si="106"/>
        <v>304.25</v>
      </c>
    </row>
    <row r="3386" spans="1:8" ht="27.6">
      <c r="A3386" s="502" t="s">
        <v>12965</v>
      </c>
      <c r="B3386" s="504" t="s">
        <v>12966</v>
      </c>
      <c r="C3386" s="502" t="s">
        <v>114</v>
      </c>
      <c r="D3386" s="503" t="s">
        <v>32641</v>
      </c>
      <c r="F3386" t="str">
        <f t="shared" si="105"/>
        <v>101655</v>
      </c>
      <c r="H3386" s="14">
        <f t="shared" si="106"/>
        <v>469.71</v>
      </c>
    </row>
    <row r="3387" spans="1:8" ht="27.6">
      <c r="A3387" s="502" t="s">
        <v>12967</v>
      </c>
      <c r="B3387" s="504" t="s">
        <v>12968</v>
      </c>
      <c r="C3387" s="502" t="s">
        <v>114</v>
      </c>
      <c r="D3387" s="503" t="s">
        <v>32642</v>
      </c>
      <c r="F3387" t="str">
        <f t="shared" si="105"/>
        <v>101656</v>
      </c>
      <c r="H3387" s="14">
        <f t="shared" si="106"/>
        <v>508.34</v>
      </c>
    </row>
    <row r="3388" spans="1:8" ht="27.6">
      <c r="A3388" s="502" t="s">
        <v>12969</v>
      </c>
      <c r="B3388" s="504" t="s">
        <v>12970</v>
      </c>
      <c r="C3388" s="502" t="s">
        <v>114</v>
      </c>
      <c r="D3388" s="503" t="s">
        <v>32643</v>
      </c>
      <c r="F3388" t="str">
        <f t="shared" si="105"/>
        <v>101657</v>
      </c>
      <c r="H3388" s="14">
        <f t="shared" si="106"/>
        <v>590.62</v>
      </c>
    </row>
    <row r="3389" spans="1:8" ht="27.6">
      <c r="A3389" s="502" t="s">
        <v>12971</v>
      </c>
      <c r="B3389" s="504" t="s">
        <v>12972</v>
      </c>
      <c r="C3389" s="502" t="s">
        <v>114</v>
      </c>
      <c r="D3389" s="503" t="s">
        <v>32644</v>
      </c>
      <c r="F3389" t="str">
        <f t="shared" si="105"/>
        <v>101658</v>
      </c>
      <c r="H3389" s="14">
        <f t="shared" si="106"/>
        <v>759.82</v>
      </c>
    </row>
    <row r="3390" spans="1:8" ht="27.6">
      <c r="A3390" s="502" t="s">
        <v>12973</v>
      </c>
      <c r="B3390" s="504" t="s">
        <v>12974</v>
      </c>
      <c r="C3390" s="502" t="s">
        <v>114</v>
      </c>
      <c r="D3390" s="503" t="s">
        <v>32645</v>
      </c>
      <c r="F3390" t="str">
        <f t="shared" si="105"/>
        <v>101659</v>
      </c>
      <c r="H3390" s="14">
        <f t="shared" si="106"/>
        <v>865.05</v>
      </c>
    </row>
    <row r="3391" spans="1:8" ht="27.6">
      <c r="A3391" s="502" t="s">
        <v>12975</v>
      </c>
      <c r="B3391" s="504" t="s">
        <v>12976</v>
      </c>
      <c r="C3391" s="502" t="s">
        <v>114</v>
      </c>
      <c r="D3391" s="503" t="s">
        <v>32646</v>
      </c>
      <c r="F3391" t="str">
        <f t="shared" si="105"/>
        <v>101660</v>
      </c>
      <c r="H3391" s="14">
        <f t="shared" si="106"/>
        <v>1361.8</v>
      </c>
    </row>
    <row r="3392" spans="1:8" ht="55.2">
      <c r="A3392" s="502" t="s">
        <v>12977</v>
      </c>
      <c r="B3392" s="504" t="s">
        <v>12978</v>
      </c>
      <c r="C3392" s="502" t="s">
        <v>114</v>
      </c>
      <c r="D3392" s="503" t="s">
        <v>32647</v>
      </c>
      <c r="F3392" t="str">
        <f t="shared" si="105"/>
        <v>101661</v>
      </c>
      <c r="H3392" s="14">
        <f t="shared" si="106"/>
        <v>177.73</v>
      </c>
    </row>
    <row r="3393" spans="1:8" ht="27.6">
      <c r="A3393" s="502" t="s">
        <v>12980</v>
      </c>
      <c r="B3393" s="504" t="s">
        <v>12981</v>
      </c>
      <c r="C3393" s="502" t="s">
        <v>114</v>
      </c>
      <c r="D3393" s="503" t="s">
        <v>10341</v>
      </c>
      <c r="F3393" t="str">
        <f t="shared" si="105"/>
        <v>101663</v>
      </c>
      <c r="H3393" s="14">
        <f t="shared" si="106"/>
        <v>42.6</v>
      </c>
    </row>
    <row r="3394" spans="1:8" ht="27.6">
      <c r="A3394" s="502" t="s">
        <v>12982</v>
      </c>
      <c r="B3394" s="504" t="s">
        <v>12983</v>
      </c>
      <c r="C3394" s="502" t="s">
        <v>114</v>
      </c>
      <c r="D3394" s="503" t="s">
        <v>16210</v>
      </c>
      <c r="F3394" t="str">
        <f t="shared" si="105"/>
        <v>101664</v>
      </c>
      <c r="H3394" s="14">
        <f t="shared" si="106"/>
        <v>44.24</v>
      </c>
    </row>
    <row r="3395" spans="1:8" ht="27.6">
      <c r="A3395" s="502" t="s">
        <v>12984</v>
      </c>
      <c r="B3395" s="504" t="s">
        <v>12985</v>
      </c>
      <c r="C3395" s="502" t="s">
        <v>114</v>
      </c>
      <c r="D3395" s="503" t="s">
        <v>32648</v>
      </c>
      <c r="F3395" t="str">
        <f t="shared" si="105"/>
        <v>101665</v>
      </c>
      <c r="H3395" s="14">
        <f t="shared" si="106"/>
        <v>51.26</v>
      </c>
    </row>
    <row r="3396" spans="1:8" ht="55.2">
      <c r="A3396" s="502" t="s">
        <v>11459</v>
      </c>
      <c r="B3396" s="504" t="s">
        <v>11460</v>
      </c>
      <c r="C3396" s="502" t="s">
        <v>114</v>
      </c>
      <c r="D3396" s="503" t="s">
        <v>32649</v>
      </c>
      <c r="F3396" t="str">
        <f t="shared" si="105"/>
        <v>100578</v>
      </c>
      <c r="H3396" s="14">
        <f t="shared" si="106"/>
        <v>748.33</v>
      </c>
    </row>
    <row r="3397" spans="1:8" ht="55.2">
      <c r="A3397" s="502" t="s">
        <v>11461</v>
      </c>
      <c r="B3397" s="504" t="s">
        <v>11462</v>
      </c>
      <c r="C3397" s="502" t="s">
        <v>114</v>
      </c>
      <c r="D3397" s="503" t="s">
        <v>32650</v>
      </c>
      <c r="F3397" t="str">
        <f t="shared" ref="F3397:F3460" si="107">TRIM(A3397)</f>
        <v>100579</v>
      </c>
      <c r="H3397" s="14">
        <f t="shared" ref="H3397:H3460" si="108">ROUND(D3397*(1+$H$1),2)</f>
        <v>820.06</v>
      </c>
    </row>
    <row r="3398" spans="1:8" ht="55.2">
      <c r="A3398" s="502" t="s">
        <v>11463</v>
      </c>
      <c r="B3398" s="504" t="s">
        <v>11464</v>
      </c>
      <c r="C3398" s="502" t="s">
        <v>114</v>
      </c>
      <c r="D3398" s="503" t="s">
        <v>32651</v>
      </c>
      <c r="F3398" t="str">
        <f t="shared" si="107"/>
        <v>100580</v>
      </c>
      <c r="H3398" s="14">
        <f t="shared" si="108"/>
        <v>904.41</v>
      </c>
    </row>
    <row r="3399" spans="1:8" ht="55.2">
      <c r="A3399" s="502" t="s">
        <v>11465</v>
      </c>
      <c r="B3399" s="504" t="s">
        <v>11466</v>
      </c>
      <c r="C3399" s="502" t="s">
        <v>114</v>
      </c>
      <c r="D3399" s="503" t="s">
        <v>32652</v>
      </c>
      <c r="F3399" t="str">
        <f t="shared" si="107"/>
        <v>100581</v>
      </c>
      <c r="H3399" s="14">
        <f t="shared" si="108"/>
        <v>855.61</v>
      </c>
    </row>
    <row r="3400" spans="1:8" ht="55.2">
      <c r="A3400" s="502" t="s">
        <v>11467</v>
      </c>
      <c r="B3400" s="504" t="s">
        <v>11468</v>
      </c>
      <c r="C3400" s="502" t="s">
        <v>114</v>
      </c>
      <c r="D3400" s="503" t="s">
        <v>32653</v>
      </c>
      <c r="F3400" t="str">
        <f t="shared" si="107"/>
        <v>100582</v>
      </c>
      <c r="H3400" s="14">
        <f t="shared" si="108"/>
        <v>1007.76</v>
      </c>
    </row>
    <row r="3401" spans="1:8" ht="55.2">
      <c r="A3401" s="502" t="s">
        <v>11469</v>
      </c>
      <c r="B3401" s="504" t="s">
        <v>11470</v>
      </c>
      <c r="C3401" s="502" t="s">
        <v>114</v>
      </c>
      <c r="D3401" s="503" t="s">
        <v>32654</v>
      </c>
      <c r="F3401" t="str">
        <f t="shared" si="107"/>
        <v>100583</v>
      </c>
      <c r="H3401" s="14">
        <f t="shared" si="108"/>
        <v>893.88</v>
      </c>
    </row>
    <row r="3402" spans="1:8" ht="55.2">
      <c r="A3402" s="502" t="s">
        <v>11471</v>
      </c>
      <c r="B3402" s="504" t="s">
        <v>11472</v>
      </c>
      <c r="C3402" s="502" t="s">
        <v>114</v>
      </c>
      <c r="D3402" s="503" t="s">
        <v>32655</v>
      </c>
      <c r="F3402" t="str">
        <f t="shared" si="107"/>
        <v>100584</v>
      </c>
      <c r="H3402" s="14">
        <f t="shared" si="108"/>
        <v>985.28</v>
      </c>
    </row>
    <row r="3403" spans="1:8" ht="55.2">
      <c r="A3403" s="502" t="s">
        <v>11473</v>
      </c>
      <c r="B3403" s="504" t="s">
        <v>11474</v>
      </c>
      <c r="C3403" s="502" t="s">
        <v>114</v>
      </c>
      <c r="D3403" s="503" t="s">
        <v>32656</v>
      </c>
      <c r="F3403" t="str">
        <f t="shared" si="107"/>
        <v>100585</v>
      </c>
      <c r="H3403" s="14">
        <f t="shared" si="108"/>
        <v>968.1</v>
      </c>
    </row>
    <row r="3404" spans="1:8" ht="55.2">
      <c r="A3404" s="502" t="s">
        <v>11475</v>
      </c>
      <c r="B3404" s="504" t="s">
        <v>11476</v>
      </c>
      <c r="C3404" s="502" t="s">
        <v>114</v>
      </c>
      <c r="D3404" s="503" t="s">
        <v>32657</v>
      </c>
      <c r="F3404" t="str">
        <f t="shared" si="107"/>
        <v>100586</v>
      </c>
      <c r="H3404" s="14">
        <f t="shared" si="108"/>
        <v>1113.6199999999999</v>
      </c>
    </row>
    <row r="3405" spans="1:8" ht="55.2">
      <c r="A3405" s="502" t="s">
        <v>11477</v>
      </c>
      <c r="B3405" s="504" t="s">
        <v>11478</v>
      </c>
      <c r="C3405" s="502" t="s">
        <v>114</v>
      </c>
      <c r="D3405" s="503" t="s">
        <v>32658</v>
      </c>
      <c r="F3405" t="str">
        <f t="shared" si="107"/>
        <v>100587</v>
      </c>
      <c r="H3405" s="14">
        <f t="shared" si="108"/>
        <v>1045.2</v>
      </c>
    </row>
    <row r="3406" spans="1:8" ht="55.2">
      <c r="A3406" s="502" t="s">
        <v>11479</v>
      </c>
      <c r="B3406" s="504" t="s">
        <v>11480</v>
      </c>
      <c r="C3406" s="502" t="s">
        <v>114</v>
      </c>
      <c r="D3406" s="503" t="s">
        <v>32659</v>
      </c>
      <c r="F3406" t="str">
        <f t="shared" si="107"/>
        <v>100588</v>
      </c>
      <c r="H3406" s="14">
        <f t="shared" si="108"/>
        <v>1158.33</v>
      </c>
    </row>
    <row r="3407" spans="1:8" ht="55.2">
      <c r="A3407" s="502" t="s">
        <v>11481</v>
      </c>
      <c r="B3407" s="504" t="s">
        <v>11482</v>
      </c>
      <c r="C3407" s="502" t="s">
        <v>114</v>
      </c>
      <c r="D3407" s="503" t="s">
        <v>32660</v>
      </c>
      <c r="F3407" t="str">
        <f t="shared" si="107"/>
        <v>100589</v>
      </c>
      <c r="H3407" s="14">
        <f t="shared" si="108"/>
        <v>1162.54</v>
      </c>
    </row>
    <row r="3408" spans="1:8" ht="55.2">
      <c r="A3408" s="502" t="s">
        <v>11483</v>
      </c>
      <c r="B3408" s="504" t="s">
        <v>11484</v>
      </c>
      <c r="C3408" s="502" t="s">
        <v>114</v>
      </c>
      <c r="D3408" s="503" t="s">
        <v>32661</v>
      </c>
      <c r="F3408" t="str">
        <f t="shared" si="107"/>
        <v>100590</v>
      </c>
      <c r="H3408" s="14">
        <f t="shared" si="108"/>
        <v>1274.5999999999999</v>
      </c>
    </row>
    <row r="3409" spans="1:8" ht="55.2">
      <c r="A3409" s="502" t="s">
        <v>11485</v>
      </c>
      <c r="B3409" s="504" t="s">
        <v>11486</v>
      </c>
      <c r="C3409" s="502" t="s">
        <v>114</v>
      </c>
      <c r="D3409" s="503" t="s">
        <v>32662</v>
      </c>
      <c r="F3409" t="str">
        <f t="shared" si="107"/>
        <v>100591</v>
      </c>
      <c r="H3409" s="14">
        <f t="shared" si="108"/>
        <v>1151.8399999999999</v>
      </c>
    </row>
    <row r="3410" spans="1:8" ht="55.2">
      <c r="A3410" s="502" t="s">
        <v>11487</v>
      </c>
      <c r="B3410" s="504" t="s">
        <v>11488</v>
      </c>
      <c r="C3410" s="502" t="s">
        <v>114</v>
      </c>
      <c r="D3410" s="503" t="s">
        <v>32663</v>
      </c>
      <c r="F3410" t="str">
        <f t="shared" si="107"/>
        <v>100592</v>
      </c>
      <c r="H3410" s="14">
        <f t="shared" si="108"/>
        <v>1244.6500000000001</v>
      </c>
    </row>
    <row r="3411" spans="1:8" ht="55.2">
      <c r="A3411" s="502" t="s">
        <v>11489</v>
      </c>
      <c r="B3411" s="504" t="s">
        <v>11490</v>
      </c>
      <c r="C3411" s="502" t="s">
        <v>114</v>
      </c>
      <c r="D3411" s="503" t="s">
        <v>32664</v>
      </c>
      <c r="F3411" t="str">
        <f t="shared" si="107"/>
        <v>100593</v>
      </c>
      <c r="H3411" s="14">
        <f t="shared" si="108"/>
        <v>1234.03</v>
      </c>
    </row>
    <row r="3412" spans="1:8" ht="55.2">
      <c r="A3412" s="502" t="s">
        <v>11491</v>
      </c>
      <c r="B3412" s="504" t="s">
        <v>11492</v>
      </c>
      <c r="C3412" s="502" t="s">
        <v>114</v>
      </c>
      <c r="D3412" s="503" t="s">
        <v>32665</v>
      </c>
      <c r="F3412" t="str">
        <f t="shared" si="107"/>
        <v>100594</v>
      </c>
      <c r="H3412" s="14">
        <f t="shared" si="108"/>
        <v>1391.13</v>
      </c>
    </row>
    <row r="3413" spans="1:8" ht="55.2">
      <c r="A3413" s="502" t="s">
        <v>11493</v>
      </c>
      <c r="B3413" s="504" t="s">
        <v>11494</v>
      </c>
      <c r="C3413" s="502" t="s">
        <v>114</v>
      </c>
      <c r="D3413" s="503" t="s">
        <v>32666</v>
      </c>
      <c r="F3413" t="str">
        <f t="shared" si="107"/>
        <v>100595</v>
      </c>
      <c r="H3413" s="14">
        <f t="shared" si="108"/>
        <v>1480.66</v>
      </c>
    </row>
    <row r="3414" spans="1:8" ht="55.2">
      <c r="A3414" s="502" t="s">
        <v>11495</v>
      </c>
      <c r="B3414" s="504" t="s">
        <v>11496</v>
      </c>
      <c r="C3414" s="502" t="s">
        <v>114</v>
      </c>
      <c r="D3414" s="503" t="s">
        <v>32667</v>
      </c>
      <c r="F3414" t="str">
        <f t="shared" si="107"/>
        <v>100596</v>
      </c>
      <c r="H3414" s="14">
        <f t="shared" si="108"/>
        <v>1692.43</v>
      </c>
    </row>
    <row r="3415" spans="1:8" ht="55.2">
      <c r="A3415" s="502" t="s">
        <v>11497</v>
      </c>
      <c r="B3415" s="504" t="s">
        <v>11498</v>
      </c>
      <c r="C3415" s="502" t="s">
        <v>114</v>
      </c>
      <c r="D3415" s="503" t="s">
        <v>32668</v>
      </c>
      <c r="F3415" t="str">
        <f t="shared" si="107"/>
        <v>100597</v>
      </c>
      <c r="H3415" s="14">
        <f t="shared" si="108"/>
        <v>1717.18</v>
      </c>
    </row>
    <row r="3416" spans="1:8" ht="55.2">
      <c r="A3416" s="502" t="s">
        <v>11499</v>
      </c>
      <c r="B3416" s="504" t="s">
        <v>11500</v>
      </c>
      <c r="C3416" s="502" t="s">
        <v>114</v>
      </c>
      <c r="D3416" s="503" t="s">
        <v>32669</v>
      </c>
      <c r="F3416" t="str">
        <f t="shared" si="107"/>
        <v>100598</v>
      </c>
      <c r="H3416" s="14">
        <f t="shared" si="108"/>
        <v>1891.76</v>
      </c>
    </row>
    <row r="3417" spans="1:8" ht="55.2">
      <c r="A3417" s="502" t="s">
        <v>11501</v>
      </c>
      <c r="B3417" s="504" t="s">
        <v>11502</v>
      </c>
      <c r="C3417" s="502" t="s">
        <v>114</v>
      </c>
      <c r="D3417" s="503" t="s">
        <v>20079</v>
      </c>
      <c r="F3417" t="str">
        <f t="shared" si="107"/>
        <v>100599</v>
      </c>
      <c r="H3417" s="14">
        <f t="shared" si="108"/>
        <v>761.76</v>
      </c>
    </row>
    <row r="3418" spans="1:8" ht="55.2">
      <c r="A3418" s="502" t="s">
        <v>11503</v>
      </c>
      <c r="B3418" s="504" t="s">
        <v>11504</v>
      </c>
      <c r="C3418" s="502" t="s">
        <v>114</v>
      </c>
      <c r="D3418" s="503" t="s">
        <v>32670</v>
      </c>
      <c r="F3418" t="str">
        <f t="shared" si="107"/>
        <v>100600</v>
      </c>
      <c r="H3418" s="14">
        <f t="shared" si="108"/>
        <v>906.03</v>
      </c>
    </row>
    <row r="3419" spans="1:8" ht="55.2">
      <c r="A3419" s="502" t="s">
        <v>11505</v>
      </c>
      <c r="B3419" s="504" t="s">
        <v>11506</v>
      </c>
      <c r="C3419" s="502" t="s">
        <v>114</v>
      </c>
      <c r="D3419" s="503" t="s">
        <v>32671</v>
      </c>
      <c r="F3419" t="str">
        <f t="shared" si="107"/>
        <v>100601</v>
      </c>
      <c r="H3419" s="14">
        <f t="shared" si="108"/>
        <v>1145.72</v>
      </c>
    </row>
    <row r="3420" spans="1:8" ht="55.2">
      <c r="A3420" s="502" t="s">
        <v>11507</v>
      </c>
      <c r="B3420" s="504" t="s">
        <v>11508</v>
      </c>
      <c r="C3420" s="502" t="s">
        <v>114</v>
      </c>
      <c r="D3420" s="503" t="s">
        <v>32672</v>
      </c>
      <c r="F3420" t="str">
        <f t="shared" si="107"/>
        <v>100602</v>
      </c>
      <c r="H3420" s="14">
        <f t="shared" si="108"/>
        <v>1444.75</v>
      </c>
    </row>
    <row r="3421" spans="1:8" ht="55.2">
      <c r="A3421" s="502" t="s">
        <v>11509</v>
      </c>
      <c r="B3421" s="504" t="s">
        <v>11510</v>
      </c>
      <c r="C3421" s="502" t="s">
        <v>114</v>
      </c>
      <c r="D3421" s="503" t="s">
        <v>32673</v>
      </c>
      <c r="F3421" t="str">
        <f t="shared" si="107"/>
        <v>100603</v>
      </c>
      <c r="H3421" s="14">
        <f t="shared" si="108"/>
        <v>2215.4</v>
      </c>
    </row>
    <row r="3422" spans="1:8" ht="55.2">
      <c r="A3422" s="502" t="s">
        <v>11511</v>
      </c>
      <c r="B3422" s="504" t="s">
        <v>11512</v>
      </c>
      <c r="C3422" s="502" t="s">
        <v>114</v>
      </c>
      <c r="D3422" s="503" t="s">
        <v>32674</v>
      </c>
      <c r="F3422" t="str">
        <f t="shared" si="107"/>
        <v>100604</v>
      </c>
      <c r="H3422" s="14">
        <f t="shared" si="108"/>
        <v>963.24</v>
      </c>
    </row>
    <row r="3423" spans="1:8" ht="55.2">
      <c r="A3423" s="502" t="s">
        <v>11513</v>
      </c>
      <c r="B3423" s="504" t="s">
        <v>11514</v>
      </c>
      <c r="C3423" s="502" t="s">
        <v>114</v>
      </c>
      <c r="D3423" s="503" t="s">
        <v>32675</v>
      </c>
      <c r="F3423" t="str">
        <f t="shared" si="107"/>
        <v>100605</v>
      </c>
      <c r="H3423" s="14">
        <f t="shared" si="108"/>
        <v>1517.56</v>
      </c>
    </row>
    <row r="3424" spans="1:8" ht="55.2">
      <c r="A3424" s="502" t="s">
        <v>11515</v>
      </c>
      <c r="B3424" s="504" t="s">
        <v>11516</v>
      </c>
      <c r="C3424" s="502" t="s">
        <v>114</v>
      </c>
      <c r="D3424" s="503" t="s">
        <v>32676</v>
      </c>
      <c r="F3424" t="str">
        <f t="shared" si="107"/>
        <v>100606</v>
      </c>
      <c r="H3424" s="14">
        <f t="shared" si="108"/>
        <v>2308.5300000000002</v>
      </c>
    </row>
    <row r="3425" spans="1:8" ht="69">
      <c r="A3425" s="502" t="s">
        <v>11517</v>
      </c>
      <c r="B3425" s="504" t="s">
        <v>11518</v>
      </c>
      <c r="C3425" s="502" t="s">
        <v>114</v>
      </c>
      <c r="D3425" s="503" t="s">
        <v>32677</v>
      </c>
      <c r="F3425" t="str">
        <f t="shared" si="107"/>
        <v>100607</v>
      </c>
      <c r="H3425" s="14">
        <f t="shared" si="108"/>
        <v>990.57</v>
      </c>
    </row>
    <row r="3426" spans="1:8" ht="69">
      <c r="A3426" s="502" t="s">
        <v>11519</v>
      </c>
      <c r="B3426" s="504" t="s">
        <v>11520</v>
      </c>
      <c r="C3426" s="502" t="s">
        <v>114</v>
      </c>
      <c r="D3426" s="503" t="s">
        <v>32678</v>
      </c>
      <c r="F3426" t="str">
        <f t="shared" si="107"/>
        <v>100608</v>
      </c>
      <c r="H3426" s="14">
        <f t="shared" si="108"/>
        <v>1553.51</v>
      </c>
    </row>
    <row r="3427" spans="1:8" ht="69">
      <c r="A3427" s="502" t="s">
        <v>11521</v>
      </c>
      <c r="B3427" s="504" t="s">
        <v>11522</v>
      </c>
      <c r="C3427" s="502" t="s">
        <v>114</v>
      </c>
      <c r="D3427" s="503" t="s">
        <v>32679</v>
      </c>
      <c r="F3427" t="str">
        <f t="shared" si="107"/>
        <v>100609</v>
      </c>
      <c r="H3427" s="14">
        <f t="shared" si="108"/>
        <v>2358.38</v>
      </c>
    </row>
    <row r="3428" spans="1:8" ht="55.2">
      <c r="A3428" s="502" t="s">
        <v>11523</v>
      </c>
      <c r="B3428" s="504" t="s">
        <v>11524</v>
      </c>
      <c r="C3428" s="502" t="s">
        <v>114</v>
      </c>
      <c r="D3428" s="503" t="s">
        <v>32680</v>
      </c>
      <c r="F3428" t="str">
        <f t="shared" si="107"/>
        <v>100610</v>
      </c>
      <c r="H3428" s="14">
        <f t="shared" si="108"/>
        <v>1017.72</v>
      </c>
    </row>
    <row r="3429" spans="1:8" ht="55.2">
      <c r="A3429" s="502" t="s">
        <v>11525</v>
      </c>
      <c r="B3429" s="504" t="s">
        <v>11526</v>
      </c>
      <c r="C3429" s="502" t="s">
        <v>114</v>
      </c>
      <c r="D3429" s="503" t="s">
        <v>32681</v>
      </c>
      <c r="F3429" t="str">
        <f t="shared" si="107"/>
        <v>100611</v>
      </c>
      <c r="H3429" s="14">
        <f t="shared" si="108"/>
        <v>1271.23</v>
      </c>
    </row>
    <row r="3430" spans="1:8" ht="55.2">
      <c r="A3430" s="502" t="s">
        <v>11527</v>
      </c>
      <c r="B3430" s="504" t="s">
        <v>11528</v>
      </c>
      <c r="C3430" s="502" t="s">
        <v>114</v>
      </c>
      <c r="D3430" s="503" t="s">
        <v>32682</v>
      </c>
      <c r="F3430" t="str">
        <f t="shared" si="107"/>
        <v>100612</v>
      </c>
      <c r="H3430" s="14">
        <f t="shared" si="108"/>
        <v>1588.78</v>
      </c>
    </row>
    <row r="3431" spans="1:8" ht="55.2">
      <c r="A3431" s="502" t="s">
        <v>11529</v>
      </c>
      <c r="B3431" s="504" t="s">
        <v>11530</v>
      </c>
      <c r="C3431" s="502" t="s">
        <v>114</v>
      </c>
      <c r="D3431" s="503" t="s">
        <v>32683</v>
      </c>
      <c r="F3431" t="str">
        <f t="shared" si="107"/>
        <v>100613</v>
      </c>
      <c r="H3431" s="14">
        <f t="shared" si="108"/>
        <v>2407.23</v>
      </c>
    </row>
    <row r="3432" spans="1:8" ht="55.2">
      <c r="A3432" s="502" t="s">
        <v>11531</v>
      </c>
      <c r="B3432" s="504" t="s">
        <v>11532</v>
      </c>
      <c r="C3432" s="502" t="s">
        <v>114</v>
      </c>
      <c r="D3432" s="503" t="s">
        <v>32684</v>
      </c>
      <c r="F3432" t="str">
        <f t="shared" si="107"/>
        <v>100614</v>
      </c>
      <c r="H3432" s="14">
        <f t="shared" si="108"/>
        <v>1332.85</v>
      </c>
    </row>
    <row r="3433" spans="1:8" ht="55.2">
      <c r="A3433" s="502" t="s">
        <v>11533</v>
      </c>
      <c r="B3433" s="504" t="s">
        <v>11534</v>
      </c>
      <c r="C3433" s="502" t="s">
        <v>114</v>
      </c>
      <c r="D3433" s="503" t="s">
        <v>32685</v>
      </c>
      <c r="F3433" t="str">
        <f t="shared" si="107"/>
        <v>100615</v>
      </c>
      <c r="H3433" s="14">
        <f t="shared" si="108"/>
        <v>1658.86</v>
      </c>
    </row>
    <row r="3434" spans="1:8" ht="55.2">
      <c r="A3434" s="502" t="s">
        <v>11535</v>
      </c>
      <c r="B3434" s="504" t="s">
        <v>11536</v>
      </c>
      <c r="C3434" s="502" t="s">
        <v>114</v>
      </c>
      <c r="D3434" s="503" t="s">
        <v>32686</v>
      </c>
      <c r="F3434" t="str">
        <f t="shared" si="107"/>
        <v>100616</v>
      </c>
      <c r="H3434" s="14">
        <f t="shared" si="108"/>
        <v>2509.9899999999998</v>
      </c>
    </row>
    <row r="3435" spans="1:8" ht="55.2">
      <c r="A3435" s="502" t="s">
        <v>11537</v>
      </c>
      <c r="B3435" s="504" t="s">
        <v>11538</v>
      </c>
      <c r="C3435" s="502" t="s">
        <v>114</v>
      </c>
      <c r="D3435" s="503" t="s">
        <v>32687</v>
      </c>
      <c r="F3435" t="str">
        <f t="shared" si="107"/>
        <v>100617</v>
      </c>
      <c r="H3435" s="14">
        <f t="shared" si="108"/>
        <v>1728.75</v>
      </c>
    </row>
    <row r="3436" spans="1:8" ht="69">
      <c r="A3436" s="502" t="s">
        <v>11539</v>
      </c>
      <c r="B3436" s="504" t="s">
        <v>11540</v>
      </c>
      <c r="C3436" s="502" t="s">
        <v>114</v>
      </c>
      <c r="D3436" s="503" t="s">
        <v>32688</v>
      </c>
      <c r="F3436" t="str">
        <f t="shared" si="107"/>
        <v>100618</v>
      </c>
      <c r="H3436" s="14">
        <f t="shared" si="108"/>
        <v>2618.23</v>
      </c>
    </row>
    <row r="3437" spans="1:8" ht="41.4">
      <c r="A3437" s="502" t="s">
        <v>11541</v>
      </c>
      <c r="B3437" s="504" t="s">
        <v>11542</v>
      </c>
      <c r="C3437" s="502" t="s">
        <v>114</v>
      </c>
      <c r="D3437" s="503" t="s">
        <v>32689</v>
      </c>
      <c r="F3437" t="str">
        <f t="shared" si="107"/>
        <v>100619</v>
      </c>
      <c r="H3437" s="14">
        <f t="shared" si="108"/>
        <v>811.87</v>
      </c>
    </row>
    <row r="3438" spans="1:8" ht="41.4">
      <c r="A3438" s="502" t="s">
        <v>11543</v>
      </c>
      <c r="B3438" s="504" t="s">
        <v>11544</v>
      </c>
      <c r="C3438" s="502" t="s">
        <v>114</v>
      </c>
      <c r="D3438" s="503" t="s">
        <v>32690</v>
      </c>
      <c r="F3438" t="str">
        <f t="shared" si="107"/>
        <v>100620</v>
      </c>
      <c r="H3438" s="14">
        <f t="shared" si="108"/>
        <v>3615.1</v>
      </c>
    </row>
    <row r="3439" spans="1:8" ht="41.4">
      <c r="A3439" s="502" t="s">
        <v>11545</v>
      </c>
      <c r="B3439" s="504" t="s">
        <v>11546</v>
      </c>
      <c r="C3439" s="502" t="s">
        <v>114</v>
      </c>
      <c r="D3439" s="503" t="s">
        <v>32691</v>
      </c>
      <c r="F3439" t="str">
        <f t="shared" si="107"/>
        <v>100621</v>
      </c>
      <c r="H3439" s="14">
        <f t="shared" si="108"/>
        <v>4203.25</v>
      </c>
    </row>
    <row r="3440" spans="1:8" ht="41.4">
      <c r="A3440" s="502" t="s">
        <v>11547</v>
      </c>
      <c r="B3440" s="504" t="s">
        <v>11548</v>
      </c>
      <c r="C3440" s="502" t="s">
        <v>114</v>
      </c>
      <c r="D3440" s="503" t="s">
        <v>32692</v>
      </c>
      <c r="F3440" t="str">
        <f t="shared" si="107"/>
        <v>100622</v>
      </c>
      <c r="H3440" s="14">
        <f t="shared" si="108"/>
        <v>3215.83</v>
      </c>
    </row>
    <row r="3441" spans="1:8" ht="41.4">
      <c r="A3441" s="502" t="s">
        <v>11549</v>
      </c>
      <c r="B3441" s="504" t="s">
        <v>11550</v>
      </c>
      <c r="C3441" s="502" t="s">
        <v>114</v>
      </c>
      <c r="D3441" s="503" t="s">
        <v>32693</v>
      </c>
      <c r="F3441" t="str">
        <f t="shared" si="107"/>
        <v>100623</v>
      </c>
      <c r="H3441" s="14">
        <f t="shared" si="108"/>
        <v>3466.3</v>
      </c>
    </row>
    <row r="3442" spans="1:8" ht="41.4">
      <c r="A3442" s="502" t="s">
        <v>4970</v>
      </c>
      <c r="B3442" s="504" t="s">
        <v>32694</v>
      </c>
      <c r="C3442" s="502" t="s">
        <v>114</v>
      </c>
      <c r="D3442" s="503" t="s">
        <v>11415</v>
      </c>
      <c r="F3442" t="str">
        <f t="shared" si="107"/>
        <v>97605</v>
      </c>
      <c r="H3442" s="14">
        <f t="shared" si="108"/>
        <v>117.06</v>
      </c>
    </row>
    <row r="3443" spans="1:8" ht="41.4">
      <c r="A3443" s="502" t="s">
        <v>4971</v>
      </c>
      <c r="B3443" s="504" t="s">
        <v>32695</v>
      </c>
      <c r="C3443" s="502" t="s">
        <v>114</v>
      </c>
      <c r="D3443" s="503" t="s">
        <v>28529</v>
      </c>
      <c r="F3443" t="str">
        <f t="shared" si="107"/>
        <v>97607</v>
      </c>
      <c r="H3443" s="14">
        <f t="shared" si="108"/>
        <v>149.57</v>
      </c>
    </row>
    <row r="3444" spans="1:8" ht="55.2">
      <c r="A3444" s="502" t="s">
        <v>12986</v>
      </c>
      <c r="B3444" s="504" t="s">
        <v>12987</v>
      </c>
      <c r="C3444" s="502" t="s">
        <v>114</v>
      </c>
      <c r="D3444" s="503" t="s">
        <v>32696</v>
      </c>
      <c r="F3444" t="str">
        <f t="shared" si="107"/>
        <v>102102</v>
      </c>
      <c r="H3444" s="14">
        <f t="shared" si="108"/>
        <v>15229.84</v>
      </c>
    </row>
    <row r="3445" spans="1:8" ht="55.2">
      <c r="A3445" s="502" t="s">
        <v>12988</v>
      </c>
      <c r="B3445" s="504" t="s">
        <v>12989</v>
      </c>
      <c r="C3445" s="502" t="s">
        <v>114</v>
      </c>
      <c r="D3445" s="503" t="s">
        <v>32697</v>
      </c>
      <c r="F3445" t="str">
        <f t="shared" si="107"/>
        <v>102103</v>
      </c>
      <c r="H3445" s="14">
        <f t="shared" si="108"/>
        <v>16937.419999999998</v>
      </c>
    </row>
    <row r="3446" spans="1:8" ht="55.2">
      <c r="A3446" s="502" t="s">
        <v>12990</v>
      </c>
      <c r="B3446" s="504" t="s">
        <v>12991</v>
      </c>
      <c r="C3446" s="502" t="s">
        <v>114</v>
      </c>
      <c r="D3446" s="503" t="s">
        <v>32698</v>
      </c>
      <c r="F3446" t="str">
        <f t="shared" si="107"/>
        <v>102104</v>
      </c>
      <c r="H3446" s="14">
        <f t="shared" si="108"/>
        <v>21696.83</v>
      </c>
    </row>
    <row r="3447" spans="1:8" ht="55.2">
      <c r="A3447" s="502" t="s">
        <v>12992</v>
      </c>
      <c r="B3447" s="504" t="s">
        <v>12993</v>
      </c>
      <c r="C3447" s="502" t="s">
        <v>114</v>
      </c>
      <c r="D3447" s="503" t="s">
        <v>32699</v>
      </c>
      <c r="F3447" t="str">
        <f t="shared" si="107"/>
        <v>102105</v>
      </c>
      <c r="H3447" s="14">
        <f t="shared" si="108"/>
        <v>26641.91</v>
      </c>
    </row>
    <row r="3448" spans="1:8" ht="55.2">
      <c r="A3448" s="502" t="s">
        <v>12994</v>
      </c>
      <c r="B3448" s="504" t="s">
        <v>12995</v>
      </c>
      <c r="C3448" s="502" t="s">
        <v>114</v>
      </c>
      <c r="D3448" s="503" t="s">
        <v>32700</v>
      </c>
      <c r="F3448" t="str">
        <f t="shared" si="107"/>
        <v>102106</v>
      </c>
      <c r="H3448" s="14">
        <f t="shared" si="108"/>
        <v>33389.15</v>
      </c>
    </row>
    <row r="3449" spans="1:8" ht="55.2">
      <c r="A3449" s="502" t="s">
        <v>12996</v>
      </c>
      <c r="B3449" s="504" t="s">
        <v>12997</v>
      </c>
      <c r="C3449" s="502" t="s">
        <v>114</v>
      </c>
      <c r="D3449" s="503" t="s">
        <v>32701</v>
      </c>
      <c r="F3449" t="str">
        <f t="shared" si="107"/>
        <v>102107</v>
      </c>
      <c r="H3449" s="14">
        <f t="shared" si="108"/>
        <v>46547.74</v>
      </c>
    </row>
    <row r="3450" spans="1:8" ht="55.2">
      <c r="A3450" s="502" t="s">
        <v>12998</v>
      </c>
      <c r="B3450" s="504" t="s">
        <v>12999</v>
      </c>
      <c r="C3450" s="502" t="s">
        <v>114</v>
      </c>
      <c r="D3450" s="503" t="s">
        <v>32702</v>
      </c>
      <c r="F3450" t="str">
        <f t="shared" si="107"/>
        <v>102108</v>
      </c>
      <c r="H3450" s="14">
        <f t="shared" si="108"/>
        <v>54187.37</v>
      </c>
    </row>
    <row r="3451" spans="1:8" ht="27.6">
      <c r="A3451" s="502" t="s">
        <v>13000</v>
      </c>
      <c r="B3451" s="504" t="s">
        <v>13001</v>
      </c>
      <c r="C3451" s="502" t="s">
        <v>114</v>
      </c>
      <c r="D3451" s="503" t="s">
        <v>32703</v>
      </c>
      <c r="F3451" t="str">
        <f t="shared" si="107"/>
        <v>102109</v>
      </c>
      <c r="H3451" s="14">
        <f t="shared" si="108"/>
        <v>99.79</v>
      </c>
    </row>
    <row r="3452" spans="1:8" ht="27.6">
      <c r="A3452" s="502" t="s">
        <v>13002</v>
      </c>
      <c r="B3452" s="504" t="s">
        <v>13003</v>
      </c>
      <c r="C3452" s="502" t="s">
        <v>114</v>
      </c>
      <c r="D3452" s="503" t="s">
        <v>32704</v>
      </c>
      <c r="F3452" t="str">
        <f t="shared" si="107"/>
        <v>102110</v>
      </c>
      <c r="H3452" s="14">
        <f t="shared" si="108"/>
        <v>307.77</v>
      </c>
    </row>
    <row r="3453" spans="1:8" ht="55.2">
      <c r="A3453" s="502" t="s">
        <v>24813</v>
      </c>
      <c r="B3453" s="504" t="s">
        <v>24814</v>
      </c>
      <c r="C3453" s="502" t="s">
        <v>114</v>
      </c>
      <c r="D3453" s="503" t="s">
        <v>32705</v>
      </c>
      <c r="F3453" t="str">
        <f t="shared" si="107"/>
        <v>103654</v>
      </c>
      <c r="H3453" s="14">
        <f t="shared" si="108"/>
        <v>87704.1</v>
      </c>
    </row>
    <row r="3454" spans="1:8" ht="55.2">
      <c r="A3454" s="502" t="s">
        <v>24815</v>
      </c>
      <c r="B3454" s="504" t="s">
        <v>24816</v>
      </c>
      <c r="C3454" s="502" t="s">
        <v>114</v>
      </c>
      <c r="D3454" s="503" t="s">
        <v>32706</v>
      </c>
      <c r="F3454" t="str">
        <f t="shared" si="107"/>
        <v>103655</v>
      </c>
      <c r="H3454" s="14">
        <f t="shared" si="108"/>
        <v>120111.3</v>
      </c>
    </row>
    <row r="3455" spans="1:8" ht="55.2">
      <c r="A3455" s="502" t="s">
        <v>24817</v>
      </c>
      <c r="B3455" s="504" t="s">
        <v>24818</v>
      </c>
      <c r="C3455" s="502" t="s">
        <v>114</v>
      </c>
      <c r="D3455" s="503" t="s">
        <v>32707</v>
      </c>
      <c r="F3455" t="str">
        <f t="shared" si="107"/>
        <v>103656</v>
      </c>
      <c r="H3455" s="14">
        <f t="shared" si="108"/>
        <v>167885.19</v>
      </c>
    </row>
    <row r="3456" spans="1:8" ht="27.6">
      <c r="A3456" s="502" t="s">
        <v>4976</v>
      </c>
      <c r="B3456" s="504" t="s">
        <v>28858</v>
      </c>
      <c r="C3456" s="502" t="s">
        <v>75</v>
      </c>
      <c r="D3456" s="503" t="s">
        <v>32708</v>
      </c>
      <c r="F3456" t="str">
        <f t="shared" si="107"/>
        <v>96973</v>
      </c>
      <c r="H3456" s="14">
        <f t="shared" si="108"/>
        <v>102.58</v>
      </c>
    </row>
    <row r="3457" spans="1:8" ht="27.6">
      <c r="A3457" s="502" t="s">
        <v>4977</v>
      </c>
      <c r="B3457" s="504" t="s">
        <v>28859</v>
      </c>
      <c r="C3457" s="502" t="s">
        <v>75</v>
      </c>
      <c r="D3457" s="503" t="s">
        <v>32709</v>
      </c>
      <c r="F3457" t="str">
        <f t="shared" si="107"/>
        <v>96974</v>
      </c>
      <c r="H3457" s="14">
        <f t="shared" si="108"/>
        <v>132.13</v>
      </c>
    </row>
    <row r="3458" spans="1:8" ht="27.6">
      <c r="A3458" s="502" t="s">
        <v>4978</v>
      </c>
      <c r="B3458" s="504" t="s">
        <v>28860</v>
      </c>
      <c r="C3458" s="502" t="s">
        <v>75</v>
      </c>
      <c r="D3458" s="503" t="s">
        <v>10295</v>
      </c>
      <c r="F3458" t="str">
        <f t="shared" si="107"/>
        <v>96975</v>
      </c>
      <c r="H3458" s="14">
        <f t="shared" si="108"/>
        <v>163.12</v>
      </c>
    </row>
    <row r="3459" spans="1:8" ht="27.6">
      <c r="A3459" s="502" t="s">
        <v>4979</v>
      </c>
      <c r="B3459" s="504" t="s">
        <v>28861</v>
      </c>
      <c r="C3459" s="502" t="s">
        <v>75</v>
      </c>
      <c r="D3459" s="503" t="s">
        <v>32710</v>
      </c>
      <c r="F3459" t="str">
        <f t="shared" si="107"/>
        <v>96976</v>
      </c>
      <c r="H3459" s="14">
        <f t="shared" si="108"/>
        <v>213.99</v>
      </c>
    </row>
    <row r="3460" spans="1:8" ht="27.6">
      <c r="A3460" s="502" t="s">
        <v>4980</v>
      </c>
      <c r="B3460" s="504" t="s">
        <v>28862</v>
      </c>
      <c r="C3460" s="502" t="s">
        <v>75</v>
      </c>
      <c r="D3460" s="503" t="s">
        <v>31356</v>
      </c>
      <c r="F3460" t="str">
        <f t="shared" si="107"/>
        <v>96977</v>
      </c>
      <c r="H3460" s="14">
        <f t="shared" si="108"/>
        <v>81.760000000000005</v>
      </c>
    </row>
    <row r="3461" spans="1:8" ht="27.6">
      <c r="A3461" s="502" t="s">
        <v>4981</v>
      </c>
      <c r="B3461" s="504" t="s">
        <v>28864</v>
      </c>
      <c r="C3461" s="502" t="s">
        <v>75</v>
      </c>
      <c r="D3461" s="503" t="s">
        <v>32711</v>
      </c>
      <c r="F3461" t="str">
        <f t="shared" ref="F3461:F3524" si="109">TRIM(A3461)</f>
        <v>96978</v>
      </c>
      <c r="H3461" s="14">
        <f t="shared" ref="H3461:H3524" si="110">ROUND(D3461*(1+$H$1),2)</f>
        <v>107.67</v>
      </c>
    </row>
    <row r="3462" spans="1:8" ht="27.6">
      <c r="A3462" s="502" t="s">
        <v>4983</v>
      </c>
      <c r="B3462" s="504" t="s">
        <v>28865</v>
      </c>
      <c r="C3462" s="502" t="s">
        <v>75</v>
      </c>
      <c r="D3462" s="503" t="s">
        <v>32712</v>
      </c>
      <c r="F3462" t="str">
        <f t="shared" si="109"/>
        <v>96979</v>
      </c>
      <c r="H3462" s="14">
        <f t="shared" si="110"/>
        <v>153.88999999999999</v>
      </c>
    </row>
    <row r="3463" spans="1:8" ht="27.6">
      <c r="A3463" s="502" t="s">
        <v>4984</v>
      </c>
      <c r="B3463" s="504" t="s">
        <v>28866</v>
      </c>
      <c r="C3463" s="502" t="s">
        <v>114</v>
      </c>
      <c r="D3463" s="503" t="s">
        <v>32713</v>
      </c>
      <c r="F3463" t="str">
        <f t="shared" si="109"/>
        <v>96984</v>
      </c>
      <c r="H3463" s="14">
        <f t="shared" si="110"/>
        <v>83.97</v>
      </c>
    </row>
    <row r="3464" spans="1:8" ht="27.6">
      <c r="A3464" s="502" t="s">
        <v>4985</v>
      </c>
      <c r="B3464" s="504" t="s">
        <v>28868</v>
      </c>
      <c r="C3464" s="502" t="s">
        <v>114</v>
      </c>
      <c r="D3464" s="503" t="s">
        <v>32714</v>
      </c>
      <c r="F3464" t="str">
        <f t="shared" si="109"/>
        <v>96985</v>
      </c>
      <c r="H3464" s="14">
        <f t="shared" si="110"/>
        <v>110.69</v>
      </c>
    </row>
    <row r="3465" spans="1:8" ht="27.6">
      <c r="A3465" s="502" t="s">
        <v>4986</v>
      </c>
      <c r="B3465" s="504" t="s">
        <v>28869</v>
      </c>
      <c r="C3465" s="502" t="s">
        <v>114</v>
      </c>
      <c r="D3465" s="503" t="s">
        <v>32715</v>
      </c>
      <c r="F3465" t="str">
        <f t="shared" si="109"/>
        <v>96986</v>
      </c>
      <c r="H3465" s="14">
        <f t="shared" si="110"/>
        <v>165.55</v>
      </c>
    </row>
    <row r="3466" spans="1:8" ht="27.6">
      <c r="A3466" s="502" t="s">
        <v>4987</v>
      </c>
      <c r="B3466" s="504" t="s">
        <v>28870</v>
      </c>
      <c r="C3466" s="502" t="s">
        <v>114</v>
      </c>
      <c r="D3466" s="503" t="s">
        <v>27956</v>
      </c>
      <c r="F3466" t="str">
        <f t="shared" si="109"/>
        <v>96987</v>
      </c>
      <c r="H3466" s="14">
        <f t="shared" si="110"/>
        <v>179.01</v>
      </c>
    </row>
    <row r="3467" spans="1:8" ht="27.6">
      <c r="A3467" s="502" t="s">
        <v>4988</v>
      </c>
      <c r="B3467" s="504" t="s">
        <v>28871</v>
      </c>
      <c r="C3467" s="502" t="s">
        <v>114</v>
      </c>
      <c r="D3467" s="503" t="s">
        <v>32716</v>
      </c>
      <c r="F3467" t="str">
        <f t="shared" si="109"/>
        <v>96988</v>
      </c>
      <c r="H3467" s="14">
        <f t="shared" si="110"/>
        <v>212.83</v>
      </c>
    </row>
    <row r="3468" spans="1:8" ht="27.6">
      <c r="A3468" s="502" t="s">
        <v>4989</v>
      </c>
      <c r="B3468" s="504" t="s">
        <v>28873</v>
      </c>
      <c r="C3468" s="502" t="s">
        <v>114</v>
      </c>
      <c r="D3468" s="503" t="s">
        <v>32717</v>
      </c>
      <c r="F3468" t="str">
        <f t="shared" si="109"/>
        <v>96989</v>
      </c>
      <c r="H3468" s="14">
        <f t="shared" si="110"/>
        <v>178.05</v>
      </c>
    </row>
    <row r="3469" spans="1:8" ht="41.4">
      <c r="A3469" s="502" t="s">
        <v>7717</v>
      </c>
      <c r="B3469" s="504" t="s">
        <v>28874</v>
      </c>
      <c r="C3469" s="502" t="s">
        <v>114</v>
      </c>
      <c r="D3469" s="503" t="s">
        <v>32718</v>
      </c>
      <c r="F3469" t="str">
        <f t="shared" si="109"/>
        <v>98463</v>
      </c>
      <c r="H3469" s="14">
        <f t="shared" si="110"/>
        <v>38.950000000000003</v>
      </c>
    </row>
    <row r="3470" spans="1:8" ht="27.6">
      <c r="A3470" s="502" t="s">
        <v>28875</v>
      </c>
      <c r="B3470" s="504" t="s">
        <v>28876</v>
      </c>
      <c r="C3470" s="502" t="s">
        <v>114</v>
      </c>
      <c r="D3470" s="503" t="s">
        <v>10705</v>
      </c>
      <c r="F3470" t="str">
        <f t="shared" si="109"/>
        <v>104746</v>
      </c>
      <c r="H3470" s="14">
        <f t="shared" si="110"/>
        <v>38.15</v>
      </c>
    </row>
    <row r="3471" spans="1:8" ht="41.4">
      <c r="A3471" s="502" t="s">
        <v>28877</v>
      </c>
      <c r="B3471" s="504" t="s">
        <v>28878</v>
      </c>
      <c r="C3471" s="502" t="s">
        <v>114</v>
      </c>
      <c r="D3471" s="503" t="s">
        <v>29457</v>
      </c>
      <c r="F3471" t="str">
        <f t="shared" si="109"/>
        <v>104749</v>
      </c>
      <c r="H3471" s="14">
        <f t="shared" si="110"/>
        <v>29.59</v>
      </c>
    </row>
    <row r="3472" spans="1:8" ht="41.4">
      <c r="A3472" s="502" t="s">
        <v>28879</v>
      </c>
      <c r="B3472" s="504" t="s">
        <v>28880</v>
      </c>
      <c r="C3472" s="502" t="s">
        <v>114</v>
      </c>
      <c r="D3472" s="503" t="s">
        <v>28494</v>
      </c>
      <c r="F3472" t="str">
        <f t="shared" si="109"/>
        <v>104750</v>
      </c>
      <c r="H3472" s="14">
        <f t="shared" si="110"/>
        <v>24.4</v>
      </c>
    </row>
    <row r="3473" spans="1:8" ht="41.4">
      <c r="A3473" s="502" t="s">
        <v>28881</v>
      </c>
      <c r="B3473" s="504" t="s">
        <v>28882</v>
      </c>
      <c r="C3473" s="502" t="s">
        <v>114</v>
      </c>
      <c r="D3473" s="503" t="s">
        <v>24647</v>
      </c>
      <c r="F3473" t="str">
        <f t="shared" si="109"/>
        <v>104751</v>
      </c>
      <c r="H3473" s="14">
        <f t="shared" si="110"/>
        <v>33.33</v>
      </c>
    </row>
    <row r="3474" spans="1:8" ht="27.6">
      <c r="A3474" s="502" t="s">
        <v>28884</v>
      </c>
      <c r="B3474" s="504" t="s">
        <v>28885</v>
      </c>
      <c r="C3474" s="502" t="s">
        <v>114</v>
      </c>
      <c r="D3474" s="503" t="s">
        <v>23973</v>
      </c>
      <c r="F3474" t="str">
        <f t="shared" si="109"/>
        <v>104752</v>
      </c>
      <c r="H3474" s="14">
        <f t="shared" si="110"/>
        <v>30.58</v>
      </c>
    </row>
    <row r="3475" spans="1:8" ht="27.6">
      <c r="A3475" s="502" t="s">
        <v>28886</v>
      </c>
      <c r="B3475" s="504" t="s">
        <v>28887</v>
      </c>
      <c r="C3475" s="502" t="s">
        <v>114</v>
      </c>
      <c r="D3475" s="503" t="s">
        <v>24061</v>
      </c>
      <c r="F3475" t="str">
        <f t="shared" si="109"/>
        <v>104753</v>
      </c>
      <c r="H3475" s="14">
        <f t="shared" si="110"/>
        <v>36.5</v>
      </c>
    </row>
    <row r="3476" spans="1:8" ht="27.6">
      <c r="A3476" s="502" t="s">
        <v>28889</v>
      </c>
      <c r="B3476" s="504" t="s">
        <v>28890</v>
      </c>
      <c r="C3476" s="502" t="s">
        <v>114</v>
      </c>
      <c r="D3476" s="503" t="s">
        <v>3505</v>
      </c>
      <c r="F3476" t="str">
        <f t="shared" si="109"/>
        <v>104754</v>
      </c>
      <c r="H3476" s="14">
        <f t="shared" si="110"/>
        <v>46.64</v>
      </c>
    </row>
    <row r="3477" spans="1:8" ht="27.6">
      <c r="A3477" s="502" t="s">
        <v>28891</v>
      </c>
      <c r="B3477" s="504" t="s">
        <v>28892</v>
      </c>
      <c r="C3477" s="502" t="s">
        <v>114</v>
      </c>
      <c r="D3477" s="503" t="s">
        <v>32719</v>
      </c>
      <c r="F3477" t="str">
        <f t="shared" si="109"/>
        <v>104755</v>
      </c>
      <c r="H3477" s="14">
        <f t="shared" si="110"/>
        <v>62.37</v>
      </c>
    </row>
    <row r="3478" spans="1:8" ht="55.2">
      <c r="A3478" s="502" t="s">
        <v>24820</v>
      </c>
      <c r="B3478" s="504" t="s">
        <v>24821</v>
      </c>
      <c r="C3478" s="502" t="s">
        <v>83</v>
      </c>
      <c r="D3478" s="503" t="s">
        <v>32720</v>
      </c>
      <c r="F3478" t="str">
        <f t="shared" si="109"/>
        <v>103490</v>
      </c>
      <c r="H3478" s="14">
        <f t="shared" si="110"/>
        <v>4574.74</v>
      </c>
    </row>
    <row r="3479" spans="1:8" ht="55.2">
      <c r="A3479" s="502" t="s">
        <v>24822</v>
      </c>
      <c r="B3479" s="504" t="s">
        <v>24823</v>
      </c>
      <c r="C3479" s="502" t="s">
        <v>83</v>
      </c>
      <c r="D3479" s="503" t="s">
        <v>32721</v>
      </c>
      <c r="F3479" t="str">
        <f t="shared" si="109"/>
        <v>103491</v>
      </c>
      <c r="H3479" s="14">
        <f t="shared" si="110"/>
        <v>835.04</v>
      </c>
    </row>
    <row r="3480" spans="1:8" ht="41.4">
      <c r="A3480" s="502" t="s">
        <v>28893</v>
      </c>
      <c r="B3480" s="504" t="s">
        <v>28894</v>
      </c>
      <c r="C3480" s="502" t="s">
        <v>114</v>
      </c>
      <c r="D3480" s="503" t="s">
        <v>28814</v>
      </c>
      <c r="F3480" t="str">
        <f t="shared" si="109"/>
        <v>104758</v>
      </c>
      <c r="H3480" s="14">
        <f t="shared" si="110"/>
        <v>26.29</v>
      </c>
    </row>
    <row r="3481" spans="1:8" ht="41.4">
      <c r="A3481" s="502" t="s">
        <v>28895</v>
      </c>
      <c r="B3481" s="504" t="s">
        <v>28896</v>
      </c>
      <c r="C3481" s="502" t="s">
        <v>114</v>
      </c>
      <c r="D3481" s="503" t="s">
        <v>28232</v>
      </c>
      <c r="F3481" t="str">
        <f t="shared" si="109"/>
        <v>104759</v>
      </c>
      <c r="H3481" s="14">
        <f t="shared" si="110"/>
        <v>70.099999999999994</v>
      </c>
    </row>
    <row r="3482" spans="1:8" ht="41.4">
      <c r="A3482" s="502" t="s">
        <v>28897</v>
      </c>
      <c r="B3482" s="504" t="s">
        <v>28898</v>
      </c>
      <c r="C3482" s="502" t="s">
        <v>114</v>
      </c>
      <c r="D3482" s="503" t="s">
        <v>32558</v>
      </c>
      <c r="F3482" t="str">
        <f t="shared" si="109"/>
        <v>104760</v>
      </c>
      <c r="H3482" s="14">
        <f t="shared" si="110"/>
        <v>102.38</v>
      </c>
    </row>
    <row r="3483" spans="1:8" ht="41.4">
      <c r="A3483" s="502" t="s">
        <v>28899</v>
      </c>
      <c r="B3483" s="504" t="s">
        <v>28900</v>
      </c>
      <c r="C3483" s="502" t="s">
        <v>114</v>
      </c>
      <c r="D3483" s="503" t="s">
        <v>29266</v>
      </c>
      <c r="F3483" t="str">
        <f t="shared" si="109"/>
        <v>104761</v>
      </c>
      <c r="H3483" s="14">
        <f t="shared" si="110"/>
        <v>14.44</v>
      </c>
    </row>
    <row r="3484" spans="1:8" ht="41.4">
      <c r="A3484" s="502" t="s">
        <v>28901</v>
      </c>
      <c r="B3484" s="504" t="s">
        <v>28902</v>
      </c>
      <c r="C3484" s="502" t="s">
        <v>114</v>
      </c>
      <c r="D3484" s="503" t="s">
        <v>16209</v>
      </c>
      <c r="F3484" t="str">
        <f t="shared" si="109"/>
        <v>104762</v>
      </c>
      <c r="H3484" s="14">
        <f t="shared" si="110"/>
        <v>38.520000000000003</v>
      </c>
    </row>
    <row r="3485" spans="1:8" ht="41.4">
      <c r="A3485" s="502" t="s">
        <v>28903</v>
      </c>
      <c r="B3485" s="504" t="s">
        <v>28904</v>
      </c>
      <c r="C3485" s="502" t="s">
        <v>114</v>
      </c>
      <c r="D3485" s="503" t="s">
        <v>9770</v>
      </c>
      <c r="F3485" t="str">
        <f t="shared" si="109"/>
        <v>104763</v>
      </c>
      <c r="H3485" s="14">
        <f t="shared" si="110"/>
        <v>56.26</v>
      </c>
    </row>
    <row r="3486" spans="1:8" ht="41.4">
      <c r="A3486" s="502" t="s">
        <v>28905</v>
      </c>
      <c r="B3486" s="504" t="s">
        <v>28906</v>
      </c>
      <c r="C3486" s="502" t="s">
        <v>75</v>
      </c>
      <c r="D3486" s="503" t="s">
        <v>28802</v>
      </c>
      <c r="F3486" t="str">
        <f t="shared" si="109"/>
        <v>104764</v>
      </c>
      <c r="H3486" s="14">
        <f t="shared" si="110"/>
        <v>29.9</v>
      </c>
    </row>
    <row r="3487" spans="1:8" ht="41.4">
      <c r="A3487" s="502" t="s">
        <v>28907</v>
      </c>
      <c r="B3487" s="504" t="s">
        <v>28908</v>
      </c>
      <c r="C3487" s="502" t="s">
        <v>75</v>
      </c>
      <c r="D3487" s="503" t="s">
        <v>25960</v>
      </c>
      <c r="F3487" t="str">
        <f t="shared" si="109"/>
        <v>104765</v>
      </c>
      <c r="H3487" s="14">
        <f t="shared" si="110"/>
        <v>25.4</v>
      </c>
    </row>
    <row r="3488" spans="1:8" ht="27.6">
      <c r="A3488" s="502" t="s">
        <v>28909</v>
      </c>
      <c r="B3488" s="504" t="s">
        <v>28910</v>
      </c>
      <c r="C3488" s="502" t="s">
        <v>75</v>
      </c>
      <c r="D3488" s="503" t="s">
        <v>32722</v>
      </c>
      <c r="F3488" t="str">
        <f t="shared" si="109"/>
        <v>104766</v>
      </c>
      <c r="H3488" s="14">
        <f t="shared" si="110"/>
        <v>25.42</v>
      </c>
    </row>
    <row r="3489" spans="1:8" ht="41.4">
      <c r="A3489" s="502" t="s">
        <v>28912</v>
      </c>
      <c r="B3489" s="504" t="s">
        <v>28913</v>
      </c>
      <c r="C3489" s="502" t="s">
        <v>114</v>
      </c>
      <c r="D3489" s="503" t="s">
        <v>6406</v>
      </c>
      <c r="F3489" t="str">
        <f t="shared" si="109"/>
        <v>104768</v>
      </c>
      <c r="H3489" s="14">
        <f t="shared" si="110"/>
        <v>1.1100000000000001</v>
      </c>
    </row>
    <row r="3490" spans="1:8" ht="41.4">
      <c r="A3490" s="502" t="s">
        <v>28914</v>
      </c>
      <c r="B3490" s="504" t="s">
        <v>28915</v>
      </c>
      <c r="C3490" s="502" t="s">
        <v>114</v>
      </c>
      <c r="D3490" s="503" t="s">
        <v>32723</v>
      </c>
      <c r="F3490" t="str">
        <f t="shared" si="109"/>
        <v>104770</v>
      </c>
      <c r="H3490" s="14">
        <f t="shared" si="110"/>
        <v>2.96</v>
      </c>
    </row>
    <row r="3491" spans="1:8" ht="41.4">
      <c r="A3491" s="502" t="s">
        <v>28916</v>
      </c>
      <c r="B3491" s="504" t="s">
        <v>28917</v>
      </c>
      <c r="C3491" s="502" t="s">
        <v>114</v>
      </c>
      <c r="D3491" s="503" t="s">
        <v>5226</v>
      </c>
      <c r="F3491" t="str">
        <f t="shared" si="109"/>
        <v>104772</v>
      </c>
      <c r="H3491" s="14">
        <f t="shared" si="110"/>
        <v>4.34</v>
      </c>
    </row>
    <row r="3492" spans="1:8" ht="41.4">
      <c r="A3492" s="502" t="s">
        <v>28918</v>
      </c>
      <c r="B3492" s="504" t="s">
        <v>28919</v>
      </c>
      <c r="C3492" s="502" t="s">
        <v>114</v>
      </c>
      <c r="D3492" s="503" t="s">
        <v>3007</v>
      </c>
      <c r="F3492" t="str">
        <f t="shared" si="109"/>
        <v>104774</v>
      </c>
      <c r="H3492" s="14">
        <f t="shared" si="110"/>
        <v>3.78</v>
      </c>
    </row>
    <row r="3493" spans="1:8" ht="41.4">
      <c r="A3493" s="502" t="s">
        <v>28920</v>
      </c>
      <c r="B3493" s="504" t="s">
        <v>28921</v>
      </c>
      <c r="C3493" s="502" t="s">
        <v>114</v>
      </c>
      <c r="D3493" s="503" t="s">
        <v>6348</v>
      </c>
      <c r="F3493" t="str">
        <f t="shared" si="109"/>
        <v>104776</v>
      </c>
      <c r="H3493" s="14">
        <f t="shared" si="110"/>
        <v>10.11</v>
      </c>
    </row>
    <row r="3494" spans="1:8" ht="41.4">
      <c r="A3494" s="502" t="s">
        <v>28922</v>
      </c>
      <c r="B3494" s="504" t="s">
        <v>28923</v>
      </c>
      <c r="C3494" s="502" t="s">
        <v>114</v>
      </c>
      <c r="D3494" s="503" t="s">
        <v>10679</v>
      </c>
      <c r="F3494" t="str">
        <f t="shared" si="109"/>
        <v>104778</v>
      </c>
      <c r="H3494" s="14">
        <f t="shared" si="110"/>
        <v>14.79</v>
      </c>
    </row>
    <row r="3495" spans="1:8" ht="41.4">
      <c r="A3495" s="502" t="s">
        <v>28924</v>
      </c>
      <c r="B3495" s="504" t="s">
        <v>28925</v>
      </c>
      <c r="C3495" s="502" t="s">
        <v>75</v>
      </c>
      <c r="D3495" s="503" t="s">
        <v>28588</v>
      </c>
      <c r="F3495" t="str">
        <f t="shared" si="109"/>
        <v>104780</v>
      </c>
      <c r="H3495" s="14">
        <f t="shared" si="110"/>
        <v>10.51</v>
      </c>
    </row>
    <row r="3496" spans="1:8" ht="55.2">
      <c r="A3496" s="502" t="s">
        <v>28926</v>
      </c>
      <c r="B3496" s="504" t="s">
        <v>28927</v>
      </c>
      <c r="C3496" s="502" t="s">
        <v>75</v>
      </c>
      <c r="D3496" s="503" t="s">
        <v>4761</v>
      </c>
      <c r="F3496" t="str">
        <f t="shared" si="109"/>
        <v>104785</v>
      </c>
      <c r="H3496" s="14">
        <f t="shared" si="110"/>
        <v>18.95</v>
      </c>
    </row>
    <row r="3497" spans="1:8" ht="69">
      <c r="A3497" s="502" t="s">
        <v>4990</v>
      </c>
      <c r="B3497" s="504" t="s">
        <v>13004</v>
      </c>
      <c r="C3497" s="502" t="s">
        <v>114</v>
      </c>
      <c r="D3497" s="503" t="s">
        <v>32724</v>
      </c>
      <c r="F3497" t="str">
        <f t="shared" si="109"/>
        <v>96765</v>
      </c>
      <c r="H3497" s="14">
        <f t="shared" si="110"/>
        <v>2116.3200000000002</v>
      </c>
    </row>
    <row r="3498" spans="1:8" ht="41.4">
      <c r="A3498" s="502" t="s">
        <v>13005</v>
      </c>
      <c r="B3498" s="504" t="s">
        <v>24824</v>
      </c>
      <c r="C3498" s="502" t="s">
        <v>114</v>
      </c>
      <c r="D3498" s="503" t="s">
        <v>32725</v>
      </c>
      <c r="F3498" t="str">
        <f t="shared" si="109"/>
        <v>101905</v>
      </c>
      <c r="H3498" s="14">
        <f t="shared" si="110"/>
        <v>310.42</v>
      </c>
    </row>
    <row r="3499" spans="1:8" ht="41.4">
      <c r="A3499" s="502" t="s">
        <v>13006</v>
      </c>
      <c r="B3499" s="504" t="s">
        <v>24825</v>
      </c>
      <c r="C3499" s="502" t="s">
        <v>114</v>
      </c>
      <c r="D3499" s="503" t="s">
        <v>32726</v>
      </c>
      <c r="F3499" t="str">
        <f t="shared" si="109"/>
        <v>101906</v>
      </c>
      <c r="H3499" s="14">
        <f t="shared" si="110"/>
        <v>906.09</v>
      </c>
    </row>
    <row r="3500" spans="1:8" ht="41.4">
      <c r="A3500" s="502" t="s">
        <v>13007</v>
      </c>
      <c r="B3500" s="504" t="s">
        <v>24826</v>
      </c>
      <c r="C3500" s="502" t="s">
        <v>114</v>
      </c>
      <c r="D3500" s="503" t="s">
        <v>32727</v>
      </c>
      <c r="F3500" t="str">
        <f t="shared" si="109"/>
        <v>101907</v>
      </c>
      <c r="H3500" s="14">
        <f t="shared" si="110"/>
        <v>978.67</v>
      </c>
    </row>
    <row r="3501" spans="1:8" ht="41.4">
      <c r="A3501" s="502" t="s">
        <v>13008</v>
      </c>
      <c r="B3501" s="504" t="s">
        <v>24827</v>
      </c>
      <c r="C3501" s="502" t="s">
        <v>114</v>
      </c>
      <c r="D3501" s="503" t="s">
        <v>32728</v>
      </c>
      <c r="F3501" t="str">
        <f t="shared" si="109"/>
        <v>101908</v>
      </c>
      <c r="H3501" s="14">
        <f t="shared" si="110"/>
        <v>301.33999999999997</v>
      </c>
    </row>
    <row r="3502" spans="1:8" ht="41.4">
      <c r="A3502" s="502" t="s">
        <v>13009</v>
      </c>
      <c r="B3502" s="504" t="s">
        <v>24828</v>
      </c>
      <c r="C3502" s="502" t="s">
        <v>114</v>
      </c>
      <c r="D3502" s="503" t="s">
        <v>32729</v>
      </c>
      <c r="F3502" t="str">
        <f t="shared" si="109"/>
        <v>101909</v>
      </c>
      <c r="H3502" s="14">
        <f t="shared" si="110"/>
        <v>349.73</v>
      </c>
    </row>
    <row r="3503" spans="1:8" ht="41.4">
      <c r="A3503" s="502" t="s">
        <v>13010</v>
      </c>
      <c r="B3503" s="504" t="s">
        <v>24829</v>
      </c>
      <c r="C3503" s="502" t="s">
        <v>114</v>
      </c>
      <c r="D3503" s="503" t="s">
        <v>32730</v>
      </c>
      <c r="F3503" t="str">
        <f t="shared" si="109"/>
        <v>101910</v>
      </c>
      <c r="H3503" s="14">
        <f t="shared" si="110"/>
        <v>410.2</v>
      </c>
    </row>
    <row r="3504" spans="1:8" ht="41.4">
      <c r="A3504" s="502" t="s">
        <v>13011</v>
      </c>
      <c r="B3504" s="504" t="s">
        <v>24830</v>
      </c>
      <c r="C3504" s="502" t="s">
        <v>114</v>
      </c>
      <c r="D3504" s="503" t="s">
        <v>32731</v>
      </c>
      <c r="F3504" t="str">
        <f t="shared" si="109"/>
        <v>101911</v>
      </c>
      <c r="H3504" s="14">
        <f t="shared" si="110"/>
        <v>470.67</v>
      </c>
    </row>
    <row r="3505" spans="1:8" ht="69">
      <c r="A3505" s="502" t="s">
        <v>13012</v>
      </c>
      <c r="B3505" s="504" t="s">
        <v>13013</v>
      </c>
      <c r="C3505" s="502" t="s">
        <v>114</v>
      </c>
      <c r="D3505" s="503" t="s">
        <v>32732</v>
      </c>
      <c r="F3505" t="str">
        <f t="shared" si="109"/>
        <v>101912</v>
      </c>
      <c r="H3505" s="14">
        <f t="shared" si="110"/>
        <v>2588.79</v>
      </c>
    </row>
    <row r="3506" spans="1:8" ht="27.6">
      <c r="A3506" s="502" t="s">
        <v>13014</v>
      </c>
      <c r="B3506" s="504" t="s">
        <v>13015</v>
      </c>
      <c r="C3506" s="502" t="s">
        <v>114</v>
      </c>
      <c r="D3506" s="503" t="s">
        <v>32733</v>
      </c>
      <c r="F3506" t="str">
        <f t="shared" si="109"/>
        <v>101913</v>
      </c>
      <c r="H3506" s="14">
        <f t="shared" si="110"/>
        <v>606.87</v>
      </c>
    </row>
    <row r="3507" spans="1:8" ht="27.6">
      <c r="A3507" s="502" t="s">
        <v>13016</v>
      </c>
      <c r="B3507" s="504" t="s">
        <v>13017</v>
      </c>
      <c r="C3507" s="502" t="s">
        <v>114</v>
      </c>
      <c r="D3507" s="503" t="s">
        <v>32734</v>
      </c>
      <c r="F3507" t="str">
        <f t="shared" si="109"/>
        <v>101914</v>
      </c>
      <c r="H3507" s="14">
        <f t="shared" si="110"/>
        <v>770.88</v>
      </c>
    </row>
    <row r="3508" spans="1:8" ht="55.2">
      <c r="A3508" s="502" t="s">
        <v>13018</v>
      </c>
      <c r="B3508" s="504" t="s">
        <v>13019</v>
      </c>
      <c r="C3508" s="502" t="s">
        <v>114</v>
      </c>
      <c r="D3508" s="503" t="s">
        <v>32735</v>
      </c>
      <c r="F3508" t="str">
        <f t="shared" si="109"/>
        <v>101915</v>
      </c>
      <c r="H3508" s="14">
        <f t="shared" si="110"/>
        <v>476.8</v>
      </c>
    </row>
    <row r="3509" spans="1:8" ht="41.4">
      <c r="A3509" s="502" t="s">
        <v>13020</v>
      </c>
      <c r="B3509" s="504" t="s">
        <v>13021</v>
      </c>
      <c r="C3509" s="502" t="s">
        <v>114</v>
      </c>
      <c r="D3509" s="503" t="s">
        <v>32736</v>
      </c>
      <c r="F3509" t="str">
        <f t="shared" si="109"/>
        <v>101916</v>
      </c>
      <c r="H3509" s="14">
        <f t="shared" si="110"/>
        <v>4543.88</v>
      </c>
    </row>
    <row r="3510" spans="1:8" ht="27.6">
      <c r="A3510" s="502" t="s">
        <v>13022</v>
      </c>
      <c r="B3510" s="504" t="s">
        <v>13023</v>
      </c>
      <c r="C3510" s="502" t="s">
        <v>114</v>
      </c>
      <c r="D3510" s="503" t="s">
        <v>32737</v>
      </c>
      <c r="F3510" t="str">
        <f t="shared" si="109"/>
        <v>101917</v>
      </c>
      <c r="H3510" s="14">
        <f t="shared" si="110"/>
        <v>225.09</v>
      </c>
    </row>
    <row r="3511" spans="1:8" ht="41.4">
      <c r="A3511" s="502" t="s">
        <v>7403</v>
      </c>
      <c r="B3511" s="504" t="s">
        <v>11551</v>
      </c>
      <c r="C3511" s="502" t="s">
        <v>75</v>
      </c>
      <c r="D3511" s="503" t="s">
        <v>32738</v>
      </c>
      <c r="F3511" t="str">
        <f t="shared" si="109"/>
        <v>98261</v>
      </c>
      <c r="H3511" s="14">
        <f t="shared" si="110"/>
        <v>6.01</v>
      </c>
    </row>
    <row r="3512" spans="1:8" ht="41.4">
      <c r="A3512" s="502" t="s">
        <v>7404</v>
      </c>
      <c r="B3512" s="504" t="s">
        <v>11552</v>
      </c>
      <c r="C3512" s="502" t="s">
        <v>75</v>
      </c>
      <c r="D3512" s="503" t="s">
        <v>28815</v>
      </c>
      <c r="F3512" t="str">
        <f t="shared" si="109"/>
        <v>98262</v>
      </c>
      <c r="H3512" s="14">
        <f t="shared" si="110"/>
        <v>6.98</v>
      </c>
    </row>
    <row r="3513" spans="1:8" ht="41.4">
      <c r="A3513" s="502" t="s">
        <v>7405</v>
      </c>
      <c r="B3513" s="504" t="s">
        <v>11553</v>
      </c>
      <c r="C3513" s="502" t="s">
        <v>75</v>
      </c>
      <c r="D3513" s="503" t="s">
        <v>5159</v>
      </c>
      <c r="F3513" t="str">
        <f t="shared" si="109"/>
        <v>98263</v>
      </c>
      <c r="H3513" s="14">
        <f t="shared" si="110"/>
        <v>7.28</v>
      </c>
    </row>
    <row r="3514" spans="1:8" ht="41.4">
      <c r="A3514" s="502" t="s">
        <v>7406</v>
      </c>
      <c r="B3514" s="504" t="s">
        <v>11554</v>
      </c>
      <c r="C3514" s="502" t="s">
        <v>75</v>
      </c>
      <c r="D3514" s="503" t="s">
        <v>4004</v>
      </c>
      <c r="F3514" t="str">
        <f t="shared" si="109"/>
        <v>98264</v>
      </c>
      <c r="H3514" s="14">
        <f t="shared" si="110"/>
        <v>8.2899999999999991</v>
      </c>
    </row>
    <row r="3515" spans="1:8" ht="41.4">
      <c r="A3515" s="502" t="s">
        <v>7407</v>
      </c>
      <c r="B3515" s="504" t="s">
        <v>11555</v>
      </c>
      <c r="C3515" s="502" t="s">
        <v>75</v>
      </c>
      <c r="D3515" s="503" t="s">
        <v>19718</v>
      </c>
      <c r="F3515" t="str">
        <f t="shared" si="109"/>
        <v>98265</v>
      </c>
      <c r="H3515" s="14">
        <f t="shared" si="110"/>
        <v>8.9700000000000006</v>
      </c>
    </row>
    <row r="3516" spans="1:8" ht="41.4">
      <c r="A3516" s="502" t="s">
        <v>7408</v>
      </c>
      <c r="B3516" s="504" t="s">
        <v>11556</v>
      </c>
      <c r="C3516" s="502" t="s">
        <v>75</v>
      </c>
      <c r="D3516" s="503" t="s">
        <v>32739</v>
      </c>
      <c r="F3516" t="str">
        <f t="shared" si="109"/>
        <v>98266</v>
      </c>
      <c r="H3516" s="14">
        <f t="shared" si="110"/>
        <v>9.85</v>
      </c>
    </row>
    <row r="3517" spans="1:8" ht="41.4">
      <c r="A3517" s="502" t="s">
        <v>7409</v>
      </c>
      <c r="B3517" s="504" t="s">
        <v>11557</v>
      </c>
      <c r="C3517" s="502" t="s">
        <v>75</v>
      </c>
      <c r="D3517" s="503" t="s">
        <v>10679</v>
      </c>
      <c r="F3517" t="str">
        <f t="shared" si="109"/>
        <v>98267</v>
      </c>
      <c r="H3517" s="14">
        <f t="shared" si="110"/>
        <v>14.79</v>
      </c>
    </row>
    <row r="3518" spans="1:8" ht="41.4">
      <c r="A3518" s="502" t="s">
        <v>7410</v>
      </c>
      <c r="B3518" s="504" t="s">
        <v>11558</v>
      </c>
      <c r="C3518" s="502" t="s">
        <v>75</v>
      </c>
      <c r="D3518" s="503" t="s">
        <v>29674</v>
      </c>
      <c r="F3518" t="str">
        <f t="shared" si="109"/>
        <v>98268</v>
      </c>
      <c r="H3518" s="14">
        <f t="shared" si="110"/>
        <v>22.09</v>
      </c>
    </row>
    <row r="3519" spans="1:8" ht="41.4">
      <c r="A3519" s="502" t="s">
        <v>7411</v>
      </c>
      <c r="B3519" s="504" t="s">
        <v>11559</v>
      </c>
      <c r="C3519" s="502" t="s">
        <v>75</v>
      </c>
      <c r="D3519" s="503" t="s">
        <v>10024</v>
      </c>
      <c r="F3519" t="str">
        <f t="shared" si="109"/>
        <v>98269</v>
      </c>
      <c r="H3519" s="14">
        <f t="shared" si="110"/>
        <v>29.09</v>
      </c>
    </row>
    <row r="3520" spans="1:8" ht="41.4">
      <c r="A3520" s="502" t="s">
        <v>7412</v>
      </c>
      <c r="B3520" s="504" t="s">
        <v>11560</v>
      </c>
      <c r="C3520" s="502" t="s">
        <v>75</v>
      </c>
      <c r="D3520" s="503" t="s">
        <v>28144</v>
      </c>
      <c r="F3520" t="str">
        <f t="shared" si="109"/>
        <v>98270</v>
      </c>
      <c r="H3520" s="14">
        <f t="shared" si="110"/>
        <v>42.07</v>
      </c>
    </row>
    <row r="3521" spans="1:8" ht="41.4">
      <c r="A3521" s="502" t="s">
        <v>7413</v>
      </c>
      <c r="B3521" s="504" t="s">
        <v>11561</v>
      </c>
      <c r="C3521" s="502" t="s">
        <v>75</v>
      </c>
      <c r="D3521" s="503" t="s">
        <v>32740</v>
      </c>
      <c r="F3521" t="str">
        <f t="shared" si="109"/>
        <v>98271</v>
      </c>
      <c r="H3521" s="14">
        <f t="shared" si="110"/>
        <v>57.6</v>
      </c>
    </row>
    <row r="3522" spans="1:8" ht="41.4">
      <c r="A3522" s="502" t="s">
        <v>7414</v>
      </c>
      <c r="B3522" s="504" t="s">
        <v>11562</v>
      </c>
      <c r="C3522" s="502" t="s">
        <v>75</v>
      </c>
      <c r="D3522" s="503" t="s">
        <v>32741</v>
      </c>
      <c r="F3522" t="str">
        <f t="shared" si="109"/>
        <v>98272</v>
      </c>
      <c r="H3522" s="14">
        <f t="shared" si="110"/>
        <v>127.13</v>
      </c>
    </row>
    <row r="3523" spans="1:8" ht="41.4">
      <c r="A3523" s="502" t="s">
        <v>7415</v>
      </c>
      <c r="B3523" s="504" t="s">
        <v>11563</v>
      </c>
      <c r="C3523" s="502" t="s">
        <v>75</v>
      </c>
      <c r="D3523" s="503" t="s">
        <v>32742</v>
      </c>
      <c r="F3523" t="str">
        <f t="shared" si="109"/>
        <v>98273</v>
      </c>
      <c r="H3523" s="14">
        <f t="shared" si="110"/>
        <v>3.14</v>
      </c>
    </row>
    <row r="3524" spans="1:8" ht="41.4">
      <c r="A3524" s="502" t="s">
        <v>7416</v>
      </c>
      <c r="B3524" s="504" t="s">
        <v>11564</v>
      </c>
      <c r="C3524" s="502" t="s">
        <v>75</v>
      </c>
      <c r="D3524" s="503" t="s">
        <v>26564</v>
      </c>
      <c r="F3524" t="str">
        <f t="shared" si="109"/>
        <v>98274</v>
      </c>
      <c r="H3524" s="14">
        <f t="shared" si="110"/>
        <v>3.81</v>
      </c>
    </row>
    <row r="3525" spans="1:8" ht="41.4">
      <c r="A3525" s="502" t="s">
        <v>7417</v>
      </c>
      <c r="B3525" s="504" t="s">
        <v>11565</v>
      </c>
      <c r="C3525" s="502" t="s">
        <v>75</v>
      </c>
      <c r="D3525" s="503" t="s">
        <v>27707</v>
      </c>
      <c r="F3525" t="str">
        <f t="shared" ref="F3525:F3588" si="111">TRIM(A3525)</f>
        <v>98275</v>
      </c>
      <c r="H3525" s="14">
        <f t="shared" ref="H3525:H3588" si="112">ROUND(D3525*(1+$H$1),2)</f>
        <v>4.6900000000000004</v>
      </c>
    </row>
    <row r="3526" spans="1:8" ht="27.6">
      <c r="A3526" s="502" t="s">
        <v>7418</v>
      </c>
      <c r="B3526" s="504" t="s">
        <v>11566</v>
      </c>
      <c r="C3526" s="502" t="s">
        <v>75</v>
      </c>
      <c r="D3526" s="503" t="s">
        <v>30554</v>
      </c>
      <c r="F3526" t="str">
        <f t="shared" si="111"/>
        <v>98276</v>
      </c>
      <c r="H3526" s="14">
        <f t="shared" si="112"/>
        <v>9.6300000000000008</v>
      </c>
    </row>
    <row r="3527" spans="1:8" ht="27.6">
      <c r="A3527" s="502" t="s">
        <v>7419</v>
      </c>
      <c r="B3527" s="504" t="s">
        <v>11567</v>
      </c>
      <c r="C3527" s="502" t="s">
        <v>75</v>
      </c>
      <c r="D3527" s="503" t="s">
        <v>32743</v>
      </c>
      <c r="F3527" t="str">
        <f t="shared" si="111"/>
        <v>98277</v>
      </c>
      <c r="H3527" s="14">
        <f t="shared" si="112"/>
        <v>16.940000000000001</v>
      </c>
    </row>
    <row r="3528" spans="1:8" ht="27.6">
      <c r="A3528" s="502" t="s">
        <v>7420</v>
      </c>
      <c r="B3528" s="504" t="s">
        <v>11568</v>
      </c>
      <c r="C3528" s="502" t="s">
        <v>75</v>
      </c>
      <c r="D3528" s="503" t="s">
        <v>16469</v>
      </c>
      <c r="F3528" t="str">
        <f t="shared" si="111"/>
        <v>98278</v>
      </c>
      <c r="H3528" s="14">
        <f t="shared" si="112"/>
        <v>23.95</v>
      </c>
    </row>
    <row r="3529" spans="1:8" ht="27.6">
      <c r="A3529" s="502" t="s">
        <v>7421</v>
      </c>
      <c r="B3529" s="504" t="s">
        <v>11569</v>
      </c>
      <c r="C3529" s="502" t="s">
        <v>75</v>
      </c>
      <c r="D3529" s="503" t="s">
        <v>30059</v>
      </c>
      <c r="F3529" t="str">
        <f t="shared" si="111"/>
        <v>98279</v>
      </c>
      <c r="H3529" s="14">
        <f t="shared" si="112"/>
        <v>36.909999999999997</v>
      </c>
    </row>
    <row r="3530" spans="1:8" ht="41.4">
      <c r="A3530" s="502" t="s">
        <v>7422</v>
      </c>
      <c r="B3530" s="504" t="s">
        <v>11570</v>
      </c>
      <c r="C3530" s="502" t="s">
        <v>75</v>
      </c>
      <c r="D3530" s="503" t="s">
        <v>7317</v>
      </c>
      <c r="F3530" t="str">
        <f t="shared" si="111"/>
        <v>98280</v>
      </c>
      <c r="H3530" s="14">
        <f t="shared" si="112"/>
        <v>12.63</v>
      </c>
    </row>
    <row r="3531" spans="1:8" ht="41.4">
      <c r="A3531" s="502" t="s">
        <v>7423</v>
      </c>
      <c r="B3531" s="504" t="s">
        <v>11571</v>
      </c>
      <c r="C3531" s="502" t="s">
        <v>75</v>
      </c>
      <c r="D3531" s="503" t="s">
        <v>30856</v>
      </c>
      <c r="F3531" t="str">
        <f t="shared" si="111"/>
        <v>98281</v>
      </c>
      <c r="H3531" s="14">
        <f t="shared" si="112"/>
        <v>13.6</v>
      </c>
    </row>
    <row r="3532" spans="1:8" ht="41.4">
      <c r="A3532" s="502" t="s">
        <v>7424</v>
      </c>
      <c r="B3532" s="504" t="s">
        <v>11572</v>
      </c>
      <c r="C3532" s="502" t="s">
        <v>75</v>
      </c>
      <c r="D3532" s="503" t="s">
        <v>6408</v>
      </c>
      <c r="F3532" t="str">
        <f t="shared" si="111"/>
        <v>98282</v>
      </c>
      <c r="H3532" s="14">
        <f t="shared" si="112"/>
        <v>13.9</v>
      </c>
    </row>
    <row r="3533" spans="1:8" ht="41.4">
      <c r="A3533" s="502" t="s">
        <v>7425</v>
      </c>
      <c r="B3533" s="504" t="s">
        <v>11573</v>
      </c>
      <c r="C3533" s="502" t="s">
        <v>75</v>
      </c>
      <c r="D3533" s="503" t="s">
        <v>16475</v>
      </c>
      <c r="F3533" t="str">
        <f t="shared" si="111"/>
        <v>98283</v>
      </c>
      <c r="H3533" s="14">
        <f t="shared" si="112"/>
        <v>14.91</v>
      </c>
    </row>
    <row r="3534" spans="1:8" ht="41.4">
      <c r="A3534" s="502" t="s">
        <v>7426</v>
      </c>
      <c r="B3534" s="504" t="s">
        <v>11574</v>
      </c>
      <c r="C3534" s="502" t="s">
        <v>75</v>
      </c>
      <c r="D3534" s="503" t="s">
        <v>9890</v>
      </c>
      <c r="F3534" t="str">
        <f t="shared" si="111"/>
        <v>98284</v>
      </c>
      <c r="H3534" s="14">
        <f t="shared" si="112"/>
        <v>15.58</v>
      </c>
    </row>
    <row r="3535" spans="1:8" ht="41.4">
      <c r="A3535" s="502" t="s">
        <v>7427</v>
      </c>
      <c r="B3535" s="504" t="s">
        <v>11575</v>
      </c>
      <c r="C3535" s="502" t="s">
        <v>75</v>
      </c>
      <c r="D3535" s="503" t="s">
        <v>32183</v>
      </c>
      <c r="F3535" t="str">
        <f t="shared" si="111"/>
        <v>98285</v>
      </c>
      <c r="H3535" s="14">
        <f t="shared" si="112"/>
        <v>16.47</v>
      </c>
    </row>
    <row r="3536" spans="1:8" ht="41.4">
      <c r="A3536" s="502" t="s">
        <v>7428</v>
      </c>
      <c r="B3536" s="504" t="s">
        <v>11576</v>
      </c>
      <c r="C3536" s="502" t="s">
        <v>75</v>
      </c>
      <c r="D3536" s="503" t="s">
        <v>10309</v>
      </c>
      <c r="F3536" t="str">
        <f t="shared" si="111"/>
        <v>98286</v>
      </c>
      <c r="H3536" s="14">
        <f t="shared" si="112"/>
        <v>21.4</v>
      </c>
    </row>
    <row r="3537" spans="1:8" ht="55.2">
      <c r="A3537" s="502" t="s">
        <v>7429</v>
      </c>
      <c r="B3537" s="504" t="s">
        <v>11577</v>
      </c>
      <c r="C3537" s="502" t="s">
        <v>75</v>
      </c>
      <c r="D3537" s="503" t="s">
        <v>4994</v>
      </c>
      <c r="F3537" t="str">
        <f t="shared" si="111"/>
        <v>98287</v>
      </c>
      <c r="H3537" s="14">
        <f t="shared" si="112"/>
        <v>2.04</v>
      </c>
    </row>
    <row r="3538" spans="1:8" ht="55.2">
      <c r="A3538" s="502" t="s">
        <v>7430</v>
      </c>
      <c r="B3538" s="504" t="s">
        <v>11578</v>
      </c>
      <c r="C3538" s="502" t="s">
        <v>75</v>
      </c>
      <c r="D3538" s="503" t="s">
        <v>7232</v>
      </c>
      <c r="F3538" t="str">
        <f t="shared" si="111"/>
        <v>98288</v>
      </c>
      <c r="H3538" s="14">
        <f t="shared" si="112"/>
        <v>3.01</v>
      </c>
    </row>
    <row r="3539" spans="1:8" ht="55.2">
      <c r="A3539" s="502" t="s">
        <v>7431</v>
      </c>
      <c r="B3539" s="504" t="s">
        <v>11579</v>
      </c>
      <c r="C3539" s="502" t="s">
        <v>75</v>
      </c>
      <c r="D3539" s="503" t="s">
        <v>3828</v>
      </c>
      <c r="F3539" t="str">
        <f t="shared" si="111"/>
        <v>98289</v>
      </c>
      <c r="H3539" s="14">
        <f t="shared" si="112"/>
        <v>3.29</v>
      </c>
    </row>
    <row r="3540" spans="1:8" ht="55.2">
      <c r="A3540" s="502" t="s">
        <v>7432</v>
      </c>
      <c r="B3540" s="504" t="s">
        <v>11580</v>
      </c>
      <c r="C3540" s="502" t="s">
        <v>75</v>
      </c>
      <c r="D3540" s="503" t="s">
        <v>28151</v>
      </c>
      <c r="F3540" t="str">
        <f t="shared" si="111"/>
        <v>98290</v>
      </c>
      <c r="H3540" s="14">
        <f t="shared" si="112"/>
        <v>4.32</v>
      </c>
    </row>
    <row r="3541" spans="1:8" ht="55.2">
      <c r="A3541" s="502" t="s">
        <v>7433</v>
      </c>
      <c r="B3541" s="504" t="s">
        <v>11581</v>
      </c>
      <c r="C3541" s="502" t="s">
        <v>75</v>
      </c>
      <c r="D3541" s="503" t="s">
        <v>2902</v>
      </c>
      <c r="F3541" t="str">
        <f t="shared" si="111"/>
        <v>98291</v>
      </c>
      <c r="H3541" s="14">
        <f t="shared" si="112"/>
        <v>4.9800000000000004</v>
      </c>
    </row>
    <row r="3542" spans="1:8" ht="55.2">
      <c r="A3542" s="502" t="s">
        <v>7434</v>
      </c>
      <c r="B3542" s="504" t="s">
        <v>11582</v>
      </c>
      <c r="C3542" s="502" t="s">
        <v>75</v>
      </c>
      <c r="D3542" s="503" t="s">
        <v>7357</v>
      </c>
      <c r="F3542" t="str">
        <f t="shared" si="111"/>
        <v>98292</v>
      </c>
      <c r="H3542" s="14">
        <f t="shared" si="112"/>
        <v>5.86</v>
      </c>
    </row>
    <row r="3543" spans="1:8" ht="41.4">
      <c r="A3543" s="502" t="s">
        <v>7435</v>
      </c>
      <c r="B3543" s="504" t="s">
        <v>11583</v>
      </c>
      <c r="C3543" s="502" t="s">
        <v>75</v>
      </c>
      <c r="D3543" s="503" t="s">
        <v>6901</v>
      </c>
      <c r="F3543" t="str">
        <f t="shared" si="111"/>
        <v>98293</v>
      </c>
      <c r="H3543" s="14">
        <f t="shared" si="112"/>
        <v>10.81</v>
      </c>
    </row>
    <row r="3544" spans="1:8" ht="41.4">
      <c r="A3544" s="502" t="s">
        <v>7436</v>
      </c>
      <c r="B3544" s="504" t="s">
        <v>11584</v>
      </c>
      <c r="C3544" s="502" t="s">
        <v>75</v>
      </c>
      <c r="D3544" s="503" t="s">
        <v>9535</v>
      </c>
      <c r="F3544" t="str">
        <f t="shared" si="111"/>
        <v>98400</v>
      </c>
      <c r="H3544" s="14">
        <f t="shared" si="112"/>
        <v>17.36</v>
      </c>
    </row>
    <row r="3545" spans="1:8" ht="41.4">
      <c r="A3545" s="502" t="s">
        <v>7437</v>
      </c>
      <c r="B3545" s="504" t="s">
        <v>11585</v>
      </c>
      <c r="C3545" s="502" t="s">
        <v>75</v>
      </c>
      <c r="D3545" s="503" t="s">
        <v>9570</v>
      </c>
      <c r="F3545" t="str">
        <f t="shared" si="111"/>
        <v>98401</v>
      </c>
      <c r="H3545" s="14">
        <f t="shared" si="112"/>
        <v>25.64</v>
      </c>
    </row>
    <row r="3546" spans="1:8" ht="41.4">
      <c r="A3546" s="502" t="s">
        <v>7439</v>
      </c>
      <c r="B3546" s="504" t="s">
        <v>11586</v>
      </c>
      <c r="C3546" s="502" t="s">
        <v>75</v>
      </c>
      <c r="D3546" s="503" t="s">
        <v>28495</v>
      </c>
      <c r="F3546" t="str">
        <f t="shared" si="111"/>
        <v>98402</v>
      </c>
      <c r="H3546" s="14">
        <f t="shared" si="112"/>
        <v>29.63</v>
      </c>
    </row>
    <row r="3547" spans="1:8" ht="27.6">
      <c r="A3547" s="502" t="s">
        <v>11587</v>
      </c>
      <c r="B3547" s="504" t="s">
        <v>11588</v>
      </c>
      <c r="C3547" s="502" t="s">
        <v>114</v>
      </c>
      <c r="D3547" s="503" t="s">
        <v>32744</v>
      </c>
      <c r="F3547" t="str">
        <f t="shared" si="111"/>
        <v>100556</v>
      </c>
      <c r="H3547" s="14">
        <f t="shared" si="112"/>
        <v>57.06</v>
      </c>
    </row>
    <row r="3548" spans="1:8" ht="27.6">
      <c r="A3548" s="502" t="s">
        <v>11589</v>
      </c>
      <c r="B3548" s="504" t="s">
        <v>11590</v>
      </c>
      <c r="C3548" s="502" t="s">
        <v>114</v>
      </c>
      <c r="D3548" s="503" t="s">
        <v>32745</v>
      </c>
      <c r="F3548" t="str">
        <f t="shared" si="111"/>
        <v>100557</v>
      </c>
      <c r="H3548" s="14">
        <f t="shared" si="112"/>
        <v>602.32000000000005</v>
      </c>
    </row>
    <row r="3549" spans="1:8" ht="55.2">
      <c r="A3549" s="502" t="s">
        <v>11591</v>
      </c>
      <c r="B3549" s="504" t="s">
        <v>11592</v>
      </c>
      <c r="C3549" s="502" t="s">
        <v>114</v>
      </c>
      <c r="D3549" s="503" t="s">
        <v>32746</v>
      </c>
      <c r="F3549" t="str">
        <f t="shared" si="111"/>
        <v>100560</v>
      </c>
      <c r="H3549" s="14">
        <f t="shared" si="112"/>
        <v>153.80000000000001</v>
      </c>
    </row>
    <row r="3550" spans="1:8" ht="55.2">
      <c r="A3550" s="502" t="s">
        <v>11593</v>
      </c>
      <c r="B3550" s="504" t="s">
        <v>11594</v>
      </c>
      <c r="C3550" s="502" t="s">
        <v>114</v>
      </c>
      <c r="D3550" s="503" t="s">
        <v>28286</v>
      </c>
      <c r="F3550" t="str">
        <f t="shared" si="111"/>
        <v>100561</v>
      </c>
      <c r="H3550" s="14">
        <f t="shared" si="112"/>
        <v>260.56</v>
      </c>
    </row>
    <row r="3551" spans="1:8" ht="55.2">
      <c r="A3551" s="502" t="s">
        <v>11595</v>
      </c>
      <c r="B3551" s="504" t="s">
        <v>11596</v>
      </c>
      <c r="C3551" s="502" t="s">
        <v>114</v>
      </c>
      <c r="D3551" s="503" t="s">
        <v>32747</v>
      </c>
      <c r="F3551" t="str">
        <f t="shared" si="111"/>
        <v>100562</v>
      </c>
      <c r="H3551" s="14">
        <f t="shared" si="112"/>
        <v>389.56</v>
      </c>
    </row>
    <row r="3552" spans="1:8" ht="55.2">
      <c r="A3552" s="502" t="s">
        <v>11597</v>
      </c>
      <c r="B3552" s="504" t="s">
        <v>11598</v>
      </c>
      <c r="C3552" s="502" t="s">
        <v>114</v>
      </c>
      <c r="D3552" s="503" t="s">
        <v>32748</v>
      </c>
      <c r="F3552" t="str">
        <f t="shared" si="111"/>
        <v>100563</v>
      </c>
      <c r="H3552" s="14">
        <f t="shared" si="112"/>
        <v>549.87</v>
      </c>
    </row>
    <row r="3553" spans="1:8" ht="55.2">
      <c r="A3553" s="502" t="s">
        <v>13025</v>
      </c>
      <c r="B3553" s="504" t="s">
        <v>13026</v>
      </c>
      <c r="C3553" s="502" t="s">
        <v>114</v>
      </c>
      <c r="D3553" s="503" t="s">
        <v>32749</v>
      </c>
      <c r="F3553" t="str">
        <f t="shared" si="111"/>
        <v>101795</v>
      </c>
      <c r="H3553" s="14">
        <f t="shared" si="112"/>
        <v>814.41</v>
      </c>
    </row>
    <row r="3554" spans="1:8" ht="41.4">
      <c r="A3554" s="502" t="s">
        <v>13027</v>
      </c>
      <c r="B3554" s="504" t="s">
        <v>13028</v>
      </c>
      <c r="C3554" s="502" t="s">
        <v>114</v>
      </c>
      <c r="D3554" s="503" t="s">
        <v>32750</v>
      </c>
      <c r="F3554" t="str">
        <f t="shared" si="111"/>
        <v>101798</v>
      </c>
      <c r="H3554" s="14">
        <f t="shared" si="112"/>
        <v>347.68</v>
      </c>
    </row>
    <row r="3555" spans="1:8" ht="41.4">
      <c r="A3555" s="502" t="s">
        <v>13029</v>
      </c>
      <c r="B3555" s="504" t="s">
        <v>13030</v>
      </c>
      <c r="C3555" s="502" t="s">
        <v>114</v>
      </c>
      <c r="D3555" s="503" t="s">
        <v>32751</v>
      </c>
      <c r="F3555" t="str">
        <f t="shared" si="111"/>
        <v>101799</v>
      </c>
      <c r="H3555" s="14">
        <f t="shared" si="112"/>
        <v>819.81</v>
      </c>
    </row>
    <row r="3556" spans="1:8" ht="14.4">
      <c r="A3556" s="502" t="s">
        <v>7440</v>
      </c>
      <c r="B3556" s="504" t="s">
        <v>28931</v>
      </c>
      <c r="C3556" s="502" t="s">
        <v>73</v>
      </c>
      <c r="D3556" s="503" t="s">
        <v>7298</v>
      </c>
      <c r="F3556" t="str">
        <f t="shared" si="111"/>
        <v>98397</v>
      </c>
      <c r="H3556" s="14">
        <f t="shared" si="112"/>
        <v>18.850000000000001</v>
      </c>
    </row>
    <row r="3557" spans="1:8" ht="41.4">
      <c r="A3557" s="502" t="s">
        <v>24832</v>
      </c>
      <c r="B3557" s="504" t="s">
        <v>24833</v>
      </c>
      <c r="C3557" s="502" t="s">
        <v>114</v>
      </c>
      <c r="D3557" s="503" t="s">
        <v>32752</v>
      </c>
      <c r="F3557" t="str">
        <f t="shared" si="111"/>
        <v>103244</v>
      </c>
      <c r="H3557" s="14">
        <f t="shared" si="112"/>
        <v>3279.22</v>
      </c>
    </row>
    <row r="3558" spans="1:8" ht="41.4">
      <c r="A3558" s="502" t="s">
        <v>24834</v>
      </c>
      <c r="B3558" s="504" t="s">
        <v>24835</v>
      </c>
      <c r="C3558" s="502" t="s">
        <v>114</v>
      </c>
      <c r="D3558" s="503" t="s">
        <v>32753</v>
      </c>
      <c r="F3558" t="str">
        <f t="shared" si="111"/>
        <v>103245</v>
      </c>
      <c r="H3558" s="14">
        <f t="shared" si="112"/>
        <v>2585.86</v>
      </c>
    </row>
    <row r="3559" spans="1:8" ht="41.4">
      <c r="A3559" s="502" t="s">
        <v>24836</v>
      </c>
      <c r="B3559" s="504" t="s">
        <v>24837</v>
      </c>
      <c r="C3559" s="502" t="s">
        <v>114</v>
      </c>
      <c r="D3559" s="503" t="s">
        <v>32754</v>
      </c>
      <c r="F3559" t="str">
        <f t="shared" si="111"/>
        <v>103246</v>
      </c>
      <c r="H3559" s="14">
        <f t="shared" si="112"/>
        <v>2820.34</v>
      </c>
    </row>
    <row r="3560" spans="1:8" ht="41.4">
      <c r="A3560" s="502" t="s">
        <v>24838</v>
      </c>
      <c r="B3560" s="504" t="s">
        <v>24839</v>
      </c>
      <c r="C3560" s="502" t="s">
        <v>114</v>
      </c>
      <c r="D3560" s="503" t="s">
        <v>32755</v>
      </c>
      <c r="F3560" t="str">
        <f t="shared" si="111"/>
        <v>103247</v>
      </c>
      <c r="H3560" s="14">
        <f t="shared" si="112"/>
        <v>3639.84</v>
      </c>
    </row>
    <row r="3561" spans="1:8" ht="41.4">
      <c r="A3561" s="502" t="s">
        <v>24840</v>
      </c>
      <c r="B3561" s="504" t="s">
        <v>24841</v>
      </c>
      <c r="C3561" s="502" t="s">
        <v>114</v>
      </c>
      <c r="D3561" s="503" t="s">
        <v>32756</v>
      </c>
      <c r="F3561" t="str">
        <f t="shared" si="111"/>
        <v>103248</v>
      </c>
      <c r="H3561" s="14">
        <f t="shared" si="112"/>
        <v>2973.87</v>
      </c>
    </row>
    <row r="3562" spans="1:8" ht="41.4">
      <c r="A3562" s="502" t="s">
        <v>24842</v>
      </c>
      <c r="B3562" s="504" t="s">
        <v>24843</v>
      </c>
      <c r="C3562" s="502" t="s">
        <v>114</v>
      </c>
      <c r="D3562" s="503" t="s">
        <v>32757</v>
      </c>
      <c r="F3562" t="str">
        <f t="shared" si="111"/>
        <v>103249</v>
      </c>
      <c r="H3562" s="14">
        <f t="shared" si="112"/>
        <v>3195.16</v>
      </c>
    </row>
    <row r="3563" spans="1:8" ht="41.4">
      <c r="A3563" s="502" t="s">
        <v>24844</v>
      </c>
      <c r="B3563" s="504" t="s">
        <v>24845</v>
      </c>
      <c r="C3563" s="502" t="s">
        <v>114</v>
      </c>
      <c r="D3563" s="503" t="s">
        <v>32758</v>
      </c>
      <c r="F3563" t="str">
        <f t="shared" si="111"/>
        <v>103250</v>
      </c>
      <c r="H3563" s="14">
        <f t="shared" si="112"/>
        <v>5288.72</v>
      </c>
    </row>
    <row r="3564" spans="1:8" ht="41.4">
      <c r="A3564" s="502" t="s">
        <v>24846</v>
      </c>
      <c r="B3564" s="504" t="s">
        <v>24847</v>
      </c>
      <c r="C3564" s="502" t="s">
        <v>114</v>
      </c>
      <c r="D3564" s="503" t="s">
        <v>32759</v>
      </c>
      <c r="F3564" t="str">
        <f t="shared" si="111"/>
        <v>103251</v>
      </c>
      <c r="H3564" s="14">
        <f t="shared" si="112"/>
        <v>4176.43</v>
      </c>
    </row>
    <row r="3565" spans="1:8" ht="41.4">
      <c r="A3565" s="502" t="s">
        <v>24848</v>
      </c>
      <c r="B3565" s="504" t="s">
        <v>24849</v>
      </c>
      <c r="C3565" s="502" t="s">
        <v>114</v>
      </c>
      <c r="D3565" s="503" t="s">
        <v>32760</v>
      </c>
      <c r="F3565" t="str">
        <f t="shared" si="111"/>
        <v>103252</v>
      </c>
      <c r="H3565" s="14">
        <f t="shared" si="112"/>
        <v>4624.99</v>
      </c>
    </row>
    <row r="3566" spans="1:8" ht="41.4">
      <c r="A3566" s="502" t="s">
        <v>24850</v>
      </c>
      <c r="B3566" s="504" t="s">
        <v>24851</v>
      </c>
      <c r="C3566" s="502" t="s">
        <v>114</v>
      </c>
      <c r="D3566" s="503" t="s">
        <v>32761</v>
      </c>
      <c r="F3566" t="str">
        <f t="shared" si="111"/>
        <v>103253</v>
      </c>
      <c r="H3566" s="14">
        <f t="shared" si="112"/>
        <v>7210.5</v>
      </c>
    </row>
    <row r="3567" spans="1:8" ht="41.4">
      <c r="A3567" s="502" t="s">
        <v>24852</v>
      </c>
      <c r="B3567" s="504" t="s">
        <v>24853</v>
      </c>
      <c r="C3567" s="502" t="s">
        <v>114</v>
      </c>
      <c r="D3567" s="503" t="s">
        <v>32762</v>
      </c>
      <c r="F3567" t="str">
        <f t="shared" si="111"/>
        <v>103254</v>
      </c>
      <c r="H3567" s="14">
        <f t="shared" si="112"/>
        <v>5392.04</v>
      </c>
    </row>
    <row r="3568" spans="1:8" ht="41.4">
      <c r="A3568" s="502" t="s">
        <v>24854</v>
      </c>
      <c r="B3568" s="504" t="s">
        <v>24855</v>
      </c>
      <c r="C3568" s="502" t="s">
        <v>114</v>
      </c>
      <c r="D3568" s="503" t="s">
        <v>32763</v>
      </c>
      <c r="F3568" t="str">
        <f t="shared" si="111"/>
        <v>103255</v>
      </c>
      <c r="H3568" s="14">
        <f t="shared" si="112"/>
        <v>6033.64</v>
      </c>
    </row>
    <row r="3569" spans="1:8" ht="41.4">
      <c r="A3569" s="502" t="s">
        <v>24856</v>
      </c>
      <c r="B3569" s="504" t="s">
        <v>28932</v>
      </c>
      <c r="C3569" s="502" t="s">
        <v>114</v>
      </c>
      <c r="D3569" s="503" t="s">
        <v>32764</v>
      </c>
      <c r="F3569" t="str">
        <f t="shared" si="111"/>
        <v>103256</v>
      </c>
      <c r="H3569" s="14">
        <f t="shared" si="112"/>
        <v>13394.82</v>
      </c>
    </row>
    <row r="3570" spans="1:8" ht="41.4">
      <c r="A3570" s="502" t="s">
        <v>24857</v>
      </c>
      <c r="B3570" s="504" t="s">
        <v>28933</v>
      </c>
      <c r="C3570" s="502" t="s">
        <v>114</v>
      </c>
      <c r="D3570" s="503" t="s">
        <v>32765</v>
      </c>
      <c r="F3570" t="str">
        <f t="shared" si="111"/>
        <v>103257</v>
      </c>
      <c r="H3570" s="14">
        <f t="shared" si="112"/>
        <v>7654.36</v>
      </c>
    </row>
    <row r="3571" spans="1:8" ht="41.4">
      <c r="A3571" s="502" t="s">
        <v>24858</v>
      </c>
      <c r="B3571" s="504" t="s">
        <v>28934</v>
      </c>
      <c r="C3571" s="502" t="s">
        <v>114</v>
      </c>
      <c r="D3571" s="503" t="s">
        <v>32766</v>
      </c>
      <c r="F3571" t="str">
        <f t="shared" si="111"/>
        <v>103258</v>
      </c>
      <c r="H3571" s="14">
        <f t="shared" si="112"/>
        <v>14975.1</v>
      </c>
    </row>
    <row r="3572" spans="1:8" ht="41.4">
      <c r="A3572" s="502" t="s">
        <v>24859</v>
      </c>
      <c r="B3572" s="504" t="s">
        <v>28935</v>
      </c>
      <c r="C3572" s="502" t="s">
        <v>114</v>
      </c>
      <c r="D3572" s="503" t="s">
        <v>32767</v>
      </c>
      <c r="F3572" t="str">
        <f t="shared" si="111"/>
        <v>103259</v>
      </c>
      <c r="H3572" s="14">
        <f t="shared" si="112"/>
        <v>8070.73</v>
      </c>
    </row>
    <row r="3573" spans="1:8" ht="41.4">
      <c r="A3573" s="502" t="s">
        <v>24860</v>
      </c>
      <c r="B3573" s="504" t="s">
        <v>28936</v>
      </c>
      <c r="C3573" s="502" t="s">
        <v>114</v>
      </c>
      <c r="D3573" s="503" t="s">
        <v>32768</v>
      </c>
      <c r="F3573" t="str">
        <f t="shared" si="111"/>
        <v>103260</v>
      </c>
      <c r="H3573" s="14">
        <f t="shared" si="112"/>
        <v>8290.44</v>
      </c>
    </row>
    <row r="3574" spans="1:8" ht="41.4">
      <c r="A3574" s="502" t="s">
        <v>24861</v>
      </c>
      <c r="B3574" s="504" t="s">
        <v>28937</v>
      </c>
      <c r="C3574" s="502" t="s">
        <v>114</v>
      </c>
      <c r="D3574" s="503" t="s">
        <v>32769</v>
      </c>
      <c r="F3574" t="str">
        <f t="shared" si="111"/>
        <v>103261</v>
      </c>
      <c r="H3574" s="14">
        <f t="shared" si="112"/>
        <v>16894.37</v>
      </c>
    </row>
    <row r="3575" spans="1:8" ht="41.4">
      <c r="A3575" s="502" t="s">
        <v>24862</v>
      </c>
      <c r="B3575" s="504" t="s">
        <v>28938</v>
      </c>
      <c r="C3575" s="502" t="s">
        <v>114</v>
      </c>
      <c r="D3575" s="503" t="s">
        <v>32770</v>
      </c>
      <c r="F3575" t="str">
        <f t="shared" si="111"/>
        <v>103262</v>
      </c>
      <c r="H3575" s="14">
        <f t="shared" si="112"/>
        <v>10603.54</v>
      </c>
    </row>
    <row r="3576" spans="1:8" ht="41.4">
      <c r="A3576" s="502" t="s">
        <v>24863</v>
      </c>
      <c r="B3576" s="504" t="s">
        <v>24864</v>
      </c>
      <c r="C3576" s="502" t="s">
        <v>114</v>
      </c>
      <c r="D3576" s="503" t="s">
        <v>32771</v>
      </c>
      <c r="F3576" t="str">
        <f t="shared" si="111"/>
        <v>103263</v>
      </c>
      <c r="H3576" s="14">
        <f t="shared" si="112"/>
        <v>23504.26</v>
      </c>
    </row>
    <row r="3577" spans="1:8" ht="41.4">
      <c r="A3577" s="502" t="s">
        <v>24865</v>
      </c>
      <c r="B3577" s="504" t="s">
        <v>24866</v>
      </c>
      <c r="C3577" s="502" t="s">
        <v>114</v>
      </c>
      <c r="D3577" s="503" t="s">
        <v>32772</v>
      </c>
      <c r="F3577" t="str">
        <f t="shared" si="111"/>
        <v>103264</v>
      </c>
      <c r="H3577" s="14">
        <f t="shared" si="112"/>
        <v>13204.38</v>
      </c>
    </row>
    <row r="3578" spans="1:8" ht="41.4">
      <c r="A3578" s="502" t="s">
        <v>24867</v>
      </c>
      <c r="B3578" s="504" t="s">
        <v>24868</v>
      </c>
      <c r="C3578" s="502" t="s">
        <v>114</v>
      </c>
      <c r="D3578" s="503" t="s">
        <v>32773</v>
      </c>
      <c r="F3578" t="str">
        <f t="shared" si="111"/>
        <v>103265</v>
      </c>
      <c r="H3578" s="14">
        <f t="shared" si="112"/>
        <v>28325.43</v>
      </c>
    </row>
    <row r="3579" spans="1:8" ht="41.4">
      <c r="A3579" s="502" t="s">
        <v>24869</v>
      </c>
      <c r="B3579" s="504" t="s">
        <v>24870</v>
      </c>
      <c r="C3579" s="502" t="s">
        <v>114</v>
      </c>
      <c r="D3579" s="503" t="s">
        <v>32774</v>
      </c>
      <c r="F3579" t="str">
        <f t="shared" si="111"/>
        <v>103266</v>
      </c>
      <c r="H3579" s="14">
        <f t="shared" si="112"/>
        <v>14740.75</v>
      </c>
    </row>
    <row r="3580" spans="1:8" ht="41.4">
      <c r="A3580" s="502" t="s">
        <v>24871</v>
      </c>
      <c r="B3580" s="504" t="s">
        <v>24872</v>
      </c>
      <c r="C3580" s="502" t="s">
        <v>114</v>
      </c>
      <c r="D3580" s="503" t="s">
        <v>32775</v>
      </c>
      <c r="F3580" t="str">
        <f t="shared" si="111"/>
        <v>103267</v>
      </c>
      <c r="H3580" s="14">
        <f t="shared" si="112"/>
        <v>8367.9500000000007</v>
      </c>
    </row>
    <row r="3581" spans="1:8" ht="41.4">
      <c r="A3581" s="502" t="s">
        <v>24873</v>
      </c>
      <c r="B3581" s="504" t="s">
        <v>24874</v>
      </c>
      <c r="C3581" s="502" t="s">
        <v>114</v>
      </c>
      <c r="D3581" s="503" t="s">
        <v>32776</v>
      </c>
      <c r="F3581" t="str">
        <f t="shared" si="111"/>
        <v>103268</v>
      </c>
      <c r="H3581" s="14">
        <f t="shared" si="112"/>
        <v>9932.89</v>
      </c>
    </row>
    <row r="3582" spans="1:8" ht="41.4">
      <c r="A3582" s="502" t="s">
        <v>24875</v>
      </c>
      <c r="B3582" s="504" t="s">
        <v>24876</v>
      </c>
      <c r="C3582" s="502" t="s">
        <v>114</v>
      </c>
      <c r="D3582" s="503" t="s">
        <v>32777</v>
      </c>
      <c r="F3582" t="str">
        <f t="shared" si="111"/>
        <v>103269</v>
      </c>
      <c r="H3582" s="14">
        <f t="shared" si="112"/>
        <v>10285.34</v>
      </c>
    </row>
    <row r="3583" spans="1:8" ht="41.4">
      <c r="A3583" s="502" t="s">
        <v>24877</v>
      </c>
      <c r="B3583" s="504" t="s">
        <v>24878</v>
      </c>
      <c r="C3583" s="502" t="s">
        <v>114</v>
      </c>
      <c r="D3583" s="503" t="s">
        <v>32778</v>
      </c>
      <c r="F3583" t="str">
        <f t="shared" si="111"/>
        <v>103270</v>
      </c>
      <c r="H3583" s="14">
        <f t="shared" si="112"/>
        <v>10676.28</v>
      </c>
    </row>
    <row r="3584" spans="1:8" ht="41.4">
      <c r="A3584" s="502" t="s">
        <v>24879</v>
      </c>
      <c r="B3584" s="504" t="s">
        <v>24880</v>
      </c>
      <c r="C3584" s="502" t="s">
        <v>114</v>
      </c>
      <c r="D3584" s="503" t="s">
        <v>32779</v>
      </c>
      <c r="F3584" t="str">
        <f t="shared" si="111"/>
        <v>103271</v>
      </c>
      <c r="H3584" s="14">
        <f t="shared" si="112"/>
        <v>15127.45</v>
      </c>
    </row>
    <row r="3585" spans="1:8" ht="41.4">
      <c r="A3585" s="502" t="s">
        <v>24881</v>
      </c>
      <c r="B3585" s="504" t="s">
        <v>24882</v>
      </c>
      <c r="C3585" s="502" t="s">
        <v>114</v>
      </c>
      <c r="D3585" s="503" t="s">
        <v>32780</v>
      </c>
      <c r="F3585" t="str">
        <f t="shared" si="111"/>
        <v>103272</v>
      </c>
      <c r="H3585" s="14">
        <f t="shared" si="112"/>
        <v>15624.6</v>
      </c>
    </row>
    <row r="3586" spans="1:8" ht="41.4">
      <c r="A3586" s="502" t="s">
        <v>24883</v>
      </c>
      <c r="B3586" s="504" t="s">
        <v>24884</v>
      </c>
      <c r="C3586" s="502" t="s">
        <v>114</v>
      </c>
      <c r="D3586" s="503" t="s">
        <v>32781</v>
      </c>
      <c r="F3586" t="str">
        <f t="shared" si="111"/>
        <v>103273</v>
      </c>
      <c r="H3586" s="14">
        <f t="shared" si="112"/>
        <v>16119.08</v>
      </c>
    </row>
    <row r="3587" spans="1:8" ht="41.4">
      <c r="A3587" s="502" t="s">
        <v>24885</v>
      </c>
      <c r="B3587" s="504" t="s">
        <v>24886</v>
      </c>
      <c r="C3587" s="502" t="s">
        <v>114</v>
      </c>
      <c r="D3587" s="503" t="s">
        <v>32782</v>
      </c>
      <c r="F3587" t="str">
        <f t="shared" si="111"/>
        <v>103274</v>
      </c>
      <c r="H3587" s="14">
        <f t="shared" si="112"/>
        <v>18457.259999999998</v>
      </c>
    </row>
    <row r="3588" spans="1:8" ht="41.4">
      <c r="A3588" s="502" t="s">
        <v>24887</v>
      </c>
      <c r="B3588" s="504" t="s">
        <v>24888</v>
      </c>
      <c r="C3588" s="502" t="s">
        <v>114</v>
      </c>
      <c r="D3588" s="503" t="s">
        <v>32783</v>
      </c>
      <c r="F3588" t="str">
        <f t="shared" si="111"/>
        <v>103275</v>
      </c>
      <c r="H3588" s="14">
        <f t="shared" si="112"/>
        <v>18361.810000000001</v>
      </c>
    </row>
    <row r="3589" spans="1:8" ht="41.4">
      <c r="A3589" s="502" t="s">
        <v>24889</v>
      </c>
      <c r="B3589" s="504" t="s">
        <v>24890</v>
      </c>
      <c r="C3589" s="502" t="s">
        <v>114</v>
      </c>
      <c r="D3589" s="503" t="s">
        <v>32784</v>
      </c>
      <c r="F3589" t="str">
        <f t="shared" ref="F3589:F3652" si="113">TRIM(A3589)</f>
        <v>103276</v>
      </c>
      <c r="H3589" s="14">
        <f t="shared" ref="H3589:H3652" si="114">ROUND(D3589*(1+$H$1),2)</f>
        <v>19266.14</v>
      </c>
    </row>
    <row r="3590" spans="1:8" ht="27.6">
      <c r="A3590" s="502" t="s">
        <v>24891</v>
      </c>
      <c r="B3590" s="504" t="s">
        <v>24892</v>
      </c>
      <c r="C3590" s="502" t="s">
        <v>114</v>
      </c>
      <c r="D3590" s="503" t="s">
        <v>32785</v>
      </c>
      <c r="F3590" t="str">
        <f t="shared" si="113"/>
        <v>103277</v>
      </c>
      <c r="H3590" s="14">
        <f t="shared" si="114"/>
        <v>35573.620000000003</v>
      </c>
    </row>
    <row r="3591" spans="1:8" ht="27.6">
      <c r="A3591" s="502" t="s">
        <v>24893</v>
      </c>
      <c r="B3591" s="504" t="s">
        <v>24894</v>
      </c>
      <c r="C3591" s="502" t="s">
        <v>114</v>
      </c>
      <c r="D3591" s="503" t="s">
        <v>32786</v>
      </c>
      <c r="F3591" t="str">
        <f t="shared" si="113"/>
        <v>103278</v>
      </c>
      <c r="H3591" s="14">
        <f t="shared" si="114"/>
        <v>45509.58</v>
      </c>
    </row>
    <row r="3592" spans="1:8" ht="27.6">
      <c r="A3592" s="502" t="s">
        <v>24895</v>
      </c>
      <c r="B3592" s="504" t="s">
        <v>24896</v>
      </c>
      <c r="C3592" s="502" t="s">
        <v>114</v>
      </c>
      <c r="D3592" s="503" t="s">
        <v>9482</v>
      </c>
      <c r="F3592" t="str">
        <f t="shared" si="113"/>
        <v>103288</v>
      </c>
      <c r="H3592" s="14">
        <f t="shared" si="114"/>
        <v>21.28</v>
      </c>
    </row>
    <row r="3593" spans="1:8" ht="41.4">
      <c r="A3593" s="502" t="s">
        <v>24897</v>
      </c>
      <c r="B3593" s="504" t="s">
        <v>28939</v>
      </c>
      <c r="C3593" s="502" t="s">
        <v>75</v>
      </c>
      <c r="D3593" s="503" t="s">
        <v>30301</v>
      </c>
      <c r="F3593" t="str">
        <f t="shared" si="113"/>
        <v>103289</v>
      </c>
      <c r="H3593" s="14">
        <f t="shared" si="114"/>
        <v>41.77</v>
      </c>
    </row>
    <row r="3594" spans="1:8" ht="41.4">
      <c r="A3594" s="502" t="s">
        <v>24898</v>
      </c>
      <c r="B3594" s="504" t="s">
        <v>28940</v>
      </c>
      <c r="C3594" s="502" t="s">
        <v>75</v>
      </c>
      <c r="D3594" s="503" t="s">
        <v>32787</v>
      </c>
      <c r="F3594" t="str">
        <f t="shared" si="113"/>
        <v>103290</v>
      </c>
      <c r="H3594" s="14">
        <f t="shared" si="114"/>
        <v>64.040000000000006</v>
      </c>
    </row>
    <row r="3595" spans="1:8" ht="41.4">
      <c r="A3595" s="502" t="s">
        <v>24899</v>
      </c>
      <c r="B3595" s="504" t="s">
        <v>28941</v>
      </c>
      <c r="C3595" s="502" t="s">
        <v>75</v>
      </c>
      <c r="D3595" s="503" t="s">
        <v>32788</v>
      </c>
      <c r="F3595" t="str">
        <f t="shared" si="113"/>
        <v>103291</v>
      </c>
      <c r="H3595" s="14">
        <f t="shared" si="114"/>
        <v>80.27</v>
      </c>
    </row>
    <row r="3596" spans="1:8" ht="41.4">
      <c r="A3596" s="502" t="s">
        <v>24900</v>
      </c>
      <c r="B3596" s="504" t="s">
        <v>28942</v>
      </c>
      <c r="C3596" s="502" t="s">
        <v>75</v>
      </c>
      <c r="D3596" s="503" t="s">
        <v>32789</v>
      </c>
      <c r="F3596" t="str">
        <f t="shared" si="113"/>
        <v>103292</v>
      </c>
      <c r="H3596" s="14">
        <f t="shared" si="114"/>
        <v>96.75</v>
      </c>
    </row>
    <row r="3597" spans="1:8" ht="69">
      <c r="A3597" s="502" t="s">
        <v>13031</v>
      </c>
      <c r="B3597" s="504" t="s">
        <v>28943</v>
      </c>
      <c r="C3597" s="502" t="s">
        <v>114</v>
      </c>
      <c r="D3597" s="503" t="s">
        <v>32790</v>
      </c>
      <c r="F3597" t="str">
        <f t="shared" si="113"/>
        <v>101936</v>
      </c>
      <c r="H3597" s="14">
        <f t="shared" si="114"/>
        <v>12648.44</v>
      </c>
    </row>
    <row r="3598" spans="1:8" ht="69">
      <c r="A3598" s="502" t="s">
        <v>13032</v>
      </c>
      <c r="B3598" s="504" t="s">
        <v>28944</v>
      </c>
      <c r="C3598" s="502" t="s">
        <v>114</v>
      </c>
      <c r="D3598" s="503" t="s">
        <v>32791</v>
      </c>
      <c r="F3598" t="str">
        <f t="shared" si="113"/>
        <v>101937</v>
      </c>
      <c r="H3598" s="14">
        <f t="shared" si="114"/>
        <v>22738.63</v>
      </c>
    </row>
    <row r="3599" spans="1:8" ht="41.4">
      <c r="A3599" s="502" t="s">
        <v>7441</v>
      </c>
      <c r="B3599" s="504" t="s">
        <v>11599</v>
      </c>
      <c r="C3599" s="502" t="s">
        <v>75</v>
      </c>
      <c r="D3599" s="503" t="s">
        <v>32792</v>
      </c>
      <c r="F3599" t="str">
        <f t="shared" si="113"/>
        <v>98294</v>
      </c>
      <c r="H3599" s="14">
        <f t="shared" si="114"/>
        <v>7.56</v>
      </c>
    </row>
    <row r="3600" spans="1:8" ht="41.4">
      <c r="A3600" s="502" t="s">
        <v>7442</v>
      </c>
      <c r="B3600" s="504" t="s">
        <v>11600</v>
      </c>
      <c r="C3600" s="502" t="s">
        <v>75</v>
      </c>
      <c r="D3600" s="503" t="s">
        <v>32793</v>
      </c>
      <c r="F3600" t="str">
        <f t="shared" si="113"/>
        <v>98295</v>
      </c>
      <c r="H3600" s="14">
        <f t="shared" si="114"/>
        <v>6.36</v>
      </c>
    </row>
    <row r="3601" spans="1:8" ht="41.4">
      <c r="A3601" s="502" t="s">
        <v>7443</v>
      </c>
      <c r="B3601" s="504" t="s">
        <v>11601</v>
      </c>
      <c r="C3601" s="502" t="s">
        <v>75</v>
      </c>
      <c r="D3601" s="503" t="s">
        <v>3189</v>
      </c>
      <c r="F3601" t="str">
        <f t="shared" si="113"/>
        <v>98296</v>
      </c>
      <c r="H3601" s="14">
        <f t="shared" si="114"/>
        <v>11.11</v>
      </c>
    </row>
    <row r="3602" spans="1:8" ht="41.4">
      <c r="A3602" s="502" t="s">
        <v>7444</v>
      </c>
      <c r="B3602" s="504" t="s">
        <v>11602</v>
      </c>
      <c r="C3602" s="502" t="s">
        <v>75</v>
      </c>
      <c r="D3602" s="503" t="s">
        <v>7310</v>
      </c>
      <c r="F3602" t="str">
        <f t="shared" si="113"/>
        <v>98297</v>
      </c>
      <c r="H3602" s="14">
        <f t="shared" si="114"/>
        <v>9.19</v>
      </c>
    </row>
    <row r="3603" spans="1:8" ht="41.4">
      <c r="A3603" s="502" t="s">
        <v>24901</v>
      </c>
      <c r="B3603" s="504" t="s">
        <v>24902</v>
      </c>
      <c r="C3603" s="502" t="s">
        <v>75</v>
      </c>
      <c r="D3603" s="503" t="s">
        <v>26929</v>
      </c>
      <c r="F3603" t="str">
        <f t="shared" si="113"/>
        <v>98298</v>
      </c>
      <c r="H3603" s="14">
        <f t="shared" si="114"/>
        <v>26.12</v>
      </c>
    </row>
    <row r="3604" spans="1:8" ht="41.4">
      <c r="A3604" s="502" t="s">
        <v>24903</v>
      </c>
      <c r="B3604" s="504" t="s">
        <v>24904</v>
      </c>
      <c r="C3604" s="502" t="s">
        <v>75</v>
      </c>
      <c r="D3604" s="503" t="s">
        <v>32794</v>
      </c>
      <c r="F3604" t="str">
        <f t="shared" si="113"/>
        <v>98299</v>
      </c>
      <c r="H3604" s="14">
        <f t="shared" si="114"/>
        <v>23.75</v>
      </c>
    </row>
    <row r="3605" spans="1:8" ht="27.6">
      <c r="A3605" s="502" t="s">
        <v>24905</v>
      </c>
      <c r="B3605" s="504" t="s">
        <v>24906</v>
      </c>
      <c r="C3605" s="502" t="s">
        <v>75</v>
      </c>
      <c r="D3605" s="503" t="s">
        <v>31073</v>
      </c>
      <c r="F3605" t="str">
        <f t="shared" si="113"/>
        <v>98300</v>
      </c>
      <c r="H3605" s="14">
        <f t="shared" si="114"/>
        <v>8.49</v>
      </c>
    </row>
    <row r="3606" spans="1:8" ht="27.6">
      <c r="A3606" s="502" t="s">
        <v>7445</v>
      </c>
      <c r="B3606" s="504" t="s">
        <v>11603</v>
      </c>
      <c r="C3606" s="502" t="s">
        <v>114</v>
      </c>
      <c r="D3606" s="503" t="s">
        <v>32795</v>
      </c>
      <c r="F3606" t="str">
        <f t="shared" si="113"/>
        <v>98301</v>
      </c>
      <c r="H3606" s="14">
        <f t="shared" si="114"/>
        <v>1318.92</v>
      </c>
    </row>
    <row r="3607" spans="1:8" ht="27.6">
      <c r="A3607" s="502" t="s">
        <v>7446</v>
      </c>
      <c r="B3607" s="504" t="s">
        <v>11604</v>
      </c>
      <c r="C3607" s="502" t="s">
        <v>114</v>
      </c>
      <c r="D3607" s="503" t="s">
        <v>32796</v>
      </c>
      <c r="F3607" t="str">
        <f t="shared" si="113"/>
        <v>98302</v>
      </c>
      <c r="H3607" s="14">
        <f t="shared" si="114"/>
        <v>2643.01</v>
      </c>
    </row>
    <row r="3608" spans="1:8" ht="27.6">
      <c r="A3608" s="502" t="s">
        <v>7447</v>
      </c>
      <c r="B3608" s="504" t="s">
        <v>11605</v>
      </c>
      <c r="C3608" s="502" t="s">
        <v>114</v>
      </c>
      <c r="D3608" s="503" t="s">
        <v>32797</v>
      </c>
      <c r="F3608" t="str">
        <f t="shared" si="113"/>
        <v>98304</v>
      </c>
      <c r="H3608" s="14">
        <f t="shared" si="114"/>
        <v>8500.9</v>
      </c>
    </row>
    <row r="3609" spans="1:8" ht="27.6">
      <c r="A3609" s="502" t="s">
        <v>24907</v>
      </c>
      <c r="B3609" s="504" t="s">
        <v>24908</v>
      </c>
      <c r="C3609" s="502" t="s">
        <v>114</v>
      </c>
      <c r="D3609" s="503" t="s">
        <v>32798</v>
      </c>
      <c r="F3609" t="str">
        <f t="shared" si="113"/>
        <v>98305</v>
      </c>
      <c r="H3609" s="14">
        <f t="shared" si="114"/>
        <v>6508.82</v>
      </c>
    </row>
    <row r="3610" spans="1:8" ht="27.6">
      <c r="A3610" s="502" t="s">
        <v>24909</v>
      </c>
      <c r="B3610" s="504" t="s">
        <v>24910</v>
      </c>
      <c r="C3610" s="502" t="s">
        <v>114</v>
      </c>
      <c r="D3610" s="503" t="s">
        <v>20676</v>
      </c>
      <c r="F3610" t="str">
        <f t="shared" si="113"/>
        <v>98306</v>
      </c>
      <c r="H3610" s="14">
        <f t="shared" si="114"/>
        <v>128.12</v>
      </c>
    </row>
    <row r="3611" spans="1:8" ht="27.6">
      <c r="A3611" s="502" t="s">
        <v>7448</v>
      </c>
      <c r="B3611" s="504" t="s">
        <v>11606</v>
      </c>
      <c r="C3611" s="502" t="s">
        <v>114</v>
      </c>
      <c r="D3611" s="503" t="s">
        <v>32799</v>
      </c>
      <c r="F3611" t="str">
        <f t="shared" si="113"/>
        <v>98307</v>
      </c>
      <c r="H3611" s="14">
        <f t="shared" si="114"/>
        <v>76.69</v>
      </c>
    </row>
    <row r="3612" spans="1:8" ht="27.6">
      <c r="A3612" s="502" t="s">
        <v>7449</v>
      </c>
      <c r="B3612" s="504" t="s">
        <v>11608</v>
      </c>
      <c r="C3612" s="502" t="s">
        <v>114</v>
      </c>
      <c r="D3612" s="503" t="s">
        <v>32800</v>
      </c>
      <c r="F3612" t="str">
        <f t="shared" si="113"/>
        <v>98308</v>
      </c>
      <c r="H3612" s="14">
        <f t="shared" si="114"/>
        <v>51.09</v>
      </c>
    </row>
    <row r="3613" spans="1:8" ht="27.6">
      <c r="A3613" s="502" t="s">
        <v>7718</v>
      </c>
      <c r="B3613" s="504" t="s">
        <v>11609</v>
      </c>
      <c r="C3613" s="502" t="s">
        <v>114</v>
      </c>
      <c r="D3613" s="503" t="s">
        <v>32801</v>
      </c>
      <c r="F3613" t="str">
        <f t="shared" si="113"/>
        <v>98593</v>
      </c>
      <c r="H3613" s="14">
        <f t="shared" si="114"/>
        <v>5801.04</v>
      </c>
    </row>
    <row r="3614" spans="1:8" ht="27.6">
      <c r="A3614" s="502" t="s">
        <v>24911</v>
      </c>
      <c r="B3614" s="504" t="s">
        <v>24912</v>
      </c>
      <c r="C3614" s="502" t="s">
        <v>75</v>
      </c>
      <c r="D3614" s="503" t="s">
        <v>10325</v>
      </c>
      <c r="F3614" t="str">
        <f t="shared" si="113"/>
        <v>100553</v>
      </c>
      <c r="H3614" s="14">
        <f t="shared" si="114"/>
        <v>29.22</v>
      </c>
    </row>
    <row r="3615" spans="1:8" ht="27.6">
      <c r="A3615" s="502" t="s">
        <v>24913</v>
      </c>
      <c r="B3615" s="504" t="s">
        <v>24914</v>
      </c>
      <c r="C3615" s="502" t="s">
        <v>75</v>
      </c>
      <c r="D3615" s="503" t="s">
        <v>10405</v>
      </c>
      <c r="F3615" t="str">
        <f t="shared" si="113"/>
        <v>100554</v>
      </c>
      <c r="H3615" s="14">
        <f t="shared" si="114"/>
        <v>8.09</v>
      </c>
    </row>
    <row r="3616" spans="1:8" ht="27.6">
      <c r="A3616" s="502" t="s">
        <v>24915</v>
      </c>
      <c r="B3616" s="504" t="s">
        <v>24916</v>
      </c>
      <c r="C3616" s="502" t="s">
        <v>114</v>
      </c>
      <c r="D3616" s="503" t="s">
        <v>32802</v>
      </c>
      <c r="F3616" t="str">
        <f t="shared" si="113"/>
        <v>100555</v>
      </c>
      <c r="H3616" s="14">
        <f t="shared" si="114"/>
        <v>3243.31</v>
      </c>
    </row>
    <row r="3617" spans="1:8" ht="41.4">
      <c r="A3617" s="502" t="s">
        <v>4996</v>
      </c>
      <c r="B3617" s="504" t="s">
        <v>28945</v>
      </c>
      <c r="C3617" s="502" t="s">
        <v>75</v>
      </c>
      <c r="D3617" s="503" t="s">
        <v>16160</v>
      </c>
      <c r="F3617" t="str">
        <f t="shared" si="113"/>
        <v>89355</v>
      </c>
      <c r="H3617" s="14">
        <f t="shared" si="114"/>
        <v>30.35</v>
      </c>
    </row>
    <row r="3618" spans="1:8" ht="41.4">
      <c r="A3618" s="502" t="s">
        <v>4997</v>
      </c>
      <c r="B3618" s="504" t="s">
        <v>28947</v>
      </c>
      <c r="C3618" s="502" t="s">
        <v>75</v>
      </c>
      <c r="D3618" s="503" t="s">
        <v>21827</v>
      </c>
      <c r="F3618" t="str">
        <f t="shared" si="113"/>
        <v>89356</v>
      </c>
      <c r="H3618" s="14">
        <f t="shared" si="114"/>
        <v>35</v>
      </c>
    </row>
    <row r="3619" spans="1:8" ht="41.4">
      <c r="A3619" s="502" t="s">
        <v>4998</v>
      </c>
      <c r="B3619" s="504" t="s">
        <v>28949</v>
      </c>
      <c r="C3619" s="502" t="s">
        <v>75</v>
      </c>
      <c r="D3619" s="503" t="s">
        <v>32803</v>
      </c>
      <c r="F3619" t="str">
        <f t="shared" si="113"/>
        <v>89357</v>
      </c>
      <c r="H3619" s="14">
        <f t="shared" si="114"/>
        <v>48.49</v>
      </c>
    </row>
    <row r="3620" spans="1:8" ht="41.4">
      <c r="A3620" s="502" t="s">
        <v>4999</v>
      </c>
      <c r="B3620" s="504" t="s">
        <v>28950</v>
      </c>
      <c r="C3620" s="502" t="s">
        <v>75</v>
      </c>
      <c r="D3620" s="503" t="s">
        <v>32804</v>
      </c>
      <c r="F3620" t="str">
        <f t="shared" si="113"/>
        <v>89401</v>
      </c>
      <c r="H3620" s="14">
        <f t="shared" si="114"/>
        <v>16.23</v>
      </c>
    </row>
    <row r="3621" spans="1:8" ht="41.4">
      <c r="A3621" s="502" t="s">
        <v>5000</v>
      </c>
      <c r="B3621" s="504" t="s">
        <v>28951</v>
      </c>
      <c r="C3621" s="502" t="s">
        <v>75</v>
      </c>
      <c r="D3621" s="503" t="s">
        <v>7341</v>
      </c>
      <c r="F3621" t="str">
        <f t="shared" si="113"/>
        <v>89402</v>
      </c>
      <c r="H3621" s="14">
        <f t="shared" si="114"/>
        <v>18.670000000000002</v>
      </c>
    </row>
    <row r="3622" spans="1:8" ht="41.4">
      <c r="A3622" s="502" t="s">
        <v>5001</v>
      </c>
      <c r="B3622" s="504" t="s">
        <v>28952</v>
      </c>
      <c r="C3622" s="502" t="s">
        <v>75</v>
      </c>
      <c r="D3622" s="503" t="s">
        <v>23961</v>
      </c>
      <c r="F3622" t="str">
        <f t="shared" si="113"/>
        <v>89403</v>
      </c>
      <c r="H3622" s="14">
        <f t="shared" si="114"/>
        <v>29</v>
      </c>
    </row>
    <row r="3623" spans="1:8" ht="27.6">
      <c r="A3623" s="502" t="s">
        <v>5003</v>
      </c>
      <c r="B3623" s="504" t="s">
        <v>28954</v>
      </c>
      <c r="C3623" s="502" t="s">
        <v>75</v>
      </c>
      <c r="D3623" s="503" t="s">
        <v>5164</v>
      </c>
      <c r="F3623" t="str">
        <f t="shared" si="113"/>
        <v>89446</v>
      </c>
      <c r="H3623" s="14">
        <f t="shared" si="114"/>
        <v>8.39</v>
      </c>
    </row>
    <row r="3624" spans="1:8" ht="27.6">
      <c r="A3624" s="502" t="s">
        <v>5004</v>
      </c>
      <c r="B3624" s="504" t="s">
        <v>28955</v>
      </c>
      <c r="C3624" s="502" t="s">
        <v>75</v>
      </c>
      <c r="D3624" s="503" t="s">
        <v>10708</v>
      </c>
      <c r="F3624" t="str">
        <f t="shared" si="113"/>
        <v>89447</v>
      </c>
      <c r="H3624" s="14">
        <f t="shared" si="114"/>
        <v>16.78</v>
      </c>
    </row>
    <row r="3625" spans="1:8" ht="27.6">
      <c r="A3625" s="502" t="s">
        <v>5005</v>
      </c>
      <c r="B3625" s="504" t="s">
        <v>28956</v>
      </c>
      <c r="C3625" s="502" t="s">
        <v>75</v>
      </c>
      <c r="D3625" s="503" t="s">
        <v>30743</v>
      </c>
      <c r="F3625" t="str">
        <f t="shared" si="113"/>
        <v>89448</v>
      </c>
      <c r="H3625" s="14">
        <f t="shared" si="114"/>
        <v>25.7</v>
      </c>
    </row>
    <row r="3626" spans="1:8" ht="27.6">
      <c r="A3626" s="502" t="s">
        <v>5006</v>
      </c>
      <c r="B3626" s="504" t="s">
        <v>28957</v>
      </c>
      <c r="C3626" s="502" t="s">
        <v>75</v>
      </c>
      <c r="D3626" s="503" t="s">
        <v>16292</v>
      </c>
      <c r="F3626" t="str">
        <f t="shared" si="113"/>
        <v>89449</v>
      </c>
      <c r="H3626" s="14">
        <f t="shared" si="114"/>
        <v>28.42</v>
      </c>
    </row>
    <row r="3627" spans="1:8" ht="27.6">
      <c r="A3627" s="502" t="s">
        <v>5008</v>
      </c>
      <c r="B3627" s="504" t="s">
        <v>28958</v>
      </c>
      <c r="C3627" s="502" t="s">
        <v>75</v>
      </c>
      <c r="D3627" s="503" t="s">
        <v>15630</v>
      </c>
      <c r="F3627" t="str">
        <f t="shared" si="113"/>
        <v>89450</v>
      </c>
      <c r="H3627" s="14">
        <f t="shared" si="114"/>
        <v>45.61</v>
      </c>
    </row>
    <row r="3628" spans="1:8" ht="27.6">
      <c r="A3628" s="502" t="s">
        <v>5010</v>
      </c>
      <c r="B3628" s="504" t="s">
        <v>28959</v>
      </c>
      <c r="C3628" s="502" t="s">
        <v>75</v>
      </c>
      <c r="D3628" s="503" t="s">
        <v>32805</v>
      </c>
      <c r="F3628" t="str">
        <f t="shared" si="113"/>
        <v>89451</v>
      </c>
      <c r="H3628" s="14">
        <f t="shared" si="114"/>
        <v>74.3</v>
      </c>
    </row>
    <row r="3629" spans="1:8" ht="27.6">
      <c r="A3629" s="502" t="s">
        <v>5011</v>
      </c>
      <c r="B3629" s="504" t="s">
        <v>28960</v>
      </c>
      <c r="C3629" s="502" t="s">
        <v>75</v>
      </c>
      <c r="D3629" s="503" t="s">
        <v>32806</v>
      </c>
      <c r="F3629" t="str">
        <f t="shared" si="113"/>
        <v>89452</v>
      </c>
      <c r="H3629" s="14">
        <f t="shared" si="114"/>
        <v>102.42</v>
      </c>
    </row>
    <row r="3630" spans="1:8" ht="41.4">
      <c r="A3630" s="502" t="s">
        <v>5012</v>
      </c>
      <c r="B3630" s="504" t="s">
        <v>24917</v>
      </c>
      <c r="C3630" s="502" t="s">
        <v>75</v>
      </c>
      <c r="D3630" s="503" t="s">
        <v>32807</v>
      </c>
      <c r="F3630" t="str">
        <f t="shared" si="113"/>
        <v>89508</v>
      </c>
      <c r="H3630" s="14">
        <f t="shared" si="114"/>
        <v>27.01</v>
      </c>
    </row>
    <row r="3631" spans="1:8" ht="41.4">
      <c r="A3631" s="502" t="s">
        <v>5013</v>
      </c>
      <c r="B3631" s="504" t="s">
        <v>24918</v>
      </c>
      <c r="C3631" s="502" t="s">
        <v>75</v>
      </c>
      <c r="D3631" s="503" t="s">
        <v>10513</v>
      </c>
      <c r="F3631" t="str">
        <f t="shared" si="113"/>
        <v>89509</v>
      </c>
      <c r="H3631" s="14">
        <f t="shared" si="114"/>
        <v>36.619999999999997</v>
      </c>
    </row>
    <row r="3632" spans="1:8" ht="41.4">
      <c r="A3632" s="502" t="s">
        <v>5014</v>
      </c>
      <c r="B3632" s="504" t="s">
        <v>24919</v>
      </c>
      <c r="C3632" s="502" t="s">
        <v>75</v>
      </c>
      <c r="D3632" s="503" t="s">
        <v>32808</v>
      </c>
      <c r="F3632" t="str">
        <f t="shared" si="113"/>
        <v>89511</v>
      </c>
      <c r="H3632" s="14">
        <f t="shared" si="114"/>
        <v>62.75</v>
      </c>
    </row>
    <row r="3633" spans="1:8" ht="41.4">
      <c r="A3633" s="502" t="s">
        <v>5015</v>
      </c>
      <c r="B3633" s="504" t="s">
        <v>24920</v>
      </c>
      <c r="C3633" s="502" t="s">
        <v>75</v>
      </c>
      <c r="D3633" s="503" t="s">
        <v>32809</v>
      </c>
      <c r="F3633" t="str">
        <f t="shared" si="113"/>
        <v>89512</v>
      </c>
      <c r="H3633" s="14">
        <f t="shared" si="114"/>
        <v>79.260000000000005</v>
      </c>
    </row>
    <row r="3634" spans="1:8" ht="41.4">
      <c r="A3634" s="502" t="s">
        <v>5016</v>
      </c>
      <c r="B3634" s="504" t="s">
        <v>24921</v>
      </c>
      <c r="C3634" s="502" t="s">
        <v>75</v>
      </c>
      <c r="D3634" s="503" t="s">
        <v>32810</v>
      </c>
      <c r="F3634" t="str">
        <f t="shared" si="113"/>
        <v>89576</v>
      </c>
      <c r="H3634" s="14">
        <f t="shared" si="114"/>
        <v>44.83</v>
      </c>
    </row>
    <row r="3635" spans="1:8" ht="41.4">
      <c r="A3635" s="502" t="s">
        <v>5017</v>
      </c>
      <c r="B3635" s="504" t="s">
        <v>24922</v>
      </c>
      <c r="C3635" s="502" t="s">
        <v>75</v>
      </c>
      <c r="D3635" s="503" t="s">
        <v>32811</v>
      </c>
      <c r="F3635" t="str">
        <f t="shared" si="113"/>
        <v>89578</v>
      </c>
      <c r="H3635" s="14">
        <f t="shared" si="114"/>
        <v>55.45</v>
      </c>
    </row>
    <row r="3636" spans="1:8" ht="41.4">
      <c r="A3636" s="502" t="s">
        <v>5018</v>
      </c>
      <c r="B3636" s="504" t="s">
        <v>24923</v>
      </c>
      <c r="C3636" s="502" t="s">
        <v>75</v>
      </c>
      <c r="D3636" s="503" t="s">
        <v>29704</v>
      </c>
      <c r="F3636" t="str">
        <f t="shared" si="113"/>
        <v>89580</v>
      </c>
      <c r="H3636" s="14">
        <f t="shared" si="114"/>
        <v>114.98</v>
      </c>
    </row>
    <row r="3637" spans="1:8" ht="41.4">
      <c r="A3637" s="502" t="s">
        <v>5019</v>
      </c>
      <c r="B3637" s="504" t="s">
        <v>24924</v>
      </c>
      <c r="C3637" s="502" t="s">
        <v>75</v>
      </c>
      <c r="D3637" s="503" t="s">
        <v>15572</v>
      </c>
      <c r="F3637" t="str">
        <f t="shared" si="113"/>
        <v>89633</v>
      </c>
      <c r="H3637" s="14">
        <f t="shared" si="114"/>
        <v>38.75</v>
      </c>
    </row>
    <row r="3638" spans="1:8" ht="41.4">
      <c r="A3638" s="502" t="s">
        <v>5020</v>
      </c>
      <c r="B3638" s="504" t="s">
        <v>24925</v>
      </c>
      <c r="C3638" s="502" t="s">
        <v>75</v>
      </c>
      <c r="D3638" s="503" t="s">
        <v>32812</v>
      </c>
      <c r="F3638" t="str">
        <f t="shared" si="113"/>
        <v>89634</v>
      </c>
      <c r="H3638" s="14">
        <f t="shared" si="114"/>
        <v>55.22</v>
      </c>
    </row>
    <row r="3639" spans="1:8" ht="41.4">
      <c r="A3639" s="502" t="s">
        <v>5021</v>
      </c>
      <c r="B3639" s="504" t="s">
        <v>24926</v>
      </c>
      <c r="C3639" s="502" t="s">
        <v>75</v>
      </c>
      <c r="D3639" s="503" t="s">
        <v>13937</v>
      </c>
      <c r="F3639" t="str">
        <f t="shared" si="113"/>
        <v>89635</v>
      </c>
      <c r="H3639" s="14">
        <f t="shared" si="114"/>
        <v>81.27</v>
      </c>
    </row>
    <row r="3640" spans="1:8" ht="41.4">
      <c r="A3640" s="502" t="s">
        <v>5022</v>
      </c>
      <c r="B3640" s="504" t="s">
        <v>24927</v>
      </c>
      <c r="C3640" s="502" t="s">
        <v>75</v>
      </c>
      <c r="D3640" s="503" t="s">
        <v>29317</v>
      </c>
      <c r="F3640" t="str">
        <f t="shared" si="113"/>
        <v>89636</v>
      </c>
      <c r="H3640" s="14">
        <f t="shared" si="114"/>
        <v>102.28</v>
      </c>
    </row>
    <row r="3641" spans="1:8" ht="41.4">
      <c r="A3641" s="502" t="s">
        <v>5023</v>
      </c>
      <c r="B3641" s="504" t="s">
        <v>24928</v>
      </c>
      <c r="C3641" s="502" t="s">
        <v>75</v>
      </c>
      <c r="D3641" s="503" t="s">
        <v>13323</v>
      </c>
      <c r="F3641" t="str">
        <f t="shared" si="113"/>
        <v>89711</v>
      </c>
      <c r="H3641" s="14">
        <f t="shared" si="114"/>
        <v>33.19</v>
      </c>
    </row>
    <row r="3642" spans="1:8" ht="41.4">
      <c r="A3642" s="502" t="s">
        <v>5024</v>
      </c>
      <c r="B3642" s="504" t="s">
        <v>24929</v>
      </c>
      <c r="C3642" s="502" t="s">
        <v>75</v>
      </c>
      <c r="D3642" s="503" t="s">
        <v>29297</v>
      </c>
      <c r="F3642" t="str">
        <f t="shared" si="113"/>
        <v>89712</v>
      </c>
      <c r="H3642" s="14">
        <f t="shared" si="114"/>
        <v>42.72</v>
      </c>
    </row>
    <row r="3643" spans="1:8" ht="41.4">
      <c r="A3643" s="502" t="s">
        <v>5025</v>
      </c>
      <c r="B3643" s="504" t="s">
        <v>24930</v>
      </c>
      <c r="C3643" s="502" t="s">
        <v>75</v>
      </c>
      <c r="D3643" s="503" t="s">
        <v>32813</v>
      </c>
      <c r="F3643" t="str">
        <f t="shared" si="113"/>
        <v>89713</v>
      </c>
      <c r="H3643" s="14">
        <f t="shared" si="114"/>
        <v>53.42</v>
      </c>
    </row>
    <row r="3644" spans="1:8" ht="41.4">
      <c r="A3644" s="502" t="s">
        <v>5026</v>
      </c>
      <c r="B3644" s="504" t="s">
        <v>24931</v>
      </c>
      <c r="C3644" s="502" t="s">
        <v>75</v>
      </c>
      <c r="D3644" s="503" t="s">
        <v>15532</v>
      </c>
      <c r="F3644" t="str">
        <f t="shared" si="113"/>
        <v>89714</v>
      </c>
      <c r="H3644" s="14">
        <f t="shared" si="114"/>
        <v>59.48</v>
      </c>
    </row>
    <row r="3645" spans="1:8" ht="41.4">
      <c r="A3645" s="502" t="s">
        <v>5027</v>
      </c>
      <c r="B3645" s="504" t="s">
        <v>24932</v>
      </c>
      <c r="C3645" s="502" t="s">
        <v>75</v>
      </c>
      <c r="D3645" s="503" t="s">
        <v>21173</v>
      </c>
      <c r="F3645" t="str">
        <f t="shared" si="113"/>
        <v>89716</v>
      </c>
      <c r="H3645" s="14">
        <f t="shared" si="114"/>
        <v>40.36</v>
      </c>
    </row>
    <row r="3646" spans="1:8" ht="41.4">
      <c r="A3646" s="502" t="s">
        <v>5028</v>
      </c>
      <c r="B3646" s="504" t="s">
        <v>24933</v>
      </c>
      <c r="C3646" s="502" t="s">
        <v>75</v>
      </c>
      <c r="D3646" s="503" t="s">
        <v>32814</v>
      </c>
      <c r="F3646" t="str">
        <f t="shared" si="113"/>
        <v>89717</v>
      </c>
      <c r="H3646" s="14">
        <f t="shared" si="114"/>
        <v>63.76</v>
      </c>
    </row>
    <row r="3647" spans="1:8" ht="27.6">
      <c r="A3647" s="502" t="s">
        <v>5029</v>
      </c>
      <c r="B3647" s="504" t="s">
        <v>24934</v>
      </c>
      <c r="C3647" s="502" t="s">
        <v>75</v>
      </c>
      <c r="D3647" s="503" t="s">
        <v>28282</v>
      </c>
      <c r="F3647" t="str">
        <f t="shared" si="113"/>
        <v>89770</v>
      </c>
      <c r="H3647" s="14">
        <f t="shared" si="114"/>
        <v>68.69</v>
      </c>
    </row>
    <row r="3648" spans="1:8" ht="27.6">
      <c r="A3648" s="502" t="s">
        <v>5030</v>
      </c>
      <c r="B3648" s="504" t="s">
        <v>24935</v>
      </c>
      <c r="C3648" s="502" t="s">
        <v>75</v>
      </c>
      <c r="D3648" s="503" t="s">
        <v>32815</v>
      </c>
      <c r="F3648" t="str">
        <f t="shared" si="113"/>
        <v>89771</v>
      </c>
      <c r="H3648" s="14">
        <f t="shared" si="114"/>
        <v>91.72</v>
      </c>
    </row>
    <row r="3649" spans="1:8" ht="27.6">
      <c r="A3649" s="502" t="s">
        <v>5031</v>
      </c>
      <c r="B3649" s="504" t="s">
        <v>24936</v>
      </c>
      <c r="C3649" s="502" t="s">
        <v>75</v>
      </c>
      <c r="D3649" s="503" t="s">
        <v>32816</v>
      </c>
      <c r="F3649" t="str">
        <f t="shared" si="113"/>
        <v>89773</v>
      </c>
      <c r="H3649" s="14">
        <f t="shared" si="114"/>
        <v>215.55</v>
      </c>
    </row>
    <row r="3650" spans="1:8" ht="27.6">
      <c r="A3650" s="502" t="s">
        <v>5032</v>
      </c>
      <c r="B3650" s="504" t="s">
        <v>24937</v>
      </c>
      <c r="C3650" s="502" t="s">
        <v>75</v>
      </c>
      <c r="D3650" s="503" t="s">
        <v>32817</v>
      </c>
      <c r="F3650" t="str">
        <f t="shared" si="113"/>
        <v>89775</v>
      </c>
      <c r="H3650" s="14">
        <f t="shared" si="114"/>
        <v>337.02</v>
      </c>
    </row>
    <row r="3651" spans="1:8" ht="41.4">
      <c r="A3651" s="502" t="s">
        <v>5033</v>
      </c>
      <c r="B3651" s="504" t="s">
        <v>24938</v>
      </c>
      <c r="C3651" s="502" t="s">
        <v>75</v>
      </c>
      <c r="D3651" s="503" t="s">
        <v>10459</v>
      </c>
      <c r="F3651" t="str">
        <f t="shared" si="113"/>
        <v>89798</v>
      </c>
      <c r="H3651" s="14">
        <f t="shared" si="114"/>
        <v>22.51</v>
      </c>
    </row>
    <row r="3652" spans="1:8" ht="41.4">
      <c r="A3652" s="502" t="s">
        <v>5035</v>
      </c>
      <c r="B3652" s="504" t="s">
        <v>24939</v>
      </c>
      <c r="C3652" s="502" t="s">
        <v>75</v>
      </c>
      <c r="D3652" s="503" t="s">
        <v>10058</v>
      </c>
      <c r="F3652" t="str">
        <f t="shared" si="113"/>
        <v>89799</v>
      </c>
      <c r="H3652" s="14">
        <f t="shared" si="114"/>
        <v>36.659999999999997</v>
      </c>
    </row>
    <row r="3653" spans="1:8" ht="41.4">
      <c r="A3653" s="502" t="s">
        <v>5036</v>
      </c>
      <c r="B3653" s="504" t="s">
        <v>24940</v>
      </c>
      <c r="C3653" s="502" t="s">
        <v>75</v>
      </c>
      <c r="D3653" s="503" t="s">
        <v>28314</v>
      </c>
      <c r="F3653" t="str">
        <f t="shared" ref="F3653:F3716" si="115">TRIM(A3653)</f>
        <v>89800</v>
      </c>
      <c r="H3653" s="14">
        <f t="shared" ref="H3653:H3716" si="116">ROUND(D3653*(1+$H$1),2)</f>
        <v>46.2</v>
      </c>
    </row>
    <row r="3654" spans="1:8" ht="41.4">
      <c r="A3654" s="502" t="s">
        <v>5037</v>
      </c>
      <c r="B3654" s="504" t="s">
        <v>24941</v>
      </c>
      <c r="C3654" s="502" t="s">
        <v>75</v>
      </c>
      <c r="D3654" s="503" t="s">
        <v>29339</v>
      </c>
      <c r="F3654" t="str">
        <f t="shared" si="115"/>
        <v>89848</v>
      </c>
      <c r="H3654" s="14">
        <f t="shared" si="116"/>
        <v>44.48</v>
      </c>
    </row>
    <row r="3655" spans="1:8" ht="41.4">
      <c r="A3655" s="502" t="s">
        <v>5038</v>
      </c>
      <c r="B3655" s="504" t="s">
        <v>24942</v>
      </c>
      <c r="C3655" s="502" t="s">
        <v>75</v>
      </c>
      <c r="D3655" s="503" t="s">
        <v>28417</v>
      </c>
      <c r="F3655" t="str">
        <f t="shared" si="115"/>
        <v>89849</v>
      </c>
      <c r="H3655" s="14">
        <f t="shared" si="116"/>
        <v>93.22</v>
      </c>
    </row>
    <row r="3656" spans="1:8" ht="41.4">
      <c r="A3656" s="502" t="s">
        <v>5039</v>
      </c>
      <c r="B3656" s="504" t="s">
        <v>28966</v>
      </c>
      <c r="C3656" s="502" t="s">
        <v>75</v>
      </c>
      <c r="D3656" s="503" t="s">
        <v>11434</v>
      </c>
      <c r="F3656" t="str">
        <f t="shared" si="115"/>
        <v>89865</v>
      </c>
      <c r="H3656" s="14">
        <f t="shared" si="116"/>
        <v>25.68</v>
      </c>
    </row>
    <row r="3657" spans="1:8" ht="41.4">
      <c r="A3657" s="502" t="s">
        <v>5041</v>
      </c>
      <c r="B3657" s="504" t="s">
        <v>24943</v>
      </c>
      <c r="C3657" s="502" t="s">
        <v>75</v>
      </c>
      <c r="D3657" s="503" t="s">
        <v>32818</v>
      </c>
      <c r="F3657" t="str">
        <f t="shared" si="115"/>
        <v>92275</v>
      </c>
      <c r="H3657" s="14">
        <f t="shared" si="116"/>
        <v>75.66</v>
      </c>
    </row>
    <row r="3658" spans="1:8" ht="41.4">
      <c r="A3658" s="502" t="s">
        <v>5043</v>
      </c>
      <c r="B3658" s="504" t="s">
        <v>24944</v>
      </c>
      <c r="C3658" s="502" t="s">
        <v>75</v>
      </c>
      <c r="D3658" s="503" t="s">
        <v>19896</v>
      </c>
      <c r="F3658" t="str">
        <f t="shared" si="115"/>
        <v>92276</v>
      </c>
      <c r="H3658" s="14">
        <f t="shared" si="116"/>
        <v>96.09</v>
      </c>
    </row>
    <row r="3659" spans="1:8" ht="41.4">
      <c r="A3659" s="502" t="s">
        <v>5044</v>
      </c>
      <c r="B3659" s="504" t="s">
        <v>24945</v>
      </c>
      <c r="C3659" s="502" t="s">
        <v>75</v>
      </c>
      <c r="D3659" s="503" t="s">
        <v>32819</v>
      </c>
      <c r="F3659" t="str">
        <f t="shared" si="115"/>
        <v>92277</v>
      </c>
      <c r="H3659" s="14">
        <f t="shared" si="116"/>
        <v>138.77000000000001</v>
      </c>
    </row>
    <row r="3660" spans="1:8" ht="41.4">
      <c r="A3660" s="502" t="s">
        <v>5045</v>
      </c>
      <c r="B3660" s="504" t="s">
        <v>24946</v>
      </c>
      <c r="C3660" s="502" t="s">
        <v>75</v>
      </c>
      <c r="D3660" s="503" t="s">
        <v>32820</v>
      </c>
      <c r="F3660" t="str">
        <f t="shared" si="115"/>
        <v>92278</v>
      </c>
      <c r="H3660" s="14">
        <f t="shared" si="116"/>
        <v>186.66</v>
      </c>
    </row>
    <row r="3661" spans="1:8" ht="41.4">
      <c r="A3661" s="502" t="s">
        <v>5046</v>
      </c>
      <c r="B3661" s="504" t="s">
        <v>24948</v>
      </c>
      <c r="C3661" s="502" t="s">
        <v>75</v>
      </c>
      <c r="D3661" s="503" t="s">
        <v>32821</v>
      </c>
      <c r="F3661" t="str">
        <f t="shared" si="115"/>
        <v>92279</v>
      </c>
      <c r="H3661" s="14">
        <f t="shared" si="116"/>
        <v>269.70999999999998</v>
      </c>
    </row>
    <row r="3662" spans="1:8" ht="41.4">
      <c r="A3662" s="502" t="s">
        <v>5047</v>
      </c>
      <c r="B3662" s="504" t="s">
        <v>24949</v>
      </c>
      <c r="C3662" s="502" t="s">
        <v>75</v>
      </c>
      <c r="D3662" s="503" t="s">
        <v>32822</v>
      </c>
      <c r="F3662" t="str">
        <f t="shared" si="115"/>
        <v>92280</v>
      </c>
      <c r="H3662" s="14">
        <f t="shared" si="116"/>
        <v>378.51</v>
      </c>
    </row>
    <row r="3663" spans="1:8" ht="41.4">
      <c r="A3663" s="502" t="s">
        <v>9576</v>
      </c>
      <c r="B3663" s="504" t="s">
        <v>24950</v>
      </c>
      <c r="C3663" s="502" t="s">
        <v>75</v>
      </c>
      <c r="D3663" s="503" t="s">
        <v>32823</v>
      </c>
      <c r="F3663" t="str">
        <f t="shared" si="115"/>
        <v>92281</v>
      </c>
      <c r="H3663" s="14">
        <f t="shared" si="116"/>
        <v>145.08000000000001</v>
      </c>
    </row>
    <row r="3664" spans="1:8" ht="41.4">
      <c r="A3664" s="502" t="s">
        <v>9577</v>
      </c>
      <c r="B3664" s="504" t="s">
        <v>24951</v>
      </c>
      <c r="C3664" s="502" t="s">
        <v>75</v>
      </c>
      <c r="D3664" s="503" t="s">
        <v>32824</v>
      </c>
      <c r="F3664" t="str">
        <f t="shared" si="115"/>
        <v>92282</v>
      </c>
      <c r="H3664" s="14">
        <f t="shared" si="116"/>
        <v>168.29</v>
      </c>
    </row>
    <row r="3665" spans="1:8" ht="41.4">
      <c r="A3665" s="502" t="s">
        <v>9578</v>
      </c>
      <c r="B3665" s="504" t="s">
        <v>24952</v>
      </c>
      <c r="C3665" s="502" t="s">
        <v>75</v>
      </c>
      <c r="D3665" s="503" t="s">
        <v>32825</v>
      </c>
      <c r="F3665" t="str">
        <f t="shared" si="115"/>
        <v>92283</v>
      </c>
      <c r="H3665" s="14">
        <f t="shared" si="116"/>
        <v>229.87</v>
      </c>
    </row>
    <row r="3666" spans="1:8" ht="41.4">
      <c r="A3666" s="502" t="s">
        <v>9579</v>
      </c>
      <c r="B3666" s="504" t="s">
        <v>24953</v>
      </c>
      <c r="C3666" s="502" t="s">
        <v>75</v>
      </c>
      <c r="D3666" s="503" t="s">
        <v>32826</v>
      </c>
      <c r="F3666" t="str">
        <f t="shared" si="115"/>
        <v>92284</v>
      </c>
      <c r="H3666" s="14">
        <f t="shared" si="116"/>
        <v>290.41000000000003</v>
      </c>
    </row>
    <row r="3667" spans="1:8" ht="41.4">
      <c r="A3667" s="502" t="s">
        <v>9580</v>
      </c>
      <c r="B3667" s="504" t="s">
        <v>24954</v>
      </c>
      <c r="C3667" s="502" t="s">
        <v>75</v>
      </c>
      <c r="D3667" s="503" t="s">
        <v>32827</v>
      </c>
      <c r="F3667" t="str">
        <f t="shared" si="115"/>
        <v>92285</v>
      </c>
      <c r="H3667" s="14">
        <f t="shared" si="116"/>
        <v>393.61</v>
      </c>
    </row>
    <row r="3668" spans="1:8" ht="41.4">
      <c r="A3668" s="502" t="s">
        <v>9581</v>
      </c>
      <c r="B3668" s="504" t="s">
        <v>24955</v>
      </c>
      <c r="C3668" s="502" t="s">
        <v>75</v>
      </c>
      <c r="D3668" s="503" t="s">
        <v>32828</v>
      </c>
      <c r="F3668" t="str">
        <f t="shared" si="115"/>
        <v>92286</v>
      </c>
      <c r="H3668" s="14">
        <f t="shared" si="116"/>
        <v>504.11</v>
      </c>
    </row>
    <row r="3669" spans="1:8" ht="55.2">
      <c r="A3669" s="502" t="s">
        <v>5048</v>
      </c>
      <c r="B3669" s="504" t="s">
        <v>24956</v>
      </c>
      <c r="C3669" s="502" t="s">
        <v>75</v>
      </c>
      <c r="D3669" s="503" t="s">
        <v>29207</v>
      </c>
      <c r="F3669" t="str">
        <f t="shared" si="115"/>
        <v>92305</v>
      </c>
      <c r="H3669" s="14">
        <f t="shared" si="116"/>
        <v>52.03</v>
      </c>
    </row>
    <row r="3670" spans="1:8" ht="55.2">
      <c r="A3670" s="502" t="s">
        <v>5049</v>
      </c>
      <c r="B3670" s="504" t="s">
        <v>24957</v>
      </c>
      <c r="C3670" s="502" t="s">
        <v>75</v>
      </c>
      <c r="D3670" s="503" t="s">
        <v>26931</v>
      </c>
      <c r="F3670" t="str">
        <f t="shared" si="115"/>
        <v>92306</v>
      </c>
      <c r="H3670" s="14">
        <f t="shared" si="116"/>
        <v>83.89</v>
      </c>
    </row>
    <row r="3671" spans="1:8" ht="55.2">
      <c r="A3671" s="502" t="s">
        <v>5050</v>
      </c>
      <c r="B3671" s="504" t="s">
        <v>24958</v>
      </c>
      <c r="C3671" s="502" t="s">
        <v>75</v>
      </c>
      <c r="D3671" s="503" t="s">
        <v>32829</v>
      </c>
      <c r="F3671" t="str">
        <f t="shared" si="115"/>
        <v>92307</v>
      </c>
      <c r="H3671" s="14">
        <f t="shared" si="116"/>
        <v>104.69</v>
      </c>
    </row>
    <row r="3672" spans="1:8" ht="55.2">
      <c r="A3672" s="502" t="s">
        <v>9582</v>
      </c>
      <c r="B3672" s="504" t="s">
        <v>24959</v>
      </c>
      <c r="C3672" s="502" t="s">
        <v>75</v>
      </c>
      <c r="D3672" s="503" t="s">
        <v>32830</v>
      </c>
      <c r="F3672" t="str">
        <f t="shared" si="115"/>
        <v>92308</v>
      </c>
      <c r="H3672" s="14">
        <f t="shared" si="116"/>
        <v>71.400000000000006</v>
      </c>
    </row>
    <row r="3673" spans="1:8" ht="55.2">
      <c r="A3673" s="502" t="s">
        <v>9583</v>
      </c>
      <c r="B3673" s="504" t="s">
        <v>24960</v>
      </c>
      <c r="C3673" s="502" t="s">
        <v>75</v>
      </c>
      <c r="D3673" s="503" t="s">
        <v>32831</v>
      </c>
      <c r="F3673" t="str">
        <f t="shared" si="115"/>
        <v>92309</v>
      </c>
      <c r="H3673" s="14">
        <f t="shared" si="116"/>
        <v>157.43</v>
      </c>
    </row>
    <row r="3674" spans="1:8" ht="55.2">
      <c r="A3674" s="502" t="s">
        <v>9584</v>
      </c>
      <c r="B3674" s="504" t="s">
        <v>24961</v>
      </c>
      <c r="C3674" s="502" t="s">
        <v>75</v>
      </c>
      <c r="D3674" s="503" t="s">
        <v>32832</v>
      </c>
      <c r="F3674" t="str">
        <f t="shared" si="115"/>
        <v>92310</v>
      </c>
      <c r="H3674" s="14">
        <f t="shared" si="116"/>
        <v>181.03</v>
      </c>
    </row>
    <row r="3675" spans="1:8" ht="55.2">
      <c r="A3675" s="502" t="s">
        <v>5051</v>
      </c>
      <c r="B3675" s="504" t="s">
        <v>24962</v>
      </c>
      <c r="C3675" s="502" t="s">
        <v>75</v>
      </c>
      <c r="D3675" s="503" t="s">
        <v>32833</v>
      </c>
      <c r="F3675" t="str">
        <f t="shared" si="115"/>
        <v>92320</v>
      </c>
      <c r="H3675" s="14">
        <f t="shared" si="116"/>
        <v>68.97</v>
      </c>
    </row>
    <row r="3676" spans="1:8" ht="55.2">
      <c r="A3676" s="502" t="s">
        <v>5052</v>
      </c>
      <c r="B3676" s="504" t="s">
        <v>24963</v>
      </c>
      <c r="C3676" s="502" t="s">
        <v>75</v>
      </c>
      <c r="D3676" s="503" t="s">
        <v>24280</v>
      </c>
      <c r="F3676" t="str">
        <f t="shared" si="115"/>
        <v>92321</v>
      </c>
      <c r="H3676" s="14">
        <f t="shared" si="116"/>
        <v>113.08</v>
      </c>
    </row>
    <row r="3677" spans="1:8" ht="55.2">
      <c r="A3677" s="502" t="s">
        <v>5053</v>
      </c>
      <c r="B3677" s="504" t="s">
        <v>24964</v>
      </c>
      <c r="C3677" s="502" t="s">
        <v>75</v>
      </c>
      <c r="D3677" s="503" t="s">
        <v>32834</v>
      </c>
      <c r="F3677" t="str">
        <f t="shared" si="115"/>
        <v>92322</v>
      </c>
      <c r="H3677" s="14">
        <f t="shared" si="116"/>
        <v>144.35</v>
      </c>
    </row>
    <row r="3678" spans="1:8" ht="55.2">
      <c r="A3678" s="502" t="s">
        <v>9585</v>
      </c>
      <c r="B3678" s="504" t="s">
        <v>24965</v>
      </c>
      <c r="C3678" s="502" t="s">
        <v>75</v>
      </c>
      <c r="D3678" s="503" t="s">
        <v>27806</v>
      </c>
      <c r="F3678" t="str">
        <f t="shared" si="115"/>
        <v>92323</v>
      </c>
      <c r="H3678" s="14">
        <f t="shared" si="116"/>
        <v>84.25</v>
      </c>
    </row>
    <row r="3679" spans="1:8" ht="55.2">
      <c r="A3679" s="502" t="s">
        <v>9586</v>
      </c>
      <c r="B3679" s="504" t="s">
        <v>24966</v>
      </c>
      <c r="C3679" s="502" t="s">
        <v>75</v>
      </c>
      <c r="D3679" s="503" t="s">
        <v>32835</v>
      </c>
      <c r="F3679" t="str">
        <f t="shared" si="115"/>
        <v>92324</v>
      </c>
      <c r="H3679" s="14">
        <f t="shared" si="116"/>
        <v>182.54</v>
      </c>
    </row>
    <row r="3680" spans="1:8" ht="55.2">
      <c r="A3680" s="502" t="s">
        <v>9587</v>
      </c>
      <c r="B3680" s="504" t="s">
        <v>24967</v>
      </c>
      <c r="C3680" s="502" t="s">
        <v>75</v>
      </c>
      <c r="D3680" s="503" t="s">
        <v>28524</v>
      </c>
      <c r="F3680" t="str">
        <f t="shared" si="115"/>
        <v>92325</v>
      </c>
      <c r="H3680" s="14">
        <f t="shared" si="116"/>
        <v>216.61</v>
      </c>
    </row>
    <row r="3681" spans="1:8" ht="41.4">
      <c r="A3681" s="502" t="s">
        <v>5054</v>
      </c>
      <c r="B3681" s="504" t="s">
        <v>13035</v>
      </c>
      <c r="C3681" s="502" t="s">
        <v>75</v>
      </c>
      <c r="D3681" s="503" t="s">
        <v>32836</v>
      </c>
      <c r="F3681" t="str">
        <f t="shared" si="115"/>
        <v>92335</v>
      </c>
      <c r="H3681" s="14">
        <f t="shared" si="116"/>
        <v>180.35</v>
      </c>
    </row>
    <row r="3682" spans="1:8" ht="41.4">
      <c r="A3682" s="502" t="s">
        <v>5055</v>
      </c>
      <c r="B3682" s="504" t="s">
        <v>13036</v>
      </c>
      <c r="C3682" s="502" t="s">
        <v>75</v>
      </c>
      <c r="D3682" s="503" t="s">
        <v>32837</v>
      </c>
      <c r="F3682" t="str">
        <f t="shared" si="115"/>
        <v>92336</v>
      </c>
      <c r="H3682" s="14">
        <f t="shared" si="116"/>
        <v>222.1</v>
      </c>
    </row>
    <row r="3683" spans="1:8" ht="41.4">
      <c r="A3683" s="502" t="s">
        <v>5056</v>
      </c>
      <c r="B3683" s="504" t="s">
        <v>13037</v>
      </c>
      <c r="C3683" s="502" t="s">
        <v>75</v>
      </c>
      <c r="D3683" s="503" t="s">
        <v>32838</v>
      </c>
      <c r="F3683" t="str">
        <f t="shared" si="115"/>
        <v>92337</v>
      </c>
      <c r="H3683" s="14">
        <f t="shared" si="116"/>
        <v>294.10000000000002</v>
      </c>
    </row>
    <row r="3684" spans="1:8" ht="41.4">
      <c r="A3684" s="502" t="s">
        <v>5057</v>
      </c>
      <c r="B3684" s="504" t="s">
        <v>13038</v>
      </c>
      <c r="C3684" s="502" t="s">
        <v>75</v>
      </c>
      <c r="D3684" s="503" t="s">
        <v>31945</v>
      </c>
      <c r="F3684" t="str">
        <f t="shared" si="115"/>
        <v>92338</v>
      </c>
      <c r="H3684" s="14">
        <f t="shared" si="116"/>
        <v>213.83</v>
      </c>
    </row>
    <row r="3685" spans="1:8" ht="41.4">
      <c r="A3685" s="502" t="s">
        <v>5058</v>
      </c>
      <c r="B3685" s="504" t="s">
        <v>13039</v>
      </c>
      <c r="C3685" s="502" t="s">
        <v>75</v>
      </c>
      <c r="D3685" s="503" t="s">
        <v>32839</v>
      </c>
      <c r="F3685" t="str">
        <f t="shared" si="115"/>
        <v>92339</v>
      </c>
      <c r="H3685" s="14">
        <f t="shared" si="116"/>
        <v>323.45999999999998</v>
      </c>
    </row>
    <row r="3686" spans="1:8" ht="41.4">
      <c r="A3686" s="502" t="s">
        <v>5059</v>
      </c>
      <c r="B3686" s="504" t="s">
        <v>13040</v>
      </c>
      <c r="C3686" s="502" t="s">
        <v>75</v>
      </c>
      <c r="D3686" s="503" t="s">
        <v>32840</v>
      </c>
      <c r="F3686" t="str">
        <f t="shared" si="115"/>
        <v>92341</v>
      </c>
      <c r="H3686" s="14">
        <f t="shared" si="116"/>
        <v>195.89</v>
      </c>
    </row>
    <row r="3687" spans="1:8" ht="41.4">
      <c r="A3687" s="502" t="s">
        <v>5060</v>
      </c>
      <c r="B3687" s="504" t="s">
        <v>13041</v>
      </c>
      <c r="C3687" s="502" t="s">
        <v>75</v>
      </c>
      <c r="D3687" s="503" t="s">
        <v>32841</v>
      </c>
      <c r="F3687" t="str">
        <f t="shared" si="115"/>
        <v>92342</v>
      </c>
      <c r="H3687" s="14">
        <f t="shared" si="116"/>
        <v>237.74</v>
      </c>
    </row>
    <row r="3688" spans="1:8" ht="41.4">
      <c r="A3688" s="502" t="s">
        <v>5061</v>
      </c>
      <c r="B3688" s="504" t="s">
        <v>13042</v>
      </c>
      <c r="C3688" s="502" t="s">
        <v>75</v>
      </c>
      <c r="D3688" s="503" t="s">
        <v>32842</v>
      </c>
      <c r="F3688" t="str">
        <f t="shared" si="115"/>
        <v>92343</v>
      </c>
      <c r="H3688" s="14">
        <f t="shared" si="116"/>
        <v>309.87</v>
      </c>
    </row>
    <row r="3689" spans="1:8" ht="41.4">
      <c r="A3689" s="502" t="s">
        <v>13043</v>
      </c>
      <c r="B3689" s="504" t="s">
        <v>13044</v>
      </c>
      <c r="C3689" s="502" t="s">
        <v>75</v>
      </c>
      <c r="D3689" s="503" t="s">
        <v>32843</v>
      </c>
      <c r="F3689" t="str">
        <f t="shared" si="115"/>
        <v>92359</v>
      </c>
      <c r="H3689" s="14">
        <f t="shared" si="116"/>
        <v>100.18</v>
      </c>
    </row>
    <row r="3690" spans="1:8" ht="41.4">
      <c r="A3690" s="502" t="s">
        <v>13045</v>
      </c>
      <c r="B3690" s="504" t="s">
        <v>13046</v>
      </c>
      <c r="C3690" s="502" t="s">
        <v>75</v>
      </c>
      <c r="D3690" s="503" t="s">
        <v>32844</v>
      </c>
      <c r="F3690" t="str">
        <f t="shared" si="115"/>
        <v>92360</v>
      </c>
      <c r="H3690" s="14">
        <f t="shared" si="116"/>
        <v>133.88999999999999</v>
      </c>
    </row>
    <row r="3691" spans="1:8" ht="41.4">
      <c r="A3691" s="502" t="s">
        <v>5062</v>
      </c>
      <c r="B3691" s="504" t="s">
        <v>13047</v>
      </c>
      <c r="C3691" s="502" t="s">
        <v>75</v>
      </c>
      <c r="D3691" s="503" t="s">
        <v>32845</v>
      </c>
      <c r="F3691" t="str">
        <f t="shared" si="115"/>
        <v>92361</v>
      </c>
      <c r="H3691" s="14">
        <f t="shared" si="116"/>
        <v>180.78</v>
      </c>
    </row>
    <row r="3692" spans="1:8" ht="41.4">
      <c r="A3692" s="502" t="s">
        <v>5063</v>
      </c>
      <c r="B3692" s="504" t="s">
        <v>13048</v>
      </c>
      <c r="C3692" s="502" t="s">
        <v>75</v>
      </c>
      <c r="D3692" s="503" t="s">
        <v>32846</v>
      </c>
      <c r="F3692" t="str">
        <f t="shared" si="115"/>
        <v>92362</v>
      </c>
      <c r="H3692" s="14">
        <f t="shared" si="116"/>
        <v>289.10000000000002</v>
      </c>
    </row>
    <row r="3693" spans="1:8" ht="55.2">
      <c r="A3693" s="502" t="s">
        <v>5064</v>
      </c>
      <c r="B3693" s="504" t="s">
        <v>13049</v>
      </c>
      <c r="C3693" s="502" t="s">
        <v>75</v>
      </c>
      <c r="D3693" s="503" t="s">
        <v>32847</v>
      </c>
      <c r="F3693" t="str">
        <f t="shared" si="115"/>
        <v>92364</v>
      </c>
      <c r="H3693" s="14">
        <f t="shared" si="116"/>
        <v>109.07</v>
      </c>
    </row>
    <row r="3694" spans="1:8" ht="55.2">
      <c r="A3694" s="502" t="s">
        <v>5065</v>
      </c>
      <c r="B3694" s="504" t="s">
        <v>13050</v>
      </c>
      <c r="C3694" s="502" t="s">
        <v>75</v>
      </c>
      <c r="D3694" s="503" t="s">
        <v>32392</v>
      </c>
      <c r="F3694" t="str">
        <f t="shared" si="115"/>
        <v>92365</v>
      </c>
      <c r="H3694" s="14">
        <f t="shared" si="116"/>
        <v>125.79</v>
      </c>
    </row>
    <row r="3695" spans="1:8" ht="55.2">
      <c r="A3695" s="502" t="s">
        <v>5066</v>
      </c>
      <c r="B3695" s="504" t="s">
        <v>13051</v>
      </c>
      <c r="C3695" s="502" t="s">
        <v>75</v>
      </c>
      <c r="D3695" s="503" t="s">
        <v>32848</v>
      </c>
      <c r="F3695" t="str">
        <f t="shared" si="115"/>
        <v>92366</v>
      </c>
      <c r="H3695" s="14">
        <f t="shared" si="116"/>
        <v>176.66</v>
      </c>
    </row>
    <row r="3696" spans="1:8" ht="55.2">
      <c r="A3696" s="502" t="s">
        <v>5067</v>
      </c>
      <c r="B3696" s="504" t="s">
        <v>13052</v>
      </c>
      <c r="C3696" s="502" t="s">
        <v>75</v>
      </c>
      <c r="D3696" s="503" t="s">
        <v>32849</v>
      </c>
      <c r="F3696" t="str">
        <f t="shared" si="115"/>
        <v>92367</v>
      </c>
      <c r="H3696" s="14">
        <f t="shared" si="116"/>
        <v>217.64</v>
      </c>
    </row>
    <row r="3697" spans="1:8" ht="55.2">
      <c r="A3697" s="502" t="s">
        <v>5068</v>
      </c>
      <c r="B3697" s="504" t="s">
        <v>13053</v>
      </c>
      <c r="C3697" s="502" t="s">
        <v>75</v>
      </c>
      <c r="D3697" s="503" t="s">
        <v>32850</v>
      </c>
      <c r="F3697" t="str">
        <f t="shared" si="115"/>
        <v>92368</v>
      </c>
      <c r="H3697" s="14">
        <f t="shared" si="116"/>
        <v>288.98</v>
      </c>
    </row>
    <row r="3698" spans="1:8" ht="41.4">
      <c r="A3698" s="502" t="s">
        <v>13054</v>
      </c>
      <c r="B3698" s="504" t="s">
        <v>13055</v>
      </c>
      <c r="C3698" s="502" t="s">
        <v>75</v>
      </c>
      <c r="D3698" s="503" t="s">
        <v>32851</v>
      </c>
      <c r="F3698" t="str">
        <f t="shared" si="115"/>
        <v>92645</v>
      </c>
      <c r="H3698" s="14">
        <f t="shared" si="116"/>
        <v>106.13</v>
      </c>
    </row>
    <row r="3699" spans="1:8" ht="41.4">
      <c r="A3699" s="502" t="s">
        <v>13056</v>
      </c>
      <c r="B3699" s="504" t="s">
        <v>13057</v>
      </c>
      <c r="C3699" s="502" t="s">
        <v>75</v>
      </c>
      <c r="D3699" s="503" t="s">
        <v>31334</v>
      </c>
      <c r="F3699" t="str">
        <f t="shared" si="115"/>
        <v>92646</v>
      </c>
      <c r="H3699" s="14">
        <f t="shared" si="116"/>
        <v>139.83000000000001</v>
      </c>
    </row>
    <row r="3700" spans="1:8" ht="41.4">
      <c r="A3700" s="502" t="s">
        <v>5069</v>
      </c>
      <c r="B3700" s="504" t="s">
        <v>13058</v>
      </c>
      <c r="C3700" s="502" t="s">
        <v>75</v>
      </c>
      <c r="D3700" s="503" t="s">
        <v>32852</v>
      </c>
      <c r="F3700" t="str">
        <f t="shared" si="115"/>
        <v>92648</v>
      </c>
      <c r="H3700" s="14">
        <f t="shared" si="116"/>
        <v>153.08000000000001</v>
      </c>
    </row>
    <row r="3701" spans="1:8" ht="41.4">
      <c r="A3701" s="502" t="s">
        <v>5070</v>
      </c>
      <c r="B3701" s="504" t="s">
        <v>13059</v>
      </c>
      <c r="C3701" s="502" t="s">
        <v>75</v>
      </c>
      <c r="D3701" s="503" t="s">
        <v>32853</v>
      </c>
      <c r="F3701" t="str">
        <f t="shared" si="115"/>
        <v>92649</v>
      </c>
      <c r="H3701" s="14">
        <f t="shared" si="116"/>
        <v>186.72</v>
      </c>
    </row>
    <row r="3702" spans="1:8" ht="41.4">
      <c r="A3702" s="502" t="s">
        <v>5071</v>
      </c>
      <c r="B3702" s="504" t="s">
        <v>13060</v>
      </c>
      <c r="C3702" s="502" t="s">
        <v>75</v>
      </c>
      <c r="D3702" s="503" t="s">
        <v>32854</v>
      </c>
      <c r="F3702" t="str">
        <f t="shared" si="115"/>
        <v>92650</v>
      </c>
      <c r="H3702" s="14">
        <f t="shared" si="116"/>
        <v>295.04000000000002</v>
      </c>
    </row>
    <row r="3703" spans="1:8" ht="55.2">
      <c r="A3703" s="502" t="s">
        <v>5072</v>
      </c>
      <c r="B3703" s="504" t="s">
        <v>13061</v>
      </c>
      <c r="C3703" s="502" t="s">
        <v>75</v>
      </c>
      <c r="D3703" s="503" t="s">
        <v>32855</v>
      </c>
      <c r="F3703" t="str">
        <f t="shared" si="115"/>
        <v>92652</v>
      </c>
      <c r="H3703" s="14">
        <f t="shared" si="116"/>
        <v>116.15</v>
      </c>
    </row>
    <row r="3704" spans="1:8" ht="55.2">
      <c r="A3704" s="502" t="s">
        <v>5073</v>
      </c>
      <c r="B3704" s="504" t="s">
        <v>13062</v>
      </c>
      <c r="C3704" s="502" t="s">
        <v>75</v>
      </c>
      <c r="D3704" s="503" t="s">
        <v>32856</v>
      </c>
      <c r="F3704" t="str">
        <f t="shared" si="115"/>
        <v>92653</v>
      </c>
      <c r="H3704" s="14">
        <f t="shared" si="116"/>
        <v>132.94</v>
      </c>
    </row>
    <row r="3705" spans="1:8" ht="55.2">
      <c r="A3705" s="502" t="s">
        <v>5074</v>
      </c>
      <c r="B3705" s="504" t="s">
        <v>13063</v>
      </c>
      <c r="C3705" s="502" t="s">
        <v>75</v>
      </c>
      <c r="D3705" s="503" t="s">
        <v>32857</v>
      </c>
      <c r="F3705" t="str">
        <f t="shared" si="115"/>
        <v>92654</v>
      </c>
      <c r="H3705" s="14">
        <f t="shared" si="116"/>
        <v>183.82</v>
      </c>
    </row>
    <row r="3706" spans="1:8" ht="55.2">
      <c r="A3706" s="502" t="s">
        <v>5075</v>
      </c>
      <c r="B3706" s="504" t="s">
        <v>13064</v>
      </c>
      <c r="C3706" s="502" t="s">
        <v>75</v>
      </c>
      <c r="D3706" s="503" t="s">
        <v>32858</v>
      </c>
      <c r="F3706" t="str">
        <f t="shared" si="115"/>
        <v>92655</v>
      </c>
      <c r="H3706" s="14">
        <f t="shared" si="116"/>
        <v>224.95</v>
      </c>
    </row>
    <row r="3707" spans="1:8" ht="55.2">
      <c r="A3707" s="502" t="s">
        <v>5076</v>
      </c>
      <c r="B3707" s="504" t="s">
        <v>13065</v>
      </c>
      <c r="C3707" s="502" t="s">
        <v>75</v>
      </c>
      <c r="D3707" s="503" t="s">
        <v>32859</v>
      </c>
      <c r="F3707" t="str">
        <f t="shared" si="115"/>
        <v>92656</v>
      </c>
      <c r="H3707" s="14">
        <f t="shared" si="116"/>
        <v>296.27999999999997</v>
      </c>
    </row>
    <row r="3708" spans="1:8" ht="55.2">
      <c r="A3708" s="502" t="s">
        <v>5077</v>
      </c>
      <c r="B3708" s="504" t="s">
        <v>13066</v>
      </c>
      <c r="C3708" s="502" t="s">
        <v>75</v>
      </c>
      <c r="D3708" s="503" t="s">
        <v>32860</v>
      </c>
      <c r="F3708" t="str">
        <f t="shared" si="115"/>
        <v>92687</v>
      </c>
      <c r="H3708" s="14">
        <f t="shared" si="116"/>
        <v>53.23</v>
      </c>
    </row>
    <row r="3709" spans="1:8" ht="55.2">
      <c r="A3709" s="502" t="s">
        <v>5078</v>
      </c>
      <c r="B3709" s="504" t="s">
        <v>13067</v>
      </c>
      <c r="C3709" s="502" t="s">
        <v>75</v>
      </c>
      <c r="D3709" s="503" t="s">
        <v>29553</v>
      </c>
      <c r="F3709" t="str">
        <f t="shared" si="115"/>
        <v>92688</v>
      </c>
      <c r="H3709" s="14">
        <f t="shared" si="116"/>
        <v>73.03</v>
      </c>
    </row>
    <row r="3710" spans="1:8" ht="55.2">
      <c r="A3710" s="502" t="s">
        <v>5079</v>
      </c>
      <c r="B3710" s="504" t="s">
        <v>13068</v>
      </c>
      <c r="C3710" s="502" t="s">
        <v>75</v>
      </c>
      <c r="D3710" s="503" t="s">
        <v>32861</v>
      </c>
      <c r="F3710" t="str">
        <f t="shared" si="115"/>
        <v>92689</v>
      </c>
      <c r="H3710" s="14">
        <f t="shared" si="116"/>
        <v>74.91</v>
      </c>
    </row>
    <row r="3711" spans="1:8" ht="55.2">
      <c r="A3711" s="502" t="s">
        <v>5080</v>
      </c>
      <c r="B3711" s="504" t="s">
        <v>13069</v>
      </c>
      <c r="C3711" s="502" t="s">
        <v>75</v>
      </c>
      <c r="D3711" s="503" t="s">
        <v>32862</v>
      </c>
      <c r="F3711" t="str">
        <f t="shared" si="115"/>
        <v>92690</v>
      </c>
      <c r="H3711" s="14">
        <f t="shared" si="116"/>
        <v>107.01</v>
      </c>
    </row>
    <row r="3712" spans="1:8" ht="55.2">
      <c r="A3712" s="502" t="s">
        <v>13070</v>
      </c>
      <c r="B3712" s="504" t="s">
        <v>13071</v>
      </c>
      <c r="C3712" s="502" t="s">
        <v>75</v>
      </c>
      <c r="D3712" s="503" t="s">
        <v>32863</v>
      </c>
      <c r="F3712" t="str">
        <f t="shared" si="115"/>
        <v>92691</v>
      </c>
      <c r="H3712" s="14">
        <f t="shared" si="116"/>
        <v>139.65</v>
      </c>
    </row>
    <row r="3713" spans="1:8" ht="55.2">
      <c r="A3713" s="502" t="s">
        <v>5081</v>
      </c>
      <c r="B3713" s="504" t="s">
        <v>28972</v>
      </c>
      <c r="C3713" s="502" t="s">
        <v>75</v>
      </c>
      <c r="D3713" s="503" t="s">
        <v>32864</v>
      </c>
      <c r="F3713" t="str">
        <f t="shared" si="115"/>
        <v>94462</v>
      </c>
      <c r="H3713" s="14">
        <f t="shared" si="116"/>
        <v>188.6</v>
      </c>
    </row>
    <row r="3714" spans="1:8" ht="55.2">
      <c r="A3714" s="502" t="s">
        <v>5082</v>
      </c>
      <c r="B3714" s="504" t="s">
        <v>28973</v>
      </c>
      <c r="C3714" s="502" t="s">
        <v>75</v>
      </c>
      <c r="D3714" s="503" t="s">
        <v>26210</v>
      </c>
      <c r="F3714" t="str">
        <f t="shared" si="115"/>
        <v>94463</v>
      </c>
      <c r="H3714" s="14">
        <f t="shared" si="116"/>
        <v>232.07</v>
      </c>
    </row>
    <row r="3715" spans="1:8" ht="55.2">
      <c r="A3715" s="502" t="s">
        <v>5083</v>
      </c>
      <c r="B3715" s="504" t="s">
        <v>28974</v>
      </c>
      <c r="C3715" s="502" t="s">
        <v>75</v>
      </c>
      <c r="D3715" s="503" t="s">
        <v>32865</v>
      </c>
      <c r="F3715" t="str">
        <f t="shared" si="115"/>
        <v>94464</v>
      </c>
      <c r="H3715" s="14">
        <f t="shared" si="116"/>
        <v>306.94</v>
      </c>
    </row>
    <row r="3716" spans="1:8" ht="41.4">
      <c r="A3716" s="502" t="s">
        <v>5084</v>
      </c>
      <c r="B3716" s="504" t="s">
        <v>28975</v>
      </c>
      <c r="C3716" s="502" t="s">
        <v>75</v>
      </c>
      <c r="D3716" s="503" t="s">
        <v>32866</v>
      </c>
      <c r="F3716" t="str">
        <f t="shared" si="115"/>
        <v>94602</v>
      </c>
      <c r="H3716" s="14">
        <f t="shared" si="116"/>
        <v>297.76</v>
      </c>
    </row>
    <row r="3717" spans="1:8" ht="41.4">
      <c r="A3717" s="502" t="s">
        <v>5085</v>
      </c>
      <c r="B3717" s="504" t="s">
        <v>28976</v>
      </c>
      <c r="C3717" s="502" t="s">
        <v>75</v>
      </c>
      <c r="D3717" s="503" t="s">
        <v>32867</v>
      </c>
      <c r="F3717" t="str">
        <f t="shared" ref="F3717:F3780" si="117">TRIM(A3717)</f>
        <v>94603</v>
      </c>
      <c r="H3717" s="14">
        <f t="shared" ref="H3717:H3780" si="118">ROUND(D3717*(1+$H$1),2)</f>
        <v>406.25</v>
      </c>
    </row>
    <row r="3718" spans="1:8" ht="41.4">
      <c r="A3718" s="502" t="s">
        <v>5086</v>
      </c>
      <c r="B3718" s="504" t="s">
        <v>28977</v>
      </c>
      <c r="C3718" s="502" t="s">
        <v>75</v>
      </c>
      <c r="D3718" s="503" t="s">
        <v>32868</v>
      </c>
      <c r="F3718" t="str">
        <f t="shared" si="117"/>
        <v>94604</v>
      </c>
      <c r="H3718" s="14">
        <f t="shared" si="118"/>
        <v>578.13</v>
      </c>
    </row>
    <row r="3719" spans="1:8" ht="41.4">
      <c r="A3719" s="502" t="s">
        <v>5087</v>
      </c>
      <c r="B3719" s="504" t="s">
        <v>28978</v>
      </c>
      <c r="C3719" s="502" t="s">
        <v>75</v>
      </c>
      <c r="D3719" s="503" t="s">
        <v>32869</v>
      </c>
      <c r="F3719" t="str">
        <f t="shared" si="117"/>
        <v>94605</v>
      </c>
      <c r="H3719" s="14">
        <f t="shared" si="118"/>
        <v>837.04</v>
      </c>
    </row>
    <row r="3720" spans="1:8" ht="41.4">
      <c r="A3720" s="502" t="s">
        <v>5088</v>
      </c>
      <c r="B3720" s="504" t="s">
        <v>28979</v>
      </c>
      <c r="C3720" s="502" t="s">
        <v>75</v>
      </c>
      <c r="D3720" s="503" t="s">
        <v>9500</v>
      </c>
      <c r="F3720" t="str">
        <f t="shared" si="117"/>
        <v>94648</v>
      </c>
      <c r="H3720" s="14">
        <f t="shared" si="118"/>
        <v>10.35</v>
      </c>
    </row>
    <row r="3721" spans="1:8" ht="41.4">
      <c r="A3721" s="502" t="s">
        <v>5090</v>
      </c>
      <c r="B3721" s="504" t="s">
        <v>28980</v>
      </c>
      <c r="C3721" s="502" t="s">
        <v>75</v>
      </c>
      <c r="D3721" s="503" t="s">
        <v>24305</v>
      </c>
      <c r="F3721" t="str">
        <f t="shared" si="117"/>
        <v>94649</v>
      </c>
      <c r="H3721" s="14">
        <f t="shared" si="118"/>
        <v>19.48</v>
      </c>
    </row>
    <row r="3722" spans="1:8" ht="41.4">
      <c r="A3722" s="502" t="s">
        <v>5091</v>
      </c>
      <c r="B3722" s="504" t="s">
        <v>28981</v>
      </c>
      <c r="C3722" s="502" t="s">
        <v>75</v>
      </c>
      <c r="D3722" s="503" t="s">
        <v>6589</v>
      </c>
      <c r="F3722" t="str">
        <f t="shared" si="117"/>
        <v>94650</v>
      </c>
      <c r="H3722" s="14">
        <f t="shared" si="118"/>
        <v>29.55</v>
      </c>
    </row>
    <row r="3723" spans="1:8" ht="41.4">
      <c r="A3723" s="502" t="s">
        <v>5092</v>
      </c>
      <c r="B3723" s="504" t="s">
        <v>28982</v>
      </c>
      <c r="C3723" s="502" t="s">
        <v>75</v>
      </c>
      <c r="D3723" s="503" t="s">
        <v>4088</v>
      </c>
      <c r="F3723" t="str">
        <f t="shared" si="117"/>
        <v>94651</v>
      </c>
      <c r="H3723" s="14">
        <f t="shared" si="118"/>
        <v>34.21</v>
      </c>
    </row>
    <row r="3724" spans="1:8" ht="41.4">
      <c r="A3724" s="502" t="s">
        <v>5093</v>
      </c>
      <c r="B3724" s="504" t="s">
        <v>28983</v>
      </c>
      <c r="C3724" s="502" t="s">
        <v>75</v>
      </c>
      <c r="D3724" s="503" t="s">
        <v>10640</v>
      </c>
      <c r="F3724" t="str">
        <f t="shared" si="117"/>
        <v>94652</v>
      </c>
      <c r="H3724" s="14">
        <f t="shared" si="118"/>
        <v>53.79</v>
      </c>
    </row>
    <row r="3725" spans="1:8" ht="41.4">
      <c r="A3725" s="502" t="s">
        <v>5094</v>
      </c>
      <c r="B3725" s="504" t="s">
        <v>28984</v>
      </c>
      <c r="C3725" s="502" t="s">
        <v>75</v>
      </c>
      <c r="D3725" s="503" t="s">
        <v>17499</v>
      </c>
      <c r="F3725" t="str">
        <f t="shared" si="117"/>
        <v>94653</v>
      </c>
      <c r="H3725" s="14">
        <f t="shared" si="118"/>
        <v>87.09</v>
      </c>
    </row>
    <row r="3726" spans="1:8" ht="41.4">
      <c r="A3726" s="502" t="s">
        <v>5095</v>
      </c>
      <c r="B3726" s="504" t="s">
        <v>28985</v>
      </c>
      <c r="C3726" s="502" t="s">
        <v>75</v>
      </c>
      <c r="D3726" s="503" t="s">
        <v>32870</v>
      </c>
      <c r="F3726" t="str">
        <f t="shared" si="117"/>
        <v>94654</v>
      </c>
      <c r="H3726" s="14">
        <f t="shared" si="118"/>
        <v>118.9</v>
      </c>
    </row>
    <row r="3727" spans="1:8" ht="41.4">
      <c r="A3727" s="502" t="s">
        <v>5096</v>
      </c>
      <c r="B3727" s="504" t="s">
        <v>28986</v>
      </c>
      <c r="C3727" s="502" t="s">
        <v>75</v>
      </c>
      <c r="D3727" s="503" t="s">
        <v>32871</v>
      </c>
      <c r="F3727" t="str">
        <f t="shared" si="117"/>
        <v>94655</v>
      </c>
      <c r="H3727" s="14">
        <f t="shared" si="118"/>
        <v>187.14</v>
      </c>
    </row>
    <row r="3728" spans="1:8" ht="41.4">
      <c r="A3728" s="502" t="s">
        <v>5097</v>
      </c>
      <c r="B3728" s="504" t="s">
        <v>28987</v>
      </c>
      <c r="C3728" s="502" t="s">
        <v>75</v>
      </c>
      <c r="D3728" s="503" t="s">
        <v>23694</v>
      </c>
      <c r="F3728" t="str">
        <f t="shared" si="117"/>
        <v>94716</v>
      </c>
      <c r="H3728" s="14">
        <f t="shared" si="118"/>
        <v>32.75</v>
      </c>
    </row>
    <row r="3729" spans="1:8" ht="41.4">
      <c r="A3729" s="502" t="s">
        <v>5098</v>
      </c>
      <c r="B3729" s="504" t="s">
        <v>28988</v>
      </c>
      <c r="C3729" s="502" t="s">
        <v>75</v>
      </c>
      <c r="D3729" s="503" t="s">
        <v>19429</v>
      </c>
      <c r="F3729" t="str">
        <f t="shared" si="117"/>
        <v>94717</v>
      </c>
      <c r="H3729" s="14">
        <f t="shared" si="118"/>
        <v>55.02</v>
      </c>
    </row>
    <row r="3730" spans="1:8" ht="41.4">
      <c r="A3730" s="502" t="s">
        <v>5099</v>
      </c>
      <c r="B3730" s="504" t="s">
        <v>28989</v>
      </c>
      <c r="C3730" s="502" t="s">
        <v>75</v>
      </c>
      <c r="D3730" s="503" t="s">
        <v>32872</v>
      </c>
      <c r="F3730" t="str">
        <f t="shared" si="117"/>
        <v>94718</v>
      </c>
      <c r="H3730" s="14">
        <f t="shared" si="118"/>
        <v>71.84</v>
      </c>
    </row>
    <row r="3731" spans="1:8" ht="41.4">
      <c r="A3731" s="502" t="s">
        <v>5100</v>
      </c>
      <c r="B3731" s="504" t="s">
        <v>28990</v>
      </c>
      <c r="C3731" s="502" t="s">
        <v>75</v>
      </c>
      <c r="D3731" s="503" t="s">
        <v>32873</v>
      </c>
      <c r="F3731" t="str">
        <f t="shared" si="117"/>
        <v>94719</v>
      </c>
      <c r="H3731" s="14">
        <f t="shared" si="118"/>
        <v>95.91</v>
      </c>
    </row>
    <row r="3732" spans="1:8" ht="41.4">
      <c r="A3732" s="502" t="s">
        <v>5101</v>
      </c>
      <c r="B3732" s="504" t="s">
        <v>28991</v>
      </c>
      <c r="C3732" s="502" t="s">
        <v>75</v>
      </c>
      <c r="D3732" s="503" t="s">
        <v>32874</v>
      </c>
      <c r="F3732" t="str">
        <f t="shared" si="117"/>
        <v>94720</v>
      </c>
      <c r="H3732" s="14">
        <f t="shared" si="118"/>
        <v>140.43</v>
      </c>
    </row>
    <row r="3733" spans="1:8" ht="41.4">
      <c r="A3733" s="502" t="s">
        <v>5102</v>
      </c>
      <c r="B3733" s="504" t="s">
        <v>28993</v>
      </c>
      <c r="C3733" s="502" t="s">
        <v>75</v>
      </c>
      <c r="D3733" s="503" t="s">
        <v>30804</v>
      </c>
      <c r="F3733" t="str">
        <f t="shared" si="117"/>
        <v>94721</v>
      </c>
      <c r="H3733" s="14">
        <f t="shared" si="118"/>
        <v>227.59</v>
      </c>
    </row>
    <row r="3734" spans="1:8" ht="41.4">
      <c r="A3734" s="502" t="s">
        <v>5103</v>
      </c>
      <c r="B3734" s="504" t="s">
        <v>28994</v>
      </c>
      <c r="C3734" s="502" t="s">
        <v>75</v>
      </c>
      <c r="D3734" s="503" t="s">
        <v>32875</v>
      </c>
      <c r="F3734" t="str">
        <f t="shared" si="117"/>
        <v>94722</v>
      </c>
      <c r="H3734" s="14">
        <f t="shared" si="118"/>
        <v>355.08</v>
      </c>
    </row>
    <row r="3735" spans="1:8" ht="41.4">
      <c r="A3735" s="502" t="s">
        <v>24969</v>
      </c>
      <c r="B3735" s="504" t="s">
        <v>28995</v>
      </c>
      <c r="C3735" s="502" t="s">
        <v>75</v>
      </c>
      <c r="D3735" s="503" t="s">
        <v>32876</v>
      </c>
      <c r="F3735" t="str">
        <f t="shared" si="117"/>
        <v>94723</v>
      </c>
      <c r="H3735" s="14">
        <f t="shared" si="118"/>
        <v>668.81</v>
      </c>
    </row>
    <row r="3736" spans="1:8" ht="41.4">
      <c r="A3736" s="502" t="s">
        <v>5104</v>
      </c>
      <c r="B3736" s="504" t="s">
        <v>13074</v>
      </c>
      <c r="C3736" s="502" t="s">
        <v>75</v>
      </c>
      <c r="D3736" s="503" t="s">
        <v>32877</v>
      </c>
      <c r="F3736" t="str">
        <f t="shared" si="117"/>
        <v>95697</v>
      </c>
      <c r="H3736" s="14">
        <f t="shared" si="118"/>
        <v>147.13</v>
      </c>
    </row>
    <row r="3737" spans="1:8" ht="41.4">
      <c r="A3737" s="502" t="s">
        <v>5105</v>
      </c>
      <c r="B3737" s="504" t="s">
        <v>24970</v>
      </c>
      <c r="C3737" s="502" t="s">
        <v>75</v>
      </c>
      <c r="D3737" s="503" t="s">
        <v>32878</v>
      </c>
      <c r="F3737" t="str">
        <f t="shared" si="117"/>
        <v>96635</v>
      </c>
      <c r="H3737" s="14">
        <f t="shared" si="118"/>
        <v>56.08</v>
      </c>
    </row>
    <row r="3738" spans="1:8" ht="41.4">
      <c r="A3738" s="502" t="s">
        <v>5107</v>
      </c>
      <c r="B3738" s="504" t="s">
        <v>24971</v>
      </c>
      <c r="C3738" s="502" t="s">
        <v>75</v>
      </c>
      <c r="D3738" s="503" t="s">
        <v>32879</v>
      </c>
      <c r="F3738" t="str">
        <f t="shared" si="117"/>
        <v>96636</v>
      </c>
      <c r="H3738" s="14">
        <f t="shared" si="118"/>
        <v>59.24</v>
      </c>
    </row>
    <row r="3739" spans="1:8" ht="41.4">
      <c r="A3739" s="502" t="s">
        <v>5108</v>
      </c>
      <c r="B3739" s="504" t="s">
        <v>24972</v>
      </c>
      <c r="C3739" s="502" t="s">
        <v>75</v>
      </c>
      <c r="D3739" s="503" t="s">
        <v>32880</v>
      </c>
      <c r="F3739" t="str">
        <f t="shared" si="117"/>
        <v>96644</v>
      </c>
      <c r="H3739" s="14">
        <f t="shared" si="118"/>
        <v>29.01</v>
      </c>
    </row>
    <row r="3740" spans="1:8" ht="41.4">
      <c r="A3740" s="502" t="s">
        <v>5109</v>
      </c>
      <c r="B3740" s="504" t="s">
        <v>24974</v>
      </c>
      <c r="C3740" s="502" t="s">
        <v>75</v>
      </c>
      <c r="D3740" s="503" t="s">
        <v>7957</v>
      </c>
      <c r="F3740" t="str">
        <f t="shared" si="117"/>
        <v>96645</v>
      </c>
      <c r="H3740" s="14">
        <f t="shared" si="118"/>
        <v>25.94</v>
      </c>
    </row>
    <row r="3741" spans="1:8" ht="41.4">
      <c r="A3741" s="502" t="s">
        <v>5110</v>
      </c>
      <c r="B3741" s="504" t="s">
        <v>24976</v>
      </c>
      <c r="C3741" s="502" t="s">
        <v>75</v>
      </c>
      <c r="D3741" s="503" t="s">
        <v>25251</v>
      </c>
      <c r="F3741" t="str">
        <f t="shared" si="117"/>
        <v>96646</v>
      </c>
      <c r="H3741" s="14">
        <f t="shared" si="118"/>
        <v>31.34</v>
      </c>
    </row>
    <row r="3742" spans="1:8" ht="41.4">
      <c r="A3742" s="502" t="s">
        <v>5111</v>
      </c>
      <c r="B3742" s="504" t="s">
        <v>24977</v>
      </c>
      <c r="C3742" s="502" t="s">
        <v>75</v>
      </c>
      <c r="D3742" s="503" t="s">
        <v>25236</v>
      </c>
      <c r="F3742" t="str">
        <f t="shared" si="117"/>
        <v>96647</v>
      </c>
      <c r="H3742" s="14">
        <f t="shared" si="118"/>
        <v>31.37</v>
      </c>
    </row>
    <row r="3743" spans="1:8" ht="41.4">
      <c r="A3743" s="502" t="s">
        <v>5112</v>
      </c>
      <c r="B3743" s="504" t="s">
        <v>24978</v>
      </c>
      <c r="C3743" s="502" t="s">
        <v>75</v>
      </c>
      <c r="D3743" s="503" t="s">
        <v>10026</v>
      </c>
      <c r="F3743" t="str">
        <f t="shared" si="117"/>
        <v>96648</v>
      </c>
      <c r="H3743" s="14">
        <f t="shared" si="118"/>
        <v>38.270000000000003</v>
      </c>
    </row>
    <row r="3744" spans="1:8" ht="41.4">
      <c r="A3744" s="502" t="s">
        <v>5114</v>
      </c>
      <c r="B3744" s="504" t="s">
        <v>24979</v>
      </c>
      <c r="C3744" s="502" t="s">
        <v>75</v>
      </c>
      <c r="D3744" s="503" t="s">
        <v>31239</v>
      </c>
      <c r="F3744" t="str">
        <f t="shared" si="117"/>
        <v>96649</v>
      </c>
      <c r="H3744" s="14">
        <f t="shared" si="118"/>
        <v>49.96</v>
      </c>
    </row>
    <row r="3745" spans="1:8" ht="41.4">
      <c r="A3745" s="502" t="s">
        <v>5115</v>
      </c>
      <c r="B3745" s="504" t="s">
        <v>24980</v>
      </c>
      <c r="C3745" s="502" t="s">
        <v>75</v>
      </c>
      <c r="D3745" s="503" t="s">
        <v>9550</v>
      </c>
      <c r="F3745" t="str">
        <f t="shared" si="117"/>
        <v>96668</v>
      </c>
      <c r="H3745" s="14">
        <f t="shared" si="118"/>
        <v>21.8</v>
      </c>
    </row>
    <row r="3746" spans="1:8" ht="41.4">
      <c r="A3746" s="502" t="s">
        <v>5116</v>
      </c>
      <c r="B3746" s="504" t="s">
        <v>24981</v>
      </c>
      <c r="C3746" s="502" t="s">
        <v>75</v>
      </c>
      <c r="D3746" s="503" t="s">
        <v>29674</v>
      </c>
      <c r="F3746" t="str">
        <f t="shared" si="117"/>
        <v>96669</v>
      </c>
      <c r="H3746" s="14">
        <f t="shared" si="118"/>
        <v>22.09</v>
      </c>
    </row>
    <row r="3747" spans="1:8" ht="41.4">
      <c r="A3747" s="502" t="s">
        <v>5117</v>
      </c>
      <c r="B3747" s="504" t="s">
        <v>24982</v>
      </c>
      <c r="C3747" s="502" t="s">
        <v>75</v>
      </c>
      <c r="D3747" s="503" t="s">
        <v>28647</v>
      </c>
      <c r="F3747" t="str">
        <f t="shared" si="117"/>
        <v>96670</v>
      </c>
      <c r="H3747" s="14">
        <f t="shared" si="118"/>
        <v>28.57</v>
      </c>
    </row>
    <row r="3748" spans="1:8" ht="41.4">
      <c r="A3748" s="502" t="s">
        <v>5118</v>
      </c>
      <c r="B3748" s="504" t="s">
        <v>24983</v>
      </c>
      <c r="C3748" s="502" t="s">
        <v>75</v>
      </c>
      <c r="D3748" s="503" t="s">
        <v>32881</v>
      </c>
      <c r="F3748" t="str">
        <f t="shared" si="117"/>
        <v>96671</v>
      </c>
      <c r="H3748" s="14">
        <f t="shared" si="118"/>
        <v>42.65</v>
      </c>
    </row>
    <row r="3749" spans="1:8" ht="41.4">
      <c r="A3749" s="502" t="s">
        <v>5119</v>
      </c>
      <c r="B3749" s="504" t="s">
        <v>24984</v>
      </c>
      <c r="C3749" s="502" t="s">
        <v>75</v>
      </c>
      <c r="D3749" s="503" t="s">
        <v>21781</v>
      </c>
      <c r="F3749" t="str">
        <f t="shared" si="117"/>
        <v>96672</v>
      </c>
      <c r="H3749" s="14">
        <f t="shared" si="118"/>
        <v>64.290000000000006</v>
      </c>
    </row>
    <row r="3750" spans="1:8" ht="41.4">
      <c r="A3750" s="502" t="s">
        <v>5120</v>
      </c>
      <c r="B3750" s="504" t="s">
        <v>24985</v>
      </c>
      <c r="C3750" s="502" t="s">
        <v>75</v>
      </c>
      <c r="D3750" s="503" t="s">
        <v>32882</v>
      </c>
      <c r="F3750" t="str">
        <f t="shared" si="117"/>
        <v>96673</v>
      </c>
      <c r="H3750" s="14">
        <f t="shared" si="118"/>
        <v>80.790000000000006</v>
      </c>
    </row>
    <row r="3751" spans="1:8" ht="41.4">
      <c r="A3751" s="502" t="s">
        <v>5121</v>
      </c>
      <c r="B3751" s="504" t="s">
        <v>24986</v>
      </c>
      <c r="C3751" s="502" t="s">
        <v>75</v>
      </c>
      <c r="D3751" s="503" t="s">
        <v>32883</v>
      </c>
      <c r="F3751" t="str">
        <f t="shared" si="117"/>
        <v>96674</v>
      </c>
      <c r="H3751" s="14">
        <f t="shared" si="118"/>
        <v>129.11000000000001</v>
      </c>
    </row>
    <row r="3752" spans="1:8" ht="41.4">
      <c r="A3752" s="502" t="s">
        <v>5122</v>
      </c>
      <c r="B3752" s="504" t="s">
        <v>24987</v>
      </c>
      <c r="C3752" s="502" t="s">
        <v>75</v>
      </c>
      <c r="D3752" s="503" t="s">
        <v>32884</v>
      </c>
      <c r="F3752" t="str">
        <f t="shared" si="117"/>
        <v>96675</v>
      </c>
      <c r="H3752" s="14">
        <f t="shared" si="118"/>
        <v>186.68</v>
      </c>
    </row>
    <row r="3753" spans="1:8" ht="41.4">
      <c r="A3753" s="502" t="s">
        <v>5123</v>
      </c>
      <c r="B3753" s="504" t="s">
        <v>24988</v>
      </c>
      <c r="C3753" s="502" t="s">
        <v>75</v>
      </c>
      <c r="D3753" s="503" t="s">
        <v>9984</v>
      </c>
      <c r="F3753" t="str">
        <f t="shared" si="117"/>
        <v>96676</v>
      </c>
      <c r="H3753" s="14">
        <f t="shared" si="118"/>
        <v>28.06</v>
      </c>
    </row>
    <row r="3754" spans="1:8" ht="41.4">
      <c r="A3754" s="502" t="s">
        <v>5124</v>
      </c>
      <c r="B3754" s="504" t="s">
        <v>24989</v>
      </c>
      <c r="C3754" s="502" t="s">
        <v>75</v>
      </c>
      <c r="D3754" s="503" t="s">
        <v>28125</v>
      </c>
      <c r="F3754" t="str">
        <f t="shared" si="117"/>
        <v>96677</v>
      </c>
      <c r="H3754" s="14">
        <f t="shared" si="118"/>
        <v>36.4</v>
      </c>
    </row>
    <row r="3755" spans="1:8" ht="41.4">
      <c r="A3755" s="502" t="s">
        <v>5125</v>
      </c>
      <c r="B3755" s="504" t="s">
        <v>24990</v>
      </c>
      <c r="C3755" s="502" t="s">
        <v>75</v>
      </c>
      <c r="D3755" s="503" t="s">
        <v>10669</v>
      </c>
      <c r="F3755" t="str">
        <f t="shared" si="117"/>
        <v>96678</v>
      </c>
      <c r="H3755" s="14">
        <f t="shared" si="118"/>
        <v>49.76</v>
      </c>
    </row>
    <row r="3756" spans="1:8" ht="41.4">
      <c r="A3756" s="502" t="s">
        <v>5126</v>
      </c>
      <c r="B3756" s="504" t="s">
        <v>24991</v>
      </c>
      <c r="C3756" s="502" t="s">
        <v>75</v>
      </c>
      <c r="D3756" s="503" t="s">
        <v>32885</v>
      </c>
      <c r="F3756" t="str">
        <f t="shared" si="117"/>
        <v>96679</v>
      </c>
      <c r="H3756" s="14">
        <f t="shared" si="118"/>
        <v>73.41</v>
      </c>
    </row>
    <row r="3757" spans="1:8" ht="41.4">
      <c r="A3757" s="502" t="s">
        <v>5127</v>
      </c>
      <c r="B3757" s="504" t="s">
        <v>24992</v>
      </c>
      <c r="C3757" s="502" t="s">
        <v>75</v>
      </c>
      <c r="D3757" s="503" t="s">
        <v>32886</v>
      </c>
      <c r="F3757" t="str">
        <f t="shared" si="117"/>
        <v>96680</v>
      </c>
      <c r="H3757" s="14">
        <f t="shared" si="118"/>
        <v>120</v>
      </c>
    </row>
    <row r="3758" spans="1:8" ht="41.4">
      <c r="A3758" s="502" t="s">
        <v>5128</v>
      </c>
      <c r="B3758" s="504" t="s">
        <v>24993</v>
      </c>
      <c r="C3758" s="502" t="s">
        <v>75</v>
      </c>
      <c r="D3758" s="503" t="s">
        <v>32887</v>
      </c>
      <c r="F3758" t="str">
        <f t="shared" si="117"/>
        <v>96681</v>
      </c>
      <c r="H3758" s="14">
        <f t="shared" si="118"/>
        <v>160.75</v>
      </c>
    </row>
    <row r="3759" spans="1:8" ht="41.4">
      <c r="A3759" s="502" t="s">
        <v>5129</v>
      </c>
      <c r="B3759" s="504" t="s">
        <v>24994</v>
      </c>
      <c r="C3759" s="502" t="s">
        <v>75</v>
      </c>
      <c r="D3759" s="503" t="s">
        <v>32888</v>
      </c>
      <c r="F3759" t="str">
        <f t="shared" si="117"/>
        <v>96682</v>
      </c>
      <c r="H3759" s="14">
        <f t="shared" si="118"/>
        <v>263.08</v>
      </c>
    </row>
    <row r="3760" spans="1:8" ht="41.4">
      <c r="A3760" s="502" t="s">
        <v>5130</v>
      </c>
      <c r="B3760" s="504" t="s">
        <v>24995</v>
      </c>
      <c r="C3760" s="502" t="s">
        <v>75</v>
      </c>
      <c r="D3760" s="503" t="s">
        <v>32889</v>
      </c>
      <c r="F3760" t="str">
        <f t="shared" si="117"/>
        <v>96683</v>
      </c>
      <c r="H3760" s="14">
        <f t="shared" si="118"/>
        <v>360.15</v>
      </c>
    </row>
    <row r="3761" spans="1:8" ht="41.4">
      <c r="A3761" s="502" t="s">
        <v>5131</v>
      </c>
      <c r="B3761" s="504" t="s">
        <v>28999</v>
      </c>
      <c r="C3761" s="502" t="s">
        <v>75</v>
      </c>
      <c r="D3761" s="503" t="s">
        <v>7729</v>
      </c>
      <c r="F3761" t="str">
        <f t="shared" si="117"/>
        <v>96718</v>
      </c>
      <c r="H3761" s="14">
        <f t="shared" si="118"/>
        <v>18.07</v>
      </c>
    </row>
    <row r="3762" spans="1:8" ht="41.4">
      <c r="A3762" s="502" t="s">
        <v>5132</v>
      </c>
      <c r="B3762" s="504" t="s">
        <v>29000</v>
      </c>
      <c r="C3762" s="502" t="s">
        <v>75</v>
      </c>
      <c r="D3762" s="503" t="s">
        <v>9523</v>
      </c>
      <c r="F3762" t="str">
        <f t="shared" si="117"/>
        <v>96719</v>
      </c>
      <c r="H3762" s="14">
        <f t="shared" si="118"/>
        <v>22.97</v>
      </c>
    </row>
    <row r="3763" spans="1:8" ht="41.4">
      <c r="A3763" s="502" t="s">
        <v>5133</v>
      </c>
      <c r="B3763" s="504" t="s">
        <v>29001</v>
      </c>
      <c r="C3763" s="502" t="s">
        <v>75</v>
      </c>
      <c r="D3763" s="503" t="s">
        <v>4738</v>
      </c>
      <c r="F3763" t="str">
        <f t="shared" si="117"/>
        <v>96720</v>
      </c>
      <c r="H3763" s="14">
        <f t="shared" si="118"/>
        <v>21.08</v>
      </c>
    </row>
    <row r="3764" spans="1:8" ht="41.4">
      <c r="A3764" s="502" t="s">
        <v>5134</v>
      </c>
      <c r="B3764" s="504" t="s">
        <v>29002</v>
      </c>
      <c r="C3764" s="502" t="s">
        <v>75</v>
      </c>
      <c r="D3764" s="503" t="s">
        <v>32890</v>
      </c>
      <c r="F3764" t="str">
        <f t="shared" si="117"/>
        <v>96721</v>
      </c>
      <c r="H3764" s="14">
        <f t="shared" si="118"/>
        <v>27.28</v>
      </c>
    </row>
    <row r="3765" spans="1:8" ht="41.4">
      <c r="A3765" s="502" t="s">
        <v>5135</v>
      </c>
      <c r="B3765" s="504" t="s">
        <v>29003</v>
      </c>
      <c r="C3765" s="502" t="s">
        <v>75</v>
      </c>
      <c r="D3765" s="503" t="s">
        <v>32891</v>
      </c>
      <c r="F3765" t="str">
        <f t="shared" si="117"/>
        <v>96722</v>
      </c>
      <c r="H3765" s="14">
        <f t="shared" si="118"/>
        <v>41.47</v>
      </c>
    </row>
    <row r="3766" spans="1:8" ht="41.4">
      <c r="A3766" s="502" t="s">
        <v>5136</v>
      </c>
      <c r="B3766" s="504" t="s">
        <v>29005</v>
      </c>
      <c r="C3766" s="502" t="s">
        <v>75</v>
      </c>
      <c r="D3766" s="503" t="s">
        <v>20320</v>
      </c>
      <c r="F3766" t="str">
        <f t="shared" si="117"/>
        <v>96723</v>
      </c>
      <c r="H3766" s="14">
        <f t="shared" si="118"/>
        <v>64.069999999999993</v>
      </c>
    </row>
    <row r="3767" spans="1:8" ht="41.4">
      <c r="A3767" s="502" t="s">
        <v>5137</v>
      </c>
      <c r="B3767" s="504" t="s">
        <v>29006</v>
      </c>
      <c r="C3767" s="502" t="s">
        <v>75</v>
      </c>
      <c r="D3767" s="503" t="s">
        <v>28863</v>
      </c>
      <c r="F3767" t="str">
        <f t="shared" si="117"/>
        <v>96724</v>
      </c>
      <c r="H3767" s="14">
        <f t="shared" si="118"/>
        <v>82.23</v>
      </c>
    </row>
    <row r="3768" spans="1:8" ht="41.4">
      <c r="A3768" s="502" t="s">
        <v>5138</v>
      </c>
      <c r="B3768" s="504" t="s">
        <v>29007</v>
      </c>
      <c r="C3768" s="502" t="s">
        <v>75</v>
      </c>
      <c r="D3768" s="503" t="s">
        <v>32892</v>
      </c>
      <c r="F3768" t="str">
        <f t="shared" si="117"/>
        <v>96725</v>
      </c>
      <c r="H3768" s="14">
        <f t="shared" si="118"/>
        <v>133.69</v>
      </c>
    </row>
    <row r="3769" spans="1:8" ht="41.4">
      <c r="A3769" s="502" t="s">
        <v>5139</v>
      </c>
      <c r="B3769" s="504" t="s">
        <v>29008</v>
      </c>
      <c r="C3769" s="502" t="s">
        <v>75</v>
      </c>
      <c r="D3769" s="503" t="s">
        <v>32893</v>
      </c>
      <c r="F3769" t="str">
        <f t="shared" si="117"/>
        <v>96726</v>
      </c>
      <c r="H3769" s="14">
        <f t="shared" si="118"/>
        <v>197.32</v>
      </c>
    </row>
    <row r="3770" spans="1:8" ht="41.4">
      <c r="A3770" s="502" t="s">
        <v>5140</v>
      </c>
      <c r="B3770" s="504" t="s">
        <v>29009</v>
      </c>
      <c r="C3770" s="502" t="s">
        <v>75</v>
      </c>
      <c r="D3770" s="503" t="s">
        <v>9892</v>
      </c>
      <c r="F3770" t="str">
        <f t="shared" si="117"/>
        <v>96727</v>
      </c>
      <c r="H3770" s="14">
        <f t="shared" si="118"/>
        <v>20.64</v>
      </c>
    </row>
    <row r="3771" spans="1:8" ht="41.4">
      <c r="A3771" s="502" t="s">
        <v>5142</v>
      </c>
      <c r="B3771" s="504" t="s">
        <v>29010</v>
      </c>
      <c r="C3771" s="502" t="s">
        <v>75</v>
      </c>
      <c r="D3771" s="503" t="s">
        <v>31242</v>
      </c>
      <c r="F3771" t="str">
        <f t="shared" si="117"/>
        <v>96728</v>
      </c>
      <c r="H3771" s="14">
        <f t="shared" si="118"/>
        <v>26.46</v>
      </c>
    </row>
    <row r="3772" spans="1:8" ht="41.4">
      <c r="A3772" s="502" t="s">
        <v>5144</v>
      </c>
      <c r="B3772" s="504" t="s">
        <v>29011</v>
      </c>
      <c r="C3772" s="502" t="s">
        <v>75</v>
      </c>
      <c r="D3772" s="503" t="s">
        <v>16267</v>
      </c>
      <c r="F3772" t="str">
        <f t="shared" si="117"/>
        <v>96729</v>
      </c>
      <c r="H3772" s="14">
        <f t="shared" si="118"/>
        <v>33.979999999999997</v>
      </c>
    </row>
    <row r="3773" spans="1:8" ht="41.4">
      <c r="A3773" s="502" t="s">
        <v>5145</v>
      </c>
      <c r="B3773" s="504" t="s">
        <v>29012</v>
      </c>
      <c r="C3773" s="502" t="s">
        <v>75</v>
      </c>
      <c r="D3773" s="503" t="s">
        <v>32894</v>
      </c>
      <c r="F3773" t="str">
        <f t="shared" si="117"/>
        <v>96730</v>
      </c>
      <c r="H3773" s="14">
        <f t="shared" si="118"/>
        <v>46.73</v>
      </c>
    </row>
    <row r="3774" spans="1:8" ht="41.4">
      <c r="A3774" s="502" t="s">
        <v>5146</v>
      </c>
      <c r="B3774" s="504" t="s">
        <v>29013</v>
      </c>
      <c r="C3774" s="502" t="s">
        <v>75</v>
      </c>
      <c r="D3774" s="503" t="s">
        <v>11612</v>
      </c>
      <c r="F3774" t="str">
        <f t="shared" si="117"/>
        <v>96731</v>
      </c>
      <c r="H3774" s="14">
        <f t="shared" si="118"/>
        <v>70.239999999999995</v>
      </c>
    </row>
    <row r="3775" spans="1:8" ht="41.4">
      <c r="A3775" s="502" t="s">
        <v>5147</v>
      </c>
      <c r="B3775" s="504" t="s">
        <v>29014</v>
      </c>
      <c r="C3775" s="502" t="s">
        <v>75</v>
      </c>
      <c r="D3775" s="503" t="s">
        <v>32895</v>
      </c>
      <c r="F3775" t="str">
        <f t="shared" si="117"/>
        <v>96732</v>
      </c>
      <c r="H3775" s="14">
        <f t="shared" si="118"/>
        <v>117.61</v>
      </c>
    </row>
    <row r="3776" spans="1:8" ht="41.4">
      <c r="A3776" s="502" t="s">
        <v>5148</v>
      </c>
      <c r="B3776" s="504" t="s">
        <v>29015</v>
      </c>
      <c r="C3776" s="502" t="s">
        <v>75</v>
      </c>
      <c r="D3776" s="503" t="s">
        <v>31036</v>
      </c>
      <c r="F3776" t="str">
        <f t="shared" si="117"/>
        <v>96733</v>
      </c>
      <c r="H3776" s="14">
        <f t="shared" si="118"/>
        <v>160.05000000000001</v>
      </c>
    </row>
    <row r="3777" spans="1:8" ht="41.4">
      <c r="A3777" s="502" t="s">
        <v>5149</v>
      </c>
      <c r="B3777" s="504" t="s">
        <v>29016</v>
      </c>
      <c r="C3777" s="502" t="s">
        <v>75</v>
      </c>
      <c r="D3777" s="503" t="s">
        <v>32896</v>
      </c>
      <c r="F3777" t="str">
        <f t="shared" si="117"/>
        <v>96734</v>
      </c>
      <c r="H3777" s="14">
        <f t="shared" si="118"/>
        <v>265.77</v>
      </c>
    </row>
    <row r="3778" spans="1:8" ht="41.4">
      <c r="A3778" s="502" t="s">
        <v>5150</v>
      </c>
      <c r="B3778" s="504" t="s">
        <v>29017</v>
      </c>
      <c r="C3778" s="502" t="s">
        <v>75</v>
      </c>
      <c r="D3778" s="503" t="s">
        <v>32897</v>
      </c>
      <c r="F3778" t="str">
        <f t="shared" si="117"/>
        <v>96735</v>
      </c>
      <c r="H3778" s="14">
        <f t="shared" si="118"/>
        <v>369.65</v>
      </c>
    </row>
    <row r="3779" spans="1:8" ht="41.4">
      <c r="A3779" s="502" t="s">
        <v>5153</v>
      </c>
      <c r="B3779" s="504" t="s">
        <v>24997</v>
      </c>
      <c r="C3779" s="502" t="s">
        <v>75</v>
      </c>
      <c r="D3779" s="503" t="s">
        <v>16787</v>
      </c>
      <c r="F3779" t="str">
        <f t="shared" si="117"/>
        <v>96798</v>
      </c>
      <c r="H3779" s="14">
        <f t="shared" si="118"/>
        <v>10.66</v>
      </c>
    </row>
    <row r="3780" spans="1:8" ht="41.4">
      <c r="A3780" s="502" t="s">
        <v>5154</v>
      </c>
      <c r="B3780" s="504" t="s">
        <v>24998</v>
      </c>
      <c r="C3780" s="502" t="s">
        <v>75</v>
      </c>
      <c r="D3780" s="503" t="s">
        <v>13907</v>
      </c>
      <c r="F3780" t="str">
        <f t="shared" si="117"/>
        <v>96799</v>
      </c>
      <c r="H3780" s="14">
        <f t="shared" si="118"/>
        <v>13.63</v>
      </c>
    </row>
    <row r="3781" spans="1:8" ht="41.4">
      <c r="A3781" s="502" t="s">
        <v>5155</v>
      </c>
      <c r="B3781" s="504" t="s">
        <v>24999</v>
      </c>
      <c r="C3781" s="502" t="s">
        <v>75</v>
      </c>
      <c r="D3781" s="503" t="s">
        <v>10390</v>
      </c>
      <c r="F3781" t="str">
        <f t="shared" ref="F3781:F3844" si="119">TRIM(A3781)</f>
        <v>96800</v>
      </c>
      <c r="H3781" s="14">
        <f t="shared" ref="H3781:H3844" si="120">ROUND(D3781*(1+$H$1),2)</f>
        <v>18.510000000000002</v>
      </c>
    </row>
    <row r="3782" spans="1:8" ht="41.4">
      <c r="A3782" s="502" t="s">
        <v>5156</v>
      </c>
      <c r="B3782" s="504" t="s">
        <v>25000</v>
      </c>
      <c r="C3782" s="502" t="s">
        <v>75</v>
      </c>
      <c r="D3782" s="503" t="s">
        <v>10098</v>
      </c>
      <c r="F3782" t="str">
        <f t="shared" si="119"/>
        <v>96801</v>
      </c>
      <c r="H3782" s="14">
        <f t="shared" si="120"/>
        <v>27.92</v>
      </c>
    </row>
    <row r="3783" spans="1:8" ht="55.2">
      <c r="A3783" s="502" t="s">
        <v>9591</v>
      </c>
      <c r="B3783" s="504" t="s">
        <v>29019</v>
      </c>
      <c r="C3783" s="502" t="s">
        <v>75</v>
      </c>
      <c r="D3783" s="503" t="s">
        <v>28845</v>
      </c>
      <c r="F3783" t="str">
        <f t="shared" si="119"/>
        <v>97327</v>
      </c>
      <c r="H3783" s="14">
        <f t="shared" si="120"/>
        <v>35.299999999999997</v>
      </c>
    </row>
    <row r="3784" spans="1:8" ht="55.2">
      <c r="A3784" s="502" t="s">
        <v>9592</v>
      </c>
      <c r="B3784" s="504" t="s">
        <v>29020</v>
      </c>
      <c r="C3784" s="502" t="s">
        <v>75</v>
      </c>
      <c r="D3784" s="503" t="s">
        <v>32898</v>
      </c>
      <c r="F3784" t="str">
        <f t="shared" si="119"/>
        <v>97328</v>
      </c>
      <c r="H3784" s="14">
        <f t="shared" si="120"/>
        <v>57.5</v>
      </c>
    </row>
    <row r="3785" spans="1:8" ht="55.2">
      <c r="A3785" s="502" t="s">
        <v>9593</v>
      </c>
      <c r="B3785" s="504" t="s">
        <v>29021</v>
      </c>
      <c r="C3785" s="502" t="s">
        <v>75</v>
      </c>
      <c r="D3785" s="503" t="s">
        <v>28471</v>
      </c>
      <c r="F3785" t="str">
        <f t="shared" si="119"/>
        <v>97329</v>
      </c>
      <c r="H3785" s="14">
        <f t="shared" si="120"/>
        <v>73.59</v>
      </c>
    </row>
    <row r="3786" spans="1:8" ht="55.2">
      <c r="A3786" s="502" t="s">
        <v>9594</v>
      </c>
      <c r="B3786" s="504" t="s">
        <v>29022</v>
      </c>
      <c r="C3786" s="502" t="s">
        <v>75</v>
      </c>
      <c r="D3786" s="503" t="s">
        <v>32899</v>
      </c>
      <c r="F3786" t="str">
        <f t="shared" si="119"/>
        <v>97330</v>
      </c>
      <c r="H3786" s="14">
        <f t="shared" si="120"/>
        <v>90</v>
      </c>
    </row>
    <row r="3787" spans="1:8" ht="55.2">
      <c r="A3787" s="502" t="s">
        <v>9595</v>
      </c>
      <c r="B3787" s="504" t="s">
        <v>29024</v>
      </c>
      <c r="C3787" s="502" t="s">
        <v>75</v>
      </c>
      <c r="D3787" s="503" t="s">
        <v>26610</v>
      </c>
      <c r="F3787" t="str">
        <f t="shared" si="119"/>
        <v>97331</v>
      </c>
      <c r="H3787" s="14">
        <f t="shared" si="120"/>
        <v>35.82</v>
      </c>
    </row>
    <row r="3788" spans="1:8" ht="55.2">
      <c r="A3788" s="502" t="s">
        <v>9596</v>
      </c>
      <c r="B3788" s="504" t="s">
        <v>29025</v>
      </c>
      <c r="C3788" s="502" t="s">
        <v>75</v>
      </c>
      <c r="D3788" s="503" t="s">
        <v>32900</v>
      </c>
      <c r="F3788" t="str">
        <f t="shared" si="119"/>
        <v>97332</v>
      </c>
      <c r="H3788" s="14">
        <f t="shared" si="120"/>
        <v>58.08</v>
      </c>
    </row>
    <row r="3789" spans="1:8" ht="55.2">
      <c r="A3789" s="502" t="s">
        <v>9597</v>
      </c>
      <c r="B3789" s="504" t="s">
        <v>29026</v>
      </c>
      <c r="C3789" s="502" t="s">
        <v>75</v>
      </c>
      <c r="D3789" s="503" t="s">
        <v>10241</v>
      </c>
      <c r="F3789" t="str">
        <f t="shared" si="119"/>
        <v>97333</v>
      </c>
      <c r="H3789" s="14">
        <f t="shared" si="120"/>
        <v>74.31</v>
      </c>
    </row>
    <row r="3790" spans="1:8" ht="55.2">
      <c r="A3790" s="502" t="s">
        <v>9598</v>
      </c>
      <c r="B3790" s="504" t="s">
        <v>29027</v>
      </c>
      <c r="C3790" s="502" t="s">
        <v>75</v>
      </c>
      <c r="D3790" s="503" t="s">
        <v>32901</v>
      </c>
      <c r="F3790" t="str">
        <f t="shared" si="119"/>
        <v>97334</v>
      </c>
      <c r="H3790" s="14">
        <f t="shared" si="120"/>
        <v>90.8</v>
      </c>
    </row>
    <row r="3791" spans="1:8" ht="41.4">
      <c r="A3791" s="502" t="s">
        <v>9599</v>
      </c>
      <c r="B3791" s="504" t="s">
        <v>25002</v>
      </c>
      <c r="C3791" s="502" t="s">
        <v>75</v>
      </c>
      <c r="D3791" s="503" t="s">
        <v>32902</v>
      </c>
      <c r="F3791" t="str">
        <f t="shared" si="119"/>
        <v>97335</v>
      </c>
      <c r="H3791" s="14">
        <f t="shared" si="120"/>
        <v>108.73</v>
      </c>
    </row>
    <row r="3792" spans="1:8" ht="41.4">
      <c r="A3792" s="502" t="s">
        <v>9600</v>
      </c>
      <c r="B3792" s="504" t="s">
        <v>25003</v>
      </c>
      <c r="C3792" s="502" t="s">
        <v>75</v>
      </c>
      <c r="D3792" s="503" t="s">
        <v>29955</v>
      </c>
      <c r="F3792" t="str">
        <f t="shared" si="119"/>
        <v>97336</v>
      </c>
      <c r="H3792" s="14">
        <f t="shared" si="120"/>
        <v>138.38</v>
      </c>
    </row>
    <row r="3793" spans="1:8" ht="41.4">
      <c r="A3793" s="502" t="s">
        <v>9601</v>
      </c>
      <c r="B3793" s="504" t="s">
        <v>25004</v>
      </c>
      <c r="C3793" s="502" t="s">
        <v>75</v>
      </c>
      <c r="D3793" s="503" t="s">
        <v>32903</v>
      </c>
      <c r="F3793" t="str">
        <f t="shared" si="119"/>
        <v>97337</v>
      </c>
      <c r="H3793" s="14">
        <f t="shared" si="120"/>
        <v>207.98</v>
      </c>
    </row>
    <row r="3794" spans="1:8" ht="41.4">
      <c r="A3794" s="502" t="s">
        <v>9602</v>
      </c>
      <c r="B3794" s="504" t="s">
        <v>25005</v>
      </c>
      <c r="C3794" s="502" t="s">
        <v>75</v>
      </c>
      <c r="D3794" s="503" t="s">
        <v>32904</v>
      </c>
      <c r="F3794" t="str">
        <f t="shared" si="119"/>
        <v>97338</v>
      </c>
      <c r="H3794" s="14">
        <f t="shared" si="120"/>
        <v>250.26</v>
      </c>
    </row>
    <row r="3795" spans="1:8" ht="41.4">
      <c r="A3795" s="502" t="s">
        <v>9603</v>
      </c>
      <c r="B3795" s="504" t="s">
        <v>25006</v>
      </c>
      <c r="C3795" s="502" t="s">
        <v>75</v>
      </c>
      <c r="D3795" s="503" t="s">
        <v>32821</v>
      </c>
      <c r="F3795" t="str">
        <f t="shared" si="119"/>
        <v>97339</v>
      </c>
      <c r="H3795" s="14">
        <f t="shared" si="120"/>
        <v>269.70999999999998</v>
      </c>
    </row>
    <row r="3796" spans="1:8" ht="41.4">
      <c r="A3796" s="502" t="s">
        <v>9604</v>
      </c>
      <c r="B3796" s="504" t="s">
        <v>25007</v>
      </c>
      <c r="C3796" s="502" t="s">
        <v>75</v>
      </c>
      <c r="D3796" s="503" t="s">
        <v>32905</v>
      </c>
      <c r="F3796" t="str">
        <f t="shared" si="119"/>
        <v>97340</v>
      </c>
      <c r="H3796" s="14">
        <f t="shared" si="120"/>
        <v>271.58</v>
      </c>
    </row>
    <row r="3797" spans="1:8" ht="55.2">
      <c r="A3797" s="502" t="s">
        <v>7720</v>
      </c>
      <c r="B3797" s="504" t="s">
        <v>13078</v>
      </c>
      <c r="C3797" s="502" t="s">
        <v>75</v>
      </c>
      <c r="D3797" s="503" t="s">
        <v>11798</v>
      </c>
      <c r="F3797" t="str">
        <f t="shared" si="119"/>
        <v>97498</v>
      </c>
      <c r="H3797" s="14">
        <f t="shared" si="120"/>
        <v>88.09</v>
      </c>
    </row>
    <row r="3798" spans="1:8" ht="55.2">
      <c r="A3798" s="502" t="s">
        <v>7721</v>
      </c>
      <c r="B3798" s="504" t="s">
        <v>13079</v>
      </c>
      <c r="C3798" s="502" t="s">
        <v>75</v>
      </c>
      <c r="D3798" s="503" t="s">
        <v>28015</v>
      </c>
      <c r="F3798" t="str">
        <f t="shared" si="119"/>
        <v>97535</v>
      </c>
      <c r="H3798" s="14">
        <f t="shared" si="120"/>
        <v>95.18</v>
      </c>
    </row>
    <row r="3799" spans="1:8" ht="55.2">
      <c r="A3799" s="502" t="s">
        <v>7722</v>
      </c>
      <c r="B3799" s="504" t="s">
        <v>13080</v>
      </c>
      <c r="C3799" s="502" t="s">
        <v>75</v>
      </c>
      <c r="D3799" s="503" t="s">
        <v>32906</v>
      </c>
      <c r="F3799" t="str">
        <f t="shared" si="119"/>
        <v>97536</v>
      </c>
      <c r="H3799" s="14">
        <f t="shared" si="120"/>
        <v>111.46</v>
      </c>
    </row>
    <row r="3800" spans="1:8" ht="55.2">
      <c r="A3800" s="502" t="s">
        <v>13081</v>
      </c>
      <c r="B3800" s="504" t="s">
        <v>13082</v>
      </c>
      <c r="C3800" s="502" t="s">
        <v>114</v>
      </c>
      <c r="D3800" s="503" t="s">
        <v>32907</v>
      </c>
      <c r="F3800" t="str">
        <f t="shared" si="119"/>
        <v>100788</v>
      </c>
      <c r="H3800" s="14">
        <f t="shared" si="120"/>
        <v>1095.6500000000001</v>
      </c>
    </row>
    <row r="3801" spans="1:8" ht="41.4">
      <c r="A3801" s="502" t="s">
        <v>13083</v>
      </c>
      <c r="B3801" s="504" t="s">
        <v>13084</v>
      </c>
      <c r="C3801" s="502" t="s">
        <v>75</v>
      </c>
      <c r="D3801" s="503" t="s">
        <v>18257</v>
      </c>
      <c r="F3801" t="str">
        <f t="shared" si="119"/>
        <v>100791</v>
      </c>
      <c r="H3801" s="14">
        <f t="shared" si="120"/>
        <v>23.28</v>
      </c>
    </row>
    <row r="3802" spans="1:8" ht="41.4">
      <c r="A3802" s="502" t="s">
        <v>13085</v>
      </c>
      <c r="B3802" s="504" t="s">
        <v>13086</v>
      </c>
      <c r="C3802" s="502" t="s">
        <v>75</v>
      </c>
      <c r="D3802" s="503" t="s">
        <v>32908</v>
      </c>
      <c r="F3802" t="str">
        <f t="shared" si="119"/>
        <v>100792</v>
      </c>
      <c r="H3802" s="14">
        <f t="shared" si="120"/>
        <v>33.03</v>
      </c>
    </row>
    <row r="3803" spans="1:8" ht="41.4">
      <c r="A3803" s="502" t="s">
        <v>13087</v>
      </c>
      <c r="B3803" s="504" t="s">
        <v>13088</v>
      </c>
      <c r="C3803" s="502" t="s">
        <v>75</v>
      </c>
      <c r="D3803" s="503" t="s">
        <v>32909</v>
      </c>
      <c r="F3803" t="str">
        <f t="shared" si="119"/>
        <v>100793</v>
      </c>
      <c r="H3803" s="14">
        <f t="shared" si="120"/>
        <v>43.23</v>
      </c>
    </row>
    <row r="3804" spans="1:8" ht="41.4">
      <c r="A3804" s="502" t="s">
        <v>13089</v>
      </c>
      <c r="B3804" s="504" t="s">
        <v>13090</v>
      </c>
      <c r="C3804" s="502" t="s">
        <v>75</v>
      </c>
      <c r="D3804" s="503" t="s">
        <v>31031</v>
      </c>
      <c r="F3804" t="str">
        <f t="shared" si="119"/>
        <v>100794</v>
      </c>
      <c r="H3804" s="14">
        <f t="shared" si="120"/>
        <v>57.66</v>
      </c>
    </row>
    <row r="3805" spans="1:8" ht="41.4">
      <c r="A3805" s="502" t="s">
        <v>13092</v>
      </c>
      <c r="B3805" s="504" t="s">
        <v>13093</v>
      </c>
      <c r="C3805" s="502" t="s">
        <v>75</v>
      </c>
      <c r="D3805" s="503" t="s">
        <v>10626</v>
      </c>
      <c r="F3805" t="str">
        <f t="shared" si="119"/>
        <v>100799</v>
      </c>
      <c r="H3805" s="14">
        <f t="shared" si="120"/>
        <v>23.99</v>
      </c>
    </row>
    <row r="3806" spans="1:8" ht="41.4">
      <c r="A3806" s="502" t="s">
        <v>13094</v>
      </c>
      <c r="B3806" s="504" t="s">
        <v>13095</v>
      </c>
      <c r="C3806" s="502" t="s">
        <v>75</v>
      </c>
      <c r="D3806" s="503" t="s">
        <v>27797</v>
      </c>
      <c r="F3806" t="str">
        <f t="shared" si="119"/>
        <v>100800</v>
      </c>
      <c r="H3806" s="14">
        <f t="shared" si="120"/>
        <v>33.770000000000003</v>
      </c>
    </row>
    <row r="3807" spans="1:8" ht="41.4">
      <c r="A3807" s="502" t="s">
        <v>13096</v>
      </c>
      <c r="B3807" s="504" t="s">
        <v>13097</v>
      </c>
      <c r="C3807" s="502" t="s">
        <v>75</v>
      </c>
      <c r="D3807" s="503" t="s">
        <v>28079</v>
      </c>
      <c r="F3807" t="str">
        <f t="shared" si="119"/>
        <v>100801</v>
      </c>
      <c r="H3807" s="14">
        <f t="shared" si="120"/>
        <v>43.93</v>
      </c>
    </row>
    <row r="3808" spans="1:8" ht="41.4">
      <c r="A3808" s="502" t="s">
        <v>13098</v>
      </c>
      <c r="B3808" s="504" t="s">
        <v>13099</v>
      </c>
      <c r="C3808" s="502" t="s">
        <v>75</v>
      </c>
      <c r="D3808" s="503" t="s">
        <v>14631</v>
      </c>
      <c r="F3808" t="str">
        <f t="shared" si="119"/>
        <v>100802</v>
      </c>
      <c r="H3808" s="14">
        <f t="shared" si="120"/>
        <v>58.36</v>
      </c>
    </row>
    <row r="3809" spans="1:8" ht="41.4">
      <c r="A3809" s="502" t="s">
        <v>13100</v>
      </c>
      <c r="B3809" s="504" t="s">
        <v>13101</v>
      </c>
      <c r="C3809" s="502" t="s">
        <v>75</v>
      </c>
      <c r="D3809" s="503" t="s">
        <v>9550</v>
      </c>
      <c r="F3809" t="str">
        <f t="shared" si="119"/>
        <v>100803</v>
      </c>
      <c r="H3809" s="14">
        <f t="shared" si="120"/>
        <v>21.8</v>
      </c>
    </row>
    <row r="3810" spans="1:8" ht="41.4">
      <c r="A3810" s="502" t="s">
        <v>13102</v>
      </c>
      <c r="B3810" s="504" t="s">
        <v>13103</v>
      </c>
      <c r="C3810" s="502" t="s">
        <v>75</v>
      </c>
      <c r="D3810" s="503" t="s">
        <v>18181</v>
      </c>
      <c r="F3810" t="str">
        <f t="shared" si="119"/>
        <v>100804</v>
      </c>
      <c r="H3810" s="14">
        <f t="shared" si="120"/>
        <v>31.3</v>
      </c>
    </row>
    <row r="3811" spans="1:8" ht="41.4">
      <c r="A3811" s="502" t="s">
        <v>13104</v>
      </c>
      <c r="B3811" s="504" t="s">
        <v>13105</v>
      </c>
      <c r="C3811" s="502" t="s">
        <v>75</v>
      </c>
      <c r="D3811" s="503" t="s">
        <v>15226</v>
      </c>
      <c r="F3811" t="str">
        <f t="shared" si="119"/>
        <v>100805</v>
      </c>
      <c r="H3811" s="14">
        <f t="shared" si="120"/>
        <v>41.15</v>
      </c>
    </row>
    <row r="3812" spans="1:8" ht="41.4">
      <c r="A3812" s="502" t="s">
        <v>13106</v>
      </c>
      <c r="B3812" s="504" t="s">
        <v>13107</v>
      </c>
      <c r="C3812" s="502" t="s">
        <v>75</v>
      </c>
      <c r="D3812" s="503" t="s">
        <v>32910</v>
      </c>
      <c r="F3812" t="str">
        <f t="shared" si="119"/>
        <v>100806</v>
      </c>
      <c r="H3812" s="14">
        <f t="shared" si="120"/>
        <v>55.09</v>
      </c>
    </row>
    <row r="3813" spans="1:8" ht="41.4">
      <c r="A3813" s="502" t="s">
        <v>13108</v>
      </c>
      <c r="B3813" s="504" t="s">
        <v>13109</v>
      </c>
      <c r="C3813" s="502" t="s">
        <v>75</v>
      </c>
      <c r="D3813" s="503" t="s">
        <v>12735</v>
      </c>
      <c r="F3813" t="str">
        <f t="shared" si="119"/>
        <v>100807</v>
      </c>
      <c r="H3813" s="14">
        <f t="shared" si="120"/>
        <v>32.340000000000003</v>
      </c>
    </row>
    <row r="3814" spans="1:8" ht="41.4">
      <c r="A3814" s="502" t="s">
        <v>13110</v>
      </c>
      <c r="B3814" s="504" t="s">
        <v>13111</v>
      </c>
      <c r="C3814" s="502" t="s">
        <v>75</v>
      </c>
      <c r="D3814" s="503" t="s">
        <v>11422</v>
      </c>
      <c r="F3814" t="str">
        <f t="shared" si="119"/>
        <v>100808</v>
      </c>
      <c r="H3814" s="14">
        <f t="shared" si="120"/>
        <v>43.67</v>
      </c>
    </row>
    <row r="3815" spans="1:8" ht="41.4">
      <c r="A3815" s="502" t="s">
        <v>13112</v>
      </c>
      <c r="B3815" s="504" t="s">
        <v>13113</v>
      </c>
      <c r="C3815" s="502" t="s">
        <v>75</v>
      </c>
      <c r="D3815" s="503" t="s">
        <v>32911</v>
      </c>
      <c r="F3815" t="str">
        <f t="shared" si="119"/>
        <v>100809</v>
      </c>
      <c r="H3815" s="14">
        <f t="shared" si="120"/>
        <v>55.79</v>
      </c>
    </row>
    <row r="3816" spans="1:8" ht="41.4">
      <c r="A3816" s="502" t="s">
        <v>13114</v>
      </c>
      <c r="B3816" s="504" t="s">
        <v>13115</v>
      </c>
      <c r="C3816" s="502" t="s">
        <v>75</v>
      </c>
      <c r="D3816" s="503" t="s">
        <v>16206</v>
      </c>
      <c r="F3816" t="str">
        <f t="shared" si="119"/>
        <v>100810</v>
      </c>
      <c r="H3816" s="14">
        <f t="shared" si="120"/>
        <v>72.930000000000007</v>
      </c>
    </row>
    <row r="3817" spans="1:8" ht="41.4">
      <c r="A3817" s="502" t="s">
        <v>13116</v>
      </c>
      <c r="B3817" s="504" t="s">
        <v>13117</v>
      </c>
      <c r="C3817" s="502" t="s">
        <v>75</v>
      </c>
      <c r="D3817" s="503" t="s">
        <v>32912</v>
      </c>
      <c r="F3817" t="str">
        <f t="shared" si="119"/>
        <v>101918</v>
      </c>
      <c r="H3817" s="14">
        <f t="shared" si="120"/>
        <v>415.63</v>
      </c>
    </row>
    <row r="3818" spans="1:8" ht="41.4">
      <c r="A3818" s="502" t="s">
        <v>13118</v>
      </c>
      <c r="B3818" s="504" t="s">
        <v>13119</v>
      </c>
      <c r="C3818" s="502" t="s">
        <v>114</v>
      </c>
      <c r="D3818" s="503" t="s">
        <v>32913</v>
      </c>
      <c r="F3818" t="str">
        <f t="shared" si="119"/>
        <v>101919</v>
      </c>
      <c r="H3818" s="14">
        <f t="shared" si="120"/>
        <v>608.13</v>
      </c>
    </row>
    <row r="3819" spans="1:8" ht="41.4">
      <c r="A3819" s="502" t="s">
        <v>13120</v>
      </c>
      <c r="B3819" s="504" t="s">
        <v>13121</v>
      </c>
      <c r="C3819" s="502" t="s">
        <v>114</v>
      </c>
      <c r="D3819" s="503" t="s">
        <v>32914</v>
      </c>
      <c r="F3819" t="str">
        <f t="shared" si="119"/>
        <v>101920</v>
      </c>
      <c r="H3819" s="14">
        <f t="shared" si="120"/>
        <v>289.7</v>
      </c>
    </row>
    <row r="3820" spans="1:8" ht="41.4">
      <c r="A3820" s="502" t="s">
        <v>13122</v>
      </c>
      <c r="B3820" s="504" t="s">
        <v>13123</v>
      </c>
      <c r="C3820" s="502" t="s">
        <v>114</v>
      </c>
      <c r="D3820" s="503" t="s">
        <v>32915</v>
      </c>
      <c r="F3820" t="str">
        <f t="shared" si="119"/>
        <v>101921</v>
      </c>
      <c r="H3820" s="14">
        <f t="shared" si="120"/>
        <v>330.7</v>
      </c>
    </row>
    <row r="3821" spans="1:8" ht="41.4">
      <c r="A3821" s="502" t="s">
        <v>13124</v>
      </c>
      <c r="B3821" s="504" t="s">
        <v>13125</v>
      </c>
      <c r="C3821" s="502" t="s">
        <v>114</v>
      </c>
      <c r="D3821" s="503" t="s">
        <v>32915</v>
      </c>
      <c r="F3821" t="str">
        <f t="shared" si="119"/>
        <v>101922</v>
      </c>
      <c r="H3821" s="14">
        <f t="shared" si="120"/>
        <v>330.7</v>
      </c>
    </row>
    <row r="3822" spans="1:8" ht="41.4">
      <c r="A3822" s="502" t="s">
        <v>13126</v>
      </c>
      <c r="B3822" s="504" t="s">
        <v>13127</v>
      </c>
      <c r="C3822" s="502" t="s">
        <v>114</v>
      </c>
      <c r="D3822" s="503" t="s">
        <v>32915</v>
      </c>
      <c r="F3822" t="str">
        <f t="shared" si="119"/>
        <v>101923</v>
      </c>
      <c r="H3822" s="14">
        <f t="shared" si="120"/>
        <v>330.7</v>
      </c>
    </row>
    <row r="3823" spans="1:8" ht="41.4">
      <c r="A3823" s="502" t="s">
        <v>13128</v>
      </c>
      <c r="B3823" s="504" t="s">
        <v>13129</v>
      </c>
      <c r="C3823" s="502" t="s">
        <v>114</v>
      </c>
      <c r="D3823" s="503" t="s">
        <v>32916</v>
      </c>
      <c r="F3823" t="str">
        <f t="shared" si="119"/>
        <v>101924</v>
      </c>
      <c r="H3823" s="14">
        <f t="shared" si="120"/>
        <v>272.54000000000002</v>
      </c>
    </row>
    <row r="3824" spans="1:8" ht="41.4">
      <c r="A3824" s="502" t="s">
        <v>13130</v>
      </c>
      <c r="B3824" s="504" t="s">
        <v>13131</v>
      </c>
      <c r="C3824" s="502" t="s">
        <v>114</v>
      </c>
      <c r="D3824" s="503" t="s">
        <v>32917</v>
      </c>
      <c r="F3824" t="str">
        <f t="shared" si="119"/>
        <v>101925</v>
      </c>
      <c r="H3824" s="14">
        <f t="shared" si="120"/>
        <v>455.93</v>
      </c>
    </row>
    <row r="3825" spans="1:8" ht="41.4">
      <c r="A3825" s="502" t="s">
        <v>13132</v>
      </c>
      <c r="B3825" s="504" t="s">
        <v>13133</v>
      </c>
      <c r="C3825" s="502" t="s">
        <v>114</v>
      </c>
      <c r="D3825" s="503" t="s">
        <v>32918</v>
      </c>
      <c r="F3825" t="str">
        <f t="shared" si="119"/>
        <v>101926</v>
      </c>
      <c r="H3825" s="14">
        <f t="shared" si="120"/>
        <v>587.75</v>
      </c>
    </row>
    <row r="3826" spans="1:8" ht="55.2">
      <c r="A3826" s="502" t="s">
        <v>13134</v>
      </c>
      <c r="B3826" s="504" t="s">
        <v>13135</v>
      </c>
      <c r="C3826" s="502" t="s">
        <v>75</v>
      </c>
      <c r="D3826" s="503" t="s">
        <v>32919</v>
      </c>
      <c r="F3826" t="str">
        <f t="shared" si="119"/>
        <v>101927</v>
      </c>
      <c r="H3826" s="14">
        <f t="shared" si="120"/>
        <v>393.53</v>
      </c>
    </row>
    <row r="3827" spans="1:8" ht="41.4">
      <c r="A3827" s="502" t="s">
        <v>13136</v>
      </c>
      <c r="B3827" s="504" t="s">
        <v>13137</v>
      </c>
      <c r="C3827" s="502" t="s">
        <v>114</v>
      </c>
      <c r="D3827" s="503" t="s">
        <v>32920</v>
      </c>
      <c r="F3827" t="str">
        <f t="shared" si="119"/>
        <v>101928</v>
      </c>
      <c r="H3827" s="14">
        <f t="shared" si="120"/>
        <v>616.59</v>
      </c>
    </row>
    <row r="3828" spans="1:8" ht="41.4">
      <c r="A3828" s="502" t="s">
        <v>13138</v>
      </c>
      <c r="B3828" s="504" t="s">
        <v>13139</v>
      </c>
      <c r="C3828" s="502" t="s">
        <v>114</v>
      </c>
      <c r="D3828" s="503" t="s">
        <v>32921</v>
      </c>
      <c r="F3828" t="str">
        <f t="shared" si="119"/>
        <v>101929</v>
      </c>
      <c r="H3828" s="14">
        <f t="shared" si="120"/>
        <v>298.16000000000003</v>
      </c>
    </row>
    <row r="3829" spans="1:8" ht="55.2">
      <c r="A3829" s="502" t="s">
        <v>13140</v>
      </c>
      <c r="B3829" s="504" t="s">
        <v>13141</v>
      </c>
      <c r="C3829" s="502" t="s">
        <v>114</v>
      </c>
      <c r="D3829" s="503" t="s">
        <v>32922</v>
      </c>
      <c r="F3829" t="str">
        <f t="shared" si="119"/>
        <v>101930</v>
      </c>
      <c r="H3829" s="14">
        <f t="shared" si="120"/>
        <v>339.16</v>
      </c>
    </row>
    <row r="3830" spans="1:8" ht="55.2">
      <c r="A3830" s="502" t="s">
        <v>13142</v>
      </c>
      <c r="B3830" s="504" t="s">
        <v>13143</v>
      </c>
      <c r="C3830" s="502" t="s">
        <v>114</v>
      </c>
      <c r="D3830" s="503" t="s">
        <v>32922</v>
      </c>
      <c r="F3830" t="str">
        <f t="shared" si="119"/>
        <v>101931</v>
      </c>
      <c r="H3830" s="14">
        <f t="shared" si="120"/>
        <v>339.16</v>
      </c>
    </row>
    <row r="3831" spans="1:8" ht="55.2">
      <c r="A3831" s="502" t="s">
        <v>13144</v>
      </c>
      <c r="B3831" s="504" t="s">
        <v>13145</v>
      </c>
      <c r="C3831" s="502" t="s">
        <v>114</v>
      </c>
      <c r="D3831" s="503" t="s">
        <v>32922</v>
      </c>
      <c r="F3831" t="str">
        <f t="shared" si="119"/>
        <v>101932</v>
      </c>
      <c r="H3831" s="14">
        <f t="shared" si="120"/>
        <v>339.16</v>
      </c>
    </row>
    <row r="3832" spans="1:8" ht="41.4">
      <c r="A3832" s="502" t="s">
        <v>13146</v>
      </c>
      <c r="B3832" s="504" t="s">
        <v>13147</v>
      </c>
      <c r="C3832" s="502" t="s">
        <v>114</v>
      </c>
      <c r="D3832" s="503" t="s">
        <v>32923</v>
      </c>
      <c r="F3832" t="str">
        <f t="shared" si="119"/>
        <v>101933</v>
      </c>
      <c r="H3832" s="14">
        <f t="shared" si="120"/>
        <v>281</v>
      </c>
    </row>
    <row r="3833" spans="1:8" ht="41.4">
      <c r="A3833" s="502" t="s">
        <v>13148</v>
      </c>
      <c r="B3833" s="504" t="s">
        <v>13149</v>
      </c>
      <c r="C3833" s="502" t="s">
        <v>114</v>
      </c>
      <c r="D3833" s="503" t="s">
        <v>32924</v>
      </c>
      <c r="F3833" t="str">
        <f t="shared" si="119"/>
        <v>101934</v>
      </c>
      <c r="H3833" s="14">
        <f t="shared" si="120"/>
        <v>468.63</v>
      </c>
    </row>
    <row r="3834" spans="1:8" ht="41.4">
      <c r="A3834" s="502" t="s">
        <v>13150</v>
      </c>
      <c r="B3834" s="504" t="s">
        <v>13151</v>
      </c>
      <c r="C3834" s="502" t="s">
        <v>114</v>
      </c>
      <c r="D3834" s="503" t="s">
        <v>32925</v>
      </c>
      <c r="F3834" t="str">
        <f t="shared" si="119"/>
        <v>101935</v>
      </c>
      <c r="H3834" s="14">
        <f t="shared" si="120"/>
        <v>604.69000000000005</v>
      </c>
    </row>
    <row r="3835" spans="1:8" ht="41.4">
      <c r="A3835" s="502" t="s">
        <v>25010</v>
      </c>
      <c r="B3835" s="504" t="s">
        <v>25011</v>
      </c>
      <c r="C3835" s="502" t="s">
        <v>75</v>
      </c>
      <c r="D3835" s="503" t="s">
        <v>31008</v>
      </c>
      <c r="F3835" t="str">
        <f t="shared" si="119"/>
        <v>103802</v>
      </c>
      <c r="H3835" s="14">
        <f t="shared" si="120"/>
        <v>55.29</v>
      </c>
    </row>
    <row r="3836" spans="1:8" ht="41.4">
      <c r="A3836" s="502" t="s">
        <v>25012</v>
      </c>
      <c r="B3836" s="504" t="s">
        <v>25013</v>
      </c>
      <c r="C3836" s="502" t="s">
        <v>75</v>
      </c>
      <c r="D3836" s="503" t="s">
        <v>32926</v>
      </c>
      <c r="F3836" t="str">
        <f t="shared" si="119"/>
        <v>103803</v>
      </c>
      <c r="H3836" s="14">
        <f t="shared" si="120"/>
        <v>95.02</v>
      </c>
    </row>
    <row r="3837" spans="1:8" ht="41.4">
      <c r="A3837" s="502" t="s">
        <v>25014</v>
      </c>
      <c r="B3837" s="504" t="s">
        <v>25015</v>
      </c>
      <c r="C3837" s="502" t="s">
        <v>75</v>
      </c>
      <c r="D3837" s="503" t="s">
        <v>32927</v>
      </c>
      <c r="F3837" t="str">
        <f t="shared" si="119"/>
        <v>103804</v>
      </c>
      <c r="H3837" s="14">
        <f t="shared" si="120"/>
        <v>114.52</v>
      </c>
    </row>
    <row r="3838" spans="1:8" ht="41.4">
      <c r="A3838" s="502" t="s">
        <v>25016</v>
      </c>
      <c r="B3838" s="504" t="s">
        <v>25017</v>
      </c>
      <c r="C3838" s="502" t="s">
        <v>75</v>
      </c>
      <c r="D3838" s="503" t="s">
        <v>32928</v>
      </c>
      <c r="F3838" t="str">
        <f t="shared" si="119"/>
        <v>103835</v>
      </c>
      <c r="H3838" s="14">
        <f t="shared" si="120"/>
        <v>86.45</v>
      </c>
    </row>
    <row r="3839" spans="1:8" ht="41.4">
      <c r="A3839" s="502" t="s">
        <v>25018</v>
      </c>
      <c r="B3839" s="504" t="s">
        <v>25019</v>
      </c>
      <c r="C3839" s="502" t="s">
        <v>75</v>
      </c>
      <c r="D3839" s="503" t="s">
        <v>32929</v>
      </c>
      <c r="F3839" t="str">
        <f t="shared" si="119"/>
        <v>103836</v>
      </c>
      <c r="H3839" s="14">
        <f t="shared" si="120"/>
        <v>133.84</v>
      </c>
    </row>
    <row r="3840" spans="1:8" ht="41.4">
      <c r="A3840" s="502" t="s">
        <v>25020</v>
      </c>
      <c r="B3840" s="504" t="s">
        <v>25021</v>
      </c>
      <c r="C3840" s="502" t="s">
        <v>75</v>
      </c>
      <c r="D3840" s="503" t="s">
        <v>32930</v>
      </c>
      <c r="F3840" t="str">
        <f t="shared" si="119"/>
        <v>103837</v>
      </c>
      <c r="H3840" s="14">
        <f t="shared" si="120"/>
        <v>168.63</v>
      </c>
    </row>
    <row r="3841" spans="1:8" ht="55.2">
      <c r="A3841" s="502" t="s">
        <v>25022</v>
      </c>
      <c r="B3841" s="504" t="s">
        <v>25023</v>
      </c>
      <c r="C3841" s="502" t="s">
        <v>75</v>
      </c>
      <c r="D3841" s="503" t="s">
        <v>32931</v>
      </c>
      <c r="F3841" t="str">
        <f t="shared" si="119"/>
        <v>103868</v>
      </c>
      <c r="H3841" s="14">
        <f t="shared" si="120"/>
        <v>69.89</v>
      </c>
    </row>
    <row r="3842" spans="1:8" ht="55.2">
      <c r="A3842" s="502" t="s">
        <v>25024</v>
      </c>
      <c r="B3842" s="504" t="s">
        <v>25025</v>
      </c>
      <c r="C3842" s="502" t="s">
        <v>75</v>
      </c>
      <c r="D3842" s="503" t="s">
        <v>29063</v>
      </c>
      <c r="F3842" t="str">
        <f t="shared" si="119"/>
        <v>103869</v>
      </c>
      <c r="H3842" s="14">
        <f t="shared" si="120"/>
        <v>105.25</v>
      </c>
    </row>
    <row r="3843" spans="1:8" ht="55.2">
      <c r="A3843" s="502" t="s">
        <v>25026</v>
      </c>
      <c r="B3843" s="504" t="s">
        <v>25027</v>
      </c>
      <c r="C3843" s="502" t="s">
        <v>75</v>
      </c>
      <c r="D3843" s="503" t="s">
        <v>32932</v>
      </c>
      <c r="F3843" t="str">
        <f t="shared" si="119"/>
        <v>103870</v>
      </c>
      <c r="H3843" s="14">
        <f t="shared" si="120"/>
        <v>129.07</v>
      </c>
    </row>
    <row r="3844" spans="1:8" ht="55.2">
      <c r="A3844" s="502" t="s">
        <v>25028</v>
      </c>
      <c r="B3844" s="504" t="s">
        <v>25029</v>
      </c>
      <c r="C3844" s="502" t="s">
        <v>75</v>
      </c>
      <c r="D3844" s="503" t="s">
        <v>32933</v>
      </c>
      <c r="F3844" t="str">
        <f t="shared" si="119"/>
        <v>103871</v>
      </c>
      <c r="H3844" s="14">
        <f t="shared" si="120"/>
        <v>85.01</v>
      </c>
    </row>
    <row r="3845" spans="1:8" ht="55.2">
      <c r="A3845" s="502" t="s">
        <v>25030</v>
      </c>
      <c r="B3845" s="504" t="s">
        <v>25031</v>
      </c>
      <c r="C3845" s="502" t="s">
        <v>75</v>
      </c>
      <c r="D3845" s="503" t="s">
        <v>31354</v>
      </c>
      <c r="F3845" t="str">
        <f t="shared" ref="F3845:F3908" si="121">TRIM(A3845)</f>
        <v>103872</v>
      </c>
      <c r="H3845" s="14">
        <f t="shared" ref="H3845:H3908" si="122">ROUND(D3845*(1+$H$1),2)</f>
        <v>174.56</v>
      </c>
    </row>
    <row r="3846" spans="1:8" ht="55.2">
      <c r="A3846" s="502" t="s">
        <v>25032</v>
      </c>
      <c r="B3846" s="504" t="s">
        <v>25033</v>
      </c>
      <c r="C3846" s="502" t="s">
        <v>75</v>
      </c>
      <c r="D3846" s="503" t="s">
        <v>32934</v>
      </c>
      <c r="F3846" t="str">
        <f t="shared" si="121"/>
        <v>103873</v>
      </c>
      <c r="H3846" s="14">
        <f t="shared" si="122"/>
        <v>201.15</v>
      </c>
    </row>
    <row r="3847" spans="1:8" ht="41.4">
      <c r="A3847" s="502" t="s">
        <v>25034</v>
      </c>
      <c r="B3847" s="504" t="s">
        <v>29031</v>
      </c>
      <c r="C3847" s="502" t="s">
        <v>75</v>
      </c>
      <c r="D3847" s="503" t="s">
        <v>32935</v>
      </c>
      <c r="F3847" t="str">
        <f t="shared" si="121"/>
        <v>103978</v>
      </c>
      <c r="H3847" s="14">
        <f t="shared" si="122"/>
        <v>40.07</v>
      </c>
    </row>
    <row r="3848" spans="1:8" ht="41.4">
      <c r="A3848" s="502" t="s">
        <v>25035</v>
      </c>
      <c r="B3848" s="504" t="s">
        <v>29032</v>
      </c>
      <c r="C3848" s="502" t="s">
        <v>75</v>
      </c>
      <c r="D3848" s="503" t="s">
        <v>28488</v>
      </c>
      <c r="F3848" t="str">
        <f t="shared" si="121"/>
        <v>103979</v>
      </c>
      <c r="H3848" s="14">
        <f t="shared" si="122"/>
        <v>45.57</v>
      </c>
    </row>
    <row r="3849" spans="1:8" ht="41.4">
      <c r="A3849" s="502" t="s">
        <v>25036</v>
      </c>
      <c r="B3849" s="504" t="s">
        <v>25037</v>
      </c>
      <c r="C3849" s="502" t="s">
        <v>75</v>
      </c>
      <c r="D3849" s="503" t="s">
        <v>32936</v>
      </c>
      <c r="F3849" t="str">
        <f t="shared" si="121"/>
        <v>104021</v>
      </c>
      <c r="H3849" s="14">
        <f t="shared" si="122"/>
        <v>106.57</v>
      </c>
    </row>
    <row r="3850" spans="1:8" ht="41.4">
      <c r="A3850" s="502" t="s">
        <v>25038</v>
      </c>
      <c r="B3850" s="504" t="s">
        <v>25039</v>
      </c>
      <c r="C3850" s="502" t="s">
        <v>75</v>
      </c>
      <c r="D3850" s="503" t="s">
        <v>28013</v>
      </c>
      <c r="F3850" t="str">
        <f t="shared" si="121"/>
        <v>104166</v>
      </c>
      <c r="H3850" s="14">
        <f t="shared" si="122"/>
        <v>123.74</v>
      </c>
    </row>
    <row r="3851" spans="1:8" ht="41.4">
      <c r="A3851" s="502" t="s">
        <v>25040</v>
      </c>
      <c r="B3851" s="504" t="s">
        <v>25041</v>
      </c>
      <c r="C3851" s="502" t="s">
        <v>75</v>
      </c>
      <c r="D3851" s="503" t="s">
        <v>9516</v>
      </c>
      <c r="F3851" t="str">
        <f t="shared" si="121"/>
        <v>104194</v>
      </c>
      <c r="H3851" s="14">
        <f t="shared" si="122"/>
        <v>28.74</v>
      </c>
    </row>
    <row r="3852" spans="1:8" ht="41.4">
      <c r="A3852" s="502" t="s">
        <v>25042</v>
      </c>
      <c r="B3852" s="504" t="s">
        <v>25043</v>
      </c>
      <c r="C3852" s="502" t="s">
        <v>75</v>
      </c>
      <c r="D3852" s="503" t="s">
        <v>31726</v>
      </c>
      <c r="F3852" t="str">
        <f t="shared" si="121"/>
        <v>104195</v>
      </c>
      <c r="H3852" s="14">
        <f t="shared" si="122"/>
        <v>30.45</v>
      </c>
    </row>
    <row r="3853" spans="1:8" ht="41.4">
      <c r="A3853" s="502" t="s">
        <v>25044</v>
      </c>
      <c r="B3853" s="504" t="s">
        <v>29033</v>
      </c>
      <c r="C3853" s="502" t="s">
        <v>75</v>
      </c>
      <c r="D3853" s="503" t="s">
        <v>10096</v>
      </c>
      <c r="F3853" t="str">
        <f t="shared" si="121"/>
        <v>104315</v>
      </c>
      <c r="H3853" s="14">
        <f t="shared" si="122"/>
        <v>23.96</v>
      </c>
    </row>
    <row r="3854" spans="1:8" ht="41.4">
      <c r="A3854" s="502" t="s">
        <v>25045</v>
      </c>
      <c r="B3854" s="504" t="s">
        <v>29035</v>
      </c>
      <c r="C3854" s="502" t="s">
        <v>75</v>
      </c>
      <c r="D3854" s="503" t="s">
        <v>16238</v>
      </c>
      <c r="F3854" t="str">
        <f t="shared" si="121"/>
        <v>104316</v>
      </c>
      <c r="H3854" s="14">
        <f t="shared" si="122"/>
        <v>35.1</v>
      </c>
    </row>
    <row r="3855" spans="1:8" ht="41.4">
      <c r="A3855" s="502" t="s">
        <v>29036</v>
      </c>
      <c r="B3855" s="504" t="s">
        <v>29037</v>
      </c>
      <c r="C3855" s="502" t="s">
        <v>114</v>
      </c>
      <c r="D3855" s="503" t="s">
        <v>32937</v>
      </c>
      <c r="F3855" t="str">
        <f t="shared" si="121"/>
        <v>105138</v>
      </c>
      <c r="H3855" s="14">
        <f t="shared" si="122"/>
        <v>25.58</v>
      </c>
    </row>
    <row r="3856" spans="1:8" ht="41.4">
      <c r="A3856" s="502" t="s">
        <v>29038</v>
      </c>
      <c r="B3856" s="504" t="s">
        <v>29039</v>
      </c>
      <c r="C3856" s="502" t="s">
        <v>114</v>
      </c>
      <c r="D3856" s="503" t="s">
        <v>32938</v>
      </c>
      <c r="F3856" t="str">
        <f t="shared" si="121"/>
        <v>105139</v>
      </c>
      <c r="H3856" s="14">
        <f t="shared" si="122"/>
        <v>30.21</v>
      </c>
    </row>
    <row r="3857" spans="1:8" ht="41.4">
      <c r="A3857" s="502" t="s">
        <v>29040</v>
      </c>
      <c r="B3857" s="504" t="s">
        <v>29041</v>
      </c>
      <c r="C3857" s="502" t="s">
        <v>114</v>
      </c>
      <c r="D3857" s="503" t="s">
        <v>9789</v>
      </c>
      <c r="F3857" t="str">
        <f t="shared" si="121"/>
        <v>105140</v>
      </c>
      <c r="H3857" s="14">
        <f t="shared" si="122"/>
        <v>38.9</v>
      </c>
    </row>
    <row r="3858" spans="1:8" ht="41.4">
      <c r="A3858" s="502" t="s">
        <v>29042</v>
      </c>
      <c r="B3858" s="504" t="s">
        <v>29043</v>
      </c>
      <c r="C3858" s="502" t="s">
        <v>114</v>
      </c>
      <c r="D3858" s="503" t="s">
        <v>20731</v>
      </c>
      <c r="F3858" t="str">
        <f t="shared" si="121"/>
        <v>105141</v>
      </c>
      <c r="H3858" s="14">
        <f t="shared" si="122"/>
        <v>46.12</v>
      </c>
    </row>
    <row r="3859" spans="1:8" ht="41.4">
      <c r="A3859" s="502" t="s">
        <v>29045</v>
      </c>
      <c r="B3859" s="504" t="s">
        <v>29046</v>
      </c>
      <c r="C3859" s="502" t="s">
        <v>114</v>
      </c>
      <c r="D3859" s="503" t="s">
        <v>32939</v>
      </c>
      <c r="F3859" t="str">
        <f t="shared" si="121"/>
        <v>105142</v>
      </c>
      <c r="H3859" s="14">
        <f t="shared" si="122"/>
        <v>9.9499999999999993</v>
      </c>
    </row>
    <row r="3860" spans="1:8" ht="41.4">
      <c r="A3860" s="502" t="s">
        <v>29047</v>
      </c>
      <c r="B3860" s="504" t="s">
        <v>29048</v>
      </c>
      <c r="C3860" s="502" t="s">
        <v>114</v>
      </c>
      <c r="D3860" s="503" t="s">
        <v>7312</v>
      </c>
      <c r="F3860" t="str">
        <f t="shared" si="121"/>
        <v>105143</v>
      </c>
      <c r="H3860" s="14">
        <f t="shared" si="122"/>
        <v>15.04</v>
      </c>
    </row>
    <row r="3861" spans="1:8" ht="41.4">
      <c r="A3861" s="502" t="s">
        <v>29049</v>
      </c>
      <c r="B3861" s="504" t="s">
        <v>29050</v>
      </c>
      <c r="C3861" s="502" t="s">
        <v>114</v>
      </c>
      <c r="D3861" s="503" t="s">
        <v>28486</v>
      </c>
      <c r="F3861" t="str">
        <f t="shared" si="121"/>
        <v>105144</v>
      </c>
      <c r="H3861" s="14">
        <f t="shared" si="122"/>
        <v>32.049999999999997</v>
      </c>
    </row>
    <row r="3862" spans="1:8" ht="41.4">
      <c r="A3862" s="502" t="s">
        <v>29051</v>
      </c>
      <c r="B3862" s="504" t="s">
        <v>29052</v>
      </c>
      <c r="C3862" s="502" t="s">
        <v>114</v>
      </c>
      <c r="D3862" s="503" t="s">
        <v>16152</v>
      </c>
      <c r="F3862" t="str">
        <f t="shared" si="121"/>
        <v>105145</v>
      </c>
      <c r="H3862" s="14">
        <f t="shared" si="122"/>
        <v>17.43</v>
      </c>
    </row>
    <row r="3863" spans="1:8" ht="41.4">
      <c r="A3863" s="502" t="s">
        <v>29053</v>
      </c>
      <c r="B3863" s="504" t="s">
        <v>29054</v>
      </c>
      <c r="C3863" s="502" t="s">
        <v>114</v>
      </c>
      <c r="D3863" s="503" t="s">
        <v>28662</v>
      </c>
      <c r="F3863" t="str">
        <f t="shared" si="121"/>
        <v>105153</v>
      </c>
      <c r="H3863" s="14">
        <f t="shared" si="122"/>
        <v>64.19</v>
      </c>
    </row>
    <row r="3864" spans="1:8" ht="41.4">
      <c r="A3864" s="502" t="s">
        <v>5157</v>
      </c>
      <c r="B3864" s="504" t="s">
        <v>25046</v>
      </c>
      <c r="C3864" s="502" t="s">
        <v>114</v>
      </c>
      <c r="D3864" s="503" t="s">
        <v>7542</v>
      </c>
      <c r="F3864" t="str">
        <f t="shared" si="121"/>
        <v>89358</v>
      </c>
      <c r="H3864" s="14">
        <f t="shared" si="122"/>
        <v>11.65</v>
      </c>
    </row>
    <row r="3865" spans="1:8" ht="41.4">
      <c r="A3865" s="502" t="s">
        <v>5158</v>
      </c>
      <c r="B3865" s="504" t="s">
        <v>25047</v>
      </c>
      <c r="C3865" s="502" t="s">
        <v>114</v>
      </c>
      <c r="D3865" s="503" t="s">
        <v>7966</v>
      </c>
      <c r="F3865" t="str">
        <f t="shared" si="121"/>
        <v>89359</v>
      </c>
      <c r="H3865" s="14">
        <f t="shared" si="122"/>
        <v>12.51</v>
      </c>
    </row>
    <row r="3866" spans="1:8" ht="41.4">
      <c r="A3866" s="502" t="s">
        <v>5160</v>
      </c>
      <c r="B3866" s="504" t="s">
        <v>25048</v>
      </c>
      <c r="C3866" s="502" t="s">
        <v>114</v>
      </c>
      <c r="D3866" s="503" t="s">
        <v>3123</v>
      </c>
      <c r="F3866" t="str">
        <f t="shared" si="121"/>
        <v>89360</v>
      </c>
      <c r="H3866" s="14">
        <f t="shared" si="122"/>
        <v>14.08</v>
      </c>
    </row>
    <row r="3867" spans="1:8" ht="41.4">
      <c r="A3867" s="502" t="s">
        <v>5161</v>
      </c>
      <c r="B3867" s="504" t="s">
        <v>25049</v>
      </c>
      <c r="C3867" s="502" t="s">
        <v>114</v>
      </c>
      <c r="D3867" s="503" t="s">
        <v>5555</v>
      </c>
      <c r="F3867" t="str">
        <f t="shared" si="121"/>
        <v>89361</v>
      </c>
      <c r="H3867" s="14">
        <f t="shared" si="122"/>
        <v>14.2</v>
      </c>
    </row>
    <row r="3868" spans="1:8" ht="41.4">
      <c r="A3868" s="502" t="s">
        <v>5163</v>
      </c>
      <c r="B3868" s="504" t="s">
        <v>25050</v>
      </c>
      <c r="C3868" s="502" t="s">
        <v>114</v>
      </c>
      <c r="D3868" s="503" t="s">
        <v>11419</v>
      </c>
      <c r="F3868" t="str">
        <f t="shared" si="121"/>
        <v>89362</v>
      </c>
      <c r="H3868" s="14">
        <f t="shared" si="122"/>
        <v>13.83</v>
      </c>
    </row>
    <row r="3869" spans="1:8" ht="41.4">
      <c r="A3869" s="502" t="s">
        <v>5165</v>
      </c>
      <c r="B3869" s="504" t="s">
        <v>25051</v>
      </c>
      <c r="C3869" s="502" t="s">
        <v>114</v>
      </c>
      <c r="D3869" s="503" t="s">
        <v>4220</v>
      </c>
      <c r="F3869" t="str">
        <f t="shared" si="121"/>
        <v>89363</v>
      </c>
      <c r="H3869" s="14">
        <f t="shared" si="122"/>
        <v>15.07</v>
      </c>
    </row>
    <row r="3870" spans="1:8" ht="41.4">
      <c r="A3870" s="502" t="s">
        <v>5166</v>
      </c>
      <c r="B3870" s="504" t="s">
        <v>25052</v>
      </c>
      <c r="C3870" s="502" t="s">
        <v>114</v>
      </c>
      <c r="D3870" s="503" t="s">
        <v>9766</v>
      </c>
      <c r="F3870" t="str">
        <f t="shared" si="121"/>
        <v>89364</v>
      </c>
      <c r="H3870" s="14">
        <f t="shared" si="122"/>
        <v>17.46</v>
      </c>
    </row>
    <row r="3871" spans="1:8" ht="41.4">
      <c r="A3871" s="502" t="s">
        <v>5167</v>
      </c>
      <c r="B3871" s="504" t="s">
        <v>25053</v>
      </c>
      <c r="C3871" s="502" t="s">
        <v>114</v>
      </c>
      <c r="D3871" s="503" t="s">
        <v>9913</v>
      </c>
      <c r="F3871" t="str">
        <f t="shared" si="121"/>
        <v>89365</v>
      </c>
      <c r="H3871" s="14">
        <f t="shared" si="122"/>
        <v>16.600000000000001</v>
      </c>
    </row>
    <row r="3872" spans="1:8" ht="41.4">
      <c r="A3872" s="502" t="s">
        <v>5169</v>
      </c>
      <c r="B3872" s="504" t="s">
        <v>25054</v>
      </c>
      <c r="C3872" s="502" t="s">
        <v>114</v>
      </c>
      <c r="D3872" s="503" t="s">
        <v>7461</v>
      </c>
      <c r="F3872" t="str">
        <f t="shared" si="121"/>
        <v>89366</v>
      </c>
      <c r="H3872" s="14">
        <f t="shared" si="122"/>
        <v>24.6</v>
      </c>
    </row>
    <row r="3873" spans="1:8" ht="41.4">
      <c r="A3873" s="502" t="s">
        <v>5171</v>
      </c>
      <c r="B3873" s="504" t="s">
        <v>25055</v>
      </c>
      <c r="C3873" s="502" t="s">
        <v>114</v>
      </c>
      <c r="D3873" s="503" t="s">
        <v>31645</v>
      </c>
      <c r="F3873" t="str">
        <f t="shared" si="121"/>
        <v>89367</v>
      </c>
      <c r="H3873" s="14">
        <f t="shared" si="122"/>
        <v>19.21</v>
      </c>
    </row>
    <row r="3874" spans="1:8" ht="41.4">
      <c r="A3874" s="502" t="s">
        <v>5172</v>
      </c>
      <c r="B3874" s="504" t="s">
        <v>25056</v>
      </c>
      <c r="C3874" s="502" t="s">
        <v>114</v>
      </c>
      <c r="D3874" s="503" t="s">
        <v>32356</v>
      </c>
      <c r="F3874" t="str">
        <f t="shared" si="121"/>
        <v>89368</v>
      </c>
      <c r="H3874" s="14">
        <f t="shared" si="122"/>
        <v>21.97</v>
      </c>
    </row>
    <row r="3875" spans="1:8" ht="41.4">
      <c r="A3875" s="502" t="s">
        <v>5174</v>
      </c>
      <c r="B3875" s="504" t="s">
        <v>25057</v>
      </c>
      <c r="C3875" s="502" t="s">
        <v>114</v>
      </c>
      <c r="D3875" s="503" t="s">
        <v>11434</v>
      </c>
      <c r="F3875" t="str">
        <f t="shared" si="121"/>
        <v>89369</v>
      </c>
      <c r="H3875" s="14">
        <f t="shared" si="122"/>
        <v>25.68</v>
      </c>
    </row>
    <row r="3876" spans="1:8" ht="41.4">
      <c r="A3876" s="502" t="s">
        <v>5175</v>
      </c>
      <c r="B3876" s="504" t="s">
        <v>25058</v>
      </c>
      <c r="C3876" s="502" t="s">
        <v>114</v>
      </c>
      <c r="D3876" s="503" t="s">
        <v>24996</v>
      </c>
      <c r="F3876" t="str">
        <f t="shared" si="121"/>
        <v>89370</v>
      </c>
      <c r="H3876" s="14">
        <f t="shared" si="122"/>
        <v>22.49</v>
      </c>
    </row>
    <row r="3877" spans="1:8" ht="41.4">
      <c r="A3877" s="502" t="s">
        <v>5176</v>
      </c>
      <c r="B3877" s="504" t="s">
        <v>25059</v>
      </c>
      <c r="C3877" s="502" t="s">
        <v>114</v>
      </c>
      <c r="D3877" s="503" t="s">
        <v>32940</v>
      </c>
      <c r="F3877" t="str">
        <f t="shared" si="121"/>
        <v>89371</v>
      </c>
      <c r="H3877" s="14">
        <f t="shared" si="122"/>
        <v>8.74</v>
      </c>
    </row>
    <row r="3878" spans="1:8" ht="41.4">
      <c r="A3878" s="502" t="s">
        <v>5177</v>
      </c>
      <c r="B3878" s="504" t="s">
        <v>25060</v>
      </c>
      <c r="C3878" s="502" t="s">
        <v>114</v>
      </c>
      <c r="D3878" s="503" t="s">
        <v>10740</v>
      </c>
      <c r="F3878" t="str">
        <f t="shared" si="121"/>
        <v>89372</v>
      </c>
      <c r="H3878" s="14">
        <f t="shared" si="122"/>
        <v>24.49</v>
      </c>
    </row>
    <row r="3879" spans="1:8" ht="41.4">
      <c r="A3879" s="502" t="s">
        <v>5178</v>
      </c>
      <c r="B3879" s="504" t="s">
        <v>25061</v>
      </c>
      <c r="C3879" s="502" t="s">
        <v>114</v>
      </c>
      <c r="D3879" s="503" t="s">
        <v>24809</v>
      </c>
      <c r="F3879" t="str">
        <f t="shared" si="121"/>
        <v>89373</v>
      </c>
      <c r="H3879" s="14">
        <f t="shared" si="122"/>
        <v>10.46</v>
      </c>
    </row>
    <row r="3880" spans="1:8" ht="41.4">
      <c r="A3880" s="502" t="s">
        <v>5179</v>
      </c>
      <c r="B3880" s="504" t="s">
        <v>25062</v>
      </c>
      <c r="C3880" s="502" t="s">
        <v>114</v>
      </c>
      <c r="D3880" s="503" t="s">
        <v>32941</v>
      </c>
      <c r="F3880" t="str">
        <f t="shared" si="121"/>
        <v>89374</v>
      </c>
      <c r="H3880" s="14">
        <f t="shared" si="122"/>
        <v>15.26</v>
      </c>
    </row>
    <row r="3881" spans="1:8" ht="41.4">
      <c r="A3881" s="502" t="s">
        <v>5181</v>
      </c>
      <c r="B3881" s="504" t="s">
        <v>25063</v>
      </c>
      <c r="C3881" s="502" t="s">
        <v>114</v>
      </c>
      <c r="D3881" s="503" t="s">
        <v>32200</v>
      </c>
      <c r="F3881" t="str">
        <f t="shared" si="121"/>
        <v>89375</v>
      </c>
      <c r="H3881" s="14">
        <f t="shared" si="122"/>
        <v>18.12</v>
      </c>
    </row>
    <row r="3882" spans="1:8" ht="55.2">
      <c r="A3882" s="502" t="s">
        <v>5182</v>
      </c>
      <c r="B3882" s="504" t="s">
        <v>25065</v>
      </c>
      <c r="C3882" s="502" t="s">
        <v>114</v>
      </c>
      <c r="D3882" s="503" t="s">
        <v>5594</v>
      </c>
      <c r="F3882" t="str">
        <f t="shared" si="121"/>
        <v>89376</v>
      </c>
      <c r="H3882" s="14">
        <f t="shared" si="122"/>
        <v>8.3000000000000007</v>
      </c>
    </row>
    <row r="3883" spans="1:8" ht="41.4">
      <c r="A3883" s="502" t="s">
        <v>5183</v>
      </c>
      <c r="B3883" s="504" t="s">
        <v>25066</v>
      </c>
      <c r="C3883" s="502" t="s">
        <v>114</v>
      </c>
      <c r="D3883" s="503" t="s">
        <v>30249</v>
      </c>
      <c r="F3883" t="str">
        <f t="shared" si="121"/>
        <v>89377</v>
      </c>
      <c r="H3883" s="14">
        <f t="shared" si="122"/>
        <v>15.39</v>
      </c>
    </row>
    <row r="3884" spans="1:8" ht="41.4">
      <c r="A3884" s="502" t="s">
        <v>5184</v>
      </c>
      <c r="B3884" s="504" t="s">
        <v>25067</v>
      </c>
      <c r="C3884" s="502" t="s">
        <v>114</v>
      </c>
      <c r="D3884" s="503" t="s">
        <v>16165</v>
      </c>
      <c r="F3884" t="str">
        <f t="shared" si="121"/>
        <v>89378</v>
      </c>
      <c r="H3884" s="14">
        <f t="shared" si="122"/>
        <v>10.27</v>
      </c>
    </row>
    <row r="3885" spans="1:8" ht="41.4">
      <c r="A3885" s="502" t="s">
        <v>5185</v>
      </c>
      <c r="B3885" s="504" t="s">
        <v>2660</v>
      </c>
      <c r="C3885" s="502" t="s">
        <v>114</v>
      </c>
      <c r="D3885" s="503" t="s">
        <v>11610</v>
      </c>
      <c r="F3885" t="str">
        <f t="shared" si="121"/>
        <v>89379</v>
      </c>
      <c r="H3885" s="14">
        <f t="shared" si="122"/>
        <v>28.73</v>
      </c>
    </row>
    <row r="3886" spans="1:8" ht="41.4">
      <c r="A3886" s="502" t="s">
        <v>5186</v>
      </c>
      <c r="B3886" s="504" t="s">
        <v>25068</v>
      </c>
      <c r="C3886" s="502" t="s">
        <v>114</v>
      </c>
      <c r="D3886" s="503" t="s">
        <v>7458</v>
      </c>
      <c r="F3886" t="str">
        <f t="shared" si="121"/>
        <v>89380</v>
      </c>
      <c r="H3886" s="14">
        <f t="shared" si="122"/>
        <v>14.94</v>
      </c>
    </row>
    <row r="3887" spans="1:8" ht="41.4">
      <c r="A3887" s="502" t="s">
        <v>5187</v>
      </c>
      <c r="B3887" s="504" t="s">
        <v>25069</v>
      </c>
      <c r="C3887" s="502" t="s">
        <v>114</v>
      </c>
      <c r="D3887" s="503" t="s">
        <v>28591</v>
      </c>
      <c r="F3887" t="str">
        <f t="shared" si="121"/>
        <v>89381</v>
      </c>
      <c r="H3887" s="14">
        <f t="shared" si="122"/>
        <v>18.73</v>
      </c>
    </row>
    <row r="3888" spans="1:8" ht="41.4">
      <c r="A3888" s="502" t="s">
        <v>5189</v>
      </c>
      <c r="B3888" s="504" t="s">
        <v>25070</v>
      </c>
      <c r="C3888" s="502" t="s">
        <v>114</v>
      </c>
      <c r="D3888" s="503" t="s">
        <v>32942</v>
      </c>
      <c r="F3888" t="str">
        <f t="shared" si="121"/>
        <v>89382</v>
      </c>
      <c r="H3888" s="14">
        <f t="shared" si="122"/>
        <v>21.76</v>
      </c>
    </row>
    <row r="3889" spans="1:8" ht="55.2">
      <c r="A3889" s="502" t="s">
        <v>5190</v>
      </c>
      <c r="B3889" s="504" t="s">
        <v>25071</v>
      </c>
      <c r="C3889" s="502" t="s">
        <v>114</v>
      </c>
      <c r="D3889" s="503" t="s">
        <v>5089</v>
      </c>
      <c r="F3889" t="str">
        <f t="shared" si="121"/>
        <v>89383</v>
      </c>
      <c r="H3889" s="14">
        <f t="shared" si="122"/>
        <v>9.65</v>
      </c>
    </row>
    <row r="3890" spans="1:8" ht="41.4">
      <c r="A3890" s="502" t="s">
        <v>5191</v>
      </c>
      <c r="B3890" s="504" t="s">
        <v>25072</v>
      </c>
      <c r="C3890" s="502" t="s">
        <v>114</v>
      </c>
      <c r="D3890" s="503" t="s">
        <v>11441</v>
      </c>
      <c r="F3890" t="str">
        <f t="shared" si="121"/>
        <v>89384</v>
      </c>
      <c r="H3890" s="14">
        <f t="shared" si="122"/>
        <v>19.670000000000002</v>
      </c>
    </row>
    <row r="3891" spans="1:8" ht="41.4">
      <c r="A3891" s="502" t="s">
        <v>5192</v>
      </c>
      <c r="B3891" s="504" t="s">
        <v>25073</v>
      </c>
      <c r="C3891" s="502" t="s">
        <v>114</v>
      </c>
      <c r="D3891" s="503" t="s">
        <v>4762</v>
      </c>
      <c r="F3891" t="str">
        <f t="shared" si="121"/>
        <v>89385</v>
      </c>
      <c r="H3891" s="14">
        <f t="shared" si="122"/>
        <v>10.65</v>
      </c>
    </row>
    <row r="3892" spans="1:8" ht="41.4">
      <c r="A3892" s="502" t="s">
        <v>5194</v>
      </c>
      <c r="B3892" s="504" t="s">
        <v>25074</v>
      </c>
      <c r="C3892" s="502" t="s">
        <v>114</v>
      </c>
      <c r="D3892" s="503" t="s">
        <v>7387</v>
      </c>
      <c r="F3892" t="str">
        <f t="shared" si="121"/>
        <v>89386</v>
      </c>
      <c r="H3892" s="14">
        <f t="shared" si="122"/>
        <v>14.11</v>
      </c>
    </row>
    <row r="3893" spans="1:8" ht="41.4">
      <c r="A3893" s="502" t="s">
        <v>5195</v>
      </c>
      <c r="B3893" s="504" t="s">
        <v>25075</v>
      </c>
      <c r="C3893" s="502" t="s">
        <v>114</v>
      </c>
      <c r="D3893" s="503" t="s">
        <v>32943</v>
      </c>
      <c r="F3893" t="str">
        <f t="shared" si="121"/>
        <v>89387</v>
      </c>
      <c r="H3893" s="14">
        <f t="shared" si="122"/>
        <v>46</v>
      </c>
    </row>
    <row r="3894" spans="1:8" ht="41.4">
      <c r="A3894" s="502" t="s">
        <v>5196</v>
      </c>
      <c r="B3894" s="504" t="s">
        <v>25076</v>
      </c>
      <c r="C3894" s="502" t="s">
        <v>114</v>
      </c>
      <c r="D3894" s="503" t="s">
        <v>28693</v>
      </c>
      <c r="F3894" t="str">
        <f t="shared" si="121"/>
        <v>89389</v>
      </c>
      <c r="H3894" s="14">
        <f t="shared" si="122"/>
        <v>17.18</v>
      </c>
    </row>
    <row r="3895" spans="1:8" ht="41.4">
      <c r="A3895" s="502" t="s">
        <v>5197</v>
      </c>
      <c r="B3895" s="504" t="s">
        <v>25077</v>
      </c>
      <c r="C3895" s="502" t="s">
        <v>114</v>
      </c>
      <c r="D3895" s="503" t="s">
        <v>4669</v>
      </c>
      <c r="F3895" t="str">
        <f t="shared" si="121"/>
        <v>89390</v>
      </c>
      <c r="H3895" s="14">
        <f t="shared" si="122"/>
        <v>32.46</v>
      </c>
    </row>
    <row r="3896" spans="1:8" ht="55.2">
      <c r="A3896" s="502" t="s">
        <v>5198</v>
      </c>
      <c r="B3896" s="504" t="s">
        <v>25078</v>
      </c>
      <c r="C3896" s="502" t="s">
        <v>114</v>
      </c>
      <c r="D3896" s="503" t="s">
        <v>4802</v>
      </c>
      <c r="F3896" t="str">
        <f t="shared" si="121"/>
        <v>89391</v>
      </c>
      <c r="H3896" s="14">
        <f t="shared" si="122"/>
        <v>12.83</v>
      </c>
    </row>
    <row r="3897" spans="1:8" ht="41.4">
      <c r="A3897" s="502" t="s">
        <v>5199</v>
      </c>
      <c r="B3897" s="504" t="s">
        <v>25079</v>
      </c>
      <c r="C3897" s="502" t="s">
        <v>114</v>
      </c>
      <c r="D3897" s="503" t="s">
        <v>10602</v>
      </c>
      <c r="F3897" t="str">
        <f t="shared" si="121"/>
        <v>89392</v>
      </c>
      <c r="H3897" s="14">
        <f t="shared" si="122"/>
        <v>37.32</v>
      </c>
    </row>
    <row r="3898" spans="1:8" ht="41.4">
      <c r="A3898" s="502" t="s">
        <v>5200</v>
      </c>
      <c r="B3898" s="504" t="s">
        <v>25080</v>
      </c>
      <c r="C3898" s="502" t="s">
        <v>114</v>
      </c>
      <c r="D3898" s="503" t="s">
        <v>16436</v>
      </c>
      <c r="F3898" t="str">
        <f t="shared" si="121"/>
        <v>89393</v>
      </c>
      <c r="H3898" s="14">
        <f t="shared" si="122"/>
        <v>16.16</v>
      </c>
    </row>
    <row r="3899" spans="1:8" ht="55.2">
      <c r="A3899" s="502" t="s">
        <v>5201</v>
      </c>
      <c r="B3899" s="504" t="s">
        <v>25082</v>
      </c>
      <c r="C3899" s="502" t="s">
        <v>114</v>
      </c>
      <c r="D3899" s="503" t="s">
        <v>32944</v>
      </c>
      <c r="F3899" t="str">
        <f t="shared" si="121"/>
        <v>89394</v>
      </c>
      <c r="H3899" s="14">
        <f t="shared" si="122"/>
        <v>28.13</v>
      </c>
    </row>
    <row r="3900" spans="1:8" ht="41.4">
      <c r="A3900" s="502" t="s">
        <v>5202</v>
      </c>
      <c r="B3900" s="504" t="s">
        <v>25083</v>
      </c>
      <c r="C3900" s="502" t="s">
        <v>114</v>
      </c>
      <c r="D3900" s="503" t="s">
        <v>10017</v>
      </c>
      <c r="F3900" t="str">
        <f t="shared" si="121"/>
        <v>89395</v>
      </c>
      <c r="H3900" s="14">
        <f t="shared" si="122"/>
        <v>19.079999999999998</v>
      </c>
    </row>
    <row r="3901" spans="1:8" ht="55.2">
      <c r="A3901" s="502" t="s">
        <v>5203</v>
      </c>
      <c r="B3901" s="504" t="s">
        <v>25084</v>
      </c>
      <c r="C3901" s="502" t="s">
        <v>114</v>
      </c>
      <c r="D3901" s="503" t="s">
        <v>32945</v>
      </c>
      <c r="F3901" t="str">
        <f t="shared" si="121"/>
        <v>89396</v>
      </c>
      <c r="H3901" s="14">
        <f t="shared" si="122"/>
        <v>30.81</v>
      </c>
    </row>
    <row r="3902" spans="1:8" ht="41.4">
      <c r="A3902" s="502" t="s">
        <v>5204</v>
      </c>
      <c r="B3902" s="504" t="s">
        <v>25085</v>
      </c>
      <c r="C3902" s="502" t="s">
        <v>114</v>
      </c>
      <c r="D3902" s="503" t="s">
        <v>32946</v>
      </c>
      <c r="F3902" t="str">
        <f t="shared" si="121"/>
        <v>89397</v>
      </c>
      <c r="H3902" s="14">
        <f t="shared" si="122"/>
        <v>21.95</v>
      </c>
    </row>
    <row r="3903" spans="1:8" ht="41.4">
      <c r="A3903" s="502" t="s">
        <v>5205</v>
      </c>
      <c r="B3903" s="504" t="s">
        <v>25086</v>
      </c>
      <c r="C3903" s="502" t="s">
        <v>114</v>
      </c>
      <c r="D3903" s="503" t="s">
        <v>10743</v>
      </c>
      <c r="F3903" t="str">
        <f t="shared" si="121"/>
        <v>89398</v>
      </c>
      <c r="H3903" s="14">
        <f t="shared" si="122"/>
        <v>26.86</v>
      </c>
    </row>
    <row r="3904" spans="1:8" ht="55.2">
      <c r="A3904" s="502" t="s">
        <v>5207</v>
      </c>
      <c r="B3904" s="504" t="s">
        <v>25087</v>
      </c>
      <c r="C3904" s="502" t="s">
        <v>114</v>
      </c>
      <c r="D3904" s="503" t="s">
        <v>11809</v>
      </c>
      <c r="F3904" t="str">
        <f t="shared" si="121"/>
        <v>89399</v>
      </c>
      <c r="H3904" s="14">
        <f t="shared" si="122"/>
        <v>37.46</v>
      </c>
    </row>
    <row r="3905" spans="1:8" ht="41.4">
      <c r="A3905" s="502" t="s">
        <v>5208</v>
      </c>
      <c r="B3905" s="504" t="s">
        <v>25088</v>
      </c>
      <c r="C3905" s="502" t="s">
        <v>114</v>
      </c>
      <c r="D3905" s="503" t="s">
        <v>32947</v>
      </c>
      <c r="F3905" t="str">
        <f t="shared" si="121"/>
        <v>89400</v>
      </c>
      <c r="H3905" s="14">
        <f t="shared" si="122"/>
        <v>29.7</v>
      </c>
    </row>
    <row r="3906" spans="1:8" ht="41.4">
      <c r="A3906" s="502" t="s">
        <v>5209</v>
      </c>
      <c r="B3906" s="504" t="s">
        <v>25089</v>
      </c>
      <c r="C3906" s="502" t="s">
        <v>114</v>
      </c>
      <c r="D3906" s="503" t="s">
        <v>31639</v>
      </c>
      <c r="F3906" t="str">
        <f t="shared" si="121"/>
        <v>89404</v>
      </c>
      <c r="H3906" s="14">
        <f t="shared" si="122"/>
        <v>10.62</v>
      </c>
    </row>
    <row r="3907" spans="1:8" ht="41.4">
      <c r="A3907" s="502" t="s">
        <v>5210</v>
      </c>
      <c r="B3907" s="504" t="s">
        <v>25090</v>
      </c>
      <c r="C3907" s="502" t="s">
        <v>114</v>
      </c>
      <c r="D3907" s="503" t="s">
        <v>10112</v>
      </c>
      <c r="F3907" t="str">
        <f t="shared" si="121"/>
        <v>89405</v>
      </c>
      <c r="H3907" s="14">
        <f t="shared" si="122"/>
        <v>11.49</v>
      </c>
    </row>
    <row r="3908" spans="1:8" ht="41.4">
      <c r="A3908" s="502" t="s">
        <v>5211</v>
      </c>
      <c r="B3908" s="504" t="s">
        <v>25091</v>
      </c>
      <c r="C3908" s="502" t="s">
        <v>114</v>
      </c>
      <c r="D3908" s="503" t="s">
        <v>9495</v>
      </c>
      <c r="F3908" t="str">
        <f t="shared" si="121"/>
        <v>89406</v>
      </c>
      <c r="H3908" s="14">
        <f t="shared" si="122"/>
        <v>13.06</v>
      </c>
    </row>
    <row r="3909" spans="1:8" ht="41.4">
      <c r="A3909" s="502" t="s">
        <v>5212</v>
      </c>
      <c r="B3909" s="504" t="s">
        <v>25092</v>
      </c>
      <c r="C3909" s="502" t="s">
        <v>114</v>
      </c>
      <c r="D3909" s="503" t="s">
        <v>7284</v>
      </c>
      <c r="F3909" t="str">
        <f t="shared" ref="F3909:F3972" si="123">TRIM(A3909)</f>
        <v>89407</v>
      </c>
      <c r="H3909" s="14">
        <f t="shared" ref="H3909:H3972" si="124">ROUND(D3909*(1+$H$1),2)</f>
        <v>13.18</v>
      </c>
    </row>
    <row r="3910" spans="1:8" ht="41.4">
      <c r="A3910" s="502" t="s">
        <v>5213</v>
      </c>
      <c r="B3910" s="504" t="s">
        <v>25093</v>
      </c>
      <c r="C3910" s="502" t="s">
        <v>114</v>
      </c>
      <c r="D3910" s="503" t="s">
        <v>7317</v>
      </c>
      <c r="F3910" t="str">
        <f t="shared" si="123"/>
        <v>89408</v>
      </c>
      <c r="H3910" s="14">
        <f t="shared" si="124"/>
        <v>12.63</v>
      </c>
    </row>
    <row r="3911" spans="1:8" ht="41.4">
      <c r="A3911" s="502" t="s">
        <v>5214</v>
      </c>
      <c r="B3911" s="504" t="s">
        <v>25094</v>
      </c>
      <c r="C3911" s="502" t="s">
        <v>114</v>
      </c>
      <c r="D3911" s="503" t="s">
        <v>7358</v>
      </c>
      <c r="F3911" t="str">
        <f t="shared" si="123"/>
        <v>89409</v>
      </c>
      <c r="H3911" s="14">
        <f t="shared" si="124"/>
        <v>13.87</v>
      </c>
    </row>
    <row r="3912" spans="1:8" ht="41.4">
      <c r="A3912" s="502" t="s">
        <v>5215</v>
      </c>
      <c r="B3912" s="504" t="s">
        <v>25095</v>
      </c>
      <c r="C3912" s="502" t="s">
        <v>114</v>
      </c>
      <c r="D3912" s="503" t="s">
        <v>7259</v>
      </c>
      <c r="F3912" t="str">
        <f t="shared" si="123"/>
        <v>89410</v>
      </c>
      <c r="H3912" s="14">
        <f t="shared" si="124"/>
        <v>16.260000000000002</v>
      </c>
    </row>
    <row r="3913" spans="1:8" ht="41.4">
      <c r="A3913" s="502" t="s">
        <v>5216</v>
      </c>
      <c r="B3913" s="504" t="s">
        <v>25096</v>
      </c>
      <c r="C3913" s="502" t="s">
        <v>114</v>
      </c>
      <c r="D3913" s="503" t="s">
        <v>28822</v>
      </c>
      <c r="F3913" t="str">
        <f t="shared" si="123"/>
        <v>89411</v>
      </c>
      <c r="H3913" s="14">
        <f t="shared" si="124"/>
        <v>15.4</v>
      </c>
    </row>
    <row r="3914" spans="1:8" ht="41.4">
      <c r="A3914" s="502" t="s">
        <v>5217</v>
      </c>
      <c r="B3914" s="504" t="s">
        <v>25097</v>
      </c>
      <c r="C3914" s="502" t="s">
        <v>114</v>
      </c>
      <c r="D3914" s="503" t="s">
        <v>24492</v>
      </c>
      <c r="F3914" t="str">
        <f t="shared" si="123"/>
        <v>89412</v>
      </c>
      <c r="H3914" s="14">
        <f t="shared" si="124"/>
        <v>14.46</v>
      </c>
    </row>
    <row r="3915" spans="1:8" ht="41.4">
      <c r="A3915" s="502" t="s">
        <v>5219</v>
      </c>
      <c r="B3915" s="504" t="s">
        <v>25098</v>
      </c>
      <c r="C3915" s="502" t="s">
        <v>114</v>
      </c>
      <c r="D3915" s="503" t="s">
        <v>9511</v>
      </c>
      <c r="F3915" t="str">
        <f t="shared" si="123"/>
        <v>89413</v>
      </c>
      <c r="H3915" s="14">
        <f t="shared" si="124"/>
        <v>17.8</v>
      </c>
    </row>
    <row r="3916" spans="1:8" ht="41.4">
      <c r="A3916" s="502" t="s">
        <v>5220</v>
      </c>
      <c r="B3916" s="504" t="s">
        <v>25099</v>
      </c>
      <c r="C3916" s="502" t="s">
        <v>114</v>
      </c>
      <c r="D3916" s="503" t="s">
        <v>7316</v>
      </c>
      <c r="F3916" t="str">
        <f t="shared" si="123"/>
        <v>89414</v>
      </c>
      <c r="H3916" s="14">
        <f t="shared" si="124"/>
        <v>20.56</v>
      </c>
    </row>
    <row r="3917" spans="1:8" ht="41.4">
      <c r="A3917" s="502" t="s">
        <v>5221</v>
      </c>
      <c r="B3917" s="504" t="s">
        <v>25100</v>
      </c>
      <c r="C3917" s="502" t="s">
        <v>114</v>
      </c>
      <c r="D3917" s="503" t="s">
        <v>32948</v>
      </c>
      <c r="F3917" t="str">
        <f t="shared" si="123"/>
        <v>89415</v>
      </c>
      <c r="H3917" s="14">
        <f t="shared" si="124"/>
        <v>24.26</v>
      </c>
    </row>
    <row r="3918" spans="1:8" ht="41.4">
      <c r="A3918" s="502" t="s">
        <v>5222</v>
      </c>
      <c r="B3918" s="504" t="s">
        <v>25101</v>
      </c>
      <c r="C3918" s="502" t="s">
        <v>114</v>
      </c>
      <c r="D3918" s="503" t="s">
        <v>4738</v>
      </c>
      <c r="F3918" t="str">
        <f t="shared" si="123"/>
        <v>89416</v>
      </c>
      <c r="H3918" s="14">
        <f t="shared" si="124"/>
        <v>21.08</v>
      </c>
    </row>
    <row r="3919" spans="1:8" ht="41.4">
      <c r="A3919" s="502" t="s">
        <v>5223</v>
      </c>
      <c r="B3919" s="504" t="s">
        <v>25102</v>
      </c>
      <c r="C3919" s="502" t="s">
        <v>114</v>
      </c>
      <c r="D3919" s="503" t="s">
        <v>5151</v>
      </c>
      <c r="F3919" t="str">
        <f t="shared" si="123"/>
        <v>89417</v>
      </c>
      <c r="H3919" s="14">
        <f t="shared" si="124"/>
        <v>8.0299999999999994</v>
      </c>
    </row>
    <row r="3920" spans="1:8" ht="41.4">
      <c r="A3920" s="502" t="s">
        <v>5224</v>
      </c>
      <c r="B3920" s="504" t="s">
        <v>25103</v>
      </c>
      <c r="C3920" s="502" t="s">
        <v>114</v>
      </c>
      <c r="D3920" s="503" t="s">
        <v>10046</v>
      </c>
      <c r="F3920" t="str">
        <f t="shared" si="123"/>
        <v>89418</v>
      </c>
      <c r="H3920" s="14">
        <f t="shared" si="124"/>
        <v>23.79</v>
      </c>
    </row>
    <row r="3921" spans="1:8" ht="41.4">
      <c r="A3921" s="502" t="s">
        <v>5225</v>
      </c>
      <c r="B3921" s="504" t="s">
        <v>25104</v>
      </c>
      <c r="C3921" s="502" t="s">
        <v>114</v>
      </c>
      <c r="D3921" s="503" t="s">
        <v>29080</v>
      </c>
      <c r="F3921" t="str">
        <f t="shared" si="123"/>
        <v>89419</v>
      </c>
      <c r="H3921" s="14">
        <f t="shared" si="124"/>
        <v>9.73</v>
      </c>
    </row>
    <row r="3922" spans="1:8" ht="41.4">
      <c r="A3922" s="502" t="s">
        <v>5227</v>
      </c>
      <c r="B3922" s="504" t="s">
        <v>25105</v>
      </c>
      <c r="C3922" s="502" t="s">
        <v>114</v>
      </c>
      <c r="D3922" s="503" t="s">
        <v>16437</v>
      </c>
      <c r="F3922" t="str">
        <f t="shared" si="123"/>
        <v>89421</v>
      </c>
      <c r="H3922" s="14">
        <f t="shared" si="124"/>
        <v>17.420000000000002</v>
      </c>
    </row>
    <row r="3923" spans="1:8" ht="41.4">
      <c r="A3923" s="502" t="s">
        <v>5228</v>
      </c>
      <c r="B3923" s="504" t="s">
        <v>25107</v>
      </c>
      <c r="C3923" s="502" t="s">
        <v>114</v>
      </c>
      <c r="D3923" s="503" t="s">
        <v>25939</v>
      </c>
      <c r="F3923" t="str">
        <f t="shared" si="123"/>
        <v>89423</v>
      </c>
      <c r="H3923" s="14">
        <f t="shared" si="124"/>
        <v>14.68</v>
      </c>
    </row>
    <row r="3924" spans="1:8" ht="41.4">
      <c r="A3924" s="502" t="s">
        <v>5229</v>
      </c>
      <c r="B3924" s="504" t="s">
        <v>25108</v>
      </c>
      <c r="C3924" s="502" t="s">
        <v>114</v>
      </c>
      <c r="D3924" s="503" t="s">
        <v>28150</v>
      </c>
      <c r="F3924" t="str">
        <f t="shared" si="123"/>
        <v>89424</v>
      </c>
      <c r="H3924" s="14">
        <f t="shared" si="124"/>
        <v>9.4700000000000006</v>
      </c>
    </row>
    <row r="3925" spans="1:8" ht="41.4">
      <c r="A3925" s="502" t="s">
        <v>5230</v>
      </c>
      <c r="B3925" s="504" t="s">
        <v>25109</v>
      </c>
      <c r="C3925" s="502" t="s">
        <v>114</v>
      </c>
      <c r="D3925" s="503" t="s">
        <v>11779</v>
      </c>
      <c r="F3925" t="str">
        <f t="shared" si="123"/>
        <v>89425</v>
      </c>
      <c r="H3925" s="14">
        <f t="shared" si="124"/>
        <v>27.93</v>
      </c>
    </row>
    <row r="3926" spans="1:8" ht="41.4">
      <c r="A3926" s="502" t="s">
        <v>5231</v>
      </c>
      <c r="B3926" s="504" t="s">
        <v>25110</v>
      </c>
      <c r="C3926" s="502" t="s">
        <v>114</v>
      </c>
      <c r="D3926" s="503" t="s">
        <v>7345</v>
      </c>
      <c r="F3926" t="str">
        <f t="shared" si="123"/>
        <v>89426</v>
      </c>
      <c r="H3926" s="14">
        <f t="shared" si="124"/>
        <v>14.06</v>
      </c>
    </row>
    <row r="3927" spans="1:8" ht="41.4">
      <c r="A3927" s="502" t="s">
        <v>5232</v>
      </c>
      <c r="B3927" s="504" t="s">
        <v>25111</v>
      </c>
      <c r="C3927" s="502" t="s">
        <v>114</v>
      </c>
      <c r="D3927" s="503" t="s">
        <v>29788</v>
      </c>
      <c r="F3927" t="str">
        <f t="shared" si="123"/>
        <v>89427</v>
      </c>
      <c r="H3927" s="14">
        <f t="shared" si="124"/>
        <v>18</v>
      </c>
    </row>
    <row r="3928" spans="1:8" ht="41.4">
      <c r="A3928" s="502" t="s">
        <v>5233</v>
      </c>
      <c r="B3928" s="504" t="s">
        <v>25112</v>
      </c>
      <c r="C3928" s="502" t="s">
        <v>114</v>
      </c>
      <c r="D3928" s="503" t="s">
        <v>11421</v>
      </c>
      <c r="F3928" t="str">
        <f t="shared" si="123"/>
        <v>89428</v>
      </c>
      <c r="H3928" s="14">
        <f t="shared" si="124"/>
        <v>20.96</v>
      </c>
    </row>
    <row r="3929" spans="1:8" ht="55.2">
      <c r="A3929" s="502" t="s">
        <v>5234</v>
      </c>
      <c r="B3929" s="504" t="s">
        <v>25113</v>
      </c>
      <c r="C3929" s="502" t="s">
        <v>114</v>
      </c>
      <c r="D3929" s="503" t="s">
        <v>9496</v>
      </c>
      <c r="F3929" t="str">
        <f t="shared" si="123"/>
        <v>89429</v>
      </c>
      <c r="H3929" s="14">
        <f t="shared" si="124"/>
        <v>8.91</v>
      </c>
    </row>
    <row r="3930" spans="1:8" ht="41.4">
      <c r="A3930" s="502" t="s">
        <v>5236</v>
      </c>
      <c r="B3930" s="504" t="s">
        <v>25114</v>
      </c>
      <c r="C3930" s="502" t="s">
        <v>114</v>
      </c>
      <c r="D3930" s="503" t="s">
        <v>29764</v>
      </c>
      <c r="F3930" t="str">
        <f t="shared" si="123"/>
        <v>89430</v>
      </c>
      <c r="H3930" s="14">
        <f t="shared" si="124"/>
        <v>18.87</v>
      </c>
    </row>
    <row r="3931" spans="1:8" ht="41.4">
      <c r="A3931" s="502" t="s">
        <v>5237</v>
      </c>
      <c r="B3931" s="504" t="s">
        <v>25115</v>
      </c>
      <c r="C3931" s="502" t="s">
        <v>114</v>
      </c>
      <c r="D3931" s="503" t="s">
        <v>7284</v>
      </c>
      <c r="F3931" t="str">
        <f t="shared" si="123"/>
        <v>89431</v>
      </c>
      <c r="H3931" s="14">
        <f t="shared" si="124"/>
        <v>13.18</v>
      </c>
    </row>
    <row r="3932" spans="1:8" ht="41.4">
      <c r="A3932" s="502" t="s">
        <v>5238</v>
      </c>
      <c r="B3932" s="504" t="s">
        <v>25117</v>
      </c>
      <c r="C3932" s="502" t="s">
        <v>114</v>
      </c>
      <c r="D3932" s="503" t="s">
        <v>32949</v>
      </c>
      <c r="F3932" t="str">
        <f t="shared" si="123"/>
        <v>89432</v>
      </c>
      <c r="H3932" s="14">
        <f t="shared" si="124"/>
        <v>45.07</v>
      </c>
    </row>
    <row r="3933" spans="1:8" ht="41.4">
      <c r="A3933" s="502" t="s">
        <v>5239</v>
      </c>
      <c r="B3933" s="504" t="s">
        <v>25118</v>
      </c>
      <c r="C3933" s="502" t="s">
        <v>114</v>
      </c>
      <c r="D3933" s="503" t="s">
        <v>28388</v>
      </c>
      <c r="F3933" t="str">
        <f t="shared" si="123"/>
        <v>89433</v>
      </c>
      <c r="H3933" s="14">
        <f t="shared" si="124"/>
        <v>19.47</v>
      </c>
    </row>
    <row r="3934" spans="1:8" ht="41.4">
      <c r="A3934" s="502" t="s">
        <v>5240</v>
      </c>
      <c r="B3934" s="504" t="s">
        <v>25119</v>
      </c>
      <c r="C3934" s="502" t="s">
        <v>114</v>
      </c>
      <c r="D3934" s="503" t="s">
        <v>24308</v>
      </c>
      <c r="F3934" t="str">
        <f t="shared" si="123"/>
        <v>89434</v>
      </c>
      <c r="H3934" s="14">
        <f t="shared" si="124"/>
        <v>16.3</v>
      </c>
    </row>
    <row r="3935" spans="1:8" ht="41.4">
      <c r="A3935" s="502" t="s">
        <v>5242</v>
      </c>
      <c r="B3935" s="504" t="s">
        <v>25120</v>
      </c>
      <c r="C3935" s="502" t="s">
        <v>114</v>
      </c>
      <c r="D3935" s="503" t="s">
        <v>32950</v>
      </c>
      <c r="F3935" t="str">
        <f t="shared" si="123"/>
        <v>89435</v>
      </c>
      <c r="H3935" s="14">
        <f t="shared" si="124"/>
        <v>31.53</v>
      </c>
    </row>
    <row r="3936" spans="1:8" ht="55.2">
      <c r="A3936" s="502" t="s">
        <v>5243</v>
      </c>
      <c r="B3936" s="504" t="s">
        <v>25122</v>
      </c>
      <c r="C3936" s="502" t="s">
        <v>114</v>
      </c>
      <c r="D3936" s="503" t="s">
        <v>16167</v>
      </c>
      <c r="F3936" t="str">
        <f t="shared" si="123"/>
        <v>89436</v>
      </c>
      <c r="H3936" s="14">
        <f t="shared" si="124"/>
        <v>11.95</v>
      </c>
    </row>
    <row r="3937" spans="1:8" ht="41.4">
      <c r="A3937" s="502" t="s">
        <v>5244</v>
      </c>
      <c r="B3937" s="504" t="s">
        <v>25123</v>
      </c>
      <c r="C3937" s="502" t="s">
        <v>114</v>
      </c>
      <c r="D3937" s="503" t="s">
        <v>32951</v>
      </c>
      <c r="F3937" t="str">
        <f t="shared" si="123"/>
        <v>89437</v>
      </c>
      <c r="H3937" s="14">
        <f t="shared" si="124"/>
        <v>36.39</v>
      </c>
    </row>
    <row r="3938" spans="1:8" ht="41.4">
      <c r="A3938" s="502" t="s">
        <v>5245</v>
      </c>
      <c r="B3938" s="504" t="s">
        <v>25124</v>
      </c>
      <c r="C3938" s="502" t="s">
        <v>114</v>
      </c>
      <c r="D3938" s="503" t="s">
        <v>10679</v>
      </c>
      <c r="F3938" t="str">
        <f t="shared" si="123"/>
        <v>89438</v>
      </c>
      <c r="H3938" s="14">
        <f t="shared" si="124"/>
        <v>14.79</v>
      </c>
    </row>
    <row r="3939" spans="1:8" ht="55.2">
      <c r="A3939" s="502" t="s">
        <v>5246</v>
      </c>
      <c r="B3939" s="504" t="s">
        <v>25125</v>
      </c>
      <c r="C3939" s="502" t="s">
        <v>114</v>
      </c>
      <c r="D3939" s="503" t="s">
        <v>32952</v>
      </c>
      <c r="F3939" t="str">
        <f t="shared" si="123"/>
        <v>89439</v>
      </c>
      <c r="H3939" s="14">
        <f t="shared" si="124"/>
        <v>17.16</v>
      </c>
    </row>
    <row r="3940" spans="1:8" ht="41.4">
      <c r="A3940" s="502" t="s">
        <v>5247</v>
      </c>
      <c r="B3940" s="504" t="s">
        <v>25126</v>
      </c>
      <c r="C3940" s="502" t="s">
        <v>114</v>
      </c>
      <c r="D3940" s="503" t="s">
        <v>9569</v>
      </c>
      <c r="F3940" t="str">
        <f t="shared" si="123"/>
        <v>89440</v>
      </c>
      <c r="H3940" s="14">
        <f t="shared" si="124"/>
        <v>17.510000000000002</v>
      </c>
    </row>
    <row r="3941" spans="1:8" ht="41.4">
      <c r="A3941" s="502" t="s">
        <v>5248</v>
      </c>
      <c r="B3941" s="504" t="s">
        <v>25127</v>
      </c>
      <c r="C3941" s="502" t="s">
        <v>114</v>
      </c>
      <c r="D3941" s="503" t="s">
        <v>7901</v>
      </c>
      <c r="F3941" t="str">
        <f t="shared" si="123"/>
        <v>89442</v>
      </c>
      <c r="H3941" s="14">
        <f t="shared" si="124"/>
        <v>20.48</v>
      </c>
    </row>
    <row r="3942" spans="1:8" ht="41.4">
      <c r="A3942" s="502" t="s">
        <v>5249</v>
      </c>
      <c r="B3942" s="504" t="s">
        <v>25129</v>
      </c>
      <c r="C3942" s="502" t="s">
        <v>114</v>
      </c>
      <c r="D3942" s="503" t="s">
        <v>10652</v>
      </c>
      <c r="F3942" t="str">
        <f t="shared" si="123"/>
        <v>89443</v>
      </c>
      <c r="H3942" s="14">
        <f t="shared" si="124"/>
        <v>24.98</v>
      </c>
    </row>
    <row r="3943" spans="1:8" ht="55.2">
      <c r="A3943" s="502" t="s">
        <v>5250</v>
      </c>
      <c r="B3943" s="504" t="s">
        <v>25130</v>
      </c>
      <c r="C3943" s="502" t="s">
        <v>114</v>
      </c>
      <c r="D3943" s="503" t="s">
        <v>21019</v>
      </c>
      <c r="F3943" t="str">
        <f t="shared" si="123"/>
        <v>89444</v>
      </c>
      <c r="H3943" s="14">
        <f t="shared" si="124"/>
        <v>36.54</v>
      </c>
    </row>
    <row r="3944" spans="1:8" ht="41.4">
      <c r="A3944" s="502" t="s">
        <v>5251</v>
      </c>
      <c r="B3944" s="504" t="s">
        <v>25131</v>
      </c>
      <c r="C3944" s="502" t="s">
        <v>114</v>
      </c>
      <c r="D3944" s="503" t="s">
        <v>16474</v>
      </c>
      <c r="F3944" t="str">
        <f t="shared" si="123"/>
        <v>89445</v>
      </c>
      <c r="H3944" s="14">
        <f t="shared" si="124"/>
        <v>27.97</v>
      </c>
    </row>
    <row r="3945" spans="1:8" ht="41.4">
      <c r="A3945" s="502" t="s">
        <v>5253</v>
      </c>
      <c r="B3945" s="504" t="s">
        <v>25132</v>
      </c>
      <c r="C3945" s="502" t="s">
        <v>114</v>
      </c>
      <c r="D3945" s="503" t="s">
        <v>32953</v>
      </c>
      <c r="F3945" t="str">
        <f t="shared" si="123"/>
        <v>89481</v>
      </c>
      <c r="H3945" s="14">
        <f t="shared" si="124"/>
        <v>7.8</v>
      </c>
    </row>
    <row r="3946" spans="1:8" ht="41.4">
      <c r="A3946" s="502" t="s">
        <v>5254</v>
      </c>
      <c r="B3946" s="504" t="s">
        <v>25133</v>
      </c>
      <c r="C3946" s="502" t="s">
        <v>114</v>
      </c>
      <c r="D3946" s="503" t="s">
        <v>7544</v>
      </c>
      <c r="F3946" t="str">
        <f t="shared" si="123"/>
        <v>89485</v>
      </c>
      <c r="H3946" s="14">
        <f t="shared" si="124"/>
        <v>9.0299999999999994</v>
      </c>
    </row>
    <row r="3947" spans="1:8" ht="41.4">
      <c r="A3947" s="502" t="s">
        <v>5255</v>
      </c>
      <c r="B3947" s="504" t="s">
        <v>25134</v>
      </c>
      <c r="C3947" s="502" t="s">
        <v>114</v>
      </c>
      <c r="D3947" s="503" t="s">
        <v>7477</v>
      </c>
      <c r="F3947" t="str">
        <f t="shared" si="123"/>
        <v>89489</v>
      </c>
      <c r="H3947" s="14">
        <f t="shared" si="124"/>
        <v>11.42</v>
      </c>
    </row>
    <row r="3948" spans="1:8" ht="41.4">
      <c r="A3948" s="502" t="s">
        <v>5256</v>
      </c>
      <c r="B3948" s="504" t="s">
        <v>25135</v>
      </c>
      <c r="C3948" s="502" t="s">
        <v>114</v>
      </c>
      <c r="D3948" s="503" t="s">
        <v>28098</v>
      </c>
      <c r="F3948" t="str">
        <f t="shared" si="123"/>
        <v>89490</v>
      </c>
      <c r="H3948" s="14">
        <f t="shared" si="124"/>
        <v>10.57</v>
      </c>
    </row>
    <row r="3949" spans="1:8" ht="41.4">
      <c r="A3949" s="502" t="s">
        <v>5257</v>
      </c>
      <c r="B3949" s="504" t="s">
        <v>25136</v>
      </c>
      <c r="C3949" s="502" t="s">
        <v>114</v>
      </c>
      <c r="D3949" s="503" t="s">
        <v>15808</v>
      </c>
      <c r="F3949" t="str">
        <f t="shared" si="123"/>
        <v>89492</v>
      </c>
      <c r="H3949" s="14">
        <f t="shared" si="124"/>
        <v>12.17</v>
      </c>
    </row>
    <row r="3950" spans="1:8" ht="41.4">
      <c r="A3950" s="502" t="s">
        <v>5258</v>
      </c>
      <c r="B3950" s="504" t="s">
        <v>25137</v>
      </c>
      <c r="C3950" s="502" t="s">
        <v>114</v>
      </c>
      <c r="D3950" s="503" t="s">
        <v>10781</v>
      </c>
      <c r="F3950" t="str">
        <f t="shared" si="123"/>
        <v>89493</v>
      </c>
      <c r="H3950" s="14">
        <f t="shared" si="124"/>
        <v>14.92</v>
      </c>
    </row>
    <row r="3951" spans="1:8" ht="41.4">
      <c r="A3951" s="502" t="s">
        <v>5259</v>
      </c>
      <c r="B3951" s="504" t="s">
        <v>25138</v>
      </c>
      <c r="C3951" s="502" t="s">
        <v>114</v>
      </c>
      <c r="D3951" s="503" t="s">
        <v>5392</v>
      </c>
      <c r="F3951" t="str">
        <f t="shared" si="123"/>
        <v>89494</v>
      </c>
      <c r="H3951" s="14">
        <f t="shared" si="124"/>
        <v>18.63</v>
      </c>
    </row>
    <row r="3952" spans="1:8" ht="41.4">
      <c r="A3952" s="502" t="s">
        <v>5261</v>
      </c>
      <c r="B3952" s="504" t="s">
        <v>25139</v>
      </c>
      <c r="C3952" s="502" t="s">
        <v>114</v>
      </c>
      <c r="D3952" s="503" t="s">
        <v>24290</v>
      </c>
      <c r="F3952" t="str">
        <f t="shared" si="123"/>
        <v>89496</v>
      </c>
      <c r="H3952" s="14">
        <f t="shared" si="124"/>
        <v>15.44</v>
      </c>
    </row>
    <row r="3953" spans="1:8" ht="41.4">
      <c r="A3953" s="502" t="s">
        <v>5262</v>
      </c>
      <c r="B3953" s="504" t="s">
        <v>25140</v>
      </c>
      <c r="C3953" s="502" t="s">
        <v>114</v>
      </c>
      <c r="D3953" s="503" t="s">
        <v>7071</v>
      </c>
      <c r="F3953" t="str">
        <f t="shared" si="123"/>
        <v>89497</v>
      </c>
      <c r="H3953" s="14">
        <f t="shared" si="124"/>
        <v>19.649999999999999</v>
      </c>
    </row>
    <row r="3954" spans="1:8" ht="41.4">
      <c r="A3954" s="502" t="s">
        <v>5263</v>
      </c>
      <c r="B3954" s="504" t="s">
        <v>25141</v>
      </c>
      <c r="C3954" s="502" t="s">
        <v>114</v>
      </c>
      <c r="D3954" s="503" t="s">
        <v>10297</v>
      </c>
      <c r="F3954" t="str">
        <f t="shared" si="123"/>
        <v>89498</v>
      </c>
      <c r="H3954" s="14">
        <f t="shared" si="124"/>
        <v>19.75</v>
      </c>
    </row>
    <row r="3955" spans="1:8" ht="41.4">
      <c r="A3955" s="502" t="s">
        <v>5264</v>
      </c>
      <c r="B3955" s="504" t="s">
        <v>25142</v>
      </c>
      <c r="C3955" s="502" t="s">
        <v>114</v>
      </c>
      <c r="D3955" s="503" t="s">
        <v>32954</v>
      </c>
      <c r="F3955" t="str">
        <f t="shared" si="123"/>
        <v>89499</v>
      </c>
      <c r="H3955" s="14">
        <f t="shared" si="124"/>
        <v>29.45</v>
      </c>
    </row>
    <row r="3956" spans="1:8" ht="41.4">
      <c r="A3956" s="502" t="s">
        <v>5265</v>
      </c>
      <c r="B3956" s="504" t="s">
        <v>25143</v>
      </c>
      <c r="C3956" s="502" t="s">
        <v>114</v>
      </c>
      <c r="D3956" s="503" t="s">
        <v>9932</v>
      </c>
      <c r="F3956" t="str">
        <f t="shared" si="123"/>
        <v>89500</v>
      </c>
      <c r="H3956" s="14">
        <f t="shared" si="124"/>
        <v>18.88</v>
      </c>
    </row>
    <row r="3957" spans="1:8" ht="41.4">
      <c r="A3957" s="502" t="s">
        <v>5266</v>
      </c>
      <c r="B3957" s="504" t="s">
        <v>25144</v>
      </c>
      <c r="C3957" s="502" t="s">
        <v>114</v>
      </c>
      <c r="D3957" s="503" t="s">
        <v>9927</v>
      </c>
      <c r="F3957" t="str">
        <f t="shared" si="123"/>
        <v>89501</v>
      </c>
      <c r="H3957" s="14">
        <f t="shared" si="124"/>
        <v>21.11</v>
      </c>
    </row>
    <row r="3958" spans="1:8" ht="41.4">
      <c r="A3958" s="502" t="s">
        <v>5267</v>
      </c>
      <c r="B3958" s="504" t="s">
        <v>25145</v>
      </c>
      <c r="C3958" s="502" t="s">
        <v>114</v>
      </c>
      <c r="D3958" s="503" t="s">
        <v>10783</v>
      </c>
      <c r="F3958" t="str">
        <f t="shared" si="123"/>
        <v>89502</v>
      </c>
      <c r="H3958" s="14">
        <f t="shared" si="124"/>
        <v>25.09</v>
      </c>
    </row>
    <row r="3959" spans="1:8" ht="41.4">
      <c r="A3959" s="502" t="s">
        <v>5268</v>
      </c>
      <c r="B3959" s="504" t="s">
        <v>25146</v>
      </c>
      <c r="C3959" s="502" t="s">
        <v>114</v>
      </c>
      <c r="D3959" s="503" t="s">
        <v>30308</v>
      </c>
      <c r="F3959" t="str">
        <f t="shared" si="123"/>
        <v>89503</v>
      </c>
      <c r="H3959" s="14">
        <f t="shared" si="124"/>
        <v>33.99</v>
      </c>
    </row>
    <row r="3960" spans="1:8" ht="41.4">
      <c r="A3960" s="502" t="s">
        <v>5269</v>
      </c>
      <c r="B3960" s="504" t="s">
        <v>25147</v>
      </c>
      <c r="C3960" s="502" t="s">
        <v>114</v>
      </c>
      <c r="D3960" s="503" t="s">
        <v>25273</v>
      </c>
      <c r="F3960" t="str">
        <f t="shared" si="123"/>
        <v>89504</v>
      </c>
      <c r="H3960" s="14">
        <f t="shared" si="124"/>
        <v>27.96</v>
      </c>
    </row>
    <row r="3961" spans="1:8" ht="41.4">
      <c r="A3961" s="502" t="s">
        <v>5270</v>
      </c>
      <c r="B3961" s="504" t="s">
        <v>25149</v>
      </c>
      <c r="C3961" s="502" t="s">
        <v>114</v>
      </c>
      <c r="D3961" s="503" t="s">
        <v>32955</v>
      </c>
      <c r="F3961" t="str">
        <f t="shared" si="123"/>
        <v>89505</v>
      </c>
      <c r="H3961" s="14">
        <f t="shared" si="124"/>
        <v>62.45</v>
      </c>
    </row>
    <row r="3962" spans="1:8" ht="41.4">
      <c r="A3962" s="502" t="s">
        <v>5271</v>
      </c>
      <c r="B3962" s="504" t="s">
        <v>25150</v>
      </c>
      <c r="C3962" s="502" t="s">
        <v>114</v>
      </c>
      <c r="D3962" s="503" t="s">
        <v>32956</v>
      </c>
      <c r="F3962" t="str">
        <f t="shared" si="123"/>
        <v>89506</v>
      </c>
      <c r="H3962" s="14">
        <f t="shared" si="124"/>
        <v>59.66</v>
      </c>
    </row>
    <row r="3963" spans="1:8" ht="41.4">
      <c r="A3963" s="502" t="s">
        <v>5272</v>
      </c>
      <c r="B3963" s="504" t="s">
        <v>25151</v>
      </c>
      <c r="C3963" s="502" t="s">
        <v>114</v>
      </c>
      <c r="D3963" s="503" t="s">
        <v>32957</v>
      </c>
      <c r="F3963" t="str">
        <f t="shared" si="123"/>
        <v>89507</v>
      </c>
      <c r="H3963" s="14">
        <f t="shared" si="124"/>
        <v>70.69</v>
      </c>
    </row>
    <row r="3964" spans="1:8" ht="41.4">
      <c r="A3964" s="502" t="s">
        <v>5273</v>
      </c>
      <c r="B3964" s="504" t="s">
        <v>25152</v>
      </c>
      <c r="C3964" s="502" t="s">
        <v>114</v>
      </c>
      <c r="D3964" s="503" t="s">
        <v>32935</v>
      </c>
      <c r="F3964" t="str">
        <f t="shared" si="123"/>
        <v>89510</v>
      </c>
      <c r="H3964" s="14">
        <f t="shared" si="124"/>
        <v>40.07</v>
      </c>
    </row>
    <row r="3965" spans="1:8" ht="41.4">
      <c r="A3965" s="502" t="s">
        <v>5274</v>
      </c>
      <c r="B3965" s="504" t="s">
        <v>25153</v>
      </c>
      <c r="C3965" s="502" t="s">
        <v>114</v>
      </c>
      <c r="D3965" s="503" t="s">
        <v>32958</v>
      </c>
      <c r="F3965" t="str">
        <f t="shared" si="123"/>
        <v>89513</v>
      </c>
      <c r="H3965" s="14">
        <f t="shared" si="124"/>
        <v>157.82</v>
      </c>
    </row>
    <row r="3966" spans="1:8" ht="41.4">
      <c r="A3966" s="502" t="s">
        <v>5275</v>
      </c>
      <c r="B3966" s="504" t="s">
        <v>25154</v>
      </c>
      <c r="C3966" s="502" t="s">
        <v>114</v>
      </c>
      <c r="D3966" s="503" t="s">
        <v>9916</v>
      </c>
      <c r="F3966" t="str">
        <f t="shared" si="123"/>
        <v>89514</v>
      </c>
      <c r="H3966" s="14">
        <f t="shared" si="124"/>
        <v>12.75</v>
      </c>
    </row>
    <row r="3967" spans="1:8" ht="41.4">
      <c r="A3967" s="502" t="s">
        <v>5276</v>
      </c>
      <c r="B3967" s="504" t="s">
        <v>25155</v>
      </c>
      <c r="C3967" s="502" t="s">
        <v>114</v>
      </c>
      <c r="D3967" s="503" t="s">
        <v>32959</v>
      </c>
      <c r="F3967" t="str">
        <f t="shared" si="123"/>
        <v>89515</v>
      </c>
      <c r="H3967" s="14">
        <f t="shared" si="124"/>
        <v>125.55</v>
      </c>
    </row>
    <row r="3968" spans="1:8" ht="41.4">
      <c r="A3968" s="502" t="s">
        <v>5277</v>
      </c>
      <c r="B3968" s="504" t="s">
        <v>25156</v>
      </c>
      <c r="C3968" s="502" t="s">
        <v>114</v>
      </c>
      <c r="D3968" s="503" t="s">
        <v>15811</v>
      </c>
      <c r="F3968" t="str">
        <f t="shared" si="123"/>
        <v>89516</v>
      </c>
      <c r="H3968" s="14">
        <f t="shared" si="124"/>
        <v>12.9</v>
      </c>
    </row>
    <row r="3969" spans="1:8" ht="41.4">
      <c r="A3969" s="502" t="s">
        <v>5278</v>
      </c>
      <c r="B3969" s="504" t="s">
        <v>25157</v>
      </c>
      <c r="C3969" s="502" t="s">
        <v>114</v>
      </c>
      <c r="D3969" s="503" t="s">
        <v>32960</v>
      </c>
      <c r="F3969" t="str">
        <f t="shared" si="123"/>
        <v>89517</v>
      </c>
      <c r="H3969" s="14">
        <f t="shared" si="124"/>
        <v>104.95</v>
      </c>
    </row>
    <row r="3970" spans="1:8" ht="41.4">
      <c r="A3970" s="502" t="s">
        <v>5279</v>
      </c>
      <c r="B3970" s="504" t="s">
        <v>25158</v>
      </c>
      <c r="C3970" s="502" t="s">
        <v>114</v>
      </c>
      <c r="D3970" s="503" t="s">
        <v>29329</v>
      </c>
      <c r="F3970" t="str">
        <f t="shared" si="123"/>
        <v>89518</v>
      </c>
      <c r="H3970" s="14">
        <f t="shared" si="124"/>
        <v>23.11</v>
      </c>
    </row>
    <row r="3971" spans="1:8" ht="41.4">
      <c r="A3971" s="502" t="s">
        <v>5280</v>
      </c>
      <c r="B3971" s="504" t="s">
        <v>25159</v>
      </c>
      <c r="C3971" s="502" t="s">
        <v>114</v>
      </c>
      <c r="D3971" s="503" t="s">
        <v>32957</v>
      </c>
      <c r="F3971" t="str">
        <f t="shared" si="123"/>
        <v>89519</v>
      </c>
      <c r="H3971" s="14">
        <f t="shared" si="124"/>
        <v>70.69</v>
      </c>
    </row>
    <row r="3972" spans="1:8" ht="41.4">
      <c r="A3972" s="502" t="s">
        <v>5281</v>
      </c>
      <c r="B3972" s="504" t="s">
        <v>25160</v>
      </c>
      <c r="C3972" s="502" t="s">
        <v>114</v>
      </c>
      <c r="D3972" s="503" t="s">
        <v>28281</v>
      </c>
      <c r="F3972" t="str">
        <f t="shared" si="123"/>
        <v>89520</v>
      </c>
      <c r="H3972" s="14">
        <f t="shared" si="124"/>
        <v>24.34</v>
      </c>
    </row>
    <row r="3973" spans="1:8" ht="41.4">
      <c r="A3973" s="502" t="s">
        <v>5282</v>
      </c>
      <c r="B3973" s="504" t="s">
        <v>25161</v>
      </c>
      <c r="C3973" s="502" t="s">
        <v>114</v>
      </c>
      <c r="D3973" s="503" t="s">
        <v>32961</v>
      </c>
      <c r="F3973" t="str">
        <f t="shared" ref="F3973:F4036" si="125">TRIM(A3973)</f>
        <v>89521</v>
      </c>
      <c r="H3973" s="14">
        <f t="shared" ref="H3973:H4036" si="126">ROUND(D3973*(1+$H$1),2)</f>
        <v>188.1</v>
      </c>
    </row>
    <row r="3974" spans="1:8" ht="41.4">
      <c r="A3974" s="502" t="s">
        <v>5283</v>
      </c>
      <c r="B3974" s="504" t="s">
        <v>25162</v>
      </c>
      <c r="C3974" s="502" t="s">
        <v>114</v>
      </c>
      <c r="D3974" s="503" t="s">
        <v>28541</v>
      </c>
      <c r="F3974" t="str">
        <f t="shared" si="125"/>
        <v>89522</v>
      </c>
      <c r="H3974" s="14">
        <f t="shared" si="126"/>
        <v>46.46</v>
      </c>
    </row>
    <row r="3975" spans="1:8" ht="41.4">
      <c r="A3975" s="502" t="s">
        <v>5285</v>
      </c>
      <c r="B3975" s="504" t="s">
        <v>25163</v>
      </c>
      <c r="C3975" s="502" t="s">
        <v>114</v>
      </c>
      <c r="D3975" s="503" t="s">
        <v>32962</v>
      </c>
      <c r="F3975" t="str">
        <f t="shared" si="125"/>
        <v>89523</v>
      </c>
      <c r="H3975" s="14">
        <f t="shared" si="126"/>
        <v>153.54</v>
      </c>
    </row>
    <row r="3976" spans="1:8" ht="41.4">
      <c r="A3976" s="502" t="s">
        <v>5286</v>
      </c>
      <c r="B3976" s="504" t="s">
        <v>25164</v>
      </c>
      <c r="C3976" s="502" t="s">
        <v>114</v>
      </c>
      <c r="D3976" s="503" t="s">
        <v>32963</v>
      </c>
      <c r="F3976" t="str">
        <f t="shared" si="125"/>
        <v>89524</v>
      </c>
      <c r="H3976" s="14">
        <f t="shared" si="126"/>
        <v>47.25</v>
      </c>
    </row>
    <row r="3977" spans="1:8" ht="41.4">
      <c r="A3977" s="502" t="s">
        <v>5287</v>
      </c>
      <c r="B3977" s="504" t="s">
        <v>25165</v>
      </c>
      <c r="C3977" s="502" t="s">
        <v>114</v>
      </c>
      <c r="D3977" s="503" t="s">
        <v>32964</v>
      </c>
      <c r="F3977" t="str">
        <f t="shared" si="125"/>
        <v>89525</v>
      </c>
      <c r="H3977" s="14">
        <f t="shared" si="126"/>
        <v>132.06</v>
      </c>
    </row>
    <row r="3978" spans="1:8" ht="41.4">
      <c r="A3978" s="502" t="s">
        <v>5288</v>
      </c>
      <c r="B3978" s="504" t="s">
        <v>25166</v>
      </c>
      <c r="C3978" s="502" t="s">
        <v>114</v>
      </c>
      <c r="D3978" s="503" t="s">
        <v>32965</v>
      </c>
      <c r="F3978" t="str">
        <f t="shared" si="125"/>
        <v>89526</v>
      </c>
      <c r="H3978" s="14">
        <f t="shared" si="126"/>
        <v>61.67</v>
      </c>
    </row>
    <row r="3979" spans="1:8" ht="41.4">
      <c r="A3979" s="502" t="s">
        <v>5289</v>
      </c>
      <c r="B3979" s="504" t="s">
        <v>25167</v>
      </c>
      <c r="C3979" s="502" t="s">
        <v>114</v>
      </c>
      <c r="D3979" s="503" t="s">
        <v>32966</v>
      </c>
      <c r="F3979" t="str">
        <f t="shared" si="125"/>
        <v>89527</v>
      </c>
      <c r="H3979" s="14">
        <f t="shared" si="126"/>
        <v>85.17</v>
      </c>
    </row>
    <row r="3980" spans="1:8" ht="27.6">
      <c r="A3980" s="502" t="s">
        <v>5290</v>
      </c>
      <c r="B3980" s="504" t="s">
        <v>25168</v>
      </c>
      <c r="C3980" s="502" t="s">
        <v>114</v>
      </c>
      <c r="D3980" s="503" t="s">
        <v>10761</v>
      </c>
      <c r="F3980" t="str">
        <f t="shared" si="125"/>
        <v>89528</v>
      </c>
      <c r="H3980" s="14">
        <f t="shared" si="126"/>
        <v>6.24</v>
      </c>
    </row>
    <row r="3981" spans="1:8" ht="41.4">
      <c r="A3981" s="502" t="s">
        <v>5291</v>
      </c>
      <c r="B3981" s="504" t="s">
        <v>25169</v>
      </c>
      <c r="C3981" s="502" t="s">
        <v>114</v>
      </c>
      <c r="D3981" s="503" t="s">
        <v>25578</v>
      </c>
      <c r="F3981" t="str">
        <f t="shared" si="125"/>
        <v>89529</v>
      </c>
      <c r="H3981" s="14">
        <f t="shared" si="126"/>
        <v>57.31</v>
      </c>
    </row>
    <row r="3982" spans="1:8" ht="41.4">
      <c r="A3982" s="502" t="s">
        <v>5292</v>
      </c>
      <c r="B3982" s="504" t="s">
        <v>25170</v>
      </c>
      <c r="C3982" s="502" t="s">
        <v>114</v>
      </c>
      <c r="D3982" s="503" t="s">
        <v>10155</v>
      </c>
      <c r="F3982" t="str">
        <f t="shared" si="125"/>
        <v>89530</v>
      </c>
      <c r="H3982" s="14">
        <f t="shared" si="126"/>
        <v>24.69</v>
      </c>
    </row>
    <row r="3983" spans="1:8" ht="41.4">
      <c r="A3983" s="502" t="s">
        <v>5293</v>
      </c>
      <c r="B3983" s="504" t="s">
        <v>25171</v>
      </c>
      <c r="C3983" s="502" t="s">
        <v>114</v>
      </c>
      <c r="D3983" s="503" t="s">
        <v>32967</v>
      </c>
      <c r="F3983" t="str">
        <f t="shared" si="125"/>
        <v>89531</v>
      </c>
      <c r="H3983" s="14">
        <f t="shared" si="126"/>
        <v>59.07</v>
      </c>
    </row>
    <row r="3984" spans="1:8" ht="41.4">
      <c r="A3984" s="502" t="s">
        <v>5294</v>
      </c>
      <c r="B3984" s="504" t="s">
        <v>25172</v>
      </c>
      <c r="C3984" s="502" t="s">
        <v>114</v>
      </c>
      <c r="D3984" s="503" t="s">
        <v>16444</v>
      </c>
      <c r="F3984" t="str">
        <f t="shared" si="125"/>
        <v>89532</v>
      </c>
      <c r="H3984" s="14">
        <f t="shared" si="126"/>
        <v>10.54</v>
      </c>
    </row>
    <row r="3985" spans="1:8" ht="41.4">
      <c r="A3985" s="502" t="s">
        <v>5295</v>
      </c>
      <c r="B3985" s="504" t="s">
        <v>25173</v>
      </c>
      <c r="C3985" s="502" t="s">
        <v>114</v>
      </c>
      <c r="D3985" s="503" t="s">
        <v>29323</v>
      </c>
      <c r="F3985" t="str">
        <f t="shared" si="125"/>
        <v>89535</v>
      </c>
      <c r="H3985" s="14">
        <f t="shared" si="126"/>
        <v>66.61</v>
      </c>
    </row>
    <row r="3986" spans="1:8" ht="27.6">
      <c r="A3986" s="502" t="s">
        <v>5296</v>
      </c>
      <c r="B3986" s="504" t="s">
        <v>25174</v>
      </c>
      <c r="C3986" s="502" t="s">
        <v>114</v>
      </c>
      <c r="D3986" s="503" t="s">
        <v>28810</v>
      </c>
      <c r="F3986" t="str">
        <f t="shared" si="125"/>
        <v>89536</v>
      </c>
      <c r="H3986" s="14">
        <f t="shared" si="126"/>
        <v>17.72</v>
      </c>
    </row>
    <row r="3987" spans="1:8" ht="41.4">
      <c r="A3987" s="502" t="s">
        <v>5297</v>
      </c>
      <c r="B3987" s="504" t="s">
        <v>25175</v>
      </c>
      <c r="C3987" s="502" t="s">
        <v>114</v>
      </c>
      <c r="D3987" s="503" t="s">
        <v>3847</v>
      </c>
      <c r="F3987" t="str">
        <f t="shared" si="125"/>
        <v>89540</v>
      </c>
      <c r="H3987" s="14">
        <f t="shared" si="126"/>
        <v>15.63</v>
      </c>
    </row>
    <row r="3988" spans="1:8" ht="27.6">
      <c r="A3988" s="502" t="s">
        <v>5298</v>
      </c>
      <c r="B3988" s="504" t="s">
        <v>25176</v>
      </c>
      <c r="C3988" s="502" t="s">
        <v>114</v>
      </c>
      <c r="D3988" s="503" t="s">
        <v>29055</v>
      </c>
      <c r="F3988" t="str">
        <f t="shared" si="125"/>
        <v>89541</v>
      </c>
      <c r="H3988" s="14">
        <f t="shared" si="126"/>
        <v>9.42</v>
      </c>
    </row>
    <row r="3989" spans="1:8" ht="41.4">
      <c r="A3989" s="502" t="s">
        <v>5299</v>
      </c>
      <c r="B3989" s="504" t="s">
        <v>25177</v>
      </c>
      <c r="C3989" s="502" t="s">
        <v>114</v>
      </c>
      <c r="D3989" s="503" t="s">
        <v>32968</v>
      </c>
      <c r="F3989" t="str">
        <f t="shared" si="125"/>
        <v>89542</v>
      </c>
      <c r="H3989" s="14">
        <f t="shared" si="126"/>
        <v>41.31</v>
      </c>
    </row>
    <row r="3990" spans="1:8" ht="41.4">
      <c r="A3990" s="502" t="s">
        <v>5300</v>
      </c>
      <c r="B3990" s="504" t="s">
        <v>25178</v>
      </c>
      <c r="C3990" s="502" t="s">
        <v>114</v>
      </c>
      <c r="D3990" s="503" t="s">
        <v>4390</v>
      </c>
      <c r="F3990" t="str">
        <f t="shared" si="125"/>
        <v>89544</v>
      </c>
      <c r="H3990" s="14">
        <f t="shared" si="126"/>
        <v>13.27</v>
      </c>
    </row>
    <row r="3991" spans="1:8" ht="41.4">
      <c r="A3991" s="502" t="s">
        <v>5301</v>
      </c>
      <c r="B3991" s="504" t="s">
        <v>25179</v>
      </c>
      <c r="C3991" s="502" t="s">
        <v>114</v>
      </c>
      <c r="D3991" s="503" t="s">
        <v>9497</v>
      </c>
      <c r="F3991" t="str">
        <f t="shared" si="125"/>
        <v>89545</v>
      </c>
      <c r="H3991" s="14">
        <f t="shared" si="126"/>
        <v>26.37</v>
      </c>
    </row>
    <row r="3992" spans="1:8" ht="41.4">
      <c r="A3992" s="502" t="s">
        <v>5302</v>
      </c>
      <c r="B3992" s="504" t="s">
        <v>25180</v>
      </c>
      <c r="C3992" s="502" t="s">
        <v>114</v>
      </c>
      <c r="D3992" s="503" t="s">
        <v>28693</v>
      </c>
      <c r="F3992" t="str">
        <f t="shared" si="125"/>
        <v>89546</v>
      </c>
      <c r="H3992" s="14">
        <f t="shared" si="126"/>
        <v>17.18</v>
      </c>
    </row>
    <row r="3993" spans="1:8" ht="41.4">
      <c r="A3993" s="502" t="s">
        <v>5303</v>
      </c>
      <c r="B3993" s="504" t="s">
        <v>25181</v>
      </c>
      <c r="C3993" s="502" t="s">
        <v>114</v>
      </c>
      <c r="D3993" s="503" t="s">
        <v>12737</v>
      </c>
      <c r="F3993" t="str">
        <f t="shared" si="125"/>
        <v>89547</v>
      </c>
      <c r="H3993" s="14">
        <f t="shared" si="126"/>
        <v>34.5</v>
      </c>
    </row>
    <row r="3994" spans="1:8" ht="41.4">
      <c r="A3994" s="502" t="s">
        <v>5305</v>
      </c>
      <c r="B3994" s="504" t="s">
        <v>25182</v>
      </c>
      <c r="C3994" s="502" t="s">
        <v>114</v>
      </c>
      <c r="D3994" s="503" t="s">
        <v>32969</v>
      </c>
      <c r="F3994" t="str">
        <f t="shared" si="125"/>
        <v>89548</v>
      </c>
      <c r="H3994" s="14">
        <f t="shared" si="126"/>
        <v>35.5</v>
      </c>
    </row>
    <row r="3995" spans="1:8" ht="41.4">
      <c r="A3995" s="502" t="s">
        <v>5306</v>
      </c>
      <c r="B3995" s="504" t="s">
        <v>25183</v>
      </c>
      <c r="C3995" s="502" t="s">
        <v>114</v>
      </c>
      <c r="D3995" s="503" t="s">
        <v>21825</v>
      </c>
      <c r="F3995" t="str">
        <f t="shared" si="125"/>
        <v>89549</v>
      </c>
      <c r="H3995" s="14">
        <f t="shared" si="126"/>
        <v>29.32</v>
      </c>
    </row>
    <row r="3996" spans="1:8" ht="41.4">
      <c r="A3996" s="502" t="s">
        <v>5307</v>
      </c>
      <c r="B3996" s="504" t="s">
        <v>25184</v>
      </c>
      <c r="C3996" s="502" t="s">
        <v>114</v>
      </c>
      <c r="D3996" s="503" t="s">
        <v>32970</v>
      </c>
      <c r="F3996" t="str">
        <f t="shared" si="125"/>
        <v>89550</v>
      </c>
      <c r="H3996" s="14">
        <f t="shared" si="126"/>
        <v>65.709999999999994</v>
      </c>
    </row>
    <row r="3997" spans="1:8" ht="41.4">
      <c r="A3997" s="502" t="s">
        <v>5308</v>
      </c>
      <c r="B3997" s="504" t="s">
        <v>25185</v>
      </c>
      <c r="C3997" s="502" t="s">
        <v>114</v>
      </c>
      <c r="D3997" s="503" t="s">
        <v>29230</v>
      </c>
      <c r="F3997" t="str">
        <f t="shared" si="125"/>
        <v>89551</v>
      </c>
      <c r="H3997" s="14">
        <f t="shared" si="126"/>
        <v>12.78</v>
      </c>
    </row>
    <row r="3998" spans="1:8" ht="27.6">
      <c r="A3998" s="502" t="s">
        <v>5309</v>
      </c>
      <c r="B3998" s="504" t="s">
        <v>25187</v>
      </c>
      <c r="C3998" s="502" t="s">
        <v>114</v>
      </c>
      <c r="D3998" s="503" t="s">
        <v>32971</v>
      </c>
      <c r="F3998" t="str">
        <f t="shared" si="125"/>
        <v>89552</v>
      </c>
      <c r="H3998" s="14">
        <f t="shared" si="126"/>
        <v>27.77</v>
      </c>
    </row>
    <row r="3999" spans="1:8" ht="41.4">
      <c r="A3999" s="502" t="s">
        <v>5311</v>
      </c>
      <c r="B3999" s="504" t="s">
        <v>25188</v>
      </c>
      <c r="C3999" s="502" t="s">
        <v>114</v>
      </c>
      <c r="D3999" s="503" t="s">
        <v>10061</v>
      </c>
      <c r="F3999" t="str">
        <f t="shared" si="125"/>
        <v>89553</v>
      </c>
      <c r="H3999" s="14">
        <f t="shared" si="126"/>
        <v>8.43</v>
      </c>
    </row>
    <row r="4000" spans="1:8" ht="41.4">
      <c r="A4000" s="502" t="s">
        <v>5313</v>
      </c>
      <c r="B4000" s="504" t="s">
        <v>25189</v>
      </c>
      <c r="C4000" s="502" t="s">
        <v>114</v>
      </c>
      <c r="D4000" s="503" t="s">
        <v>19942</v>
      </c>
      <c r="F4000" t="str">
        <f t="shared" si="125"/>
        <v>89554</v>
      </c>
      <c r="H4000" s="14">
        <f t="shared" si="126"/>
        <v>43.36</v>
      </c>
    </row>
    <row r="4001" spans="1:8" ht="41.4">
      <c r="A4001" s="502" t="s">
        <v>5315</v>
      </c>
      <c r="B4001" s="504" t="s">
        <v>25190</v>
      </c>
      <c r="C4001" s="502" t="s">
        <v>114</v>
      </c>
      <c r="D4001" s="503" t="s">
        <v>32413</v>
      </c>
      <c r="F4001" t="str">
        <f t="shared" si="125"/>
        <v>89555</v>
      </c>
      <c r="H4001" s="14">
        <f t="shared" si="126"/>
        <v>32.630000000000003</v>
      </c>
    </row>
    <row r="4002" spans="1:8" ht="41.4">
      <c r="A4002" s="502" t="s">
        <v>5316</v>
      </c>
      <c r="B4002" s="504" t="s">
        <v>25191</v>
      </c>
      <c r="C4002" s="502" t="s">
        <v>114</v>
      </c>
      <c r="D4002" s="503" t="s">
        <v>32972</v>
      </c>
      <c r="F4002" t="str">
        <f t="shared" si="125"/>
        <v>89556</v>
      </c>
      <c r="H4002" s="14">
        <f t="shared" si="126"/>
        <v>62.92</v>
      </c>
    </row>
    <row r="4003" spans="1:8" ht="41.4">
      <c r="A4003" s="502" t="s">
        <v>5318</v>
      </c>
      <c r="B4003" s="504" t="s">
        <v>25192</v>
      </c>
      <c r="C4003" s="502" t="s">
        <v>114</v>
      </c>
      <c r="D4003" s="503" t="s">
        <v>32973</v>
      </c>
      <c r="F4003" t="str">
        <f t="shared" si="125"/>
        <v>89557</v>
      </c>
      <c r="H4003" s="14">
        <f t="shared" si="126"/>
        <v>49.69</v>
      </c>
    </row>
    <row r="4004" spans="1:8" ht="27.6">
      <c r="A4004" s="502" t="s">
        <v>5319</v>
      </c>
      <c r="B4004" s="504" t="s">
        <v>25193</v>
      </c>
      <c r="C4004" s="502" t="s">
        <v>114</v>
      </c>
      <c r="D4004" s="503" t="s">
        <v>29266</v>
      </c>
      <c r="F4004" t="str">
        <f t="shared" si="125"/>
        <v>89558</v>
      </c>
      <c r="H4004" s="14">
        <f t="shared" si="126"/>
        <v>14.44</v>
      </c>
    </row>
    <row r="4005" spans="1:8" ht="41.4">
      <c r="A4005" s="502" t="s">
        <v>5320</v>
      </c>
      <c r="B4005" s="504" t="s">
        <v>25194</v>
      </c>
      <c r="C4005" s="502" t="s">
        <v>114</v>
      </c>
      <c r="D4005" s="503" t="s">
        <v>32974</v>
      </c>
      <c r="F4005" t="str">
        <f t="shared" si="125"/>
        <v>89559</v>
      </c>
      <c r="H4005" s="14">
        <f t="shared" si="126"/>
        <v>107.57</v>
      </c>
    </row>
    <row r="4006" spans="1:8" ht="41.4">
      <c r="A4006" s="502" t="s">
        <v>25195</v>
      </c>
      <c r="B4006" s="504" t="s">
        <v>25196</v>
      </c>
      <c r="C4006" s="502" t="s">
        <v>114</v>
      </c>
      <c r="D4006" s="503" t="s">
        <v>29315</v>
      </c>
      <c r="F4006" t="str">
        <f t="shared" si="125"/>
        <v>89560</v>
      </c>
      <c r="H4006" s="14">
        <f t="shared" si="126"/>
        <v>52.98</v>
      </c>
    </row>
    <row r="4007" spans="1:8" ht="41.4">
      <c r="A4007" s="502" t="s">
        <v>5321</v>
      </c>
      <c r="B4007" s="504" t="s">
        <v>25197</v>
      </c>
      <c r="C4007" s="502" t="s">
        <v>114</v>
      </c>
      <c r="D4007" s="503" t="s">
        <v>29329</v>
      </c>
      <c r="F4007" t="str">
        <f t="shared" si="125"/>
        <v>89561</v>
      </c>
      <c r="H4007" s="14">
        <f t="shared" si="126"/>
        <v>23.11</v>
      </c>
    </row>
    <row r="4008" spans="1:8" ht="41.4">
      <c r="A4008" s="502" t="s">
        <v>5322</v>
      </c>
      <c r="B4008" s="504" t="s">
        <v>25199</v>
      </c>
      <c r="C4008" s="502" t="s">
        <v>114</v>
      </c>
      <c r="D4008" s="503" t="s">
        <v>28822</v>
      </c>
      <c r="F4008" t="str">
        <f t="shared" si="125"/>
        <v>89562</v>
      </c>
      <c r="H4008" s="14">
        <f t="shared" si="126"/>
        <v>15.4</v>
      </c>
    </row>
    <row r="4009" spans="1:8" ht="41.4">
      <c r="A4009" s="502" t="s">
        <v>5323</v>
      </c>
      <c r="B4009" s="504" t="s">
        <v>25200</v>
      </c>
      <c r="C4009" s="502" t="s">
        <v>114</v>
      </c>
      <c r="D4009" s="503" t="s">
        <v>32975</v>
      </c>
      <c r="F4009" t="str">
        <f t="shared" si="125"/>
        <v>89563</v>
      </c>
      <c r="H4009" s="14">
        <f t="shared" si="126"/>
        <v>54.51</v>
      </c>
    </row>
    <row r="4010" spans="1:8" ht="41.4">
      <c r="A4010" s="502" t="s">
        <v>5325</v>
      </c>
      <c r="B4010" s="504" t="s">
        <v>25201</v>
      </c>
      <c r="C4010" s="502" t="s">
        <v>114</v>
      </c>
      <c r="D4010" s="503" t="s">
        <v>22342</v>
      </c>
      <c r="F4010" t="str">
        <f t="shared" si="125"/>
        <v>89564</v>
      </c>
      <c r="H4010" s="14">
        <f t="shared" si="126"/>
        <v>23.45</v>
      </c>
    </row>
    <row r="4011" spans="1:8" ht="41.4">
      <c r="A4011" s="502" t="s">
        <v>5326</v>
      </c>
      <c r="B4011" s="504" t="s">
        <v>25202</v>
      </c>
      <c r="C4011" s="502" t="s">
        <v>114</v>
      </c>
      <c r="D4011" s="503" t="s">
        <v>32976</v>
      </c>
      <c r="F4011" t="str">
        <f t="shared" si="125"/>
        <v>89565</v>
      </c>
      <c r="H4011" s="14">
        <f t="shared" si="126"/>
        <v>88.58</v>
      </c>
    </row>
    <row r="4012" spans="1:8" ht="41.4">
      <c r="A4012" s="502" t="s">
        <v>5327</v>
      </c>
      <c r="B4012" s="504" t="s">
        <v>25203</v>
      </c>
      <c r="C4012" s="502" t="s">
        <v>114</v>
      </c>
      <c r="D4012" s="503" t="s">
        <v>11988</v>
      </c>
      <c r="F4012" t="str">
        <f t="shared" si="125"/>
        <v>89566</v>
      </c>
      <c r="H4012" s="14">
        <f t="shared" si="126"/>
        <v>74.430000000000007</v>
      </c>
    </row>
    <row r="4013" spans="1:8" ht="41.4">
      <c r="A4013" s="502" t="s">
        <v>5328</v>
      </c>
      <c r="B4013" s="504" t="s">
        <v>25204</v>
      </c>
      <c r="C4013" s="502" t="s">
        <v>114</v>
      </c>
      <c r="D4013" s="503" t="s">
        <v>32977</v>
      </c>
      <c r="F4013" t="str">
        <f t="shared" si="125"/>
        <v>89567</v>
      </c>
      <c r="H4013" s="14">
        <f t="shared" si="126"/>
        <v>127.39</v>
      </c>
    </row>
    <row r="4014" spans="1:8" ht="27.6">
      <c r="A4014" s="502" t="s">
        <v>5329</v>
      </c>
      <c r="B4014" s="504" t="s">
        <v>25205</v>
      </c>
      <c r="C4014" s="502" t="s">
        <v>114</v>
      </c>
      <c r="D4014" s="503" t="s">
        <v>15499</v>
      </c>
      <c r="F4014" t="str">
        <f t="shared" si="125"/>
        <v>89568</v>
      </c>
      <c r="H4014" s="14">
        <f t="shared" si="126"/>
        <v>49.08</v>
      </c>
    </row>
    <row r="4015" spans="1:8" ht="41.4">
      <c r="A4015" s="502" t="s">
        <v>5330</v>
      </c>
      <c r="B4015" s="504" t="s">
        <v>25206</v>
      </c>
      <c r="C4015" s="502" t="s">
        <v>114</v>
      </c>
      <c r="D4015" s="503" t="s">
        <v>32978</v>
      </c>
      <c r="F4015" t="str">
        <f t="shared" si="125"/>
        <v>89569</v>
      </c>
      <c r="H4015" s="14">
        <f t="shared" si="126"/>
        <v>150.24</v>
      </c>
    </row>
    <row r="4016" spans="1:8" ht="55.2">
      <c r="A4016" s="502" t="s">
        <v>5331</v>
      </c>
      <c r="B4016" s="504" t="s">
        <v>25207</v>
      </c>
      <c r="C4016" s="502" t="s">
        <v>114</v>
      </c>
      <c r="D4016" s="503" t="s">
        <v>23692</v>
      </c>
      <c r="F4016" t="str">
        <f t="shared" si="125"/>
        <v>89570</v>
      </c>
      <c r="H4016" s="14">
        <f t="shared" si="126"/>
        <v>17.059999999999999</v>
      </c>
    </row>
    <row r="4017" spans="1:8" ht="41.4">
      <c r="A4017" s="502" t="s">
        <v>5332</v>
      </c>
      <c r="B4017" s="504" t="s">
        <v>25208</v>
      </c>
      <c r="C4017" s="502" t="s">
        <v>114</v>
      </c>
      <c r="D4017" s="503" t="s">
        <v>31270</v>
      </c>
      <c r="F4017" t="str">
        <f t="shared" si="125"/>
        <v>89571</v>
      </c>
      <c r="H4017" s="14">
        <f t="shared" si="126"/>
        <v>109.56</v>
      </c>
    </row>
    <row r="4018" spans="1:8" ht="55.2">
      <c r="A4018" s="502" t="s">
        <v>5333</v>
      </c>
      <c r="B4018" s="504" t="s">
        <v>25209</v>
      </c>
      <c r="C4018" s="502" t="s">
        <v>114</v>
      </c>
      <c r="D4018" s="503" t="s">
        <v>5173</v>
      </c>
      <c r="F4018" t="str">
        <f t="shared" si="125"/>
        <v>89572</v>
      </c>
      <c r="H4018" s="14">
        <f t="shared" si="126"/>
        <v>12.85</v>
      </c>
    </row>
    <row r="4019" spans="1:8" ht="41.4">
      <c r="A4019" s="502" t="s">
        <v>5334</v>
      </c>
      <c r="B4019" s="504" t="s">
        <v>25210</v>
      </c>
      <c r="C4019" s="502" t="s">
        <v>114</v>
      </c>
      <c r="D4019" s="503" t="s">
        <v>32979</v>
      </c>
      <c r="F4019" t="str">
        <f t="shared" si="125"/>
        <v>89573</v>
      </c>
      <c r="H4019" s="14">
        <f t="shared" si="126"/>
        <v>121.36</v>
      </c>
    </row>
    <row r="4020" spans="1:8" ht="41.4">
      <c r="A4020" s="502" t="s">
        <v>5335</v>
      </c>
      <c r="B4020" s="504" t="s">
        <v>25211</v>
      </c>
      <c r="C4020" s="502" t="s">
        <v>114</v>
      </c>
      <c r="D4020" s="503" t="s">
        <v>30193</v>
      </c>
      <c r="F4020" t="str">
        <f t="shared" si="125"/>
        <v>89574</v>
      </c>
      <c r="H4020" s="14">
        <f t="shared" si="126"/>
        <v>249.1</v>
      </c>
    </row>
    <row r="4021" spans="1:8" ht="27.6">
      <c r="A4021" s="502" t="s">
        <v>5336</v>
      </c>
      <c r="B4021" s="504" t="s">
        <v>25212</v>
      </c>
      <c r="C4021" s="502" t="s">
        <v>114</v>
      </c>
      <c r="D4021" s="503" t="s">
        <v>4776</v>
      </c>
      <c r="F4021" t="str">
        <f t="shared" si="125"/>
        <v>89575</v>
      </c>
      <c r="H4021" s="14">
        <f t="shared" si="126"/>
        <v>17</v>
      </c>
    </row>
    <row r="4022" spans="1:8" ht="41.4">
      <c r="A4022" s="502" t="s">
        <v>5338</v>
      </c>
      <c r="B4022" s="504" t="s">
        <v>25213</v>
      </c>
      <c r="C4022" s="502" t="s">
        <v>114</v>
      </c>
      <c r="D4022" s="503" t="s">
        <v>32980</v>
      </c>
      <c r="F4022" t="str">
        <f t="shared" si="125"/>
        <v>89577</v>
      </c>
      <c r="H4022" s="14">
        <f t="shared" si="126"/>
        <v>55.75</v>
      </c>
    </row>
    <row r="4023" spans="1:8" ht="41.4">
      <c r="A4023" s="502" t="s">
        <v>5339</v>
      </c>
      <c r="B4023" s="504" t="s">
        <v>25214</v>
      </c>
      <c r="C4023" s="502" t="s">
        <v>114</v>
      </c>
      <c r="D4023" s="503" t="s">
        <v>24312</v>
      </c>
      <c r="F4023" t="str">
        <f t="shared" si="125"/>
        <v>89579</v>
      </c>
      <c r="H4023" s="14">
        <f t="shared" si="126"/>
        <v>17.440000000000001</v>
      </c>
    </row>
    <row r="4024" spans="1:8" ht="41.4">
      <c r="A4024" s="502" t="s">
        <v>5340</v>
      </c>
      <c r="B4024" s="504" t="s">
        <v>25215</v>
      </c>
      <c r="C4024" s="502" t="s">
        <v>114</v>
      </c>
      <c r="D4024" s="503" t="s">
        <v>15159</v>
      </c>
      <c r="F4024" t="str">
        <f t="shared" si="125"/>
        <v>89581</v>
      </c>
      <c r="H4024" s="14">
        <f t="shared" si="126"/>
        <v>52.29</v>
      </c>
    </row>
    <row r="4025" spans="1:8" ht="41.4">
      <c r="A4025" s="502" t="s">
        <v>5341</v>
      </c>
      <c r="B4025" s="504" t="s">
        <v>25216</v>
      </c>
      <c r="C4025" s="502" t="s">
        <v>114</v>
      </c>
      <c r="D4025" s="503" t="s">
        <v>25658</v>
      </c>
      <c r="F4025" t="str">
        <f t="shared" si="125"/>
        <v>89582</v>
      </c>
      <c r="H4025" s="14">
        <f t="shared" si="126"/>
        <v>53.07</v>
      </c>
    </row>
    <row r="4026" spans="1:8" ht="55.2">
      <c r="A4026" s="502" t="s">
        <v>5342</v>
      </c>
      <c r="B4026" s="504" t="s">
        <v>25217</v>
      </c>
      <c r="C4026" s="502" t="s">
        <v>114</v>
      </c>
      <c r="D4026" s="503" t="s">
        <v>32981</v>
      </c>
      <c r="F4026" t="str">
        <f t="shared" si="125"/>
        <v>89583</v>
      </c>
      <c r="H4026" s="14">
        <f t="shared" si="126"/>
        <v>67.489999999999995</v>
      </c>
    </row>
    <row r="4027" spans="1:8" ht="41.4">
      <c r="A4027" s="502" t="s">
        <v>5343</v>
      </c>
      <c r="B4027" s="504" t="s">
        <v>25218</v>
      </c>
      <c r="C4027" s="502" t="s">
        <v>114</v>
      </c>
      <c r="D4027" s="503" t="s">
        <v>32982</v>
      </c>
      <c r="F4027" t="str">
        <f t="shared" si="125"/>
        <v>89584</v>
      </c>
      <c r="H4027" s="14">
        <f t="shared" si="126"/>
        <v>67.849999999999994</v>
      </c>
    </row>
    <row r="4028" spans="1:8" ht="41.4">
      <c r="A4028" s="502" t="s">
        <v>5344</v>
      </c>
      <c r="B4028" s="504" t="s">
        <v>25220</v>
      </c>
      <c r="C4028" s="502" t="s">
        <v>114</v>
      </c>
      <c r="D4028" s="503" t="s">
        <v>32983</v>
      </c>
      <c r="F4028" t="str">
        <f t="shared" si="125"/>
        <v>89585</v>
      </c>
      <c r="H4028" s="14">
        <f t="shared" si="126"/>
        <v>69.61</v>
      </c>
    </row>
    <row r="4029" spans="1:8" ht="55.2">
      <c r="A4029" s="502" t="s">
        <v>5345</v>
      </c>
      <c r="B4029" s="504" t="s">
        <v>25221</v>
      </c>
      <c r="C4029" s="502" t="s">
        <v>114</v>
      </c>
      <c r="D4029" s="503" t="s">
        <v>32984</v>
      </c>
      <c r="F4029" t="str">
        <f t="shared" si="125"/>
        <v>89587</v>
      </c>
      <c r="H4029" s="14">
        <f t="shared" si="126"/>
        <v>77.150000000000006</v>
      </c>
    </row>
    <row r="4030" spans="1:8" ht="41.4">
      <c r="A4030" s="502" t="s">
        <v>5346</v>
      </c>
      <c r="B4030" s="504" t="s">
        <v>25222</v>
      </c>
      <c r="C4030" s="502" t="s">
        <v>114</v>
      </c>
      <c r="D4030" s="503" t="s">
        <v>28560</v>
      </c>
      <c r="F4030" t="str">
        <f t="shared" si="125"/>
        <v>89590</v>
      </c>
      <c r="H4030" s="14">
        <f t="shared" si="126"/>
        <v>208.83</v>
      </c>
    </row>
    <row r="4031" spans="1:8" ht="41.4">
      <c r="A4031" s="502" t="s">
        <v>5347</v>
      </c>
      <c r="B4031" s="504" t="s">
        <v>25223</v>
      </c>
      <c r="C4031" s="502" t="s">
        <v>114</v>
      </c>
      <c r="D4031" s="503" t="s">
        <v>32985</v>
      </c>
      <c r="F4031" t="str">
        <f t="shared" si="125"/>
        <v>89591</v>
      </c>
      <c r="H4031" s="14">
        <f t="shared" si="126"/>
        <v>203.46</v>
      </c>
    </row>
    <row r="4032" spans="1:8" ht="55.2">
      <c r="A4032" s="502" t="s">
        <v>5348</v>
      </c>
      <c r="B4032" s="504" t="s">
        <v>25224</v>
      </c>
      <c r="C4032" s="502" t="s">
        <v>114</v>
      </c>
      <c r="D4032" s="503" t="s">
        <v>32986</v>
      </c>
      <c r="F4032" t="str">
        <f t="shared" si="125"/>
        <v>89592</v>
      </c>
      <c r="H4032" s="14">
        <f t="shared" si="126"/>
        <v>250.7</v>
      </c>
    </row>
    <row r="4033" spans="1:8" ht="41.4">
      <c r="A4033" s="502" t="s">
        <v>5349</v>
      </c>
      <c r="B4033" s="504" t="s">
        <v>25225</v>
      </c>
      <c r="C4033" s="502" t="s">
        <v>114</v>
      </c>
      <c r="D4033" s="503" t="s">
        <v>17761</v>
      </c>
      <c r="F4033" t="str">
        <f t="shared" si="125"/>
        <v>89593</v>
      </c>
      <c r="H4033" s="14">
        <f t="shared" si="126"/>
        <v>37.520000000000003</v>
      </c>
    </row>
    <row r="4034" spans="1:8" ht="27.6">
      <c r="A4034" s="502" t="s">
        <v>5350</v>
      </c>
      <c r="B4034" s="504" t="s">
        <v>25226</v>
      </c>
      <c r="C4034" s="502" t="s">
        <v>114</v>
      </c>
      <c r="D4034" s="503" t="s">
        <v>15789</v>
      </c>
      <c r="F4034" t="str">
        <f t="shared" si="125"/>
        <v>89594</v>
      </c>
      <c r="H4034" s="14">
        <f t="shared" si="126"/>
        <v>54.26</v>
      </c>
    </row>
    <row r="4035" spans="1:8" ht="55.2">
      <c r="A4035" s="502" t="s">
        <v>5351</v>
      </c>
      <c r="B4035" s="504" t="s">
        <v>25227</v>
      </c>
      <c r="C4035" s="502" t="s">
        <v>114</v>
      </c>
      <c r="D4035" s="503" t="s">
        <v>7367</v>
      </c>
      <c r="F4035" t="str">
        <f t="shared" si="125"/>
        <v>89595</v>
      </c>
      <c r="H4035" s="14">
        <f t="shared" si="126"/>
        <v>21.6</v>
      </c>
    </row>
    <row r="4036" spans="1:8" ht="55.2">
      <c r="A4036" s="502" t="s">
        <v>5352</v>
      </c>
      <c r="B4036" s="504" t="s">
        <v>25228</v>
      </c>
      <c r="C4036" s="502" t="s">
        <v>114</v>
      </c>
      <c r="D4036" s="503" t="s">
        <v>9905</v>
      </c>
      <c r="F4036" t="str">
        <f t="shared" si="125"/>
        <v>89596</v>
      </c>
      <c r="H4036" s="14">
        <f t="shared" si="126"/>
        <v>15.42</v>
      </c>
    </row>
    <row r="4037" spans="1:8" ht="27.6">
      <c r="A4037" s="502" t="s">
        <v>5353</v>
      </c>
      <c r="B4037" s="504" t="s">
        <v>25229</v>
      </c>
      <c r="C4037" s="502" t="s">
        <v>114</v>
      </c>
      <c r="D4037" s="503" t="s">
        <v>29760</v>
      </c>
      <c r="F4037" t="str">
        <f t="shared" ref="F4037:F4100" si="127">TRIM(A4037)</f>
        <v>89597</v>
      </c>
      <c r="H4037" s="14">
        <f t="shared" ref="H4037:H4100" si="128">ROUND(D4037*(1+$H$1),2)</f>
        <v>33.81</v>
      </c>
    </row>
    <row r="4038" spans="1:8" ht="41.4">
      <c r="A4038" s="502" t="s">
        <v>5354</v>
      </c>
      <c r="B4038" s="504" t="s">
        <v>25230</v>
      </c>
      <c r="C4038" s="502" t="s">
        <v>114</v>
      </c>
      <c r="D4038" s="503" t="s">
        <v>19167</v>
      </c>
      <c r="F4038" t="str">
        <f t="shared" si="127"/>
        <v>89598</v>
      </c>
      <c r="H4038" s="14">
        <f t="shared" si="128"/>
        <v>75.27</v>
      </c>
    </row>
    <row r="4039" spans="1:8" ht="41.4">
      <c r="A4039" s="502" t="s">
        <v>5355</v>
      </c>
      <c r="B4039" s="504" t="s">
        <v>25231</v>
      </c>
      <c r="C4039" s="502" t="s">
        <v>114</v>
      </c>
      <c r="D4039" s="503" t="s">
        <v>32300</v>
      </c>
      <c r="F4039" t="str">
        <f t="shared" si="127"/>
        <v>89599</v>
      </c>
      <c r="H4039" s="14">
        <f t="shared" si="128"/>
        <v>38.39</v>
      </c>
    </row>
    <row r="4040" spans="1:8" ht="41.4">
      <c r="A4040" s="502" t="s">
        <v>5356</v>
      </c>
      <c r="B4040" s="504" t="s">
        <v>25232</v>
      </c>
      <c r="C4040" s="502" t="s">
        <v>114</v>
      </c>
      <c r="D4040" s="503" t="s">
        <v>10072</v>
      </c>
      <c r="F4040" t="str">
        <f t="shared" si="127"/>
        <v>89600</v>
      </c>
      <c r="H4040" s="14">
        <f t="shared" si="128"/>
        <v>39.380000000000003</v>
      </c>
    </row>
    <row r="4041" spans="1:8" ht="41.4">
      <c r="A4041" s="502" t="s">
        <v>5357</v>
      </c>
      <c r="B4041" s="504" t="s">
        <v>25233</v>
      </c>
      <c r="C4041" s="502" t="s">
        <v>114</v>
      </c>
      <c r="D4041" s="503" t="s">
        <v>9544</v>
      </c>
      <c r="F4041" t="str">
        <f t="shared" si="127"/>
        <v>89605</v>
      </c>
      <c r="H4041" s="14">
        <f t="shared" si="128"/>
        <v>30.78</v>
      </c>
    </row>
    <row r="4042" spans="1:8" ht="27.6">
      <c r="A4042" s="502" t="s">
        <v>5358</v>
      </c>
      <c r="B4042" s="504" t="s">
        <v>25234</v>
      </c>
      <c r="C4042" s="502" t="s">
        <v>114</v>
      </c>
      <c r="D4042" s="503" t="s">
        <v>32987</v>
      </c>
      <c r="F4042" t="str">
        <f t="shared" si="127"/>
        <v>89609</v>
      </c>
      <c r="H4042" s="14">
        <f t="shared" si="128"/>
        <v>127.53</v>
      </c>
    </row>
    <row r="4043" spans="1:8" ht="41.4">
      <c r="A4043" s="502" t="s">
        <v>5359</v>
      </c>
      <c r="B4043" s="504" t="s">
        <v>25235</v>
      </c>
      <c r="C4043" s="502" t="s">
        <v>114</v>
      </c>
      <c r="D4043" s="503" t="s">
        <v>10024</v>
      </c>
      <c r="F4043" t="str">
        <f t="shared" si="127"/>
        <v>89610</v>
      </c>
      <c r="H4043" s="14">
        <f t="shared" si="128"/>
        <v>29.09</v>
      </c>
    </row>
    <row r="4044" spans="1:8" ht="27.6">
      <c r="A4044" s="502" t="s">
        <v>5361</v>
      </c>
      <c r="B4044" s="504" t="s">
        <v>25237</v>
      </c>
      <c r="C4044" s="502" t="s">
        <v>114</v>
      </c>
      <c r="D4044" s="503" t="s">
        <v>32988</v>
      </c>
      <c r="F4044" t="str">
        <f t="shared" si="127"/>
        <v>89611</v>
      </c>
      <c r="H4044" s="14">
        <f t="shared" si="128"/>
        <v>47.85</v>
      </c>
    </row>
    <row r="4045" spans="1:8" ht="27.6">
      <c r="A4045" s="502" t="s">
        <v>5362</v>
      </c>
      <c r="B4045" s="504" t="s">
        <v>25238</v>
      </c>
      <c r="C4045" s="502" t="s">
        <v>114</v>
      </c>
      <c r="D4045" s="503" t="s">
        <v>32989</v>
      </c>
      <c r="F4045" t="str">
        <f t="shared" si="127"/>
        <v>89612</v>
      </c>
      <c r="H4045" s="14">
        <f t="shared" si="128"/>
        <v>251</v>
      </c>
    </row>
    <row r="4046" spans="1:8" ht="55.2">
      <c r="A4046" s="502" t="s">
        <v>5363</v>
      </c>
      <c r="B4046" s="504" t="s">
        <v>29068</v>
      </c>
      <c r="C4046" s="502" t="s">
        <v>114</v>
      </c>
      <c r="D4046" s="503" t="s">
        <v>32990</v>
      </c>
      <c r="F4046" t="str">
        <f t="shared" si="127"/>
        <v>89613</v>
      </c>
      <c r="H4046" s="14">
        <f t="shared" si="128"/>
        <v>45.62</v>
      </c>
    </row>
    <row r="4047" spans="1:8" ht="27.6">
      <c r="A4047" s="502" t="s">
        <v>5364</v>
      </c>
      <c r="B4047" s="504" t="s">
        <v>25239</v>
      </c>
      <c r="C4047" s="502" t="s">
        <v>114</v>
      </c>
      <c r="D4047" s="503" t="s">
        <v>28014</v>
      </c>
      <c r="F4047" t="str">
        <f t="shared" si="127"/>
        <v>89614</v>
      </c>
      <c r="H4047" s="14">
        <f t="shared" si="128"/>
        <v>89.82</v>
      </c>
    </row>
    <row r="4048" spans="1:8" ht="27.6">
      <c r="A4048" s="502" t="s">
        <v>5365</v>
      </c>
      <c r="B4048" s="504" t="s">
        <v>25240</v>
      </c>
      <c r="C4048" s="502" t="s">
        <v>114</v>
      </c>
      <c r="D4048" s="503" t="s">
        <v>32991</v>
      </c>
      <c r="F4048" t="str">
        <f t="shared" si="127"/>
        <v>89615</v>
      </c>
      <c r="H4048" s="14">
        <f t="shared" si="128"/>
        <v>296.39999999999998</v>
      </c>
    </row>
    <row r="4049" spans="1:8" ht="41.4">
      <c r="A4049" s="502" t="s">
        <v>5366</v>
      </c>
      <c r="B4049" s="504" t="s">
        <v>25241</v>
      </c>
      <c r="C4049" s="502" t="s">
        <v>114</v>
      </c>
      <c r="D4049" s="503" t="s">
        <v>32992</v>
      </c>
      <c r="F4049" t="str">
        <f t="shared" si="127"/>
        <v>89616</v>
      </c>
      <c r="H4049" s="14">
        <f t="shared" si="128"/>
        <v>61</v>
      </c>
    </row>
    <row r="4050" spans="1:8" ht="27.6">
      <c r="A4050" s="502" t="s">
        <v>5367</v>
      </c>
      <c r="B4050" s="504" t="s">
        <v>25242</v>
      </c>
      <c r="C4050" s="502" t="s">
        <v>114</v>
      </c>
      <c r="D4050" s="503" t="s">
        <v>10391</v>
      </c>
      <c r="F4050" t="str">
        <f t="shared" si="127"/>
        <v>89617</v>
      </c>
      <c r="H4050" s="14">
        <f t="shared" si="128"/>
        <v>11.03</v>
      </c>
    </row>
    <row r="4051" spans="1:8" ht="27.6">
      <c r="A4051" s="502" t="s">
        <v>5368</v>
      </c>
      <c r="B4051" s="504" t="s">
        <v>25243</v>
      </c>
      <c r="C4051" s="502" t="s">
        <v>114</v>
      </c>
      <c r="D4051" s="503" t="s">
        <v>28327</v>
      </c>
      <c r="F4051" t="str">
        <f t="shared" si="127"/>
        <v>89620</v>
      </c>
      <c r="H4051" s="14">
        <f t="shared" si="128"/>
        <v>17.5</v>
      </c>
    </row>
    <row r="4052" spans="1:8" ht="41.4">
      <c r="A4052" s="502" t="s">
        <v>5369</v>
      </c>
      <c r="B4052" s="504" t="s">
        <v>25244</v>
      </c>
      <c r="C4052" s="502" t="s">
        <v>114</v>
      </c>
      <c r="D4052" s="503" t="s">
        <v>29757</v>
      </c>
      <c r="F4052" t="str">
        <f t="shared" si="127"/>
        <v>89622</v>
      </c>
      <c r="H4052" s="14">
        <f t="shared" si="128"/>
        <v>21</v>
      </c>
    </row>
    <row r="4053" spans="1:8" ht="27.6">
      <c r="A4053" s="502" t="s">
        <v>5370</v>
      </c>
      <c r="B4053" s="504" t="s">
        <v>25245</v>
      </c>
      <c r="C4053" s="502" t="s">
        <v>114</v>
      </c>
      <c r="D4053" s="503" t="s">
        <v>15834</v>
      </c>
      <c r="F4053" t="str">
        <f t="shared" si="127"/>
        <v>89623</v>
      </c>
      <c r="H4053" s="14">
        <f t="shared" si="128"/>
        <v>28.84</v>
      </c>
    </row>
    <row r="4054" spans="1:8" ht="41.4">
      <c r="A4054" s="502" t="s">
        <v>5371</v>
      </c>
      <c r="B4054" s="504" t="s">
        <v>25247</v>
      </c>
      <c r="C4054" s="502" t="s">
        <v>114</v>
      </c>
      <c r="D4054" s="503" t="s">
        <v>32503</v>
      </c>
      <c r="F4054" t="str">
        <f t="shared" si="127"/>
        <v>89624</v>
      </c>
      <c r="H4054" s="14">
        <f t="shared" si="128"/>
        <v>26.68</v>
      </c>
    </row>
    <row r="4055" spans="1:8" ht="27.6">
      <c r="A4055" s="502" t="s">
        <v>5372</v>
      </c>
      <c r="B4055" s="504" t="s">
        <v>25248</v>
      </c>
      <c r="C4055" s="502" t="s">
        <v>114</v>
      </c>
      <c r="D4055" s="503" t="s">
        <v>25586</v>
      </c>
      <c r="F4055" t="str">
        <f t="shared" si="127"/>
        <v>89625</v>
      </c>
      <c r="H4055" s="14">
        <f t="shared" si="128"/>
        <v>33.58</v>
      </c>
    </row>
    <row r="4056" spans="1:8" ht="41.4">
      <c r="A4056" s="502" t="s">
        <v>5374</v>
      </c>
      <c r="B4056" s="504" t="s">
        <v>25249</v>
      </c>
      <c r="C4056" s="502" t="s">
        <v>114</v>
      </c>
      <c r="D4056" s="503" t="s">
        <v>32993</v>
      </c>
      <c r="F4056" t="str">
        <f t="shared" si="127"/>
        <v>89626</v>
      </c>
      <c r="H4056" s="14">
        <f t="shared" si="128"/>
        <v>45.05</v>
      </c>
    </row>
    <row r="4057" spans="1:8" ht="41.4">
      <c r="A4057" s="502" t="s">
        <v>5376</v>
      </c>
      <c r="B4057" s="504" t="s">
        <v>25250</v>
      </c>
      <c r="C4057" s="502" t="s">
        <v>114</v>
      </c>
      <c r="D4057" s="503" t="s">
        <v>10100</v>
      </c>
      <c r="F4057" t="str">
        <f t="shared" si="127"/>
        <v>89627</v>
      </c>
      <c r="H4057" s="14">
        <f t="shared" si="128"/>
        <v>29.93</v>
      </c>
    </row>
    <row r="4058" spans="1:8" ht="27.6">
      <c r="A4058" s="502" t="s">
        <v>5377</v>
      </c>
      <c r="B4058" s="504" t="s">
        <v>25252</v>
      </c>
      <c r="C4058" s="502" t="s">
        <v>114</v>
      </c>
      <c r="D4058" s="503" t="s">
        <v>16130</v>
      </c>
      <c r="F4058" t="str">
        <f t="shared" si="127"/>
        <v>89628</v>
      </c>
      <c r="H4058" s="14">
        <f t="shared" si="128"/>
        <v>71.849999999999994</v>
      </c>
    </row>
    <row r="4059" spans="1:8" ht="27.6">
      <c r="A4059" s="502" t="s">
        <v>5378</v>
      </c>
      <c r="B4059" s="504" t="s">
        <v>25253</v>
      </c>
      <c r="C4059" s="502" t="s">
        <v>114</v>
      </c>
      <c r="D4059" s="503" t="s">
        <v>32994</v>
      </c>
      <c r="F4059" t="str">
        <f t="shared" si="127"/>
        <v>89629</v>
      </c>
      <c r="H4059" s="14">
        <f t="shared" si="128"/>
        <v>121.39</v>
      </c>
    </row>
    <row r="4060" spans="1:8" ht="41.4">
      <c r="A4060" s="502" t="s">
        <v>5379</v>
      </c>
      <c r="B4060" s="504" t="s">
        <v>25254</v>
      </c>
      <c r="C4060" s="502" t="s">
        <v>114</v>
      </c>
      <c r="D4060" s="503" t="s">
        <v>32995</v>
      </c>
      <c r="F4060" t="str">
        <f t="shared" si="127"/>
        <v>89630</v>
      </c>
      <c r="H4060" s="14">
        <f t="shared" si="128"/>
        <v>91.98</v>
      </c>
    </row>
    <row r="4061" spans="1:8" ht="27.6">
      <c r="A4061" s="502" t="s">
        <v>5380</v>
      </c>
      <c r="B4061" s="504" t="s">
        <v>25255</v>
      </c>
      <c r="C4061" s="502" t="s">
        <v>114</v>
      </c>
      <c r="D4061" s="503" t="s">
        <v>32996</v>
      </c>
      <c r="F4061" t="str">
        <f t="shared" si="127"/>
        <v>89631</v>
      </c>
      <c r="H4061" s="14">
        <f t="shared" si="128"/>
        <v>159.55000000000001</v>
      </c>
    </row>
    <row r="4062" spans="1:8" ht="41.4">
      <c r="A4062" s="502" t="s">
        <v>5381</v>
      </c>
      <c r="B4062" s="504" t="s">
        <v>25256</v>
      </c>
      <c r="C4062" s="502" t="s">
        <v>114</v>
      </c>
      <c r="D4062" s="503" t="s">
        <v>31120</v>
      </c>
      <c r="F4062" t="str">
        <f t="shared" si="127"/>
        <v>89632</v>
      </c>
      <c r="H4062" s="14">
        <f t="shared" si="128"/>
        <v>185.98</v>
      </c>
    </row>
    <row r="4063" spans="1:8" ht="41.4">
      <c r="A4063" s="502" t="s">
        <v>5382</v>
      </c>
      <c r="B4063" s="504" t="s">
        <v>25257</v>
      </c>
      <c r="C4063" s="502" t="s">
        <v>114</v>
      </c>
      <c r="D4063" s="503" t="s">
        <v>10380</v>
      </c>
      <c r="F4063" t="str">
        <f t="shared" si="127"/>
        <v>89637</v>
      </c>
      <c r="H4063" s="14">
        <f t="shared" si="128"/>
        <v>15.83</v>
      </c>
    </row>
    <row r="4064" spans="1:8" ht="41.4">
      <c r="A4064" s="502" t="s">
        <v>5384</v>
      </c>
      <c r="B4064" s="504" t="s">
        <v>25258</v>
      </c>
      <c r="C4064" s="502" t="s">
        <v>114</v>
      </c>
      <c r="D4064" s="503" t="s">
        <v>24193</v>
      </c>
      <c r="F4064" t="str">
        <f t="shared" si="127"/>
        <v>89638</v>
      </c>
      <c r="H4064" s="14">
        <f t="shared" si="128"/>
        <v>17.2</v>
      </c>
    </row>
    <row r="4065" spans="1:8" ht="41.4">
      <c r="A4065" s="502" t="s">
        <v>5385</v>
      </c>
      <c r="B4065" s="504" t="s">
        <v>25259</v>
      </c>
      <c r="C4065" s="502" t="s">
        <v>114</v>
      </c>
      <c r="D4065" s="503" t="s">
        <v>7236</v>
      </c>
      <c r="F4065" t="str">
        <f t="shared" si="127"/>
        <v>89639</v>
      </c>
      <c r="H4065" s="14">
        <f t="shared" si="128"/>
        <v>18.16</v>
      </c>
    </row>
    <row r="4066" spans="1:8" ht="41.4">
      <c r="A4066" s="502" t="s">
        <v>10718</v>
      </c>
      <c r="B4066" s="504" t="s">
        <v>29075</v>
      </c>
      <c r="C4066" s="502" t="s">
        <v>114</v>
      </c>
      <c r="D4066" s="503" t="s">
        <v>7703</v>
      </c>
      <c r="F4066" t="str">
        <f t="shared" si="127"/>
        <v>89640</v>
      </c>
      <c r="H4066" s="14">
        <f t="shared" si="128"/>
        <v>28.52</v>
      </c>
    </row>
    <row r="4067" spans="1:8" ht="41.4">
      <c r="A4067" s="502" t="s">
        <v>5386</v>
      </c>
      <c r="B4067" s="504" t="s">
        <v>25260</v>
      </c>
      <c r="C4067" s="502" t="s">
        <v>114</v>
      </c>
      <c r="D4067" s="503" t="s">
        <v>29176</v>
      </c>
      <c r="F4067" t="str">
        <f t="shared" si="127"/>
        <v>89641</v>
      </c>
      <c r="H4067" s="14">
        <f t="shared" si="128"/>
        <v>20.43</v>
      </c>
    </row>
    <row r="4068" spans="1:8" ht="41.4">
      <c r="A4068" s="502" t="s">
        <v>5387</v>
      </c>
      <c r="B4068" s="504" t="s">
        <v>25261</v>
      </c>
      <c r="C4068" s="502" t="s">
        <v>114</v>
      </c>
      <c r="D4068" s="503" t="s">
        <v>29335</v>
      </c>
      <c r="F4068" t="str">
        <f t="shared" si="127"/>
        <v>89642</v>
      </c>
      <c r="H4068" s="14">
        <f t="shared" si="128"/>
        <v>22.83</v>
      </c>
    </row>
    <row r="4069" spans="1:8" ht="41.4">
      <c r="A4069" s="502" t="s">
        <v>5388</v>
      </c>
      <c r="B4069" s="504" t="s">
        <v>25262</v>
      </c>
      <c r="C4069" s="502" t="s">
        <v>114</v>
      </c>
      <c r="D4069" s="503" t="s">
        <v>11646</v>
      </c>
      <c r="F4069" t="str">
        <f t="shared" si="127"/>
        <v>89643</v>
      </c>
      <c r="H4069" s="14">
        <f t="shared" si="128"/>
        <v>24.73</v>
      </c>
    </row>
    <row r="4070" spans="1:8" ht="41.4">
      <c r="A4070" s="502" t="s">
        <v>10719</v>
      </c>
      <c r="B4070" s="504" t="s">
        <v>29076</v>
      </c>
      <c r="C4070" s="502" t="s">
        <v>114</v>
      </c>
      <c r="D4070" s="503" t="s">
        <v>30480</v>
      </c>
      <c r="F4070" t="str">
        <f t="shared" si="127"/>
        <v>89644</v>
      </c>
      <c r="H4070" s="14">
        <f t="shared" si="128"/>
        <v>34.76</v>
      </c>
    </row>
    <row r="4071" spans="1:8" ht="41.4">
      <c r="A4071" s="502" t="s">
        <v>5389</v>
      </c>
      <c r="B4071" s="504" t="s">
        <v>29077</v>
      </c>
      <c r="C4071" s="502" t="s">
        <v>114</v>
      </c>
      <c r="D4071" s="503" t="s">
        <v>22703</v>
      </c>
      <c r="F4071" t="str">
        <f t="shared" si="127"/>
        <v>89645</v>
      </c>
      <c r="H4071" s="14">
        <f t="shared" si="128"/>
        <v>48.57</v>
      </c>
    </row>
    <row r="4072" spans="1:8" ht="41.4">
      <c r="A4072" s="502" t="s">
        <v>5390</v>
      </c>
      <c r="B4072" s="504" t="s">
        <v>25263</v>
      </c>
      <c r="C4072" s="502" t="s">
        <v>114</v>
      </c>
      <c r="D4072" s="503" t="s">
        <v>7963</v>
      </c>
      <c r="F4072" t="str">
        <f t="shared" si="127"/>
        <v>89646</v>
      </c>
      <c r="H4072" s="14">
        <f t="shared" si="128"/>
        <v>30.82</v>
      </c>
    </row>
    <row r="4073" spans="1:8" ht="41.4">
      <c r="A4073" s="502" t="s">
        <v>5391</v>
      </c>
      <c r="B4073" s="504" t="s">
        <v>25265</v>
      </c>
      <c r="C4073" s="502" t="s">
        <v>114</v>
      </c>
      <c r="D4073" s="503" t="s">
        <v>25246</v>
      </c>
      <c r="F4073" t="str">
        <f t="shared" si="127"/>
        <v>89647</v>
      </c>
      <c r="H4073" s="14">
        <f t="shared" si="128"/>
        <v>29.83</v>
      </c>
    </row>
    <row r="4074" spans="1:8" ht="41.4">
      <c r="A4074" s="502" t="s">
        <v>5393</v>
      </c>
      <c r="B4074" s="504" t="s">
        <v>25266</v>
      </c>
      <c r="C4074" s="502" t="s">
        <v>114</v>
      </c>
      <c r="D4074" s="503" t="s">
        <v>28831</v>
      </c>
      <c r="F4074" t="str">
        <f t="shared" si="127"/>
        <v>89648</v>
      </c>
      <c r="H4074" s="14">
        <f t="shared" si="128"/>
        <v>37.299999999999997</v>
      </c>
    </row>
    <row r="4075" spans="1:8" ht="41.4">
      <c r="A4075" s="502" t="s">
        <v>5395</v>
      </c>
      <c r="B4075" s="504" t="s">
        <v>25267</v>
      </c>
      <c r="C4075" s="502" t="s">
        <v>114</v>
      </c>
      <c r="D4075" s="503" t="s">
        <v>19381</v>
      </c>
      <c r="F4075" t="str">
        <f t="shared" si="127"/>
        <v>89649</v>
      </c>
      <c r="H4075" s="14">
        <f t="shared" si="128"/>
        <v>45.37</v>
      </c>
    </row>
    <row r="4076" spans="1:8" ht="41.4">
      <c r="A4076" s="502" t="s">
        <v>5396</v>
      </c>
      <c r="B4076" s="504" t="s">
        <v>25268</v>
      </c>
      <c r="C4076" s="502" t="s">
        <v>114</v>
      </c>
      <c r="D4076" s="503" t="s">
        <v>32997</v>
      </c>
      <c r="F4076" t="str">
        <f t="shared" si="127"/>
        <v>89650</v>
      </c>
      <c r="H4076" s="14">
        <f t="shared" si="128"/>
        <v>42.92</v>
      </c>
    </row>
    <row r="4077" spans="1:8" ht="41.4">
      <c r="A4077" s="502" t="s">
        <v>5397</v>
      </c>
      <c r="B4077" s="504" t="s">
        <v>25269</v>
      </c>
      <c r="C4077" s="502" t="s">
        <v>114</v>
      </c>
      <c r="D4077" s="503" t="s">
        <v>4762</v>
      </c>
      <c r="F4077" t="str">
        <f t="shared" si="127"/>
        <v>89651</v>
      </c>
      <c r="H4077" s="14">
        <f t="shared" si="128"/>
        <v>10.65</v>
      </c>
    </row>
    <row r="4078" spans="1:8" ht="41.4">
      <c r="A4078" s="502" t="s">
        <v>5398</v>
      </c>
      <c r="B4078" s="504" t="s">
        <v>25271</v>
      </c>
      <c r="C4078" s="502" t="s">
        <v>114</v>
      </c>
      <c r="D4078" s="503" t="s">
        <v>26984</v>
      </c>
      <c r="F4078" t="str">
        <f t="shared" si="127"/>
        <v>89652</v>
      </c>
      <c r="H4078" s="14">
        <f t="shared" si="128"/>
        <v>18.260000000000002</v>
      </c>
    </row>
    <row r="4079" spans="1:8" ht="41.4">
      <c r="A4079" s="502" t="s">
        <v>5399</v>
      </c>
      <c r="B4079" s="504" t="s">
        <v>29081</v>
      </c>
      <c r="C4079" s="502" t="s">
        <v>114</v>
      </c>
      <c r="D4079" s="503" t="s">
        <v>23174</v>
      </c>
      <c r="F4079" t="str">
        <f t="shared" si="127"/>
        <v>89653</v>
      </c>
      <c r="H4079" s="14">
        <f t="shared" si="128"/>
        <v>25.97</v>
      </c>
    </row>
    <row r="4080" spans="1:8" ht="41.4">
      <c r="A4080" s="502" t="s">
        <v>5400</v>
      </c>
      <c r="B4080" s="504" t="s">
        <v>25272</v>
      </c>
      <c r="C4080" s="502" t="s">
        <v>114</v>
      </c>
      <c r="D4080" s="503" t="s">
        <v>32998</v>
      </c>
      <c r="F4080" t="str">
        <f t="shared" si="127"/>
        <v>89654</v>
      </c>
      <c r="H4080" s="14">
        <f t="shared" si="128"/>
        <v>30.09</v>
      </c>
    </row>
    <row r="4081" spans="1:8" ht="41.4">
      <c r="A4081" s="502" t="s">
        <v>5401</v>
      </c>
      <c r="B4081" s="504" t="s">
        <v>25274</v>
      </c>
      <c r="C4081" s="502" t="s">
        <v>114</v>
      </c>
      <c r="D4081" s="503" t="s">
        <v>32999</v>
      </c>
      <c r="F4081" t="str">
        <f t="shared" si="127"/>
        <v>89655</v>
      </c>
      <c r="H4081" s="14">
        <f t="shared" si="128"/>
        <v>35.869999999999997</v>
      </c>
    </row>
    <row r="4082" spans="1:8" ht="41.4">
      <c r="A4082" s="502" t="s">
        <v>5402</v>
      </c>
      <c r="B4082" s="504" t="s">
        <v>25275</v>
      </c>
      <c r="C4082" s="502" t="s">
        <v>114</v>
      </c>
      <c r="D4082" s="503" t="s">
        <v>16304</v>
      </c>
      <c r="F4082" t="str">
        <f t="shared" si="127"/>
        <v>89656</v>
      </c>
      <c r="H4082" s="14">
        <f t="shared" si="128"/>
        <v>33.42</v>
      </c>
    </row>
    <row r="4083" spans="1:8" ht="41.4">
      <c r="A4083" s="502" t="s">
        <v>5403</v>
      </c>
      <c r="B4083" s="504" t="s">
        <v>25276</v>
      </c>
      <c r="C4083" s="502" t="s">
        <v>114</v>
      </c>
      <c r="D4083" s="503" t="s">
        <v>10177</v>
      </c>
      <c r="F4083" t="str">
        <f t="shared" si="127"/>
        <v>89657</v>
      </c>
      <c r="H4083" s="14">
        <f t="shared" si="128"/>
        <v>20.69</v>
      </c>
    </row>
    <row r="4084" spans="1:8" ht="41.4">
      <c r="A4084" s="502" t="s">
        <v>5404</v>
      </c>
      <c r="B4084" s="504" t="s">
        <v>25277</v>
      </c>
      <c r="C4084" s="502" t="s">
        <v>114</v>
      </c>
      <c r="D4084" s="503" t="s">
        <v>26400</v>
      </c>
      <c r="F4084" t="str">
        <f t="shared" si="127"/>
        <v>89658</v>
      </c>
      <c r="H4084" s="14">
        <f t="shared" si="128"/>
        <v>14.14</v>
      </c>
    </row>
    <row r="4085" spans="1:8" ht="41.4">
      <c r="A4085" s="502" t="s">
        <v>5406</v>
      </c>
      <c r="B4085" s="504" t="s">
        <v>25278</v>
      </c>
      <c r="C4085" s="502" t="s">
        <v>114</v>
      </c>
      <c r="D4085" s="503" t="s">
        <v>10003</v>
      </c>
      <c r="F4085" t="str">
        <f t="shared" si="127"/>
        <v>89659</v>
      </c>
      <c r="H4085" s="14">
        <f t="shared" si="128"/>
        <v>25.62</v>
      </c>
    </row>
    <row r="4086" spans="1:8" ht="41.4">
      <c r="A4086" s="502" t="s">
        <v>5407</v>
      </c>
      <c r="B4086" s="504" t="s">
        <v>25279</v>
      </c>
      <c r="C4086" s="502" t="s">
        <v>114</v>
      </c>
      <c r="D4086" s="503" t="s">
        <v>29066</v>
      </c>
      <c r="F4086" t="str">
        <f t="shared" si="127"/>
        <v>89660</v>
      </c>
      <c r="H4086" s="14">
        <f t="shared" si="128"/>
        <v>14.39</v>
      </c>
    </row>
    <row r="4087" spans="1:8" ht="41.4">
      <c r="A4087" s="502" t="s">
        <v>5408</v>
      </c>
      <c r="B4087" s="504" t="s">
        <v>25280</v>
      </c>
      <c r="C4087" s="502" t="s">
        <v>114</v>
      </c>
      <c r="D4087" s="503" t="s">
        <v>33000</v>
      </c>
      <c r="F4087" t="str">
        <f t="shared" si="127"/>
        <v>89661</v>
      </c>
      <c r="H4087" s="14">
        <f t="shared" si="128"/>
        <v>35.06</v>
      </c>
    </row>
    <row r="4088" spans="1:8" ht="41.4">
      <c r="A4088" s="502" t="s">
        <v>5409</v>
      </c>
      <c r="B4088" s="504" t="s">
        <v>25281</v>
      </c>
      <c r="C4088" s="502" t="s">
        <v>114</v>
      </c>
      <c r="D4088" s="503" t="s">
        <v>32310</v>
      </c>
      <c r="F4088" t="str">
        <f t="shared" si="127"/>
        <v>89662</v>
      </c>
      <c r="H4088" s="14">
        <f t="shared" si="128"/>
        <v>46.42</v>
      </c>
    </row>
    <row r="4089" spans="1:8" ht="41.4">
      <c r="A4089" s="502" t="s">
        <v>5410</v>
      </c>
      <c r="B4089" s="504" t="s">
        <v>25282</v>
      </c>
      <c r="C4089" s="502" t="s">
        <v>114</v>
      </c>
      <c r="D4089" s="503" t="s">
        <v>6921</v>
      </c>
      <c r="F4089" t="str">
        <f t="shared" si="127"/>
        <v>89663</v>
      </c>
      <c r="H4089" s="14">
        <f t="shared" si="128"/>
        <v>44.75</v>
      </c>
    </row>
    <row r="4090" spans="1:8" ht="41.4">
      <c r="A4090" s="502" t="s">
        <v>5411</v>
      </c>
      <c r="B4090" s="504" t="s">
        <v>25283</v>
      </c>
      <c r="C4090" s="502" t="s">
        <v>114</v>
      </c>
      <c r="D4090" s="503" t="s">
        <v>7343</v>
      </c>
      <c r="F4090" t="str">
        <f t="shared" si="127"/>
        <v>89664</v>
      </c>
      <c r="H4090" s="14">
        <f t="shared" si="128"/>
        <v>25.52</v>
      </c>
    </row>
    <row r="4091" spans="1:8" ht="41.4">
      <c r="A4091" s="502" t="s">
        <v>5412</v>
      </c>
      <c r="B4091" s="504" t="s">
        <v>25284</v>
      </c>
      <c r="C4091" s="502" t="s">
        <v>114</v>
      </c>
      <c r="D4091" s="503" t="s">
        <v>10654</v>
      </c>
      <c r="F4091" t="str">
        <f t="shared" si="127"/>
        <v>89666</v>
      </c>
      <c r="H4091" s="14">
        <f t="shared" si="128"/>
        <v>10.97</v>
      </c>
    </row>
    <row r="4092" spans="1:8" ht="41.4">
      <c r="A4092" s="502" t="s">
        <v>5413</v>
      </c>
      <c r="B4092" s="504" t="s">
        <v>25285</v>
      </c>
      <c r="C4092" s="502" t="s">
        <v>114</v>
      </c>
      <c r="D4092" s="503" t="s">
        <v>33001</v>
      </c>
      <c r="F4092" t="str">
        <f t="shared" si="127"/>
        <v>89667</v>
      </c>
      <c r="H4092" s="14">
        <f t="shared" si="128"/>
        <v>69.58</v>
      </c>
    </row>
    <row r="4093" spans="1:8" ht="41.4">
      <c r="A4093" s="502" t="s">
        <v>5414</v>
      </c>
      <c r="B4093" s="504" t="s">
        <v>29084</v>
      </c>
      <c r="C4093" s="502" t="s">
        <v>114</v>
      </c>
      <c r="D4093" s="503" t="s">
        <v>11422</v>
      </c>
      <c r="F4093" t="str">
        <f t="shared" si="127"/>
        <v>89668</v>
      </c>
      <c r="H4093" s="14">
        <f t="shared" si="128"/>
        <v>43.67</v>
      </c>
    </row>
    <row r="4094" spans="1:8" ht="41.4">
      <c r="A4094" s="502" t="s">
        <v>5416</v>
      </c>
      <c r="B4094" s="504" t="s">
        <v>25286</v>
      </c>
      <c r="C4094" s="502" t="s">
        <v>114</v>
      </c>
      <c r="D4094" s="503" t="s">
        <v>32634</v>
      </c>
      <c r="F4094" t="str">
        <f t="shared" si="127"/>
        <v>89669</v>
      </c>
      <c r="H4094" s="14">
        <f t="shared" si="128"/>
        <v>50.44</v>
      </c>
    </row>
    <row r="4095" spans="1:8" ht="41.4">
      <c r="A4095" s="502" t="s">
        <v>5417</v>
      </c>
      <c r="B4095" s="504" t="s">
        <v>25287</v>
      </c>
      <c r="C4095" s="502" t="s">
        <v>114</v>
      </c>
      <c r="D4095" s="503" t="s">
        <v>9485</v>
      </c>
      <c r="F4095" t="str">
        <f t="shared" si="127"/>
        <v>89670</v>
      </c>
      <c r="H4095" s="14">
        <f t="shared" si="128"/>
        <v>21.03</v>
      </c>
    </row>
    <row r="4096" spans="1:8" ht="41.4">
      <c r="A4096" s="502" t="s">
        <v>5418</v>
      </c>
      <c r="B4096" s="504" t="s">
        <v>25288</v>
      </c>
      <c r="C4096" s="502" t="s">
        <v>114</v>
      </c>
      <c r="D4096" s="503" t="s">
        <v>33002</v>
      </c>
      <c r="F4096" t="str">
        <f t="shared" si="127"/>
        <v>89671</v>
      </c>
      <c r="H4096" s="14">
        <f t="shared" si="128"/>
        <v>69.94</v>
      </c>
    </row>
    <row r="4097" spans="1:8" ht="41.4">
      <c r="A4097" s="502" t="s">
        <v>5419</v>
      </c>
      <c r="B4097" s="504" t="s">
        <v>25289</v>
      </c>
      <c r="C4097" s="502" t="s">
        <v>114</v>
      </c>
      <c r="D4097" s="503" t="s">
        <v>33003</v>
      </c>
      <c r="F4097" t="str">
        <f t="shared" si="127"/>
        <v>89672</v>
      </c>
      <c r="H4097" s="14">
        <f t="shared" si="128"/>
        <v>35.32</v>
      </c>
    </row>
    <row r="4098" spans="1:8" ht="55.2">
      <c r="A4098" s="502" t="s">
        <v>5420</v>
      </c>
      <c r="B4098" s="504" t="s">
        <v>25290</v>
      </c>
      <c r="C4098" s="502" t="s">
        <v>114</v>
      </c>
      <c r="D4098" s="503" t="s">
        <v>32419</v>
      </c>
      <c r="F4098" t="str">
        <f t="shared" si="127"/>
        <v>89673</v>
      </c>
      <c r="H4098" s="14">
        <f t="shared" si="128"/>
        <v>55.14</v>
      </c>
    </row>
    <row r="4099" spans="1:8" ht="41.4">
      <c r="A4099" s="502" t="s">
        <v>5421</v>
      </c>
      <c r="B4099" s="504" t="s">
        <v>25291</v>
      </c>
      <c r="C4099" s="502" t="s">
        <v>114</v>
      </c>
      <c r="D4099" s="503" t="s">
        <v>33004</v>
      </c>
      <c r="F4099" t="str">
        <f t="shared" si="127"/>
        <v>89674</v>
      </c>
      <c r="H4099" s="14">
        <f t="shared" si="128"/>
        <v>45.65</v>
      </c>
    </row>
    <row r="4100" spans="1:8" ht="41.4">
      <c r="A4100" s="502" t="s">
        <v>5422</v>
      </c>
      <c r="B4100" s="504" t="s">
        <v>25292</v>
      </c>
      <c r="C4100" s="502" t="s">
        <v>114</v>
      </c>
      <c r="D4100" s="503" t="s">
        <v>33005</v>
      </c>
      <c r="F4100" t="str">
        <f t="shared" si="127"/>
        <v>89675</v>
      </c>
      <c r="H4100" s="14">
        <f t="shared" si="128"/>
        <v>114.6</v>
      </c>
    </row>
    <row r="4101" spans="1:8" ht="41.4">
      <c r="A4101" s="502" t="s">
        <v>5423</v>
      </c>
      <c r="B4101" s="504" t="s">
        <v>25293</v>
      </c>
      <c r="C4101" s="502" t="s">
        <v>114</v>
      </c>
      <c r="D4101" s="503" t="s">
        <v>19429</v>
      </c>
      <c r="F4101" t="str">
        <f t="shared" ref="F4101:F4164" si="129">TRIM(A4101)</f>
        <v>89676</v>
      </c>
      <c r="H4101" s="14">
        <f t="shared" ref="H4101:H4164" si="130">ROUND(D4101*(1+$H$1),2)</f>
        <v>55.02</v>
      </c>
    </row>
    <row r="4102" spans="1:8" ht="41.4">
      <c r="A4102" s="502" t="s">
        <v>5424</v>
      </c>
      <c r="B4102" s="504" t="s">
        <v>25294</v>
      </c>
      <c r="C4102" s="502" t="s">
        <v>114</v>
      </c>
      <c r="D4102" s="503" t="s">
        <v>33006</v>
      </c>
      <c r="F4102" t="str">
        <f t="shared" si="129"/>
        <v>89677</v>
      </c>
      <c r="H4102" s="14">
        <f t="shared" si="130"/>
        <v>119.46</v>
      </c>
    </row>
    <row r="4103" spans="1:8" ht="41.4">
      <c r="A4103" s="502" t="s">
        <v>5425</v>
      </c>
      <c r="B4103" s="504" t="s">
        <v>25295</v>
      </c>
      <c r="C4103" s="502" t="s">
        <v>114</v>
      </c>
      <c r="D4103" s="503" t="s">
        <v>10115</v>
      </c>
      <c r="F4103" t="str">
        <f t="shared" si="129"/>
        <v>89678</v>
      </c>
      <c r="H4103" s="14">
        <f t="shared" si="130"/>
        <v>17.899999999999999</v>
      </c>
    </row>
    <row r="4104" spans="1:8" ht="41.4">
      <c r="A4104" s="502" t="s">
        <v>5426</v>
      </c>
      <c r="B4104" s="504" t="s">
        <v>25296</v>
      </c>
      <c r="C4104" s="502" t="s">
        <v>114</v>
      </c>
      <c r="D4104" s="503" t="s">
        <v>33007</v>
      </c>
      <c r="F4104" t="str">
        <f t="shared" si="129"/>
        <v>89679</v>
      </c>
      <c r="H4104" s="14">
        <f t="shared" si="130"/>
        <v>193.52</v>
      </c>
    </row>
    <row r="4105" spans="1:8" ht="41.4">
      <c r="A4105" s="502" t="s">
        <v>5427</v>
      </c>
      <c r="B4105" s="504" t="s">
        <v>25297</v>
      </c>
      <c r="C4105" s="502" t="s">
        <v>114</v>
      </c>
      <c r="D4105" s="503" t="s">
        <v>23332</v>
      </c>
      <c r="F4105" t="str">
        <f t="shared" si="129"/>
        <v>89680</v>
      </c>
      <c r="H4105" s="14">
        <f t="shared" si="130"/>
        <v>33.53</v>
      </c>
    </row>
    <row r="4106" spans="1:8" ht="55.2">
      <c r="A4106" s="502" t="s">
        <v>5428</v>
      </c>
      <c r="B4106" s="504" t="s">
        <v>25298</v>
      </c>
      <c r="C4106" s="502" t="s">
        <v>114</v>
      </c>
      <c r="D4106" s="503" t="s">
        <v>33008</v>
      </c>
      <c r="F4106" t="str">
        <f t="shared" si="129"/>
        <v>89681</v>
      </c>
      <c r="H4106" s="14">
        <f t="shared" si="130"/>
        <v>141.30000000000001</v>
      </c>
    </row>
    <row r="4107" spans="1:8" ht="41.4">
      <c r="A4107" s="502" t="s">
        <v>5429</v>
      </c>
      <c r="B4107" s="504" t="s">
        <v>25299</v>
      </c>
      <c r="C4107" s="502" t="s">
        <v>114</v>
      </c>
      <c r="D4107" s="503" t="s">
        <v>33009</v>
      </c>
      <c r="F4107" t="str">
        <f t="shared" si="129"/>
        <v>89682</v>
      </c>
      <c r="H4107" s="14">
        <f t="shared" si="130"/>
        <v>47.01</v>
      </c>
    </row>
    <row r="4108" spans="1:8" ht="41.4">
      <c r="A4108" s="502" t="s">
        <v>13161</v>
      </c>
      <c r="B4108" s="504" t="s">
        <v>25301</v>
      </c>
      <c r="C4108" s="502" t="s">
        <v>114</v>
      </c>
      <c r="D4108" s="503" t="s">
        <v>33010</v>
      </c>
      <c r="F4108" t="str">
        <f t="shared" si="129"/>
        <v>89683</v>
      </c>
      <c r="H4108" s="14">
        <f t="shared" si="130"/>
        <v>458.49</v>
      </c>
    </row>
    <row r="4109" spans="1:8" ht="41.4">
      <c r="A4109" s="502" t="s">
        <v>5430</v>
      </c>
      <c r="B4109" s="504" t="s">
        <v>25302</v>
      </c>
      <c r="C4109" s="502" t="s">
        <v>114</v>
      </c>
      <c r="D4109" s="503" t="s">
        <v>25320</v>
      </c>
      <c r="F4109" t="str">
        <f t="shared" si="129"/>
        <v>89684</v>
      </c>
      <c r="H4109" s="14">
        <f t="shared" si="130"/>
        <v>66.319999999999993</v>
      </c>
    </row>
    <row r="4110" spans="1:8" ht="41.4">
      <c r="A4110" s="502" t="s">
        <v>5431</v>
      </c>
      <c r="B4110" s="504" t="s">
        <v>25303</v>
      </c>
      <c r="C4110" s="502" t="s">
        <v>114</v>
      </c>
      <c r="D4110" s="503" t="s">
        <v>33011</v>
      </c>
      <c r="F4110" t="str">
        <f t="shared" si="129"/>
        <v>89685</v>
      </c>
      <c r="H4110" s="14">
        <f t="shared" si="130"/>
        <v>96.34</v>
      </c>
    </row>
    <row r="4111" spans="1:8" ht="41.4">
      <c r="A4111" s="502" t="s">
        <v>5432</v>
      </c>
      <c r="B4111" s="504" t="s">
        <v>25304</v>
      </c>
      <c r="C4111" s="502" t="s">
        <v>114</v>
      </c>
      <c r="D4111" s="503" t="s">
        <v>33012</v>
      </c>
      <c r="F4111" t="str">
        <f t="shared" si="129"/>
        <v>89686</v>
      </c>
      <c r="H4111" s="14">
        <f t="shared" si="130"/>
        <v>84.11</v>
      </c>
    </row>
    <row r="4112" spans="1:8" ht="41.4">
      <c r="A4112" s="502" t="s">
        <v>5433</v>
      </c>
      <c r="B4112" s="504" t="s">
        <v>25305</v>
      </c>
      <c r="C4112" s="502" t="s">
        <v>114</v>
      </c>
      <c r="D4112" s="503" t="s">
        <v>29583</v>
      </c>
      <c r="F4112" t="str">
        <f t="shared" si="129"/>
        <v>89687</v>
      </c>
      <c r="H4112" s="14">
        <f t="shared" si="130"/>
        <v>82.19</v>
      </c>
    </row>
    <row r="4113" spans="1:8" ht="41.4">
      <c r="A4113" s="502" t="s">
        <v>5434</v>
      </c>
      <c r="B4113" s="504" t="s">
        <v>25306</v>
      </c>
      <c r="C4113" s="502" t="s">
        <v>114</v>
      </c>
      <c r="D4113" s="503" t="s">
        <v>29862</v>
      </c>
      <c r="F4113" t="str">
        <f t="shared" si="129"/>
        <v>89689</v>
      </c>
      <c r="H4113" s="14">
        <f t="shared" si="130"/>
        <v>56.11</v>
      </c>
    </row>
    <row r="4114" spans="1:8" ht="41.4">
      <c r="A4114" s="502" t="s">
        <v>5435</v>
      </c>
      <c r="B4114" s="504" t="s">
        <v>25307</v>
      </c>
      <c r="C4114" s="502" t="s">
        <v>114</v>
      </c>
      <c r="D4114" s="503" t="s">
        <v>33013</v>
      </c>
      <c r="F4114" t="str">
        <f t="shared" si="129"/>
        <v>89690</v>
      </c>
      <c r="H4114" s="14">
        <f t="shared" si="130"/>
        <v>141.41999999999999</v>
      </c>
    </row>
    <row r="4115" spans="1:8" ht="41.4">
      <c r="A4115" s="502" t="s">
        <v>5436</v>
      </c>
      <c r="B4115" s="504" t="s">
        <v>25308</v>
      </c>
      <c r="C4115" s="502" t="s">
        <v>114</v>
      </c>
      <c r="D4115" s="503" t="s">
        <v>32181</v>
      </c>
      <c r="F4115" t="str">
        <f t="shared" si="129"/>
        <v>89691</v>
      </c>
      <c r="H4115" s="14">
        <f t="shared" si="130"/>
        <v>20.36</v>
      </c>
    </row>
    <row r="4116" spans="1:8" ht="41.4">
      <c r="A4116" s="502" t="s">
        <v>5437</v>
      </c>
      <c r="B4116" s="504" t="s">
        <v>25309</v>
      </c>
      <c r="C4116" s="502" t="s">
        <v>114</v>
      </c>
      <c r="D4116" s="503" t="s">
        <v>33014</v>
      </c>
      <c r="F4116" t="str">
        <f t="shared" si="129"/>
        <v>89692</v>
      </c>
      <c r="H4116" s="14">
        <f t="shared" si="130"/>
        <v>162.18</v>
      </c>
    </row>
    <row r="4117" spans="1:8" ht="41.4">
      <c r="A4117" s="502" t="s">
        <v>5438</v>
      </c>
      <c r="B4117" s="504" t="s">
        <v>25310</v>
      </c>
      <c r="C4117" s="502" t="s">
        <v>114</v>
      </c>
      <c r="D4117" s="503" t="s">
        <v>33015</v>
      </c>
      <c r="F4117" t="str">
        <f t="shared" si="129"/>
        <v>89693</v>
      </c>
      <c r="H4117" s="14">
        <f t="shared" si="130"/>
        <v>123.59</v>
      </c>
    </row>
    <row r="4118" spans="1:8" ht="41.4">
      <c r="A4118" s="502" t="s">
        <v>5439</v>
      </c>
      <c r="B4118" s="504" t="s">
        <v>25311</v>
      </c>
      <c r="C4118" s="502" t="s">
        <v>114</v>
      </c>
      <c r="D4118" s="503" t="s">
        <v>9993</v>
      </c>
      <c r="F4118" t="str">
        <f t="shared" si="129"/>
        <v>89694</v>
      </c>
      <c r="H4118" s="14">
        <f t="shared" si="130"/>
        <v>30.13</v>
      </c>
    </row>
    <row r="4119" spans="1:8" ht="41.4">
      <c r="A4119" s="502" t="s">
        <v>5440</v>
      </c>
      <c r="B4119" s="504" t="s">
        <v>25312</v>
      </c>
      <c r="C4119" s="502" t="s">
        <v>114</v>
      </c>
      <c r="D4119" s="503" t="s">
        <v>10003</v>
      </c>
      <c r="F4119" t="str">
        <f t="shared" si="129"/>
        <v>89695</v>
      </c>
      <c r="H4119" s="14">
        <f t="shared" si="130"/>
        <v>25.62</v>
      </c>
    </row>
    <row r="4120" spans="1:8" ht="41.4">
      <c r="A4120" s="502" t="s">
        <v>5441</v>
      </c>
      <c r="B4120" s="504" t="s">
        <v>25313</v>
      </c>
      <c r="C4120" s="502" t="s">
        <v>114</v>
      </c>
      <c r="D4120" s="503" t="s">
        <v>33016</v>
      </c>
      <c r="F4120" t="str">
        <f t="shared" si="129"/>
        <v>89696</v>
      </c>
      <c r="H4120" s="14">
        <f t="shared" si="130"/>
        <v>133.30000000000001</v>
      </c>
    </row>
    <row r="4121" spans="1:8" ht="41.4">
      <c r="A4121" s="502" t="s">
        <v>5442</v>
      </c>
      <c r="B4121" s="504" t="s">
        <v>25314</v>
      </c>
      <c r="C4121" s="502" t="s">
        <v>114</v>
      </c>
      <c r="D4121" s="503" t="s">
        <v>29802</v>
      </c>
      <c r="F4121" t="str">
        <f t="shared" si="129"/>
        <v>89697</v>
      </c>
      <c r="H4121" s="14">
        <f t="shared" si="130"/>
        <v>26.53</v>
      </c>
    </row>
    <row r="4122" spans="1:8" ht="41.4">
      <c r="A4122" s="502" t="s">
        <v>5443</v>
      </c>
      <c r="B4122" s="504" t="s">
        <v>25315</v>
      </c>
      <c r="C4122" s="502" t="s">
        <v>114</v>
      </c>
      <c r="D4122" s="503" t="s">
        <v>33017</v>
      </c>
      <c r="F4122" t="str">
        <f t="shared" si="129"/>
        <v>89698</v>
      </c>
      <c r="H4122" s="14">
        <f t="shared" si="130"/>
        <v>422.63</v>
      </c>
    </row>
    <row r="4123" spans="1:8" ht="41.4">
      <c r="A4123" s="502" t="s">
        <v>5444</v>
      </c>
      <c r="B4123" s="504" t="s">
        <v>25316</v>
      </c>
      <c r="C4123" s="502" t="s">
        <v>114</v>
      </c>
      <c r="D4123" s="503" t="s">
        <v>33018</v>
      </c>
      <c r="F4123" t="str">
        <f t="shared" si="129"/>
        <v>89699</v>
      </c>
      <c r="H4123" s="14">
        <f t="shared" si="130"/>
        <v>318.24</v>
      </c>
    </row>
    <row r="4124" spans="1:8" ht="41.4">
      <c r="A4124" s="502" t="s">
        <v>5445</v>
      </c>
      <c r="B4124" s="504" t="s">
        <v>25317</v>
      </c>
      <c r="C4124" s="502" t="s">
        <v>114</v>
      </c>
      <c r="D4124" s="503" t="s">
        <v>29914</v>
      </c>
      <c r="F4124" t="str">
        <f t="shared" si="129"/>
        <v>89700</v>
      </c>
      <c r="H4124" s="14">
        <f t="shared" si="130"/>
        <v>34.450000000000003</v>
      </c>
    </row>
    <row r="4125" spans="1:8" ht="41.4">
      <c r="A4125" s="502" t="s">
        <v>5446</v>
      </c>
      <c r="B4125" s="504" t="s">
        <v>25318</v>
      </c>
      <c r="C4125" s="502" t="s">
        <v>114</v>
      </c>
      <c r="D4125" s="503" t="s">
        <v>33019</v>
      </c>
      <c r="F4125" t="str">
        <f t="shared" si="129"/>
        <v>89701</v>
      </c>
      <c r="H4125" s="14">
        <f t="shared" si="130"/>
        <v>308.08999999999997</v>
      </c>
    </row>
    <row r="4126" spans="1:8" ht="41.4">
      <c r="A4126" s="502" t="s">
        <v>5447</v>
      </c>
      <c r="B4126" s="504" t="s">
        <v>25319</v>
      </c>
      <c r="C4126" s="502" t="s">
        <v>114</v>
      </c>
      <c r="D4126" s="503" t="s">
        <v>28203</v>
      </c>
      <c r="F4126" t="str">
        <f t="shared" si="129"/>
        <v>89702</v>
      </c>
      <c r="H4126" s="14">
        <f t="shared" si="130"/>
        <v>32.94</v>
      </c>
    </row>
    <row r="4127" spans="1:8" ht="41.4">
      <c r="A4127" s="502" t="s">
        <v>5448</v>
      </c>
      <c r="B4127" s="504" t="s">
        <v>29088</v>
      </c>
      <c r="C4127" s="502" t="s">
        <v>114</v>
      </c>
      <c r="D4127" s="503" t="s">
        <v>33020</v>
      </c>
      <c r="F4127" t="str">
        <f t="shared" si="129"/>
        <v>89703</v>
      </c>
      <c r="H4127" s="14">
        <f t="shared" si="130"/>
        <v>71.459999999999994</v>
      </c>
    </row>
    <row r="4128" spans="1:8" ht="41.4">
      <c r="A4128" s="502" t="s">
        <v>5449</v>
      </c>
      <c r="B4128" s="504" t="s">
        <v>25321</v>
      </c>
      <c r="C4128" s="502" t="s">
        <v>114</v>
      </c>
      <c r="D4128" s="503" t="s">
        <v>33021</v>
      </c>
      <c r="F4128" t="str">
        <f t="shared" si="129"/>
        <v>89704</v>
      </c>
      <c r="H4128" s="14">
        <f t="shared" si="130"/>
        <v>237.5</v>
      </c>
    </row>
    <row r="4129" spans="1:8" ht="41.4">
      <c r="A4129" s="502" t="s">
        <v>5450</v>
      </c>
      <c r="B4129" s="504" t="s">
        <v>25322</v>
      </c>
      <c r="C4129" s="502" t="s">
        <v>114</v>
      </c>
      <c r="D4129" s="503" t="s">
        <v>11701</v>
      </c>
      <c r="F4129" t="str">
        <f t="shared" si="129"/>
        <v>89705</v>
      </c>
      <c r="H4129" s="14">
        <f t="shared" si="130"/>
        <v>38.19</v>
      </c>
    </row>
    <row r="4130" spans="1:8" ht="41.4">
      <c r="A4130" s="502" t="s">
        <v>5451</v>
      </c>
      <c r="B4130" s="504" t="s">
        <v>25323</v>
      </c>
      <c r="C4130" s="502" t="s">
        <v>114</v>
      </c>
      <c r="D4130" s="503" t="s">
        <v>29735</v>
      </c>
      <c r="F4130" t="str">
        <f t="shared" si="129"/>
        <v>89706</v>
      </c>
      <c r="H4130" s="14">
        <f t="shared" si="130"/>
        <v>84.24</v>
      </c>
    </row>
    <row r="4131" spans="1:8" ht="41.4">
      <c r="A4131" s="502" t="s">
        <v>5452</v>
      </c>
      <c r="B4131" s="504" t="s">
        <v>25324</v>
      </c>
      <c r="C4131" s="502" t="s">
        <v>75</v>
      </c>
      <c r="D4131" s="503" t="s">
        <v>17276</v>
      </c>
      <c r="F4131" t="str">
        <f t="shared" si="129"/>
        <v>89718</v>
      </c>
      <c r="H4131" s="14">
        <f t="shared" si="130"/>
        <v>81.67</v>
      </c>
    </row>
    <row r="4132" spans="1:8" ht="41.4">
      <c r="A4132" s="502" t="s">
        <v>5453</v>
      </c>
      <c r="B4132" s="504" t="s">
        <v>25325</v>
      </c>
      <c r="C4132" s="502" t="s">
        <v>114</v>
      </c>
      <c r="D4132" s="503" t="s">
        <v>10772</v>
      </c>
      <c r="F4132" t="str">
        <f t="shared" si="129"/>
        <v>89719</v>
      </c>
      <c r="H4132" s="14">
        <f t="shared" si="130"/>
        <v>19.350000000000001</v>
      </c>
    </row>
    <row r="4133" spans="1:8" ht="41.4">
      <c r="A4133" s="502" t="s">
        <v>5454</v>
      </c>
      <c r="B4133" s="504" t="s">
        <v>25326</v>
      </c>
      <c r="C4133" s="502" t="s">
        <v>114</v>
      </c>
      <c r="D4133" s="503" t="s">
        <v>10748</v>
      </c>
      <c r="F4133" t="str">
        <f t="shared" si="129"/>
        <v>89720</v>
      </c>
      <c r="H4133" s="14">
        <f t="shared" si="130"/>
        <v>21.75</v>
      </c>
    </row>
    <row r="4134" spans="1:8" ht="41.4">
      <c r="A4134" s="502" t="s">
        <v>5456</v>
      </c>
      <c r="B4134" s="504" t="s">
        <v>25327</v>
      </c>
      <c r="C4134" s="502" t="s">
        <v>114</v>
      </c>
      <c r="D4134" s="503" t="s">
        <v>33022</v>
      </c>
      <c r="F4134" t="str">
        <f t="shared" si="129"/>
        <v>89721</v>
      </c>
      <c r="H4134" s="14">
        <f t="shared" si="130"/>
        <v>23.65</v>
      </c>
    </row>
    <row r="4135" spans="1:8" ht="41.4">
      <c r="A4135" s="502" t="s">
        <v>5457</v>
      </c>
      <c r="B4135" s="504" t="s">
        <v>25328</v>
      </c>
      <c r="C4135" s="502" t="s">
        <v>114</v>
      </c>
      <c r="D4135" s="503" t="s">
        <v>6589</v>
      </c>
      <c r="F4135" t="str">
        <f t="shared" si="129"/>
        <v>89723</v>
      </c>
      <c r="H4135" s="14">
        <f t="shared" si="130"/>
        <v>29.55</v>
      </c>
    </row>
    <row r="4136" spans="1:8" ht="55.2">
      <c r="A4136" s="502" t="s">
        <v>5458</v>
      </c>
      <c r="B4136" s="504" t="s">
        <v>25329</v>
      </c>
      <c r="C4136" s="502" t="s">
        <v>114</v>
      </c>
      <c r="D4136" s="503" t="s">
        <v>9914</v>
      </c>
      <c r="F4136" t="str">
        <f t="shared" si="129"/>
        <v>89724</v>
      </c>
      <c r="H4136" s="14">
        <f t="shared" si="130"/>
        <v>15.38</v>
      </c>
    </row>
    <row r="4137" spans="1:8" ht="41.4">
      <c r="A4137" s="502" t="s">
        <v>5459</v>
      </c>
      <c r="B4137" s="504" t="s">
        <v>25330</v>
      </c>
      <c r="C4137" s="502" t="s">
        <v>114</v>
      </c>
      <c r="D4137" s="503" t="s">
        <v>28647</v>
      </c>
      <c r="F4137" t="str">
        <f t="shared" si="129"/>
        <v>89725</v>
      </c>
      <c r="H4137" s="14">
        <f t="shared" si="130"/>
        <v>28.57</v>
      </c>
    </row>
    <row r="4138" spans="1:8" ht="55.2">
      <c r="A4138" s="502" t="s">
        <v>5460</v>
      </c>
      <c r="B4138" s="504" t="s">
        <v>25331</v>
      </c>
      <c r="C4138" s="502" t="s">
        <v>114</v>
      </c>
      <c r="D4138" s="503" t="s">
        <v>28485</v>
      </c>
      <c r="F4138" t="str">
        <f t="shared" si="129"/>
        <v>89726</v>
      </c>
      <c r="H4138" s="14">
        <f t="shared" si="130"/>
        <v>15.76</v>
      </c>
    </row>
    <row r="4139" spans="1:8" ht="41.4">
      <c r="A4139" s="502" t="s">
        <v>5461</v>
      </c>
      <c r="B4139" s="504" t="s">
        <v>25332</v>
      </c>
      <c r="C4139" s="502" t="s">
        <v>114</v>
      </c>
      <c r="D4139" s="503" t="s">
        <v>33023</v>
      </c>
      <c r="F4139" t="str">
        <f t="shared" si="129"/>
        <v>89727</v>
      </c>
      <c r="H4139" s="14">
        <f t="shared" si="130"/>
        <v>36.03</v>
      </c>
    </row>
    <row r="4140" spans="1:8" ht="55.2">
      <c r="A4140" s="502" t="s">
        <v>5462</v>
      </c>
      <c r="B4140" s="504" t="s">
        <v>25333</v>
      </c>
      <c r="C4140" s="502" t="s">
        <v>114</v>
      </c>
      <c r="D4140" s="503" t="s">
        <v>32181</v>
      </c>
      <c r="F4140" t="str">
        <f t="shared" si="129"/>
        <v>89728</v>
      </c>
      <c r="H4140" s="14">
        <f t="shared" si="130"/>
        <v>20.36</v>
      </c>
    </row>
    <row r="4141" spans="1:8" ht="41.4">
      <c r="A4141" s="502" t="s">
        <v>5463</v>
      </c>
      <c r="B4141" s="504" t="s">
        <v>25334</v>
      </c>
      <c r="C4141" s="502" t="s">
        <v>114</v>
      </c>
      <c r="D4141" s="503" t="s">
        <v>16227</v>
      </c>
      <c r="F4141" t="str">
        <f t="shared" si="129"/>
        <v>89729</v>
      </c>
      <c r="H4141" s="14">
        <f t="shared" si="130"/>
        <v>43.87</v>
      </c>
    </row>
    <row r="4142" spans="1:8" ht="55.2">
      <c r="A4142" s="502" t="s">
        <v>5464</v>
      </c>
      <c r="B4142" s="504" t="s">
        <v>25335</v>
      </c>
      <c r="C4142" s="502" t="s">
        <v>114</v>
      </c>
      <c r="D4142" s="503" t="s">
        <v>11816</v>
      </c>
      <c r="F4142" t="str">
        <f t="shared" si="129"/>
        <v>89730</v>
      </c>
      <c r="H4142" s="14">
        <f t="shared" si="130"/>
        <v>23.61</v>
      </c>
    </row>
    <row r="4143" spans="1:8" ht="55.2">
      <c r="A4143" s="502" t="s">
        <v>5465</v>
      </c>
      <c r="B4143" s="504" t="s">
        <v>25337</v>
      </c>
      <c r="C4143" s="502" t="s">
        <v>114</v>
      </c>
      <c r="D4143" s="503" t="s">
        <v>7290</v>
      </c>
      <c r="F4143" t="str">
        <f t="shared" si="129"/>
        <v>89731</v>
      </c>
      <c r="H4143" s="14">
        <f t="shared" si="130"/>
        <v>22.16</v>
      </c>
    </row>
    <row r="4144" spans="1:8" ht="55.2">
      <c r="A4144" s="502" t="s">
        <v>5466</v>
      </c>
      <c r="B4144" s="504" t="s">
        <v>25338</v>
      </c>
      <c r="C4144" s="502" t="s">
        <v>114</v>
      </c>
      <c r="D4144" s="503" t="s">
        <v>33024</v>
      </c>
      <c r="F4144" t="str">
        <f t="shared" si="129"/>
        <v>89732</v>
      </c>
      <c r="H4144" s="14">
        <f t="shared" si="130"/>
        <v>23.4</v>
      </c>
    </row>
    <row r="4145" spans="1:8" ht="55.2">
      <c r="A4145" s="502" t="s">
        <v>5468</v>
      </c>
      <c r="B4145" s="504" t="s">
        <v>25339</v>
      </c>
      <c r="C4145" s="502" t="s">
        <v>114</v>
      </c>
      <c r="D4145" s="503" t="s">
        <v>10513</v>
      </c>
      <c r="F4145" t="str">
        <f t="shared" si="129"/>
        <v>89733</v>
      </c>
      <c r="H4145" s="14">
        <f t="shared" si="130"/>
        <v>36.619999999999997</v>
      </c>
    </row>
    <row r="4146" spans="1:8" ht="41.4">
      <c r="A4146" s="502" t="s">
        <v>5469</v>
      </c>
      <c r="B4146" s="504" t="s">
        <v>25340</v>
      </c>
      <c r="C4146" s="502" t="s">
        <v>114</v>
      </c>
      <c r="D4146" s="503" t="s">
        <v>33025</v>
      </c>
      <c r="F4146" t="str">
        <f t="shared" si="129"/>
        <v>89734</v>
      </c>
      <c r="H4146" s="14">
        <f t="shared" si="130"/>
        <v>41.41</v>
      </c>
    </row>
    <row r="4147" spans="1:8" ht="55.2">
      <c r="A4147" s="502" t="s">
        <v>5470</v>
      </c>
      <c r="B4147" s="504" t="s">
        <v>25341</v>
      </c>
      <c r="C4147" s="502" t="s">
        <v>114</v>
      </c>
      <c r="D4147" s="503" t="s">
        <v>21173</v>
      </c>
      <c r="F4147" t="str">
        <f t="shared" si="129"/>
        <v>89735</v>
      </c>
      <c r="H4147" s="14">
        <f t="shared" si="130"/>
        <v>40.36</v>
      </c>
    </row>
    <row r="4148" spans="1:8" ht="41.4">
      <c r="A4148" s="502" t="s">
        <v>5471</v>
      </c>
      <c r="B4148" s="504" t="s">
        <v>25342</v>
      </c>
      <c r="C4148" s="502" t="s">
        <v>114</v>
      </c>
      <c r="D4148" s="503" t="s">
        <v>6035</v>
      </c>
      <c r="F4148" t="str">
        <f t="shared" si="129"/>
        <v>89736</v>
      </c>
      <c r="H4148" s="14">
        <f t="shared" si="130"/>
        <v>13.42</v>
      </c>
    </row>
    <row r="4149" spans="1:8" ht="55.2">
      <c r="A4149" s="502" t="s">
        <v>5473</v>
      </c>
      <c r="B4149" s="504" t="s">
        <v>25343</v>
      </c>
      <c r="C4149" s="502" t="s">
        <v>114</v>
      </c>
      <c r="D4149" s="503" t="s">
        <v>9536</v>
      </c>
      <c r="F4149" t="str">
        <f t="shared" si="129"/>
        <v>89737</v>
      </c>
      <c r="H4149" s="14">
        <f t="shared" si="130"/>
        <v>34.130000000000003</v>
      </c>
    </row>
    <row r="4150" spans="1:8" ht="41.4">
      <c r="A4150" s="502" t="s">
        <v>5474</v>
      </c>
      <c r="B4150" s="504" t="s">
        <v>2661</v>
      </c>
      <c r="C4150" s="502" t="s">
        <v>114</v>
      </c>
      <c r="D4150" s="503" t="s">
        <v>10298</v>
      </c>
      <c r="F4150" t="str">
        <f t="shared" si="129"/>
        <v>89738</v>
      </c>
      <c r="H4150" s="14">
        <f t="shared" si="130"/>
        <v>24.9</v>
      </c>
    </row>
    <row r="4151" spans="1:8" ht="55.2">
      <c r="A4151" s="502" t="s">
        <v>5475</v>
      </c>
      <c r="B4151" s="504" t="s">
        <v>25344</v>
      </c>
      <c r="C4151" s="502" t="s">
        <v>114</v>
      </c>
      <c r="D4151" s="503" t="s">
        <v>33026</v>
      </c>
      <c r="F4151" t="str">
        <f t="shared" si="129"/>
        <v>89739</v>
      </c>
      <c r="H4151" s="14">
        <f t="shared" si="130"/>
        <v>35.79</v>
      </c>
    </row>
    <row r="4152" spans="1:8" ht="41.4">
      <c r="A4152" s="502" t="s">
        <v>5476</v>
      </c>
      <c r="B4152" s="504" t="s">
        <v>25345</v>
      </c>
      <c r="C4152" s="502" t="s">
        <v>114</v>
      </c>
      <c r="D4152" s="503" t="s">
        <v>13907</v>
      </c>
      <c r="F4152" t="str">
        <f t="shared" si="129"/>
        <v>89740</v>
      </c>
      <c r="H4152" s="14">
        <f t="shared" si="130"/>
        <v>13.63</v>
      </c>
    </row>
    <row r="4153" spans="1:8" ht="41.4">
      <c r="A4153" s="502" t="s">
        <v>5477</v>
      </c>
      <c r="B4153" s="504" t="s">
        <v>25346</v>
      </c>
      <c r="C4153" s="502" t="s">
        <v>114</v>
      </c>
      <c r="D4153" s="503" t="s">
        <v>33027</v>
      </c>
      <c r="F4153" t="str">
        <f t="shared" si="129"/>
        <v>89741</v>
      </c>
      <c r="H4153" s="14">
        <f t="shared" si="130"/>
        <v>34.340000000000003</v>
      </c>
    </row>
    <row r="4154" spans="1:8" ht="55.2">
      <c r="A4154" s="502" t="s">
        <v>5478</v>
      </c>
      <c r="B4154" s="504" t="s">
        <v>25347</v>
      </c>
      <c r="C4154" s="502" t="s">
        <v>114</v>
      </c>
      <c r="D4154" s="503" t="s">
        <v>33028</v>
      </c>
      <c r="F4154" t="str">
        <f t="shared" si="129"/>
        <v>89742</v>
      </c>
      <c r="H4154" s="14">
        <f t="shared" si="130"/>
        <v>63.32</v>
      </c>
    </row>
    <row r="4155" spans="1:8" ht="55.2">
      <c r="A4155" s="502" t="s">
        <v>5479</v>
      </c>
      <c r="B4155" s="504" t="s">
        <v>25348</v>
      </c>
      <c r="C4155" s="502" t="s">
        <v>114</v>
      </c>
      <c r="D4155" s="503" t="s">
        <v>33029</v>
      </c>
      <c r="F4155" t="str">
        <f t="shared" si="129"/>
        <v>89743</v>
      </c>
      <c r="H4155" s="14">
        <f t="shared" si="130"/>
        <v>98.53</v>
      </c>
    </row>
    <row r="4156" spans="1:8" ht="55.2">
      <c r="A4156" s="502" t="s">
        <v>5480</v>
      </c>
      <c r="B4156" s="504" t="s">
        <v>25349</v>
      </c>
      <c r="C4156" s="502" t="s">
        <v>114</v>
      </c>
      <c r="D4156" s="503" t="s">
        <v>17513</v>
      </c>
      <c r="F4156" t="str">
        <f t="shared" si="129"/>
        <v>89744</v>
      </c>
      <c r="H4156" s="14">
        <f t="shared" si="130"/>
        <v>41.44</v>
      </c>
    </row>
    <row r="4157" spans="1:8" ht="55.2">
      <c r="A4157" s="502" t="s">
        <v>5481</v>
      </c>
      <c r="B4157" s="504" t="s">
        <v>25350</v>
      </c>
      <c r="C4157" s="502" t="s">
        <v>114</v>
      </c>
      <c r="D4157" s="503" t="s">
        <v>33030</v>
      </c>
      <c r="F4157" t="str">
        <f t="shared" si="129"/>
        <v>89746</v>
      </c>
      <c r="H4157" s="14">
        <f t="shared" si="130"/>
        <v>42.87</v>
      </c>
    </row>
    <row r="4158" spans="1:8" ht="41.4">
      <c r="A4158" s="502" t="s">
        <v>5482</v>
      </c>
      <c r="B4158" s="504" t="s">
        <v>25351</v>
      </c>
      <c r="C4158" s="502" t="s">
        <v>114</v>
      </c>
      <c r="D4158" s="503" t="s">
        <v>33031</v>
      </c>
      <c r="F4158" t="str">
        <f t="shared" si="129"/>
        <v>89747</v>
      </c>
      <c r="H4158" s="14">
        <f t="shared" si="130"/>
        <v>44.03</v>
      </c>
    </row>
    <row r="4159" spans="1:8" ht="55.2">
      <c r="A4159" s="502" t="s">
        <v>5483</v>
      </c>
      <c r="B4159" s="504" t="s">
        <v>25352</v>
      </c>
      <c r="C4159" s="502" t="s">
        <v>114</v>
      </c>
      <c r="D4159" s="503" t="s">
        <v>25821</v>
      </c>
      <c r="F4159" t="str">
        <f t="shared" si="129"/>
        <v>89748</v>
      </c>
      <c r="H4159" s="14">
        <f t="shared" si="130"/>
        <v>67.16</v>
      </c>
    </row>
    <row r="4160" spans="1:8" ht="41.4">
      <c r="A4160" s="502" t="s">
        <v>5484</v>
      </c>
      <c r="B4160" s="504" t="s">
        <v>25353</v>
      </c>
      <c r="C4160" s="502" t="s">
        <v>114</v>
      </c>
      <c r="D4160" s="503" t="s">
        <v>10683</v>
      </c>
      <c r="F4160" t="str">
        <f t="shared" si="129"/>
        <v>89749</v>
      </c>
      <c r="H4160" s="14">
        <f t="shared" si="130"/>
        <v>24.8</v>
      </c>
    </row>
    <row r="4161" spans="1:8" ht="55.2">
      <c r="A4161" s="502" t="s">
        <v>5485</v>
      </c>
      <c r="B4161" s="504" t="s">
        <v>25354</v>
      </c>
      <c r="C4161" s="502" t="s">
        <v>114</v>
      </c>
      <c r="D4161" s="503" t="s">
        <v>33032</v>
      </c>
      <c r="F4161" t="str">
        <f t="shared" si="129"/>
        <v>89750</v>
      </c>
      <c r="H4161" s="14">
        <f t="shared" si="130"/>
        <v>127.11</v>
      </c>
    </row>
    <row r="4162" spans="1:8" ht="55.2">
      <c r="A4162" s="502" t="s">
        <v>5486</v>
      </c>
      <c r="B4162" s="504" t="s">
        <v>25355</v>
      </c>
      <c r="C4162" s="502" t="s">
        <v>114</v>
      </c>
      <c r="D4162" s="503" t="s">
        <v>7320</v>
      </c>
      <c r="F4162" t="str">
        <f t="shared" si="129"/>
        <v>89752</v>
      </c>
      <c r="H4162" s="14">
        <f t="shared" si="130"/>
        <v>11.39</v>
      </c>
    </row>
    <row r="4163" spans="1:8" ht="55.2">
      <c r="A4163" s="502" t="s">
        <v>5487</v>
      </c>
      <c r="B4163" s="504" t="s">
        <v>25356</v>
      </c>
      <c r="C4163" s="502" t="s">
        <v>114</v>
      </c>
      <c r="D4163" s="503" t="s">
        <v>9478</v>
      </c>
      <c r="F4163" t="str">
        <f t="shared" si="129"/>
        <v>89753</v>
      </c>
      <c r="H4163" s="14">
        <f t="shared" si="130"/>
        <v>14.28</v>
      </c>
    </row>
    <row r="4164" spans="1:8" ht="55.2">
      <c r="A4164" s="502" t="s">
        <v>5488</v>
      </c>
      <c r="B4164" s="504" t="s">
        <v>25357</v>
      </c>
      <c r="C4164" s="502" t="s">
        <v>114</v>
      </c>
      <c r="D4164" s="503" t="s">
        <v>29300</v>
      </c>
      <c r="F4164" t="str">
        <f t="shared" si="129"/>
        <v>89754</v>
      </c>
      <c r="H4164" s="14">
        <f t="shared" si="130"/>
        <v>32.83</v>
      </c>
    </row>
    <row r="4165" spans="1:8" ht="41.4">
      <c r="A4165" s="502" t="s">
        <v>5489</v>
      </c>
      <c r="B4165" s="504" t="s">
        <v>25358</v>
      </c>
      <c r="C4165" s="502" t="s">
        <v>114</v>
      </c>
      <c r="D4165" s="503" t="s">
        <v>9985</v>
      </c>
      <c r="F4165" t="str">
        <f t="shared" ref="F4165:F4228" si="131">TRIM(A4165)</f>
        <v>89755</v>
      </c>
      <c r="H4165" s="14">
        <f t="shared" ref="H4165:H4228" si="132">ROUND(D4165*(1+$H$1),2)</f>
        <v>20.170000000000002</v>
      </c>
    </row>
    <row r="4166" spans="1:8" ht="41.4">
      <c r="A4166" s="502" t="s">
        <v>5490</v>
      </c>
      <c r="B4166" s="504" t="s">
        <v>25359</v>
      </c>
      <c r="C4166" s="502" t="s">
        <v>114</v>
      </c>
      <c r="D4166" s="503" t="s">
        <v>9572</v>
      </c>
      <c r="F4166" t="str">
        <f t="shared" si="131"/>
        <v>89756</v>
      </c>
      <c r="H4166" s="14">
        <f t="shared" si="132"/>
        <v>34.47</v>
      </c>
    </row>
    <row r="4167" spans="1:8" ht="41.4">
      <c r="A4167" s="502" t="s">
        <v>5492</v>
      </c>
      <c r="B4167" s="504" t="s">
        <v>25360</v>
      </c>
      <c r="C4167" s="502" t="s">
        <v>114</v>
      </c>
      <c r="D4167" s="503" t="s">
        <v>25678</v>
      </c>
      <c r="F4167" t="str">
        <f t="shared" si="131"/>
        <v>89757</v>
      </c>
      <c r="H4167" s="14">
        <f t="shared" si="132"/>
        <v>44.8</v>
      </c>
    </row>
    <row r="4168" spans="1:8" ht="41.4">
      <c r="A4168" s="502" t="s">
        <v>5493</v>
      </c>
      <c r="B4168" s="504" t="s">
        <v>25361</v>
      </c>
      <c r="C4168" s="502" t="s">
        <v>114</v>
      </c>
      <c r="D4168" s="503" t="s">
        <v>27679</v>
      </c>
      <c r="F4168" t="str">
        <f t="shared" si="131"/>
        <v>89758</v>
      </c>
      <c r="H4168" s="14">
        <f t="shared" si="132"/>
        <v>54.83</v>
      </c>
    </row>
    <row r="4169" spans="1:8" ht="41.4">
      <c r="A4169" s="502" t="s">
        <v>5494</v>
      </c>
      <c r="B4169" s="504" t="s">
        <v>25362</v>
      </c>
      <c r="C4169" s="502" t="s">
        <v>114</v>
      </c>
      <c r="D4169" s="503" t="s">
        <v>28132</v>
      </c>
      <c r="F4169" t="str">
        <f t="shared" si="131"/>
        <v>89759</v>
      </c>
      <c r="H4169" s="14">
        <f t="shared" si="132"/>
        <v>17.11</v>
      </c>
    </row>
    <row r="4170" spans="1:8" ht="41.4">
      <c r="A4170" s="502" t="s">
        <v>5495</v>
      </c>
      <c r="B4170" s="504" t="s">
        <v>25363</v>
      </c>
      <c r="C4170" s="502" t="s">
        <v>114</v>
      </c>
      <c r="D4170" s="503" t="s">
        <v>11180</v>
      </c>
      <c r="F4170" t="str">
        <f t="shared" si="131"/>
        <v>89760</v>
      </c>
      <c r="H4170" s="14">
        <f t="shared" si="132"/>
        <v>32.54</v>
      </c>
    </row>
    <row r="4171" spans="1:8" ht="41.4">
      <c r="A4171" s="502" t="s">
        <v>5496</v>
      </c>
      <c r="B4171" s="504" t="s">
        <v>25365</v>
      </c>
      <c r="C4171" s="502" t="s">
        <v>114</v>
      </c>
      <c r="D4171" s="503" t="s">
        <v>22346</v>
      </c>
      <c r="F4171" t="str">
        <f t="shared" si="131"/>
        <v>89761</v>
      </c>
      <c r="H4171" s="14">
        <f t="shared" si="132"/>
        <v>46.02</v>
      </c>
    </row>
    <row r="4172" spans="1:8" ht="41.4">
      <c r="A4172" s="502" t="s">
        <v>5497</v>
      </c>
      <c r="B4172" s="504" t="s">
        <v>25366</v>
      </c>
      <c r="C4172" s="502" t="s">
        <v>114</v>
      </c>
      <c r="D4172" s="503" t="s">
        <v>31276</v>
      </c>
      <c r="F4172" t="str">
        <f t="shared" si="131"/>
        <v>89762</v>
      </c>
      <c r="H4172" s="14">
        <f t="shared" si="132"/>
        <v>65.33</v>
      </c>
    </row>
    <row r="4173" spans="1:8" ht="41.4">
      <c r="A4173" s="502" t="s">
        <v>5498</v>
      </c>
      <c r="B4173" s="504" t="s">
        <v>25367</v>
      </c>
      <c r="C4173" s="502" t="s">
        <v>114</v>
      </c>
      <c r="D4173" s="503" t="s">
        <v>22425</v>
      </c>
      <c r="F4173" t="str">
        <f t="shared" si="131"/>
        <v>89763</v>
      </c>
      <c r="H4173" s="14">
        <f t="shared" si="132"/>
        <v>83.13</v>
      </c>
    </row>
    <row r="4174" spans="1:8" ht="41.4">
      <c r="A4174" s="502" t="s">
        <v>5499</v>
      </c>
      <c r="B4174" s="504" t="s">
        <v>25368</v>
      </c>
      <c r="C4174" s="502" t="s">
        <v>114</v>
      </c>
      <c r="D4174" s="503" t="s">
        <v>23868</v>
      </c>
      <c r="F4174" t="str">
        <f t="shared" si="131"/>
        <v>89764</v>
      </c>
      <c r="H4174" s="14">
        <f t="shared" si="132"/>
        <v>55.19</v>
      </c>
    </row>
    <row r="4175" spans="1:8" ht="41.4">
      <c r="A4175" s="502" t="s">
        <v>5500</v>
      </c>
      <c r="B4175" s="504" t="s">
        <v>25369</v>
      </c>
      <c r="C4175" s="502" t="s">
        <v>114</v>
      </c>
      <c r="D4175" s="503" t="s">
        <v>33033</v>
      </c>
      <c r="F4175" t="str">
        <f t="shared" si="131"/>
        <v>89765</v>
      </c>
      <c r="H4175" s="14">
        <f t="shared" si="132"/>
        <v>25.08</v>
      </c>
    </row>
    <row r="4176" spans="1:8" ht="41.4">
      <c r="A4176" s="502" t="s">
        <v>5501</v>
      </c>
      <c r="B4176" s="504" t="s">
        <v>25370</v>
      </c>
      <c r="C4176" s="502" t="s">
        <v>114</v>
      </c>
      <c r="D4176" s="503" t="s">
        <v>33034</v>
      </c>
      <c r="F4176" t="str">
        <f t="shared" si="131"/>
        <v>89767</v>
      </c>
      <c r="H4176" s="14">
        <f t="shared" si="132"/>
        <v>31.49</v>
      </c>
    </row>
    <row r="4177" spans="1:8" ht="41.4">
      <c r="A4177" s="502" t="s">
        <v>5502</v>
      </c>
      <c r="B4177" s="504" t="s">
        <v>25371</v>
      </c>
      <c r="C4177" s="502" t="s">
        <v>114</v>
      </c>
      <c r="D4177" s="503" t="s">
        <v>33035</v>
      </c>
      <c r="F4177" t="str">
        <f t="shared" si="131"/>
        <v>89768</v>
      </c>
      <c r="H4177" s="14">
        <f t="shared" si="132"/>
        <v>36.51</v>
      </c>
    </row>
    <row r="4178" spans="1:8" ht="41.4">
      <c r="A4178" s="502" t="s">
        <v>5503</v>
      </c>
      <c r="B4178" s="504" t="s">
        <v>25372</v>
      </c>
      <c r="C4178" s="502" t="s">
        <v>114</v>
      </c>
      <c r="D4178" s="503" t="s">
        <v>33036</v>
      </c>
      <c r="F4178" t="str">
        <f t="shared" si="131"/>
        <v>89769</v>
      </c>
      <c r="H4178" s="14">
        <f t="shared" si="132"/>
        <v>82.24</v>
      </c>
    </row>
    <row r="4179" spans="1:8" ht="27.6">
      <c r="A4179" s="502" t="s">
        <v>5504</v>
      </c>
      <c r="B4179" s="504" t="s">
        <v>25373</v>
      </c>
      <c r="C4179" s="502" t="s">
        <v>75</v>
      </c>
      <c r="D4179" s="503" t="s">
        <v>33037</v>
      </c>
      <c r="F4179" t="str">
        <f t="shared" si="131"/>
        <v>89772</v>
      </c>
      <c r="H4179" s="14">
        <f t="shared" si="132"/>
        <v>133.78</v>
      </c>
    </row>
    <row r="4180" spans="1:8" ht="55.2">
      <c r="A4180" s="502" t="s">
        <v>5505</v>
      </c>
      <c r="B4180" s="504" t="s">
        <v>25374</v>
      </c>
      <c r="C4180" s="502" t="s">
        <v>114</v>
      </c>
      <c r="D4180" s="503" t="s">
        <v>23704</v>
      </c>
      <c r="F4180" t="str">
        <f t="shared" si="131"/>
        <v>89774</v>
      </c>
      <c r="H4180" s="14">
        <f t="shared" si="132"/>
        <v>23.89</v>
      </c>
    </row>
    <row r="4181" spans="1:8" ht="55.2">
      <c r="A4181" s="502" t="s">
        <v>5506</v>
      </c>
      <c r="B4181" s="504" t="s">
        <v>25375</v>
      </c>
      <c r="C4181" s="502" t="s">
        <v>114</v>
      </c>
      <c r="D4181" s="503" t="s">
        <v>33038</v>
      </c>
      <c r="F4181" t="str">
        <f t="shared" si="131"/>
        <v>89776</v>
      </c>
      <c r="H4181" s="14">
        <f t="shared" si="132"/>
        <v>39.590000000000003</v>
      </c>
    </row>
    <row r="4182" spans="1:8" ht="41.4">
      <c r="A4182" s="502" t="s">
        <v>5507</v>
      </c>
      <c r="B4182" s="504" t="s">
        <v>25376</v>
      </c>
      <c r="C4182" s="502" t="s">
        <v>114</v>
      </c>
      <c r="D4182" s="503" t="s">
        <v>33039</v>
      </c>
      <c r="F4182" t="str">
        <f t="shared" si="131"/>
        <v>89777</v>
      </c>
      <c r="H4182" s="14">
        <f t="shared" si="132"/>
        <v>38</v>
      </c>
    </row>
    <row r="4183" spans="1:8" ht="55.2">
      <c r="A4183" s="502" t="s">
        <v>5508</v>
      </c>
      <c r="B4183" s="504" t="s">
        <v>25377</v>
      </c>
      <c r="C4183" s="502" t="s">
        <v>114</v>
      </c>
      <c r="D4183" s="503" t="s">
        <v>32807</v>
      </c>
      <c r="F4183" t="str">
        <f t="shared" si="131"/>
        <v>89778</v>
      </c>
      <c r="H4183" s="14">
        <f t="shared" si="132"/>
        <v>27.01</v>
      </c>
    </row>
    <row r="4184" spans="1:8" ht="55.2">
      <c r="A4184" s="502" t="s">
        <v>5509</v>
      </c>
      <c r="B4184" s="504" t="s">
        <v>25378</v>
      </c>
      <c r="C4184" s="502" t="s">
        <v>114</v>
      </c>
      <c r="D4184" s="503" t="s">
        <v>29980</v>
      </c>
      <c r="F4184" t="str">
        <f t="shared" si="131"/>
        <v>89779</v>
      </c>
      <c r="H4184" s="14">
        <f t="shared" si="132"/>
        <v>54.13</v>
      </c>
    </row>
    <row r="4185" spans="1:8" ht="41.4">
      <c r="A4185" s="502" t="s">
        <v>5510</v>
      </c>
      <c r="B4185" s="504" t="s">
        <v>25379</v>
      </c>
      <c r="C4185" s="502" t="s">
        <v>114</v>
      </c>
      <c r="D4185" s="503" t="s">
        <v>9901</v>
      </c>
      <c r="F4185" t="str">
        <f t="shared" si="131"/>
        <v>89780</v>
      </c>
      <c r="H4185" s="14">
        <f t="shared" si="132"/>
        <v>35.549999999999997</v>
      </c>
    </row>
    <row r="4186" spans="1:8" ht="41.4">
      <c r="A4186" s="502" t="s">
        <v>5511</v>
      </c>
      <c r="B4186" s="504" t="s">
        <v>25380</v>
      </c>
      <c r="C4186" s="502" t="s">
        <v>114</v>
      </c>
      <c r="D4186" s="503" t="s">
        <v>33040</v>
      </c>
      <c r="F4186" t="str">
        <f t="shared" si="131"/>
        <v>89781</v>
      </c>
      <c r="H4186" s="14">
        <f t="shared" si="132"/>
        <v>53.93</v>
      </c>
    </row>
    <row r="4187" spans="1:8" ht="55.2">
      <c r="A4187" s="502" t="s">
        <v>5512</v>
      </c>
      <c r="B4187" s="504" t="s">
        <v>25381</v>
      </c>
      <c r="C4187" s="502" t="s">
        <v>114</v>
      </c>
      <c r="D4187" s="503" t="s">
        <v>9918</v>
      </c>
      <c r="F4187" t="str">
        <f t="shared" si="131"/>
        <v>89782</v>
      </c>
      <c r="H4187" s="14">
        <f t="shared" si="132"/>
        <v>22.37</v>
      </c>
    </row>
    <row r="4188" spans="1:8" ht="55.2">
      <c r="A4188" s="502" t="s">
        <v>5513</v>
      </c>
      <c r="B4188" s="504" t="s">
        <v>25382</v>
      </c>
      <c r="C4188" s="502" t="s">
        <v>114</v>
      </c>
      <c r="D4188" s="503" t="s">
        <v>33041</v>
      </c>
      <c r="F4188" t="str">
        <f t="shared" si="131"/>
        <v>89783</v>
      </c>
      <c r="H4188" s="14">
        <f t="shared" si="132"/>
        <v>22.55</v>
      </c>
    </row>
    <row r="4189" spans="1:8" ht="55.2">
      <c r="A4189" s="502" t="s">
        <v>5514</v>
      </c>
      <c r="B4189" s="504" t="s">
        <v>25383</v>
      </c>
      <c r="C4189" s="502" t="s">
        <v>114</v>
      </c>
      <c r="D4189" s="503" t="s">
        <v>33042</v>
      </c>
      <c r="F4189" t="str">
        <f t="shared" si="131"/>
        <v>89784</v>
      </c>
      <c r="H4189" s="14">
        <f t="shared" si="132"/>
        <v>36.58</v>
      </c>
    </row>
    <row r="4190" spans="1:8" ht="55.2">
      <c r="A4190" s="502" t="s">
        <v>5515</v>
      </c>
      <c r="B4190" s="504" t="s">
        <v>25384</v>
      </c>
      <c r="C4190" s="502" t="s">
        <v>114</v>
      </c>
      <c r="D4190" s="503" t="s">
        <v>10491</v>
      </c>
      <c r="F4190" t="str">
        <f t="shared" si="131"/>
        <v>89785</v>
      </c>
      <c r="H4190" s="14">
        <f t="shared" si="132"/>
        <v>40.6</v>
      </c>
    </row>
    <row r="4191" spans="1:8" ht="55.2">
      <c r="A4191" s="502" t="s">
        <v>5516</v>
      </c>
      <c r="B4191" s="504" t="s">
        <v>25385</v>
      </c>
      <c r="C4191" s="502" t="s">
        <v>114</v>
      </c>
      <c r="D4191" s="503" t="s">
        <v>30250</v>
      </c>
      <c r="F4191" t="str">
        <f t="shared" si="131"/>
        <v>89786</v>
      </c>
      <c r="H4191" s="14">
        <f t="shared" si="132"/>
        <v>59.75</v>
      </c>
    </row>
    <row r="4192" spans="1:8" ht="41.4">
      <c r="A4192" s="502" t="s">
        <v>5517</v>
      </c>
      <c r="B4192" s="504" t="s">
        <v>25386</v>
      </c>
      <c r="C4192" s="502" t="s">
        <v>114</v>
      </c>
      <c r="D4192" s="503" t="s">
        <v>33043</v>
      </c>
      <c r="F4192" t="str">
        <f t="shared" si="131"/>
        <v>89787</v>
      </c>
      <c r="H4192" s="14">
        <f t="shared" si="132"/>
        <v>53.33</v>
      </c>
    </row>
    <row r="4193" spans="1:8" ht="41.4">
      <c r="A4193" s="502" t="s">
        <v>5518</v>
      </c>
      <c r="B4193" s="504" t="s">
        <v>25387</v>
      </c>
      <c r="C4193" s="502" t="s">
        <v>114</v>
      </c>
      <c r="D4193" s="503" t="s">
        <v>33044</v>
      </c>
      <c r="F4193" t="str">
        <f t="shared" si="131"/>
        <v>89788</v>
      </c>
      <c r="H4193" s="14">
        <f t="shared" si="132"/>
        <v>117.57</v>
      </c>
    </row>
    <row r="4194" spans="1:8" ht="41.4">
      <c r="A4194" s="502" t="s">
        <v>5519</v>
      </c>
      <c r="B4194" s="504" t="s">
        <v>25388</v>
      </c>
      <c r="C4194" s="502" t="s">
        <v>114</v>
      </c>
      <c r="D4194" s="503" t="s">
        <v>10027</v>
      </c>
      <c r="F4194" t="str">
        <f t="shared" si="131"/>
        <v>89789</v>
      </c>
      <c r="H4194" s="14">
        <f t="shared" si="132"/>
        <v>99.68</v>
      </c>
    </row>
    <row r="4195" spans="1:8" ht="41.4">
      <c r="A4195" s="502" t="s">
        <v>5520</v>
      </c>
      <c r="B4195" s="504" t="s">
        <v>25389</v>
      </c>
      <c r="C4195" s="502" t="s">
        <v>114</v>
      </c>
      <c r="D4195" s="503" t="s">
        <v>33045</v>
      </c>
      <c r="F4195" t="str">
        <f t="shared" si="131"/>
        <v>89790</v>
      </c>
      <c r="H4195" s="14">
        <f t="shared" si="132"/>
        <v>235.44</v>
      </c>
    </row>
    <row r="4196" spans="1:8" ht="41.4">
      <c r="A4196" s="502" t="s">
        <v>5521</v>
      </c>
      <c r="B4196" s="504" t="s">
        <v>25390</v>
      </c>
      <c r="C4196" s="502" t="s">
        <v>114</v>
      </c>
      <c r="D4196" s="503" t="s">
        <v>33046</v>
      </c>
      <c r="F4196" t="str">
        <f t="shared" si="131"/>
        <v>89791</v>
      </c>
      <c r="H4196" s="14">
        <f t="shared" si="132"/>
        <v>227.35</v>
      </c>
    </row>
    <row r="4197" spans="1:8" ht="41.4">
      <c r="A4197" s="502" t="s">
        <v>5522</v>
      </c>
      <c r="B4197" s="504" t="s">
        <v>25391</v>
      </c>
      <c r="C4197" s="502" t="s">
        <v>114</v>
      </c>
      <c r="D4197" s="503" t="s">
        <v>33047</v>
      </c>
      <c r="F4197" t="str">
        <f t="shared" si="131"/>
        <v>89792</v>
      </c>
      <c r="H4197" s="14">
        <f t="shared" si="132"/>
        <v>277.89</v>
      </c>
    </row>
    <row r="4198" spans="1:8" ht="41.4">
      <c r="A4198" s="502" t="s">
        <v>5523</v>
      </c>
      <c r="B4198" s="504" t="s">
        <v>25392</v>
      </c>
      <c r="C4198" s="502" t="s">
        <v>114</v>
      </c>
      <c r="D4198" s="503" t="s">
        <v>33048</v>
      </c>
      <c r="F4198" t="str">
        <f t="shared" si="131"/>
        <v>89793</v>
      </c>
      <c r="H4198" s="14">
        <f t="shared" si="132"/>
        <v>328.22</v>
      </c>
    </row>
    <row r="4199" spans="1:8" ht="27.6">
      <c r="A4199" s="502" t="s">
        <v>5524</v>
      </c>
      <c r="B4199" s="504" t="s">
        <v>25393</v>
      </c>
      <c r="C4199" s="502" t="s">
        <v>114</v>
      </c>
      <c r="D4199" s="503" t="s">
        <v>25615</v>
      </c>
      <c r="F4199" t="str">
        <f t="shared" si="131"/>
        <v>89794</v>
      </c>
      <c r="H4199" s="14">
        <f t="shared" si="132"/>
        <v>28.65</v>
      </c>
    </row>
    <row r="4200" spans="1:8" ht="55.2">
      <c r="A4200" s="502" t="s">
        <v>5525</v>
      </c>
      <c r="B4200" s="504" t="s">
        <v>25394</v>
      </c>
      <c r="C4200" s="502" t="s">
        <v>114</v>
      </c>
      <c r="D4200" s="503" t="s">
        <v>15296</v>
      </c>
      <c r="F4200" t="str">
        <f t="shared" si="131"/>
        <v>89795</v>
      </c>
      <c r="H4200" s="14">
        <f t="shared" si="132"/>
        <v>63.29</v>
      </c>
    </row>
    <row r="4201" spans="1:8" ht="55.2">
      <c r="A4201" s="502" t="s">
        <v>5526</v>
      </c>
      <c r="B4201" s="504" t="s">
        <v>25395</v>
      </c>
      <c r="C4201" s="502" t="s">
        <v>114</v>
      </c>
      <c r="D4201" s="503" t="s">
        <v>33049</v>
      </c>
      <c r="F4201" t="str">
        <f t="shared" si="131"/>
        <v>89796</v>
      </c>
      <c r="H4201" s="14">
        <f t="shared" si="132"/>
        <v>65.89</v>
      </c>
    </row>
    <row r="4202" spans="1:8" ht="55.2">
      <c r="A4202" s="502" t="s">
        <v>5527</v>
      </c>
      <c r="B4202" s="504" t="s">
        <v>25396</v>
      </c>
      <c r="C4202" s="502" t="s">
        <v>114</v>
      </c>
      <c r="D4202" s="503" t="s">
        <v>33050</v>
      </c>
      <c r="F4202" t="str">
        <f t="shared" si="131"/>
        <v>89797</v>
      </c>
      <c r="H4202" s="14">
        <f t="shared" si="132"/>
        <v>79.64</v>
      </c>
    </row>
    <row r="4203" spans="1:8" ht="55.2">
      <c r="A4203" s="502" t="s">
        <v>5528</v>
      </c>
      <c r="B4203" s="504" t="s">
        <v>25397</v>
      </c>
      <c r="C4203" s="502" t="s">
        <v>114</v>
      </c>
      <c r="D4203" s="503" t="s">
        <v>16244</v>
      </c>
      <c r="F4203" t="str">
        <f t="shared" si="131"/>
        <v>89801</v>
      </c>
      <c r="H4203" s="14">
        <f t="shared" si="132"/>
        <v>14.59</v>
      </c>
    </row>
    <row r="4204" spans="1:8" ht="55.2">
      <c r="A4204" s="502" t="s">
        <v>5529</v>
      </c>
      <c r="B4204" s="504" t="s">
        <v>25398</v>
      </c>
      <c r="C4204" s="502" t="s">
        <v>114</v>
      </c>
      <c r="D4204" s="503" t="s">
        <v>10380</v>
      </c>
      <c r="F4204" t="str">
        <f t="shared" si="131"/>
        <v>89802</v>
      </c>
      <c r="H4204" s="14">
        <f t="shared" si="132"/>
        <v>15.83</v>
      </c>
    </row>
    <row r="4205" spans="1:8" ht="55.2">
      <c r="A4205" s="502" t="s">
        <v>5530</v>
      </c>
      <c r="B4205" s="504" t="s">
        <v>25399</v>
      </c>
      <c r="C4205" s="502" t="s">
        <v>114</v>
      </c>
      <c r="D4205" s="503" t="s">
        <v>7395</v>
      </c>
      <c r="F4205" t="str">
        <f t="shared" si="131"/>
        <v>89803</v>
      </c>
      <c r="H4205" s="14">
        <f t="shared" si="132"/>
        <v>29.05</v>
      </c>
    </row>
    <row r="4206" spans="1:8" ht="55.2">
      <c r="A4206" s="502" t="s">
        <v>5531</v>
      </c>
      <c r="B4206" s="504" t="s">
        <v>25400</v>
      </c>
      <c r="C4206" s="502" t="s">
        <v>114</v>
      </c>
      <c r="D4206" s="503" t="s">
        <v>27699</v>
      </c>
      <c r="F4206" t="str">
        <f t="shared" si="131"/>
        <v>89804</v>
      </c>
      <c r="H4206" s="14">
        <f t="shared" si="132"/>
        <v>32.79</v>
      </c>
    </row>
    <row r="4207" spans="1:8" ht="55.2">
      <c r="A4207" s="502" t="s">
        <v>5532</v>
      </c>
      <c r="B4207" s="504" t="s">
        <v>25401</v>
      </c>
      <c r="C4207" s="502" t="s">
        <v>114</v>
      </c>
      <c r="D4207" s="503" t="s">
        <v>28313</v>
      </c>
      <c r="F4207" t="str">
        <f t="shared" si="131"/>
        <v>89805</v>
      </c>
      <c r="H4207" s="14">
        <f t="shared" si="132"/>
        <v>31.25</v>
      </c>
    </row>
    <row r="4208" spans="1:8" ht="55.2">
      <c r="A4208" s="502" t="s">
        <v>5533</v>
      </c>
      <c r="B4208" s="504" t="s">
        <v>25403</v>
      </c>
      <c r="C4208" s="502" t="s">
        <v>114</v>
      </c>
      <c r="D4208" s="503" t="s">
        <v>33051</v>
      </c>
      <c r="F4208" t="str">
        <f t="shared" si="131"/>
        <v>89806</v>
      </c>
      <c r="H4208" s="14">
        <f t="shared" si="132"/>
        <v>32.909999999999997</v>
      </c>
    </row>
    <row r="4209" spans="1:8" ht="55.2">
      <c r="A4209" s="502" t="s">
        <v>5534</v>
      </c>
      <c r="B4209" s="504" t="s">
        <v>25404</v>
      </c>
      <c r="C4209" s="502" t="s">
        <v>114</v>
      </c>
      <c r="D4209" s="503" t="s">
        <v>29165</v>
      </c>
      <c r="F4209" t="str">
        <f t="shared" si="131"/>
        <v>89807</v>
      </c>
      <c r="H4209" s="14">
        <f t="shared" si="132"/>
        <v>60.44</v>
      </c>
    </row>
    <row r="4210" spans="1:8" ht="55.2">
      <c r="A4210" s="502" t="s">
        <v>5535</v>
      </c>
      <c r="B4210" s="504" t="s">
        <v>25405</v>
      </c>
      <c r="C4210" s="502" t="s">
        <v>114</v>
      </c>
      <c r="D4210" s="503" t="s">
        <v>33052</v>
      </c>
      <c r="F4210" t="str">
        <f t="shared" si="131"/>
        <v>89808</v>
      </c>
      <c r="H4210" s="14">
        <f t="shared" si="132"/>
        <v>95.65</v>
      </c>
    </row>
    <row r="4211" spans="1:8" ht="55.2">
      <c r="A4211" s="502" t="s">
        <v>5536</v>
      </c>
      <c r="B4211" s="504" t="s">
        <v>25406</v>
      </c>
      <c r="C4211" s="502" t="s">
        <v>114</v>
      </c>
      <c r="D4211" s="503" t="s">
        <v>33053</v>
      </c>
      <c r="F4211" t="str">
        <f t="shared" si="131"/>
        <v>89809</v>
      </c>
      <c r="H4211" s="14">
        <f t="shared" si="132"/>
        <v>43.24</v>
      </c>
    </row>
    <row r="4212" spans="1:8" ht="55.2">
      <c r="A4212" s="502" t="s">
        <v>5537</v>
      </c>
      <c r="B4212" s="504" t="s">
        <v>25407</v>
      </c>
      <c r="C4212" s="502" t="s">
        <v>114</v>
      </c>
      <c r="D4212" s="503" t="s">
        <v>33054</v>
      </c>
      <c r="F4212" t="str">
        <f t="shared" si="131"/>
        <v>89810</v>
      </c>
      <c r="H4212" s="14">
        <f t="shared" si="132"/>
        <v>44.67</v>
      </c>
    </row>
    <row r="4213" spans="1:8" ht="55.2">
      <c r="A4213" s="502" t="s">
        <v>5538</v>
      </c>
      <c r="B4213" s="504" t="s">
        <v>25408</v>
      </c>
      <c r="C4213" s="502" t="s">
        <v>114</v>
      </c>
      <c r="D4213" s="503" t="s">
        <v>20649</v>
      </c>
      <c r="F4213" t="str">
        <f t="shared" si="131"/>
        <v>89811</v>
      </c>
      <c r="H4213" s="14">
        <f t="shared" si="132"/>
        <v>68.959999999999994</v>
      </c>
    </row>
    <row r="4214" spans="1:8" ht="55.2">
      <c r="A4214" s="502" t="s">
        <v>5539</v>
      </c>
      <c r="B4214" s="504" t="s">
        <v>25409</v>
      </c>
      <c r="C4214" s="502" t="s">
        <v>114</v>
      </c>
      <c r="D4214" s="503" t="s">
        <v>33055</v>
      </c>
      <c r="F4214" t="str">
        <f t="shared" si="131"/>
        <v>89812</v>
      </c>
      <c r="H4214" s="14">
        <f t="shared" si="132"/>
        <v>128.91</v>
      </c>
    </row>
    <row r="4215" spans="1:8" ht="55.2">
      <c r="A4215" s="502" t="s">
        <v>5540</v>
      </c>
      <c r="B4215" s="504" t="s">
        <v>25410</v>
      </c>
      <c r="C4215" s="502" t="s">
        <v>114</v>
      </c>
      <c r="D4215" s="503" t="s">
        <v>5241</v>
      </c>
      <c r="F4215" t="str">
        <f t="shared" si="131"/>
        <v>89813</v>
      </c>
      <c r="H4215" s="14">
        <f t="shared" si="132"/>
        <v>9.1300000000000008</v>
      </c>
    </row>
    <row r="4216" spans="1:8" ht="55.2">
      <c r="A4216" s="502" t="s">
        <v>5541</v>
      </c>
      <c r="B4216" s="504" t="s">
        <v>25411</v>
      </c>
      <c r="C4216" s="502" t="s">
        <v>114</v>
      </c>
      <c r="D4216" s="503" t="s">
        <v>11176</v>
      </c>
      <c r="F4216" t="str">
        <f t="shared" si="131"/>
        <v>89814</v>
      </c>
      <c r="H4216" s="14">
        <f t="shared" si="132"/>
        <v>27.78</v>
      </c>
    </row>
    <row r="4217" spans="1:8" ht="41.4">
      <c r="A4217" s="502" t="s">
        <v>5542</v>
      </c>
      <c r="B4217" s="504" t="s">
        <v>25412</v>
      </c>
      <c r="C4217" s="502" t="s">
        <v>114</v>
      </c>
      <c r="D4217" s="503" t="s">
        <v>32573</v>
      </c>
      <c r="F4217" t="str">
        <f t="shared" si="131"/>
        <v>89815</v>
      </c>
      <c r="H4217" s="14">
        <f t="shared" si="132"/>
        <v>42.13</v>
      </c>
    </row>
    <row r="4218" spans="1:8" ht="27.6">
      <c r="A4218" s="502" t="s">
        <v>5543</v>
      </c>
      <c r="B4218" s="504" t="s">
        <v>25413</v>
      </c>
      <c r="C4218" s="502" t="s">
        <v>114</v>
      </c>
      <c r="D4218" s="503" t="s">
        <v>9771</v>
      </c>
      <c r="F4218" t="str">
        <f t="shared" si="131"/>
        <v>89816</v>
      </c>
      <c r="H4218" s="14">
        <f t="shared" si="132"/>
        <v>61.44</v>
      </c>
    </row>
    <row r="4219" spans="1:8" ht="55.2">
      <c r="A4219" s="502" t="s">
        <v>5544</v>
      </c>
      <c r="B4219" s="504" t="s">
        <v>25414</v>
      </c>
      <c r="C4219" s="502" t="s">
        <v>114</v>
      </c>
      <c r="D4219" s="503" t="s">
        <v>9498</v>
      </c>
      <c r="F4219" t="str">
        <f t="shared" si="131"/>
        <v>89817</v>
      </c>
      <c r="H4219" s="14">
        <f t="shared" si="132"/>
        <v>21.92</v>
      </c>
    </row>
    <row r="4220" spans="1:8" ht="41.4">
      <c r="A4220" s="502" t="s">
        <v>5545</v>
      </c>
      <c r="B4220" s="504" t="s">
        <v>25415</v>
      </c>
      <c r="C4220" s="502" t="s">
        <v>114</v>
      </c>
      <c r="D4220" s="503" t="s">
        <v>21950</v>
      </c>
      <c r="F4220" t="str">
        <f t="shared" si="131"/>
        <v>89818</v>
      </c>
      <c r="H4220" s="14">
        <f t="shared" si="132"/>
        <v>79.349999999999994</v>
      </c>
    </row>
    <row r="4221" spans="1:8" ht="55.2">
      <c r="A4221" s="502" t="s">
        <v>5546</v>
      </c>
      <c r="B4221" s="504" t="s">
        <v>25416</v>
      </c>
      <c r="C4221" s="502" t="s">
        <v>114</v>
      </c>
      <c r="D4221" s="503" t="s">
        <v>15817</v>
      </c>
      <c r="F4221" t="str">
        <f t="shared" si="131"/>
        <v>89819</v>
      </c>
      <c r="H4221" s="14">
        <f t="shared" si="132"/>
        <v>37.67</v>
      </c>
    </row>
    <row r="4222" spans="1:8" ht="55.2">
      <c r="A4222" s="502" t="s">
        <v>5547</v>
      </c>
      <c r="B4222" s="504" t="s">
        <v>25417</v>
      </c>
      <c r="C4222" s="502" t="s">
        <v>114</v>
      </c>
      <c r="D4222" s="503" t="s">
        <v>33056</v>
      </c>
      <c r="F4222" t="str">
        <f t="shared" si="131"/>
        <v>89821</v>
      </c>
      <c r="H4222" s="14">
        <f t="shared" si="132"/>
        <v>28.21</v>
      </c>
    </row>
    <row r="4223" spans="1:8" ht="27.6">
      <c r="A4223" s="502" t="s">
        <v>5548</v>
      </c>
      <c r="B4223" s="504" t="s">
        <v>25418</v>
      </c>
      <c r="C4223" s="502" t="s">
        <v>114</v>
      </c>
      <c r="D4223" s="503" t="s">
        <v>17761</v>
      </c>
      <c r="F4223" t="str">
        <f t="shared" si="131"/>
        <v>89822</v>
      </c>
      <c r="H4223" s="14">
        <f t="shared" si="132"/>
        <v>37.520000000000003</v>
      </c>
    </row>
    <row r="4224" spans="1:8" ht="55.2">
      <c r="A4224" s="502" t="s">
        <v>5550</v>
      </c>
      <c r="B4224" s="504" t="s">
        <v>25420</v>
      </c>
      <c r="C4224" s="502" t="s">
        <v>114</v>
      </c>
      <c r="D4224" s="503" t="s">
        <v>7389</v>
      </c>
      <c r="F4224" t="str">
        <f t="shared" si="131"/>
        <v>89823</v>
      </c>
      <c r="H4224" s="14">
        <f t="shared" si="132"/>
        <v>55.33</v>
      </c>
    </row>
    <row r="4225" spans="1:8" ht="41.4">
      <c r="A4225" s="502" t="s">
        <v>5551</v>
      </c>
      <c r="B4225" s="504" t="s">
        <v>25421</v>
      </c>
      <c r="C4225" s="502" t="s">
        <v>114</v>
      </c>
      <c r="D4225" s="503" t="s">
        <v>17376</v>
      </c>
      <c r="F4225" t="str">
        <f t="shared" si="131"/>
        <v>89824</v>
      </c>
      <c r="H4225" s="14">
        <f t="shared" si="132"/>
        <v>57.34</v>
      </c>
    </row>
    <row r="4226" spans="1:8" ht="55.2">
      <c r="A4226" s="502" t="s">
        <v>5552</v>
      </c>
      <c r="B4226" s="504" t="s">
        <v>25422</v>
      </c>
      <c r="C4226" s="502" t="s">
        <v>114</v>
      </c>
      <c r="D4226" s="503" t="s">
        <v>31242</v>
      </c>
      <c r="F4226" t="str">
        <f t="shared" si="131"/>
        <v>89825</v>
      </c>
      <c r="H4226" s="14">
        <f t="shared" si="132"/>
        <v>26.46</v>
      </c>
    </row>
    <row r="4227" spans="1:8" ht="41.4">
      <c r="A4227" s="502" t="s">
        <v>5553</v>
      </c>
      <c r="B4227" s="504" t="s">
        <v>25423</v>
      </c>
      <c r="C4227" s="502" t="s">
        <v>114</v>
      </c>
      <c r="D4227" s="503" t="s">
        <v>33057</v>
      </c>
      <c r="F4227" t="str">
        <f t="shared" si="131"/>
        <v>89826</v>
      </c>
      <c r="H4227" s="14">
        <f t="shared" si="132"/>
        <v>188.87</v>
      </c>
    </row>
    <row r="4228" spans="1:8" ht="55.2">
      <c r="A4228" s="502" t="s">
        <v>5554</v>
      </c>
      <c r="B4228" s="504" t="s">
        <v>25424</v>
      </c>
      <c r="C4228" s="502" t="s">
        <v>114</v>
      </c>
      <c r="D4228" s="503" t="s">
        <v>33058</v>
      </c>
      <c r="F4228" t="str">
        <f t="shared" si="131"/>
        <v>89827</v>
      </c>
      <c r="H4228" s="14">
        <f t="shared" si="132"/>
        <v>30.49</v>
      </c>
    </row>
    <row r="4229" spans="1:8" ht="27.6">
      <c r="A4229" s="502" t="s">
        <v>5556</v>
      </c>
      <c r="B4229" s="504" t="s">
        <v>25425</v>
      </c>
      <c r="C4229" s="502" t="s">
        <v>114</v>
      </c>
      <c r="D4229" s="503" t="s">
        <v>33059</v>
      </c>
      <c r="F4229" t="str">
        <f t="shared" ref="F4229:F4292" si="133">TRIM(A4229)</f>
        <v>89828</v>
      </c>
      <c r="H4229" s="14">
        <f t="shared" ref="H4229:H4292" si="134">ROUND(D4229*(1+$H$1),2)</f>
        <v>89.66</v>
      </c>
    </row>
    <row r="4230" spans="1:8" ht="55.2">
      <c r="A4230" s="502" t="s">
        <v>5557</v>
      </c>
      <c r="B4230" s="504" t="s">
        <v>25426</v>
      </c>
      <c r="C4230" s="502" t="s">
        <v>114</v>
      </c>
      <c r="D4230" s="503" t="s">
        <v>33060</v>
      </c>
      <c r="F4230" t="str">
        <f t="shared" si="133"/>
        <v>89829</v>
      </c>
      <c r="H4230" s="14">
        <f t="shared" si="134"/>
        <v>55.91</v>
      </c>
    </row>
    <row r="4231" spans="1:8" ht="55.2">
      <c r="A4231" s="502" t="s">
        <v>5558</v>
      </c>
      <c r="B4231" s="504" t="s">
        <v>25427</v>
      </c>
      <c r="C4231" s="502" t="s">
        <v>114</v>
      </c>
      <c r="D4231" s="503" t="s">
        <v>29117</v>
      </c>
      <c r="F4231" t="str">
        <f t="shared" si="133"/>
        <v>89830</v>
      </c>
      <c r="H4231" s="14">
        <f t="shared" si="134"/>
        <v>59.46</v>
      </c>
    </row>
    <row r="4232" spans="1:8" ht="41.4">
      <c r="A4232" s="502" t="s">
        <v>5559</v>
      </c>
      <c r="B4232" s="504" t="s">
        <v>25428</v>
      </c>
      <c r="C4232" s="502" t="s">
        <v>114</v>
      </c>
      <c r="D4232" s="503" t="s">
        <v>31718</v>
      </c>
      <c r="F4232" t="str">
        <f t="shared" si="133"/>
        <v>89831</v>
      </c>
      <c r="H4232" s="14">
        <f t="shared" si="134"/>
        <v>95.95</v>
      </c>
    </row>
    <row r="4233" spans="1:8" ht="41.4">
      <c r="A4233" s="502" t="s">
        <v>5560</v>
      </c>
      <c r="B4233" s="504" t="s">
        <v>25429</v>
      </c>
      <c r="C4233" s="502" t="s">
        <v>114</v>
      </c>
      <c r="D4233" s="503" t="s">
        <v>33061</v>
      </c>
      <c r="F4233" t="str">
        <f t="shared" si="133"/>
        <v>89832</v>
      </c>
      <c r="H4233" s="14">
        <f t="shared" si="134"/>
        <v>61.56</v>
      </c>
    </row>
    <row r="4234" spans="1:8" ht="55.2">
      <c r="A4234" s="502" t="s">
        <v>5561</v>
      </c>
      <c r="B4234" s="504" t="s">
        <v>25430</v>
      </c>
      <c r="C4234" s="502" t="s">
        <v>114</v>
      </c>
      <c r="D4234" s="503" t="s">
        <v>33062</v>
      </c>
      <c r="F4234" t="str">
        <f t="shared" si="133"/>
        <v>89833</v>
      </c>
      <c r="H4234" s="14">
        <f t="shared" si="134"/>
        <v>68.290000000000006</v>
      </c>
    </row>
    <row r="4235" spans="1:8" ht="55.2">
      <c r="A4235" s="502" t="s">
        <v>5562</v>
      </c>
      <c r="B4235" s="504" t="s">
        <v>25431</v>
      </c>
      <c r="C4235" s="502" t="s">
        <v>114</v>
      </c>
      <c r="D4235" s="503" t="s">
        <v>28969</v>
      </c>
      <c r="F4235" t="str">
        <f t="shared" si="133"/>
        <v>89834</v>
      </c>
      <c r="H4235" s="14">
        <f t="shared" si="134"/>
        <v>82.04</v>
      </c>
    </row>
    <row r="4236" spans="1:8" ht="27.6">
      <c r="A4236" s="502" t="s">
        <v>5563</v>
      </c>
      <c r="B4236" s="504" t="s">
        <v>25432</v>
      </c>
      <c r="C4236" s="502" t="s">
        <v>114</v>
      </c>
      <c r="D4236" s="503" t="s">
        <v>33063</v>
      </c>
      <c r="F4236" t="str">
        <f t="shared" si="133"/>
        <v>89835</v>
      </c>
      <c r="H4236" s="14">
        <f t="shared" si="134"/>
        <v>64.97</v>
      </c>
    </row>
    <row r="4237" spans="1:8" ht="41.4">
      <c r="A4237" s="502" t="s">
        <v>5564</v>
      </c>
      <c r="B4237" s="504" t="s">
        <v>25433</v>
      </c>
      <c r="C4237" s="502" t="s">
        <v>114</v>
      </c>
      <c r="D4237" s="503" t="s">
        <v>33064</v>
      </c>
      <c r="F4237" t="str">
        <f t="shared" si="133"/>
        <v>89836</v>
      </c>
      <c r="H4237" s="14">
        <f t="shared" si="134"/>
        <v>297.14999999999998</v>
      </c>
    </row>
    <row r="4238" spans="1:8" ht="41.4">
      <c r="A4238" s="502" t="s">
        <v>5565</v>
      </c>
      <c r="B4238" s="504" t="s">
        <v>25434</v>
      </c>
      <c r="C4238" s="502" t="s">
        <v>114</v>
      </c>
      <c r="D4238" s="503" t="s">
        <v>33065</v>
      </c>
      <c r="F4238" t="str">
        <f t="shared" si="133"/>
        <v>89837</v>
      </c>
      <c r="H4238" s="14">
        <f t="shared" si="134"/>
        <v>198.96</v>
      </c>
    </row>
    <row r="4239" spans="1:8" ht="27.6">
      <c r="A4239" s="502" t="s">
        <v>5566</v>
      </c>
      <c r="B4239" s="504" t="s">
        <v>25435</v>
      </c>
      <c r="C4239" s="502" t="s">
        <v>114</v>
      </c>
      <c r="D4239" s="503" t="s">
        <v>31147</v>
      </c>
      <c r="F4239" t="str">
        <f t="shared" si="133"/>
        <v>89838</v>
      </c>
      <c r="H4239" s="14">
        <f t="shared" si="134"/>
        <v>227.82</v>
      </c>
    </row>
    <row r="4240" spans="1:8" ht="41.4">
      <c r="A4240" s="502" t="s">
        <v>5567</v>
      </c>
      <c r="B4240" s="504" t="s">
        <v>25436</v>
      </c>
      <c r="C4240" s="502" t="s">
        <v>114</v>
      </c>
      <c r="D4240" s="503" t="s">
        <v>33066</v>
      </c>
      <c r="F4240" t="str">
        <f t="shared" si="133"/>
        <v>89839</v>
      </c>
      <c r="H4240" s="14">
        <f t="shared" si="134"/>
        <v>258.49</v>
      </c>
    </row>
    <row r="4241" spans="1:8" ht="27.6">
      <c r="A4241" s="502" t="s">
        <v>5568</v>
      </c>
      <c r="B4241" s="504" t="s">
        <v>25437</v>
      </c>
      <c r="C4241" s="502" t="s">
        <v>114</v>
      </c>
      <c r="D4241" s="503" t="s">
        <v>33067</v>
      </c>
      <c r="F4241" t="str">
        <f t="shared" si="133"/>
        <v>89840</v>
      </c>
      <c r="H4241" s="14">
        <f t="shared" si="134"/>
        <v>268.06</v>
      </c>
    </row>
    <row r="4242" spans="1:8" ht="41.4">
      <c r="A4242" s="502" t="s">
        <v>5569</v>
      </c>
      <c r="B4242" s="504" t="s">
        <v>25438</v>
      </c>
      <c r="C4242" s="502" t="s">
        <v>114</v>
      </c>
      <c r="D4242" s="503" t="s">
        <v>33068</v>
      </c>
      <c r="F4242" t="str">
        <f t="shared" si="133"/>
        <v>89841</v>
      </c>
      <c r="H4242" s="14">
        <f t="shared" si="134"/>
        <v>392.47</v>
      </c>
    </row>
    <row r="4243" spans="1:8" ht="27.6">
      <c r="A4243" s="502" t="s">
        <v>5570</v>
      </c>
      <c r="B4243" s="504" t="s">
        <v>25439</v>
      </c>
      <c r="C4243" s="502" t="s">
        <v>114</v>
      </c>
      <c r="D4243" s="503" t="s">
        <v>29641</v>
      </c>
      <c r="F4243" t="str">
        <f t="shared" si="133"/>
        <v>89842</v>
      </c>
      <c r="H4243" s="14">
        <f t="shared" si="134"/>
        <v>74.47</v>
      </c>
    </row>
    <row r="4244" spans="1:8" ht="27.6">
      <c r="A4244" s="502" t="s">
        <v>5571</v>
      </c>
      <c r="B4244" s="504" t="s">
        <v>25440</v>
      </c>
      <c r="C4244" s="502" t="s">
        <v>114</v>
      </c>
      <c r="D4244" s="503" t="s">
        <v>33069</v>
      </c>
      <c r="F4244" t="str">
        <f t="shared" si="133"/>
        <v>89844</v>
      </c>
      <c r="H4244" s="14">
        <f t="shared" si="134"/>
        <v>93.83</v>
      </c>
    </row>
    <row r="4245" spans="1:8" ht="27.6">
      <c r="A4245" s="502" t="s">
        <v>5572</v>
      </c>
      <c r="B4245" s="504" t="s">
        <v>25441</v>
      </c>
      <c r="C4245" s="502" t="s">
        <v>114</v>
      </c>
      <c r="D4245" s="503" t="s">
        <v>33070</v>
      </c>
      <c r="F4245" t="str">
        <f t="shared" si="133"/>
        <v>89845</v>
      </c>
      <c r="H4245" s="14">
        <f t="shared" si="134"/>
        <v>147.49</v>
      </c>
    </row>
    <row r="4246" spans="1:8" ht="27.6">
      <c r="A4246" s="502" t="s">
        <v>5573</v>
      </c>
      <c r="B4246" s="504" t="s">
        <v>25442</v>
      </c>
      <c r="C4246" s="502" t="s">
        <v>114</v>
      </c>
      <c r="D4246" s="503" t="s">
        <v>33071</v>
      </c>
      <c r="F4246" t="str">
        <f t="shared" si="133"/>
        <v>89846</v>
      </c>
      <c r="H4246" s="14">
        <f t="shared" si="134"/>
        <v>316.72000000000003</v>
      </c>
    </row>
    <row r="4247" spans="1:8" ht="27.6">
      <c r="A4247" s="502" t="s">
        <v>5574</v>
      </c>
      <c r="B4247" s="504" t="s">
        <v>25443</v>
      </c>
      <c r="C4247" s="502" t="s">
        <v>114</v>
      </c>
      <c r="D4247" s="503" t="s">
        <v>33072</v>
      </c>
      <c r="F4247" t="str">
        <f t="shared" si="133"/>
        <v>89847</v>
      </c>
      <c r="H4247" s="14">
        <f t="shared" si="134"/>
        <v>377.52</v>
      </c>
    </row>
    <row r="4248" spans="1:8" ht="41.4">
      <c r="A4248" s="502" t="s">
        <v>5575</v>
      </c>
      <c r="B4248" s="504" t="s">
        <v>25444</v>
      </c>
      <c r="C4248" s="502" t="s">
        <v>114</v>
      </c>
      <c r="D4248" s="503" t="s">
        <v>33073</v>
      </c>
      <c r="F4248" t="str">
        <f t="shared" si="133"/>
        <v>89850</v>
      </c>
      <c r="H4248" s="14">
        <f t="shared" si="134"/>
        <v>47.64</v>
      </c>
    </row>
    <row r="4249" spans="1:8" ht="41.4">
      <c r="A4249" s="502" t="s">
        <v>5576</v>
      </c>
      <c r="B4249" s="504" t="s">
        <v>25445</v>
      </c>
      <c r="C4249" s="502" t="s">
        <v>114</v>
      </c>
      <c r="D4249" s="503" t="s">
        <v>29101</v>
      </c>
      <c r="F4249" t="str">
        <f t="shared" si="133"/>
        <v>89851</v>
      </c>
      <c r="H4249" s="14">
        <f t="shared" si="134"/>
        <v>49.06</v>
      </c>
    </row>
    <row r="4250" spans="1:8" ht="55.2">
      <c r="A4250" s="502" t="s">
        <v>5577</v>
      </c>
      <c r="B4250" s="504" t="s">
        <v>25446</v>
      </c>
      <c r="C4250" s="502" t="s">
        <v>114</v>
      </c>
      <c r="D4250" s="503" t="s">
        <v>20144</v>
      </c>
      <c r="F4250" t="str">
        <f t="shared" si="133"/>
        <v>89852</v>
      </c>
      <c r="H4250" s="14">
        <f t="shared" si="134"/>
        <v>73.349999999999994</v>
      </c>
    </row>
    <row r="4251" spans="1:8" ht="55.2">
      <c r="A4251" s="502" t="s">
        <v>5578</v>
      </c>
      <c r="B4251" s="504" t="s">
        <v>25447</v>
      </c>
      <c r="C4251" s="502" t="s">
        <v>114</v>
      </c>
      <c r="D4251" s="503" t="s">
        <v>33016</v>
      </c>
      <c r="F4251" t="str">
        <f t="shared" si="133"/>
        <v>89853</v>
      </c>
      <c r="H4251" s="14">
        <f t="shared" si="134"/>
        <v>133.30000000000001</v>
      </c>
    </row>
    <row r="4252" spans="1:8" ht="41.4">
      <c r="A4252" s="502" t="s">
        <v>5579</v>
      </c>
      <c r="B4252" s="504" t="s">
        <v>25448</v>
      </c>
      <c r="C4252" s="502" t="s">
        <v>114</v>
      </c>
      <c r="D4252" s="503" t="s">
        <v>15538</v>
      </c>
      <c r="F4252" t="str">
        <f t="shared" si="133"/>
        <v>89854</v>
      </c>
      <c r="H4252" s="14">
        <f t="shared" si="134"/>
        <v>166.98</v>
      </c>
    </row>
    <row r="4253" spans="1:8" ht="41.4">
      <c r="A4253" s="502" t="s">
        <v>5580</v>
      </c>
      <c r="B4253" s="504" t="s">
        <v>25449</v>
      </c>
      <c r="C4253" s="502" t="s">
        <v>114</v>
      </c>
      <c r="D4253" s="503" t="s">
        <v>33074</v>
      </c>
      <c r="F4253" t="str">
        <f t="shared" si="133"/>
        <v>89855</v>
      </c>
      <c r="H4253" s="14">
        <f t="shared" si="134"/>
        <v>175.9</v>
      </c>
    </row>
    <row r="4254" spans="1:8" ht="41.4">
      <c r="A4254" s="502" t="s">
        <v>5581</v>
      </c>
      <c r="B4254" s="504" t="s">
        <v>25450</v>
      </c>
      <c r="C4254" s="502" t="s">
        <v>114</v>
      </c>
      <c r="D4254" s="503" t="s">
        <v>23985</v>
      </c>
      <c r="F4254" t="str">
        <f t="shared" si="133"/>
        <v>89856</v>
      </c>
      <c r="H4254" s="14">
        <f t="shared" si="134"/>
        <v>31.14</v>
      </c>
    </row>
    <row r="4255" spans="1:8" ht="41.4">
      <c r="A4255" s="502" t="s">
        <v>5582</v>
      </c>
      <c r="B4255" s="504" t="s">
        <v>25451</v>
      </c>
      <c r="C4255" s="502" t="s">
        <v>114</v>
      </c>
      <c r="D4255" s="503" t="s">
        <v>33075</v>
      </c>
      <c r="F4255" t="str">
        <f t="shared" si="133"/>
        <v>89857</v>
      </c>
      <c r="H4255" s="14">
        <f t="shared" si="134"/>
        <v>58.26</v>
      </c>
    </row>
    <row r="4256" spans="1:8" ht="41.4">
      <c r="A4256" s="502" t="s">
        <v>5583</v>
      </c>
      <c r="B4256" s="504" t="s">
        <v>25452</v>
      </c>
      <c r="C4256" s="502" t="s">
        <v>114</v>
      </c>
      <c r="D4256" s="503" t="s">
        <v>33076</v>
      </c>
      <c r="F4256" t="str">
        <f t="shared" si="133"/>
        <v>89860</v>
      </c>
      <c r="H4256" s="14">
        <f t="shared" si="134"/>
        <v>74.150000000000006</v>
      </c>
    </row>
    <row r="4257" spans="1:8" ht="55.2">
      <c r="A4257" s="502" t="s">
        <v>5584</v>
      </c>
      <c r="B4257" s="504" t="s">
        <v>25453</v>
      </c>
      <c r="C4257" s="502" t="s">
        <v>114</v>
      </c>
      <c r="D4257" s="503" t="s">
        <v>33077</v>
      </c>
      <c r="F4257" t="str">
        <f t="shared" si="133"/>
        <v>89861</v>
      </c>
      <c r="H4257" s="14">
        <f t="shared" si="134"/>
        <v>87.91</v>
      </c>
    </row>
    <row r="4258" spans="1:8" ht="41.4">
      <c r="A4258" s="502" t="s">
        <v>5585</v>
      </c>
      <c r="B4258" s="504" t="s">
        <v>25454</v>
      </c>
      <c r="C4258" s="502" t="s">
        <v>114</v>
      </c>
      <c r="D4258" s="503" t="s">
        <v>7476</v>
      </c>
      <c r="F4258" t="str">
        <f t="shared" si="133"/>
        <v>89866</v>
      </c>
      <c r="H4258" s="14">
        <f t="shared" si="134"/>
        <v>10.7</v>
      </c>
    </row>
    <row r="4259" spans="1:8" ht="41.4">
      <c r="A4259" s="502" t="s">
        <v>5586</v>
      </c>
      <c r="B4259" s="504" t="s">
        <v>25455</v>
      </c>
      <c r="C4259" s="502" t="s">
        <v>114</v>
      </c>
      <c r="D4259" s="503" t="s">
        <v>33078</v>
      </c>
      <c r="F4259" t="str">
        <f t="shared" si="133"/>
        <v>89867</v>
      </c>
      <c r="H4259" s="14">
        <f t="shared" si="134"/>
        <v>11.94</v>
      </c>
    </row>
    <row r="4260" spans="1:8" ht="41.4">
      <c r="A4260" s="502" t="s">
        <v>5587</v>
      </c>
      <c r="B4260" s="504" t="s">
        <v>25456</v>
      </c>
      <c r="C4260" s="502" t="s">
        <v>114</v>
      </c>
      <c r="D4260" s="503" t="s">
        <v>6364</v>
      </c>
      <c r="F4260" t="str">
        <f t="shared" si="133"/>
        <v>89868</v>
      </c>
      <c r="H4260" s="14">
        <f t="shared" si="134"/>
        <v>8.15</v>
      </c>
    </row>
    <row r="4261" spans="1:8" ht="41.4">
      <c r="A4261" s="502" t="s">
        <v>5588</v>
      </c>
      <c r="B4261" s="504" t="s">
        <v>25457</v>
      </c>
      <c r="C4261" s="502" t="s">
        <v>114</v>
      </c>
      <c r="D4261" s="503" t="s">
        <v>16475</v>
      </c>
      <c r="F4261" t="str">
        <f t="shared" si="133"/>
        <v>89869</v>
      </c>
      <c r="H4261" s="14">
        <f t="shared" si="134"/>
        <v>14.91</v>
      </c>
    </row>
    <row r="4262" spans="1:8" ht="41.4">
      <c r="A4262" s="502" t="s">
        <v>5589</v>
      </c>
      <c r="B4262" s="504" t="s">
        <v>25458</v>
      </c>
      <c r="C4262" s="502" t="s">
        <v>114</v>
      </c>
      <c r="D4262" s="503" t="s">
        <v>33079</v>
      </c>
      <c r="F4262" t="str">
        <f t="shared" si="133"/>
        <v>89979</v>
      </c>
      <c r="H4262" s="14">
        <f t="shared" si="134"/>
        <v>37.79</v>
      </c>
    </row>
    <row r="4263" spans="1:8" ht="41.4">
      <c r="A4263" s="502" t="s">
        <v>5590</v>
      </c>
      <c r="B4263" s="504" t="s">
        <v>25459</v>
      </c>
      <c r="C4263" s="502" t="s">
        <v>114</v>
      </c>
      <c r="D4263" s="503" t="s">
        <v>10077</v>
      </c>
      <c r="F4263" t="str">
        <f t="shared" si="133"/>
        <v>89981</v>
      </c>
      <c r="H4263" s="14">
        <f t="shared" si="134"/>
        <v>33.39</v>
      </c>
    </row>
    <row r="4264" spans="1:8" ht="41.4">
      <c r="A4264" s="502" t="s">
        <v>5592</v>
      </c>
      <c r="B4264" s="504" t="s">
        <v>25460</v>
      </c>
      <c r="C4264" s="502" t="s">
        <v>114</v>
      </c>
      <c r="D4264" s="503" t="s">
        <v>10185</v>
      </c>
      <c r="F4264" t="str">
        <f t="shared" si="133"/>
        <v>90373</v>
      </c>
      <c r="H4264" s="14">
        <f t="shared" si="134"/>
        <v>19.489999999999998</v>
      </c>
    </row>
    <row r="4265" spans="1:8" ht="55.2">
      <c r="A4265" s="502" t="s">
        <v>5593</v>
      </c>
      <c r="B4265" s="504" t="s">
        <v>25461</v>
      </c>
      <c r="C4265" s="502" t="s">
        <v>114</v>
      </c>
      <c r="D4265" s="503" t="s">
        <v>25720</v>
      </c>
      <c r="F4265" t="str">
        <f t="shared" si="133"/>
        <v>90374</v>
      </c>
      <c r="H4265" s="14">
        <f t="shared" si="134"/>
        <v>33.43</v>
      </c>
    </row>
    <row r="4266" spans="1:8" ht="41.4">
      <c r="A4266" s="502" t="s">
        <v>5595</v>
      </c>
      <c r="B4266" s="504" t="s">
        <v>25462</v>
      </c>
      <c r="C4266" s="502" t="s">
        <v>114</v>
      </c>
      <c r="D4266" s="503" t="s">
        <v>28496</v>
      </c>
      <c r="F4266" t="str">
        <f t="shared" si="133"/>
        <v>92287</v>
      </c>
      <c r="H4266" s="14">
        <f t="shared" si="134"/>
        <v>24.17</v>
      </c>
    </row>
    <row r="4267" spans="1:8" ht="41.4">
      <c r="A4267" s="502" t="s">
        <v>5596</v>
      </c>
      <c r="B4267" s="504" t="s">
        <v>25463</v>
      </c>
      <c r="C4267" s="502" t="s">
        <v>114</v>
      </c>
      <c r="D4267" s="503" t="s">
        <v>29099</v>
      </c>
      <c r="F4267" t="str">
        <f t="shared" si="133"/>
        <v>92288</v>
      </c>
      <c r="H4267" s="14">
        <f t="shared" si="134"/>
        <v>37.96</v>
      </c>
    </row>
    <row r="4268" spans="1:8" ht="41.4">
      <c r="A4268" s="502" t="s">
        <v>5597</v>
      </c>
      <c r="B4268" s="504" t="s">
        <v>25464</v>
      </c>
      <c r="C4268" s="502" t="s">
        <v>114</v>
      </c>
      <c r="D4268" s="503" t="s">
        <v>33080</v>
      </c>
      <c r="F4268" t="str">
        <f t="shared" si="133"/>
        <v>92289</v>
      </c>
      <c r="H4268" s="14">
        <f t="shared" si="134"/>
        <v>66.900000000000006</v>
      </c>
    </row>
    <row r="4269" spans="1:8" ht="41.4">
      <c r="A4269" s="502" t="s">
        <v>5598</v>
      </c>
      <c r="B4269" s="504" t="s">
        <v>25465</v>
      </c>
      <c r="C4269" s="502" t="s">
        <v>114</v>
      </c>
      <c r="D4269" s="503" t="s">
        <v>28762</v>
      </c>
      <c r="F4269" t="str">
        <f t="shared" si="133"/>
        <v>92290</v>
      </c>
      <c r="H4269" s="14">
        <f t="shared" si="134"/>
        <v>101.1</v>
      </c>
    </row>
    <row r="4270" spans="1:8" ht="41.4">
      <c r="A4270" s="502" t="s">
        <v>5599</v>
      </c>
      <c r="B4270" s="504" t="s">
        <v>25466</v>
      </c>
      <c r="C4270" s="502" t="s">
        <v>114</v>
      </c>
      <c r="D4270" s="503" t="s">
        <v>33081</v>
      </c>
      <c r="F4270" t="str">
        <f t="shared" si="133"/>
        <v>92291</v>
      </c>
      <c r="H4270" s="14">
        <f t="shared" si="134"/>
        <v>156.4</v>
      </c>
    </row>
    <row r="4271" spans="1:8" ht="41.4">
      <c r="A4271" s="502" t="s">
        <v>5600</v>
      </c>
      <c r="B4271" s="504" t="s">
        <v>25467</v>
      </c>
      <c r="C4271" s="502" t="s">
        <v>114</v>
      </c>
      <c r="D4271" s="503" t="s">
        <v>15497</v>
      </c>
      <c r="F4271" t="str">
        <f t="shared" si="133"/>
        <v>92292</v>
      </c>
      <c r="H4271" s="14">
        <f t="shared" si="134"/>
        <v>481.89</v>
      </c>
    </row>
    <row r="4272" spans="1:8" ht="41.4">
      <c r="A4272" s="502" t="s">
        <v>5601</v>
      </c>
      <c r="B4272" s="504" t="s">
        <v>25468</v>
      </c>
      <c r="C4272" s="502" t="s">
        <v>114</v>
      </c>
      <c r="D4272" s="503" t="s">
        <v>33082</v>
      </c>
      <c r="F4272" t="str">
        <f t="shared" si="133"/>
        <v>92293</v>
      </c>
      <c r="H4272" s="14">
        <f t="shared" si="134"/>
        <v>13.79</v>
      </c>
    </row>
    <row r="4273" spans="1:8" ht="41.4">
      <c r="A4273" s="502" t="s">
        <v>5602</v>
      </c>
      <c r="B4273" s="504" t="s">
        <v>25469</v>
      </c>
      <c r="C4273" s="502" t="s">
        <v>114</v>
      </c>
      <c r="D4273" s="503" t="s">
        <v>10047</v>
      </c>
      <c r="F4273" t="str">
        <f t="shared" si="133"/>
        <v>92294</v>
      </c>
      <c r="H4273" s="14">
        <f t="shared" si="134"/>
        <v>23.17</v>
      </c>
    </row>
    <row r="4274" spans="1:8" ht="41.4">
      <c r="A4274" s="502" t="s">
        <v>5603</v>
      </c>
      <c r="B4274" s="504" t="s">
        <v>25470</v>
      </c>
      <c r="C4274" s="502" t="s">
        <v>114</v>
      </c>
      <c r="D4274" s="503" t="s">
        <v>32444</v>
      </c>
      <c r="F4274" t="str">
        <f t="shared" si="133"/>
        <v>92295</v>
      </c>
      <c r="H4274" s="14">
        <f t="shared" si="134"/>
        <v>43.41</v>
      </c>
    </row>
    <row r="4275" spans="1:8" ht="41.4">
      <c r="A4275" s="502" t="s">
        <v>5604</v>
      </c>
      <c r="B4275" s="504" t="s">
        <v>25471</v>
      </c>
      <c r="C4275" s="502" t="s">
        <v>114</v>
      </c>
      <c r="D4275" s="503" t="s">
        <v>28996</v>
      </c>
      <c r="F4275" t="str">
        <f t="shared" si="133"/>
        <v>92296</v>
      </c>
      <c r="H4275" s="14">
        <f t="shared" si="134"/>
        <v>57.44</v>
      </c>
    </row>
    <row r="4276" spans="1:8" ht="41.4">
      <c r="A4276" s="502" t="s">
        <v>5605</v>
      </c>
      <c r="B4276" s="504" t="s">
        <v>25473</v>
      </c>
      <c r="C4276" s="502" t="s">
        <v>114</v>
      </c>
      <c r="D4276" s="503" t="s">
        <v>33083</v>
      </c>
      <c r="F4276" t="str">
        <f t="shared" si="133"/>
        <v>92297</v>
      </c>
      <c r="H4276" s="14">
        <f t="shared" si="134"/>
        <v>88.98</v>
      </c>
    </row>
    <row r="4277" spans="1:8" ht="41.4">
      <c r="A4277" s="502" t="s">
        <v>5606</v>
      </c>
      <c r="B4277" s="504" t="s">
        <v>25474</v>
      </c>
      <c r="C4277" s="502" t="s">
        <v>114</v>
      </c>
      <c r="D4277" s="503" t="s">
        <v>33084</v>
      </c>
      <c r="F4277" t="str">
        <f t="shared" si="133"/>
        <v>92298</v>
      </c>
      <c r="H4277" s="14">
        <f t="shared" si="134"/>
        <v>248.52</v>
      </c>
    </row>
    <row r="4278" spans="1:8" ht="41.4">
      <c r="A4278" s="502" t="s">
        <v>5607</v>
      </c>
      <c r="B4278" s="504" t="s">
        <v>25475</v>
      </c>
      <c r="C4278" s="502" t="s">
        <v>114</v>
      </c>
      <c r="D4278" s="503" t="s">
        <v>14693</v>
      </c>
      <c r="F4278" t="str">
        <f t="shared" si="133"/>
        <v>92299</v>
      </c>
      <c r="H4278" s="14">
        <f t="shared" si="134"/>
        <v>31.82</v>
      </c>
    </row>
    <row r="4279" spans="1:8" ht="41.4">
      <c r="A4279" s="502" t="s">
        <v>5608</v>
      </c>
      <c r="B4279" s="504" t="s">
        <v>25476</v>
      </c>
      <c r="C4279" s="502" t="s">
        <v>114</v>
      </c>
      <c r="D4279" s="503" t="s">
        <v>10063</v>
      </c>
      <c r="F4279" t="str">
        <f t="shared" si="133"/>
        <v>92300</v>
      </c>
      <c r="H4279" s="14">
        <f t="shared" si="134"/>
        <v>48.29</v>
      </c>
    </row>
    <row r="4280" spans="1:8" ht="41.4">
      <c r="A4280" s="502" t="s">
        <v>5609</v>
      </c>
      <c r="B4280" s="504" t="s">
        <v>25477</v>
      </c>
      <c r="C4280" s="502" t="s">
        <v>114</v>
      </c>
      <c r="D4280" s="503" t="s">
        <v>33085</v>
      </c>
      <c r="F4280" t="str">
        <f t="shared" si="133"/>
        <v>92301</v>
      </c>
      <c r="H4280" s="14">
        <f t="shared" si="134"/>
        <v>94.95</v>
      </c>
    </row>
    <row r="4281" spans="1:8" ht="41.4">
      <c r="A4281" s="502" t="s">
        <v>5611</v>
      </c>
      <c r="B4281" s="504" t="s">
        <v>25478</v>
      </c>
      <c r="C4281" s="502" t="s">
        <v>114</v>
      </c>
      <c r="D4281" s="503" t="s">
        <v>33086</v>
      </c>
      <c r="F4281" t="str">
        <f t="shared" si="133"/>
        <v>92302</v>
      </c>
      <c r="H4281" s="14">
        <f t="shared" si="134"/>
        <v>125.31</v>
      </c>
    </row>
    <row r="4282" spans="1:8" ht="41.4">
      <c r="A4282" s="502" t="s">
        <v>5612</v>
      </c>
      <c r="B4282" s="504" t="s">
        <v>25479</v>
      </c>
      <c r="C4282" s="502" t="s">
        <v>114</v>
      </c>
      <c r="D4282" s="503" t="s">
        <v>33087</v>
      </c>
      <c r="F4282" t="str">
        <f t="shared" si="133"/>
        <v>92303</v>
      </c>
      <c r="H4282" s="14">
        <f t="shared" si="134"/>
        <v>229.28</v>
      </c>
    </row>
    <row r="4283" spans="1:8" ht="41.4">
      <c r="A4283" s="502" t="s">
        <v>5613</v>
      </c>
      <c r="B4283" s="504" t="s">
        <v>25480</v>
      </c>
      <c r="C4283" s="502" t="s">
        <v>114</v>
      </c>
      <c r="D4283" s="503" t="s">
        <v>33088</v>
      </c>
      <c r="F4283" t="str">
        <f t="shared" si="133"/>
        <v>92304</v>
      </c>
      <c r="H4283" s="14">
        <f t="shared" si="134"/>
        <v>592.72</v>
      </c>
    </row>
    <row r="4284" spans="1:8" ht="41.4">
      <c r="A4284" s="502" t="s">
        <v>5614</v>
      </c>
      <c r="B4284" s="504" t="s">
        <v>25481</v>
      </c>
      <c r="C4284" s="502" t="s">
        <v>114</v>
      </c>
      <c r="D4284" s="503" t="s">
        <v>4103</v>
      </c>
      <c r="F4284" t="str">
        <f t="shared" si="133"/>
        <v>92311</v>
      </c>
      <c r="H4284" s="14">
        <f t="shared" si="134"/>
        <v>18.399999999999999</v>
      </c>
    </row>
    <row r="4285" spans="1:8" ht="55.2">
      <c r="A4285" s="502" t="s">
        <v>5615</v>
      </c>
      <c r="B4285" s="504" t="s">
        <v>25482</v>
      </c>
      <c r="C4285" s="502" t="s">
        <v>114</v>
      </c>
      <c r="D4285" s="503" t="s">
        <v>9976</v>
      </c>
      <c r="F4285" t="str">
        <f t="shared" si="133"/>
        <v>92312</v>
      </c>
      <c r="H4285" s="14">
        <f t="shared" si="134"/>
        <v>30.34</v>
      </c>
    </row>
    <row r="4286" spans="1:8" ht="55.2">
      <c r="A4286" s="502" t="s">
        <v>5616</v>
      </c>
      <c r="B4286" s="504" t="s">
        <v>25483</v>
      </c>
      <c r="C4286" s="502" t="s">
        <v>114</v>
      </c>
      <c r="D4286" s="503" t="s">
        <v>27456</v>
      </c>
      <c r="F4286" t="str">
        <f t="shared" si="133"/>
        <v>92313</v>
      </c>
      <c r="H4286" s="14">
        <f t="shared" si="134"/>
        <v>43.65</v>
      </c>
    </row>
    <row r="4287" spans="1:8" ht="41.4">
      <c r="A4287" s="502" t="s">
        <v>5617</v>
      </c>
      <c r="B4287" s="504" t="s">
        <v>25484</v>
      </c>
      <c r="C4287" s="502" t="s">
        <v>114</v>
      </c>
      <c r="D4287" s="503" t="s">
        <v>5141</v>
      </c>
      <c r="F4287" t="str">
        <f t="shared" si="133"/>
        <v>92314</v>
      </c>
      <c r="H4287" s="14">
        <f t="shared" si="134"/>
        <v>12.39</v>
      </c>
    </row>
    <row r="4288" spans="1:8" ht="41.4">
      <c r="A4288" s="502" t="s">
        <v>5618</v>
      </c>
      <c r="B4288" s="504" t="s">
        <v>25485</v>
      </c>
      <c r="C4288" s="502" t="s">
        <v>114</v>
      </c>
      <c r="D4288" s="503" t="s">
        <v>9933</v>
      </c>
      <c r="F4288" t="str">
        <f t="shared" si="133"/>
        <v>92315</v>
      </c>
      <c r="H4288" s="14">
        <f t="shared" si="134"/>
        <v>17.91</v>
      </c>
    </row>
    <row r="4289" spans="1:8" ht="41.4">
      <c r="A4289" s="502" t="s">
        <v>5619</v>
      </c>
      <c r="B4289" s="504" t="s">
        <v>25486</v>
      </c>
      <c r="C4289" s="502" t="s">
        <v>114</v>
      </c>
      <c r="D4289" s="503" t="s">
        <v>16246</v>
      </c>
      <c r="F4289" t="str">
        <f t="shared" si="133"/>
        <v>92316</v>
      </c>
      <c r="H4289" s="14">
        <f t="shared" si="134"/>
        <v>27</v>
      </c>
    </row>
    <row r="4290" spans="1:8" ht="41.4">
      <c r="A4290" s="502" t="s">
        <v>5620</v>
      </c>
      <c r="B4290" s="504" t="s">
        <v>25487</v>
      </c>
      <c r="C4290" s="502" t="s">
        <v>114</v>
      </c>
      <c r="D4290" s="503" t="s">
        <v>16247</v>
      </c>
      <c r="F4290" t="str">
        <f t="shared" si="133"/>
        <v>92317</v>
      </c>
      <c r="H4290" s="14">
        <f t="shared" si="134"/>
        <v>25.89</v>
      </c>
    </row>
    <row r="4291" spans="1:8" ht="41.4">
      <c r="A4291" s="502" t="s">
        <v>5622</v>
      </c>
      <c r="B4291" s="504" t="s">
        <v>25488</v>
      </c>
      <c r="C4291" s="502" t="s">
        <v>114</v>
      </c>
      <c r="D4291" s="503" t="s">
        <v>24484</v>
      </c>
      <c r="F4291" t="str">
        <f t="shared" si="133"/>
        <v>92318</v>
      </c>
      <c r="H4291" s="14">
        <f t="shared" si="134"/>
        <v>40.04</v>
      </c>
    </row>
    <row r="4292" spans="1:8" ht="41.4">
      <c r="A4292" s="502" t="s">
        <v>5623</v>
      </c>
      <c r="B4292" s="504" t="s">
        <v>25489</v>
      </c>
      <c r="C4292" s="502" t="s">
        <v>114</v>
      </c>
      <c r="D4292" s="503" t="s">
        <v>25001</v>
      </c>
      <c r="F4292" t="str">
        <f t="shared" si="133"/>
        <v>92319</v>
      </c>
      <c r="H4292" s="14">
        <f t="shared" si="134"/>
        <v>55.89</v>
      </c>
    </row>
    <row r="4293" spans="1:8" ht="41.4">
      <c r="A4293" s="502" t="s">
        <v>5624</v>
      </c>
      <c r="B4293" s="504" t="s">
        <v>25490</v>
      </c>
      <c r="C4293" s="502" t="s">
        <v>114</v>
      </c>
      <c r="D4293" s="503" t="s">
        <v>33089</v>
      </c>
      <c r="F4293" t="str">
        <f t="shared" ref="F4293:F4356" si="135">TRIM(A4293)</f>
        <v>92326</v>
      </c>
      <c r="H4293" s="14">
        <f t="shared" ref="H4293:H4356" si="136">ROUND(D4293*(1+$H$1),2)</f>
        <v>19.45</v>
      </c>
    </row>
    <row r="4294" spans="1:8" ht="41.4">
      <c r="A4294" s="502" t="s">
        <v>5625</v>
      </c>
      <c r="B4294" s="504" t="s">
        <v>25491</v>
      </c>
      <c r="C4294" s="502" t="s">
        <v>114</v>
      </c>
      <c r="D4294" s="503" t="s">
        <v>18299</v>
      </c>
      <c r="F4294" t="str">
        <f t="shared" si="135"/>
        <v>92327</v>
      </c>
      <c r="H4294" s="14">
        <f t="shared" si="136"/>
        <v>34.880000000000003</v>
      </c>
    </row>
    <row r="4295" spans="1:8" ht="41.4">
      <c r="A4295" s="502" t="s">
        <v>5626</v>
      </c>
      <c r="B4295" s="504" t="s">
        <v>25492</v>
      </c>
      <c r="C4295" s="502" t="s">
        <v>114</v>
      </c>
      <c r="D4295" s="503" t="s">
        <v>31275</v>
      </c>
      <c r="F4295" t="str">
        <f t="shared" si="135"/>
        <v>92328</v>
      </c>
      <c r="H4295" s="14">
        <f t="shared" si="136"/>
        <v>51.78</v>
      </c>
    </row>
    <row r="4296" spans="1:8" ht="41.4">
      <c r="A4296" s="502" t="s">
        <v>5628</v>
      </c>
      <c r="B4296" s="504" t="s">
        <v>25493</v>
      </c>
      <c r="C4296" s="502" t="s">
        <v>114</v>
      </c>
      <c r="D4296" s="503" t="s">
        <v>5959</v>
      </c>
      <c r="F4296" t="str">
        <f t="shared" si="135"/>
        <v>92329</v>
      </c>
      <c r="H4296" s="14">
        <f t="shared" si="136"/>
        <v>12.65</v>
      </c>
    </row>
    <row r="4297" spans="1:8" ht="41.4">
      <c r="A4297" s="502" t="s">
        <v>5629</v>
      </c>
      <c r="B4297" s="504" t="s">
        <v>25494</v>
      </c>
      <c r="C4297" s="502" t="s">
        <v>114</v>
      </c>
      <c r="D4297" s="503" t="s">
        <v>33090</v>
      </c>
      <c r="F4297" t="str">
        <f t="shared" si="135"/>
        <v>92330</v>
      </c>
      <c r="H4297" s="14">
        <f t="shared" si="136"/>
        <v>20.97</v>
      </c>
    </row>
    <row r="4298" spans="1:8" ht="41.4">
      <c r="A4298" s="502" t="s">
        <v>5630</v>
      </c>
      <c r="B4298" s="504" t="s">
        <v>25495</v>
      </c>
      <c r="C4298" s="502" t="s">
        <v>114</v>
      </c>
      <c r="D4298" s="503" t="s">
        <v>4669</v>
      </c>
      <c r="F4298" t="str">
        <f t="shared" si="135"/>
        <v>92331</v>
      </c>
      <c r="H4298" s="14">
        <f t="shared" si="136"/>
        <v>32.46</v>
      </c>
    </row>
    <row r="4299" spans="1:8" ht="41.4">
      <c r="A4299" s="502" t="s">
        <v>5631</v>
      </c>
      <c r="B4299" s="504" t="s">
        <v>25496</v>
      </c>
      <c r="C4299" s="502" t="s">
        <v>114</v>
      </c>
      <c r="D4299" s="503" t="s">
        <v>24378</v>
      </c>
      <c r="F4299" t="str">
        <f t="shared" si="135"/>
        <v>92332</v>
      </c>
      <c r="H4299" s="14">
        <f t="shared" si="136"/>
        <v>26.4</v>
      </c>
    </row>
    <row r="4300" spans="1:8" ht="41.4">
      <c r="A4300" s="502" t="s">
        <v>5632</v>
      </c>
      <c r="B4300" s="504" t="s">
        <v>25497</v>
      </c>
      <c r="C4300" s="502" t="s">
        <v>114</v>
      </c>
      <c r="D4300" s="503" t="s">
        <v>20731</v>
      </c>
      <c r="F4300" t="str">
        <f t="shared" si="135"/>
        <v>92333</v>
      </c>
      <c r="H4300" s="14">
        <f t="shared" si="136"/>
        <v>46.12</v>
      </c>
    </row>
    <row r="4301" spans="1:8" ht="41.4">
      <c r="A4301" s="502" t="s">
        <v>5633</v>
      </c>
      <c r="B4301" s="504" t="s">
        <v>25498</v>
      </c>
      <c r="C4301" s="502" t="s">
        <v>114</v>
      </c>
      <c r="D4301" s="503" t="s">
        <v>15300</v>
      </c>
      <c r="F4301" t="str">
        <f t="shared" si="135"/>
        <v>92334</v>
      </c>
      <c r="H4301" s="14">
        <f t="shared" si="136"/>
        <v>66.739999999999995</v>
      </c>
    </row>
    <row r="4302" spans="1:8" ht="41.4">
      <c r="A4302" s="502" t="s">
        <v>5634</v>
      </c>
      <c r="B4302" s="504" t="s">
        <v>13170</v>
      </c>
      <c r="C4302" s="502" t="s">
        <v>114</v>
      </c>
      <c r="D4302" s="503" t="s">
        <v>15340</v>
      </c>
      <c r="F4302" t="str">
        <f t="shared" si="135"/>
        <v>92344</v>
      </c>
      <c r="H4302" s="14">
        <f t="shared" si="136"/>
        <v>100.32</v>
      </c>
    </row>
    <row r="4303" spans="1:8" ht="41.4">
      <c r="A4303" s="502" t="s">
        <v>5635</v>
      </c>
      <c r="B4303" s="504" t="s">
        <v>13171</v>
      </c>
      <c r="C4303" s="502" t="s">
        <v>114</v>
      </c>
      <c r="D4303" s="503" t="s">
        <v>33091</v>
      </c>
      <c r="F4303" t="str">
        <f t="shared" si="135"/>
        <v>92345</v>
      </c>
      <c r="H4303" s="14">
        <f t="shared" si="136"/>
        <v>100.28</v>
      </c>
    </row>
    <row r="4304" spans="1:8" ht="41.4">
      <c r="A4304" s="502" t="s">
        <v>5636</v>
      </c>
      <c r="B4304" s="504" t="s">
        <v>13172</v>
      </c>
      <c r="C4304" s="502" t="s">
        <v>114</v>
      </c>
      <c r="D4304" s="503" t="s">
        <v>33092</v>
      </c>
      <c r="F4304" t="str">
        <f t="shared" si="135"/>
        <v>92346</v>
      </c>
      <c r="H4304" s="14">
        <f t="shared" si="136"/>
        <v>132.41999999999999</v>
      </c>
    </row>
    <row r="4305" spans="1:8" ht="41.4">
      <c r="A4305" s="502" t="s">
        <v>5637</v>
      </c>
      <c r="B4305" s="504" t="s">
        <v>13173</v>
      </c>
      <c r="C4305" s="502" t="s">
        <v>114</v>
      </c>
      <c r="D4305" s="503" t="s">
        <v>33093</v>
      </c>
      <c r="F4305" t="str">
        <f t="shared" si="135"/>
        <v>92347</v>
      </c>
      <c r="H4305" s="14">
        <f t="shared" si="136"/>
        <v>147.71</v>
      </c>
    </row>
    <row r="4306" spans="1:8" ht="41.4">
      <c r="A4306" s="502" t="s">
        <v>5638</v>
      </c>
      <c r="B4306" s="504" t="s">
        <v>13174</v>
      </c>
      <c r="C4306" s="502" t="s">
        <v>114</v>
      </c>
      <c r="D4306" s="503" t="s">
        <v>33094</v>
      </c>
      <c r="F4306" t="str">
        <f t="shared" si="135"/>
        <v>92348</v>
      </c>
      <c r="H4306" s="14">
        <f t="shared" si="136"/>
        <v>186.84</v>
      </c>
    </row>
    <row r="4307" spans="1:8" ht="41.4">
      <c r="A4307" s="502" t="s">
        <v>5639</v>
      </c>
      <c r="B4307" s="504" t="s">
        <v>13176</v>
      </c>
      <c r="C4307" s="502" t="s">
        <v>114</v>
      </c>
      <c r="D4307" s="503" t="s">
        <v>15357</v>
      </c>
      <c r="F4307" t="str">
        <f t="shared" si="135"/>
        <v>92349</v>
      </c>
      <c r="H4307" s="14">
        <f t="shared" si="136"/>
        <v>200.45</v>
      </c>
    </row>
    <row r="4308" spans="1:8" ht="41.4">
      <c r="A4308" s="502" t="s">
        <v>5640</v>
      </c>
      <c r="B4308" s="504" t="s">
        <v>13177</v>
      </c>
      <c r="C4308" s="502" t="s">
        <v>114</v>
      </c>
      <c r="D4308" s="503" t="s">
        <v>33095</v>
      </c>
      <c r="F4308" t="str">
        <f t="shared" si="135"/>
        <v>92350</v>
      </c>
      <c r="H4308" s="14">
        <f t="shared" si="136"/>
        <v>149.19</v>
      </c>
    </row>
    <row r="4309" spans="1:8" ht="41.4">
      <c r="A4309" s="502" t="s">
        <v>5641</v>
      </c>
      <c r="B4309" s="504" t="s">
        <v>13178</v>
      </c>
      <c r="C4309" s="502" t="s">
        <v>114</v>
      </c>
      <c r="D4309" s="503" t="s">
        <v>33096</v>
      </c>
      <c r="F4309" t="str">
        <f t="shared" si="135"/>
        <v>92351</v>
      </c>
      <c r="H4309" s="14">
        <f t="shared" si="136"/>
        <v>145.79</v>
      </c>
    </row>
    <row r="4310" spans="1:8" ht="41.4">
      <c r="A4310" s="502" t="s">
        <v>5642</v>
      </c>
      <c r="B4310" s="504" t="s">
        <v>13179</v>
      </c>
      <c r="C4310" s="502" t="s">
        <v>114</v>
      </c>
      <c r="D4310" s="503" t="s">
        <v>29089</v>
      </c>
      <c r="F4310" t="str">
        <f t="shared" si="135"/>
        <v>92352</v>
      </c>
      <c r="H4310" s="14">
        <f t="shared" si="136"/>
        <v>228</v>
      </c>
    </row>
    <row r="4311" spans="1:8" ht="41.4">
      <c r="A4311" s="502" t="s">
        <v>5643</v>
      </c>
      <c r="B4311" s="504" t="s">
        <v>13180</v>
      </c>
      <c r="C4311" s="502" t="s">
        <v>114</v>
      </c>
      <c r="D4311" s="503" t="s">
        <v>33097</v>
      </c>
      <c r="F4311" t="str">
        <f t="shared" si="135"/>
        <v>92353</v>
      </c>
      <c r="H4311" s="14">
        <f t="shared" si="136"/>
        <v>213.04</v>
      </c>
    </row>
    <row r="4312" spans="1:8" ht="41.4">
      <c r="A4312" s="502" t="s">
        <v>5644</v>
      </c>
      <c r="B4312" s="504" t="s">
        <v>13181</v>
      </c>
      <c r="C4312" s="502" t="s">
        <v>114</v>
      </c>
      <c r="D4312" s="503" t="s">
        <v>33098</v>
      </c>
      <c r="F4312" t="str">
        <f t="shared" si="135"/>
        <v>92354</v>
      </c>
      <c r="H4312" s="14">
        <f t="shared" si="136"/>
        <v>303.7</v>
      </c>
    </row>
    <row r="4313" spans="1:8" ht="41.4">
      <c r="A4313" s="502" t="s">
        <v>5645</v>
      </c>
      <c r="B4313" s="504" t="s">
        <v>13182</v>
      </c>
      <c r="C4313" s="502" t="s">
        <v>114</v>
      </c>
      <c r="D4313" s="503" t="s">
        <v>33099</v>
      </c>
      <c r="F4313" t="str">
        <f t="shared" si="135"/>
        <v>92355</v>
      </c>
      <c r="H4313" s="14">
        <f t="shared" si="136"/>
        <v>274.87</v>
      </c>
    </row>
    <row r="4314" spans="1:8" ht="41.4">
      <c r="A4314" s="502" t="s">
        <v>5646</v>
      </c>
      <c r="B4314" s="504" t="s">
        <v>13183</v>
      </c>
      <c r="C4314" s="502" t="s">
        <v>114</v>
      </c>
      <c r="D4314" s="503" t="s">
        <v>33100</v>
      </c>
      <c r="F4314" t="str">
        <f t="shared" si="135"/>
        <v>92356</v>
      </c>
      <c r="H4314" s="14">
        <f t="shared" si="136"/>
        <v>194.31</v>
      </c>
    </row>
    <row r="4315" spans="1:8" ht="41.4">
      <c r="A4315" s="502" t="s">
        <v>5647</v>
      </c>
      <c r="B4315" s="504" t="s">
        <v>13184</v>
      </c>
      <c r="C4315" s="502" t="s">
        <v>114</v>
      </c>
      <c r="D4315" s="503" t="s">
        <v>15290</v>
      </c>
      <c r="F4315" t="str">
        <f t="shared" si="135"/>
        <v>92357</v>
      </c>
      <c r="H4315" s="14">
        <f t="shared" si="136"/>
        <v>291.58</v>
      </c>
    </row>
    <row r="4316" spans="1:8" ht="41.4">
      <c r="A4316" s="502" t="s">
        <v>5648</v>
      </c>
      <c r="B4316" s="504" t="s">
        <v>13185</v>
      </c>
      <c r="C4316" s="502" t="s">
        <v>114</v>
      </c>
      <c r="D4316" s="503" t="s">
        <v>33101</v>
      </c>
      <c r="F4316" t="str">
        <f t="shared" si="135"/>
        <v>92358</v>
      </c>
      <c r="H4316" s="14">
        <f t="shared" si="136"/>
        <v>363.75</v>
      </c>
    </row>
    <row r="4317" spans="1:8" ht="41.4">
      <c r="A4317" s="502" t="s">
        <v>5649</v>
      </c>
      <c r="B4317" s="504" t="s">
        <v>13186</v>
      </c>
      <c r="C4317" s="502" t="s">
        <v>114</v>
      </c>
      <c r="D4317" s="503" t="s">
        <v>33102</v>
      </c>
      <c r="F4317" t="str">
        <f t="shared" si="135"/>
        <v>92369</v>
      </c>
      <c r="H4317" s="14">
        <f t="shared" si="136"/>
        <v>53.46</v>
      </c>
    </row>
    <row r="4318" spans="1:8" ht="41.4">
      <c r="A4318" s="502" t="s">
        <v>5650</v>
      </c>
      <c r="B4318" s="504" t="s">
        <v>13187</v>
      </c>
      <c r="C4318" s="502" t="s">
        <v>114</v>
      </c>
      <c r="D4318" s="503" t="s">
        <v>33103</v>
      </c>
      <c r="F4318" t="str">
        <f t="shared" si="135"/>
        <v>92370</v>
      </c>
      <c r="H4318" s="14">
        <f t="shared" si="136"/>
        <v>56.2</v>
      </c>
    </row>
    <row r="4319" spans="1:8" ht="55.2">
      <c r="A4319" s="502" t="s">
        <v>5651</v>
      </c>
      <c r="B4319" s="504" t="s">
        <v>13188</v>
      </c>
      <c r="C4319" s="502" t="s">
        <v>114</v>
      </c>
      <c r="D4319" s="503" t="s">
        <v>16197</v>
      </c>
      <c r="F4319" t="str">
        <f t="shared" si="135"/>
        <v>92371</v>
      </c>
      <c r="H4319" s="14">
        <f t="shared" si="136"/>
        <v>64.87</v>
      </c>
    </row>
    <row r="4320" spans="1:8" ht="41.4">
      <c r="A4320" s="502" t="s">
        <v>5652</v>
      </c>
      <c r="B4320" s="504" t="s">
        <v>13189</v>
      </c>
      <c r="C4320" s="502" t="s">
        <v>114</v>
      </c>
      <c r="D4320" s="503" t="s">
        <v>33104</v>
      </c>
      <c r="F4320" t="str">
        <f t="shared" si="135"/>
        <v>92372</v>
      </c>
      <c r="H4320" s="14">
        <f t="shared" si="136"/>
        <v>67.44</v>
      </c>
    </row>
    <row r="4321" spans="1:8" ht="55.2">
      <c r="A4321" s="502" t="s">
        <v>5653</v>
      </c>
      <c r="B4321" s="504" t="s">
        <v>13190</v>
      </c>
      <c r="C4321" s="502" t="s">
        <v>114</v>
      </c>
      <c r="D4321" s="503" t="s">
        <v>33105</v>
      </c>
      <c r="F4321" t="str">
        <f t="shared" si="135"/>
        <v>92373</v>
      </c>
      <c r="H4321" s="14">
        <f t="shared" si="136"/>
        <v>76.87</v>
      </c>
    </row>
    <row r="4322" spans="1:8" ht="41.4">
      <c r="A4322" s="502" t="s">
        <v>5654</v>
      </c>
      <c r="B4322" s="504" t="s">
        <v>13191</v>
      </c>
      <c r="C4322" s="502" t="s">
        <v>114</v>
      </c>
      <c r="D4322" s="503" t="s">
        <v>33106</v>
      </c>
      <c r="F4322" t="str">
        <f t="shared" si="135"/>
        <v>92374</v>
      </c>
      <c r="H4322" s="14">
        <f t="shared" si="136"/>
        <v>77.36</v>
      </c>
    </row>
    <row r="4323" spans="1:8" ht="41.4">
      <c r="A4323" s="502" t="s">
        <v>5655</v>
      </c>
      <c r="B4323" s="504" t="s">
        <v>13192</v>
      </c>
      <c r="C4323" s="502" t="s">
        <v>114</v>
      </c>
      <c r="D4323" s="503" t="s">
        <v>33107</v>
      </c>
      <c r="F4323" t="str">
        <f t="shared" si="135"/>
        <v>92375</v>
      </c>
      <c r="H4323" s="14">
        <f t="shared" si="136"/>
        <v>100.26</v>
      </c>
    </row>
    <row r="4324" spans="1:8" ht="41.4">
      <c r="A4324" s="502" t="s">
        <v>5656</v>
      </c>
      <c r="B4324" s="504" t="s">
        <v>13193</v>
      </c>
      <c r="C4324" s="502" t="s">
        <v>114</v>
      </c>
      <c r="D4324" s="503" t="s">
        <v>33108</v>
      </c>
      <c r="F4324" t="str">
        <f t="shared" si="135"/>
        <v>92376</v>
      </c>
      <c r="H4324" s="14">
        <f t="shared" si="136"/>
        <v>100.22</v>
      </c>
    </row>
    <row r="4325" spans="1:8" ht="55.2">
      <c r="A4325" s="502" t="s">
        <v>5657</v>
      </c>
      <c r="B4325" s="504" t="s">
        <v>13194</v>
      </c>
      <c r="C4325" s="502" t="s">
        <v>114</v>
      </c>
      <c r="D4325" s="503" t="s">
        <v>33109</v>
      </c>
      <c r="F4325" t="str">
        <f t="shared" si="135"/>
        <v>92377</v>
      </c>
      <c r="H4325" s="14">
        <f t="shared" si="136"/>
        <v>134.91999999999999</v>
      </c>
    </row>
    <row r="4326" spans="1:8" ht="41.4">
      <c r="A4326" s="502" t="s">
        <v>5658</v>
      </c>
      <c r="B4326" s="504" t="s">
        <v>13195</v>
      </c>
      <c r="C4326" s="502" t="s">
        <v>114</v>
      </c>
      <c r="D4326" s="503" t="s">
        <v>33110</v>
      </c>
      <c r="F4326" t="str">
        <f t="shared" si="135"/>
        <v>92378</v>
      </c>
      <c r="H4326" s="14">
        <f t="shared" si="136"/>
        <v>150.19999999999999</v>
      </c>
    </row>
    <row r="4327" spans="1:8" ht="41.4">
      <c r="A4327" s="502" t="s">
        <v>5659</v>
      </c>
      <c r="B4327" s="504" t="s">
        <v>13196</v>
      </c>
      <c r="C4327" s="502" t="s">
        <v>114</v>
      </c>
      <c r="D4327" s="503" t="s">
        <v>19399</v>
      </c>
      <c r="F4327" t="str">
        <f t="shared" si="135"/>
        <v>92379</v>
      </c>
      <c r="H4327" s="14">
        <f t="shared" si="136"/>
        <v>191.95</v>
      </c>
    </row>
    <row r="4328" spans="1:8" ht="41.4">
      <c r="A4328" s="502" t="s">
        <v>5660</v>
      </c>
      <c r="B4328" s="504" t="s">
        <v>13197</v>
      </c>
      <c r="C4328" s="502" t="s">
        <v>114</v>
      </c>
      <c r="D4328" s="503" t="s">
        <v>33111</v>
      </c>
      <c r="F4328" t="str">
        <f t="shared" si="135"/>
        <v>92380</v>
      </c>
      <c r="H4328" s="14">
        <f t="shared" si="136"/>
        <v>205.55</v>
      </c>
    </row>
    <row r="4329" spans="1:8" ht="55.2">
      <c r="A4329" s="502" t="s">
        <v>5661</v>
      </c>
      <c r="B4329" s="504" t="s">
        <v>13198</v>
      </c>
      <c r="C4329" s="502" t="s">
        <v>114</v>
      </c>
      <c r="D4329" s="503" t="s">
        <v>33112</v>
      </c>
      <c r="F4329" t="str">
        <f t="shared" si="135"/>
        <v>92381</v>
      </c>
      <c r="H4329" s="14">
        <f t="shared" si="136"/>
        <v>81</v>
      </c>
    </row>
    <row r="4330" spans="1:8" ht="55.2">
      <c r="A4330" s="502" t="s">
        <v>5662</v>
      </c>
      <c r="B4330" s="504" t="s">
        <v>13199</v>
      </c>
      <c r="C4330" s="502" t="s">
        <v>114</v>
      </c>
      <c r="D4330" s="503" t="s">
        <v>33113</v>
      </c>
      <c r="F4330" t="str">
        <f t="shared" si="135"/>
        <v>92382</v>
      </c>
      <c r="H4330" s="14">
        <f t="shared" si="136"/>
        <v>77.349999999999994</v>
      </c>
    </row>
    <row r="4331" spans="1:8" ht="55.2">
      <c r="A4331" s="502" t="s">
        <v>5663</v>
      </c>
      <c r="B4331" s="504" t="s">
        <v>13200</v>
      </c>
      <c r="C4331" s="502" t="s">
        <v>114</v>
      </c>
      <c r="D4331" s="503" t="s">
        <v>32708</v>
      </c>
      <c r="F4331" t="str">
        <f t="shared" si="135"/>
        <v>92383</v>
      </c>
      <c r="H4331" s="14">
        <f t="shared" si="136"/>
        <v>102.58</v>
      </c>
    </row>
    <row r="4332" spans="1:8" ht="55.2">
      <c r="A4332" s="502" t="s">
        <v>5664</v>
      </c>
      <c r="B4332" s="504" t="s">
        <v>13201</v>
      </c>
      <c r="C4332" s="502" t="s">
        <v>114</v>
      </c>
      <c r="D4332" s="503" t="s">
        <v>29984</v>
      </c>
      <c r="F4332" t="str">
        <f t="shared" si="135"/>
        <v>92384</v>
      </c>
      <c r="H4332" s="14">
        <f t="shared" si="136"/>
        <v>95.31</v>
      </c>
    </row>
    <row r="4333" spans="1:8" ht="55.2">
      <c r="A4333" s="502" t="s">
        <v>5665</v>
      </c>
      <c r="B4333" s="504" t="s">
        <v>13203</v>
      </c>
      <c r="C4333" s="502" t="s">
        <v>114</v>
      </c>
      <c r="D4333" s="503" t="s">
        <v>33114</v>
      </c>
      <c r="F4333" t="str">
        <f t="shared" si="135"/>
        <v>92385</v>
      </c>
      <c r="H4333" s="14">
        <f t="shared" si="136"/>
        <v>117.78</v>
      </c>
    </row>
    <row r="4334" spans="1:8" ht="55.2">
      <c r="A4334" s="502" t="s">
        <v>5666</v>
      </c>
      <c r="B4334" s="504" t="s">
        <v>13204</v>
      </c>
      <c r="C4334" s="502" t="s">
        <v>114</v>
      </c>
      <c r="D4334" s="503" t="s">
        <v>33115</v>
      </c>
      <c r="F4334" t="str">
        <f t="shared" si="135"/>
        <v>92386</v>
      </c>
      <c r="H4334" s="14">
        <f t="shared" si="136"/>
        <v>112.77</v>
      </c>
    </row>
    <row r="4335" spans="1:8" ht="55.2">
      <c r="A4335" s="502" t="s">
        <v>5667</v>
      </c>
      <c r="B4335" s="504" t="s">
        <v>13205</v>
      </c>
      <c r="C4335" s="502" t="s">
        <v>114</v>
      </c>
      <c r="D4335" s="503" t="s">
        <v>33116</v>
      </c>
      <c r="F4335" t="str">
        <f t="shared" si="135"/>
        <v>92387</v>
      </c>
      <c r="H4335" s="14">
        <f t="shared" si="136"/>
        <v>149.04</v>
      </c>
    </row>
    <row r="4336" spans="1:8" ht="55.2">
      <c r="A4336" s="502" t="s">
        <v>5668</v>
      </c>
      <c r="B4336" s="504" t="s">
        <v>13206</v>
      </c>
      <c r="C4336" s="502" t="s">
        <v>114</v>
      </c>
      <c r="D4336" s="503" t="s">
        <v>33117</v>
      </c>
      <c r="F4336" t="str">
        <f t="shared" si="135"/>
        <v>92388</v>
      </c>
      <c r="H4336" s="14">
        <f t="shared" si="136"/>
        <v>145.63999999999999</v>
      </c>
    </row>
    <row r="4337" spans="1:8" ht="55.2">
      <c r="A4337" s="502" t="s">
        <v>5669</v>
      </c>
      <c r="B4337" s="504" t="s">
        <v>13207</v>
      </c>
      <c r="C4337" s="502" t="s">
        <v>114</v>
      </c>
      <c r="D4337" s="503" t="s">
        <v>33118</v>
      </c>
      <c r="F4337" t="str">
        <f t="shared" si="135"/>
        <v>92389</v>
      </c>
      <c r="H4337" s="14">
        <f t="shared" si="136"/>
        <v>231.82</v>
      </c>
    </row>
    <row r="4338" spans="1:8" ht="55.2">
      <c r="A4338" s="502" t="s">
        <v>5670</v>
      </c>
      <c r="B4338" s="504" t="s">
        <v>13208</v>
      </c>
      <c r="C4338" s="502" t="s">
        <v>114</v>
      </c>
      <c r="D4338" s="503" t="s">
        <v>33119</v>
      </c>
      <c r="F4338" t="str">
        <f t="shared" si="135"/>
        <v>92390</v>
      </c>
      <c r="H4338" s="14">
        <f t="shared" si="136"/>
        <v>216.85</v>
      </c>
    </row>
    <row r="4339" spans="1:8" ht="55.2">
      <c r="A4339" s="502" t="s">
        <v>5671</v>
      </c>
      <c r="B4339" s="504" t="s">
        <v>13209</v>
      </c>
      <c r="C4339" s="502" t="s">
        <v>114</v>
      </c>
      <c r="D4339" s="503" t="s">
        <v>33120</v>
      </c>
      <c r="F4339" t="str">
        <f t="shared" si="135"/>
        <v>92635</v>
      </c>
      <c r="H4339" s="14">
        <f t="shared" si="136"/>
        <v>311.38</v>
      </c>
    </row>
    <row r="4340" spans="1:8" ht="55.2">
      <c r="A4340" s="502" t="s">
        <v>5672</v>
      </c>
      <c r="B4340" s="504" t="s">
        <v>13210</v>
      </c>
      <c r="C4340" s="502" t="s">
        <v>114</v>
      </c>
      <c r="D4340" s="503" t="s">
        <v>13073</v>
      </c>
      <c r="F4340" t="str">
        <f t="shared" si="135"/>
        <v>92636</v>
      </c>
      <c r="H4340" s="14">
        <f t="shared" si="136"/>
        <v>282.54000000000002</v>
      </c>
    </row>
    <row r="4341" spans="1:8" ht="41.4">
      <c r="A4341" s="502" t="s">
        <v>5673</v>
      </c>
      <c r="B4341" s="504" t="s">
        <v>13211</v>
      </c>
      <c r="C4341" s="502" t="s">
        <v>114</v>
      </c>
      <c r="D4341" s="503" t="s">
        <v>33121</v>
      </c>
      <c r="F4341" t="str">
        <f t="shared" si="135"/>
        <v>92637</v>
      </c>
      <c r="H4341" s="14">
        <f t="shared" si="136"/>
        <v>104.47</v>
      </c>
    </row>
    <row r="4342" spans="1:8" ht="41.4">
      <c r="A4342" s="502" t="s">
        <v>5674</v>
      </c>
      <c r="B4342" s="504" t="s">
        <v>13212</v>
      </c>
      <c r="C4342" s="502" t="s">
        <v>114</v>
      </c>
      <c r="D4342" s="503" t="s">
        <v>33122</v>
      </c>
      <c r="F4342" t="str">
        <f t="shared" si="135"/>
        <v>92638</v>
      </c>
      <c r="H4342" s="14">
        <f t="shared" si="136"/>
        <v>127.97</v>
      </c>
    </row>
    <row r="4343" spans="1:8" ht="41.4">
      <c r="A4343" s="502" t="s">
        <v>5675</v>
      </c>
      <c r="B4343" s="504" t="s">
        <v>13213</v>
      </c>
      <c r="C4343" s="502" t="s">
        <v>114</v>
      </c>
      <c r="D4343" s="503" t="s">
        <v>33123</v>
      </c>
      <c r="F4343" t="str">
        <f t="shared" si="135"/>
        <v>92639</v>
      </c>
      <c r="H4343" s="14">
        <f t="shared" si="136"/>
        <v>148.43</v>
      </c>
    </row>
    <row r="4344" spans="1:8" ht="41.4">
      <c r="A4344" s="502" t="s">
        <v>5676</v>
      </c>
      <c r="B4344" s="504" t="s">
        <v>13214</v>
      </c>
      <c r="C4344" s="502" t="s">
        <v>114</v>
      </c>
      <c r="D4344" s="503" t="s">
        <v>33124</v>
      </c>
      <c r="F4344" t="str">
        <f t="shared" si="135"/>
        <v>92640</v>
      </c>
      <c r="H4344" s="14">
        <f t="shared" si="136"/>
        <v>194.09</v>
      </c>
    </row>
    <row r="4345" spans="1:8" ht="41.4">
      <c r="A4345" s="502" t="s">
        <v>5677</v>
      </c>
      <c r="B4345" s="504" t="s">
        <v>13215</v>
      </c>
      <c r="C4345" s="502" t="s">
        <v>114</v>
      </c>
      <c r="D4345" s="503" t="s">
        <v>33125</v>
      </c>
      <c r="F4345" t="str">
        <f t="shared" si="135"/>
        <v>92642</v>
      </c>
      <c r="H4345" s="14">
        <f t="shared" si="136"/>
        <v>296.55</v>
      </c>
    </row>
    <row r="4346" spans="1:8" ht="41.4">
      <c r="A4346" s="502" t="s">
        <v>5678</v>
      </c>
      <c r="B4346" s="504" t="s">
        <v>13216</v>
      </c>
      <c r="C4346" s="502" t="s">
        <v>114</v>
      </c>
      <c r="D4346" s="503" t="s">
        <v>33126</v>
      </c>
      <c r="F4346" t="str">
        <f t="shared" si="135"/>
        <v>92644</v>
      </c>
      <c r="H4346" s="14">
        <f t="shared" si="136"/>
        <v>373.97</v>
      </c>
    </row>
    <row r="4347" spans="1:8" ht="41.4">
      <c r="A4347" s="502" t="s">
        <v>5679</v>
      </c>
      <c r="B4347" s="504" t="s">
        <v>13217</v>
      </c>
      <c r="C4347" s="502" t="s">
        <v>114</v>
      </c>
      <c r="D4347" s="503" t="s">
        <v>14331</v>
      </c>
      <c r="F4347" t="str">
        <f t="shared" si="135"/>
        <v>92657</v>
      </c>
      <c r="H4347" s="14">
        <f t="shared" si="136"/>
        <v>39.659999999999997</v>
      </c>
    </row>
    <row r="4348" spans="1:8" ht="41.4">
      <c r="A4348" s="502" t="s">
        <v>5680</v>
      </c>
      <c r="B4348" s="504" t="s">
        <v>13218</v>
      </c>
      <c r="C4348" s="502" t="s">
        <v>114</v>
      </c>
      <c r="D4348" s="503" t="s">
        <v>13163</v>
      </c>
      <c r="F4348" t="str">
        <f t="shared" si="135"/>
        <v>92658</v>
      </c>
      <c r="H4348" s="14">
        <f t="shared" si="136"/>
        <v>42.4</v>
      </c>
    </row>
    <row r="4349" spans="1:8" ht="41.4">
      <c r="A4349" s="502" t="s">
        <v>5681</v>
      </c>
      <c r="B4349" s="504" t="s">
        <v>13219</v>
      </c>
      <c r="C4349" s="502" t="s">
        <v>114</v>
      </c>
      <c r="D4349" s="503" t="s">
        <v>10229</v>
      </c>
      <c r="F4349" t="str">
        <f t="shared" si="135"/>
        <v>92659</v>
      </c>
      <c r="H4349" s="14">
        <f t="shared" si="136"/>
        <v>49.16</v>
      </c>
    </row>
    <row r="4350" spans="1:8" ht="41.4">
      <c r="A4350" s="502" t="s">
        <v>5682</v>
      </c>
      <c r="B4350" s="504" t="s">
        <v>13220</v>
      </c>
      <c r="C4350" s="502" t="s">
        <v>114</v>
      </c>
      <c r="D4350" s="503" t="s">
        <v>33127</v>
      </c>
      <c r="F4350" t="str">
        <f t="shared" si="135"/>
        <v>92660</v>
      </c>
      <c r="H4350" s="14">
        <f t="shared" si="136"/>
        <v>51.73</v>
      </c>
    </row>
    <row r="4351" spans="1:8" ht="41.4">
      <c r="A4351" s="502" t="s">
        <v>5683</v>
      </c>
      <c r="B4351" s="504" t="s">
        <v>13221</v>
      </c>
      <c r="C4351" s="502" t="s">
        <v>114</v>
      </c>
      <c r="D4351" s="503" t="s">
        <v>33128</v>
      </c>
      <c r="F4351" t="str">
        <f t="shared" si="135"/>
        <v>92661</v>
      </c>
      <c r="H4351" s="14">
        <f t="shared" si="136"/>
        <v>58.96</v>
      </c>
    </row>
    <row r="4352" spans="1:8" ht="41.4">
      <c r="A4352" s="502" t="s">
        <v>5684</v>
      </c>
      <c r="B4352" s="504" t="s">
        <v>13222</v>
      </c>
      <c r="C4352" s="502" t="s">
        <v>114</v>
      </c>
      <c r="D4352" s="503" t="s">
        <v>29117</v>
      </c>
      <c r="F4352" t="str">
        <f t="shared" si="135"/>
        <v>92662</v>
      </c>
      <c r="H4352" s="14">
        <f t="shared" si="136"/>
        <v>59.46</v>
      </c>
    </row>
    <row r="4353" spans="1:8" ht="41.4">
      <c r="A4353" s="502" t="s">
        <v>5685</v>
      </c>
      <c r="B4353" s="504" t="s">
        <v>13223</v>
      </c>
      <c r="C4353" s="502" t="s">
        <v>114</v>
      </c>
      <c r="D4353" s="503" t="s">
        <v>33050</v>
      </c>
      <c r="F4353" t="str">
        <f t="shared" si="135"/>
        <v>92663</v>
      </c>
      <c r="H4353" s="14">
        <f t="shared" si="136"/>
        <v>79.64</v>
      </c>
    </row>
    <row r="4354" spans="1:8" ht="41.4">
      <c r="A4354" s="502" t="s">
        <v>5686</v>
      </c>
      <c r="B4354" s="504" t="s">
        <v>13224</v>
      </c>
      <c r="C4354" s="502" t="s">
        <v>114</v>
      </c>
      <c r="D4354" s="503" t="s">
        <v>33129</v>
      </c>
      <c r="F4354" t="str">
        <f t="shared" si="135"/>
        <v>92664</v>
      </c>
      <c r="H4354" s="14">
        <f t="shared" si="136"/>
        <v>79.599999999999994</v>
      </c>
    </row>
    <row r="4355" spans="1:8" ht="41.4">
      <c r="A4355" s="502" t="s">
        <v>5687</v>
      </c>
      <c r="B4355" s="504" t="s">
        <v>13225</v>
      </c>
      <c r="C4355" s="502" t="s">
        <v>114</v>
      </c>
      <c r="D4355" s="503" t="s">
        <v>25587</v>
      </c>
      <c r="F4355" t="str">
        <f t="shared" si="135"/>
        <v>92665</v>
      </c>
      <c r="H4355" s="14">
        <f t="shared" si="136"/>
        <v>110.2</v>
      </c>
    </row>
    <row r="4356" spans="1:8" ht="41.4">
      <c r="A4356" s="502" t="s">
        <v>5688</v>
      </c>
      <c r="B4356" s="504" t="s">
        <v>13226</v>
      </c>
      <c r="C4356" s="502" t="s">
        <v>114</v>
      </c>
      <c r="D4356" s="503" t="s">
        <v>33130</v>
      </c>
      <c r="F4356" t="str">
        <f t="shared" si="135"/>
        <v>92666</v>
      </c>
      <c r="H4356" s="14">
        <f t="shared" si="136"/>
        <v>125.48</v>
      </c>
    </row>
    <row r="4357" spans="1:8" ht="41.4">
      <c r="A4357" s="502" t="s">
        <v>5689</v>
      </c>
      <c r="B4357" s="504" t="s">
        <v>13227</v>
      </c>
      <c r="C4357" s="502" t="s">
        <v>114</v>
      </c>
      <c r="D4357" s="503" t="s">
        <v>33131</v>
      </c>
      <c r="F4357" t="str">
        <f t="shared" ref="F4357:F4420" si="137">TRIM(A4357)</f>
        <v>92667</v>
      </c>
      <c r="H4357" s="14">
        <f t="shared" ref="H4357:H4420" si="138">ROUND(D4357*(1+$H$1),2)</f>
        <v>163.22999999999999</v>
      </c>
    </row>
    <row r="4358" spans="1:8" ht="41.4">
      <c r="A4358" s="502" t="s">
        <v>5690</v>
      </c>
      <c r="B4358" s="504" t="s">
        <v>13228</v>
      </c>
      <c r="C4358" s="502" t="s">
        <v>114</v>
      </c>
      <c r="D4358" s="503" t="s">
        <v>33132</v>
      </c>
      <c r="F4358" t="str">
        <f t="shared" si="137"/>
        <v>92668</v>
      </c>
      <c r="H4358" s="14">
        <f t="shared" si="138"/>
        <v>176.84</v>
      </c>
    </row>
    <row r="4359" spans="1:8" ht="55.2">
      <c r="A4359" s="502" t="s">
        <v>5691</v>
      </c>
      <c r="B4359" s="504" t="s">
        <v>13229</v>
      </c>
      <c r="C4359" s="502" t="s">
        <v>114</v>
      </c>
      <c r="D4359" s="503" t="s">
        <v>33133</v>
      </c>
      <c r="F4359" t="str">
        <f t="shared" si="137"/>
        <v>92669</v>
      </c>
      <c r="H4359" s="14">
        <f t="shared" si="138"/>
        <v>60.26</v>
      </c>
    </row>
    <row r="4360" spans="1:8" ht="55.2">
      <c r="A4360" s="502" t="s">
        <v>5692</v>
      </c>
      <c r="B4360" s="504" t="s">
        <v>13230</v>
      </c>
      <c r="C4360" s="502" t="s">
        <v>114</v>
      </c>
      <c r="D4360" s="503" t="s">
        <v>15518</v>
      </c>
      <c r="F4360" t="str">
        <f t="shared" si="137"/>
        <v>92670</v>
      </c>
      <c r="H4360" s="14">
        <f t="shared" si="138"/>
        <v>56.6</v>
      </c>
    </row>
    <row r="4361" spans="1:8" ht="55.2">
      <c r="A4361" s="502" t="s">
        <v>5693</v>
      </c>
      <c r="B4361" s="504" t="s">
        <v>13231</v>
      </c>
      <c r="C4361" s="502" t="s">
        <v>114</v>
      </c>
      <c r="D4361" s="503" t="s">
        <v>33134</v>
      </c>
      <c r="F4361" t="str">
        <f t="shared" si="137"/>
        <v>92671</v>
      </c>
      <c r="H4361" s="14">
        <f t="shared" si="138"/>
        <v>79.040000000000006</v>
      </c>
    </row>
    <row r="4362" spans="1:8" ht="55.2">
      <c r="A4362" s="502" t="s">
        <v>5694</v>
      </c>
      <c r="B4362" s="504" t="s">
        <v>13232</v>
      </c>
      <c r="C4362" s="502" t="s">
        <v>114</v>
      </c>
      <c r="D4362" s="503" t="s">
        <v>28530</v>
      </c>
      <c r="F4362" t="str">
        <f t="shared" si="137"/>
        <v>92672</v>
      </c>
      <c r="H4362" s="14">
        <f t="shared" si="138"/>
        <v>71.78</v>
      </c>
    </row>
    <row r="4363" spans="1:8" ht="55.2">
      <c r="A4363" s="502" t="s">
        <v>5695</v>
      </c>
      <c r="B4363" s="504" t="s">
        <v>13233</v>
      </c>
      <c r="C4363" s="502" t="s">
        <v>114</v>
      </c>
      <c r="D4363" s="503" t="s">
        <v>19902</v>
      </c>
      <c r="F4363" t="str">
        <f t="shared" si="137"/>
        <v>92673</v>
      </c>
      <c r="H4363" s="14">
        <f t="shared" si="138"/>
        <v>90.97</v>
      </c>
    </row>
    <row r="4364" spans="1:8" ht="55.2">
      <c r="A4364" s="502" t="s">
        <v>5696</v>
      </c>
      <c r="B4364" s="504" t="s">
        <v>13234</v>
      </c>
      <c r="C4364" s="502" t="s">
        <v>114</v>
      </c>
      <c r="D4364" s="503" t="s">
        <v>33135</v>
      </c>
      <c r="F4364" t="str">
        <f t="shared" si="137"/>
        <v>92674</v>
      </c>
      <c r="H4364" s="14">
        <f t="shared" si="138"/>
        <v>85.96</v>
      </c>
    </row>
    <row r="4365" spans="1:8" ht="55.2">
      <c r="A4365" s="502" t="s">
        <v>5697</v>
      </c>
      <c r="B4365" s="504" t="s">
        <v>13235</v>
      </c>
      <c r="C4365" s="502" t="s">
        <v>114</v>
      </c>
      <c r="D4365" s="503" t="s">
        <v>33136</v>
      </c>
      <c r="F4365" t="str">
        <f t="shared" si="137"/>
        <v>92675</v>
      </c>
      <c r="H4365" s="14">
        <f t="shared" si="138"/>
        <v>118.21</v>
      </c>
    </row>
    <row r="4366" spans="1:8" ht="55.2">
      <c r="A4366" s="502" t="s">
        <v>5698</v>
      </c>
      <c r="B4366" s="504" t="s">
        <v>13236</v>
      </c>
      <c r="C4366" s="502" t="s">
        <v>114</v>
      </c>
      <c r="D4366" s="503" t="s">
        <v>28475</v>
      </c>
      <c r="F4366" t="str">
        <f t="shared" si="137"/>
        <v>92676</v>
      </c>
      <c r="H4366" s="14">
        <f t="shared" si="138"/>
        <v>114.81</v>
      </c>
    </row>
    <row r="4367" spans="1:8" ht="55.2">
      <c r="A4367" s="502" t="s">
        <v>5699</v>
      </c>
      <c r="B4367" s="504" t="s">
        <v>13237</v>
      </c>
      <c r="C4367" s="502" t="s">
        <v>114</v>
      </c>
      <c r="D4367" s="503" t="s">
        <v>33137</v>
      </c>
      <c r="F4367" t="str">
        <f t="shared" si="137"/>
        <v>92677</v>
      </c>
      <c r="H4367" s="14">
        <f t="shared" si="138"/>
        <v>194.82</v>
      </c>
    </row>
    <row r="4368" spans="1:8" ht="55.2">
      <c r="A4368" s="502" t="s">
        <v>5700</v>
      </c>
      <c r="B4368" s="504" t="s">
        <v>13238</v>
      </c>
      <c r="C4368" s="502" t="s">
        <v>114</v>
      </c>
      <c r="D4368" s="503" t="s">
        <v>33138</v>
      </c>
      <c r="F4368" t="str">
        <f t="shared" si="137"/>
        <v>92678</v>
      </c>
      <c r="H4368" s="14">
        <f t="shared" si="138"/>
        <v>179.86</v>
      </c>
    </row>
    <row r="4369" spans="1:8" ht="55.2">
      <c r="A4369" s="502" t="s">
        <v>5701</v>
      </c>
      <c r="B4369" s="504" t="s">
        <v>13239</v>
      </c>
      <c r="C4369" s="502" t="s">
        <v>114</v>
      </c>
      <c r="D4369" s="503" t="s">
        <v>33139</v>
      </c>
      <c r="F4369" t="str">
        <f t="shared" si="137"/>
        <v>92679</v>
      </c>
      <c r="H4369" s="14">
        <f t="shared" si="138"/>
        <v>268.33999999999997</v>
      </c>
    </row>
    <row r="4370" spans="1:8" ht="55.2">
      <c r="A4370" s="502" t="s">
        <v>5702</v>
      </c>
      <c r="B4370" s="504" t="s">
        <v>13240</v>
      </c>
      <c r="C4370" s="502" t="s">
        <v>114</v>
      </c>
      <c r="D4370" s="503" t="s">
        <v>33140</v>
      </c>
      <c r="F4370" t="str">
        <f t="shared" si="137"/>
        <v>92680</v>
      </c>
      <c r="H4370" s="14">
        <f t="shared" si="138"/>
        <v>239.5</v>
      </c>
    </row>
    <row r="4371" spans="1:8" ht="41.4">
      <c r="A4371" s="502" t="s">
        <v>5703</v>
      </c>
      <c r="B4371" s="504" t="s">
        <v>13241</v>
      </c>
      <c r="C4371" s="502" t="s">
        <v>114</v>
      </c>
      <c r="D4371" s="503" t="s">
        <v>33141</v>
      </c>
      <c r="F4371" t="str">
        <f t="shared" si="137"/>
        <v>92681</v>
      </c>
      <c r="H4371" s="14">
        <f t="shared" si="138"/>
        <v>76.78</v>
      </c>
    </row>
    <row r="4372" spans="1:8" ht="41.4">
      <c r="A4372" s="502" t="s">
        <v>5704</v>
      </c>
      <c r="B4372" s="504" t="s">
        <v>13242</v>
      </c>
      <c r="C4372" s="502" t="s">
        <v>114</v>
      </c>
      <c r="D4372" s="503" t="s">
        <v>33142</v>
      </c>
      <c r="F4372" t="str">
        <f t="shared" si="137"/>
        <v>92682</v>
      </c>
      <c r="H4372" s="14">
        <f t="shared" si="138"/>
        <v>96.49</v>
      </c>
    </row>
    <row r="4373" spans="1:8" ht="41.4">
      <c r="A4373" s="502" t="s">
        <v>5705</v>
      </c>
      <c r="B4373" s="504" t="s">
        <v>13243</v>
      </c>
      <c r="C4373" s="502" t="s">
        <v>114</v>
      </c>
      <c r="D4373" s="503" t="s">
        <v>33143</v>
      </c>
      <c r="F4373" t="str">
        <f t="shared" si="137"/>
        <v>92683</v>
      </c>
      <c r="H4373" s="14">
        <f t="shared" si="138"/>
        <v>112.69</v>
      </c>
    </row>
    <row r="4374" spans="1:8" ht="41.4">
      <c r="A4374" s="502" t="s">
        <v>5706</v>
      </c>
      <c r="B4374" s="504" t="s">
        <v>13244</v>
      </c>
      <c r="C4374" s="502" t="s">
        <v>114</v>
      </c>
      <c r="D4374" s="503" t="s">
        <v>33144</v>
      </c>
      <c r="F4374" t="str">
        <f t="shared" si="137"/>
        <v>92684</v>
      </c>
      <c r="H4374" s="14">
        <f t="shared" si="138"/>
        <v>152.94</v>
      </c>
    </row>
    <row r="4375" spans="1:8" ht="41.4">
      <c r="A4375" s="502" t="s">
        <v>5707</v>
      </c>
      <c r="B4375" s="504" t="s">
        <v>13245</v>
      </c>
      <c r="C4375" s="502" t="s">
        <v>114</v>
      </c>
      <c r="D4375" s="503" t="s">
        <v>33145</v>
      </c>
      <c r="F4375" t="str">
        <f t="shared" si="137"/>
        <v>92685</v>
      </c>
      <c r="H4375" s="14">
        <f t="shared" si="138"/>
        <v>247.3</v>
      </c>
    </row>
    <row r="4376" spans="1:8" ht="41.4">
      <c r="A4376" s="502" t="s">
        <v>5708</v>
      </c>
      <c r="B4376" s="504" t="s">
        <v>13246</v>
      </c>
      <c r="C4376" s="502" t="s">
        <v>114</v>
      </c>
      <c r="D4376" s="503" t="s">
        <v>33146</v>
      </c>
      <c r="F4376" t="str">
        <f t="shared" si="137"/>
        <v>92686</v>
      </c>
      <c r="H4376" s="14">
        <f t="shared" si="138"/>
        <v>316.54000000000002</v>
      </c>
    </row>
    <row r="4377" spans="1:8" ht="41.4">
      <c r="A4377" s="502" t="s">
        <v>5709</v>
      </c>
      <c r="B4377" s="504" t="s">
        <v>13247</v>
      </c>
      <c r="C4377" s="502" t="s">
        <v>114</v>
      </c>
      <c r="D4377" s="503" t="s">
        <v>9912</v>
      </c>
      <c r="F4377" t="str">
        <f t="shared" si="137"/>
        <v>92692</v>
      </c>
      <c r="H4377" s="14">
        <f t="shared" si="138"/>
        <v>21.32</v>
      </c>
    </row>
    <row r="4378" spans="1:8" ht="41.4">
      <c r="A4378" s="502" t="s">
        <v>5710</v>
      </c>
      <c r="B4378" s="504" t="s">
        <v>13248</v>
      </c>
      <c r="C4378" s="502" t="s">
        <v>114</v>
      </c>
      <c r="D4378" s="503" t="s">
        <v>10218</v>
      </c>
      <c r="F4378" t="str">
        <f t="shared" si="137"/>
        <v>92693</v>
      </c>
      <c r="H4378" s="14">
        <f t="shared" si="138"/>
        <v>21.93</v>
      </c>
    </row>
    <row r="4379" spans="1:8" ht="41.4">
      <c r="A4379" s="502" t="s">
        <v>5711</v>
      </c>
      <c r="B4379" s="504" t="s">
        <v>13249</v>
      </c>
      <c r="C4379" s="502" t="s">
        <v>114</v>
      </c>
      <c r="D4379" s="503" t="s">
        <v>27797</v>
      </c>
      <c r="F4379" t="str">
        <f t="shared" si="137"/>
        <v>92694</v>
      </c>
      <c r="H4379" s="14">
        <f t="shared" si="138"/>
        <v>33.770000000000003</v>
      </c>
    </row>
    <row r="4380" spans="1:8" ht="41.4">
      <c r="A4380" s="502" t="s">
        <v>5712</v>
      </c>
      <c r="B4380" s="504" t="s">
        <v>13250</v>
      </c>
      <c r="C4380" s="502" t="s">
        <v>114</v>
      </c>
      <c r="D4380" s="503" t="s">
        <v>9887</v>
      </c>
      <c r="F4380" t="str">
        <f t="shared" si="137"/>
        <v>92695</v>
      </c>
      <c r="H4380" s="14">
        <f t="shared" si="138"/>
        <v>34.380000000000003</v>
      </c>
    </row>
    <row r="4381" spans="1:8" ht="41.4">
      <c r="A4381" s="502" t="s">
        <v>5713</v>
      </c>
      <c r="B4381" s="504" t="s">
        <v>13252</v>
      </c>
      <c r="C4381" s="502" t="s">
        <v>114</v>
      </c>
      <c r="D4381" s="503" t="s">
        <v>22451</v>
      </c>
      <c r="F4381" t="str">
        <f t="shared" si="137"/>
        <v>92696</v>
      </c>
      <c r="H4381" s="14">
        <f t="shared" si="138"/>
        <v>52.87</v>
      </c>
    </row>
    <row r="4382" spans="1:8" ht="41.4">
      <c r="A4382" s="502" t="s">
        <v>5714</v>
      </c>
      <c r="B4382" s="504" t="s">
        <v>13253</v>
      </c>
      <c r="C4382" s="502" t="s">
        <v>114</v>
      </c>
      <c r="D4382" s="503" t="s">
        <v>33147</v>
      </c>
      <c r="F4382" t="str">
        <f t="shared" si="137"/>
        <v>92697</v>
      </c>
      <c r="H4382" s="14">
        <f t="shared" si="138"/>
        <v>55.62</v>
      </c>
    </row>
    <row r="4383" spans="1:8" ht="55.2">
      <c r="A4383" s="502" t="s">
        <v>5715</v>
      </c>
      <c r="B4383" s="504" t="s">
        <v>13255</v>
      </c>
      <c r="C4383" s="502" t="s">
        <v>114</v>
      </c>
      <c r="D4383" s="503" t="s">
        <v>23975</v>
      </c>
      <c r="F4383" t="str">
        <f t="shared" si="137"/>
        <v>92698</v>
      </c>
      <c r="H4383" s="14">
        <f t="shared" si="138"/>
        <v>31.51</v>
      </c>
    </row>
    <row r="4384" spans="1:8" ht="55.2">
      <c r="A4384" s="502" t="s">
        <v>5716</v>
      </c>
      <c r="B4384" s="504" t="s">
        <v>13256</v>
      </c>
      <c r="C4384" s="502" t="s">
        <v>114</v>
      </c>
      <c r="D4384" s="503" t="s">
        <v>16136</v>
      </c>
      <c r="F4384" t="str">
        <f t="shared" si="137"/>
        <v>92699</v>
      </c>
      <c r="H4384" s="14">
        <f t="shared" si="138"/>
        <v>29.53</v>
      </c>
    </row>
    <row r="4385" spans="1:8" ht="55.2">
      <c r="A4385" s="502" t="s">
        <v>5717</v>
      </c>
      <c r="B4385" s="504" t="s">
        <v>13257</v>
      </c>
      <c r="C4385" s="502" t="s">
        <v>114</v>
      </c>
      <c r="D4385" s="503" t="s">
        <v>33148</v>
      </c>
      <c r="F4385" t="str">
        <f t="shared" si="137"/>
        <v>92700</v>
      </c>
      <c r="H4385" s="14">
        <f t="shared" si="138"/>
        <v>51.31</v>
      </c>
    </row>
    <row r="4386" spans="1:8" ht="55.2">
      <c r="A4386" s="502" t="s">
        <v>5718</v>
      </c>
      <c r="B4386" s="504" t="s">
        <v>13258</v>
      </c>
      <c r="C4386" s="502" t="s">
        <v>114</v>
      </c>
      <c r="D4386" s="503" t="s">
        <v>33149</v>
      </c>
      <c r="F4386" t="str">
        <f t="shared" si="137"/>
        <v>92701</v>
      </c>
      <c r="H4386" s="14">
        <f t="shared" si="138"/>
        <v>48.36</v>
      </c>
    </row>
    <row r="4387" spans="1:8" ht="55.2">
      <c r="A4387" s="502" t="s">
        <v>5719</v>
      </c>
      <c r="B4387" s="504" t="s">
        <v>13259</v>
      </c>
      <c r="C4387" s="502" t="s">
        <v>114</v>
      </c>
      <c r="D4387" s="503" t="s">
        <v>33150</v>
      </c>
      <c r="F4387" t="str">
        <f t="shared" si="137"/>
        <v>92702</v>
      </c>
      <c r="H4387" s="14">
        <f t="shared" si="138"/>
        <v>80.19</v>
      </c>
    </row>
    <row r="4388" spans="1:8" ht="55.2">
      <c r="A4388" s="502" t="s">
        <v>5720</v>
      </c>
      <c r="B4388" s="504" t="s">
        <v>13260</v>
      </c>
      <c r="C4388" s="502" t="s">
        <v>114</v>
      </c>
      <c r="D4388" s="503" t="s">
        <v>33151</v>
      </c>
      <c r="F4388" t="str">
        <f t="shared" si="137"/>
        <v>92703</v>
      </c>
      <c r="H4388" s="14">
        <f t="shared" si="138"/>
        <v>76.540000000000006</v>
      </c>
    </row>
    <row r="4389" spans="1:8" ht="41.4">
      <c r="A4389" s="502" t="s">
        <v>5721</v>
      </c>
      <c r="B4389" s="504" t="s">
        <v>13261</v>
      </c>
      <c r="C4389" s="502" t="s">
        <v>114</v>
      </c>
      <c r="D4389" s="503" t="s">
        <v>33152</v>
      </c>
      <c r="F4389" t="str">
        <f t="shared" si="137"/>
        <v>92704</v>
      </c>
      <c r="H4389" s="14">
        <f t="shared" si="138"/>
        <v>39.78</v>
      </c>
    </row>
    <row r="4390" spans="1:8" ht="41.4">
      <c r="A4390" s="502" t="s">
        <v>5722</v>
      </c>
      <c r="B4390" s="504" t="s">
        <v>13262</v>
      </c>
      <c r="C4390" s="502" t="s">
        <v>114</v>
      </c>
      <c r="D4390" s="503" t="s">
        <v>28291</v>
      </c>
      <c r="F4390" t="str">
        <f t="shared" si="137"/>
        <v>92705</v>
      </c>
      <c r="H4390" s="14">
        <f t="shared" si="138"/>
        <v>63.88</v>
      </c>
    </row>
    <row r="4391" spans="1:8" ht="41.4">
      <c r="A4391" s="502" t="s">
        <v>5723</v>
      </c>
      <c r="B4391" s="504" t="s">
        <v>13263</v>
      </c>
      <c r="C4391" s="502" t="s">
        <v>114</v>
      </c>
      <c r="D4391" s="503" t="s">
        <v>33153</v>
      </c>
      <c r="F4391" t="str">
        <f t="shared" si="137"/>
        <v>92706</v>
      </c>
      <c r="H4391" s="14">
        <f t="shared" si="138"/>
        <v>103.38</v>
      </c>
    </row>
    <row r="4392" spans="1:8" ht="41.4">
      <c r="A4392" s="502" t="s">
        <v>5724</v>
      </c>
      <c r="B4392" s="504" t="s">
        <v>13264</v>
      </c>
      <c r="C4392" s="502" t="s">
        <v>114</v>
      </c>
      <c r="D4392" s="503" t="s">
        <v>33154</v>
      </c>
      <c r="F4392" t="str">
        <f t="shared" si="137"/>
        <v>92889</v>
      </c>
      <c r="H4392" s="14">
        <f t="shared" si="138"/>
        <v>199.54</v>
      </c>
    </row>
    <row r="4393" spans="1:8" ht="41.4">
      <c r="A4393" s="502" t="s">
        <v>5725</v>
      </c>
      <c r="B4393" s="504" t="s">
        <v>13265</v>
      </c>
      <c r="C4393" s="502" t="s">
        <v>114</v>
      </c>
      <c r="D4393" s="503" t="s">
        <v>33155</v>
      </c>
      <c r="F4393" t="str">
        <f t="shared" si="137"/>
        <v>92890</v>
      </c>
      <c r="H4393" s="14">
        <f t="shared" si="138"/>
        <v>303.06</v>
      </c>
    </row>
    <row r="4394" spans="1:8" ht="41.4">
      <c r="A4394" s="502" t="s">
        <v>5726</v>
      </c>
      <c r="B4394" s="504" t="s">
        <v>13266</v>
      </c>
      <c r="C4394" s="502" t="s">
        <v>114</v>
      </c>
      <c r="D4394" s="503" t="s">
        <v>33156</v>
      </c>
      <c r="F4394" t="str">
        <f t="shared" si="137"/>
        <v>92891</v>
      </c>
      <c r="H4394" s="14">
        <f t="shared" si="138"/>
        <v>445.02</v>
      </c>
    </row>
    <row r="4395" spans="1:8" ht="41.4">
      <c r="A4395" s="502" t="s">
        <v>5727</v>
      </c>
      <c r="B4395" s="504" t="s">
        <v>13267</v>
      </c>
      <c r="C4395" s="502" t="s">
        <v>114</v>
      </c>
      <c r="D4395" s="503" t="s">
        <v>33157</v>
      </c>
      <c r="F4395" t="str">
        <f t="shared" si="137"/>
        <v>92892</v>
      </c>
      <c r="H4395" s="14">
        <f t="shared" si="138"/>
        <v>85.75</v>
      </c>
    </row>
    <row r="4396" spans="1:8" ht="55.2">
      <c r="A4396" s="502" t="s">
        <v>5728</v>
      </c>
      <c r="B4396" s="504" t="s">
        <v>13268</v>
      </c>
      <c r="C4396" s="502" t="s">
        <v>114</v>
      </c>
      <c r="D4396" s="503" t="s">
        <v>29982</v>
      </c>
      <c r="F4396" t="str">
        <f t="shared" si="137"/>
        <v>92893</v>
      </c>
      <c r="H4396" s="14">
        <f t="shared" si="138"/>
        <v>122.35</v>
      </c>
    </row>
    <row r="4397" spans="1:8" ht="55.2">
      <c r="A4397" s="502" t="s">
        <v>5729</v>
      </c>
      <c r="B4397" s="504" t="s">
        <v>13269</v>
      </c>
      <c r="C4397" s="502" t="s">
        <v>114</v>
      </c>
      <c r="D4397" s="503" t="s">
        <v>33158</v>
      </c>
      <c r="F4397" t="str">
        <f t="shared" si="137"/>
        <v>92894</v>
      </c>
      <c r="H4397" s="14">
        <f t="shared" si="138"/>
        <v>146.28</v>
      </c>
    </row>
    <row r="4398" spans="1:8" ht="41.4">
      <c r="A4398" s="502" t="s">
        <v>5730</v>
      </c>
      <c r="B4398" s="504" t="s">
        <v>13271</v>
      </c>
      <c r="C4398" s="502" t="s">
        <v>114</v>
      </c>
      <c r="D4398" s="503" t="s">
        <v>33159</v>
      </c>
      <c r="F4398" t="str">
        <f t="shared" si="137"/>
        <v>92895</v>
      </c>
      <c r="H4398" s="14">
        <f t="shared" si="138"/>
        <v>199.48</v>
      </c>
    </row>
    <row r="4399" spans="1:8" ht="55.2">
      <c r="A4399" s="502" t="s">
        <v>5731</v>
      </c>
      <c r="B4399" s="504" t="s">
        <v>13272</v>
      </c>
      <c r="C4399" s="502" t="s">
        <v>114</v>
      </c>
      <c r="D4399" s="503" t="s">
        <v>33160</v>
      </c>
      <c r="F4399" t="str">
        <f t="shared" si="137"/>
        <v>92896</v>
      </c>
      <c r="H4399" s="14">
        <f t="shared" si="138"/>
        <v>305.56</v>
      </c>
    </row>
    <row r="4400" spans="1:8" ht="41.4">
      <c r="A4400" s="502" t="s">
        <v>5732</v>
      </c>
      <c r="B4400" s="504" t="s">
        <v>13273</v>
      </c>
      <c r="C4400" s="502" t="s">
        <v>114</v>
      </c>
      <c r="D4400" s="503" t="s">
        <v>33161</v>
      </c>
      <c r="F4400" t="str">
        <f t="shared" si="137"/>
        <v>92897</v>
      </c>
      <c r="H4400" s="14">
        <f t="shared" si="138"/>
        <v>450.12</v>
      </c>
    </row>
    <row r="4401" spans="1:8" ht="41.4">
      <c r="A4401" s="502" t="s">
        <v>5733</v>
      </c>
      <c r="B4401" s="504" t="s">
        <v>13274</v>
      </c>
      <c r="C4401" s="502" t="s">
        <v>114</v>
      </c>
      <c r="D4401" s="503" t="s">
        <v>33162</v>
      </c>
      <c r="F4401" t="str">
        <f t="shared" si="137"/>
        <v>92898</v>
      </c>
      <c r="H4401" s="14">
        <f t="shared" si="138"/>
        <v>71.94</v>
      </c>
    </row>
    <row r="4402" spans="1:8" ht="41.4">
      <c r="A4402" s="502" t="s">
        <v>5734</v>
      </c>
      <c r="B4402" s="504" t="s">
        <v>13275</v>
      </c>
      <c r="C4402" s="502" t="s">
        <v>114</v>
      </c>
      <c r="D4402" s="503" t="s">
        <v>33163</v>
      </c>
      <c r="F4402" t="str">
        <f t="shared" si="137"/>
        <v>92899</v>
      </c>
      <c r="H4402" s="14">
        <f t="shared" si="138"/>
        <v>106.64</v>
      </c>
    </row>
    <row r="4403" spans="1:8" ht="41.4">
      <c r="A4403" s="502" t="s">
        <v>5735</v>
      </c>
      <c r="B4403" s="504" t="s">
        <v>13276</v>
      </c>
      <c r="C4403" s="502" t="s">
        <v>114</v>
      </c>
      <c r="D4403" s="503" t="s">
        <v>33164</v>
      </c>
      <c r="F4403" t="str">
        <f t="shared" si="137"/>
        <v>92900</v>
      </c>
      <c r="H4403" s="14">
        <f t="shared" si="138"/>
        <v>128.37</v>
      </c>
    </row>
    <row r="4404" spans="1:8" ht="41.4">
      <c r="A4404" s="502" t="s">
        <v>5736</v>
      </c>
      <c r="B4404" s="504" t="s">
        <v>13277</v>
      </c>
      <c r="C4404" s="502" t="s">
        <v>114</v>
      </c>
      <c r="D4404" s="503" t="s">
        <v>33165</v>
      </c>
      <c r="F4404" t="str">
        <f t="shared" si="137"/>
        <v>92901</v>
      </c>
      <c r="H4404" s="14">
        <f t="shared" si="138"/>
        <v>178.86</v>
      </c>
    </row>
    <row r="4405" spans="1:8" ht="41.4">
      <c r="A4405" s="502" t="s">
        <v>5737</v>
      </c>
      <c r="B4405" s="504" t="s">
        <v>13278</v>
      </c>
      <c r="C4405" s="502" t="s">
        <v>114</v>
      </c>
      <c r="D4405" s="503" t="s">
        <v>33166</v>
      </c>
      <c r="F4405" t="str">
        <f t="shared" si="137"/>
        <v>92902</v>
      </c>
      <c r="H4405" s="14">
        <f t="shared" si="138"/>
        <v>280.83999999999997</v>
      </c>
    </row>
    <row r="4406" spans="1:8" ht="41.4">
      <c r="A4406" s="502" t="s">
        <v>5738</v>
      </c>
      <c r="B4406" s="504" t="s">
        <v>13279</v>
      </c>
      <c r="C4406" s="502" t="s">
        <v>114</v>
      </c>
      <c r="D4406" s="503" t="s">
        <v>33167</v>
      </c>
      <c r="F4406" t="str">
        <f t="shared" si="137"/>
        <v>92903</v>
      </c>
      <c r="H4406" s="14">
        <f t="shared" si="138"/>
        <v>421.4</v>
      </c>
    </row>
    <row r="4407" spans="1:8" ht="41.4">
      <c r="A4407" s="502" t="s">
        <v>5739</v>
      </c>
      <c r="B4407" s="504" t="s">
        <v>13280</v>
      </c>
      <c r="C4407" s="502" t="s">
        <v>114</v>
      </c>
      <c r="D4407" s="503" t="s">
        <v>29953</v>
      </c>
      <c r="F4407" t="str">
        <f t="shared" si="137"/>
        <v>92904</v>
      </c>
      <c r="H4407" s="14">
        <f t="shared" si="138"/>
        <v>49.05</v>
      </c>
    </row>
    <row r="4408" spans="1:8" ht="41.4">
      <c r="A4408" s="502" t="s">
        <v>5740</v>
      </c>
      <c r="B4408" s="504" t="s">
        <v>13281</v>
      </c>
      <c r="C4408" s="502" t="s">
        <v>114</v>
      </c>
      <c r="D4408" s="503" t="s">
        <v>9772</v>
      </c>
      <c r="F4408" t="str">
        <f t="shared" si="137"/>
        <v>92905</v>
      </c>
      <c r="H4408" s="14">
        <f t="shared" si="138"/>
        <v>69.959999999999994</v>
      </c>
    </row>
    <row r="4409" spans="1:8" ht="41.4">
      <c r="A4409" s="502" t="s">
        <v>5741</v>
      </c>
      <c r="B4409" s="504" t="s">
        <v>13282</v>
      </c>
      <c r="C4409" s="502" t="s">
        <v>114</v>
      </c>
      <c r="D4409" s="503" t="s">
        <v>33168</v>
      </c>
      <c r="F4409" t="str">
        <f t="shared" si="137"/>
        <v>92906</v>
      </c>
      <c r="H4409" s="14">
        <f t="shared" si="138"/>
        <v>85.16</v>
      </c>
    </row>
    <row r="4410" spans="1:8" ht="41.4">
      <c r="A4410" s="502" t="s">
        <v>5742</v>
      </c>
      <c r="B4410" s="504" t="s">
        <v>13283</v>
      </c>
      <c r="C4410" s="502" t="s">
        <v>114</v>
      </c>
      <c r="D4410" s="503" t="s">
        <v>31873</v>
      </c>
      <c r="F4410" t="str">
        <f t="shared" si="137"/>
        <v>92907</v>
      </c>
      <c r="H4410" s="14">
        <f t="shared" si="138"/>
        <v>106.05</v>
      </c>
    </row>
    <row r="4411" spans="1:8" ht="41.4">
      <c r="A4411" s="502" t="s">
        <v>5743</v>
      </c>
      <c r="B4411" s="504" t="s">
        <v>13284</v>
      </c>
      <c r="C4411" s="502" t="s">
        <v>114</v>
      </c>
      <c r="D4411" s="503" t="s">
        <v>31873</v>
      </c>
      <c r="F4411" t="str">
        <f t="shared" si="137"/>
        <v>92908</v>
      </c>
      <c r="H4411" s="14">
        <f t="shared" si="138"/>
        <v>106.05</v>
      </c>
    </row>
    <row r="4412" spans="1:8" ht="41.4">
      <c r="A4412" s="502" t="s">
        <v>5744</v>
      </c>
      <c r="B4412" s="504" t="s">
        <v>13285</v>
      </c>
      <c r="C4412" s="502" t="s">
        <v>114</v>
      </c>
      <c r="D4412" s="503" t="s">
        <v>31873</v>
      </c>
      <c r="F4412" t="str">
        <f t="shared" si="137"/>
        <v>92909</v>
      </c>
      <c r="H4412" s="14">
        <f t="shared" si="138"/>
        <v>106.05</v>
      </c>
    </row>
    <row r="4413" spans="1:8" ht="41.4">
      <c r="A4413" s="502" t="s">
        <v>5745</v>
      </c>
      <c r="B4413" s="504" t="s">
        <v>13286</v>
      </c>
      <c r="C4413" s="502" t="s">
        <v>114</v>
      </c>
      <c r="D4413" s="503" t="s">
        <v>33169</v>
      </c>
      <c r="F4413" t="str">
        <f t="shared" si="137"/>
        <v>92910</v>
      </c>
      <c r="H4413" s="14">
        <f t="shared" si="138"/>
        <v>154.16999999999999</v>
      </c>
    </row>
    <row r="4414" spans="1:8" ht="41.4">
      <c r="A4414" s="502" t="s">
        <v>5746</v>
      </c>
      <c r="B4414" s="504" t="s">
        <v>13287</v>
      </c>
      <c r="C4414" s="502" t="s">
        <v>114</v>
      </c>
      <c r="D4414" s="503" t="s">
        <v>33169</v>
      </c>
      <c r="F4414" t="str">
        <f t="shared" si="137"/>
        <v>92911</v>
      </c>
      <c r="H4414" s="14">
        <f t="shared" si="138"/>
        <v>154.16999999999999</v>
      </c>
    </row>
    <row r="4415" spans="1:8" ht="41.4">
      <c r="A4415" s="502" t="s">
        <v>5747</v>
      </c>
      <c r="B4415" s="504" t="s">
        <v>13288</v>
      </c>
      <c r="C4415" s="502" t="s">
        <v>114</v>
      </c>
      <c r="D4415" s="503" t="s">
        <v>15400</v>
      </c>
      <c r="F4415" t="str">
        <f t="shared" si="137"/>
        <v>92912</v>
      </c>
      <c r="H4415" s="14">
        <f t="shared" si="138"/>
        <v>207.46</v>
      </c>
    </row>
    <row r="4416" spans="1:8" ht="41.4">
      <c r="A4416" s="502" t="s">
        <v>5748</v>
      </c>
      <c r="B4416" s="504" t="s">
        <v>13289</v>
      </c>
      <c r="C4416" s="502" t="s">
        <v>114</v>
      </c>
      <c r="D4416" s="503" t="s">
        <v>33170</v>
      </c>
      <c r="F4416" t="str">
        <f t="shared" si="137"/>
        <v>92913</v>
      </c>
      <c r="H4416" s="14">
        <f t="shared" si="138"/>
        <v>211.72</v>
      </c>
    </row>
    <row r="4417" spans="1:8" ht="41.4">
      <c r="A4417" s="502" t="s">
        <v>5749</v>
      </c>
      <c r="B4417" s="504" t="s">
        <v>13290</v>
      </c>
      <c r="C4417" s="502" t="s">
        <v>114</v>
      </c>
      <c r="D4417" s="503" t="s">
        <v>33170</v>
      </c>
      <c r="F4417" t="str">
        <f t="shared" si="137"/>
        <v>92914</v>
      </c>
      <c r="H4417" s="14">
        <f t="shared" si="138"/>
        <v>211.72</v>
      </c>
    </row>
    <row r="4418" spans="1:8" ht="55.2">
      <c r="A4418" s="502" t="s">
        <v>5750</v>
      </c>
      <c r="B4418" s="504" t="s">
        <v>13291</v>
      </c>
      <c r="C4418" s="502" t="s">
        <v>114</v>
      </c>
      <c r="D4418" s="503" t="s">
        <v>16611</v>
      </c>
      <c r="F4418" t="str">
        <f t="shared" si="137"/>
        <v>92918</v>
      </c>
      <c r="H4418" s="14">
        <f t="shared" si="138"/>
        <v>55.98</v>
      </c>
    </row>
    <row r="4419" spans="1:8" ht="55.2">
      <c r="A4419" s="502" t="s">
        <v>5751</v>
      </c>
      <c r="B4419" s="504" t="s">
        <v>13292</v>
      </c>
      <c r="C4419" s="502" t="s">
        <v>114</v>
      </c>
      <c r="D4419" s="503" t="s">
        <v>33171</v>
      </c>
      <c r="F4419" t="str">
        <f t="shared" si="137"/>
        <v>92920</v>
      </c>
      <c r="H4419" s="14">
        <f t="shared" si="138"/>
        <v>56.36</v>
      </c>
    </row>
    <row r="4420" spans="1:8" ht="55.2">
      <c r="A4420" s="502" t="s">
        <v>5752</v>
      </c>
      <c r="B4420" s="504" t="s">
        <v>13293</v>
      </c>
      <c r="C4420" s="502" t="s">
        <v>114</v>
      </c>
      <c r="D4420" s="503" t="s">
        <v>28699</v>
      </c>
      <c r="F4420" t="str">
        <f t="shared" si="137"/>
        <v>92925</v>
      </c>
      <c r="H4420" s="14">
        <f t="shared" si="138"/>
        <v>69.48</v>
      </c>
    </row>
    <row r="4421" spans="1:8" ht="55.2">
      <c r="A4421" s="502" t="s">
        <v>5753</v>
      </c>
      <c r="B4421" s="504" t="s">
        <v>13294</v>
      </c>
      <c r="C4421" s="502" t="s">
        <v>114</v>
      </c>
      <c r="D4421" s="503" t="s">
        <v>33172</v>
      </c>
      <c r="F4421" t="str">
        <f t="shared" ref="F4421:F4484" si="139">TRIM(A4421)</f>
        <v>92926</v>
      </c>
      <c r="H4421" s="14">
        <f t="shared" ref="H4421:H4484" si="140">ROUND(D4421*(1+$H$1),2)</f>
        <v>69.459999999999994</v>
      </c>
    </row>
    <row r="4422" spans="1:8" ht="55.2">
      <c r="A4422" s="502" t="s">
        <v>5754</v>
      </c>
      <c r="B4422" s="504" t="s">
        <v>13295</v>
      </c>
      <c r="C4422" s="502" t="s">
        <v>114</v>
      </c>
      <c r="D4422" s="503" t="s">
        <v>33172</v>
      </c>
      <c r="F4422" t="str">
        <f t="shared" si="139"/>
        <v>92927</v>
      </c>
      <c r="H4422" s="14">
        <f t="shared" si="140"/>
        <v>69.459999999999994</v>
      </c>
    </row>
    <row r="4423" spans="1:8" ht="55.2">
      <c r="A4423" s="502" t="s">
        <v>5755</v>
      </c>
      <c r="B4423" s="504" t="s">
        <v>13296</v>
      </c>
      <c r="C4423" s="502" t="s">
        <v>114</v>
      </c>
      <c r="D4423" s="503" t="s">
        <v>32526</v>
      </c>
      <c r="F4423" t="str">
        <f t="shared" si="139"/>
        <v>92928</v>
      </c>
      <c r="H4423" s="14">
        <f t="shared" si="140"/>
        <v>79.5</v>
      </c>
    </row>
    <row r="4424" spans="1:8" ht="55.2">
      <c r="A4424" s="502" t="s">
        <v>5756</v>
      </c>
      <c r="B4424" s="504" t="s">
        <v>13297</v>
      </c>
      <c r="C4424" s="502" t="s">
        <v>114</v>
      </c>
      <c r="D4424" s="503" t="s">
        <v>32526</v>
      </c>
      <c r="F4424" t="str">
        <f t="shared" si="139"/>
        <v>92929</v>
      </c>
      <c r="H4424" s="14">
        <f t="shared" si="140"/>
        <v>79.5</v>
      </c>
    </row>
    <row r="4425" spans="1:8" ht="55.2">
      <c r="A4425" s="502" t="s">
        <v>5757</v>
      </c>
      <c r="B4425" s="504" t="s">
        <v>13298</v>
      </c>
      <c r="C4425" s="502" t="s">
        <v>114</v>
      </c>
      <c r="D4425" s="503" t="s">
        <v>32526</v>
      </c>
      <c r="F4425" t="str">
        <f t="shared" si="139"/>
        <v>92930</v>
      </c>
      <c r="H4425" s="14">
        <f t="shared" si="140"/>
        <v>79.5</v>
      </c>
    </row>
    <row r="4426" spans="1:8" ht="55.2">
      <c r="A4426" s="502" t="s">
        <v>5758</v>
      </c>
      <c r="B4426" s="504" t="s">
        <v>13299</v>
      </c>
      <c r="C4426" s="502" t="s">
        <v>114</v>
      </c>
      <c r="D4426" s="503" t="s">
        <v>33173</v>
      </c>
      <c r="F4426" t="str">
        <f t="shared" si="139"/>
        <v>92931</v>
      </c>
      <c r="H4426" s="14">
        <f t="shared" si="140"/>
        <v>105.99</v>
      </c>
    </row>
    <row r="4427" spans="1:8" ht="55.2">
      <c r="A4427" s="502" t="s">
        <v>5759</v>
      </c>
      <c r="B4427" s="504" t="s">
        <v>13300</v>
      </c>
      <c r="C4427" s="502" t="s">
        <v>114</v>
      </c>
      <c r="D4427" s="503" t="s">
        <v>33173</v>
      </c>
      <c r="F4427" t="str">
        <f t="shared" si="139"/>
        <v>92932</v>
      </c>
      <c r="H4427" s="14">
        <f t="shared" si="140"/>
        <v>105.99</v>
      </c>
    </row>
    <row r="4428" spans="1:8" ht="55.2">
      <c r="A4428" s="502" t="s">
        <v>5760</v>
      </c>
      <c r="B4428" s="504" t="s">
        <v>13301</v>
      </c>
      <c r="C4428" s="502" t="s">
        <v>114</v>
      </c>
      <c r="D4428" s="503" t="s">
        <v>33173</v>
      </c>
      <c r="F4428" t="str">
        <f t="shared" si="139"/>
        <v>92933</v>
      </c>
      <c r="H4428" s="14">
        <f t="shared" si="140"/>
        <v>105.99</v>
      </c>
    </row>
    <row r="4429" spans="1:8" ht="55.2">
      <c r="A4429" s="502" t="s">
        <v>5761</v>
      </c>
      <c r="B4429" s="504" t="s">
        <v>13302</v>
      </c>
      <c r="C4429" s="502" t="s">
        <v>114</v>
      </c>
      <c r="D4429" s="503" t="s">
        <v>33174</v>
      </c>
      <c r="F4429" t="str">
        <f t="shared" si="139"/>
        <v>92934</v>
      </c>
      <c r="H4429" s="14">
        <f t="shared" si="140"/>
        <v>156.66</v>
      </c>
    </row>
    <row r="4430" spans="1:8" ht="55.2">
      <c r="A4430" s="502" t="s">
        <v>5762</v>
      </c>
      <c r="B4430" s="504" t="s">
        <v>13303</v>
      </c>
      <c r="C4430" s="502" t="s">
        <v>114</v>
      </c>
      <c r="D4430" s="503" t="s">
        <v>33174</v>
      </c>
      <c r="F4430" t="str">
        <f t="shared" si="139"/>
        <v>92935</v>
      </c>
      <c r="H4430" s="14">
        <f t="shared" si="140"/>
        <v>156.66</v>
      </c>
    </row>
    <row r="4431" spans="1:8" ht="55.2">
      <c r="A4431" s="502" t="s">
        <v>5763</v>
      </c>
      <c r="B4431" s="504" t="s">
        <v>13304</v>
      </c>
      <c r="C4431" s="502" t="s">
        <v>114</v>
      </c>
      <c r="D4431" s="503" t="s">
        <v>33175</v>
      </c>
      <c r="F4431" t="str">
        <f t="shared" si="139"/>
        <v>92936</v>
      </c>
      <c r="H4431" s="14">
        <f t="shared" si="140"/>
        <v>216.82</v>
      </c>
    </row>
    <row r="4432" spans="1:8" ht="55.2">
      <c r="A4432" s="502" t="s">
        <v>5764</v>
      </c>
      <c r="B4432" s="504" t="s">
        <v>13305</v>
      </c>
      <c r="C4432" s="502" t="s">
        <v>114</v>
      </c>
      <c r="D4432" s="503" t="s">
        <v>33175</v>
      </c>
      <c r="F4432" t="str">
        <f t="shared" si="139"/>
        <v>92937</v>
      </c>
      <c r="H4432" s="14">
        <f t="shared" si="140"/>
        <v>216.82</v>
      </c>
    </row>
    <row r="4433" spans="1:8" ht="55.2">
      <c r="A4433" s="502" t="s">
        <v>5765</v>
      </c>
      <c r="B4433" s="504" t="s">
        <v>13306</v>
      </c>
      <c r="C4433" s="502" t="s">
        <v>114</v>
      </c>
      <c r="D4433" s="503" t="s">
        <v>33176</v>
      </c>
      <c r="F4433" t="str">
        <f t="shared" si="139"/>
        <v>92938</v>
      </c>
      <c r="H4433" s="14">
        <f t="shared" si="140"/>
        <v>42.17</v>
      </c>
    </row>
    <row r="4434" spans="1:8" ht="55.2">
      <c r="A4434" s="502" t="s">
        <v>5766</v>
      </c>
      <c r="B4434" s="504" t="s">
        <v>13307</v>
      </c>
      <c r="C4434" s="502" t="s">
        <v>114</v>
      </c>
      <c r="D4434" s="503" t="s">
        <v>9506</v>
      </c>
      <c r="F4434" t="str">
        <f t="shared" si="139"/>
        <v>92939</v>
      </c>
      <c r="H4434" s="14">
        <f t="shared" si="140"/>
        <v>42.56</v>
      </c>
    </row>
    <row r="4435" spans="1:8" ht="55.2">
      <c r="A4435" s="502" t="s">
        <v>5767</v>
      </c>
      <c r="B4435" s="504" t="s">
        <v>13308</v>
      </c>
      <c r="C4435" s="502" t="s">
        <v>114</v>
      </c>
      <c r="D4435" s="503" t="s">
        <v>33177</v>
      </c>
      <c r="F4435" t="str">
        <f t="shared" si="139"/>
        <v>92940</v>
      </c>
      <c r="H4435" s="14">
        <f t="shared" si="140"/>
        <v>53.77</v>
      </c>
    </row>
    <row r="4436" spans="1:8" ht="55.2">
      <c r="A4436" s="502" t="s">
        <v>5768</v>
      </c>
      <c r="B4436" s="504" t="s">
        <v>13309</v>
      </c>
      <c r="C4436" s="502" t="s">
        <v>114</v>
      </c>
      <c r="D4436" s="503" t="s">
        <v>33178</v>
      </c>
      <c r="F4436" t="str">
        <f t="shared" si="139"/>
        <v>92941</v>
      </c>
      <c r="H4436" s="14">
        <f t="shared" si="140"/>
        <v>53.75</v>
      </c>
    </row>
    <row r="4437" spans="1:8" ht="55.2">
      <c r="A4437" s="502" t="s">
        <v>5769</v>
      </c>
      <c r="B4437" s="504" t="s">
        <v>13310</v>
      </c>
      <c r="C4437" s="502" t="s">
        <v>114</v>
      </c>
      <c r="D4437" s="503" t="s">
        <v>33178</v>
      </c>
      <c r="F4437" t="str">
        <f t="shared" si="139"/>
        <v>92942</v>
      </c>
      <c r="H4437" s="14">
        <f t="shared" si="140"/>
        <v>53.75</v>
      </c>
    </row>
    <row r="4438" spans="1:8" ht="55.2">
      <c r="A4438" s="502" t="s">
        <v>5770</v>
      </c>
      <c r="B4438" s="504" t="s">
        <v>13311</v>
      </c>
      <c r="C4438" s="502" t="s">
        <v>114</v>
      </c>
      <c r="D4438" s="503" t="s">
        <v>33179</v>
      </c>
      <c r="F4438" t="str">
        <f t="shared" si="139"/>
        <v>92943</v>
      </c>
      <c r="H4438" s="14">
        <f t="shared" si="140"/>
        <v>61.59</v>
      </c>
    </row>
    <row r="4439" spans="1:8" ht="55.2">
      <c r="A4439" s="502" t="s">
        <v>5771</v>
      </c>
      <c r="B4439" s="504" t="s">
        <v>13312</v>
      </c>
      <c r="C4439" s="502" t="s">
        <v>114</v>
      </c>
      <c r="D4439" s="503" t="s">
        <v>33179</v>
      </c>
      <c r="F4439" t="str">
        <f t="shared" si="139"/>
        <v>92944</v>
      </c>
      <c r="H4439" s="14">
        <f t="shared" si="140"/>
        <v>61.59</v>
      </c>
    </row>
    <row r="4440" spans="1:8" ht="55.2">
      <c r="A4440" s="502" t="s">
        <v>5772</v>
      </c>
      <c r="B4440" s="504" t="s">
        <v>13313</v>
      </c>
      <c r="C4440" s="502" t="s">
        <v>114</v>
      </c>
      <c r="D4440" s="503" t="s">
        <v>33179</v>
      </c>
      <c r="F4440" t="str">
        <f t="shared" si="139"/>
        <v>92945</v>
      </c>
      <c r="H4440" s="14">
        <f t="shared" si="140"/>
        <v>61.59</v>
      </c>
    </row>
    <row r="4441" spans="1:8" ht="55.2">
      <c r="A4441" s="502" t="s">
        <v>5773</v>
      </c>
      <c r="B4441" s="504" t="s">
        <v>13314</v>
      </c>
      <c r="C4441" s="502" t="s">
        <v>114</v>
      </c>
      <c r="D4441" s="503" t="s">
        <v>9922</v>
      </c>
      <c r="F4441" t="str">
        <f t="shared" si="139"/>
        <v>92946</v>
      </c>
      <c r="H4441" s="14">
        <f t="shared" si="140"/>
        <v>85.37</v>
      </c>
    </row>
    <row r="4442" spans="1:8" ht="55.2">
      <c r="A4442" s="502" t="s">
        <v>5774</v>
      </c>
      <c r="B4442" s="504" t="s">
        <v>13315</v>
      </c>
      <c r="C4442" s="502" t="s">
        <v>114</v>
      </c>
      <c r="D4442" s="503" t="s">
        <v>9922</v>
      </c>
      <c r="F4442" t="str">
        <f t="shared" si="139"/>
        <v>92947</v>
      </c>
      <c r="H4442" s="14">
        <f t="shared" si="140"/>
        <v>85.37</v>
      </c>
    </row>
    <row r="4443" spans="1:8" ht="55.2">
      <c r="A4443" s="502" t="s">
        <v>5775</v>
      </c>
      <c r="B4443" s="504" t="s">
        <v>13316</v>
      </c>
      <c r="C4443" s="502" t="s">
        <v>114</v>
      </c>
      <c r="D4443" s="503" t="s">
        <v>9922</v>
      </c>
      <c r="F4443" t="str">
        <f t="shared" si="139"/>
        <v>92948</v>
      </c>
      <c r="H4443" s="14">
        <f t="shared" si="140"/>
        <v>85.37</v>
      </c>
    </row>
    <row r="4444" spans="1:8" ht="55.2">
      <c r="A4444" s="502" t="s">
        <v>5776</v>
      </c>
      <c r="B4444" s="504" t="s">
        <v>13317</v>
      </c>
      <c r="C4444" s="502" t="s">
        <v>114</v>
      </c>
      <c r="D4444" s="503" t="s">
        <v>33180</v>
      </c>
      <c r="F4444" t="str">
        <f t="shared" si="139"/>
        <v>92949</v>
      </c>
      <c r="H4444" s="14">
        <f t="shared" si="140"/>
        <v>131.94</v>
      </c>
    </row>
    <row r="4445" spans="1:8" ht="55.2">
      <c r="A4445" s="502" t="s">
        <v>5777</v>
      </c>
      <c r="B4445" s="504" t="s">
        <v>13318</v>
      </c>
      <c r="C4445" s="502" t="s">
        <v>114</v>
      </c>
      <c r="D4445" s="503" t="s">
        <v>33180</v>
      </c>
      <c r="F4445" t="str">
        <f t="shared" si="139"/>
        <v>92950</v>
      </c>
      <c r="H4445" s="14">
        <f t="shared" si="140"/>
        <v>131.94</v>
      </c>
    </row>
    <row r="4446" spans="1:8" ht="55.2">
      <c r="A4446" s="502" t="s">
        <v>5778</v>
      </c>
      <c r="B4446" s="504" t="s">
        <v>13319</v>
      </c>
      <c r="C4446" s="502" t="s">
        <v>114</v>
      </c>
      <c r="D4446" s="503" t="s">
        <v>33181</v>
      </c>
      <c r="F4446" t="str">
        <f t="shared" si="139"/>
        <v>92951</v>
      </c>
      <c r="H4446" s="14">
        <f t="shared" si="140"/>
        <v>188.11</v>
      </c>
    </row>
    <row r="4447" spans="1:8" ht="55.2">
      <c r="A4447" s="502" t="s">
        <v>5779</v>
      </c>
      <c r="B4447" s="504" t="s">
        <v>13320</v>
      </c>
      <c r="C4447" s="502" t="s">
        <v>114</v>
      </c>
      <c r="D4447" s="503" t="s">
        <v>33181</v>
      </c>
      <c r="F4447" t="str">
        <f t="shared" si="139"/>
        <v>92952</v>
      </c>
      <c r="H4447" s="14">
        <f t="shared" si="140"/>
        <v>188.11</v>
      </c>
    </row>
    <row r="4448" spans="1:8" ht="41.4">
      <c r="A4448" s="502" t="s">
        <v>5780</v>
      </c>
      <c r="B4448" s="504" t="s">
        <v>13321</v>
      </c>
      <c r="C4448" s="502" t="s">
        <v>114</v>
      </c>
      <c r="D4448" s="503" t="s">
        <v>9575</v>
      </c>
      <c r="F4448" t="str">
        <f t="shared" si="139"/>
        <v>92953</v>
      </c>
      <c r="H4448" s="14">
        <f t="shared" si="140"/>
        <v>36.36</v>
      </c>
    </row>
    <row r="4449" spans="1:8" ht="41.4">
      <c r="A4449" s="502" t="s">
        <v>5781</v>
      </c>
      <c r="B4449" s="504" t="s">
        <v>25504</v>
      </c>
      <c r="C4449" s="502" t="s">
        <v>114</v>
      </c>
      <c r="D4449" s="503" t="s">
        <v>11630</v>
      </c>
      <c r="F4449" t="str">
        <f t="shared" si="139"/>
        <v>93050</v>
      </c>
      <c r="H4449" s="14">
        <f t="shared" si="140"/>
        <v>15.56</v>
      </c>
    </row>
    <row r="4450" spans="1:8" ht="41.4">
      <c r="A4450" s="502" t="s">
        <v>5782</v>
      </c>
      <c r="B4450" s="504" t="s">
        <v>25505</v>
      </c>
      <c r="C4450" s="502" t="s">
        <v>114</v>
      </c>
      <c r="D4450" s="503" t="s">
        <v>33182</v>
      </c>
      <c r="F4450" t="str">
        <f t="shared" si="139"/>
        <v>93052</v>
      </c>
      <c r="H4450" s="14">
        <f t="shared" si="140"/>
        <v>698.55</v>
      </c>
    </row>
    <row r="4451" spans="1:8" ht="55.2">
      <c r="A4451" s="502" t="s">
        <v>5783</v>
      </c>
      <c r="B4451" s="504" t="s">
        <v>25506</v>
      </c>
      <c r="C4451" s="502" t="s">
        <v>114</v>
      </c>
      <c r="D4451" s="503" t="s">
        <v>5042</v>
      </c>
      <c r="F4451" t="str">
        <f t="shared" si="139"/>
        <v>93054</v>
      </c>
      <c r="H4451" s="14">
        <f t="shared" si="140"/>
        <v>30.74</v>
      </c>
    </row>
    <row r="4452" spans="1:8" ht="55.2">
      <c r="A4452" s="502" t="s">
        <v>5784</v>
      </c>
      <c r="B4452" s="504" t="s">
        <v>25507</v>
      </c>
      <c r="C4452" s="502" t="s">
        <v>114</v>
      </c>
      <c r="D4452" s="503" t="s">
        <v>33183</v>
      </c>
      <c r="F4452" t="str">
        <f t="shared" si="139"/>
        <v>93055</v>
      </c>
      <c r="H4452" s="14">
        <f t="shared" si="140"/>
        <v>60.8</v>
      </c>
    </row>
    <row r="4453" spans="1:8" ht="41.4">
      <c r="A4453" s="502" t="s">
        <v>5785</v>
      </c>
      <c r="B4453" s="504" t="s">
        <v>25508</v>
      </c>
      <c r="C4453" s="502" t="s">
        <v>114</v>
      </c>
      <c r="D4453" s="503" t="s">
        <v>10047</v>
      </c>
      <c r="F4453" t="str">
        <f t="shared" si="139"/>
        <v>93056</v>
      </c>
      <c r="H4453" s="14">
        <f t="shared" si="140"/>
        <v>23.17</v>
      </c>
    </row>
    <row r="4454" spans="1:8" ht="55.2">
      <c r="A4454" s="502" t="s">
        <v>5786</v>
      </c>
      <c r="B4454" s="504" t="s">
        <v>25509</v>
      </c>
      <c r="C4454" s="502" t="s">
        <v>114</v>
      </c>
      <c r="D4454" s="503" t="s">
        <v>7965</v>
      </c>
      <c r="F4454" t="str">
        <f t="shared" si="139"/>
        <v>93057</v>
      </c>
      <c r="H4454" s="14">
        <f t="shared" si="140"/>
        <v>19.29</v>
      </c>
    </row>
    <row r="4455" spans="1:8" ht="41.4">
      <c r="A4455" s="502" t="s">
        <v>5787</v>
      </c>
      <c r="B4455" s="504" t="s">
        <v>25510</v>
      </c>
      <c r="C4455" s="502" t="s">
        <v>114</v>
      </c>
      <c r="D4455" s="503" t="s">
        <v>33184</v>
      </c>
      <c r="F4455" t="str">
        <f t="shared" si="139"/>
        <v>93058</v>
      </c>
      <c r="H4455" s="14">
        <f t="shared" si="140"/>
        <v>768.56</v>
      </c>
    </row>
    <row r="4456" spans="1:8" ht="55.2">
      <c r="A4456" s="502" t="s">
        <v>5788</v>
      </c>
      <c r="B4456" s="504" t="s">
        <v>25511</v>
      </c>
      <c r="C4456" s="502" t="s">
        <v>114</v>
      </c>
      <c r="D4456" s="503" t="s">
        <v>17587</v>
      </c>
      <c r="F4456" t="str">
        <f t="shared" si="139"/>
        <v>93059</v>
      </c>
      <c r="H4456" s="14">
        <f t="shared" si="140"/>
        <v>39.869999999999997</v>
      </c>
    </row>
    <row r="4457" spans="1:8" ht="55.2">
      <c r="A4457" s="502" t="s">
        <v>5789</v>
      </c>
      <c r="B4457" s="504" t="s">
        <v>25512</v>
      </c>
      <c r="C4457" s="502" t="s">
        <v>114</v>
      </c>
      <c r="D4457" s="503" t="s">
        <v>28025</v>
      </c>
      <c r="F4457" t="str">
        <f t="shared" si="139"/>
        <v>93060</v>
      </c>
      <c r="H4457" s="14">
        <f t="shared" si="140"/>
        <v>106.33</v>
      </c>
    </row>
    <row r="4458" spans="1:8" ht="41.4">
      <c r="A4458" s="502" t="s">
        <v>5790</v>
      </c>
      <c r="B4458" s="504" t="s">
        <v>25513</v>
      </c>
      <c r="C4458" s="502" t="s">
        <v>114</v>
      </c>
      <c r="D4458" s="503" t="s">
        <v>28832</v>
      </c>
      <c r="F4458" t="str">
        <f t="shared" si="139"/>
        <v>93061</v>
      </c>
      <c r="H4458" s="14">
        <f t="shared" si="140"/>
        <v>43.59</v>
      </c>
    </row>
    <row r="4459" spans="1:8" ht="55.2">
      <c r="A4459" s="502" t="s">
        <v>5791</v>
      </c>
      <c r="B4459" s="504" t="s">
        <v>25514</v>
      </c>
      <c r="C4459" s="502" t="s">
        <v>114</v>
      </c>
      <c r="D4459" s="503" t="s">
        <v>26012</v>
      </c>
      <c r="F4459" t="str">
        <f t="shared" si="139"/>
        <v>93062</v>
      </c>
      <c r="H4459" s="14">
        <f t="shared" si="140"/>
        <v>36.79</v>
      </c>
    </row>
    <row r="4460" spans="1:8" ht="41.4">
      <c r="A4460" s="502" t="s">
        <v>5792</v>
      </c>
      <c r="B4460" s="504" t="s">
        <v>25515</v>
      </c>
      <c r="C4460" s="502" t="s">
        <v>114</v>
      </c>
      <c r="D4460" s="503" t="s">
        <v>33185</v>
      </c>
      <c r="F4460" t="str">
        <f t="shared" si="139"/>
        <v>93063</v>
      </c>
      <c r="H4460" s="14">
        <f t="shared" si="140"/>
        <v>880.8</v>
      </c>
    </row>
    <row r="4461" spans="1:8" ht="41.4">
      <c r="A4461" s="502" t="s">
        <v>5793</v>
      </c>
      <c r="B4461" s="504" t="s">
        <v>25516</v>
      </c>
      <c r="C4461" s="502" t="s">
        <v>114</v>
      </c>
      <c r="D4461" s="503" t="s">
        <v>10690</v>
      </c>
      <c r="F4461" t="str">
        <f t="shared" si="139"/>
        <v>93064</v>
      </c>
      <c r="H4461" s="14">
        <f t="shared" si="140"/>
        <v>66.66</v>
      </c>
    </row>
    <row r="4462" spans="1:8" ht="55.2">
      <c r="A4462" s="502" t="s">
        <v>5794</v>
      </c>
      <c r="B4462" s="504" t="s">
        <v>25517</v>
      </c>
      <c r="C4462" s="502" t="s">
        <v>114</v>
      </c>
      <c r="D4462" s="503" t="s">
        <v>33186</v>
      </c>
      <c r="F4462" t="str">
        <f t="shared" si="139"/>
        <v>93065</v>
      </c>
      <c r="H4462" s="14">
        <f t="shared" si="140"/>
        <v>59.9</v>
      </c>
    </row>
    <row r="4463" spans="1:8" ht="41.4">
      <c r="A4463" s="502" t="s">
        <v>5795</v>
      </c>
      <c r="B4463" s="504" t="s">
        <v>25518</v>
      </c>
      <c r="C4463" s="502" t="s">
        <v>114</v>
      </c>
      <c r="D4463" s="503" t="s">
        <v>33187</v>
      </c>
      <c r="F4463" t="str">
        <f t="shared" si="139"/>
        <v>93066</v>
      </c>
      <c r="H4463" s="14">
        <f t="shared" si="140"/>
        <v>1105.3</v>
      </c>
    </row>
    <row r="4464" spans="1:8" ht="41.4">
      <c r="A4464" s="502" t="s">
        <v>5796</v>
      </c>
      <c r="B4464" s="504" t="s">
        <v>25519</v>
      </c>
      <c r="C4464" s="502" t="s">
        <v>114</v>
      </c>
      <c r="D4464" s="503" t="s">
        <v>33188</v>
      </c>
      <c r="F4464" t="str">
        <f t="shared" si="139"/>
        <v>93067</v>
      </c>
      <c r="H4464" s="14">
        <f t="shared" si="140"/>
        <v>99.02</v>
      </c>
    </row>
    <row r="4465" spans="1:8" ht="55.2">
      <c r="A4465" s="502" t="s">
        <v>5797</v>
      </c>
      <c r="B4465" s="504" t="s">
        <v>25520</v>
      </c>
      <c r="C4465" s="502" t="s">
        <v>114</v>
      </c>
      <c r="D4465" s="503" t="s">
        <v>33189</v>
      </c>
      <c r="F4465" t="str">
        <f t="shared" si="139"/>
        <v>93068</v>
      </c>
      <c r="H4465" s="14">
        <f t="shared" si="140"/>
        <v>84.23</v>
      </c>
    </row>
    <row r="4466" spans="1:8" ht="41.4">
      <c r="A4466" s="502" t="s">
        <v>5798</v>
      </c>
      <c r="B4466" s="504" t="s">
        <v>25521</v>
      </c>
      <c r="C4466" s="502" t="s">
        <v>114</v>
      </c>
      <c r="D4466" s="503" t="s">
        <v>33190</v>
      </c>
      <c r="F4466" t="str">
        <f t="shared" si="139"/>
        <v>93069</v>
      </c>
      <c r="H4466" s="14">
        <f t="shared" si="140"/>
        <v>1532.07</v>
      </c>
    </row>
    <row r="4467" spans="1:8" ht="41.4">
      <c r="A4467" s="502" t="s">
        <v>5799</v>
      </c>
      <c r="B4467" s="504" t="s">
        <v>25522</v>
      </c>
      <c r="C4467" s="502" t="s">
        <v>114</v>
      </c>
      <c r="D4467" s="503" t="s">
        <v>33084</v>
      </c>
      <c r="F4467" t="str">
        <f t="shared" si="139"/>
        <v>93070</v>
      </c>
      <c r="H4467" s="14">
        <f t="shared" si="140"/>
        <v>248.52</v>
      </c>
    </row>
    <row r="4468" spans="1:8" ht="55.2">
      <c r="A4468" s="502" t="s">
        <v>5800</v>
      </c>
      <c r="B4468" s="504" t="s">
        <v>25523</v>
      </c>
      <c r="C4468" s="502" t="s">
        <v>114</v>
      </c>
      <c r="D4468" s="503" t="s">
        <v>33191</v>
      </c>
      <c r="F4468" t="str">
        <f t="shared" si="139"/>
        <v>93071</v>
      </c>
      <c r="H4468" s="14">
        <f t="shared" si="140"/>
        <v>228.44</v>
      </c>
    </row>
    <row r="4469" spans="1:8" ht="41.4">
      <c r="A4469" s="502" t="s">
        <v>5801</v>
      </c>
      <c r="B4469" s="504" t="s">
        <v>25524</v>
      </c>
      <c r="C4469" s="502" t="s">
        <v>114</v>
      </c>
      <c r="D4469" s="503" t="s">
        <v>33192</v>
      </c>
      <c r="F4469" t="str">
        <f t="shared" si="139"/>
        <v>93072</v>
      </c>
      <c r="H4469" s="14">
        <f t="shared" si="140"/>
        <v>2021.83</v>
      </c>
    </row>
    <row r="4470" spans="1:8" ht="55.2">
      <c r="A4470" s="502" t="s">
        <v>5802</v>
      </c>
      <c r="B4470" s="504" t="s">
        <v>25525</v>
      </c>
      <c r="C4470" s="502" t="s">
        <v>114</v>
      </c>
      <c r="D4470" s="503" t="s">
        <v>33193</v>
      </c>
      <c r="F4470" t="str">
        <f t="shared" si="139"/>
        <v>93074</v>
      </c>
      <c r="H4470" s="14">
        <f t="shared" si="140"/>
        <v>19.07</v>
      </c>
    </row>
    <row r="4471" spans="1:8" ht="55.2">
      <c r="A4471" s="502" t="s">
        <v>5803</v>
      </c>
      <c r="B4471" s="504" t="s">
        <v>25526</v>
      </c>
      <c r="C4471" s="502" t="s">
        <v>114</v>
      </c>
      <c r="D4471" s="503" t="s">
        <v>32890</v>
      </c>
      <c r="F4471" t="str">
        <f t="shared" si="139"/>
        <v>93075</v>
      </c>
      <c r="H4471" s="14">
        <f t="shared" si="140"/>
        <v>27.28</v>
      </c>
    </row>
    <row r="4472" spans="1:8" ht="55.2">
      <c r="A4472" s="502" t="s">
        <v>5805</v>
      </c>
      <c r="B4472" s="504" t="s">
        <v>25527</v>
      </c>
      <c r="C4472" s="502" t="s">
        <v>114</v>
      </c>
      <c r="D4472" s="503" t="s">
        <v>11811</v>
      </c>
      <c r="F4472" t="str">
        <f t="shared" si="139"/>
        <v>93076</v>
      </c>
      <c r="H4472" s="14">
        <f t="shared" si="140"/>
        <v>29.95</v>
      </c>
    </row>
    <row r="4473" spans="1:8" ht="55.2">
      <c r="A4473" s="502" t="s">
        <v>5806</v>
      </c>
      <c r="B4473" s="504" t="s">
        <v>25528</v>
      </c>
      <c r="C4473" s="502" t="s">
        <v>114</v>
      </c>
      <c r="D4473" s="503" t="s">
        <v>10192</v>
      </c>
      <c r="F4473" t="str">
        <f t="shared" si="139"/>
        <v>93077</v>
      </c>
      <c r="H4473" s="14">
        <f t="shared" si="140"/>
        <v>38.340000000000003</v>
      </c>
    </row>
    <row r="4474" spans="1:8" ht="55.2">
      <c r="A4474" s="502" t="s">
        <v>5807</v>
      </c>
      <c r="B4474" s="504" t="s">
        <v>25529</v>
      </c>
      <c r="C4474" s="502" t="s">
        <v>114</v>
      </c>
      <c r="D4474" s="503" t="s">
        <v>28332</v>
      </c>
      <c r="F4474" t="str">
        <f t="shared" si="139"/>
        <v>93078</v>
      </c>
      <c r="H4474" s="14">
        <f t="shared" si="140"/>
        <v>43.17</v>
      </c>
    </row>
    <row r="4475" spans="1:8" ht="55.2">
      <c r="A4475" s="502" t="s">
        <v>5808</v>
      </c>
      <c r="B4475" s="504" t="s">
        <v>25530</v>
      </c>
      <c r="C4475" s="502" t="s">
        <v>114</v>
      </c>
      <c r="D4475" s="503" t="s">
        <v>10712</v>
      </c>
      <c r="F4475" t="str">
        <f t="shared" si="139"/>
        <v>93079</v>
      </c>
      <c r="H4475" s="14">
        <f t="shared" si="140"/>
        <v>41.28</v>
      </c>
    </row>
    <row r="4476" spans="1:8" ht="55.2">
      <c r="A4476" s="502" t="s">
        <v>5809</v>
      </c>
      <c r="B4476" s="504" t="s">
        <v>25531</v>
      </c>
      <c r="C4476" s="502" t="s">
        <v>114</v>
      </c>
      <c r="D4476" s="503" t="s">
        <v>11619</v>
      </c>
      <c r="F4476" t="str">
        <f t="shared" si="139"/>
        <v>93080</v>
      </c>
      <c r="H4476" s="14">
        <f t="shared" si="140"/>
        <v>12.43</v>
      </c>
    </row>
    <row r="4477" spans="1:8" ht="55.2">
      <c r="A4477" s="502" t="s">
        <v>5810</v>
      </c>
      <c r="B4477" s="504" t="s">
        <v>25532</v>
      </c>
      <c r="C4477" s="502" t="s">
        <v>114</v>
      </c>
      <c r="D4477" s="503" t="s">
        <v>32937</v>
      </c>
      <c r="F4477" t="str">
        <f t="shared" si="139"/>
        <v>93081</v>
      </c>
      <c r="H4477" s="14">
        <f t="shared" si="140"/>
        <v>25.58</v>
      </c>
    </row>
    <row r="4478" spans="1:8" ht="55.2">
      <c r="A4478" s="502" t="s">
        <v>5811</v>
      </c>
      <c r="B4478" s="504" t="s">
        <v>25533</v>
      </c>
      <c r="C4478" s="502" t="s">
        <v>114</v>
      </c>
      <c r="D4478" s="503" t="s">
        <v>33194</v>
      </c>
      <c r="F4478" t="str">
        <f t="shared" si="139"/>
        <v>93082</v>
      </c>
      <c r="H4478" s="14">
        <f t="shared" si="140"/>
        <v>33.01</v>
      </c>
    </row>
    <row r="4479" spans="1:8" ht="55.2">
      <c r="A4479" s="502" t="s">
        <v>5812</v>
      </c>
      <c r="B4479" s="504" t="s">
        <v>25534</v>
      </c>
      <c r="C4479" s="502" t="s">
        <v>114</v>
      </c>
      <c r="D4479" s="503" t="s">
        <v>33195</v>
      </c>
      <c r="F4479" t="str">
        <f t="shared" si="139"/>
        <v>93083</v>
      </c>
      <c r="H4479" s="14">
        <f t="shared" si="140"/>
        <v>605.25</v>
      </c>
    </row>
    <row r="4480" spans="1:8" ht="55.2">
      <c r="A4480" s="502" t="s">
        <v>5813</v>
      </c>
      <c r="B4480" s="504" t="s">
        <v>25535</v>
      </c>
      <c r="C4480" s="502" t="s">
        <v>114</v>
      </c>
      <c r="D4480" s="503" t="s">
        <v>28149</v>
      </c>
      <c r="F4480" t="str">
        <f t="shared" si="139"/>
        <v>93084</v>
      </c>
      <c r="H4480" s="14">
        <f t="shared" si="140"/>
        <v>19.68</v>
      </c>
    </row>
    <row r="4481" spans="1:8" ht="55.2">
      <c r="A4481" s="502" t="s">
        <v>5814</v>
      </c>
      <c r="B4481" s="504" t="s">
        <v>25536</v>
      </c>
      <c r="C4481" s="502" t="s">
        <v>114</v>
      </c>
      <c r="D4481" s="503" t="s">
        <v>10051</v>
      </c>
      <c r="F4481" t="str">
        <f t="shared" si="139"/>
        <v>93085</v>
      </c>
      <c r="H4481" s="14">
        <f t="shared" si="140"/>
        <v>21.43</v>
      </c>
    </row>
    <row r="4482" spans="1:8" ht="55.2">
      <c r="A4482" s="502" t="s">
        <v>5816</v>
      </c>
      <c r="B4482" s="504" t="s">
        <v>25537</v>
      </c>
      <c r="C4482" s="502" t="s">
        <v>114</v>
      </c>
      <c r="D4482" s="503" t="s">
        <v>33196</v>
      </c>
      <c r="F4482" t="str">
        <f t="shared" si="139"/>
        <v>93086</v>
      </c>
      <c r="H4482" s="14">
        <f t="shared" si="140"/>
        <v>702.67</v>
      </c>
    </row>
    <row r="4483" spans="1:8" ht="55.2">
      <c r="A4483" s="502" t="s">
        <v>5817</v>
      </c>
      <c r="B4483" s="504" t="s">
        <v>25538</v>
      </c>
      <c r="C4483" s="502" t="s">
        <v>114</v>
      </c>
      <c r="D4483" s="503" t="s">
        <v>7897</v>
      </c>
      <c r="F4483" t="str">
        <f t="shared" si="139"/>
        <v>93087</v>
      </c>
      <c r="H4483" s="14">
        <f t="shared" si="140"/>
        <v>26.84</v>
      </c>
    </row>
    <row r="4484" spans="1:8" ht="55.2">
      <c r="A4484" s="502" t="s">
        <v>5818</v>
      </c>
      <c r="B4484" s="504" t="s">
        <v>25539</v>
      </c>
      <c r="C4484" s="502" t="s">
        <v>114</v>
      </c>
      <c r="D4484" s="503" t="s">
        <v>10261</v>
      </c>
      <c r="F4484" t="str">
        <f t="shared" si="139"/>
        <v>93088</v>
      </c>
      <c r="H4484" s="14">
        <f t="shared" si="140"/>
        <v>33.22</v>
      </c>
    </row>
    <row r="4485" spans="1:8" ht="55.2">
      <c r="A4485" s="502" t="s">
        <v>5819</v>
      </c>
      <c r="B4485" s="504" t="s">
        <v>25540</v>
      </c>
      <c r="C4485" s="502" t="s">
        <v>114</v>
      </c>
      <c r="D4485" s="503" t="s">
        <v>33197</v>
      </c>
      <c r="F4485" t="str">
        <f t="shared" ref="F4485:F4548" si="141">TRIM(A4485)</f>
        <v>93089</v>
      </c>
      <c r="H4485" s="14">
        <f t="shared" ref="H4485:H4548" si="142">ROUND(D4485*(1+$H$1),2)</f>
        <v>64.92</v>
      </c>
    </row>
    <row r="4486" spans="1:8" ht="55.2">
      <c r="A4486" s="502" t="s">
        <v>5820</v>
      </c>
      <c r="B4486" s="504" t="s">
        <v>25542</v>
      </c>
      <c r="C4486" s="502" t="s">
        <v>114</v>
      </c>
      <c r="D4486" s="503" t="s">
        <v>16246</v>
      </c>
      <c r="F4486" t="str">
        <f t="shared" si="141"/>
        <v>93090</v>
      </c>
      <c r="H4486" s="14">
        <f t="shared" si="142"/>
        <v>27</v>
      </c>
    </row>
    <row r="4487" spans="1:8" ht="55.2">
      <c r="A4487" s="502" t="s">
        <v>5821</v>
      </c>
      <c r="B4487" s="504" t="s">
        <v>25543</v>
      </c>
      <c r="C4487" s="502" t="s">
        <v>114</v>
      </c>
      <c r="D4487" s="503" t="s">
        <v>3430</v>
      </c>
      <c r="F4487" t="str">
        <f t="shared" si="141"/>
        <v>93091</v>
      </c>
      <c r="H4487" s="14">
        <f t="shared" si="142"/>
        <v>23.25</v>
      </c>
    </row>
    <row r="4488" spans="1:8" ht="55.2">
      <c r="A4488" s="502" t="s">
        <v>5822</v>
      </c>
      <c r="B4488" s="504" t="s">
        <v>25544</v>
      </c>
      <c r="C4488" s="502" t="s">
        <v>114</v>
      </c>
      <c r="D4488" s="503" t="s">
        <v>33198</v>
      </c>
      <c r="F4488" t="str">
        <f t="shared" si="141"/>
        <v>93092</v>
      </c>
      <c r="H4488" s="14">
        <f t="shared" si="142"/>
        <v>772.38</v>
      </c>
    </row>
    <row r="4489" spans="1:8" ht="55.2">
      <c r="A4489" s="502" t="s">
        <v>5823</v>
      </c>
      <c r="B4489" s="504" t="s">
        <v>25545</v>
      </c>
      <c r="C4489" s="502" t="s">
        <v>114</v>
      </c>
      <c r="D4489" s="503" t="s">
        <v>30301</v>
      </c>
      <c r="F4489" t="str">
        <f t="shared" si="141"/>
        <v>93093</v>
      </c>
      <c r="H4489" s="14">
        <f t="shared" si="142"/>
        <v>41.77</v>
      </c>
    </row>
    <row r="4490" spans="1:8" ht="55.2">
      <c r="A4490" s="502" t="s">
        <v>5824</v>
      </c>
      <c r="B4490" s="504" t="s">
        <v>25546</v>
      </c>
      <c r="C4490" s="502" t="s">
        <v>114</v>
      </c>
      <c r="D4490" s="503" t="s">
        <v>32407</v>
      </c>
      <c r="F4490" t="str">
        <f t="shared" si="141"/>
        <v>93094</v>
      </c>
      <c r="H4490" s="14">
        <f t="shared" si="142"/>
        <v>110.16</v>
      </c>
    </row>
    <row r="4491" spans="1:8" ht="55.2">
      <c r="A4491" s="502" t="s">
        <v>5825</v>
      </c>
      <c r="B4491" s="504" t="s">
        <v>25547</v>
      </c>
      <c r="C4491" s="502" t="s">
        <v>114</v>
      </c>
      <c r="D4491" s="503" t="s">
        <v>16560</v>
      </c>
      <c r="F4491" t="str">
        <f t="shared" si="141"/>
        <v>93097</v>
      </c>
      <c r="H4491" s="14">
        <f t="shared" si="142"/>
        <v>19.440000000000001</v>
      </c>
    </row>
    <row r="4492" spans="1:8" ht="55.2">
      <c r="A4492" s="502" t="s">
        <v>5826</v>
      </c>
      <c r="B4492" s="504" t="s">
        <v>25548</v>
      </c>
      <c r="C4492" s="502" t="s">
        <v>114</v>
      </c>
      <c r="D4492" s="503" t="s">
        <v>5113</v>
      </c>
      <c r="F4492" t="str">
        <f t="shared" si="141"/>
        <v>93098</v>
      </c>
      <c r="H4492" s="14">
        <f t="shared" si="142"/>
        <v>27.45</v>
      </c>
    </row>
    <row r="4493" spans="1:8" ht="55.2">
      <c r="A4493" s="502" t="s">
        <v>5827</v>
      </c>
      <c r="B4493" s="504" t="s">
        <v>25549</v>
      </c>
      <c r="C4493" s="502" t="s">
        <v>114</v>
      </c>
      <c r="D4493" s="503" t="s">
        <v>12737</v>
      </c>
      <c r="F4493" t="str">
        <f t="shared" si="141"/>
        <v>93099</v>
      </c>
      <c r="H4493" s="14">
        <f t="shared" si="142"/>
        <v>34.5</v>
      </c>
    </row>
    <row r="4494" spans="1:8" ht="55.2">
      <c r="A4494" s="502" t="s">
        <v>5828</v>
      </c>
      <c r="B4494" s="504" t="s">
        <v>25550</v>
      </c>
      <c r="C4494" s="502" t="s">
        <v>114</v>
      </c>
      <c r="D4494" s="503" t="s">
        <v>10491</v>
      </c>
      <c r="F4494" t="str">
        <f t="shared" si="141"/>
        <v>93100</v>
      </c>
      <c r="H4494" s="14">
        <f t="shared" si="142"/>
        <v>40.6</v>
      </c>
    </row>
    <row r="4495" spans="1:8" ht="55.2">
      <c r="A4495" s="502" t="s">
        <v>5829</v>
      </c>
      <c r="B4495" s="504" t="s">
        <v>25551</v>
      </c>
      <c r="C4495" s="502" t="s">
        <v>114</v>
      </c>
      <c r="D4495" s="503" t="s">
        <v>7640</v>
      </c>
      <c r="F4495" t="str">
        <f t="shared" si="141"/>
        <v>93101</v>
      </c>
      <c r="H4495" s="14">
        <f t="shared" si="142"/>
        <v>45.45</v>
      </c>
    </row>
    <row r="4496" spans="1:8" ht="55.2">
      <c r="A4496" s="502" t="s">
        <v>5830</v>
      </c>
      <c r="B4496" s="504" t="s">
        <v>25552</v>
      </c>
      <c r="C4496" s="502" t="s">
        <v>114</v>
      </c>
      <c r="D4496" s="503" t="s">
        <v>30005</v>
      </c>
      <c r="F4496" t="str">
        <f t="shared" si="141"/>
        <v>93102</v>
      </c>
      <c r="H4496" s="14">
        <f t="shared" si="142"/>
        <v>49.41</v>
      </c>
    </row>
    <row r="4497" spans="1:8" ht="41.4">
      <c r="A4497" s="502" t="s">
        <v>5831</v>
      </c>
      <c r="B4497" s="504" t="s">
        <v>25553</v>
      </c>
      <c r="C4497" s="502" t="s">
        <v>114</v>
      </c>
      <c r="D4497" s="503" t="s">
        <v>16163</v>
      </c>
      <c r="F4497" t="str">
        <f t="shared" si="141"/>
        <v>93103</v>
      </c>
      <c r="H4497" s="14">
        <f t="shared" si="142"/>
        <v>12.69</v>
      </c>
    </row>
    <row r="4498" spans="1:8" ht="55.2">
      <c r="A4498" s="502" t="s">
        <v>5832</v>
      </c>
      <c r="B4498" s="504" t="s">
        <v>25554</v>
      </c>
      <c r="C4498" s="502" t="s">
        <v>114</v>
      </c>
      <c r="D4498" s="503" t="s">
        <v>30743</v>
      </c>
      <c r="F4498" t="str">
        <f t="shared" si="141"/>
        <v>93104</v>
      </c>
      <c r="H4498" s="14">
        <f t="shared" si="142"/>
        <v>25.7</v>
      </c>
    </row>
    <row r="4499" spans="1:8" ht="55.2">
      <c r="A4499" s="502" t="s">
        <v>5833</v>
      </c>
      <c r="B4499" s="504" t="s">
        <v>25555</v>
      </c>
      <c r="C4499" s="502" t="s">
        <v>114</v>
      </c>
      <c r="D4499" s="503" t="s">
        <v>24672</v>
      </c>
      <c r="F4499" t="str">
        <f t="shared" si="141"/>
        <v>93105</v>
      </c>
      <c r="H4499" s="14">
        <f t="shared" si="142"/>
        <v>33.26</v>
      </c>
    </row>
    <row r="4500" spans="1:8" ht="41.4">
      <c r="A4500" s="502" t="s">
        <v>5834</v>
      </c>
      <c r="B4500" s="504" t="s">
        <v>25556</v>
      </c>
      <c r="C4500" s="502" t="s">
        <v>114</v>
      </c>
      <c r="D4500" s="503" t="s">
        <v>33199</v>
      </c>
      <c r="F4500" t="str">
        <f t="shared" si="141"/>
        <v>93106</v>
      </c>
      <c r="H4500" s="14">
        <f t="shared" si="142"/>
        <v>605.5</v>
      </c>
    </row>
    <row r="4501" spans="1:8" ht="41.4">
      <c r="A4501" s="502" t="s">
        <v>5835</v>
      </c>
      <c r="B4501" s="504" t="s">
        <v>25557</v>
      </c>
      <c r="C4501" s="502" t="s">
        <v>114</v>
      </c>
      <c r="D4501" s="503" t="s">
        <v>9541</v>
      </c>
      <c r="F4501" t="str">
        <f t="shared" si="141"/>
        <v>93107</v>
      </c>
      <c r="H4501" s="14">
        <f t="shared" si="142"/>
        <v>22.75</v>
      </c>
    </row>
    <row r="4502" spans="1:8" ht="55.2">
      <c r="A4502" s="502" t="s">
        <v>5836</v>
      </c>
      <c r="B4502" s="504" t="s">
        <v>25558</v>
      </c>
      <c r="C4502" s="502" t="s">
        <v>114</v>
      </c>
      <c r="D4502" s="503" t="s">
        <v>33200</v>
      </c>
      <c r="F4502" t="str">
        <f t="shared" si="141"/>
        <v>93108</v>
      </c>
      <c r="H4502" s="14">
        <f t="shared" si="142"/>
        <v>19.149999999999999</v>
      </c>
    </row>
    <row r="4503" spans="1:8" ht="41.4">
      <c r="A4503" s="502" t="s">
        <v>5837</v>
      </c>
      <c r="B4503" s="504" t="s">
        <v>25559</v>
      </c>
      <c r="C4503" s="502" t="s">
        <v>114</v>
      </c>
      <c r="D4503" s="503" t="s">
        <v>33201</v>
      </c>
      <c r="F4503" t="str">
        <f t="shared" si="141"/>
        <v>93109</v>
      </c>
      <c r="H4503" s="14">
        <f t="shared" si="142"/>
        <v>705.73</v>
      </c>
    </row>
    <row r="4504" spans="1:8" ht="55.2">
      <c r="A4504" s="502" t="s">
        <v>5838</v>
      </c>
      <c r="B4504" s="504" t="s">
        <v>25560</v>
      </c>
      <c r="C4504" s="502" t="s">
        <v>114</v>
      </c>
      <c r="D4504" s="503" t="s">
        <v>27836</v>
      </c>
      <c r="F4504" t="str">
        <f t="shared" si="141"/>
        <v>93110</v>
      </c>
      <c r="H4504" s="14">
        <f t="shared" si="142"/>
        <v>28.37</v>
      </c>
    </row>
    <row r="4505" spans="1:8" ht="55.2">
      <c r="A4505" s="502" t="s">
        <v>5839</v>
      </c>
      <c r="B4505" s="504" t="s">
        <v>25561</v>
      </c>
      <c r="C4505" s="502" t="s">
        <v>114</v>
      </c>
      <c r="D4505" s="503" t="s">
        <v>33027</v>
      </c>
      <c r="F4505" t="str">
        <f t="shared" si="141"/>
        <v>93111</v>
      </c>
      <c r="H4505" s="14">
        <f t="shared" si="142"/>
        <v>34.340000000000003</v>
      </c>
    </row>
    <row r="4506" spans="1:8" ht="55.2">
      <c r="A4506" s="502" t="s">
        <v>5840</v>
      </c>
      <c r="B4506" s="504" t="s">
        <v>25562</v>
      </c>
      <c r="C4506" s="502" t="s">
        <v>114</v>
      </c>
      <c r="D4506" s="503" t="s">
        <v>33202</v>
      </c>
      <c r="F4506" t="str">
        <f t="shared" si="141"/>
        <v>93112</v>
      </c>
      <c r="H4506" s="14">
        <f t="shared" si="142"/>
        <v>67.98</v>
      </c>
    </row>
    <row r="4507" spans="1:8" ht="55.2">
      <c r="A4507" s="502" t="s">
        <v>5841</v>
      </c>
      <c r="B4507" s="504" t="s">
        <v>25563</v>
      </c>
      <c r="C4507" s="502" t="s">
        <v>114</v>
      </c>
      <c r="D4507" s="503" t="s">
        <v>4669</v>
      </c>
      <c r="F4507" t="str">
        <f t="shared" si="141"/>
        <v>93113</v>
      </c>
      <c r="H4507" s="14">
        <f t="shared" si="142"/>
        <v>32.46</v>
      </c>
    </row>
    <row r="4508" spans="1:8" ht="55.2">
      <c r="A4508" s="502" t="s">
        <v>5842</v>
      </c>
      <c r="B4508" s="504" t="s">
        <v>25564</v>
      </c>
      <c r="C4508" s="502" t="s">
        <v>114</v>
      </c>
      <c r="D4508" s="503" t="s">
        <v>26926</v>
      </c>
      <c r="F4508" t="str">
        <f t="shared" si="141"/>
        <v>93114</v>
      </c>
      <c r="H4508" s="14">
        <f t="shared" si="142"/>
        <v>44.51</v>
      </c>
    </row>
    <row r="4509" spans="1:8" ht="55.2">
      <c r="A4509" s="502" t="s">
        <v>5843</v>
      </c>
      <c r="B4509" s="504" t="s">
        <v>25565</v>
      </c>
      <c r="C4509" s="502" t="s">
        <v>114</v>
      </c>
      <c r="D4509" s="503" t="s">
        <v>28535</v>
      </c>
      <c r="F4509" t="str">
        <f t="shared" si="141"/>
        <v>93115</v>
      </c>
      <c r="H4509" s="14">
        <f t="shared" si="142"/>
        <v>115.62</v>
      </c>
    </row>
    <row r="4510" spans="1:8" ht="41.4">
      <c r="A4510" s="502" t="s">
        <v>5844</v>
      </c>
      <c r="B4510" s="504" t="s">
        <v>25566</v>
      </c>
      <c r="C4510" s="502" t="s">
        <v>114</v>
      </c>
      <c r="D4510" s="503" t="s">
        <v>33203</v>
      </c>
      <c r="F4510" t="str">
        <f t="shared" si="141"/>
        <v>93116</v>
      </c>
      <c r="H4510" s="14">
        <f t="shared" si="142"/>
        <v>777.85</v>
      </c>
    </row>
    <row r="4511" spans="1:8" ht="55.2">
      <c r="A4511" s="502" t="s">
        <v>5845</v>
      </c>
      <c r="B4511" s="504" t="s">
        <v>25567</v>
      </c>
      <c r="C4511" s="502" t="s">
        <v>114</v>
      </c>
      <c r="D4511" s="503" t="s">
        <v>18440</v>
      </c>
      <c r="F4511" t="str">
        <f t="shared" si="141"/>
        <v>93117</v>
      </c>
      <c r="H4511" s="14">
        <f t="shared" si="142"/>
        <v>79.03</v>
      </c>
    </row>
    <row r="4512" spans="1:8" ht="55.2">
      <c r="A4512" s="502" t="s">
        <v>5846</v>
      </c>
      <c r="B4512" s="504" t="s">
        <v>25568</v>
      </c>
      <c r="C4512" s="502" t="s">
        <v>114</v>
      </c>
      <c r="D4512" s="503" t="s">
        <v>33204</v>
      </c>
      <c r="F4512" t="str">
        <f t="shared" si="141"/>
        <v>93118</v>
      </c>
      <c r="H4512" s="14">
        <f t="shared" si="142"/>
        <v>116.57</v>
      </c>
    </row>
    <row r="4513" spans="1:8" ht="55.2">
      <c r="A4513" s="502" t="s">
        <v>5847</v>
      </c>
      <c r="B4513" s="504" t="s">
        <v>25569</v>
      </c>
      <c r="C4513" s="502" t="s">
        <v>114</v>
      </c>
      <c r="D4513" s="503" t="s">
        <v>10046</v>
      </c>
      <c r="F4513" t="str">
        <f t="shared" si="141"/>
        <v>93119</v>
      </c>
      <c r="H4513" s="14">
        <f t="shared" si="142"/>
        <v>23.79</v>
      </c>
    </row>
    <row r="4514" spans="1:8" ht="55.2">
      <c r="A4514" s="502" t="s">
        <v>5848</v>
      </c>
      <c r="B4514" s="504" t="s">
        <v>25570</v>
      </c>
      <c r="C4514" s="502" t="s">
        <v>114</v>
      </c>
      <c r="D4514" s="503" t="s">
        <v>16463</v>
      </c>
      <c r="F4514" t="str">
        <f t="shared" si="141"/>
        <v>93120</v>
      </c>
      <c r="H4514" s="14">
        <f t="shared" si="142"/>
        <v>35.24</v>
      </c>
    </row>
    <row r="4515" spans="1:8" ht="55.2">
      <c r="A4515" s="502" t="s">
        <v>5849</v>
      </c>
      <c r="B4515" s="504" t="s">
        <v>25571</v>
      </c>
      <c r="C4515" s="502" t="s">
        <v>114</v>
      </c>
      <c r="D4515" s="503" t="s">
        <v>7467</v>
      </c>
      <c r="F4515" t="str">
        <f t="shared" si="141"/>
        <v>93121</v>
      </c>
      <c r="H4515" s="14">
        <f t="shared" si="142"/>
        <v>40.08</v>
      </c>
    </row>
    <row r="4516" spans="1:8" ht="55.2">
      <c r="A4516" s="502" t="s">
        <v>5850</v>
      </c>
      <c r="B4516" s="504" t="s">
        <v>25572</v>
      </c>
      <c r="C4516" s="502" t="s">
        <v>114</v>
      </c>
      <c r="D4516" s="503" t="s">
        <v>28964</v>
      </c>
      <c r="F4516" t="str">
        <f t="shared" si="141"/>
        <v>93122</v>
      </c>
      <c r="H4516" s="14">
        <f t="shared" si="142"/>
        <v>35.590000000000003</v>
      </c>
    </row>
    <row r="4517" spans="1:8" ht="55.2">
      <c r="A4517" s="502" t="s">
        <v>5851</v>
      </c>
      <c r="B4517" s="504" t="s">
        <v>25573</v>
      </c>
      <c r="C4517" s="502" t="s">
        <v>114</v>
      </c>
      <c r="D4517" s="503" t="s">
        <v>33205</v>
      </c>
      <c r="F4517" t="str">
        <f t="shared" si="141"/>
        <v>93123</v>
      </c>
      <c r="H4517" s="14">
        <f t="shared" si="142"/>
        <v>78.58</v>
      </c>
    </row>
    <row r="4518" spans="1:8" ht="55.2">
      <c r="A4518" s="502" t="s">
        <v>5852</v>
      </c>
      <c r="B4518" s="504" t="s">
        <v>25574</v>
      </c>
      <c r="C4518" s="502" t="s">
        <v>114</v>
      </c>
      <c r="D4518" s="503" t="s">
        <v>33206</v>
      </c>
      <c r="F4518" t="str">
        <f t="shared" si="141"/>
        <v>93124</v>
      </c>
      <c r="H4518" s="14">
        <f t="shared" si="142"/>
        <v>122.99</v>
      </c>
    </row>
    <row r="4519" spans="1:8" ht="55.2">
      <c r="A4519" s="502" t="s">
        <v>5853</v>
      </c>
      <c r="B4519" s="504" t="s">
        <v>25575</v>
      </c>
      <c r="C4519" s="502" t="s">
        <v>114</v>
      </c>
      <c r="D4519" s="503" t="s">
        <v>33207</v>
      </c>
      <c r="F4519" t="str">
        <f t="shared" si="141"/>
        <v>93125</v>
      </c>
      <c r="H4519" s="14">
        <f t="shared" si="142"/>
        <v>180.66</v>
      </c>
    </row>
    <row r="4520" spans="1:8" ht="55.2">
      <c r="A4520" s="502" t="s">
        <v>5854</v>
      </c>
      <c r="B4520" s="504" t="s">
        <v>25576</v>
      </c>
      <c r="C4520" s="502" t="s">
        <v>114</v>
      </c>
      <c r="D4520" s="503" t="s">
        <v>33208</v>
      </c>
      <c r="F4520" t="str">
        <f t="shared" si="141"/>
        <v>93126</v>
      </c>
      <c r="H4520" s="14">
        <f t="shared" si="142"/>
        <v>397.52</v>
      </c>
    </row>
    <row r="4521" spans="1:8" ht="55.2">
      <c r="A4521" s="502" t="s">
        <v>5855</v>
      </c>
      <c r="B4521" s="504" t="s">
        <v>25577</v>
      </c>
      <c r="C4521" s="502" t="s">
        <v>114</v>
      </c>
      <c r="D4521" s="503" t="s">
        <v>33209</v>
      </c>
      <c r="F4521" t="str">
        <f t="shared" si="141"/>
        <v>93133</v>
      </c>
      <c r="H4521" s="14">
        <f t="shared" si="142"/>
        <v>27.52</v>
      </c>
    </row>
    <row r="4522" spans="1:8" ht="41.4">
      <c r="A4522" s="502" t="s">
        <v>5856</v>
      </c>
      <c r="B4522" s="504" t="s">
        <v>29120</v>
      </c>
      <c r="C4522" s="502" t="s">
        <v>114</v>
      </c>
      <c r="D4522" s="503" t="s">
        <v>29311</v>
      </c>
      <c r="F4522" t="str">
        <f t="shared" si="141"/>
        <v>94465</v>
      </c>
      <c r="H4522" s="14">
        <f t="shared" si="142"/>
        <v>76.02</v>
      </c>
    </row>
    <row r="4523" spans="1:8" ht="41.4">
      <c r="A4523" s="502" t="s">
        <v>5857</v>
      </c>
      <c r="B4523" s="504" t="s">
        <v>29121</v>
      </c>
      <c r="C4523" s="502" t="s">
        <v>114</v>
      </c>
      <c r="D4523" s="503" t="s">
        <v>29262</v>
      </c>
      <c r="F4523" t="str">
        <f t="shared" si="141"/>
        <v>94466</v>
      </c>
      <c r="H4523" s="14">
        <f t="shared" si="142"/>
        <v>76.06</v>
      </c>
    </row>
    <row r="4524" spans="1:8" ht="41.4">
      <c r="A4524" s="502" t="s">
        <v>5858</v>
      </c>
      <c r="B4524" s="504" t="s">
        <v>29122</v>
      </c>
      <c r="C4524" s="502" t="s">
        <v>114</v>
      </c>
      <c r="D4524" s="503" t="s">
        <v>33210</v>
      </c>
      <c r="F4524" t="str">
        <f t="shared" si="141"/>
        <v>94467</v>
      </c>
      <c r="H4524" s="14">
        <f t="shared" si="142"/>
        <v>123.16</v>
      </c>
    </row>
    <row r="4525" spans="1:8" ht="41.4">
      <c r="A4525" s="502" t="s">
        <v>5859</v>
      </c>
      <c r="B4525" s="504" t="s">
        <v>29123</v>
      </c>
      <c r="C4525" s="502" t="s">
        <v>114</v>
      </c>
      <c r="D4525" s="503" t="s">
        <v>28857</v>
      </c>
      <c r="F4525" t="str">
        <f t="shared" si="141"/>
        <v>94468</v>
      </c>
      <c r="H4525" s="14">
        <f t="shared" si="142"/>
        <v>107.88</v>
      </c>
    </row>
    <row r="4526" spans="1:8" ht="41.4">
      <c r="A4526" s="502" t="s">
        <v>5860</v>
      </c>
      <c r="B4526" s="504" t="s">
        <v>29124</v>
      </c>
      <c r="C4526" s="502" t="s">
        <v>114</v>
      </c>
      <c r="D4526" s="503" t="s">
        <v>30303</v>
      </c>
      <c r="F4526" t="str">
        <f t="shared" si="141"/>
        <v>94469</v>
      </c>
      <c r="H4526" s="14">
        <f t="shared" si="142"/>
        <v>176.65</v>
      </c>
    </row>
    <row r="4527" spans="1:8" ht="41.4">
      <c r="A4527" s="502" t="s">
        <v>5861</v>
      </c>
      <c r="B4527" s="504" t="s">
        <v>29125</v>
      </c>
      <c r="C4527" s="502" t="s">
        <v>114</v>
      </c>
      <c r="D4527" s="503" t="s">
        <v>33211</v>
      </c>
      <c r="F4527" t="str">
        <f t="shared" si="141"/>
        <v>94470</v>
      </c>
      <c r="H4527" s="14">
        <f t="shared" si="142"/>
        <v>163.04</v>
      </c>
    </row>
    <row r="4528" spans="1:8" ht="55.2">
      <c r="A4528" s="502" t="s">
        <v>5862</v>
      </c>
      <c r="B4528" s="504" t="s">
        <v>29126</v>
      </c>
      <c r="C4528" s="502" t="s">
        <v>114</v>
      </c>
      <c r="D4528" s="503" t="s">
        <v>33212</v>
      </c>
      <c r="F4528" t="str">
        <f t="shared" si="141"/>
        <v>94471</v>
      </c>
      <c r="H4528" s="14">
        <f t="shared" si="142"/>
        <v>109.42</v>
      </c>
    </row>
    <row r="4529" spans="1:8" ht="55.2">
      <c r="A4529" s="502" t="s">
        <v>5863</v>
      </c>
      <c r="B4529" s="504" t="s">
        <v>29128</v>
      </c>
      <c r="C4529" s="502" t="s">
        <v>114</v>
      </c>
      <c r="D4529" s="503" t="s">
        <v>33213</v>
      </c>
      <c r="F4529" t="str">
        <f t="shared" si="141"/>
        <v>94472</v>
      </c>
      <c r="H4529" s="14">
        <f t="shared" si="142"/>
        <v>112.82</v>
      </c>
    </row>
    <row r="4530" spans="1:8" ht="55.2">
      <c r="A4530" s="502" t="s">
        <v>5864</v>
      </c>
      <c r="B4530" s="504" t="s">
        <v>29129</v>
      </c>
      <c r="C4530" s="502" t="s">
        <v>114</v>
      </c>
      <c r="D4530" s="503" t="s">
        <v>33214</v>
      </c>
      <c r="F4530" t="str">
        <f t="shared" si="141"/>
        <v>94473</v>
      </c>
      <c r="H4530" s="14">
        <f t="shared" si="142"/>
        <v>176.3</v>
      </c>
    </row>
    <row r="4531" spans="1:8" ht="55.2">
      <c r="A4531" s="502" t="s">
        <v>5865</v>
      </c>
      <c r="B4531" s="504" t="s">
        <v>29130</v>
      </c>
      <c r="C4531" s="502" t="s">
        <v>114</v>
      </c>
      <c r="D4531" s="503" t="s">
        <v>33215</v>
      </c>
      <c r="F4531" t="str">
        <f t="shared" si="141"/>
        <v>94474</v>
      </c>
      <c r="H4531" s="14">
        <f t="shared" si="142"/>
        <v>191.27</v>
      </c>
    </row>
    <row r="4532" spans="1:8" ht="55.2">
      <c r="A4532" s="502" t="s">
        <v>5866</v>
      </c>
      <c r="B4532" s="504" t="s">
        <v>29131</v>
      </c>
      <c r="C4532" s="502" t="s">
        <v>114</v>
      </c>
      <c r="D4532" s="503" t="s">
        <v>33216</v>
      </c>
      <c r="F4532" t="str">
        <f t="shared" si="141"/>
        <v>94475</v>
      </c>
      <c r="H4532" s="14">
        <f t="shared" si="142"/>
        <v>239.16</v>
      </c>
    </row>
    <row r="4533" spans="1:8" ht="55.2">
      <c r="A4533" s="502" t="s">
        <v>5867</v>
      </c>
      <c r="B4533" s="504" t="s">
        <v>29132</v>
      </c>
      <c r="C4533" s="502" t="s">
        <v>114</v>
      </c>
      <c r="D4533" s="503" t="s">
        <v>33217</v>
      </c>
      <c r="F4533" t="str">
        <f t="shared" si="141"/>
        <v>94476</v>
      </c>
      <c r="H4533" s="14">
        <f t="shared" si="142"/>
        <v>267.99</v>
      </c>
    </row>
    <row r="4534" spans="1:8" ht="41.4">
      <c r="A4534" s="502" t="s">
        <v>5868</v>
      </c>
      <c r="B4534" s="504" t="s">
        <v>29133</v>
      </c>
      <c r="C4534" s="502" t="s">
        <v>114</v>
      </c>
      <c r="D4534" s="503" t="s">
        <v>33218</v>
      </c>
      <c r="F4534" t="str">
        <f t="shared" si="141"/>
        <v>94477</v>
      </c>
      <c r="H4534" s="14">
        <f t="shared" si="142"/>
        <v>145.78</v>
      </c>
    </row>
    <row r="4535" spans="1:8" ht="41.4">
      <c r="A4535" s="502" t="s">
        <v>5869</v>
      </c>
      <c r="B4535" s="504" t="s">
        <v>29134</v>
      </c>
      <c r="C4535" s="502" t="s">
        <v>114</v>
      </c>
      <c r="D4535" s="503" t="s">
        <v>33219</v>
      </c>
      <c r="F4535" t="str">
        <f t="shared" si="141"/>
        <v>94478</v>
      </c>
      <c r="H4535" s="14">
        <f t="shared" si="142"/>
        <v>242.54</v>
      </c>
    </row>
    <row r="4536" spans="1:8" ht="41.4">
      <c r="A4536" s="502" t="s">
        <v>5870</v>
      </c>
      <c r="B4536" s="504" t="s">
        <v>29136</v>
      </c>
      <c r="C4536" s="502" t="s">
        <v>114</v>
      </c>
      <c r="D4536" s="503" t="s">
        <v>33220</v>
      </c>
      <c r="F4536" t="str">
        <f t="shared" si="141"/>
        <v>94479</v>
      </c>
      <c r="H4536" s="14">
        <f t="shared" si="142"/>
        <v>316.06</v>
      </c>
    </row>
    <row r="4537" spans="1:8" ht="41.4">
      <c r="A4537" s="502" t="s">
        <v>5871</v>
      </c>
      <c r="B4537" s="504" t="s">
        <v>29137</v>
      </c>
      <c r="C4537" s="502" t="s">
        <v>114</v>
      </c>
      <c r="D4537" s="503" t="s">
        <v>16941</v>
      </c>
      <c r="F4537" t="str">
        <f t="shared" si="141"/>
        <v>94606</v>
      </c>
      <c r="H4537" s="14">
        <f t="shared" si="142"/>
        <v>107.71</v>
      </c>
    </row>
    <row r="4538" spans="1:8" ht="41.4">
      <c r="A4538" s="502" t="s">
        <v>5872</v>
      </c>
      <c r="B4538" s="504" t="s">
        <v>29138</v>
      </c>
      <c r="C4538" s="502" t="s">
        <v>114</v>
      </c>
      <c r="D4538" s="503" t="s">
        <v>33221</v>
      </c>
      <c r="F4538" t="str">
        <f t="shared" si="141"/>
        <v>94608</v>
      </c>
      <c r="H4538" s="14">
        <f t="shared" si="142"/>
        <v>265.97000000000003</v>
      </c>
    </row>
    <row r="4539" spans="1:8" ht="41.4">
      <c r="A4539" s="502" t="s">
        <v>5873</v>
      </c>
      <c r="B4539" s="504" t="s">
        <v>29139</v>
      </c>
      <c r="C4539" s="502" t="s">
        <v>114</v>
      </c>
      <c r="D4539" s="503" t="s">
        <v>33222</v>
      </c>
      <c r="F4539" t="str">
        <f t="shared" si="141"/>
        <v>94610</v>
      </c>
      <c r="H4539" s="14">
        <f t="shared" si="142"/>
        <v>387.89</v>
      </c>
    </row>
    <row r="4540" spans="1:8" ht="41.4">
      <c r="A4540" s="502" t="s">
        <v>5874</v>
      </c>
      <c r="B4540" s="504" t="s">
        <v>29140</v>
      </c>
      <c r="C4540" s="502" t="s">
        <v>114</v>
      </c>
      <c r="D4540" s="503" t="s">
        <v>33223</v>
      </c>
      <c r="F4540" t="str">
        <f t="shared" si="141"/>
        <v>94612</v>
      </c>
      <c r="H4540" s="14">
        <f t="shared" si="142"/>
        <v>550.29999999999995</v>
      </c>
    </row>
    <row r="4541" spans="1:8" ht="41.4">
      <c r="A4541" s="502" t="s">
        <v>5875</v>
      </c>
      <c r="B4541" s="504" t="s">
        <v>29141</v>
      </c>
      <c r="C4541" s="502" t="s">
        <v>114</v>
      </c>
      <c r="D4541" s="503" t="s">
        <v>33224</v>
      </c>
      <c r="F4541" t="str">
        <f t="shared" si="141"/>
        <v>94614</v>
      </c>
      <c r="H4541" s="14">
        <f t="shared" si="142"/>
        <v>183.22</v>
      </c>
    </row>
    <row r="4542" spans="1:8" ht="55.2">
      <c r="A4542" s="502" t="s">
        <v>5876</v>
      </c>
      <c r="B4542" s="504" t="s">
        <v>29142</v>
      </c>
      <c r="C4542" s="502" t="s">
        <v>114</v>
      </c>
      <c r="D4542" s="503" t="s">
        <v>33225</v>
      </c>
      <c r="F4542" t="str">
        <f t="shared" si="141"/>
        <v>94615</v>
      </c>
      <c r="H4542" s="14">
        <f t="shared" si="142"/>
        <v>207.48</v>
      </c>
    </row>
    <row r="4543" spans="1:8" ht="41.4">
      <c r="A4543" s="502" t="s">
        <v>5877</v>
      </c>
      <c r="B4543" s="504" t="s">
        <v>29143</v>
      </c>
      <c r="C4543" s="502" t="s">
        <v>114</v>
      </c>
      <c r="D4543" s="503" t="s">
        <v>28613</v>
      </c>
      <c r="F4543" t="str">
        <f t="shared" si="141"/>
        <v>94616</v>
      </c>
      <c r="H4543" s="14">
        <f t="shared" si="142"/>
        <v>506.44</v>
      </c>
    </row>
    <row r="4544" spans="1:8" ht="55.2">
      <c r="A4544" s="502" t="s">
        <v>5878</v>
      </c>
      <c r="B4544" s="504" t="s">
        <v>29144</v>
      </c>
      <c r="C4544" s="502" t="s">
        <v>114</v>
      </c>
      <c r="D4544" s="503" t="s">
        <v>33226</v>
      </c>
      <c r="F4544" t="str">
        <f t="shared" si="141"/>
        <v>94617</v>
      </c>
      <c r="H4544" s="14">
        <f t="shared" si="142"/>
        <v>422.08</v>
      </c>
    </row>
    <row r="4545" spans="1:8" ht="41.4">
      <c r="A4545" s="502" t="s">
        <v>5879</v>
      </c>
      <c r="B4545" s="504" t="s">
        <v>29145</v>
      </c>
      <c r="C4545" s="502" t="s">
        <v>114</v>
      </c>
      <c r="D4545" s="503" t="s">
        <v>33227</v>
      </c>
      <c r="F4545" t="str">
        <f t="shared" si="141"/>
        <v>94618</v>
      </c>
      <c r="H4545" s="14">
        <f t="shared" si="142"/>
        <v>492.56</v>
      </c>
    </row>
    <row r="4546" spans="1:8" ht="41.4">
      <c r="A4546" s="502" t="s">
        <v>5880</v>
      </c>
      <c r="B4546" s="504" t="s">
        <v>29146</v>
      </c>
      <c r="C4546" s="502" t="s">
        <v>114</v>
      </c>
      <c r="D4546" s="503" t="s">
        <v>33228</v>
      </c>
      <c r="F4546" t="str">
        <f t="shared" si="141"/>
        <v>94620</v>
      </c>
      <c r="H4546" s="14">
        <f t="shared" si="142"/>
        <v>1131.31</v>
      </c>
    </row>
    <row r="4547" spans="1:8" ht="41.4">
      <c r="A4547" s="502" t="s">
        <v>5881</v>
      </c>
      <c r="B4547" s="504" t="s">
        <v>29147</v>
      </c>
      <c r="C4547" s="502" t="s">
        <v>114</v>
      </c>
      <c r="D4547" s="503" t="s">
        <v>33229</v>
      </c>
      <c r="F4547" t="str">
        <f t="shared" si="141"/>
        <v>94622</v>
      </c>
      <c r="H4547" s="14">
        <f t="shared" si="142"/>
        <v>266.77</v>
      </c>
    </row>
    <row r="4548" spans="1:8" ht="41.4">
      <c r="A4548" s="502" t="s">
        <v>5882</v>
      </c>
      <c r="B4548" s="504" t="s">
        <v>29148</v>
      </c>
      <c r="C4548" s="502" t="s">
        <v>114</v>
      </c>
      <c r="D4548" s="503" t="s">
        <v>33230</v>
      </c>
      <c r="F4548" t="str">
        <f t="shared" si="141"/>
        <v>94623</v>
      </c>
      <c r="H4548" s="14">
        <f t="shared" si="142"/>
        <v>627.65</v>
      </c>
    </row>
    <row r="4549" spans="1:8" ht="41.4">
      <c r="A4549" s="502" t="s">
        <v>5883</v>
      </c>
      <c r="B4549" s="504" t="s">
        <v>29149</v>
      </c>
      <c r="C4549" s="502" t="s">
        <v>114</v>
      </c>
      <c r="D4549" s="503" t="s">
        <v>33231</v>
      </c>
      <c r="F4549" t="str">
        <f t="shared" ref="F4549:F4612" si="143">TRIM(A4549)</f>
        <v>94624</v>
      </c>
      <c r="H4549" s="14">
        <f t="shared" ref="H4549:H4612" si="144">ROUND(D4549*(1+$H$1),2)</f>
        <v>942.76</v>
      </c>
    </row>
    <row r="4550" spans="1:8" ht="41.4">
      <c r="A4550" s="502" t="s">
        <v>5884</v>
      </c>
      <c r="B4550" s="504" t="s">
        <v>29150</v>
      </c>
      <c r="C4550" s="502" t="s">
        <v>114</v>
      </c>
      <c r="D4550" s="503" t="s">
        <v>33232</v>
      </c>
      <c r="F4550" t="str">
        <f t="shared" si="143"/>
        <v>94625</v>
      </c>
      <c r="H4550" s="14">
        <f t="shared" si="144"/>
        <v>1968.58</v>
      </c>
    </row>
    <row r="4551" spans="1:8" ht="55.2">
      <c r="A4551" s="502" t="s">
        <v>5885</v>
      </c>
      <c r="B4551" s="504" t="s">
        <v>29151</v>
      </c>
      <c r="C4551" s="502" t="s">
        <v>114</v>
      </c>
      <c r="D4551" s="503" t="s">
        <v>33233</v>
      </c>
      <c r="F4551" t="str">
        <f t="shared" si="143"/>
        <v>94656</v>
      </c>
      <c r="H4551" s="14">
        <f t="shared" si="144"/>
        <v>5.08</v>
      </c>
    </row>
    <row r="4552" spans="1:8" ht="41.4">
      <c r="A4552" s="502" t="s">
        <v>5886</v>
      </c>
      <c r="B4552" s="504" t="s">
        <v>29152</v>
      </c>
      <c r="C4552" s="502" t="s">
        <v>114</v>
      </c>
      <c r="D4552" s="503" t="s">
        <v>28134</v>
      </c>
      <c r="F4552" t="str">
        <f t="shared" si="143"/>
        <v>94657</v>
      </c>
      <c r="H4552" s="14">
        <f t="shared" si="144"/>
        <v>5.58</v>
      </c>
    </row>
    <row r="4553" spans="1:8" ht="55.2">
      <c r="A4553" s="502" t="s">
        <v>5888</v>
      </c>
      <c r="B4553" s="504" t="s">
        <v>29153</v>
      </c>
      <c r="C4553" s="502" t="s">
        <v>114</v>
      </c>
      <c r="D4553" s="503" t="s">
        <v>3590</v>
      </c>
      <c r="F4553" t="str">
        <f t="shared" si="143"/>
        <v>94658</v>
      </c>
      <c r="H4553" s="14">
        <f t="shared" si="144"/>
        <v>7.65</v>
      </c>
    </row>
    <row r="4554" spans="1:8" ht="41.4">
      <c r="A4554" s="502" t="s">
        <v>5889</v>
      </c>
      <c r="B4554" s="504" t="s">
        <v>29154</v>
      </c>
      <c r="C4554" s="502" t="s">
        <v>114</v>
      </c>
      <c r="D4554" s="503" t="s">
        <v>28067</v>
      </c>
      <c r="F4554" t="str">
        <f t="shared" si="143"/>
        <v>94659</v>
      </c>
      <c r="H4554" s="14">
        <f t="shared" si="144"/>
        <v>8.85</v>
      </c>
    </row>
    <row r="4555" spans="1:8" ht="55.2">
      <c r="A4555" s="502" t="s">
        <v>5890</v>
      </c>
      <c r="B4555" s="504" t="s">
        <v>29155</v>
      </c>
      <c r="C4555" s="502" t="s">
        <v>114</v>
      </c>
      <c r="D4555" s="503" t="s">
        <v>23964</v>
      </c>
      <c r="F4555" t="str">
        <f t="shared" si="143"/>
        <v>94660</v>
      </c>
      <c r="H4555" s="14">
        <f t="shared" si="144"/>
        <v>12.27</v>
      </c>
    </row>
    <row r="4556" spans="1:8" ht="41.4">
      <c r="A4556" s="502" t="s">
        <v>5892</v>
      </c>
      <c r="B4556" s="504" t="s">
        <v>29156</v>
      </c>
      <c r="C4556" s="502" t="s">
        <v>114</v>
      </c>
      <c r="D4556" s="503" t="s">
        <v>23699</v>
      </c>
      <c r="F4556" t="str">
        <f t="shared" si="143"/>
        <v>94661</v>
      </c>
      <c r="H4556" s="14">
        <f t="shared" si="144"/>
        <v>14.24</v>
      </c>
    </row>
    <row r="4557" spans="1:8" ht="55.2">
      <c r="A4557" s="502" t="s">
        <v>5893</v>
      </c>
      <c r="B4557" s="504" t="s">
        <v>29157</v>
      </c>
      <c r="C4557" s="502" t="s">
        <v>114</v>
      </c>
      <c r="D4557" s="503" t="s">
        <v>7479</v>
      </c>
      <c r="F4557" t="str">
        <f t="shared" si="143"/>
        <v>94662</v>
      </c>
      <c r="H4557" s="14">
        <f t="shared" si="144"/>
        <v>16.07</v>
      </c>
    </row>
    <row r="4558" spans="1:8" ht="41.4">
      <c r="A4558" s="502" t="s">
        <v>5894</v>
      </c>
      <c r="B4558" s="504" t="s">
        <v>29158</v>
      </c>
      <c r="C4558" s="502" t="s">
        <v>114</v>
      </c>
      <c r="D4558" s="503" t="s">
        <v>33234</v>
      </c>
      <c r="F4558" t="str">
        <f t="shared" si="143"/>
        <v>94663</v>
      </c>
      <c r="H4558" s="14">
        <f t="shared" si="144"/>
        <v>17.62</v>
      </c>
    </row>
    <row r="4559" spans="1:8" ht="55.2">
      <c r="A4559" s="502" t="s">
        <v>5895</v>
      </c>
      <c r="B4559" s="504" t="s">
        <v>29159</v>
      </c>
      <c r="C4559" s="502" t="s">
        <v>114</v>
      </c>
      <c r="D4559" s="503" t="s">
        <v>15797</v>
      </c>
      <c r="F4559" t="str">
        <f t="shared" si="143"/>
        <v>94664</v>
      </c>
      <c r="H4559" s="14">
        <f t="shared" si="144"/>
        <v>29.87</v>
      </c>
    </row>
    <row r="4560" spans="1:8" ht="41.4">
      <c r="A4560" s="502" t="s">
        <v>5897</v>
      </c>
      <c r="B4560" s="504" t="s">
        <v>29160</v>
      </c>
      <c r="C4560" s="502" t="s">
        <v>114</v>
      </c>
      <c r="D4560" s="503" t="s">
        <v>16270</v>
      </c>
      <c r="F4560" t="str">
        <f t="shared" si="143"/>
        <v>94665</v>
      </c>
      <c r="H4560" s="14">
        <f t="shared" si="144"/>
        <v>35.67</v>
      </c>
    </row>
    <row r="4561" spans="1:8" ht="55.2">
      <c r="A4561" s="502" t="s">
        <v>5898</v>
      </c>
      <c r="B4561" s="504" t="s">
        <v>29161</v>
      </c>
      <c r="C4561" s="502" t="s">
        <v>114</v>
      </c>
      <c r="D4561" s="503" t="s">
        <v>33235</v>
      </c>
      <c r="F4561" t="str">
        <f t="shared" si="143"/>
        <v>94666</v>
      </c>
      <c r="H4561" s="14">
        <f t="shared" si="144"/>
        <v>48.81</v>
      </c>
    </row>
    <row r="4562" spans="1:8" ht="41.4">
      <c r="A4562" s="502" t="s">
        <v>5899</v>
      </c>
      <c r="B4562" s="504" t="s">
        <v>29163</v>
      </c>
      <c r="C4562" s="502" t="s">
        <v>114</v>
      </c>
      <c r="D4562" s="503" t="s">
        <v>28148</v>
      </c>
      <c r="F4562" t="str">
        <f t="shared" si="143"/>
        <v>94667</v>
      </c>
      <c r="H4562" s="14">
        <f t="shared" si="144"/>
        <v>52.45</v>
      </c>
    </row>
    <row r="4563" spans="1:8" ht="55.2">
      <c r="A4563" s="502" t="s">
        <v>5900</v>
      </c>
      <c r="B4563" s="504" t="s">
        <v>29164</v>
      </c>
      <c r="C4563" s="502" t="s">
        <v>114</v>
      </c>
      <c r="D4563" s="503" t="s">
        <v>30731</v>
      </c>
      <c r="F4563" t="str">
        <f t="shared" si="143"/>
        <v>94668</v>
      </c>
      <c r="H4563" s="14">
        <f t="shared" si="144"/>
        <v>65.040000000000006</v>
      </c>
    </row>
    <row r="4564" spans="1:8" ht="41.4">
      <c r="A4564" s="502" t="s">
        <v>5901</v>
      </c>
      <c r="B4564" s="504" t="s">
        <v>29166</v>
      </c>
      <c r="C4564" s="502" t="s">
        <v>114</v>
      </c>
      <c r="D4564" s="503" t="s">
        <v>33236</v>
      </c>
      <c r="F4564" t="str">
        <f t="shared" si="143"/>
        <v>94669</v>
      </c>
      <c r="H4564" s="14">
        <f t="shared" si="144"/>
        <v>96.74</v>
      </c>
    </row>
    <row r="4565" spans="1:8" ht="55.2">
      <c r="A4565" s="502" t="s">
        <v>5902</v>
      </c>
      <c r="B4565" s="504" t="s">
        <v>29167</v>
      </c>
      <c r="C4565" s="502" t="s">
        <v>114</v>
      </c>
      <c r="D4565" s="503" t="s">
        <v>33237</v>
      </c>
      <c r="F4565" t="str">
        <f t="shared" si="143"/>
        <v>94670</v>
      </c>
      <c r="H4565" s="14">
        <f t="shared" si="144"/>
        <v>103.56</v>
      </c>
    </row>
    <row r="4566" spans="1:8" ht="41.4">
      <c r="A4566" s="502" t="s">
        <v>5903</v>
      </c>
      <c r="B4566" s="504" t="s">
        <v>29168</v>
      </c>
      <c r="C4566" s="502" t="s">
        <v>114</v>
      </c>
      <c r="D4566" s="503" t="s">
        <v>33238</v>
      </c>
      <c r="F4566" t="str">
        <f t="shared" si="143"/>
        <v>94671</v>
      </c>
      <c r="H4566" s="14">
        <f t="shared" si="144"/>
        <v>159.43</v>
      </c>
    </row>
    <row r="4567" spans="1:8" ht="41.4">
      <c r="A4567" s="502" t="s">
        <v>5904</v>
      </c>
      <c r="B4567" s="504" t="s">
        <v>29169</v>
      </c>
      <c r="C4567" s="502" t="s">
        <v>114</v>
      </c>
      <c r="D4567" s="503" t="s">
        <v>7348</v>
      </c>
      <c r="F4567" t="str">
        <f t="shared" si="143"/>
        <v>94672</v>
      </c>
      <c r="H4567" s="14">
        <f t="shared" si="144"/>
        <v>8.94</v>
      </c>
    </row>
    <row r="4568" spans="1:8" ht="41.4">
      <c r="A4568" s="502" t="s">
        <v>5905</v>
      </c>
      <c r="B4568" s="504" t="s">
        <v>29170</v>
      </c>
      <c r="C4568" s="502" t="s">
        <v>114</v>
      </c>
      <c r="D4568" s="503" t="s">
        <v>24809</v>
      </c>
      <c r="F4568" t="str">
        <f t="shared" si="143"/>
        <v>94673</v>
      </c>
      <c r="H4568" s="14">
        <f t="shared" si="144"/>
        <v>10.46</v>
      </c>
    </row>
    <row r="4569" spans="1:8" ht="41.4">
      <c r="A4569" s="502" t="s">
        <v>5907</v>
      </c>
      <c r="B4569" s="504" t="s">
        <v>29171</v>
      </c>
      <c r="C4569" s="502" t="s">
        <v>114</v>
      </c>
      <c r="D4569" s="503" t="s">
        <v>33239</v>
      </c>
      <c r="F4569" t="str">
        <f t="shared" si="143"/>
        <v>94674</v>
      </c>
      <c r="H4569" s="14">
        <f t="shared" si="144"/>
        <v>11.37</v>
      </c>
    </row>
    <row r="4570" spans="1:8" ht="41.4">
      <c r="A4570" s="502" t="s">
        <v>5909</v>
      </c>
      <c r="B4570" s="504" t="s">
        <v>29172</v>
      </c>
      <c r="C4570" s="502" t="s">
        <v>114</v>
      </c>
      <c r="D4570" s="503" t="s">
        <v>13152</v>
      </c>
      <c r="F4570" t="str">
        <f t="shared" si="143"/>
        <v>94675</v>
      </c>
      <c r="H4570" s="14">
        <f t="shared" si="144"/>
        <v>17.829999999999998</v>
      </c>
    </row>
    <row r="4571" spans="1:8" ht="41.4">
      <c r="A4571" s="502" t="s">
        <v>5911</v>
      </c>
      <c r="B4571" s="504" t="s">
        <v>29173</v>
      </c>
      <c r="C4571" s="502" t="s">
        <v>114</v>
      </c>
      <c r="D4571" s="503" t="s">
        <v>24344</v>
      </c>
      <c r="F4571" t="str">
        <f t="shared" si="143"/>
        <v>94676</v>
      </c>
      <c r="H4571" s="14">
        <f t="shared" si="144"/>
        <v>19.329999999999998</v>
      </c>
    </row>
    <row r="4572" spans="1:8" ht="41.4">
      <c r="A4572" s="502" t="s">
        <v>5912</v>
      </c>
      <c r="B4572" s="504" t="s">
        <v>29174</v>
      </c>
      <c r="C4572" s="502" t="s">
        <v>114</v>
      </c>
      <c r="D4572" s="503" t="s">
        <v>9613</v>
      </c>
      <c r="F4572" t="str">
        <f t="shared" si="143"/>
        <v>94677</v>
      </c>
      <c r="H4572" s="14">
        <f t="shared" si="144"/>
        <v>29.13</v>
      </c>
    </row>
    <row r="4573" spans="1:8" ht="41.4">
      <c r="A4573" s="502" t="s">
        <v>5913</v>
      </c>
      <c r="B4573" s="504" t="s">
        <v>29175</v>
      </c>
      <c r="C4573" s="502" t="s">
        <v>114</v>
      </c>
      <c r="D4573" s="503" t="s">
        <v>33240</v>
      </c>
      <c r="F4573" t="str">
        <f t="shared" si="143"/>
        <v>94678</v>
      </c>
      <c r="H4573" s="14">
        <f t="shared" si="144"/>
        <v>22.04</v>
      </c>
    </row>
    <row r="4574" spans="1:8" ht="41.4">
      <c r="A4574" s="502" t="s">
        <v>5914</v>
      </c>
      <c r="B4574" s="504" t="s">
        <v>29177</v>
      </c>
      <c r="C4574" s="502" t="s">
        <v>114</v>
      </c>
      <c r="D4574" s="503" t="s">
        <v>16562</v>
      </c>
      <c r="F4574" t="str">
        <f t="shared" si="143"/>
        <v>94679</v>
      </c>
      <c r="H4574" s="14">
        <f t="shared" si="144"/>
        <v>34.92</v>
      </c>
    </row>
    <row r="4575" spans="1:8" ht="41.4">
      <c r="A4575" s="502" t="s">
        <v>5915</v>
      </c>
      <c r="B4575" s="504" t="s">
        <v>29178</v>
      </c>
      <c r="C4575" s="502" t="s">
        <v>114</v>
      </c>
      <c r="D4575" s="503" t="s">
        <v>33241</v>
      </c>
      <c r="F4575" t="str">
        <f t="shared" si="143"/>
        <v>94680</v>
      </c>
      <c r="H4575" s="14">
        <f t="shared" si="144"/>
        <v>65.209999999999994</v>
      </c>
    </row>
    <row r="4576" spans="1:8" ht="41.4">
      <c r="A4576" s="502" t="s">
        <v>5916</v>
      </c>
      <c r="B4576" s="504" t="s">
        <v>29179</v>
      </c>
      <c r="C4576" s="502" t="s">
        <v>114</v>
      </c>
      <c r="D4576" s="503" t="s">
        <v>33242</v>
      </c>
      <c r="F4576" t="str">
        <f t="shared" si="143"/>
        <v>94681</v>
      </c>
      <c r="H4576" s="14">
        <f t="shared" si="144"/>
        <v>73.45</v>
      </c>
    </row>
    <row r="4577" spans="1:8" ht="41.4">
      <c r="A4577" s="502" t="s">
        <v>5917</v>
      </c>
      <c r="B4577" s="504" t="s">
        <v>29180</v>
      </c>
      <c r="C4577" s="502" t="s">
        <v>114</v>
      </c>
      <c r="D4577" s="503" t="s">
        <v>33243</v>
      </c>
      <c r="F4577" t="str">
        <f t="shared" si="143"/>
        <v>94682</v>
      </c>
      <c r="H4577" s="14">
        <f t="shared" si="144"/>
        <v>164.63</v>
      </c>
    </row>
    <row r="4578" spans="1:8" ht="41.4">
      <c r="A4578" s="502" t="s">
        <v>5918</v>
      </c>
      <c r="B4578" s="504" t="s">
        <v>29181</v>
      </c>
      <c r="C4578" s="502" t="s">
        <v>114</v>
      </c>
      <c r="D4578" s="503" t="s">
        <v>33244</v>
      </c>
      <c r="F4578" t="str">
        <f t="shared" si="143"/>
        <v>94683</v>
      </c>
      <c r="H4578" s="14">
        <f t="shared" si="144"/>
        <v>111.76</v>
      </c>
    </row>
    <row r="4579" spans="1:8" ht="41.4">
      <c r="A4579" s="502" t="s">
        <v>5919</v>
      </c>
      <c r="B4579" s="504" t="s">
        <v>29183</v>
      </c>
      <c r="C4579" s="502" t="s">
        <v>114</v>
      </c>
      <c r="D4579" s="503" t="s">
        <v>33245</v>
      </c>
      <c r="F4579" t="str">
        <f t="shared" si="143"/>
        <v>94684</v>
      </c>
      <c r="H4579" s="14">
        <f t="shared" si="144"/>
        <v>198.42</v>
      </c>
    </row>
    <row r="4580" spans="1:8" ht="41.4">
      <c r="A4580" s="502" t="s">
        <v>5920</v>
      </c>
      <c r="B4580" s="504" t="s">
        <v>29184</v>
      </c>
      <c r="C4580" s="502" t="s">
        <v>114</v>
      </c>
      <c r="D4580" s="503" t="s">
        <v>29867</v>
      </c>
      <c r="F4580" t="str">
        <f t="shared" si="143"/>
        <v>94685</v>
      </c>
      <c r="H4580" s="14">
        <f t="shared" si="144"/>
        <v>142.38999999999999</v>
      </c>
    </row>
    <row r="4581" spans="1:8" ht="41.4">
      <c r="A4581" s="502" t="s">
        <v>5921</v>
      </c>
      <c r="B4581" s="504" t="s">
        <v>29185</v>
      </c>
      <c r="C4581" s="502" t="s">
        <v>114</v>
      </c>
      <c r="D4581" s="503" t="s">
        <v>33246</v>
      </c>
      <c r="F4581" t="str">
        <f t="shared" si="143"/>
        <v>94686</v>
      </c>
      <c r="H4581" s="14">
        <f t="shared" si="144"/>
        <v>385.05</v>
      </c>
    </row>
    <row r="4582" spans="1:8" ht="41.4">
      <c r="A4582" s="502" t="s">
        <v>5922</v>
      </c>
      <c r="B4582" s="504" t="s">
        <v>29186</v>
      </c>
      <c r="C4582" s="502" t="s">
        <v>114</v>
      </c>
      <c r="D4582" s="503" t="s">
        <v>33247</v>
      </c>
      <c r="F4582" t="str">
        <f t="shared" si="143"/>
        <v>94687</v>
      </c>
      <c r="H4582" s="14">
        <f t="shared" si="144"/>
        <v>347.86</v>
      </c>
    </row>
    <row r="4583" spans="1:8" ht="41.4">
      <c r="A4583" s="502" t="s">
        <v>5923</v>
      </c>
      <c r="B4583" s="504" t="s">
        <v>29187</v>
      </c>
      <c r="C4583" s="502" t="s">
        <v>114</v>
      </c>
      <c r="D4583" s="503" t="s">
        <v>23984</v>
      </c>
      <c r="F4583" t="str">
        <f t="shared" si="143"/>
        <v>94688</v>
      </c>
      <c r="H4583" s="14">
        <f t="shared" si="144"/>
        <v>9.75</v>
      </c>
    </row>
    <row r="4584" spans="1:8" ht="55.2">
      <c r="A4584" s="502" t="s">
        <v>5924</v>
      </c>
      <c r="B4584" s="504" t="s">
        <v>29188</v>
      </c>
      <c r="C4584" s="502" t="s">
        <v>114</v>
      </c>
      <c r="D4584" s="503" t="s">
        <v>4394</v>
      </c>
      <c r="F4584" t="str">
        <f t="shared" si="143"/>
        <v>94689</v>
      </c>
      <c r="H4584" s="14">
        <f t="shared" si="144"/>
        <v>13.96</v>
      </c>
    </row>
    <row r="4585" spans="1:8" ht="41.4">
      <c r="A4585" s="502" t="s">
        <v>5925</v>
      </c>
      <c r="B4585" s="504" t="s">
        <v>29190</v>
      </c>
      <c r="C4585" s="502" t="s">
        <v>114</v>
      </c>
      <c r="D4585" s="503" t="s">
        <v>7328</v>
      </c>
      <c r="F4585" t="str">
        <f t="shared" si="143"/>
        <v>94690</v>
      </c>
      <c r="H4585" s="14">
        <f t="shared" si="144"/>
        <v>16.38</v>
      </c>
    </row>
    <row r="4586" spans="1:8" ht="41.4">
      <c r="A4586" s="502" t="s">
        <v>5926</v>
      </c>
      <c r="B4586" s="504" t="s">
        <v>29191</v>
      </c>
      <c r="C4586" s="502" t="s">
        <v>114</v>
      </c>
      <c r="D4586" s="503" t="s">
        <v>9480</v>
      </c>
      <c r="F4586" t="str">
        <f t="shared" si="143"/>
        <v>94691</v>
      </c>
      <c r="H4586" s="14">
        <f t="shared" si="144"/>
        <v>20.07</v>
      </c>
    </row>
    <row r="4587" spans="1:8" ht="41.4">
      <c r="A4587" s="502" t="s">
        <v>5927</v>
      </c>
      <c r="B4587" s="504" t="s">
        <v>29192</v>
      </c>
      <c r="C4587" s="502" t="s">
        <v>114</v>
      </c>
      <c r="D4587" s="503" t="s">
        <v>27836</v>
      </c>
      <c r="F4587" t="str">
        <f t="shared" si="143"/>
        <v>94692</v>
      </c>
      <c r="H4587" s="14">
        <f t="shared" si="144"/>
        <v>28.37</v>
      </c>
    </row>
    <row r="4588" spans="1:8" ht="41.4">
      <c r="A4588" s="502" t="s">
        <v>5929</v>
      </c>
      <c r="B4588" s="504" t="s">
        <v>29193</v>
      </c>
      <c r="C4588" s="502" t="s">
        <v>114</v>
      </c>
      <c r="D4588" s="503" t="s">
        <v>4143</v>
      </c>
      <c r="F4588" t="str">
        <f t="shared" si="143"/>
        <v>94693</v>
      </c>
      <c r="H4588" s="14">
        <f t="shared" si="144"/>
        <v>26.28</v>
      </c>
    </row>
    <row r="4589" spans="1:8" ht="41.4">
      <c r="A4589" s="502" t="s">
        <v>5930</v>
      </c>
      <c r="B4589" s="504" t="s">
        <v>29194</v>
      </c>
      <c r="C4589" s="502" t="s">
        <v>114</v>
      </c>
      <c r="D4589" s="503" t="s">
        <v>28817</v>
      </c>
      <c r="F4589" t="str">
        <f t="shared" si="143"/>
        <v>94694</v>
      </c>
      <c r="H4589" s="14">
        <f t="shared" si="144"/>
        <v>34.83</v>
      </c>
    </row>
    <row r="4590" spans="1:8" ht="41.4">
      <c r="A4590" s="502" t="s">
        <v>5931</v>
      </c>
      <c r="B4590" s="504" t="s">
        <v>29195</v>
      </c>
      <c r="C4590" s="502" t="s">
        <v>114</v>
      </c>
      <c r="D4590" s="503" t="s">
        <v>33248</v>
      </c>
      <c r="F4590" t="str">
        <f t="shared" si="143"/>
        <v>94695</v>
      </c>
      <c r="H4590" s="14">
        <f t="shared" si="144"/>
        <v>46.41</v>
      </c>
    </row>
    <row r="4591" spans="1:8" ht="41.4">
      <c r="A4591" s="502" t="s">
        <v>5932</v>
      </c>
      <c r="B4591" s="504" t="s">
        <v>29196</v>
      </c>
      <c r="C4591" s="502" t="s">
        <v>114</v>
      </c>
      <c r="D4591" s="503" t="s">
        <v>10262</v>
      </c>
      <c r="F4591" t="str">
        <f t="shared" si="143"/>
        <v>94696</v>
      </c>
      <c r="H4591" s="14">
        <f t="shared" si="144"/>
        <v>75.58</v>
      </c>
    </row>
    <row r="4592" spans="1:8" ht="41.4">
      <c r="A4592" s="502" t="s">
        <v>5933</v>
      </c>
      <c r="B4592" s="504" t="s">
        <v>29197</v>
      </c>
      <c r="C4592" s="502" t="s">
        <v>114</v>
      </c>
      <c r="D4592" s="503" t="s">
        <v>33249</v>
      </c>
      <c r="F4592" t="str">
        <f t="shared" si="143"/>
        <v>94697</v>
      </c>
      <c r="H4592" s="14">
        <f t="shared" si="144"/>
        <v>130.47999999999999</v>
      </c>
    </row>
    <row r="4593" spans="1:8" ht="41.4">
      <c r="A4593" s="502" t="s">
        <v>5934</v>
      </c>
      <c r="B4593" s="504" t="s">
        <v>29198</v>
      </c>
      <c r="C4593" s="502" t="s">
        <v>114</v>
      </c>
      <c r="D4593" s="503" t="s">
        <v>28829</v>
      </c>
      <c r="F4593" t="str">
        <f t="shared" si="143"/>
        <v>94698</v>
      </c>
      <c r="H4593" s="14">
        <f t="shared" si="144"/>
        <v>100.31</v>
      </c>
    </row>
    <row r="4594" spans="1:8" ht="41.4">
      <c r="A4594" s="502" t="s">
        <v>5935</v>
      </c>
      <c r="B4594" s="504" t="s">
        <v>29199</v>
      </c>
      <c r="C4594" s="502" t="s">
        <v>114</v>
      </c>
      <c r="D4594" s="503" t="s">
        <v>33250</v>
      </c>
      <c r="F4594" t="str">
        <f t="shared" si="143"/>
        <v>94699</v>
      </c>
      <c r="H4594" s="14">
        <f t="shared" si="144"/>
        <v>173.29</v>
      </c>
    </row>
    <row r="4595" spans="1:8" ht="41.4">
      <c r="A4595" s="502" t="s">
        <v>5936</v>
      </c>
      <c r="B4595" s="504" t="s">
        <v>29200</v>
      </c>
      <c r="C4595" s="502" t="s">
        <v>114</v>
      </c>
      <c r="D4595" s="503" t="s">
        <v>29868</v>
      </c>
      <c r="F4595" t="str">
        <f t="shared" si="143"/>
        <v>94700</v>
      </c>
      <c r="H4595" s="14">
        <f t="shared" si="144"/>
        <v>198.45</v>
      </c>
    </row>
    <row r="4596" spans="1:8" ht="41.4">
      <c r="A4596" s="502" t="s">
        <v>5937</v>
      </c>
      <c r="B4596" s="504" t="s">
        <v>29202</v>
      </c>
      <c r="C4596" s="502" t="s">
        <v>114</v>
      </c>
      <c r="D4596" s="503" t="s">
        <v>33251</v>
      </c>
      <c r="F4596" t="str">
        <f t="shared" si="143"/>
        <v>94701</v>
      </c>
      <c r="H4596" s="14">
        <f t="shared" si="144"/>
        <v>342.48</v>
      </c>
    </row>
    <row r="4597" spans="1:8" ht="41.4">
      <c r="A4597" s="502" t="s">
        <v>5938</v>
      </c>
      <c r="B4597" s="504" t="s">
        <v>29203</v>
      </c>
      <c r="C4597" s="502" t="s">
        <v>114</v>
      </c>
      <c r="D4597" s="503" t="s">
        <v>33252</v>
      </c>
      <c r="F4597" t="str">
        <f t="shared" si="143"/>
        <v>94702</v>
      </c>
      <c r="H4597" s="14">
        <f t="shared" si="144"/>
        <v>286.01</v>
      </c>
    </row>
    <row r="4598" spans="1:8" ht="55.2">
      <c r="A4598" s="502" t="s">
        <v>5939</v>
      </c>
      <c r="B4598" s="504" t="s">
        <v>29204</v>
      </c>
      <c r="C4598" s="502" t="s">
        <v>114</v>
      </c>
      <c r="D4598" s="503" t="s">
        <v>33253</v>
      </c>
      <c r="F4598" t="str">
        <f t="shared" si="143"/>
        <v>94703</v>
      </c>
      <c r="H4598" s="14">
        <f t="shared" si="144"/>
        <v>30.22</v>
      </c>
    </row>
    <row r="4599" spans="1:8" ht="55.2">
      <c r="A4599" s="502" t="s">
        <v>5940</v>
      </c>
      <c r="B4599" s="504" t="s">
        <v>29205</v>
      </c>
      <c r="C4599" s="502" t="s">
        <v>114</v>
      </c>
      <c r="D4599" s="503" t="s">
        <v>32397</v>
      </c>
      <c r="F4599" t="str">
        <f t="shared" si="143"/>
        <v>94704</v>
      </c>
      <c r="H4599" s="14">
        <f t="shared" si="144"/>
        <v>40.69</v>
      </c>
    </row>
    <row r="4600" spans="1:8" ht="55.2">
      <c r="A4600" s="502" t="s">
        <v>5941</v>
      </c>
      <c r="B4600" s="504" t="s">
        <v>29206</v>
      </c>
      <c r="C4600" s="502" t="s">
        <v>114</v>
      </c>
      <c r="D4600" s="503" t="s">
        <v>33254</v>
      </c>
      <c r="F4600" t="str">
        <f t="shared" si="143"/>
        <v>94705</v>
      </c>
      <c r="H4600" s="14">
        <f t="shared" si="144"/>
        <v>56.03</v>
      </c>
    </row>
    <row r="4601" spans="1:8" ht="55.2">
      <c r="A4601" s="502" t="s">
        <v>5942</v>
      </c>
      <c r="B4601" s="504" t="s">
        <v>29208</v>
      </c>
      <c r="C4601" s="502" t="s">
        <v>114</v>
      </c>
      <c r="D4601" s="503" t="s">
        <v>33255</v>
      </c>
      <c r="F4601" t="str">
        <f t="shared" si="143"/>
        <v>94706</v>
      </c>
      <c r="H4601" s="14">
        <f t="shared" si="144"/>
        <v>54.62</v>
      </c>
    </row>
    <row r="4602" spans="1:8" ht="55.2">
      <c r="A4602" s="502" t="s">
        <v>5943</v>
      </c>
      <c r="B4602" s="504" t="s">
        <v>29209</v>
      </c>
      <c r="C4602" s="502" t="s">
        <v>114</v>
      </c>
      <c r="D4602" s="503" t="s">
        <v>25580</v>
      </c>
      <c r="F4602" t="str">
        <f t="shared" si="143"/>
        <v>94707</v>
      </c>
      <c r="H4602" s="14">
        <f t="shared" si="144"/>
        <v>87.03</v>
      </c>
    </row>
    <row r="4603" spans="1:8" ht="41.4">
      <c r="A4603" s="502" t="s">
        <v>5944</v>
      </c>
      <c r="B4603" s="504" t="s">
        <v>29210</v>
      </c>
      <c r="C4603" s="502" t="s">
        <v>114</v>
      </c>
      <c r="D4603" s="503" t="s">
        <v>33256</v>
      </c>
      <c r="F4603" t="str">
        <f t="shared" si="143"/>
        <v>94713</v>
      </c>
      <c r="H4603" s="14">
        <f t="shared" si="144"/>
        <v>365.64</v>
      </c>
    </row>
    <row r="4604" spans="1:8" ht="41.4">
      <c r="A4604" s="502" t="s">
        <v>5945</v>
      </c>
      <c r="B4604" s="504" t="s">
        <v>29211</v>
      </c>
      <c r="C4604" s="502" t="s">
        <v>114</v>
      </c>
      <c r="D4604" s="503" t="s">
        <v>33257</v>
      </c>
      <c r="F4604" t="str">
        <f t="shared" si="143"/>
        <v>94714</v>
      </c>
      <c r="H4604" s="14">
        <f t="shared" si="144"/>
        <v>514.20000000000005</v>
      </c>
    </row>
    <row r="4605" spans="1:8" ht="41.4">
      <c r="A4605" s="502" t="s">
        <v>5946</v>
      </c>
      <c r="B4605" s="504" t="s">
        <v>29212</v>
      </c>
      <c r="C4605" s="502" t="s">
        <v>114</v>
      </c>
      <c r="D4605" s="503" t="s">
        <v>33258</v>
      </c>
      <c r="F4605" t="str">
        <f t="shared" si="143"/>
        <v>94715</v>
      </c>
      <c r="H4605" s="14">
        <f t="shared" si="144"/>
        <v>456.31</v>
      </c>
    </row>
    <row r="4606" spans="1:8" ht="41.4">
      <c r="A4606" s="502" t="s">
        <v>5947</v>
      </c>
      <c r="B4606" s="504" t="s">
        <v>29213</v>
      </c>
      <c r="C4606" s="502" t="s">
        <v>114</v>
      </c>
      <c r="D4606" s="503" t="s">
        <v>33259</v>
      </c>
      <c r="F4606" t="str">
        <f t="shared" si="143"/>
        <v>94724</v>
      </c>
      <c r="H4606" s="14">
        <f t="shared" si="144"/>
        <v>37.82</v>
      </c>
    </row>
    <row r="4607" spans="1:8" ht="41.4">
      <c r="A4607" s="502" t="s">
        <v>5948</v>
      </c>
      <c r="B4607" s="504" t="s">
        <v>29214</v>
      </c>
      <c r="C4607" s="502" t="s">
        <v>114</v>
      </c>
      <c r="D4607" s="503" t="s">
        <v>32739</v>
      </c>
      <c r="F4607" t="str">
        <f t="shared" si="143"/>
        <v>94725</v>
      </c>
      <c r="H4607" s="14">
        <f t="shared" si="144"/>
        <v>9.85</v>
      </c>
    </row>
    <row r="4608" spans="1:8" ht="41.4">
      <c r="A4608" s="502" t="s">
        <v>5949</v>
      </c>
      <c r="B4608" s="504" t="s">
        <v>29215</v>
      </c>
      <c r="C4608" s="502" t="s">
        <v>114</v>
      </c>
      <c r="D4608" s="503" t="s">
        <v>22528</v>
      </c>
      <c r="F4608" t="str">
        <f t="shared" si="143"/>
        <v>94726</v>
      </c>
      <c r="H4608" s="14">
        <f t="shared" si="144"/>
        <v>48.73</v>
      </c>
    </row>
    <row r="4609" spans="1:8" ht="41.4">
      <c r="A4609" s="525" t="s">
        <v>5950</v>
      </c>
      <c r="B4609" s="504" t="s">
        <v>29217</v>
      </c>
      <c r="C4609" s="502" t="s">
        <v>114</v>
      </c>
      <c r="D4609" s="503" t="s">
        <v>5007</v>
      </c>
      <c r="F4609" t="str">
        <f t="shared" si="143"/>
        <v>94727</v>
      </c>
      <c r="H4609" s="14">
        <f t="shared" si="144"/>
        <v>16.149999999999999</v>
      </c>
    </row>
    <row r="4610" spans="1:8" ht="41.4">
      <c r="A4610" s="525" t="s">
        <v>5951</v>
      </c>
      <c r="B4610" s="504" t="s">
        <v>29218</v>
      </c>
      <c r="C4610" s="502" t="s">
        <v>114</v>
      </c>
      <c r="D4610" s="503" t="s">
        <v>33260</v>
      </c>
      <c r="F4610" t="str">
        <f t="shared" si="143"/>
        <v>94728</v>
      </c>
      <c r="H4610" s="14">
        <f t="shared" si="144"/>
        <v>76.13</v>
      </c>
    </row>
    <row r="4611" spans="1:8" ht="41.4">
      <c r="A4611" s="525" t="s">
        <v>5952</v>
      </c>
      <c r="B4611" s="504" t="s">
        <v>29219</v>
      </c>
      <c r="C4611" s="502" t="s">
        <v>114</v>
      </c>
      <c r="D4611" s="503" t="s">
        <v>7266</v>
      </c>
      <c r="F4611" t="str">
        <f t="shared" si="143"/>
        <v>94729</v>
      </c>
      <c r="H4611" s="14">
        <f t="shared" si="144"/>
        <v>28.18</v>
      </c>
    </row>
    <row r="4612" spans="1:8" ht="41.4">
      <c r="A4612" s="502" t="s">
        <v>5953</v>
      </c>
      <c r="B4612" s="504" t="s">
        <v>29220</v>
      </c>
      <c r="C4612" s="502" t="s">
        <v>114</v>
      </c>
      <c r="D4612" s="503" t="s">
        <v>33261</v>
      </c>
      <c r="F4612" t="str">
        <f t="shared" si="143"/>
        <v>94730</v>
      </c>
      <c r="H4612" s="14">
        <f t="shared" si="144"/>
        <v>93.35</v>
      </c>
    </row>
    <row r="4613" spans="1:8" ht="41.4">
      <c r="A4613" s="502" t="s">
        <v>5954</v>
      </c>
      <c r="B4613" s="504" t="s">
        <v>29221</v>
      </c>
      <c r="C4613" s="502" t="s">
        <v>114</v>
      </c>
      <c r="D4613" s="503" t="s">
        <v>33262</v>
      </c>
      <c r="F4613" t="str">
        <f t="shared" ref="F4613:F4676" si="145">TRIM(A4613)</f>
        <v>94731</v>
      </c>
      <c r="H4613" s="14">
        <f t="shared" ref="H4613:H4676" si="146">ROUND(D4613*(1+$H$1),2)</f>
        <v>37.44</v>
      </c>
    </row>
    <row r="4614" spans="1:8" ht="41.4">
      <c r="A4614" s="502" t="s">
        <v>25581</v>
      </c>
      <c r="B4614" s="504" t="s">
        <v>29222</v>
      </c>
      <c r="C4614" s="502" t="s">
        <v>114</v>
      </c>
      <c r="D4614" s="503" t="s">
        <v>33263</v>
      </c>
      <c r="F4614" t="str">
        <f t="shared" si="145"/>
        <v>94732</v>
      </c>
      <c r="H4614" s="14">
        <f t="shared" si="146"/>
        <v>149.81</v>
      </c>
    </row>
    <row r="4615" spans="1:8" ht="41.4">
      <c r="A4615" s="502" t="s">
        <v>5955</v>
      </c>
      <c r="B4615" s="504" t="s">
        <v>29223</v>
      </c>
      <c r="C4615" s="502" t="s">
        <v>114</v>
      </c>
      <c r="D4615" s="503" t="s">
        <v>28081</v>
      </c>
      <c r="F4615" t="str">
        <f t="shared" si="145"/>
        <v>94733</v>
      </c>
      <c r="H4615" s="14">
        <f t="shared" si="146"/>
        <v>66.069999999999993</v>
      </c>
    </row>
    <row r="4616" spans="1:8" ht="41.4">
      <c r="A4616" s="502" t="s">
        <v>25582</v>
      </c>
      <c r="B4616" s="504" t="s">
        <v>29224</v>
      </c>
      <c r="C4616" s="502" t="s">
        <v>114</v>
      </c>
      <c r="D4616" s="503" t="s">
        <v>33264</v>
      </c>
      <c r="F4616" t="str">
        <f t="shared" si="145"/>
        <v>94734</v>
      </c>
      <c r="H4616" s="14">
        <f t="shared" si="146"/>
        <v>547.95000000000005</v>
      </c>
    </row>
    <row r="4617" spans="1:8" ht="41.4">
      <c r="A4617" s="502" t="s">
        <v>25583</v>
      </c>
      <c r="B4617" s="504" t="s">
        <v>29225</v>
      </c>
      <c r="C4617" s="502" t="s">
        <v>114</v>
      </c>
      <c r="D4617" s="503" t="s">
        <v>33265</v>
      </c>
      <c r="F4617" t="str">
        <f t="shared" si="145"/>
        <v>94736</v>
      </c>
      <c r="H4617" s="14">
        <f t="shared" si="146"/>
        <v>796.57</v>
      </c>
    </row>
    <row r="4618" spans="1:8" ht="41.4">
      <c r="A4618" s="502" t="s">
        <v>5956</v>
      </c>
      <c r="B4618" s="504" t="s">
        <v>29226</v>
      </c>
      <c r="C4618" s="502" t="s">
        <v>114</v>
      </c>
      <c r="D4618" s="503" t="s">
        <v>33266</v>
      </c>
      <c r="F4618" t="str">
        <f t="shared" si="145"/>
        <v>94737</v>
      </c>
      <c r="H4618" s="14">
        <f t="shared" si="146"/>
        <v>275.92</v>
      </c>
    </row>
    <row r="4619" spans="1:8" ht="41.4">
      <c r="A4619" s="502" t="s">
        <v>25584</v>
      </c>
      <c r="B4619" s="504" t="s">
        <v>29227</v>
      </c>
      <c r="C4619" s="502" t="s">
        <v>114</v>
      </c>
      <c r="D4619" s="503" t="s">
        <v>33267</v>
      </c>
      <c r="F4619" t="str">
        <f t="shared" si="145"/>
        <v>94738</v>
      </c>
      <c r="H4619" s="14">
        <f t="shared" si="146"/>
        <v>2401.2600000000002</v>
      </c>
    </row>
    <row r="4620" spans="1:8" ht="41.4">
      <c r="A4620" s="502" t="s">
        <v>25585</v>
      </c>
      <c r="B4620" s="504" t="s">
        <v>29228</v>
      </c>
      <c r="C4620" s="502" t="s">
        <v>114</v>
      </c>
      <c r="D4620" s="503" t="s">
        <v>33268</v>
      </c>
      <c r="F4620" t="str">
        <f t="shared" si="145"/>
        <v>94739</v>
      </c>
      <c r="H4620" s="14">
        <f t="shared" si="146"/>
        <v>338.23</v>
      </c>
    </row>
    <row r="4621" spans="1:8" ht="41.4">
      <c r="A4621" s="502" t="s">
        <v>5957</v>
      </c>
      <c r="B4621" s="504" t="s">
        <v>29229</v>
      </c>
      <c r="C4621" s="502" t="s">
        <v>114</v>
      </c>
      <c r="D4621" s="503" t="s">
        <v>4743</v>
      </c>
      <c r="F4621" t="str">
        <f t="shared" si="145"/>
        <v>94740</v>
      </c>
      <c r="H4621" s="14">
        <f t="shared" si="146"/>
        <v>13.99</v>
      </c>
    </row>
    <row r="4622" spans="1:8" ht="41.4">
      <c r="A4622" s="502" t="s">
        <v>5958</v>
      </c>
      <c r="B4622" s="504" t="s">
        <v>29231</v>
      </c>
      <c r="C4622" s="502" t="s">
        <v>114</v>
      </c>
      <c r="D4622" s="503" t="s">
        <v>29018</v>
      </c>
      <c r="F4622" t="str">
        <f t="shared" si="145"/>
        <v>94741</v>
      </c>
      <c r="H4622" s="14">
        <f t="shared" si="146"/>
        <v>18.3</v>
      </c>
    </row>
    <row r="4623" spans="1:8" ht="41.4">
      <c r="A4623" s="502" t="s">
        <v>5960</v>
      </c>
      <c r="B4623" s="504" t="s">
        <v>29232</v>
      </c>
      <c r="C4623" s="502" t="s">
        <v>114</v>
      </c>
      <c r="D4623" s="503" t="s">
        <v>9610</v>
      </c>
      <c r="F4623" t="str">
        <f t="shared" si="145"/>
        <v>94742</v>
      </c>
      <c r="H4623" s="14">
        <f t="shared" si="146"/>
        <v>23.52</v>
      </c>
    </row>
    <row r="4624" spans="1:8" ht="41.4">
      <c r="A4624" s="502" t="s">
        <v>5961</v>
      </c>
      <c r="B4624" s="504" t="s">
        <v>29234</v>
      </c>
      <c r="C4624" s="502" t="s">
        <v>114</v>
      </c>
      <c r="D4624" s="503" t="s">
        <v>33269</v>
      </c>
      <c r="F4624" t="str">
        <f t="shared" si="145"/>
        <v>94743</v>
      </c>
      <c r="H4624" s="14">
        <f t="shared" si="146"/>
        <v>29.99</v>
      </c>
    </row>
    <row r="4625" spans="1:8" ht="41.4">
      <c r="A4625" s="502" t="s">
        <v>5962</v>
      </c>
      <c r="B4625" s="504" t="s">
        <v>29235</v>
      </c>
      <c r="C4625" s="502" t="s">
        <v>114</v>
      </c>
      <c r="D4625" s="503" t="s">
        <v>33270</v>
      </c>
      <c r="F4625" t="str">
        <f t="shared" si="145"/>
        <v>94744</v>
      </c>
      <c r="H4625" s="14">
        <f t="shared" si="146"/>
        <v>37.35</v>
      </c>
    </row>
    <row r="4626" spans="1:8" ht="41.4">
      <c r="A4626" s="502" t="s">
        <v>5963</v>
      </c>
      <c r="B4626" s="504" t="s">
        <v>29236</v>
      </c>
      <c r="C4626" s="502" t="s">
        <v>114</v>
      </c>
      <c r="D4626" s="503" t="s">
        <v>33271</v>
      </c>
      <c r="F4626" t="str">
        <f t="shared" si="145"/>
        <v>94746</v>
      </c>
      <c r="H4626" s="14">
        <f t="shared" si="146"/>
        <v>53.81</v>
      </c>
    </row>
    <row r="4627" spans="1:8" ht="41.4">
      <c r="A4627" s="502" t="s">
        <v>5964</v>
      </c>
      <c r="B4627" s="504" t="s">
        <v>29237</v>
      </c>
      <c r="C4627" s="502" t="s">
        <v>114</v>
      </c>
      <c r="D4627" s="503" t="s">
        <v>33272</v>
      </c>
      <c r="F4627" t="str">
        <f t="shared" si="145"/>
        <v>94748</v>
      </c>
      <c r="H4627" s="14">
        <f t="shared" si="146"/>
        <v>119.15</v>
      </c>
    </row>
    <row r="4628" spans="1:8" ht="41.4">
      <c r="A4628" s="502" t="s">
        <v>5965</v>
      </c>
      <c r="B4628" s="504" t="s">
        <v>29239</v>
      </c>
      <c r="C4628" s="502" t="s">
        <v>114</v>
      </c>
      <c r="D4628" s="503" t="s">
        <v>33273</v>
      </c>
      <c r="F4628" t="str">
        <f t="shared" si="145"/>
        <v>94750</v>
      </c>
      <c r="H4628" s="14">
        <f t="shared" si="146"/>
        <v>241.62</v>
      </c>
    </row>
    <row r="4629" spans="1:8" ht="41.4">
      <c r="A4629" s="502" t="s">
        <v>5966</v>
      </c>
      <c r="B4629" s="504" t="s">
        <v>29240</v>
      </c>
      <c r="C4629" s="502" t="s">
        <v>114</v>
      </c>
      <c r="D4629" s="503" t="s">
        <v>33274</v>
      </c>
      <c r="F4629" t="str">
        <f t="shared" si="145"/>
        <v>94752</v>
      </c>
      <c r="H4629" s="14">
        <f t="shared" si="146"/>
        <v>289.74</v>
      </c>
    </row>
    <row r="4630" spans="1:8" ht="41.4">
      <c r="A4630" s="502" t="s">
        <v>25588</v>
      </c>
      <c r="B4630" s="504" t="s">
        <v>29241</v>
      </c>
      <c r="C4630" s="502" t="s">
        <v>114</v>
      </c>
      <c r="D4630" s="503" t="s">
        <v>33275</v>
      </c>
      <c r="F4630" t="str">
        <f t="shared" si="145"/>
        <v>94754</v>
      </c>
      <c r="H4630" s="14">
        <f t="shared" si="146"/>
        <v>414.46</v>
      </c>
    </row>
    <row r="4631" spans="1:8" ht="41.4">
      <c r="A4631" s="502" t="s">
        <v>5967</v>
      </c>
      <c r="B4631" s="504" t="s">
        <v>29242</v>
      </c>
      <c r="C4631" s="502" t="s">
        <v>114</v>
      </c>
      <c r="D4631" s="503" t="s">
        <v>10076</v>
      </c>
      <c r="F4631" t="str">
        <f t="shared" si="145"/>
        <v>94756</v>
      </c>
      <c r="H4631" s="14">
        <f t="shared" si="146"/>
        <v>17.95</v>
      </c>
    </row>
    <row r="4632" spans="1:8" ht="41.4">
      <c r="A4632" s="502" t="s">
        <v>5969</v>
      </c>
      <c r="B4632" s="504" t="s">
        <v>29243</v>
      </c>
      <c r="C4632" s="502" t="s">
        <v>114</v>
      </c>
      <c r="D4632" s="503" t="s">
        <v>33276</v>
      </c>
      <c r="F4632" t="str">
        <f t="shared" si="145"/>
        <v>94757</v>
      </c>
      <c r="H4632" s="14">
        <f t="shared" si="146"/>
        <v>28.46</v>
      </c>
    </row>
    <row r="4633" spans="1:8" ht="41.4">
      <c r="A4633" s="502" t="s">
        <v>5970</v>
      </c>
      <c r="B4633" s="504" t="s">
        <v>29244</v>
      </c>
      <c r="C4633" s="502" t="s">
        <v>114</v>
      </c>
      <c r="D4633" s="503" t="s">
        <v>33277</v>
      </c>
      <c r="F4633" t="str">
        <f t="shared" si="145"/>
        <v>94758</v>
      </c>
      <c r="H4633" s="14">
        <f t="shared" si="146"/>
        <v>73.540000000000006</v>
      </c>
    </row>
    <row r="4634" spans="1:8" ht="41.4">
      <c r="A4634" s="502" t="s">
        <v>5971</v>
      </c>
      <c r="B4634" s="504" t="s">
        <v>29245</v>
      </c>
      <c r="C4634" s="502" t="s">
        <v>114</v>
      </c>
      <c r="D4634" s="503" t="s">
        <v>33278</v>
      </c>
      <c r="F4634" t="str">
        <f t="shared" si="145"/>
        <v>94759</v>
      </c>
      <c r="H4634" s="14">
        <f t="shared" si="146"/>
        <v>93.67</v>
      </c>
    </row>
    <row r="4635" spans="1:8" ht="41.4">
      <c r="A4635" s="502" t="s">
        <v>5972</v>
      </c>
      <c r="B4635" s="504" t="s">
        <v>29246</v>
      </c>
      <c r="C4635" s="502" t="s">
        <v>114</v>
      </c>
      <c r="D4635" s="503" t="s">
        <v>33279</v>
      </c>
      <c r="F4635" t="str">
        <f t="shared" si="145"/>
        <v>94760</v>
      </c>
      <c r="H4635" s="14">
        <f t="shared" si="146"/>
        <v>149.6</v>
      </c>
    </row>
    <row r="4636" spans="1:8" ht="41.4">
      <c r="A4636" s="502" t="s">
        <v>5973</v>
      </c>
      <c r="B4636" s="504" t="s">
        <v>29247</v>
      </c>
      <c r="C4636" s="502" t="s">
        <v>114</v>
      </c>
      <c r="D4636" s="503" t="s">
        <v>33280</v>
      </c>
      <c r="F4636" t="str">
        <f t="shared" si="145"/>
        <v>94761</v>
      </c>
      <c r="H4636" s="14">
        <f t="shared" si="146"/>
        <v>324.95999999999998</v>
      </c>
    </row>
    <row r="4637" spans="1:8" ht="41.4">
      <c r="A4637" s="502" t="s">
        <v>5974</v>
      </c>
      <c r="B4637" s="504" t="s">
        <v>29248</v>
      </c>
      <c r="C4637" s="502" t="s">
        <v>114</v>
      </c>
      <c r="D4637" s="503" t="s">
        <v>33281</v>
      </c>
      <c r="F4637" t="str">
        <f t="shared" si="145"/>
        <v>94762</v>
      </c>
      <c r="H4637" s="14">
        <f t="shared" si="146"/>
        <v>393.35</v>
      </c>
    </row>
    <row r="4638" spans="1:8" ht="41.4">
      <c r="A4638" s="502" t="s">
        <v>25589</v>
      </c>
      <c r="B4638" s="504" t="s">
        <v>29249</v>
      </c>
      <c r="C4638" s="502" t="s">
        <v>114</v>
      </c>
      <c r="D4638" s="503" t="s">
        <v>33282</v>
      </c>
      <c r="F4638" t="str">
        <f t="shared" si="145"/>
        <v>94763</v>
      </c>
      <c r="H4638" s="14">
        <f t="shared" si="146"/>
        <v>515.66</v>
      </c>
    </row>
    <row r="4639" spans="1:8" ht="41.4">
      <c r="A4639" s="502" t="s">
        <v>25590</v>
      </c>
      <c r="B4639" s="504" t="s">
        <v>29250</v>
      </c>
      <c r="C4639" s="502" t="s">
        <v>114</v>
      </c>
      <c r="D4639" s="503" t="s">
        <v>33283</v>
      </c>
      <c r="F4639" t="str">
        <f t="shared" si="145"/>
        <v>94764</v>
      </c>
      <c r="H4639" s="14">
        <f t="shared" si="146"/>
        <v>53.53</v>
      </c>
    </row>
    <row r="4640" spans="1:8" ht="41.4">
      <c r="A4640" s="502" t="s">
        <v>25591</v>
      </c>
      <c r="B4640" s="504" t="s">
        <v>29251</v>
      </c>
      <c r="C4640" s="502" t="s">
        <v>114</v>
      </c>
      <c r="D4640" s="503" t="s">
        <v>33284</v>
      </c>
      <c r="F4640" t="str">
        <f t="shared" si="145"/>
        <v>94765</v>
      </c>
      <c r="H4640" s="14">
        <f t="shared" si="146"/>
        <v>58.99</v>
      </c>
    </row>
    <row r="4641" spans="1:8" ht="41.4">
      <c r="A4641" s="502" t="s">
        <v>25592</v>
      </c>
      <c r="B4641" s="504" t="s">
        <v>29252</v>
      </c>
      <c r="C4641" s="502" t="s">
        <v>114</v>
      </c>
      <c r="D4641" s="503" t="s">
        <v>33285</v>
      </c>
      <c r="F4641" t="str">
        <f t="shared" si="145"/>
        <v>94766</v>
      </c>
      <c r="H4641" s="14">
        <f t="shared" si="146"/>
        <v>65.97</v>
      </c>
    </row>
    <row r="4642" spans="1:8" ht="41.4">
      <c r="A4642" s="502" t="s">
        <v>25593</v>
      </c>
      <c r="B4642" s="504" t="s">
        <v>29253</v>
      </c>
      <c r="C4642" s="502" t="s">
        <v>114</v>
      </c>
      <c r="D4642" s="503" t="s">
        <v>12239</v>
      </c>
      <c r="F4642" t="str">
        <f t="shared" si="145"/>
        <v>94767</v>
      </c>
      <c r="H4642" s="14">
        <f t="shared" si="146"/>
        <v>98.11</v>
      </c>
    </row>
    <row r="4643" spans="1:8" ht="41.4">
      <c r="A4643" s="502" t="s">
        <v>25594</v>
      </c>
      <c r="B4643" s="504" t="s">
        <v>29255</v>
      </c>
      <c r="C4643" s="502" t="s">
        <v>114</v>
      </c>
      <c r="D4643" s="503" t="s">
        <v>29309</v>
      </c>
      <c r="F4643" t="str">
        <f t="shared" si="145"/>
        <v>94768</v>
      </c>
      <c r="H4643" s="14">
        <f t="shared" si="146"/>
        <v>111.18</v>
      </c>
    </row>
    <row r="4644" spans="1:8" ht="41.4">
      <c r="A4644" s="502" t="s">
        <v>25595</v>
      </c>
      <c r="B4644" s="504" t="s">
        <v>29256</v>
      </c>
      <c r="C4644" s="502" t="s">
        <v>114</v>
      </c>
      <c r="D4644" s="503" t="s">
        <v>33286</v>
      </c>
      <c r="F4644" t="str">
        <f t="shared" si="145"/>
        <v>94769</v>
      </c>
      <c r="H4644" s="14">
        <f t="shared" si="146"/>
        <v>148.71</v>
      </c>
    </row>
    <row r="4645" spans="1:8" ht="55.2">
      <c r="A4645" s="502" t="s">
        <v>5975</v>
      </c>
      <c r="B4645" s="504" t="s">
        <v>29257</v>
      </c>
      <c r="C4645" s="502" t="s">
        <v>114</v>
      </c>
      <c r="D4645" s="503" t="s">
        <v>7952</v>
      </c>
      <c r="F4645" t="str">
        <f t="shared" si="145"/>
        <v>94783</v>
      </c>
      <c r="H4645" s="14">
        <f t="shared" si="146"/>
        <v>28.22</v>
      </c>
    </row>
    <row r="4646" spans="1:8" ht="41.4">
      <c r="A4646" s="502" t="s">
        <v>5976</v>
      </c>
      <c r="B4646" s="504" t="s">
        <v>29258</v>
      </c>
      <c r="C4646" s="502" t="s">
        <v>114</v>
      </c>
      <c r="D4646" s="503" t="s">
        <v>33287</v>
      </c>
      <c r="F4646" t="str">
        <f t="shared" si="145"/>
        <v>94863</v>
      </c>
      <c r="H4646" s="14">
        <f t="shared" si="146"/>
        <v>231.95</v>
      </c>
    </row>
    <row r="4647" spans="1:8" ht="41.4">
      <c r="A4647" s="502" t="s">
        <v>5977</v>
      </c>
      <c r="B4647" s="504" t="s">
        <v>25596</v>
      </c>
      <c r="C4647" s="502" t="s">
        <v>114</v>
      </c>
      <c r="D4647" s="503" t="s">
        <v>30059</v>
      </c>
      <c r="F4647" t="str">
        <f t="shared" si="145"/>
        <v>95237</v>
      </c>
      <c r="H4647" s="14">
        <f t="shared" si="146"/>
        <v>36.909999999999997</v>
      </c>
    </row>
    <row r="4648" spans="1:8" ht="41.4">
      <c r="A4648" s="502" t="s">
        <v>5978</v>
      </c>
      <c r="B4648" s="504" t="s">
        <v>25597</v>
      </c>
      <c r="C4648" s="502" t="s">
        <v>114</v>
      </c>
      <c r="D4648" s="503" t="s">
        <v>21061</v>
      </c>
      <c r="F4648" t="str">
        <f t="shared" si="145"/>
        <v>95693</v>
      </c>
      <c r="H4648" s="14">
        <f t="shared" si="146"/>
        <v>81.78</v>
      </c>
    </row>
    <row r="4649" spans="1:8" ht="41.4">
      <c r="A4649" s="502" t="s">
        <v>5979</v>
      </c>
      <c r="B4649" s="504" t="s">
        <v>25598</v>
      </c>
      <c r="C4649" s="502" t="s">
        <v>114</v>
      </c>
      <c r="D4649" s="503" t="s">
        <v>33288</v>
      </c>
      <c r="F4649" t="str">
        <f t="shared" si="145"/>
        <v>95694</v>
      </c>
      <c r="H4649" s="14">
        <f t="shared" si="146"/>
        <v>84.83</v>
      </c>
    </row>
    <row r="4650" spans="1:8" ht="41.4">
      <c r="A4650" s="502" t="s">
        <v>5980</v>
      </c>
      <c r="B4650" s="504" t="s">
        <v>25599</v>
      </c>
      <c r="C4650" s="502" t="s">
        <v>114</v>
      </c>
      <c r="D4650" s="503" t="s">
        <v>32012</v>
      </c>
      <c r="F4650" t="str">
        <f t="shared" si="145"/>
        <v>95695</v>
      </c>
      <c r="H4650" s="14">
        <f t="shared" si="146"/>
        <v>95.37</v>
      </c>
    </row>
    <row r="4651" spans="1:8" ht="27.6">
      <c r="A4651" s="502" t="s">
        <v>5981</v>
      </c>
      <c r="B4651" s="504" t="s">
        <v>13331</v>
      </c>
      <c r="C4651" s="502" t="s">
        <v>114</v>
      </c>
      <c r="D4651" s="503" t="s">
        <v>16208</v>
      </c>
      <c r="F4651" t="str">
        <f t="shared" si="145"/>
        <v>95696</v>
      </c>
      <c r="H4651" s="14">
        <f t="shared" si="146"/>
        <v>66.430000000000007</v>
      </c>
    </row>
    <row r="4652" spans="1:8" ht="41.4">
      <c r="A4652" s="502" t="s">
        <v>5982</v>
      </c>
      <c r="B4652" s="504" t="s">
        <v>25600</v>
      </c>
      <c r="C4652" s="502" t="s">
        <v>114</v>
      </c>
      <c r="D4652" s="503" t="s">
        <v>16572</v>
      </c>
      <c r="F4652" t="str">
        <f t="shared" si="145"/>
        <v>96637</v>
      </c>
      <c r="H4652" s="14">
        <f t="shared" si="146"/>
        <v>22.13</v>
      </c>
    </row>
    <row r="4653" spans="1:8" ht="41.4">
      <c r="A4653" s="502" t="s">
        <v>5983</v>
      </c>
      <c r="B4653" s="504" t="s">
        <v>25601</v>
      </c>
      <c r="C4653" s="502" t="s">
        <v>114</v>
      </c>
      <c r="D4653" s="503" t="s">
        <v>10043</v>
      </c>
      <c r="F4653" t="str">
        <f t="shared" si="145"/>
        <v>96638</v>
      </c>
      <c r="H4653" s="14">
        <f t="shared" si="146"/>
        <v>22.59</v>
      </c>
    </row>
    <row r="4654" spans="1:8" ht="41.4">
      <c r="A4654" s="502" t="s">
        <v>5984</v>
      </c>
      <c r="B4654" s="504" t="s">
        <v>25602</v>
      </c>
      <c r="C4654" s="502" t="s">
        <v>114</v>
      </c>
      <c r="D4654" s="503" t="s">
        <v>9981</v>
      </c>
      <c r="F4654" t="str">
        <f t="shared" si="145"/>
        <v>96639</v>
      </c>
      <c r="H4654" s="14">
        <f t="shared" si="146"/>
        <v>15.31</v>
      </c>
    </row>
    <row r="4655" spans="1:8" ht="41.4">
      <c r="A4655" s="502" t="s">
        <v>5985</v>
      </c>
      <c r="B4655" s="504" t="s">
        <v>25603</v>
      </c>
      <c r="C4655" s="502" t="s">
        <v>114</v>
      </c>
      <c r="D4655" s="503" t="s">
        <v>28948</v>
      </c>
      <c r="F4655" t="str">
        <f t="shared" si="145"/>
        <v>96640</v>
      </c>
      <c r="H4655" s="14">
        <f t="shared" si="146"/>
        <v>31.69</v>
      </c>
    </row>
    <row r="4656" spans="1:8" ht="41.4">
      <c r="A4656" s="502" t="s">
        <v>5986</v>
      </c>
      <c r="B4656" s="504" t="s">
        <v>25604</v>
      </c>
      <c r="C4656" s="502" t="s">
        <v>114</v>
      </c>
      <c r="D4656" s="503" t="s">
        <v>29034</v>
      </c>
      <c r="F4656" t="str">
        <f t="shared" si="145"/>
        <v>96641</v>
      </c>
      <c r="H4656" s="14">
        <f t="shared" si="146"/>
        <v>21.72</v>
      </c>
    </row>
    <row r="4657" spans="1:8" ht="41.4">
      <c r="A4657" s="502" t="s">
        <v>5987</v>
      </c>
      <c r="B4657" s="504" t="s">
        <v>25605</v>
      </c>
      <c r="C4657" s="502" t="s">
        <v>114</v>
      </c>
      <c r="D4657" s="503" t="s">
        <v>10325</v>
      </c>
      <c r="F4657" t="str">
        <f t="shared" si="145"/>
        <v>96642</v>
      </c>
      <c r="H4657" s="14">
        <f t="shared" si="146"/>
        <v>29.22</v>
      </c>
    </row>
    <row r="4658" spans="1:8" ht="41.4">
      <c r="A4658" s="502" t="s">
        <v>5988</v>
      </c>
      <c r="B4658" s="504" t="s">
        <v>25606</v>
      </c>
      <c r="C4658" s="502" t="s">
        <v>114</v>
      </c>
      <c r="D4658" s="503" t="s">
        <v>29261</v>
      </c>
      <c r="F4658" t="str">
        <f t="shared" si="145"/>
        <v>96643</v>
      </c>
      <c r="H4658" s="14">
        <f t="shared" si="146"/>
        <v>55.99</v>
      </c>
    </row>
    <row r="4659" spans="1:8" ht="41.4">
      <c r="A4659" s="502" t="s">
        <v>5989</v>
      </c>
      <c r="B4659" s="504" t="s">
        <v>25607</v>
      </c>
      <c r="C4659" s="502" t="s">
        <v>114</v>
      </c>
      <c r="D4659" s="503" t="s">
        <v>9788</v>
      </c>
      <c r="F4659" t="str">
        <f t="shared" si="145"/>
        <v>96650</v>
      </c>
      <c r="H4659" s="14">
        <f t="shared" si="146"/>
        <v>12.1</v>
      </c>
    </row>
    <row r="4660" spans="1:8" ht="41.4">
      <c r="A4660" s="502" t="s">
        <v>5990</v>
      </c>
      <c r="B4660" s="504" t="s">
        <v>25608</v>
      </c>
      <c r="C4660" s="502" t="s">
        <v>114</v>
      </c>
      <c r="D4660" s="503" t="s">
        <v>10710</v>
      </c>
      <c r="F4660" t="str">
        <f t="shared" si="145"/>
        <v>96651</v>
      </c>
      <c r="H4660" s="14">
        <f t="shared" si="146"/>
        <v>12.55</v>
      </c>
    </row>
    <row r="4661" spans="1:8" ht="41.4">
      <c r="A4661" s="502" t="s">
        <v>5991</v>
      </c>
      <c r="B4661" s="504" t="s">
        <v>25609</v>
      </c>
      <c r="C4661" s="502" t="s">
        <v>114</v>
      </c>
      <c r="D4661" s="503" t="s">
        <v>26400</v>
      </c>
      <c r="F4661" t="str">
        <f t="shared" si="145"/>
        <v>96652</v>
      </c>
      <c r="H4661" s="14">
        <f t="shared" si="146"/>
        <v>14.14</v>
      </c>
    </row>
    <row r="4662" spans="1:8" ht="41.4">
      <c r="A4662" s="502" t="s">
        <v>5992</v>
      </c>
      <c r="B4662" s="504" t="s">
        <v>25610</v>
      </c>
      <c r="C4662" s="502" t="s">
        <v>114</v>
      </c>
      <c r="D4662" s="503" t="s">
        <v>29788</v>
      </c>
      <c r="F4662" t="str">
        <f t="shared" si="145"/>
        <v>96653</v>
      </c>
      <c r="H4662" s="14">
        <f t="shared" si="146"/>
        <v>18</v>
      </c>
    </row>
    <row r="4663" spans="1:8" ht="41.4">
      <c r="A4663" s="502" t="s">
        <v>5993</v>
      </c>
      <c r="B4663" s="504" t="s">
        <v>25611</v>
      </c>
      <c r="C4663" s="502" t="s">
        <v>114</v>
      </c>
      <c r="D4663" s="503" t="s">
        <v>7223</v>
      </c>
      <c r="F4663" t="str">
        <f t="shared" si="145"/>
        <v>96654</v>
      </c>
      <c r="H4663" s="14">
        <f t="shared" si="146"/>
        <v>20.32</v>
      </c>
    </row>
    <row r="4664" spans="1:8" ht="41.4">
      <c r="A4664" s="502" t="s">
        <v>5994</v>
      </c>
      <c r="B4664" s="504" t="s">
        <v>25612</v>
      </c>
      <c r="C4664" s="502" t="s">
        <v>114</v>
      </c>
      <c r="D4664" s="503" t="s">
        <v>6532</v>
      </c>
      <c r="F4664" t="str">
        <f t="shared" si="145"/>
        <v>96655</v>
      </c>
      <c r="H4664" s="14">
        <f t="shared" si="146"/>
        <v>26.62</v>
      </c>
    </row>
    <row r="4665" spans="1:8" ht="41.4">
      <c r="A4665" s="502" t="s">
        <v>5995</v>
      </c>
      <c r="B4665" s="504" t="s">
        <v>25613</v>
      </c>
      <c r="C4665" s="502" t="s">
        <v>114</v>
      </c>
      <c r="D4665" s="503" t="s">
        <v>3104</v>
      </c>
      <c r="F4665" t="str">
        <f t="shared" si="145"/>
        <v>96656</v>
      </c>
      <c r="H4665" s="14">
        <f t="shared" si="146"/>
        <v>8.6300000000000008</v>
      </c>
    </row>
    <row r="4666" spans="1:8" ht="41.4">
      <c r="A4666" s="502" t="s">
        <v>5996</v>
      </c>
      <c r="B4666" s="504" t="s">
        <v>25614</v>
      </c>
      <c r="C4666" s="502" t="s">
        <v>114</v>
      </c>
      <c r="D4666" s="503" t="s">
        <v>18530</v>
      </c>
      <c r="F4666" t="str">
        <f t="shared" si="145"/>
        <v>96657</v>
      </c>
      <c r="H4666" s="14">
        <f t="shared" si="146"/>
        <v>28.72</v>
      </c>
    </row>
    <row r="4667" spans="1:8" ht="41.4">
      <c r="A4667" s="502" t="s">
        <v>5997</v>
      </c>
      <c r="B4667" s="504" t="s">
        <v>25616</v>
      </c>
      <c r="C4667" s="502" t="s">
        <v>114</v>
      </c>
      <c r="D4667" s="503" t="s">
        <v>10400</v>
      </c>
      <c r="F4667" t="str">
        <f t="shared" si="145"/>
        <v>96658</v>
      </c>
      <c r="H4667" s="14">
        <f t="shared" si="146"/>
        <v>18.75</v>
      </c>
    </row>
    <row r="4668" spans="1:8" ht="41.4">
      <c r="A4668" s="502" t="s">
        <v>5998</v>
      </c>
      <c r="B4668" s="504" t="s">
        <v>25617</v>
      </c>
      <c r="C4668" s="502" t="s">
        <v>114</v>
      </c>
      <c r="D4668" s="503" t="s">
        <v>7211</v>
      </c>
      <c r="F4668" t="str">
        <f t="shared" si="145"/>
        <v>96659</v>
      </c>
      <c r="H4668" s="14">
        <f t="shared" si="146"/>
        <v>10.95</v>
      </c>
    </row>
    <row r="4669" spans="1:8" ht="41.4">
      <c r="A4669" s="502" t="s">
        <v>5999</v>
      </c>
      <c r="B4669" s="504" t="s">
        <v>29259</v>
      </c>
      <c r="C4669" s="502" t="s">
        <v>114</v>
      </c>
      <c r="D4669" s="503" t="s">
        <v>33289</v>
      </c>
      <c r="F4669" t="str">
        <f t="shared" si="145"/>
        <v>96660</v>
      </c>
      <c r="H4669" s="14">
        <f t="shared" si="146"/>
        <v>38.6</v>
      </c>
    </row>
    <row r="4670" spans="1:8" ht="41.4">
      <c r="A4670" s="502" t="s">
        <v>6000</v>
      </c>
      <c r="B4670" s="504" t="s">
        <v>29260</v>
      </c>
      <c r="C4670" s="502" t="s">
        <v>114</v>
      </c>
      <c r="D4670" s="503" t="s">
        <v>30054</v>
      </c>
      <c r="F4670" t="str">
        <f t="shared" si="145"/>
        <v>96661</v>
      </c>
      <c r="H4670" s="14">
        <f t="shared" si="146"/>
        <v>38.24</v>
      </c>
    </row>
    <row r="4671" spans="1:8" ht="41.4">
      <c r="A4671" s="502" t="s">
        <v>6002</v>
      </c>
      <c r="B4671" s="504" t="s">
        <v>25618</v>
      </c>
      <c r="C4671" s="502" t="s">
        <v>114</v>
      </c>
      <c r="D4671" s="503" t="s">
        <v>28856</v>
      </c>
      <c r="F4671" t="str">
        <f t="shared" si="145"/>
        <v>96662</v>
      </c>
      <c r="H4671" s="14">
        <f t="shared" si="146"/>
        <v>12.02</v>
      </c>
    </row>
    <row r="4672" spans="1:8" ht="41.4">
      <c r="A4672" s="502" t="s">
        <v>6003</v>
      </c>
      <c r="B4672" s="504" t="s">
        <v>25619</v>
      </c>
      <c r="C4672" s="502" t="s">
        <v>114</v>
      </c>
      <c r="D4672" s="503" t="s">
        <v>10186</v>
      </c>
      <c r="F4672" t="str">
        <f t="shared" si="145"/>
        <v>96663</v>
      </c>
      <c r="H4672" s="14">
        <f t="shared" si="146"/>
        <v>19.71</v>
      </c>
    </row>
    <row r="4673" spans="1:8" ht="41.4">
      <c r="A4673" s="502" t="s">
        <v>6004</v>
      </c>
      <c r="B4673" s="504" t="s">
        <v>25620</v>
      </c>
      <c r="C4673" s="502" t="s">
        <v>114</v>
      </c>
      <c r="D4673" s="503" t="s">
        <v>21109</v>
      </c>
      <c r="F4673" t="str">
        <f t="shared" si="145"/>
        <v>96664</v>
      </c>
      <c r="H4673" s="14">
        <f t="shared" si="146"/>
        <v>21.45</v>
      </c>
    </row>
    <row r="4674" spans="1:8" ht="41.4">
      <c r="A4674" s="502" t="s">
        <v>6005</v>
      </c>
      <c r="B4674" s="504" t="s">
        <v>25621</v>
      </c>
      <c r="C4674" s="502" t="s">
        <v>114</v>
      </c>
      <c r="D4674" s="503" t="s">
        <v>7291</v>
      </c>
      <c r="F4674" t="str">
        <f t="shared" si="145"/>
        <v>96665</v>
      </c>
      <c r="H4674" s="14">
        <f t="shared" si="146"/>
        <v>15.82</v>
      </c>
    </row>
    <row r="4675" spans="1:8" ht="41.4">
      <c r="A4675" s="502" t="s">
        <v>6006</v>
      </c>
      <c r="B4675" s="504" t="s">
        <v>25622</v>
      </c>
      <c r="C4675" s="502" t="s">
        <v>114</v>
      </c>
      <c r="D4675" s="503" t="s">
        <v>9977</v>
      </c>
      <c r="F4675" t="str">
        <f t="shared" si="145"/>
        <v>96666</v>
      </c>
      <c r="H4675" s="14">
        <f t="shared" si="146"/>
        <v>21.85</v>
      </c>
    </row>
    <row r="4676" spans="1:8" ht="41.4">
      <c r="A4676" s="502" t="s">
        <v>6007</v>
      </c>
      <c r="B4676" s="504" t="s">
        <v>25623</v>
      </c>
      <c r="C4676" s="502" t="s">
        <v>114</v>
      </c>
      <c r="D4676" s="503" t="s">
        <v>4314</v>
      </c>
      <c r="F4676" t="str">
        <f t="shared" si="145"/>
        <v>96667</v>
      </c>
      <c r="H4676" s="14">
        <f t="shared" si="146"/>
        <v>30.05</v>
      </c>
    </row>
    <row r="4677" spans="1:8" ht="41.4">
      <c r="A4677" s="502" t="s">
        <v>6008</v>
      </c>
      <c r="B4677" s="504" t="s">
        <v>25624</v>
      </c>
      <c r="C4677" s="502" t="s">
        <v>114</v>
      </c>
      <c r="D4677" s="503" t="s">
        <v>5206</v>
      </c>
      <c r="F4677" t="str">
        <f t="shared" ref="F4677:F4740" si="147">TRIM(A4677)</f>
        <v>96684</v>
      </c>
      <c r="H4677" s="14">
        <f t="shared" ref="H4677:H4740" si="148">ROUND(D4677*(1+$H$1),2)</f>
        <v>15.72</v>
      </c>
    </row>
    <row r="4678" spans="1:8" ht="41.4">
      <c r="A4678" s="502" t="s">
        <v>6010</v>
      </c>
      <c r="B4678" s="504" t="s">
        <v>25625</v>
      </c>
      <c r="C4678" s="502" t="s">
        <v>114</v>
      </c>
      <c r="D4678" s="503" t="s">
        <v>31646</v>
      </c>
      <c r="F4678" t="str">
        <f t="shared" si="147"/>
        <v>96685</v>
      </c>
      <c r="H4678" s="14">
        <f t="shared" si="148"/>
        <v>16.18</v>
      </c>
    </row>
    <row r="4679" spans="1:8" ht="41.4">
      <c r="A4679" s="502" t="s">
        <v>6011</v>
      </c>
      <c r="B4679" s="504" t="s">
        <v>25626</v>
      </c>
      <c r="C4679" s="502" t="s">
        <v>114</v>
      </c>
      <c r="D4679" s="503" t="s">
        <v>7363</v>
      </c>
      <c r="F4679" t="str">
        <f t="shared" si="147"/>
        <v>96686</v>
      </c>
      <c r="H4679" s="14">
        <f t="shared" si="148"/>
        <v>20.079999999999998</v>
      </c>
    </row>
    <row r="4680" spans="1:8" ht="41.4">
      <c r="A4680" s="502" t="s">
        <v>6012</v>
      </c>
      <c r="B4680" s="504" t="s">
        <v>25627</v>
      </c>
      <c r="C4680" s="502" t="s">
        <v>114</v>
      </c>
      <c r="D4680" s="503" t="s">
        <v>16469</v>
      </c>
      <c r="F4680" t="str">
        <f t="shared" si="147"/>
        <v>96687</v>
      </c>
      <c r="H4680" s="14">
        <f t="shared" si="148"/>
        <v>23.95</v>
      </c>
    </row>
    <row r="4681" spans="1:8" ht="41.4">
      <c r="A4681" s="502" t="s">
        <v>6013</v>
      </c>
      <c r="B4681" s="504" t="s">
        <v>25628</v>
      </c>
      <c r="C4681" s="502" t="s">
        <v>114</v>
      </c>
      <c r="D4681" s="503" t="s">
        <v>16201</v>
      </c>
      <c r="F4681" t="str">
        <f t="shared" si="147"/>
        <v>96688</v>
      </c>
      <c r="H4681" s="14">
        <f t="shared" si="148"/>
        <v>28.94</v>
      </c>
    </row>
    <row r="4682" spans="1:8" ht="41.4">
      <c r="A4682" s="502" t="s">
        <v>6015</v>
      </c>
      <c r="B4682" s="504" t="s">
        <v>25629</v>
      </c>
      <c r="C4682" s="502" t="s">
        <v>114</v>
      </c>
      <c r="D4682" s="503" t="s">
        <v>16463</v>
      </c>
      <c r="F4682" t="str">
        <f t="shared" si="147"/>
        <v>96689</v>
      </c>
      <c r="H4682" s="14">
        <f t="shared" si="148"/>
        <v>35.24</v>
      </c>
    </row>
    <row r="4683" spans="1:8" ht="41.4">
      <c r="A4683" s="502" t="s">
        <v>6017</v>
      </c>
      <c r="B4683" s="504" t="s">
        <v>25630</v>
      </c>
      <c r="C4683" s="502" t="s">
        <v>114</v>
      </c>
      <c r="D4683" s="503" t="s">
        <v>30305</v>
      </c>
      <c r="F4683" t="str">
        <f t="shared" si="147"/>
        <v>96690</v>
      </c>
      <c r="H4683" s="14">
        <f t="shared" si="148"/>
        <v>39.64</v>
      </c>
    </row>
    <row r="4684" spans="1:8" ht="41.4">
      <c r="A4684" s="502" t="s">
        <v>6018</v>
      </c>
      <c r="B4684" s="504" t="s">
        <v>25631</v>
      </c>
      <c r="C4684" s="502" t="s">
        <v>114</v>
      </c>
      <c r="D4684" s="503" t="s">
        <v>9589</v>
      </c>
      <c r="F4684" t="str">
        <f t="shared" si="147"/>
        <v>96691</v>
      </c>
      <c r="H4684" s="14">
        <f t="shared" si="148"/>
        <v>49.62</v>
      </c>
    </row>
    <row r="4685" spans="1:8" ht="41.4">
      <c r="A4685" s="502" t="s">
        <v>6019</v>
      </c>
      <c r="B4685" s="504" t="s">
        <v>25632</v>
      </c>
      <c r="C4685" s="502" t="s">
        <v>114</v>
      </c>
      <c r="D4685" s="503" t="s">
        <v>10618</v>
      </c>
      <c r="F4685" t="str">
        <f t="shared" si="147"/>
        <v>96692</v>
      </c>
      <c r="H4685" s="14">
        <f t="shared" si="148"/>
        <v>55.34</v>
      </c>
    </row>
    <row r="4686" spans="1:8" ht="41.4">
      <c r="A4686" s="502" t="s">
        <v>6020</v>
      </c>
      <c r="B4686" s="504" t="s">
        <v>25633</v>
      </c>
      <c r="C4686" s="502" t="s">
        <v>114</v>
      </c>
      <c r="D4686" s="503" t="s">
        <v>28855</v>
      </c>
      <c r="F4686" t="str">
        <f t="shared" si="147"/>
        <v>96693</v>
      </c>
      <c r="H4686" s="14">
        <f t="shared" si="148"/>
        <v>73.14</v>
      </c>
    </row>
    <row r="4687" spans="1:8" ht="41.4">
      <c r="A4687" s="502" t="s">
        <v>6021</v>
      </c>
      <c r="B4687" s="504" t="s">
        <v>25634</v>
      </c>
      <c r="C4687" s="502" t="s">
        <v>114</v>
      </c>
      <c r="D4687" s="503" t="s">
        <v>33290</v>
      </c>
      <c r="F4687" t="str">
        <f t="shared" si="147"/>
        <v>96694</v>
      </c>
      <c r="H4687" s="14">
        <f t="shared" si="148"/>
        <v>112.34</v>
      </c>
    </row>
    <row r="4688" spans="1:8" ht="41.4">
      <c r="A4688" s="502" t="s">
        <v>6022</v>
      </c>
      <c r="B4688" s="504" t="s">
        <v>25635</v>
      </c>
      <c r="C4688" s="502" t="s">
        <v>114</v>
      </c>
      <c r="D4688" s="503" t="s">
        <v>16222</v>
      </c>
      <c r="F4688" t="str">
        <f t="shared" si="147"/>
        <v>96695</v>
      </c>
      <c r="H4688" s="14">
        <f t="shared" si="148"/>
        <v>123.2</v>
      </c>
    </row>
    <row r="4689" spans="1:8" ht="41.4">
      <c r="A4689" s="502" t="s">
        <v>6023</v>
      </c>
      <c r="B4689" s="504" t="s">
        <v>25636</v>
      </c>
      <c r="C4689" s="502" t="s">
        <v>114</v>
      </c>
      <c r="D4689" s="503" t="s">
        <v>28060</v>
      </c>
      <c r="F4689" t="str">
        <f t="shared" si="147"/>
        <v>96696</v>
      </c>
      <c r="H4689" s="14">
        <f t="shared" si="148"/>
        <v>139.86000000000001</v>
      </c>
    </row>
    <row r="4690" spans="1:8" ht="41.4">
      <c r="A4690" s="502" t="s">
        <v>6024</v>
      </c>
      <c r="B4690" s="504" t="s">
        <v>25637</v>
      </c>
      <c r="C4690" s="502" t="s">
        <v>114</v>
      </c>
      <c r="D4690" s="503" t="s">
        <v>33291</v>
      </c>
      <c r="F4690" t="str">
        <f t="shared" si="147"/>
        <v>96697</v>
      </c>
      <c r="H4690" s="14">
        <f t="shared" si="148"/>
        <v>401.12</v>
      </c>
    </row>
    <row r="4691" spans="1:8" ht="41.4">
      <c r="A4691" s="502" t="s">
        <v>6025</v>
      </c>
      <c r="B4691" s="504" t="s">
        <v>25638</v>
      </c>
      <c r="C4691" s="502" t="s">
        <v>114</v>
      </c>
      <c r="D4691" s="503" t="s">
        <v>23966</v>
      </c>
      <c r="F4691" t="str">
        <f t="shared" si="147"/>
        <v>96698</v>
      </c>
      <c r="H4691" s="14">
        <f t="shared" si="148"/>
        <v>11.05</v>
      </c>
    </row>
    <row r="4692" spans="1:8" ht="41.4">
      <c r="A4692" s="502" t="s">
        <v>6027</v>
      </c>
      <c r="B4692" s="504" t="s">
        <v>29264</v>
      </c>
      <c r="C4692" s="502" t="s">
        <v>114</v>
      </c>
      <c r="D4692" s="503" t="s">
        <v>33292</v>
      </c>
      <c r="F4692" t="str">
        <f t="shared" si="147"/>
        <v>96699</v>
      </c>
      <c r="H4692" s="14">
        <f t="shared" si="148"/>
        <v>31.13</v>
      </c>
    </row>
    <row r="4693" spans="1:8" ht="41.4">
      <c r="A4693" s="502" t="s">
        <v>6028</v>
      </c>
      <c r="B4693" s="504" t="s">
        <v>29265</v>
      </c>
      <c r="C4693" s="502" t="s">
        <v>114</v>
      </c>
      <c r="D4693" s="503" t="s">
        <v>7949</v>
      </c>
      <c r="F4693" t="str">
        <f t="shared" si="147"/>
        <v>96700</v>
      </c>
      <c r="H4693" s="14">
        <f t="shared" si="148"/>
        <v>21.16</v>
      </c>
    </row>
    <row r="4694" spans="1:8" ht="41.4">
      <c r="A4694" s="502" t="s">
        <v>6029</v>
      </c>
      <c r="B4694" s="504" t="s">
        <v>25639</v>
      </c>
      <c r="C4694" s="502" t="s">
        <v>114</v>
      </c>
      <c r="D4694" s="503" t="s">
        <v>16475</v>
      </c>
      <c r="F4694" t="str">
        <f t="shared" si="147"/>
        <v>96701</v>
      </c>
      <c r="H4694" s="14">
        <f t="shared" si="148"/>
        <v>14.91</v>
      </c>
    </row>
    <row r="4695" spans="1:8" ht="41.4">
      <c r="A4695" s="502" t="s">
        <v>6030</v>
      </c>
      <c r="B4695" s="504" t="s">
        <v>25640</v>
      </c>
      <c r="C4695" s="502" t="s">
        <v>114</v>
      </c>
      <c r="D4695" s="503" t="s">
        <v>9866</v>
      </c>
      <c r="F4695" t="str">
        <f t="shared" si="147"/>
        <v>96702</v>
      </c>
      <c r="H4695" s="14">
        <f t="shared" si="148"/>
        <v>15.22</v>
      </c>
    </row>
    <row r="4696" spans="1:8" ht="41.4">
      <c r="A4696" s="502" t="s">
        <v>6032</v>
      </c>
      <c r="B4696" s="504" t="s">
        <v>25641</v>
      </c>
      <c r="C4696" s="502" t="s">
        <v>114</v>
      </c>
      <c r="D4696" s="503" t="s">
        <v>20887</v>
      </c>
      <c r="F4696" t="str">
        <f t="shared" si="147"/>
        <v>96703</v>
      </c>
      <c r="H4696" s="14">
        <f t="shared" si="148"/>
        <v>25.45</v>
      </c>
    </row>
    <row r="4697" spans="1:8" ht="41.4">
      <c r="A4697" s="502" t="s">
        <v>6033</v>
      </c>
      <c r="B4697" s="504" t="s">
        <v>25642</v>
      </c>
      <c r="C4697" s="502" t="s">
        <v>114</v>
      </c>
      <c r="D4697" s="503" t="s">
        <v>10163</v>
      </c>
      <c r="F4697" t="str">
        <f t="shared" si="147"/>
        <v>96704</v>
      </c>
      <c r="H4697" s="14">
        <f t="shared" si="148"/>
        <v>25.54</v>
      </c>
    </row>
    <row r="4698" spans="1:8" ht="41.4">
      <c r="A4698" s="502" t="s">
        <v>6034</v>
      </c>
      <c r="B4698" s="504" t="s">
        <v>25643</v>
      </c>
      <c r="C4698" s="502" t="s">
        <v>114</v>
      </c>
      <c r="D4698" s="503" t="s">
        <v>33293</v>
      </c>
      <c r="F4698" t="str">
        <f t="shared" si="147"/>
        <v>96705</v>
      </c>
      <c r="H4698" s="14">
        <f t="shared" si="148"/>
        <v>30.87</v>
      </c>
    </row>
    <row r="4699" spans="1:8" ht="41.4">
      <c r="A4699" s="502" t="s">
        <v>6036</v>
      </c>
      <c r="B4699" s="504" t="s">
        <v>25644</v>
      </c>
      <c r="C4699" s="502" t="s">
        <v>114</v>
      </c>
      <c r="D4699" s="503" t="s">
        <v>15825</v>
      </c>
      <c r="F4699" t="str">
        <f t="shared" si="147"/>
        <v>96706</v>
      </c>
      <c r="H4699" s="14">
        <f t="shared" si="148"/>
        <v>45.03</v>
      </c>
    </row>
    <row r="4700" spans="1:8" ht="41.4">
      <c r="A4700" s="502" t="s">
        <v>6037</v>
      </c>
      <c r="B4700" s="504" t="s">
        <v>25645</v>
      </c>
      <c r="C4700" s="502" t="s">
        <v>114</v>
      </c>
      <c r="D4700" s="503" t="s">
        <v>29997</v>
      </c>
      <c r="F4700" t="str">
        <f t="shared" si="147"/>
        <v>96707</v>
      </c>
      <c r="H4700" s="14">
        <f t="shared" si="148"/>
        <v>70.849999999999994</v>
      </c>
    </row>
    <row r="4701" spans="1:8" ht="41.4">
      <c r="A4701" s="502" t="s">
        <v>6038</v>
      </c>
      <c r="B4701" s="504" t="s">
        <v>25646</v>
      </c>
      <c r="C4701" s="502" t="s">
        <v>114</v>
      </c>
      <c r="D4701" s="503" t="s">
        <v>33294</v>
      </c>
      <c r="F4701" t="str">
        <f t="shared" si="147"/>
        <v>96708</v>
      </c>
      <c r="H4701" s="14">
        <f t="shared" si="148"/>
        <v>106.03</v>
      </c>
    </row>
    <row r="4702" spans="1:8" ht="41.4">
      <c r="A4702" s="502" t="s">
        <v>6039</v>
      </c>
      <c r="B4702" s="504" t="s">
        <v>25647</v>
      </c>
      <c r="C4702" s="502" t="s">
        <v>114</v>
      </c>
      <c r="D4702" s="503" t="s">
        <v>33295</v>
      </c>
      <c r="F4702" t="str">
        <f t="shared" si="147"/>
        <v>96709</v>
      </c>
      <c r="H4702" s="14">
        <f t="shared" si="148"/>
        <v>134.97</v>
      </c>
    </row>
    <row r="4703" spans="1:8" ht="41.4">
      <c r="A4703" s="502" t="s">
        <v>6040</v>
      </c>
      <c r="B4703" s="504" t="s">
        <v>25648</v>
      </c>
      <c r="C4703" s="502" t="s">
        <v>114</v>
      </c>
      <c r="D4703" s="503" t="s">
        <v>9867</v>
      </c>
      <c r="F4703" t="str">
        <f t="shared" si="147"/>
        <v>96710</v>
      </c>
      <c r="H4703" s="14">
        <f t="shared" si="148"/>
        <v>20.65</v>
      </c>
    </row>
    <row r="4704" spans="1:8" ht="41.4">
      <c r="A4704" s="502" t="s">
        <v>6041</v>
      </c>
      <c r="B4704" s="504" t="s">
        <v>25649</v>
      </c>
      <c r="C4704" s="502" t="s">
        <v>114</v>
      </c>
      <c r="D4704" s="503" t="s">
        <v>33296</v>
      </c>
      <c r="F4704" t="str">
        <f t="shared" si="147"/>
        <v>96711</v>
      </c>
      <c r="H4704" s="14">
        <f t="shared" si="148"/>
        <v>29.78</v>
      </c>
    </row>
    <row r="4705" spans="1:8" ht="41.4">
      <c r="A4705" s="502" t="s">
        <v>6042</v>
      </c>
      <c r="B4705" s="504" t="s">
        <v>25650</v>
      </c>
      <c r="C4705" s="502" t="s">
        <v>114</v>
      </c>
      <c r="D4705" s="503" t="s">
        <v>33297</v>
      </c>
      <c r="F4705" t="str">
        <f t="shared" si="147"/>
        <v>96712</v>
      </c>
      <c r="H4705" s="14">
        <f t="shared" si="148"/>
        <v>41.49</v>
      </c>
    </row>
    <row r="4706" spans="1:8" ht="41.4">
      <c r="A4706" s="502" t="s">
        <v>6043</v>
      </c>
      <c r="B4706" s="504" t="s">
        <v>25651</v>
      </c>
      <c r="C4706" s="502" t="s">
        <v>114</v>
      </c>
      <c r="D4706" s="503" t="s">
        <v>33298</v>
      </c>
      <c r="F4706" t="str">
        <f t="shared" si="147"/>
        <v>96713</v>
      </c>
      <c r="H4706" s="14">
        <f t="shared" si="148"/>
        <v>62.12</v>
      </c>
    </row>
    <row r="4707" spans="1:8" ht="41.4">
      <c r="A4707" s="502" t="s">
        <v>6044</v>
      </c>
      <c r="B4707" s="504" t="s">
        <v>25652</v>
      </c>
      <c r="C4707" s="502" t="s">
        <v>114</v>
      </c>
      <c r="D4707" s="503" t="s">
        <v>33299</v>
      </c>
      <c r="F4707" t="str">
        <f t="shared" si="147"/>
        <v>96714</v>
      </c>
      <c r="H4707" s="14">
        <f t="shared" si="148"/>
        <v>87.24</v>
      </c>
    </row>
    <row r="4708" spans="1:8" ht="41.4">
      <c r="A4708" s="502" t="s">
        <v>6045</v>
      </c>
      <c r="B4708" s="504" t="s">
        <v>25653</v>
      </c>
      <c r="C4708" s="502" t="s">
        <v>114</v>
      </c>
      <c r="D4708" s="503" t="s">
        <v>33300</v>
      </c>
      <c r="F4708" t="str">
        <f t="shared" si="147"/>
        <v>96715</v>
      </c>
      <c r="H4708" s="14">
        <f t="shared" si="148"/>
        <v>151.01</v>
      </c>
    </row>
    <row r="4709" spans="1:8" ht="41.4">
      <c r="A4709" s="502" t="s">
        <v>6046</v>
      </c>
      <c r="B4709" s="504" t="s">
        <v>25654</v>
      </c>
      <c r="C4709" s="502" t="s">
        <v>114</v>
      </c>
      <c r="D4709" s="503" t="s">
        <v>33301</v>
      </c>
      <c r="F4709" t="str">
        <f t="shared" si="147"/>
        <v>96716</v>
      </c>
      <c r="H4709" s="14">
        <f t="shared" si="148"/>
        <v>195.69</v>
      </c>
    </row>
    <row r="4710" spans="1:8" ht="41.4">
      <c r="A4710" s="502" t="s">
        <v>6047</v>
      </c>
      <c r="B4710" s="504" t="s">
        <v>25655</v>
      </c>
      <c r="C4710" s="502" t="s">
        <v>114</v>
      </c>
      <c r="D4710" s="503" t="s">
        <v>33302</v>
      </c>
      <c r="F4710" t="str">
        <f t="shared" si="147"/>
        <v>96717</v>
      </c>
      <c r="H4710" s="14">
        <f t="shared" si="148"/>
        <v>368.74</v>
      </c>
    </row>
    <row r="4711" spans="1:8" ht="41.4">
      <c r="A4711" s="502" t="s">
        <v>6048</v>
      </c>
      <c r="B4711" s="504" t="s">
        <v>29268</v>
      </c>
      <c r="C4711" s="502" t="s">
        <v>114</v>
      </c>
      <c r="D4711" s="503" t="s">
        <v>11447</v>
      </c>
      <c r="F4711" t="str">
        <f t="shared" si="147"/>
        <v>96736</v>
      </c>
      <c r="H4711" s="14">
        <f t="shared" si="148"/>
        <v>7.73</v>
      </c>
    </row>
    <row r="4712" spans="1:8" ht="41.4">
      <c r="A4712" s="502" t="s">
        <v>6049</v>
      </c>
      <c r="B4712" s="504" t="s">
        <v>29269</v>
      </c>
      <c r="C4712" s="502" t="s">
        <v>114</v>
      </c>
      <c r="D4712" s="503" t="s">
        <v>4521</v>
      </c>
      <c r="F4712" t="str">
        <f t="shared" si="147"/>
        <v>96737</v>
      </c>
      <c r="H4712" s="14">
        <f t="shared" si="148"/>
        <v>7.97</v>
      </c>
    </row>
    <row r="4713" spans="1:8" ht="41.4">
      <c r="A4713" s="502" t="s">
        <v>6050</v>
      </c>
      <c r="B4713" s="504" t="s">
        <v>29270</v>
      </c>
      <c r="C4713" s="502" t="s">
        <v>114</v>
      </c>
      <c r="D4713" s="503" t="s">
        <v>33303</v>
      </c>
      <c r="F4713" t="str">
        <f t="shared" si="147"/>
        <v>96738</v>
      </c>
      <c r="H4713" s="14">
        <f t="shared" si="148"/>
        <v>28.12</v>
      </c>
    </row>
    <row r="4714" spans="1:8" ht="41.4">
      <c r="A4714" s="502" t="s">
        <v>6051</v>
      </c>
      <c r="B4714" s="504" t="s">
        <v>29271</v>
      </c>
      <c r="C4714" s="502" t="s">
        <v>114</v>
      </c>
      <c r="D4714" s="503" t="s">
        <v>33304</v>
      </c>
      <c r="F4714" t="str">
        <f t="shared" si="147"/>
        <v>96739</v>
      </c>
      <c r="H4714" s="14">
        <f t="shared" si="148"/>
        <v>10.85</v>
      </c>
    </row>
    <row r="4715" spans="1:8" ht="41.4">
      <c r="A4715" s="502" t="s">
        <v>6053</v>
      </c>
      <c r="B4715" s="504" t="s">
        <v>29272</v>
      </c>
      <c r="C4715" s="502" t="s">
        <v>114</v>
      </c>
      <c r="D4715" s="503" t="s">
        <v>15572</v>
      </c>
      <c r="F4715" t="str">
        <f t="shared" si="147"/>
        <v>96740</v>
      </c>
      <c r="H4715" s="14">
        <f t="shared" si="148"/>
        <v>38.75</v>
      </c>
    </row>
    <row r="4716" spans="1:8" ht="41.4">
      <c r="A4716" s="502" t="s">
        <v>6054</v>
      </c>
      <c r="B4716" s="504" t="s">
        <v>29273</v>
      </c>
      <c r="C4716" s="502" t="s">
        <v>114</v>
      </c>
      <c r="D4716" s="503" t="s">
        <v>10219</v>
      </c>
      <c r="F4716" t="str">
        <f t="shared" si="147"/>
        <v>96741</v>
      </c>
      <c r="H4716" s="14">
        <f t="shared" si="148"/>
        <v>20.49</v>
      </c>
    </row>
    <row r="4717" spans="1:8" ht="41.4">
      <c r="A4717" s="502" t="s">
        <v>6055</v>
      </c>
      <c r="B4717" s="504" t="s">
        <v>29274</v>
      </c>
      <c r="C4717" s="502" t="s">
        <v>114</v>
      </c>
      <c r="D4717" s="503" t="s">
        <v>25198</v>
      </c>
      <c r="F4717" t="str">
        <f t="shared" si="147"/>
        <v>96742</v>
      </c>
      <c r="H4717" s="14">
        <f t="shared" si="148"/>
        <v>25.18</v>
      </c>
    </row>
    <row r="4718" spans="1:8" ht="41.4">
      <c r="A4718" s="502" t="s">
        <v>6056</v>
      </c>
      <c r="B4718" s="504" t="s">
        <v>29275</v>
      </c>
      <c r="C4718" s="502" t="s">
        <v>114</v>
      </c>
      <c r="D4718" s="503" t="s">
        <v>11699</v>
      </c>
      <c r="F4718" t="str">
        <f t="shared" si="147"/>
        <v>96743</v>
      </c>
      <c r="H4718" s="14">
        <f t="shared" si="148"/>
        <v>39.04</v>
      </c>
    </row>
    <row r="4719" spans="1:8" ht="41.4">
      <c r="A4719" s="502" t="s">
        <v>6057</v>
      </c>
      <c r="B4719" s="504" t="s">
        <v>29276</v>
      </c>
      <c r="C4719" s="502" t="s">
        <v>114</v>
      </c>
      <c r="D4719" s="503" t="s">
        <v>27937</v>
      </c>
      <c r="F4719" t="str">
        <f t="shared" si="147"/>
        <v>96744</v>
      </c>
      <c r="H4719" s="14">
        <f t="shared" si="148"/>
        <v>65.23</v>
      </c>
    </row>
    <row r="4720" spans="1:8" ht="41.4">
      <c r="A4720" s="502" t="s">
        <v>6058</v>
      </c>
      <c r="B4720" s="504" t="s">
        <v>29277</v>
      </c>
      <c r="C4720" s="502" t="s">
        <v>114</v>
      </c>
      <c r="D4720" s="503" t="s">
        <v>33305</v>
      </c>
      <c r="F4720" t="str">
        <f t="shared" si="147"/>
        <v>96745</v>
      </c>
      <c r="H4720" s="14">
        <f t="shared" si="148"/>
        <v>101.76</v>
      </c>
    </row>
    <row r="4721" spans="1:8" ht="41.4">
      <c r="A4721" s="502" t="s">
        <v>6059</v>
      </c>
      <c r="B4721" s="504" t="s">
        <v>29278</v>
      </c>
      <c r="C4721" s="502" t="s">
        <v>114</v>
      </c>
      <c r="D4721" s="503" t="s">
        <v>33306</v>
      </c>
      <c r="F4721" t="str">
        <f t="shared" si="147"/>
        <v>96746</v>
      </c>
      <c r="H4721" s="14">
        <f t="shared" si="148"/>
        <v>134.04</v>
      </c>
    </row>
    <row r="4722" spans="1:8" ht="41.4">
      <c r="A4722" s="502" t="s">
        <v>6060</v>
      </c>
      <c r="B4722" s="504" t="s">
        <v>29279</v>
      </c>
      <c r="C4722" s="502" t="s">
        <v>114</v>
      </c>
      <c r="D4722" s="503" t="s">
        <v>30554</v>
      </c>
      <c r="F4722" t="str">
        <f t="shared" si="147"/>
        <v>96747</v>
      </c>
      <c r="H4722" s="14">
        <f t="shared" si="148"/>
        <v>9.6300000000000008</v>
      </c>
    </row>
    <row r="4723" spans="1:8" ht="41.4">
      <c r="A4723" s="502" t="s">
        <v>6061</v>
      </c>
      <c r="B4723" s="504" t="s">
        <v>29280</v>
      </c>
      <c r="C4723" s="502" t="s">
        <v>114</v>
      </c>
      <c r="D4723" s="503" t="s">
        <v>16441</v>
      </c>
      <c r="F4723" t="str">
        <f t="shared" si="147"/>
        <v>96748</v>
      </c>
      <c r="H4723" s="14">
        <f t="shared" si="148"/>
        <v>11.13</v>
      </c>
    </row>
    <row r="4724" spans="1:8" ht="41.4">
      <c r="A4724" s="502" t="s">
        <v>6063</v>
      </c>
      <c r="B4724" s="504" t="s">
        <v>29281</v>
      </c>
      <c r="C4724" s="502" t="s">
        <v>114</v>
      </c>
      <c r="D4724" s="503" t="s">
        <v>4394</v>
      </c>
      <c r="F4724" t="str">
        <f t="shared" si="147"/>
        <v>96749</v>
      </c>
      <c r="H4724" s="14">
        <f t="shared" si="148"/>
        <v>13.96</v>
      </c>
    </row>
    <row r="4725" spans="1:8" ht="41.4">
      <c r="A4725" s="502" t="s">
        <v>6064</v>
      </c>
      <c r="B4725" s="504" t="s">
        <v>29282</v>
      </c>
      <c r="C4725" s="502" t="s">
        <v>114</v>
      </c>
      <c r="D4725" s="503" t="s">
        <v>33307</v>
      </c>
      <c r="F4725" t="str">
        <f t="shared" si="147"/>
        <v>96750</v>
      </c>
      <c r="H4725" s="14">
        <f t="shared" si="148"/>
        <v>21.49</v>
      </c>
    </row>
    <row r="4726" spans="1:8" ht="41.4">
      <c r="A4726" s="502" t="s">
        <v>6065</v>
      </c>
      <c r="B4726" s="504" t="s">
        <v>29283</v>
      </c>
      <c r="C4726" s="502" t="s">
        <v>114</v>
      </c>
      <c r="D4726" s="503" t="s">
        <v>33292</v>
      </c>
      <c r="F4726" t="str">
        <f t="shared" si="147"/>
        <v>96751</v>
      </c>
      <c r="H4726" s="14">
        <f t="shared" si="148"/>
        <v>31.13</v>
      </c>
    </row>
    <row r="4727" spans="1:8" ht="41.4">
      <c r="A4727" s="502" t="s">
        <v>6066</v>
      </c>
      <c r="B4727" s="504" t="s">
        <v>29284</v>
      </c>
      <c r="C4727" s="502" t="s">
        <v>114</v>
      </c>
      <c r="D4727" s="503" t="s">
        <v>10622</v>
      </c>
      <c r="F4727" t="str">
        <f t="shared" si="147"/>
        <v>96752</v>
      </c>
      <c r="H4727" s="14">
        <f t="shared" si="148"/>
        <v>46.38</v>
      </c>
    </row>
    <row r="4728" spans="1:8" ht="41.4">
      <c r="A4728" s="502" t="s">
        <v>6067</v>
      </c>
      <c r="B4728" s="504" t="s">
        <v>29285</v>
      </c>
      <c r="C4728" s="502" t="s">
        <v>114</v>
      </c>
      <c r="D4728" s="503" t="s">
        <v>22472</v>
      </c>
      <c r="F4728" t="str">
        <f t="shared" si="147"/>
        <v>96753</v>
      </c>
      <c r="H4728" s="14">
        <f t="shared" si="148"/>
        <v>103.91</v>
      </c>
    </row>
    <row r="4729" spans="1:8" ht="41.4">
      <c r="A4729" s="502" t="s">
        <v>6068</v>
      </c>
      <c r="B4729" s="504" t="s">
        <v>29286</v>
      </c>
      <c r="C4729" s="502" t="s">
        <v>114</v>
      </c>
      <c r="D4729" s="503" t="s">
        <v>33308</v>
      </c>
      <c r="F4729" t="str">
        <f t="shared" si="147"/>
        <v>96754</v>
      </c>
      <c r="H4729" s="14">
        <f t="shared" si="148"/>
        <v>133.47999999999999</v>
      </c>
    </row>
    <row r="4730" spans="1:8" ht="41.4">
      <c r="A4730" s="502" t="s">
        <v>6069</v>
      </c>
      <c r="B4730" s="504" t="s">
        <v>29287</v>
      </c>
      <c r="C4730" s="502" t="s">
        <v>114</v>
      </c>
      <c r="D4730" s="503" t="s">
        <v>33309</v>
      </c>
      <c r="F4730" t="str">
        <f t="shared" si="147"/>
        <v>96755</v>
      </c>
      <c r="H4730" s="14">
        <f t="shared" si="148"/>
        <v>399.71</v>
      </c>
    </row>
    <row r="4731" spans="1:8" ht="27.6">
      <c r="A4731" s="502" t="s">
        <v>6070</v>
      </c>
      <c r="B4731" s="504" t="s">
        <v>29288</v>
      </c>
      <c r="C4731" s="502" t="s">
        <v>114</v>
      </c>
      <c r="D4731" s="503" t="s">
        <v>31647</v>
      </c>
      <c r="F4731" t="str">
        <f t="shared" si="147"/>
        <v>96758</v>
      </c>
      <c r="H4731" s="14">
        <f t="shared" si="148"/>
        <v>21.64</v>
      </c>
    </row>
    <row r="4732" spans="1:8" ht="27.6">
      <c r="A4732" s="502" t="s">
        <v>6071</v>
      </c>
      <c r="B4732" s="504" t="s">
        <v>29289</v>
      </c>
      <c r="C4732" s="502" t="s">
        <v>114</v>
      </c>
      <c r="D4732" s="503" t="s">
        <v>29067</v>
      </c>
      <c r="F4732" t="str">
        <f t="shared" si="147"/>
        <v>96759</v>
      </c>
      <c r="H4732" s="14">
        <f t="shared" si="148"/>
        <v>31.59</v>
      </c>
    </row>
    <row r="4733" spans="1:8" ht="27.6">
      <c r="A4733" s="502" t="s">
        <v>6072</v>
      </c>
      <c r="B4733" s="504" t="s">
        <v>29290</v>
      </c>
      <c r="C4733" s="502" t="s">
        <v>114</v>
      </c>
      <c r="D4733" s="503" t="s">
        <v>33310</v>
      </c>
      <c r="F4733" t="str">
        <f t="shared" si="147"/>
        <v>96760</v>
      </c>
      <c r="H4733" s="14">
        <f t="shared" si="148"/>
        <v>50.75</v>
      </c>
    </row>
    <row r="4734" spans="1:8" ht="27.6">
      <c r="A4734" s="502" t="s">
        <v>6073</v>
      </c>
      <c r="B4734" s="504" t="s">
        <v>29291</v>
      </c>
      <c r="C4734" s="502" t="s">
        <v>114</v>
      </c>
      <c r="D4734" s="503" t="s">
        <v>29090</v>
      </c>
      <c r="F4734" t="str">
        <f t="shared" si="147"/>
        <v>96761</v>
      </c>
      <c r="H4734" s="14">
        <f t="shared" si="148"/>
        <v>75.290000000000006</v>
      </c>
    </row>
    <row r="4735" spans="1:8" ht="27.6">
      <c r="A4735" s="502" t="s">
        <v>6074</v>
      </c>
      <c r="B4735" s="504" t="s">
        <v>29292</v>
      </c>
      <c r="C4735" s="502" t="s">
        <v>114</v>
      </c>
      <c r="D4735" s="503" t="s">
        <v>15297</v>
      </c>
      <c r="F4735" t="str">
        <f t="shared" si="147"/>
        <v>96762</v>
      </c>
      <c r="H4735" s="14">
        <f t="shared" si="148"/>
        <v>139.78</v>
      </c>
    </row>
    <row r="4736" spans="1:8" ht="27.6">
      <c r="A4736" s="502" t="s">
        <v>6075</v>
      </c>
      <c r="B4736" s="504" t="s">
        <v>29293</v>
      </c>
      <c r="C4736" s="502" t="s">
        <v>114</v>
      </c>
      <c r="D4736" s="503" t="s">
        <v>33311</v>
      </c>
      <c r="F4736" t="str">
        <f t="shared" si="147"/>
        <v>96763</v>
      </c>
      <c r="H4736" s="14">
        <f t="shared" si="148"/>
        <v>187.18</v>
      </c>
    </row>
    <row r="4737" spans="1:8" ht="27.6">
      <c r="A4737" s="502" t="s">
        <v>6076</v>
      </c>
      <c r="B4737" s="504" t="s">
        <v>29294</v>
      </c>
      <c r="C4737" s="502" t="s">
        <v>114</v>
      </c>
      <c r="D4737" s="503" t="s">
        <v>33312</v>
      </c>
      <c r="F4737" t="str">
        <f t="shared" si="147"/>
        <v>96764</v>
      </c>
      <c r="H4737" s="14">
        <f t="shared" si="148"/>
        <v>366.88</v>
      </c>
    </row>
    <row r="4738" spans="1:8" ht="55.2">
      <c r="A4738" s="502" t="s">
        <v>6077</v>
      </c>
      <c r="B4738" s="504" t="s">
        <v>25659</v>
      </c>
      <c r="C4738" s="502" t="s">
        <v>114</v>
      </c>
      <c r="D4738" s="503" t="s">
        <v>33313</v>
      </c>
      <c r="F4738" t="str">
        <f t="shared" si="147"/>
        <v>96802</v>
      </c>
      <c r="H4738" s="14">
        <f t="shared" si="148"/>
        <v>564.37</v>
      </c>
    </row>
    <row r="4739" spans="1:8" ht="55.2">
      <c r="A4739" s="502" t="s">
        <v>6078</v>
      </c>
      <c r="B4739" s="504" t="s">
        <v>25660</v>
      </c>
      <c r="C4739" s="502" t="s">
        <v>114</v>
      </c>
      <c r="D4739" s="503" t="s">
        <v>33314</v>
      </c>
      <c r="F4739" t="str">
        <f t="shared" si="147"/>
        <v>96803</v>
      </c>
      <c r="H4739" s="14">
        <f t="shared" si="148"/>
        <v>103.06</v>
      </c>
    </row>
    <row r="4740" spans="1:8" ht="55.2">
      <c r="A4740" s="502" t="s">
        <v>6079</v>
      </c>
      <c r="B4740" s="504" t="s">
        <v>25661</v>
      </c>
      <c r="C4740" s="502" t="s">
        <v>114</v>
      </c>
      <c r="D4740" s="503" t="s">
        <v>33315</v>
      </c>
      <c r="F4740" t="str">
        <f t="shared" si="147"/>
        <v>96804</v>
      </c>
      <c r="H4740" s="14">
        <f t="shared" si="148"/>
        <v>166.19</v>
      </c>
    </row>
    <row r="4741" spans="1:8" ht="55.2">
      <c r="A4741" s="502" t="s">
        <v>6080</v>
      </c>
      <c r="B4741" s="504" t="s">
        <v>25662</v>
      </c>
      <c r="C4741" s="502" t="s">
        <v>114</v>
      </c>
      <c r="D4741" s="503" t="s">
        <v>33316</v>
      </c>
      <c r="F4741" t="str">
        <f t="shared" ref="F4741:F4804" si="149">TRIM(A4741)</f>
        <v>96805</v>
      </c>
      <c r="H4741" s="14">
        <f t="shared" ref="H4741:H4804" si="150">ROUND(D4741*(1+$H$1),2)</f>
        <v>292.02999999999997</v>
      </c>
    </row>
    <row r="4742" spans="1:8" ht="55.2">
      <c r="A4742" s="502" t="s">
        <v>6081</v>
      </c>
      <c r="B4742" s="504" t="s">
        <v>25663</v>
      </c>
      <c r="C4742" s="502" t="s">
        <v>114</v>
      </c>
      <c r="D4742" s="503" t="s">
        <v>33317</v>
      </c>
      <c r="F4742" t="str">
        <f t="shared" si="149"/>
        <v>96806</v>
      </c>
      <c r="H4742" s="14">
        <f t="shared" si="150"/>
        <v>112.66</v>
      </c>
    </row>
    <row r="4743" spans="1:8" ht="55.2">
      <c r="A4743" s="502" t="s">
        <v>6082</v>
      </c>
      <c r="B4743" s="504" t="s">
        <v>25664</v>
      </c>
      <c r="C4743" s="502" t="s">
        <v>114</v>
      </c>
      <c r="D4743" s="503" t="s">
        <v>33318</v>
      </c>
      <c r="F4743" t="str">
        <f t="shared" si="149"/>
        <v>96807</v>
      </c>
      <c r="H4743" s="14">
        <f t="shared" si="150"/>
        <v>181.09</v>
      </c>
    </row>
    <row r="4744" spans="1:8" ht="41.4">
      <c r="A4744" s="502" t="s">
        <v>6083</v>
      </c>
      <c r="B4744" s="504" t="s">
        <v>25665</v>
      </c>
      <c r="C4744" s="502" t="s">
        <v>114</v>
      </c>
      <c r="D4744" s="503" t="s">
        <v>10047</v>
      </c>
      <c r="F4744" t="str">
        <f t="shared" si="149"/>
        <v>96808</v>
      </c>
      <c r="H4744" s="14">
        <f t="shared" si="150"/>
        <v>23.17</v>
      </c>
    </row>
    <row r="4745" spans="1:8" ht="41.4">
      <c r="A4745" s="502" t="s">
        <v>6084</v>
      </c>
      <c r="B4745" s="504" t="s">
        <v>25666</v>
      </c>
      <c r="C4745" s="502" t="s">
        <v>114</v>
      </c>
      <c r="D4745" s="503" t="s">
        <v>10163</v>
      </c>
      <c r="F4745" t="str">
        <f t="shared" si="149"/>
        <v>96809</v>
      </c>
      <c r="H4745" s="14">
        <f t="shared" si="150"/>
        <v>25.54</v>
      </c>
    </row>
    <row r="4746" spans="1:8" ht="41.4">
      <c r="A4746" s="502" t="s">
        <v>6085</v>
      </c>
      <c r="B4746" s="504" t="s">
        <v>25667</v>
      </c>
      <c r="C4746" s="502" t="s">
        <v>114</v>
      </c>
      <c r="D4746" s="503" t="s">
        <v>27831</v>
      </c>
      <c r="F4746" t="str">
        <f t="shared" si="149"/>
        <v>96810</v>
      </c>
      <c r="H4746" s="14">
        <f t="shared" si="150"/>
        <v>27.74</v>
      </c>
    </row>
    <row r="4747" spans="1:8" ht="41.4">
      <c r="A4747" s="502" t="s">
        <v>6086</v>
      </c>
      <c r="B4747" s="504" t="s">
        <v>25668</v>
      </c>
      <c r="C4747" s="502" t="s">
        <v>114</v>
      </c>
      <c r="D4747" s="503" t="s">
        <v>9930</v>
      </c>
      <c r="F4747" t="str">
        <f t="shared" si="149"/>
        <v>96811</v>
      </c>
      <c r="H4747" s="14">
        <f t="shared" si="150"/>
        <v>29.26</v>
      </c>
    </row>
    <row r="4748" spans="1:8" ht="41.4">
      <c r="A4748" s="502" t="s">
        <v>6087</v>
      </c>
      <c r="B4748" s="504" t="s">
        <v>25669</v>
      </c>
      <c r="C4748" s="502" t="s">
        <v>114</v>
      </c>
      <c r="D4748" s="503" t="s">
        <v>31217</v>
      </c>
      <c r="F4748" t="str">
        <f t="shared" si="149"/>
        <v>96812</v>
      </c>
      <c r="H4748" s="14">
        <f t="shared" si="150"/>
        <v>26.64</v>
      </c>
    </row>
    <row r="4749" spans="1:8" ht="41.4">
      <c r="A4749" s="502" t="s">
        <v>6088</v>
      </c>
      <c r="B4749" s="504" t="s">
        <v>25670</v>
      </c>
      <c r="C4749" s="502" t="s">
        <v>114</v>
      </c>
      <c r="D4749" s="503" t="s">
        <v>28156</v>
      </c>
      <c r="F4749" t="str">
        <f t="shared" si="149"/>
        <v>96813</v>
      </c>
      <c r="H4749" s="14">
        <f t="shared" si="150"/>
        <v>30.37</v>
      </c>
    </row>
    <row r="4750" spans="1:8" ht="41.4">
      <c r="A4750" s="502" t="s">
        <v>6089</v>
      </c>
      <c r="B4750" s="504" t="s">
        <v>25671</v>
      </c>
      <c r="C4750" s="502" t="s">
        <v>114</v>
      </c>
      <c r="D4750" s="503" t="s">
        <v>33319</v>
      </c>
      <c r="F4750" t="str">
        <f t="shared" si="149"/>
        <v>96814</v>
      </c>
      <c r="H4750" s="14">
        <f t="shared" si="150"/>
        <v>21.83</v>
      </c>
    </row>
    <row r="4751" spans="1:8" ht="41.4">
      <c r="A4751" s="502" t="s">
        <v>6090</v>
      </c>
      <c r="B4751" s="504" t="s">
        <v>25672</v>
      </c>
      <c r="C4751" s="502" t="s">
        <v>114</v>
      </c>
      <c r="D4751" s="503" t="s">
        <v>12701</v>
      </c>
      <c r="F4751" t="str">
        <f t="shared" si="149"/>
        <v>96815</v>
      </c>
      <c r="H4751" s="14">
        <f t="shared" si="150"/>
        <v>45.34</v>
      </c>
    </row>
    <row r="4752" spans="1:8" ht="41.4">
      <c r="A4752" s="502" t="s">
        <v>6091</v>
      </c>
      <c r="B4752" s="504" t="s">
        <v>25673</v>
      </c>
      <c r="C4752" s="502" t="s">
        <v>114</v>
      </c>
      <c r="D4752" s="503" t="s">
        <v>33320</v>
      </c>
      <c r="F4752" t="str">
        <f t="shared" si="149"/>
        <v>96816</v>
      </c>
      <c r="H4752" s="14">
        <f t="shared" si="150"/>
        <v>34.270000000000003</v>
      </c>
    </row>
    <row r="4753" spans="1:8" ht="41.4">
      <c r="A4753" s="502" t="s">
        <v>6092</v>
      </c>
      <c r="B4753" s="504" t="s">
        <v>25674</v>
      </c>
      <c r="C4753" s="502" t="s">
        <v>114</v>
      </c>
      <c r="D4753" s="503" t="s">
        <v>9938</v>
      </c>
      <c r="F4753" t="str">
        <f t="shared" si="149"/>
        <v>96817</v>
      </c>
      <c r="H4753" s="14">
        <f t="shared" si="150"/>
        <v>45.7</v>
      </c>
    </row>
    <row r="4754" spans="1:8" ht="41.4">
      <c r="A4754" s="502" t="s">
        <v>6093</v>
      </c>
      <c r="B4754" s="504" t="s">
        <v>25675</v>
      </c>
      <c r="C4754" s="502" t="s">
        <v>114</v>
      </c>
      <c r="D4754" s="503" t="s">
        <v>32524</v>
      </c>
      <c r="F4754" t="str">
        <f t="shared" si="149"/>
        <v>96818</v>
      </c>
      <c r="H4754" s="14">
        <f t="shared" si="150"/>
        <v>29.33</v>
      </c>
    </row>
    <row r="4755" spans="1:8" ht="41.4">
      <c r="A4755" s="502" t="s">
        <v>6095</v>
      </c>
      <c r="B4755" s="504" t="s">
        <v>25676</v>
      </c>
      <c r="C4755" s="502" t="s">
        <v>114</v>
      </c>
      <c r="D4755" s="503" t="s">
        <v>12732</v>
      </c>
      <c r="F4755" t="str">
        <f t="shared" si="149"/>
        <v>96819</v>
      </c>
      <c r="H4755" s="14">
        <f t="shared" si="150"/>
        <v>31.42</v>
      </c>
    </row>
    <row r="4756" spans="1:8" ht="41.4">
      <c r="A4756" s="502" t="s">
        <v>6096</v>
      </c>
      <c r="B4756" s="504" t="s">
        <v>25677</v>
      </c>
      <c r="C4756" s="502" t="s">
        <v>114</v>
      </c>
      <c r="D4756" s="503" t="s">
        <v>25472</v>
      </c>
      <c r="F4756" t="str">
        <f t="shared" si="149"/>
        <v>96820</v>
      </c>
      <c r="H4756" s="14">
        <f t="shared" si="150"/>
        <v>54.54</v>
      </c>
    </row>
    <row r="4757" spans="1:8" ht="41.4">
      <c r="A4757" s="502" t="s">
        <v>6097</v>
      </c>
      <c r="B4757" s="504" t="s">
        <v>25679</v>
      </c>
      <c r="C4757" s="502" t="s">
        <v>114</v>
      </c>
      <c r="D4757" s="503" t="s">
        <v>16577</v>
      </c>
      <c r="F4757" t="str">
        <f t="shared" si="149"/>
        <v>96821</v>
      </c>
      <c r="H4757" s="14">
        <f t="shared" si="150"/>
        <v>50.85</v>
      </c>
    </row>
    <row r="4758" spans="1:8" ht="41.4">
      <c r="A4758" s="502" t="s">
        <v>6098</v>
      </c>
      <c r="B4758" s="504" t="s">
        <v>25680</v>
      </c>
      <c r="C4758" s="502" t="s">
        <v>114</v>
      </c>
      <c r="D4758" s="503" t="s">
        <v>33321</v>
      </c>
      <c r="F4758" t="str">
        <f t="shared" si="149"/>
        <v>96822</v>
      </c>
      <c r="H4758" s="14">
        <f t="shared" si="150"/>
        <v>41.24</v>
      </c>
    </row>
    <row r="4759" spans="1:8" ht="41.4">
      <c r="A4759" s="502" t="s">
        <v>6099</v>
      </c>
      <c r="B4759" s="504" t="s">
        <v>25681</v>
      </c>
      <c r="C4759" s="502" t="s">
        <v>114</v>
      </c>
      <c r="D4759" s="503" t="s">
        <v>4671</v>
      </c>
      <c r="F4759" t="str">
        <f t="shared" si="149"/>
        <v>96823</v>
      </c>
      <c r="H4759" s="14">
        <f t="shared" si="150"/>
        <v>15.35</v>
      </c>
    </row>
    <row r="4760" spans="1:8" ht="41.4">
      <c r="A4760" s="502" t="s">
        <v>6100</v>
      </c>
      <c r="B4760" s="504" t="s">
        <v>25682</v>
      </c>
      <c r="C4760" s="502" t="s">
        <v>114</v>
      </c>
      <c r="D4760" s="503" t="s">
        <v>16469</v>
      </c>
      <c r="F4760" t="str">
        <f t="shared" si="149"/>
        <v>96824</v>
      </c>
      <c r="H4760" s="14">
        <f t="shared" si="150"/>
        <v>23.95</v>
      </c>
    </row>
    <row r="4761" spans="1:8" ht="41.4">
      <c r="A4761" s="502" t="s">
        <v>6101</v>
      </c>
      <c r="B4761" s="504" t="s">
        <v>25683</v>
      </c>
      <c r="C4761" s="502" t="s">
        <v>114</v>
      </c>
      <c r="D4761" s="503" t="s">
        <v>7459</v>
      </c>
      <c r="F4761" t="str">
        <f t="shared" si="149"/>
        <v>96826</v>
      </c>
      <c r="H4761" s="14">
        <f t="shared" si="150"/>
        <v>17.79</v>
      </c>
    </row>
    <row r="4762" spans="1:8" ht="41.4">
      <c r="A4762" s="502" t="s">
        <v>6102</v>
      </c>
      <c r="B4762" s="504" t="s">
        <v>25684</v>
      </c>
      <c r="C4762" s="502" t="s">
        <v>114</v>
      </c>
      <c r="D4762" s="503" t="s">
        <v>5627</v>
      </c>
      <c r="F4762" t="str">
        <f t="shared" si="149"/>
        <v>96827</v>
      </c>
      <c r="H4762" s="14">
        <f t="shared" si="150"/>
        <v>26.08</v>
      </c>
    </row>
    <row r="4763" spans="1:8" ht="41.4">
      <c r="A4763" s="502" t="s">
        <v>6103</v>
      </c>
      <c r="B4763" s="504" t="s">
        <v>25685</v>
      </c>
      <c r="C4763" s="502" t="s">
        <v>114</v>
      </c>
      <c r="D4763" s="503" t="s">
        <v>29110</v>
      </c>
      <c r="F4763" t="str">
        <f t="shared" si="149"/>
        <v>96828</v>
      </c>
      <c r="H4763" s="14">
        <f t="shared" si="150"/>
        <v>32.15</v>
      </c>
    </row>
    <row r="4764" spans="1:8" ht="41.4">
      <c r="A4764" s="502" t="s">
        <v>6104</v>
      </c>
      <c r="B4764" s="504" t="s">
        <v>25686</v>
      </c>
      <c r="C4764" s="502" t="s">
        <v>114</v>
      </c>
      <c r="D4764" s="503" t="s">
        <v>16576</v>
      </c>
      <c r="F4764" t="str">
        <f t="shared" si="149"/>
        <v>96829</v>
      </c>
      <c r="H4764" s="14">
        <f t="shared" si="150"/>
        <v>24.88</v>
      </c>
    </row>
    <row r="4765" spans="1:8" ht="41.4">
      <c r="A4765" s="502" t="s">
        <v>6105</v>
      </c>
      <c r="B4765" s="504" t="s">
        <v>25687</v>
      </c>
      <c r="C4765" s="502" t="s">
        <v>114</v>
      </c>
      <c r="D4765" s="503" t="s">
        <v>33322</v>
      </c>
      <c r="F4765" t="str">
        <f t="shared" si="149"/>
        <v>96830</v>
      </c>
      <c r="H4765" s="14">
        <f t="shared" si="150"/>
        <v>28</v>
      </c>
    </row>
    <row r="4766" spans="1:8" ht="41.4">
      <c r="A4766" s="502" t="s">
        <v>6106</v>
      </c>
      <c r="B4766" s="504" t="s">
        <v>25689</v>
      </c>
      <c r="C4766" s="502" t="s">
        <v>114</v>
      </c>
      <c r="D4766" s="503" t="s">
        <v>33323</v>
      </c>
      <c r="F4766" t="str">
        <f t="shared" si="149"/>
        <v>96832</v>
      </c>
      <c r="H4766" s="14">
        <f t="shared" si="150"/>
        <v>40.369999999999997</v>
      </c>
    </row>
    <row r="4767" spans="1:8" ht="41.4">
      <c r="A4767" s="502" t="s">
        <v>6107</v>
      </c>
      <c r="B4767" s="504" t="s">
        <v>25690</v>
      </c>
      <c r="C4767" s="502" t="s">
        <v>114</v>
      </c>
      <c r="D4767" s="503" t="s">
        <v>29299</v>
      </c>
      <c r="F4767" t="str">
        <f t="shared" si="149"/>
        <v>96833</v>
      </c>
      <c r="H4767" s="14">
        <f t="shared" si="150"/>
        <v>31.73</v>
      </c>
    </row>
    <row r="4768" spans="1:8" ht="41.4">
      <c r="A4768" s="502" t="s">
        <v>6108</v>
      </c>
      <c r="B4768" s="504" t="s">
        <v>25691</v>
      </c>
      <c r="C4768" s="502" t="s">
        <v>114</v>
      </c>
      <c r="D4768" s="503" t="s">
        <v>32451</v>
      </c>
      <c r="F4768" t="str">
        <f t="shared" si="149"/>
        <v>96834</v>
      </c>
      <c r="H4768" s="14">
        <f t="shared" si="150"/>
        <v>37.909999999999997</v>
      </c>
    </row>
    <row r="4769" spans="1:8" ht="41.4">
      <c r="A4769" s="502" t="s">
        <v>6109</v>
      </c>
      <c r="B4769" s="504" t="s">
        <v>25692</v>
      </c>
      <c r="C4769" s="502" t="s">
        <v>114</v>
      </c>
      <c r="D4769" s="503" t="s">
        <v>33324</v>
      </c>
      <c r="F4769" t="str">
        <f t="shared" si="149"/>
        <v>96836</v>
      </c>
      <c r="H4769" s="14">
        <f t="shared" si="150"/>
        <v>45.38</v>
      </c>
    </row>
    <row r="4770" spans="1:8" ht="41.4">
      <c r="A4770" s="502" t="s">
        <v>6110</v>
      </c>
      <c r="B4770" s="504" t="s">
        <v>25693</v>
      </c>
      <c r="C4770" s="502" t="s">
        <v>114</v>
      </c>
      <c r="D4770" s="503" t="s">
        <v>33325</v>
      </c>
      <c r="F4770" t="str">
        <f t="shared" si="149"/>
        <v>96837</v>
      </c>
      <c r="H4770" s="14">
        <f t="shared" si="150"/>
        <v>28.48</v>
      </c>
    </row>
    <row r="4771" spans="1:8" ht="55.2">
      <c r="A4771" s="502" t="s">
        <v>6111</v>
      </c>
      <c r="B4771" s="504" t="s">
        <v>25694</v>
      </c>
      <c r="C4771" s="502" t="s">
        <v>114</v>
      </c>
      <c r="D4771" s="503" t="s">
        <v>10011</v>
      </c>
      <c r="F4771" t="str">
        <f t="shared" si="149"/>
        <v>96838</v>
      </c>
      <c r="H4771" s="14">
        <f t="shared" si="150"/>
        <v>34.299999999999997</v>
      </c>
    </row>
    <row r="4772" spans="1:8" ht="55.2">
      <c r="A4772" s="502" t="s">
        <v>6112</v>
      </c>
      <c r="B4772" s="504" t="s">
        <v>25695</v>
      </c>
      <c r="C4772" s="502" t="s">
        <v>114</v>
      </c>
      <c r="D4772" s="503" t="s">
        <v>33326</v>
      </c>
      <c r="F4772" t="str">
        <f t="shared" si="149"/>
        <v>96839</v>
      </c>
      <c r="H4772" s="14">
        <f t="shared" si="150"/>
        <v>35.46</v>
      </c>
    </row>
    <row r="4773" spans="1:8" ht="41.4">
      <c r="A4773" s="502" t="s">
        <v>6113</v>
      </c>
      <c r="B4773" s="504" t="s">
        <v>25696</v>
      </c>
      <c r="C4773" s="502" t="s">
        <v>114</v>
      </c>
      <c r="D4773" s="503" t="s">
        <v>25121</v>
      </c>
      <c r="F4773" t="str">
        <f t="shared" si="149"/>
        <v>96840</v>
      </c>
      <c r="H4773" s="14">
        <f t="shared" si="150"/>
        <v>34.35</v>
      </c>
    </row>
    <row r="4774" spans="1:8" ht="55.2">
      <c r="A4774" s="502" t="s">
        <v>6114</v>
      </c>
      <c r="B4774" s="504" t="s">
        <v>25697</v>
      </c>
      <c r="C4774" s="502" t="s">
        <v>114</v>
      </c>
      <c r="D4774" s="503" t="s">
        <v>33327</v>
      </c>
      <c r="F4774" t="str">
        <f t="shared" si="149"/>
        <v>96841</v>
      </c>
      <c r="H4774" s="14">
        <f t="shared" si="150"/>
        <v>38.07</v>
      </c>
    </row>
    <row r="4775" spans="1:8" ht="55.2">
      <c r="A4775" s="502" t="s">
        <v>6115</v>
      </c>
      <c r="B4775" s="504" t="s">
        <v>25698</v>
      </c>
      <c r="C4775" s="502" t="s">
        <v>114</v>
      </c>
      <c r="D4775" s="503" t="s">
        <v>28832</v>
      </c>
      <c r="F4775" t="str">
        <f t="shared" si="149"/>
        <v>96842</v>
      </c>
      <c r="H4775" s="14">
        <f t="shared" si="150"/>
        <v>43.59</v>
      </c>
    </row>
    <row r="4776" spans="1:8" ht="55.2">
      <c r="A4776" s="502" t="s">
        <v>6116</v>
      </c>
      <c r="B4776" s="504" t="s">
        <v>25699</v>
      </c>
      <c r="C4776" s="502" t="s">
        <v>114</v>
      </c>
      <c r="D4776" s="503" t="s">
        <v>30305</v>
      </c>
      <c r="F4776" t="str">
        <f t="shared" si="149"/>
        <v>96843</v>
      </c>
      <c r="H4776" s="14">
        <f t="shared" si="150"/>
        <v>39.64</v>
      </c>
    </row>
    <row r="4777" spans="1:8" ht="55.2">
      <c r="A4777" s="502" t="s">
        <v>6117</v>
      </c>
      <c r="B4777" s="504" t="s">
        <v>25700</v>
      </c>
      <c r="C4777" s="502" t="s">
        <v>114</v>
      </c>
      <c r="D4777" s="503" t="s">
        <v>15630</v>
      </c>
      <c r="F4777" t="str">
        <f t="shared" si="149"/>
        <v>96844</v>
      </c>
      <c r="H4777" s="14">
        <f t="shared" si="150"/>
        <v>45.61</v>
      </c>
    </row>
    <row r="4778" spans="1:8" ht="41.4">
      <c r="A4778" s="502" t="s">
        <v>6118</v>
      </c>
      <c r="B4778" s="504" t="s">
        <v>25701</v>
      </c>
      <c r="C4778" s="502" t="s">
        <v>114</v>
      </c>
      <c r="D4778" s="503" t="s">
        <v>33328</v>
      </c>
      <c r="F4778" t="str">
        <f t="shared" si="149"/>
        <v>96845</v>
      </c>
      <c r="H4778" s="14">
        <f t="shared" si="150"/>
        <v>53.97</v>
      </c>
    </row>
    <row r="4779" spans="1:8" ht="55.2">
      <c r="A4779" s="502" t="s">
        <v>6119</v>
      </c>
      <c r="B4779" s="504" t="s">
        <v>25702</v>
      </c>
      <c r="C4779" s="502" t="s">
        <v>114</v>
      </c>
      <c r="D4779" s="503" t="s">
        <v>33329</v>
      </c>
      <c r="F4779" t="str">
        <f t="shared" si="149"/>
        <v>96846</v>
      </c>
      <c r="H4779" s="14">
        <f t="shared" si="150"/>
        <v>50.79</v>
      </c>
    </row>
    <row r="4780" spans="1:8" ht="55.2">
      <c r="A4780" s="502" t="s">
        <v>6120</v>
      </c>
      <c r="B4780" s="504" t="s">
        <v>25703</v>
      </c>
      <c r="C4780" s="502" t="s">
        <v>114</v>
      </c>
      <c r="D4780" s="503" t="s">
        <v>33330</v>
      </c>
      <c r="F4780" t="str">
        <f t="shared" si="149"/>
        <v>96847</v>
      </c>
      <c r="H4780" s="14">
        <f t="shared" si="150"/>
        <v>50.1</v>
      </c>
    </row>
    <row r="4781" spans="1:8" ht="41.4">
      <c r="A4781" s="502" t="s">
        <v>6122</v>
      </c>
      <c r="B4781" s="504" t="s">
        <v>25704</v>
      </c>
      <c r="C4781" s="502" t="s">
        <v>114</v>
      </c>
      <c r="D4781" s="503" t="s">
        <v>16285</v>
      </c>
      <c r="F4781" t="str">
        <f t="shared" si="149"/>
        <v>96848</v>
      </c>
      <c r="H4781" s="14">
        <f t="shared" si="150"/>
        <v>71.61</v>
      </c>
    </row>
    <row r="4782" spans="1:8" ht="41.4">
      <c r="A4782" s="502" t="s">
        <v>6123</v>
      </c>
      <c r="B4782" s="504" t="s">
        <v>25705</v>
      </c>
      <c r="C4782" s="502" t="s">
        <v>114</v>
      </c>
      <c r="D4782" s="503" t="s">
        <v>10411</v>
      </c>
      <c r="F4782" t="str">
        <f t="shared" si="149"/>
        <v>96849</v>
      </c>
      <c r="H4782" s="14">
        <f t="shared" si="150"/>
        <v>22.65</v>
      </c>
    </row>
    <row r="4783" spans="1:8" ht="55.2">
      <c r="A4783" s="502" t="s">
        <v>6124</v>
      </c>
      <c r="B4783" s="504" t="s">
        <v>25706</v>
      </c>
      <c r="C4783" s="502" t="s">
        <v>114</v>
      </c>
      <c r="D4783" s="503" t="s">
        <v>33331</v>
      </c>
      <c r="F4783" t="str">
        <f t="shared" si="149"/>
        <v>96850</v>
      </c>
      <c r="H4783" s="14">
        <f t="shared" si="150"/>
        <v>31.98</v>
      </c>
    </row>
    <row r="4784" spans="1:8" ht="41.4">
      <c r="A4784" s="502" t="s">
        <v>6125</v>
      </c>
      <c r="B4784" s="504" t="s">
        <v>25707</v>
      </c>
      <c r="C4784" s="502" t="s">
        <v>114</v>
      </c>
      <c r="D4784" s="503" t="s">
        <v>10283</v>
      </c>
      <c r="F4784" t="str">
        <f t="shared" si="149"/>
        <v>96852</v>
      </c>
      <c r="H4784" s="14">
        <f t="shared" si="150"/>
        <v>28.85</v>
      </c>
    </row>
    <row r="4785" spans="1:8" ht="55.2">
      <c r="A4785" s="502" t="s">
        <v>6126</v>
      </c>
      <c r="B4785" s="504" t="s">
        <v>25708</v>
      </c>
      <c r="C4785" s="502" t="s">
        <v>114</v>
      </c>
      <c r="D4785" s="503" t="s">
        <v>25121</v>
      </c>
      <c r="F4785" t="str">
        <f t="shared" si="149"/>
        <v>96853</v>
      </c>
      <c r="H4785" s="14">
        <f t="shared" si="150"/>
        <v>34.35</v>
      </c>
    </row>
    <row r="4786" spans="1:8" ht="55.2">
      <c r="A4786" s="502" t="s">
        <v>6127</v>
      </c>
      <c r="B4786" s="504" t="s">
        <v>25709</v>
      </c>
      <c r="C4786" s="502" t="s">
        <v>114</v>
      </c>
      <c r="D4786" s="503" t="s">
        <v>29118</v>
      </c>
      <c r="F4786" t="str">
        <f t="shared" si="149"/>
        <v>96854</v>
      </c>
      <c r="H4786" s="14">
        <f t="shared" si="150"/>
        <v>42.29</v>
      </c>
    </row>
    <row r="4787" spans="1:8" ht="41.4">
      <c r="A4787" s="502" t="s">
        <v>6128</v>
      </c>
      <c r="B4787" s="504" t="s">
        <v>25710</v>
      </c>
      <c r="C4787" s="502" t="s">
        <v>114</v>
      </c>
      <c r="D4787" s="503" t="s">
        <v>33332</v>
      </c>
      <c r="F4787" t="str">
        <f t="shared" si="149"/>
        <v>96855</v>
      </c>
      <c r="H4787" s="14">
        <f t="shared" si="150"/>
        <v>45.16</v>
      </c>
    </row>
    <row r="4788" spans="1:8" ht="55.2">
      <c r="A4788" s="502" t="s">
        <v>6129</v>
      </c>
      <c r="B4788" s="504" t="s">
        <v>25711</v>
      </c>
      <c r="C4788" s="502" t="s">
        <v>114</v>
      </c>
      <c r="D4788" s="503" t="s">
        <v>33333</v>
      </c>
      <c r="F4788" t="str">
        <f t="shared" si="149"/>
        <v>96856</v>
      </c>
      <c r="H4788" s="14">
        <f t="shared" si="150"/>
        <v>48.42</v>
      </c>
    </row>
    <row r="4789" spans="1:8" ht="41.4">
      <c r="A4789" s="502" t="s">
        <v>6130</v>
      </c>
      <c r="B4789" s="504" t="s">
        <v>25712</v>
      </c>
      <c r="C4789" s="502" t="s">
        <v>114</v>
      </c>
      <c r="D4789" s="503" t="s">
        <v>16293</v>
      </c>
      <c r="F4789" t="str">
        <f t="shared" si="149"/>
        <v>96860</v>
      </c>
      <c r="H4789" s="14">
        <f t="shared" si="150"/>
        <v>40.68</v>
      </c>
    </row>
    <row r="4790" spans="1:8" ht="41.4">
      <c r="A4790" s="502" t="s">
        <v>6131</v>
      </c>
      <c r="B4790" s="504" t="s">
        <v>29302</v>
      </c>
      <c r="C4790" s="502" t="s">
        <v>114</v>
      </c>
      <c r="D4790" s="503" t="s">
        <v>33334</v>
      </c>
      <c r="F4790" t="str">
        <f t="shared" si="149"/>
        <v>96861</v>
      </c>
      <c r="H4790" s="14">
        <f t="shared" si="150"/>
        <v>51.41</v>
      </c>
    </row>
    <row r="4791" spans="1:8" ht="41.4">
      <c r="A4791" s="502" t="s">
        <v>6132</v>
      </c>
      <c r="B4791" s="504" t="s">
        <v>25713</v>
      </c>
      <c r="C4791" s="502" t="s">
        <v>114</v>
      </c>
      <c r="D4791" s="503" t="s">
        <v>28116</v>
      </c>
      <c r="F4791" t="str">
        <f t="shared" si="149"/>
        <v>96862</v>
      </c>
      <c r="H4791" s="14">
        <f t="shared" si="150"/>
        <v>50</v>
      </c>
    </row>
    <row r="4792" spans="1:8" ht="41.4">
      <c r="A4792" s="502" t="s">
        <v>6133</v>
      </c>
      <c r="B4792" s="504" t="s">
        <v>25714</v>
      </c>
      <c r="C4792" s="502" t="s">
        <v>114</v>
      </c>
      <c r="D4792" s="503" t="s">
        <v>9528</v>
      </c>
      <c r="F4792" t="str">
        <f t="shared" si="149"/>
        <v>96863</v>
      </c>
      <c r="H4792" s="14">
        <f t="shared" si="150"/>
        <v>52.71</v>
      </c>
    </row>
    <row r="4793" spans="1:8" ht="41.4">
      <c r="A4793" s="502" t="s">
        <v>6134</v>
      </c>
      <c r="B4793" s="504" t="s">
        <v>25715</v>
      </c>
      <c r="C4793" s="502" t="s">
        <v>114</v>
      </c>
      <c r="D4793" s="503" t="s">
        <v>30585</v>
      </c>
      <c r="F4793" t="str">
        <f t="shared" si="149"/>
        <v>96864</v>
      </c>
      <c r="H4793" s="14">
        <f t="shared" si="150"/>
        <v>70.540000000000006</v>
      </c>
    </row>
    <row r="4794" spans="1:8" ht="41.4">
      <c r="A4794" s="502" t="s">
        <v>6135</v>
      </c>
      <c r="B4794" s="504" t="s">
        <v>25716</v>
      </c>
      <c r="C4794" s="502" t="s">
        <v>114</v>
      </c>
      <c r="D4794" s="503" t="s">
        <v>33335</v>
      </c>
      <c r="F4794" t="str">
        <f t="shared" si="149"/>
        <v>96865</v>
      </c>
      <c r="H4794" s="14">
        <f t="shared" si="150"/>
        <v>62.21</v>
      </c>
    </row>
    <row r="4795" spans="1:8" ht="41.4">
      <c r="A4795" s="502" t="s">
        <v>6136</v>
      </c>
      <c r="B4795" s="504" t="s">
        <v>25717</v>
      </c>
      <c r="C4795" s="502" t="s">
        <v>114</v>
      </c>
      <c r="D4795" s="503" t="s">
        <v>29109</v>
      </c>
      <c r="F4795" t="str">
        <f t="shared" si="149"/>
        <v>96866</v>
      </c>
      <c r="H4795" s="14">
        <f t="shared" si="150"/>
        <v>91.74</v>
      </c>
    </row>
    <row r="4796" spans="1:8" ht="41.4">
      <c r="A4796" s="502" t="s">
        <v>6137</v>
      </c>
      <c r="B4796" s="504" t="s">
        <v>25718</v>
      </c>
      <c r="C4796" s="502" t="s">
        <v>114</v>
      </c>
      <c r="D4796" s="503" t="s">
        <v>28953</v>
      </c>
      <c r="F4796" t="str">
        <f t="shared" si="149"/>
        <v>96868</v>
      </c>
      <c r="H4796" s="14">
        <f t="shared" si="150"/>
        <v>26.58</v>
      </c>
    </row>
    <row r="4797" spans="1:8" ht="41.4">
      <c r="A4797" s="502" t="s">
        <v>6138</v>
      </c>
      <c r="B4797" s="504" t="s">
        <v>25719</v>
      </c>
      <c r="C4797" s="502" t="s">
        <v>114</v>
      </c>
      <c r="D4797" s="503" t="s">
        <v>26985</v>
      </c>
      <c r="F4797" t="str">
        <f t="shared" si="149"/>
        <v>96869</v>
      </c>
      <c r="H4797" s="14">
        <f t="shared" si="150"/>
        <v>40.67</v>
      </c>
    </row>
    <row r="4798" spans="1:8" ht="41.4">
      <c r="A4798" s="502" t="s">
        <v>6139</v>
      </c>
      <c r="B4798" s="504" t="s">
        <v>25721</v>
      </c>
      <c r="C4798" s="502" t="s">
        <v>114</v>
      </c>
      <c r="D4798" s="503" t="s">
        <v>33336</v>
      </c>
      <c r="F4798" t="str">
        <f t="shared" si="149"/>
        <v>96870</v>
      </c>
      <c r="H4798" s="14">
        <f t="shared" si="150"/>
        <v>60.98</v>
      </c>
    </row>
    <row r="4799" spans="1:8" ht="41.4">
      <c r="A4799" s="502" t="s">
        <v>6140</v>
      </c>
      <c r="B4799" s="504" t="s">
        <v>25722</v>
      </c>
      <c r="C4799" s="502" t="s">
        <v>114</v>
      </c>
      <c r="D4799" s="503" t="s">
        <v>33337</v>
      </c>
      <c r="F4799" t="str">
        <f t="shared" si="149"/>
        <v>96871</v>
      </c>
      <c r="H4799" s="14">
        <f t="shared" si="150"/>
        <v>69.73</v>
      </c>
    </row>
    <row r="4800" spans="1:8" ht="55.2">
      <c r="A4800" s="502" t="s">
        <v>6141</v>
      </c>
      <c r="B4800" s="504" t="s">
        <v>25723</v>
      </c>
      <c r="C4800" s="502" t="s">
        <v>114</v>
      </c>
      <c r="D4800" s="503" t="s">
        <v>17861</v>
      </c>
      <c r="F4800" t="str">
        <f t="shared" si="149"/>
        <v>96872</v>
      </c>
      <c r="H4800" s="14">
        <f t="shared" si="150"/>
        <v>64.75</v>
      </c>
    </row>
    <row r="4801" spans="1:8" ht="55.2">
      <c r="A4801" s="502" t="s">
        <v>6142</v>
      </c>
      <c r="B4801" s="504" t="s">
        <v>25724</v>
      </c>
      <c r="C4801" s="502" t="s">
        <v>114</v>
      </c>
      <c r="D4801" s="503" t="s">
        <v>33338</v>
      </c>
      <c r="F4801" t="str">
        <f t="shared" si="149"/>
        <v>96873</v>
      </c>
      <c r="H4801" s="14">
        <f t="shared" si="150"/>
        <v>86.15</v>
      </c>
    </row>
    <row r="4802" spans="1:8" ht="55.2">
      <c r="A4802" s="502" t="s">
        <v>6143</v>
      </c>
      <c r="B4802" s="504" t="s">
        <v>25725</v>
      </c>
      <c r="C4802" s="502" t="s">
        <v>114</v>
      </c>
      <c r="D4802" s="503" t="s">
        <v>31261</v>
      </c>
      <c r="F4802" t="str">
        <f t="shared" si="149"/>
        <v>96874</v>
      </c>
      <c r="H4802" s="14">
        <f t="shared" si="150"/>
        <v>78.7</v>
      </c>
    </row>
    <row r="4803" spans="1:8" ht="55.2">
      <c r="A4803" s="502" t="s">
        <v>6144</v>
      </c>
      <c r="B4803" s="504" t="s">
        <v>25727</v>
      </c>
      <c r="C4803" s="502" t="s">
        <v>114</v>
      </c>
      <c r="D4803" s="503" t="s">
        <v>29061</v>
      </c>
      <c r="F4803" t="str">
        <f t="shared" si="149"/>
        <v>96875</v>
      </c>
      <c r="H4803" s="14">
        <f t="shared" si="150"/>
        <v>103.18</v>
      </c>
    </row>
    <row r="4804" spans="1:8" ht="41.4">
      <c r="A4804" s="502" t="s">
        <v>6145</v>
      </c>
      <c r="B4804" s="504" t="s">
        <v>25728</v>
      </c>
      <c r="C4804" s="502" t="s">
        <v>114</v>
      </c>
      <c r="D4804" s="503" t="s">
        <v>33339</v>
      </c>
      <c r="F4804" t="str">
        <f t="shared" si="149"/>
        <v>96876</v>
      </c>
      <c r="H4804" s="14">
        <f t="shared" si="150"/>
        <v>240.24</v>
      </c>
    </row>
    <row r="4805" spans="1:8" ht="55.2">
      <c r="A4805" s="502" t="s">
        <v>6146</v>
      </c>
      <c r="B4805" s="504" t="s">
        <v>25729</v>
      </c>
      <c r="C4805" s="502" t="s">
        <v>114</v>
      </c>
      <c r="D4805" s="503" t="s">
        <v>32329</v>
      </c>
      <c r="F4805" t="str">
        <f t="shared" ref="F4805:F4868" si="151">TRIM(A4805)</f>
        <v>96878</v>
      </c>
      <c r="H4805" s="14">
        <f t="shared" ref="H4805:H4868" si="152">ROUND(D4805*(1+$H$1),2)</f>
        <v>269.48</v>
      </c>
    </row>
    <row r="4806" spans="1:8" ht="55.2">
      <c r="A4806" s="502" t="s">
        <v>6147</v>
      </c>
      <c r="B4806" s="504" t="s">
        <v>25730</v>
      </c>
      <c r="C4806" s="502" t="s">
        <v>114</v>
      </c>
      <c r="D4806" s="503" t="s">
        <v>33340</v>
      </c>
      <c r="F4806" t="str">
        <f t="shared" si="151"/>
        <v>96879</v>
      </c>
      <c r="H4806" s="14">
        <f t="shared" si="152"/>
        <v>261.20999999999998</v>
      </c>
    </row>
    <row r="4807" spans="1:8" ht="55.2">
      <c r="A4807" s="502" t="s">
        <v>6148</v>
      </c>
      <c r="B4807" s="504" t="s">
        <v>25731</v>
      </c>
      <c r="C4807" s="502" t="s">
        <v>114</v>
      </c>
      <c r="D4807" s="503" t="s">
        <v>33341</v>
      </c>
      <c r="F4807" t="str">
        <f t="shared" si="151"/>
        <v>96881</v>
      </c>
      <c r="H4807" s="14">
        <f t="shared" si="152"/>
        <v>309.49</v>
      </c>
    </row>
    <row r="4808" spans="1:8" ht="41.4">
      <c r="A4808" s="502" t="s">
        <v>7732</v>
      </c>
      <c r="B4808" s="504" t="s">
        <v>13338</v>
      </c>
      <c r="C4808" s="502" t="s">
        <v>114</v>
      </c>
      <c r="D4808" s="503" t="s">
        <v>28619</v>
      </c>
      <c r="F4808" t="str">
        <f t="shared" si="151"/>
        <v>97430</v>
      </c>
      <c r="H4808" s="14">
        <f t="shared" si="152"/>
        <v>56.07</v>
      </c>
    </row>
    <row r="4809" spans="1:8" ht="41.4">
      <c r="A4809" s="502" t="s">
        <v>7733</v>
      </c>
      <c r="B4809" s="504" t="s">
        <v>13339</v>
      </c>
      <c r="C4809" s="502" t="s">
        <v>114</v>
      </c>
      <c r="D4809" s="503" t="s">
        <v>19366</v>
      </c>
      <c r="F4809" t="str">
        <f t="shared" si="151"/>
        <v>97431</v>
      </c>
      <c r="H4809" s="14">
        <f t="shared" si="152"/>
        <v>62.71</v>
      </c>
    </row>
    <row r="4810" spans="1:8" ht="41.4">
      <c r="A4810" s="502" t="s">
        <v>7734</v>
      </c>
      <c r="B4810" s="504" t="s">
        <v>13340</v>
      </c>
      <c r="C4810" s="502" t="s">
        <v>114</v>
      </c>
      <c r="D4810" s="503" t="s">
        <v>33342</v>
      </c>
      <c r="F4810" t="str">
        <f t="shared" si="151"/>
        <v>97432</v>
      </c>
      <c r="H4810" s="14">
        <f t="shared" si="152"/>
        <v>70.760000000000005</v>
      </c>
    </row>
    <row r="4811" spans="1:8" ht="41.4">
      <c r="A4811" s="502" t="s">
        <v>7735</v>
      </c>
      <c r="B4811" s="504" t="s">
        <v>13341</v>
      </c>
      <c r="C4811" s="502" t="s">
        <v>114</v>
      </c>
      <c r="D4811" s="503" t="s">
        <v>33343</v>
      </c>
      <c r="F4811" t="str">
        <f t="shared" si="151"/>
        <v>97433</v>
      </c>
      <c r="H4811" s="14">
        <f t="shared" si="152"/>
        <v>125.06</v>
      </c>
    </row>
    <row r="4812" spans="1:8" ht="41.4">
      <c r="A4812" s="502" t="s">
        <v>7736</v>
      </c>
      <c r="B4812" s="504" t="s">
        <v>13342</v>
      </c>
      <c r="C4812" s="502" t="s">
        <v>114</v>
      </c>
      <c r="D4812" s="503" t="s">
        <v>27907</v>
      </c>
      <c r="F4812" t="str">
        <f t="shared" si="151"/>
        <v>97434</v>
      </c>
      <c r="H4812" s="14">
        <f t="shared" si="152"/>
        <v>127.31</v>
      </c>
    </row>
    <row r="4813" spans="1:8" ht="41.4">
      <c r="A4813" s="502" t="s">
        <v>7738</v>
      </c>
      <c r="B4813" s="504" t="s">
        <v>13343</v>
      </c>
      <c r="C4813" s="502" t="s">
        <v>114</v>
      </c>
      <c r="D4813" s="503" t="s">
        <v>33344</v>
      </c>
      <c r="F4813" t="str">
        <f t="shared" si="151"/>
        <v>97435</v>
      </c>
      <c r="H4813" s="14">
        <f t="shared" si="152"/>
        <v>146.22999999999999</v>
      </c>
    </row>
    <row r="4814" spans="1:8" ht="41.4">
      <c r="A4814" s="502" t="s">
        <v>7739</v>
      </c>
      <c r="B4814" s="504" t="s">
        <v>13344</v>
      </c>
      <c r="C4814" s="502" t="s">
        <v>114</v>
      </c>
      <c r="D4814" s="503" t="s">
        <v>33345</v>
      </c>
      <c r="F4814" t="str">
        <f t="shared" si="151"/>
        <v>97436</v>
      </c>
      <c r="H4814" s="14">
        <f t="shared" si="152"/>
        <v>150.53</v>
      </c>
    </row>
    <row r="4815" spans="1:8" ht="41.4">
      <c r="A4815" s="502" t="s">
        <v>7740</v>
      </c>
      <c r="B4815" s="504" t="s">
        <v>29310</v>
      </c>
      <c r="C4815" s="502" t="s">
        <v>114</v>
      </c>
      <c r="D4815" s="503" t="s">
        <v>33346</v>
      </c>
      <c r="F4815" t="str">
        <f t="shared" si="151"/>
        <v>97437</v>
      </c>
      <c r="H4815" s="14">
        <f t="shared" si="152"/>
        <v>167.24</v>
      </c>
    </row>
    <row r="4816" spans="1:8" ht="41.4">
      <c r="A4816" s="502" t="s">
        <v>7741</v>
      </c>
      <c r="B4816" s="504" t="s">
        <v>13345</v>
      </c>
      <c r="C4816" s="502" t="s">
        <v>114</v>
      </c>
      <c r="D4816" s="503" t="s">
        <v>33347</v>
      </c>
      <c r="F4816" t="str">
        <f t="shared" si="151"/>
        <v>97438</v>
      </c>
      <c r="H4816" s="14">
        <f t="shared" si="152"/>
        <v>171.85</v>
      </c>
    </row>
    <row r="4817" spans="1:8" ht="41.4">
      <c r="A4817" s="502" t="s">
        <v>7742</v>
      </c>
      <c r="B4817" s="504" t="s">
        <v>13346</v>
      </c>
      <c r="C4817" s="502" t="s">
        <v>114</v>
      </c>
      <c r="D4817" s="503" t="s">
        <v>33348</v>
      </c>
      <c r="F4817" t="str">
        <f t="shared" si="151"/>
        <v>97439</v>
      </c>
      <c r="H4817" s="14">
        <f t="shared" si="152"/>
        <v>188.24</v>
      </c>
    </row>
    <row r="4818" spans="1:8" ht="41.4">
      <c r="A4818" s="502" t="s">
        <v>7743</v>
      </c>
      <c r="B4818" s="504" t="s">
        <v>13347</v>
      </c>
      <c r="C4818" s="502" t="s">
        <v>114</v>
      </c>
      <c r="D4818" s="503" t="s">
        <v>33349</v>
      </c>
      <c r="F4818" t="str">
        <f t="shared" si="151"/>
        <v>97440</v>
      </c>
      <c r="H4818" s="14">
        <f t="shared" si="152"/>
        <v>225.35</v>
      </c>
    </row>
    <row r="4819" spans="1:8" ht="41.4">
      <c r="A4819" s="502" t="s">
        <v>7744</v>
      </c>
      <c r="B4819" s="504" t="s">
        <v>13348</v>
      </c>
      <c r="C4819" s="502" t="s">
        <v>114</v>
      </c>
      <c r="D4819" s="503" t="s">
        <v>30193</v>
      </c>
      <c r="F4819" t="str">
        <f t="shared" si="151"/>
        <v>97442</v>
      </c>
      <c r="H4819" s="14">
        <f t="shared" si="152"/>
        <v>249.1</v>
      </c>
    </row>
    <row r="4820" spans="1:8" ht="41.4">
      <c r="A4820" s="502" t="s">
        <v>7745</v>
      </c>
      <c r="B4820" s="504" t="s">
        <v>13349</v>
      </c>
      <c r="C4820" s="502" t="s">
        <v>114</v>
      </c>
      <c r="D4820" s="503" t="s">
        <v>33350</v>
      </c>
      <c r="F4820" t="str">
        <f t="shared" si="151"/>
        <v>97443</v>
      </c>
      <c r="H4820" s="14">
        <f t="shared" si="152"/>
        <v>139.13999999999999</v>
      </c>
    </row>
    <row r="4821" spans="1:8" ht="41.4">
      <c r="A4821" s="502" t="s">
        <v>7746</v>
      </c>
      <c r="B4821" s="504" t="s">
        <v>13350</v>
      </c>
      <c r="C4821" s="502" t="s">
        <v>114</v>
      </c>
      <c r="D4821" s="503" t="s">
        <v>31722</v>
      </c>
      <c r="F4821" t="str">
        <f t="shared" si="151"/>
        <v>97444</v>
      </c>
      <c r="H4821" s="14">
        <f t="shared" si="152"/>
        <v>160.94999999999999</v>
      </c>
    </row>
    <row r="4822" spans="1:8" ht="41.4">
      <c r="A4822" s="502" t="s">
        <v>7747</v>
      </c>
      <c r="B4822" s="504" t="s">
        <v>13351</v>
      </c>
      <c r="C4822" s="502" t="s">
        <v>114</v>
      </c>
      <c r="D4822" s="503" t="s">
        <v>33351</v>
      </c>
      <c r="F4822" t="str">
        <f t="shared" si="151"/>
        <v>97446</v>
      </c>
      <c r="H4822" s="14">
        <f t="shared" si="152"/>
        <v>268.42</v>
      </c>
    </row>
    <row r="4823" spans="1:8" ht="41.4">
      <c r="A4823" s="502" t="s">
        <v>7748</v>
      </c>
      <c r="B4823" s="504" t="s">
        <v>13352</v>
      </c>
      <c r="C4823" s="502" t="s">
        <v>114</v>
      </c>
      <c r="D4823" s="503" t="s">
        <v>33351</v>
      </c>
      <c r="F4823" t="str">
        <f t="shared" si="151"/>
        <v>97447</v>
      </c>
      <c r="H4823" s="14">
        <f t="shared" si="152"/>
        <v>268.42</v>
      </c>
    </row>
    <row r="4824" spans="1:8" ht="41.4">
      <c r="A4824" s="502" t="s">
        <v>7749</v>
      </c>
      <c r="B4824" s="504" t="s">
        <v>13353</v>
      </c>
      <c r="C4824" s="502" t="s">
        <v>114</v>
      </c>
      <c r="D4824" s="503" t="s">
        <v>33352</v>
      </c>
      <c r="F4824" t="str">
        <f t="shared" si="151"/>
        <v>97449</v>
      </c>
      <c r="H4824" s="14">
        <f t="shared" si="152"/>
        <v>286.42</v>
      </c>
    </row>
    <row r="4825" spans="1:8" ht="41.4">
      <c r="A4825" s="502" t="s">
        <v>7750</v>
      </c>
      <c r="B4825" s="504" t="s">
        <v>13354</v>
      </c>
      <c r="C4825" s="502" t="s">
        <v>114</v>
      </c>
      <c r="D4825" s="503" t="s">
        <v>33353</v>
      </c>
      <c r="F4825" t="str">
        <f t="shared" si="151"/>
        <v>97450</v>
      </c>
      <c r="H4825" s="14">
        <f t="shared" si="152"/>
        <v>345.8</v>
      </c>
    </row>
    <row r="4826" spans="1:8" ht="41.4">
      <c r="A4826" s="502" t="s">
        <v>7751</v>
      </c>
      <c r="B4826" s="504" t="s">
        <v>13355</v>
      </c>
      <c r="C4826" s="502" t="s">
        <v>114</v>
      </c>
      <c r="D4826" s="503" t="s">
        <v>33354</v>
      </c>
      <c r="F4826" t="str">
        <f t="shared" si="151"/>
        <v>97452</v>
      </c>
      <c r="H4826" s="14">
        <f t="shared" si="152"/>
        <v>226.59</v>
      </c>
    </row>
    <row r="4827" spans="1:8" ht="41.4">
      <c r="A4827" s="502" t="s">
        <v>7752</v>
      </c>
      <c r="B4827" s="504" t="s">
        <v>13356</v>
      </c>
      <c r="C4827" s="502" t="s">
        <v>114</v>
      </c>
      <c r="D4827" s="503" t="s">
        <v>33355</v>
      </c>
      <c r="F4827" t="str">
        <f t="shared" si="151"/>
        <v>97453</v>
      </c>
      <c r="H4827" s="14">
        <f t="shared" si="152"/>
        <v>239.04</v>
      </c>
    </row>
    <row r="4828" spans="1:8" ht="41.4">
      <c r="A4828" s="502" t="s">
        <v>7753</v>
      </c>
      <c r="B4828" s="504" t="s">
        <v>13357</v>
      </c>
      <c r="C4828" s="502" t="s">
        <v>114</v>
      </c>
      <c r="D4828" s="503" t="s">
        <v>33356</v>
      </c>
      <c r="F4828" t="str">
        <f t="shared" si="151"/>
        <v>97454</v>
      </c>
      <c r="H4828" s="14">
        <f t="shared" si="152"/>
        <v>371.26</v>
      </c>
    </row>
    <row r="4829" spans="1:8" ht="41.4">
      <c r="A4829" s="502" t="s">
        <v>7754</v>
      </c>
      <c r="B4829" s="504" t="s">
        <v>13358</v>
      </c>
      <c r="C4829" s="502" t="s">
        <v>114</v>
      </c>
      <c r="D4829" s="503" t="s">
        <v>33357</v>
      </c>
      <c r="F4829" t="str">
        <f t="shared" si="151"/>
        <v>97455</v>
      </c>
      <c r="H4829" s="14">
        <f t="shared" si="152"/>
        <v>391.17</v>
      </c>
    </row>
    <row r="4830" spans="1:8" ht="41.4">
      <c r="A4830" s="502" t="s">
        <v>7755</v>
      </c>
      <c r="B4830" s="504" t="s">
        <v>13360</v>
      </c>
      <c r="C4830" s="502" t="s">
        <v>114</v>
      </c>
      <c r="D4830" s="503" t="s">
        <v>33358</v>
      </c>
      <c r="F4830" t="str">
        <f t="shared" si="151"/>
        <v>97456</v>
      </c>
      <c r="H4830" s="14">
        <f t="shared" si="152"/>
        <v>809.67</v>
      </c>
    </row>
    <row r="4831" spans="1:8" ht="41.4">
      <c r="A4831" s="502" t="s">
        <v>7756</v>
      </c>
      <c r="B4831" s="504" t="s">
        <v>13361</v>
      </c>
      <c r="C4831" s="502" t="s">
        <v>114</v>
      </c>
      <c r="D4831" s="503" t="s">
        <v>33359</v>
      </c>
      <c r="F4831" t="str">
        <f t="shared" si="151"/>
        <v>97457</v>
      </c>
      <c r="H4831" s="14">
        <f t="shared" si="152"/>
        <v>720.35</v>
      </c>
    </row>
    <row r="4832" spans="1:8" ht="27.6">
      <c r="A4832" s="502" t="s">
        <v>7757</v>
      </c>
      <c r="B4832" s="504" t="s">
        <v>13362</v>
      </c>
      <c r="C4832" s="502" t="s">
        <v>114</v>
      </c>
      <c r="D4832" s="503" t="s">
        <v>33360</v>
      </c>
      <c r="F4832" t="str">
        <f t="shared" si="151"/>
        <v>97458</v>
      </c>
      <c r="H4832" s="14">
        <f t="shared" si="152"/>
        <v>352.17</v>
      </c>
    </row>
    <row r="4833" spans="1:8" ht="41.4">
      <c r="A4833" s="502" t="s">
        <v>7758</v>
      </c>
      <c r="B4833" s="504" t="s">
        <v>13363</v>
      </c>
      <c r="C4833" s="502" t="s">
        <v>114</v>
      </c>
      <c r="D4833" s="503" t="s">
        <v>33361</v>
      </c>
      <c r="F4833" t="str">
        <f t="shared" si="151"/>
        <v>97459</v>
      </c>
      <c r="H4833" s="14">
        <f t="shared" si="152"/>
        <v>584.45000000000005</v>
      </c>
    </row>
    <row r="4834" spans="1:8" ht="27.6">
      <c r="A4834" s="502" t="s">
        <v>7759</v>
      </c>
      <c r="B4834" s="504" t="s">
        <v>13364</v>
      </c>
      <c r="C4834" s="502" t="s">
        <v>114</v>
      </c>
      <c r="D4834" s="503" t="s">
        <v>33362</v>
      </c>
      <c r="F4834" t="str">
        <f t="shared" si="151"/>
        <v>97460</v>
      </c>
      <c r="H4834" s="14">
        <f t="shared" si="152"/>
        <v>882.49</v>
      </c>
    </row>
    <row r="4835" spans="1:8" ht="41.4">
      <c r="A4835" s="502" t="s">
        <v>7760</v>
      </c>
      <c r="B4835" s="504" t="s">
        <v>13365</v>
      </c>
      <c r="C4835" s="502" t="s">
        <v>114</v>
      </c>
      <c r="D4835" s="503" t="s">
        <v>11438</v>
      </c>
      <c r="F4835" t="str">
        <f t="shared" si="151"/>
        <v>97461</v>
      </c>
      <c r="H4835" s="14">
        <f t="shared" si="152"/>
        <v>43.51</v>
      </c>
    </row>
    <row r="4836" spans="1:8" ht="55.2">
      <c r="A4836" s="502" t="s">
        <v>7761</v>
      </c>
      <c r="B4836" s="504" t="s">
        <v>13366</v>
      </c>
      <c r="C4836" s="502" t="s">
        <v>114</v>
      </c>
      <c r="D4836" s="503" t="s">
        <v>26494</v>
      </c>
      <c r="F4836" t="str">
        <f t="shared" si="151"/>
        <v>97462</v>
      </c>
      <c r="H4836" s="14">
        <f t="shared" si="152"/>
        <v>37.119999999999997</v>
      </c>
    </row>
    <row r="4837" spans="1:8" ht="41.4">
      <c r="A4837" s="502" t="s">
        <v>7762</v>
      </c>
      <c r="B4837" s="504" t="s">
        <v>13367</v>
      </c>
      <c r="C4837" s="502" t="s">
        <v>114</v>
      </c>
      <c r="D4837" s="503" t="s">
        <v>33363</v>
      </c>
      <c r="F4837" t="str">
        <f t="shared" si="151"/>
        <v>97464</v>
      </c>
      <c r="H4837" s="14">
        <f t="shared" si="152"/>
        <v>61.88</v>
      </c>
    </row>
    <row r="4838" spans="1:8" ht="55.2">
      <c r="A4838" s="502" t="s">
        <v>7763</v>
      </c>
      <c r="B4838" s="504" t="s">
        <v>13368</v>
      </c>
      <c r="C4838" s="502" t="s">
        <v>114</v>
      </c>
      <c r="D4838" s="503" t="s">
        <v>33364</v>
      </c>
      <c r="F4838" t="str">
        <f t="shared" si="151"/>
        <v>97465</v>
      </c>
      <c r="H4838" s="14">
        <f t="shared" si="152"/>
        <v>72.66</v>
      </c>
    </row>
    <row r="4839" spans="1:8" ht="41.4">
      <c r="A4839" s="502" t="s">
        <v>7764</v>
      </c>
      <c r="B4839" s="504" t="s">
        <v>13369</v>
      </c>
      <c r="C4839" s="502" t="s">
        <v>114</v>
      </c>
      <c r="D4839" s="503" t="s">
        <v>10694</v>
      </c>
      <c r="F4839" t="str">
        <f t="shared" si="151"/>
        <v>97467</v>
      </c>
      <c r="H4839" s="14">
        <f t="shared" si="152"/>
        <v>78.42</v>
      </c>
    </row>
    <row r="4840" spans="1:8" ht="55.2">
      <c r="A4840" s="502" t="s">
        <v>7765</v>
      </c>
      <c r="B4840" s="504" t="s">
        <v>13370</v>
      </c>
      <c r="C4840" s="502" t="s">
        <v>114</v>
      </c>
      <c r="D4840" s="503" t="s">
        <v>33365</v>
      </c>
      <c r="F4840" t="str">
        <f t="shared" si="151"/>
        <v>97468</v>
      </c>
      <c r="H4840" s="14">
        <f t="shared" si="152"/>
        <v>92.21</v>
      </c>
    </row>
    <row r="4841" spans="1:8" ht="41.4">
      <c r="A4841" s="502" t="s">
        <v>7766</v>
      </c>
      <c r="B4841" s="504" t="s">
        <v>13371</v>
      </c>
      <c r="C4841" s="502" t="s">
        <v>114</v>
      </c>
      <c r="D4841" s="503" t="s">
        <v>33366</v>
      </c>
      <c r="F4841" t="str">
        <f t="shared" si="151"/>
        <v>97470</v>
      </c>
      <c r="H4841" s="14">
        <f t="shared" si="152"/>
        <v>114.08</v>
      </c>
    </row>
    <row r="4842" spans="1:8" ht="55.2">
      <c r="A4842" s="502" t="s">
        <v>7767</v>
      </c>
      <c r="B4842" s="504" t="s">
        <v>13372</v>
      </c>
      <c r="C4842" s="502" t="s">
        <v>114</v>
      </c>
      <c r="D4842" s="503" t="s">
        <v>29028</v>
      </c>
      <c r="F4842" t="str">
        <f t="shared" si="151"/>
        <v>97471</v>
      </c>
      <c r="H4842" s="14">
        <f t="shared" si="152"/>
        <v>135.88999999999999</v>
      </c>
    </row>
    <row r="4843" spans="1:8" ht="41.4">
      <c r="A4843" s="502" t="s">
        <v>7768</v>
      </c>
      <c r="B4843" s="504" t="s">
        <v>13373</v>
      </c>
      <c r="C4843" s="502" t="s">
        <v>114</v>
      </c>
      <c r="D4843" s="503" t="s">
        <v>33367</v>
      </c>
      <c r="F4843" t="str">
        <f t="shared" si="151"/>
        <v>97474</v>
      </c>
      <c r="H4843" s="14">
        <f t="shared" si="152"/>
        <v>203.54</v>
      </c>
    </row>
    <row r="4844" spans="1:8" ht="55.2">
      <c r="A4844" s="502" t="s">
        <v>7769</v>
      </c>
      <c r="B4844" s="504" t="s">
        <v>13374</v>
      </c>
      <c r="C4844" s="502" t="s">
        <v>114</v>
      </c>
      <c r="D4844" s="503" t="s">
        <v>33368</v>
      </c>
      <c r="F4844" t="str">
        <f t="shared" si="151"/>
        <v>97475</v>
      </c>
      <c r="H4844" s="14">
        <f t="shared" si="152"/>
        <v>247.62</v>
      </c>
    </row>
    <row r="4845" spans="1:8" ht="41.4">
      <c r="A4845" s="502" t="s">
        <v>7770</v>
      </c>
      <c r="B4845" s="504" t="s">
        <v>13376</v>
      </c>
      <c r="C4845" s="502" t="s">
        <v>114</v>
      </c>
      <c r="D4845" s="503" t="s">
        <v>21331</v>
      </c>
      <c r="F4845" t="str">
        <f t="shared" si="151"/>
        <v>97477</v>
      </c>
      <c r="H4845" s="14">
        <f t="shared" si="152"/>
        <v>269.89999999999998</v>
      </c>
    </row>
    <row r="4846" spans="1:8" ht="55.2">
      <c r="A4846" s="502" t="s">
        <v>7771</v>
      </c>
      <c r="B4846" s="504" t="s">
        <v>13377</v>
      </c>
      <c r="C4846" s="502" t="s">
        <v>114</v>
      </c>
      <c r="D4846" s="503" t="s">
        <v>33369</v>
      </c>
      <c r="F4846" t="str">
        <f t="shared" si="151"/>
        <v>97478</v>
      </c>
      <c r="H4846" s="14">
        <f t="shared" si="152"/>
        <v>329.27</v>
      </c>
    </row>
    <row r="4847" spans="1:8" ht="41.4">
      <c r="A4847" s="502" t="s">
        <v>7772</v>
      </c>
      <c r="B4847" s="504" t="s">
        <v>13378</v>
      </c>
      <c r="C4847" s="502" t="s">
        <v>114</v>
      </c>
      <c r="D4847" s="503" t="s">
        <v>15498</v>
      </c>
      <c r="F4847" t="str">
        <f t="shared" si="151"/>
        <v>97479</v>
      </c>
      <c r="H4847" s="14">
        <f t="shared" si="152"/>
        <v>69.64</v>
      </c>
    </row>
    <row r="4848" spans="1:8" ht="41.4">
      <c r="A4848" s="502" t="s">
        <v>7773</v>
      </c>
      <c r="B4848" s="504" t="s">
        <v>13379</v>
      </c>
      <c r="C4848" s="502" t="s">
        <v>114</v>
      </c>
      <c r="D4848" s="503" t="s">
        <v>15498</v>
      </c>
      <c r="F4848" t="str">
        <f t="shared" si="151"/>
        <v>97480</v>
      </c>
      <c r="H4848" s="14">
        <f t="shared" si="152"/>
        <v>69.64</v>
      </c>
    </row>
    <row r="4849" spans="1:8" ht="41.4">
      <c r="A4849" s="502" t="s">
        <v>7774</v>
      </c>
      <c r="B4849" s="504" t="s">
        <v>13380</v>
      </c>
      <c r="C4849" s="502" t="s">
        <v>114</v>
      </c>
      <c r="D4849" s="503" t="s">
        <v>26932</v>
      </c>
      <c r="F4849" t="str">
        <f t="shared" si="151"/>
        <v>97481</v>
      </c>
      <c r="H4849" s="14">
        <f t="shared" si="152"/>
        <v>99.67</v>
      </c>
    </row>
    <row r="4850" spans="1:8" ht="41.4">
      <c r="A4850" s="502" t="s">
        <v>7775</v>
      </c>
      <c r="B4850" s="504" t="s">
        <v>13381</v>
      </c>
      <c r="C4850" s="502" t="s">
        <v>114</v>
      </c>
      <c r="D4850" s="503" t="s">
        <v>26932</v>
      </c>
      <c r="F4850" t="str">
        <f t="shared" si="151"/>
        <v>97482</v>
      </c>
      <c r="H4850" s="14">
        <f t="shared" si="152"/>
        <v>99.67</v>
      </c>
    </row>
    <row r="4851" spans="1:8" ht="41.4">
      <c r="A4851" s="502" t="s">
        <v>7776</v>
      </c>
      <c r="B4851" s="504" t="s">
        <v>13382</v>
      </c>
      <c r="C4851" s="502" t="s">
        <v>114</v>
      </c>
      <c r="D4851" s="503" t="s">
        <v>15387</v>
      </c>
      <c r="F4851" t="str">
        <f t="shared" si="151"/>
        <v>97483</v>
      </c>
      <c r="H4851" s="14">
        <f t="shared" si="152"/>
        <v>138.18</v>
      </c>
    </row>
    <row r="4852" spans="1:8" ht="41.4">
      <c r="A4852" s="502" t="s">
        <v>7777</v>
      </c>
      <c r="B4852" s="504" t="s">
        <v>13383</v>
      </c>
      <c r="C4852" s="502" t="s">
        <v>114</v>
      </c>
      <c r="D4852" s="503" t="s">
        <v>15387</v>
      </c>
      <c r="F4852" t="str">
        <f t="shared" si="151"/>
        <v>97484</v>
      </c>
      <c r="H4852" s="14">
        <f t="shared" si="152"/>
        <v>138.18</v>
      </c>
    </row>
    <row r="4853" spans="1:8" ht="41.4">
      <c r="A4853" s="502" t="s">
        <v>7778</v>
      </c>
      <c r="B4853" s="504" t="s">
        <v>13384</v>
      </c>
      <c r="C4853" s="502" t="s">
        <v>114</v>
      </c>
      <c r="D4853" s="503" t="s">
        <v>33370</v>
      </c>
      <c r="F4853" t="str">
        <f t="shared" si="151"/>
        <v>97485</v>
      </c>
      <c r="H4853" s="14">
        <f t="shared" si="152"/>
        <v>189.04</v>
      </c>
    </row>
    <row r="4854" spans="1:8" ht="41.4">
      <c r="A4854" s="502" t="s">
        <v>7779</v>
      </c>
      <c r="B4854" s="504" t="s">
        <v>13385</v>
      </c>
      <c r="C4854" s="502" t="s">
        <v>114</v>
      </c>
      <c r="D4854" s="503" t="s">
        <v>33371</v>
      </c>
      <c r="F4854" t="str">
        <f t="shared" si="151"/>
        <v>97486</v>
      </c>
      <c r="H4854" s="14">
        <f t="shared" si="152"/>
        <v>201.49</v>
      </c>
    </row>
    <row r="4855" spans="1:8" ht="41.4">
      <c r="A4855" s="502" t="s">
        <v>7780</v>
      </c>
      <c r="B4855" s="504" t="s">
        <v>13386</v>
      </c>
      <c r="C4855" s="502" t="s">
        <v>114</v>
      </c>
      <c r="D4855" s="503" t="s">
        <v>33372</v>
      </c>
      <c r="F4855" t="str">
        <f t="shared" si="151"/>
        <v>97487</v>
      </c>
      <c r="H4855" s="14">
        <f t="shared" si="152"/>
        <v>340.13</v>
      </c>
    </row>
    <row r="4856" spans="1:8" ht="41.4">
      <c r="A4856" s="502" t="s">
        <v>7781</v>
      </c>
      <c r="B4856" s="504" t="s">
        <v>13387</v>
      </c>
      <c r="C4856" s="502" t="s">
        <v>114</v>
      </c>
      <c r="D4856" s="503" t="s">
        <v>33373</v>
      </c>
      <c r="F4856" t="str">
        <f t="shared" si="151"/>
        <v>97488</v>
      </c>
      <c r="H4856" s="14">
        <f t="shared" si="152"/>
        <v>360.04</v>
      </c>
    </row>
    <row r="4857" spans="1:8" ht="41.4">
      <c r="A4857" s="502" t="s">
        <v>7782</v>
      </c>
      <c r="B4857" s="504" t="s">
        <v>13388</v>
      </c>
      <c r="C4857" s="502" t="s">
        <v>114</v>
      </c>
      <c r="D4857" s="503" t="s">
        <v>33374</v>
      </c>
      <c r="F4857" t="str">
        <f t="shared" si="151"/>
        <v>97489</v>
      </c>
      <c r="H4857" s="14">
        <f t="shared" si="152"/>
        <v>784.83</v>
      </c>
    </row>
    <row r="4858" spans="1:8" ht="41.4">
      <c r="A4858" s="502" t="s">
        <v>7783</v>
      </c>
      <c r="B4858" s="504" t="s">
        <v>13389</v>
      </c>
      <c r="C4858" s="502" t="s">
        <v>114</v>
      </c>
      <c r="D4858" s="503" t="s">
        <v>33375</v>
      </c>
      <c r="F4858" t="str">
        <f t="shared" si="151"/>
        <v>97490</v>
      </c>
      <c r="H4858" s="14">
        <f t="shared" si="152"/>
        <v>695.51</v>
      </c>
    </row>
    <row r="4859" spans="1:8" ht="41.4">
      <c r="A4859" s="502" t="s">
        <v>7784</v>
      </c>
      <c r="B4859" s="504" t="s">
        <v>13390</v>
      </c>
      <c r="C4859" s="502" t="s">
        <v>114</v>
      </c>
      <c r="D4859" s="503" t="s">
        <v>33173</v>
      </c>
      <c r="F4859" t="str">
        <f t="shared" si="151"/>
        <v>97491</v>
      </c>
      <c r="H4859" s="14">
        <f t="shared" si="152"/>
        <v>105.99</v>
      </c>
    </row>
    <row r="4860" spans="1:8" ht="41.4">
      <c r="A4860" s="502" t="s">
        <v>7785</v>
      </c>
      <c r="B4860" s="504" t="s">
        <v>13391</v>
      </c>
      <c r="C4860" s="502" t="s">
        <v>114</v>
      </c>
      <c r="D4860" s="503" t="s">
        <v>33376</v>
      </c>
      <c r="F4860" t="str">
        <f t="shared" si="151"/>
        <v>97492</v>
      </c>
      <c r="H4860" s="14">
        <f t="shared" si="152"/>
        <v>153.69999999999999</v>
      </c>
    </row>
    <row r="4861" spans="1:8" ht="41.4">
      <c r="A4861" s="502" t="s">
        <v>7786</v>
      </c>
      <c r="B4861" s="504" t="s">
        <v>13392</v>
      </c>
      <c r="C4861" s="502" t="s">
        <v>114</v>
      </c>
      <c r="D4861" s="503" t="s">
        <v>33377</v>
      </c>
      <c r="F4861" t="str">
        <f t="shared" si="151"/>
        <v>97493</v>
      </c>
      <c r="H4861" s="14">
        <f t="shared" si="152"/>
        <v>197.72</v>
      </c>
    </row>
    <row r="4862" spans="1:8" ht="41.4">
      <c r="A4862" s="502" t="s">
        <v>7787</v>
      </c>
      <c r="B4862" s="504" t="s">
        <v>13393</v>
      </c>
      <c r="C4862" s="502" t="s">
        <v>114</v>
      </c>
      <c r="D4862" s="503" t="s">
        <v>33378</v>
      </c>
      <c r="F4862" t="str">
        <f t="shared" si="151"/>
        <v>97494</v>
      </c>
      <c r="H4862" s="14">
        <f t="shared" si="152"/>
        <v>302.02</v>
      </c>
    </row>
    <row r="4863" spans="1:8" ht="41.4">
      <c r="A4863" s="502" t="s">
        <v>7788</v>
      </c>
      <c r="B4863" s="504" t="s">
        <v>13394</v>
      </c>
      <c r="C4863" s="502" t="s">
        <v>114</v>
      </c>
      <c r="D4863" s="503" t="s">
        <v>33379</v>
      </c>
      <c r="F4863" t="str">
        <f t="shared" si="151"/>
        <v>97495</v>
      </c>
      <c r="H4863" s="14">
        <f t="shared" si="152"/>
        <v>542.85</v>
      </c>
    </row>
    <row r="4864" spans="1:8" ht="41.4">
      <c r="A4864" s="502" t="s">
        <v>7789</v>
      </c>
      <c r="B4864" s="504" t="s">
        <v>13395</v>
      </c>
      <c r="C4864" s="502" t="s">
        <v>114</v>
      </c>
      <c r="D4864" s="503" t="s">
        <v>33380</v>
      </c>
      <c r="F4864" t="str">
        <f t="shared" si="151"/>
        <v>97496</v>
      </c>
      <c r="H4864" s="14">
        <f t="shared" si="152"/>
        <v>849.44</v>
      </c>
    </row>
    <row r="4865" spans="1:8" ht="41.4">
      <c r="A4865" s="502" t="s">
        <v>7790</v>
      </c>
      <c r="B4865" s="504" t="s">
        <v>13396</v>
      </c>
      <c r="C4865" s="502" t="s">
        <v>114</v>
      </c>
      <c r="D4865" s="503" t="s">
        <v>33381</v>
      </c>
      <c r="F4865" t="str">
        <f t="shared" si="151"/>
        <v>97499</v>
      </c>
      <c r="H4865" s="14">
        <f t="shared" si="152"/>
        <v>39.46</v>
      </c>
    </row>
    <row r="4866" spans="1:8" ht="55.2">
      <c r="A4866" s="502" t="s">
        <v>7791</v>
      </c>
      <c r="B4866" s="504" t="s">
        <v>13397</v>
      </c>
      <c r="C4866" s="502" t="s">
        <v>114</v>
      </c>
      <c r="D4866" s="503" t="s">
        <v>29915</v>
      </c>
      <c r="F4866" t="str">
        <f t="shared" si="151"/>
        <v>97500</v>
      </c>
      <c r="H4866" s="14">
        <f t="shared" si="152"/>
        <v>33.07</v>
      </c>
    </row>
    <row r="4867" spans="1:8" ht="41.4">
      <c r="A4867" s="502" t="s">
        <v>7792</v>
      </c>
      <c r="B4867" s="504" t="s">
        <v>13398</v>
      </c>
      <c r="C4867" s="502" t="s">
        <v>114</v>
      </c>
      <c r="D4867" s="503" t="s">
        <v>33382</v>
      </c>
      <c r="F4867" t="str">
        <f t="shared" si="151"/>
        <v>97502</v>
      </c>
      <c r="H4867" s="14">
        <f t="shared" si="152"/>
        <v>54.39</v>
      </c>
    </row>
    <row r="4868" spans="1:8" ht="55.2">
      <c r="A4868" s="502" t="s">
        <v>7793</v>
      </c>
      <c r="B4868" s="504" t="s">
        <v>13399</v>
      </c>
      <c r="C4868" s="502" t="s">
        <v>114</v>
      </c>
      <c r="D4868" s="503" t="s">
        <v>33383</v>
      </c>
      <c r="F4868" t="str">
        <f t="shared" si="151"/>
        <v>97503</v>
      </c>
      <c r="H4868" s="14">
        <f t="shared" si="152"/>
        <v>65.52</v>
      </c>
    </row>
    <row r="4869" spans="1:8" ht="41.4">
      <c r="A4869" s="502" t="s">
        <v>7794</v>
      </c>
      <c r="B4869" s="504" t="s">
        <v>13401</v>
      </c>
      <c r="C4869" s="502" t="s">
        <v>114</v>
      </c>
      <c r="D4869" s="503" t="s">
        <v>32982</v>
      </c>
      <c r="F4869" t="str">
        <f t="shared" ref="F4869:F4932" si="153">TRIM(A4869)</f>
        <v>97505</v>
      </c>
      <c r="H4869" s="14">
        <f t="shared" ref="H4869:H4932" si="154">ROUND(D4869*(1+$H$1),2)</f>
        <v>67.849999999999994</v>
      </c>
    </row>
    <row r="4870" spans="1:8" ht="55.2">
      <c r="A4870" s="502" t="s">
        <v>7795</v>
      </c>
      <c r="B4870" s="504" t="s">
        <v>13402</v>
      </c>
      <c r="C4870" s="502" t="s">
        <v>114</v>
      </c>
      <c r="D4870" s="503" t="s">
        <v>15171</v>
      </c>
      <c r="F4870" t="str">
        <f t="shared" si="153"/>
        <v>97506</v>
      </c>
      <c r="H4870" s="14">
        <f t="shared" si="154"/>
        <v>81.64</v>
      </c>
    </row>
    <row r="4871" spans="1:8" ht="41.4">
      <c r="A4871" s="502" t="s">
        <v>7796</v>
      </c>
      <c r="B4871" s="504" t="s">
        <v>13403</v>
      </c>
      <c r="C4871" s="502" t="s">
        <v>114</v>
      </c>
      <c r="D4871" s="503" t="s">
        <v>33384</v>
      </c>
      <c r="F4871" t="str">
        <f t="shared" si="153"/>
        <v>97508</v>
      </c>
      <c r="H4871" s="14">
        <f t="shared" si="154"/>
        <v>99.08</v>
      </c>
    </row>
    <row r="4872" spans="1:8" ht="55.2">
      <c r="A4872" s="502" t="s">
        <v>7797</v>
      </c>
      <c r="B4872" s="504" t="s">
        <v>13405</v>
      </c>
      <c r="C4872" s="502" t="s">
        <v>114</v>
      </c>
      <c r="D4872" s="503" t="s">
        <v>33385</v>
      </c>
      <c r="F4872" t="str">
        <f t="shared" si="153"/>
        <v>97509</v>
      </c>
      <c r="H4872" s="14">
        <f t="shared" si="154"/>
        <v>120.9</v>
      </c>
    </row>
    <row r="4873" spans="1:8" ht="41.4">
      <c r="A4873" s="502" t="s">
        <v>7798</v>
      </c>
      <c r="B4873" s="504" t="s">
        <v>13406</v>
      </c>
      <c r="C4873" s="502" t="s">
        <v>114</v>
      </c>
      <c r="D4873" s="503" t="s">
        <v>33386</v>
      </c>
      <c r="F4873" t="str">
        <f t="shared" si="153"/>
        <v>97511</v>
      </c>
      <c r="H4873" s="14">
        <f t="shared" si="154"/>
        <v>182.02</v>
      </c>
    </row>
    <row r="4874" spans="1:8" ht="55.2">
      <c r="A4874" s="502" t="s">
        <v>7799</v>
      </c>
      <c r="B4874" s="504" t="s">
        <v>13407</v>
      </c>
      <c r="C4874" s="502" t="s">
        <v>114</v>
      </c>
      <c r="D4874" s="503" t="s">
        <v>33387</v>
      </c>
      <c r="F4874" t="str">
        <f t="shared" si="153"/>
        <v>97512</v>
      </c>
      <c r="H4874" s="14">
        <f t="shared" si="154"/>
        <v>226.1</v>
      </c>
    </row>
    <row r="4875" spans="1:8" ht="41.4">
      <c r="A4875" s="502" t="s">
        <v>7800</v>
      </c>
      <c r="B4875" s="504" t="s">
        <v>13408</v>
      </c>
      <c r="C4875" s="502" t="s">
        <v>114</v>
      </c>
      <c r="D4875" s="503" t="s">
        <v>33388</v>
      </c>
      <c r="F4875" t="str">
        <f t="shared" si="153"/>
        <v>97514</v>
      </c>
      <c r="H4875" s="14">
        <f t="shared" si="154"/>
        <v>241.61</v>
      </c>
    </row>
    <row r="4876" spans="1:8" ht="55.2">
      <c r="A4876" s="502" t="s">
        <v>7801</v>
      </c>
      <c r="B4876" s="504" t="s">
        <v>13409</v>
      </c>
      <c r="C4876" s="502" t="s">
        <v>114</v>
      </c>
      <c r="D4876" s="503" t="s">
        <v>33389</v>
      </c>
      <c r="F4876" t="str">
        <f t="shared" si="153"/>
        <v>97515</v>
      </c>
      <c r="H4876" s="14">
        <f t="shared" si="154"/>
        <v>300.99</v>
      </c>
    </row>
    <row r="4877" spans="1:8" ht="41.4">
      <c r="A4877" s="502" t="s">
        <v>7802</v>
      </c>
      <c r="B4877" s="504" t="s">
        <v>13410</v>
      </c>
      <c r="C4877" s="502" t="s">
        <v>114</v>
      </c>
      <c r="D4877" s="503" t="s">
        <v>33390</v>
      </c>
      <c r="F4877" t="str">
        <f t="shared" si="153"/>
        <v>97517</v>
      </c>
      <c r="H4877" s="14">
        <f t="shared" si="154"/>
        <v>63.57</v>
      </c>
    </row>
    <row r="4878" spans="1:8" ht="41.4">
      <c r="A4878" s="502" t="s">
        <v>7803</v>
      </c>
      <c r="B4878" s="504" t="s">
        <v>13411</v>
      </c>
      <c r="C4878" s="502" t="s">
        <v>114</v>
      </c>
      <c r="D4878" s="503" t="s">
        <v>33390</v>
      </c>
      <c r="F4878" t="str">
        <f t="shared" si="153"/>
        <v>97518</v>
      </c>
      <c r="H4878" s="14">
        <f t="shared" si="154"/>
        <v>63.57</v>
      </c>
    </row>
    <row r="4879" spans="1:8" ht="41.4">
      <c r="A4879" s="502" t="s">
        <v>7804</v>
      </c>
      <c r="B4879" s="504" t="s">
        <v>13412</v>
      </c>
      <c r="C4879" s="502" t="s">
        <v>114</v>
      </c>
      <c r="D4879" s="503" t="s">
        <v>28629</v>
      </c>
      <c r="F4879" t="str">
        <f t="shared" si="153"/>
        <v>97519</v>
      </c>
      <c r="H4879" s="14">
        <f t="shared" si="154"/>
        <v>88.97</v>
      </c>
    </row>
    <row r="4880" spans="1:8" ht="41.4">
      <c r="A4880" s="502" t="s">
        <v>7805</v>
      </c>
      <c r="B4880" s="504" t="s">
        <v>13413</v>
      </c>
      <c r="C4880" s="502" t="s">
        <v>114</v>
      </c>
      <c r="D4880" s="503" t="s">
        <v>28629</v>
      </c>
      <c r="F4880" t="str">
        <f t="shared" si="153"/>
        <v>97520</v>
      </c>
      <c r="H4880" s="14">
        <f t="shared" si="154"/>
        <v>88.97</v>
      </c>
    </row>
    <row r="4881" spans="1:8" ht="41.4">
      <c r="A4881" s="502" t="s">
        <v>7806</v>
      </c>
      <c r="B4881" s="504" t="s">
        <v>13414</v>
      </c>
      <c r="C4881" s="502" t="s">
        <v>114</v>
      </c>
      <c r="D4881" s="503" t="s">
        <v>33391</v>
      </c>
      <c r="F4881" t="str">
        <f t="shared" si="153"/>
        <v>97521</v>
      </c>
      <c r="H4881" s="14">
        <f t="shared" si="154"/>
        <v>122.24</v>
      </c>
    </row>
    <row r="4882" spans="1:8" ht="41.4">
      <c r="A4882" s="502" t="s">
        <v>7807</v>
      </c>
      <c r="B4882" s="504" t="s">
        <v>13415</v>
      </c>
      <c r="C4882" s="502" t="s">
        <v>114</v>
      </c>
      <c r="D4882" s="503" t="s">
        <v>33391</v>
      </c>
      <c r="F4882" t="str">
        <f t="shared" si="153"/>
        <v>97522</v>
      </c>
      <c r="H4882" s="14">
        <f t="shared" si="154"/>
        <v>122.24</v>
      </c>
    </row>
    <row r="4883" spans="1:8" ht="41.4">
      <c r="A4883" s="502" t="s">
        <v>7808</v>
      </c>
      <c r="B4883" s="504" t="s">
        <v>13416</v>
      </c>
      <c r="C4883" s="502" t="s">
        <v>114</v>
      </c>
      <c r="D4883" s="503" t="s">
        <v>33392</v>
      </c>
      <c r="F4883" t="str">
        <f t="shared" si="153"/>
        <v>97523</v>
      </c>
      <c r="H4883" s="14">
        <f t="shared" si="154"/>
        <v>166.58</v>
      </c>
    </row>
    <row r="4884" spans="1:8" ht="41.4">
      <c r="A4884" s="502" t="s">
        <v>7809</v>
      </c>
      <c r="B4884" s="504" t="s">
        <v>13417</v>
      </c>
      <c r="C4884" s="502" t="s">
        <v>114</v>
      </c>
      <c r="D4884" s="503" t="s">
        <v>28316</v>
      </c>
      <c r="F4884" t="str">
        <f t="shared" si="153"/>
        <v>97524</v>
      </c>
      <c r="H4884" s="14">
        <f t="shared" si="154"/>
        <v>179.02</v>
      </c>
    </row>
    <row r="4885" spans="1:8" ht="41.4">
      <c r="A4885" s="502" t="s">
        <v>7810</v>
      </c>
      <c r="B4885" s="504" t="s">
        <v>13418</v>
      </c>
      <c r="C4885" s="502" t="s">
        <v>114</v>
      </c>
      <c r="D4885" s="503" t="s">
        <v>33393</v>
      </c>
      <c r="F4885" t="str">
        <f t="shared" si="153"/>
        <v>97525</v>
      </c>
      <c r="H4885" s="14">
        <f t="shared" si="154"/>
        <v>307.66000000000003</v>
      </c>
    </row>
    <row r="4886" spans="1:8" ht="41.4">
      <c r="A4886" s="502" t="s">
        <v>7811</v>
      </c>
      <c r="B4886" s="504" t="s">
        <v>13419</v>
      </c>
      <c r="C4886" s="502" t="s">
        <v>114</v>
      </c>
      <c r="D4886" s="503" t="s">
        <v>32108</v>
      </c>
      <c r="F4886" t="str">
        <f t="shared" si="153"/>
        <v>97526</v>
      </c>
      <c r="H4886" s="14">
        <f t="shared" si="154"/>
        <v>327.57</v>
      </c>
    </row>
    <row r="4887" spans="1:8" ht="41.4">
      <c r="A4887" s="502" t="s">
        <v>7812</v>
      </c>
      <c r="B4887" s="504" t="s">
        <v>13420</v>
      </c>
      <c r="C4887" s="502" t="s">
        <v>114</v>
      </c>
      <c r="D4887" s="503" t="s">
        <v>33394</v>
      </c>
      <c r="F4887" t="str">
        <f t="shared" si="153"/>
        <v>97527</v>
      </c>
      <c r="H4887" s="14">
        <f t="shared" si="154"/>
        <v>742.51</v>
      </c>
    </row>
    <row r="4888" spans="1:8" ht="41.4">
      <c r="A4888" s="502" t="s">
        <v>7813</v>
      </c>
      <c r="B4888" s="504" t="s">
        <v>13421</v>
      </c>
      <c r="C4888" s="502" t="s">
        <v>114</v>
      </c>
      <c r="D4888" s="503" t="s">
        <v>33395</v>
      </c>
      <c r="F4888" t="str">
        <f t="shared" si="153"/>
        <v>97528</v>
      </c>
      <c r="H4888" s="14">
        <f t="shared" si="154"/>
        <v>653.19000000000005</v>
      </c>
    </row>
    <row r="4889" spans="1:8" ht="41.4">
      <c r="A4889" s="502" t="s">
        <v>7814</v>
      </c>
      <c r="B4889" s="504" t="s">
        <v>13422</v>
      </c>
      <c r="C4889" s="502" t="s">
        <v>114</v>
      </c>
      <c r="D4889" s="503" t="s">
        <v>30290</v>
      </c>
      <c r="F4889" t="str">
        <f t="shared" si="153"/>
        <v>97529</v>
      </c>
      <c r="H4889" s="14">
        <f t="shared" si="154"/>
        <v>98.02</v>
      </c>
    </row>
    <row r="4890" spans="1:8" ht="41.4">
      <c r="A4890" s="502" t="s">
        <v>7815</v>
      </c>
      <c r="B4890" s="504" t="s">
        <v>13423</v>
      </c>
      <c r="C4890" s="502" t="s">
        <v>114</v>
      </c>
      <c r="D4890" s="503" t="s">
        <v>29930</v>
      </c>
      <c r="F4890" t="str">
        <f t="shared" si="153"/>
        <v>97530</v>
      </c>
      <c r="H4890" s="14">
        <f t="shared" si="154"/>
        <v>139.43</v>
      </c>
    </row>
    <row r="4891" spans="1:8" ht="41.4">
      <c r="A4891" s="502" t="s">
        <v>7816</v>
      </c>
      <c r="B4891" s="504" t="s">
        <v>13424</v>
      </c>
      <c r="C4891" s="502" t="s">
        <v>114</v>
      </c>
      <c r="D4891" s="503" t="s">
        <v>33396</v>
      </c>
      <c r="F4891" t="str">
        <f t="shared" si="153"/>
        <v>97531</v>
      </c>
      <c r="H4891" s="14">
        <f t="shared" si="154"/>
        <v>176.45</v>
      </c>
    </row>
    <row r="4892" spans="1:8" ht="41.4">
      <c r="A4892" s="502" t="s">
        <v>7817</v>
      </c>
      <c r="B4892" s="504" t="s">
        <v>13425</v>
      </c>
      <c r="C4892" s="502" t="s">
        <v>114</v>
      </c>
      <c r="D4892" s="503" t="s">
        <v>33397</v>
      </c>
      <c r="F4892" t="str">
        <f t="shared" si="153"/>
        <v>97532</v>
      </c>
      <c r="H4892" s="14">
        <f t="shared" si="154"/>
        <v>272.06</v>
      </c>
    </row>
    <row r="4893" spans="1:8" ht="41.4">
      <c r="A4893" s="502" t="s">
        <v>7818</v>
      </c>
      <c r="B4893" s="504" t="s">
        <v>13426</v>
      </c>
      <c r="C4893" s="502" t="s">
        <v>114</v>
      </c>
      <c r="D4893" s="503" t="s">
        <v>33398</v>
      </c>
      <c r="F4893" t="str">
        <f t="shared" si="153"/>
        <v>97533</v>
      </c>
      <c r="H4893" s="14">
        <f t="shared" si="154"/>
        <v>505.99</v>
      </c>
    </row>
    <row r="4894" spans="1:8" ht="41.4">
      <c r="A4894" s="502" t="s">
        <v>7819</v>
      </c>
      <c r="B4894" s="504" t="s">
        <v>13427</v>
      </c>
      <c r="C4894" s="502" t="s">
        <v>114</v>
      </c>
      <c r="D4894" s="503" t="s">
        <v>33399</v>
      </c>
      <c r="F4894" t="str">
        <f t="shared" si="153"/>
        <v>97534</v>
      </c>
      <c r="H4894" s="14">
        <f t="shared" si="154"/>
        <v>792.98</v>
      </c>
    </row>
    <row r="4895" spans="1:8" ht="41.4">
      <c r="A4895" s="502" t="s">
        <v>7820</v>
      </c>
      <c r="B4895" s="504" t="s">
        <v>13428</v>
      </c>
      <c r="C4895" s="502" t="s">
        <v>114</v>
      </c>
      <c r="D4895" s="503" t="s">
        <v>33058</v>
      </c>
      <c r="F4895" t="str">
        <f t="shared" si="153"/>
        <v>97537</v>
      </c>
      <c r="H4895" s="14">
        <f t="shared" si="154"/>
        <v>30.49</v>
      </c>
    </row>
    <row r="4896" spans="1:8" ht="41.4">
      <c r="A4896" s="502" t="s">
        <v>7821</v>
      </c>
      <c r="B4896" s="504" t="s">
        <v>13429</v>
      </c>
      <c r="C4896" s="502" t="s">
        <v>114</v>
      </c>
      <c r="D4896" s="503" t="s">
        <v>33400</v>
      </c>
      <c r="F4896" t="str">
        <f t="shared" si="153"/>
        <v>97540</v>
      </c>
      <c r="H4896" s="14">
        <f t="shared" si="154"/>
        <v>42.37</v>
      </c>
    </row>
    <row r="4897" spans="1:8" ht="55.2">
      <c r="A4897" s="502" t="s">
        <v>7822</v>
      </c>
      <c r="B4897" s="504" t="s">
        <v>13430</v>
      </c>
      <c r="C4897" s="502" t="s">
        <v>114</v>
      </c>
      <c r="D4897" s="503" t="s">
        <v>19142</v>
      </c>
      <c r="F4897" t="str">
        <f t="shared" si="153"/>
        <v>97541</v>
      </c>
      <c r="H4897" s="14">
        <f t="shared" si="154"/>
        <v>37.06</v>
      </c>
    </row>
    <row r="4898" spans="1:8" ht="41.4">
      <c r="A4898" s="502" t="s">
        <v>7823</v>
      </c>
      <c r="B4898" s="504" t="s">
        <v>13431</v>
      </c>
      <c r="C4898" s="502" t="s">
        <v>114</v>
      </c>
      <c r="D4898" s="503" t="s">
        <v>26627</v>
      </c>
      <c r="F4898" t="str">
        <f t="shared" si="153"/>
        <v>97543</v>
      </c>
      <c r="H4898" s="14">
        <f t="shared" si="154"/>
        <v>70.959999999999994</v>
      </c>
    </row>
    <row r="4899" spans="1:8" ht="41.4">
      <c r="A4899" s="502" t="s">
        <v>7824</v>
      </c>
      <c r="B4899" s="504" t="s">
        <v>13432</v>
      </c>
      <c r="C4899" s="502" t="s">
        <v>114</v>
      </c>
      <c r="D4899" s="503" t="s">
        <v>33401</v>
      </c>
      <c r="F4899" t="str">
        <f t="shared" si="153"/>
        <v>97544</v>
      </c>
      <c r="H4899" s="14">
        <f t="shared" si="154"/>
        <v>64.569999999999993</v>
      </c>
    </row>
    <row r="4900" spans="1:8" ht="41.4">
      <c r="A4900" s="502" t="s">
        <v>7825</v>
      </c>
      <c r="B4900" s="504" t="s">
        <v>13433</v>
      </c>
      <c r="C4900" s="502" t="s">
        <v>114</v>
      </c>
      <c r="D4900" s="503" t="s">
        <v>33402</v>
      </c>
      <c r="F4900" t="str">
        <f t="shared" si="153"/>
        <v>97546</v>
      </c>
      <c r="H4900" s="14">
        <f t="shared" si="154"/>
        <v>43.09</v>
      </c>
    </row>
    <row r="4901" spans="1:8" ht="41.4">
      <c r="A4901" s="502" t="s">
        <v>7826</v>
      </c>
      <c r="B4901" s="504" t="s">
        <v>13434</v>
      </c>
      <c r="C4901" s="502" t="s">
        <v>114</v>
      </c>
      <c r="D4901" s="503" t="s">
        <v>33402</v>
      </c>
      <c r="F4901" t="str">
        <f t="shared" si="153"/>
        <v>97547</v>
      </c>
      <c r="H4901" s="14">
        <f t="shared" si="154"/>
        <v>43.09</v>
      </c>
    </row>
    <row r="4902" spans="1:8" ht="41.4">
      <c r="A4902" s="502" t="s">
        <v>7827</v>
      </c>
      <c r="B4902" s="504" t="s">
        <v>13435</v>
      </c>
      <c r="C4902" s="502" t="s">
        <v>114</v>
      </c>
      <c r="D4902" s="503" t="s">
        <v>33403</v>
      </c>
      <c r="F4902" t="str">
        <f t="shared" si="153"/>
        <v>97548</v>
      </c>
      <c r="H4902" s="14">
        <f t="shared" si="154"/>
        <v>65.13</v>
      </c>
    </row>
    <row r="4903" spans="1:8" ht="41.4">
      <c r="A4903" s="502" t="s">
        <v>7828</v>
      </c>
      <c r="B4903" s="504" t="s">
        <v>13436</v>
      </c>
      <c r="C4903" s="502" t="s">
        <v>114</v>
      </c>
      <c r="D4903" s="503" t="s">
        <v>33403</v>
      </c>
      <c r="F4903" t="str">
        <f t="shared" si="153"/>
        <v>97549</v>
      </c>
      <c r="H4903" s="14">
        <f t="shared" si="154"/>
        <v>65.13</v>
      </c>
    </row>
    <row r="4904" spans="1:8" ht="41.4">
      <c r="A4904" s="502" t="s">
        <v>7829</v>
      </c>
      <c r="B4904" s="504" t="s">
        <v>13437</v>
      </c>
      <c r="C4904" s="502" t="s">
        <v>114</v>
      </c>
      <c r="D4904" s="503" t="s">
        <v>33404</v>
      </c>
      <c r="F4904" t="str">
        <f t="shared" si="153"/>
        <v>97550</v>
      </c>
      <c r="H4904" s="14">
        <f t="shared" si="154"/>
        <v>110.88</v>
      </c>
    </row>
    <row r="4905" spans="1:8" ht="41.4">
      <c r="A4905" s="502" t="s">
        <v>7830</v>
      </c>
      <c r="B4905" s="504" t="s">
        <v>13439</v>
      </c>
      <c r="C4905" s="502" t="s">
        <v>114</v>
      </c>
      <c r="D4905" s="503" t="s">
        <v>33404</v>
      </c>
      <c r="F4905" t="str">
        <f t="shared" si="153"/>
        <v>97551</v>
      </c>
      <c r="H4905" s="14">
        <f t="shared" si="154"/>
        <v>110.88</v>
      </c>
    </row>
    <row r="4906" spans="1:8" ht="41.4">
      <c r="A4906" s="502" t="s">
        <v>7831</v>
      </c>
      <c r="B4906" s="504" t="s">
        <v>13440</v>
      </c>
      <c r="C4906" s="502" t="s">
        <v>114</v>
      </c>
      <c r="D4906" s="503" t="s">
        <v>25502</v>
      </c>
      <c r="F4906" t="str">
        <f t="shared" si="153"/>
        <v>97552</v>
      </c>
      <c r="H4906" s="14">
        <f t="shared" si="154"/>
        <v>62.05</v>
      </c>
    </row>
    <row r="4907" spans="1:8" ht="41.4">
      <c r="A4907" s="502" t="s">
        <v>7832</v>
      </c>
      <c r="B4907" s="504" t="s">
        <v>13441</v>
      </c>
      <c r="C4907" s="502" t="s">
        <v>114</v>
      </c>
      <c r="D4907" s="503" t="s">
        <v>33405</v>
      </c>
      <c r="F4907" t="str">
        <f t="shared" si="153"/>
        <v>97553</v>
      </c>
      <c r="H4907" s="14">
        <f t="shared" si="154"/>
        <v>91.45</v>
      </c>
    </row>
    <row r="4908" spans="1:8" ht="41.4">
      <c r="A4908" s="502" t="s">
        <v>7833</v>
      </c>
      <c r="B4908" s="504" t="s">
        <v>13442</v>
      </c>
      <c r="C4908" s="502" t="s">
        <v>114</v>
      </c>
      <c r="D4908" s="503" t="s">
        <v>33406</v>
      </c>
      <c r="F4908" t="str">
        <f t="shared" si="153"/>
        <v>97554</v>
      </c>
      <c r="H4908" s="14">
        <f t="shared" si="154"/>
        <v>161.13999999999999</v>
      </c>
    </row>
    <row r="4909" spans="1:8" ht="55.2">
      <c r="A4909" s="502" t="s">
        <v>7834</v>
      </c>
      <c r="B4909" s="504" t="s">
        <v>25732</v>
      </c>
      <c r="C4909" s="502" t="s">
        <v>114</v>
      </c>
      <c r="D4909" s="503" t="s">
        <v>28827</v>
      </c>
      <c r="F4909" t="str">
        <f t="shared" si="153"/>
        <v>98602</v>
      </c>
      <c r="H4909" s="14">
        <f t="shared" si="154"/>
        <v>24.76</v>
      </c>
    </row>
    <row r="4910" spans="1:8" ht="41.4">
      <c r="A4910" s="502" t="s">
        <v>25733</v>
      </c>
      <c r="B4910" s="504" t="s">
        <v>25734</v>
      </c>
      <c r="C4910" s="502" t="s">
        <v>114</v>
      </c>
      <c r="D4910" s="503" t="s">
        <v>29759</v>
      </c>
      <c r="F4910" t="str">
        <f t="shared" si="153"/>
        <v>103805</v>
      </c>
      <c r="H4910" s="14">
        <f t="shared" si="154"/>
        <v>26.02</v>
      </c>
    </row>
    <row r="4911" spans="1:8" ht="55.2">
      <c r="A4911" s="502" t="s">
        <v>25735</v>
      </c>
      <c r="B4911" s="504" t="s">
        <v>25736</v>
      </c>
      <c r="C4911" s="502" t="s">
        <v>114</v>
      </c>
      <c r="D4911" s="503" t="s">
        <v>7319</v>
      </c>
      <c r="F4911" t="str">
        <f t="shared" si="153"/>
        <v>103806</v>
      </c>
      <c r="H4911" s="14">
        <f t="shared" si="154"/>
        <v>25.98</v>
      </c>
    </row>
    <row r="4912" spans="1:8" ht="55.2">
      <c r="A4912" s="502" t="s">
        <v>25738</v>
      </c>
      <c r="B4912" s="504" t="s">
        <v>29320</v>
      </c>
      <c r="C4912" s="502" t="s">
        <v>114</v>
      </c>
      <c r="D4912" s="503" t="s">
        <v>33407</v>
      </c>
      <c r="F4912" t="str">
        <f t="shared" si="153"/>
        <v>103807</v>
      </c>
      <c r="H4912" s="14">
        <f t="shared" si="154"/>
        <v>30.71</v>
      </c>
    </row>
    <row r="4913" spans="1:8" ht="41.4">
      <c r="A4913" s="502" t="s">
        <v>25739</v>
      </c>
      <c r="B4913" s="504" t="s">
        <v>25740</v>
      </c>
      <c r="C4913" s="502" t="s">
        <v>114</v>
      </c>
      <c r="D4913" s="503" t="s">
        <v>29572</v>
      </c>
      <c r="F4913" t="str">
        <f t="shared" si="153"/>
        <v>103808</v>
      </c>
      <c r="H4913" s="14">
        <f t="shared" si="154"/>
        <v>48.41</v>
      </c>
    </row>
    <row r="4914" spans="1:8" ht="55.2">
      <c r="A4914" s="502" t="s">
        <v>25741</v>
      </c>
      <c r="B4914" s="504" t="s">
        <v>25742</v>
      </c>
      <c r="C4914" s="502" t="s">
        <v>114</v>
      </c>
      <c r="D4914" s="503" t="s">
        <v>10205</v>
      </c>
      <c r="F4914" t="str">
        <f t="shared" si="153"/>
        <v>103809</v>
      </c>
      <c r="H4914" s="14">
        <f t="shared" si="154"/>
        <v>48.02</v>
      </c>
    </row>
    <row r="4915" spans="1:8" ht="55.2">
      <c r="A4915" s="502" t="s">
        <v>25743</v>
      </c>
      <c r="B4915" s="504" t="s">
        <v>29321</v>
      </c>
      <c r="C4915" s="502" t="s">
        <v>114</v>
      </c>
      <c r="D4915" s="503" t="s">
        <v>15195</v>
      </c>
      <c r="F4915" t="str">
        <f t="shared" si="153"/>
        <v>103810</v>
      </c>
      <c r="H4915" s="14">
        <f t="shared" si="154"/>
        <v>47.37</v>
      </c>
    </row>
    <row r="4916" spans="1:8" ht="55.2">
      <c r="A4916" s="502" t="s">
        <v>25744</v>
      </c>
      <c r="B4916" s="504" t="s">
        <v>29322</v>
      </c>
      <c r="C4916" s="502" t="s">
        <v>114</v>
      </c>
      <c r="D4916" s="503" t="s">
        <v>33408</v>
      </c>
      <c r="F4916" t="str">
        <f t="shared" si="153"/>
        <v>103811</v>
      </c>
      <c r="H4916" s="14">
        <f t="shared" si="154"/>
        <v>52.21</v>
      </c>
    </row>
    <row r="4917" spans="1:8" ht="41.4">
      <c r="A4917" s="502" t="s">
        <v>25745</v>
      </c>
      <c r="B4917" s="504" t="s">
        <v>25746</v>
      </c>
      <c r="C4917" s="502" t="s">
        <v>114</v>
      </c>
      <c r="D4917" s="503" t="s">
        <v>16550</v>
      </c>
      <c r="F4917" t="str">
        <f t="shared" si="153"/>
        <v>103812</v>
      </c>
      <c r="H4917" s="14">
        <f t="shared" si="154"/>
        <v>71.290000000000006</v>
      </c>
    </row>
    <row r="4918" spans="1:8" ht="55.2">
      <c r="A4918" s="502" t="s">
        <v>25747</v>
      </c>
      <c r="B4918" s="504" t="s">
        <v>25748</v>
      </c>
      <c r="C4918" s="502" t="s">
        <v>114</v>
      </c>
      <c r="D4918" s="503" t="s">
        <v>20790</v>
      </c>
      <c r="F4918" t="str">
        <f t="shared" si="153"/>
        <v>103813</v>
      </c>
      <c r="H4918" s="14">
        <f t="shared" si="154"/>
        <v>68.92</v>
      </c>
    </row>
    <row r="4919" spans="1:8" ht="41.4">
      <c r="A4919" s="502" t="s">
        <v>25749</v>
      </c>
      <c r="B4919" s="504" t="s">
        <v>25750</v>
      </c>
      <c r="C4919" s="502" t="s">
        <v>114</v>
      </c>
      <c r="D4919" s="503" t="s">
        <v>16147</v>
      </c>
      <c r="F4919" t="str">
        <f t="shared" si="153"/>
        <v>103814</v>
      </c>
      <c r="H4919" s="14">
        <f t="shared" si="154"/>
        <v>17.04</v>
      </c>
    </row>
    <row r="4920" spans="1:8" ht="41.4">
      <c r="A4920" s="502" t="s">
        <v>25751</v>
      </c>
      <c r="B4920" s="504" t="s">
        <v>25752</v>
      </c>
      <c r="C4920" s="502" t="s">
        <v>114</v>
      </c>
      <c r="D4920" s="503" t="s">
        <v>16150</v>
      </c>
      <c r="F4920" t="str">
        <f t="shared" si="153"/>
        <v>103815</v>
      </c>
      <c r="H4920" s="14">
        <f t="shared" si="154"/>
        <v>17.079999999999998</v>
      </c>
    </row>
    <row r="4921" spans="1:8" ht="55.2">
      <c r="A4921" s="502" t="s">
        <v>25753</v>
      </c>
      <c r="B4921" s="504" t="s">
        <v>25754</v>
      </c>
      <c r="C4921" s="502" t="s">
        <v>114</v>
      </c>
      <c r="D4921" s="503" t="s">
        <v>10665</v>
      </c>
      <c r="F4921" t="str">
        <f t="shared" si="153"/>
        <v>103816</v>
      </c>
      <c r="H4921" s="14">
        <f t="shared" si="154"/>
        <v>37.659999999999997</v>
      </c>
    </row>
    <row r="4922" spans="1:8" ht="41.4">
      <c r="A4922" s="502" t="s">
        <v>25755</v>
      </c>
      <c r="B4922" s="504" t="s">
        <v>25756</v>
      </c>
      <c r="C4922" s="502" t="s">
        <v>114</v>
      </c>
      <c r="D4922" s="503" t="s">
        <v>33409</v>
      </c>
      <c r="F4922" t="str">
        <f t="shared" si="153"/>
        <v>103817</v>
      </c>
      <c r="H4922" s="14">
        <f t="shared" si="154"/>
        <v>609.9</v>
      </c>
    </row>
    <row r="4923" spans="1:8" ht="55.2">
      <c r="A4923" s="502" t="s">
        <v>25757</v>
      </c>
      <c r="B4923" s="504" t="s">
        <v>29324</v>
      </c>
      <c r="C4923" s="502" t="s">
        <v>114</v>
      </c>
      <c r="D4923" s="503" t="s">
        <v>9571</v>
      </c>
      <c r="F4923" t="str">
        <f t="shared" si="153"/>
        <v>103818</v>
      </c>
      <c r="H4923" s="14">
        <f t="shared" si="154"/>
        <v>27.89</v>
      </c>
    </row>
    <row r="4924" spans="1:8" ht="41.4">
      <c r="A4924" s="502" t="s">
        <v>25759</v>
      </c>
      <c r="B4924" s="504" t="s">
        <v>25760</v>
      </c>
      <c r="C4924" s="502" t="s">
        <v>114</v>
      </c>
      <c r="D4924" s="503" t="s">
        <v>4314</v>
      </c>
      <c r="F4924" t="str">
        <f t="shared" si="153"/>
        <v>103819</v>
      </c>
      <c r="H4924" s="14">
        <f t="shared" si="154"/>
        <v>30.05</v>
      </c>
    </row>
    <row r="4925" spans="1:8" ht="41.4">
      <c r="A4925" s="502" t="s">
        <v>25761</v>
      </c>
      <c r="B4925" s="504" t="s">
        <v>25762</v>
      </c>
      <c r="C4925" s="502" t="s">
        <v>114</v>
      </c>
      <c r="D4925" s="503" t="s">
        <v>14693</v>
      </c>
      <c r="F4925" t="str">
        <f t="shared" si="153"/>
        <v>103820</v>
      </c>
      <c r="H4925" s="14">
        <f t="shared" si="154"/>
        <v>31.82</v>
      </c>
    </row>
    <row r="4926" spans="1:8" ht="41.4">
      <c r="A4926" s="502" t="s">
        <v>25763</v>
      </c>
      <c r="B4926" s="504" t="s">
        <v>25764</v>
      </c>
      <c r="C4926" s="502" t="s">
        <v>114</v>
      </c>
      <c r="D4926" s="503" t="s">
        <v>33410</v>
      </c>
      <c r="F4926" t="str">
        <f t="shared" si="153"/>
        <v>103821</v>
      </c>
      <c r="H4926" s="14">
        <f t="shared" si="154"/>
        <v>714.81</v>
      </c>
    </row>
    <row r="4927" spans="1:8" ht="55.2">
      <c r="A4927" s="502" t="s">
        <v>25765</v>
      </c>
      <c r="B4927" s="504" t="s">
        <v>25766</v>
      </c>
      <c r="C4927" s="502" t="s">
        <v>114</v>
      </c>
      <c r="D4927" s="503" t="s">
        <v>33411</v>
      </c>
      <c r="F4927" t="str">
        <f t="shared" si="153"/>
        <v>103822</v>
      </c>
      <c r="H4927" s="14">
        <f t="shared" si="154"/>
        <v>77.06</v>
      </c>
    </row>
    <row r="4928" spans="1:8" ht="55.2">
      <c r="A4928" s="502" t="s">
        <v>25767</v>
      </c>
      <c r="B4928" s="504" t="s">
        <v>25768</v>
      </c>
      <c r="C4928" s="502" t="s">
        <v>114</v>
      </c>
      <c r="D4928" s="503" t="s">
        <v>16571</v>
      </c>
      <c r="F4928" t="str">
        <f t="shared" si="153"/>
        <v>103823</v>
      </c>
      <c r="H4928" s="14">
        <f t="shared" si="154"/>
        <v>25.88</v>
      </c>
    </row>
    <row r="4929" spans="1:8" ht="55.2">
      <c r="A4929" s="502" t="s">
        <v>25769</v>
      </c>
      <c r="B4929" s="504" t="s">
        <v>29325</v>
      </c>
      <c r="C4929" s="502" t="s">
        <v>114</v>
      </c>
      <c r="D4929" s="503" t="s">
        <v>27942</v>
      </c>
      <c r="F4929" t="str">
        <f t="shared" si="153"/>
        <v>103824</v>
      </c>
      <c r="H4929" s="14">
        <f t="shared" si="154"/>
        <v>32.9</v>
      </c>
    </row>
    <row r="4930" spans="1:8" ht="55.2">
      <c r="A4930" s="502" t="s">
        <v>25770</v>
      </c>
      <c r="B4930" s="504" t="s">
        <v>29326</v>
      </c>
      <c r="C4930" s="502" t="s">
        <v>114</v>
      </c>
      <c r="D4930" s="503" t="s">
        <v>33412</v>
      </c>
      <c r="F4930" t="str">
        <f t="shared" si="153"/>
        <v>103825</v>
      </c>
      <c r="H4930" s="14">
        <f t="shared" si="154"/>
        <v>38.869999999999997</v>
      </c>
    </row>
    <row r="4931" spans="1:8" ht="41.4">
      <c r="A4931" s="502" t="s">
        <v>25771</v>
      </c>
      <c r="B4931" s="504" t="s">
        <v>25772</v>
      </c>
      <c r="C4931" s="502" t="s">
        <v>114</v>
      </c>
      <c r="D4931" s="503" t="s">
        <v>9937</v>
      </c>
      <c r="F4931" t="str">
        <f t="shared" si="153"/>
        <v>103826</v>
      </c>
      <c r="H4931" s="14">
        <f t="shared" si="154"/>
        <v>44.89</v>
      </c>
    </row>
    <row r="4932" spans="1:8" ht="41.4">
      <c r="A4932" s="502" t="s">
        <v>25773</v>
      </c>
      <c r="B4932" s="504" t="s">
        <v>25774</v>
      </c>
      <c r="C4932" s="502" t="s">
        <v>114</v>
      </c>
      <c r="D4932" s="503" t="s">
        <v>9937</v>
      </c>
      <c r="F4932" t="str">
        <f t="shared" si="153"/>
        <v>103827</v>
      </c>
      <c r="H4932" s="14">
        <f t="shared" si="154"/>
        <v>44.89</v>
      </c>
    </row>
    <row r="4933" spans="1:8" ht="55.2">
      <c r="A4933" s="502" t="s">
        <v>25775</v>
      </c>
      <c r="B4933" s="504" t="s">
        <v>25776</v>
      </c>
      <c r="C4933" s="502" t="s">
        <v>114</v>
      </c>
      <c r="D4933" s="503" t="s">
        <v>33413</v>
      </c>
      <c r="F4933" t="str">
        <f t="shared" ref="F4933:F4996" si="155">TRIM(A4933)</f>
        <v>103828</v>
      </c>
      <c r="H4933" s="14">
        <f t="shared" ref="H4933:H4996" si="156">ROUND(D4933*(1+$H$1),2)</f>
        <v>128.05000000000001</v>
      </c>
    </row>
    <row r="4934" spans="1:8" ht="41.4">
      <c r="A4934" s="502" t="s">
        <v>25777</v>
      </c>
      <c r="B4934" s="504" t="s">
        <v>25778</v>
      </c>
      <c r="C4934" s="502" t="s">
        <v>114</v>
      </c>
      <c r="D4934" s="503" t="s">
        <v>33414</v>
      </c>
      <c r="F4934" t="str">
        <f t="shared" si="155"/>
        <v>103829</v>
      </c>
      <c r="H4934" s="14">
        <f t="shared" si="156"/>
        <v>790.28</v>
      </c>
    </row>
    <row r="4935" spans="1:8" ht="55.2">
      <c r="A4935" s="502" t="s">
        <v>25779</v>
      </c>
      <c r="B4935" s="504" t="s">
        <v>29327</v>
      </c>
      <c r="C4935" s="502" t="s">
        <v>114</v>
      </c>
      <c r="D4935" s="503" t="s">
        <v>28516</v>
      </c>
      <c r="F4935" t="str">
        <f t="shared" si="155"/>
        <v>103830</v>
      </c>
      <c r="H4935" s="14">
        <f t="shared" si="156"/>
        <v>50.73</v>
      </c>
    </row>
    <row r="4936" spans="1:8" ht="55.2">
      <c r="A4936" s="502" t="s">
        <v>25780</v>
      </c>
      <c r="B4936" s="504" t="s">
        <v>25781</v>
      </c>
      <c r="C4936" s="502" t="s">
        <v>114</v>
      </c>
      <c r="D4936" s="503" t="s">
        <v>29079</v>
      </c>
      <c r="F4936" t="str">
        <f t="shared" si="155"/>
        <v>103831</v>
      </c>
      <c r="H4936" s="14">
        <f t="shared" si="156"/>
        <v>38.619999999999997</v>
      </c>
    </row>
    <row r="4937" spans="1:8" ht="41.4">
      <c r="A4937" s="502" t="s">
        <v>25782</v>
      </c>
      <c r="B4937" s="504" t="s">
        <v>25783</v>
      </c>
      <c r="C4937" s="502" t="s">
        <v>114</v>
      </c>
      <c r="D4937" s="503" t="s">
        <v>33415</v>
      </c>
      <c r="F4937" t="str">
        <f t="shared" si="155"/>
        <v>103832</v>
      </c>
      <c r="H4937" s="14">
        <f t="shared" si="156"/>
        <v>35.14</v>
      </c>
    </row>
    <row r="4938" spans="1:8" ht="41.4">
      <c r="A4938" s="502" t="s">
        <v>25784</v>
      </c>
      <c r="B4938" s="504" t="s">
        <v>25785</v>
      </c>
      <c r="C4938" s="502" t="s">
        <v>114</v>
      </c>
      <c r="D4938" s="503" t="s">
        <v>28662</v>
      </c>
      <c r="F4938" t="str">
        <f t="shared" si="155"/>
        <v>103833</v>
      </c>
      <c r="H4938" s="14">
        <f t="shared" si="156"/>
        <v>64.19</v>
      </c>
    </row>
    <row r="4939" spans="1:8" ht="41.4">
      <c r="A4939" s="502" t="s">
        <v>25786</v>
      </c>
      <c r="B4939" s="504" t="s">
        <v>25787</v>
      </c>
      <c r="C4939" s="502" t="s">
        <v>114</v>
      </c>
      <c r="D4939" s="503" t="s">
        <v>33416</v>
      </c>
      <c r="F4939" t="str">
        <f t="shared" si="155"/>
        <v>103834</v>
      </c>
      <c r="H4939" s="14">
        <f t="shared" si="156"/>
        <v>92.81</v>
      </c>
    </row>
    <row r="4940" spans="1:8" ht="41.4">
      <c r="A4940" s="502" t="s">
        <v>25788</v>
      </c>
      <c r="B4940" s="504" t="s">
        <v>25789</v>
      </c>
      <c r="C4940" s="502" t="s">
        <v>114</v>
      </c>
      <c r="D4940" s="503" t="s">
        <v>32198</v>
      </c>
      <c r="F4940" t="str">
        <f t="shared" si="155"/>
        <v>103838</v>
      </c>
      <c r="H4940" s="14">
        <f t="shared" si="156"/>
        <v>24.97</v>
      </c>
    </row>
    <row r="4941" spans="1:8" ht="55.2">
      <c r="A4941" s="502" t="s">
        <v>25790</v>
      </c>
      <c r="B4941" s="504" t="s">
        <v>25791</v>
      </c>
      <c r="C4941" s="502" t="s">
        <v>114</v>
      </c>
      <c r="D4941" s="503" t="s">
        <v>10101</v>
      </c>
      <c r="F4941" t="str">
        <f t="shared" si="155"/>
        <v>103839</v>
      </c>
      <c r="H4941" s="14">
        <f t="shared" si="156"/>
        <v>24.93</v>
      </c>
    </row>
    <row r="4942" spans="1:8" ht="55.2">
      <c r="A4942" s="502" t="s">
        <v>25792</v>
      </c>
      <c r="B4942" s="504" t="s">
        <v>29330</v>
      </c>
      <c r="C4942" s="502" t="s">
        <v>114</v>
      </c>
      <c r="D4942" s="503" t="s">
        <v>33417</v>
      </c>
      <c r="F4942" t="str">
        <f t="shared" si="155"/>
        <v>103840</v>
      </c>
      <c r="H4942" s="14">
        <f t="shared" si="156"/>
        <v>30.19</v>
      </c>
    </row>
    <row r="4943" spans="1:8" ht="41.4">
      <c r="A4943" s="502" t="s">
        <v>25793</v>
      </c>
      <c r="B4943" s="504" t="s">
        <v>25794</v>
      </c>
      <c r="C4943" s="502" t="s">
        <v>114</v>
      </c>
      <c r="D4943" s="503" t="s">
        <v>30938</v>
      </c>
      <c r="F4943" t="str">
        <f t="shared" si="155"/>
        <v>103841</v>
      </c>
      <c r="H4943" s="14">
        <f t="shared" si="156"/>
        <v>40.119999999999997</v>
      </c>
    </row>
    <row r="4944" spans="1:8" ht="55.2">
      <c r="A4944" s="502" t="s">
        <v>25795</v>
      </c>
      <c r="B4944" s="504" t="s">
        <v>25796</v>
      </c>
      <c r="C4944" s="502" t="s">
        <v>114</v>
      </c>
      <c r="D4944" s="503" t="s">
        <v>30951</v>
      </c>
      <c r="F4944" t="str">
        <f t="shared" si="155"/>
        <v>103842</v>
      </c>
      <c r="H4944" s="14">
        <f t="shared" si="156"/>
        <v>39.74</v>
      </c>
    </row>
    <row r="4945" spans="1:8" ht="55.2">
      <c r="A4945" s="502" t="s">
        <v>25797</v>
      </c>
      <c r="B4945" s="504" t="s">
        <v>29331</v>
      </c>
      <c r="C4945" s="502" t="s">
        <v>114</v>
      </c>
      <c r="D4945" s="503" t="s">
        <v>33053</v>
      </c>
      <c r="F4945" t="str">
        <f t="shared" si="155"/>
        <v>103843</v>
      </c>
      <c r="H4945" s="14">
        <f t="shared" si="156"/>
        <v>43.24</v>
      </c>
    </row>
    <row r="4946" spans="1:8" ht="55.2">
      <c r="A4946" s="502" t="s">
        <v>25798</v>
      </c>
      <c r="B4946" s="504" t="s">
        <v>29332</v>
      </c>
      <c r="C4946" s="502" t="s">
        <v>114</v>
      </c>
      <c r="D4946" s="503" t="s">
        <v>11650</v>
      </c>
      <c r="F4946" t="str">
        <f t="shared" si="155"/>
        <v>103844</v>
      </c>
      <c r="H4946" s="14">
        <f t="shared" si="156"/>
        <v>48.06</v>
      </c>
    </row>
    <row r="4947" spans="1:8" ht="41.4">
      <c r="A4947" s="502" t="s">
        <v>25799</v>
      </c>
      <c r="B4947" s="504" t="s">
        <v>25800</v>
      </c>
      <c r="C4947" s="502" t="s">
        <v>114</v>
      </c>
      <c r="D4947" s="503" t="s">
        <v>10685</v>
      </c>
      <c r="F4947" t="str">
        <f t="shared" si="155"/>
        <v>103845</v>
      </c>
      <c r="H4947" s="14">
        <f t="shared" si="156"/>
        <v>56.83</v>
      </c>
    </row>
    <row r="4948" spans="1:8" ht="55.2">
      <c r="A4948" s="502" t="s">
        <v>25801</v>
      </c>
      <c r="B4948" s="504" t="s">
        <v>25802</v>
      </c>
      <c r="C4948" s="502" t="s">
        <v>114</v>
      </c>
      <c r="D4948" s="503" t="s">
        <v>33418</v>
      </c>
      <c r="F4948" t="str">
        <f t="shared" si="155"/>
        <v>103846</v>
      </c>
      <c r="H4948" s="14">
        <f t="shared" si="156"/>
        <v>54.46</v>
      </c>
    </row>
    <row r="4949" spans="1:8" ht="41.4">
      <c r="A4949" s="502" t="s">
        <v>25803</v>
      </c>
      <c r="B4949" s="504" t="s">
        <v>25804</v>
      </c>
      <c r="C4949" s="502" t="s">
        <v>114</v>
      </c>
      <c r="D4949" s="503" t="s">
        <v>5310</v>
      </c>
      <c r="F4949" t="str">
        <f t="shared" si="155"/>
        <v>103847</v>
      </c>
      <c r="H4949" s="14">
        <f t="shared" si="156"/>
        <v>16.34</v>
      </c>
    </row>
    <row r="4950" spans="1:8" ht="41.4">
      <c r="A4950" s="502" t="s">
        <v>25805</v>
      </c>
      <c r="B4950" s="504" t="s">
        <v>25806</v>
      </c>
      <c r="C4950" s="502" t="s">
        <v>114</v>
      </c>
      <c r="D4950" s="503" t="s">
        <v>7328</v>
      </c>
      <c r="F4950" t="str">
        <f t="shared" si="155"/>
        <v>103848</v>
      </c>
      <c r="H4950" s="14">
        <f t="shared" si="156"/>
        <v>16.38</v>
      </c>
    </row>
    <row r="4951" spans="1:8" ht="55.2">
      <c r="A4951" s="502" t="s">
        <v>25807</v>
      </c>
      <c r="B4951" s="504" t="s">
        <v>25808</v>
      </c>
      <c r="C4951" s="502" t="s">
        <v>114</v>
      </c>
      <c r="D4951" s="503" t="s">
        <v>11628</v>
      </c>
      <c r="F4951" t="str">
        <f t="shared" si="155"/>
        <v>103849</v>
      </c>
      <c r="H4951" s="14">
        <f t="shared" si="156"/>
        <v>36.950000000000003</v>
      </c>
    </row>
    <row r="4952" spans="1:8" ht="41.4">
      <c r="A4952" s="502" t="s">
        <v>25809</v>
      </c>
      <c r="B4952" s="504" t="s">
        <v>25810</v>
      </c>
      <c r="C4952" s="502" t="s">
        <v>114</v>
      </c>
      <c r="D4952" s="503" t="s">
        <v>33419</v>
      </c>
      <c r="F4952" t="str">
        <f t="shared" si="155"/>
        <v>103850</v>
      </c>
      <c r="H4952" s="14">
        <f t="shared" si="156"/>
        <v>609.19000000000005</v>
      </c>
    </row>
    <row r="4953" spans="1:8" ht="55.2">
      <c r="A4953" s="502" t="s">
        <v>25811</v>
      </c>
      <c r="B4953" s="504" t="s">
        <v>29334</v>
      </c>
      <c r="C4953" s="502" t="s">
        <v>114</v>
      </c>
      <c r="D4953" s="503" t="s">
        <v>33420</v>
      </c>
      <c r="F4953" t="str">
        <f t="shared" si="155"/>
        <v>103851</v>
      </c>
      <c r="H4953" s="14">
        <f t="shared" si="156"/>
        <v>27.54</v>
      </c>
    </row>
    <row r="4954" spans="1:8" ht="41.4">
      <c r="A4954" s="502" t="s">
        <v>25812</v>
      </c>
      <c r="B4954" s="504" t="s">
        <v>25813</v>
      </c>
      <c r="C4954" s="502" t="s">
        <v>114</v>
      </c>
      <c r="D4954" s="503" t="s">
        <v>11822</v>
      </c>
      <c r="F4954" t="str">
        <f t="shared" si="155"/>
        <v>103852</v>
      </c>
      <c r="H4954" s="14">
        <f t="shared" si="156"/>
        <v>24.48</v>
      </c>
    </row>
    <row r="4955" spans="1:8" ht="41.4">
      <c r="A4955" s="502" t="s">
        <v>25814</v>
      </c>
      <c r="B4955" s="504" t="s">
        <v>25815</v>
      </c>
      <c r="C4955" s="502" t="s">
        <v>114</v>
      </c>
      <c r="D4955" s="503" t="s">
        <v>29750</v>
      </c>
      <c r="F4955" t="str">
        <f t="shared" si="155"/>
        <v>103853</v>
      </c>
      <c r="H4955" s="14">
        <f t="shared" si="156"/>
        <v>26.25</v>
      </c>
    </row>
    <row r="4956" spans="1:8" ht="41.4">
      <c r="A4956" s="502" t="s">
        <v>25817</v>
      </c>
      <c r="B4956" s="504" t="s">
        <v>25818</v>
      </c>
      <c r="C4956" s="502" t="s">
        <v>114</v>
      </c>
      <c r="D4956" s="503" t="s">
        <v>33421</v>
      </c>
      <c r="F4956" t="str">
        <f t="shared" si="155"/>
        <v>103854</v>
      </c>
      <c r="H4956" s="14">
        <f t="shared" si="156"/>
        <v>709.24</v>
      </c>
    </row>
    <row r="4957" spans="1:8" ht="55.2">
      <c r="A4957" s="502" t="s">
        <v>25819</v>
      </c>
      <c r="B4957" s="504" t="s">
        <v>25820</v>
      </c>
      <c r="C4957" s="502" t="s">
        <v>114</v>
      </c>
      <c r="D4957" s="503" t="s">
        <v>33422</v>
      </c>
      <c r="F4957" t="str">
        <f t="shared" si="155"/>
        <v>103855</v>
      </c>
      <c r="H4957" s="14">
        <f t="shared" si="156"/>
        <v>71.489999999999995</v>
      </c>
    </row>
    <row r="4958" spans="1:8" ht="55.2">
      <c r="A4958" s="502" t="s">
        <v>25822</v>
      </c>
      <c r="B4958" s="504" t="s">
        <v>25823</v>
      </c>
      <c r="C4958" s="502" t="s">
        <v>114</v>
      </c>
      <c r="D4958" s="503" t="s">
        <v>28231</v>
      </c>
      <c r="F4958" t="str">
        <f t="shared" si="155"/>
        <v>103856</v>
      </c>
      <c r="H4958" s="14">
        <f t="shared" si="156"/>
        <v>22.91</v>
      </c>
    </row>
    <row r="4959" spans="1:8" ht="55.2">
      <c r="A4959" s="502" t="s">
        <v>25824</v>
      </c>
      <c r="B4959" s="504" t="s">
        <v>25825</v>
      </c>
      <c r="C4959" s="502" t="s">
        <v>114</v>
      </c>
      <c r="D4959" s="503" t="s">
        <v>9993</v>
      </c>
      <c r="F4959" t="str">
        <f t="shared" si="155"/>
        <v>103857</v>
      </c>
      <c r="H4959" s="14">
        <f t="shared" si="156"/>
        <v>30.13</v>
      </c>
    </row>
    <row r="4960" spans="1:8" ht="55.2">
      <c r="A4960" s="502" t="s">
        <v>25827</v>
      </c>
      <c r="B4960" s="504" t="s">
        <v>25828</v>
      </c>
      <c r="C4960" s="502" t="s">
        <v>114</v>
      </c>
      <c r="D4960" s="503" t="s">
        <v>24812</v>
      </c>
      <c r="F4960" t="str">
        <f t="shared" si="155"/>
        <v>103858</v>
      </c>
      <c r="H4960" s="14">
        <f t="shared" si="156"/>
        <v>36.1</v>
      </c>
    </row>
    <row r="4961" spans="1:8" ht="41.4">
      <c r="A4961" s="502" t="s">
        <v>25829</v>
      </c>
      <c r="B4961" s="504" t="s">
        <v>25830</v>
      </c>
      <c r="C4961" s="502" t="s">
        <v>114</v>
      </c>
      <c r="D4961" s="503" t="s">
        <v>29758</v>
      </c>
      <c r="F4961" t="str">
        <f t="shared" si="155"/>
        <v>103859</v>
      </c>
      <c r="H4961" s="14">
        <f t="shared" si="156"/>
        <v>35.840000000000003</v>
      </c>
    </row>
    <row r="4962" spans="1:8" ht="41.4">
      <c r="A4962" s="502" t="s">
        <v>25831</v>
      </c>
      <c r="B4962" s="504" t="s">
        <v>25832</v>
      </c>
      <c r="C4962" s="502" t="s">
        <v>114</v>
      </c>
      <c r="D4962" s="503" t="s">
        <v>29758</v>
      </c>
      <c r="F4962" t="str">
        <f t="shared" si="155"/>
        <v>103860</v>
      </c>
      <c r="H4962" s="14">
        <f t="shared" si="156"/>
        <v>35.840000000000003</v>
      </c>
    </row>
    <row r="4963" spans="1:8" ht="55.2">
      <c r="A4963" s="502" t="s">
        <v>25833</v>
      </c>
      <c r="B4963" s="504" t="s">
        <v>25834</v>
      </c>
      <c r="C4963" s="502" t="s">
        <v>114</v>
      </c>
      <c r="D4963" s="503" t="s">
        <v>33423</v>
      </c>
      <c r="F4963" t="str">
        <f t="shared" si="155"/>
        <v>103861</v>
      </c>
      <c r="H4963" s="14">
        <f t="shared" si="156"/>
        <v>119.01</v>
      </c>
    </row>
    <row r="4964" spans="1:8" ht="41.4">
      <c r="A4964" s="502" t="s">
        <v>25835</v>
      </c>
      <c r="B4964" s="504" t="s">
        <v>25836</v>
      </c>
      <c r="C4964" s="502" t="s">
        <v>114</v>
      </c>
      <c r="D4964" s="503" t="s">
        <v>33424</v>
      </c>
      <c r="F4964" t="str">
        <f t="shared" si="155"/>
        <v>103862</v>
      </c>
      <c r="H4964" s="14">
        <f t="shared" si="156"/>
        <v>781.23</v>
      </c>
    </row>
    <row r="4965" spans="1:8" ht="55.2">
      <c r="A4965" s="502" t="s">
        <v>25837</v>
      </c>
      <c r="B4965" s="504" t="s">
        <v>25838</v>
      </c>
      <c r="C4965" s="502" t="s">
        <v>114</v>
      </c>
      <c r="D4965" s="503" t="s">
        <v>28314</v>
      </c>
      <c r="F4965" t="str">
        <f t="shared" si="155"/>
        <v>103863</v>
      </c>
      <c r="H4965" s="14">
        <f t="shared" si="156"/>
        <v>46.2</v>
      </c>
    </row>
    <row r="4966" spans="1:8" ht="55.2">
      <c r="A4966" s="502" t="s">
        <v>25839</v>
      </c>
      <c r="B4966" s="504" t="s">
        <v>25840</v>
      </c>
      <c r="C4966" s="502" t="s">
        <v>114</v>
      </c>
      <c r="D4966" s="503" t="s">
        <v>25009</v>
      </c>
      <c r="F4966" t="str">
        <f t="shared" si="155"/>
        <v>103864</v>
      </c>
      <c r="H4966" s="14">
        <f t="shared" si="156"/>
        <v>31.17</v>
      </c>
    </row>
    <row r="4967" spans="1:8" ht="41.4">
      <c r="A4967" s="502" t="s">
        <v>25841</v>
      </c>
      <c r="B4967" s="504" t="s">
        <v>25842</v>
      </c>
      <c r="C4967" s="502" t="s">
        <v>114</v>
      </c>
      <c r="D4967" s="503" t="s">
        <v>29338</v>
      </c>
      <c r="F4967" t="str">
        <f t="shared" si="155"/>
        <v>103865</v>
      </c>
      <c r="H4967" s="14">
        <f t="shared" si="156"/>
        <v>33.71</v>
      </c>
    </row>
    <row r="4968" spans="1:8" ht="41.4">
      <c r="A4968" s="502" t="s">
        <v>25843</v>
      </c>
      <c r="B4968" s="504" t="s">
        <v>25844</v>
      </c>
      <c r="C4968" s="502" t="s">
        <v>114</v>
      </c>
      <c r="D4968" s="503" t="s">
        <v>33425</v>
      </c>
      <c r="F4968" t="str">
        <f t="shared" si="155"/>
        <v>103866</v>
      </c>
      <c r="H4968" s="14">
        <f t="shared" si="156"/>
        <v>53.13</v>
      </c>
    </row>
    <row r="4969" spans="1:8" ht="41.4">
      <c r="A4969" s="502" t="s">
        <v>25845</v>
      </c>
      <c r="B4969" s="504" t="s">
        <v>25846</v>
      </c>
      <c r="C4969" s="502" t="s">
        <v>114</v>
      </c>
      <c r="D4969" s="503" t="s">
        <v>16196</v>
      </c>
      <c r="F4969" t="str">
        <f t="shared" si="155"/>
        <v>103867</v>
      </c>
      <c r="H4969" s="14">
        <f t="shared" si="156"/>
        <v>73.5</v>
      </c>
    </row>
    <row r="4970" spans="1:8" ht="55.2">
      <c r="A4970" s="502" t="s">
        <v>25847</v>
      </c>
      <c r="B4970" s="504" t="s">
        <v>25848</v>
      </c>
      <c r="C4970" s="502" t="s">
        <v>114</v>
      </c>
      <c r="D4970" s="503" t="s">
        <v>26929</v>
      </c>
      <c r="F4970" t="str">
        <f t="shared" si="155"/>
        <v>103874</v>
      </c>
      <c r="H4970" s="14">
        <f t="shared" si="156"/>
        <v>26.12</v>
      </c>
    </row>
    <row r="4971" spans="1:8" ht="55.2">
      <c r="A4971" s="502" t="s">
        <v>25849</v>
      </c>
      <c r="B4971" s="504" t="s">
        <v>25850</v>
      </c>
      <c r="C4971" s="502" t="s">
        <v>114</v>
      </c>
      <c r="D4971" s="503" t="s">
        <v>5627</v>
      </c>
      <c r="F4971" t="str">
        <f t="shared" si="155"/>
        <v>103875</v>
      </c>
      <c r="H4971" s="14">
        <f t="shared" si="156"/>
        <v>26.08</v>
      </c>
    </row>
    <row r="4972" spans="1:8" ht="55.2">
      <c r="A4972" s="502" t="s">
        <v>25851</v>
      </c>
      <c r="B4972" s="504" t="s">
        <v>25852</v>
      </c>
      <c r="C4972" s="502" t="s">
        <v>114</v>
      </c>
      <c r="D4972" s="503" t="s">
        <v>11800</v>
      </c>
      <c r="F4972" t="str">
        <f t="shared" si="155"/>
        <v>103876</v>
      </c>
      <c r="H4972" s="14">
        <f t="shared" si="156"/>
        <v>30.77</v>
      </c>
    </row>
    <row r="4973" spans="1:8" ht="55.2">
      <c r="A4973" s="502" t="s">
        <v>25853</v>
      </c>
      <c r="B4973" s="504" t="s">
        <v>25854</v>
      </c>
      <c r="C4973" s="502" t="s">
        <v>114</v>
      </c>
      <c r="D4973" s="503" t="s">
        <v>15455</v>
      </c>
      <c r="F4973" t="str">
        <f t="shared" si="155"/>
        <v>103877</v>
      </c>
      <c r="H4973" s="14">
        <f t="shared" si="156"/>
        <v>38.909999999999997</v>
      </c>
    </row>
    <row r="4974" spans="1:8" ht="55.2">
      <c r="A4974" s="502" t="s">
        <v>25855</v>
      </c>
      <c r="B4974" s="504" t="s">
        <v>25856</v>
      </c>
      <c r="C4974" s="502" t="s">
        <v>114</v>
      </c>
      <c r="D4974" s="503" t="s">
        <v>16209</v>
      </c>
      <c r="F4974" t="str">
        <f t="shared" si="155"/>
        <v>103878</v>
      </c>
      <c r="H4974" s="14">
        <f t="shared" si="156"/>
        <v>38.520000000000003</v>
      </c>
    </row>
    <row r="4975" spans="1:8" ht="55.2">
      <c r="A4975" s="502" t="s">
        <v>25857</v>
      </c>
      <c r="B4975" s="504" t="s">
        <v>25858</v>
      </c>
      <c r="C4975" s="502" t="s">
        <v>114</v>
      </c>
      <c r="D4975" s="503" t="s">
        <v>3993</v>
      </c>
      <c r="F4975" t="str">
        <f t="shared" si="155"/>
        <v>103879</v>
      </c>
      <c r="H4975" s="14">
        <f t="shared" si="156"/>
        <v>42.63</v>
      </c>
    </row>
    <row r="4976" spans="1:8" ht="55.2">
      <c r="A4976" s="502" t="s">
        <v>25859</v>
      </c>
      <c r="B4976" s="504" t="s">
        <v>25860</v>
      </c>
      <c r="C4976" s="502" t="s">
        <v>114</v>
      </c>
      <c r="D4976" s="503" t="s">
        <v>32468</v>
      </c>
      <c r="F4976" t="str">
        <f t="shared" si="155"/>
        <v>103880</v>
      </c>
      <c r="H4976" s="14">
        <f t="shared" si="156"/>
        <v>47.45</v>
      </c>
    </row>
    <row r="4977" spans="1:8" ht="55.2">
      <c r="A4977" s="502" t="s">
        <v>25861</v>
      </c>
      <c r="B4977" s="504" t="s">
        <v>25862</v>
      </c>
      <c r="C4977" s="502" t="s">
        <v>114</v>
      </c>
      <c r="D4977" s="503" t="s">
        <v>29333</v>
      </c>
      <c r="F4977" t="str">
        <f t="shared" si="155"/>
        <v>103881</v>
      </c>
      <c r="H4977" s="14">
        <f t="shared" si="156"/>
        <v>53.59</v>
      </c>
    </row>
    <row r="4978" spans="1:8" ht="55.2">
      <c r="A4978" s="502" t="s">
        <v>25863</v>
      </c>
      <c r="B4978" s="504" t="s">
        <v>25864</v>
      </c>
      <c r="C4978" s="502" t="s">
        <v>114</v>
      </c>
      <c r="D4978" s="503" t="s">
        <v>28123</v>
      </c>
      <c r="F4978" t="str">
        <f t="shared" si="155"/>
        <v>103882</v>
      </c>
      <c r="H4978" s="14">
        <f t="shared" si="156"/>
        <v>51.22</v>
      </c>
    </row>
    <row r="4979" spans="1:8" ht="41.4">
      <c r="A4979" s="502" t="s">
        <v>25865</v>
      </c>
      <c r="B4979" s="504" t="s">
        <v>25866</v>
      </c>
      <c r="C4979" s="502" t="s">
        <v>114</v>
      </c>
      <c r="D4979" s="503" t="s">
        <v>33426</v>
      </c>
      <c r="F4979" t="str">
        <f t="shared" si="155"/>
        <v>103883</v>
      </c>
      <c r="H4979" s="14">
        <f t="shared" si="156"/>
        <v>17.07</v>
      </c>
    </row>
    <row r="4980" spans="1:8" ht="55.2">
      <c r="A4980" s="502" t="s">
        <v>25867</v>
      </c>
      <c r="B4980" s="504" t="s">
        <v>25868</v>
      </c>
      <c r="C4980" s="502" t="s">
        <v>114</v>
      </c>
      <c r="D4980" s="503" t="s">
        <v>28132</v>
      </c>
      <c r="F4980" t="str">
        <f t="shared" si="155"/>
        <v>103884</v>
      </c>
      <c r="H4980" s="14">
        <f t="shared" si="156"/>
        <v>17.11</v>
      </c>
    </row>
    <row r="4981" spans="1:8" ht="55.2">
      <c r="A4981" s="502" t="s">
        <v>25869</v>
      </c>
      <c r="B4981" s="504" t="s">
        <v>25870</v>
      </c>
      <c r="C4981" s="502" t="s">
        <v>114</v>
      </c>
      <c r="D4981" s="503" t="s">
        <v>33427</v>
      </c>
      <c r="F4981" t="str">
        <f t="shared" si="155"/>
        <v>103885</v>
      </c>
      <c r="H4981" s="14">
        <f t="shared" si="156"/>
        <v>37.68</v>
      </c>
    </row>
    <row r="4982" spans="1:8" ht="55.2">
      <c r="A4982" s="502" t="s">
        <v>25871</v>
      </c>
      <c r="B4982" s="504" t="s">
        <v>25872</v>
      </c>
      <c r="C4982" s="502" t="s">
        <v>114</v>
      </c>
      <c r="D4982" s="503" t="s">
        <v>33428</v>
      </c>
      <c r="F4982" t="str">
        <f t="shared" si="155"/>
        <v>103886</v>
      </c>
      <c r="H4982" s="14">
        <f t="shared" si="156"/>
        <v>609.92999999999995</v>
      </c>
    </row>
    <row r="4983" spans="1:8" ht="55.2">
      <c r="A4983" s="502" t="s">
        <v>25873</v>
      </c>
      <c r="B4983" s="504" t="s">
        <v>25874</v>
      </c>
      <c r="C4983" s="502" t="s">
        <v>114</v>
      </c>
      <c r="D4983" s="503" t="s">
        <v>33429</v>
      </c>
      <c r="F4983" t="str">
        <f t="shared" si="155"/>
        <v>103887</v>
      </c>
      <c r="H4983" s="14">
        <f t="shared" si="156"/>
        <v>27.9</v>
      </c>
    </row>
    <row r="4984" spans="1:8" ht="41.4">
      <c r="A4984" s="502" t="s">
        <v>25875</v>
      </c>
      <c r="B4984" s="504" t="s">
        <v>25876</v>
      </c>
      <c r="C4984" s="502" t="s">
        <v>114</v>
      </c>
      <c r="D4984" s="503" t="s">
        <v>28804</v>
      </c>
      <c r="F4984" t="str">
        <f t="shared" si="155"/>
        <v>103888</v>
      </c>
      <c r="H4984" s="14">
        <f t="shared" si="156"/>
        <v>23.64</v>
      </c>
    </row>
    <row r="4985" spans="1:8" ht="55.2">
      <c r="A4985" s="502" t="s">
        <v>25877</v>
      </c>
      <c r="B4985" s="504" t="s">
        <v>25878</v>
      </c>
      <c r="C4985" s="502" t="s">
        <v>114</v>
      </c>
      <c r="D4985" s="503" t="s">
        <v>32412</v>
      </c>
      <c r="F4985" t="str">
        <f t="shared" si="155"/>
        <v>103889</v>
      </c>
      <c r="H4985" s="14">
        <f t="shared" si="156"/>
        <v>25.41</v>
      </c>
    </row>
    <row r="4986" spans="1:8" ht="55.2">
      <c r="A4986" s="502" t="s">
        <v>25879</v>
      </c>
      <c r="B4986" s="504" t="s">
        <v>25880</v>
      </c>
      <c r="C4986" s="502" t="s">
        <v>114</v>
      </c>
      <c r="D4986" s="503" t="s">
        <v>33430</v>
      </c>
      <c r="F4986" t="str">
        <f t="shared" si="155"/>
        <v>103890</v>
      </c>
      <c r="H4986" s="14">
        <f t="shared" si="156"/>
        <v>708.4</v>
      </c>
    </row>
    <row r="4987" spans="1:8" ht="55.2">
      <c r="A4987" s="502" t="s">
        <v>25881</v>
      </c>
      <c r="B4987" s="504" t="s">
        <v>25882</v>
      </c>
      <c r="C4987" s="502" t="s">
        <v>114</v>
      </c>
      <c r="D4987" s="503" t="s">
        <v>10243</v>
      </c>
      <c r="F4987" t="str">
        <f t="shared" si="155"/>
        <v>103891</v>
      </c>
      <c r="H4987" s="14">
        <f t="shared" si="156"/>
        <v>70.650000000000006</v>
      </c>
    </row>
    <row r="4988" spans="1:8" ht="55.2">
      <c r="A4988" s="502" t="s">
        <v>25883</v>
      </c>
      <c r="B4988" s="504" t="s">
        <v>25884</v>
      </c>
      <c r="C4988" s="502" t="s">
        <v>114</v>
      </c>
      <c r="D4988" s="503" t="s">
        <v>28231</v>
      </c>
      <c r="F4988" t="str">
        <f t="shared" si="155"/>
        <v>103892</v>
      </c>
      <c r="H4988" s="14">
        <f t="shared" si="156"/>
        <v>22.91</v>
      </c>
    </row>
    <row r="4989" spans="1:8" ht="55.2">
      <c r="A4989" s="502" t="s">
        <v>25885</v>
      </c>
      <c r="B4989" s="504" t="s">
        <v>25886</v>
      </c>
      <c r="C4989" s="502" t="s">
        <v>114</v>
      </c>
      <c r="D4989" s="503" t="s">
        <v>32947</v>
      </c>
      <c r="F4989" t="str">
        <f t="shared" si="155"/>
        <v>103893</v>
      </c>
      <c r="H4989" s="14">
        <f t="shared" si="156"/>
        <v>29.7</v>
      </c>
    </row>
    <row r="4990" spans="1:8" ht="55.2">
      <c r="A4990" s="502" t="s">
        <v>25887</v>
      </c>
      <c r="B4990" s="504" t="s">
        <v>25888</v>
      </c>
      <c r="C4990" s="502" t="s">
        <v>114</v>
      </c>
      <c r="D4990" s="503" t="s">
        <v>16270</v>
      </c>
      <c r="F4990" t="str">
        <f t="shared" si="155"/>
        <v>103894</v>
      </c>
      <c r="H4990" s="14">
        <f t="shared" si="156"/>
        <v>35.67</v>
      </c>
    </row>
    <row r="4991" spans="1:8" ht="41.4">
      <c r="A4991" s="502" t="s">
        <v>25889</v>
      </c>
      <c r="B4991" s="504" t="s">
        <v>25890</v>
      </c>
      <c r="C4991" s="502" t="s">
        <v>114</v>
      </c>
      <c r="D4991" s="503" t="s">
        <v>26591</v>
      </c>
      <c r="F4991" t="str">
        <f t="shared" si="155"/>
        <v>103895</v>
      </c>
      <c r="H4991" s="14">
        <f t="shared" si="156"/>
        <v>33.619999999999997</v>
      </c>
    </row>
    <row r="4992" spans="1:8" ht="55.2">
      <c r="A4992" s="502" t="s">
        <v>25891</v>
      </c>
      <c r="B4992" s="504" t="s">
        <v>25892</v>
      </c>
      <c r="C4992" s="502" t="s">
        <v>114</v>
      </c>
      <c r="D4992" s="503" t="s">
        <v>26591</v>
      </c>
      <c r="F4992" t="str">
        <f t="shared" si="155"/>
        <v>103896</v>
      </c>
      <c r="H4992" s="14">
        <f t="shared" si="156"/>
        <v>33.619999999999997</v>
      </c>
    </row>
    <row r="4993" spans="1:8" ht="55.2">
      <c r="A4993" s="502" t="s">
        <v>25893</v>
      </c>
      <c r="B4993" s="504" t="s">
        <v>25894</v>
      </c>
      <c r="C4993" s="502" t="s">
        <v>114</v>
      </c>
      <c r="D4993" s="503" t="s">
        <v>33431</v>
      </c>
      <c r="F4993" t="str">
        <f t="shared" si="155"/>
        <v>103897</v>
      </c>
      <c r="H4993" s="14">
        <f t="shared" si="156"/>
        <v>116.78</v>
      </c>
    </row>
    <row r="4994" spans="1:8" ht="55.2">
      <c r="A4994" s="502" t="s">
        <v>25895</v>
      </c>
      <c r="B4994" s="504" t="s">
        <v>25896</v>
      </c>
      <c r="C4994" s="502" t="s">
        <v>114</v>
      </c>
      <c r="D4994" s="503" t="s">
        <v>33432</v>
      </c>
      <c r="F4994" t="str">
        <f t="shared" si="155"/>
        <v>103898</v>
      </c>
      <c r="H4994" s="14">
        <f t="shared" si="156"/>
        <v>779.01</v>
      </c>
    </row>
    <row r="4995" spans="1:8" ht="55.2">
      <c r="A4995" s="502" t="s">
        <v>25897</v>
      </c>
      <c r="B4995" s="504" t="s">
        <v>25898</v>
      </c>
      <c r="C4995" s="502" t="s">
        <v>114</v>
      </c>
      <c r="D4995" s="503" t="s">
        <v>28208</v>
      </c>
      <c r="F4995" t="str">
        <f t="shared" si="155"/>
        <v>103899</v>
      </c>
      <c r="H4995" s="14">
        <f t="shared" si="156"/>
        <v>45.08</v>
      </c>
    </row>
    <row r="4996" spans="1:8" ht="55.2">
      <c r="A4996" s="502" t="s">
        <v>25899</v>
      </c>
      <c r="B4996" s="504" t="s">
        <v>25900</v>
      </c>
      <c r="C4996" s="502" t="s">
        <v>114</v>
      </c>
      <c r="D4996" s="503" t="s">
        <v>6516</v>
      </c>
      <c r="F4996" t="str">
        <f t="shared" si="155"/>
        <v>103900</v>
      </c>
      <c r="H4996" s="14">
        <f t="shared" si="156"/>
        <v>29.43</v>
      </c>
    </row>
    <row r="4997" spans="1:8" ht="41.4">
      <c r="A4997" s="502" t="s">
        <v>25901</v>
      </c>
      <c r="B4997" s="504" t="s">
        <v>25902</v>
      </c>
      <c r="C4997" s="502" t="s">
        <v>114</v>
      </c>
      <c r="D4997" s="503" t="s">
        <v>16218</v>
      </c>
      <c r="F4997" t="str">
        <f t="shared" ref="F4997:F5060" si="157">TRIM(A4997)</f>
        <v>103901</v>
      </c>
      <c r="H4997" s="14">
        <f t="shared" ref="H4997:H5060" si="158">ROUND(D4997*(1+$H$1),2)</f>
        <v>35.229999999999997</v>
      </c>
    </row>
    <row r="4998" spans="1:8" ht="41.4">
      <c r="A4998" s="502" t="s">
        <v>25903</v>
      </c>
      <c r="B4998" s="504" t="s">
        <v>25904</v>
      </c>
      <c r="C4998" s="502" t="s">
        <v>114</v>
      </c>
      <c r="D4998" s="503" t="s">
        <v>33433</v>
      </c>
      <c r="F4998" t="str">
        <f t="shared" si="157"/>
        <v>103902</v>
      </c>
      <c r="H4998" s="14">
        <f t="shared" si="158"/>
        <v>51.47</v>
      </c>
    </row>
    <row r="4999" spans="1:8" ht="41.4">
      <c r="A4999" s="502" t="s">
        <v>25905</v>
      </c>
      <c r="B4999" s="504" t="s">
        <v>25906</v>
      </c>
      <c r="C4999" s="502" t="s">
        <v>114</v>
      </c>
      <c r="D4999" s="503" t="s">
        <v>33434</v>
      </c>
      <c r="F4999" t="str">
        <f t="shared" si="157"/>
        <v>103903</v>
      </c>
      <c r="H4999" s="14">
        <f t="shared" si="158"/>
        <v>69.14</v>
      </c>
    </row>
    <row r="5000" spans="1:8" ht="41.4">
      <c r="A5000" s="502" t="s">
        <v>25907</v>
      </c>
      <c r="B5000" s="504" t="s">
        <v>25908</v>
      </c>
      <c r="C5000" s="502" t="s">
        <v>114</v>
      </c>
      <c r="D5000" s="503" t="s">
        <v>4968</v>
      </c>
      <c r="F5000" t="str">
        <f t="shared" si="157"/>
        <v>103947</v>
      </c>
      <c r="H5000" s="14">
        <f t="shared" si="158"/>
        <v>9.17</v>
      </c>
    </row>
    <row r="5001" spans="1:8" ht="41.4">
      <c r="A5001" s="502" t="s">
        <v>25909</v>
      </c>
      <c r="B5001" s="504" t="s">
        <v>25910</v>
      </c>
      <c r="C5001" s="502" t="s">
        <v>114</v>
      </c>
      <c r="D5001" s="503" t="s">
        <v>4873</v>
      </c>
      <c r="F5001" t="str">
        <f t="shared" si="157"/>
        <v>103948</v>
      </c>
      <c r="H5001" s="14">
        <f t="shared" si="158"/>
        <v>11.5</v>
      </c>
    </row>
    <row r="5002" spans="1:8" ht="41.4">
      <c r="A5002" s="502" t="s">
        <v>25911</v>
      </c>
      <c r="B5002" s="504" t="s">
        <v>25912</v>
      </c>
      <c r="C5002" s="502" t="s">
        <v>114</v>
      </c>
      <c r="D5002" s="503" t="s">
        <v>7347</v>
      </c>
      <c r="F5002" t="str">
        <f t="shared" si="157"/>
        <v>103949</v>
      </c>
      <c r="H5002" s="14">
        <f t="shared" si="158"/>
        <v>13.72</v>
      </c>
    </row>
    <row r="5003" spans="1:8" ht="41.4">
      <c r="A5003" s="502" t="s">
        <v>25913</v>
      </c>
      <c r="B5003" s="504" t="s">
        <v>25914</v>
      </c>
      <c r="C5003" s="502" t="s">
        <v>114</v>
      </c>
      <c r="D5003" s="503" t="s">
        <v>7479</v>
      </c>
      <c r="F5003" t="str">
        <f t="shared" si="157"/>
        <v>103950</v>
      </c>
      <c r="H5003" s="14">
        <f t="shared" si="158"/>
        <v>16.07</v>
      </c>
    </row>
    <row r="5004" spans="1:8" ht="41.4">
      <c r="A5004" s="502" t="s">
        <v>25915</v>
      </c>
      <c r="B5004" s="504" t="s">
        <v>25916</v>
      </c>
      <c r="C5004" s="502" t="s">
        <v>114</v>
      </c>
      <c r="D5004" s="503" t="s">
        <v>10746</v>
      </c>
      <c r="F5004" t="str">
        <f t="shared" si="157"/>
        <v>103951</v>
      </c>
      <c r="H5004" s="14">
        <f t="shared" si="158"/>
        <v>22.31</v>
      </c>
    </row>
    <row r="5005" spans="1:8" ht="41.4">
      <c r="A5005" s="502" t="s">
        <v>25917</v>
      </c>
      <c r="B5005" s="504" t="s">
        <v>25918</v>
      </c>
      <c r="C5005" s="502" t="s">
        <v>114</v>
      </c>
      <c r="D5005" s="503" t="s">
        <v>10061</v>
      </c>
      <c r="F5005" t="str">
        <f t="shared" si="157"/>
        <v>103952</v>
      </c>
      <c r="H5005" s="14">
        <f t="shared" si="158"/>
        <v>8.43</v>
      </c>
    </row>
    <row r="5006" spans="1:8" ht="41.4">
      <c r="A5006" s="502" t="s">
        <v>25919</v>
      </c>
      <c r="B5006" s="504" t="s">
        <v>25920</v>
      </c>
      <c r="C5006" s="502" t="s">
        <v>114</v>
      </c>
      <c r="D5006" s="503" t="s">
        <v>31639</v>
      </c>
      <c r="F5006" t="str">
        <f t="shared" si="157"/>
        <v>103953</v>
      </c>
      <c r="H5006" s="14">
        <f t="shared" si="158"/>
        <v>10.62</v>
      </c>
    </row>
    <row r="5007" spans="1:8" ht="41.4">
      <c r="A5007" s="502" t="s">
        <v>25921</v>
      </c>
      <c r="B5007" s="504" t="s">
        <v>25922</v>
      </c>
      <c r="C5007" s="502" t="s">
        <v>114</v>
      </c>
      <c r="D5007" s="503" t="s">
        <v>15811</v>
      </c>
      <c r="F5007" t="str">
        <f t="shared" si="157"/>
        <v>103954</v>
      </c>
      <c r="H5007" s="14">
        <f t="shared" si="158"/>
        <v>12.9</v>
      </c>
    </row>
    <row r="5008" spans="1:8" ht="41.4">
      <c r="A5008" s="502" t="s">
        <v>25923</v>
      </c>
      <c r="B5008" s="504" t="s">
        <v>25924</v>
      </c>
      <c r="C5008" s="502" t="s">
        <v>114</v>
      </c>
      <c r="D5008" s="503" t="s">
        <v>18454</v>
      </c>
      <c r="F5008" t="str">
        <f t="shared" si="157"/>
        <v>103955</v>
      </c>
      <c r="H5008" s="14">
        <f t="shared" si="158"/>
        <v>14.95</v>
      </c>
    </row>
    <row r="5009" spans="1:8" ht="41.4">
      <c r="A5009" s="502" t="s">
        <v>25925</v>
      </c>
      <c r="B5009" s="504" t="s">
        <v>25926</v>
      </c>
      <c r="C5009" s="502" t="s">
        <v>114</v>
      </c>
      <c r="D5009" s="503" t="s">
        <v>29757</v>
      </c>
      <c r="F5009" t="str">
        <f t="shared" si="157"/>
        <v>103956</v>
      </c>
      <c r="H5009" s="14">
        <f t="shared" si="158"/>
        <v>21</v>
      </c>
    </row>
    <row r="5010" spans="1:8" ht="41.4">
      <c r="A5010" s="502" t="s">
        <v>25927</v>
      </c>
      <c r="B5010" s="504" t="s">
        <v>25928</v>
      </c>
      <c r="C5010" s="502" t="s">
        <v>114</v>
      </c>
      <c r="D5010" s="503" t="s">
        <v>7637</v>
      </c>
      <c r="F5010" t="str">
        <f t="shared" si="157"/>
        <v>103957</v>
      </c>
      <c r="H5010" s="14">
        <f t="shared" si="158"/>
        <v>7.1</v>
      </c>
    </row>
    <row r="5011" spans="1:8" ht="41.4">
      <c r="A5011" s="502" t="s">
        <v>25929</v>
      </c>
      <c r="B5011" s="504" t="s">
        <v>25930</v>
      </c>
      <c r="C5011" s="502" t="s">
        <v>114</v>
      </c>
      <c r="D5011" s="503" t="s">
        <v>25939</v>
      </c>
      <c r="F5011" t="str">
        <f t="shared" si="157"/>
        <v>103958</v>
      </c>
      <c r="H5011" s="14">
        <f t="shared" si="158"/>
        <v>14.68</v>
      </c>
    </row>
    <row r="5012" spans="1:8" ht="41.4">
      <c r="A5012" s="502" t="s">
        <v>25931</v>
      </c>
      <c r="B5012" s="504" t="s">
        <v>25932</v>
      </c>
      <c r="C5012" s="502" t="s">
        <v>114</v>
      </c>
      <c r="D5012" s="503" t="s">
        <v>5284</v>
      </c>
      <c r="F5012" t="str">
        <f t="shared" si="157"/>
        <v>103959</v>
      </c>
      <c r="H5012" s="14">
        <f t="shared" si="158"/>
        <v>22.12</v>
      </c>
    </row>
    <row r="5013" spans="1:8" ht="41.4">
      <c r="A5013" s="502" t="s">
        <v>25933</v>
      </c>
      <c r="B5013" s="504" t="s">
        <v>25934</v>
      </c>
      <c r="C5013" s="502" t="s">
        <v>114</v>
      </c>
      <c r="D5013" s="503" t="s">
        <v>5815</v>
      </c>
      <c r="F5013" t="str">
        <f t="shared" si="157"/>
        <v>103962</v>
      </c>
      <c r="H5013" s="14">
        <f t="shared" si="158"/>
        <v>9.5299999999999994</v>
      </c>
    </row>
    <row r="5014" spans="1:8" ht="41.4">
      <c r="A5014" s="502" t="s">
        <v>25935</v>
      </c>
      <c r="B5014" s="504" t="s">
        <v>25936</v>
      </c>
      <c r="C5014" s="502" t="s">
        <v>114</v>
      </c>
      <c r="D5014" s="503" t="s">
        <v>9788</v>
      </c>
      <c r="F5014" t="str">
        <f t="shared" si="157"/>
        <v>103964</v>
      </c>
      <c r="H5014" s="14">
        <f t="shared" si="158"/>
        <v>12.1</v>
      </c>
    </row>
    <row r="5015" spans="1:8" ht="41.4">
      <c r="A5015" s="502" t="s">
        <v>25937</v>
      </c>
      <c r="B5015" s="504" t="s">
        <v>25938</v>
      </c>
      <c r="C5015" s="502" t="s">
        <v>114</v>
      </c>
      <c r="D5015" s="503" t="s">
        <v>24528</v>
      </c>
      <c r="F5015" t="str">
        <f t="shared" si="157"/>
        <v>103966</v>
      </c>
      <c r="H5015" s="14">
        <f t="shared" si="158"/>
        <v>14.27</v>
      </c>
    </row>
    <row r="5016" spans="1:8" ht="41.4">
      <c r="A5016" s="502" t="s">
        <v>25940</v>
      </c>
      <c r="B5016" s="504" t="s">
        <v>25941</v>
      </c>
      <c r="C5016" s="502" t="s">
        <v>114</v>
      </c>
      <c r="D5016" s="503" t="s">
        <v>33435</v>
      </c>
      <c r="F5016" t="str">
        <f t="shared" si="157"/>
        <v>103967</v>
      </c>
      <c r="H5016" s="14">
        <f t="shared" si="158"/>
        <v>17.260000000000002</v>
      </c>
    </row>
    <row r="5017" spans="1:8" ht="41.4">
      <c r="A5017" s="502" t="s">
        <v>25942</v>
      </c>
      <c r="B5017" s="504" t="s">
        <v>25943</v>
      </c>
      <c r="C5017" s="502" t="s">
        <v>114</v>
      </c>
      <c r="D5017" s="503" t="s">
        <v>32198</v>
      </c>
      <c r="F5017" t="str">
        <f t="shared" si="157"/>
        <v>103968</v>
      </c>
      <c r="H5017" s="14">
        <f t="shared" si="158"/>
        <v>24.97</v>
      </c>
    </row>
    <row r="5018" spans="1:8" ht="41.4">
      <c r="A5018" s="502" t="s">
        <v>25944</v>
      </c>
      <c r="B5018" s="504" t="s">
        <v>25945</v>
      </c>
      <c r="C5018" s="502" t="s">
        <v>114</v>
      </c>
      <c r="D5018" s="503" t="s">
        <v>6589</v>
      </c>
      <c r="F5018" t="str">
        <f t="shared" si="157"/>
        <v>103969</v>
      </c>
      <c r="H5018" s="14">
        <f t="shared" si="158"/>
        <v>29.55</v>
      </c>
    </row>
    <row r="5019" spans="1:8" ht="41.4">
      <c r="A5019" s="502" t="s">
        <v>25946</v>
      </c>
      <c r="B5019" s="504" t="s">
        <v>25947</v>
      </c>
      <c r="C5019" s="502" t="s">
        <v>114</v>
      </c>
      <c r="D5019" s="503" t="s">
        <v>33436</v>
      </c>
      <c r="F5019" t="str">
        <f t="shared" si="157"/>
        <v>103971</v>
      </c>
      <c r="H5019" s="14">
        <f t="shared" si="158"/>
        <v>37.630000000000003</v>
      </c>
    </row>
    <row r="5020" spans="1:8" ht="41.4">
      <c r="A5020" s="502" t="s">
        <v>25948</v>
      </c>
      <c r="B5020" s="504" t="s">
        <v>25949</v>
      </c>
      <c r="C5020" s="502" t="s">
        <v>114</v>
      </c>
      <c r="D5020" s="503" t="s">
        <v>18026</v>
      </c>
      <c r="F5020" t="str">
        <f t="shared" si="157"/>
        <v>103972</v>
      </c>
      <c r="H5020" s="14">
        <f t="shared" si="158"/>
        <v>43.49</v>
      </c>
    </row>
    <row r="5021" spans="1:8" ht="41.4">
      <c r="A5021" s="502" t="s">
        <v>25950</v>
      </c>
      <c r="B5021" s="504" t="s">
        <v>25951</v>
      </c>
      <c r="C5021" s="502" t="s">
        <v>114</v>
      </c>
      <c r="D5021" s="503" t="s">
        <v>4307</v>
      </c>
      <c r="F5021" t="str">
        <f t="shared" si="157"/>
        <v>103974</v>
      </c>
      <c r="H5021" s="14">
        <f t="shared" si="158"/>
        <v>15.75</v>
      </c>
    </row>
    <row r="5022" spans="1:8" ht="41.4">
      <c r="A5022" s="502" t="s">
        <v>25952</v>
      </c>
      <c r="B5022" s="504" t="s">
        <v>25953</v>
      </c>
      <c r="C5022" s="502" t="s">
        <v>114</v>
      </c>
      <c r="D5022" s="503" t="s">
        <v>33437</v>
      </c>
      <c r="F5022" t="str">
        <f t="shared" si="157"/>
        <v>103975</v>
      </c>
      <c r="H5022" s="14">
        <f t="shared" si="158"/>
        <v>26.44</v>
      </c>
    </row>
    <row r="5023" spans="1:8" ht="41.4">
      <c r="A5023" s="502" t="s">
        <v>25954</v>
      </c>
      <c r="B5023" s="504" t="s">
        <v>25955</v>
      </c>
      <c r="C5023" s="502" t="s">
        <v>114</v>
      </c>
      <c r="D5023" s="503" t="s">
        <v>9982</v>
      </c>
      <c r="F5023" t="str">
        <f t="shared" si="157"/>
        <v>103976</v>
      </c>
      <c r="H5023" s="14">
        <f t="shared" si="158"/>
        <v>38.5</v>
      </c>
    </row>
    <row r="5024" spans="1:8" ht="41.4">
      <c r="A5024" s="502" t="s">
        <v>25956</v>
      </c>
      <c r="B5024" s="504" t="s">
        <v>25957</v>
      </c>
      <c r="C5024" s="502" t="s">
        <v>114</v>
      </c>
      <c r="D5024" s="503" t="s">
        <v>9893</v>
      </c>
      <c r="F5024" t="str">
        <f t="shared" si="157"/>
        <v>103980</v>
      </c>
      <c r="H5024" s="14">
        <f t="shared" si="158"/>
        <v>26.13</v>
      </c>
    </row>
    <row r="5025" spans="1:8" ht="41.4">
      <c r="A5025" s="502" t="s">
        <v>25958</v>
      </c>
      <c r="B5025" s="504" t="s">
        <v>25959</v>
      </c>
      <c r="C5025" s="502" t="s">
        <v>114</v>
      </c>
      <c r="D5025" s="503" t="s">
        <v>9864</v>
      </c>
      <c r="F5025" t="str">
        <f t="shared" si="157"/>
        <v>103981</v>
      </c>
      <c r="H5025" s="14">
        <f t="shared" si="158"/>
        <v>26.22</v>
      </c>
    </row>
    <row r="5026" spans="1:8" ht="41.4">
      <c r="A5026" s="502" t="s">
        <v>25961</v>
      </c>
      <c r="B5026" s="504" t="s">
        <v>25962</v>
      </c>
      <c r="C5026" s="502" t="s">
        <v>114</v>
      </c>
      <c r="D5026" s="503" t="s">
        <v>33438</v>
      </c>
      <c r="F5026" t="str">
        <f t="shared" si="157"/>
        <v>103982</v>
      </c>
      <c r="H5026" s="14">
        <f t="shared" si="158"/>
        <v>35.92</v>
      </c>
    </row>
    <row r="5027" spans="1:8" ht="41.4">
      <c r="A5027" s="502" t="s">
        <v>25963</v>
      </c>
      <c r="B5027" s="504" t="s">
        <v>25964</v>
      </c>
      <c r="C5027" s="502" t="s">
        <v>114</v>
      </c>
      <c r="D5027" s="503" t="s">
        <v>33439</v>
      </c>
      <c r="F5027" t="str">
        <f t="shared" si="157"/>
        <v>103983</v>
      </c>
      <c r="H5027" s="14">
        <f t="shared" si="158"/>
        <v>25.36</v>
      </c>
    </row>
    <row r="5028" spans="1:8" ht="41.4">
      <c r="A5028" s="502" t="s">
        <v>25965</v>
      </c>
      <c r="B5028" s="504" t="s">
        <v>25966</v>
      </c>
      <c r="C5028" s="502" t="s">
        <v>114</v>
      </c>
      <c r="D5028" s="503" t="s">
        <v>32439</v>
      </c>
      <c r="F5028" t="str">
        <f t="shared" si="157"/>
        <v>103984</v>
      </c>
      <c r="H5028" s="14">
        <f t="shared" si="158"/>
        <v>28.69</v>
      </c>
    </row>
    <row r="5029" spans="1:8" ht="41.4">
      <c r="A5029" s="502" t="s">
        <v>25967</v>
      </c>
      <c r="B5029" s="504" t="s">
        <v>25968</v>
      </c>
      <c r="C5029" s="502" t="s">
        <v>114</v>
      </c>
      <c r="D5029" s="503" t="s">
        <v>32423</v>
      </c>
      <c r="F5029" t="str">
        <f t="shared" si="157"/>
        <v>103985</v>
      </c>
      <c r="H5029" s="14">
        <f t="shared" si="158"/>
        <v>32.67</v>
      </c>
    </row>
    <row r="5030" spans="1:8" ht="41.4">
      <c r="A5030" s="502" t="s">
        <v>25969</v>
      </c>
      <c r="B5030" s="504" t="s">
        <v>25970</v>
      </c>
      <c r="C5030" s="502" t="s">
        <v>114</v>
      </c>
      <c r="D5030" s="503" t="s">
        <v>33440</v>
      </c>
      <c r="F5030" t="str">
        <f t="shared" si="157"/>
        <v>103986</v>
      </c>
      <c r="H5030" s="14">
        <f t="shared" si="158"/>
        <v>41.57</v>
      </c>
    </row>
    <row r="5031" spans="1:8" ht="41.4">
      <c r="A5031" s="502" t="s">
        <v>25972</v>
      </c>
      <c r="B5031" s="504" t="s">
        <v>25973</v>
      </c>
      <c r="C5031" s="502" t="s">
        <v>114</v>
      </c>
      <c r="D5031" s="503" t="s">
        <v>7481</v>
      </c>
      <c r="F5031" t="str">
        <f t="shared" si="157"/>
        <v>103987</v>
      </c>
      <c r="H5031" s="14">
        <f t="shared" si="158"/>
        <v>35.54</v>
      </c>
    </row>
    <row r="5032" spans="1:8" ht="41.4">
      <c r="A5032" s="502" t="s">
        <v>25974</v>
      </c>
      <c r="B5032" s="504" t="s">
        <v>25975</v>
      </c>
      <c r="C5032" s="502" t="s">
        <v>114</v>
      </c>
      <c r="D5032" s="503" t="s">
        <v>7454</v>
      </c>
      <c r="F5032" t="str">
        <f t="shared" si="157"/>
        <v>103988</v>
      </c>
      <c r="H5032" s="14">
        <f t="shared" si="158"/>
        <v>18.809999999999999</v>
      </c>
    </row>
    <row r="5033" spans="1:8" ht="41.4">
      <c r="A5033" s="502" t="s">
        <v>25976</v>
      </c>
      <c r="B5033" s="504" t="s">
        <v>25977</v>
      </c>
      <c r="C5033" s="502" t="s">
        <v>114</v>
      </c>
      <c r="D5033" s="503" t="s">
        <v>30994</v>
      </c>
      <c r="F5033" t="str">
        <f t="shared" si="157"/>
        <v>103990</v>
      </c>
      <c r="H5033" s="14">
        <f t="shared" si="158"/>
        <v>53.45</v>
      </c>
    </row>
    <row r="5034" spans="1:8" ht="41.4">
      <c r="A5034" s="502" t="s">
        <v>25978</v>
      </c>
      <c r="B5034" s="504" t="s">
        <v>29345</v>
      </c>
      <c r="C5034" s="502" t="s">
        <v>114</v>
      </c>
      <c r="D5034" s="503" t="s">
        <v>33209</v>
      </c>
      <c r="F5034" t="str">
        <f t="shared" si="157"/>
        <v>103991</v>
      </c>
      <c r="H5034" s="14">
        <f t="shared" si="158"/>
        <v>27.52</v>
      </c>
    </row>
    <row r="5035" spans="1:8" ht="55.2">
      <c r="A5035" s="502" t="s">
        <v>25979</v>
      </c>
      <c r="B5035" s="504" t="s">
        <v>29346</v>
      </c>
      <c r="C5035" s="502" t="s">
        <v>114</v>
      </c>
      <c r="D5035" s="503" t="s">
        <v>33441</v>
      </c>
      <c r="F5035" t="str">
        <f t="shared" si="157"/>
        <v>103992</v>
      </c>
      <c r="H5035" s="14">
        <f t="shared" si="158"/>
        <v>16.91</v>
      </c>
    </row>
    <row r="5036" spans="1:8" ht="41.4">
      <c r="A5036" s="502" t="s">
        <v>25980</v>
      </c>
      <c r="B5036" s="504" t="s">
        <v>25981</v>
      </c>
      <c r="C5036" s="502" t="s">
        <v>114</v>
      </c>
      <c r="D5036" s="503" t="s">
        <v>7267</v>
      </c>
      <c r="F5036" t="str">
        <f t="shared" si="157"/>
        <v>103993</v>
      </c>
      <c r="H5036" s="14">
        <f t="shared" si="158"/>
        <v>14.35</v>
      </c>
    </row>
    <row r="5037" spans="1:8" ht="55.2">
      <c r="A5037" s="502" t="s">
        <v>25982</v>
      </c>
      <c r="B5037" s="504" t="s">
        <v>29347</v>
      </c>
      <c r="C5037" s="502" t="s">
        <v>114</v>
      </c>
      <c r="D5037" s="503" t="s">
        <v>29756</v>
      </c>
      <c r="F5037" t="str">
        <f t="shared" si="157"/>
        <v>103994</v>
      </c>
      <c r="H5037" s="14">
        <f t="shared" si="158"/>
        <v>21.07</v>
      </c>
    </row>
    <row r="5038" spans="1:8" ht="41.4">
      <c r="A5038" s="502" t="s">
        <v>25983</v>
      </c>
      <c r="B5038" s="504" t="s">
        <v>25984</v>
      </c>
      <c r="C5038" s="502" t="s">
        <v>114</v>
      </c>
      <c r="D5038" s="503" t="s">
        <v>29674</v>
      </c>
      <c r="F5038" t="str">
        <f t="shared" si="157"/>
        <v>103995</v>
      </c>
      <c r="H5038" s="14">
        <f t="shared" si="158"/>
        <v>22.09</v>
      </c>
    </row>
    <row r="5039" spans="1:8" ht="41.4">
      <c r="A5039" s="502" t="s">
        <v>25985</v>
      </c>
      <c r="B5039" s="504" t="s">
        <v>25986</v>
      </c>
      <c r="C5039" s="502" t="s">
        <v>114</v>
      </c>
      <c r="D5039" s="503" t="s">
        <v>33442</v>
      </c>
      <c r="F5039" t="str">
        <f t="shared" si="157"/>
        <v>103996</v>
      </c>
      <c r="H5039" s="14">
        <f t="shared" si="158"/>
        <v>60.84</v>
      </c>
    </row>
    <row r="5040" spans="1:8" ht="41.4">
      <c r="A5040" s="502" t="s">
        <v>25987</v>
      </c>
      <c r="B5040" s="504" t="s">
        <v>25988</v>
      </c>
      <c r="C5040" s="502" t="s">
        <v>114</v>
      </c>
      <c r="D5040" s="503" t="s">
        <v>33443</v>
      </c>
      <c r="F5040" t="str">
        <f t="shared" si="157"/>
        <v>103997</v>
      </c>
      <c r="H5040" s="14">
        <f t="shared" si="158"/>
        <v>59.35</v>
      </c>
    </row>
    <row r="5041" spans="1:8" ht="41.4">
      <c r="A5041" s="502" t="s">
        <v>25989</v>
      </c>
      <c r="B5041" s="504" t="s">
        <v>25990</v>
      </c>
      <c r="C5041" s="502" t="s">
        <v>114</v>
      </c>
      <c r="D5041" s="503" t="s">
        <v>10639</v>
      </c>
      <c r="F5041" t="str">
        <f t="shared" si="157"/>
        <v>103998</v>
      </c>
      <c r="H5041" s="14">
        <f t="shared" si="158"/>
        <v>21.61</v>
      </c>
    </row>
    <row r="5042" spans="1:8" ht="41.4">
      <c r="A5042" s="502" t="s">
        <v>25991</v>
      </c>
      <c r="B5042" s="504" t="s">
        <v>25992</v>
      </c>
      <c r="C5042" s="502" t="s">
        <v>114</v>
      </c>
      <c r="D5042" s="503" t="s">
        <v>25106</v>
      </c>
      <c r="F5042" t="str">
        <f t="shared" si="157"/>
        <v>103999</v>
      </c>
      <c r="H5042" s="14">
        <f t="shared" si="158"/>
        <v>18.440000000000001</v>
      </c>
    </row>
    <row r="5043" spans="1:8" ht="41.4">
      <c r="A5043" s="502" t="s">
        <v>25993</v>
      </c>
      <c r="B5043" s="504" t="s">
        <v>29348</v>
      </c>
      <c r="C5043" s="502" t="s">
        <v>114</v>
      </c>
      <c r="D5043" s="503" t="s">
        <v>30110</v>
      </c>
      <c r="F5043" t="str">
        <f t="shared" si="157"/>
        <v>104000</v>
      </c>
      <c r="H5043" s="14">
        <f t="shared" si="158"/>
        <v>42.35</v>
      </c>
    </row>
    <row r="5044" spans="1:8" ht="55.2">
      <c r="A5044" s="502" t="s">
        <v>25994</v>
      </c>
      <c r="B5044" s="504" t="s">
        <v>29349</v>
      </c>
      <c r="C5044" s="502" t="s">
        <v>114</v>
      </c>
      <c r="D5044" s="503" t="s">
        <v>9608</v>
      </c>
      <c r="F5044" t="str">
        <f t="shared" si="157"/>
        <v>104001</v>
      </c>
      <c r="H5044" s="14">
        <f t="shared" si="158"/>
        <v>20.239999999999998</v>
      </c>
    </row>
    <row r="5045" spans="1:8" ht="55.2">
      <c r="A5045" s="502" t="s">
        <v>25995</v>
      </c>
      <c r="B5045" s="504" t="s">
        <v>29350</v>
      </c>
      <c r="C5045" s="502" t="s">
        <v>114</v>
      </c>
      <c r="D5045" s="503" t="s">
        <v>29759</v>
      </c>
      <c r="F5045" t="str">
        <f t="shared" si="157"/>
        <v>104002</v>
      </c>
      <c r="H5045" s="14">
        <f t="shared" si="158"/>
        <v>26.02</v>
      </c>
    </row>
    <row r="5046" spans="1:8" ht="41.4">
      <c r="A5046" s="502" t="s">
        <v>25996</v>
      </c>
      <c r="B5046" s="504" t="s">
        <v>25997</v>
      </c>
      <c r="C5046" s="502" t="s">
        <v>114</v>
      </c>
      <c r="D5046" s="503" t="s">
        <v>33444</v>
      </c>
      <c r="F5046" t="str">
        <f t="shared" si="157"/>
        <v>104003</v>
      </c>
      <c r="H5046" s="14">
        <f t="shared" si="158"/>
        <v>21.68</v>
      </c>
    </row>
    <row r="5047" spans="1:8" ht="41.4">
      <c r="A5047" s="502" t="s">
        <v>25998</v>
      </c>
      <c r="B5047" s="504" t="s">
        <v>25999</v>
      </c>
      <c r="C5047" s="502" t="s">
        <v>114</v>
      </c>
      <c r="D5047" s="503" t="s">
        <v>33445</v>
      </c>
      <c r="F5047" t="str">
        <f t="shared" si="157"/>
        <v>104004</v>
      </c>
      <c r="H5047" s="14">
        <f t="shared" si="158"/>
        <v>43.71</v>
      </c>
    </row>
    <row r="5048" spans="1:8" ht="41.4">
      <c r="A5048" s="502" t="s">
        <v>26000</v>
      </c>
      <c r="B5048" s="504" t="s">
        <v>26001</v>
      </c>
      <c r="C5048" s="502" t="s">
        <v>114</v>
      </c>
      <c r="D5048" s="503" t="s">
        <v>26930</v>
      </c>
      <c r="F5048" t="str">
        <f t="shared" si="157"/>
        <v>104005</v>
      </c>
      <c r="H5048" s="14">
        <f t="shared" si="158"/>
        <v>54.43</v>
      </c>
    </row>
    <row r="5049" spans="1:8" ht="41.4">
      <c r="A5049" s="502" t="s">
        <v>26002</v>
      </c>
      <c r="B5049" s="504" t="s">
        <v>26003</v>
      </c>
      <c r="C5049" s="502" t="s">
        <v>114</v>
      </c>
      <c r="D5049" s="503" t="s">
        <v>10602</v>
      </c>
      <c r="F5049" t="str">
        <f t="shared" si="157"/>
        <v>104006</v>
      </c>
      <c r="H5049" s="14">
        <f t="shared" si="158"/>
        <v>37.32</v>
      </c>
    </row>
    <row r="5050" spans="1:8" ht="41.4">
      <c r="A5050" s="502" t="s">
        <v>26004</v>
      </c>
      <c r="B5050" s="504" t="s">
        <v>26005</v>
      </c>
      <c r="C5050" s="502" t="s">
        <v>114</v>
      </c>
      <c r="D5050" s="503" t="s">
        <v>11413</v>
      </c>
      <c r="F5050" t="str">
        <f t="shared" si="157"/>
        <v>104007</v>
      </c>
      <c r="H5050" s="14">
        <f t="shared" si="158"/>
        <v>32.61</v>
      </c>
    </row>
    <row r="5051" spans="1:8" ht="41.4">
      <c r="A5051" s="502" t="s">
        <v>26006</v>
      </c>
      <c r="B5051" s="504" t="s">
        <v>26007</v>
      </c>
      <c r="C5051" s="502" t="s">
        <v>114</v>
      </c>
      <c r="D5051" s="503" t="s">
        <v>33446</v>
      </c>
      <c r="F5051" t="str">
        <f t="shared" si="157"/>
        <v>104008</v>
      </c>
      <c r="H5051" s="14">
        <f t="shared" si="158"/>
        <v>47.29</v>
      </c>
    </row>
    <row r="5052" spans="1:8" ht="41.4">
      <c r="A5052" s="502" t="s">
        <v>26008</v>
      </c>
      <c r="B5052" s="504" t="s">
        <v>26009</v>
      </c>
      <c r="C5052" s="502" t="s">
        <v>114</v>
      </c>
      <c r="D5052" s="503" t="s">
        <v>7958</v>
      </c>
      <c r="F5052" t="str">
        <f t="shared" si="157"/>
        <v>104009</v>
      </c>
      <c r="H5052" s="14">
        <f t="shared" si="158"/>
        <v>19.41</v>
      </c>
    </row>
    <row r="5053" spans="1:8" ht="41.4">
      <c r="A5053" s="502" t="s">
        <v>26010</v>
      </c>
      <c r="B5053" s="504" t="s">
        <v>26011</v>
      </c>
      <c r="C5053" s="502" t="s">
        <v>114</v>
      </c>
      <c r="D5053" s="503" t="s">
        <v>33262</v>
      </c>
      <c r="F5053" t="str">
        <f t="shared" si="157"/>
        <v>104011</v>
      </c>
      <c r="H5053" s="14">
        <f t="shared" si="158"/>
        <v>37.44</v>
      </c>
    </row>
    <row r="5054" spans="1:8" ht="41.4">
      <c r="A5054" s="502" t="s">
        <v>26013</v>
      </c>
      <c r="B5054" s="504" t="s">
        <v>26014</v>
      </c>
      <c r="C5054" s="502" t="s">
        <v>114</v>
      </c>
      <c r="D5054" s="503" t="s">
        <v>30455</v>
      </c>
      <c r="F5054" t="str">
        <f t="shared" si="157"/>
        <v>104012</v>
      </c>
      <c r="H5054" s="14">
        <f t="shared" si="158"/>
        <v>34.71</v>
      </c>
    </row>
    <row r="5055" spans="1:8" ht="41.4">
      <c r="A5055" s="502" t="s">
        <v>26015</v>
      </c>
      <c r="B5055" s="504" t="s">
        <v>26016</v>
      </c>
      <c r="C5055" s="502" t="s">
        <v>114</v>
      </c>
      <c r="D5055" s="503" t="s">
        <v>26599</v>
      </c>
      <c r="F5055" t="str">
        <f t="shared" si="157"/>
        <v>104014</v>
      </c>
      <c r="H5055" s="14">
        <f t="shared" si="158"/>
        <v>15.9</v>
      </c>
    </row>
    <row r="5056" spans="1:8" ht="41.4">
      <c r="A5056" s="502" t="s">
        <v>26017</v>
      </c>
      <c r="B5056" s="504" t="s">
        <v>26018</v>
      </c>
      <c r="C5056" s="502" t="s">
        <v>114</v>
      </c>
      <c r="D5056" s="503" t="s">
        <v>12640</v>
      </c>
      <c r="F5056" t="str">
        <f t="shared" si="157"/>
        <v>104015</v>
      </c>
      <c r="H5056" s="14">
        <f t="shared" si="158"/>
        <v>24.5</v>
      </c>
    </row>
    <row r="5057" spans="1:8" ht="41.4">
      <c r="A5057" s="502" t="s">
        <v>26019</v>
      </c>
      <c r="B5057" s="504" t="s">
        <v>26020</v>
      </c>
      <c r="C5057" s="502" t="s">
        <v>114</v>
      </c>
      <c r="D5057" s="503" t="s">
        <v>27942</v>
      </c>
      <c r="F5057" t="str">
        <f t="shared" si="157"/>
        <v>104016</v>
      </c>
      <c r="H5057" s="14">
        <f t="shared" si="158"/>
        <v>32.9</v>
      </c>
    </row>
    <row r="5058" spans="1:8" ht="41.4">
      <c r="A5058" s="502" t="s">
        <v>26021</v>
      </c>
      <c r="B5058" s="504" t="s">
        <v>26022</v>
      </c>
      <c r="C5058" s="502" t="s">
        <v>114</v>
      </c>
      <c r="D5058" s="503" t="s">
        <v>33447</v>
      </c>
      <c r="F5058" t="str">
        <f t="shared" si="157"/>
        <v>104017</v>
      </c>
      <c r="H5058" s="14">
        <f t="shared" si="158"/>
        <v>67.290000000000006</v>
      </c>
    </row>
    <row r="5059" spans="1:8" ht="41.4">
      <c r="A5059" s="502" t="s">
        <v>26023</v>
      </c>
      <c r="B5059" s="504" t="s">
        <v>29352</v>
      </c>
      <c r="C5059" s="502" t="s">
        <v>114</v>
      </c>
      <c r="D5059" s="503" t="s">
        <v>25251</v>
      </c>
      <c r="F5059" t="str">
        <f t="shared" si="157"/>
        <v>104018</v>
      </c>
      <c r="H5059" s="14">
        <f t="shared" si="158"/>
        <v>31.34</v>
      </c>
    </row>
    <row r="5060" spans="1:8" ht="41.4">
      <c r="A5060" s="502" t="s">
        <v>26024</v>
      </c>
      <c r="B5060" s="504" t="s">
        <v>26025</v>
      </c>
      <c r="C5060" s="502" t="s">
        <v>114</v>
      </c>
      <c r="D5060" s="503" t="s">
        <v>29305</v>
      </c>
      <c r="F5060" t="str">
        <f t="shared" si="157"/>
        <v>104019</v>
      </c>
      <c r="H5060" s="14">
        <f t="shared" si="158"/>
        <v>65.45</v>
      </c>
    </row>
    <row r="5061" spans="1:8" ht="41.4">
      <c r="A5061" s="502" t="s">
        <v>26026</v>
      </c>
      <c r="B5061" s="504" t="s">
        <v>26027</v>
      </c>
      <c r="C5061" s="502" t="s">
        <v>114</v>
      </c>
      <c r="D5061" s="503" t="s">
        <v>28073</v>
      </c>
      <c r="F5061" t="str">
        <f t="shared" ref="F5061:F5124" si="159">TRIM(A5061)</f>
        <v>104020</v>
      </c>
      <c r="H5061" s="14">
        <f t="shared" ref="H5061:H5124" si="160">ROUND(D5061*(1+$H$1),2)</f>
        <v>82.65</v>
      </c>
    </row>
    <row r="5062" spans="1:8" ht="41.4">
      <c r="A5062" s="502" t="s">
        <v>26028</v>
      </c>
      <c r="B5062" s="504" t="s">
        <v>29353</v>
      </c>
      <c r="C5062" s="502" t="s">
        <v>114</v>
      </c>
      <c r="D5062" s="503" t="s">
        <v>33448</v>
      </c>
      <c r="F5062" t="str">
        <f t="shared" si="159"/>
        <v>104022</v>
      </c>
      <c r="H5062" s="14">
        <f t="shared" si="160"/>
        <v>102.6</v>
      </c>
    </row>
    <row r="5063" spans="1:8" ht="41.4">
      <c r="A5063" s="502" t="s">
        <v>26029</v>
      </c>
      <c r="B5063" s="504" t="s">
        <v>29354</v>
      </c>
      <c r="C5063" s="502" t="s">
        <v>114</v>
      </c>
      <c r="D5063" s="503" t="s">
        <v>33449</v>
      </c>
      <c r="F5063" t="str">
        <f t="shared" si="159"/>
        <v>104023</v>
      </c>
      <c r="H5063" s="14">
        <f t="shared" si="160"/>
        <v>60.51</v>
      </c>
    </row>
    <row r="5064" spans="1:8" ht="41.4">
      <c r="A5064" s="502" t="s">
        <v>26030</v>
      </c>
      <c r="B5064" s="504" t="s">
        <v>29355</v>
      </c>
      <c r="C5064" s="502" t="s">
        <v>114</v>
      </c>
      <c r="D5064" s="503" t="s">
        <v>33450</v>
      </c>
      <c r="F5064" t="str">
        <f t="shared" si="159"/>
        <v>104024</v>
      </c>
      <c r="H5064" s="14">
        <f t="shared" si="160"/>
        <v>59.91</v>
      </c>
    </row>
    <row r="5065" spans="1:8" ht="41.4">
      <c r="A5065" s="502" t="s">
        <v>26031</v>
      </c>
      <c r="B5065" s="504" t="s">
        <v>29356</v>
      </c>
      <c r="C5065" s="502" t="s">
        <v>114</v>
      </c>
      <c r="D5065" s="503" t="s">
        <v>33451</v>
      </c>
      <c r="F5065" t="str">
        <f t="shared" si="159"/>
        <v>104025</v>
      </c>
      <c r="H5065" s="14">
        <f t="shared" si="160"/>
        <v>41.91</v>
      </c>
    </row>
    <row r="5066" spans="1:8" ht="41.4">
      <c r="A5066" s="502" t="s">
        <v>26032</v>
      </c>
      <c r="B5066" s="504" t="s">
        <v>29357</v>
      </c>
      <c r="C5066" s="502" t="s">
        <v>114</v>
      </c>
      <c r="D5066" s="503" t="s">
        <v>33452</v>
      </c>
      <c r="F5066" t="str">
        <f t="shared" si="159"/>
        <v>104026</v>
      </c>
      <c r="H5066" s="14">
        <f t="shared" si="160"/>
        <v>61.72</v>
      </c>
    </row>
    <row r="5067" spans="1:8" ht="41.4">
      <c r="A5067" s="502" t="s">
        <v>26033</v>
      </c>
      <c r="B5067" s="504" t="s">
        <v>26034</v>
      </c>
      <c r="C5067" s="502" t="s">
        <v>114</v>
      </c>
      <c r="D5067" s="503" t="s">
        <v>33453</v>
      </c>
      <c r="F5067" t="str">
        <f t="shared" si="159"/>
        <v>104027</v>
      </c>
      <c r="H5067" s="14">
        <f t="shared" si="160"/>
        <v>94.05</v>
      </c>
    </row>
    <row r="5068" spans="1:8" ht="41.4">
      <c r="A5068" s="502" t="s">
        <v>26035</v>
      </c>
      <c r="B5068" s="504" t="s">
        <v>29359</v>
      </c>
      <c r="C5068" s="502" t="s">
        <v>114</v>
      </c>
      <c r="D5068" s="503" t="s">
        <v>33454</v>
      </c>
      <c r="F5068" t="str">
        <f t="shared" si="159"/>
        <v>104028</v>
      </c>
      <c r="H5068" s="14">
        <f t="shared" si="160"/>
        <v>193.01</v>
      </c>
    </row>
    <row r="5069" spans="1:8" ht="41.4">
      <c r="A5069" s="502" t="s">
        <v>26036</v>
      </c>
      <c r="B5069" s="504" t="s">
        <v>29360</v>
      </c>
      <c r="C5069" s="502" t="s">
        <v>114</v>
      </c>
      <c r="D5069" s="503" t="s">
        <v>33455</v>
      </c>
      <c r="F5069" t="str">
        <f t="shared" si="159"/>
        <v>104029</v>
      </c>
      <c r="H5069" s="14">
        <f t="shared" si="160"/>
        <v>100.1</v>
      </c>
    </row>
    <row r="5070" spans="1:8" ht="41.4">
      <c r="A5070" s="502" t="s">
        <v>26037</v>
      </c>
      <c r="B5070" s="504" t="s">
        <v>26038</v>
      </c>
      <c r="C5070" s="502" t="s">
        <v>114</v>
      </c>
      <c r="D5070" s="503" t="s">
        <v>33456</v>
      </c>
      <c r="F5070" t="str">
        <f t="shared" si="159"/>
        <v>104030</v>
      </c>
      <c r="H5070" s="14">
        <f t="shared" si="160"/>
        <v>90.93</v>
      </c>
    </row>
    <row r="5071" spans="1:8" ht="41.4">
      <c r="A5071" s="502" t="s">
        <v>26039</v>
      </c>
      <c r="B5071" s="504" t="s">
        <v>29362</v>
      </c>
      <c r="C5071" s="502" t="s">
        <v>114</v>
      </c>
      <c r="D5071" s="503" t="s">
        <v>33457</v>
      </c>
      <c r="F5071" t="str">
        <f t="shared" si="159"/>
        <v>104159</v>
      </c>
      <c r="H5071" s="14">
        <f t="shared" si="160"/>
        <v>57.35</v>
      </c>
    </row>
    <row r="5072" spans="1:8" ht="41.4">
      <c r="A5072" s="502" t="s">
        <v>26040</v>
      </c>
      <c r="B5072" s="504" t="s">
        <v>26041</v>
      </c>
      <c r="C5072" s="502" t="s">
        <v>114</v>
      </c>
      <c r="D5072" s="503" t="s">
        <v>33458</v>
      </c>
      <c r="F5072" t="str">
        <f t="shared" si="159"/>
        <v>104167</v>
      </c>
      <c r="H5072" s="14">
        <f t="shared" si="160"/>
        <v>193.4</v>
      </c>
    </row>
    <row r="5073" spans="1:8" ht="41.4">
      <c r="A5073" s="502" t="s">
        <v>26042</v>
      </c>
      <c r="B5073" s="504" t="s">
        <v>26043</v>
      </c>
      <c r="C5073" s="502" t="s">
        <v>114</v>
      </c>
      <c r="D5073" s="503" t="s">
        <v>33459</v>
      </c>
      <c r="F5073" t="str">
        <f t="shared" si="159"/>
        <v>104168</v>
      </c>
      <c r="H5073" s="14">
        <f t="shared" si="160"/>
        <v>188.03</v>
      </c>
    </row>
    <row r="5074" spans="1:8" ht="41.4">
      <c r="A5074" s="502" t="s">
        <v>26044</v>
      </c>
      <c r="B5074" s="504" t="s">
        <v>26045</v>
      </c>
      <c r="C5074" s="502" t="s">
        <v>114</v>
      </c>
      <c r="D5074" s="503" t="s">
        <v>33460</v>
      </c>
      <c r="F5074" t="str">
        <f t="shared" si="159"/>
        <v>104169</v>
      </c>
      <c r="H5074" s="14">
        <f t="shared" si="160"/>
        <v>235.27</v>
      </c>
    </row>
    <row r="5075" spans="1:8" ht="41.4">
      <c r="A5075" s="502" t="s">
        <v>26046</v>
      </c>
      <c r="B5075" s="504" t="s">
        <v>26047</v>
      </c>
      <c r="C5075" s="502" t="s">
        <v>114</v>
      </c>
      <c r="D5075" s="503" t="s">
        <v>33461</v>
      </c>
      <c r="F5075" t="str">
        <f t="shared" si="159"/>
        <v>104170</v>
      </c>
      <c r="H5075" s="14">
        <f t="shared" si="160"/>
        <v>108.89</v>
      </c>
    </row>
    <row r="5076" spans="1:8" ht="41.4">
      <c r="A5076" s="502" t="s">
        <v>26048</v>
      </c>
      <c r="B5076" s="504" t="s">
        <v>26049</v>
      </c>
      <c r="C5076" s="502" t="s">
        <v>114</v>
      </c>
      <c r="D5076" s="503" t="s">
        <v>33462</v>
      </c>
      <c r="F5076" t="str">
        <f t="shared" si="159"/>
        <v>104171</v>
      </c>
      <c r="H5076" s="14">
        <f t="shared" si="160"/>
        <v>155.58000000000001</v>
      </c>
    </row>
    <row r="5077" spans="1:8" ht="41.4">
      <c r="A5077" s="502" t="s">
        <v>26050</v>
      </c>
      <c r="B5077" s="504" t="s">
        <v>26051</v>
      </c>
      <c r="C5077" s="502" t="s">
        <v>114</v>
      </c>
      <c r="D5077" s="503" t="s">
        <v>33463</v>
      </c>
      <c r="F5077" t="str">
        <f t="shared" si="159"/>
        <v>104172</v>
      </c>
      <c r="H5077" s="14">
        <f t="shared" si="160"/>
        <v>448.2</v>
      </c>
    </row>
    <row r="5078" spans="1:8" ht="41.4">
      <c r="A5078" s="502" t="s">
        <v>26052</v>
      </c>
      <c r="B5078" s="504" t="s">
        <v>26053</v>
      </c>
      <c r="C5078" s="502" t="s">
        <v>114</v>
      </c>
      <c r="D5078" s="503" t="s">
        <v>10734</v>
      </c>
      <c r="F5078" t="str">
        <f t="shared" si="159"/>
        <v>104173</v>
      </c>
      <c r="H5078" s="14">
        <f t="shared" si="160"/>
        <v>134.28</v>
      </c>
    </row>
    <row r="5079" spans="1:8" ht="41.4">
      <c r="A5079" s="502" t="s">
        <v>26054</v>
      </c>
      <c r="B5079" s="504" t="s">
        <v>26055</v>
      </c>
      <c r="C5079" s="502" t="s">
        <v>114</v>
      </c>
      <c r="D5079" s="503" t="s">
        <v>28528</v>
      </c>
      <c r="F5079" t="str">
        <f t="shared" si="159"/>
        <v>104174</v>
      </c>
      <c r="H5079" s="14">
        <f t="shared" si="160"/>
        <v>302.01</v>
      </c>
    </row>
    <row r="5080" spans="1:8" ht="41.4">
      <c r="A5080" s="502" t="s">
        <v>26056</v>
      </c>
      <c r="B5080" s="504" t="s">
        <v>26057</v>
      </c>
      <c r="C5080" s="502" t="s">
        <v>114</v>
      </c>
      <c r="D5080" s="503" t="s">
        <v>33464</v>
      </c>
      <c r="F5080" t="str">
        <f t="shared" si="159"/>
        <v>104175</v>
      </c>
      <c r="H5080" s="14">
        <f t="shared" si="160"/>
        <v>221.27</v>
      </c>
    </row>
    <row r="5081" spans="1:8" ht="41.4">
      <c r="A5081" s="502" t="s">
        <v>26058</v>
      </c>
      <c r="B5081" s="504" t="s">
        <v>26059</v>
      </c>
      <c r="C5081" s="502" t="s">
        <v>114</v>
      </c>
      <c r="D5081" s="503" t="s">
        <v>33465</v>
      </c>
      <c r="F5081" t="str">
        <f t="shared" si="159"/>
        <v>104176</v>
      </c>
      <c r="H5081" s="14">
        <f t="shared" si="160"/>
        <v>402.06</v>
      </c>
    </row>
    <row r="5082" spans="1:8" ht="41.4">
      <c r="A5082" s="502" t="s">
        <v>26060</v>
      </c>
      <c r="B5082" s="504" t="s">
        <v>26061</v>
      </c>
      <c r="C5082" s="502" t="s">
        <v>114</v>
      </c>
      <c r="D5082" s="503" t="s">
        <v>33466</v>
      </c>
      <c r="F5082" t="str">
        <f t="shared" si="159"/>
        <v>104177</v>
      </c>
      <c r="H5082" s="14">
        <f t="shared" si="160"/>
        <v>287.51</v>
      </c>
    </row>
    <row r="5083" spans="1:8" ht="41.4">
      <c r="A5083" s="502" t="s">
        <v>26062</v>
      </c>
      <c r="B5083" s="504" t="s">
        <v>26063</v>
      </c>
      <c r="C5083" s="502" t="s">
        <v>114</v>
      </c>
      <c r="D5083" s="503" t="s">
        <v>33467</v>
      </c>
      <c r="F5083" t="str">
        <f t="shared" si="159"/>
        <v>104178</v>
      </c>
      <c r="H5083" s="14">
        <f t="shared" si="160"/>
        <v>34.090000000000003</v>
      </c>
    </row>
    <row r="5084" spans="1:8" ht="41.4">
      <c r="A5084" s="502" t="s">
        <v>26064</v>
      </c>
      <c r="B5084" s="504" t="s">
        <v>26065</v>
      </c>
      <c r="C5084" s="502" t="s">
        <v>114</v>
      </c>
      <c r="D5084" s="503" t="s">
        <v>33468</v>
      </c>
      <c r="F5084" t="str">
        <f t="shared" si="159"/>
        <v>104179</v>
      </c>
      <c r="H5084" s="14">
        <f t="shared" si="160"/>
        <v>134.29</v>
      </c>
    </row>
    <row r="5085" spans="1:8" ht="41.4">
      <c r="A5085" s="502" t="s">
        <v>26066</v>
      </c>
      <c r="B5085" s="504" t="s">
        <v>26067</v>
      </c>
      <c r="C5085" s="502" t="s">
        <v>114</v>
      </c>
      <c r="D5085" s="503" t="s">
        <v>28812</v>
      </c>
      <c r="F5085" t="str">
        <f t="shared" si="159"/>
        <v>104191</v>
      </c>
      <c r="H5085" s="14">
        <f t="shared" si="160"/>
        <v>13.82</v>
      </c>
    </row>
    <row r="5086" spans="1:8" ht="41.4">
      <c r="A5086" s="502" t="s">
        <v>26068</v>
      </c>
      <c r="B5086" s="504" t="s">
        <v>26069</v>
      </c>
      <c r="C5086" s="502" t="s">
        <v>114</v>
      </c>
      <c r="D5086" s="503" t="s">
        <v>28633</v>
      </c>
      <c r="F5086" t="str">
        <f t="shared" si="159"/>
        <v>104192</v>
      </c>
      <c r="H5086" s="14">
        <f t="shared" si="160"/>
        <v>37.15</v>
      </c>
    </row>
    <row r="5087" spans="1:8" ht="41.4">
      <c r="A5087" s="502" t="s">
        <v>26070</v>
      </c>
      <c r="B5087" s="504" t="s">
        <v>26071</v>
      </c>
      <c r="C5087" s="502" t="s">
        <v>114</v>
      </c>
      <c r="D5087" s="503" t="s">
        <v>32060</v>
      </c>
      <c r="F5087" t="str">
        <f t="shared" si="159"/>
        <v>104193</v>
      </c>
      <c r="H5087" s="14">
        <f t="shared" si="160"/>
        <v>201.41</v>
      </c>
    </row>
    <row r="5088" spans="1:8" ht="41.4">
      <c r="A5088" s="502" t="s">
        <v>26072</v>
      </c>
      <c r="B5088" s="504" t="s">
        <v>26073</v>
      </c>
      <c r="C5088" s="502" t="s">
        <v>114</v>
      </c>
      <c r="D5088" s="503" t="s">
        <v>33469</v>
      </c>
      <c r="F5088" t="str">
        <f t="shared" si="159"/>
        <v>104196</v>
      </c>
      <c r="H5088" s="14">
        <f t="shared" si="160"/>
        <v>20.05</v>
      </c>
    </row>
    <row r="5089" spans="1:8" ht="41.4">
      <c r="A5089" s="502" t="s">
        <v>26074</v>
      </c>
      <c r="B5089" s="504" t="s">
        <v>26075</v>
      </c>
      <c r="C5089" s="502" t="s">
        <v>114</v>
      </c>
      <c r="D5089" s="503" t="s">
        <v>33470</v>
      </c>
      <c r="F5089" t="str">
        <f t="shared" si="159"/>
        <v>104197</v>
      </c>
      <c r="H5089" s="14">
        <f t="shared" si="160"/>
        <v>38.479999999999997</v>
      </c>
    </row>
    <row r="5090" spans="1:8" ht="41.4">
      <c r="A5090" s="502" t="s">
        <v>26076</v>
      </c>
      <c r="B5090" s="504" t="s">
        <v>26077</v>
      </c>
      <c r="C5090" s="502" t="s">
        <v>114</v>
      </c>
      <c r="D5090" s="503" t="s">
        <v>28588</v>
      </c>
      <c r="F5090" t="str">
        <f t="shared" si="159"/>
        <v>104198</v>
      </c>
      <c r="H5090" s="14">
        <f t="shared" si="160"/>
        <v>10.51</v>
      </c>
    </row>
    <row r="5091" spans="1:8" ht="41.4">
      <c r="A5091" s="502" t="s">
        <v>26078</v>
      </c>
      <c r="B5091" s="504" t="s">
        <v>26079</v>
      </c>
      <c r="C5091" s="502" t="s">
        <v>114</v>
      </c>
      <c r="D5091" s="503" t="s">
        <v>33471</v>
      </c>
      <c r="F5091" t="str">
        <f t="shared" si="159"/>
        <v>104199</v>
      </c>
      <c r="H5091" s="14">
        <f t="shared" si="160"/>
        <v>10.25</v>
      </c>
    </row>
    <row r="5092" spans="1:8" ht="41.4">
      <c r="A5092" s="502" t="s">
        <v>26080</v>
      </c>
      <c r="B5092" s="504" t="s">
        <v>26081</v>
      </c>
      <c r="C5092" s="502" t="s">
        <v>114</v>
      </c>
      <c r="D5092" s="503" t="s">
        <v>5405</v>
      </c>
      <c r="F5092" t="str">
        <f t="shared" si="159"/>
        <v>104200</v>
      </c>
      <c r="H5092" s="14">
        <f t="shared" si="160"/>
        <v>8.14</v>
      </c>
    </row>
    <row r="5093" spans="1:8" ht="41.4">
      <c r="A5093" s="502" t="s">
        <v>26082</v>
      </c>
      <c r="B5093" s="504" t="s">
        <v>26083</v>
      </c>
      <c r="C5093" s="502" t="s">
        <v>114</v>
      </c>
      <c r="D5093" s="503" t="s">
        <v>10298</v>
      </c>
      <c r="F5093" t="str">
        <f t="shared" si="159"/>
        <v>104201</v>
      </c>
      <c r="H5093" s="14">
        <f t="shared" si="160"/>
        <v>24.9</v>
      </c>
    </row>
    <row r="5094" spans="1:8" ht="41.4">
      <c r="A5094" s="502" t="s">
        <v>26084</v>
      </c>
      <c r="B5094" s="504" t="s">
        <v>26085</v>
      </c>
      <c r="C5094" s="502" t="s">
        <v>114</v>
      </c>
      <c r="D5094" s="503" t="s">
        <v>18454</v>
      </c>
      <c r="F5094" t="str">
        <f t="shared" si="159"/>
        <v>104202</v>
      </c>
      <c r="H5094" s="14">
        <f t="shared" si="160"/>
        <v>14.95</v>
      </c>
    </row>
    <row r="5095" spans="1:8" ht="41.4">
      <c r="A5095" s="502" t="s">
        <v>26086</v>
      </c>
      <c r="B5095" s="504" t="s">
        <v>26087</v>
      </c>
      <c r="C5095" s="502" t="s">
        <v>114</v>
      </c>
      <c r="D5095" s="503" t="s">
        <v>10131</v>
      </c>
      <c r="F5095" t="str">
        <f t="shared" si="159"/>
        <v>104317</v>
      </c>
      <c r="H5095" s="14">
        <f t="shared" si="160"/>
        <v>9.77</v>
      </c>
    </row>
    <row r="5096" spans="1:8" ht="41.4">
      <c r="A5096" s="502" t="s">
        <v>26088</v>
      </c>
      <c r="B5096" s="504" t="s">
        <v>26089</v>
      </c>
      <c r="C5096" s="502" t="s">
        <v>114</v>
      </c>
      <c r="D5096" s="503" t="s">
        <v>33472</v>
      </c>
      <c r="F5096" t="str">
        <f t="shared" si="159"/>
        <v>104318</v>
      </c>
      <c r="H5096" s="14">
        <f t="shared" si="160"/>
        <v>10.63</v>
      </c>
    </row>
    <row r="5097" spans="1:8" ht="41.4">
      <c r="A5097" s="502" t="s">
        <v>26090</v>
      </c>
      <c r="B5097" s="504" t="s">
        <v>26091</v>
      </c>
      <c r="C5097" s="502" t="s">
        <v>114</v>
      </c>
      <c r="D5097" s="503" t="s">
        <v>24359</v>
      </c>
      <c r="F5097" t="str">
        <f t="shared" si="159"/>
        <v>104319</v>
      </c>
      <c r="H5097" s="14">
        <f t="shared" si="160"/>
        <v>14.51</v>
      </c>
    </row>
    <row r="5098" spans="1:8" ht="41.4">
      <c r="A5098" s="502" t="s">
        <v>26092</v>
      </c>
      <c r="B5098" s="504" t="s">
        <v>26093</v>
      </c>
      <c r="C5098" s="502" t="s">
        <v>114</v>
      </c>
      <c r="D5098" s="503" t="s">
        <v>33473</v>
      </c>
      <c r="F5098" t="str">
        <f t="shared" si="159"/>
        <v>104320</v>
      </c>
      <c r="H5098" s="14">
        <f t="shared" si="160"/>
        <v>17.27</v>
      </c>
    </row>
    <row r="5099" spans="1:8" ht="41.4">
      <c r="A5099" s="502" t="s">
        <v>26094</v>
      </c>
      <c r="B5099" s="504" t="s">
        <v>26095</v>
      </c>
      <c r="C5099" s="502" t="s">
        <v>114</v>
      </c>
      <c r="D5099" s="503" t="s">
        <v>19343</v>
      </c>
      <c r="F5099" t="str">
        <f t="shared" si="159"/>
        <v>104321</v>
      </c>
      <c r="H5099" s="14">
        <f t="shared" si="160"/>
        <v>7.5</v>
      </c>
    </row>
    <row r="5100" spans="1:8" ht="41.4">
      <c r="A5100" s="502" t="s">
        <v>26096</v>
      </c>
      <c r="B5100" s="504" t="s">
        <v>26097</v>
      </c>
      <c r="C5100" s="502" t="s">
        <v>114</v>
      </c>
      <c r="D5100" s="503" t="s">
        <v>5891</v>
      </c>
      <c r="F5100" t="str">
        <f t="shared" si="159"/>
        <v>104322</v>
      </c>
      <c r="H5100" s="14">
        <f t="shared" si="160"/>
        <v>10.94</v>
      </c>
    </row>
    <row r="5101" spans="1:8" ht="41.4">
      <c r="A5101" s="502" t="s">
        <v>26098</v>
      </c>
      <c r="B5101" s="504" t="s">
        <v>26099</v>
      </c>
      <c r="C5101" s="502" t="s">
        <v>114</v>
      </c>
      <c r="D5101" s="503" t="s">
        <v>23962</v>
      </c>
      <c r="F5101" t="str">
        <f t="shared" si="159"/>
        <v>104323</v>
      </c>
      <c r="H5101" s="14">
        <f t="shared" si="160"/>
        <v>13.67</v>
      </c>
    </row>
    <row r="5102" spans="1:8" ht="41.4">
      <c r="A5102" s="502" t="s">
        <v>26100</v>
      </c>
      <c r="B5102" s="504" t="s">
        <v>26101</v>
      </c>
      <c r="C5102" s="502" t="s">
        <v>114</v>
      </c>
      <c r="D5102" s="503" t="s">
        <v>7316</v>
      </c>
      <c r="F5102" t="str">
        <f t="shared" si="159"/>
        <v>104324</v>
      </c>
      <c r="H5102" s="14">
        <f t="shared" si="160"/>
        <v>20.56</v>
      </c>
    </row>
    <row r="5103" spans="1:8" ht="55.2">
      <c r="A5103" s="502" t="s">
        <v>26102</v>
      </c>
      <c r="B5103" s="504" t="s">
        <v>26103</v>
      </c>
      <c r="C5103" s="502" t="s">
        <v>114</v>
      </c>
      <c r="D5103" s="503" t="s">
        <v>7328</v>
      </c>
      <c r="F5103" t="str">
        <f t="shared" si="159"/>
        <v>104341</v>
      </c>
      <c r="H5103" s="14">
        <f t="shared" si="160"/>
        <v>16.38</v>
      </c>
    </row>
    <row r="5104" spans="1:8" ht="55.2">
      <c r="A5104" s="502" t="s">
        <v>26104</v>
      </c>
      <c r="B5104" s="504" t="s">
        <v>26105</v>
      </c>
      <c r="C5104" s="502" t="s">
        <v>114</v>
      </c>
      <c r="D5104" s="503" t="s">
        <v>33474</v>
      </c>
      <c r="F5104" t="str">
        <f t="shared" si="159"/>
        <v>104343</v>
      </c>
      <c r="H5104" s="14">
        <f t="shared" si="160"/>
        <v>52.14</v>
      </c>
    </row>
    <row r="5105" spans="1:8" ht="55.2">
      <c r="A5105" s="502" t="s">
        <v>26106</v>
      </c>
      <c r="B5105" s="504" t="s">
        <v>26107</v>
      </c>
      <c r="C5105" s="502" t="s">
        <v>114</v>
      </c>
      <c r="D5105" s="503" t="s">
        <v>33475</v>
      </c>
      <c r="F5105" t="str">
        <f t="shared" si="159"/>
        <v>104344</v>
      </c>
      <c r="H5105" s="14">
        <f t="shared" si="160"/>
        <v>62.69</v>
      </c>
    </row>
    <row r="5106" spans="1:8" ht="55.2">
      <c r="A5106" s="502" t="s">
        <v>26108</v>
      </c>
      <c r="B5106" s="504" t="s">
        <v>26109</v>
      </c>
      <c r="C5106" s="502" t="s">
        <v>114</v>
      </c>
      <c r="D5106" s="503" t="s">
        <v>33476</v>
      </c>
      <c r="F5106" t="str">
        <f t="shared" si="159"/>
        <v>104345</v>
      </c>
      <c r="H5106" s="14">
        <f t="shared" si="160"/>
        <v>66.239999999999995</v>
      </c>
    </row>
    <row r="5107" spans="1:8" ht="55.2">
      <c r="A5107" s="502" t="s">
        <v>26110</v>
      </c>
      <c r="B5107" s="504" t="s">
        <v>26111</v>
      </c>
      <c r="C5107" s="502" t="s">
        <v>114</v>
      </c>
      <c r="D5107" s="503" t="s">
        <v>33477</v>
      </c>
      <c r="F5107" t="str">
        <f t="shared" si="159"/>
        <v>104346</v>
      </c>
      <c r="H5107" s="14">
        <f t="shared" si="160"/>
        <v>69.540000000000006</v>
      </c>
    </row>
    <row r="5108" spans="1:8" ht="55.2">
      <c r="A5108" s="502" t="s">
        <v>26112</v>
      </c>
      <c r="B5108" s="504" t="s">
        <v>26113</v>
      </c>
      <c r="C5108" s="502" t="s">
        <v>114</v>
      </c>
      <c r="D5108" s="503" t="s">
        <v>10764</v>
      </c>
      <c r="F5108" t="str">
        <f t="shared" si="159"/>
        <v>104347</v>
      </c>
      <c r="H5108" s="14">
        <f t="shared" si="160"/>
        <v>74.11</v>
      </c>
    </row>
    <row r="5109" spans="1:8" ht="55.2">
      <c r="A5109" s="502" t="s">
        <v>26114</v>
      </c>
      <c r="B5109" s="504" t="s">
        <v>26115</v>
      </c>
      <c r="C5109" s="502" t="s">
        <v>114</v>
      </c>
      <c r="D5109" s="503" t="s">
        <v>7452</v>
      </c>
      <c r="F5109" t="str">
        <f t="shared" si="159"/>
        <v>104348</v>
      </c>
      <c r="H5109" s="14">
        <f t="shared" si="160"/>
        <v>18.27</v>
      </c>
    </row>
    <row r="5110" spans="1:8" ht="55.2">
      <c r="A5110" s="502" t="s">
        <v>26116</v>
      </c>
      <c r="B5110" s="504" t="s">
        <v>26117</v>
      </c>
      <c r="C5110" s="502" t="s">
        <v>114</v>
      </c>
      <c r="D5110" s="503" t="s">
        <v>19220</v>
      </c>
      <c r="F5110" t="str">
        <f t="shared" si="159"/>
        <v>104350</v>
      </c>
      <c r="H5110" s="14">
        <f t="shared" si="160"/>
        <v>46.21</v>
      </c>
    </row>
    <row r="5111" spans="1:8" ht="55.2">
      <c r="A5111" s="502" t="s">
        <v>26118</v>
      </c>
      <c r="B5111" s="504" t="s">
        <v>26119</v>
      </c>
      <c r="C5111" s="502" t="s">
        <v>114</v>
      </c>
      <c r="D5111" s="503" t="s">
        <v>10278</v>
      </c>
      <c r="F5111" t="str">
        <f t="shared" si="159"/>
        <v>104351</v>
      </c>
      <c r="H5111" s="14">
        <f t="shared" si="160"/>
        <v>37.43</v>
      </c>
    </row>
    <row r="5112" spans="1:8" ht="55.2">
      <c r="A5112" s="502" t="s">
        <v>26120</v>
      </c>
      <c r="B5112" s="504" t="s">
        <v>26121</v>
      </c>
      <c r="C5112" s="502" t="s">
        <v>114</v>
      </c>
      <c r="D5112" s="503" t="s">
        <v>33478</v>
      </c>
      <c r="F5112" t="str">
        <f t="shared" si="159"/>
        <v>104352</v>
      </c>
      <c r="H5112" s="14">
        <f t="shared" si="160"/>
        <v>60.92</v>
      </c>
    </row>
    <row r="5113" spans="1:8" ht="55.2">
      <c r="A5113" s="502" t="s">
        <v>26122</v>
      </c>
      <c r="B5113" s="504" t="s">
        <v>26123</v>
      </c>
      <c r="C5113" s="502" t="s">
        <v>114</v>
      </c>
      <c r="D5113" s="503" t="s">
        <v>33479</v>
      </c>
      <c r="F5113" t="str">
        <f t="shared" si="159"/>
        <v>104353</v>
      </c>
      <c r="H5113" s="14">
        <f t="shared" si="160"/>
        <v>64.47</v>
      </c>
    </row>
    <row r="5114" spans="1:8" ht="55.2">
      <c r="A5114" s="502" t="s">
        <v>26124</v>
      </c>
      <c r="B5114" s="504" t="s">
        <v>26125</v>
      </c>
      <c r="C5114" s="502" t="s">
        <v>114</v>
      </c>
      <c r="D5114" s="503" t="s">
        <v>18518</v>
      </c>
      <c r="F5114" t="str">
        <f t="shared" si="159"/>
        <v>104354</v>
      </c>
      <c r="H5114" s="14">
        <f t="shared" si="160"/>
        <v>69.86</v>
      </c>
    </row>
    <row r="5115" spans="1:8" ht="55.2">
      <c r="A5115" s="502" t="s">
        <v>26126</v>
      </c>
      <c r="B5115" s="504" t="s">
        <v>26127</v>
      </c>
      <c r="C5115" s="502" t="s">
        <v>114</v>
      </c>
      <c r="D5115" s="503" t="s">
        <v>11988</v>
      </c>
      <c r="F5115" t="str">
        <f t="shared" si="159"/>
        <v>104355</v>
      </c>
      <c r="H5115" s="14">
        <f t="shared" si="160"/>
        <v>74.430000000000007</v>
      </c>
    </row>
    <row r="5116" spans="1:8" ht="55.2">
      <c r="A5116" s="502" t="s">
        <v>26128</v>
      </c>
      <c r="B5116" s="504" t="s">
        <v>26129</v>
      </c>
      <c r="C5116" s="502" t="s">
        <v>114</v>
      </c>
      <c r="D5116" s="503" t="s">
        <v>29111</v>
      </c>
      <c r="F5116" t="str">
        <f t="shared" si="159"/>
        <v>104356</v>
      </c>
      <c r="H5116" s="14">
        <f t="shared" si="160"/>
        <v>49.28</v>
      </c>
    </row>
    <row r="5117" spans="1:8" ht="41.4">
      <c r="A5117" s="502" t="s">
        <v>26130</v>
      </c>
      <c r="B5117" s="504" t="s">
        <v>26131</v>
      </c>
      <c r="C5117" s="502" t="s">
        <v>114</v>
      </c>
      <c r="D5117" s="503" t="s">
        <v>15797</v>
      </c>
      <c r="F5117" t="str">
        <f t="shared" si="159"/>
        <v>104357</v>
      </c>
      <c r="H5117" s="14">
        <f t="shared" si="160"/>
        <v>29.87</v>
      </c>
    </row>
    <row r="5118" spans="1:8" ht="41.4">
      <c r="A5118" s="502" t="s">
        <v>29364</v>
      </c>
      <c r="B5118" s="504" t="s">
        <v>29365</v>
      </c>
      <c r="C5118" s="502" t="s">
        <v>114</v>
      </c>
      <c r="D5118" s="503" t="s">
        <v>33319</v>
      </c>
      <c r="F5118" t="str">
        <f t="shared" si="159"/>
        <v>104576</v>
      </c>
      <c r="H5118" s="14">
        <f t="shared" si="160"/>
        <v>21.83</v>
      </c>
    </row>
    <row r="5119" spans="1:8" ht="41.4">
      <c r="A5119" s="502" t="s">
        <v>29366</v>
      </c>
      <c r="B5119" s="504" t="s">
        <v>29367</v>
      </c>
      <c r="C5119" s="502" t="s">
        <v>114</v>
      </c>
      <c r="D5119" s="503" t="s">
        <v>32524</v>
      </c>
      <c r="F5119" t="str">
        <f t="shared" si="159"/>
        <v>104577</v>
      </c>
      <c r="H5119" s="14">
        <f t="shared" si="160"/>
        <v>29.33</v>
      </c>
    </row>
    <row r="5120" spans="1:8" ht="41.4">
      <c r="A5120" s="502" t="s">
        <v>29368</v>
      </c>
      <c r="B5120" s="504" t="s">
        <v>29369</v>
      </c>
      <c r="C5120" s="502" t="s">
        <v>114</v>
      </c>
      <c r="D5120" s="503" t="s">
        <v>12732</v>
      </c>
      <c r="F5120" t="str">
        <f t="shared" si="159"/>
        <v>104578</v>
      </c>
      <c r="H5120" s="14">
        <f t="shared" si="160"/>
        <v>31.42</v>
      </c>
    </row>
    <row r="5121" spans="1:8" ht="41.4">
      <c r="A5121" s="502" t="s">
        <v>29370</v>
      </c>
      <c r="B5121" s="504" t="s">
        <v>29371</v>
      </c>
      <c r="C5121" s="502" t="s">
        <v>114</v>
      </c>
      <c r="D5121" s="503" t="s">
        <v>33321</v>
      </c>
      <c r="F5121" t="str">
        <f t="shared" si="159"/>
        <v>104579</v>
      </c>
      <c r="H5121" s="14">
        <f t="shared" si="160"/>
        <v>41.24</v>
      </c>
    </row>
    <row r="5122" spans="1:8" ht="41.4">
      <c r="A5122" s="502" t="s">
        <v>29372</v>
      </c>
      <c r="B5122" s="504" t="s">
        <v>29373</v>
      </c>
      <c r="C5122" s="502" t="s">
        <v>114</v>
      </c>
      <c r="D5122" s="503" t="s">
        <v>7959</v>
      </c>
      <c r="F5122" t="str">
        <f t="shared" si="159"/>
        <v>104581</v>
      </c>
      <c r="H5122" s="14">
        <f t="shared" si="160"/>
        <v>19.93</v>
      </c>
    </row>
    <row r="5123" spans="1:8" ht="41.4">
      <c r="A5123" s="502" t="s">
        <v>29374</v>
      </c>
      <c r="B5123" s="504" t="s">
        <v>29375</v>
      </c>
      <c r="C5123" s="502" t="s">
        <v>114</v>
      </c>
      <c r="D5123" s="503" t="s">
        <v>32722</v>
      </c>
      <c r="F5123" t="str">
        <f t="shared" si="159"/>
        <v>104582</v>
      </c>
      <c r="H5123" s="14">
        <f t="shared" si="160"/>
        <v>25.42</v>
      </c>
    </row>
    <row r="5124" spans="1:8" ht="41.4">
      <c r="A5124" s="502" t="s">
        <v>29376</v>
      </c>
      <c r="B5124" s="504" t="s">
        <v>29377</v>
      </c>
      <c r="C5124" s="502" t="s">
        <v>114</v>
      </c>
      <c r="D5124" s="503" t="s">
        <v>16545</v>
      </c>
      <c r="F5124" t="str">
        <f t="shared" si="159"/>
        <v>104583</v>
      </c>
      <c r="H5124" s="14">
        <f t="shared" si="160"/>
        <v>40.75</v>
      </c>
    </row>
    <row r="5125" spans="1:8" ht="41.4">
      <c r="A5125" s="502" t="s">
        <v>29378</v>
      </c>
      <c r="B5125" s="504" t="s">
        <v>29379</v>
      </c>
      <c r="C5125" s="502" t="s">
        <v>114</v>
      </c>
      <c r="D5125" s="503" t="s">
        <v>29086</v>
      </c>
      <c r="F5125" t="str">
        <f t="shared" ref="F5125:F5188" si="161">TRIM(A5125)</f>
        <v>104584</v>
      </c>
      <c r="H5125" s="14">
        <f t="shared" ref="H5125:H5188" si="162">ROUND(D5125*(1+$H$1),2)</f>
        <v>48.89</v>
      </c>
    </row>
    <row r="5126" spans="1:8" ht="41.4">
      <c r="A5126" s="502" t="s">
        <v>29380</v>
      </c>
      <c r="B5126" s="504" t="s">
        <v>29381</v>
      </c>
      <c r="C5126" s="502" t="s">
        <v>114</v>
      </c>
      <c r="D5126" s="503" t="s">
        <v>28946</v>
      </c>
      <c r="F5126" t="str">
        <f t="shared" si="161"/>
        <v>105146</v>
      </c>
      <c r="H5126" s="14">
        <f t="shared" si="162"/>
        <v>27.5</v>
      </c>
    </row>
    <row r="5127" spans="1:8" ht="41.4">
      <c r="A5127" s="502" t="s">
        <v>29382</v>
      </c>
      <c r="B5127" s="504" t="s">
        <v>29383</v>
      </c>
      <c r="C5127" s="502" t="s">
        <v>114</v>
      </c>
      <c r="D5127" s="503" t="s">
        <v>16560</v>
      </c>
      <c r="F5127" t="str">
        <f t="shared" si="161"/>
        <v>105147</v>
      </c>
      <c r="H5127" s="14">
        <f t="shared" si="162"/>
        <v>19.440000000000001</v>
      </c>
    </row>
    <row r="5128" spans="1:8" ht="41.4">
      <c r="A5128" s="502" t="s">
        <v>29384</v>
      </c>
      <c r="B5128" s="504" t="s">
        <v>29385</v>
      </c>
      <c r="C5128" s="502" t="s">
        <v>114</v>
      </c>
      <c r="D5128" s="503" t="s">
        <v>13332</v>
      </c>
      <c r="F5128" t="str">
        <f t="shared" si="161"/>
        <v>105148</v>
      </c>
      <c r="H5128" s="14">
        <f t="shared" si="162"/>
        <v>27.48</v>
      </c>
    </row>
    <row r="5129" spans="1:8" ht="41.4">
      <c r="A5129" s="502" t="s">
        <v>29386</v>
      </c>
      <c r="B5129" s="504" t="s">
        <v>29387</v>
      </c>
      <c r="C5129" s="502" t="s">
        <v>114</v>
      </c>
      <c r="D5129" s="503" t="s">
        <v>5180</v>
      </c>
      <c r="F5129" t="str">
        <f t="shared" si="161"/>
        <v>105149</v>
      </c>
      <c r="H5129" s="14">
        <f t="shared" si="162"/>
        <v>9.9</v>
      </c>
    </row>
    <row r="5130" spans="1:8" ht="41.4">
      <c r="A5130" s="502" t="s">
        <v>29388</v>
      </c>
      <c r="B5130" s="504" t="s">
        <v>29389</v>
      </c>
      <c r="C5130" s="502" t="s">
        <v>114</v>
      </c>
      <c r="D5130" s="503" t="s">
        <v>33480</v>
      </c>
      <c r="F5130" t="str">
        <f t="shared" si="161"/>
        <v>105150</v>
      </c>
      <c r="H5130" s="14">
        <f t="shared" si="162"/>
        <v>11.58</v>
      </c>
    </row>
    <row r="5131" spans="1:8" ht="41.4">
      <c r="A5131" s="502" t="s">
        <v>29390</v>
      </c>
      <c r="B5131" s="504" t="s">
        <v>29391</v>
      </c>
      <c r="C5131" s="502" t="s">
        <v>114</v>
      </c>
      <c r="D5131" s="503" t="s">
        <v>4044</v>
      </c>
      <c r="F5131" t="str">
        <f t="shared" si="161"/>
        <v>105151</v>
      </c>
      <c r="H5131" s="14">
        <f t="shared" si="162"/>
        <v>27.8</v>
      </c>
    </row>
    <row r="5132" spans="1:8" ht="41.4">
      <c r="A5132" s="502" t="s">
        <v>29392</v>
      </c>
      <c r="B5132" s="504" t="s">
        <v>29393</v>
      </c>
      <c r="C5132" s="502" t="s">
        <v>114</v>
      </c>
      <c r="D5132" s="503" t="s">
        <v>33481</v>
      </c>
      <c r="F5132" t="str">
        <f t="shared" si="161"/>
        <v>105152</v>
      </c>
      <c r="H5132" s="14">
        <f t="shared" si="162"/>
        <v>41.11</v>
      </c>
    </row>
    <row r="5133" spans="1:8" ht="41.4">
      <c r="A5133" s="502" t="s">
        <v>29394</v>
      </c>
      <c r="B5133" s="504" t="s">
        <v>29395</v>
      </c>
      <c r="C5133" s="502" t="s">
        <v>114</v>
      </c>
      <c r="D5133" s="503" t="s">
        <v>18804</v>
      </c>
      <c r="F5133" t="str">
        <f t="shared" si="161"/>
        <v>105154</v>
      </c>
      <c r="H5133" s="14">
        <f t="shared" si="162"/>
        <v>9.61</v>
      </c>
    </row>
    <row r="5134" spans="1:8" ht="41.4">
      <c r="A5134" s="502" t="s">
        <v>29396</v>
      </c>
      <c r="B5134" s="504" t="s">
        <v>29397</v>
      </c>
      <c r="C5134" s="502" t="s">
        <v>114</v>
      </c>
      <c r="D5134" s="503" t="s">
        <v>10013</v>
      </c>
      <c r="F5134" t="str">
        <f t="shared" si="161"/>
        <v>105155</v>
      </c>
      <c r="H5134" s="14">
        <f t="shared" si="162"/>
        <v>14.64</v>
      </c>
    </row>
    <row r="5135" spans="1:8" ht="41.4">
      <c r="A5135" s="502" t="s">
        <v>29398</v>
      </c>
      <c r="B5135" s="504" t="s">
        <v>29399</v>
      </c>
      <c r="C5135" s="502" t="s">
        <v>114</v>
      </c>
      <c r="D5135" s="503" t="s">
        <v>7276</v>
      </c>
      <c r="F5135" t="str">
        <f t="shared" si="161"/>
        <v>105156</v>
      </c>
      <c r="H5135" s="14">
        <f t="shared" si="162"/>
        <v>18.559999999999999</v>
      </c>
    </row>
    <row r="5136" spans="1:8" ht="41.4">
      <c r="A5136" s="502" t="s">
        <v>29401</v>
      </c>
      <c r="B5136" s="504" t="s">
        <v>29402</v>
      </c>
      <c r="C5136" s="502" t="s">
        <v>114</v>
      </c>
      <c r="D5136" s="503" t="s">
        <v>10485</v>
      </c>
      <c r="F5136" t="str">
        <f t="shared" si="161"/>
        <v>105157</v>
      </c>
      <c r="H5136" s="14">
        <f t="shared" si="162"/>
        <v>28.89</v>
      </c>
    </row>
    <row r="5137" spans="1:8" ht="41.4">
      <c r="A5137" s="502" t="s">
        <v>29403</v>
      </c>
      <c r="B5137" s="504" t="s">
        <v>29404</v>
      </c>
      <c r="C5137" s="502" t="s">
        <v>114</v>
      </c>
      <c r="D5137" s="503" t="s">
        <v>16224</v>
      </c>
      <c r="F5137" t="str">
        <f t="shared" si="161"/>
        <v>105158</v>
      </c>
      <c r="H5137" s="14">
        <f t="shared" si="162"/>
        <v>42.83</v>
      </c>
    </row>
    <row r="5138" spans="1:8" ht="41.4">
      <c r="A5138" s="502" t="s">
        <v>29405</v>
      </c>
      <c r="B5138" s="504" t="s">
        <v>29406</v>
      </c>
      <c r="C5138" s="502" t="s">
        <v>114</v>
      </c>
      <c r="D5138" s="503" t="s">
        <v>16258</v>
      </c>
      <c r="F5138" t="str">
        <f t="shared" si="161"/>
        <v>105159</v>
      </c>
      <c r="H5138" s="14">
        <f t="shared" si="162"/>
        <v>77.5</v>
      </c>
    </row>
    <row r="5139" spans="1:8" ht="41.4">
      <c r="A5139" s="502" t="s">
        <v>29407</v>
      </c>
      <c r="B5139" s="504" t="s">
        <v>29408</v>
      </c>
      <c r="C5139" s="502" t="s">
        <v>114</v>
      </c>
      <c r="D5139" s="503" t="s">
        <v>33482</v>
      </c>
      <c r="F5139" t="str">
        <f t="shared" si="161"/>
        <v>105160</v>
      </c>
      <c r="H5139" s="14">
        <f t="shared" si="162"/>
        <v>95.5</v>
      </c>
    </row>
    <row r="5140" spans="1:8" ht="41.4">
      <c r="A5140" s="502" t="s">
        <v>29409</v>
      </c>
      <c r="B5140" s="504" t="s">
        <v>29410</v>
      </c>
      <c r="C5140" s="502" t="s">
        <v>114</v>
      </c>
      <c r="D5140" s="503" t="s">
        <v>31774</v>
      </c>
      <c r="F5140" t="str">
        <f t="shared" si="161"/>
        <v>105161</v>
      </c>
      <c r="H5140" s="14">
        <f t="shared" si="162"/>
        <v>114.77</v>
      </c>
    </row>
    <row r="5141" spans="1:8" ht="41.4">
      <c r="A5141" s="502" t="s">
        <v>29411</v>
      </c>
      <c r="B5141" s="504" t="s">
        <v>29412</v>
      </c>
      <c r="C5141" s="502" t="s">
        <v>114</v>
      </c>
      <c r="D5141" s="503" t="s">
        <v>33483</v>
      </c>
      <c r="F5141" t="str">
        <f t="shared" si="161"/>
        <v>105162</v>
      </c>
      <c r="H5141" s="14">
        <f t="shared" si="162"/>
        <v>195.02</v>
      </c>
    </row>
    <row r="5142" spans="1:8" ht="41.4">
      <c r="A5142" s="502" t="s">
        <v>29413</v>
      </c>
      <c r="B5142" s="504" t="s">
        <v>29414</v>
      </c>
      <c r="C5142" s="502" t="s">
        <v>114</v>
      </c>
      <c r="D5142" s="503" t="s">
        <v>13152</v>
      </c>
      <c r="F5142" t="str">
        <f t="shared" si="161"/>
        <v>105163</v>
      </c>
      <c r="H5142" s="14">
        <f t="shared" si="162"/>
        <v>17.829999999999998</v>
      </c>
    </row>
    <row r="5143" spans="1:8" ht="27.6">
      <c r="A5143" s="502" t="s">
        <v>29415</v>
      </c>
      <c r="B5143" s="504" t="s">
        <v>29416</v>
      </c>
      <c r="C5143" s="502" t="s">
        <v>114</v>
      </c>
      <c r="D5143" s="503" t="s">
        <v>4760</v>
      </c>
      <c r="F5143" t="str">
        <f t="shared" si="161"/>
        <v>105164</v>
      </c>
      <c r="H5143" s="14">
        <f t="shared" si="162"/>
        <v>14.12</v>
      </c>
    </row>
    <row r="5144" spans="1:8" ht="27.6">
      <c r="A5144" s="502" t="s">
        <v>29417</v>
      </c>
      <c r="B5144" s="504" t="s">
        <v>29418</v>
      </c>
      <c r="C5144" s="502" t="s">
        <v>114</v>
      </c>
      <c r="D5144" s="503" t="s">
        <v>24359</v>
      </c>
      <c r="F5144" t="str">
        <f t="shared" si="161"/>
        <v>105165</v>
      </c>
      <c r="H5144" s="14">
        <f t="shared" si="162"/>
        <v>14.51</v>
      </c>
    </row>
    <row r="5145" spans="1:8" ht="41.4">
      <c r="A5145" s="502" t="s">
        <v>29419</v>
      </c>
      <c r="B5145" s="504" t="s">
        <v>29420</v>
      </c>
      <c r="C5145" s="502" t="s">
        <v>114</v>
      </c>
      <c r="D5145" s="503" t="s">
        <v>33484</v>
      </c>
      <c r="F5145" t="str">
        <f t="shared" si="161"/>
        <v>105166</v>
      </c>
      <c r="H5145" s="14">
        <f t="shared" si="162"/>
        <v>53.21</v>
      </c>
    </row>
    <row r="5146" spans="1:8" ht="41.4">
      <c r="A5146" s="502" t="s">
        <v>29422</v>
      </c>
      <c r="B5146" s="504" t="s">
        <v>29423</v>
      </c>
      <c r="C5146" s="502" t="s">
        <v>114</v>
      </c>
      <c r="D5146" s="503" t="s">
        <v>33485</v>
      </c>
      <c r="F5146" t="str">
        <f t="shared" si="161"/>
        <v>105167</v>
      </c>
      <c r="H5146" s="14">
        <f t="shared" si="162"/>
        <v>266.82</v>
      </c>
    </row>
    <row r="5147" spans="1:8" ht="55.2">
      <c r="A5147" s="502" t="s">
        <v>29424</v>
      </c>
      <c r="B5147" s="504" t="s">
        <v>29425</v>
      </c>
      <c r="C5147" s="502" t="s">
        <v>114</v>
      </c>
      <c r="D5147" s="503" t="s">
        <v>28537</v>
      </c>
      <c r="F5147" t="str">
        <f t="shared" si="161"/>
        <v>105169</v>
      </c>
      <c r="H5147" s="14">
        <f t="shared" si="162"/>
        <v>126.11</v>
      </c>
    </row>
    <row r="5148" spans="1:8" ht="41.4">
      <c r="A5148" s="502" t="s">
        <v>29426</v>
      </c>
      <c r="B5148" s="504" t="s">
        <v>29427</v>
      </c>
      <c r="C5148" s="502" t="s">
        <v>114</v>
      </c>
      <c r="D5148" s="503" t="s">
        <v>11445</v>
      </c>
      <c r="F5148" t="str">
        <f t="shared" si="161"/>
        <v>105170</v>
      </c>
      <c r="H5148" s="14">
        <f t="shared" si="162"/>
        <v>8.07</v>
      </c>
    </row>
    <row r="5149" spans="1:8" ht="55.2">
      <c r="A5149" s="502" t="s">
        <v>29428</v>
      </c>
      <c r="B5149" s="504" t="s">
        <v>29429</v>
      </c>
      <c r="C5149" s="502" t="s">
        <v>114</v>
      </c>
      <c r="D5149" s="503" t="s">
        <v>13557</v>
      </c>
      <c r="F5149" t="str">
        <f t="shared" si="161"/>
        <v>105172</v>
      </c>
      <c r="H5149" s="14">
        <f t="shared" si="162"/>
        <v>126.32</v>
      </c>
    </row>
    <row r="5150" spans="1:8" ht="55.2">
      <c r="A5150" s="502" t="s">
        <v>29430</v>
      </c>
      <c r="B5150" s="504" t="s">
        <v>29431</v>
      </c>
      <c r="C5150" s="502" t="s">
        <v>114</v>
      </c>
      <c r="D5150" s="503" t="s">
        <v>33486</v>
      </c>
      <c r="F5150" t="str">
        <f t="shared" si="161"/>
        <v>105173</v>
      </c>
      <c r="H5150" s="14">
        <f t="shared" si="162"/>
        <v>127.59</v>
      </c>
    </row>
    <row r="5151" spans="1:8" ht="55.2">
      <c r="A5151" s="502" t="s">
        <v>29432</v>
      </c>
      <c r="B5151" s="504" t="s">
        <v>29433</v>
      </c>
      <c r="C5151" s="502" t="s">
        <v>114</v>
      </c>
      <c r="D5151" s="503" t="s">
        <v>11854</v>
      </c>
      <c r="F5151" t="str">
        <f t="shared" si="161"/>
        <v>105174</v>
      </c>
      <c r="H5151" s="14">
        <f t="shared" si="162"/>
        <v>185.42</v>
      </c>
    </row>
    <row r="5152" spans="1:8" ht="55.2">
      <c r="A5152" s="502" t="s">
        <v>29434</v>
      </c>
      <c r="B5152" s="504" t="s">
        <v>29435</v>
      </c>
      <c r="C5152" s="502" t="s">
        <v>114</v>
      </c>
      <c r="D5152" s="503" t="s">
        <v>33487</v>
      </c>
      <c r="F5152" t="str">
        <f t="shared" si="161"/>
        <v>105175</v>
      </c>
      <c r="H5152" s="14">
        <f t="shared" si="162"/>
        <v>183.38</v>
      </c>
    </row>
    <row r="5153" spans="1:8" ht="55.2">
      <c r="A5153" s="502" t="s">
        <v>29436</v>
      </c>
      <c r="B5153" s="504" t="s">
        <v>29437</v>
      </c>
      <c r="C5153" s="502" t="s">
        <v>114</v>
      </c>
      <c r="D5153" s="503" t="s">
        <v>33488</v>
      </c>
      <c r="F5153" t="str">
        <f t="shared" si="161"/>
        <v>105176</v>
      </c>
      <c r="H5153" s="14">
        <f t="shared" si="162"/>
        <v>232.8</v>
      </c>
    </row>
    <row r="5154" spans="1:8" ht="55.2">
      <c r="A5154" s="502" t="s">
        <v>29438</v>
      </c>
      <c r="B5154" s="504" t="s">
        <v>29439</v>
      </c>
      <c r="C5154" s="502" t="s">
        <v>114</v>
      </c>
      <c r="D5154" s="503" t="s">
        <v>30477</v>
      </c>
      <c r="F5154" t="str">
        <f t="shared" si="161"/>
        <v>105177</v>
      </c>
      <c r="H5154" s="14">
        <f t="shared" si="162"/>
        <v>207.11</v>
      </c>
    </row>
    <row r="5155" spans="1:8" ht="55.2">
      <c r="A5155" s="502" t="s">
        <v>29440</v>
      </c>
      <c r="B5155" s="504" t="s">
        <v>29441</v>
      </c>
      <c r="C5155" s="502" t="s">
        <v>114</v>
      </c>
      <c r="D5155" s="503" t="s">
        <v>33489</v>
      </c>
      <c r="F5155" t="str">
        <f t="shared" si="161"/>
        <v>105178</v>
      </c>
      <c r="H5155" s="14">
        <f t="shared" si="162"/>
        <v>198.52</v>
      </c>
    </row>
    <row r="5156" spans="1:8" ht="41.4">
      <c r="A5156" s="502" t="s">
        <v>29443</v>
      </c>
      <c r="B5156" s="504" t="s">
        <v>29444</v>
      </c>
      <c r="C5156" s="502" t="s">
        <v>114</v>
      </c>
      <c r="D5156" s="503" t="s">
        <v>4760</v>
      </c>
      <c r="F5156" t="str">
        <f t="shared" si="161"/>
        <v>105179</v>
      </c>
      <c r="H5156" s="14">
        <f t="shared" si="162"/>
        <v>14.12</v>
      </c>
    </row>
    <row r="5157" spans="1:8" ht="41.4">
      <c r="A5157" s="502" t="s">
        <v>29445</v>
      </c>
      <c r="B5157" s="504" t="s">
        <v>29446</v>
      </c>
      <c r="C5157" s="502" t="s">
        <v>114</v>
      </c>
      <c r="D5157" s="503" t="s">
        <v>29664</v>
      </c>
      <c r="F5157" t="str">
        <f t="shared" si="161"/>
        <v>105180</v>
      </c>
      <c r="H5157" s="14">
        <f t="shared" si="162"/>
        <v>19.43</v>
      </c>
    </row>
    <row r="5158" spans="1:8" ht="41.4">
      <c r="A5158" s="502" t="s">
        <v>29447</v>
      </c>
      <c r="B5158" s="504" t="s">
        <v>29448</v>
      </c>
      <c r="C5158" s="502" t="s">
        <v>114</v>
      </c>
      <c r="D5158" s="503" t="s">
        <v>29759</v>
      </c>
      <c r="F5158" t="str">
        <f t="shared" si="161"/>
        <v>105181</v>
      </c>
      <c r="H5158" s="14">
        <f t="shared" si="162"/>
        <v>26.02</v>
      </c>
    </row>
    <row r="5159" spans="1:8" ht="41.4">
      <c r="A5159" s="502" t="s">
        <v>29449</v>
      </c>
      <c r="B5159" s="504" t="s">
        <v>29450</v>
      </c>
      <c r="C5159" s="502" t="s">
        <v>114</v>
      </c>
      <c r="D5159" s="503" t="s">
        <v>33490</v>
      </c>
      <c r="F5159" t="str">
        <f t="shared" si="161"/>
        <v>105182</v>
      </c>
      <c r="H5159" s="14">
        <f t="shared" si="162"/>
        <v>62.41</v>
      </c>
    </row>
    <row r="5160" spans="1:8" ht="41.4">
      <c r="A5160" s="502" t="s">
        <v>29451</v>
      </c>
      <c r="B5160" s="504" t="s">
        <v>29452</v>
      </c>
      <c r="C5160" s="502" t="s">
        <v>114</v>
      </c>
      <c r="D5160" s="503" t="s">
        <v>31773</v>
      </c>
      <c r="F5160" t="str">
        <f t="shared" si="161"/>
        <v>105183</v>
      </c>
      <c r="H5160" s="14">
        <f t="shared" si="162"/>
        <v>132.36000000000001</v>
      </c>
    </row>
    <row r="5161" spans="1:8" ht="41.4">
      <c r="A5161" s="502" t="s">
        <v>29453</v>
      </c>
      <c r="B5161" s="504" t="s">
        <v>29454</v>
      </c>
      <c r="C5161" s="502" t="s">
        <v>114</v>
      </c>
      <c r="D5161" s="503" t="s">
        <v>28331</v>
      </c>
      <c r="F5161" t="str">
        <f t="shared" si="161"/>
        <v>105184</v>
      </c>
      <c r="H5161" s="14">
        <f t="shared" si="162"/>
        <v>163.87</v>
      </c>
    </row>
    <row r="5162" spans="1:8" ht="41.4">
      <c r="A5162" s="502" t="s">
        <v>29455</v>
      </c>
      <c r="B5162" s="504" t="s">
        <v>29456</v>
      </c>
      <c r="C5162" s="502" t="s">
        <v>114</v>
      </c>
      <c r="D5162" s="503" t="s">
        <v>14693</v>
      </c>
      <c r="F5162" t="str">
        <f t="shared" si="161"/>
        <v>105189</v>
      </c>
      <c r="H5162" s="14">
        <f t="shared" si="162"/>
        <v>31.82</v>
      </c>
    </row>
    <row r="5163" spans="1:8" ht="41.4">
      <c r="A5163" s="502" t="s">
        <v>29458</v>
      </c>
      <c r="B5163" s="504" t="s">
        <v>29459</v>
      </c>
      <c r="C5163" s="502" t="s">
        <v>114</v>
      </c>
      <c r="D5163" s="503" t="s">
        <v>24484</v>
      </c>
      <c r="F5163" t="str">
        <f t="shared" si="161"/>
        <v>105190</v>
      </c>
      <c r="H5163" s="14">
        <f t="shared" si="162"/>
        <v>40.04</v>
      </c>
    </row>
    <row r="5164" spans="1:8" ht="55.2">
      <c r="A5164" s="502" t="s">
        <v>29460</v>
      </c>
      <c r="B5164" s="504" t="s">
        <v>29461</v>
      </c>
      <c r="C5164" s="502" t="s">
        <v>114</v>
      </c>
      <c r="D5164" s="503" t="s">
        <v>33491</v>
      </c>
      <c r="F5164" t="str">
        <f t="shared" si="161"/>
        <v>105193</v>
      </c>
      <c r="H5164" s="14">
        <f t="shared" si="162"/>
        <v>217.38</v>
      </c>
    </row>
    <row r="5165" spans="1:8" ht="55.2">
      <c r="A5165" s="502" t="s">
        <v>29463</v>
      </c>
      <c r="B5165" s="504" t="s">
        <v>29464</v>
      </c>
      <c r="C5165" s="502" t="s">
        <v>114</v>
      </c>
      <c r="D5165" s="503" t="s">
        <v>28036</v>
      </c>
      <c r="F5165" t="str">
        <f t="shared" si="161"/>
        <v>105194</v>
      </c>
      <c r="H5165" s="14">
        <f t="shared" si="162"/>
        <v>122.15</v>
      </c>
    </row>
    <row r="5166" spans="1:8" ht="55.2">
      <c r="A5166" s="502" t="s">
        <v>29465</v>
      </c>
      <c r="B5166" s="504" t="s">
        <v>29466</v>
      </c>
      <c r="C5166" s="502" t="s">
        <v>114</v>
      </c>
      <c r="D5166" s="503" t="s">
        <v>33492</v>
      </c>
      <c r="F5166" t="str">
        <f t="shared" si="161"/>
        <v>105195</v>
      </c>
      <c r="H5166" s="14">
        <f t="shared" si="162"/>
        <v>316.56</v>
      </c>
    </row>
    <row r="5167" spans="1:8" ht="55.2">
      <c r="A5167" s="502" t="s">
        <v>29467</v>
      </c>
      <c r="B5167" s="504" t="s">
        <v>29468</v>
      </c>
      <c r="C5167" s="502" t="s">
        <v>114</v>
      </c>
      <c r="D5167" s="503" t="s">
        <v>33493</v>
      </c>
      <c r="F5167" t="str">
        <f t="shared" si="161"/>
        <v>105196</v>
      </c>
      <c r="H5167" s="14">
        <f t="shared" si="162"/>
        <v>338.96</v>
      </c>
    </row>
    <row r="5168" spans="1:8" ht="55.2">
      <c r="A5168" s="502" t="s">
        <v>29469</v>
      </c>
      <c r="B5168" s="504" t="s">
        <v>29470</v>
      </c>
      <c r="C5168" s="502" t="s">
        <v>114</v>
      </c>
      <c r="D5168" s="503" t="s">
        <v>33494</v>
      </c>
      <c r="F5168" t="str">
        <f t="shared" si="161"/>
        <v>105197</v>
      </c>
      <c r="H5168" s="14">
        <f t="shared" si="162"/>
        <v>232.84</v>
      </c>
    </row>
    <row r="5169" spans="1:8" ht="55.2">
      <c r="A5169" s="502" t="s">
        <v>29471</v>
      </c>
      <c r="B5169" s="504" t="s">
        <v>29472</v>
      </c>
      <c r="C5169" s="502" t="s">
        <v>114</v>
      </c>
      <c r="D5169" s="503" t="s">
        <v>33495</v>
      </c>
      <c r="F5169" t="str">
        <f t="shared" si="161"/>
        <v>105198</v>
      </c>
      <c r="H5169" s="14">
        <f t="shared" si="162"/>
        <v>481.65</v>
      </c>
    </row>
    <row r="5170" spans="1:8" ht="55.2">
      <c r="A5170" s="502" t="s">
        <v>29473</v>
      </c>
      <c r="B5170" s="504" t="s">
        <v>29474</v>
      </c>
      <c r="C5170" s="502" t="s">
        <v>114</v>
      </c>
      <c r="D5170" s="503" t="s">
        <v>33496</v>
      </c>
      <c r="F5170" t="str">
        <f t="shared" si="161"/>
        <v>105199</v>
      </c>
      <c r="H5170" s="14">
        <f t="shared" si="162"/>
        <v>307.74</v>
      </c>
    </row>
    <row r="5171" spans="1:8" ht="55.2">
      <c r="A5171" s="502" t="s">
        <v>29475</v>
      </c>
      <c r="B5171" s="504" t="s">
        <v>29476</v>
      </c>
      <c r="C5171" s="502" t="s">
        <v>114</v>
      </c>
      <c r="D5171" s="503" t="s">
        <v>33497</v>
      </c>
      <c r="F5171" t="str">
        <f t="shared" si="161"/>
        <v>105200</v>
      </c>
      <c r="H5171" s="14">
        <f t="shared" si="162"/>
        <v>183.03</v>
      </c>
    </row>
    <row r="5172" spans="1:8" ht="55.2">
      <c r="A5172" s="502" t="s">
        <v>29477</v>
      </c>
      <c r="B5172" s="504" t="s">
        <v>29478</v>
      </c>
      <c r="C5172" s="502" t="s">
        <v>114</v>
      </c>
      <c r="D5172" s="503" t="s">
        <v>33498</v>
      </c>
      <c r="F5172" t="str">
        <f t="shared" si="161"/>
        <v>105201</v>
      </c>
      <c r="H5172" s="14">
        <f t="shared" si="162"/>
        <v>421.8</v>
      </c>
    </row>
    <row r="5173" spans="1:8" ht="55.2">
      <c r="A5173" s="502" t="s">
        <v>29479</v>
      </c>
      <c r="B5173" s="504" t="s">
        <v>29480</v>
      </c>
      <c r="C5173" s="502" t="s">
        <v>114</v>
      </c>
      <c r="D5173" s="503" t="s">
        <v>33499</v>
      </c>
      <c r="F5173" t="str">
        <f t="shared" si="161"/>
        <v>105202</v>
      </c>
      <c r="H5173" s="14">
        <f t="shared" si="162"/>
        <v>382.4</v>
      </c>
    </row>
    <row r="5174" spans="1:8" ht="55.2">
      <c r="A5174" s="502" t="s">
        <v>29481</v>
      </c>
      <c r="B5174" s="504" t="s">
        <v>29482</v>
      </c>
      <c r="C5174" s="502" t="s">
        <v>114</v>
      </c>
      <c r="D5174" s="503" t="s">
        <v>33500</v>
      </c>
      <c r="F5174" t="str">
        <f t="shared" si="161"/>
        <v>105203</v>
      </c>
      <c r="H5174" s="14">
        <f t="shared" si="162"/>
        <v>231.8</v>
      </c>
    </row>
    <row r="5175" spans="1:8" ht="55.2">
      <c r="A5175" s="502" t="s">
        <v>29483</v>
      </c>
      <c r="B5175" s="504" t="s">
        <v>29484</v>
      </c>
      <c r="C5175" s="502" t="s">
        <v>114</v>
      </c>
      <c r="D5175" s="503" t="s">
        <v>33501</v>
      </c>
      <c r="F5175" t="str">
        <f t="shared" si="161"/>
        <v>105204</v>
      </c>
      <c r="H5175" s="14">
        <f t="shared" si="162"/>
        <v>509.17</v>
      </c>
    </row>
    <row r="5176" spans="1:8" ht="55.2">
      <c r="A5176" s="502" t="s">
        <v>29485</v>
      </c>
      <c r="B5176" s="504" t="s">
        <v>29486</v>
      </c>
      <c r="C5176" s="502" t="s">
        <v>114</v>
      </c>
      <c r="D5176" s="503" t="s">
        <v>33502</v>
      </c>
      <c r="F5176" t="str">
        <f t="shared" si="161"/>
        <v>105205</v>
      </c>
      <c r="H5176" s="14">
        <f t="shared" si="162"/>
        <v>352.94</v>
      </c>
    </row>
    <row r="5177" spans="1:8" ht="55.2">
      <c r="A5177" s="502" t="s">
        <v>29487</v>
      </c>
      <c r="B5177" s="504" t="s">
        <v>29488</v>
      </c>
      <c r="C5177" s="502" t="s">
        <v>114</v>
      </c>
      <c r="D5177" s="503" t="s">
        <v>33503</v>
      </c>
      <c r="F5177" t="str">
        <f t="shared" si="161"/>
        <v>105206</v>
      </c>
      <c r="H5177" s="14">
        <f t="shared" si="162"/>
        <v>220.74</v>
      </c>
    </row>
    <row r="5178" spans="1:8" ht="55.2">
      <c r="A5178" s="502" t="s">
        <v>29489</v>
      </c>
      <c r="B5178" s="504" t="s">
        <v>29490</v>
      </c>
      <c r="C5178" s="502" t="s">
        <v>114</v>
      </c>
      <c r="D5178" s="503" t="s">
        <v>33504</v>
      </c>
      <c r="F5178" t="str">
        <f t="shared" si="161"/>
        <v>105207</v>
      </c>
      <c r="H5178" s="14">
        <f t="shared" si="162"/>
        <v>494.44</v>
      </c>
    </row>
    <row r="5179" spans="1:8" ht="55.2">
      <c r="A5179" s="502" t="s">
        <v>29491</v>
      </c>
      <c r="B5179" s="504" t="s">
        <v>29492</v>
      </c>
      <c r="C5179" s="502" t="s">
        <v>114</v>
      </c>
      <c r="D5179" s="503" t="s">
        <v>33505</v>
      </c>
      <c r="F5179" t="str">
        <f t="shared" si="161"/>
        <v>105208</v>
      </c>
      <c r="H5179" s="14">
        <f t="shared" si="162"/>
        <v>466.24</v>
      </c>
    </row>
    <row r="5180" spans="1:8" ht="55.2">
      <c r="A5180" s="502" t="s">
        <v>29493</v>
      </c>
      <c r="B5180" s="504" t="s">
        <v>29494</v>
      </c>
      <c r="C5180" s="502" t="s">
        <v>114</v>
      </c>
      <c r="D5180" s="503" t="s">
        <v>28328</v>
      </c>
      <c r="F5180" t="str">
        <f t="shared" si="161"/>
        <v>105209</v>
      </c>
      <c r="H5180" s="14">
        <f t="shared" si="162"/>
        <v>225.38</v>
      </c>
    </row>
    <row r="5181" spans="1:8" ht="55.2">
      <c r="A5181" s="502" t="s">
        <v>29495</v>
      </c>
      <c r="B5181" s="504" t="s">
        <v>29496</v>
      </c>
      <c r="C5181" s="502" t="s">
        <v>114</v>
      </c>
      <c r="D5181" s="503" t="s">
        <v>33506</v>
      </c>
      <c r="F5181" t="str">
        <f t="shared" si="161"/>
        <v>105210</v>
      </c>
      <c r="H5181" s="14">
        <f t="shared" si="162"/>
        <v>602.17999999999995</v>
      </c>
    </row>
    <row r="5182" spans="1:8" ht="55.2">
      <c r="A5182" s="502" t="s">
        <v>29497</v>
      </c>
      <c r="B5182" s="504" t="s">
        <v>29498</v>
      </c>
      <c r="C5182" s="502" t="s">
        <v>114</v>
      </c>
      <c r="D5182" s="503" t="s">
        <v>33507</v>
      </c>
      <c r="F5182" t="str">
        <f t="shared" si="161"/>
        <v>105211</v>
      </c>
      <c r="H5182" s="14">
        <f t="shared" si="162"/>
        <v>353.1</v>
      </c>
    </row>
    <row r="5183" spans="1:8" ht="55.2">
      <c r="A5183" s="502" t="s">
        <v>29499</v>
      </c>
      <c r="B5183" s="504" t="s">
        <v>29500</v>
      </c>
      <c r="C5183" s="502" t="s">
        <v>114</v>
      </c>
      <c r="D5183" s="503" t="s">
        <v>33508</v>
      </c>
      <c r="F5183" t="str">
        <f t="shared" si="161"/>
        <v>105212</v>
      </c>
      <c r="H5183" s="14">
        <f t="shared" si="162"/>
        <v>350.41</v>
      </c>
    </row>
    <row r="5184" spans="1:8" ht="41.4">
      <c r="A5184" s="502" t="s">
        <v>29502</v>
      </c>
      <c r="B5184" s="504" t="s">
        <v>29503</v>
      </c>
      <c r="C5184" s="502" t="s">
        <v>114</v>
      </c>
      <c r="D5184" s="503" t="s">
        <v>33509</v>
      </c>
      <c r="F5184" t="str">
        <f t="shared" si="161"/>
        <v>105213</v>
      </c>
      <c r="H5184" s="14">
        <f t="shared" si="162"/>
        <v>246.55</v>
      </c>
    </row>
    <row r="5185" spans="1:8" ht="41.4">
      <c r="A5185" s="502" t="s">
        <v>29504</v>
      </c>
      <c r="B5185" s="504" t="s">
        <v>29505</v>
      </c>
      <c r="C5185" s="502" t="s">
        <v>114</v>
      </c>
      <c r="D5185" s="503" t="s">
        <v>33510</v>
      </c>
      <c r="F5185" t="str">
        <f t="shared" si="161"/>
        <v>105214</v>
      </c>
      <c r="H5185" s="14">
        <f t="shared" si="162"/>
        <v>59.99</v>
      </c>
    </row>
    <row r="5186" spans="1:8" ht="41.4">
      <c r="A5186" s="502" t="s">
        <v>29506</v>
      </c>
      <c r="B5186" s="504" t="s">
        <v>29507</v>
      </c>
      <c r="C5186" s="502" t="s">
        <v>114</v>
      </c>
      <c r="D5186" s="503" t="s">
        <v>30855</v>
      </c>
      <c r="F5186" t="str">
        <f t="shared" si="161"/>
        <v>105215</v>
      </c>
      <c r="H5186" s="14">
        <f t="shared" si="162"/>
        <v>13.31</v>
      </c>
    </row>
    <row r="5187" spans="1:8" ht="41.4">
      <c r="A5187" s="502" t="s">
        <v>29508</v>
      </c>
      <c r="B5187" s="504" t="s">
        <v>29509</v>
      </c>
      <c r="C5187" s="502" t="s">
        <v>114</v>
      </c>
      <c r="D5187" s="503" t="s">
        <v>33511</v>
      </c>
      <c r="F5187" t="str">
        <f t="shared" si="161"/>
        <v>105216</v>
      </c>
      <c r="H5187" s="14">
        <f t="shared" si="162"/>
        <v>51.01</v>
      </c>
    </row>
    <row r="5188" spans="1:8" ht="41.4">
      <c r="A5188" s="502" t="s">
        <v>29510</v>
      </c>
      <c r="B5188" s="504" t="s">
        <v>29511</v>
      </c>
      <c r="C5188" s="502" t="s">
        <v>114</v>
      </c>
      <c r="D5188" s="503" t="s">
        <v>16551</v>
      </c>
      <c r="F5188" t="str">
        <f t="shared" si="161"/>
        <v>105217</v>
      </c>
      <c r="H5188" s="14">
        <f t="shared" si="162"/>
        <v>57.54</v>
      </c>
    </row>
    <row r="5189" spans="1:8" ht="41.4">
      <c r="A5189" s="502" t="s">
        <v>29512</v>
      </c>
      <c r="B5189" s="504" t="s">
        <v>29513</v>
      </c>
      <c r="C5189" s="502" t="s">
        <v>114</v>
      </c>
      <c r="D5189" s="503" t="s">
        <v>33512</v>
      </c>
      <c r="F5189" t="str">
        <f t="shared" ref="F5189:F5225" si="163">TRIM(A5189)</f>
        <v>105218</v>
      </c>
      <c r="H5189" s="14">
        <f t="shared" ref="H5189:H5252" si="164">ROUND(D5189*(1+$H$1),2)</f>
        <v>99.95</v>
      </c>
    </row>
    <row r="5190" spans="1:8" ht="41.4">
      <c r="A5190" s="502" t="s">
        <v>29514</v>
      </c>
      <c r="B5190" s="504" t="s">
        <v>29515</v>
      </c>
      <c r="C5190" s="502" t="s">
        <v>114</v>
      </c>
      <c r="D5190" s="503" t="s">
        <v>7484</v>
      </c>
      <c r="F5190" t="str">
        <f t="shared" si="163"/>
        <v>105219</v>
      </c>
      <c r="H5190" s="14">
        <f t="shared" si="164"/>
        <v>16.39</v>
      </c>
    </row>
    <row r="5191" spans="1:8" ht="41.4">
      <c r="A5191" s="502" t="s">
        <v>29517</v>
      </c>
      <c r="B5191" s="504" t="s">
        <v>29518</v>
      </c>
      <c r="C5191" s="502" t="s">
        <v>114</v>
      </c>
      <c r="D5191" s="503" t="s">
        <v>33513</v>
      </c>
      <c r="F5191" t="str">
        <f t="shared" si="163"/>
        <v>105220</v>
      </c>
      <c r="H5191" s="14">
        <f t="shared" si="164"/>
        <v>22.53</v>
      </c>
    </row>
    <row r="5192" spans="1:8" ht="41.4">
      <c r="A5192" s="502" t="s">
        <v>29519</v>
      </c>
      <c r="B5192" s="504" t="s">
        <v>29520</v>
      </c>
      <c r="C5192" s="502" t="s">
        <v>114</v>
      </c>
      <c r="D5192" s="503" t="s">
        <v>33514</v>
      </c>
      <c r="F5192" t="str">
        <f t="shared" si="163"/>
        <v>105221</v>
      </c>
      <c r="H5192" s="14">
        <f t="shared" si="164"/>
        <v>34.9</v>
      </c>
    </row>
    <row r="5193" spans="1:8" ht="41.4">
      <c r="A5193" s="502" t="s">
        <v>29521</v>
      </c>
      <c r="B5193" s="504" t="s">
        <v>29522</v>
      </c>
      <c r="C5193" s="502" t="s">
        <v>114</v>
      </c>
      <c r="D5193" s="503" t="s">
        <v>16445</v>
      </c>
      <c r="F5193" t="str">
        <f t="shared" si="163"/>
        <v>105222</v>
      </c>
      <c r="H5193" s="14">
        <f t="shared" si="164"/>
        <v>101.27</v>
      </c>
    </row>
    <row r="5194" spans="1:8" ht="41.4">
      <c r="A5194" s="502" t="s">
        <v>29523</v>
      </c>
      <c r="B5194" s="504" t="s">
        <v>29524</v>
      </c>
      <c r="C5194" s="502" t="s">
        <v>114</v>
      </c>
      <c r="D5194" s="503" t="s">
        <v>33515</v>
      </c>
      <c r="F5194" t="str">
        <f t="shared" si="163"/>
        <v>105223</v>
      </c>
      <c r="H5194" s="14">
        <f t="shared" si="164"/>
        <v>233.53</v>
      </c>
    </row>
    <row r="5195" spans="1:8" ht="41.4">
      <c r="A5195" s="502" t="s">
        <v>29525</v>
      </c>
      <c r="B5195" s="504" t="s">
        <v>29526</v>
      </c>
      <c r="C5195" s="502" t="s">
        <v>114</v>
      </c>
      <c r="D5195" s="503" t="s">
        <v>33516</v>
      </c>
      <c r="F5195" t="str">
        <f t="shared" si="163"/>
        <v>105224</v>
      </c>
      <c r="H5195" s="14">
        <f t="shared" si="164"/>
        <v>340.07</v>
      </c>
    </row>
    <row r="5196" spans="1:8" ht="41.4">
      <c r="A5196" s="502" t="s">
        <v>29527</v>
      </c>
      <c r="B5196" s="504" t="s">
        <v>29528</v>
      </c>
      <c r="C5196" s="502" t="s">
        <v>114</v>
      </c>
      <c r="D5196" s="503" t="s">
        <v>29550</v>
      </c>
      <c r="F5196" t="str">
        <f t="shared" si="163"/>
        <v>105225</v>
      </c>
      <c r="H5196" s="14">
        <f t="shared" si="164"/>
        <v>24.25</v>
      </c>
    </row>
    <row r="5197" spans="1:8" ht="41.4">
      <c r="A5197" s="502" t="s">
        <v>29529</v>
      </c>
      <c r="B5197" s="504" t="s">
        <v>29530</v>
      </c>
      <c r="C5197" s="502" t="s">
        <v>114</v>
      </c>
      <c r="D5197" s="503" t="s">
        <v>33517</v>
      </c>
      <c r="F5197" t="str">
        <f t="shared" si="163"/>
        <v>105226</v>
      </c>
      <c r="H5197" s="14">
        <f t="shared" si="164"/>
        <v>57.71</v>
      </c>
    </row>
    <row r="5198" spans="1:8" ht="41.4">
      <c r="A5198" s="524" t="s">
        <v>29531</v>
      </c>
      <c r="B5198" s="504" t="s">
        <v>29532</v>
      </c>
      <c r="C5198" s="502" t="s">
        <v>114</v>
      </c>
      <c r="D5198" s="503" t="s">
        <v>33518</v>
      </c>
      <c r="F5198" t="str">
        <f t="shared" si="163"/>
        <v>105227</v>
      </c>
      <c r="H5198" s="14">
        <f t="shared" si="164"/>
        <v>82.8</v>
      </c>
    </row>
    <row r="5199" spans="1:8" ht="41.4">
      <c r="A5199" s="502" t="s">
        <v>29533</v>
      </c>
      <c r="B5199" s="504" t="s">
        <v>29534</v>
      </c>
      <c r="C5199" s="502" t="s">
        <v>114</v>
      </c>
      <c r="D5199" s="503" t="s">
        <v>10678</v>
      </c>
      <c r="F5199" t="str">
        <f t="shared" si="163"/>
        <v>105228</v>
      </c>
      <c r="H5199" s="14">
        <f t="shared" si="164"/>
        <v>17.3</v>
      </c>
    </row>
    <row r="5200" spans="1:8" ht="41.4">
      <c r="A5200" s="502" t="s">
        <v>29535</v>
      </c>
      <c r="B5200" s="504" t="s">
        <v>29536</v>
      </c>
      <c r="C5200" s="502" t="s">
        <v>114</v>
      </c>
      <c r="D5200" s="503" t="s">
        <v>29338</v>
      </c>
      <c r="F5200" t="str">
        <f t="shared" si="163"/>
        <v>105229</v>
      </c>
      <c r="H5200" s="14">
        <f t="shared" si="164"/>
        <v>33.71</v>
      </c>
    </row>
    <row r="5201" spans="1:8" ht="41.4">
      <c r="A5201" s="502" t="s">
        <v>29537</v>
      </c>
      <c r="B5201" s="504" t="s">
        <v>29538</v>
      </c>
      <c r="C5201" s="502" t="s">
        <v>114</v>
      </c>
      <c r="D5201" s="503" t="s">
        <v>4222</v>
      </c>
      <c r="F5201" t="str">
        <f t="shared" si="163"/>
        <v>105230</v>
      </c>
      <c r="H5201" s="14">
        <f t="shared" si="164"/>
        <v>9.94</v>
      </c>
    </row>
    <row r="5202" spans="1:8" ht="41.4">
      <c r="A5202" s="502" t="s">
        <v>29539</v>
      </c>
      <c r="B5202" s="504" t="s">
        <v>29540</v>
      </c>
      <c r="C5202" s="502" t="s">
        <v>114</v>
      </c>
      <c r="D5202" s="503" t="s">
        <v>5455</v>
      </c>
      <c r="F5202" t="str">
        <f t="shared" si="163"/>
        <v>105231</v>
      </c>
      <c r="H5202" s="14">
        <f t="shared" si="164"/>
        <v>11.63</v>
      </c>
    </row>
    <row r="5203" spans="1:8" ht="41.4">
      <c r="A5203" s="502" t="s">
        <v>29541</v>
      </c>
      <c r="B5203" s="504" t="s">
        <v>29542</v>
      </c>
      <c r="C5203" s="502" t="s">
        <v>114</v>
      </c>
      <c r="D5203" s="503" t="s">
        <v>31204</v>
      </c>
      <c r="F5203" t="str">
        <f t="shared" si="163"/>
        <v>105232</v>
      </c>
      <c r="H5203" s="14">
        <f t="shared" si="164"/>
        <v>21.52</v>
      </c>
    </row>
    <row r="5204" spans="1:8" ht="41.4">
      <c r="A5204" s="502" t="s">
        <v>29543</v>
      </c>
      <c r="B5204" s="504" t="s">
        <v>29544</v>
      </c>
      <c r="C5204" s="502" t="s">
        <v>114</v>
      </c>
      <c r="D5204" s="503" t="s">
        <v>4592</v>
      </c>
      <c r="F5204" t="str">
        <f t="shared" si="163"/>
        <v>105233</v>
      </c>
      <c r="H5204" s="14">
        <f t="shared" si="164"/>
        <v>11.7</v>
      </c>
    </row>
    <row r="5205" spans="1:8" ht="41.4">
      <c r="A5205" s="502" t="s">
        <v>29545</v>
      </c>
      <c r="B5205" s="504" t="s">
        <v>29546</v>
      </c>
      <c r="C5205" s="502" t="s">
        <v>114</v>
      </c>
      <c r="D5205" s="503" t="s">
        <v>10114</v>
      </c>
      <c r="F5205" t="str">
        <f t="shared" si="163"/>
        <v>105234</v>
      </c>
      <c r="H5205" s="14">
        <f t="shared" si="164"/>
        <v>14.26</v>
      </c>
    </row>
    <row r="5206" spans="1:8" ht="41.4">
      <c r="A5206" s="502" t="s">
        <v>13443</v>
      </c>
      <c r="B5206" s="504" t="s">
        <v>13444</v>
      </c>
      <c r="C5206" s="502" t="s">
        <v>114</v>
      </c>
      <c r="D5206" s="503" t="s">
        <v>33519</v>
      </c>
      <c r="F5206" t="str">
        <f t="shared" si="163"/>
        <v>97895</v>
      </c>
      <c r="H5206" s="14">
        <f t="shared" si="164"/>
        <v>250.59</v>
      </c>
    </row>
    <row r="5207" spans="1:8" ht="41.4">
      <c r="A5207" s="502" t="s">
        <v>13445</v>
      </c>
      <c r="B5207" s="504" t="s">
        <v>13446</v>
      </c>
      <c r="C5207" s="502" t="s">
        <v>114</v>
      </c>
      <c r="D5207" s="503" t="s">
        <v>33520</v>
      </c>
      <c r="F5207" t="str">
        <f t="shared" si="163"/>
        <v>97896</v>
      </c>
      <c r="H5207" s="14">
        <f t="shared" si="164"/>
        <v>465.39</v>
      </c>
    </row>
    <row r="5208" spans="1:8" ht="41.4">
      <c r="A5208" s="502" t="s">
        <v>13447</v>
      </c>
      <c r="B5208" s="504" t="s">
        <v>13448</v>
      </c>
      <c r="C5208" s="502" t="s">
        <v>114</v>
      </c>
      <c r="D5208" s="503" t="s">
        <v>33521</v>
      </c>
      <c r="F5208" t="str">
        <f t="shared" si="163"/>
        <v>97897</v>
      </c>
      <c r="H5208" s="14">
        <f t="shared" si="164"/>
        <v>604.25</v>
      </c>
    </row>
    <row r="5209" spans="1:8" ht="41.4">
      <c r="A5209" s="502" t="s">
        <v>13449</v>
      </c>
      <c r="B5209" s="504" t="s">
        <v>13450</v>
      </c>
      <c r="C5209" s="502" t="s">
        <v>114</v>
      </c>
      <c r="D5209" s="503" t="s">
        <v>33522</v>
      </c>
      <c r="F5209" t="str">
        <f t="shared" si="163"/>
        <v>97898</v>
      </c>
      <c r="H5209" s="14">
        <f t="shared" si="164"/>
        <v>1175.44</v>
      </c>
    </row>
    <row r="5210" spans="1:8" ht="41.4">
      <c r="A5210" s="502" t="s">
        <v>7835</v>
      </c>
      <c r="B5210" s="504" t="s">
        <v>13451</v>
      </c>
      <c r="C5210" s="502" t="s">
        <v>114</v>
      </c>
      <c r="D5210" s="503" t="s">
        <v>33523</v>
      </c>
      <c r="F5210" t="str">
        <f t="shared" si="163"/>
        <v>97900</v>
      </c>
      <c r="H5210" s="14">
        <f t="shared" si="164"/>
        <v>247.91</v>
      </c>
    </row>
    <row r="5211" spans="1:8" ht="41.4">
      <c r="A5211" s="502" t="s">
        <v>7836</v>
      </c>
      <c r="B5211" s="504" t="s">
        <v>13452</v>
      </c>
      <c r="C5211" s="502" t="s">
        <v>114</v>
      </c>
      <c r="D5211" s="503" t="s">
        <v>33524</v>
      </c>
      <c r="F5211" t="str">
        <f t="shared" si="163"/>
        <v>97901</v>
      </c>
      <c r="H5211" s="14">
        <f t="shared" si="164"/>
        <v>387.78</v>
      </c>
    </row>
    <row r="5212" spans="1:8" ht="41.4">
      <c r="A5212" s="502" t="s">
        <v>7837</v>
      </c>
      <c r="B5212" s="504" t="s">
        <v>13453</v>
      </c>
      <c r="C5212" s="502" t="s">
        <v>114</v>
      </c>
      <c r="D5212" s="503" t="s">
        <v>33525</v>
      </c>
      <c r="F5212" t="str">
        <f t="shared" si="163"/>
        <v>97902</v>
      </c>
      <c r="H5212" s="14">
        <f t="shared" si="164"/>
        <v>745</v>
      </c>
    </row>
    <row r="5213" spans="1:8" ht="41.4">
      <c r="A5213" s="502" t="s">
        <v>7838</v>
      </c>
      <c r="B5213" s="504" t="s">
        <v>13454</v>
      </c>
      <c r="C5213" s="502" t="s">
        <v>114</v>
      </c>
      <c r="D5213" s="503" t="s">
        <v>33526</v>
      </c>
      <c r="F5213" t="str">
        <f t="shared" si="163"/>
        <v>97903</v>
      </c>
      <c r="H5213" s="14">
        <f t="shared" si="164"/>
        <v>1041.6400000000001</v>
      </c>
    </row>
    <row r="5214" spans="1:8" ht="41.4">
      <c r="A5214" s="502" t="s">
        <v>7839</v>
      </c>
      <c r="B5214" s="504" t="s">
        <v>13455</v>
      </c>
      <c r="C5214" s="502" t="s">
        <v>114</v>
      </c>
      <c r="D5214" s="503" t="s">
        <v>33527</v>
      </c>
      <c r="F5214" t="str">
        <f t="shared" si="163"/>
        <v>97904</v>
      </c>
      <c r="H5214" s="14">
        <f t="shared" si="164"/>
        <v>1216.07</v>
      </c>
    </row>
    <row r="5215" spans="1:8" ht="41.4">
      <c r="A5215" s="502" t="s">
        <v>7840</v>
      </c>
      <c r="B5215" s="504" t="s">
        <v>13456</v>
      </c>
      <c r="C5215" s="502" t="s">
        <v>114</v>
      </c>
      <c r="D5215" s="503" t="s">
        <v>33528</v>
      </c>
      <c r="F5215" t="str">
        <f t="shared" si="163"/>
        <v>97905</v>
      </c>
      <c r="H5215" s="14">
        <f t="shared" si="164"/>
        <v>336.36</v>
      </c>
    </row>
    <row r="5216" spans="1:8" ht="41.4">
      <c r="A5216" s="502" t="s">
        <v>7841</v>
      </c>
      <c r="B5216" s="504" t="s">
        <v>13457</v>
      </c>
      <c r="C5216" s="502" t="s">
        <v>114</v>
      </c>
      <c r="D5216" s="503" t="s">
        <v>33529</v>
      </c>
      <c r="F5216" t="str">
        <f t="shared" si="163"/>
        <v>97906</v>
      </c>
      <c r="H5216" s="14">
        <f t="shared" si="164"/>
        <v>621.44000000000005</v>
      </c>
    </row>
    <row r="5217" spans="1:8" ht="41.4">
      <c r="A5217" s="502" t="s">
        <v>7842</v>
      </c>
      <c r="B5217" s="504" t="s">
        <v>13458</v>
      </c>
      <c r="C5217" s="502" t="s">
        <v>114</v>
      </c>
      <c r="D5217" s="503" t="s">
        <v>33530</v>
      </c>
      <c r="F5217" t="str">
        <f t="shared" si="163"/>
        <v>97907</v>
      </c>
      <c r="H5217" s="14">
        <f t="shared" si="164"/>
        <v>883.98</v>
      </c>
    </row>
    <row r="5218" spans="1:8" ht="41.4">
      <c r="A5218" s="502" t="s">
        <v>7843</v>
      </c>
      <c r="B5218" s="504" t="s">
        <v>13459</v>
      </c>
      <c r="C5218" s="502" t="s">
        <v>114</v>
      </c>
      <c r="D5218" s="503" t="s">
        <v>33531</v>
      </c>
      <c r="F5218" t="str">
        <f t="shared" si="163"/>
        <v>97908</v>
      </c>
      <c r="H5218" s="14">
        <f t="shared" si="164"/>
        <v>1029.53</v>
      </c>
    </row>
    <row r="5219" spans="1:8" ht="41.4">
      <c r="A5219" s="502" t="s">
        <v>7844</v>
      </c>
      <c r="B5219" s="504" t="s">
        <v>13460</v>
      </c>
      <c r="C5219" s="502" t="s">
        <v>114</v>
      </c>
      <c r="D5219" s="503" t="s">
        <v>33532</v>
      </c>
      <c r="F5219" t="str">
        <f t="shared" si="163"/>
        <v>98102</v>
      </c>
      <c r="H5219" s="14">
        <f t="shared" si="164"/>
        <v>238.6</v>
      </c>
    </row>
    <row r="5220" spans="1:8" ht="55.2">
      <c r="A5220" s="502" t="s">
        <v>7845</v>
      </c>
      <c r="B5220" s="504" t="s">
        <v>13461</v>
      </c>
      <c r="C5220" s="502" t="s">
        <v>114</v>
      </c>
      <c r="D5220" s="503" t="s">
        <v>33533</v>
      </c>
      <c r="F5220" t="str">
        <f t="shared" si="163"/>
        <v>98104</v>
      </c>
      <c r="H5220" s="14">
        <f t="shared" si="164"/>
        <v>477.91</v>
      </c>
    </row>
    <row r="5221" spans="1:8" ht="55.2">
      <c r="A5221" s="502" t="s">
        <v>7846</v>
      </c>
      <c r="B5221" s="504" t="s">
        <v>13462</v>
      </c>
      <c r="C5221" s="502" t="s">
        <v>114</v>
      </c>
      <c r="D5221" s="503" t="s">
        <v>32869</v>
      </c>
      <c r="F5221" t="str">
        <f t="shared" si="163"/>
        <v>98105</v>
      </c>
      <c r="H5221" s="14">
        <f t="shared" si="164"/>
        <v>837.04</v>
      </c>
    </row>
    <row r="5222" spans="1:8" ht="69">
      <c r="A5222" s="502" t="s">
        <v>7847</v>
      </c>
      <c r="B5222" s="504" t="s">
        <v>13463</v>
      </c>
      <c r="C5222" s="502" t="s">
        <v>114</v>
      </c>
      <c r="D5222" s="503" t="s">
        <v>33534</v>
      </c>
      <c r="F5222" t="str">
        <f t="shared" si="163"/>
        <v>98106</v>
      </c>
      <c r="H5222" s="14">
        <f t="shared" si="164"/>
        <v>1374.66</v>
      </c>
    </row>
    <row r="5223" spans="1:8" ht="55.2">
      <c r="A5223" s="502" t="s">
        <v>7848</v>
      </c>
      <c r="B5223" s="504" t="s">
        <v>13464</v>
      </c>
      <c r="C5223" s="502" t="s">
        <v>114</v>
      </c>
      <c r="D5223" s="503" t="s">
        <v>33535</v>
      </c>
      <c r="F5223" t="str">
        <f t="shared" si="163"/>
        <v>98107</v>
      </c>
      <c r="H5223" s="14">
        <f t="shared" si="164"/>
        <v>382.45</v>
      </c>
    </row>
    <row r="5224" spans="1:8" ht="55.2">
      <c r="A5224" s="502" t="s">
        <v>7849</v>
      </c>
      <c r="B5224" s="504" t="s">
        <v>13465</v>
      </c>
      <c r="C5224" s="502" t="s">
        <v>114</v>
      </c>
      <c r="D5224" s="503" t="s">
        <v>33536</v>
      </c>
      <c r="F5224" t="str">
        <f t="shared" si="163"/>
        <v>98108</v>
      </c>
      <c r="H5224" s="14">
        <f t="shared" si="164"/>
        <v>682.83</v>
      </c>
    </row>
    <row r="5225" spans="1:8" ht="41.4">
      <c r="A5225" s="502" t="s">
        <v>9939</v>
      </c>
      <c r="B5225" s="504" t="s">
        <v>13466</v>
      </c>
      <c r="C5225" s="502" t="s">
        <v>114</v>
      </c>
      <c r="D5225" s="503" t="s">
        <v>33537</v>
      </c>
      <c r="F5225" t="str">
        <f t="shared" si="163"/>
        <v>99250</v>
      </c>
      <c r="H5225" s="14">
        <f t="shared" si="164"/>
        <v>242.71</v>
      </c>
    </row>
    <row r="5226" spans="1:8" ht="41.4">
      <c r="A5226" s="502" t="s">
        <v>9940</v>
      </c>
      <c r="B5226" s="504" t="s">
        <v>13467</v>
      </c>
      <c r="C5226" s="502" t="s">
        <v>114</v>
      </c>
      <c r="D5226" s="503" t="s">
        <v>33538</v>
      </c>
      <c r="F5226" t="str">
        <f t="shared" ref="F5226:F5289" si="165">TRIM(A5226)</f>
        <v>99251</v>
      </c>
      <c r="H5226" s="14">
        <f t="shared" si="164"/>
        <v>378.87</v>
      </c>
    </row>
    <row r="5227" spans="1:8" ht="41.4">
      <c r="A5227" s="502" t="s">
        <v>9941</v>
      </c>
      <c r="B5227" s="504" t="s">
        <v>13468</v>
      </c>
      <c r="C5227" s="502" t="s">
        <v>114</v>
      </c>
      <c r="D5227" s="503" t="s">
        <v>33539</v>
      </c>
      <c r="F5227" t="str">
        <f t="shared" si="165"/>
        <v>99253</v>
      </c>
      <c r="H5227" s="14">
        <f t="shared" si="164"/>
        <v>724.99</v>
      </c>
    </row>
    <row r="5228" spans="1:8" ht="41.4">
      <c r="A5228" s="502" t="s">
        <v>9942</v>
      </c>
      <c r="B5228" s="504" t="s">
        <v>13469</v>
      </c>
      <c r="C5228" s="502" t="s">
        <v>114</v>
      </c>
      <c r="D5228" s="503" t="s">
        <v>33540</v>
      </c>
      <c r="F5228" t="str">
        <f t="shared" si="165"/>
        <v>99255</v>
      </c>
      <c r="H5228" s="14">
        <f t="shared" si="164"/>
        <v>1014.19</v>
      </c>
    </row>
    <row r="5229" spans="1:8" ht="41.4">
      <c r="A5229" s="502" t="s">
        <v>9943</v>
      </c>
      <c r="B5229" s="504" t="s">
        <v>13470</v>
      </c>
      <c r="C5229" s="502" t="s">
        <v>114</v>
      </c>
      <c r="D5229" s="503" t="s">
        <v>33541</v>
      </c>
      <c r="F5229" t="str">
        <f t="shared" si="165"/>
        <v>99257</v>
      </c>
      <c r="H5229" s="14">
        <f t="shared" si="164"/>
        <v>1180.57</v>
      </c>
    </row>
    <row r="5230" spans="1:8" ht="41.4">
      <c r="A5230" s="502" t="s">
        <v>9944</v>
      </c>
      <c r="B5230" s="504" t="s">
        <v>13471</v>
      </c>
      <c r="C5230" s="502" t="s">
        <v>114</v>
      </c>
      <c r="D5230" s="503" t="s">
        <v>32915</v>
      </c>
      <c r="F5230" t="str">
        <f t="shared" si="165"/>
        <v>99258</v>
      </c>
      <c r="H5230" s="14">
        <f t="shared" si="164"/>
        <v>330.7</v>
      </c>
    </row>
    <row r="5231" spans="1:8" ht="41.4">
      <c r="A5231" s="502" t="s">
        <v>9945</v>
      </c>
      <c r="B5231" s="504" t="s">
        <v>13472</v>
      </c>
      <c r="C5231" s="502" t="s">
        <v>114</v>
      </c>
      <c r="D5231" s="503" t="s">
        <v>33542</v>
      </c>
      <c r="F5231" t="str">
        <f t="shared" si="165"/>
        <v>99260</v>
      </c>
      <c r="H5231" s="14">
        <f t="shared" si="164"/>
        <v>608.83000000000004</v>
      </c>
    </row>
    <row r="5232" spans="1:8" ht="41.4">
      <c r="A5232" s="502" t="s">
        <v>9946</v>
      </c>
      <c r="B5232" s="504" t="s">
        <v>13473</v>
      </c>
      <c r="C5232" s="502" t="s">
        <v>114</v>
      </c>
      <c r="D5232" s="503" t="s">
        <v>33543</v>
      </c>
      <c r="F5232" t="str">
        <f t="shared" si="165"/>
        <v>99262</v>
      </c>
      <c r="H5232" s="14">
        <f t="shared" si="164"/>
        <v>865.99</v>
      </c>
    </row>
    <row r="5233" spans="1:8" ht="41.4">
      <c r="A5233" s="502" t="s">
        <v>9947</v>
      </c>
      <c r="B5233" s="504" t="s">
        <v>13474</v>
      </c>
      <c r="C5233" s="502" t="s">
        <v>114</v>
      </c>
      <c r="D5233" s="503" t="s">
        <v>33544</v>
      </c>
      <c r="F5233" t="str">
        <f t="shared" si="165"/>
        <v>99264</v>
      </c>
      <c r="H5233" s="14">
        <f t="shared" si="164"/>
        <v>1005.22</v>
      </c>
    </row>
    <row r="5234" spans="1:8" ht="27.6">
      <c r="A5234" s="502" t="s">
        <v>13475</v>
      </c>
      <c r="B5234" s="504" t="s">
        <v>13476</v>
      </c>
      <c r="C5234" s="502" t="s">
        <v>114</v>
      </c>
      <c r="D5234" s="503" t="s">
        <v>11810</v>
      </c>
      <c r="F5234" t="str">
        <f t="shared" si="165"/>
        <v>102587</v>
      </c>
      <c r="H5234" s="14">
        <f t="shared" si="164"/>
        <v>5.0999999999999996</v>
      </c>
    </row>
    <row r="5235" spans="1:8" ht="27.6">
      <c r="A5235" s="502" t="s">
        <v>13477</v>
      </c>
      <c r="B5235" s="504" t="s">
        <v>13478</v>
      </c>
      <c r="C5235" s="502" t="s">
        <v>114</v>
      </c>
      <c r="D5235" s="503" t="s">
        <v>7279</v>
      </c>
      <c r="F5235" t="str">
        <f t="shared" si="165"/>
        <v>102588</v>
      </c>
      <c r="H5235" s="14">
        <f t="shared" si="164"/>
        <v>7.38</v>
      </c>
    </row>
    <row r="5236" spans="1:8" ht="27.6">
      <c r="A5236" s="502" t="s">
        <v>13479</v>
      </c>
      <c r="B5236" s="504" t="s">
        <v>13480</v>
      </c>
      <c r="C5236" s="502" t="s">
        <v>114</v>
      </c>
      <c r="D5236" s="503" t="s">
        <v>33545</v>
      </c>
      <c r="F5236" t="str">
        <f t="shared" si="165"/>
        <v>102589</v>
      </c>
      <c r="H5236" s="14">
        <f t="shared" si="164"/>
        <v>5.66</v>
      </c>
    </row>
    <row r="5237" spans="1:8" ht="27.6">
      <c r="A5237" s="502" t="s">
        <v>13481</v>
      </c>
      <c r="B5237" s="504" t="s">
        <v>13482</v>
      </c>
      <c r="C5237" s="502" t="s">
        <v>114</v>
      </c>
      <c r="D5237" s="503" t="s">
        <v>4521</v>
      </c>
      <c r="F5237" t="str">
        <f t="shared" si="165"/>
        <v>102590</v>
      </c>
      <c r="H5237" s="14">
        <f t="shared" si="164"/>
        <v>7.97</v>
      </c>
    </row>
    <row r="5238" spans="1:8" ht="27.6">
      <c r="A5238" s="502" t="s">
        <v>13483</v>
      </c>
      <c r="B5238" s="504" t="s">
        <v>13484</v>
      </c>
      <c r="C5238" s="502" t="s">
        <v>114</v>
      </c>
      <c r="D5238" s="503" t="s">
        <v>30903</v>
      </c>
      <c r="F5238" t="str">
        <f t="shared" si="165"/>
        <v>102591</v>
      </c>
      <c r="H5238" s="14">
        <f t="shared" si="164"/>
        <v>6.25</v>
      </c>
    </row>
    <row r="5239" spans="1:8" ht="27.6">
      <c r="A5239" s="502" t="s">
        <v>13485</v>
      </c>
      <c r="B5239" s="504" t="s">
        <v>13486</v>
      </c>
      <c r="C5239" s="502" t="s">
        <v>114</v>
      </c>
      <c r="D5239" s="503" t="s">
        <v>11687</v>
      </c>
      <c r="F5239" t="str">
        <f t="shared" si="165"/>
        <v>102592</v>
      </c>
      <c r="H5239" s="14">
        <f t="shared" si="164"/>
        <v>8.5299999999999994</v>
      </c>
    </row>
    <row r="5240" spans="1:8" ht="27.6">
      <c r="A5240" s="502" t="s">
        <v>13487</v>
      </c>
      <c r="B5240" s="504" t="s">
        <v>13488</v>
      </c>
      <c r="C5240" s="502" t="s">
        <v>114</v>
      </c>
      <c r="D5240" s="503" t="s">
        <v>9969</v>
      </c>
      <c r="F5240" t="str">
        <f t="shared" si="165"/>
        <v>102593</v>
      </c>
      <c r="H5240" s="14">
        <f t="shared" si="164"/>
        <v>7.05</v>
      </c>
    </row>
    <row r="5241" spans="1:8" ht="27.6">
      <c r="A5241" s="502" t="s">
        <v>13489</v>
      </c>
      <c r="B5241" s="504" t="s">
        <v>13490</v>
      </c>
      <c r="C5241" s="502" t="s">
        <v>114</v>
      </c>
      <c r="D5241" s="503" t="s">
        <v>33546</v>
      </c>
      <c r="F5241" t="str">
        <f t="shared" si="165"/>
        <v>102594</v>
      </c>
      <c r="H5241" s="14">
        <f t="shared" si="164"/>
        <v>9.34</v>
      </c>
    </row>
    <row r="5242" spans="1:8" ht="27.6">
      <c r="A5242" s="502" t="s">
        <v>13491</v>
      </c>
      <c r="B5242" s="504" t="s">
        <v>13492</v>
      </c>
      <c r="C5242" s="502" t="s">
        <v>114</v>
      </c>
      <c r="D5242" s="503" t="s">
        <v>4521</v>
      </c>
      <c r="F5242" t="str">
        <f t="shared" si="165"/>
        <v>102595</v>
      </c>
      <c r="H5242" s="14">
        <f t="shared" si="164"/>
        <v>7.97</v>
      </c>
    </row>
    <row r="5243" spans="1:8" ht="27.6">
      <c r="A5243" s="502" t="s">
        <v>13493</v>
      </c>
      <c r="B5243" s="504" t="s">
        <v>13494</v>
      </c>
      <c r="C5243" s="502" t="s">
        <v>114</v>
      </c>
      <c r="D5243" s="503" t="s">
        <v>6499</v>
      </c>
      <c r="F5243" t="str">
        <f t="shared" si="165"/>
        <v>102596</v>
      </c>
      <c r="H5243" s="14">
        <f t="shared" si="164"/>
        <v>10.26</v>
      </c>
    </row>
    <row r="5244" spans="1:8" ht="27.6">
      <c r="A5244" s="502" t="s">
        <v>13495</v>
      </c>
      <c r="B5244" s="504" t="s">
        <v>13496</v>
      </c>
      <c r="C5244" s="502" t="s">
        <v>114</v>
      </c>
      <c r="D5244" s="503" t="s">
        <v>5241</v>
      </c>
      <c r="F5244" t="str">
        <f t="shared" si="165"/>
        <v>102597</v>
      </c>
      <c r="H5244" s="14">
        <f t="shared" si="164"/>
        <v>9.1300000000000008</v>
      </c>
    </row>
    <row r="5245" spans="1:8" ht="27.6">
      <c r="A5245" s="502" t="s">
        <v>13497</v>
      </c>
      <c r="B5245" s="504" t="s">
        <v>13498</v>
      </c>
      <c r="C5245" s="502" t="s">
        <v>114</v>
      </c>
      <c r="D5245" s="503" t="s">
        <v>10110</v>
      </c>
      <c r="F5245" t="str">
        <f t="shared" si="165"/>
        <v>102598</v>
      </c>
      <c r="H5245" s="14">
        <f t="shared" si="164"/>
        <v>11.41</v>
      </c>
    </row>
    <row r="5246" spans="1:8" ht="27.6">
      <c r="A5246" s="502" t="s">
        <v>13499</v>
      </c>
      <c r="B5246" s="504" t="s">
        <v>13500</v>
      </c>
      <c r="C5246" s="502" t="s">
        <v>114</v>
      </c>
      <c r="D5246" s="503" t="s">
        <v>16165</v>
      </c>
      <c r="F5246" t="str">
        <f t="shared" si="165"/>
        <v>102599</v>
      </c>
      <c r="H5246" s="14">
        <f t="shared" si="164"/>
        <v>10.27</v>
      </c>
    </row>
    <row r="5247" spans="1:8" ht="27.6">
      <c r="A5247" s="502" t="s">
        <v>13501</v>
      </c>
      <c r="B5247" s="504" t="s">
        <v>13502</v>
      </c>
      <c r="C5247" s="502" t="s">
        <v>114</v>
      </c>
      <c r="D5247" s="503" t="s">
        <v>4793</v>
      </c>
      <c r="F5247" t="str">
        <f t="shared" si="165"/>
        <v>102600</v>
      </c>
      <c r="H5247" s="14">
        <f t="shared" si="164"/>
        <v>12.57</v>
      </c>
    </row>
    <row r="5248" spans="1:8" ht="27.6">
      <c r="A5248" s="502" t="s">
        <v>13503</v>
      </c>
      <c r="B5248" s="504" t="s">
        <v>13504</v>
      </c>
      <c r="C5248" s="502" t="s">
        <v>114</v>
      </c>
      <c r="D5248" s="503" t="s">
        <v>3616</v>
      </c>
      <c r="F5248" t="str">
        <f t="shared" si="165"/>
        <v>102601</v>
      </c>
      <c r="H5248" s="14">
        <f t="shared" si="164"/>
        <v>12.01</v>
      </c>
    </row>
    <row r="5249" spans="1:8" ht="27.6">
      <c r="A5249" s="502" t="s">
        <v>13505</v>
      </c>
      <c r="B5249" s="504" t="s">
        <v>13506</v>
      </c>
      <c r="C5249" s="502" t="s">
        <v>114</v>
      </c>
      <c r="D5249" s="503" t="s">
        <v>10039</v>
      </c>
      <c r="F5249" t="str">
        <f t="shared" si="165"/>
        <v>102602</v>
      </c>
      <c r="H5249" s="14">
        <f t="shared" si="164"/>
        <v>14.3</v>
      </c>
    </row>
    <row r="5250" spans="1:8" ht="27.6">
      <c r="A5250" s="502" t="s">
        <v>13507</v>
      </c>
      <c r="B5250" s="504" t="s">
        <v>13508</v>
      </c>
      <c r="C5250" s="502" t="s">
        <v>114</v>
      </c>
      <c r="D5250" s="503" t="s">
        <v>7457</v>
      </c>
      <c r="F5250" t="str">
        <f t="shared" si="165"/>
        <v>102603</v>
      </c>
      <c r="H5250" s="14">
        <f t="shared" si="164"/>
        <v>14.88</v>
      </c>
    </row>
    <row r="5251" spans="1:8" ht="27.6">
      <c r="A5251" s="502" t="s">
        <v>13509</v>
      </c>
      <c r="B5251" s="504" t="s">
        <v>13510</v>
      </c>
      <c r="C5251" s="502" t="s">
        <v>114</v>
      </c>
      <c r="D5251" s="503" t="s">
        <v>32952</v>
      </c>
      <c r="F5251" t="str">
        <f t="shared" si="165"/>
        <v>102604</v>
      </c>
      <c r="H5251" s="14">
        <f t="shared" si="164"/>
        <v>17.16</v>
      </c>
    </row>
    <row r="5252" spans="1:8" ht="27.6">
      <c r="A5252" s="502" t="s">
        <v>13511</v>
      </c>
      <c r="B5252" s="504" t="s">
        <v>13512</v>
      </c>
      <c r="C5252" s="502" t="s">
        <v>114</v>
      </c>
      <c r="D5252" s="503" t="s">
        <v>33547</v>
      </c>
      <c r="F5252" t="str">
        <f t="shared" si="165"/>
        <v>102605</v>
      </c>
      <c r="H5252" s="14">
        <f t="shared" si="164"/>
        <v>394.47</v>
      </c>
    </row>
    <row r="5253" spans="1:8" ht="27.6">
      <c r="A5253" s="502" t="s">
        <v>13513</v>
      </c>
      <c r="B5253" s="504" t="s">
        <v>13514</v>
      </c>
      <c r="C5253" s="502" t="s">
        <v>114</v>
      </c>
      <c r="D5253" s="503" t="s">
        <v>33548</v>
      </c>
      <c r="F5253" t="str">
        <f t="shared" si="165"/>
        <v>102606</v>
      </c>
      <c r="H5253" s="14">
        <f t="shared" ref="H5253:H5316" si="166">ROUND(D5253*(1+$H$1),2)</f>
        <v>607.77</v>
      </c>
    </row>
    <row r="5254" spans="1:8" ht="27.6">
      <c r="A5254" s="502" t="s">
        <v>13515</v>
      </c>
      <c r="B5254" s="504" t="s">
        <v>13516</v>
      </c>
      <c r="C5254" s="502" t="s">
        <v>114</v>
      </c>
      <c r="D5254" s="503" t="s">
        <v>33549</v>
      </c>
      <c r="F5254" t="str">
        <f t="shared" si="165"/>
        <v>102607</v>
      </c>
      <c r="H5254" s="14">
        <f t="shared" si="166"/>
        <v>650.63</v>
      </c>
    </row>
    <row r="5255" spans="1:8" ht="27.6">
      <c r="A5255" s="502" t="s">
        <v>13517</v>
      </c>
      <c r="B5255" s="504" t="s">
        <v>13518</v>
      </c>
      <c r="C5255" s="502" t="s">
        <v>114</v>
      </c>
      <c r="D5255" s="503" t="s">
        <v>33550</v>
      </c>
      <c r="F5255" t="str">
        <f t="shared" si="165"/>
        <v>102608</v>
      </c>
      <c r="H5255" s="14">
        <f t="shared" si="166"/>
        <v>1490.97</v>
      </c>
    </row>
    <row r="5256" spans="1:8" ht="27.6">
      <c r="A5256" s="502" t="s">
        <v>13519</v>
      </c>
      <c r="B5256" s="504" t="s">
        <v>13520</v>
      </c>
      <c r="C5256" s="502" t="s">
        <v>114</v>
      </c>
      <c r="D5256" s="503" t="s">
        <v>33551</v>
      </c>
      <c r="F5256" t="str">
        <f t="shared" si="165"/>
        <v>102609</v>
      </c>
      <c r="H5256" s="14">
        <f t="shared" si="166"/>
        <v>1694.26</v>
      </c>
    </row>
    <row r="5257" spans="1:8" ht="27.6">
      <c r="A5257" s="502" t="s">
        <v>26132</v>
      </c>
      <c r="B5257" s="504" t="s">
        <v>26133</v>
      </c>
      <c r="C5257" s="502" t="s">
        <v>114</v>
      </c>
      <c r="D5257" s="503" t="s">
        <v>33552</v>
      </c>
      <c r="F5257" t="str">
        <f t="shared" si="165"/>
        <v>102610</v>
      </c>
      <c r="H5257" s="14">
        <f t="shared" si="166"/>
        <v>2911.59</v>
      </c>
    </row>
    <row r="5258" spans="1:8" ht="41.4">
      <c r="A5258" s="502" t="s">
        <v>13521</v>
      </c>
      <c r="B5258" s="504" t="s">
        <v>13522</v>
      </c>
      <c r="C5258" s="502" t="s">
        <v>114</v>
      </c>
      <c r="D5258" s="503" t="s">
        <v>33553</v>
      </c>
      <c r="F5258" t="str">
        <f t="shared" si="165"/>
        <v>102611</v>
      </c>
      <c r="H5258" s="14">
        <f t="shared" si="166"/>
        <v>655.26</v>
      </c>
    </row>
    <row r="5259" spans="1:8" ht="41.4">
      <c r="A5259" s="502" t="s">
        <v>26134</v>
      </c>
      <c r="B5259" s="504" t="s">
        <v>26135</v>
      </c>
      <c r="C5259" s="502" t="s">
        <v>114</v>
      </c>
      <c r="D5259" s="503" t="s">
        <v>33554</v>
      </c>
      <c r="F5259" t="str">
        <f t="shared" si="165"/>
        <v>102612</v>
      </c>
      <c r="H5259" s="14">
        <f t="shared" si="166"/>
        <v>940.64</v>
      </c>
    </row>
    <row r="5260" spans="1:8" ht="41.4">
      <c r="A5260" s="502" t="s">
        <v>13523</v>
      </c>
      <c r="B5260" s="504" t="s">
        <v>13524</v>
      </c>
      <c r="C5260" s="502" t="s">
        <v>114</v>
      </c>
      <c r="D5260" s="503" t="s">
        <v>33555</v>
      </c>
      <c r="F5260" t="str">
        <f t="shared" si="165"/>
        <v>102613</v>
      </c>
      <c r="H5260" s="14">
        <f t="shared" si="166"/>
        <v>911.9</v>
      </c>
    </row>
    <row r="5261" spans="1:8" ht="41.4">
      <c r="A5261" s="502" t="s">
        <v>13525</v>
      </c>
      <c r="B5261" s="504" t="s">
        <v>13526</v>
      </c>
      <c r="C5261" s="502" t="s">
        <v>114</v>
      </c>
      <c r="D5261" s="503" t="s">
        <v>28312</v>
      </c>
      <c r="F5261" t="str">
        <f t="shared" si="165"/>
        <v>102614</v>
      </c>
      <c r="H5261" s="14">
        <f t="shared" si="166"/>
        <v>1402.06</v>
      </c>
    </row>
    <row r="5262" spans="1:8" ht="41.4">
      <c r="A5262" s="502" t="s">
        <v>13527</v>
      </c>
      <c r="B5262" s="504" t="s">
        <v>13528</v>
      </c>
      <c r="C5262" s="502" t="s">
        <v>114</v>
      </c>
      <c r="D5262" s="503" t="s">
        <v>33556</v>
      </c>
      <c r="F5262" t="str">
        <f t="shared" si="165"/>
        <v>102615</v>
      </c>
      <c r="H5262" s="14">
        <f t="shared" si="166"/>
        <v>1759.58</v>
      </c>
    </row>
    <row r="5263" spans="1:8" ht="41.4">
      <c r="A5263" s="502" t="s">
        <v>26136</v>
      </c>
      <c r="B5263" s="504" t="s">
        <v>26137</v>
      </c>
      <c r="C5263" s="502" t="s">
        <v>114</v>
      </c>
      <c r="D5263" s="503" t="s">
        <v>33557</v>
      </c>
      <c r="F5263" t="str">
        <f t="shared" si="165"/>
        <v>102616</v>
      </c>
      <c r="H5263" s="14">
        <f t="shared" si="166"/>
        <v>2604.64</v>
      </c>
    </row>
    <row r="5264" spans="1:8" ht="41.4">
      <c r="A5264" s="502" t="s">
        <v>13529</v>
      </c>
      <c r="B5264" s="504" t="s">
        <v>13530</v>
      </c>
      <c r="C5264" s="502" t="s">
        <v>114</v>
      </c>
      <c r="D5264" s="503" t="s">
        <v>33558</v>
      </c>
      <c r="F5264" t="str">
        <f t="shared" si="165"/>
        <v>102617</v>
      </c>
      <c r="H5264" s="14">
        <f t="shared" si="166"/>
        <v>4841.4799999999996</v>
      </c>
    </row>
    <row r="5265" spans="1:8" ht="41.4">
      <c r="A5265" s="502" t="s">
        <v>26138</v>
      </c>
      <c r="B5265" s="504" t="s">
        <v>26139</v>
      </c>
      <c r="C5265" s="502" t="s">
        <v>114</v>
      </c>
      <c r="D5265" s="503" t="s">
        <v>33559</v>
      </c>
      <c r="F5265" t="str">
        <f t="shared" si="165"/>
        <v>102618</v>
      </c>
      <c r="H5265" s="14">
        <f t="shared" si="166"/>
        <v>5818.16</v>
      </c>
    </row>
    <row r="5266" spans="1:8" ht="41.4">
      <c r="A5266" s="502" t="s">
        <v>13531</v>
      </c>
      <c r="B5266" s="504" t="s">
        <v>13532</v>
      </c>
      <c r="C5266" s="502" t="s">
        <v>114</v>
      </c>
      <c r="D5266" s="503" t="s">
        <v>33560</v>
      </c>
      <c r="F5266" t="str">
        <f t="shared" si="165"/>
        <v>102619</v>
      </c>
      <c r="H5266" s="14">
        <f t="shared" si="166"/>
        <v>7799.67</v>
      </c>
    </row>
    <row r="5267" spans="1:8" ht="41.4">
      <c r="A5267" s="502" t="s">
        <v>26140</v>
      </c>
      <c r="B5267" s="504" t="s">
        <v>26141</v>
      </c>
      <c r="C5267" s="502" t="s">
        <v>114</v>
      </c>
      <c r="D5267" s="503" t="s">
        <v>33561</v>
      </c>
      <c r="F5267" t="str">
        <f t="shared" si="165"/>
        <v>102620</v>
      </c>
      <c r="H5267" s="14">
        <f t="shared" si="166"/>
        <v>11317.28</v>
      </c>
    </row>
    <row r="5268" spans="1:8" ht="41.4">
      <c r="A5268" s="502" t="s">
        <v>26142</v>
      </c>
      <c r="B5268" s="504" t="s">
        <v>26143</v>
      </c>
      <c r="C5268" s="502" t="s">
        <v>114</v>
      </c>
      <c r="D5268" s="503" t="s">
        <v>33562</v>
      </c>
      <c r="F5268" t="str">
        <f t="shared" si="165"/>
        <v>102621</v>
      </c>
      <c r="H5268" s="14">
        <f t="shared" si="166"/>
        <v>17379.05</v>
      </c>
    </row>
    <row r="5269" spans="1:8" ht="41.4">
      <c r="A5269" s="502" t="s">
        <v>13533</v>
      </c>
      <c r="B5269" s="504" t="s">
        <v>13534</v>
      </c>
      <c r="C5269" s="502" t="s">
        <v>114</v>
      </c>
      <c r="D5269" s="503" t="s">
        <v>33563</v>
      </c>
      <c r="F5269" t="str">
        <f t="shared" si="165"/>
        <v>102622</v>
      </c>
      <c r="H5269" s="14">
        <f t="shared" si="166"/>
        <v>879.77</v>
      </c>
    </row>
    <row r="5270" spans="1:8" ht="41.4">
      <c r="A5270" s="502" t="s">
        <v>13535</v>
      </c>
      <c r="B5270" s="504" t="s">
        <v>13536</v>
      </c>
      <c r="C5270" s="502" t="s">
        <v>114</v>
      </c>
      <c r="D5270" s="503" t="s">
        <v>33564</v>
      </c>
      <c r="F5270" t="str">
        <f t="shared" si="165"/>
        <v>102623</v>
      </c>
      <c r="H5270" s="14">
        <f t="shared" si="166"/>
        <v>1216.04</v>
      </c>
    </row>
    <row r="5271" spans="1:8" ht="41.4">
      <c r="A5271" s="502" t="s">
        <v>6149</v>
      </c>
      <c r="B5271" s="504" t="s">
        <v>26144</v>
      </c>
      <c r="C5271" s="502" t="s">
        <v>114</v>
      </c>
      <c r="D5271" s="503" t="s">
        <v>33565</v>
      </c>
      <c r="F5271" t="str">
        <f t="shared" si="165"/>
        <v>89482</v>
      </c>
      <c r="H5271" s="14">
        <f t="shared" si="166"/>
        <v>56.3</v>
      </c>
    </row>
    <row r="5272" spans="1:8" ht="41.4">
      <c r="A5272" s="502" t="s">
        <v>6150</v>
      </c>
      <c r="B5272" s="504" t="s">
        <v>26145</v>
      </c>
      <c r="C5272" s="502" t="s">
        <v>114</v>
      </c>
      <c r="D5272" s="503" t="s">
        <v>33566</v>
      </c>
      <c r="F5272" t="str">
        <f t="shared" si="165"/>
        <v>89491</v>
      </c>
      <c r="H5272" s="14">
        <f t="shared" si="166"/>
        <v>141.63999999999999</v>
      </c>
    </row>
    <row r="5273" spans="1:8" ht="41.4">
      <c r="A5273" s="502" t="s">
        <v>6151</v>
      </c>
      <c r="B5273" s="504" t="s">
        <v>26146</v>
      </c>
      <c r="C5273" s="502" t="s">
        <v>114</v>
      </c>
      <c r="D5273" s="503" t="s">
        <v>16207</v>
      </c>
      <c r="F5273" t="str">
        <f t="shared" si="165"/>
        <v>89495</v>
      </c>
      <c r="H5273" s="14">
        <f t="shared" si="166"/>
        <v>26.05</v>
      </c>
    </row>
    <row r="5274" spans="1:8" ht="55.2">
      <c r="A5274" s="502" t="s">
        <v>6152</v>
      </c>
      <c r="B5274" s="504" t="s">
        <v>26147</v>
      </c>
      <c r="C5274" s="502" t="s">
        <v>114</v>
      </c>
      <c r="D5274" s="503" t="s">
        <v>33567</v>
      </c>
      <c r="F5274" t="str">
        <f t="shared" si="165"/>
        <v>89707</v>
      </c>
      <c r="H5274" s="14">
        <f t="shared" si="166"/>
        <v>69.56</v>
      </c>
    </row>
    <row r="5275" spans="1:8" ht="55.2">
      <c r="A5275" s="502" t="s">
        <v>6153</v>
      </c>
      <c r="B5275" s="504" t="s">
        <v>26148</v>
      </c>
      <c r="C5275" s="502" t="s">
        <v>114</v>
      </c>
      <c r="D5275" s="503" t="s">
        <v>9490</v>
      </c>
      <c r="F5275" t="str">
        <f t="shared" si="165"/>
        <v>89708</v>
      </c>
      <c r="H5275" s="14">
        <f t="shared" si="166"/>
        <v>146.87</v>
      </c>
    </row>
    <row r="5276" spans="1:8" ht="41.4">
      <c r="A5276" s="502" t="s">
        <v>6154</v>
      </c>
      <c r="B5276" s="504" t="s">
        <v>26149</v>
      </c>
      <c r="C5276" s="502" t="s">
        <v>114</v>
      </c>
      <c r="D5276" s="503" t="s">
        <v>25364</v>
      </c>
      <c r="F5276" t="str">
        <f t="shared" si="165"/>
        <v>89709</v>
      </c>
      <c r="H5276" s="14">
        <f t="shared" si="166"/>
        <v>30.01</v>
      </c>
    </row>
    <row r="5277" spans="1:8" ht="41.4">
      <c r="A5277" s="502" t="s">
        <v>6155</v>
      </c>
      <c r="B5277" s="504" t="s">
        <v>26150</v>
      </c>
      <c r="C5277" s="502" t="s">
        <v>114</v>
      </c>
      <c r="D5277" s="503" t="s">
        <v>33437</v>
      </c>
      <c r="F5277" t="str">
        <f t="shared" si="165"/>
        <v>89710</v>
      </c>
      <c r="H5277" s="14">
        <f t="shared" si="166"/>
        <v>26.44</v>
      </c>
    </row>
    <row r="5278" spans="1:8" ht="55.2">
      <c r="A5278" s="502" t="s">
        <v>26151</v>
      </c>
      <c r="B5278" s="504" t="s">
        <v>26152</v>
      </c>
      <c r="C5278" s="502" t="s">
        <v>114</v>
      </c>
      <c r="D5278" s="503" t="s">
        <v>25615</v>
      </c>
      <c r="F5278" t="str">
        <f t="shared" si="165"/>
        <v>104326</v>
      </c>
      <c r="H5278" s="14">
        <f t="shared" si="166"/>
        <v>28.65</v>
      </c>
    </row>
    <row r="5279" spans="1:8" ht="55.2">
      <c r="A5279" s="502" t="s">
        <v>26153</v>
      </c>
      <c r="B5279" s="504" t="s">
        <v>26154</v>
      </c>
      <c r="C5279" s="502" t="s">
        <v>114</v>
      </c>
      <c r="D5279" s="503" t="s">
        <v>7318</v>
      </c>
      <c r="F5279" t="str">
        <f t="shared" si="165"/>
        <v>104327</v>
      </c>
      <c r="H5279" s="14">
        <f t="shared" si="166"/>
        <v>27.34</v>
      </c>
    </row>
    <row r="5280" spans="1:8" ht="55.2">
      <c r="A5280" s="502" t="s">
        <v>26155</v>
      </c>
      <c r="B5280" s="504" t="s">
        <v>26156</v>
      </c>
      <c r="C5280" s="502" t="s">
        <v>114</v>
      </c>
      <c r="D5280" s="503" t="s">
        <v>33108</v>
      </c>
      <c r="F5280" t="str">
        <f t="shared" si="165"/>
        <v>104328</v>
      </c>
      <c r="H5280" s="14">
        <f t="shared" si="166"/>
        <v>100.22</v>
      </c>
    </row>
    <row r="5281" spans="1:8" ht="55.2">
      <c r="A5281" s="502" t="s">
        <v>26157</v>
      </c>
      <c r="B5281" s="504" t="s">
        <v>26158</v>
      </c>
      <c r="C5281" s="502" t="s">
        <v>114</v>
      </c>
      <c r="D5281" s="503" t="s">
        <v>33568</v>
      </c>
      <c r="F5281" t="str">
        <f t="shared" si="165"/>
        <v>104329</v>
      </c>
      <c r="H5281" s="14">
        <f t="shared" si="166"/>
        <v>112.96</v>
      </c>
    </row>
    <row r="5282" spans="1:8" ht="27.6">
      <c r="A5282" s="502" t="s">
        <v>6156</v>
      </c>
      <c r="B5282" s="504" t="s">
        <v>13537</v>
      </c>
      <c r="C5282" s="502" t="s">
        <v>114</v>
      </c>
      <c r="D5282" s="503" t="s">
        <v>33569</v>
      </c>
      <c r="F5282" t="str">
        <f t="shared" si="165"/>
        <v>86872</v>
      </c>
      <c r="H5282" s="14">
        <f t="shared" si="166"/>
        <v>1096.97</v>
      </c>
    </row>
    <row r="5283" spans="1:8" ht="27.6">
      <c r="A5283" s="502" t="s">
        <v>6157</v>
      </c>
      <c r="B5283" s="504" t="s">
        <v>13538</v>
      </c>
      <c r="C5283" s="502" t="s">
        <v>114</v>
      </c>
      <c r="D5283" s="503" t="s">
        <v>33570</v>
      </c>
      <c r="F5283" t="str">
        <f t="shared" si="165"/>
        <v>86874</v>
      </c>
      <c r="H5283" s="14">
        <f t="shared" si="166"/>
        <v>769.75</v>
      </c>
    </row>
    <row r="5284" spans="1:8" ht="27.6">
      <c r="A5284" s="502" t="s">
        <v>6158</v>
      </c>
      <c r="B5284" s="504" t="s">
        <v>13539</v>
      </c>
      <c r="C5284" s="502" t="s">
        <v>114</v>
      </c>
      <c r="D5284" s="503" t="s">
        <v>33571</v>
      </c>
      <c r="F5284" t="str">
        <f t="shared" si="165"/>
        <v>86875</v>
      </c>
      <c r="H5284" s="14">
        <f t="shared" si="166"/>
        <v>599.59</v>
      </c>
    </row>
    <row r="5285" spans="1:8" ht="27.6">
      <c r="A5285" s="502" t="s">
        <v>6159</v>
      </c>
      <c r="B5285" s="504" t="s">
        <v>13540</v>
      </c>
      <c r="C5285" s="502" t="s">
        <v>114</v>
      </c>
      <c r="D5285" s="503" t="s">
        <v>33572</v>
      </c>
      <c r="F5285" t="str">
        <f t="shared" si="165"/>
        <v>86876</v>
      </c>
      <c r="H5285" s="14">
        <f t="shared" si="166"/>
        <v>349.02</v>
      </c>
    </row>
    <row r="5286" spans="1:8" ht="41.4">
      <c r="A5286" s="502" t="s">
        <v>6160</v>
      </c>
      <c r="B5286" s="504" t="s">
        <v>29552</v>
      </c>
      <c r="C5286" s="502" t="s">
        <v>114</v>
      </c>
      <c r="D5286" s="503" t="s">
        <v>31260</v>
      </c>
      <c r="F5286" t="str">
        <f t="shared" si="165"/>
        <v>86877</v>
      </c>
      <c r="H5286" s="14">
        <f t="shared" si="166"/>
        <v>80.400000000000006</v>
      </c>
    </row>
    <row r="5287" spans="1:8" ht="41.4">
      <c r="A5287" s="502" t="s">
        <v>6161</v>
      </c>
      <c r="B5287" s="504" t="s">
        <v>29554</v>
      </c>
      <c r="C5287" s="502" t="s">
        <v>114</v>
      </c>
      <c r="D5287" s="503" t="s">
        <v>29254</v>
      </c>
      <c r="F5287" t="str">
        <f t="shared" si="165"/>
        <v>86878</v>
      </c>
      <c r="H5287" s="14">
        <f t="shared" si="166"/>
        <v>86.52</v>
      </c>
    </row>
    <row r="5288" spans="1:8" ht="41.4">
      <c r="A5288" s="502" t="s">
        <v>6162</v>
      </c>
      <c r="B5288" s="504" t="s">
        <v>29555</v>
      </c>
      <c r="C5288" s="502" t="s">
        <v>114</v>
      </c>
      <c r="D5288" s="503" t="s">
        <v>10671</v>
      </c>
      <c r="F5288" t="str">
        <f t="shared" si="165"/>
        <v>86879</v>
      </c>
      <c r="H5288" s="14">
        <f t="shared" si="166"/>
        <v>12.86</v>
      </c>
    </row>
    <row r="5289" spans="1:8" ht="41.4">
      <c r="A5289" s="502" t="s">
        <v>6163</v>
      </c>
      <c r="B5289" s="504" t="s">
        <v>29556</v>
      </c>
      <c r="C5289" s="502" t="s">
        <v>114</v>
      </c>
      <c r="D5289" s="503" t="s">
        <v>22601</v>
      </c>
      <c r="F5289" t="str">
        <f t="shared" si="165"/>
        <v>86880</v>
      </c>
      <c r="H5289" s="14">
        <f t="shared" si="166"/>
        <v>33.29</v>
      </c>
    </row>
    <row r="5290" spans="1:8" ht="27.6">
      <c r="A5290" s="502" t="s">
        <v>6164</v>
      </c>
      <c r="B5290" s="504" t="s">
        <v>29557</v>
      </c>
      <c r="C5290" s="502" t="s">
        <v>114</v>
      </c>
      <c r="D5290" s="503" t="s">
        <v>33573</v>
      </c>
      <c r="F5290" t="str">
        <f t="shared" ref="F5290:F5323" si="167">TRIM(A5290)</f>
        <v>86881</v>
      </c>
      <c r="H5290" s="14">
        <f t="shared" si="166"/>
        <v>241.06</v>
      </c>
    </row>
    <row r="5291" spans="1:8" ht="27.6">
      <c r="A5291" s="502" t="s">
        <v>6165</v>
      </c>
      <c r="B5291" s="504" t="s">
        <v>29558</v>
      </c>
      <c r="C5291" s="502" t="s">
        <v>114</v>
      </c>
      <c r="D5291" s="503" t="s">
        <v>33276</v>
      </c>
      <c r="F5291" t="str">
        <f t="shared" si="167"/>
        <v>86882</v>
      </c>
      <c r="H5291" s="14">
        <f t="shared" si="166"/>
        <v>28.46</v>
      </c>
    </row>
    <row r="5292" spans="1:8" ht="27.6">
      <c r="A5292" s="502" t="s">
        <v>6166</v>
      </c>
      <c r="B5292" s="504" t="s">
        <v>13541</v>
      </c>
      <c r="C5292" s="502" t="s">
        <v>114</v>
      </c>
      <c r="D5292" s="503" t="s">
        <v>11630</v>
      </c>
      <c r="F5292" t="str">
        <f t="shared" si="167"/>
        <v>86883</v>
      </c>
      <c r="H5292" s="14">
        <f t="shared" si="166"/>
        <v>15.56</v>
      </c>
    </row>
    <row r="5293" spans="1:8" ht="27.6">
      <c r="A5293" s="502" t="s">
        <v>6167</v>
      </c>
      <c r="B5293" s="504" t="s">
        <v>29559</v>
      </c>
      <c r="C5293" s="502" t="s">
        <v>114</v>
      </c>
      <c r="D5293" s="503" t="s">
        <v>10695</v>
      </c>
      <c r="F5293" t="str">
        <f t="shared" si="167"/>
        <v>86884</v>
      </c>
      <c r="H5293" s="14">
        <f t="shared" si="166"/>
        <v>14.42</v>
      </c>
    </row>
    <row r="5294" spans="1:8" ht="27.6">
      <c r="A5294" s="502" t="s">
        <v>6168</v>
      </c>
      <c r="B5294" s="504" t="s">
        <v>29560</v>
      </c>
      <c r="C5294" s="502" t="s">
        <v>114</v>
      </c>
      <c r="D5294" s="503" t="s">
        <v>33574</v>
      </c>
      <c r="F5294" t="str">
        <f t="shared" si="167"/>
        <v>86885</v>
      </c>
      <c r="H5294" s="14">
        <f t="shared" si="166"/>
        <v>16.190000000000001</v>
      </c>
    </row>
    <row r="5295" spans="1:8" ht="27.6">
      <c r="A5295" s="502" t="s">
        <v>6169</v>
      </c>
      <c r="B5295" s="504" t="s">
        <v>13542</v>
      </c>
      <c r="C5295" s="502" t="s">
        <v>114</v>
      </c>
      <c r="D5295" s="503" t="s">
        <v>18194</v>
      </c>
      <c r="F5295" t="str">
        <f t="shared" si="167"/>
        <v>86886</v>
      </c>
      <c r="H5295" s="14">
        <f t="shared" si="166"/>
        <v>59.79</v>
      </c>
    </row>
    <row r="5296" spans="1:8" ht="27.6">
      <c r="A5296" s="502" t="s">
        <v>6170</v>
      </c>
      <c r="B5296" s="504" t="s">
        <v>13543</v>
      </c>
      <c r="C5296" s="502" t="s">
        <v>114</v>
      </c>
      <c r="D5296" s="503" t="s">
        <v>33575</v>
      </c>
      <c r="F5296" t="str">
        <f t="shared" si="167"/>
        <v>86887</v>
      </c>
      <c r="H5296" s="14">
        <f t="shared" si="166"/>
        <v>64.72</v>
      </c>
    </row>
    <row r="5297" spans="1:8" ht="27.6">
      <c r="A5297" s="502" t="s">
        <v>6171</v>
      </c>
      <c r="B5297" s="504" t="s">
        <v>13544</v>
      </c>
      <c r="C5297" s="502" t="s">
        <v>114</v>
      </c>
      <c r="D5297" s="503" t="s">
        <v>33576</v>
      </c>
      <c r="F5297" t="str">
        <f t="shared" si="167"/>
        <v>86888</v>
      </c>
      <c r="H5297" s="14">
        <f t="shared" si="166"/>
        <v>746.4</v>
      </c>
    </row>
    <row r="5298" spans="1:8" ht="41.4">
      <c r="A5298" s="502" t="s">
        <v>6172</v>
      </c>
      <c r="B5298" s="504" t="s">
        <v>13545</v>
      </c>
      <c r="C5298" s="502" t="s">
        <v>114</v>
      </c>
      <c r="D5298" s="503" t="s">
        <v>33577</v>
      </c>
      <c r="F5298" t="str">
        <f t="shared" si="167"/>
        <v>86889</v>
      </c>
      <c r="H5298" s="14">
        <f t="shared" si="166"/>
        <v>664.37</v>
      </c>
    </row>
    <row r="5299" spans="1:8" ht="41.4">
      <c r="A5299" s="502" t="s">
        <v>6173</v>
      </c>
      <c r="B5299" s="504" t="s">
        <v>13546</v>
      </c>
      <c r="C5299" s="502" t="s">
        <v>114</v>
      </c>
      <c r="D5299" s="503" t="s">
        <v>33578</v>
      </c>
      <c r="F5299" t="str">
        <f t="shared" si="167"/>
        <v>86893</v>
      </c>
      <c r="H5299" s="14">
        <f t="shared" si="166"/>
        <v>490.35</v>
      </c>
    </row>
    <row r="5300" spans="1:8" ht="41.4">
      <c r="A5300" s="502" t="s">
        <v>6174</v>
      </c>
      <c r="B5300" s="504" t="s">
        <v>13547</v>
      </c>
      <c r="C5300" s="502" t="s">
        <v>114</v>
      </c>
      <c r="D5300" s="503" t="s">
        <v>33579</v>
      </c>
      <c r="F5300" t="str">
        <f t="shared" si="167"/>
        <v>86894</v>
      </c>
      <c r="H5300" s="14">
        <f t="shared" si="166"/>
        <v>338.3</v>
      </c>
    </row>
    <row r="5301" spans="1:8" ht="41.4">
      <c r="A5301" s="502" t="s">
        <v>6175</v>
      </c>
      <c r="B5301" s="504" t="s">
        <v>13548</v>
      </c>
      <c r="C5301" s="502" t="s">
        <v>114</v>
      </c>
      <c r="D5301" s="503" t="s">
        <v>33580</v>
      </c>
      <c r="F5301" t="str">
        <f t="shared" si="167"/>
        <v>86895</v>
      </c>
      <c r="H5301" s="14">
        <f t="shared" si="166"/>
        <v>364.49</v>
      </c>
    </row>
    <row r="5302" spans="1:8" ht="41.4">
      <c r="A5302" s="502" t="s">
        <v>6176</v>
      </c>
      <c r="B5302" s="504" t="s">
        <v>13549</v>
      </c>
      <c r="C5302" s="502" t="s">
        <v>114</v>
      </c>
      <c r="D5302" s="503" t="s">
        <v>33581</v>
      </c>
      <c r="F5302" t="str">
        <f t="shared" si="167"/>
        <v>86899</v>
      </c>
      <c r="H5302" s="14">
        <f t="shared" si="166"/>
        <v>299.2</v>
      </c>
    </row>
    <row r="5303" spans="1:8" ht="27.6">
      <c r="A5303" s="502" t="s">
        <v>6177</v>
      </c>
      <c r="B5303" s="504" t="s">
        <v>13550</v>
      </c>
      <c r="C5303" s="502" t="s">
        <v>114</v>
      </c>
      <c r="D5303" s="503" t="s">
        <v>33582</v>
      </c>
      <c r="F5303" t="str">
        <f t="shared" si="167"/>
        <v>86900</v>
      </c>
      <c r="H5303" s="14">
        <f t="shared" si="166"/>
        <v>330.46</v>
      </c>
    </row>
    <row r="5304" spans="1:8" ht="27.6">
      <c r="A5304" s="502" t="s">
        <v>6178</v>
      </c>
      <c r="B5304" s="504" t="s">
        <v>13551</v>
      </c>
      <c r="C5304" s="502" t="s">
        <v>114</v>
      </c>
      <c r="D5304" s="503" t="s">
        <v>33583</v>
      </c>
      <c r="F5304" t="str">
        <f t="shared" si="167"/>
        <v>86901</v>
      </c>
      <c r="H5304" s="14">
        <f t="shared" si="166"/>
        <v>226.94</v>
      </c>
    </row>
    <row r="5305" spans="1:8" ht="41.4">
      <c r="A5305" s="502" t="s">
        <v>6179</v>
      </c>
      <c r="B5305" s="504" t="s">
        <v>13552</v>
      </c>
      <c r="C5305" s="502" t="s">
        <v>114</v>
      </c>
      <c r="D5305" s="503" t="s">
        <v>33584</v>
      </c>
      <c r="F5305" t="str">
        <f t="shared" si="167"/>
        <v>86902</v>
      </c>
      <c r="H5305" s="14">
        <f t="shared" si="166"/>
        <v>462.76</v>
      </c>
    </row>
    <row r="5306" spans="1:8" ht="41.4">
      <c r="A5306" s="502" t="s">
        <v>6180</v>
      </c>
      <c r="B5306" s="504" t="s">
        <v>13553</v>
      </c>
      <c r="C5306" s="502" t="s">
        <v>114</v>
      </c>
      <c r="D5306" s="503" t="s">
        <v>33585</v>
      </c>
      <c r="F5306" t="str">
        <f t="shared" si="167"/>
        <v>86903</v>
      </c>
      <c r="H5306" s="14">
        <f t="shared" si="166"/>
        <v>524.87</v>
      </c>
    </row>
    <row r="5307" spans="1:8" ht="41.4">
      <c r="A5307" s="502" t="s">
        <v>6181</v>
      </c>
      <c r="B5307" s="504" t="s">
        <v>13554</v>
      </c>
      <c r="C5307" s="502" t="s">
        <v>114</v>
      </c>
      <c r="D5307" s="503" t="s">
        <v>33586</v>
      </c>
      <c r="F5307" t="str">
        <f t="shared" si="167"/>
        <v>86904</v>
      </c>
      <c r="H5307" s="14">
        <f t="shared" si="166"/>
        <v>220.9</v>
      </c>
    </row>
    <row r="5308" spans="1:8" ht="27.6">
      <c r="A5308" s="502" t="s">
        <v>6182</v>
      </c>
      <c r="B5308" s="504" t="s">
        <v>13555</v>
      </c>
      <c r="C5308" s="502" t="s">
        <v>114</v>
      </c>
      <c r="D5308" s="503" t="s">
        <v>33587</v>
      </c>
      <c r="F5308" t="str">
        <f t="shared" si="167"/>
        <v>86905</v>
      </c>
      <c r="H5308" s="14">
        <f t="shared" si="166"/>
        <v>429.61</v>
      </c>
    </row>
    <row r="5309" spans="1:8" ht="41.4">
      <c r="A5309" s="502" t="s">
        <v>6183</v>
      </c>
      <c r="B5309" s="504" t="s">
        <v>29561</v>
      </c>
      <c r="C5309" s="502" t="s">
        <v>114</v>
      </c>
      <c r="D5309" s="503" t="s">
        <v>33588</v>
      </c>
      <c r="F5309" t="str">
        <f t="shared" si="167"/>
        <v>86906</v>
      </c>
      <c r="H5309" s="14">
        <f t="shared" si="166"/>
        <v>79.67</v>
      </c>
    </row>
    <row r="5310" spans="1:8" ht="41.4">
      <c r="A5310" s="502" t="s">
        <v>6184</v>
      </c>
      <c r="B5310" s="504" t="s">
        <v>13556</v>
      </c>
      <c r="C5310" s="502" t="s">
        <v>114</v>
      </c>
      <c r="D5310" s="503" t="s">
        <v>33589</v>
      </c>
      <c r="F5310" t="str">
        <f t="shared" si="167"/>
        <v>86908</v>
      </c>
      <c r="H5310" s="14">
        <f t="shared" si="166"/>
        <v>509.33</v>
      </c>
    </row>
    <row r="5311" spans="1:8" ht="41.4">
      <c r="A5311" s="502" t="s">
        <v>6185</v>
      </c>
      <c r="B5311" s="504" t="s">
        <v>29562</v>
      </c>
      <c r="C5311" s="502" t="s">
        <v>114</v>
      </c>
      <c r="D5311" s="503" t="s">
        <v>33590</v>
      </c>
      <c r="F5311" t="str">
        <f t="shared" si="167"/>
        <v>86909</v>
      </c>
      <c r="H5311" s="14">
        <f t="shared" si="166"/>
        <v>138.31</v>
      </c>
    </row>
    <row r="5312" spans="1:8" ht="41.4">
      <c r="A5312" s="502" t="s">
        <v>6186</v>
      </c>
      <c r="B5312" s="504" t="s">
        <v>29563</v>
      </c>
      <c r="C5312" s="502" t="s">
        <v>114</v>
      </c>
      <c r="D5312" s="503" t="s">
        <v>28536</v>
      </c>
      <c r="F5312" t="str">
        <f t="shared" si="167"/>
        <v>86910</v>
      </c>
      <c r="H5312" s="14">
        <f t="shared" si="166"/>
        <v>135.41</v>
      </c>
    </row>
    <row r="5313" spans="1:8" ht="41.4">
      <c r="A5313" s="502" t="s">
        <v>6187</v>
      </c>
      <c r="B5313" s="504" t="s">
        <v>29564</v>
      </c>
      <c r="C5313" s="502" t="s">
        <v>114</v>
      </c>
      <c r="D5313" s="503" t="s">
        <v>33591</v>
      </c>
      <c r="F5313" t="str">
        <f t="shared" si="167"/>
        <v>86911</v>
      </c>
      <c r="H5313" s="14">
        <f t="shared" si="166"/>
        <v>93.28</v>
      </c>
    </row>
    <row r="5314" spans="1:8" ht="27.6">
      <c r="A5314" s="502" t="s">
        <v>6188</v>
      </c>
      <c r="B5314" s="504" t="s">
        <v>29565</v>
      </c>
      <c r="C5314" s="502" t="s">
        <v>114</v>
      </c>
      <c r="D5314" s="503" t="s">
        <v>29328</v>
      </c>
      <c r="F5314" t="str">
        <f t="shared" si="167"/>
        <v>86913</v>
      </c>
      <c r="H5314" s="14">
        <f t="shared" si="166"/>
        <v>59.68</v>
      </c>
    </row>
    <row r="5315" spans="1:8" ht="27.6">
      <c r="A5315" s="502" t="s">
        <v>6189</v>
      </c>
      <c r="B5315" s="504" t="s">
        <v>29566</v>
      </c>
      <c r="C5315" s="502" t="s">
        <v>114</v>
      </c>
      <c r="D5315" s="503" t="s">
        <v>20031</v>
      </c>
      <c r="F5315" t="str">
        <f t="shared" si="167"/>
        <v>86914</v>
      </c>
      <c r="H5315" s="14">
        <f t="shared" si="166"/>
        <v>105.07</v>
      </c>
    </row>
    <row r="5316" spans="1:8" ht="41.4">
      <c r="A5316" s="502" t="s">
        <v>6190</v>
      </c>
      <c r="B5316" s="504" t="s">
        <v>29567</v>
      </c>
      <c r="C5316" s="502" t="s">
        <v>114</v>
      </c>
      <c r="D5316" s="503" t="s">
        <v>33592</v>
      </c>
      <c r="F5316" t="str">
        <f t="shared" si="167"/>
        <v>86915</v>
      </c>
      <c r="H5316" s="14">
        <f t="shared" si="166"/>
        <v>151.09</v>
      </c>
    </row>
    <row r="5317" spans="1:8" ht="27.6">
      <c r="A5317" s="502" t="s">
        <v>6191</v>
      </c>
      <c r="B5317" s="504" t="s">
        <v>29568</v>
      </c>
      <c r="C5317" s="502" t="s">
        <v>114</v>
      </c>
      <c r="D5317" s="503" t="s">
        <v>7350</v>
      </c>
      <c r="F5317" t="str">
        <f t="shared" si="167"/>
        <v>86916</v>
      </c>
      <c r="H5317" s="14">
        <f t="shared" ref="H5317:H5380" si="168">ROUND(D5317*(1+$H$1),2)</f>
        <v>29.16</v>
      </c>
    </row>
    <row r="5318" spans="1:8" ht="55.2">
      <c r="A5318" s="502" t="s">
        <v>6192</v>
      </c>
      <c r="B5318" s="504" t="s">
        <v>13558</v>
      </c>
      <c r="C5318" s="502" t="s">
        <v>114</v>
      </c>
      <c r="D5318" s="503" t="s">
        <v>33593</v>
      </c>
      <c r="F5318" t="str">
        <f t="shared" si="167"/>
        <v>86919</v>
      </c>
      <c r="H5318" s="14">
        <f t="shared" si="168"/>
        <v>1298</v>
      </c>
    </row>
    <row r="5319" spans="1:8" ht="55.2">
      <c r="A5319" s="502" t="s">
        <v>6193</v>
      </c>
      <c r="B5319" s="504" t="s">
        <v>13559</v>
      </c>
      <c r="C5319" s="502" t="s">
        <v>114</v>
      </c>
      <c r="D5319" s="503" t="s">
        <v>33594</v>
      </c>
      <c r="F5319" t="str">
        <f t="shared" si="167"/>
        <v>86920</v>
      </c>
      <c r="H5319" s="14">
        <f t="shared" si="168"/>
        <v>1185.07</v>
      </c>
    </row>
    <row r="5320" spans="1:8" ht="55.2">
      <c r="A5320" s="502" t="s">
        <v>6194</v>
      </c>
      <c r="B5320" s="504" t="s">
        <v>13560</v>
      </c>
      <c r="C5320" s="502" t="s">
        <v>114</v>
      </c>
      <c r="D5320" s="503" t="s">
        <v>33595</v>
      </c>
      <c r="F5320" t="str">
        <f t="shared" si="167"/>
        <v>86921</v>
      </c>
      <c r="H5320" s="14">
        <f t="shared" si="168"/>
        <v>1154.54</v>
      </c>
    </row>
    <row r="5321" spans="1:8" ht="69">
      <c r="A5321" s="502" t="s">
        <v>6195</v>
      </c>
      <c r="B5321" s="504" t="s">
        <v>13561</v>
      </c>
      <c r="C5321" s="502" t="s">
        <v>114</v>
      </c>
      <c r="D5321" s="503" t="s">
        <v>33596</v>
      </c>
      <c r="F5321" t="str">
        <f t="shared" si="167"/>
        <v>86922</v>
      </c>
      <c r="H5321" s="14">
        <f t="shared" si="168"/>
        <v>1196.28</v>
      </c>
    </row>
    <row r="5322" spans="1:8" ht="55.2">
      <c r="A5322" s="502" t="s">
        <v>6196</v>
      </c>
      <c r="B5322" s="504" t="s">
        <v>13562</v>
      </c>
      <c r="C5322" s="502" t="s">
        <v>114</v>
      </c>
      <c r="D5322" s="503" t="s">
        <v>33597</v>
      </c>
      <c r="F5322" t="str">
        <f t="shared" si="167"/>
        <v>86923</v>
      </c>
      <c r="H5322" s="14">
        <f t="shared" si="168"/>
        <v>870.75</v>
      </c>
    </row>
    <row r="5323" spans="1:8" ht="55.2">
      <c r="A5323" s="502" t="s">
        <v>6197</v>
      </c>
      <c r="B5323" s="504" t="s">
        <v>13563</v>
      </c>
      <c r="C5323" s="502" t="s">
        <v>114</v>
      </c>
      <c r="D5323" s="503" t="s">
        <v>33598</v>
      </c>
      <c r="F5323" t="str">
        <f t="shared" si="167"/>
        <v>86924</v>
      </c>
      <c r="H5323" s="14">
        <f t="shared" si="168"/>
        <v>840.22</v>
      </c>
    </row>
    <row r="5324" spans="1:8" ht="55.2">
      <c r="A5324" s="502" t="s">
        <v>6198</v>
      </c>
      <c r="B5324" s="504" t="s">
        <v>13564</v>
      </c>
      <c r="C5324" s="502" t="s">
        <v>114</v>
      </c>
      <c r="D5324" s="503" t="s">
        <v>33599</v>
      </c>
      <c r="F5324" t="str">
        <f>TRIM(A5324)</f>
        <v>86925</v>
      </c>
      <c r="H5324" s="14">
        <f t="shared" si="168"/>
        <v>687.69</v>
      </c>
    </row>
    <row r="5325" spans="1:8" ht="55.2">
      <c r="A5325" s="502" t="s">
        <v>6199</v>
      </c>
      <c r="B5325" s="504" t="s">
        <v>13565</v>
      </c>
      <c r="C5325" s="502" t="s">
        <v>114</v>
      </c>
      <c r="D5325" s="503" t="s">
        <v>33600</v>
      </c>
      <c r="F5325" t="str">
        <f>TRIM(A5325)</f>
        <v>86926</v>
      </c>
      <c r="H5325" s="14">
        <f t="shared" si="168"/>
        <v>657.16</v>
      </c>
    </row>
    <row r="5326" spans="1:8" ht="55.2">
      <c r="A5326" s="502" t="s">
        <v>6200</v>
      </c>
      <c r="B5326" s="504" t="s">
        <v>13566</v>
      </c>
      <c r="C5326" s="502" t="s">
        <v>114</v>
      </c>
      <c r="D5326" s="503" t="s">
        <v>33601</v>
      </c>
      <c r="F5326" t="str">
        <f>TRIM(A5326)</f>
        <v>86927</v>
      </c>
      <c r="H5326" s="14">
        <f t="shared" si="168"/>
        <v>450.03</v>
      </c>
    </row>
    <row r="5327" spans="1:8" ht="55.2">
      <c r="A5327" s="502" t="s">
        <v>6201</v>
      </c>
      <c r="B5327" s="504" t="s">
        <v>13567</v>
      </c>
      <c r="C5327" s="502" t="s">
        <v>114</v>
      </c>
      <c r="D5327" s="503" t="s">
        <v>33602</v>
      </c>
      <c r="F5327" t="str">
        <f t="shared" ref="F5327:F5390" si="169">TRIM(A5327)</f>
        <v>86928</v>
      </c>
      <c r="H5327" s="14">
        <f t="shared" si="168"/>
        <v>419.5</v>
      </c>
    </row>
    <row r="5328" spans="1:8" ht="55.2">
      <c r="A5328" s="502" t="s">
        <v>6202</v>
      </c>
      <c r="B5328" s="504" t="s">
        <v>13568</v>
      </c>
      <c r="C5328" s="502" t="s">
        <v>114</v>
      </c>
      <c r="D5328" s="503" t="s">
        <v>33603</v>
      </c>
      <c r="F5328" t="str">
        <f t="shared" si="169"/>
        <v>86929</v>
      </c>
      <c r="H5328" s="14">
        <f t="shared" si="168"/>
        <v>437.13</v>
      </c>
    </row>
    <row r="5329" spans="1:8" ht="55.2">
      <c r="A5329" s="502" t="s">
        <v>6203</v>
      </c>
      <c r="B5329" s="504" t="s">
        <v>13569</v>
      </c>
      <c r="C5329" s="502" t="s">
        <v>114</v>
      </c>
      <c r="D5329" s="503" t="s">
        <v>33604</v>
      </c>
      <c r="F5329" t="str">
        <f t="shared" si="169"/>
        <v>86930</v>
      </c>
      <c r="H5329" s="14">
        <f t="shared" si="168"/>
        <v>406.6</v>
      </c>
    </row>
    <row r="5330" spans="1:8" ht="41.4">
      <c r="A5330" s="502" t="s">
        <v>6204</v>
      </c>
      <c r="B5330" s="504" t="s">
        <v>13570</v>
      </c>
      <c r="C5330" s="502" t="s">
        <v>114</v>
      </c>
      <c r="D5330" s="503" t="s">
        <v>33605</v>
      </c>
      <c r="F5330" t="str">
        <f t="shared" si="169"/>
        <v>86931</v>
      </c>
      <c r="H5330" s="14">
        <f t="shared" si="168"/>
        <v>762.59</v>
      </c>
    </row>
    <row r="5331" spans="1:8" ht="55.2">
      <c r="A5331" s="502" t="s">
        <v>6205</v>
      </c>
      <c r="B5331" s="504" t="s">
        <v>13571</v>
      </c>
      <c r="C5331" s="502" t="s">
        <v>114</v>
      </c>
      <c r="D5331" s="503" t="s">
        <v>33606</v>
      </c>
      <c r="F5331" t="str">
        <f t="shared" si="169"/>
        <v>86932</v>
      </c>
      <c r="H5331" s="14">
        <f t="shared" si="168"/>
        <v>811.12</v>
      </c>
    </row>
    <row r="5332" spans="1:8" ht="69">
      <c r="A5332" s="502" t="s">
        <v>6206</v>
      </c>
      <c r="B5332" s="504" t="s">
        <v>13572</v>
      </c>
      <c r="C5332" s="502" t="s">
        <v>114</v>
      </c>
      <c r="D5332" s="503" t="s">
        <v>33607</v>
      </c>
      <c r="F5332" t="str">
        <f t="shared" si="169"/>
        <v>86933</v>
      </c>
      <c r="H5332" s="14">
        <f t="shared" si="168"/>
        <v>493.32</v>
      </c>
    </row>
    <row r="5333" spans="1:8" ht="69">
      <c r="A5333" s="502" t="s">
        <v>6207</v>
      </c>
      <c r="B5333" s="504" t="s">
        <v>13573</v>
      </c>
      <c r="C5333" s="502" t="s">
        <v>114</v>
      </c>
      <c r="D5333" s="503" t="s">
        <v>33608</v>
      </c>
      <c r="F5333" t="str">
        <f t="shared" si="169"/>
        <v>86934</v>
      </c>
      <c r="H5333" s="14">
        <f t="shared" si="168"/>
        <v>480.42</v>
      </c>
    </row>
    <row r="5334" spans="1:8" ht="55.2">
      <c r="A5334" s="502" t="s">
        <v>6208</v>
      </c>
      <c r="B5334" s="504" t="s">
        <v>13574</v>
      </c>
      <c r="C5334" s="502" t="s">
        <v>114</v>
      </c>
      <c r="D5334" s="503" t="s">
        <v>33609</v>
      </c>
      <c r="F5334" t="str">
        <f t="shared" si="169"/>
        <v>86935</v>
      </c>
      <c r="H5334" s="14">
        <f t="shared" si="168"/>
        <v>432.54</v>
      </c>
    </row>
    <row r="5335" spans="1:8" ht="55.2">
      <c r="A5335" s="502" t="s">
        <v>6209</v>
      </c>
      <c r="B5335" s="504" t="s">
        <v>13575</v>
      </c>
      <c r="C5335" s="502" t="s">
        <v>114</v>
      </c>
      <c r="D5335" s="503" t="s">
        <v>33610</v>
      </c>
      <c r="F5335" t="str">
        <f t="shared" si="169"/>
        <v>86936</v>
      </c>
      <c r="H5335" s="14">
        <f t="shared" si="168"/>
        <v>658.04</v>
      </c>
    </row>
    <row r="5336" spans="1:8" ht="55.2">
      <c r="A5336" s="502" t="s">
        <v>6210</v>
      </c>
      <c r="B5336" s="504" t="s">
        <v>13576</v>
      </c>
      <c r="C5336" s="502" t="s">
        <v>114</v>
      </c>
      <c r="D5336" s="503" t="s">
        <v>33611</v>
      </c>
      <c r="F5336" t="str">
        <f t="shared" si="169"/>
        <v>86937</v>
      </c>
      <c r="H5336" s="14">
        <f t="shared" si="168"/>
        <v>322.89999999999998</v>
      </c>
    </row>
    <row r="5337" spans="1:8" ht="55.2">
      <c r="A5337" s="502" t="s">
        <v>6211</v>
      </c>
      <c r="B5337" s="504" t="s">
        <v>13577</v>
      </c>
      <c r="C5337" s="502" t="s">
        <v>114</v>
      </c>
      <c r="D5337" s="503" t="s">
        <v>33612</v>
      </c>
      <c r="F5337" t="str">
        <f t="shared" si="169"/>
        <v>86938</v>
      </c>
      <c r="H5337" s="14">
        <f t="shared" si="168"/>
        <v>548.4</v>
      </c>
    </row>
    <row r="5338" spans="1:8" ht="69">
      <c r="A5338" s="502" t="s">
        <v>6212</v>
      </c>
      <c r="B5338" s="504" t="s">
        <v>13578</v>
      </c>
      <c r="C5338" s="502" t="s">
        <v>114</v>
      </c>
      <c r="D5338" s="503" t="s">
        <v>33613</v>
      </c>
      <c r="F5338" t="str">
        <f t="shared" si="169"/>
        <v>86939</v>
      </c>
      <c r="H5338" s="14">
        <f t="shared" si="168"/>
        <v>585.27</v>
      </c>
    </row>
    <row r="5339" spans="1:8" ht="69">
      <c r="A5339" s="502" t="s">
        <v>6213</v>
      </c>
      <c r="B5339" s="504" t="s">
        <v>13579</v>
      </c>
      <c r="C5339" s="502" t="s">
        <v>114</v>
      </c>
      <c r="D5339" s="503" t="s">
        <v>33614</v>
      </c>
      <c r="F5339" t="str">
        <f t="shared" si="169"/>
        <v>86940</v>
      </c>
      <c r="H5339" s="14">
        <f t="shared" si="168"/>
        <v>1405.39</v>
      </c>
    </row>
    <row r="5340" spans="1:8" ht="69">
      <c r="A5340" s="502" t="s">
        <v>6214</v>
      </c>
      <c r="B5340" s="504" t="s">
        <v>13580</v>
      </c>
      <c r="C5340" s="502" t="s">
        <v>114</v>
      </c>
      <c r="D5340" s="503" t="s">
        <v>33615</v>
      </c>
      <c r="F5340" t="str">
        <f t="shared" si="169"/>
        <v>86941</v>
      </c>
      <c r="H5340" s="14">
        <f t="shared" si="168"/>
        <v>1062.1500000000001</v>
      </c>
    </row>
    <row r="5341" spans="1:8" ht="69">
      <c r="A5341" s="502" t="s">
        <v>6215</v>
      </c>
      <c r="B5341" s="504" t="s">
        <v>13581</v>
      </c>
      <c r="C5341" s="502" t="s">
        <v>114</v>
      </c>
      <c r="D5341" s="503" t="s">
        <v>33616</v>
      </c>
      <c r="F5341" t="str">
        <f t="shared" si="169"/>
        <v>86942</v>
      </c>
      <c r="H5341" s="14">
        <f t="shared" si="168"/>
        <v>356.31</v>
      </c>
    </row>
    <row r="5342" spans="1:8" ht="69">
      <c r="A5342" s="502" t="s">
        <v>6216</v>
      </c>
      <c r="B5342" s="504" t="s">
        <v>13582</v>
      </c>
      <c r="C5342" s="502" t="s">
        <v>114</v>
      </c>
      <c r="D5342" s="503" t="s">
        <v>33617</v>
      </c>
      <c r="F5342" t="str">
        <f t="shared" si="169"/>
        <v>86943</v>
      </c>
      <c r="H5342" s="14">
        <f t="shared" si="168"/>
        <v>343.41</v>
      </c>
    </row>
    <row r="5343" spans="1:8" ht="69">
      <c r="A5343" s="502" t="s">
        <v>6217</v>
      </c>
      <c r="B5343" s="504" t="s">
        <v>13583</v>
      </c>
      <c r="C5343" s="502" t="s">
        <v>114</v>
      </c>
      <c r="D5343" s="503" t="s">
        <v>33618</v>
      </c>
      <c r="F5343" t="str">
        <f t="shared" si="169"/>
        <v>86947</v>
      </c>
      <c r="H5343" s="14">
        <f t="shared" si="168"/>
        <v>1406.65</v>
      </c>
    </row>
    <row r="5344" spans="1:8" ht="69">
      <c r="A5344" s="502" t="s">
        <v>6218</v>
      </c>
      <c r="B5344" s="504" t="s">
        <v>13584</v>
      </c>
      <c r="C5344" s="502" t="s">
        <v>114</v>
      </c>
      <c r="D5344" s="503" t="s">
        <v>33619</v>
      </c>
      <c r="F5344" t="str">
        <f t="shared" si="169"/>
        <v>93396</v>
      </c>
      <c r="H5344" s="14">
        <f t="shared" si="168"/>
        <v>781.48</v>
      </c>
    </row>
    <row r="5345" spans="1:8" ht="69">
      <c r="A5345" s="502" t="s">
        <v>6219</v>
      </c>
      <c r="B5345" s="504" t="s">
        <v>29569</v>
      </c>
      <c r="C5345" s="502" t="s">
        <v>114</v>
      </c>
      <c r="D5345" s="503" t="s">
        <v>33620</v>
      </c>
      <c r="F5345" t="str">
        <f t="shared" si="169"/>
        <v>93441</v>
      </c>
      <c r="H5345" s="14">
        <f t="shared" si="168"/>
        <v>1204.6099999999999</v>
      </c>
    </row>
    <row r="5346" spans="1:8" ht="69">
      <c r="A5346" s="502" t="s">
        <v>6220</v>
      </c>
      <c r="B5346" s="504" t="s">
        <v>29570</v>
      </c>
      <c r="C5346" s="502" t="s">
        <v>114</v>
      </c>
      <c r="D5346" s="503" t="s">
        <v>33621</v>
      </c>
      <c r="F5346" t="str">
        <f t="shared" si="169"/>
        <v>93442</v>
      </c>
      <c r="H5346" s="14">
        <f t="shared" si="168"/>
        <v>1301.1199999999999</v>
      </c>
    </row>
    <row r="5347" spans="1:8" ht="27.6">
      <c r="A5347" s="502" t="s">
        <v>6221</v>
      </c>
      <c r="B5347" s="504" t="s">
        <v>13585</v>
      </c>
      <c r="C5347" s="502" t="s">
        <v>114</v>
      </c>
      <c r="D5347" s="503" t="s">
        <v>33622</v>
      </c>
      <c r="F5347" t="str">
        <f t="shared" si="169"/>
        <v>95469</v>
      </c>
      <c r="H5347" s="14">
        <f t="shared" si="168"/>
        <v>448.71</v>
      </c>
    </row>
    <row r="5348" spans="1:8" ht="55.2">
      <c r="A5348" s="502" t="s">
        <v>6222</v>
      </c>
      <c r="B5348" s="504" t="s">
        <v>29571</v>
      </c>
      <c r="C5348" s="502" t="s">
        <v>114</v>
      </c>
      <c r="D5348" s="503" t="s">
        <v>33623</v>
      </c>
      <c r="F5348" t="str">
        <f t="shared" si="169"/>
        <v>95470</v>
      </c>
      <c r="H5348" s="14">
        <f t="shared" si="168"/>
        <v>460.86</v>
      </c>
    </row>
    <row r="5349" spans="1:8" ht="41.4">
      <c r="A5349" s="502" t="s">
        <v>6223</v>
      </c>
      <c r="B5349" s="504" t="s">
        <v>13586</v>
      </c>
      <c r="C5349" s="502" t="s">
        <v>114</v>
      </c>
      <c r="D5349" s="503" t="s">
        <v>33624</v>
      </c>
      <c r="F5349" t="str">
        <f t="shared" si="169"/>
        <v>95471</v>
      </c>
      <c r="H5349" s="14">
        <f t="shared" si="168"/>
        <v>1181.74</v>
      </c>
    </row>
    <row r="5350" spans="1:8" ht="55.2">
      <c r="A5350" s="502" t="s">
        <v>6224</v>
      </c>
      <c r="B5350" s="504" t="s">
        <v>13587</v>
      </c>
      <c r="C5350" s="502" t="s">
        <v>114</v>
      </c>
      <c r="D5350" s="503" t="s">
        <v>33625</v>
      </c>
      <c r="F5350" t="str">
        <f t="shared" si="169"/>
        <v>95472</v>
      </c>
      <c r="H5350" s="14">
        <f t="shared" si="168"/>
        <v>1193.8900000000001</v>
      </c>
    </row>
    <row r="5351" spans="1:8" ht="27.6">
      <c r="A5351" s="502" t="s">
        <v>6225</v>
      </c>
      <c r="B5351" s="504" t="s">
        <v>13588</v>
      </c>
      <c r="C5351" s="502" t="s">
        <v>114</v>
      </c>
      <c r="D5351" s="503" t="s">
        <v>9504</v>
      </c>
      <c r="F5351" t="str">
        <f t="shared" si="169"/>
        <v>95542</v>
      </c>
      <c r="H5351" s="14">
        <f t="shared" si="168"/>
        <v>53.3</v>
      </c>
    </row>
    <row r="5352" spans="1:8" ht="27.6">
      <c r="A5352" s="502" t="s">
        <v>6226</v>
      </c>
      <c r="B5352" s="504" t="s">
        <v>13589</v>
      </c>
      <c r="C5352" s="502" t="s">
        <v>114</v>
      </c>
      <c r="D5352" s="503" t="s">
        <v>33626</v>
      </c>
      <c r="F5352" t="str">
        <f t="shared" si="169"/>
        <v>95543</v>
      </c>
      <c r="H5352" s="14">
        <f t="shared" si="168"/>
        <v>89.89</v>
      </c>
    </row>
    <row r="5353" spans="1:8" ht="27.6">
      <c r="A5353" s="502" t="s">
        <v>6227</v>
      </c>
      <c r="B5353" s="504" t="s">
        <v>13590</v>
      </c>
      <c r="C5353" s="502" t="s">
        <v>114</v>
      </c>
      <c r="D5353" s="503" t="s">
        <v>33627</v>
      </c>
      <c r="F5353" t="str">
        <f t="shared" si="169"/>
        <v>95544</v>
      </c>
      <c r="H5353" s="14">
        <f t="shared" si="168"/>
        <v>64.95</v>
      </c>
    </row>
    <row r="5354" spans="1:8" ht="27.6">
      <c r="A5354" s="502" t="s">
        <v>6228</v>
      </c>
      <c r="B5354" s="504" t="s">
        <v>13591</v>
      </c>
      <c r="C5354" s="502" t="s">
        <v>114</v>
      </c>
      <c r="D5354" s="503" t="s">
        <v>33628</v>
      </c>
      <c r="F5354" t="str">
        <f t="shared" si="169"/>
        <v>95545</v>
      </c>
      <c r="H5354" s="14">
        <f t="shared" si="168"/>
        <v>63.71</v>
      </c>
    </row>
    <row r="5355" spans="1:8" ht="27.6">
      <c r="A5355" s="502" t="s">
        <v>6229</v>
      </c>
      <c r="B5355" s="504" t="s">
        <v>13592</v>
      </c>
      <c r="C5355" s="502" t="s">
        <v>114</v>
      </c>
      <c r="D5355" s="503" t="s">
        <v>33629</v>
      </c>
      <c r="F5355" t="str">
        <f t="shared" si="169"/>
        <v>95546</v>
      </c>
      <c r="H5355" s="14">
        <f t="shared" si="168"/>
        <v>220.45</v>
      </c>
    </row>
    <row r="5356" spans="1:8" ht="41.4">
      <c r="A5356" s="502" t="s">
        <v>6230</v>
      </c>
      <c r="B5356" s="504" t="s">
        <v>13593</v>
      </c>
      <c r="C5356" s="502" t="s">
        <v>114</v>
      </c>
      <c r="D5356" s="503" t="s">
        <v>33630</v>
      </c>
      <c r="F5356" t="str">
        <f t="shared" si="169"/>
        <v>95547</v>
      </c>
      <c r="H5356" s="14">
        <f t="shared" si="168"/>
        <v>105.96</v>
      </c>
    </row>
    <row r="5357" spans="1:8" ht="27.6">
      <c r="A5357" s="502" t="s">
        <v>13594</v>
      </c>
      <c r="B5357" s="504" t="s">
        <v>13595</v>
      </c>
      <c r="C5357" s="502" t="s">
        <v>114</v>
      </c>
      <c r="D5357" s="503" t="s">
        <v>33631</v>
      </c>
      <c r="F5357" t="str">
        <f t="shared" si="169"/>
        <v>100848</v>
      </c>
      <c r="H5357" s="14">
        <f t="shared" si="168"/>
        <v>845.6</v>
      </c>
    </row>
    <row r="5358" spans="1:8" ht="27.6">
      <c r="A5358" s="502" t="s">
        <v>13596</v>
      </c>
      <c r="B5358" s="504" t="s">
        <v>13597</v>
      </c>
      <c r="C5358" s="502" t="s">
        <v>114</v>
      </c>
      <c r="D5358" s="503" t="s">
        <v>13154</v>
      </c>
      <c r="F5358" t="str">
        <f t="shared" si="169"/>
        <v>100849</v>
      </c>
      <c r="H5358" s="14">
        <f t="shared" si="168"/>
        <v>59.42</v>
      </c>
    </row>
    <row r="5359" spans="1:8" ht="27.6">
      <c r="A5359" s="502" t="s">
        <v>13599</v>
      </c>
      <c r="B5359" s="504" t="s">
        <v>13600</v>
      </c>
      <c r="C5359" s="502" t="s">
        <v>114</v>
      </c>
      <c r="D5359" s="503" t="s">
        <v>33632</v>
      </c>
      <c r="F5359" t="str">
        <f t="shared" si="169"/>
        <v>100851</v>
      </c>
      <c r="H5359" s="14">
        <f t="shared" si="168"/>
        <v>117.9</v>
      </c>
    </row>
    <row r="5360" spans="1:8" ht="27.6">
      <c r="A5360" s="502" t="s">
        <v>13601</v>
      </c>
      <c r="B5360" s="504" t="s">
        <v>13602</v>
      </c>
      <c r="C5360" s="502" t="s">
        <v>114</v>
      </c>
      <c r="D5360" s="503" t="s">
        <v>33633</v>
      </c>
      <c r="F5360" t="str">
        <f t="shared" si="169"/>
        <v>100852</v>
      </c>
      <c r="H5360" s="14">
        <f t="shared" si="168"/>
        <v>361.92</v>
      </c>
    </row>
    <row r="5361" spans="1:8" ht="27.6">
      <c r="A5361" s="502" t="s">
        <v>26160</v>
      </c>
      <c r="B5361" s="504" t="s">
        <v>26161</v>
      </c>
      <c r="C5361" s="502" t="s">
        <v>114</v>
      </c>
      <c r="D5361" s="503" t="s">
        <v>31397</v>
      </c>
      <c r="F5361" t="str">
        <f t="shared" si="169"/>
        <v>100853</v>
      </c>
      <c r="H5361" s="14">
        <f t="shared" si="168"/>
        <v>366.18</v>
      </c>
    </row>
    <row r="5362" spans="1:8" ht="27.6">
      <c r="A5362" s="502" t="s">
        <v>13603</v>
      </c>
      <c r="B5362" s="504" t="s">
        <v>13604</v>
      </c>
      <c r="C5362" s="502" t="s">
        <v>114</v>
      </c>
      <c r="D5362" s="503" t="s">
        <v>33634</v>
      </c>
      <c r="F5362" t="str">
        <f t="shared" si="169"/>
        <v>100854</v>
      </c>
      <c r="H5362" s="14">
        <f t="shared" si="168"/>
        <v>1880.81</v>
      </c>
    </row>
    <row r="5363" spans="1:8" ht="27.6">
      <c r="A5363" s="502" t="s">
        <v>13605</v>
      </c>
      <c r="B5363" s="504" t="s">
        <v>29574</v>
      </c>
      <c r="C5363" s="502" t="s">
        <v>114</v>
      </c>
      <c r="D5363" s="503" t="s">
        <v>16290</v>
      </c>
      <c r="F5363" t="str">
        <f t="shared" si="169"/>
        <v>100856</v>
      </c>
      <c r="H5363" s="14">
        <f t="shared" si="168"/>
        <v>41.12</v>
      </c>
    </row>
    <row r="5364" spans="1:8" ht="27.6">
      <c r="A5364" s="502" t="s">
        <v>13606</v>
      </c>
      <c r="B5364" s="504" t="s">
        <v>29575</v>
      </c>
      <c r="C5364" s="502" t="s">
        <v>114</v>
      </c>
      <c r="D5364" s="503" t="s">
        <v>33635</v>
      </c>
      <c r="F5364" t="str">
        <f t="shared" si="169"/>
        <v>100857</v>
      </c>
      <c r="H5364" s="14">
        <f t="shared" si="168"/>
        <v>553.59</v>
      </c>
    </row>
    <row r="5365" spans="1:8" ht="27.6">
      <c r="A5365" s="502" t="s">
        <v>13607</v>
      </c>
      <c r="B5365" s="504" t="s">
        <v>29576</v>
      </c>
      <c r="C5365" s="502" t="s">
        <v>114</v>
      </c>
      <c r="D5365" s="503" t="s">
        <v>33636</v>
      </c>
      <c r="F5365" t="str">
        <f t="shared" si="169"/>
        <v>100858</v>
      </c>
      <c r="H5365" s="14">
        <f t="shared" si="168"/>
        <v>1024.43</v>
      </c>
    </row>
    <row r="5366" spans="1:8" ht="41.4">
      <c r="A5366" s="502" t="s">
        <v>16305</v>
      </c>
      <c r="B5366" s="504" t="s">
        <v>29577</v>
      </c>
      <c r="C5366" s="502" t="s">
        <v>114</v>
      </c>
      <c r="D5366" s="503" t="s">
        <v>33637</v>
      </c>
      <c r="F5366" t="str">
        <f t="shared" si="169"/>
        <v>100859</v>
      </c>
      <c r="H5366" s="14">
        <f t="shared" si="168"/>
        <v>1567.1</v>
      </c>
    </row>
    <row r="5367" spans="1:8" ht="27.6">
      <c r="A5367" s="502" t="s">
        <v>13608</v>
      </c>
      <c r="B5367" s="504" t="s">
        <v>29578</v>
      </c>
      <c r="C5367" s="502" t="s">
        <v>114</v>
      </c>
      <c r="D5367" s="503" t="s">
        <v>33638</v>
      </c>
      <c r="F5367" t="str">
        <f t="shared" si="169"/>
        <v>100860</v>
      </c>
      <c r="H5367" s="14">
        <f t="shared" si="168"/>
        <v>132.04</v>
      </c>
    </row>
    <row r="5368" spans="1:8" ht="41.4">
      <c r="A5368" s="502" t="s">
        <v>13609</v>
      </c>
      <c r="B5368" s="504" t="s">
        <v>13610</v>
      </c>
      <c r="C5368" s="502" t="s">
        <v>114</v>
      </c>
      <c r="D5368" s="503" t="s">
        <v>10338</v>
      </c>
      <c r="F5368" t="str">
        <f t="shared" si="169"/>
        <v>100861</v>
      </c>
      <c r="H5368" s="14">
        <f t="shared" si="168"/>
        <v>48.32</v>
      </c>
    </row>
    <row r="5369" spans="1:8" ht="41.4">
      <c r="A5369" s="502" t="s">
        <v>13611</v>
      </c>
      <c r="B5369" s="504" t="s">
        <v>13612</v>
      </c>
      <c r="C5369" s="502" t="s">
        <v>114</v>
      </c>
      <c r="D5369" s="503" t="s">
        <v>10184</v>
      </c>
      <c r="F5369" t="str">
        <f t="shared" si="169"/>
        <v>100862</v>
      </c>
      <c r="H5369" s="14">
        <f t="shared" si="168"/>
        <v>52.86</v>
      </c>
    </row>
    <row r="5370" spans="1:8" ht="41.4">
      <c r="A5370" s="502" t="s">
        <v>13613</v>
      </c>
      <c r="B5370" s="504" t="s">
        <v>13614</v>
      </c>
      <c r="C5370" s="502" t="s">
        <v>114</v>
      </c>
      <c r="D5370" s="503" t="s">
        <v>33639</v>
      </c>
      <c r="F5370" t="str">
        <f t="shared" si="169"/>
        <v>100863</v>
      </c>
      <c r="H5370" s="14">
        <f t="shared" si="168"/>
        <v>849.58</v>
      </c>
    </row>
    <row r="5371" spans="1:8" ht="41.4">
      <c r="A5371" s="502" t="s">
        <v>13615</v>
      </c>
      <c r="B5371" s="504" t="s">
        <v>13616</v>
      </c>
      <c r="C5371" s="502" t="s">
        <v>114</v>
      </c>
      <c r="D5371" s="503" t="s">
        <v>33640</v>
      </c>
      <c r="F5371" t="str">
        <f t="shared" si="169"/>
        <v>100864</v>
      </c>
      <c r="H5371" s="14">
        <f t="shared" si="168"/>
        <v>932.6</v>
      </c>
    </row>
    <row r="5372" spans="1:8" ht="41.4">
      <c r="A5372" s="502" t="s">
        <v>13617</v>
      </c>
      <c r="B5372" s="504" t="s">
        <v>13618</v>
      </c>
      <c r="C5372" s="502" t="s">
        <v>114</v>
      </c>
      <c r="D5372" s="503" t="s">
        <v>33641</v>
      </c>
      <c r="F5372" t="str">
        <f t="shared" si="169"/>
        <v>100865</v>
      </c>
      <c r="H5372" s="14">
        <f t="shared" si="168"/>
        <v>825.87</v>
      </c>
    </row>
    <row r="5373" spans="1:8" ht="41.4">
      <c r="A5373" s="502" t="s">
        <v>13619</v>
      </c>
      <c r="B5373" s="504" t="s">
        <v>13620</v>
      </c>
      <c r="C5373" s="502" t="s">
        <v>114</v>
      </c>
      <c r="D5373" s="503" t="s">
        <v>33642</v>
      </c>
      <c r="F5373" t="str">
        <f t="shared" si="169"/>
        <v>100866</v>
      </c>
      <c r="H5373" s="14">
        <f t="shared" si="168"/>
        <v>439.07</v>
      </c>
    </row>
    <row r="5374" spans="1:8" ht="41.4">
      <c r="A5374" s="502" t="s">
        <v>13621</v>
      </c>
      <c r="B5374" s="504" t="s">
        <v>13622</v>
      </c>
      <c r="C5374" s="502" t="s">
        <v>114</v>
      </c>
      <c r="D5374" s="503" t="s">
        <v>33643</v>
      </c>
      <c r="F5374" t="str">
        <f t="shared" si="169"/>
        <v>100867</v>
      </c>
      <c r="H5374" s="14">
        <f t="shared" si="168"/>
        <v>466.45</v>
      </c>
    </row>
    <row r="5375" spans="1:8" ht="41.4">
      <c r="A5375" s="502" t="s">
        <v>13623</v>
      </c>
      <c r="B5375" s="504" t="s">
        <v>13624</v>
      </c>
      <c r="C5375" s="502" t="s">
        <v>114</v>
      </c>
      <c r="D5375" s="503" t="s">
        <v>33644</v>
      </c>
      <c r="F5375" t="str">
        <f t="shared" si="169"/>
        <v>100868</v>
      </c>
      <c r="H5375" s="14">
        <f t="shared" si="168"/>
        <v>484.67</v>
      </c>
    </row>
    <row r="5376" spans="1:8" ht="41.4">
      <c r="A5376" s="502" t="s">
        <v>13625</v>
      </c>
      <c r="B5376" s="504" t="s">
        <v>13626</v>
      </c>
      <c r="C5376" s="502" t="s">
        <v>114</v>
      </c>
      <c r="D5376" s="503" t="s">
        <v>33645</v>
      </c>
      <c r="F5376" t="str">
        <f t="shared" si="169"/>
        <v>100869</v>
      </c>
      <c r="H5376" s="14">
        <f t="shared" si="168"/>
        <v>498.65</v>
      </c>
    </row>
    <row r="5377" spans="1:8" ht="41.4">
      <c r="A5377" s="502" t="s">
        <v>13627</v>
      </c>
      <c r="B5377" s="504" t="s">
        <v>13628</v>
      </c>
      <c r="C5377" s="502" t="s">
        <v>114</v>
      </c>
      <c r="D5377" s="503" t="s">
        <v>33646</v>
      </c>
      <c r="F5377" t="str">
        <f t="shared" si="169"/>
        <v>100870</v>
      </c>
      <c r="H5377" s="14">
        <f t="shared" si="168"/>
        <v>334.31</v>
      </c>
    </row>
    <row r="5378" spans="1:8" ht="41.4">
      <c r="A5378" s="502" t="s">
        <v>13629</v>
      </c>
      <c r="B5378" s="504" t="s">
        <v>13630</v>
      </c>
      <c r="C5378" s="502" t="s">
        <v>114</v>
      </c>
      <c r="D5378" s="503" t="s">
        <v>33647</v>
      </c>
      <c r="F5378" t="str">
        <f t="shared" si="169"/>
        <v>100871</v>
      </c>
      <c r="H5378" s="14">
        <f t="shared" si="168"/>
        <v>355.24</v>
      </c>
    </row>
    <row r="5379" spans="1:8" ht="41.4">
      <c r="A5379" s="502" t="s">
        <v>13631</v>
      </c>
      <c r="B5379" s="504" t="s">
        <v>13632</v>
      </c>
      <c r="C5379" s="502" t="s">
        <v>114</v>
      </c>
      <c r="D5379" s="503" t="s">
        <v>33648</v>
      </c>
      <c r="F5379" t="str">
        <f t="shared" si="169"/>
        <v>100872</v>
      </c>
      <c r="H5379" s="14">
        <f t="shared" si="168"/>
        <v>368.62</v>
      </c>
    </row>
    <row r="5380" spans="1:8" ht="41.4">
      <c r="A5380" s="502" t="s">
        <v>13633</v>
      </c>
      <c r="B5380" s="504" t="s">
        <v>13634</v>
      </c>
      <c r="C5380" s="502" t="s">
        <v>114</v>
      </c>
      <c r="D5380" s="503" t="s">
        <v>33649</v>
      </c>
      <c r="F5380" t="str">
        <f t="shared" si="169"/>
        <v>100873</v>
      </c>
      <c r="H5380" s="14">
        <f t="shared" si="168"/>
        <v>376.96</v>
      </c>
    </row>
    <row r="5381" spans="1:8" ht="27.6">
      <c r="A5381" s="502" t="s">
        <v>13635</v>
      </c>
      <c r="B5381" s="504" t="s">
        <v>13636</v>
      </c>
      <c r="C5381" s="502" t="s">
        <v>114</v>
      </c>
      <c r="D5381" s="503" t="s">
        <v>33642</v>
      </c>
      <c r="F5381" t="str">
        <f t="shared" si="169"/>
        <v>100874</v>
      </c>
      <c r="H5381" s="14">
        <f t="shared" ref="H5381:H5444" si="170">ROUND(D5381*(1+$H$1),2)</f>
        <v>439.07</v>
      </c>
    </row>
    <row r="5382" spans="1:8" ht="27.6">
      <c r="A5382" s="502" t="s">
        <v>13637</v>
      </c>
      <c r="B5382" s="504" t="s">
        <v>13638</v>
      </c>
      <c r="C5382" s="502" t="s">
        <v>114</v>
      </c>
      <c r="D5382" s="503" t="s">
        <v>33650</v>
      </c>
      <c r="F5382" t="str">
        <f t="shared" si="169"/>
        <v>100875</v>
      </c>
      <c r="H5382" s="14">
        <f t="shared" si="170"/>
        <v>1524.85</v>
      </c>
    </row>
    <row r="5383" spans="1:8" ht="41.4">
      <c r="A5383" s="502" t="s">
        <v>16306</v>
      </c>
      <c r="B5383" s="504" t="s">
        <v>16307</v>
      </c>
      <c r="C5383" s="502" t="s">
        <v>114</v>
      </c>
      <c r="D5383" s="503" t="s">
        <v>33651</v>
      </c>
      <c r="F5383" t="str">
        <f t="shared" si="169"/>
        <v>100878</v>
      </c>
      <c r="H5383" s="14">
        <f t="shared" si="170"/>
        <v>1007.18</v>
      </c>
    </row>
    <row r="5384" spans="1:8" ht="55.2">
      <c r="A5384" s="502" t="s">
        <v>7850</v>
      </c>
      <c r="B5384" s="504" t="s">
        <v>26162</v>
      </c>
      <c r="C5384" s="502" t="s">
        <v>114</v>
      </c>
      <c r="D5384" s="503" t="s">
        <v>33652</v>
      </c>
      <c r="F5384" t="str">
        <f t="shared" si="169"/>
        <v>98052</v>
      </c>
      <c r="H5384" s="14">
        <f t="shared" si="170"/>
        <v>2808.86</v>
      </c>
    </row>
    <row r="5385" spans="1:8" ht="55.2">
      <c r="A5385" s="502" t="s">
        <v>7851</v>
      </c>
      <c r="B5385" s="504" t="s">
        <v>26163</v>
      </c>
      <c r="C5385" s="502" t="s">
        <v>114</v>
      </c>
      <c r="D5385" s="503" t="s">
        <v>33653</v>
      </c>
      <c r="F5385" t="str">
        <f t="shared" si="169"/>
        <v>98053</v>
      </c>
      <c r="H5385" s="14">
        <f t="shared" si="170"/>
        <v>3865.73</v>
      </c>
    </row>
    <row r="5386" spans="1:8" ht="55.2">
      <c r="A5386" s="502" t="s">
        <v>7852</v>
      </c>
      <c r="B5386" s="504" t="s">
        <v>26164</v>
      </c>
      <c r="C5386" s="502" t="s">
        <v>114</v>
      </c>
      <c r="D5386" s="503" t="s">
        <v>33654</v>
      </c>
      <c r="F5386" t="str">
        <f t="shared" si="169"/>
        <v>98054</v>
      </c>
      <c r="H5386" s="14">
        <f t="shared" si="170"/>
        <v>6251.32</v>
      </c>
    </row>
    <row r="5387" spans="1:8" ht="55.2">
      <c r="A5387" s="502" t="s">
        <v>7853</v>
      </c>
      <c r="B5387" s="504" t="s">
        <v>26165</v>
      </c>
      <c r="C5387" s="502" t="s">
        <v>114</v>
      </c>
      <c r="D5387" s="503" t="s">
        <v>33655</v>
      </c>
      <c r="F5387" t="str">
        <f t="shared" si="169"/>
        <v>98055</v>
      </c>
      <c r="H5387" s="14">
        <f t="shared" si="170"/>
        <v>8504.6</v>
      </c>
    </row>
    <row r="5388" spans="1:8" ht="55.2">
      <c r="A5388" s="502" t="s">
        <v>7854</v>
      </c>
      <c r="B5388" s="504" t="s">
        <v>26166</v>
      </c>
      <c r="C5388" s="502" t="s">
        <v>114</v>
      </c>
      <c r="D5388" s="503" t="s">
        <v>33656</v>
      </c>
      <c r="F5388" t="str">
        <f t="shared" si="169"/>
        <v>98056</v>
      </c>
      <c r="H5388" s="14">
        <f t="shared" si="170"/>
        <v>9920.68</v>
      </c>
    </row>
    <row r="5389" spans="1:8" ht="55.2">
      <c r="A5389" s="502" t="s">
        <v>7855</v>
      </c>
      <c r="B5389" s="504" t="s">
        <v>26167</v>
      </c>
      <c r="C5389" s="502" t="s">
        <v>114</v>
      </c>
      <c r="D5389" s="503" t="s">
        <v>33657</v>
      </c>
      <c r="F5389" t="str">
        <f t="shared" si="169"/>
        <v>98057</v>
      </c>
      <c r="H5389" s="14">
        <f t="shared" si="170"/>
        <v>11818.3</v>
      </c>
    </row>
    <row r="5390" spans="1:8" ht="55.2">
      <c r="A5390" s="502" t="s">
        <v>13639</v>
      </c>
      <c r="B5390" s="504" t="s">
        <v>26168</v>
      </c>
      <c r="C5390" s="502" t="s">
        <v>114</v>
      </c>
      <c r="D5390" s="503" t="s">
        <v>33658</v>
      </c>
      <c r="F5390" t="str">
        <f t="shared" si="169"/>
        <v>98058</v>
      </c>
      <c r="H5390" s="14">
        <f t="shared" si="170"/>
        <v>2465.3000000000002</v>
      </c>
    </row>
    <row r="5391" spans="1:8" ht="55.2">
      <c r="A5391" s="502" t="s">
        <v>13640</v>
      </c>
      <c r="B5391" s="504" t="s">
        <v>26169</v>
      </c>
      <c r="C5391" s="502" t="s">
        <v>114</v>
      </c>
      <c r="D5391" s="503" t="s">
        <v>33659</v>
      </c>
      <c r="F5391" t="str">
        <f t="shared" ref="F5391:F5454" si="171">TRIM(A5391)</f>
        <v>98059</v>
      </c>
      <c r="H5391" s="14">
        <f t="shared" si="170"/>
        <v>5313.17</v>
      </c>
    </row>
    <row r="5392" spans="1:8" ht="55.2">
      <c r="A5392" s="502" t="s">
        <v>13641</v>
      </c>
      <c r="B5392" s="504" t="s">
        <v>26170</v>
      </c>
      <c r="C5392" s="502" t="s">
        <v>114</v>
      </c>
      <c r="D5392" s="503" t="s">
        <v>33660</v>
      </c>
      <c r="F5392" t="str">
        <f t="shared" si="171"/>
        <v>98060</v>
      </c>
      <c r="H5392" s="14">
        <f t="shared" si="170"/>
        <v>7455.4</v>
      </c>
    </row>
    <row r="5393" spans="1:8" ht="55.2">
      <c r="A5393" s="502" t="s">
        <v>13642</v>
      </c>
      <c r="B5393" s="504" t="s">
        <v>26171</v>
      </c>
      <c r="C5393" s="502" t="s">
        <v>114</v>
      </c>
      <c r="D5393" s="503" t="s">
        <v>33661</v>
      </c>
      <c r="F5393" t="str">
        <f t="shared" si="171"/>
        <v>98061</v>
      </c>
      <c r="H5393" s="14">
        <f t="shared" si="170"/>
        <v>10415.709999999999</v>
      </c>
    </row>
    <row r="5394" spans="1:8" ht="55.2">
      <c r="A5394" s="502" t="s">
        <v>13643</v>
      </c>
      <c r="B5394" s="504" t="s">
        <v>26172</v>
      </c>
      <c r="C5394" s="502" t="s">
        <v>114</v>
      </c>
      <c r="D5394" s="503" t="s">
        <v>33662</v>
      </c>
      <c r="F5394" t="str">
        <f t="shared" si="171"/>
        <v>98062</v>
      </c>
      <c r="H5394" s="14">
        <f t="shared" si="170"/>
        <v>4162.42</v>
      </c>
    </row>
    <row r="5395" spans="1:8" ht="55.2">
      <c r="A5395" s="502" t="s">
        <v>13644</v>
      </c>
      <c r="B5395" s="504" t="s">
        <v>26173</v>
      </c>
      <c r="C5395" s="502" t="s">
        <v>114</v>
      </c>
      <c r="D5395" s="503" t="s">
        <v>33663</v>
      </c>
      <c r="F5395" t="str">
        <f t="shared" si="171"/>
        <v>98063</v>
      </c>
      <c r="H5395" s="14">
        <f t="shared" si="170"/>
        <v>6358.77</v>
      </c>
    </row>
    <row r="5396" spans="1:8" ht="55.2">
      <c r="A5396" s="502" t="s">
        <v>13645</v>
      </c>
      <c r="B5396" s="504" t="s">
        <v>26174</v>
      </c>
      <c r="C5396" s="502" t="s">
        <v>114</v>
      </c>
      <c r="D5396" s="503" t="s">
        <v>33664</v>
      </c>
      <c r="F5396" t="str">
        <f t="shared" si="171"/>
        <v>98064</v>
      </c>
      <c r="H5396" s="14">
        <f t="shared" si="170"/>
        <v>7347.26</v>
      </c>
    </row>
    <row r="5397" spans="1:8" ht="55.2">
      <c r="A5397" s="502" t="s">
        <v>13646</v>
      </c>
      <c r="B5397" s="504" t="s">
        <v>26175</v>
      </c>
      <c r="C5397" s="502" t="s">
        <v>114</v>
      </c>
      <c r="D5397" s="503" t="s">
        <v>33665</v>
      </c>
      <c r="F5397" t="str">
        <f t="shared" si="171"/>
        <v>98065</v>
      </c>
      <c r="H5397" s="14">
        <f t="shared" si="170"/>
        <v>10207.040000000001</v>
      </c>
    </row>
    <row r="5398" spans="1:8" ht="55.2">
      <c r="A5398" s="502" t="s">
        <v>7856</v>
      </c>
      <c r="B5398" s="504" t="s">
        <v>26176</v>
      </c>
      <c r="C5398" s="502" t="s">
        <v>114</v>
      </c>
      <c r="D5398" s="503" t="s">
        <v>33666</v>
      </c>
      <c r="F5398" t="str">
        <f t="shared" si="171"/>
        <v>98066</v>
      </c>
      <c r="H5398" s="14">
        <f t="shared" si="170"/>
        <v>5960.94</v>
      </c>
    </row>
    <row r="5399" spans="1:8" ht="55.2">
      <c r="A5399" s="502" t="s">
        <v>7857</v>
      </c>
      <c r="B5399" s="504" t="s">
        <v>26177</v>
      </c>
      <c r="C5399" s="502" t="s">
        <v>114</v>
      </c>
      <c r="D5399" s="503" t="s">
        <v>33667</v>
      </c>
      <c r="F5399" t="str">
        <f t="shared" si="171"/>
        <v>98067</v>
      </c>
      <c r="H5399" s="14">
        <f t="shared" si="170"/>
        <v>7929.95</v>
      </c>
    </row>
    <row r="5400" spans="1:8" ht="55.2">
      <c r="A5400" s="502" t="s">
        <v>7858</v>
      </c>
      <c r="B5400" s="504" t="s">
        <v>26178</v>
      </c>
      <c r="C5400" s="502" t="s">
        <v>114</v>
      </c>
      <c r="D5400" s="503" t="s">
        <v>33668</v>
      </c>
      <c r="F5400" t="str">
        <f t="shared" si="171"/>
        <v>98068</v>
      </c>
      <c r="H5400" s="14">
        <f t="shared" si="170"/>
        <v>11199.62</v>
      </c>
    </row>
    <row r="5401" spans="1:8" ht="55.2">
      <c r="A5401" s="502" t="s">
        <v>7859</v>
      </c>
      <c r="B5401" s="504" t="s">
        <v>26179</v>
      </c>
      <c r="C5401" s="502" t="s">
        <v>114</v>
      </c>
      <c r="D5401" s="503" t="s">
        <v>33669</v>
      </c>
      <c r="F5401" t="str">
        <f t="shared" si="171"/>
        <v>98069</v>
      </c>
      <c r="H5401" s="14">
        <f t="shared" si="170"/>
        <v>15149.9</v>
      </c>
    </row>
    <row r="5402" spans="1:8" ht="55.2">
      <c r="A5402" s="502" t="s">
        <v>7860</v>
      </c>
      <c r="B5402" s="504" t="s">
        <v>26180</v>
      </c>
      <c r="C5402" s="502" t="s">
        <v>114</v>
      </c>
      <c r="D5402" s="503" t="s">
        <v>33670</v>
      </c>
      <c r="F5402" t="str">
        <f t="shared" si="171"/>
        <v>98070</v>
      </c>
      <c r="H5402" s="14">
        <f t="shared" si="170"/>
        <v>17231.25</v>
      </c>
    </row>
    <row r="5403" spans="1:8" ht="55.2">
      <c r="A5403" s="502" t="s">
        <v>7861</v>
      </c>
      <c r="B5403" s="504" t="s">
        <v>26181</v>
      </c>
      <c r="C5403" s="502" t="s">
        <v>114</v>
      </c>
      <c r="D5403" s="503" t="s">
        <v>33671</v>
      </c>
      <c r="F5403" t="str">
        <f t="shared" si="171"/>
        <v>98071</v>
      </c>
      <c r="H5403" s="14">
        <f t="shared" si="170"/>
        <v>18626.36</v>
      </c>
    </row>
    <row r="5404" spans="1:8" ht="55.2">
      <c r="A5404" s="502" t="s">
        <v>7862</v>
      </c>
      <c r="B5404" s="504" t="s">
        <v>26182</v>
      </c>
      <c r="C5404" s="502" t="s">
        <v>114</v>
      </c>
      <c r="D5404" s="503" t="s">
        <v>33672</v>
      </c>
      <c r="F5404" t="str">
        <f t="shared" si="171"/>
        <v>98072</v>
      </c>
      <c r="H5404" s="14">
        <f t="shared" si="170"/>
        <v>5093.33</v>
      </c>
    </row>
    <row r="5405" spans="1:8" ht="55.2">
      <c r="A5405" s="502" t="s">
        <v>7863</v>
      </c>
      <c r="B5405" s="504" t="s">
        <v>26183</v>
      </c>
      <c r="C5405" s="502" t="s">
        <v>114</v>
      </c>
      <c r="D5405" s="503" t="s">
        <v>33673</v>
      </c>
      <c r="F5405" t="str">
        <f t="shared" si="171"/>
        <v>98073</v>
      </c>
      <c r="H5405" s="14">
        <f t="shared" si="170"/>
        <v>8104.65</v>
      </c>
    </row>
    <row r="5406" spans="1:8" ht="55.2">
      <c r="A5406" s="502" t="s">
        <v>7864</v>
      </c>
      <c r="B5406" s="504" t="s">
        <v>26184</v>
      </c>
      <c r="C5406" s="502" t="s">
        <v>114</v>
      </c>
      <c r="D5406" s="503" t="s">
        <v>33674</v>
      </c>
      <c r="F5406" t="str">
        <f t="shared" si="171"/>
        <v>98074</v>
      </c>
      <c r="H5406" s="14">
        <f t="shared" si="170"/>
        <v>12775.54</v>
      </c>
    </row>
    <row r="5407" spans="1:8" ht="55.2">
      <c r="A5407" s="502" t="s">
        <v>7865</v>
      </c>
      <c r="B5407" s="504" t="s">
        <v>26185</v>
      </c>
      <c r="C5407" s="502" t="s">
        <v>114</v>
      </c>
      <c r="D5407" s="503" t="s">
        <v>33675</v>
      </c>
      <c r="F5407" t="str">
        <f t="shared" si="171"/>
        <v>98075</v>
      </c>
      <c r="H5407" s="14">
        <f t="shared" si="170"/>
        <v>16711.509999999998</v>
      </c>
    </row>
    <row r="5408" spans="1:8" ht="55.2">
      <c r="A5408" s="502" t="s">
        <v>7866</v>
      </c>
      <c r="B5408" s="504" t="s">
        <v>26186</v>
      </c>
      <c r="C5408" s="502" t="s">
        <v>114</v>
      </c>
      <c r="D5408" s="503" t="s">
        <v>33676</v>
      </c>
      <c r="F5408" t="str">
        <f t="shared" si="171"/>
        <v>98076</v>
      </c>
      <c r="H5408" s="14">
        <f t="shared" si="170"/>
        <v>19379.61</v>
      </c>
    </row>
    <row r="5409" spans="1:8" ht="55.2">
      <c r="A5409" s="502" t="s">
        <v>7867</v>
      </c>
      <c r="B5409" s="504" t="s">
        <v>26187</v>
      </c>
      <c r="C5409" s="502" t="s">
        <v>114</v>
      </c>
      <c r="D5409" s="503" t="s">
        <v>33677</v>
      </c>
      <c r="F5409" t="str">
        <f t="shared" si="171"/>
        <v>98077</v>
      </c>
      <c r="H5409" s="14">
        <f t="shared" si="170"/>
        <v>22885.01</v>
      </c>
    </row>
    <row r="5410" spans="1:8" ht="55.2">
      <c r="A5410" s="502" t="s">
        <v>7868</v>
      </c>
      <c r="B5410" s="504" t="s">
        <v>26188</v>
      </c>
      <c r="C5410" s="502" t="s">
        <v>114</v>
      </c>
      <c r="D5410" s="503" t="s">
        <v>33678</v>
      </c>
      <c r="F5410" t="str">
        <f t="shared" si="171"/>
        <v>98078</v>
      </c>
      <c r="H5410" s="14">
        <f t="shared" si="170"/>
        <v>5137.43</v>
      </c>
    </row>
    <row r="5411" spans="1:8" ht="55.2">
      <c r="A5411" s="502" t="s">
        <v>7869</v>
      </c>
      <c r="B5411" s="504" t="s">
        <v>26189</v>
      </c>
      <c r="C5411" s="502" t="s">
        <v>114</v>
      </c>
      <c r="D5411" s="503" t="s">
        <v>33679</v>
      </c>
      <c r="F5411" t="str">
        <f t="shared" si="171"/>
        <v>98079</v>
      </c>
      <c r="H5411" s="14">
        <f t="shared" si="170"/>
        <v>9075.59</v>
      </c>
    </row>
    <row r="5412" spans="1:8" ht="55.2">
      <c r="A5412" s="502" t="s">
        <v>7870</v>
      </c>
      <c r="B5412" s="504" t="s">
        <v>26190</v>
      </c>
      <c r="C5412" s="502" t="s">
        <v>114</v>
      </c>
      <c r="D5412" s="503" t="s">
        <v>33680</v>
      </c>
      <c r="F5412" t="str">
        <f t="shared" si="171"/>
        <v>98080</v>
      </c>
      <c r="H5412" s="14">
        <f t="shared" si="170"/>
        <v>11796.33</v>
      </c>
    </row>
    <row r="5413" spans="1:8" ht="55.2">
      <c r="A5413" s="502" t="s">
        <v>7871</v>
      </c>
      <c r="B5413" s="504" t="s">
        <v>26191</v>
      </c>
      <c r="C5413" s="502" t="s">
        <v>114</v>
      </c>
      <c r="D5413" s="503" t="s">
        <v>33681</v>
      </c>
      <c r="F5413" t="str">
        <f t="shared" si="171"/>
        <v>98081</v>
      </c>
      <c r="H5413" s="14">
        <f t="shared" si="170"/>
        <v>17573.54</v>
      </c>
    </row>
    <row r="5414" spans="1:8" ht="55.2">
      <c r="A5414" s="502" t="s">
        <v>7872</v>
      </c>
      <c r="B5414" s="504" t="s">
        <v>26192</v>
      </c>
      <c r="C5414" s="502" t="s">
        <v>114</v>
      </c>
      <c r="D5414" s="503" t="s">
        <v>33682</v>
      </c>
      <c r="F5414" t="str">
        <f t="shared" si="171"/>
        <v>98082</v>
      </c>
      <c r="H5414" s="14">
        <f t="shared" si="170"/>
        <v>5153.74</v>
      </c>
    </row>
    <row r="5415" spans="1:8" ht="55.2">
      <c r="A5415" s="502" t="s">
        <v>7873</v>
      </c>
      <c r="B5415" s="504" t="s">
        <v>26193</v>
      </c>
      <c r="C5415" s="502" t="s">
        <v>114</v>
      </c>
      <c r="D5415" s="503" t="s">
        <v>33683</v>
      </c>
      <c r="F5415" t="str">
        <f t="shared" si="171"/>
        <v>98083</v>
      </c>
      <c r="H5415" s="14">
        <f t="shared" si="170"/>
        <v>6793.52</v>
      </c>
    </row>
    <row r="5416" spans="1:8" ht="55.2">
      <c r="A5416" s="502" t="s">
        <v>7874</v>
      </c>
      <c r="B5416" s="504" t="s">
        <v>26194</v>
      </c>
      <c r="C5416" s="502" t="s">
        <v>114</v>
      </c>
      <c r="D5416" s="503" t="s">
        <v>33684</v>
      </c>
      <c r="F5416" t="str">
        <f t="shared" si="171"/>
        <v>98084</v>
      </c>
      <c r="H5416" s="14">
        <f t="shared" si="170"/>
        <v>9524.32</v>
      </c>
    </row>
    <row r="5417" spans="1:8" ht="55.2">
      <c r="A5417" s="502" t="s">
        <v>7875</v>
      </c>
      <c r="B5417" s="504" t="s">
        <v>26195</v>
      </c>
      <c r="C5417" s="502" t="s">
        <v>114</v>
      </c>
      <c r="D5417" s="503" t="s">
        <v>33685</v>
      </c>
      <c r="F5417" t="str">
        <f t="shared" si="171"/>
        <v>98085</v>
      </c>
      <c r="H5417" s="14">
        <f t="shared" si="170"/>
        <v>12930.78</v>
      </c>
    </row>
    <row r="5418" spans="1:8" ht="55.2">
      <c r="A5418" s="502" t="s">
        <v>7876</v>
      </c>
      <c r="B5418" s="504" t="s">
        <v>26196</v>
      </c>
      <c r="C5418" s="502" t="s">
        <v>114</v>
      </c>
      <c r="D5418" s="503" t="s">
        <v>33686</v>
      </c>
      <c r="F5418" t="str">
        <f t="shared" si="171"/>
        <v>98086</v>
      </c>
      <c r="H5418" s="14">
        <f t="shared" si="170"/>
        <v>14580.84</v>
      </c>
    </row>
    <row r="5419" spans="1:8" ht="55.2">
      <c r="A5419" s="502" t="s">
        <v>7877</v>
      </c>
      <c r="B5419" s="504" t="s">
        <v>26197</v>
      </c>
      <c r="C5419" s="502" t="s">
        <v>114</v>
      </c>
      <c r="D5419" s="503" t="s">
        <v>33687</v>
      </c>
      <c r="F5419" t="str">
        <f t="shared" si="171"/>
        <v>98087</v>
      </c>
      <c r="H5419" s="14">
        <f t="shared" si="170"/>
        <v>15528.69</v>
      </c>
    </row>
    <row r="5420" spans="1:8" ht="55.2">
      <c r="A5420" s="502" t="s">
        <v>7878</v>
      </c>
      <c r="B5420" s="504" t="s">
        <v>26198</v>
      </c>
      <c r="C5420" s="502" t="s">
        <v>114</v>
      </c>
      <c r="D5420" s="503" t="s">
        <v>33688</v>
      </c>
      <c r="F5420" t="str">
        <f t="shared" si="171"/>
        <v>98088</v>
      </c>
      <c r="H5420" s="14">
        <f t="shared" si="170"/>
        <v>4487.17</v>
      </c>
    </row>
    <row r="5421" spans="1:8" ht="55.2">
      <c r="A5421" s="502" t="s">
        <v>7879</v>
      </c>
      <c r="B5421" s="504" t="s">
        <v>26199</v>
      </c>
      <c r="C5421" s="502" t="s">
        <v>114</v>
      </c>
      <c r="D5421" s="503" t="s">
        <v>33689</v>
      </c>
      <c r="F5421" t="str">
        <f t="shared" si="171"/>
        <v>98089</v>
      </c>
      <c r="H5421" s="14">
        <f t="shared" si="170"/>
        <v>7142.49</v>
      </c>
    </row>
    <row r="5422" spans="1:8" ht="55.2">
      <c r="A5422" s="502" t="s">
        <v>7880</v>
      </c>
      <c r="B5422" s="504" t="s">
        <v>26200</v>
      </c>
      <c r="C5422" s="502" t="s">
        <v>114</v>
      </c>
      <c r="D5422" s="503" t="s">
        <v>33690</v>
      </c>
      <c r="F5422" t="str">
        <f t="shared" si="171"/>
        <v>98090</v>
      </c>
      <c r="H5422" s="14">
        <f t="shared" si="170"/>
        <v>11290.63</v>
      </c>
    </row>
    <row r="5423" spans="1:8" ht="55.2">
      <c r="A5423" s="502" t="s">
        <v>7881</v>
      </c>
      <c r="B5423" s="504" t="s">
        <v>26201</v>
      </c>
      <c r="C5423" s="502" t="s">
        <v>114</v>
      </c>
      <c r="D5423" s="503" t="s">
        <v>33691</v>
      </c>
      <c r="F5423" t="str">
        <f t="shared" si="171"/>
        <v>98091</v>
      </c>
      <c r="H5423" s="14">
        <f t="shared" si="170"/>
        <v>14786.89</v>
      </c>
    </row>
    <row r="5424" spans="1:8" ht="55.2">
      <c r="A5424" s="502" t="s">
        <v>7882</v>
      </c>
      <c r="B5424" s="504" t="s">
        <v>26202</v>
      </c>
      <c r="C5424" s="502" t="s">
        <v>114</v>
      </c>
      <c r="D5424" s="503" t="s">
        <v>33692</v>
      </c>
      <c r="F5424" t="str">
        <f t="shared" si="171"/>
        <v>98092</v>
      </c>
      <c r="H5424" s="14">
        <f t="shared" si="170"/>
        <v>17215.939999999999</v>
      </c>
    </row>
    <row r="5425" spans="1:8" ht="55.2">
      <c r="A5425" s="502" t="s">
        <v>7883</v>
      </c>
      <c r="B5425" s="504" t="s">
        <v>26203</v>
      </c>
      <c r="C5425" s="502" t="s">
        <v>114</v>
      </c>
      <c r="D5425" s="503" t="s">
        <v>33693</v>
      </c>
      <c r="F5425" t="str">
        <f t="shared" si="171"/>
        <v>98093</v>
      </c>
      <c r="H5425" s="14">
        <f t="shared" si="170"/>
        <v>20348.5</v>
      </c>
    </row>
    <row r="5426" spans="1:8" ht="55.2">
      <c r="A5426" s="502" t="s">
        <v>7884</v>
      </c>
      <c r="B5426" s="504" t="s">
        <v>26204</v>
      </c>
      <c r="C5426" s="502" t="s">
        <v>114</v>
      </c>
      <c r="D5426" s="503" t="s">
        <v>33694</v>
      </c>
      <c r="F5426" t="str">
        <f t="shared" si="171"/>
        <v>98094</v>
      </c>
      <c r="H5426" s="14">
        <f t="shared" si="170"/>
        <v>3707.64</v>
      </c>
    </row>
    <row r="5427" spans="1:8" ht="55.2">
      <c r="A5427" s="502" t="s">
        <v>7885</v>
      </c>
      <c r="B5427" s="504" t="s">
        <v>26205</v>
      </c>
      <c r="C5427" s="502" t="s">
        <v>114</v>
      </c>
      <c r="D5427" s="503" t="s">
        <v>33695</v>
      </c>
      <c r="F5427" t="str">
        <f t="shared" si="171"/>
        <v>98099</v>
      </c>
      <c r="H5427" s="14">
        <f t="shared" si="170"/>
        <v>6349.38</v>
      </c>
    </row>
    <row r="5428" spans="1:8" ht="55.2">
      <c r="A5428" s="502" t="s">
        <v>7886</v>
      </c>
      <c r="B5428" s="504" t="s">
        <v>26206</v>
      </c>
      <c r="C5428" s="502" t="s">
        <v>114</v>
      </c>
      <c r="D5428" s="503" t="s">
        <v>33696</v>
      </c>
      <c r="F5428" t="str">
        <f t="shared" si="171"/>
        <v>98100</v>
      </c>
      <c r="H5428" s="14">
        <f t="shared" si="170"/>
        <v>8349.75</v>
      </c>
    </row>
    <row r="5429" spans="1:8" ht="55.2">
      <c r="A5429" s="502" t="s">
        <v>7887</v>
      </c>
      <c r="B5429" s="504" t="s">
        <v>26207</v>
      </c>
      <c r="C5429" s="502" t="s">
        <v>114</v>
      </c>
      <c r="D5429" s="503" t="s">
        <v>33697</v>
      </c>
      <c r="F5429" t="str">
        <f t="shared" si="171"/>
        <v>98101</v>
      </c>
      <c r="H5429" s="14">
        <f t="shared" si="170"/>
        <v>12365.51</v>
      </c>
    </row>
    <row r="5430" spans="1:8" ht="69">
      <c r="A5430" s="502" t="s">
        <v>7888</v>
      </c>
      <c r="B5430" s="504" t="s">
        <v>13647</v>
      </c>
      <c r="C5430" s="502" t="s">
        <v>114</v>
      </c>
      <c r="D5430" s="503" t="s">
        <v>33698</v>
      </c>
      <c r="F5430" t="str">
        <f t="shared" si="171"/>
        <v>98109</v>
      </c>
      <c r="H5430" s="14">
        <f t="shared" si="170"/>
        <v>1107.1500000000001</v>
      </c>
    </row>
    <row r="5431" spans="1:8" ht="41.4">
      <c r="A5431" s="502" t="s">
        <v>7889</v>
      </c>
      <c r="B5431" s="504" t="s">
        <v>13648</v>
      </c>
      <c r="C5431" s="502" t="s">
        <v>114</v>
      </c>
      <c r="D5431" s="503" t="s">
        <v>33699</v>
      </c>
      <c r="F5431" t="str">
        <f t="shared" si="171"/>
        <v>98110</v>
      </c>
      <c r="H5431" s="14">
        <f t="shared" si="170"/>
        <v>546.91999999999996</v>
      </c>
    </row>
    <row r="5432" spans="1:8" ht="27.6">
      <c r="A5432" s="502" t="s">
        <v>7890</v>
      </c>
      <c r="B5432" s="504" t="s">
        <v>13649</v>
      </c>
      <c r="C5432" s="502" t="s">
        <v>114</v>
      </c>
      <c r="D5432" s="503" t="s">
        <v>33700</v>
      </c>
      <c r="F5432" t="str">
        <f t="shared" si="171"/>
        <v>98111</v>
      </c>
      <c r="H5432" s="14">
        <f t="shared" si="170"/>
        <v>73.89</v>
      </c>
    </row>
    <row r="5433" spans="1:8" ht="27.6">
      <c r="A5433" s="502" t="s">
        <v>13650</v>
      </c>
      <c r="B5433" s="504" t="s">
        <v>13651</v>
      </c>
      <c r="C5433" s="502" t="s">
        <v>114</v>
      </c>
      <c r="D5433" s="503" t="s">
        <v>33701</v>
      </c>
      <c r="F5433" t="str">
        <f t="shared" si="171"/>
        <v>98112</v>
      </c>
      <c r="H5433" s="14">
        <f t="shared" si="170"/>
        <v>156.41999999999999</v>
      </c>
    </row>
    <row r="5434" spans="1:8" ht="27.6">
      <c r="A5434" s="502" t="s">
        <v>7892</v>
      </c>
      <c r="B5434" s="504" t="s">
        <v>13652</v>
      </c>
      <c r="C5434" s="502" t="s">
        <v>114</v>
      </c>
      <c r="D5434" s="503" t="s">
        <v>33702</v>
      </c>
      <c r="F5434" t="str">
        <f t="shared" si="171"/>
        <v>98114</v>
      </c>
      <c r="H5434" s="14">
        <f t="shared" si="170"/>
        <v>636.11</v>
      </c>
    </row>
    <row r="5435" spans="1:8" ht="41.4">
      <c r="A5435" s="502" t="s">
        <v>7893</v>
      </c>
      <c r="B5435" s="504" t="s">
        <v>26208</v>
      </c>
      <c r="C5435" s="502" t="s">
        <v>114</v>
      </c>
      <c r="D5435" s="503" t="s">
        <v>33703</v>
      </c>
      <c r="F5435" t="str">
        <f t="shared" si="171"/>
        <v>98115</v>
      </c>
      <c r="H5435" s="14">
        <f t="shared" si="170"/>
        <v>141.75</v>
      </c>
    </row>
    <row r="5436" spans="1:8" ht="27.6">
      <c r="A5436" s="502" t="s">
        <v>6231</v>
      </c>
      <c r="B5436" s="504" t="s">
        <v>16310</v>
      </c>
      <c r="C5436" s="502" t="s">
        <v>114</v>
      </c>
      <c r="D5436" s="503" t="s">
        <v>9936</v>
      </c>
      <c r="F5436" t="str">
        <f t="shared" si="171"/>
        <v>89349</v>
      </c>
      <c r="H5436" s="14">
        <f t="shared" si="170"/>
        <v>41.97</v>
      </c>
    </row>
    <row r="5437" spans="1:8" ht="27.6">
      <c r="A5437" s="502" t="s">
        <v>6232</v>
      </c>
      <c r="B5437" s="504" t="s">
        <v>16311</v>
      </c>
      <c r="C5437" s="502" t="s">
        <v>114</v>
      </c>
      <c r="D5437" s="503" t="s">
        <v>29314</v>
      </c>
      <c r="F5437" t="str">
        <f t="shared" si="171"/>
        <v>89351</v>
      </c>
      <c r="H5437" s="14">
        <f t="shared" si="170"/>
        <v>51.9</v>
      </c>
    </row>
    <row r="5438" spans="1:8" ht="27.6">
      <c r="A5438" s="502" t="s">
        <v>6233</v>
      </c>
      <c r="B5438" s="504" t="s">
        <v>16312</v>
      </c>
      <c r="C5438" s="502" t="s">
        <v>114</v>
      </c>
      <c r="D5438" s="503" t="s">
        <v>31243</v>
      </c>
      <c r="F5438" t="str">
        <f t="shared" si="171"/>
        <v>89352</v>
      </c>
      <c r="H5438" s="14">
        <f t="shared" si="170"/>
        <v>56.99</v>
      </c>
    </row>
    <row r="5439" spans="1:8" ht="27.6">
      <c r="A5439" s="502" t="s">
        <v>6234</v>
      </c>
      <c r="B5439" s="504" t="s">
        <v>16313</v>
      </c>
      <c r="C5439" s="502" t="s">
        <v>114</v>
      </c>
      <c r="D5439" s="503" t="s">
        <v>10311</v>
      </c>
      <c r="F5439" t="str">
        <f t="shared" si="171"/>
        <v>89353</v>
      </c>
      <c r="H5439" s="14">
        <f t="shared" si="170"/>
        <v>62.67</v>
      </c>
    </row>
    <row r="5440" spans="1:8" ht="41.4">
      <c r="A5440" s="502" t="s">
        <v>6235</v>
      </c>
      <c r="B5440" s="504" t="s">
        <v>16314</v>
      </c>
      <c r="C5440" s="502" t="s">
        <v>114</v>
      </c>
      <c r="D5440" s="503" t="s">
        <v>33704</v>
      </c>
      <c r="F5440" t="str">
        <f t="shared" si="171"/>
        <v>89354</v>
      </c>
      <c r="H5440" s="14">
        <f t="shared" si="170"/>
        <v>582.29999999999995</v>
      </c>
    </row>
    <row r="5441" spans="1:8" ht="41.4">
      <c r="A5441" s="502" t="s">
        <v>6236</v>
      </c>
      <c r="B5441" s="504" t="s">
        <v>16315</v>
      </c>
      <c r="C5441" s="502" t="s">
        <v>114</v>
      </c>
      <c r="D5441" s="503" t="s">
        <v>33705</v>
      </c>
      <c r="F5441" t="str">
        <f t="shared" si="171"/>
        <v>89984</v>
      </c>
      <c r="H5441" s="14">
        <f t="shared" si="170"/>
        <v>134.6</v>
      </c>
    </row>
    <row r="5442" spans="1:8" ht="41.4">
      <c r="A5442" s="502" t="s">
        <v>6237</v>
      </c>
      <c r="B5442" s="504" t="s">
        <v>16316</v>
      </c>
      <c r="C5442" s="502" t="s">
        <v>114</v>
      </c>
      <c r="D5442" s="503" t="s">
        <v>33706</v>
      </c>
      <c r="F5442" t="str">
        <f t="shared" si="171"/>
        <v>89985</v>
      </c>
      <c r="H5442" s="14">
        <f t="shared" si="170"/>
        <v>141.52000000000001</v>
      </c>
    </row>
    <row r="5443" spans="1:8" ht="41.4">
      <c r="A5443" s="502" t="s">
        <v>6238</v>
      </c>
      <c r="B5443" s="504" t="s">
        <v>16317</v>
      </c>
      <c r="C5443" s="502" t="s">
        <v>114</v>
      </c>
      <c r="D5443" s="503" t="s">
        <v>28317</v>
      </c>
      <c r="F5443" t="str">
        <f t="shared" si="171"/>
        <v>89986</v>
      </c>
      <c r="H5443" s="14">
        <f t="shared" si="170"/>
        <v>131.13999999999999</v>
      </c>
    </row>
    <row r="5444" spans="1:8" ht="41.4">
      <c r="A5444" s="502" t="s">
        <v>6239</v>
      </c>
      <c r="B5444" s="504" t="s">
        <v>16318</v>
      </c>
      <c r="C5444" s="502" t="s">
        <v>114</v>
      </c>
      <c r="D5444" s="503" t="s">
        <v>33707</v>
      </c>
      <c r="F5444" t="str">
        <f t="shared" si="171"/>
        <v>89987</v>
      </c>
      <c r="H5444" s="14">
        <f t="shared" si="170"/>
        <v>149.07</v>
      </c>
    </row>
    <row r="5445" spans="1:8" ht="27.6">
      <c r="A5445" s="502" t="s">
        <v>6240</v>
      </c>
      <c r="B5445" s="504" t="s">
        <v>16319</v>
      </c>
      <c r="C5445" s="502" t="s">
        <v>114</v>
      </c>
      <c r="D5445" s="503" t="s">
        <v>33708</v>
      </c>
      <c r="F5445" t="str">
        <f t="shared" si="171"/>
        <v>90371</v>
      </c>
      <c r="H5445" s="14">
        <f t="shared" ref="H5445:H5508" si="172">ROUND(D5445*(1+$H$1),2)</f>
        <v>52.31</v>
      </c>
    </row>
    <row r="5446" spans="1:8" ht="27.6">
      <c r="A5446" s="502" t="s">
        <v>6241</v>
      </c>
      <c r="B5446" s="504" t="s">
        <v>16320</v>
      </c>
      <c r="C5446" s="502" t="s">
        <v>114</v>
      </c>
      <c r="D5446" s="503" t="s">
        <v>23207</v>
      </c>
      <c r="F5446" t="str">
        <f t="shared" si="171"/>
        <v>94489</v>
      </c>
      <c r="H5446" s="14">
        <f t="shared" si="172"/>
        <v>52.63</v>
      </c>
    </row>
    <row r="5447" spans="1:8" ht="27.6">
      <c r="A5447" s="502" t="s">
        <v>6242</v>
      </c>
      <c r="B5447" s="504" t="s">
        <v>16321</v>
      </c>
      <c r="C5447" s="502" t="s">
        <v>114</v>
      </c>
      <c r="D5447" s="503" t="s">
        <v>16259</v>
      </c>
      <c r="F5447" t="str">
        <f t="shared" si="171"/>
        <v>94490</v>
      </c>
      <c r="H5447" s="14">
        <f t="shared" si="172"/>
        <v>78.87</v>
      </c>
    </row>
    <row r="5448" spans="1:8" ht="27.6">
      <c r="A5448" s="502" t="s">
        <v>6243</v>
      </c>
      <c r="B5448" s="504" t="s">
        <v>16322</v>
      </c>
      <c r="C5448" s="502" t="s">
        <v>114</v>
      </c>
      <c r="D5448" s="503" t="s">
        <v>27675</v>
      </c>
      <c r="F5448" t="str">
        <f t="shared" si="171"/>
        <v>94491</v>
      </c>
      <c r="H5448" s="14">
        <f t="shared" si="172"/>
        <v>107.09</v>
      </c>
    </row>
    <row r="5449" spans="1:8" ht="27.6">
      <c r="A5449" s="502" t="s">
        <v>6244</v>
      </c>
      <c r="B5449" s="504" t="s">
        <v>16323</v>
      </c>
      <c r="C5449" s="502" t="s">
        <v>114</v>
      </c>
      <c r="D5449" s="503" t="s">
        <v>25587</v>
      </c>
      <c r="F5449" t="str">
        <f t="shared" si="171"/>
        <v>94492</v>
      </c>
      <c r="H5449" s="14">
        <f t="shared" si="172"/>
        <v>110.2</v>
      </c>
    </row>
    <row r="5450" spans="1:8" ht="27.6">
      <c r="A5450" s="502" t="s">
        <v>6245</v>
      </c>
      <c r="B5450" s="504" t="s">
        <v>16324</v>
      </c>
      <c r="C5450" s="502" t="s">
        <v>114</v>
      </c>
      <c r="D5450" s="503" t="s">
        <v>33709</v>
      </c>
      <c r="F5450" t="str">
        <f t="shared" si="171"/>
        <v>94493</v>
      </c>
      <c r="H5450" s="14">
        <f t="shared" si="172"/>
        <v>201.66</v>
      </c>
    </row>
    <row r="5451" spans="1:8" ht="27.6">
      <c r="A5451" s="502" t="s">
        <v>6246</v>
      </c>
      <c r="B5451" s="504" t="s">
        <v>16325</v>
      </c>
      <c r="C5451" s="502" t="s">
        <v>114</v>
      </c>
      <c r="D5451" s="503" t="s">
        <v>33710</v>
      </c>
      <c r="F5451" t="str">
        <f t="shared" si="171"/>
        <v>94495</v>
      </c>
      <c r="H5451" s="14">
        <f t="shared" si="172"/>
        <v>96.98</v>
      </c>
    </row>
    <row r="5452" spans="1:8" ht="27.6">
      <c r="A5452" s="502" t="s">
        <v>6247</v>
      </c>
      <c r="B5452" s="504" t="s">
        <v>16326</v>
      </c>
      <c r="C5452" s="502" t="s">
        <v>114</v>
      </c>
      <c r="D5452" s="503" t="s">
        <v>33711</v>
      </c>
      <c r="F5452" t="str">
        <f t="shared" si="171"/>
        <v>94496</v>
      </c>
      <c r="H5452" s="14">
        <f t="shared" si="172"/>
        <v>132.13999999999999</v>
      </c>
    </row>
    <row r="5453" spans="1:8" ht="27.6">
      <c r="A5453" s="502" t="s">
        <v>6248</v>
      </c>
      <c r="B5453" s="504" t="s">
        <v>16327</v>
      </c>
      <c r="C5453" s="502" t="s">
        <v>114</v>
      </c>
      <c r="D5453" s="503" t="s">
        <v>33712</v>
      </c>
      <c r="F5453" t="str">
        <f t="shared" si="171"/>
        <v>94497</v>
      </c>
      <c r="H5453" s="14">
        <f t="shared" si="172"/>
        <v>167.38</v>
      </c>
    </row>
    <row r="5454" spans="1:8" ht="27.6">
      <c r="A5454" s="502" t="s">
        <v>6249</v>
      </c>
      <c r="B5454" s="504" t="s">
        <v>16328</v>
      </c>
      <c r="C5454" s="502" t="s">
        <v>114</v>
      </c>
      <c r="D5454" s="503" t="s">
        <v>33713</v>
      </c>
      <c r="F5454" t="str">
        <f t="shared" si="171"/>
        <v>94498</v>
      </c>
      <c r="H5454" s="14">
        <f t="shared" si="172"/>
        <v>231.1</v>
      </c>
    </row>
    <row r="5455" spans="1:8" ht="27.6">
      <c r="A5455" s="502" t="s">
        <v>6250</v>
      </c>
      <c r="B5455" s="504" t="s">
        <v>16329</v>
      </c>
      <c r="C5455" s="502" t="s">
        <v>114</v>
      </c>
      <c r="D5455" s="503" t="s">
        <v>33714</v>
      </c>
      <c r="F5455" t="str">
        <f t="shared" ref="F5455:F5518" si="173">TRIM(A5455)</f>
        <v>94499</v>
      </c>
      <c r="H5455" s="14">
        <f t="shared" si="172"/>
        <v>460.55</v>
      </c>
    </row>
    <row r="5456" spans="1:8" ht="27.6">
      <c r="A5456" s="502" t="s">
        <v>6251</v>
      </c>
      <c r="B5456" s="504" t="s">
        <v>16330</v>
      </c>
      <c r="C5456" s="502" t="s">
        <v>114</v>
      </c>
      <c r="D5456" s="503" t="s">
        <v>33715</v>
      </c>
      <c r="F5456" t="str">
        <f t="shared" si="173"/>
        <v>94500</v>
      </c>
      <c r="H5456" s="14">
        <f t="shared" si="172"/>
        <v>558.94000000000005</v>
      </c>
    </row>
    <row r="5457" spans="1:8" ht="27.6">
      <c r="A5457" s="502" t="s">
        <v>6252</v>
      </c>
      <c r="B5457" s="504" t="s">
        <v>16332</v>
      </c>
      <c r="C5457" s="502" t="s">
        <v>114</v>
      </c>
      <c r="D5457" s="503" t="s">
        <v>33716</v>
      </c>
      <c r="F5457" t="str">
        <f t="shared" si="173"/>
        <v>94501</v>
      </c>
      <c r="H5457" s="14">
        <f t="shared" si="172"/>
        <v>1130.08</v>
      </c>
    </row>
    <row r="5458" spans="1:8" ht="41.4">
      <c r="A5458" s="502" t="s">
        <v>6253</v>
      </c>
      <c r="B5458" s="504" t="s">
        <v>16333</v>
      </c>
      <c r="C5458" s="502" t="s">
        <v>114</v>
      </c>
      <c r="D5458" s="503" t="s">
        <v>33717</v>
      </c>
      <c r="F5458" t="str">
        <f t="shared" si="173"/>
        <v>94792</v>
      </c>
      <c r="H5458" s="14">
        <f t="shared" si="172"/>
        <v>181.65</v>
      </c>
    </row>
    <row r="5459" spans="1:8" ht="41.4">
      <c r="A5459" s="502" t="s">
        <v>6254</v>
      </c>
      <c r="B5459" s="504" t="s">
        <v>16334</v>
      </c>
      <c r="C5459" s="502" t="s">
        <v>114</v>
      </c>
      <c r="D5459" s="503" t="s">
        <v>33718</v>
      </c>
      <c r="F5459" t="str">
        <f t="shared" si="173"/>
        <v>94793</v>
      </c>
      <c r="H5459" s="14">
        <f t="shared" si="172"/>
        <v>249.06</v>
      </c>
    </row>
    <row r="5460" spans="1:8" ht="41.4">
      <c r="A5460" s="502" t="s">
        <v>6255</v>
      </c>
      <c r="B5460" s="504" t="s">
        <v>16335</v>
      </c>
      <c r="C5460" s="502" t="s">
        <v>114</v>
      </c>
      <c r="D5460" s="503" t="s">
        <v>33719</v>
      </c>
      <c r="F5460" t="str">
        <f t="shared" si="173"/>
        <v>94794</v>
      </c>
      <c r="H5460" s="14">
        <f t="shared" si="172"/>
        <v>263.94</v>
      </c>
    </row>
    <row r="5461" spans="1:8" ht="27.6">
      <c r="A5461" s="502" t="s">
        <v>6256</v>
      </c>
      <c r="B5461" s="504" t="s">
        <v>16336</v>
      </c>
      <c r="C5461" s="502" t="s">
        <v>114</v>
      </c>
      <c r="D5461" s="503" t="s">
        <v>33720</v>
      </c>
      <c r="F5461" t="str">
        <f t="shared" si="173"/>
        <v>94795</v>
      </c>
      <c r="H5461" s="14">
        <f t="shared" si="172"/>
        <v>49.52</v>
      </c>
    </row>
    <row r="5462" spans="1:8" ht="27.6">
      <c r="A5462" s="502" t="s">
        <v>6257</v>
      </c>
      <c r="B5462" s="504" t="s">
        <v>16337</v>
      </c>
      <c r="C5462" s="502" t="s">
        <v>114</v>
      </c>
      <c r="D5462" s="503" t="s">
        <v>33721</v>
      </c>
      <c r="F5462" t="str">
        <f t="shared" si="173"/>
        <v>94796</v>
      </c>
      <c r="H5462" s="14">
        <f t="shared" si="172"/>
        <v>57.59</v>
      </c>
    </row>
    <row r="5463" spans="1:8" ht="27.6">
      <c r="A5463" s="502" t="s">
        <v>6258</v>
      </c>
      <c r="B5463" s="504" t="s">
        <v>16338</v>
      </c>
      <c r="C5463" s="502" t="s">
        <v>114</v>
      </c>
      <c r="D5463" s="503" t="s">
        <v>33722</v>
      </c>
      <c r="F5463" t="str">
        <f t="shared" si="173"/>
        <v>94797</v>
      </c>
      <c r="H5463" s="14">
        <f t="shared" si="172"/>
        <v>116.91</v>
      </c>
    </row>
    <row r="5464" spans="1:8" ht="27.6">
      <c r="A5464" s="502" t="s">
        <v>6259</v>
      </c>
      <c r="B5464" s="504" t="s">
        <v>16339</v>
      </c>
      <c r="C5464" s="502" t="s">
        <v>114</v>
      </c>
      <c r="D5464" s="503" t="s">
        <v>33723</v>
      </c>
      <c r="F5464" t="str">
        <f t="shared" si="173"/>
        <v>94798</v>
      </c>
      <c r="H5464" s="14">
        <f t="shared" si="172"/>
        <v>192.67</v>
      </c>
    </row>
    <row r="5465" spans="1:8" ht="27.6">
      <c r="A5465" s="502" t="s">
        <v>6260</v>
      </c>
      <c r="B5465" s="504" t="s">
        <v>16340</v>
      </c>
      <c r="C5465" s="502" t="s">
        <v>114</v>
      </c>
      <c r="D5465" s="503" t="s">
        <v>33724</v>
      </c>
      <c r="F5465" t="str">
        <f t="shared" si="173"/>
        <v>94799</v>
      </c>
      <c r="H5465" s="14">
        <f t="shared" si="172"/>
        <v>236.97</v>
      </c>
    </row>
    <row r="5466" spans="1:8" ht="27.6">
      <c r="A5466" s="502" t="s">
        <v>6261</v>
      </c>
      <c r="B5466" s="504" t="s">
        <v>16341</v>
      </c>
      <c r="C5466" s="502" t="s">
        <v>114</v>
      </c>
      <c r="D5466" s="503" t="s">
        <v>33725</v>
      </c>
      <c r="F5466" t="str">
        <f t="shared" si="173"/>
        <v>94800</v>
      </c>
      <c r="H5466" s="14">
        <f t="shared" si="172"/>
        <v>304.3</v>
      </c>
    </row>
    <row r="5467" spans="1:8" ht="27.6">
      <c r="A5467" s="502" t="s">
        <v>6262</v>
      </c>
      <c r="B5467" s="504" t="s">
        <v>16342</v>
      </c>
      <c r="C5467" s="502" t="s">
        <v>114</v>
      </c>
      <c r="D5467" s="503" t="s">
        <v>33726</v>
      </c>
      <c r="F5467" t="str">
        <f t="shared" si="173"/>
        <v>95248</v>
      </c>
      <c r="H5467" s="14">
        <f t="shared" si="172"/>
        <v>82.72</v>
      </c>
    </row>
    <row r="5468" spans="1:8" ht="27.6">
      <c r="A5468" s="502" t="s">
        <v>6263</v>
      </c>
      <c r="B5468" s="504" t="s">
        <v>16343</v>
      </c>
      <c r="C5468" s="502" t="s">
        <v>114</v>
      </c>
      <c r="D5468" s="503" t="s">
        <v>33727</v>
      </c>
      <c r="F5468" t="str">
        <f t="shared" si="173"/>
        <v>95249</v>
      </c>
      <c r="H5468" s="14">
        <f t="shared" si="172"/>
        <v>97.49</v>
      </c>
    </row>
    <row r="5469" spans="1:8" ht="27.6">
      <c r="A5469" s="502" t="s">
        <v>6264</v>
      </c>
      <c r="B5469" s="504" t="s">
        <v>16344</v>
      </c>
      <c r="C5469" s="502" t="s">
        <v>114</v>
      </c>
      <c r="D5469" s="503" t="s">
        <v>33728</v>
      </c>
      <c r="F5469" t="str">
        <f t="shared" si="173"/>
        <v>95250</v>
      </c>
      <c r="H5469" s="14">
        <f t="shared" si="172"/>
        <v>131.57</v>
      </c>
    </row>
    <row r="5470" spans="1:8" ht="27.6">
      <c r="A5470" s="502" t="s">
        <v>6265</v>
      </c>
      <c r="B5470" s="504" t="s">
        <v>16345</v>
      </c>
      <c r="C5470" s="502" t="s">
        <v>114</v>
      </c>
      <c r="D5470" s="503" t="s">
        <v>29115</v>
      </c>
      <c r="F5470" t="str">
        <f t="shared" si="173"/>
        <v>95251</v>
      </c>
      <c r="H5470" s="14">
        <f t="shared" si="172"/>
        <v>194.65</v>
      </c>
    </row>
    <row r="5471" spans="1:8" ht="27.6">
      <c r="A5471" s="502" t="s">
        <v>6266</v>
      </c>
      <c r="B5471" s="504" t="s">
        <v>16346</v>
      </c>
      <c r="C5471" s="502" t="s">
        <v>114</v>
      </c>
      <c r="D5471" s="503" t="s">
        <v>15931</v>
      </c>
      <c r="F5471" t="str">
        <f t="shared" si="173"/>
        <v>95252</v>
      </c>
      <c r="H5471" s="14">
        <f t="shared" si="172"/>
        <v>235.97</v>
      </c>
    </row>
    <row r="5472" spans="1:8" ht="27.6">
      <c r="A5472" s="502" t="s">
        <v>6267</v>
      </c>
      <c r="B5472" s="504" t="s">
        <v>16347</v>
      </c>
      <c r="C5472" s="502" t="s">
        <v>114</v>
      </c>
      <c r="D5472" s="503" t="s">
        <v>33729</v>
      </c>
      <c r="F5472" t="str">
        <f t="shared" si="173"/>
        <v>95253</v>
      </c>
      <c r="H5472" s="14">
        <f t="shared" si="172"/>
        <v>358.91</v>
      </c>
    </row>
    <row r="5473" spans="1:8" ht="41.4">
      <c r="A5473" s="502" t="s">
        <v>9948</v>
      </c>
      <c r="B5473" s="504" t="s">
        <v>16348</v>
      </c>
      <c r="C5473" s="502" t="s">
        <v>114</v>
      </c>
      <c r="D5473" s="503" t="s">
        <v>33730</v>
      </c>
      <c r="F5473" t="str">
        <f t="shared" si="173"/>
        <v>99619</v>
      </c>
      <c r="H5473" s="14">
        <f t="shared" si="172"/>
        <v>130.63999999999999</v>
      </c>
    </row>
    <row r="5474" spans="1:8" ht="41.4">
      <c r="A5474" s="502" t="s">
        <v>9949</v>
      </c>
      <c r="B5474" s="504" t="s">
        <v>16349</v>
      </c>
      <c r="C5474" s="502" t="s">
        <v>114</v>
      </c>
      <c r="D5474" s="503" t="s">
        <v>33731</v>
      </c>
      <c r="F5474" t="str">
        <f t="shared" si="173"/>
        <v>99620</v>
      </c>
      <c r="H5474" s="14">
        <f t="shared" si="172"/>
        <v>177.44</v>
      </c>
    </row>
    <row r="5475" spans="1:8" ht="41.4">
      <c r="A5475" s="502" t="s">
        <v>9950</v>
      </c>
      <c r="B5475" s="504" t="s">
        <v>16350</v>
      </c>
      <c r="C5475" s="502" t="s">
        <v>114</v>
      </c>
      <c r="D5475" s="503" t="s">
        <v>33732</v>
      </c>
      <c r="F5475" t="str">
        <f t="shared" si="173"/>
        <v>99621</v>
      </c>
      <c r="H5475" s="14">
        <f t="shared" si="172"/>
        <v>264.11</v>
      </c>
    </row>
    <row r="5476" spans="1:8" ht="41.4">
      <c r="A5476" s="502" t="s">
        <v>9951</v>
      </c>
      <c r="B5476" s="504" t="s">
        <v>16351</v>
      </c>
      <c r="C5476" s="502" t="s">
        <v>114</v>
      </c>
      <c r="D5476" s="503" t="s">
        <v>33733</v>
      </c>
      <c r="F5476" t="str">
        <f t="shared" si="173"/>
        <v>99622</v>
      </c>
      <c r="H5476" s="14">
        <f t="shared" si="172"/>
        <v>297.91000000000003</v>
      </c>
    </row>
    <row r="5477" spans="1:8" ht="41.4">
      <c r="A5477" s="502" t="s">
        <v>9952</v>
      </c>
      <c r="B5477" s="504" t="s">
        <v>16352</v>
      </c>
      <c r="C5477" s="502" t="s">
        <v>114</v>
      </c>
      <c r="D5477" s="503" t="s">
        <v>33734</v>
      </c>
      <c r="F5477" t="str">
        <f t="shared" si="173"/>
        <v>99623</v>
      </c>
      <c r="H5477" s="14">
        <f t="shared" si="172"/>
        <v>415.18</v>
      </c>
    </row>
    <row r="5478" spans="1:8" ht="41.4">
      <c r="A5478" s="502" t="s">
        <v>9953</v>
      </c>
      <c r="B5478" s="504" t="s">
        <v>16353</v>
      </c>
      <c r="C5478" s="502" t="s">
        <v>114</v>
      </c>
      <c r="D5478" s="503" t="s">
        <v>33735</v>
      </c>
      <c r="F5478" t="str">
        <f t="shared" si="173"/>
        <v>99624</v>
      </c>
      <c r="H5478" s="14">
        <f t="shared" si="172"/>
        <v>591.34</v>
      </c>
    </row>
    <row r="5479" spans="1:8" ht="41.4">
      <c r="A5479" s="502" t="s">
        <v>9954</v>
      </c>
      <c r="B5479" s="504" t="s">
        <v>16354</v>
      </c>
      <c r="C5479" s="502" t="s">
        <v>114</v>
      </c>
      <c r="D5479" s="503" t="s">
        <v>33736</v>
      </c>
      <c r="F5479" t="str">
        <f t="shared" si="173"/>
        <v>99625</v>
      </c>
      <c r="H5479" s="14">
        <f t="shared" si="172"/>
        <v>812.35</v>
      </c>
    </row>
    <row r="5480" spans="1:8" ht="41.4">
      <c r="A5480" s="502" t="s">
        <v>9955</v>
      </c>
      <c r="B5480" s="504" t="s">
        <v>16356</v>
      </c>
      <c r="C5480" s="502" t="s">
        <v>114</v>
      </c>
      <c r="D5480" s="503" t="s">
        <v>33737</v>
      </c>
      <c r="F5480" t="str">
        <f t="shared" si="173"/>
        <v>99626</v>
      </c>
      <c r="H5480" s="14">
        <f t="shared" si="172"/>
        <v>1247.99</v>
      </c>
    </row>
    <row r="5481" spans="1:8" ht="27.6">
      <c r="A5481" s="502" t="s">
        <v>9956</v>
      </c>
      <c r="B5481" s="504" t="s">
        <v>16357</v>
      </c>
      <c r="C5481" s="502" t="s">
        <v>114</v>
      </c>
      <c r="D5481" s="503" t="s">
        <v>30313</v>
      </c>
      <c r="F5481" t="str">
        <f t="shared" si="173"/>
        <v>99627</v>
      </c>
      <c r="H5481" s="14">
        <f t="shared" si="172"/>
        <v>78.94</v>
      </c>
    </row>
    <row r="5482" spans="1:8" ht="27.6">
      <c r="A5482" s="502" t="s">
        <v>9957</v>
      </c>
      <c r="B5482" s="504" t="s">
        <v>16358</v>
      </c>
      <c r="C5482" s="502" t="s">
        <v>114</v>
      </c>
      <c r="D5482" s="503" t="s">
        <v>33738</v>
      </c>
      <c r="F5482" t="str">
        <f t="shared" si="173"/>
        <v>99628</v>
      </c>
      <c r="H5482" s="14">
        <f t="shared" si="172"/>
        <v>86.72</v>
      </c>
    </row>
    <row r="5483" spans="1:8" ht="27.6">
      <c r="A5483" s="502" t="s">
        <v>9958</v>
      </c>
      <c r="B5483" s="504" t="s">
        <v>16359</v>
      </c>
      <c r="C5483" s="502" t="s">
        <v>114</v>
      </c>
      <c r="D5483" s="503" t="s">
        <v>33739</v>
      </c>
      <c r="F5483" t="str">
        <f t="shared" si="173"/>
        <v>99629</v>
      </c>
      <c r="H5483" s="14">
        <f t="shared" si="172"/>
        <v>96.83</v>
      </c>
    </row>
    <row r="5484" spans="1:8" ht="27.6">
      <c r="A5484" s="502" t="s">
        <v>9959</v>
      </c>
      <c r="B5484" s="504" t="s">
        <v>16360</v>
      </c>
      <c r="C5484" s="502" t="s">
        <v>114</v>
      </c>
      <c r="D5484" s="503" t="s">
        <v>33740</v>
      </c>
      <c r="F5484" t="str">
        <f t="shared" si="173"/>
        <v>99630</v>
      </c>
      <c r="H5484" s="14">
        <f t="shared" si="172"/>
        <v>143.72</v>
      </c>
    </row>
    <row r="5485" spans="1:8" ht="27.6">
      <c r="A5485" s="502" t="s">
        <v>9960</v>
      </c>
      <c r="B5485" s="504" t="s">
        <v>16361</v>
      </c>
      <c r="C5485" s="502" t="s">
        <v>114</v>
      </c>
      <c r="D5485" s="503" t="s">
        <v>33741</v>
      </c>
      <c r="F5485" t="str">
        <f t="shared" si="173"/>
        <v>99631</v>
      </c>
      <c r="H5485" s="14">
        <f t="shared" si="172"/>
        <v>167.8</v>
      </c>
    </row>
    <row r="5486" spans="1:8" ht="27.6">
      <c r="A5486" s="502" t="s">
        <v>9961</v>
      </c>
      <c r="B5486" s="504" t="s">
        <v>16362</v>
      </c>
      <c r="C5486" s="502" t="s">
        <v>114</v>
      </c>
      <c r="D5486" s="503" t="s">
        <v>33742</v>
      </c>
      <c r="F5486" t="str">
        <f t="shared" si="173"/>
        <v>99632</v>
      </c>
      <c r="H5486" s="14">
        <f t="shared" si="172"/>
        <v>241.2</v>
      </c>
    </row>
    <row r="5487" spans="1:8" ht="27.6">
      <c r="A5487" s="502" t="s">
        <v>9962</v>
      </c>
      <c r="B5487" s="504" t="s">
        <v>16363</v>
      </c>
      <c r="C5487" s="502" t="s">
        <v>114</v>
      </c>
      <c r="D5487" s="503" t="s">
        <v>33743</v>
      </c>
      <c r="F5487" t="str">
        <f t="shared" si="173"/>
        <v>99633</v>
      </c>
      <c r="H5487" s="14">
        <f t="shared" si="172"/>
        <v>514.69000000000005</v>
      </c>
    </row>
    <row r="5488" spans="1:8" ht="27.6">
      <c r="A5488" s="502" t="s">
        <v>9963</v>
      </c>
      <c r="B5488" s="504" t="s">
        <v>16364</v>
      </c>
      <c r="C5488" s="502" t="s">
        <v>114</v>
      </c>
      <c r="D5488" s="503" t="s">
        <v>33744</v>
      </c>
      <c r="F5488" t="str">
        <f t="shared" si="173"/>
        <v>99634</v>
      </c>
      <c r="H5488" s="14">
        <f t="shared" si="172"/>
        <v>873.47</v>
      </c>
    </row>
    <row r="5489" spans="1:8" ht="41.4">
      <c r="A5489" s="502" t="s">
        <v>9964</v>
      </c>
      <c r="B5489" s="504" t="s">
        <v>16365</v>
      </c>
      <c r="C5489" s="502" t="s">
        <v>114</v>
      </c>
      <c r="D5489" s="503" t="s">
        <v>33745</v>
      </c>
      <c r="F5489" t="str">
        <f t="shared" si="173"/>
        <v>99635</v>
      </c>
      <c r="H5489" s="14">
        <f t="shared" si="172"/>
        <v>469.53</v>
      </c>
    </row>
    <row r="5490" spans="1:8" ht="41.4">
      <c r="A5490" s="502" t="s">
        <v>16366</v>
      </c>
      <c r="B5490" s="504" t="s">
        <v>16367</v>
      </c>
      <c r="C5490" s="502" t="s">
        <v>114</v>
      </c>
      <c r="D5490" s="503" t="s">
        <v>30838</v>
      </c>
      <c r="F5490" t="str">
        <f t="shared" si="173"/>
        <v>103008</v>
      </c>
      <c r="H5490" s="14">
        <f t="shared" si="172"/>
        <v>106.4</v>
      </c>
    </row>
    <row r="5491" spans="1:8" ht="27.6">
      <c r="A5491" s="502" t="s">
        <v>16368</v>
      </c>
      <c r="B5491" s="504" t="s">
        <v>16369</v>
      </c>
      <c r="C5491" s="502" t="s">
        <v>114</v>
      </c>
      <c r="D5491" s="503" t="s">
        <v>33746</v>
      </c>
      <c r="F5491" t="str">
        <f t="shared" si="173"/>
        <v>103009</v>
      </c>
      <c r="H5491" s="14">
        <f t="shared" si="172"/>
        <v>379.75</v>
      </c>
    </row>
    <row r="5492" spans="1:8" ht="41.4">
      <c r="A5492" s="502" t="s">
        <v>16370</v>
      </c>
      <c r="B5492" s="504" t="s">
        <v>16371</v>
      </c>
      <c r="C5492" s="502" t="s">
        <v>114</v>
      </c>
      <c r="D5492" s="503" t="s">
        <v>10244</v>
      </c>
      <c r="F5492" t="str">
        <f t="shared" si="173"/>
        <v>103010</v>
      </c>
      <c r="H5492" s="14">
        <f t="shared" si="172"/>
        <v>80.680000000000007</v>
      </c>
    </row>
    <row r="5493" spans="1:8" ht="41.4">
      <c r="A5493" s="502" t="s">
        <v>16372</v>
      </c>
      <c r="B5493" s="504" t="s">
        <v>16373</v>
      </c>
      <c r="C5493" s="502" t="s">
        <v>114</v>
      </c>
      <c r="D5493" s="503" t="s">
        <v>17115</v>
      </c>
      <c r="F5493" t="str">
        <f t="shared" si="173"/>
        <v>103011</v>
      </c>
      <c r="H5493" s="14">
        <f t="shared" si="172"/>
        <v>90.2</v>
      </c>
    </row>
    <row r="5494" spans="1:8" ht="41.4">
      <c r="A5494" s="502" t="s">
        <v>16374</v>
      </c>
      <c r="B5494" s="504" t="s">
        <v>16375</v>
      </c>
      <c r="C5494" s="502" t="s">
        <v>114</v>
      </c>
      <c r="D5494" s="503" t="s">
        <v>33747</v>
      </c>
      <c r="F5494" t="str">
        <f t="shared" si="173"/>
        <v>103012</v>
      </c>
      <c r="H5494" s="14">
        <f t="shared" si="172"/>
        <v>141.94</v>
      </c>
    </row>
    <row r="5495" spans="1:8" ht="41.4">
      <c r="A5495" s="502" t="s">
        <v>16376</v>
      </c>
      <c r="B5495" s="504" t="s">
        <v>16377</v>
      </c>
      <c r="C5495" s="502" t="s">
        <v>114</v>
      </c>
      <c r="D5495" s="503" t="s">
        <v>33748</v>
      </c>
      <c r="F5495" t="str">
        <f t="shared" si="173"/>
        <v>103013</v>
      </c>
      <c r="H5495" s="14">
        <f t="shared" si="172"/>
        <v>153.21</v>
      </c>
    </row>
    <row r="5496" spans="1:8" ht="41.4">
      <c r="A5496" s="502" t="s">
        <v>16378</v>
      </c>
      <c r="B5496" s="504" t="s">
        <v>16379</v>
      </c>
      <c r="C5496" s="502" t="s">
        <v>114</v>
      </c>
      <c r="D5496" s="503" t="s">
        <v>33749</v>
      </c>
      <c r="F5496" t="str">
        <f t="shared" si="173"/>
        <v>103014</v>
      </c>
      <c r="H5496" s="14">
        <f t="shared" si="172"/>
        <v>229.88</v>
      </c>
    </row>
    <row r="5497" spans="1:8" ht="41.4">
      <c r="A5497" s="502" t="s">
        <v>16380</v>
      </c>
      <c r="B5497" s="504" t="s">
        <v>16381</v>
      </c>
      <c r="C5497" s="502" t="s">
        <v>114</v>
      </c>
      <c r="D5497" s="503" t="s">
        <v>33750</v>
      </c>
      <c r="F5497" t="str">
        <f t="shared" si="173"/>
        <v>103015</v>
      </c>
      <c r="H5497" s="14">
        <f t="shared" si="172"/>
        <v>405.12</v>
      </c>
    </row>
    <row r="5498" spans="1:8" ht="41.4">
      <c r="A5498" s="502" t="s">
        <v>16382</v>
      </c>
      <c r="B5498" s="504" t="s">
        <v>16383</v>
      </c>
      <c r="C5498" s="502" t="s">
        <v>114</v>
      </c>
      <c r="D5498" s="503" t="s">
        <v>33751</v>
      </c>
      <c r="F5498" t="str">
        <f t="shared" si="173"/>
        <v>103016</v>
      </c>
      <c r="H5498" s="14">
        <f t="shared" si="172"/>
        <v>553.35</v>
      </c>
    </row>
    <row r="5499" spans="1:8" ht="41.4">
      <c r="A5499" s="502" t="s">
        <v>16384</v>
      </c>
      <c r="B5499" s="504" t="s">
        <v>16385</v>
      </c>
      <c r="C5499" s="502" t="s">
        <v>114</v>
      </c>
      <c r="D5499" s="503" t="s">
        <v>33752</v>
      </c>
      <c r="F5499" t="str">
        <f t="shared" si="173"/>
        <v>103017</v>
      </c>
      <c r="H5499" s="14">
        <f t="shared" si="172"/>
        <v>963.42</v>
      </c>
    </row>
    <row r="5500" spans="1:8" ht="41.4">
      <c r="A5500" s="502" t="s">
        <v>16386</v>
      </c>
      <c r="B5500" s="504" t="s">
        <v>16387</v>
      </c>
      <c r="C5500" s="502" t="s">
        <v>114</v>
      </c>
      <c r="D5500" s="503" t="s">
        <v>33753</v>
      </c>
      <c r="F5500" t="str">
        <f t="shared" si="173"/>
        <v>103018</v>
      </c>
      <c r="H5500" s="14">
        <f t="shared" si="172"/>
        <v>384.29</v>
      </c>
    </row>
    <row r="5501" spans="1:8" ht="55.2">
      <c r="A5501" s="502" t="s">
        <v>16388</v>
      </c>
      <c r="B5501" s="504" t="s">
        <v>16389</v>
      </c>
      <c r="C5501" s="502" t="s">
        <v>114</v>
      </c>
      <c r="D5501" s="503" t="s">
        <v>33754</v>
      </c>
      <c r="F5501" t="str">
        <f t="shared" si="173"/>
        <v>103019</v>
      </c>
      <c r="H5501" s="14">
        <f t="shared" si="172"/>
        <v>287.10000000000002</v>
      </c>
    </row>
    <row r="5502" spans="1:8" ht="27.6">
      <c r="A5502" s="502" t="s">
        <v>16390</v>
      </c>
      <c r="B5502" s="504" t="s">
        <v>16391</v>
      </c>
      <c r="C5502" s="502" t="s">
        <v>114</v>
      </c>
      <c r="D5502" s="503" t="s">
        <v>33755</v>
      </c>
      <c r="F5502" t="str">
        <f t="shared" si="173"/>
        <v>103029</v>
      </c>
      <c r="H5502" s="14">
        <f t="shared" si="172"/>
        <v>71.650000000000006</v>
      </c>
    </row>
    <row r="5503" spans="1:8" ht="27.6">
      <c r="A5503" s="502" t="s">
        <v>16392</v>
      </c>
      <c r="B5503" s="504" t="s">
        <v>16393</v>
      </c>
      <c r="C5503" s="502" t="s">
        <v>114</v>
      </c>
      <c r="D5503" s="503" t="s">
        <v>30481</v>
      </c>
      <c r="F5503" t="str">
        <f t="shared" si="173"/>
        <v>103036</v>
      </c>
      <c r="H5503" s="14">
        <f t="shared" si="172"/>
        <v>42.19</v>
      </c>
    </row>
    <row r="5504" spans="1:8" ht="27.6">
      <c r="A5504" s="502" t="s">
        <v>16394</v>
      </c>
      <c r="B5504" s="504" t="s">
        <v>16395</v>
      </c>
      <c r="C5504" s="502" t="s">
        <v>114</v>
      </c>
      <c r="D5504" s="503" t="s">
        <v>33756</v>
      </c>
      <c r="F5504" t="str">
        <f t="shared" si="173"/>
        <v>103037</v>
      </c>
      <c r="H5504" s="14">
        <f t="shared" si="172"/>
        <v>82.97</v>
      </c>
    </row>
    <row r="5505" spans="1:8" ht="27.6">
      <c r="A5505" s="502" t="s">
        <v>16396</v>
      </c>
      <c r="B5505" s="504" t="s">
        <v>16397</v>
      </c>
      <c r="C5505" s="502" t="s">
        <v>114</v>
      </c>
      <c r="D5505" s="503" t="s">
        <v>33757</v>
      </c>
      <c r="F5505" t="str">
        <f t="shared" si="173"/>
        <v>103038</v>
      </c>
      <c r="H5505" s="14">
        <f t="shared" si="172"/>
        <v>111.09</v>
      </c>
    </row>
    <row r="5506" spans="1:8" ht="27.6">
      <c r="A5506" s="502" t="s">
        <v>16398</v>
      </c>
      <c r="B5506" s="504" t="s">
        <v>16399</v>
      </c>
      <c r="C5506" s="502" t="s">
        <v>114</v>
      </c>
      <c r="D5506" s="503" t="s">
        <v>33758</v>
      </c>
      <c r="F5506" t="str">
        <f t="shared" si="173"/>
        <v>103039</v>
      </c>
      <c r="H5506" s="14">
        <f t="shared" si="172"/>
        <v>120.4</v>
      </c>
    </row>
    <row r="5507" spans="1:8" ht="27.6">
      <c r="A5507" s="502" t="s">
        <v>16400</v>
      </c>
      <c r="B5507" s="504" t="s">
        <v>16401</v>
      </c>
      <c r="C5507" s="502" t="s">
        <v>114</v>
      </c>
      <c r="D5507" s="503" t="s">
        <v>33759</v>
      </c>
      <c r="F5507" t="str">
        <f t="shared" si="173"/>
        <v>103040</v>
      </c>
      <c r="H5507" s="14">
        <f t="shared" si="172"/>
        <v>179.54</v>
      </c>
    </row>
    <row r="5508" spans="1:8" ht="27.6">
      <c r="A5508" s="502" t="s">
        <v>16402</v>
      </c>
      <c r="B5508" s="504" t="s">
        <v>16403</v>
      </c>
      <c r="C5508" s="502" t="s">
        <v>114</v>
      </c>
      <c r="D5508" s="503" t="s">
        <v>11615</v>
      </c>
      <c r="F5508" t="str">
        <f t="shared" si="173"/>
        <v>103041</v>
      </c>
      <c r="H5508" s="14">
        <f t="shared" si="172"/>
        <v>35.020000000000003</v>
      </c>
    </row>
    <row r="5509" spans="1:8" ht="27.6">
      <c r="A5509" s="502" t="s">
        <v>16404</v>
      </c>
      <c r="B5509" s="504" t="s">
        <v>16405</v>
      </c>
      <c r="C5509" s="502" t="s">
        <v>114</v>
      </c>
      <c r="D5509" s="503" t="s">
        <v>29216</v>
      </c>
      <c r="F5509" t="str">
        <f t="shared" si="173"/>
        <v>103042</v>
      </c>
      <c r="H5509" s="14">
        <f t="shared" ref="H5509:H5572" si="174">ROUND(D5509*(1+$H$1),2)</f>
        <v>43.05</v>
      </c>
    </row>
    <row r="5510" spans="1:8" ht="41.4">
      <c r="A5510" s="502" t="s">
        <v>16406</v>
      </c>
      <c r="B5510" s="504" t="s">
        <v>16407</v>
      </c>
      <c r="C5510" s="502" t="s">
        <v>114</v>
      </c>
      <c r="D5510" s="503" t="s">
        <v>33760</v>
      </c>
      <c r="F5510" t="str">
        <f t="shared" si="173"/>
        <v>103043</v>
      </c>
      <c r="H5510" s="14">
        <f t="shared" si="174"/>
        <v>40.56</v>
      </c>
    </row>
    <row r="5511" spans="1:8" ht="41.4">
      <c r="A5511" s="502" t="s">
        <v>16408</v>
      </c>
      <c r="B5511" s="504" t="s">
        <v>16409</v>
      </c>
      <c r="C5511" s="502" t="s">
        <v>114</v>
      </c>
      <c r="D5511" s="503" t="s">
        <v>11457</v>
      </c>
      <c r="F5511" t="str">
        <f t="shared" si="173"/>
        <v>103044</v>
      </c>
      <c r="H5511" s="14">
        <f t="shared" si="174"/>
        <v>54.59</v>
      </c>
    </row>
    <row r="5512" spans="1:8" ht="41.4">
      <c r="A5512" s="502" t="s">
        <v>16410</v>
      </c>
      <c r="B5512" s="504" t="s">
        <v>16411</v>
      </c>
      <c r="C5512" s="502" t="s">
        <v>114</v>
      </c>
      <c r="D5512" s="503" t="s">
        <v>31425</v>
      </c>
      <c r="F5512" t="str">
        <f t="shared" si="173"/>
        <v>103045</v>
      </c>
      <c r="H5512" s="14">
        <f t="shared" si="174"/>
        <v>16.82</v>
      </c>
    </row>
    <row r="5513" spans="1:8" ht="41.4">
      <c r="A5513" s="502" t="s">
        <v>16412</v>
      </c>
      <c r="B5513" s="504" t="s">
        <v>16413</v>
      </c>
      <c r="C5513" s="502" t="s">
        <v>114</v>
      </c>
      <c r="D5513" s="503" t="s">
        <v>29085</v>
      </c>
      <c r="F5513" t="str">
        <f t="shared" si="173"/>
        <v>103046</v>
      </c>
      <c r="H5513" s="14">
        <f t="shared" si="174"/>
        <v>40.729999999999997</v>
      </c>
    </row>
    <row r="5514" spans="1:8" ht="27.6">
      <c r="A5514" s="502" t="s">
        <v>16414</v>
      </c>
      <c r="B5514" s="504" t="s">
        <v>16415</v>
      </c>
      <c r="C5514" s="502" t="s">
        <v>114</v>
      </c>
      <c r="D5514" s="503" t="s">
        <v>25971</v>
      </c>
      <c r="F5514" t="str">
        <f t="shared" si="173"/>
        <v>103047</v>
      </c>
      <c r="H5514" s="14">
        <f t="shared" si="174"/>
        <v>42.55</v>
      </c>
    </row>
    <row r="5515" spans="1:8" ht="41.4">
      <c r="A5515" s="502" t="s">
        <v>16416</v>
      </c>
      <c r="B5515" s="504" t="s">
        <v>16417</v>
      </c>
      <c r="C5515" s="502" t="s">
        <v>114</v>
      </c>
      <c r="D5515" s="503" t="s">
        <v>16283</v>
      </c>
      <c r="F5515" t="str">
        <f t="shared" si="173"/>
        <v>103048</v>
      </c>
      <c r="H5515" s="14">
        <f t="shared" si="174"/>
        <v>31.54</v>
      </c>
    </row>
    <row r="5516" spans="1:8" ht="41.4">
      <c r="A5516" s="502" t="s">
        <v>16418</v>
      </c>
      <c r="B5516" s="504" t="s">
        <v>16419</v>
      </c>
      <c r="C5516" s="502" t="s">
        <v>114</v>
      </c>
      <c r="D5516" s="503" t="s">
        <v>10011</v>
      </c>
      <c r="F5516" t="str">
        <f t="shared" si="173"/>
        <v>103049</v>
      </c>
      <c r="H5516" s="14">
        <f t="shared" si="174"/>
        <v>34.299999999999997</v>
      </c>
    </row>
    <row r="5517" spans="1:8" ht="27.6">
      <c r="A5517" s="502" t="s">
        <v>16420</v>
      </c>
      <c r="B5517" s="504" t="s">
        <v>16421</v>
      </c>
      <c r="C5517" s="502" t="s">
        <v>114</v>
      </c>
      <c r="D5517" s="503" t="s">
        <v>10058</v>
      </c>
      <c r="F5517" t="str">
        <f t="shared" si="173"/>
        <v>103050</v>
      </c>
      <c r="H5517" s="14">
        <f t="shared" si="174"/>
        <v>36.659999999999997</v>
      </c>
    </row>
    <row r="5518" spans="1:8" ht="27.6">
      <c r="A5518" s="502" t="s">
        <v>16422</v>
      </c>
      <c r="B5518" s="504" t="s">
        <v>16423</v>
      </c>
      <c r="C5518" s="502" t="s">
        <v>114</v>
      </c>
      <c r="D5518" s="503" t="s">
        <v>4982</v>
      </c>
      <c r="F5518" t="str">
        <f t="shared" si="173"/>
        <v>103051</v>
      </c>
      <c r="H5518" s="14">
        <f t="shared" si="174"/>
        <v>44.2</v>
      </c>
    </row>
    <row r="5519" spans="1:8" ht="27.6">
      <c r="A5519" s="502" t="s">
        <v>16424</v>
      </c>
      <c r="B5519" s="504" t="s">
        <v>16425</v>
      </c>
      <c r="C5519" s="502" t="s">
        <v>114</v>
      </c>
      <c r="D5519" s="503" t="s">
        <v>33761</v>
      </c>
      <c r="F5519" t="str">
        <f t="shared" ref="F5519:F5582" si="175">TRIM(A5519)</f>
        <v>103052</v>
      </c>
      <c r="H5519" s="14">
        <f t="shared" si="174"/>
        <v>59.78</v>
      </c>
    </row>
    <row r="5520" spans="1:8" ht="41.4">
      <c r="A5520" s="502" t="s">
        <v>6268</v>
      </c>
      <c r="B5520" s="504" t="s">
        <v>29587</v>
      </c>
      <c r="C5520" s="502" t="s">
        <v>114</v>
      </c>
      <c r="D5520" s="503" t="s">
        <v>33762</v>
      </c>
      <c r="F5520" t="str">
        <f t="shared" si="175"/>
        <v>95634</v>
      </c>
      <c r="H5520" s="14">
        <f t="shared" si="174"/>
        <v>318.27</v>
      </c>
    </row>
    <row r="5521" spans="1:8" ht="41.4">
      <c r="A5521" s="502" t="s">
        <v>6269</v>
      </c>
      <c r="B5521" s="504" t="s">
        <v>29588</v>
      </c>
      <c r="C5521" s="502" t="s">
        <v>114</v>
      </c>
      <c r="D5521" s="503" t="s">
        <v>33763</v>
      </c>
      <c r="F5521" t="str">
        <f t="shared" si="175"/>
        <v>95635</v>
      </c>
      <c r="H5521" s="14">
        <f t="shared" si="174"/>
        <v>333.75</v>
      </c>
    </row>
    <row r="5522" spans="1:8" ht="55.2">
      <c r="A5522" s="502" t="s">
        <v>13655</v>
      </c>
      <c r="B5522" s="504" t="s">
        <v>29589</v>
      </c>
      <c r="C5522" s="502" t="s">
        <v>114</v>
      </c>
      <c r="D5522" s="503" t="s">
        <v>33764</v>
      </c>
      <c r="F5522" t="str">
        <f t="shared" si="175"/>
        <v>95636</v>
      </c>
      <c r="H5522" s="14">
        <f t="shared" si="174"/>
        <v>604.34</v>
      </c>
    </row>
    <row r="5523" spans="1:8" ht="55.2">
      <c r="A5523" s="502" t="s">
        <v>6270</v>
      </c>
      <c r="B5523" s="504" t="s">
        <v>29590</v>
      </c>
      <c r="C5523" s="502" t="s">
        <v>114</v>
      </c>
      <c r="D5523" s="503" t="s">
        <v>33765</v>
      </c>
      <c r="F5523" t="str">
        <f t="shared" si="175"/>
        <v>95637</v>
      </c>
      <c r="H5523" s="14">
        <f t="shared" si="174"/>
        <v>800.67</v>
      </c>
    </row>
    <row r="5524" spans="1:8" ht="55.2">
      <c r="A5524" s="502" t="s">
        <v>6271</v>
      </c>
      <c r="B5524" s="504" t="s">
        <v>29592</v>
      </c>
      <c r="C5524" s="502" t="s">
        <v>114</v>
      </c>
      <c r="D5524" s="503" t="s">
        <v>33766</v>
      </c>
      <c r="F5524" t="str">
        <f t="shared" si="175"/>
        <v>95638</v>
      </c>
      <c r="H5524" s="14">
        <f t="shared" si="174"/>
        <v>987.32</v>
      </c>
    </row>
    <row r="5525" spans="1:8" ht="55.2">
      <c r="A5525" s="502" t="s">
        <v>6272</v>
      </c>
      <c r="B5525" s="504" t="s">
        <v>29593</v>
      </c>
      <c r="C5525" s="502" t="s">
        <v>114</v>
      </c>
      <c r="D5525" s="503" t="s">
        <v>33767</v>
      </c>
      <c r="F5525" t="str">
        <f t="shared" si="175"/>
        <v>95639</v>
      </c>
      <c r="H5525" s="14">
        <f t="shared" si="174"/>
        <v>1359.54</v>
      </c>
    </row>
    <row r="5526" spans="1:8" ht="55.2">
      <c r="A5526" s="502" t="s">
        <v>6273</v>
      </c>
      <c r="B5526" s="504" t="s">
        <v>29594</v>
      </c>
      <c r="C5526" s="502" t="s">
        <v>114</v>
      </c>
      <c r="D5526" s="503" t="s">
        <v>33768</v>
      </c>
      <c r="F5526" t="str">
        <f t="shared" si="175"/>
        <v>95641</v>
      </c>
      <c r="H5526" s="14">
        <f t="shared" si="174"/>
        <v>453.22</v>
      </c>
    </row>
    <row r="5527" spans="1:8" ht="55.2">
      <c r="A5527" s="502" t="s">
        <v>6274</v>
      </c>
      <c r="B5527" s="504" t="s">
        <v>29595</v>
      </c>
      <c r="C5527" s="502" t="s">
        <v>114</v>
      </c>
      <c r="D5527" s="503" t="s">
        <v>33769</v>
      </c>
      <c r="F5527" t="str">
        <f t="shared" si="175"/>
        <v>95642</v>
      </c>
      <c r="H5527" s="14">
        <f t="shared" si="174"/>
        <v>670.62</v>
      </c>
    </row>
    <row r="5528" spans="1:8" ht="55.2">
      <c r="A5528" s="502" t="s">
        <v>6275</v>
      </c>
      <c r="B5528" s="504" t="s">
        <v>29596</v>
      </c>
      <c r="C5528" s="502" t="s">
        <v>114</v>
      </c>
      <c r="D5528" s="503" t="s">
        <v>33770</v>
      </c>
      <c r="F5528" t="str">
        <f t="shared" si="175"/>
        <v>95643</v>
      </c>
      <c r="H5528" s="14">
        <f t="shared" si="174"/>
        <v>877.22</v>
      </c>
    </row>
    <row r="5529" spans="1:8" ht="55.2">
      <c r="A5529" s="502" t="s">
        <v>6276</v>
      </c>
      <c r="B5529" s="504" t="s">
        <v>29597</v>
      </c>
      <c r="C5529" s="502" t="s">
        <v>114</v>
      </c>
      <c r="D5529" s="503" t="s">
        <v>33771</v>
      </c>
      <c r="F5529" t="str">
        <f t="shared" si="175"/>
        <v>95644</v>
      </c>
      <c r="H5529" s="14">
        <f t="shared" si="174"/>
        <v>334.7</v>
      </c>
    </row>
    <row r="5530" spans="1:8" ht="55.2">
      <c r="A5530" s="502" t="s">
        <v>6277</v>
      </c>
      <c r="B5530" s="504" t="s">
        <v>29598</v>
      </c>
      <c r="C5530" s="502" t="s">
        <v>114</v>
      </c>
      <c r="D5530" s="503" t="s">
        <v>33772</v>
      </c>
      <c r="F5530" t="str">
        <f t="shared" si="175"/>
        <v>95645</v>
      </c>
      <c r="H5530" s="14">
        <f t="shared" si="174"/>
        <v>612.94000000000005</v>
      </c>
    </row>
    <row r="5531" spans="1:8" ht="55.2">
      <c r="A5531" s="502" t="s">
        <v>6278</v>
      </c>
      <c r="B5531" s="504" t="s">
        <v>29599</v>
      </c>
      <c r="C5531" s="502" t="s">
        <v>114</v>
      </c>
      <c r="D5531" s="503" t="s">
        <v>33773</v>
      </c>
      <c r="F5531" t="str">
        <f t="shared" si="175"/>
        <v>95646</v>
      </c>
      <c r="H5531" s="14">
        <f t="shared" si="174"/>
        <v>914.1</v>
      </c>
    </row>
    <row r="5532" spans="1:8" ht="55.2">
      <c r="A5532" s="502" t="s">
        <v>6279</v>
      </c>
      <c r="B5532" s="504" t="s">
        <v>29600</v>
      </c>
      <c r="C5532" s="502" t="s">
        <v>114</v>
      </c>
      <c r="D5532" s="503" t="s">
        <v>33774</v>
      </c>
      <c r="F5532" t="str">
        <f t="shared" si="175"/>
        <v>95647</v>
      </c>
      <c r="H5532" s="14">
        <f t="shared" si="174"/>
        <v>1198.73</v>
      </c>
    </row>
    <row r="5533" spans="1:8" ht="55.2">
      <c r="A5533" s="502" t="s">
        <v>26211</v>
      </c>
      <c r="B5533" s="504" t="s">
        <v>29601</v>
      </c>
      <c r="C5533" s="502" t="s">
        <v>114</v>
      </c>
      <c r="D5533" s="503" t="s">
        <v>33775</v>
      </c>
      <c r="F5533" t="str">
        <f t="shared" si="175"/>
        <v>95648</v>
      </c>
      <c r="H5533" s="14">
        <f t="shared" si="174"/>
        <v>873.55</v>
      </c>
    </row>
    <row r="5534" spans="1:8" ht="55.2">
      <c r="A5534" s="502" t="s">
        <v>26212</v>
      </c>
      <c r="B5534" s="504" t="s">
        <v>29602</v>
      </c>
      <c r="C5534" s="502" t="s">
        <v>114</v>
      </c>
      <c r="D5534" s="503" t="s">
        <v>33776</v>
      </c>
      <c r="F5534" t="str">
        <f t="shared" si="175"/>
        <v>95649</v>
      </c>
      <c r="H5534" s="14">
        <f t="shared" si="174"/>
        <v>1510.27</v>
      </c>
    </row>
    <row r="5535" spans="1:8" ht="55.2">
      <c r="A5535" s="502" t="s">
        <v>26213</v>
      </c>
      <c r="B5535" s="504" t="s">
        <v>29603</v>
      </c>
      <c r="C5535" s="502" t="s">
        <v>114</v>
      </c>
      <c r="D5535" s="503" t="s">
        <v>33777</v>
      </c>
      <c r="F5535" t="str">
        <f t="shared" si="175"/>
        <v>95650</v>
      </c>
      <c r="H5535" s="14">
        <f t="shared" si="174"/>
        <v>2206.87</v>
      </c>
    </row>
    <row r="5536" spans="1:8" ht="55.2">
      <c r="A5536" s="502" t="s">
        <v>26214</v>
      </c>
      <c r="B5536" s="504" t="s">
        <v>29604</v>
      </c>
      <c r="C5536" s="502" t="s">
        <v>114</v>
      </c>
      <c r="D5536" s="503" t="s">
        <v>33778</v>
      </c>
      <c r="F5536" t="str">
        <f t="shared" si="175"/>
        <v>95651</v>
      </c>
      <c r="H5536" s="14">
        <f t="shared" si="174"/>
        <v>2867.9</v>
      </c>
    </row>
    <row r="5537" spans="1:8" ht="55.2">
      <c r="A5537" s="502" t="s">
        <v>26215</v>
      </c>
      <c r="B5537" s="504" t="s">
        <v>29605</v>
      </c>
      <c r="C5537" s="502" t="s">
        <v>114</v>
      </c>
      <c r="D5537" s="503" t="s">
        <v>33779</v>
      </c>
      <c r="F5537" t="str">
        <f t="shared" si="175"/>
        <v>95652</v>
      </c>
      <c r="H5537" s="14">
        <f t="shared" si="174"/>
        <v>1081.75</v>
      </c>
    </row>
    <row r="5538" spans="1:8" ht="55.2">
      <c r="A5538" s="502" t="s">
        <v>26216</v>
      </c>
      <c r="B5538" s="504" t="s">
        <v>29606</v>
      </c>
      <c r="C5538" s="502" t="s">
        <v>114</v>
      </c>
      <c r="D5538" s="503" t="s">
        <v>33780</v>
      </c>
      <c r="F5538" t="str">
        <f t="shared" si="175"/>
        <v>95653</v>
      </c>
      <c r="H5538" s="14">
        <f t="shared" si="174"/>
        <v>1923.93</v>
      </c>
    </row>
    <row r="5539" spans="1:8" ht="55.2">
      <c r="A5539" s="502" t="s">
        <v>26217</v>
      </c>
      <c r="B5539" s="504" t="s">
        <v>29607</v>
      </c>
      <c r="C5539" s="502" t="s">
        <v>114</v>
      </c>
      <c r="D5539" s="503" t="s">
        <v>33781</v>
      </c>
      <c r="F5539" t="str">
        <f t="shared" si="175"/>
        <v>95654</v>
      </c>
      <c r="H5539" s="14">
        <f t="shared" si="174"/>
        <v>2834.19</v>
      </c>
    </row>
    <row r="5540" spans="1:8" ht="55.2">
      <c r="A5540" s="502" t="s">
        <v>26218</v>
      </c>
      <c r="B5540" s="504" t="s">
        <v>29608</v>
      </c>
      <c r="C5540" s="502" t="s">
        <v>114</v>
      </c>
      <c r="D5540" s="503" t="s">
        <v>33782</v>
      </c>
      <c r="F5540" t="str">
        <f t="shared" si="175"/>
        <v>95655</v>
      </c>
      <c r="H5540" s="14">
        <f t="shared" si="174"/>
        <v>3698.86</v>
      </c>
    </row>
    <row r="5541" spans="1:8" ht="55.2">
      <c r="A5541" s="502" t="s">
        <v>26219</v>
      </c>
      <c r="B5541" s="504" t="s">
        <v>29609</v>
      </c>
      <c r="C5541" s="502" t="s">
        <v>114</v>
      </c>
      <c r="D5541" s="503" t="s">
        <v>33783</v>
      </c>
      <c r="F5541" t="str">
        <f t="shared" si="175"/>
        <v>95657</v>
      </c>
      <c r="H5541" s="14">
        <f t="shared" si="174"/>
        <v>410.7</v>
      </c>
    </row>
    <row r="5542" spans="1:8" ht="55.2">
      <c r="A5542" s="502" t="s">
        <v>26220</v>
      </c>
      <c r="B5542" s="504" t="s">
        <v>29610</v>
      </c>
      <c r="C5542" s="502" t="s">
        <v>114</v>
      </c>
      <c r="D5542" s="503" t="s">
        <v>33784</v>
      </c>
      <c r="F5542" t="str">
        <f t="shared" si="175"/>
        <v>95658</v>
      </c>
      <c r="H5542" s="14">
        <f t="shared" si="174"/>
        <v>748.32</v>
      </c>
    </row>
    <row r="5543" spans="1:8" ht="55.2">
      <c r="A5543" s="502" t="s">
        <v>26221</v>
      </c>
      <c r="B5543" s="504" t="s">
        <v>29611</v>
      </c>
      <c r="C5543" s="502" t="s">
        <v>114</v>
      </c>
      <c r="D5543" s="503" t="s">
        <v>33785</v>
      </c>
      <c r="F5543" t="str">
        <f t="shared" si="175"/>
        <v>95659</v>
      </c>
      <c r="H5543" s="14">
        <f t="shared" si="174"/>
        <v>1113.4000000000001</v>
      </c>
    </row>
    <row r="5544" spans="1:8" ht="55.2">
      <c r="A5544" s="502" t="s">
        <v>26222</v>
      </c>
      <c r="B5544" s="504" t="s">
        <v>29612</v>
      </c>
      <c r="C5544" s="502" t="s">
        <v>114</v>
      </c>
      <c r="D5544" s="503" t="s">
        <v>33786</v>
      </c>
      <c r="F5544" t="str">
        <f t="shared" si="175"/>
        <v>95660</v>
      </c>
      <c r="H5544" s="14">
        <f t="shared" si="174"/>
        <v>1459.63</v>
      </c>
    </row>
    <row r="5545" spans="1:8" ht="55.2">
      <c r="A5545" s="502" t="s">
        <v>26223</v>
      </c>
      <c r="B5545" s="504" t="s">
        <v>29613</v>
      </c>
      <c r="C5545" s="502" t="s">
        <v>114</v>
      </c>
      <c r="D5545" s="503" t="s">
        <v>33787</v>
      </c>
      <c r="F5545" t="str">
        <f t="shared" si="175"/>
        <v>95661</v>
      </c>
      <c r="H5545" s="14">
        <f t="shared" si="174"/>
        <v>510.29</v>
      </c>
    </row>
    <row r="5546" spans="1:8" ht="55.2">
      <c r="A5546" s="502" t="s">
        <v>26224</v>
      </c>
      <c r="B5546" s="504" t="s">
        <v>29614</v>
      </c>
      <c r="C5546" s="502" t="s">
        <v>114</v>
      </c>
      <c r="D5546" s="503" t="s">
        <v>33788</v>
      </c>
      <c r="F5546" t="str">
        <f t="shared" si="175"/>
        <v>95662</v>
      </c>
      <c r="H5546" s="14">
        <f t="shared" si="174"/>
        <v>945.74</v>
      </c>
    </row>
    <row r="5547" spans="1:8" ht="55.2">
      <c r="A5547" s="502" t="s">
        <v>26225</v>
      </c>
      <c r="B5547" s="504" t="s">
        <v>29615</v>
      </c>
      <c r="C5547" s="502" t="s">
        <v>114</v>
      </c>
      <c r="D5547" s="503" t="s">
        <v>33789</v>
      </c>
      <c r="F5547" t="str">
        <f t="shared" si="175"/>
        <v>95663</v>
      </c>
      <c r="H5547" s="14">
        <f t="shared" si="174"/>
        <v>1413.94</v>
      </c>
    </row>
    <row r="5548" spans="1:8" ht="55.2">
      <c r="A5548" s="502" t="s">
        <v>26226</v>
      </c>
      <c r="B5548" s="504" t="s">
        <v>29616</v>
      </c>
      <c r="C5548" s="502" t="s">
        <v>114</v>
      </c>
      <c r="D5548" s="503" t="s">
        <v>33790</v>
      </c>
      <c r="F5548" t="str">
        <f t="shared" si="175"/>
        <v>95664</v>
      </c>
      <c r="H5548" s="14">
        <f t="shared" si="174"/>
        <v>1856.81</v>
      </c>
    </row>
    <row r="5549" spans="1:8" ht="55.2">
      <c r="A5549" s="502" t="s">
        <v>26227</v>
      </c>
      <c r="B5549" s="504" t="s">
        <v>29617</v>
      </c>
      <c r="C5549" s="502" t="s">
        <v>114</v>
      </c>
      <c r="D5549" s="503" t="s">
        <v>33791</v>
      </c>
      <c r="F5549" t="str">
        <f t="shared" si="175"/>
        <v>95665</v>
      </c>
      <c r="H5549" s="14">
        <f t="shared" si="174"/>
        <v>452.16</v>
      </c>
    </row>
    <row r="5550" spans="1:8" ht="55.2">
      <c r="A5550" s="502" t="s">
        <v>26228</v>
      </c>
      <c r="B5550" s="504" t="s">
        <v>29618</v>
      </c>
      <c r="C5550" s="502" t="s">
        <v>114</v>
      </c>
      <c r="D5550" s="503" t="s">
        <v>29548</v>
      </c>
      <c r="F5550" t="str">
        <f t="shared" si="175"/>
        <v>95666</v>
      </c>
      <c r="H5550" s="14">
        <f t="shared" si="174"/>
        <v>802.76</v>
      </c>
    </row>
    <row r="5551" spans="1:8" ht="55.2">
      <c r="A5551" s="502" t="s">
        <v>26229</v>
      </c>
      <c r="B5551" s="504" t="s">
        <v>29619</v>
      </c>
      <c r="C5551" s="502" t="s">
        <v>114</v>
      </c>
      <c r="D5551" s="503" t="s">
        <v>33792</v>
      </c>
      <c r="F5551" t="str">
        <f t="shared" si="175"/>
        <v>95667</v>
      </c>
      <c r="H5551" s="14">
        <f t="shared" si="174"/>
        <v>1189.1600000000001</v>
      </c>
    </row>
    <row r="5552" spans="1:8" ht="55.2">
      <c r="A5552" s="502" t="s">
        <v>26230</v>
      </c>
      <c r="B5552" s="504" t="s">
        <v>29620</v>
      </c>
      <c r="C5552" s="502" t="s">
        <v>114</v>
      </c>
      <c r="D5552" s="503" t="s">
        <v>33793</v>
      </c>
      <c r="F5552" t="str">
        <f t="shared" si="175"/>
        <v>95668</v>
      </c>
      <c r="H5552" s="14">
        <f t="shared" si="174"/>
        <v>1554.04</v>
      </c>
    </row>
    <row r="5553" spans="1:8" ht="55.2">
      <c r="A5553" s="502" t="s">
        <v>26231</v>
      </c>
      <c r="B5553" s="504" t="s">
        <v>29621</v>
      </c>
      <c r="C5553" s="502" t="s">
        <v>114</v>
      </c>
      <c r="D5553" s="503" t="s">
        <v>33794</v>
      </c>
      <c r="F5553" t="str">
        <f t="shared" si="175"/>
        <v>95669</v>
      </c>
      <c r="H5553" s="14">
        <f t="shared" si="174"/>
        <v>547.39</v>
      </c>
    </row>
    <row r="5554" spans="1:8" ht="55.2">
      <c r="A5554" s="502" t="s">
        <v>26232</v>
      </c>
      <c r="B5554" s="504" t="s">
        <v>29622</v>
      </c>
      <c r="C5554" s="502" t="s">
        <v>114</v>
      </c>
      <c r="D5554" s="503" t="s">
        <v>33795</v>
      </c>
      <c r="F5554" t="str">
        <f t="shared" si="175"/>
        <v>95670</v>
      </c>
      <c r="H5554" s="14">
        <f t="shared" si="174"/>
        <v>991.67</v>
      </c>
    </row>
    <row r="5555" spans="1:8" ht="55.2">
      <c r="A5555" s="502" t="s">
        <v>26233</v>
      </c>
      <c r="B5555" s="504" t="s">
        <v>29623</v>
      </c>
      <c r="C5555" s="502" t="s">
        <v>114</v>
      </c>
      <c r="D5555" s="503" t="s">
        <v>33796</v>
      </c>
      <c r="F5555" t="str">
        <f t="shared" si="175"/>
        <v>95671</v>
      </c>
      <c r="H5555" s="14">
        <f t="shared" si="174"/>
        <v>1476.34</v>
      </c>
    </row>
    <row r="5556" spans="1:8" ht="55.2">
      <c r="A5556" s="502" t="s">
        <v>26234</v>
      </c>
      <c r="B5556" s="504" t="s">
        <v>29624</v>
      </c>
      <c r="C5556" s="502" t="s">
        <v>114</v>
      </c>
      <c r="D5556" s="503" t="s">
        <v>33797</v>
      </c>
      <c r="F5556" t="str">
        <f t="shared" si="175"/>
        <v>95672</v>
      </c>
      <c r="H5556" s="14">
        <f t="shared" si="174"/>
        <v>1933.92</v>
      </c>
    </row>
    <row r="5557" spans="1:8" ht="27.6">
      <c r="A5557" s="502" t="s">
        <v>6280</v>
      </c>
      <c r="B5557" s="504" t="s">
        <v>29625</v>
      </c>
      <c r="C5557" s="502" t="s">
        <v>114</v>
      </c>
      <c r="D5557" s="503" t="s">
        <v>33798</v>
      </c>
      <c r="F5557" t="str">
        <f t="shared" si="175"/>
        <v>95673</v>
      </c>
      <c r="H5557" s="14">
        <f t="shared" si="174"/>
        <v>154.57</v>
      </c>
    </row>
    <row r="5558" spans="1:8" ht="27.6">
      <c r="A5558" s="502" t="s">
        <v>6281</v>
      </c>
      <c r="B5558" s="504" t="s">
        <v>29626</v>
      </c>
      <c r="C5558" s="502" t="s">
        <v>114</v>
      </c>
      <c r="D5558" s="503" t="s">
        <v>33799</v>
      </c>
      <c r="F5558" t="str">
        <f t="shared" si="175"/>
        <v>95674</v>
      </c>
      <c r="H5558" s="14">
        <f t="shared" si="174"/>
        <v>163.59</v>
      </c>
    </row>
    <row r="5559" spans="1:8" ht="27.6">
      <c r="A5559" s="502" t="s">
        <v>6282</v>
      </c>
      <c r="B5559" s="504" t="s">
        <v>29627</v>
      </c>
      <c r="C5559" s="502" t="s">
        <v>114</v>
      </c>
      <c r="D5559" s="503" t="s">
        <v>33800</v>
      </c>
      <c r="F5559" t="str">
        <f t="shared" si="175"/>
        <v>95675</v>
      </c>
      <c r="H5559" s="14">
        <f t="shared" si="174"/>
        <v>201.86</v>
      </c>
    </row>
    <row r="5560" spans="1:8" ht="41.4">
      <c r="A5560" s="502" t="s">
        <v>6283</v>
      </c>
      <c r="B5560" s="504" t="s">
        <v>29628</v>
      </c>
      <c r="C5560" s="502" t="s">
        <v>114</v>
      </c>
      <c r="D5560" s="503" t="s">
        <v>33801</v>
      </c>
      <c r="F5560" t="str">
        <f t="shared" si="175"/>
        <v>95676</v>
      </c>
      <c r="H5560" s="14">
        <f t="shared" si="174"/>
        <v>179.66</v>
      </c>
    </row>
    <row r="5561" spans="1:8" ht="55.2">
      <c r="A5561" s="502" t="s">
        <v>6284</v>
      </c>
      <c r="B5561" s="504" t="s">
        <v>29629</v>
      </c>
      <c r="C5561" s="502" t="s">
        <v>114</v>
      </c>
      <c r="D5561" s="503" t="s">
        <v>30861</v>
      </c>
      <c r="F5561" t="str">
        <f t="shared" si="175"/>
        <v>97741</v>
      </c>
      <c r="H5561" s="14">
        <f t="shared" si="174"/>
        <v>254.07</v>
      </c>
    </row>
    <row r="5562" spans="1:8" ht="27.6">
      <c r="A5562" s="502" t="s">
        <v>29630</v>
      </c>
      <c r="B5562" s="504" t="s">
        <v>29631</v>
      </c>
      <c r="C5562" s="502" t="s">
        <v>114</v>
      </c>
      <c r="D5562" s="503" t="s">
        <v>33802</v>
      </c>
      <c r="F5562" t="str">
        <f t="shared" si="175"/>
        <v>104992</v>
      </c>
      <c r="H5562" s="14">
        <f t="shared" si="174"/>
        <v>1561.85</v>
      </c>
    </row>
    <row r="5563" spans="1:8" ht="27.6">
      <c r="A5563" s="502" t="s">
        <v>29632</v>
      </c>
      <c r="B5563" s="504" t="s">
        <v>29633</v>
      </c>
      <c r="C5563" s="502" t="s">
        <v>114</v>
      </c>
      <c r="D5563" s="503" t="s">
        <v>33803</v>
      </c>
      <c r="F5563" t="str">
        <f t="shared" si="175"/>
        <v>104997</v>
      </c>
      <c r="H5563" s="14">
        <f t="shared" si="174"/>
        <v>517.28</v>
      </c>
    </row>
    <row r="5564" spans="1:8" ht="27.6">
      <c r="A5564" s="502" t="s">
        <v>29634</v>
      </c>
      <c r="B5564" s="504" t="s">
        <v>29635</v>
      </c>
      <c r="C5564" s="502" t="s">
        <v>114</v>
      </c>
      <c r="D5564" s="503" t="s">
        <v>33804</v>
      </c>
      <c r="F5564" t="str">
        <f t="shared" si="175"/>
        <v>104998</v>
      </c>
      <c r="H5564" s="14">
        <f t="shared" si="174"/>
        <v>688.84</v>
      </c>
    </row>
    <row r="5565" spans="1:8" ht="27.6">
      <c r="A5565" s="502" t="s">
        <v>29636</v>
      </c>
      <c r="B5565" s="504" t="s">
        <v>29637</v>
      </c>
      <c r="C5565" s="502" t="s">
        <v>114</v>
      </c>
      <c r="D5565" s="503" t="s">
        <v>33805</v>
      </c>
      <c r="F5565" t="str">
        <f t="shared" si="175"/>
        <v>105135</v>
      </c>
      <c r="H5565" s="14">
        <f t="shared" si="174"/>
        <v>1120.79</v>
      </c>
    </row>
    <row r="5566" spans="1:8" ht="41.4">
      <c r="A5566" s="502" t="s">
        <v>6285</v>
      </c>
      <c r="B5566" s="504" t="s">
        <v>29638</v>
      </c>
      <c r="C5566" s="502" t="s">
        <v>114</v>
      </c>
      <c r="D5566" s="503" t="s">
        <v>9912</v>
      </c>
      <c r="F5566" t="str">
        <f t="shared" si="175"/>
        <v>90436</v>
      </c>
      <c r="H5566" s="14">
        <f t="shared" si="174"/>
        <v>21.32</v>
      </c>
    </row>
    <row r="5567" spans="1:8" ht="41.4">
      <c r="A5567" s="502" t="s">
        <v>6286</v>
      </c>
      <c r="B5567" s="504" t="s">
        <v>29639</v>
      </c>
      <c r="C5567" s="502" t="s">
        <v>114</v>
      </c>
      <c r="D5567" s="503" t="s">
        <v>16183</v>
      </c>
      <c r="F5567" t="str">
        <f t="shared" si="175"/>
        <v>90437</v>
      </c>
      <c r="H5567" s="14">
        <f t="shared" si="174"/>
        <v>56.86</v>
      </c>
    </row>
    <row r="5568" spans="1:8" ht="41.4">
      <c r="A5568" s="502" t="s">
        <v>6287</v>
      </c>
      <c r="B5568" s="504" t="s">
        <v>29640</v>
      </c>
      <c r="C5568" s="502" t="s">
        <v>114</v>
      </c>
      <c r="D5568" s="503" t="s">
        <v>33806</v>
      </c>
      <c r="F5568" t="str">
        <f t="shared" si="175"/>
        <v>90438</v>
      </c>
      <c r="H5568" s="14">
        <f t="shared" si="174"/>
        <v>83.05</v>
      </c>
    </row>
    <row r="5569" spans="1:8" ht="41.4">
      <c r="A5569" s="502" t="s">
        <v>6288</v>
      </c>
      <c r="B5569" s="504" t="s">
        <v>29642</v>
      </c>
      <c r="C5569" s="502" t="s">
        <v>114</v>
      </c>
      <c r="D5569" s="503" t="s">
        <v>7400</v>
      </c>
      <c r="F5569" t="str">
        <f t="shared" si="175"/>
        <v>90439</v>
      </c>
      <c r="H5569" s="14">
        <f t="shared" si="174"/>
        <v>14.32</v>
      </c>
    </row>
    <row r="5570" spans="1:8" ht="41.4">
      <c r="A5570" s="502" t="s">
        <v>6289</v>
      </c>
      <c r="B5570" s="504" t="s">
        <v>29643</v>
      </c>
      <c r="C5570" s="502" t="s">
        <v>114</v>
      </c>
      <c r="D5570" s="503" t="s">
        <v>7349</v>
      </c>
      <c r="F5570" t="str">
        <f t="shared" si="175"/>
        <v>90440</v>
      </c>
      <c r="H5570" s="14">
        <f t="shared" si="174"/>
        <v>38.200000000000003</v>
      </c>
    </row>
    <row r="5571" spans="1:8" ht="41.4">
      <c r="A5571" s="502" t="s">
        <v>6290</v>
      </c>
      <c r="B5571" s="504" t="s">
        <v>29644</v>
      </c>
      <c r="C5571" s="502" t="s">
        <v>114</v>
      </c>
      <c r="D5571" s="503" t="s">
        <v>33807</v>
      </c>
      <c r="F5571" t="str">
        <f t="shared" si="175"/>
        <v>90441</v>
      </c>
      <c r="H5571" s="14">
        <f t="shared" si="174"/>
        <v>55.81</v>
      </c>
    </row>
    <row r="5572" spans="1:8" ht="41.4">
      <c r="A5572" s="502" t="s">
        <v>6291</v>
      </c>
      <c r="B5572" s="504" t="s">
        <v>29645</v>
      </c>
      <c r="C5572" s="502" t="s">
        <v>75</v>
      </c>
      <c r="D5572" s="503" t="s">
        <v>33808</v>
      </c>
      <c r="F5572" t="str">
        <f t="shared" si="175"/>
        <v>90443</v>
      </c>
      <c r="H5572" s="14">
        <f t="shared" si="174"/>
        <v>11.45</v>
      </c>
    </row>
    <row r="5573" spans="1:8" ht="41.4">
      <c r="A5573" s="502" t="s">
        <v>6292</v>
      </c>
      <c r="B5573" s="504" t="s">
        <v>29646</v>
      </c>
      <c r="C5573" s="502" t="s">
        <v>75</v>
      </c>
      <c r="D5573" s="503" t="s">
        <v>10297</v>
      </c>
      <c r="F5573" t="str">
        <f t="shared" si="175"/>
        <v>90444</v>
      </c>
      <c r="H5573" s="14">
        <f t="shared" ref="H5573:H5636" si="176">ROUND(D5573*(1+$H$1),2)</f>
        <v>19.75</v>
      </c>
    </row>
    <row r="5574" spans="1:8" ht="55.2">
      <c r="A5574" s="502" t="s">
        <v>6293</v>
      </c>
      <c r="B5574" s="504" t="s">
        <v>29647</v>
      </c>
      <c r="C5574" s="502" t="s">
        <v>75</v>
      </c>
      <c r="D5574" s="503" t="s">
        <v>28825</v>
      </c>
      <c r="F5574" t="str">
        <f t="shared" si="175"/>
        <v>90445</v>
      </c>
      <c r="H5574" s="14">
        <f t="shared" si="176"/>
        <v>26.18</v>
      </c>
    </row>
    <row r="5575" spans="1:8" ht="55.2">
      <c r="A5575" s="502" t="s">
        <v>6294</v>
      </c>
      <c r="B5575" s="504" t="s">
        <v>29648</v>
      </c>
      <c r="C5575" s="502" t="s">
        <v>75</v>
      </c>
      <c r="D5575" s="503" t="s">
        <v>10164</v>
      </c>
      <c r="F5575" t="str">
        <f t="shared" si="175"/>
        <v>90446</v>
      </c>
      <c r="H5575" s="14">
        <f t="shared" si="176"/>
        <v>34.78</v>
      </c>
    </row>
    <row r="5576" spans="1:8" ht="27.6">
      <c r="A5576" s="502" t="s">
        <v>6295</v>
      </c>
      <c r="B5576" s="504" t="s">
        <v>29649</v>
      </c>
      <c r="C5576" s="502" t="s">
        <v>75</v>
      </c>
      <c r="D5576" s="503" t="s">
        <v>7387</v>
      </c>
      <c r="F5576" t="str">
        <f t="shared" si="175"/>
        <v>90447</v>
      </c>
      <c r="H5576" s="14">
        <f t="shared" si="176"/>
        <v>14.11</v>
      </c>
    </row>
    <row r="5577" spans="1:8" ht="41.4">
      <c r="A5577" s="502" t="s">
        <v>6296</v>
      </c>
      <c r="B5577" s="504" t="s">
        <v>29650</v>
      </c>
      <c r="C5577" s="502" t="s">
        <v>114</v>
      </c>
      <c r="D5577" s="503" t="s">
        <v>5908</v>
      </c>
      <c r="F5577" t="str">
        <f t="shared" si="175"/>
        <v>90451</v>
      </c>
      <c r="H5577" s="14">
        <f t="shared" si="176"/>
        <v>8.66</v>
      </c>
    </row>
    <row r="5578" spans="1:8" ht="41.4">
      <c r="A5578" s="502" t="s">
        <v>6297</v>
      </c>
      <c r="B5578" s="504" t="s">
        <v>29651</v>
      </c>
      <c r="C5578" s="502" t="s">
        <v>114</v>
      </c>
      <c r="D5578" s="503" t="s">
        <v>7342</v>
      </c>
      <c r="F5578" t="str">
        <f t="shared" si="175"/>
        <v>90452</v>
      </c>
      <c r="H5578" s="14">
        <f t="shared" si="176"/>
        <v>28.29</v>
      </c>
    </row>
    <row r="5579" spans="1:8" ht="41.4">
      <c r="A5579" s="502" t="s">
        <v>6298</v>
      </c>
      <c r="B5579" s="504" t="s">
        <v>29652</v>
      </c>
      <c r="C5579" s="502" t="s">
        <v>114</v>
      </c>
      <c r="D5579" s="503" t="s">
        <v>7278</v>
      </c>
      <c r="F5579" t="str">
        <f t="shared" si="175"/>
        <v>90453</v>
      </c>
      <c r="H5579" s="14">
        <f t="shared" si="176"/>
        <v>6.04</v>
      </c>
    </row>
    <row r="5580" spans="1:8" ht="41.4">
      <c r="A5580" s="502" t="s">
        <v>6300</v>
      </c>
      <c r="B5580" s="504" t="s">
        <v>29653</v>
      </c>
      <c r="C5580" s="502" t="s">
        <v>114</v>
      </c>
      <c r="D5580" s="503" t="s">
        <v>10131</v>
      </c>
      <c r="F5580" t="str">
        <f t="shared" si="175"/>
        <v>90454</v>
      </c>
      <c r="H5580" s="14">
        <f t="shared" si="176"/>
        <v>9.77</v>
      </c>
    </row>
    <row r="5581" spans="1:8" ht="41.4">
      <c r="A5581" s="502" t="s">
        <v>6301</v>
      </c>
      <c r="B5581" s="504" t="s">
        <v>29654</v>
      </c>
      <c r="C5581" s="502" t="s">
        <v>114</v>
      </c>
      <c r="D5581" s="503" t="s">
        <v>10737</v>
      </c>
      <c r="F5581" t="str">
        <f t="shared" si="175"/>
        <v>90455</v>
      </c>
      <c r="H5581" s="14">
        <f t="shared" si="176"/>
        <v>12.33</v>
      </c>
    </row>
    <row r="5582" spans="1:8" ht="27.6">
      <c r="A5582" s="502" t="s">
        <v>6302</v>
      </c>
      <c r="B5582" s="504" t="s">
        <v>29655</v>
      </c>
      <c r="C5582" s="502" t="s">
        <v>114</v>
      </c>
      <c r="D5582" s="503" t="s">
        <v>9489</v>
      </c>
      <c r="F5582" t="str">
        <f t="shared" si="175"/>
        <v>90456</v>
      </c>
      <c r="H5582" s="14">
        <f t="shared" si="176"/>
        <v>9.35</v>
      </c>
    </row>
    <row r="5583" spans="1:8" ht="27.6">
      <c r="A5583" s="502" t="s">
        <v>6303</v>
      </c>
      <c r="B5583" s="504" t="s">
        <v>29656</v>
      </c>
      <c r="C5583" s="502" t="s">
        <v>114</v>
      </c>
      <c r="D5583" s="503" t="s">
        <v>15793</v>
      </c>
      <c r="F5583" t="str">
        <f t="shared" ref="F5583:F5646" si="177">TRIM(A5583)</f>
        <v>90457</v>
      </c>
      <c r="H5583" s="14">
        <f t="shared" si="176"/>
        <v>21.36</v>
      </c>
    </row>
    <row r="5584" spans="1:8" ht="27.6">
      <c r="A5584" s="502" t="s">
        <v>6304</v>
      </c>
      <c r="B5584" s="504" t="s">
        <v>29657</v>
      </c>
      <c r="C5584" s="502" t="s">
        <v>114</v>
      </c>
      <c r="D5584" s="503" t="s">
        <v>33478</v>
      </c>
      <c r="F5584" t="str">
        <f t="shared" si="177"/>
        <v>90458</v>
      </c>
      <c r="H5584" s="14">
        <f t="shared" si="176"/>
        <v>60.92</v>
      </c>
    </row>
    <row r="5585" spans="1:8" ht="27.6">
      <c r="A5585" s="502" t="s">
        <v>6305</v>
      </c>
      <c r="B5585" s="504" t="s">
        <v>29658</v>
      </c>
      <c r="C5585" s="502" t="s">
        <v>114</v>
      </c>
      <c r="D5585" s="503" t="s">
        <v>9772</v>
      </c>
      <c r="F5585" t="str">
        <f t="shared" si="177"/>
        <v>90459</v>
      </c>
      <c r="H5585" s="14">
        <f t="shared" si="176"/>
        <v>69.959999999999994</v>
      </c>
    </row>
    <row r="5586" spans="1:8" ht="41.4">
      <c r="A5586" s="502" t="s">
        <v>6306</v>
      </c>
      <c r="B5586" s="504" t="s">
        <v>29659</v>
      </c>
      <c r="C5586" s="502" t="s">
        <v>75</v>
      </c>
      <c r="D5586" s="503" t="s">
        <v>15798</v>
      </c>
      <c r="F5586" t="str">
        <f t="shared" si="177"/>
        <v>90460</v>
      </c>
      <c r="H5586" s="14">
        <f t="shared" si="176"/>
        <v>33.270000000000003</v>
      </c>
    </row>
    <row r="5587" spans="1:8" ht="41.4">
      <c r="A5587" s="502" t="s">
        <v>6307</v>
      </c>
      <c r="B5587" s="504" t="s">
        <v>29660</v>
      </c>
      <c r="C5587" s="502" t="s">
        <v>75</v>
      </c>
      <c r="D5587" s="503" t="s">
        <v>33809</v>
      </c>
      <c r="F5587" t="str">
        <f t="shared" si="177"/>
        <v>90461</v>
      </c>
      <c r="H5587" s="14">
        <f t="shared" si="176"/>
        <v>25.33</v>
      </c>
    </row>
    <row r="5588" spans="1:8" ht="41.4">
      <c r="A5588" s="502" t="s">
        <v>6308</v>
      </c>
      <c r="B5588" s="504" t="s">
        <v>29661</v>
      </c>
      <c r="C5588" s="502" t="s">
        <v>75</v>
      </c>
      <c r="D5588" s="503" t="s">
        <v>28193</v>
      </c>
      <c r="F5588" t="str">
        <f t="shared" si="177"/>
        <v>90462</v>
      </c>
      <c r="H5588" s="14">
        <f t="shared" si="176"/>
        <v>5.98</v>
      </c>
    </row>
    <row r="5589" spans="1:8" ht="41.4">
      <c r="A5589" s="502" t="s">
        <v>6310</v>
      </c>
      <c r="B5589" s="504" t="s">
        <v>29662</v>
      </c>
      <c r="C5589" s="502" t="s">
        <v>75</v>
      </c>
      <c r="D5589" s="503" t="s">
        <v>3795</v>
      </c>
      <c r="F5589" t="str">
        <f t="shared" si="177"/>
        <v>90463</v>
      </c>
      <c r="H5589" s="14">
        <f t="shared" si="176"/>
        <v>5.09</v>
      </c>
    </row>
    <row r="5590" spans="1:8" ht="41.4">
      <c r="A5590" s="502" t="s">
        <v>6311</v>
      </c>
      <c r="B5590" s="504" t="s">
        <v>29663</v>
      </c>
      <c r="C5590" s="502" t="s">
        <v>75</v>
      </c>
      <c r="D5590" s="503" t="s">
        <v>7438</v>
      </c>
      <c r="F5590" t="str">
        <f t="shared" si="177"/>
        <v>90466</v>
      </c>
      <c r="H5590" s="14">
        <f t="shared" si="176"/>
        <v>21.31</v>
      </c>
    </row>
    <row r="5591" spans="1:8" ht="55.2">
      <c r="A5591" s="502" t="s">
        <v>6312</v>
      </c>
      <c r="B5591" s="504" t="s">
        <v>29665</v>
      </c>
      <c r="C5591" s="502" t="s">
        <v>75</v>
      </c>
      <c r="D5591" s="503" t="s">
        <v>29351</v>
      </c>
      <c r="F5591" t="str">
        <f t="shared" si="177"/>
        <v>90467</v>
      </c>
      <c r="H5591" s="14">
        <f t="shared" si="176"/>
        <v>31.99</v>
      </c>
    </row>
    <row r="5592" spans="1:8" ht="41.4">
      <c r="A5592" s="502" t="s">
        <v>6313</v>
      </c>
      <c r="B5592" s="504" t="s">
        <v>29666</v>
      </c>
      <c r="C5592" s="502" t="s">
        <v>75</v>
      </c>
      <c r="D5592" s="503" t="s">
        <v>27465</v>
      </c>
      <c r="F5592" t="str">
        <f t="shared" si="177"/>
        <v>90468</v>
      </c>
      <c r="H5592" s="14">
        <f t="shared" si="176"/>
        <v>10.15</v>
      </c>
    </row>
    <row r="5593" spans="1:8" ht="55.2">
      <c r="A5593" s="502" t="s">
        <v>6314</v>
      </c>
      <c r="B5593" s="504" t="s">
        <v>29667</v>
      </c>
      <c r="C5593" s="502" t="s">
        <v>75</v>
      </c>
      <c r="D5593" s="503" t="s">
        <v>9914</v>
      </c>
      <c r="F5593" t="str">
        <f t="shared" si="177"/>
        <v>90469</v>
      </c>
      <c r="H5593" s="14">
        <f t="shared" si="176"/>
        <v>15.38</v>
      </c>
    </row>
    <row r="5594" spans="1:8" ht="55.2">
      <c r="A5594" s="502" t="s">
        <v>6315</v>
      </c>
      <c r="B5594" s="504" t="s">
        <v>29668</v>
      </c>
      <c r="C5594" s="502" t="s">
        <v>75</v>
      </c>
      <c r="D5594" s="503" t="s">
        <v>7223</v>
      </c>
      <c r="F5594" t="str">
        <f t="shared" si="177"/>
        <v>90470</v>
      </c>
      <c r="H5594" s="14">
        <f t="shared" si="176"/>
        <v>20.32</v>
      </c>
    </row>
    <row r="5595" spans="1:8" ht="55.2">
      <c r="A5595" s="502" t="s">
        <v>6316</v>
      </c>
      <c r="B5595" s="504" t="s">
        <v>29669</v>
      </c>
      <c r="C5595" s="502" t="s">
        <v>75</v>
      </c>
      <c r="D5595" s="503" t="s">
        <v>9769</v>
      </c>
      <c r="F5595" t="str">
        <f t="shared" si="177"/>
        <v>91166</v>
      </c>
      <c r="H5595" s="14">
        <f t="shared" si="176"/>
        <v>5.96</v>
      </c>
    </row>
    <row r="5596" spans="1:8" ht="55.2">
      <c r="A5596" s="502" t="s">
        <v>6317</v>
      </c>
      <c r="B5596" s="504" t="s">
        <v>29670</v>
      </c>
      <c r="C5596" s="502" t="s">
        <v>75</v>
      </c>
      <c r="D5596" s="503" t="s">
        <v>5143</v>
      </c>
      <c r="F5596" t="str">
        <f t="shared" si="177"/>
        <v>91167</v>
      </c>
      <c r="H5596" s="14">
        <f t="shared" si="176"/>
        <v>14.54</v>
      </c>
    </row>
    <row r="5597" spans="1:8" ht="69">
      <c r="A5597" s="502" t="s">
        <v>6318</v>
      </c>
      <c r="B5597" s="504" t="s">
        <v>29672</v>
      </c>
      <c r="C5597" s="502" t="s">
        <v>75</v>
      </c>
      <c r="D5597" s="503" t="s">
        <v>5143</v>
      </c>
      <c r="F5597" t="str">
        <f t="shared" si="177"/>
        <v>91170</v>
      </c>
      <c r="H5597" s="14">
        <f t="shared" si="176"/>
        <v>14.54</v>
      </c>
    </row>
    <row r="5598" spans="1:8" ht="82.8">
      <c r="A5598" s="502" t="s">
        <v>6319</v>
      </c>
      <c r="B5598" s="504" t="s">
        <v>29673</v>
      </c>
      <c r="C5598" s="502" t="s">
        <v>75</v>
      </c>
      <c r="D5598" s="503" t="s">
        <v>11816</v>
      </c>
      <c r="F5598" t="str">
        <f t="shared" si="177"/>
        <v>91171</v>
      </c>
      <c r="H5598" s="14">
        <f t="shared" si="176"/>
        <v>23.61</v>
      </c>
    </row>
    <row r="5599" spans="1:8" ht="82.8">
      <c r="A5599" s="502" t="s">
        <v>6320</v>
      </c>
      <c r="B5599" s="504" t="s">
        <v>29675</v>
      </c>
      <c r="C5599" s="502" t="s">
        <v>75</v>
      </c>
      <c r="D5599" s="503" t="s">
        <v>33810</v>
      </c>
      <c r="F5599" t="str">
        <f t="shared" si="177"/>
        <v>91172</v>
      </c>
      <c r="H5599" s="14">
        <f t="shared" si="176"/>
        <v>27.2</v>
      </c>
    </row>
    <row r="5600" spans="1:8" ht="69">
      <c r="A5600" s="502" t="s">
        <v>6321</v>
      </c>
      <c r="B5600" s="504" t="s">
        <v>29676</v>
      </c>
      <c r="C5600" s="502" t="s">
        <v>75</v>
      </c>
      <c r="D5600" s="503" t="s">
        <v>28010</v>
      </c>
      <c r="F5600" t="str">
        <f t="shared" si="177"/>
        <v>91173</v>
      </c>
      <c r="H5600" s="14">
        <f t="shared" si="176"/>
        <v>5.42</v>
      </c>
    </row>
    <row r="5601" spans="1:8" ht="82.8">
      <c r="A5601" s="502" t="s">
        <v>6322</v>
      </c>
      <c r="B5601" s="504" t="s">
        <v>29677</v>
      </c>
      <c r="C5601" s="502" t="s">
        <v>75</v>
      </c>
      <c r="D5601" s="503" t="s">
        <v>5906</v>
      </c>
      <c r="F5601" t="str">
        <f t="shared" si="177"/>
        <v>91174</v>
      </c>
      <c r="H5601" s="14">
        <f t="shared" si="176"/>
        <v>9.4499999999999993</v>
      </c>
    </row>
    <row r="5602" spans="1:8" ht="82.8">
      <c r="A5602" s="502" t="s">
        <v>6323</v>
      </c>
      <c r="B5602" s="504" t="s">
        <v>29678</v>
      </c>
      <c r="C5602" s="502" t="s">
        <v>75</v>
      </c>
      <c r="D5602" s="503" t="s">
        <v>25939</v>
      </c>
      <c r="F5602" t="str">
        <f t="shared" si="177"/>
        <v>91175</v>
      </c>
      <c r="H5602" s="14">
        <f t="shared" si="176"/>
        <v>14.68</v>
      </c>
    </row>
    <row r="5603" spans="1:8" ht="55.2">
      <c r="A5603" s="502" t="s">
        <v>6324</v>
      </c>
      <c r="B5603" s="504" t="s">
        <v>29679</v>
      </c>
      <c r="C5603" s="502" t="s">
        <v>75</v>
      </c>
      <c r="D5603" s="503" t="s">
        <v>10267</v>
      </c>
      <c r="F5603" t="str">
        <f t="shared" si="177"/>
        <v>91176</v>
      </c>
      <c r="H5603" s="14">
        <f t="shared" si="176"/>
        <v>23.93</v>
      </c>
    </row>
    <row r="5604" spans="1:8" ht="69">
      <c r="A5604" s="502" t="s">
        <v>6325</v>
      </c>
      <c r="B5604" s="504" t="s">
        <v>29680</v>
      </c>
      <c r="C5604" s="502" t="s">
        <v>75</v>
      </c>
      <c r="D5604" s="503" t="s">
        <v>10267</v>
      </c>
      <c r="F5604" t="str">
        <f t="shared" si="177"/>
        <v>91179</v>
      </c>
      <c r="H5604" s="14">
        <f t="shared" si="176"/>
        <v>23.93</v>
      </c>
    </row>
    <row r="5605" spans="1:8" ht="82.8">
      <c r="A5605" s="502" t="s">
        <v>6326</v>
      </c>
      <c r="B5605" s="504" t="s">
        <v>29681</v>
      </c>
      <c r="C5605" s="502" t="s">
        <v>75</v>
      </c>
      <c r="D5605" s="503" t="s">
        <v>33331</v>
      </c>
      <c r="F5605" t="str">
        <f t="shared" si="177"/>
        <v>91180</v>
      </c>
      <c r="H5605" s="14">
        <f t="shared" si="176"/>
        <v>31.98</v>
      </c>
    </row>
    <row r="5606" spans="1:8" ht="69">
      <c r="A5606" s="502" t="s">
        <v>6327</v>
      </c>
      <c r="B5606" s="504" t="s">
        <v>29682</v>
      </c>
      <c r="C5606" s="502" t="s">
        <v>75</v>
      </c>
      <c r="D5606" s="503" t="s">
        <v>32534</v>
      </c>
      <c r="F5606" t="str">
        <f t="shared" si="177"/>
        <v>91181</v>
      </c>
      <c r="H5606" s="14">
        <f t="shared" si="176"/>
        <v>33.590000000000003</v>
      </c>
    </row>
    <row r="5607" spans="1:8" ht="55.2">
      <c r="A5607" s="502" t="s">
        <v>6328</v>
      </c>
      <c r="B5607" s="504" t="s">
        <v>29683</v>
      </c>
      <c r="C5607" s="502" t="s">
        <v>75</v>
      </c>
      <c r="D5607" s="503" t="s">
        <v>16472</v>
      </c>
      <c r="F5607" t="str">
        <f t="shared" si="177"/>
        <v>91182</v>
      </c>
      <c r="H5607" s="14">
        <f t="shared" si="176"/>
        <v>35.36</v>
      </c>
    </row>
    <row r="5608" spans="1:8" ht="69">
      <c r="A5608" s="502" t="s">
        <v>6329</v>
      </c>
      <c r="B5608" s="504" t="s">
        <v>29684</v>
      </c>
      <c r="C5608" s="502" t="s">
        <v>75</v>
      </c>
      <c r="D5608" s="503" t="s">
        <v>16472</v>
      </c>
      <c r="F5608" t="str">
        <f t="shared" si="177"/>
        <v>91185</v>
      </c>
      <c r="H5608" s="14">
        <f t="shared" si="176"/>
        <v>35.36</v>
      </c>
    </row>
    <row r="5609" spans="1:8" ht="69">
      <c r="A5609" s="502" t="s">
        <v>6330</v>
      </c>
      <c r="B5609" s="504" t="s">
        <v>29685</v>
      </c>
      <c r="C5609" s="502" t="s">
        <v>75</v>
      </c>
      <c r="D5609" s="503" t="s">
        <v>32718</v>
      </c>
      <c r="F5609" t="str">
        <f t="shared" si="177"/>
        <v>91186</v>
      </c>
      <c r="H5609" s="14">
        <f t="shared" si="176"/>
        <v>38.950000000000003</v>
      </c>
    </row>
    <row r="5610" spans="1:8" ht="69">
      <c r="A5610" s="502" t="s">
        <v>6331</v>
      </c>
      <c r="B5610" s="504" t="s">
        <v>29686</v>
      </c>
      <c r="C5610" s="502" t="s">
        <v>75</v>
      </c>
      <c r="D5610" s="503" t="s">
        <v>10619</v>
      </c>
      <c r="F5610" t="str">
        <f t="shared" si="177"/>
        <v>91187</v>
      </c>
      <c r="H5610" s="14">
        <f t="shared" si="176"/>
        <v>34.99</v>
      </c>
    </row>
    <row r="5611" spans="1:8" ht="41.4">
      <c r="A5611" s="502" t="s">
        <v>6332</v>
      </c>
      <c r="B5611" s="504" t="s">
        <v>29687</v>
      </c>
      <c r="C5611" s="502" t="s">
        <v>114</v>
      </c>
      <c r="D5611" s="503" t="s">
        <v>6442</v>
      </c>
      <c r="F5611" t="str">
        <f t="shared" si="177"/>
        <v>91188</v>
      </c>
      <c r="H5611" s="14">
        <f t="shared" si="176"/>
        <v>18.23</v>
      </c>
    </row>
    <row r="5612" spans="1:8" ht="41.4">
      <c r="A5612" s="502" t="s">
        <v>6333</v>
      </c>
      <c r="B5612" s="504" t="s">
        <v>29688</v>
      </c>
      <c r="C5612" s="502" t="s">
        <v>114</v>
      </c>
      <c r="D5612" s="503" t="s">
        <v>29869</v>
      </c>
      <c r="F5612" t="str">
        <f t="shared" si="177"/>
        <v>91189</v>
      </c>
      <c r="H5612" s="14">
        <f t="shared" si="176"/>
        <v>97.59</v>
      </c>
    </row>
    <row r="5613" spans="1:8" ht="27.6">
      <c r="A5613" s="502" t="s">
        <v>6334</v>
      </c>
      <c r="B5613" s="504" t="s">
        <v>29690</v>
      </c>
      <c r="C5613" s="502" t="s">
        <v>114</v>
      </c>
      <c r="D5613" s="503" t="s">
        <v>10039</v>
      </c>
      <c r="F5613" t="str">
        <f t="shared" si="177"/>
        <v>91190</v>
      </c>
      <c r="H5613" s="14">
        <f t="shared" si="176"/>
        <v>14.3</v>
      </c>
    </row>
    <row r="5614" spans="1:8" ht="27.6">
      <c r="A5614" s="502" t="s">
        <v>6335</v>
      </c>
      <c r="B5614" s="504" t="s">
        <v>29691</v>
      </c>
      <c r="C5614" s="502" t="s">
        <v>114</v>
      </c>
      <c r="D5614" s="503" t="s">
        <v>24344</v>
      </c>
      <c r="F5614" t="str">
        <f t="shared" si="177"/>
        <v>91191</v>
      </c>
      <c r="H5614" s="14">
        <f t="shared" si="176"/>
        <v>19.329999999999998</v>
      </c>
    </row>
    <row r="5615" spans="1:8" ht="41.4">
      <c r="A5615" s="502" t="s">
        <v>6336</v>
      </c>
      <c r="B5615" s="504" t="s">
        <v>29692</v>
      </c>
      <c r="C5615" s="502" t="s">
        <v>114</v>
      </c>
      <c r="D5615" s="503" t="s">
        <v>27836</v>
      </c>
      <c r="F5615" t="str">
        <f t="shared" si="177"/>
        <v>91192</v>
      </c>
      <c r="H5615" s="14">
        <f t="shared" si="176"/>
        <v>28.37</v>
      </c>
    </row>
    <row r="5616" spans="1:8" ht="55.2">
      <c r="A5616" s="502" t="s">
        <v>6337</v>
      </c>
      <c r="B5616" s="504" t="s">
        <v>29693</v>
      </c>
      <c r="C5616" s="502" t="s">
        <v>75</v>
      </c>
      <c r="D5616" s="503" t="s">
        <v>15545</v>
      </c>
      <c r="F5616" t="str">
        <f t="shared" si="177"/>
        <v>91222</v>
      </c>
      <c r="H5616" s="14">
        <f t="shared" si="176"/>
        <v>12.73</v>
      </c>
    </row>
    <row r="5617" spans="1:8" ht="55.2">
      <c r="A5617" s="502" t="s">
        <v>6338</v>
      </c>
      <c r="B5617" s="504" t="s">
        <v>29694</v>
      </c>
      <c r="C5617" s="502" t="s">
        <v>114</v>
      </c>
      <c r="D5617" s="503" t="s">
        <v>33811</v>
      </c>
      <c r="F5617" t="str">
        <f t="shared" si="177"/>
        <v>94480</v>
      </c>
      <c r="H5617" s="14">
        <f t="shared" si="176"/>
        <v>3774.53</v>
      </c>
    </row>
    <row r="5618" spans="1:8" ht="55.2">
      <c r="A5618" s="502" t="s">
        <v>6339</v>
      </c>
      <c r="B5618" s="504" t="s">
        <v>29695</v>
      </c>
      <c r="C5618" s="502" t="s">
        <v>114</v>
      </c>
      <c r="D5618" s="503" t="s">
        <v>33812</v>
      </c>
      <c r="F5618" t="str">
        <f t="shared" si="177"/>
        <v>94481</v>
      </c>
      <c r="H5618" s="14">
        <f t="shared" si="176"/>
        <v>2643.37</v>
      </c>
    </row>
    <row r="5619" spans="1:8" ht="55.2">
      <c r="A5619" s="502" t="s">
        <v>6340</v>
      </c>
      <c r="B5619" s="504" t="s">
        <v>29696</v>
      </c>
      <c r="C5619" s="502" t="s">
        <v>114</v>
      </c>
      <c r="D5619" s="503" t="s">
        <v>33813</v>
      </c>
      <c r="F5619" t="str">
        <f t="shared" si="177"/>
        <v>94482</v>
      </c>
      <c r="H5619" s="14">
        <f t="shared" si="176"/>
        <v>2067.9899999999998</v>
      </c>
    </row>
    <row r="5620" spans="1:8" ht="55.2">
      <c r="A5620" s="502" t="s">
        <v>6341</v>
      </c>
      <c r="B5620" s="504" t="s">
        <v>29697</v>
      </c>
      <c r="C5620" s="502" t="s">
        <v>114</v>
      </c>
      <c r="D5620" s="503" t="s">
        <v>32458</v>
      </c>
      <c r="F5620" t="str">
        <f t="shared" si="177"/>
        <v>94483</v>
      </c>
      <c r="H5620" s="14">
        <f t="shared" si="176"/>
        <v>1725.93</v>
      </c>
    </row>
    <row r="5621" spans="1:8" ht="55.2">
      <c r="A5621" s="502" t="s">
        <v>6342</v>
      </c>
      <c r="B5621" s="504" t="s">
        <v>29698</v>
      </c>
      <c r="C5621" s="502" t="s">
        <v>114</v>
      </c>
      <c r="D5621" s="503" t="s">
        <v>32969</v>
      </c>
      <c r="F5621" t="str">
        <f t="shared" si="177"/>
        <v>95541</v>
      </c>
      <c r="H5621" s="14">
        <f t="shared" si="176"/>
        <v>35.5</v>
      </c>
    </row>
    <row r="5622" spans="1:8" ht="41.4">
      <c r="A5622" s="502" t="s">
        <v>6343</v>
      </c>
      <c r="B5622" s="504" t="s">
        <v>29699</v>
      </c>
      <c r="C5622" s="502" t="s">
        <v>73</v>
      </c>
      <c r="D5622" s="503" t="s">
        <v>16287</v>
      </c>
      <c r="F5622" t="str">
        <f t="shared" si="177"/>
        <v>96559</v>
      </c>
      <c r="H5622" s="14">
        <f t="shared" si="176"/>
        <v>46.13</v>
      </c>
    </row>
    <row r="5623" spans="1:8" ht="41.4">
      <c r="A5623" s="502" t="s">
        <v>6344</v>
      </c>
      <c r="B5623" s="504" t="s">
        <v>29700</v>
      </c>
      <c r="C5623" s="502" t="s">
        <v>73</v>
      </c>
      <c r="D5623" s="503" t="s">
        <v>28846</v>
      </c>
      <c r="F5623" t="str">
        <f t="shared" si="177"/>
        <v>96560</v>
      </c>
      <c r="H5623" s="14">
        <f t="shared" si="176"/>
        <v>44.56</v>
      </c>
    </row>
    <row r="5624" spans="1:8" ht="55.2">
      <c r="A5624" s="502" t="s">
        <v>6345</v>
      </c>
      <c r="B5624" s="504" t="s">
        <v>29701</v>
      </c>
      <c r="C5624" s="502" t="s">
        <v>75</v>
      </c>
      <c r="D5624" s="503" t="s">
        <v>28146</v>
      </c>
      <c r="F5624" t="str">
        <f t="shared" si="177"/>
        <v>96562</v>
      </c>
      <c r="H5624" s="14">
        <f t="shared" si="176"/>
        <v>74.900000000000006</v>
      </c>
    </row>
    <row r="5625" spans="1:8" ht="55.2">
      <c r="A5625" s="502" t="s">
        <v>6346</v>
      </c>
      <c r="B5625" s="504" t="s">
        <v>29702</v>
      </c>
      <c r="C5625" s="502" t="s">
        <v>75</v>
      </c>
      <c r="D5625" s="503" t="s">
        <v>33814</v>
      </c>
      <c r="F5625" t="str">
        <f t="shared" si="177"/>
        <v>96563</v>
      </c>
      <c r="H5625" s="14">
        <f t="shared" si="176"/>
        <v>81.28</v>
      </c>
    </row>
    <row r="5626" spans="1:8" ht="27.6">
      <c r="A5626" s="502" t="s">
        <v>26236</v>
      </c>
      <c r="B5626" s="504" t="s">
        <v>26237</v>
      </c>
      <c r="C5626" s="502" t="s">
        <v>114</v>
      </c>
      <c r="D5626" s="503" t="s">
        <v>33815</v>
      </c>
      <c r="F5626" t="str">
        <f t="shared" si="177"/>
        <v>100128</v>
      </c>
      <c r="H5626" s="14">
        <f t="shared" si="176"/>
        <v>2667.92</v>
      </c>
    </row>
    <row r="5627" spans="1:8" ht="55.2">
      <c r="A5627" s="502" t="s">
        <v>13656</v>
      </c>
      <c r="B5627" s="504" t="s">
        <v>13657</v>
      </c>
      <c r="C5627" s="502" t="s">
        <v>114</v>
      </c>
      <c r="D5627" s="503" t="s">
        <v>31819</v>
      </c>
      <c r="F5627" t="str">
        <f t="shared" si="177"/>
        <v>101802</v>
      </c>
      <c r="H5627" s="14">
        <f t="shared" si="176"/>
        <v>2367.9699999999998</v>
      </c>
    </row>
    <row r="5628" spans="1:8" ht="55.2">
      <c r="A5628" s="502" t="s">
        <v>13658</v>
      </c>
      <c r="B5628" s="504" t="s">
        <v>13659</v>
      </c>
      <c r="C5628" s="502" t="s">
        <v>114</v>
      </c>
      <c r="D5628" s="503" t="s">
        <v>33816</v>
      </c>
      <c r="F5628" t="str">
        <f t="shared" si="177"/>
        <v>101803</v>
      </c>
      <c r="H5628" s="14">
        <f t="shared" si="176"/>
        <v>1513.23</v>
      </c>
    </row>
    <row r="5629" spans="1:8" ht="55.2">
      <c r="A5629" s="502" t="s">
        <v>13660</v>
      </c>
      <c r="B5629" s="504" t="s">
        <v>13661</v>
      </c>
      <c r="C5629" s="502" t="s">
        <v>114</v>
      </c>
      <c r="D5629" s="503" t="s">
        <v>33817</v>
      </c>
      <c r="F5629" t="str">
        <f t="shared" si="177"/>
        <v>101804</v>
      </c>
      <c r="H5629" s="14">
        <f t="shared" si="176"/>
        <v>1891.82</v>
      </c>
    </row>
    <row r="5630" spans="1:8" ht="55.2">
      <c r="A5630" s="502" t="s">
        <v>13662</v>
      </c>
      <c r="B5630" s="504" t="s">
        <v>13663</v>
      </c>
      <c r="C5630" s="502" t="s">
        <v>114</v>
      </c>
      <c r="D5630" s="503" t="s">
        <v>33818</v>
      </c>
      <c r="F5630" t="str">
        <f t="shared" si="177"/>
        <v>101805</v>
      </c>
      <c r="H5630" s="14">
        <f t="shared" si="176"/>
        <v>2406.52</v>
      </c>
    </row>
    <row r="5631" spans="1:8" ht="41.4">
      <c r="A5631" s="502" t="s">
        <v>13664</v>
      </c>
      <c r="B5631" s="504" t="s">
        <v>13665</v>
      </c>
      <c r="C5631" s="502" t="s">
        <v>114</v>
      </c>
      <c r="D5631" s="503" t="s">
        <v>33819</v>
      </c>
      <c r="F5631" t="str">
        <f t="shared" si="177"/>
        <v>102111</v>
      </c>
      <c r="H5631" s="14">
        <f t="shared" si="176"/>
        <v>1352.62</v>
      </c>
    </row>
    <row r="5632" spans="1:8" ht="41.4">
      <c r="A5632" s="502" t="s">
        <v>13666</v>
      </c>
      <c r="B5632" s="504" t="s">
        <v>13667</v>
      </c>
      <c r="C5632" s="502" t="s">
        <v>114</v>
      </c>
      <c r="D5632" s="503" t="s">
        <v>33820</v>
      </c>
      <c r="F5632" t="str">
        <f t="shared" si="177"/>
        <v>102112</v>
      </c>
      <c r="H5632" s="14">
        <f t="shared" si="176"/>
        <v>213.33</v>
      </c>
    </row>
    <row r="5633" spans="1:8" ht="41.4">
      <c r="A5633" s="502" t="s">
        <v>13668</v>
      </c>
      <c r="B5633" s="504" t="s">
        <v>13669</v>
      </c>
      <c r="C5633" s="502" t="s">
        <v>114</v>
      </c>
      <c r="D5633" s="503" t="s">
        <v>33821</v>
      </c>
      <c r="F5633" t="str">
        <f t="shared" si="177"/>
        <v>102113</v>
      </c>
      <c r="H5633" s="14">
        <f t="shared" si="176"/>
        <v>2139.0500000000002</v>
      </c>
    </row>
    <row r="5634" spans="1:8" ht="41.4">
      <c r="A5634" s="502" t="s">
        <v>13670</v>
      </c>
      <c r="B5634" s="504" t="s">
        <v>13671</v>
      </c>
      <c r="C5634" s="502" t="s">
        <v>114</v>
      </c>
      <c r="D5634" s="503" t="s">
        <v>33822</v>
      </c>
      <c r="F5634" t="str">
        <f t="shared" si="177"/>
        <v>102114</v>
      </c>
      <c r="H5634" s="14">
        <f t="shared" si="176"/>
        <v>218.6</v>
      </c>
    </row>
    <row r="5635" spans="1:8" ht="41.4">
      <c r="A5635" s="502" t="s">
        <v>13672</v>
      </c>
      <c r="B5635" s="504" t="s">
        <v>13673</v>
      </c>
      <c r="C5635" s="502" t="s">
        <v>114</v>
      </c>
      <c r="D5635" s="503" t="s">
        <v>33823</v>
      </c>
      <c r="F5635" t="str">
        <f t="shared" si="177"/>
        <v>102115</v>
      </c>
      <c r="H5635" s="14">
        <f t="shared" si="176"/>
        <v>3720.81</v>
      </c>
    </row>
    <row r="5636" spans="1:8" ht="41.4">
      <c r="A5636" s="502" t="s">
        <v>13674</v>
      </c>
      <c r="B5636" s="504" t="s">
        <v>13675</v>
      </c>
      <c r="C5636" s="502" t="s">
        <v>114</v>
      </c>
      <c r="D5636" s="503" t="s">
        <v>33824</v>
      </c>
      <c r="F5636" t="str">
        <f t="shared" si="177"/>
        <v>102116</v>
      </c>
      <c r="H5636" s="14">
        <f t="shared" si="176"/>
        <v>2283.7199999999998</v>
      </c>
    </row>
    <row r="5637" spans="1:8" ht="27.6">
      <c r="A5637" s="502" t="s">
        <v>13676</v>
      </c>
      <c r="B5637" s="504" t="s">
        <v>13677</v>
      </c>
      <c r="C5637" s="502" t="s">
        <v>114</v>
      </c>
      <c r="D5637" s="503" t="s">
        <v>33825</v>
      </c>
      <c r="F5637" t="str">
        <f t="shared" si="177"/>
        <v>102117</v>
      </c>
      <c r="H5637" s="14">
        <f t="shared" ref="H5637:H5700" si="178">ROUND(D5637*(1+$H$1),2)</f>
        <v>224.99</v>
      </c>
    </row>
    <row r="5638" spans="1:8" ht="41.4">
      <c r="A5638" s="502" t="s">
        <v>13678</v>
      </c>
      <c r="B5638" s="504" t="s">
        <v>13679</v>
      </c>
      <c r="C5638" s="502" t="s">
        <v>114</v>
      </c>
      <c r="D5638" s="503" t="s">
        <v>33826</v>
      </c>
      <c r="F5638" t="str">
        <f t="shared" si="177"/>
        <v>102118</v>
      </c>
      <c r="H5638" s="14">
        <f t="shared" si="178"/>
        <v>3103.06</v>
      </c>
    </row>
    <row r="5639" spans="1:8" ht="41.4">
      <c r="A5639" s="502" t="s">
        <v>13680</v>
      </c>
      <c r="B5639" s="504" t="s">
        <v>13681</v>
      </c>
      <c r="C5639" s="502" t="s">
        <v>114</v>
      </c>
      <c r="D5639" s="503" t="s">
        <v>33827</v>
      </c>
      <c r="F5639" t="str">
        <f t="shared" si="177"/>
        <v>102119</v>
      </c>
      <c r="H5639" s="14">
        <f t="shared" si="178"/>
        <v>230.5</v>
      </c>
    </row>
    <row r="5640" spans="1:8" ht="41.4">
      <c r="A5640" s="502" t="s">
        <v>13682</v>
      </c>
      <c r="B5640" s="504" t="s">
        <v>13683</v>
      </c>
      <c r="C5640" s="502" t="s">
        <v>114</v>
      </c>
      <c r="D5640" s="503" t="s">
        <v>33828</v>
      </c>
      <c r="F5640" t="str">
        <f t="shared" si="177"/>
        <v>102121</v>
      </c>
      <c r="H5640" s="14">
        <f t="shared" si="178"/>
        <v>288.02999999999997</v>
      </c>
    </row>
    <row r="5641" spans="1:8" ht="41.4">
      <c r="A5641" s="502" t="s">
        <v>13684</v>
      </c>
      <c r="B5641" s="504" t="s">
        <v>13685</v>
      </c>
      <c r="C5641" s="502" t="s">
        <v>114</v>
      </c>
      <c r="D5641" s="503" t="s">
        <v>33829</v>
      </c>
      <c r="F5641" t="str">
        <f t="shared" si="177"/>
        <v>102122</v>
      </c>
      <c r="H5641" s="14">
        <f t="shared" si="178"/>
        <v>10435.540000000001</v>
      </c>
    </row>
    <row r="5642" spans="1:8" ht="41.4">
      <c r="A5642" s="502" t="s">
        <v>13686</v>
      </c>
      <c r="B5642" s="504" t="s">
        <v>13687</v>
      </c>
      <c r="C5642" s="502" t="s">
        <v>114</v>
      </c>
      <c r="D5642" s="503" t="s">
        <v>33830</v>
      </c>
      <c r="F5642" t="str">
        <f t="shared" si="177"/>
        <v>102123</v>
      </c>
      <c r="H5642" s="14">
        <f t="shared" si="178"/>
        <v>304.42</v>
      </c>
    </row>
    <row r="5643" spans="1:8" ht="41.4">
      <c r="A5643" s="502" t="s">
        <v>13688</v>
      </c>
      <c r="B5643" s="504" t="s">
        <v>13689</v>
      </c>
      <c r="C5643" s="502" t="s">
        <v>114</v>
      </c>
      <c r="D5643" s="503" t="s">
        <v>27528</v>
      </c>
      <c r="F5643" t="str">
        <f t="shared" si="177"/>
        <v>102136</v>
      </c>
      <c r="H5643" s="14">
        <f t="shared" si="178"/>
        <v>121</v>
      </c>
    </row>
    <row r="5644" spans="1:8" ht="27.6">
      <c r="A5644" s="502" t="s">
        <v>13690</v>
      </c>
      <c r="B5644" s="504" t="s">
        <v>13691</v>
      </c>
      <c r="C5644" s="502" t="s">
        <v>114</v>
      </c>
      <c r="D5644" s="503" t="s">
        <v>11666</v>
      </c>
      <c r="F5644" t="str">
        <f t="shared" si="177"/>
        <v>102137</v>
      </c>
      <c r="H5644" s="14">
        <f t="shared" si="178"/>
        <v>120.56</v>
      </c>
    </row>
    <row r="5645" spans="1:8" ht="27.6">
      <c r="A5645" s="502" t="s">
        <v>13692</v>
      </c>
      <c r="B5645" s="504" t="s">
        <v>13693</v>
      </c>
      <c r="C5645" s="502" t="s">
        <v>114</v>
      </c>
      <c r="D5645" s="503" t="s">
        <v>33831</v>
      </c>
      <c r="F5645" t="str">
        <f t="shared" si="177"/>
        <v>102138</v>
      </c>
      <c r="H5645" s="14">
        <f t="shared" si="178"/>
        <v>331.1</v>
      </c>
    </row>
    <row r="5646" spans="1:8" ht="55.2">
      <c r="A5646" s="502" t="s">
        <v>26238</v>
      </c>
      <c r="B5646" s="504" t="s">
        <v>26239</v>
      </c>
      <c r="C5646" s="502" t="s">
        <v>114</v>
      </c>
      <c r="D5646" s="503" t="s">
        <v>33832</v>
      </c>
      <c r="F5646" t="str">
        <f t="shared" si="177"/>
        <v>103517</v>
      </c>
      <c r="H5646" s="14">
        <f t="shared" si="178"/>
        <v>4802.0600000000004</v>
      </c>
    </row>
    <row r="5647" spans="1:8" ht="41.4">
      <c r="A5647" s="502" t="s">
        <v>26240</v>
      </c>
      <c r="B5647" s="504" t="s">
        <v>26241</v>
      </c>
      <c r="C5647" s="502" t="s">
        <v>114</v>
      </c>
      <c r="D5647" s="503" t="s">
        <v>9997</v>
      </c>
      <c r="F5647" t="str">
        <f t="shared" ref="F5647:F5710" si="179">TRIM(A5647)</f>
        <v>103519</v>
      </c>
      <c r="H5647" s="14">
        <f t="shared" si="178"/>
        <v>15.66</v>
      </c>
    </row>
    <row r="5648" spans="1:8" ht="55.2">
      <c r="A5648" s="502" t="s">
        <v>26242</v>
      </c>
      <c r="B5648" s="504" t="s">
        <v>26243</v>
      </c>
      <c r="C5648" s="502" t="s">
        <v>114</v>
      </c>
      <c r="D5648" s="503" t="s">
        <v>33833</v>
      </c>
      <c r="F5648" t="str">
        <f t="shared" si="179"/>
        <v>103520</v>
      </c>
      <c r="H5648" s="14">
        <f t="shared" si="178"/>
        <v>7905.86</v>
      </c>
    </row>
    <row r="5649" spans="1:8" ht="55.2">
      <c r="A5649" s="502" t="s">
        <v>26244</v>
      </c>
      <c r="B5649" s="504" t="s">
        <v>26245</v>
      </c>
      <c r="C5649" s="502" t="s">
        <v>114</v>
      </c>
      <c r="D5649" s="503" t="s">
        <v>33834</v>
      </c>
      <c r="F5649" t="str">
        <f t="shared" si="179"/>
        <v>103521</v>
      </c>
      <c r="H5649" s="14">
        <f t="shared" si="178"/>
        <v>10497.62</v>
      </c>
    </row>
    <row r="5650" spans="1:8" ht="55.2">
      <c r="A5650" s="502" t="s">
        <v>26246</v>
      </c>
      <c r="B5650" s="504" t="s">
        <v>26247</v>
      </c>
      <c r="C5650" s="502" t="s">
        <v>114</v>
      </c>
      <c r="D5650" s="503" t="s">
        <v>33835</v>
      </c>
      <c r="F5650" t="str">
        <f t="shared" si="179"/>
        <v>103522</v>
      </c>
      <c r="H5650" s="14">
        <f t="shared" si="178"/>
        <v>10676.54</v>
      </c>
    </row>
    <row r="5651" spans="1:8" ht="55.2">
      <c r="A5651" s="502" t="s">
        <v>26248</v>
      </c>
      <c r="B5651" s="504" t="s">
        <v>26249</v>
      </c>
      <c r="C5651" s="502" t="s">
        <v>114</v>
      </c>
      <c r="D5651" s="503" t="s">
        <v>33836</v>
      </c>
      <c r="F5651" t="str">
        <f t="shared" si="179"/>
        <v>103523</v>
      </c>
      <c r="H5651" s="14">
        <f t="shared" si="178"/>
        <v>16017.49</v>
      </c>
    </row>
    <row r="5652" spans="1:8" ht="41.4">
      <c r="A5652" s="502" t="s">
        <v>29705</v>
      </c>
      <c r="B5652" s="504" t="s">
        <v>29706</v>
      </c>
      <c r="C5652" s="502" t="s">
        <v>114</v>
      </c>
      <c r="D5652" s="503" t="s">
        <v>3777</v>
      </c>
      <c r="F5652" t="str">
        <f t="shared" si="179"/>
        <v>104767</v>
      </c>
      <c r="H5652" s="14">
        <f t="shared" si="178"/>
        <v>0.89</v>
      </c>
    </row>
    <row r="5653" spans="1:8" ht="41.4">
      <c r="A5653" s="502" t="s">
        <v>29707</v>
      </c>
      <c r="B5653" s="504" t="s">
        <v>29708</v>
      </c>
      <c r="C5653" s="502" t="s">
        <v>114</v>
      </c>
      <c r="D5653" s="503" t="s">
        <v>3719</v>
      </c>
      <c r="F5653" t="str">
        <f t="shared" si="179"/>
        <v>104769</v>
      </c>
      <c r="H5653" s="14">
        <f t="shared" si="178"/>
        <v>2.41</v>
      </c>
    </row>
    <row r="5654" spans="1:8" ht="41.4">
      <c r="A5654" s="502" t="s">
        <v>29709</v>
      </c>
      <c r="B5654" s="504" t="s">
        <v>29710</v>
      </c>
      <c r="C5654" s="502" t="s">
        <v>114</v>
      </c>
      <c r="D5654" s="503" t="s">
        <v>23696</v>
      </c>
      <c r="F5654" t="str">
        <f t="shared" si="179"/>
        <v>104771</v>
      </c>
      <c r="H5654" s="14">
        <f t="shared" si="178"/>
        <v>3.52</v>
      </c>
    </row>
    <row r="5655" spans="1:8" ht="41.4">
      <c r="A5655" s="502" t="s">
        <v>29711</v>
      </c>
      <c r="B5655" s="504" t="s">
        <v>29712</v>
      </c>
      <c r="C5655" s="502" t="s">
        <v>114</v>
      </c>
      <c r="D5655" s="503" t="s">
        <v>7326</v>
      </c>
      <c r="F5655" t="str">
        <f t="shared" si="179"/>
        <v>104773</v>
      </c>
      <c r="H5655" s="14">
        <f t="shared" si="178"/>
        <v>3.12</v>
      </c>
    </row>
    <row r="5656" spans="1:8" ht="41.4">
      <c r="A5656" s="502" t="s">
        <v>29713</v>
      </c>
      <c r="B5656" s="504" t="s">
        <v>29714</v>
      </c>
      <c r="C5656" s="502" t="s">
        <v>114</v>
      </c>
      <c r="D5656" s="503" t="s">
        <v>16446</v>
      </c>
      <c r="F5656" t="str">
        <f t="shared" si="179"/>
        <v>104775</v>
      </c>
      <c r="H5656" s="14">
        <f t="shared" si="178"/>
        <v>8.3800000000000008</v>
      </c>
    </row>
    <row r="5657" spans="1:8" ht="41.4">
      <c r="A5657" s="502" t="s">
        <v>29715</v>
      </c>
      <c r="B5657" s="504" t="s">
        <v>29716</v>
      </c>
      <c r="C5657" s="502" t="s">
        <v>114</v>
      </c>
      <c r="D5657" s="503" t="s">
        <v>5910</v>
      </c>
      <c r="F5657" t="str">
        <f t="shared" si="179"/>
        <v>104777</v>
      </c>
      <c r="H5657" s="14">
        <f t="shared" si="178"/>
        <v>12.26</v>
      </c>
    </row>
    <row r="5658" spans="1:8" ht="41.4">
      <c r="A5658" s="502" t="s">
        <v>29717</v>
      </c>
      <c r="B5658" s="504" t="s">
        <v>29718</v>
      </c>
      <c r="C5658" s="502" t="s">
        <v>75</v>
      </c>
      <c r="D5658" s="503" t="s">
        <v>3657</v>
      </c>
      <c r="F5658" t="str">
        <f t="shared" si="179"/>
        <v>104779</v>
      </c>
      <c r="H5658" s="14">
        <f t="shared" si="178"/>
        <v>10.45</v>
      </c>
    </row>
    <row r="5659" spans="1:8" ht="55.2">
      <c r="A5659" s="502" t="s">
        <v>29719</v>
      </c>
      <c r="B5659" s="504" t="s">
        <v>29720</v>
      </c>
      <c r="C5659" s="502" t="s">
        <v>75</v>
      </c>
      <c r="D5659" s="503" t="s">
        <v>7322</v>
      </c>
      <c r="F5659" t="str">
        <f t="shared" si="179"/>
        <v>104781</v>
      </c>
      <c r="H5659" s="14">
        <f t="shared" si="178"/>
        <v>12.05</v>
      </c>
    </row>
    <row r="5660" spans="1:8" ht="41.4">
      <c r="A5660" s="502" t="s">
        <v>29721</v>
      </c>
      <c r="B5660" s="504" t="s">
        <v>29722</v>
      </c>
      <c r="C5660" s="502" t="s">
        <v>114</v>
      </c>
      <c r="D5660" s="503" t="s">
        <v>33512</v>
      </c>
      <c r="F5660" t="str">
        <f t="shared" si="179"/>
        <v>104782</v>
      </c>
      <c r="H5660" s="14">
        <f t="shared" si="178"/>
        <v>99.95</v>
      </c>
    </row>
    <row r="5661" spans="1:8" ht="41.4">
      <c r="A5661" s="502" t="s">
        <v>29723</v>
      </c>
      <c r="B5661" s="504" t="s">
        <v>29724</v>
      </c>
      <c r="C5661" s="502" t="s">
        <v>114</v>
      </c>
      <c r="D5661" s="503" t="s">
        <v>11447</v>
      </c>
      <c r="F5661" t="str">
        <f t="shared" si="179"/>
        <v>104783</v>
      </c>
      <c r="H5661" s="14">
        <f t="shared" si="178"/>
        <v>7.73</v>
      </c>
    </row>
    <row r="5662" spans="1:8" ht="41.4">
      <c r="A5662" s="502" t="s">
        <v>29725</v>
      </c>
      <c r="B5662" s="504" t="s">
        <v>29726</v>
      </c>
      <c r="C5662" s="502" t="s">
        <v>114</v>
      </c>
      <c r="D5662" s="503" t="s">
        <v>33837</v>
      </c>
      <c r="F5662" t="str">
        <f t="shared" si="179"/>
        <v>104784</v>
      </c>
      <c r="H5662" s="14">
        <f t="shared" si="178"/>
        <v>21.47</v>
      </c>
    </row>
    <row r="5663" spans="1:8" ht="41.4">
      <c r="A5663" s="502" t="s">
        <v>29727</v>
      </c>
      <c r="B5663" s="504" t="s">
        <v>29728</v>
      </c>
      <c r="C5663" s="502" t="s">
        <v>75</v>
      </c>
      <c r="D5663" s="503" t="s">
        <v>10655</v>
      </c>
      <c r="F5663" t="str">
        <f t="shared" si="179"/>
        <v>104786</v>
      </c>
      <c r="H5663" s="14">
        <f t="shared" si="178"/>
        <v>9.5399999999999991</v>
      </c>
    </row>
    <row r="5664" spans="1:8" ht="55.2">
      <c r="A5664" s="502" t="s">
        <v>29729</v>
      </c>
      <c r="B5664" s="504" t="s">
        <v>29730</v>
      </c>
      <c r="C5664" s="502" t="s">
        <v>75</v>
      </c>
      <c r="D5664" s="503" t="s">
        <v>5959</v>
      </c>
      <c r="F5664" t="str">
        <f t="shared" si="179"/>
        <v>104787</v>
      </c>
      <c r="H5664" s="14">
        <f t="shared" si="178"/>
        <v>12.65</v>
      </c>
    </row>
    <row r="5665" spans="1:8" ht="55.2">
      <c r="A5665" s="502" t="s">
        <v>29731</v>
      </c>
      <c r="B5665" s="504" t="s">
        <v>29732</v>
      </c>
      <c r="C5665" s="502" t="s">
        <v>75</v>
      </c>
      <c r="D5665" s="503" t="s">
        <v>3185</v>
      </c>
      <c r="F5665" t="str">
        <f t="shared" si="179"/>
        <v>104788</v>
      </c>
      <c r="H5665" s="14">
        <f t="shared" si="178"/>
        <v>16.79</v>
      </c>
    </row>
    <row r="5666" spans="1:8" ht="41.4">
      <c r="A5666" s="502" t="s">
        <v>26250</v>
      </c>
      <c r="B5666" s="504" t="s">
        <v>26251</v>
      </c>
      <c r="C5666" s="502" t="s">
        <v>114</v>
      </c>
      <c r="D5666" s="503" t="s">
        <v>27831</v>
      </c>
      <c r="F5666" t="str">
        <f t="shared" si="179"/>
        <v>104031</v>
      </c>
      <c r="H5666" s="14">
        <f t="shared" si="178"/>
        <v>27.74</v>
      </c>
    </row>
    <row r="5667" spans="1:8" ht="41.4">
      <c r="A5667" s="502" t="s">
        <v>26252</v>
      </c>
      <c r="B5667" s="504" t="s">
        <v>26253</v>
      </c>
      <c r="C5667" s="502" t="s">
        <v>114</v>
      </c>
      <c r="D5667" s="503" t="s">
        <v>28888</v>
      </c>
      <c r="F5667" t="str">
        <f t="shared" si="179"/>
        <v>104032</v>
      </c>
      <c r="H5667" s="14">
        <f t="shared" si="178"/>
        <v>34.53</v>
      </c>
    </row>
    <row r="5668" spans="1:8" ht="41.4">
      <c r="A5668" s="502" t="s">
        <v>26254</v>
      </c>
      <c r="B5668" s="504" t="s">
        <v>26255</v>
      </c>
      <c r="C5668" s="502" t="s">
        <v>114</v>
      </c>
      <c r="D5668" s="503" t="s">
        <v>23691</v>
      </c>
      <c r="F5668" t="str">
        <f t="shared" si="179"/>
        <v>104033</v>
      </c>
      <c r="H5668" s="14">
        <f t="shared" si="178"/>
        <v>31.63</v>
      </c>
    </row>
    <row r="5669" spans="1:8" ht="41.4">
      <c r="A5669" s="502" t="s">
        <v>26256</v>
      </c>
      <c r="B5669" s="504" t="s">
        <v>26257</v>
      </c>
      <c r="C5669" s="502" t="s">
        <v>114</v>
      </c>
      <c r="D5669" s="503" t="s">
        <v>25501</v>
      </c>
      <c r="F5669" t="str">
        <f t="shared" si="179"/>
        <v>104034</v>
      </c>
      <c r="H5669" s="14">
        <f t="shared" si="178"/>
        <v>40.799999999999997</v>
      </c>
    </row>
    <row r="5670" spans="1:8" ht="27.6">
      <c r="A5670" s="502" t="s">
        <v>26258</v>
      </c>
      <c r="B5670" s="504" t="s">
        <v>26259</v>
      </c>
      <c r="C5670" s="502" t="s">
        <v>114</v>
      </c>
      <c r="D5670" s="503" t="s">
        <v>33838</v>
      </c>
      <c r="F5670" t="str">
        <f t="shared" si="179"/>
        <v>104035</v>
      </c>
      <c r="H5670" s="14">
        <f t="shared" si="178"/>
        <v>53.65</v>
      </c>
    </row>
    <row r="5671" spans="1:8" ht="27.6">
      <c r="A5671" s="502" t="s">
        <v>26260</v>
      </c>
      <c r="B5671" s="504" t="s">
        <v>26261</v>
      </c>
      <c r="C5671" s="502" t="s">
        <v>114</v>
      </c>
      <c r="D5671" s="503" t="s">
        <v>33839</v>
      </c>
      <c r="F5671" t="str">
        <f t="shared" si="179"/>
        <v>104036</v>
      </c>
      <c r="H5671" s="14">
        <f t="shared" si="178"/>
        <v>55.38</v>
      </c>
    </row>
    <row r="5672" spans="1:8" ht="41.4">
      <c r="A5672" s="502" t="s">
        <v>26262</v>
      </c>
      <c r="B5672" s="504" t="s">
        <v>26263</v>
      </c>
      <c r="C5672" s="502" t="s">
        <v>114</v>
      </c>
      <c r="D5672" s="503" t="s">
        <v>31044</v>
      </c>
      <c r="F5672" t="str">
        <f t="shared" si="179"/>
        <v>104039</v>
      </c>
      <c r="H5672" s="14">
        <f t="shared" si="178"/>
        <v>99.47</v>
      </c>
    </row>
    <row r="5673" spans="1:8" ht="27.6">
      <c r="A5673" s="502" t="s">
        <v>26264</v>
      </c>
      <c r="B5673" s="504" t="s">
        <v>26265</v>
      </c>
      <c r="C5673" s="502" t="s">
        <v>114</v>
      </c>
      <c r="D5673" s="503" t="s">
        <v>9891</v>
      </c>
      <c r="F5673" t="str">
        <f t="shared" si="179"/>
        <v>104043</v>
      </c>
      <c r="H5673" s="14">
        <f t="shared" si="178"/>
        <v>11.82</v>
      </c>
    </row>
    <row r="5674" spans="1:8" ht="27.6">
      <c r="A5674" s="502" t="s">
        <v>26266</v>
      </c>
      <c r="B5674" s="504" t="s">
        <v>26267</v>
      </c>
      <c r="C5674" s="502" t="s">
        <v>114</v>
      </c>
      <c r="D5674" s="503" t="s">
        <v>9925</v>
      </c>
      <c r="F5674" t="str">
        <f t="shared" si="179"/>
        <v>104044</v>
      </c>
      <c r="H5674" s="14">
        <f t="shared" si="178"/>
        <v>12.67</v>
      </c>
    </row>
    <row r="5675" spans="1:8" ht="27.6">
      <c r="A5675" s="502" t="s">
        <v>26268</v>
      </c>
      <c r="B5675" s="504" t="s">
        <v>26269</v>
      </c>
      <c r="C5675" s="502" t="s">
        <v>114</v>
      </c>
      <c r="D5675" s="503" t="s">
        <v>33089</v>
      </c>
      <c r="F5675" t="str">
        <f t="shared" si="179"/>
        <v>104045</v>
      </c>
      <c r="H5675" s="14">
        <f t="shared" si="178"/>
        <v>19.45</v>
      </c>
    </row>
    <row r="5676" spans="1:8" ht="41.4">
      <c r="A5676" s="502" t="s">
        <v>26270</v>
      </c>
      <c r="B5676" s="504" t="s">
        <v>26271</v>
      </c>
      <c r="C5676" s="502" t="s">
        <v>114</v>
      </c>
      <c r="D5676" s="503" t="s">
        <v>10627</v>
      </c>
      <c r="F5676" t="str">
        <f t="shared" si="179"/>
        <v>104046</v>
      </c>
      <c r="H5676" s="14">
        <f t="shared" si="178"/>
        <v>11.33</v>
      </c>
    </row>
    <row r="5677" spans="1:8" ht="41.4">
      <c r="A5677" s="502" t="s">
        <v>26272</v>
      </c>
      <c r="B5677" s="504" t="s">
        <v>26273</v>
      </c>
      <c r="C5677" s="502" t="s">
        <v>114</v>
      </c>
      <c r="D5677" s="503" t="s">
        <v>7346</v>
      </c>
      <c r="F5677" t="str">
        <f t="shared" si="179"/>
        <v>104047</v>
      </c>
      <c r="H5677" s="14">
        <f t="shared" si="178"/>
        <v>13.17</v>
      </c>
    </row>
    <row r="5678" spans="1:8" ht="41.4">
      <c r="A5678" s="502" t="s">
        <v>26274</v>
      </c>
      <c r="B5678" s="504" t="s">
        <v>26275</v>
      </c>
      <c r="C5678" s="502" t="s">
        <v>114</v>
      </c>
      <c r="D5678" s="503" t="s">
        <v>25064</v>
      </c>
      <c r="F5678" t="str">
        <f t="shared" si="179"/>
        <v>104048</v>
      </c>
      <c r="H5678" s="14">
        <f t="shared" si="178"/>
        <v>19.010000000000002</v>
      </c>
    </row>
    <row r="5679" spans="1:8" ht="27.6">
      <c r="A5679" s="502" t="s">
        <v>26276</v>
      </c>
      <c r="B5679" s="504" t="s">
        <v>26277</v>
      </c>
      <c r="C5679" s="502" t="s">
        <v>114</v>
      </c>
      <c r="D5679" s="503" t="s">
        <v>5383</v>
      </c>
      <c r="F5679" t="str">
        <f t="shared" si="179"/>
        <v>104049</v>
      </c>
      <c r="H5679" s="14">
        <f t="shared" si="178"/>
        <v>8.75</v>
      </c>
    </row>
    <row r="5680" spans="1:8" ht="27.6">
      <c r="A5680" s="502" t="s">
        <v>26278</v>
      </c>
      <c r="B5680" s="504" t="s">
        <v>26279</v>
      </c>
      <c r="C5680" s="502" t="s">
        <v>114</v>
      </c>
      <c r="D5680" s="503" t="s">
        <v>10282</v>
      </c>
      <c r="F5680" t="str">
        <f t="shared" si="179"/>
        <v>104050</v>
      </c>
      <c r="H5680" s="14">
        <f t="shared" si="178"/>
        <v>13.14</v>
      </c>
    </row>
    <row r="5681" spans="1:8" ht="41.4">
      <c r="A5681" s="502" t="s">
        <v>26280</v>
      </c>
      <c r="B5681" s="504" t="s">
        <v>26281</v>
      </c>
      <c r="C5681" s="502" t="s">
        <v>114</v>
      </c>
      <c r="D5681" s="503" t="s">
        <v>28098</v>
      </c>
      <c r="F5681" t="str">
        <f t="shared" si="179"/>
        <v>104051</v>
      </c>
      <c r="H5681" s="14">
        <f t="shared" si="178"/>
        <v>10.57</v>
      </c>
    </row>
    <row r="5682" spans="1:8" ht="41.4">
      <c r="A5682" s="502" t="s">
        <v>26282</v>
      </c>
      <c r="B5682" s="504" t="s">
        <v>26283</v>
      </c>
      <c r="C5682" s="502" t="s">
        <v>114</v>
      </c>
      <c r="D5682" s="503" t="s">
        <v>10679</v>
      </c>
      <c r="F5682" t="str">
        <f t="shared" si="179"/>
        <v>104052</v>
      </c>
      <c r="H5682" s="14">
        <f t="shared" si="178"/>
        <v>14.79</v>
      </c>
    </row>
    <row r="5683" spans="1:8" ht="27.6">
      <c r="A5683" s="502" t="s">
        <v>26284</v>
      </c>
      <c r="B5683" s="504" t="s">
        <v>26285</v>
      </c>
      <c r="C5683" s="502" t="s">
        <v>114</v>
      </c>
      <c r="D5683" s="503" t="s">
        <v>9515</v>
      </c>
      <c r="F5683" t="str">
        <f t="shared" si="179"/>
        <v>104053</v>
      </c>
      <c r="H5683" s="14">
        <f t="shared" si="178"/>
        <v>12.18</v>
      </c>
    </row>
    <row r="5684" spans="1:8" ht="27.6">
      <c r="A5684" s="502" t="s">
        <v>26286</v>
      </c>
      <c r="B5684" s="504" t="s">
        <v>26287</v>
      </c>
      <c r="C5684" s="502" t="s">
        <v>114</v>
      </c>
      <c r="D5684" s="503" t="s">
        <v>33022</v>
      </c>
      <c r="F5684" t="str">
        <f t="shared" si="179"/>
        <v>104054</v>
      </c>
      <c r="H5684" s="14">
        <f t="shared" si="178"/>
        <v>23.65</v>
      </c>
    </row>
    <row r="5685" spans="1:8" ht="27.6">
      <c r="A5685" s="502" t="s">
        <v>26288</v>
      </c>
      <c r="B5685" s="504" t="s">
        <v>26289</v>
      </c>
      <c r="C5685" s="502" t="s">
        <v>114</v>
      </c>
      <c r="D5685" s="503" t="s">
        <v>33840</v>
      </c>
      <c r="F5685" t="str">
        <f t="shared" si="179"/>
        <v>104055</v>
      </c>
      <c r="H5685" s="14">
        <f t="shared" si="178"/>
        <v>27.56</v>
      </c>
    </row>
    <row r="5686" spans="1:8" ht="27.6">
      <c r="A5686" s="502" t="s">
        <v>26290</v>
      </c>
      <c r="B5686" s="504" t="s">
        <v>26291</v>
      </c>
      <c r="C5686" s="502" t="s">
        <v>114</v>
      </c>
      <c r="D5686" s="503" t="s">
        <v>33841</v>
      </c>
      <c r="F5686" t="str">
        <f t="shared" si="179"/>
        <v>104056</v>
      </c>
      <c r="H5686" s="14">
        <f t="shared" si="178"/>
        <v>41.84</v>
      </c>
    </row>
    <row r="5687" spans="1:8" ht="27.6">
      <c r="A5687" s="502" t="s">
        <v>26292</v>
      </c>
      <c r="B5687" s="504" t="s">
        <v>26293</v>
      </c>
      <c r="C5687" s="502" t="s">
        <v>114</v>
      </c>
      <c r="D5687" s="503" t="s">
        <v>32415</v>
      </c>
      <c r="F5687" t="str">
        <f t="shared" si="179"/>
        <v>104058</v>
      </c>
      <c r="H5687" s="14">
        <f t="shared" si="178"/>
        <v>10.87</v>
      </c>
    </row>
    <row r="5688" spans="1:8" ht="27.6">
      <c r="A5688" s="502" t="s">
        <v>26294</v>
      </c>
      <c r="B5688" s="504" t="s">
        <v>26295</v>
      </c>
      <c r="C5688" s="502" t="s">
        <v>114</v>
      </c>
      <c r="D5688" s="503" t="s">
        <v>16174</v>
      </c>
      <c r="F5688" t="str">
        <f t="shared" si="179"/>
        <v>104059</v>
      </c>
      <c r="H5688" s="14">
        <f t="shared" si="178"/>
        <v>16.48</v>
      </c>
    </row>
    <row r="5689" spans="1:8" ht="27.6">
      <c r="A5689" s="502" t="s">
        <v>26296</v>
      </c>
      <c r="B5689" s="504" t="s">
        <v>26297</v>
      </c>
      <c r="C5689" s="502" t="s">
        <v>75</v>
      </c>
      <c r="D5689" s="503" t="s">
        <v>15808</v>
      </c>
      <c r="F5689" t="str">
        <f t="shared" si="179"/>
        <v>104060</v>
      </c>
      <c r="H5689" s="14">
        <f t="shared" si="178"/>
        <v>12.17</v>
      </c>
    </row>
    <row r="5690" spans="1:8" ht="27.6">
      <c r="A5690" s="502" t="s">
        <v>26298</v>
      </c>
      <c r="B5690" s="504" t="s">
        <v>26299</v>
      </c>
      <c r="C5690" s="502" t="s">
        <v>75</v>
      </c>
      <c r="D5690" s="503" t="s">
        <v>10059</v>
      </c>
      <c r="F5690" t="str">
        <f t="shared" si="179"/>
        <v>104061</v>
      </c>
      <c r="H5690" s="14">
        <f t="shared" si="178"/>
        <v>21.59</v>
      </c>
    </row>
    <row r="5691" spans="1:8" ht="27.6">
      <c r="A5691" s="502" t="s">
        <v>26300</v>
      </c>
      <c r="B5691" s="504" t="s">
        <v>26301</v>
      </c>
      <c r="C5691" s="502" t="s">
        <v>114</v>
      </c>
      <c r="D5691" s="503" t="s">
        <v>33842</v>
      </c>
      <c r="F5691" t="str">
        <f t="shared" si="179"/>
        <v>104062</v>
      </c>
      <c r="H5691" s="14">
        <f t="shared" si="178"/>
        <v>119.25</v>
      </c>
    </row>
    <row r="5692" spans="1:8" ht="27.6">
      <c r="A5692" s="502" t="s">
        <v>26302</v>
      </c>
      <c r="B5692" s="504" t="s">
        <v>26303</v>
      </c>
      <c r="C5692" s="502" t="s">
        <v>114</v>
      </c>
      <c r="D5692" s="503" t="s">
        <v>33843</v>
      </c>
      <c r="F5692" t="str">
        <f t="shared" si="179"/>
        <v>104063</v>
      </c>
      <c r="H5692" s="14">
        <f t="shared" si="178"/>
        <v>113.2</v>
      </c>
    </row>
    <row r="5693" spans="1:8" ht="27.6">
      <c r="A5693" s="502" t="s">
        <v>26304</v>
      </c>
      <c r="B5693" s="504" t="s">
        <v>26305</v>
      </c>
      <c r="C5693" s="502" t="s">
        <v>114</v>
      </c>
      <c r="D5693" s="503" t="s">
        <v>33844</v>
      </c>
      <c r="F5693" t="str">
        <f t="shared" si="179"/>
        <v>104064</v>
      </c>
      <c r="H5693" s="14">
        <f t="shared" si="178"/>
        <v>292.04000000000002</v>
      </c>
    </row>
    <row r="5694" spans="1:8" ht="27.6">
      <c r="A5694" s="502" t="s">
        <v>26306</v>
      </c>
      <c r="B5694" s="504" t="s">
        <v>26307</v>
      </c>
      <c r="C5694" s="502" t="s">
        <v>114</v>
      </c>
      <c r="D5694" s="503" t="s">
        <v>33845</v>
      </c>
      <c r="F5694" t="str">
        <f t="shared" si="179"/>
        <v>104065</v>
      </c>
      <c r="H5694" s="14">
        <f t="shared" si="178"/>
        <v>246.61</v>
      </c>
    </row>
    <row r="5695" spans="1:8" ht="27.6">
      <c r="A5695" s="502" t="s">
        <v>26308</v>
      </c>
      <c r="B5695" s="504" t="s">
        <v>26309</v>
      </c>
      <c r="C5695" s="502" t="s">
        <v>114</v>
      </c>
      <c r="D5695" s="503" t="s">
        <v>33846</v>
      </c>
      <c r="F5695" t="str">
        <f t="shared" si="179"/>
        <v>104072</v>
      </c>
      <c r="H5695" s="14">
        <f t="shared" si="178"/>
        <v>447.08</v>
      </c>
    </row>
    <row r="5696" spans="1:8" ht="41.4">
      <c r="A5696" s="502" t="s">
        <v>26310</v>
      </c>
      <c r="B5696" s="504" t="s">
        <v>26311</v>
      </c>
      <c r="C5696" s="502" t="s">
        <v>114</v>
      </c>
      <c r="D5696" s="503" t="s">
        <v>15253</v>
      </c>
      <c r="F5696" t="str">
        <f t="shared" si="179"/>
        <v>104076</v>
      </c>
      <c r="H5696" s="14">
        <f t="shared" si="178"/>
        <v>74.97</v>
      </c>
    </row>
    <row r="5697" spans="1:8" ht="27.6">
      <c r="A5697" s="502" t="s">
        <v>26312</v>
      </c>
      <c r="B5697" s="504" t="s">
        <v>26313</v>
      </c>
      <c r="C5697" s="502" t="s">
        <v>114</v>
      </c>
      <c r="D5697" s="503" t="s">
        <v>29580</v>
      </c>
      <c r="F5697" t="str">
        <f t="shared" si="179"/>
        <v>104082</v>
      </c>
      <c r="H5697" s="14">
        <f t="shared" si="178"/>
        <v>48.45</v>
      </c>
    </row>
    <row r="5698" spans="1:8" ht="27.6">
      <c r="A5698" s="502" t="s">
        <v>26315</v>
      </c>
      <c r="B5698" s="504" t="s">
        <v>26316</v>
      </c>
      <c r="C5698" s="502" t="s">
        <v>114</v>
      </c>
      <c r="D5698" s="503" t="s">
        <v>33847</v>
      </c>
      <c r="F5698" t="str">
        <f t="shared" si="179"/>
        <v>104083</v>
      </c>
      <c r="H5698" s="14">
        <f t="shared" si="178"/>
        <v>117.85</v>
      </c>
    </row>
    <row r="5699" spans="1:8" ht="27.6">
      <c r="A5699" s="502" t="s">
        <v>26317</v>
      </c>
      <c r="B5699" s="504" t="s">
        <v>26318</v>
      </c>
      <c r="C5699" s="502" t="s">
        <v>114</v>
      </c>
      <c r="D5699" s="503" t="s">
        <v>33848</v>
      </c>
      <c r="F5699" t="str">
        <f t="shared" si="179"/>
        <v>104084</v>
      </c>
      <c r="H5699" s="14">
        <f t="shared" si="178"/>
        <v>134.97999999999999</v>
      </c>
    </row>
    <row r="5700" spans="1:8" ht="27.6">
      <c r="A5700" s="502" t="s">
        <v>26319</v>
      </c>
      <c r="B5700" s="504" t="s">
        <v>26320</v>
      </c>
      <c r="C5700" s="502" t="s">
        <v>75</v>
      </c>
      <c r="D5700" s="503" t="s">
        <v>33849</v>
      </c>
      <c r="F5700" t="str">
        <f t="shared" si="179"/>
        <v>104085</v>
      </c>
      <c r="H5700" s="14">
        <f t="shared" si="178"/>
        <v>89.3</v>
      </c>
    </row>
    <row r="5701" spans="1:8" ht="27.6">
      <c r="A5701" s="502" t="s">
        <v>26321</v>
      </c>
      <c r="B5701" s="504" t="s">
        <v>26322</v>
      </c>
      <c r="C5701" s="502" t="s">
        <v>75</v>
      </c>
      <c r="D5701" s="503" t="s">
        <v>33850</v>
      </c>
      <c r="F5701" t="str">
        <f t="shared" si="179"/>
        <v>104086</v>
      </c>
      <c r="H5701" s="14">
        <f t="shared" ref="H5701:H5764" si="180">ROUND(D5701*(1+$H$1),2)</f>
        <v>161.06</v>
      </c>
    </row>
    <row r="5702" spans="1:8" ht="41.4">
      <c r="A5702" s="502" t="s">
        <v>29737</v>
      </c>
      <c r="B5702" s="504" t="s">
        <v>29738</v>
      </c>
      <c r="C5702" s="502" t="s">
        <v>83</v>
      </c>
      <c r="D5702" s="503" t="s">
        <v>10678</v>
      </c>
      <c r="F5702" t="str">
        <f t="shared" si="179"/>
        <v>104947</v>
      </c>
      <c r="H5702" s="14">
        <f t="shared" si="180"/>
        <v>17.3</v>
      </c>
    </row>
    <row r="5703" spans="1:8" ht="41.4">
      <c r="A5703" s="502" t="s">
        <v>29739</v>
      </c>
      <c r="B5703" s="504" t="s">
        <v>29740</v>
      </c>
      <c r="C5703" s="502" t="s">
        <v>83</v>
      </c>
      <c r="D5703" s="503" t="s">
        <v>6982</v>
      </c>
      <c r="F5703" t="str">
        <f t="shared" si="179"/>
        <v>104948</v>
      </c>
      <c r="H5703" s="14">
        <f t="shared" si="180"/>
        <v>7.26</v>
      </c>
    </row>
    <row r="5704" spans="1:8" ht="55.2">
      <c r="A5704" s="502" t="s">
        <v>33851</v>
      </c>
      <c r="B5704" s="504" t="s">
        <v>33852</v>
      </c>
      <c r="C5704" s="502" t="s">
        <v>83</v>
      </c>
      <c r="D5704" s="503" t="s">
        <v>29671</v>
      </c>
      <c r="F5704" t="str">
        <f t="shared" si="179"/>
        <v>104949</v>
      </c>
      <c r="H5704" s="14">
        <f t="shared" si="180"/>
        <v>13.51</v>
      </c>
    </row>
    <row r="5705" spans="1:8" ht="41.4">
      <c r="A5705" s="502" t="s">
        <v>6350</v>
      </c>
      <c r="B5705" s="504" t="s">
        <v>29741</v>
      </c>
      <c r="C5705" s="502" t="s">
        <v>83</v>
      </c>
      <c r="D5705" s="503" t="s">
        <v>33853</v>
      </c>
      <c r="F5705" t="str">
        <f t="shared" si="179"/>
        <v>96520</v>
      </c>
      <c r="H5705" s="14">
        <f t="shared" si="180"/>
        <v>132.88</v>
      </c>
    </row>
    <row r="5706" spans="1:8" ht="41.4">
      <c r="A5706" s="502" t="s">
        <v>6351</v>
      </c>
      <c r="B5706" s="504" t="s">
        <v>29742</v>
      </c>
      <c r="C5706" s="502" t="s">
        <v>83</v>
      </c>
      <c r="D5706" s="503" t="s">
        <v>30479</v>
      </c>
      <c r="F5706" t="str">
        <f t="shared" si="179"/>
        <v>96521</v>
      </c>
      <c r="H5706" s="14">
        <f t="shared" si="180"/>
        <v>59.47</v>
      </c>
    </row>
    <row r="5707" spans="1:8" ht="41.4">
      <c r="A5707" s="502" t="s">
        <v>6352</v>
      </c>
      <c r="B5707" s="504" t="s">
        <v>29743</v>
      </c>
      <c r="C5707" s="502" t="s">
        <v>83</v>
      </c>
      <c r="D5707" s="503" t="s">
        <v>33854</v>
      </c>
      <c r="F5707" t="str">
        <f t="shared" si="179"/>
        <v>96522</v>
      </c>
      <c r="H5707" s="14">
        <f t="shared" si="180"/>
        <v>211.17</v>
      </c>
    </row>
    <row r="5708" spans="1:8" ht="41.4">
      <c r="A5708" s="502" t="s">
        <v>6353</v>
      </c>
      <c r="B5708" s="504" t="s">
        <v>29744</v>
      </c>
      <c r="C5708" s="502" t="s">
        <v>83</v>
      </c>
      <c r="D5708" s="503" t="s">
        <v>33855</v>
      </c>
      <c r="F5708" t="str">
        <f t="shared" si="179"/>
        <v>96523</v>
      </c>
      <c r="H5708" s="14">
        <f t="shared" si="180"/>
        <v>139.53</v>
      </c>
    </row>
    <row r="5709" spans="1:8" ht="41.4">
      <c r="A5709" s="502" t="s">
        <v>6354</v>
      </c>
      <c r="B5709" s="504" t="s">
        <v>29745</v>
      </c>
      <c r="C5709" s="502" t="s">
        <v>83</v>
      </c>
      <c r="D5709" s="503" t="s">
        <v>33856</v>
      </c>
      <c r="F5709" t="str">
        <f t="shared" si="179"/>
        <v>96524</v>
      </c>
      <c r="H5709" s="14">
        <f t="shared" si="180"/>
        <v>221.35</v>
      </c>
    </row>
    <row r="5710" spans="1:8" ht="41.4">
      <c r="A5710" s="502" t="s">
        <v>6355</v>
      </c>
      <c r="B5710" s="504" t="s">
        <v>29746</v>
      </c>
      <c r="C5710" s="502" t="s">
        <v>83</v>
      </c>
      <c r="D5710" s="503" t="s">
        <v>33857</v>
      </c>
      <c r="F5710" t="str">
        <f t="shared" si="179"/>
        <v>96525</v>
      </c>
      <c r="H5710" s="14">
        <f t="shared" si="180"/>
        <v>78.66</v>
      </c>
    </row>
    <row r="5711" spans="1:8" ht="41.4">
      <c r="A5711" s="502" t="s">
        <v>6356</v>
      </c>
      <c r="B5711" s="504" t="s">
        <v>29747</v>
      </c>
      <c r="C5711" s="502" t="s">
        <v>83</v>
      </c>
      <c r="D5711" s="503" t="s">
        <v>33858</v>
      </c>
      <c r="F5711" t="str">
        <f t="shared" ref="F5711:F5774" si="181">TRIM(A5711)</f>
        <v>96526</v>
      </c>
      <c r="H5711" s="14">
        <f t="shared" si="180"/>
        <v>302.37</v>
      </c>
    </row>
    <row r="5712" spans="1:8" ht="41.4">
      <c r="A5712" s="502" t="s">
        <v>6357</v>
      </c>
      <c r="B5712" s="504" t="s">
        <v>29748</v>
      </c>
      <c r="C5712" s="502" t="s">
        <v>83</v>
      </c>
      <c r="D5712" s="503" t="s">
        <v>27708</v>
      </c>
      <c r="F5712" t="str">
        <f t="shared" si="181"/>
        <v>96527</v>
      </c>
      <c r="H5712" s="14">
        <f t="shared" si="180"/>
        <v>153.46</v>
      </c>
    </row>
    <row r="5713" spans="1:8" ht="41.4">
      <c r="A5713" s="502" t="s">
        <v>6358</v>
      </c>
      <c r="B5713" s="504" t="s">
        <v>29749</v>
      </c>
      <c r="C5713" s="502" t="s">
        <v>73</v>
      </c>
      <c r="D5713" s="503" t="s">
        <v>33859</v>
      </c>
      <c r="F5713" t="str">
        <f t="shared" si="181"/>
        <v>96528</v>
      </c>
      <c r="H5713" s="14">
        <f t="shared" si="180"/>
        <v>220.4</v>
      </c>
    </row>
    <row r="5714" spans="1:8" ht="41.4">
      <c r="A5714" s="502" t="s">
        <v>13694</v>
      </c>
      <c r="B5714" s="504" t="s">
        <v>13695</v>
      </c>
      <c r="C5714" s="502" t="s">
        <v>83</v>
      </c>
      <c r="D5714" s="503" t="s">
        <v>7231</v>
      </c>
      <c r="F5714" t="str">
        <f t="shared" si="181"/>
        <v>101114</v>
      </c>
      <c r="H5714" s="14">
        <f t="shared" si="180"/>
        <v>6.44</v>
      </c>
    </row>
    <row r="5715" spans="1:8" ht="41.4">
      <c r="A5715" s="502" t="s">
        <v>13696</v>
      </c>
      <c r="B5715" s="504" t="s">
        <v>13697</v>
      </c>
      <c r="C5715" s="502" t="s">
        <v>83</v>
      </c>
      <c r="D5715" s="503" t="s">
        <v>4110</v>
      </c>
      <c r="F5715" t="str">
        <f t="shared" si="181"/>
        <v>101115</v>
      </c>
      <c r="H5715" s="14">
        <f t="shared" si="180"/>
        <v>5.34</v>
      </c>
    </row>
    <row r="5716" spans="1:8" ht="41.4">
      <c r="A5716" s="502" t="s">
        <v>13698</v>
      </c>
      <c r="B5716" s="504" t="s">
        <v>13699</v>
      </c>
      <c r="C5716" s="502" t="s">
        <v>83</v>
      </c>
      <c r="D5716" s="503" t="s">
        <v>7295</v>
      </c>
      <c r="F5716" t="str">
        <f t="shared" si="181"/>
        <v>101116</v>
      </c>
      <c r="H5716" s="14">
        <f t="shared" si="180"/>
        <v>3.32</v>
      </c>
    </row>
    <row r="5717" spans="1:8" ht="41.4">
      <c r="A5717" s="502" t="s">
        <v>13700</v>
      </c>
      <c r="B5717" s="504" t="s">
        <v>13701</v>
      </c>
      <c r="C5717" s="502" t="s">
        <v>83</v>
      </c>
      <c r="D5717" s="503" t="s">
        <v>7361</v>
      </c>
      <c r="F5717" t="str">
        <f t="shared" si="181"/>
        <v>101117</v>
      </c>
      <c r="H5717" s="14">
        <f t="shared" si="180"/>
        <v>4.58</v>
      </c>
    </row>
    <row r="5718" spans="1:8" ht="41.4">
      <c r="A5718" s="502" t="s">
        <v>13702</v>
      </c>
      <c r="B5718" s="504" t="s">
        <v>13703</v>
      </c>
      <c r="C5718" s="502" t="s">
        <v>83</v>
      </c>
      <c r="D5718" s="503" t="s">
        <v>4758</v>
      </c>
      <c r="F5718" t="str">
        <f t="shared" si="181"/>
        <v>101118</v>
      </c>
      <c r="H5718" s="14">
        <f t="shared" si="180"/>
        <v>5.52</v>
      </c>
    </row>
    <row r="5719" spans="1:8" ht="41.4">
      <c r="A5719" s="502" t="s">
        <v>13704</v>
      </c>
      <c r="B5719" s="504" t="s">
        <v>13705</v>
      </c>
      <c r="C5719" s="502" t="s">
        <v>83</v>
      </c>
      <c r="D5719" s="503" t="s">
        <v>33860</v>
      </c>
      <c r="F5719" t="str">
        <f t="shared" si="181"/>
        <v>101119</v>
      </c>
      <c r="H5719" s="14">
        <f t="shared" si="180"/>
        <v>12.29</v>
      </c>
    </row>
    <row r="5720" spans="1:8" ht="41.4">
      <c r="A5720" s="502" t="s">
        <v>13706</v>
      </c>
      <c r="B5720" s="504" t="s">
        <v>13707</v>
      </c>
      <c r="C5720" s="502" t="s">
        <v>83</v>
      </c>
      <c r="D5720" s="503" t="s">
        <v>4732</v>
      </c>
      <c r="F5720" t="str">
        <f t="shared" si="181"/>
        <v>101120</v>
      </c>
      <c r="H5720" s="14">
        <f t="shared" si="180"/>
        <v>10.23</v>
      </c>
    </row>
    <row r="5721" spans="1:8" ht="41.4">
      <c r="A5721" s="502" t="s">
        <v>13708</v>
      </c>
      <c r="B5721" s="504" t="s">
        <v>13709</v>
      </c>
      <c r="C5721" s="502" t="s">
        <v>83</v>
      </c>
      <c r="D5721" s="503" t="s">
        <v>4084</v>
      </c>
      <c r="F5721" t="str">
        <f t="shared" si="181"/>
        <v>101121</v>
      </c>
      <c r="H5721" s="14">
        <f t="shared" si="180"/>
        <v>6.37</v>
      </c>
    </row>
    <row r="5722" spans="1:8" ht="41.4">
      <c r="A5722" s="502" t="s">
        <v>13710</v>
      </c>
      <c r="B5722" s="504" t="s">
        <v>13711</v>
      </c>
      <c r="C5722" s="502" t="s">
        <v>83</v>
      </c>
      <c r="D5722" s="503" t="s">
        <v>5383</v>
      </c>
      <c r="F5722" t="str">
        <f t="shared" si="181"/>
        <v>101122</v>
      </c>
      <c r="H5722" s="14">
        <f t="shared" si="180"/>
        <v>8.75</v>
      </c>
    </row>
    <row r="5723" spans="1:8" ht="41.4">
      <c r="A5723" s="502" t="s">
        <v>13712</v>
      </c>
      <c r="B5723" s="504" t="s">
        <v>13713</v>
      </c>
      <c r="C5723" s="502" t="s">
        <v>83</v>
      </c>
      <c r="D5723" s="503" t="s">
        <v>16444</v>
      </c>
      <c r="F5723" t="str">
        <f t="shared" si="181"/>
        <v>101123</v>
      </c>
      <c r="H5723" s="14">
        <f t="shared" si="180"/>
        <v>10.54</v>
      </c>
    </row>
    <row r="5724" spans="1:8" ht="41.4">
      <c r="A5724" s="502" t="s">
        <v>13714</v>
      </c>
      <c r="B5724" s="504" t="s">
        <v>13715</v>
      </c>
      <c r="C5724" s="502" t="s">
        <v>83</v>
      </c>
      <c r="D5724" s="503" t="s">
        <v>33861</v>
      </c>
      <c r="F5724" t="str">
        <f t="shared" si="181"/>
        <v>101124</v>
      </c>
      <c r="H5724" s="14">
        <f t="shared" si="180"/>
        <v>20.89</v>
      </c>
    </row>
    <row r="5725" spans="1:8" ht="41.4">
      <c r="A5725" s="502" t="s">
        <v>13716</v>
      </c>
      <c r="B5725" s="504" t="s">
        <v>13717</v>
      </c>
      <c r="C5725" s="502" t="s">
        <v>83</v>
      </c>
      <c r="D5725" s="503" t="s">
        <v>32186</v>
      </c>
      <c r="F5725" t="str">
        <f t="shared" si="181"/>
        <v>101125</v>
      </c>
      <c r="H5725" s="14">
        <f t="shared" si="180"/>
        <v>19.8</v>
      </c>
    </row>
    <row r="5726" spans="1:8" ht="41.4">
      <c r="A5726" s="502" t="s">
        <v>13718</v>
      </c>
      <c r="B5726" s="504" t="s">
        <v>13719</v>
      </c>
      <c r="C5726" s="502" t="s">
        <v>83</v>
      </c>
      <c r="D5726" s="503" t="s">
        <v>4960</v>
      </c>
      <c r="F5726" t="str">
        <f t="shared" si="181"/>
        <v>101126</v>
      </c>
      <c r="H5726" s="14">
        <f t="shared" si="180"/>
        <v>17.760000000000002</v>
      </c>
    </row>
    <row r="5727" spans="1:8" ht="41.4">
      <c r="A5727" s="502" t="s">
        <v>13720</v>
      </c>
      <c r="B5727" s="504" t="s">
        <v>13721</v>
      </c>
      <c r="C5727" s="502" t="s">
        <v>83</v>
      </c>
      <c r="D5727" s="503" t="s">
        <v>33862</v>
      </c>
      <c r="F5727" t="str">
        <f t="shared" si="181"/>
        <v>101127</v>
      </c>
      <c r="H5727" s="14">
        <f t="shared" si="180"/>
        <v>19.04</v>
      </c>
    </row>
    <row r="5728" spans="1:8" ht="41.4">
      <c r="A5728" s="502" t="s">
        <v>13722</v>
      </c>
      <c r="B5728" s="504" t="s">
        <v>13723</v>
      </c>
      <c r="C5728" s="502" t="s">
        <v>83</v>
      </c>
      <c r="D5728" s="503" t="s">
        <v>9475</v>
      </c>
      <c r="F5728" t="str">
        <f t="shared" si="181"/>
        <v>101128</v>
      </c>
      <c r="H5728" s="14">
        <f t="shared" si="180"/>
        <v>19.97</v>
      </c>
    </row>
    <row r="5729" spans="1:8" ht="41.4">
      <c r="A5729" s="502" t="s">
        <v>13724</v>
      </c>
      <c r="B5729" s="504" t="s">
        <v>13725</v>
      </c>
      <c r="C5729" s="502" t="s">
        <v>83</v>
      </c>
      <c r="D5729" s="503" t="s">
        <v>33863</v>
      </c>
      <c r="F5729" t="str">
        <f t="shared" si="181"/>
        <v>101129</v>
      </c>
      <c r="H5729" s="14">
        <f t="shared" si="180"/>
        <v>27.32</v>
      </c>
    </row>
    <row r="5730" spans="1:8" ht="41.4">
      <c r="A5730" s="502" t="s">
        <v>13726</v>
      </c>
      <c r="B5730" s="504" t="s">
        <v>13727</v>
      </c>
      <c r="C5730" s="502" t="s">
        <v>83</v>
      </c>
      <c r="D5730" s="503" t="s">
        <v>9863</v>
      </c>
      <c r="F5730" t="str">
        <f t="shared" si="181"/>
        <v>101130</v>
      </c>
      <c r="H5730" s="14">
        <f t="shared" si="180"/>
        <v>25.26</v>
      </c>
    </row>
    <row r="5731" spans="1:8" ht="41.4">
      <c r="A5731" s="502" t="s">
        <v>13728</v>
      </c>
      <c r="B5731" s="504" t="s">
        <v>13729</v>
      </c>
      <c r="C5731" s="502" t="s">
        <v>83</v>
      </c>
      <c r="D5731" s="503" t="s">
        <v>10309</v>
      </c>
      <c r="F5731" t="str">
        <f t="shared" si="181"/>
        <v>101131</v>
      </c>
      <c r="H5731" s="14">
        <f t="shared" si="180"/>
        <v>21.4</v>
      </c>
    </row>
    <row r="5732" spans="1:8" ht="41.4">
      <c r="A5732" s="502" t="s">
        <v>13730</v>
      </c>
      <c r="B5732" s="504" t="s">
        <v>13731</v>
      </c>
      <c r="C5732" s="502" t="s">
        <v>83</v>
      </c>
      <c r="D5732" s="503" t="s">
        <v>10046</v>
      </c>
      <c r="F5732" t="str">
        <f t="shared" si="181"/>
        <v>101132</v>
      </c>
      <c r="H5732" s="14">
        <f t="shared" si="180"/>
        <v>23.79</v>
      </c>
    </row>
    <row r="5733" spans="1:8" ht="41.4">
      <c r="A5733" s="502" t="s">
        <v>13732</v>
      </c>
      <c r="B5733" s="504" t="s">
        <v>13733</v>
      </c>
      <c r="C5733" s="502" t="s">
        <v>83</v>
      </c>
      <c r="D5733" s="503" t="s">
        <v>33864</v>
      </c>
      <c r="F5733" t="str">
        <f t="shared" si="181"/>
        <v>101133</v>
      </c>
      <c r="H5733" s="14">
        <f t="shared" si="180"/>
        <v>25.57</v>
      </c>
    </row>
    <row r="5734" spans="1:8" ht="55.2">
      <c r="A5734" s="502" t="s">
        <v>13734</v>
      </c>
      <c r="B5734" s="504" t="s">
        <v>13735</v>
      </c>
      <c r="C5734" s="502" t="s">
        <v>83</v>
      </c>
      <c r="D5734" s="503" t="s">
        <v>26334</v>
      </c>
      <c r="F5734" t="str">
        <f t="shared" si="181"/>
        <v>101134</v>
      </c>
      <c r="H5734" s="14">
        <f t="shared" si="180"/>
        <v>21.79</v>
      </c>
    </row>
    <row r="5735" spans="1:8" ht="55.2">
      <c r="A5735" s="502" t="s">
        <v>13736</v>
      </c>
      <c r="B5735" s="504" t="s">
        <v>13737</v>
      </c>
      <c r="C5735" s="502" t="s">
        <v>83</v>
      </c>
      <c r="D5735" s="503" t="s">
        <v>10177</v>
      </c>
      <c r="F5735" t="str">
        <f t="shared" si="181"/>
        <v>101135</v>
      </c>
      <c r="H5735" s="14">
        <f t="shared" si="180"/>
        <v>20.69</v>
      </c>
    </row>
    <row r="5736" spans="1:8" ht="55.2">
      <c r="A5736" s="502" t="s">
        <v>13738</v>
      </c>
      <c r="B5736" s="504" t="s">
        <v>13739</v>
      </c>
      <c r="C5736" s="502" t="s">
        <v>83</v>
      </c>
      <c r="D5736" s="503" t="s">
        <v>7341</v>
      </c>
      <c r="F5736" t="str">
        <f t="shared" si="181"/>
        <v>101136</v>
      </c>
      <c r="H5736" s="14">
        <f t="shared" si="180"/>
        <v>18.670000000000002</v>
      </c>
    </row>
    <row r="5737" spans="1:8" ht="55.2">
      <c r="A5737" s="502" t="s">
        <v>13740</v>
      </c>
      <c r="B5737" s="504" t="s">
        <v>13741</v>
      </c>
      <c r="C5737" s="502" t="s">
        <v>83</v>
      </c>
      <c r="D5737" s="503" t="s">
        <v>7959</v>
      </c>
      <c r="F5737" t="str">
        <f t="shared" si="181"/>
        <v>101137</v>
      </c>
      <c r="H5737" s="14">
        <f t="shared" si="180"/>
        <v>19.93</v>
      </c>
    </row>
    <row r="5738" spans="1:8" ht="55.2">
      <c r="A5738" s="502" t="s">
        <v>13742</v>
      </c>
      <c r="B5738" s="504" t="s">
        <v>13743</v>
      </c>
      <c r="C5738" s="502" t="s">
        <v>83</v>
      </c>
      <c r="D5738" s="503" t="s">
        <v>7269</v>
      </c>
      <c r="F5738" t="str">
        <f t="shared" si="181"/>
        <v>101138</v>
      </c>
      <c r="H5738" s="14">
        <f t="shared" si="180"/>
        <v>20.87</v>
      </c>
    </row>
    <row r="5739" spans="1:8" ht="69">
      <c r="A5739" s="502" t="s">
        <v>13744</v>
      </c>
      <c r="B5739" s="504" t="s">
        <v>13745</v>
      </c>
      <c r="C5739" s="502" t="s">
        <v>83</v>
      </c>
      <c r="D5739" s="503" t="s">
        <v>10195</v>
      </c>
      <c r="F5739" t="str">
        <f t="shared" si="181"/>
        <v>101139</v>
      </c>
      <c r="H5739" s="14">
        <f t="shared" si="180"/>
        <v>28.25</v>
      </c>
    </row>
    <row r="5740" spans="1:8" ht="69">
      <c r="A5740" s="502" t="s">
        <v>13746</v>
      </c>
      <c r="B5740" s="504" t="s">
        <v>13747</v>
      </c>
      <c r="C5740" s="502" t="s">
        <v>83</v>
      </c>
      <c r="D5740" s="503" t="s">
        <v>16567</v>
      </c>
      <c r="F5740" t="str">
        <f t="shared" si="181"/>
        <v>101140</v>
      </c>
      <c r="H5740" s="14">
        <f t="shared" si="180"/>
        <v>26.2</v>
      </c>
    </row>
    <row r="5741" spans="1:8" ht="69">
      <c r="A5741" s="502" t="s">
        <v>13748</v>
      </c>
      <c r="B5741" s="504" t="s">
        <v>13749</v>
      </c>
      <c r="C5741" s="502" t="s">
        <v>83</v>
      </c>
      <c r="D5741" s="503" t="s">
        <v>25737</v>
      </c>
      <c r="F5741" t="str">
        <f t="shared" si="181"/>
        <v>101141</v>
      </c>
      <c r="H5741" s="14">
        <f t="shared" si="180"/>
        <v>22.33</v>
      </c>
    </row>
    <row r="5742" spans="1:8" ht="69">
      <c r="A5742" s="502" t="s">
        <v>13750</v>
      </c>
      <c r="B5742" s="504" t="s">
        <v>13751</v>
      </c>
      <c r="C5742" s="502" t="s">
        <v>83</v>
      </c>
      <c r="D5742" s="503" t="s">
        <v>33865</v>
      </c>
      <c r="F5742" t="str">
        <f t="shared" si="181"/>
        <v>101142</v>
      </c>
      <c r="H5742" s="14">
        <f t="shared" si="180"/>
        <v>24.72</v>
      </c>
    </row>
    <row r="5743" spans="1:8" ht="69">
      <c r="A5743" s="524" t="s">
        <v>13752</v>
      </c>
      <c r="B5743" s="504" t="s">
        <v>13753</v>
      </c>
      <c r="C5743" s="502" t="s">
        <v>83</v>
      </c>
      <c r="D5743" s="503" t="s">
        <v>33866</v>
      </c>
      <c r="F5743" t="str">
        <f t="shared" si="181"/>
        <v>101143</v>
      </c>
      <c r="H5743" s="14">
        <f t="shared" si="180"/>
        <v>26.5</v>
      </c>
    </row>
    <row r="5744" spans="1:8" ht="55.2">
      <c r="A5744" s="502" t="s">
        <v>13754</v>
      </c>
      <c r="B5744" s="504" t="s">
        <v>13755</v>
      </c>
      <c r="C5744" s="502" t="s">
        <v>83</v>
      </c>
      <c r="D5744" s="503" t="s">
        <v>9498</v>
      </c>
      <c r="F5744" t="str">
        <f t="shared" si="181"/>
        <v>101144</v>
      </c>
      <c r="H5744" s="14">
        <f t="shared" si="180"/>
        <v>21.92</v>
      </c>
    </row>
    <row r="5745" spans="1:8" ht="55.2">
      <c r="A5745" s="502" t="s">
        <v>13756</v>
      </c>
      <c r="B5745" s="504" t="s">
        <v>13757</v>
      </c>
      <c r="C5745" s="502" t="s">
        <v>83</v>
      </c>
      <c r="D5745" s="503" t="s">
        <v>27471</v>
      </c>
      <c r="F5745" t="str">
        <f t="shared" si="181"/>
        <v>101145</v>
      </c>
      <c r="H5745" s="14">
        <f t="shared" si="180"/>
        <v>20.83</v>
      </c>
    </row>
    <row r="5746" spans="1:8" ht="55.2">
      <c r="A5746" s="502" t="s">
        <v>13758</v>
      </c>
      <c r="B5746" s="504" t="s">
        <v>13759</v>
      </c>
      <c r="C5746" s="502" t="s">
        <v>83</v>
      </c>
      <c r="D5746" s="503" t="s">
        <v>7631</v>
      </c>
      <c r="F5746" t="str">
        <f t="shared" si="181"/>
        <v>101146</v>
      </c>
      <c r="H5746" s="14">
        <f t="shared" si="180"/>
        <v>18.8</v>
      </c>
    </row>
    <row r="5747" spans="1:8" ht="55.2">
      <c r="A5747" s="502" t="s">
        <v>13760</v>
      </c>
      <c r="B5747" s="504" t="s">
        <v>13761</v>
      </c>
      <c r="C5747" s="502" t="s">
        <v>83</v>
      </c>
      <c r="D5747" s="503" t="s">
        <v>9480</v>
      </c>
      <c r="F5747" t="str">
        <f t="shared" si="181"/>
        <v>101147</v>
      </c>
      <c r="H5747" s="14">
        <f t="shared" si="180"/>
        <v>20.07</v>
      </c>
    </row>
    <row r="5748" spans="1:8" ht="55.2">
      <c r="A5748" s="502" t="s">
        <v>13762</v>
      </c>
      <c r="B5748" s="504" t="s">
        <v>13763</v>
      </c>
      <c r="C5748" s="502" t="s">
        <v>83</v>
      </c>
      <c r="D5748" s="503" t="s">
        <v>29757</v>
      </c>
      <c r="F5748" t="str">
        <f t="shared" si="181"/>
        <v>101148</v>
      </c>
      <c r="H5748" s="14">
        <f t="shared" si="180"/>
        <v>21</v>
      </c>
    </row>
    <row r="5749" spans="1:8" ht="69">
      <c r="A5749" s="502" t="s">
        <v>13764</v>
      </c>
      <c r="B5749" s="504" t="s">
        <v>13765</v>
      </c>
      <c r="C5749" s="502" t="s">
        <v>83</v>
      </c>
      <c r="D5749" s="503" t="s">
        <v>29341</v>
      </c>
      <c r="F5749" t="str">
        <f t="shared" si="181"/>
        <v>101149</v>
      </c>
      <c r="H5749" s="14">
        <f t="shared" si="180"/>
        <v>28.4</v>
      </c>
    </row>
    <row r="5750" spans="1:8" ht="69">
      <c r="A5750" s="502" t="s">
        <v>13766</v>
      </c>
      <c r="B5750" s="504" t="s">
        <v>13767</v>
      </c>
      <c r="C5750" s="502" t="s">
        <v>83</v>
      </c>
      <c r="D5750" s="503" t="s">
        <v>26235</v>
      </c>
      <c r="F5750" t="str">
        <f t="shared" si="181"/>
        <v>101150</v>
      </c>
      <c r="H5750" s="14">
        <f t="shared" si="180"/>
        <v>26.34</v>
      </c>
    </row>
    <row r="5751" spans="1:8" ht="69">
      <c r="A5751" s="502" t="s">
        <v>13768</v>
      </c>
      <c r="B5751" s="504" t="s">
        <v>13769</v>
      </c>
      <c r="C5751" s="502" t="s">
        <v>83</v>
      </c>
      <c r="D5751" s="503" t="s">
        <v>16575</v>
      </c>
      <c r="F5751" t="str">
        <f t="shared" si="181"/>
        <v>101151</v>
      </c>
      <c r="H5751" s="14">
        <f t="shared" si="180"/>
        <v>22.48</v>
      </c>
    </row>
    <row r="5752" spans="1:8" ht="69">
      <c r="A5752" s="502" t="s">
        <v>13770</v>
      </c>
      <c r="B5752" s="504" t="s">
        <v>13771</v>
      </c>
      <c r="C5752" s="502" t="s">
        <v>83</v>
      </c>
      <c r="D5752" s="503" t="s">
        <v>33867</v>
      </c>
      <c r="F5752" t="str">
        <f t="shared" si="181"/>
        <v>101152</v>
      </c>
      <c r="H5752" s="14">
        <f t="shared" si="180"/>
        <v>24.86</v>
      </c>
    </row>
    <row r="5753" spans="1:8" ht="69">
      <c r="A5753" s="502" t="s">
        <v>13772</v>
      </c>
      <c r="B5753" s="504" t="s">
        <v>13773</v>
      </c>
      <c r="C5753" s="502" t="s">
        <v>83</v>
      </c>
      <c r="D5753" s="503" t="s">
        <v>7238</v>
      </c>
      <c r="F5753" t="str">
        <f t="shared" si="181"/>
        <v>101153</v>
      </c>
      <c r="H5753" s="14">
        <f t="shared" si="180"/>
        <v>26.65</v>
      </c>
    </row>
    <row r="5754" spans="1:8" ht="69">
      <c r="A5754" s="502" t="s">
        <v>13774</v>
      </c>
      <c r="B5754" s="504" t="s">
        <v>26323</v>
      </c>
      <c r="C5754" s="502" t="s">
        <v>83</v>
      </c>
      <c r="D5754" s="503" t="s">
        <v>9535</v>
      </c>
      <c r="F5754" t="str">
        <f t="shared" si="181"/>
        <v>101206</v>
      </c>
      <c r="H5754" s="14">
        <f t="shared" si="180"/>
        <v>17.36</v>
      </c>
    </row>
    <row r="5755" spans="1:8" ht="69">
      <c r="A5755" s="502" t="s">
        <v>13775</v>
      </c>
      <c r="B5755" s="504" t="s">
        <v>26324</v>
      </c>
      <c r="C5755" s="502" t="s">
        <v>83</v>
      </c>
      <c r="D5755" s="503" t="s">
        <v>18454</v>
      </c>
      <c r="F5755" t="str">
        <f t="shared" si="181"/>
        <v>101207</v>
      </c>
      <c r="H5755" s="14">
        <f t="shared" si="180"/>
        <v>14.95</v>
      </c>
    </row>
    <row r="5756" spans="1:8" ht="69">
      <c r="A5756" s="502" t="s">
        <v>13776</v>
      </c>
      <c r="B5756" s="504" t="s">
        <v>26325</v>
      </c>
      <c r="C5756" s="502" t="s">
        <v>83</v>
      </c>
      <c r="D5756" s="503" t="s">
        <v>10013</v>
      </c>
      <c r="F5756" t="str">
        <f t="shared" si="181"/>
        <v>101208</v>
      </c>
      <c r="H5756" s="14">
        <f t="shared" si="180"/>
        <v>14.64</v>
      </c>
    </row>
    <row r="5757" spans="1:8" ht="69">
      <c r="A5757" s="502" t="s">
        <v>13777</v>
      </c>
      <c r="B5757" s="504" t="s">
        <v>26326</v>
      </c>
      <c r="C5757" s="502" t="s">
        <v>83</v>
      </c>
      <c r="D5757" s="503" t="s">
        <v>16170</v>
      </c>
      <c r="F5757" t="str">
        <f t="shared" si="181"/>
        <v>101209</v>
      </c>
      <c r="H5757" s="14">
        <f t="shared" si="180"/>
        <v>13.59</v>
      </c>
    </row>
    <row r="5758" spans="1:8" ht="69">
      <c r="A5758" s="502" t="s">
        <v>13778</v>
      </c>
      <c r="B5758" s="504" t="s">
        <v>26327</v>
      </c>
      <c r="C5758" s="502" t="s">
        <v>83</v>
      </c>
      <c r="D5758" s="503" t="s">
        <v>28496</v>
      </c>
      <c r="F5758" t="str">
        <f t="shared" si="181"/>
        <v>101210</v>
      </c>
      <c r="H5758" s="14">
        <f t="shared" si="180"/>
        <v>24.17</v>
      </c>
    </row>
    <row r="5759" spans="1:8" ht="69">
      <c r="A5759" s="502" t="s">
        <v>13779</v>
      </c>
      <c r="B5759" s="504" t="s">
        <v>26328</v>
      </c>
      <c r="C5759" s="502" t="s">
        <v>83</v>
      </c>
      <c r="D5759" s="503" t="s">
        <v>9761</v>
      </c>
      <c r="F5759" t="str">
        <f t="shared" si="181"/>
        <v>101211</v>
      </c>
      <c r="H5759" s="14">
        <f t="shared" si="180"/>
        <v>25.93</v>
      </c>
    </row>
    <row r="5760" spans="1:8" ht="69">
      <c r="A5760" s="502" t="s">
        <v>13780</v>
      </c>
      <c r="B5760" s="504" t="s">
        <v>26329</v>
      </c>
      <c r="C5760" s="502" t="s">
        <v>83</v>
      </c>
      <c r="D5760" s="503" t="s">
        <v>25657</v>
      </c>
      <c r="F5760" t="str">
        <f t="shared" si="181"/>
        <v>101212</v>
      </c>
      <c r="H5760" s="14">
        <f t="shared" si="180"/>
        <v>30.26</v>
      </c>
    </row>
    <row r="5761" spans="1:8" ht="69">
      <c r="A5761" s="502" t="s">
        <v>13781</v>
      </c>
      <c r="B5761" s="504" t="s">
        <v>26330</v>
      </c>
      <c r="C5761" s="502" t="s">
        <v>83</v>
      </c>
      <c r="D5761" s="503" t="s">
        <v>33868</v>
      </c>
      <c r="F5761" t="str">
        <f t="shared" si="181"/>
        <v>101213</v>
      </c>
      <c r="H5761" s="14">
        <f t="shared" si="180"/>
        <v>33.86</v>
      </c>
    </row>
    <row r="5762" spans="1:8" ht="69">
      <c r="A5762" s="502" t="s">
        <v>13782</v>
      </c>
      <c r="B5762" s="504" t="s">
        <v>26331</v>
      </c>
      <c r="C5762" s="502" t="s">
        <v>83</v>
      </c>
      <c r="D5762" s="503" t="s">
        <v>33869</v>
      </c>
      <c r="F5762" t="str">
        <f t="shared" si="181"/>
        <v>101214</v>
      </c>
      <c r="H5762" s="14">
        <f t="shared" si="180"/>
        <v>40.869999999999997</v>
      </c>
    </row>
    <row r="5763" spans="1:8" ht="69">
      <c r="A5763" s="502" t="s">
        <v>13783</v>
      </c>
      <c r="B5763" s="504" t="s">
        <v>26332</v>
      </c>
      <c r="C5763" s="502" t="s">
        <v>83</v>
      </c>
      <c r="D5763" s="503" t="s">
        <v>10016</v>
      </c>
      <c r="F5763" t="str">
        <f t="shared" si="181"/>
        <v>101215</v>
      </c>
      <c r="H5763" s="14">
        <f t="shared" si="180"/>
        <v>23.24</v>
      </c>
    </row>
    <row r="5764" spans="1:8" ht="69">
      <c r="A5764" s="502" t="s">
        <v>13785</v>
      </c>
      <c r="B5764" s="504" t="s">
        <v>26333</v>
      </c>
      <c r="C5764" s="502" t="s">
        <v>83</v>
      </c>
      <c r="D5764" s="503" t="s">
        <v>10203</v>
      </c>
      <c r="F5764" t="str">
        <f t="shared" si="181"/>
        <v>101216</v>
      </c>
      <c r="H5764" s="14">
        <f t="shared" si="180"/>
        <v>24.33</v>
      </c>
    </row>
    <row r="5765" spans="1:8" ht="69">
      <c r="A5765" s="502" t="s">
        <v>13786</v>
      </c>
      <c r="B5765" s="504" t="s">
        <v>26335</v>
      </c>
      <c r="C5765" s="502" t="s">
        <v>83</v>
      </c>
      <c r="D5765" s="503" t="s">
        <v>14329</v>
      </c>
      <c r="F5765" t="str">
        <f t="shared" si="181"/>
        <v>101217</v>
      </c>
      <c r="H5765" s="14">
        <f t="shared" ref="H5765:H5828" si="182">ROUND(D5765*(1+$H$1),2)</f>
        <v>28.36</v>
      </c>
    </row>
    <row r="5766" spans="1:8" ht="69">
      <c r="A5766" s="502" t="s">
        <v>13787</v>
      </c>
      <c r="B5766" s="504" t="s">
        <v>26336</v>
      </c>
      <c r="C5766" s="502" t="s">
        <v>83</v>
      </c>
      <c r="D5766" s="503" t="s">
        <v>33870</v>
      </c>
      <c r="F5766" t="str">
        <f t="shared" si="181"/>
        <v>101218</v>
      </c>
      <c r="H5766" s="14">
        <f t="shared" si="182"/>
        <v>29.98</v>
      </c>
    </row>
    <row r="5767" spans="1:8" ht="69">
      <c r="A5767" s="502" t="s">
        <v>13788</v>
      </c>
      <c r="B5767" s="504" t="s">
        <v>26337</v>
      </c>
      <c r="C5767" s="502" t="s">
        <v>83</v>
      </c>
      <c r="D5767" s="503" t="s">
        <v>18484</v>
      </c>
      <c r="F5767" t="str">
        <f t="shared" si="181"/>
        <v>101219</v>
      </c>
      <c r="H5767" s="14">
        <f t="shared" si="182"/>
        <v>36.31</v>
      </c>
    </row>
    <row r="5768" spans="1:8" ht="69">
      <c r="A5768" s="502" t="s">
        <v>13789</v>
      </c>
      <c r="B5768" s="504" t="s">
        <v>26338</v>
      </c>
      <c r="C5768" s="502" t="s">
        <v>83</v>
      </c>
      <c r="D5768" s="503" t="s">
        <v>15372</v>
      </c>
      <c r="F5768" t="str">
        <f t="shared" si="181"/>
        <v>101220</v>
      </c>
      <c r="H5768" s="14">
        <f t="shared" si="182"/>
        <v>22.8</v>
      </c>
    </row>
    <row r="5769" spans="1:8" ht="69">
      <c r="A5769" s="502" t="s">
        <v>13790</v>
      </c>
      <c r="B5769" s="504" t="s">
        <v>26339</v>
      </c>
      <c r="C5769" s="502" t="s">
        <v>83</v>
      </c>
      <c r="D5769" s="503" t="s">
        <v>10247</v>
      </c>
      <c r="F5769" t="str">
        <f t="shared" si="181"/>
        <v>101221</v>
      </c>
      <c r="H5769" s="14">
        <f t="shared" si="182"/>
        <v>24.08</v>
      </c>
    </row>
    <row r="5770" spans="1:8" ht="69">
      <c r="A5770" s="502" t="s">
        <v>13791</v>
      </c>
      <c r="B5770" s="504" t="s">
        <v>26340</v>
      </c>
      <c r="C5770" s="502" t="s">
        <v>83</v>
      </c>
      <c r="D5770" s="503" t="s">
        <v>10624</v>
      </c>
      <c r="F5770" t="str">
        <f t="shared" si="181"/>
        <v>101222</v>
      </c>
      <c r="H5770" s="14">
        <f t="shared" si="182"/>
        <v>27.98</v>
      </c>
    </row>
    <row r="5771" spans="1:8" ht="69">
      <c r="A5771" s="502" t="s">
        <v>13792</v>
      </c>
      <c r="B5771" s="504" t="s">
        <v>26341</v>
      </c>
      <c r="C5771" s="502" t="s">
        <v>83</v>
      </c>
      <c r="D5771" s="503" t="s">
        <v>25009</v>
      </c>
      <c r="F5771" t="str">
        <f t="shared" si="181"/>
        <v>101223</v>
      </c>
      <c r="H5771" s="14">
        <f t="shared" si="182"/>
        <v>31.17</v>
      </c>
    </row>
    <row r="5772" spans="1:8" ht="69">
      <c r="A5772" s="502" t="s">
        <v>13793</v>
      </c>
      <c r="B5772" s="504" t="s">
        <v>26342</v>
      </c>
      <c r="C5772" s="502" t="s">
        <v>83</v>
      </c>
      <c r="D5772" s="503" t="s">
        <v>10345</v>
      </c>
      <c r="F5772" t="str">
        <f t="shared" si="181"/>
        <v>101224</v>
      </c>
      <c r="H5772" s="14">
        <f t="shared" si="182"/>
        <v>39.06</v>
      </c>
    </row>
    <row r="5773" spans="1:8" ht="69">
      <c r="A5773" s="502" t="s">
        <v>13794</v>
      </c>
      <c r="B5773" s="504" t="s">
        <v>26343</v>
      </c>
      <c r="C5773" s="502" t="s">
        <v>83</v>
      </c>
      <c r="D5773" s="503" t="s">
        <v>10732</v>
      </c>
      <c r="F5773" t="str">
        <f t="shared" si="181"/>
        <v>101225</v>
      </c>
      <c r="H5773" s="14">
        <f t="shared" si="182"/>
        <v>20.93</v>
      </c>
    </row>
    <row r="5774" spans="1:8" ht="69">
      <c r="A5774" s="502" t="s">
        <v>13795</v>
      </c>
      <c r="B5774" s="504" t="s">
        <v>26344</v>
      </c>
      <c r="C5774" s="502" t="s">
        <v>83</v>
      </c>
      <c r="D5774" s="503" t="s">
        <v>33240</v>
      </c>
      <c r="F5774" t="str">
        <f t="shared" si="181"/>
        <v>101226</v>
      </c>
      <c r="H5774" s="14">
        <f t="shared" si="182"/>
        <v>22.04</v>
      </c>
    </row>
    <row r="5775" spans="1:8" ht="69">
      <c r="A5775" s="502" t="s">
        <v>13796</v>
      </c>
      <c r="B5775" s="504" t="s">
        <v>26346</v>
      </c>
      <c r="C5775" s="502" t="s">
        <v>83</v>
      </c>
      <c r="D5775" s="503" t="s">
        <v>28692</v>
      </c>
      <c r="F5775" t="str">
        <f t="shared" ref="F5775:F5838" si="183">TRIM(A5775)</f>
        <v>101227</v>
      </c>
      <c r="H5775" s="14">
        <f t="shared" si="182"/>
        <v>25.56</v>
      </c>
    </row>
    <row r="5776" spans="1:8" ht="69">
      <c r="A5776" s="502" t="s">
        <v>13797</v>
      </c>
      <c r="B5776" s="504" t="s">
        <v>26347</v>
      </c>
      <c r="C5776" s="502" t="s">
        <v>83</v>
      </c>
      <c r="D5776" s="503" t="s">
        <v>28813</v>
      </c>
      <c r="F5776" t="str">
        <f t="shared" si="183"/>
        <v>101228</v>
      </c>
      <c r="H5776" s="14">
        <f t="shared" si="182"/>
        <v>27.22</v>
      </c>
    </row>
    <row r="5777" spans="1:8" ht="69">
      <c r="A5777" s="502" t="s">
        <v>13798</v>
      </c>
      <c r="B5777" s="504" t="s">
        <v>26349</v>
      </c>
      <c r="C5777" s="502" t="s">
        <v>83</v>
      </c>
      <c r="D5777" s="503" t="s">
        <v>32191</v>
      </c>
      <c r="F5777" t="str">
        <f t="shared" si="183"/>
        <v>101229</v>
      </c>
      <c r="H5777" s="14">
        <f t="shared" si="182"/>
        <v>34.33</v>
      </c>
    </row>
    <row r="5778" spans="1:8" ht="69">
      <c r="A5778" s="502" t="s">
        <v>13799</v>
      </c>
      <c r="B5778" s="504" t="s">
        <v>26350</v>
      </c>
      <c r="C5778" s="502" t="s">
        <v>83</v>
      </c>
      <c r="D5778" s="503" t="s">
        <v>3608</v>
      </c>
      <c r="F5778" t="str">
        <f t="shared" si="183"/>
        <v>101230</v>
      </c>
      <c r="H5778" s="14">
        <f t="shared" si="182"/>
        <v>15.3</v>
      </c>
    </row>
    <row r="5779" spans="1:8" ht="69">
      <c r="A5779" s="502" t="s">
        <v>13800</v>
      </c>
      <c r="B5779" s="504" t="s">
        <v>26351</v>
      </c>
      <c r="C5779" s="502" t="s">
        <v>83</v>
      </c>
      <c r="D5779" s="503" t="s">
        <v>16471</v>
      </c>
      <c r="F5779" t="str">
        <f t="shared" si="183"/>
        <v>101231</v>
      </c>
      <c r="H5779" s="14">
        <f t="shared" si="182"/>
        <v>14.52</v>
      </c>
    </row>
    <row r="5780" spans="1:8" ht="69">
      <c r="A5780" s="502" t="s">
        <v>13801</v>
      </c>
      <c r="B5780" s="504" t="s">
        <v>26352</v>
      </c>
      <c r="C5780" s="502" t="s">
        <v>83</v>
      </c>
      <c r="D5780" s="503" t="s">
        <v>9872</v>
      </c>
      <c r="F5780" t="str">
        <f t="shared" si="183"/>
        <v>101232</v>
      </c>
      <c r="H5780" s="14">
        <f t="shared" si="182"/>
        <v>13.05</v>
      </c>
    </row>
    <row r="5781" spans="1:8" ht="69">
      <c r="A5781" s="502" t="s">
        <v>13802</v>
      </c>
      <c r="B5781" s="504" t="s">
        <v>26353</v>
      </c>
      <c r="C5781" s="502" t="s">
        <v>83</v>
      </c>
      <c r="D5781" s="503" t="s">
        <v>7322</v>
      </c>
      <c r="F5781" t="str">
        <f t="shared" si="183"/>
        <v>101233</v>
      </c>
      <c r="H5781" s="14">
        <f t="shared" si="182"/>
        <v>12.05</v>
      </c>
    </row>
    <row r="5782" spans="1:8" ht="69">
      <c r="A5782" s="502" t="s">
        <v>13803</v>
      </c>
      <c r="B5782" s="504" t="s">
        <v>26354</v>
      </c>
      <c r="C5782" s="502" t="s">
        <v>83</v>
      </c>
      <c r="D5782" s="503" t="s">
        <v>32794</v>
      </c>
      <c r="F5782" t="str">
        <f t="shared" si="183"/>
        <v>101234</v>
      </c>
      <c r="H5782" s="14">
        <f t="shared" si="182"/>
        <v>23.75</v>
      </c>
    </row>
    <row r="5783" spans="1:8" ht="69">
      <c r="A5783" s="502" t="s">
        <v>13804</v>
      </c>
      <c r="B5783" s="504" t="s">
        <v>26355</v>
      </c>
      <c r="C5783" s="502" t="s">
        <v>83</v>
      </c>
      <c r="D5783" s="503" t="s">
        <v>16148</v>
      </c>
      <c r="F5783" t="str">
        <f t="shared" si="183"/>
        <v>101235</v>
      </c>
      <c r="H5783" s="14">
        <f t="shared" si="182"/>
        <v>24.96</v>
      </c>
    </row>
    <row r="5784" spans="1:8" ht="69">
      <c r="A5784" s="502" t="s">
        <v>13805</v>
      </c>
      <c r="B5784" s="504" t="s">
        <v>26356</v>
      </c>
      <c r="C5784" s="502" t="s">
        <v>83</v>
      </c>
      <c r="D5784" s="503" t="s">
        <v>10024</v>
      </c>
      <c r="F5784" t="str">
        <f t="shared" si="183"/>
        <v>101236</v>
      </c>
      <c r="H5784" s="14">
        <f t="shared" si="182"/>
        <v>29.09</v>
      </c>
    </row>
    <row r="5785" spans="1:8" ht="69">
      <c r="A5785" s="502" t="s">
        <v>13806</v>
      </c>
      <c r="B5785" s="504" t="s">
        <v>26357</v>
      </c>
      <c r="C5785" s="502" t="s">
        <v>83</v>
      </c>
      <c r="D5785" s="503" t="s">
        <v>10197</v>
      </c>
      <c r="F5785" t="str">
        <f t="shared" si="183"/>
        <v>101237</v>
      </c>
      <c r="H5785" s="14">
        <f t="shared" si="182"/>
        <v>30.94</v>
      </c>
    </row>
    <row r="5786" spans="1:8" ht="69">
      <c r="A5786" s="502" t="s">
        <v>13807</v>
      </c>
      <c r="B5786" s="504" t="s">
        <v>26358</v>
      </c>
      <c r="C5786" s="502" t="s">
        <v>83</v>
      </c>
      <c r="D5786" s="503" t="s">
        <v>33871</v>
      </c>
      <c r="F5786" t="str">
        <f t="shared" si="183"/>
        <v>101238</v>
      </c>
      <c r="H5786" s="14">
        <f t="shared" si="182"/>
        <v>39.15</v>
      </c>
    </row>
    <row r="5787" spans="1:8" ht="69">
      <c r="A5787" s="502" t="s">
        <v>13808</v>
      </c>
      <c r="B5787" s="504" t="s">
        <v>26359</v>
      </c>
      <c r="C5787" s="502" t="s">
        <v>83</v>
      </c>
      <c r="D5787" s="503" t="s">
        <v>16145</v>
      </c>
      <c r="F5787" t="str">
        <f t="shared" si="183"/>
        <v>101239</v>
      </c>
      <c r="H5787" s="14">
        <f t="shared" si="182"/>
        <v>20.79</v>
      </c>
    </row>
    <row r="5788" spans="1:8" ht="69">
      <c r="A5788" s="502" t="s">
        <v>13809</v>
      </c>
      <c r="B5788" s="504" t="s">
        <v>26360</v>
      </c>
      <c r="C5788" s="502" t="s">
        <v>83</v>
      </c>
      <c r="D5788" s="503" t="s">
        <v>9498</v>
      </c>
      <c r="F5788" t="str">
        <f t="shared" si="183"/>
        <v>101240</v>
      </c>
      <c r="H5788" s="14">
        <f t="shared" si="182"/>
        <v>21.92</v>
      </c>
    </row>
    <row r="5789" spans="1:8" ht="69">
      <c r="A5789" s="502" t="s">
        <v>13810</v>
      </c>
      <c r="B5789" s="504" t="s">
        <v>26361</v>
      </c>
      <c r="C5789" s="502" t="s">
        <v>83</v>
      </c>
      <c r="D5789" s="503" t="s">
        <v>10003</v>
      </c>
      <c r="F5789" t="str">
        <f t="shared" si="183"/>
        <v>101241</v>
      </c>
      <c r="H5789" s="14">
        <f t="shared" si="182"/>
        <v>25.62</v>
      </c>
    </row>
    <row r="5790" spans="1:8" ht="69">
      <c r="A5790" s="502" t="s">
        <v>13811</v>
      </c>
      <c r="B5790" s="504" t="s">
        <v>26362</v>
      </c>
      <c r="C5790" s="502" t="s">
        <v>83</v>
      </c>
      <c r="D5790" s="503" t="s">
        <v>33872</v>
      </c>
      <c r="F5790" t="str">
        <f t="shared" si="183"/>
        <v>101242</v>
      </c>
      <c r="H5790" s="14">
        <f t="shared" si="182"/>
        <v>28.68</v>
      </c>
    </row>
    <row r="5791" spans="1:8" ht="69">
      <c r="A5791" s="502" t="s">
        <v>13812</v>
      </c>
      <c r="B5791" s="504" t="s">
        <v>26363</v>
      </c>
      <c r="C5791" s="502" t="s">
        <v>83</v>
      </c>
      <c r="D5791" s="503" t="s">
        <v>30455</v>
      </c>
      <c r="F5791" t="str">
        <f t="shared" si="183"/>
        <v>101243</v>
      </c>
      <c r="H5791" s="14">
        <f t="shared" si="182"/>
        <v>34.71</v>
      </c>
    </row>
    <row r="5792" spans="1:8" ht="69">
      <c r="A5792" s="502" t="s">
        <v>13813</v>
      </c>
      <c r="B5792" s="504" t="s">
        <v>26364</v>
      </c>
      <c r="C5792" s="502" t="s">
        <v>83</v>
      </c>
      <c r="D5792" s="503" t="s">
        <v>9498</v>
      </c>
      <c r="F5792" t="str">
        <f t="shared" si="183"/>
        <v>101244</v>
      </c>
      <c r="H5792" s="14">
        <f t="shared" si="182"/>
        <v>21.92</v>
      </c>
    </row>
    <row r="5793" spans="1:8" ht="69">
      <c r="A5793" s="502" t="s">
        <v>13814</v>
      </c>
      <c r="B5793" s="504" t="s">
        <v>26365</v>
      </c>
      <c r="C5793" s="502" t="s">
        <v>83</v>
      </c>
      <c r="D5793" s="503" t="s">
        <v>10047</v>
      </c>
      <c r="F5793" t="str">
        <f t="shared" si="183"/>
        <v>101245</v>
      </c>
      <c r="H5793" s="14">
        <f t="shared" si="182"/>
        <v>23.17</v>
      </c>
    </row>
    <row r="5794" spans="1:8" ht="69">
      <c r="A5794" s="502" t="s">
        <v>13815</v>
      </c>
      <c r="B5794" s="504" t="s">
        <v>26366</v>
      </c>
      <c r="C5794" s="502" t="s">
        <v>83</v>
      </c>
      <c r="D5794" s="503" t="s">
        <v>33873</v>
      </c>
      <c r="F5794" t="str">
        <f t="shared" si="183"/>
        <v>101246</v>
      </c>
      <c r="H5794" s="14">
        <f t="shared" si="182"/>
        <v>26.92</v>
      </c>
    </row>
    <row r="5795" spans="1:8" ht="69">
      <c r="A5795" s="502" t="s">
        <v>13816</v>
      </c>
      <c r="B5795" s="504" t="s">
        <v>26367</v>
      </c>
      <c r="C5795" s="502" t="s">
        <v>83</v>
      </c>
      <c r="D5795" s="503" t="s">
        <v>15797</v>
      </c>
      <c r="F5795" t="str">
        <f t="shared" si="183"/>
        <v>101247</v>
      </c>
      <c r="H5795" s="14">
        <f t="shared" si="182"/>
        <v>29.87</v>
      </c>
    </row>
    <row r="5796" spans="1:8" ht="69">
      <c r="A5796" s="502" t="s">
        <v>13817</v>
      </c>
      <c r="B5796" s="504" t="s">
        <v>26368</v>
      </c>
      <c r="C5796" s="502" t="s">
        <v>83</v>
      </c>
      <c r="D5796" s="503" t="s">
        <v>30111</v>
      </c>
      <c r="F5796" t="str">
        <f t="shared" si="183"/>
        <v>101248</v>
      </c>
      <c r="H5796" s="14">
        <f t="shared" si="182"/>
        <v>37.380000000000003</v>
      </c>
    </row>
    <row r="5797" spans="1:8" ht="69">
      <c r="A5797" s="502" t="s">
        <v>13818</v>
      </c>
      <c r="B5797" s="504" t="s">
        <v>26369</v>
      </c>
      <c r="C5797" s="502" t="s">
        <v>83</v>
      </c>
      <c r="D5797" s="503" t="s">
        <v>29897</v>
      </c>
      <c r="F5797" t="str">
        <f t="shared" si="183"/>
        <v>101249</v>
      </c>
      <c r="H5797" s="14">
        <f t="shared" si="182"/>
        <v>19.03</v>
      </c>
    </row>
    <row r="5798" spans="1:8" ht="69">
      <c r="A5798" s="502" t="s">
        <v>13819</v>
      </c>
      <c r="B5798" s="504" t="s">
        <v>26370</v>
      </c>
      <c r="C5798" s="502" t="s">
        <v>83</v>
      </c>
      <c r="D5798" s="503" t="s">
        <v>10168</v>
      </c>
      <c r="F5798" t="str">
        <f t="shared" si="183"/>
        <v>101250</v>
      </c>
      <c r="H5798" s="14">
        <f t="shared" si="182"/>
        <v>21.15</v>
      </c>
    </row>
    <row r="5799" spans="1:8" ht="69">
      <c r="A5799" s="524" t="s">
        <v>13820</v>
      </c>
      <c r="B5799" s="504" t="s">
        <v>26371</v>
      </c>
      <c r="C5799" s="502" t="s">
        <v>83</v>
      </c>
      <c r="D5799" s="503" t="s">
        <v>4658</v>
      </c>
      <c r="F5799" t="str">
        <f t="shared" si="183"/>
        <v>101251</v>
      </c>
      <c r="H5799" s="14">
        <f t="shared" si="182"/>
        <v>24.05</v>
      </c>
    </row>
    <row r="5800" spans="1:8" ht="69">
      <c r="A5800" s="502" t="s">
        <v>13821</v>
      </c>
      <c r="B5800" s="504" t="s">
        <v>26372</v>
      </c>
      <c r="C5800" s="502" t="s">
        <v>83</v>
      </c>
      <c r="D5800" s="503" t="s">
        <v>7294</v>
      </c>
      <c r="F5800" t="str">
        <f t="shared" si="183"/>
        <v>101252</v>
      </c>
      <c r="H5800" s="14">
        <f t="shared" si="182"/>
        <v>26.1</v>
      </c>
    </row>
    <row r="5801" spans="1:8" ht="69">
      <c r="A5801" s="502" t="s">
        <v>13822</v>
      </c>
      <c r="B5801" s="504" t="s">
        <v>26373</v>
      </c>
      <c r="C5801" s="502" t="s">
        <v>83</v>
      </c>
      <c r="D5801" s="503" t="s">
        <v>13159</v>
      </c>
      <c r="F5801" t="str">
        <f t="shared" si="183"/>
        <v>101253</v>
      </c>
      <c r="H5801" s="14">
        <f t="shared" si="182"/>
        <v>32.86</v>
      </c>
    </row>
    <row r="5802" spans="1:8" ht="69">
      <c r="A5802" s="524" t="s">
        <v>13823</v>
      </c>
      <c r="B5802" s="504" t="s">
        <v>26374</v>
      </c>
      <c r="C5802" s="502" t="s">
        <v>83</v>
      </c>
      <c r="D5802" s="503" t="s">
        <v>24312</v>
      </c>
      <c r="F5802" t="str">
        <f t="shared" si="183"/>
        <v>101254</v>
      </c>
      <c r="H5802" s="14">
        <f t="shared" si="182"/>
        <v>17.440000000000001</v>
      </c>
    </row>
    <row r="5803" spans="1:8" ht="69">
      <c r="A5803" s="502" t="s">
        <v>13824</v>
      </c>
      <c r="B5803" s="504" t="s">
        <v>26375</v>
      </c>
      <c r="C5803" s="502" t="s">
        <v>83</v>
      </c>
      <c r="D5803" s="503" t="s">
        <v>9905</v>
      </c>
      <c r="F5803" t="str">
        <f t="shared" si="183"/>
        <v>101255</v>
      </c>
      <c r="H5803" s="14">
        <f t="shared" si="182"/>
        <v>15.42</v>
      </c>
    </row>
    <row r="5804" spans="1:8" ht="69">
      <c r="A5804" s="502" t="s">
        <v>13825</v>
      </c>
      <c r="B5804" s="504" t="s">
        <v>26376</v>
      </c>
      <c r="C5804" s="502" t="s">
        <v>83</v>
      </c>
      <c r="D5804" s="503" t="s">
        <v>33874</v>
      </c>
      <c r="F5804" t="str">
        <f t="shared" si="183"/>
        <v>101256</v>
      </c>
      <c r="H5804" s="14">
        <f t="shared" si="182"/>
        <v>26.82</v>
      </c>
    </row>
    <row r="5805" spans="1:8" ht="69">
      <c r="A5805" s="502" t="s">
        <v>13826</v>
      </c>
      <c r="B5805" s="504" t="s">
        <v>26377</v>
      </c>
      <c r="C5805" s="502" t="s">
        <v>83</v>
      </c>
      <c r="D5805" s="503" t="s">
        <v>10686</v>
      </c>
      <c r="F5805" t="str">
        <f t="shared" si="183"/>
        <v>101257</v>
      </c>
      <c r="H5805" s="14">
        <f t="shared" si="182"/>
        <v>28.24</v>
      </c>
    </row>
    <row r="5806" spans="1:8" ht="69">
      <c r="A5806" s="502" t="s">
        <v>13827</v>
      </c>
      <c r="B5806" s="504" t="s">
        <v>26378</v>
      </c>
      <c r="C5806" s="502" t="s">
        <v>83</v>
      </c>
      <c r="D5806" s="503" t="s">
        <v>15270</v>
      </c>
      <c r="F5806" t="str">
        <f t="shared" si="183"/>
        <v>101258</v>
      </c>
      <c r="H5806" s="14">
        <f t="shared" si="182"/>
        <v>32.74</v>
      </c>
    </row>
    <row r="5807" spans="1:8" ht="69">
      <c r="A5807" s="502" t="s">
        <v>13828</v>
      </c>
      <c r="B5807" s="504" t="s">
        <v>26379</v>
      </c>
      <c r="C5807" s="502" t="s">
        <v>83</v>
      </c>
      <c r="D5807" s="503" t="s">
        <v>23953</v>
      </c>
      <c r="F5807" t="str">
        <f t="shared" si="183"/>
        <v>101259</v>
      </c>
      <c r="H5807" s="14">
        <f t="shared" si="182"/>
        <v>36.380000000000003</v>
      </c>
    </row>
    <row r="5808" spans="1:8" ht="69">
      <c r="A5808" s="502" t="s">
        <v>13829</v>
      </c>
      <c r="B5808" s="504" t="s">
        <v>26380</v>
      </c>
      <c r="C5808" s="502" t="s">
        <v>83</v>
      </c>
      <c r="D5808" s="503" t="s">
        <v>33875</v>
      </c>
      <c r="F5808" t="str">
        <f t="shared" si="183"/>
        <v>101260</v>
      </c>
      <c r="H5808" s="14">
        <f t="shared" si="182"/>
        <v>45.44</v>
      </c>
    </row>
    <row r="5809" spans="1:8" ht="69">
      <c r="A5809" s="502" t="s">
        <v>13830</v>
      </c>
      <c r="B5809" s="504" t="s">
        <v>26381</v>
      </c>
      <c r="C5809" s="502" t="s">
        <v>83</v>
      </c>
      <c r="D5809" s="503" t="s">
        <v>25960</v>
      </c>
      <c r="F5809" t="str">
        <f t="shared" si="183"/>
        <v>101261</v>
      </c>
      <c r="H5809" s="14">
        <f t="shared" si="182"/>
        <v>25.4</v>
      </c>
    </row>
    <row r="5810" spans="1:8" ht="69">
      <c r="A5810" s="502" t="s">
        <v>13831</v>
      </c>
      <c r="B5810" s="504" t="s">
        <v>26382</v>
      </c>
      <c r="C5810" s="502" t="s">
        <v>83</v>
      </c>
      <c r="D5810" s="503" t="s">
        <v>6569</v>
      </c>
      <c r="F5810" t="str">
        <f t="shared" si="183"/>
        <v>101262</v>
      </c>
      <c r="H5810" s="14">
        <f t="shared" si="182"/>
        <v>26.77</v>
      </c>
    </row>
    <row r="5811" spans="1:8" ht="69">
      <c r="A5811" s="502" t="s">
        <v>13832</v>
      </c>
      <c r="B5811" s="504" t="s">
        <v>26383</v>
      </c>
      <c r="C5811" s="502" t="s">
        <v>83</v>
      </c>
      <c r="D5811" s="503" t="s">
        <v>10197</v>
      </c>
      <c r="F5811" t="str">
        <f t="shared" si="183"/>
        <v>101263</v>
      </c>
      <c r="H5811" s="14">
        <f t="shared" si="182"/>
        <v>30.94</v>
      </c>
    </row>
    <row r="5812" spans="1:8" ht="69">
      <c r="A5812" s="502" t="s">
        <v>13833</v>
      </c>
      <c r="B5812" s="504" t="s">
        <v>26384</v>
      </c>
      <c r="C5812" s="502" t="s">
        <v>83</v>
      </c>
      <c r="D5812" s="503" t="s">
        <v>26981</v>
      </c>
      <c r="F5812" t="str">
        <f t="shared" si="183"/>
        <v>101264</v>
      </c>
      <c r="H5812" s="14">
        <f t="shared" si="182"/>
        <v>34.29</v>
      </c>
    </row>
    <row r="5813" spans="1:8" ht="69">
      <c r="A5813" s="502" t="s">
        <v>13834</v>
      </c>
      <c r="B5813" s="504" t="s">
        <v>26385</v>
      </c>
      <c r="C5813" s="502" t="s">
        <v>83</v>
      </c>
      <c r="D5813" s="503" t="s">
        <v>33876</v>
      </c>
      <c r="F5813" t="str">
        <f t="shared" si="183"/>
        <v>101265</v>
      </c>
      <c r="H5813" s="14">
        <f t="shared" si="182"/>
        <v>42.69</v>
      </c>
    </row>
    <row r="5814" spans="1:8" ht="69">
      <c r="A5814" s="502" t="s">
        <v>13835</v>
      </c>
      <c r="B5814" s="504" t="s">
        <v>26386</v>
      </c>
      <c r="C5814" s="502" t="s">
        <v>83</v>
      </c>
      <c r="D5814" s="503" t="s">
        <v>4407</v>
      </c>
      <c r="F5814" t="str">
        <f t="shared" si="183"/>
        <v>101266</v>
      </c>
      <c r="H5814" s="14">
        <f t="shared" si="182"/>
        <v>15.48</v>
      </c>
    </row>
    <row r="5815" spans="1:8" ht="69">
      <c r="A5815" s="502" t="s">
        <v>13836</v>
      </c>
      <c r="B5815" s="504" t="s">
        <v>26387</v>
      </c>
      <c r="C5815" s="502" t="s">
        <v>83</v>
      </c>
      <c r="D5815" s="503" t="s">
        <v>16475</v>
      </c>
      <c r="F5815" t="str">
        <f t="shared" si="183"/>
        <v>101267</v>
      </c>
      <c r="H5815" s="14">
        <f t="shared" si="182"/>
        <v>14.91</v>
      </c>
    </row>
    <row r="5816" spans="1:8" ht="69">
      <c r="A5816" s="502" t="s">
        <v>13837</v>
      </c>
      <c r="B5816" s="504" t="s">
        <v>26388</v>
      </c>
      <c r="C5816" s="502" t="s">
        <v>83</v>
      </c>
      <c r="D5816" s="503" t="s">
        <v>10203</v>
      </c>
      <c r="F5816" t="str">
        <f t="shared" si="183"/>
        <v>101268</v>
      </c>
      <c r="H5816" s="14">
        <f t="shared" si="182"/>
        <v>24.33</v>
      </c>
    </row>
    <row r="5817" spans="1:8" ht="69">
      <c r="A5817" s="502" t="s">
        <v>13838</v>
      </c>
      <c r="B5817" s="504" t="s">
        <v>26389</v>
      </c>
      <c r="C5817" s="502" t="s">
        <v>83</v>
      </c>
      <c r="D5817" s="503" t="s">
        <v>10331</v>
      </c>
      <c r="F5817" t="str">
        <f t="shared" si="183"/>
        <v>101269</v>
      </c>
      <c r="H5817" s="14">
        <f t="shared" si="182"/>
        <v>27.09</v>
      </c>
    </row>
    <row r="5818" spans="1:8" ht="69">
      <c r="A5818" s="502" t="s">
        <v>13839</v>
      </c>
      <c r="B5818" s="504" t="s">
        <v>26390</v>
      </c>
      <c r="C5818" s="502" t="s">
        <v>83</v>
      </c>
      <c r="D5818" s="503" t="s">
        <v>10158</v>
      </c>
      <c r="F5818" t="str">
        <f t="shared" si="183"/>
        <v>101270</v>
      </c>
      <c r="H5818" s="14">
        <f t="shared" si="182"/>
        <v>31.35</v>
      </c>
    </row>
    <row r="5819" spans="1:8" ht="69">
      <c r="A5819" s="502" t="s">
        <v>13840</v>
      </c>
      <c r="B5819" s="504" t="s">
        <v>26391</v>
      </c>
      <c r="C5819" s="502" t="s">
        <v>83</v>
      </c>
      <c r="D5819" s="503" t="s">
        <v>10164</v>
      </c>
      <c r="F5819" t="str">
        <f t="shared" si="183"/>
        <v>101271</v>
      </c>
      <c r="H5819" s="14">
        <f t="shared" si="182"/>
        <v>34.78</v>
      </c>
    </row>
    <row r="5820" spans="1:8" ht="69">
      <c r="A5820" s="502" t="s">
        <v>13841</v>
      </c>
      <c r="B5820" s="504" t="s">
        <v>26392</v>
      </c>
      <c r="C5820" s="502" t="s">
        <v>83</v>
      </c>
      <c r="D5820" s="503" t="s">
        <v>19942</v>
      </c>
      <c r="F5820" t="str">
        <f t="shared" si="183"/>
        <v>101272</v>
      </c>
      <c r="H5820" s="14">
        <f t="shared" si="182"/>
        <v>43.36</v>
      </c>
    </row>
    <row r="5821" spans="1:8" ht="69">
      <c r="A5821" s="502" t="s">
        <v>13842</v>
      </c>
      <c r="B5821" s="504" t="s">
        <v>26393</v>
      </c>
      <c r="C5821" s="502" t="s">
        <v>83</v>
      </c>
      <c r="D5821" s="503" t="s">
        <v>32502</v>
      </c>
      <c r="F5821" t="str">
        <f t="shared" si="183"/>
        <v>101273</v>
      </c>
      <c r="H5821" s="14">
        <f t="shared" si="182"/>
        <v>23.27</v>
      </c>
    </row>
    <row r="5822" spans="1:8" ht="69">
      <c r="A5822" s="502" t="s">
        <v>13843</v>
      </c>
      <c r="B5822" s="504" t="s">
        <v>26394</v>
      </c>
      <c r="C5822" s="502" t="s">
        <v>83</v>
      </c>
      <c r="D5822" s="503" t="s">
        <v>25758</v>
      </c>
      <c r="F5822" t="str">
        <f t="shared" si="183"/>
        <v>101274</v>
      </c>
      <c r="H5822" s="14">
        <f t="shared" si="182"/>
        <v>25.72</v>
      </c>
    </row>
    <row r="5823" spans="1:8" ht="69">
      <c r="A5823" s="502" t="s">
        <v>13844</v>
      </c>
      <c r="B5823" s="504" t="s">
        <v>26395</v>
      </c>
      <c r="C5823" s="502" t="s">
        <v>83</v>
      </c>
      <c r="D5823" s="503" t="s">
        <v>33877</v>
      </c>
      <c r="F5823" t="str">
        <f t="shared" si="183"/>
        <v>101275</v>
      </c>
      <c r="H5823" s="14">
        <f t="shared" si="182"/>
        <v>29.75</v>
      </c>
    </row>
    <row r="5824" spans="1:8" ht="69">
      <c r="A5824" s="502" t="s">
        <v>13845</v>
      </c>
      <c r="B5824" s="504" t="s">
        <v>26396</v>
      </c>
      <c r="C5824" s="502" t="s">
        <v>83</v>
      </c>
      <c r="D5824" s="503" t="s">
        <v>29100</v>
      </c>
      <c r="F5824" t="str">
        <f t="shared" si="183"/>
        <v>101276</v>
      </c>
      <c r="H5824" s="14">
        <f t="shared" si="182"/>
        <v>32.869999999999997</v>
      </c>
    </row>
    <row r="5825" spans="1:8" ht="69">
      <c r="A5825" s="502" t="s">
        <v>13846</v>
      </c>
      <c r="B5825" s="504" t="s">
        <v>26397</v>
      </c>
      <c r="C5825" s="502" t="s">
        <v>83</v>
      </c>
      <c r="D5825" s="503" t="s">
        <v>9936</v>
      </c>
      <c r="F5825" t="str">
        <f t="shared" si="183"/>
        <v>101277</v>
      </c>
      <c r="H5825" s="14">
        <f t="shared" si="182"/>
        <v>41.97</v>
      </c>
    </row>
    <row r="5826" spans="1:8" ht="41.4">
      <c r="A5826" s="502" t="s">
        <v>13847</v>
      </c>
      <c r="B5826" s="504" t="s">
        <v>29761</v>
      </c>
      <c r="C5826" s="502" t="s">
        <v>83</v>
      </c>
      <c r="D5826" s="503" t="s">
        <v>33878</v>
      </c>
      <c r="F5826" t="str">
        <f t="shared" si="183"/>
        <v>102354</v>
      </c>
      <c r="H5826" s="14">
        <f t="shared" si="182"/>
        <v>222.93</v>
      </c>
    </row>
    <row r="5827" spans="1:8" ht="55.2">
      <c r="A5827" s="502" t="s">
        <v>13848</v>
      </c>
      <c r="B5827" s="504" t="s">
        <v>29762</v>
      </c>
      <c r="C5827" s="502" t="s">
        <v>83</v>
      </c>
      <c r="D5827" s="503" t="s">
        <v>33879</v>
      </c>
      <c r="F5827" t="str">
        <f t="shared" si="183"/>
        <v>102355</v>
      </c>
      <c r="H5827" s="14">
        <f t="shared" si="182"/>
        <v>264.14999999999998</v>
      </c>
    </row>
    <row r="5828" spans="1:8" ht="55.2">
      <c r="A5828" s="502" t="s">
        <v>13849</v>
      </c>
      <c r="B5828" s="504" t="s">
        <v>13850</v>
      </c>
      <c r="C5828" s="502" t="s">
        <v>83</v>
      </c>
      <c r="D5828" s="503" t="s">
        <v>11615</v>
      </c>
      <c r="F5828" t="str">
        <f t="shared" si="183"/>
        <v>102360</v>
      </c>
      <c r="H5828" s="14">
        <f t="shared" si="182"/>
        <v>35.020000000000003</v>
      </c>
    </row>
    <row r="5829" spans="1:8" ht="41.4">
      <c r="A5829" s="502" t="s">
        <v>13851</v>
      </c>
      <c r="B5829" s="504" t="s">
        <v>13852</v>
      </c>
      <c r="C5829" s="502" t="s">
        <v>83</v>
      </c>
      <c r="D5829" s="503" t="s">
        <v>11821</v>
      </c>
      <c r="F5829" t="str">
        <f t="shared" si="183"/>
        <v>102361</v>
      </c>
      <c r="H5829" s="14">
        <f t="shared" ref="H5829:H5892" si="184">ROUND(D5829*(1+$H$1),2)</f>
        <v>55.58</v>
      </c>
    </row>
    <row r="5830" spans="1:8" ht="69">
      <c r="A5830" s="502" t="s">
        <v>6360</v>
      </c>
      <c r="B5830" s="504" t="s">
        <v>33880</v>
      </c>
      <c r="C5830" s="502" t="s">
        <v>83</v>
      </c>
      <c r="D5830" s="503" t="s">
        <v>10154</v>
      </c>
      <c r="F5830" t="str">
        <f t="shared" si="183"/>
        <v>90082</v>
      </c>
      <c r="H5830" s="14">
        <f t="shared" si="184"/>
        <v>13.3</v>
      </c>
    </row>
    <row r="5831" spans="1:8" ht="69">
      <c r="A5831" s="502" t="s">
        <v>6361</v>
      </c>
      <c r="B5831" s="504" t="s">
        <v>33881</v>
      </c>
      <c r="C5831" s="502" t="s">
        <v>83</v>
      </c>
      <c r="D5831" s="503" t="s">
        <v>5968</v>
      </c>
      <c r="F5831" t="str">
        <f t="shared" si="183"/>
        <v>90084</v>
      </c>
      <c r="H5831" s="14">
        <f t="shared" si="184"/>
        <v>12.89</v>
      </c>
    </row>
    <row r="5832" spans="1:8" ht="69">
      <c r="A5832" s="502" t="s">
        <v>6362</v>
      </c>
      <c r="B5832" s="504" t="s">
        <v>33882</v>
      </c>
      <c r="C5832" s="502" t="s">
        <v>83</v>
      </c>
      <c r="D5832" s="503" t="s">
        <v>9907</v>
      </c>
      <c r="F5832" t="str">
        <f t="shared" si="183"/>
        <v>90086</v>
      </c>
      <c r="H5832" s="14">
        <f t="shared" si="184"/>
        <v>12.19</v>
      </c>
    </row>
    <row r="5833" spans="1:8" ht="69">
      <c r="A5833" s="502" t="s">
        <v>6363</v>
      </c>
      <c r="B5833" s="504" t="s">
        <v>33883</v>
      </c>
      <c r="C5833" s="502" t="s">
        <v>83</v>
      </c>
      <c r="D5833" s="503" t="s">
        <v>33078</v>
      </c>
      <c r="F5833" t="str">
        <f t="shared" si="183"/>
        <v>90087</v>
      </c>
      <c r="H5833" s="14">
        <f t="shared" si="184"/>
        <v>11.94</v>
      </c>
    </row>
    <row r="5834" spans="1:8" ht="69">
      <c r="A5834" s="502" t="s">
        <v>6365</v>
      </c>
      <c r="B5834" s="504" t="s">
        <v>33884</v>
      </c>
      <c r="C5834" s="502" t="s">
        <v>83</v>
      </c>
      <c r="D5834" s="503" t="s">
        <v>9519</v>
      </c>
      <c r="F5834" t="str">
        <f t="shared" si="183"/>
        <v>90090</v>
      </c>
      <c r="H5834" s="14">
        <f t="shared" si="184"/>
        <v>11.71</v>
      </c>
    </row>
    <row r="5835" spans="1:8" ht="69">
      <c r="A5835" s="502" t="s">
        <v>6366</v>
      </c>
      <c r="B5835" s="504" t="s">
        <v>33885</v>
      </c>
      <c r="C5835" s="502" t="s">
        <v>83</v>
      </c>
      <c r="D5835" s="503" t="s">
        <v>5164</v>
      </c>
      <c r="F5835" t="str">
        <f t="shared" si="183"/>
        <v>90091</v>
      </c>
      <c r="H5835" s="14">
        <f t="shared" si="184"/>
        <v>8.39</v>
      </c>
    </row>
    <row r="5836" spans="1:8" ht="69">
      <c r="A5836" s="502" t="s">
        <v>6367</v>
      </c>
      <c r="B5836" s="504" t="s">
        <v>33886</v>
      </c>
      <c r="C5836" s="502" t="s">
        <v>83</v>
      </c>
      <c r="D5836" s="503" t="s">
        <v>4585</v>
      </c>
      <c r="F5836" t="str">
        <f t="shared" si="183"/>
        <v>90092</v>
      </c>
      <c r="H5836" s="14">
        <f t="shared" si="184"/>
        <v>8.11</v>
      </c>
    </row>
    <row r="5837" spans="1:8" ht="69">
      <c r="A5837" s="502" t="s">
        <v>6369</v>
      </c>
      <c r="B5837" s="504" t="s">
        <v>33887</v>
      </c>
      <c r="C5837" s="502" t="s">
        <v>83</v>
      </c>
      <c r="D5837" s="503" t="s">
        <v>33888</v>
      </c>
      <c r="F5837" t="str">
        <f t="shared" si="183"/>
        <v>90094</v>
      </c>
      <c r="H5837" s="14">
        <f t="shared" si="184"/>
        <v>7.68</v>
      </c>
    </row>
    <row r="5838" spans="1:8" ht="69">
      <c r="A5838" s="502" t="s">
        <v>6370</v>
      </c>
      <c r="B5838" s="504" t="s">
        <v>33889</v>
      </c>
      <c r="C5838" s="502" t="s">
        <v>83</v>
      </c>
      <c r="D5838" s="503" t="s">
        <v>7300</v>
      </c>
      <c r="F5838" t="str">
        <f t="shared" si="183"/>
        <v>90095</v>
      </c>
      <c r="H5838" s="14">
        <f t="shared" si="184"/>
        <v>7.53</v>
      </c>
    </row>
    <row r="5839" spans="1:8" ht="69">
      <c r="A5839" s="502" t="s">
        <v>6371</v>
      </c>
      <c r="B5839" s="504" t="s">
        <v>33890</v>
      </c>
      <c r="C5839" s="502" t="s">
        <v>83</v>
      </c>
      <c r="D5839" s="503" t="s">
        <v>4388</v>
      </c>
      <c r="F5839" t="str">
        <f t="shared" ref="F5839:F5902" si="185">TRIM(A5839)</f>
        <v>90098</v>
      </c>
      <c r="H5839" s="14">
        <f t="shared" si="184"/>
        <v>7.37</v>
      </c>
    </row>
    <row r="5840" spans="1:8" ht="69">
      <c r="A5840" s="502" t="s">
        <v>6372</v>
      </c>
      <c r="B5840" s="504" t="s">
        <v>33891</v>
      </c>
      <c r="C5840" s="502" t="s">
        <v>83</v>
      </c>
      <c r="D5840" s="503" t="s">
        <v>33240</v>
      </c>
      <c r="F5840" t="str">
        <f t="shared" si="185"/>
        <v>90099</v>
      </c>
      <c r="H5840" s="14">
        <f t="shared" si="184"/>
        <v>22.04</v>
      </c>
    </row>
    <row r="5841" spans="1:8" ht="69">
      <c r="A5841" s="502" t="s">
        <v>6373</v>
      </c>
      <c r="B5841" s="504" t="s">
        <v>33892</v>
      </c>
      <c r="C5841" s="502" t="s">
        <v>83</v>
      </c>
      <c r="D5841" s="503" t="s">
        <v>9932</v>
      </c>
      <c r="F5841" t="str">
        <f t="shared" si="185"/>
        <v>90100</v>
      </c>
      <c r="H5841" s="14">
        <f t="shared" si="184"/>
        <v>18.88</v>
      </c>
    </row>
    <row r="5842" spans="1:8" ht="69">
      <c r="A5842" s="502" t="s">
        <v>6374</v>
      </c>
      <c r="B5842" s="504" t="s">
        <v>33893</v>
      </c>
      <c r="C5842" s="502" t="s">
        <v>83</v>
      </c>
      <c r="D5842" s="503" t="s">
        <v>7341</v>
      </c>
      <c r="F5842" t="str">
        <f t="shared" si="185"/>
        <v>90101</v>
      </c>
      <c r="H5842" s="14">
        <f t="shared" si="184"/>
        <v>18.670000000000002</v>
      </c>
    </row>
    <row r="5843" spans="1:8" ht="82.8">
      <c r="A5843" s="502" t="s">
        <v>6375</v>
      </c>
      <c r="B5843" s="504" t="s">
        <v>33894</v>
      </c>
      <c r="C5843" s="502" t="s">
        <v>83</v>
      </c>
      <c r="D5843" s="503" t="s">
        <v>16150</v>
      </c>
      <c r="F5843" t="str">
        <f t="shared" si="185"/>
        <v>90102</v>
      </c>
      <c r="H5843" s="14">
        <f t="shared" si="184"/>
        <v>17.079999999999998</v>
      </c>
    </row>
    <row r="5844" spans="1:8" ht="69">
      <c r="A5844" s="502" t="s">
        <v>6376</v>
      </c>
      <c r="B5844" s="504" t="s">
        <v>33895</v>
      </c>
      <c r="C5844" s="502" t="s">
        <v>83</v>
      </c>
      <c r="D5844" s="503" t="s">
        <v>9495</v>
      </c>
      <c r="F5844" t="str">
        <f t="shared" si="185"/>
        <v>90105</v>
      </c>
      <c r="H5844" s="14">
        <f t="shared" si="184"/>
        <v>13.06</v>
      </c>
    </row>
    <row r="5845" spans="1:8" ht="69">
      <c r="A5845" s="502" t="s">
        <v>6377</v>
      </c>
      <c r="B5845" s="504" t="s">
        <v>33896</v>
      </c>
      <c r="C5845" s="502" t="s">
        <v>83</v>
      </c>
      <c r="D5845" s="503" t="s">
        <v>29059</v>
      </c>
      <c r="F5845" t="str">
        <f t="shared" si="185"/>
        <v>90106</v>
      </c>
      <c r="H5845" s="14">
        <f t="shared" si="184"/>
        <v>11.9</v>
      </c>
    </row>
    <row r="5846" spans="1:8" ht="69">
      <c r="A5846" s="502" t="s">
        <v>6378</v>
      </c>
      <c r="B5846" s="504" t="s">
        <v>33897</v>
      </c>
      <c r="C5846" s="502" t="s">
        <v>83</v>
      </c>
      <c r="D5846" s="503" t="s">
        <v>16171</v>
      </c>
      <c r="F5846" t="str">
        <f t="shared" si="185"/>
        <v>90107</v>
      </c>
      <c r="H5846" s="14">
        <f t="shared" si="184"/>
        <v>11.75</v>
      </c>
    </row>
    <row r="5847" spans="1:8" ht="69">
      <c r="A5847" s="502" t="s">
        <v>6379</v>
      </c>
      <c r="B5847" s="504" t="s">
        <v>33898</v>
      </c>
      <c r="C5847" s="502" t="s">
        <v>83</v>
      </c>
      <c r="D5847" s="503" t="s">
        <v>15787</v>
      </c>
      <c r="F5847" t="str">
        <f t="shared" si="185"/>
        <v>90108</v>
      </c>
      <c r="H5847" s="14">
        <f t="shared" si="184"/>
        <v>10.75</v>
      </c>
    </row>
    <row r="5848" spans="1:8" ht="14.4">
      <c r="A5848" s="502" t="s">
        <v>6380</v>
      </c>
      <c r="B5848" s="504" t="s">
        <v>33899</v>
      </c>
      <c r="C5848" s="502" t="s">
        <v>83</v>
      </c>
      <c r="D5848" s="503" t="s">
        <v>32047</v>
      </c>
      <c r="F5848" t="str">
        <f t="shared" si="185"/>
        <v>93358</v>
      </c>
      <c r="H5848" s="14">
        <f t="shared" si="184"/>
        <v>125.65</v>
      </c>
    </row>
    <row r="5849" spans="1:8" ht="69">
      <c r="A5849" s="502" t="s">
        <v>13853</v>
      </c>
      <c r="B5849" s="504" t="s">
        <v>33900</v>
      </c>
      <c r="C5849" s="502" t="s">
        <v>83</v>
      </c>
      <c r="D5849" s="503" t="s">
        <v>10190</v>
      </c>
      <c r="F5849" t="str">
        <f t="shared" si="185"/>
        <v>102276</v>
      </c>
      <c r="H5849" s="14">
        <f t="shared" si="184"/>
        <v>14.98</v>
      </c>
    </row>
    <row r="5850" spans="1:8" ht="69">
      <c r="A5850" s="502" t="s">
        <v>13854</v>
      </c>
      <c r="B5850" s="504" t="s">
        <v>33901</v>
      </c>
      <c r="C5850" s="502" t="s">
        <v>83</v>
      </c>
      <c r="D5850" s="503" t="s">
        <v>26581</v>
      </c>
      <c r="F5850" t="str">
        <f t="shared" si="185"/>
        <v>102277</v>
      </c>
      <c r="H5850" s="14">
        <f t="shared" si="184"/>
        <v>11.83</v>
      </c>
    </row>
    <row r="5851" spans="1:8" ht="69">
      <c r="A5851" s="502" t="s">
        <v>13855</v>
      </c>
      <c r="B5851" s="504" t="s">
        <v>33902</v>
      </c>
      <c r="C5851" s="502" t="s">
        <v>83</v>
      </c>
      <c r="D5851" s="503" t="s">
        <v>7402</v>
      </c>
      <c r="F5851" t="str">
        <f t="shared" si="185"/>
        <v>102278</v>
      </c>
      <c r="H5851" s="14">
        <f t="shared" si="184"/>
        <v>12.42</v>
      </c>
    </row>
    <row r="5852" spans="1:8" ht="69">
      <c r="A5852" s="502" t="s">
        <v>13856</v>
      </c>
      <c r="B5852" s="504" t="s">
        <v>33903</v>
      </c>
      <c r="C5852" s="502" t="s">
        <v>83</v>
      </c>
      <c r="D5852" s="503" t="s">
        <v>9781</v>
      </c>
      <c r="F5852" t="str">
        <f t="shared" si="185"/>
        <v>102279</v>
      </c>
      <c r="H5852" s="14">
        <f t="shared" si="184"/>
        <v>9.43</v>
      </c>
    </row>
    <row r="5853" spans="1:8" ht="69">
      <c r="A5853" s="502" t="s">
        <v>13857</v>
      </c>
      <c r="B5853" s="504" t="s">
        <v>33904</v>
      </c>
      <c r="C5853" s="502" t="s">
        <v>83</v>
      </c>
      <c r="D5853" s="503" t="s">
        <v>33905</v>
      </c>
      <c r="F5853" t="str">
        <f t="shared" si="185"/>
        <v>102280</v>
      </c>
      <c r="H5853" s="14">
        <f t="shared" si="184"/>
        <v>7.46</v>
      </c>
    </row>
    <row r="5854" spans="1:8" ht="82.8">
      <c r="A5854" s="502" t="s">
        <v>13858</v>
      </c>
      <c r="B5854" s="504" t="s">
        <v>33906</v>
      </c>
      <c r="C5854" s="502" t="s">
        <v>83</v>
      </c>
      <c r="D5854" s="503" t="s">
        <v>30581</v>
      </c>
      <c r="F5854" t="str">
        <f t="shared" si="185"/>
        <v>102281</v>
      </c>
      <c r="H5854" s="14">
        <f t="shared" si="184"/>
        <v>7.81</v>
      </c>
    </row>
    <row r="5855" spans="1:8" ht="69">
      <c r="A5855" s="502" t="s">
        <v>13859</v>
      </c>
      <c r="B5855" s="504" t="s">
        <v>33907</v>
      </c>
      <c r="C5855" s="502" t="s">
        <v>83</v>
      </c>
      <c r="D5855" s="503" t="s">
        <v>33908</v>
      </c>
      <c r="F5855" t="str">
        <f t="shared" si="185"/>
        <v>102282</v>
      </c>
      <c r="H5855" s="14">
        <f t="shared" si="184"/>
        <v>19.61</v>
      </c>
    </row>
    <row r="5856" spans="1:8" ht="69">
      <c r="A5856" s="502" t="s">
        <v>13860</v>
      </c>
      <c r="B5856" s="504" t="s">
        <v>33909</v>
      </c>
      <c r="C5856" s="502" t="s">
        <v>83</v>
      </c>
      <c r="D5856" s="503" t="s">
        <v>16437</v>
      </c>
      <c r="F5856" t="str">
        <f t="shared" si="185"/>
        <v>102283</v>
      </c>
      <c r="H5856" s="14">
        <f t="shared" si="184"/>
        <v>17.420000000000002</v>
      </c>
    </row>
    <row r="5857" spans="1:8" ht="69">
      <c r="A5857" s="502" t="s">
        <v>13861</v>
      </c>
      <c r="B5857" s="504" t="s">
        <v>33910</v>
      </c>
      <c r="C5857" s="502" t="s">
        <v>83</v>
      </c>
      <c r="D5857" s="503" t="s">
        <v>10276</v>
      </c>
      <c r="F5857" t="str">
        <f t="shared" si="185"/>
        <v>102284</v>
      </c>
      <c r="H5857" s="14">
        <f t="shared" si="184"/>
        <v>16.87</v>
      </c>
    </row>
    <row r="5858" spans="1:8" ht="69">
      <c r="A5858" s="502" t="s">
        <v>13862</v>
      </c>
      <c r="B5858" s="504" t="s">
        <v>33911</v>
      </c>
      <c r="C5858" s="502" t="s">
        <v>83</v>
      </c>
      <c r="D5858" s="503" t="s">
        <v>2913</v>
      </c>
      <c r="F5858" t="str">
        <f t="shared" si="185"/>
        <v>102285</v>
      </c>
      <c r="H5858" s="14">
        <f t="shared" si="184"/>
        <v>15.95</v>
      </c>
    </row>
    <row r="5859" spans="1:8" ht="69">
      <c r="A5859" s="502" t="s">
        <v>13863</v>
      </c>
      <c r="B5859" s="504" t="s">
        <v>33912</v>
      </c>
      <c r="C5859" s="502" t="s">
        <v>83</v>
      </c>
      <c r="D5859" s="503" t="s">
        <v>4848</v>
      </c>
      <c r="F5859" t="str">
        <f t="shared" si="185"/>
        <v>102286</v>
      </c>
      <c r="H5859" s="14">
        <f t="shared" si="184"/>
        <v>15.5</v>
      </c>
    </row>
    <row r="5860" spans="1:8" ht="69">
      <c r="A5860" s="502" t="s">
        <v>13864</v>
      </c>
      <c r="B5860" s="504" t="s">
        <v>33913</v>
      </c>
      <c r="C5860" s="502" t="s">
        <v>83</v>
      </c>
      <c r="D5860" s="503" t="s">
        <v>7259</v>
      </c>
      <c r="F5860" t="str">
        <f t="shared" si="185"/>
        <v>102287</v>
      </c>
      <c r="H5860" s="14">
        <f t="shared" si="184"/>
        <v>16.260000000000002</v>
      </c>
    </row>
    <row r="5861" spans="1:8" ht="69">
      <c r="A5861" s="502" t="s">
        <v>13865</v>
      </c>
      <c r="B5861" s="504" t="s">
        <v>33914</v>
      </c>
      <c r="C5861" s="502" t="s">
        <v>83</v>
      </c>
      <c r="D5861" s="503" t="s">
        <v>3847</v>
      </c>
      <c r="F5861" t="str">
        <f t="shared" si="185"/>
        <v>102288</v>
      </c>
      <c r="H5861" s="14">
        <f t="shared" si="184"/>
        <v>15.63</v>
      </c>
    </row>
    <row r="5862" spans="1:8" ht="69">
      <c r="A5862" s="502" t="s">
        <v>13866</v>
      </c>
      <c r="B5862" s="504" t="s">
        <v>33915</v>
      </c>
      <c r="C5862" s="502" t="s">
        <v>83</v>
      </c>
      <c r="D5862" s="503" t="s">
        <v>16429</v>
      </c>
      <c r="F5862" t="str">
        <f t="shared" si="185"/>
        <v>102289</v>
      </c>
      <c r="H5862" s="14">
        <f t="shared" si="184"/>
        <v>15.32</v>
      </c>
    </row>
    <row r="5863" spans="1:8" ht="69">
      <c r="A5863" s="502" t="s">
        <v>13867</v>
      </c>
      <c r="B5863" s="504" t="s">
        <v>33916</v>
      </c>
      <c r="C5863" s="502" t="s">
        <v>83</v>
      </c>
      <c r="D5863" s="503" t="s">
        <v>4525</v>
      </c>
      <c r="F5863" t="str">
        <f t="shared" si="185"/>
        <v>102290</v>
      </c>
      <c r="H5863" s="14">
        <f t="shared" si="184"/>
        <v>12.35</v>
      </c>
    </row>
    <row r="5864" spans="1:8" ht="69">
      <c r="A5864" s="502" t="s">
        <v>13868</v>
      </c>
      <c r="B5864" s="504" t="s">
        <v>33917</v>
      </c>
      <c r="C5864" s="502" t="s">
        <v>83</v>
      </c>
      <c r="D5864" s="503" t="s">
        <v>10654</v>
      </c>
      <c r="F5864" t="str">
        <f t="shared" si="185"/>
        <v>102291</v>
      </c>
      <c r="H5864" s="14">
        <f t="shared" si="184"/>
        <v>10.97</v>
      </c>
    </row>
    <row r="5865" spans="1:8" ht="69">
      <c r="A5865" s="502" t="s">
        <v>13869</v>
      </c>
      <c r="B5865" s="504" t="s">
        <v>33918</v>
      </c>
      <c r="C5865" s="502" t="s">
        <v>83</v>
      </c>
      <c r="D5865" s="503" t="s">
        <v>33472</v>
      </c>
      <c r="F5865" t="str">
        <f t="shared" si="185"/>
        <v>102292</v>
      </c>
      <c r="H5865" s="14">
        <f t="shared" si="184"/>
        <v>10.63</v>
      </c>
    </row>
    <row r="5866" spans="1:8" ht="69">
      <c r="A5866" s="502" t="s">
        <v>13870</v>
      </c>
      <c r="B5866" s="504" t="s">
        <v>33919</v>
      </c>
      <c r="C5866" s="502" t="s">
        <v>83</v>
      </c>
      <c r="D5866" s="503" t="s">
        <v>11416</v>
      </c>
      <c r="F5866" t="str">
        <f t="shared" si="185"/>
        <v>102293</v>
      </c>
      <c r="H5866" s="14">
        <f t="shared" si="184"/>
        <v>10.06</v>
      </c>
    </row>
    <row r="5867" spans="1:8" ht="69">
      <c r="A5867" s="502" t="s">
        <v>13871</v>
      </c>
      <c r="B5867" s="504" t="s">
        <v>33920</v>
      </c>
      <c r="C5867" s="502" t="s">
        <v>83</v>
      </c>
      <c r="D5867" s="503" t="s">
        <v>10131</v>
      </c>
      <c r="F5867" t="str">
        <f t="shared" si="185"/>
        <v>102294</v>
      </c>
      <c r="H5867" s="14">
        <f t="shared" si="184"/>
        <v>9.77</v>
      </c>
    </row>
    <row r="5868" spans="1:8" ht="69">
      <c r="A5868" s="502" t="s">
        <v>13872</v>
      </c>
      <c r="B5868" s="504" t="s">
        <v>33921</v>
      </c>
      <c r="C5868" s="502" t="s">
        <v>83</v>
      </c>
      <c r="D5868" s="503" t="s">
        <v>33471</v>
      </c>
      <c r="F5868" t="str">
        <f t="shared" si="185"/>
        <v>102295</v>
      </c>
      <c r="H5868" s="14">
        <f t="shared" si="184"/>
        <v>10.25</v>
      </c>
    </row>
    <row r="5869" spans="1:8" ht="69">
      <c r="A5869" s="502" t="s">
        <v>13873</v>
      </c>
      <c r="B5869" s="504" t="s">
        <v>33922</v>
      </c>
      <c r="C5869" s="502" t="s">
        <v>83</v>
      </c>
      <c r="D5869" s="503" t="s">
        <v>32739</v>
      </c>
      <c r="F5869" t="str">
        <f t="shared" si="185"/>
        <v>102296</v>
      </c>
      <c r="H5869" s="14">
        <f t="shared" si="184"/>
        <v>9.85</v>
      </c>
    </row>
    <row r="5870" spans="1:8" ht="69">
      <c r="A5870" s="502" t="s">
        <v>13874</v>
      </c>
      <c r="B5870" s="504" t="s">
        <v>33923</v>
      </c>
      <c r="C5870" s="502" t="s">
        <v>83</v>
      </c>
      <c r="D5870" s="503" t="s">
        <v>33924</v>
      </c>
      <c r="F5870" t="str">
        <f t="shared" si="185"/>
        <v>102297</v>
      </c>
      <c r="H5870" s="14">
        <f t="shared" si="184"/>
        <v>9.66</v>
      </c>
    </row>
    <row r="5871" spans="1:8" ht="69">
      <c r="A5871" s="502" t="s">
        <v>13875</v>
      </c>
      <c r="B5871" s="504" t="s">
        <v>33925</v>
      </c>
      <c r="C5871" s="502" t="s">
        <v>83</v>
      </c>
      <c r="D5871" s="503" t="s">
        <v>15834</v>
      </c>
      <c r="F5871" t="str">
        <f t="shared" si="185"/>
        <v>102298</v>
      </c>
      <c r="H5871" s="14">
        <f t="shared" si="184"/>
        <v>28.84</v>
      </c>
    </row>
    <row r="5872" spans="1:8" ht="69">
      <c r="A5872" s="502" t="s">
        <v>13876</v>
      </c>
      <c r="B5872" s="504" t="s">
        <v>33926</v>
      </c>
      <c r="C5872" s="502" t="s">
        <v>83</v>
      </c>
      <c r="D5872" s="503" t="s">
        <v>33865</v>
      </c>
      <c r="F5872" t="str">
        <f t="shared" si="185"/>
        <v>102299</v>
      </c>
      <c r="H5872" s="14">
        <f t="shared" si="184"/>
        <v>24.72</v>
      </c>
    </row>
    <row r="5873" spans="1:8" ht="69">
      <c r="A5873" s="502" t="s">
        <v>13877</v>
      </c>
      <c r="B5873" s="504" t="s">
        <v>33927</v>
      </c>
      <c r="C5873" s="502" t="s">
        <v>83</v>
      </c>
      <c r="D5873" s="503" t="s">
        <v>26348</v>
      </c>
      <c r="F5873" t="str">
        <f t="shared" si="185"/>
        <v>102300</v>
      </c>
      <c r="H5873" s="14">
        <f t="shared" si="184"/>
        <v>24.41</v>
      </c>
    </row>
    <row r="5874" spans="1:8" ht="69">
      <c r="A5874" s="502" t="s">
        <v>13878</v>
      </c>
      <c r="B5874" s="504" t="s">
        <v>33928</v>
      </c>
      <c r="C5874" s="502" t="s">
        <v>83</v>
      </c>
      <c r="D5874" s="503" t="s">
        <v>28589</v>
      </c>
      <c r="F5874" t="str">
        <f t="shared" si="185"/>
        <v>102301</v>
      </c>
      <c r="H5874" s="14">
        <f t="shared" si="184"/>
        <v>22.36</v>
      </c>
    </row>
    <row r="5875" spans="1:8" ht="69">
      <c r="A5875" s="502" t="s">
        <v>13879</v>
      </c>
      <c r="B5875" s="504" t="s">
        <v>33929</v>
      </c>
      <c r="C5875" s="502" t="s">
        <v>83</v>
      </c>
      <c r="D5875" s="503" t="s">
        <v>7236</v>
      </c>
      <c r="F5875" t="str">
        <f t="shared" si="185"/>
        <v>102302</v>
      </c>
      <c r="H5875" s="14">
        <f t="shared" si="184"/>
        <v>18.16</v>
      </c>
    </row>
    <row r="5876" spans="1:8" ht="69">
      <c r="A5876" s="502" t="s">
        <v>13880</v>
      </c>
      <c r="B5876" s="504" t="s">
        <v>33930</v>
      </c>
      <c r="C5876" s="502" t="s">
        <v>83</v>
      </c>
      <c r="D5876" s="503" t="s">
        <v>11630</v>
      </c>
      <c r="F5876" t="str">
        <f t="shared" si="185"/>
        <v>102303</v>
      </c>
      <c r="H5876" s="14">
        <f t="shared" si="184"/>
        <v>15.56</v>
      </c>
    </row>
    <row r="5877" spans="1:8" ht="69">
      <c r="A5877" s="502" t="s">
        <v>13881</v>
      </c>
      <c r="B5877" s="504" t="s">
        <v>33931</v>
      </c>
      <c r="C5877" s="502" t="s">
        <v>83</v>
      </c>
      <c r="D5877" s="503" t="s">
        <v>9914</v>
      </c>
      <c r="F5877" t="str">
        <f t="shared" si="185"/>
        <v>102304</v>
      </c>
      <c r="H5877" s="14">
        <f t="shared" si="184"/>
        <v>15.38</v>
      </c>
    </row>
    <row r="5878" spans="1:8" ht="69">
      <c r="A5878" s="502" t="s">
        <v>13882</v>
      </c>
      <c r="B5878" s="504" t="s">
        <v>33932</v>
      </c>
      <c r="C5878" s="502" t="s">
        <v>83</v>
      </c>
      <c r="D5878" s="503" t="s">
        <v>3123</v>
      </c>
      <c r="F5878" t="str">
        <f t="shared" si="185"/>
        <v>102305</v>
      </c>
      <c r="H5878" s="14">
        <f t="shared" si="184"/>
        <v>14.08</v>
      </c>
    </row>
    <row r="5879" spans="1:8" ht="69">
      <c r="A5879" s="502" t="s">
        <v>13883</v>
      </c>
      <c r="B5879" s="504" t="s">
        <v>33933</v>
      </c>
      <c r="C5879" s="502" t="s">
        <v>83</v>
      </c>
      <c r="D5879" s="503" t="s">
        <v>10400</v>
      </c>
      <c r="F5879" t="str">
        <f t="shared" si="185"/>
        <v>102306</v>
      </c>
      <c r="H5879" s="14">
        <f t="shared" si="184"/>
        <v>18.75</v>
      </c>
    </row>
    <row r="5880" spans="1:8" ht="69">
      <c r="A5880" s="502" t="s">
        <v>13884</v>
      </c>
      <c r="B5880" s="504" t="s">
        <v>33934</v>
      </c>
      <c r="C5880" s="502" t="s">
        <v>83</v>
      </c>
      <c r="D5880" s="503" t="s">
        <v>24297</v>
      </c>
      <c r="F5880" t="str">
        <f t="shared" si="185"/>
        <v>102307</v>
      </c>
      <c r="H5880" s="14">
        <f t="shared" si="184"/>
        <v>16.64</v>
      </c>
    </row>
    <row r="5881" spans="1:8" ht="69">
      <c r="A5881" s="502" t="s">
        <v>13885</v>
      </c>
      <c r="B5881" s="504" t="s">
        <v>33935</v>
      </c>
      <c r="C5881" s="502" t="s">
        <v>83</v>
      </c>
      <c r="D5881" s="503" t="s">
        <v>29343</v>
      </c>
      <c r="F5881" t="str">
        <f t="shared" si="185"/>
        <v>102308</v>
      </c>
      <c r="H5881" s="14">
        <f t="shared" si="184"/>
        <v>16.11</v>
      </c>
    </row>
    <row r="5882" spans="1:8" ht="69">
      <c r="A5882" s="502" t="s">
        <v>13886</v>
      </c>
      <c r="B5882" s="504" t="s">
        <v>33936</v>
      </c>
      <c r="C5882" s="502" t="s">
        <v>83</v>
      </c>
      <c r="D5882" s="503" t="s">
        <v>32941</v>
      </c>
      <c r="F5882" t="str">
        <f t="shared" si="185"/>
        <v>102309</v>
      </c>
      <c r="H5882" s="14">
        <f t="shared" si="184"/>
        <v>15.26</v>
      </c>
    </row>
    <row r="5883" spans="1:8" ht="69">
      <c r="A5883" s="502" t="s">
        <v>13887</v>
      </c>
      <c r="B5883" s="504" t="s">
        <v>33937</v>
      </c>
      <c r="C5883" s="502" t="s">
        <v>83</v>
      </c>
      <c r="D5883" s="503" t="s">
        <v>10679</v>
      </c>
      <c r="F5883" t="str">
        <f t="shared" si="185"/>
        <v>102310</v>
      </c>
      <c r="H5883" s="14">
        <f t="shared" si="184"/>
        <v>14.79</v>
      </c>
    </row>
    <row r="5884" spans="1:8" ht="82.8">
      <c r="A5884" s="502" t="s">
        <v>13888</v>
      </c>
      <c r="B5884" s="504" t="s">
        <v>33938</v>
      </c>
      <c r="C5884" s="502" t="s">
        <v>83</v>
      </c>
      <c r="D5884" s="503" t="s">
        <v>7355</v>
      </c>
      <c r="F5884" t="str">
        <f t="shared" si="185"/>
        <v>102311</v>
      </c>
      <c r="H5884" s="14">
        <f t="shared" si="184"/>
        <v>15.52</v>
      </c>
    </row>
    <row r="5885" spans="1:8" ht="69">
      <c r="A5885" s="502" t="s">
        <v>13889</v>
      </c>
      <c r="B5885" s="504" t="s">
        <v>33939</v>
      </c>
      <c r="C5885" s="502" t="s">
        <v>83</v>
      </c>
      <c r="D5885" s="503" t="s">
        <v>10781</v>
      </c>
      <c r="F5885" t="str">
        <f t="shared" si="185"/>
        <v>102312</v>
      </c>
      <c r="H5885" s="14">
        <f t="shared" si="184"/>
        <v>14.92</v>
      </c>
    </row>
    <row r="5886" spans="1:8" ht="69">
      <c r="A5886" s="502" t="s">
        <v>13890</v>
      </c>
      <c r="B5886" s="504" t="s">
        <v>33940</v>
      </c>
      <c r="C5886" s="502" t="s">
        <v>83</v>
      </c>
      <c r="D5886" s="503" t="s">
        <v>10013</v>
      </c>
      <c r="F5886" t="str">
        <f t="shared" si="185"/>
        <v>102313</v>
      </c>
      <c r="H5886" s="14">
        <f t="shared" si="184"/>
        <v>14.64</v>
      </c>
    </row>
    <row r="5887" spans="1:8" ht="69">
      <c r="A5887" s="502" t="s">
        <v>13891</v>
      </c>
      <c r="B5887" s="504" t="s">
        <v>33941</v>
      </c>
      <c r="C5887" s="502" t="s">
        <v>83</v>
      </c>
      <c r="D5887" s="503" t="s">
        <v>29102</v>
      </c>
      <c r="F5887" t="str">
        <f t="shared" si="185"/>
        <v>102314</v>
      </c>
      <c r="H5887" s="14">
        <f t="shared" si="184"/>
        <v>11.79</v>
      </c>
    </row>
    <row r="5888" spans="1:8" ht="69">
      <c r="A5888" s="502" t="s">
        <v>13892</v>
      </c>
      <c r="B5888" s="504" t="s">
        <v>33942</v>
      </c>
      <c r="C5888" s="502" t="s">
        <v>83</v>
      </c>
      <c r="D5888" s="503" t="s">
        <v>7900</v>
      </c>
      <c r="F5888" t="str">
        <f t="shared" si="185"/>
        <v>102315</v>
      </c>
      <c r="H5888" s="14">
        <f t="shared" si="184"/>
        <v>10.49</v>
      </c>
    </row>
    <row r="5889" spans="1:8" ht="69">
      <c r="A5889" s="502" t="s">
        <v>13893</v>
      </c>
      <c r="B5889" s="504" t="s">
        <v>33943</v>
      </c>
      <c r="C5889" s="502" t="s">
        <v>83</v>
      </c>
      <c r="D5889" s="503" t="s">
        <v>22459</v>
      </c>
      <c r="F5889" t="str">
        <f t="shared" si="185"/>
        <v>102316</v>
      </c>
      <c r="H5889" s="14">
        <f t="shared" si="184"/>
        <v>10.17</v>
      </c>
    </row>
    <row r="5890" spans="1:8" ht="69">
      <c r="A5890" s="502" t="s">
        <v>13894</v>
      </c>
      <c r="B5890" s="504" t="s">
        <v>33944</v>
      </c>
      <c r="C5890" s="502" t="s">
        <v>83</v>
      </c>
      <c r="D5890" s="503" t="s">
        <v>4992</v>
      </c>
      <c r="F5890" t="str">
        <f t="shared" si="185"/>
        <v>102317</v>
      </c>
      <c r="H5890" s="14">
        <f t="shared" si="184"/>
        <v>9.59</v>
      </c>
    </row>
    <row r="5891" spans="1:8" ht="69">
      <c r="A5891" s="502" t="s">
        <v>13895</v>
      </c>
      <c r="B5891" s="504" t="s">
        <v>33945</v>
      </c>
      <c r="C5891" s="502" t="s">
        <v>83</v>
      </c>
      <c r="D5891" s="503" t="s">
        <v>33546</v>
      </c>
      <c r="F5891" t="str">
        <f t="shared" si="185"/>
        <v>102318</v>
      </c>
      <c r="H5891" s="14">
        <f t="shared" si="184"/>
        <v>9.34</v>
      </c>
    </row>
    <row r="5892" spans="1:8" ht="82.8">
      <c r="A5892" s="502" t="s">
        <v>13896</v>
      </c>
      <c r="B5892" s="504" t="s">
        <v>33946</v>
      </c>
      <c r="C5892" s="502" t="s">
        <v>83</v>
      </c>
      <c r="D5892" s="503" t="s">
        <v>29097</v>
      </c>
      <c r="F5892" t="str">
        <f t="shared" si="185"/>
        <v>102319</v>
      </c>
      <c r="H5892" s="14">
        <f t="shared" si="184"/>
        <v>9.7899999999999991</v>
      </c>
    </row>
    <row r="5893" spans="1:8" ht="69">
      <c r="A5893" s="502" t="s">
        <v>13897</v>
      </c>
      <c r="B5893" s="504" t="s">
        <v>33947</v>
      </c>
      <c r="C5893" s="502" t="s">
        <v>83</v>
      </c>
      <c r="D5893" s="503" t="s">
        <v>2985</v>
      </c>
      <c r="F5893" t="str">
        <f t="shared" si="185"/>
        <v>102320</v>
      </c>
      <c r="H5893" s="14">
        <f t="shared" ref="H5893:H5956" si="186">ROUND(D5893*(1+$H$1),2)</f>
        <v>9.41</v>
      </c>
    </row>
    <row r="5894" spans="1:8" ht="69">
      <c r="A5894" s="502" t="s">
        <v>13898</v>
      </c>
      <c r="B5894" s="504" t="s">
        <v>33948</v>
      </c>
      <c r="C5894" s="502" t="s">
        <v>83</v>
      </c>
      <c r="D5894" s="503" t="s">
        <v>29549</v>
      </c>
      <c r="F5894" t="str">
        <f t="shared" si="185"/>
        <v>102321</v>
      </c>
      <c r="H5894" s="14">
        <f t="shared" si="186"/>
        <v>9.2200000000000006</v>
      </c>
    </row>
    <row r="5895" spans="1:8" ht="69">
      <c r="A5895" s="502" t="s">
        <v>13899</v>
      </c>
      <c r="B5895" s="504" t="s">
        <v>33949</v>
      </c>
      <c r="C5895" s="502" t="s">
        <v>83</v>
      </c>
      <c r="D5895" s="503" t="s">
        <v>33840</v>
      </c>
      <c r="F5895" t="str">
        <f t="shared" si="185"/>
        <v>102322</v>
      </c>
      <c r="H5895" s="14">
        <f t="shared" si="186"/>
        <v>27.56</v>
      </c>
    </row>
    <row r="5896" spans="1:8" ht="69">
      <c r="A5896" s="502" t="s">
        <v>13900</v>
      </c>
      <c r="B5896" s="504" t="s">
        <v>33950</v>
      </c>
      <c r="C5896" s="502" t="s">
        <v>83</v>
      </c>
      <c r="D5896" s="503" t="s">
        <v>28796</v>
      </c>
      <c r="F5896" t="str">
        <f t="shared" si="185"/>
        <v>102323</v>
      </c>
      <c r="H5896" s="14">
        <f t="shared" si="186"/>
        <v>23.6</v>
      </c>
    </row>
    <row r="5897" spans="1:8" ht="69">
      <c r="A5897" s="502" t="s">
        <v>13901</v>
      </c>
      <c r="B5897" s="504" t="s">
        <v>33951</v>
      </c>
      <c r="C5897" s="502" t="s">
        <v>83</v>
      </c>
      <c r="D5897" s="503" t="s">
        <v>10397</v>
      </c>
      <c r="F5897" t="str">
        <f t="shared" si="185"/>
        <v>102324</v>
      </c>
      <c r="H5897" s="14">
        <f t="shared" si="186"/>
        <v>23.32</v>
      </c>
    </row>
    <row r="5898" spans="1:8" ht="69">
      <c r="A5898" s="502" t="s">
        <v>13902</v>
      </c>
      <c r="B5898" s="504" t="s">
        <v>33952</v>
      </c>
      <c r="C5898" s="502" t="s">
        <v>83</v>
      </c>
      <c r="D5898" s="503" t="s">
        <v>15793</v>
      </c>
      <c r="F5898" t="str">
        <f t="shared" si="185"/>
        <v>102325</v>
      </c>
      <c r="H5898" s="14">
        <f t="shared" si="186"/>
        <v>21.36</v>
      </c>
    </row>
    <row r="5899" spans="1:8" ht="69">
      <c r="A5899" s="502" t="s">
        <v>13903</v>
      </c>
      <c r="B5899" s="504" t="s">
        <v>33953</v>
      </c>
      <c r="C5899" s="502" t="s">
        <v>83</v>
      </c>
      <c r="D5899" s="503" t="s">
        <v>9535</v>
      </c>
      <c r="F5899" t="str">
        <f t="shared" si="185"/>
        <v>102326</v>
      </c>
      <c r="H5899" s="14">
        <f t="shared" si="186"/>
        <v>17.36</v>
      </c>
    </row>
    <row r="5900" spans="1:8" ht="69">
      <c r="A5900" s="502" t="s">
        <v>13904</v>
      </c>
      <c r="B5900" s="504" t="s">
        <v>33954</v>
      </c>
      <c r="C5900" s="502" t="s">
        <v>83</v>
      </c>
      <c r="D5900" s="503" t="s">
        <v>29516</v>
      </c>
      <c r="F5900" t="str">
        <f t="shared" si="185"/>
        <v>102327</v>
      </c>
      <c r="H5900" s="14">
        <f t="shared" si="186"/>
        <v>14.87</v>
      </c>
    </row>
    <row r="5901" spans="1:8" ht="69">
      <c r="A5901" s="502" t="s">
        <v>13905</v>
      </c>
      <c r="B5901" s="504" t="s">
        <v>33955</v>
      </c>
      <c r="C5901" s="502" t="s">
        <v>83</v>
      </c>
      <c r="D5901" s="503" t="s">
        <v>28590</v>
      </c>
      <c r="F5901" t="str">
        <f t="shared" si="185"/>
        <v>102328</v>
      </c>
      <c r="H5901" s="14">
        <f t="shared" si="186"/>
        <v>14.7</v>
      </c>
    </row>
    <row r="5902" spans="1:8" ht="69">
      <c r="A5902" s="502" t="s">
        <v>13906</v>
      </c>
      <c r="B5902" s="504" t="s">
        <v>33956</v>
      </c>
      <c r="C5902" s="502" t="s">
        <v>83</v>
      </c>
      <c r="D5902" s="503" t="s">
        <v>33957</v>
      </c>
      <c r="F5902" t="str">
        <f t="shared" si="185"/>
        <v>102329</v>
      </c>
      <c r="H5902" s="14">
        <f t="shared" si="186"/>
        <v>13.46</v>
      </c>
    </row>
    <row r="5903" spans="1:8" ht="55.2">
      <c r="A5903" s="502" t="s">
        <v>6381</v>
      </c>
      <c r="B5903" s="504" t="s">
        <v>29766</v>
      </c>
      <c r="C5903" s="502" t="s">
        <v>83</v>
      </c>
      <c r="D5903" s="503" t="s">
        <v>33958</v>
      </c>
      <c r="F5903" t="str">
        <f t="shared" ref="F5903:F5925" si="187">TRIM(A5903)</f>
        <v>94304</v>
      </c>
      <c r="H5903" s="14">
        <f t="shared" si="186"/>
        <v>103.1</v>
      </c>
    </row>
    <row r="5904" spans="1:8" ht="55.2">
      <c r="A5904" s="502" t="s">
        <v>6382</v>
      </c>
      <c r="B5904" s="504" t="s">
        <v>29767</v>
      </c>
      <c r="C5904" s="502" t="s">
        <v>83</v>
      </c>
      <c r="D5904" s="503" t="s">
        <v>33959</v>
      </c>
      <c r="F5904" t="str">
        <f t="shared" si="187"/>
        <v>94306</v>
      </c>
      <c r="H5904" s="14">
        <f t="shared" si="186"/>
        <v>93.89</v>
      </c>
    </row>
    <row r="5905" spans="1:8" ht="55.2">
      <c r="A5905" s="524" t="s">
        <v>6383</v>
      </c>
      <c r="B5905" s="504" t="s">
        <v>29768</v>
      </c>
      <c r="C5905" s="502" t="s">
        <v>83</v>
      </c>
      <c r="D5905" s="503" t="s">
        <v>33960</v>
      </c>
      <c r="F5905" t="str">
        <f t="shared" si="187"/>
        <v>94310</v>
      </c>
      <c r="H5905" s="14">
        <f t="shared" si="186"/>
        <v>89.76</v>
      </c>
    </row>
    <row r="5906" spans="1:8" ht="55.2">
      <c r="A5906" s="502" t="s">
        <v>6384</v>
      </c>
      <c r="B5906" s="504" t="s">
        <v>29769</v>
      </c>
      <c r="C5906" s="502" t="s">
        <v>83</v>
      </c>
      <c r="D5906" s="503" t="s">
        <v>33739</v>
      </c>
      <c r="F5906" t="str">
        <f t="shared" si="187"/>
        <v>94316</v>
      </c>
      <c r="H5906" s="14">
        <f t="shared" si="186"/>
        <v>96.83</v>
      </c>
    </row>
    <row r="5907" spans="1:8" ht="55.2">
      <c r="A5907" s="502" t="s">
        <v>6385</v>
      </c>
      <c r="B5907" s="504" t="s">
        <v>29770</v>
      </c>
      <c r="C5907" s="502" t="s">
        <v>83</v>
      </c>
      <c r="D5907" s="503" t="s">
        <v>33961</v>
      </c>
      <c r="F5907" t="str">
        <f t="shared" si="187"/>
        <v>94318</v>
      </c>
      <c r="H5907" s="14">
        <f t="shared" si="186"/>
        <v>88.3</v>
      </c>
    </row>
    <row r="5908" spans="1:8" ht="27.6">
      <c r="A5908" s="502" t="s">
        <v>6386</v>
      </c>
      <c r="B5908" s="504" t="s">
        <v>29771</v>
      </c>
      <c r="C5908" s="502" t="s">
        <v>83</v>
      </c>
      <c r="D5908" s="503" t="s">
        <v>33962</v>
      </c>
      <c r="F5908" t="str">
        <f t="shared" si="187"/>
        <v>94319</v>
      </c>
      <c r="H5908" s="14">
        <f t="shared" si="186"/>
        <v>108.84</v>
      </c>
    </row>
    <row r="5909" spans="1:8" ht="55.2">
      <c r="A5909" s="502" t="s">
        <v>6387</v>
      </c>
      <c r="B5909" s="504" t="s">
        <v>29772</v>
      </c>
      <c r="C5909" s="502" t="s">
        <v>83</v>
      </c>
      <c r="D5909" s="503" t="s">
        <v>33757</v>
      </c>
      <c r="F5909" t="str">
        <f t="shared" si="187"/>
        <v>94327</v>
      </c>
      <c r="H5909" s="14">
        <f t="shared" si="186"/>
        <v>111.09</v>
      </c>
    </row>
    <row r="5910" spans="1:8" ht="55.2">
      <c r="A5910" s="502" t="s">
        <v>6388</v>
      </c>
      <c r="B5910" s="504" t="s">
        <v>29773</v>
      </c>
      <c r="C5910" s="502" t="s">
        <v>83</v>
      </c>
      <c r="D5910" s="503" t="s">
        <v>33963</v>
      </c>
      <c r="F5910" t="str">
        <f t="shared" si="187"/>
        <v>94329</v>
      </c>
      <c r="H5910" s="14">
        <f t="shared" si="186"/>
        <v>101.88</v>
      </c>
    </row>
    <row r="5911" spans="1:8" ht="55.2">
      <c r="A5911" s="502" t="s">
        <v>6389</v>
      </c>
      <c r="B5911" s="504" t="s">
        <v>29774</v>
      </c>
      <c r="C5911" s="502" t="s">
        <v>83</v>
      </c>
      <c r="D5911" s="503" t="s">
        <v>33964</v>
      </c>
      <c r="F5911" t="str">
        <f t="shared" si="187"/>
        <v>94333</v>
      </c>
      <c r="H5911" s="14">
        <f t="shared" si="186"/>
        <v>97.75</v>
      </c>
    </row>
    <row r="5912" spans="1:8" ht="55.2">
      <c r="A5912" s="502" t="s">
        <v>6390</v>
      </c>
      <c r="B5912" s="504" t="s">
        <v>29775</v>
      </c>
      <c r="C5912" s="502" t="s">
        <v>83</v>
      </c>
      <c r="D5912" s="503" t="s">
        <v>28971</v>
      </c>
      <c r="F5912" t="str">
        <f t="shared" si="187"/>
        <v>94339</v>
      </c>
      <c r="H5912" s="14">
        <f t="shared" si="186"/>
        <v>104.83</v>
      </c>
    </row>
    <row r="5913" spans="1:8" ht="55.2">
      <c r="A5913" s="502" t="s">
        <v>6391</v>
      </c>
      <c r="B5913" s="504" t="s">
        <v>29776</v>
      </c>
      <c r="C5913" s="502" t="s">
        <v>83</v>
      </c>
      <c r="D5913" s="503" t="s">
        <v>33965</v>
      </c>
      <c r="F5913" t="str">
        <f t="shared" si="187"/>
        <v>94341</v>
      </c>
      <c r="H5913" s="14">
        <f t="shared" si="186"/>
        <v>96.3</v>
      </c>
    </row>
    <row r="5914" spans="1:8" ht="27.6">
      <c r="A5914" s="502" t="s">
        <v>6392</v>
      </c>
      <c r="B5914" s="504" t="s">
        <v>29777</v>
      </c>
      <c r="C5914" s="502" t="s">
        <v>83</v>
      </c>
      <c r="D5914" s="503" t="s">
        <v>29878</v>
      </c>
      <c r="F5914" t="str">
        <f t="shared" si="187"/>
        <v>94342</v>
      </c>
      <c r="H5914" s="14">
        <f t="shared" si="186"/>
        <v>116.83</v>
      </c>
    </row>
    <row r="5915" spans="1:8" ht="69">
      <c r="A5915" s="502" t="s">
        <v>6393</v>
      </c>
      <c r="B5915" s="504" t="s">
        <v>33966</v>
      </c>
      <c r="C5915" s="502" t="s">
        <v>83</v>
      </c>
      <c r="D5915" s="503" t="s">
        <v>33473</v>
      </c>
      <c r="F5915" t="str">
        <f t="shared" si="187"/>
        <v>96385</v>
      </c>
      <c r="H5915" s="14">
        <f t="shared" si="186"/>
        <v>17.27</v>
      </c>
    </row>
    <row r="5916" spans="1:8" ht="69">
      <c r="A5916" s="502" t="s">
        <v>6394</v>
      </c>
      <c r="B5916" s="504" t="s">
        <v>33967</v>
      </c>
      <c r="C5916" s="502" t="s">
        <v>83</v>
      </c>
      <c r="D5916" s="503" t="s">
        <v>7271</v>
      </c>
      <c r="F5916" t="str">
        <f t="shared" si="187"/>
        <v>96386</v>
      </c>
      <c r="H5916" s="14">
        <f t="shared" si="186"/>
        <v>9.25</v>
      </c>
    </row>
    <row r="5917" spans="1:8" ht="69">
      <c r="A5917" s="502" t="s">
        <v>33968</v>
      </c>
      <c r="B5917" s="504" t="s">
        <v>33969</v>
      </c>
      <c r="C5917" s="502" t="s">
        <v>83</v>
      </c>
      <c r="D5917" s="503" t="s">
        <v>9785</v>
      </c>
      <c r="F5917" t="str">
        <f t="shared" si="187"/>
        <v>105556</v>
      </c>
      <c r="H5917" s="14">
        <f t="shared" si="186"/>
        <v>19.399999999999999</v>
      </c>
    </row>
    <row r="5918" spans="1:8" ht="69">
      <c r="A5918" s="502" t="s">
        <v>33970</v>
      </c>
      <c r="B5918" s="504" t="s">
        <v>33971</v>
      </c>
      <c r="C5918" s="502" t="s">
        <v>83</v>
      </c>
      <c r="D5918" s="503" t="s">
        <v>33972</v>
      </c>
      <c r="F5918" t="str">
        <f t="shared" si="187"/>
        <v>105557</v>
      </c>
      <c r="H5918" s="14">
        <f t="shared" si="186"/>
        <v>22.2</v>
      </c>
    </row>
    <row r="5919" spans="1:8" ht="69">
      <c r="A5919" s="502" t="s">
        <v>33973</v>
      </c>
      <c r="B5919" s="504" t="s">
        <v>33974</v>
      </c>
      <c r="C5919" s="502" t="s">
        <v>83</v>
      </c>
      <c r="D5919" s="503" t="s">
        <v>16146</v>
      </c>
      <c r="F5919" t="str">
        <f t="shared" si="187"/>
        <v>105558</v>
      </c>
      <c r="H5919" s="14">
        <f t="shared" si="186"/>
        <v>19.11</v>
      </c>
    </row>
    <row r="5920" spans="1:8" ht="69">
      <c r="A5920" s="502" t="s">
        <v>33975</v>
      </c>
      <c r="B5920" s="504" t="s">
        <v>33976</v>
      </c>
      <c r="C5920" s="502" t="s">
        <v>83</v>
      </c>
      <c r="D5920" s="503" t="s">
        <v>10013</v>
      </c>
      <c r="F5920" t="str">
        <f t="shared" si="187"/>
        <v>105559</v>
      </c>
      <c r="H5920" s="14">
        <f t="shared" si="186"/>
        <v>14.64</v>
      </c>
    </row>
    <row r="5921" spans="1:8" ht="69">
      <c r="A5921" s="502" t="s">
        <v>33977</v>
      </c>
      <c r="B5921" s="504" t="s">
        <v>33978</v>
      </c>
      <c r="C5921" s="502" t="s">
        <v>83</v>
      </c>
      <c r="D5921" s="503" t="s">
        <v>16152</v>
      </c>
      <c r="F5921" t="str">
        <f t="shared" si="187"/>
        <v>105560</v>
      </c>
      <c r="H5921" s="14">
        <f t="shared" si="186"/>
        <v>17.43</v>
      </c>
    </row>
    <row r="5922" spans="1:8" ht="69">
      <c r="A5922" s="502" t="s">
        <v>33979</v>
      </c>
      <c r="B5922" s="504" t="s">
        <v>33980</v>
      </c>
      <c r="C5922" s="502" t="s">
        <v>83</v>
      </c>
      <c r="D5922" s="503" t="s">
        <v>2987</v>
      </c>
      <c r="F5922" t="str">
        <f t="shared" si="187"/>
        <v>105561</v>
      </c>
      <c r="H5922" s="14">
        <f t="shared" si="186"/>
        <v>11.35</v>
      </c>
    </row>
    <row r="5923" spans="1:8" ht="69">
      <c r="A5923" s="502" t="s">
        <v>33981</v>
      </c>
      <c r="B5923" s="504" t="s">
        <v>33982</v>
      </c>
      <c r="C5923" s="502" t="s">
        <v>83</v>
      </c>
      <c r="D5923" s="503" t="s">
        <v>7330</v>
      </c>
      <c r="F5923" t="str">
        <f t="shared" si="187"/>
        <v>105562</v>
      </c>
      <c r="H5923" s="14">
        <f t="shared" si="186"/>
        <v>11.59</v>
      </c>
    </row>
    <row r="5924" spans="1:8" ht="69">
      <c r="A5924" s="502" t="s">
        <v>33983</v>
      </c>
      <c r="B5924" s="504" t="s">
        <v>33984</v>
      </c>
      <c r="C5924" s="502" t="s">
        <v>83</v>
      </c>
      <c r="D5924" s="503" t="s">
        <v>33985</v>
      </c>
      <c r="F5924" t="str">
        <f t="shared" si="187"/>
        <v>105563</v>
      </c>
      <c r="H5924" s="14">
        <f t="shared" si="186"/>
        <v>9.33</v>
      </c>
    </row>
    <row r="5925" spans="1:8" ht="69">
      <c r="A5925" s="502" t="s">
        <v>33986</v>
      </c>
      <c r="B5925" s="504" t="s">
        <v>33987</v>
      </c>
      <c r="C5925" s="502" t="s">
        <v>83</v>
      </c>
      <c r="D5925" s="503" t="s">
        <v>4559</v>
      </c>
      <c r="F5925" t="str">
        <f t="shared" si="187"/>
        <v>105564</v>
      </c>
      <c r="H5925" s="14">
        <f t="shared" si="186"/>
        <v>8.61</v>
      </c>
    </row>
    <row r="5926" spans="1:8" ht="69">
      <c r="A5926" s="502" t="s">
        <v>33988</v>
      </c>
      <c r="B5926" s="504" t="s">
        <v>33989</v>
      </c>
      <c r="C5926" s="502" t="s">
        <v>83</v>
      </c>
      <c r="D5926" s="503" t="s">
        <v>3987</v>
      </c>
      <c r="H5926" s="14">
        <f t="shared" si="186"/>
        <v>8.65</v>
      </c>
    </row>
    <row r="5927" spans="1:8" ht="69">
      <c r="A5927" s="502" t="s">
        <v>6396</v>
      </c>
      <c r="B5927" s="504" t="s">
        <v>29778</v>
      </c>
      <c r="C5927" s="502" t="s">
        <v>83</v>
      </c>
      <c r="D5927" s="503" t="s">
        <v>16267</v>
      </c>
      <c r="H5927" s="14">
        <f t="shared" si="186"/>
        <v>33.979999999999997</v>
      </c>
    </row>
    <row r="5928" spans="1:8" ht="69">
      <c r="A5928" s="502" t="s">
        <v>6397</v>
      </c>
      <c r="B5928" s="504" t="s">
        <v>29779</v>
      </c>
      <c r="C5928" s="502" t="s">
        <v>83</v>
      </c>
      <c r="D5928" s="503" t="s">
        <v>33990</v>
      </c>
      <c r="H5928" s="14">
        <f t="shared" si="186"/>
        <v>29.86</v>
      </c>
    </row>
    <row r="5929" spans="1:8" ht="69">
      <c r="A5929" s="502" t="s">
        <v>6398</v>
      </c>
      <c r="B5929" s="504" t="s">
        <v>29780</v>
      </c>
      <c r="C5929" s="502" t="s">
        <v>83</v>
      </c>
      <c r="D5929" s="503" t="s">
        <v>29071</v>
      </c>
      <c r="H5929" s="14">
        <f t="shared" si="186"/>
        <v>24.77</v>
      </c>
    </row>
    <row r="5930" spans="1:8" ht="69">
      <c r="A5930" s="502" t="s">
        <v>6399</v>
      </c>
      <c r="B5930" s="504" t="s">
        <v>29781</v>
      </c>
      <c r="C5930" s="502" t="s">
        <v>83</v>
      </c>
      <c r="D5930" s="503" t="s">
        <v>5375</v>
      </c>
      <c r="H5930" s="14">
        <f t="shared" si="186"/>
        <v>23.84</v>
      </c>
    </row>
    <row r="5931" spans="1:8" ht="69">
      <c r="A5931" s="502" t="s">
        <v>6400</v>
      </c>
      <c r="B5931" s="504" t="s">
        <v>29782</v>
      </c>
      <c r="C5931" s="502" t="s">
        <v>83</v>
      </c>
      <c r="D5931" s="503" t="s">
        <v>9892</v>
      </c>
      <c r="H5931" s="14">
        <f t="shared" si="186"/>
        <v>20.64</v>
      </c>
    </row>
    <row r="5932" spans="1:8" ht="82.8">
      <c r="A5932" s="502" t="s">
        <v>6401</v>
      </c>
      <c r="B5932" s="504" t="s">
        <v>29783</v>
      </c>
      <c r="C5932" s="502" t="s">
        <v>83</v>
      </c>
      <c r="D5932" s="503" t="s">
        <v>33991</v>
      </c>
      <c r="H5932" s="14">
        <f t="shared" si="186"/>
        <v>35.94</v>
      </c>
    </row>
    <row r="5933" spans="1:8" ht="82.8">
      <c r="A5933" s="502" t="s">
        <v>6402</v>
      </c>
      <c r="B5933" s="504" t="s">
        <v>29785</v>
      </c>
      <c r="C5933" s="502" t="s">
        <v>83</v>
      </c>
      <c r="D5933" s="503" t="s">
        <v>33992</v>
      </c>
      <c r="H5933" s="14">
        <f t="shared" si="186"/>
        <v>27.72</v>
      </c>
    </row>
    <row r="5934" spans="1:8" ht="82.8">
      <c r="A5934" s="502" t="s">
        <v>6403</v>
      </c>
      <c r="B5934" s="504" t="s">
        <v>29786</v>
      </c>
      <c r="C5934" s="502" t="s">
        <v>83</v>
      </c>
      <c r="D5934" s="503" t="s">
        <v>10275</v>
      </c>
      <c r="H5934" s="14">
        <f t="shared" si="186"/>
        <v>23.59</v>
      </c>
    </row>
    <row r="5935" spans="1:8" ht="82.8">
      <c r="A5935" s="502" t="s">
        <v>6404</v>
      </c>
      <c r="B5935" s="504" t="s">
        <v>29787</v>
      </c>
      <c r="C5935" s="502" t="s">
        <v>83</v>
      </c>
      <c r="D5935" s="503" t="s">
        <v>7462</v>
      </c>
      <c r="H5935" s="14">
        <f t="shared" si="186"/>
        <v>19.190000000000001</v>
      </c>
    </row>
    <row r="5936" spans="1:8" ht="27.6">
      <c r="A5936" s="502" t="s">
        <v>6405</v>
      </c>
      <c r="B5936" s="504" t="s">
        <v>29789</v>
      </c>
      <c r="C5936" s="502" t="s">
        <v>83</v>
      </c>
      <c r="D5936" s="503" t="s">
        <v>33993</v>
      </c>
      <c r="H5936" s="14">
        <f t="shared" si="186"/>
        <v>39.72</v>
      </c>
    </row>
    <row r="5937" spans="1:8" ht="69">
      <c r="A5937" s="502" t="s">
        <v>29790</v>
      </c>
      <c r="B5937" s="504" t="s">
        <v>29791</v>
      </c>
      <c r="C5937" s="502" t="s">
        <v>83</v>
      </c>
      <c r="D5937" s="503" t="s">
        <v>10045</v>
      </c>
      <c r="H5937" s="14">
        <f t="shared" si="186"/>
        <v>26.97</v>
      </c>
    </row>
    <row r="5938" spans="1:8" ht="69">
      <c r="A5938" s="524" t="s">
        <v>29792</v>
      </c>
      <c r="B5938" s="504" t="s">
        <v>29793</v>
      </c>
      <c r="C5938" s="502" t="s">
        <v>83</v>
      </c>
      <c r="D5938" s="503" t="s">
        <v>10040</v>
      </c>
      <c r="H5938" s="14">
        <f t="shared" si="186"/>
        <v>22.96</v>
      </c>
    </row>
    <row r="5939" spans="1:8" ht="69">
      <c r="A5939" s="502" t="s">
        <v>29794</v>
      </c>
      <c r="B5939" s="504" t="s">
        <v>29795</v>
      </c>
      <c r="C5939" s="502" t="s">
        <v>83</v>
      </c>
      <c r="D5939" s="503" t="s">
        <v>9933</v>
      </c>
      <c r="H5939" s="14">
        <f t="shared" si="186"/>
        <v>17.91</v>
      </c>
    </row>
    <row r="5940" spans="1:8" ht="69">
      <c r="A5940" s="502" t="s">
        <v>29796</v>
      </c>
      <c r="B5940" s="504" t="s">
        <v>29797</v>
      </c>
      <c r="C5940" s="502" t="s">
        <v>83</v>
      </c>
      <c r="D5940" s="503" t="s">
        <v>9889</v>
      </c>
      <c r="H5940" s="14">
        <f t="shared" si="186"/>
        <v>16.989999999999998</v>
      </c>
    </row>
    <row r="5941" spans="1:8" ht="69">
      <c r="A5941" s="502" t="s">
        <v>29798</v>
      </c>
      <c r="B5941" s="504" t="s">
        <v>29799</v>
      </c>
      <c r="C5941" s="502" t="s">
        <v>83</v>
      </c>
      <c r="D5941" s="503" t="s">
        <v>33082</v>
      </c>
      <c r="H5941" s="14">
        <f t="shared" si="186"/>
        <v>13.79</v>
      </c>
    </row>
    <row r="5942" spans="1:8" ht="69">
      <c r="A5942" s="502" t="s">
        <v>29800</v>
      </c>
      <c r="B5942" s="504" t="s">
        <v>29801</v>
      </c>
      <c r="C5942" s="502" t="s">
        <v>83</v>
      </c>
      <c r="D5942" s="503" t="s">
        <v>30454</v>
      </c>
      <c r="H5942" s="14">
        <f t="shared" si="186"/>
        <v>27.84</v>
      </c>
    </row>
    <row r="5943" spans="1:8" ht="69">
      <c r="A5943" s="502" t="s">
        <v>29803</v>
      </c>
      <c r="B5943" s="504" t="s">
        <v>29804</v>
      </c>
      <c r="C5943" s="502" t="s">
        <v>83</v>
      </c>
      <c r="D5943" s="503" t="s">
        <v>9985</v>
      </c>
      <c r="H5943" s="14">
        <f t="shared" si="186"/>
        <v>20.170000000000002</v>
      </c>
    </row>
    <row r="5944" spans="1:8" ht="82.8">
      <c r="A5944" s="524" t="s">
        <v>29805</v>
      </c>
      <c r="B5944" s="504" t="s">
        <v>29806</v>
      </c>
      <c r="C5944" s="502" t="s">
        <v>83</v>
      </c>
      <c r="D5944" s="503" t="s">
        <v>7331</v>
      </c>
      <c r="H5944" s="14">
        <f t="shared" si="186"/>
        <v>16.43</v>
      </c>
    </row>
    <row r="5945" spans="1:8" ht="82.8">
      <c r="A5945" s="502" t="s">
        <v>29807</v>
      </c>
      <c r="B5945" s="504" t="s">
        <v>29808</v>
      </c>
      <c r="C5945" s="502" t="s">
        <v>83</v>
      </c>
      <c r="D5945" s="503" t="s">
        <v>23964</v>
      </c>
      <c r="H5945" s="14">
        <f t="shared" si="186"/>
        <v>12.27</v>
      </c>
    </row>
    <row r="5946" spans="1:8" ht="27.6">
      <c r="A5946" s="502" t="s">
        <v>29809</v>
      </c>
      <c r="B5946" s="504" t="s">
        <v>29810</v>
      </c>
      <c r="C5946" s="502" t="s">
        <v>83</v>
      </c>
      <c r="D5946" s="503" t="s">
        <v>33994</v>
      </c>
      <c r="H5946" s="14">
        <f t="shared" si="186"/>
        <v>31.62</v>
      </c>
    </row>
    <row r="5947" spans="1:8" ht="27.6">
      <c r="A5947" s="502" t="s">
        <v>29811</v>
      </c>
      <c r="B5947" s="504" t="s">
        <v>29812</v>
      </c>
      <c r="C5947" s="502" t="s">
        <v>83</v>
      </c>
      <c r="D5947" s="503" t="s">
        <v>29828</v>
      </c>
      <c r="H5947" s="14">
        <f t="shared" si="186"/>
        <v>110.3</v>
      </c>
    </row>
    <row r="5948" spans="1:8" ht="27.6">
      <c r="A5948" s="502" t="s">
        <v>29814</v>
      </c>
      <c r="B5948" s="504" t="s">
        <v>29815</v>
      </c>
      <c r="C5948" s="502" t="s">
        <v>83</v>
      </c>
      <c r="D5948" s="503" t="s">
        <v>33995</v>
      </c>
      <c r="H5948" s="14">
        <f t="shared" si="186"/>
        <v>118.3</v>
      </c>
    </row>
    <row r="5949" spans="1:8" ht="27.6">
      <c r="A5949" s="502" t="s">
        <v>29816</v>
      </c>
      <c r="B5949" s="504" t="s">
        <v>29817</v>
      </c>
      <c r="C5949" s="502" t="s">
        <v>83</v>
      </c>
      <c r="D5949" s="503" t="s">
        <v>10082</v>
      </c>
      <c r="H5949" s="14">
        <f t="shared" si="186"/>
        <v>41.19</v>
      </c>
    </row>
    <row r="5950" spans="1:8" ht="27.6">
      <c r="A5950" s="502" t="s">
        <v>29818</v>
      </c>
      <c r="B5950" s="504" t="s">
        <v>29819</v>
      </c>
      <c r="C5950" s="502" t="s">
        <v>83</v>
      </c>
      <c r="D5950" s="503" t="s">
        <v>33996</v>
      </c>
      <c r="H5950" s="14">
        <f t="shared" si="186"/>
        <v>33.090000000000003</v>
      </c>
    </row>
    <row r="5951" spans="1:8" ht="27.6">
      <c r="A5951" s="502" t="s">
        <v>29820</v>
      </c>
      <c r="B5951" s="504" t="s">
        <v>29821</v>
      </c>
      <c r="C5951" s="502" t="s">
        <v>73</v>
      </c>
      <c r="D5951" s="503" t="s">
        <v>33808</v>
      </c>
      <c r="H5951" s="14">
        <f t="shared" si="186"/>
        <v>11.45</v>
      </c>
    </row>
    <row r="5952" spans="1:8" ht="27.6">
      <c r="A5952" s="502" t="s">
        <v>6418</v>
      </c>
      <c r="B5952" s="504" t="s">
        <v>13908</v>
      </c>
      <c r="C5952" s="502" t="s">
        <v>1765</v>
      </c>
      <c r="D5952" s="503" t="s">
        <v>7314</v>
      </c>
      <c r="H5952" s="14">
        <f t="shared" si="186"/>
        <v>3.36</v>
      </c>
    </row>
    <row r="5953" spans="1:8" ht="41.4">
      <c r="A5953" s="502" t="s">
        <v>6420</v>
      </c>
      <c r="B5953" s="504" t="s">
        <v>13909</v>
      </c>
      <c r="C5953" s="502" t="s">
        <v>1765</v>
      </c>
      <c r="D5953" s="503" t="s">
        <v>2965</v>
      </c>
      <c r="H5953" s="14">
        <f t="shared" si="186"/>
        <v>2.9</v>
      </c>
    </row>
    <row r="5954" spans="1:8" ht="41.4">
      <c r="A5954" s="502" t="s">
        <v>6421</v>
      </c>
      <c r="B5954" s="504" t="s">
        <v>13910</v>
      </c>
      <c r="C5954" s="502" t="s">
        <v>1765</v>
      </c>
      <c r="D5954" s="503" t="s">
        <v>7478</v>
      </c>
      <c r="H5954" s="14">
        <f t="shared" si="186"/>
        <v>2.68</v>
      </c>
    </row>
    <row r="5955" spans="1:8" ht="41.4">
      <c r="A5955" s="502" t="s">
        <v>6422</v>
      </c>
      <c r="B5955" s="504" t="s">
        <v>13911</v>
      </c>
      <c r="C5955" s="502" t="s">
        <v>1765</v>
      </c>
      <c r="D5955" s="503" t="s">
        <v>3854</v>
      </c>
      <c r="H5955" s="14">
        <f t="shared" si="186"/>
        <v>1.05</v>
      </c>
    </row>
    <row r="5956" spans="1:8" ht="27.6">
      <c r="A5956" s="502" t="s">
        <v>13912</v>
      </c>
      <c r="B5956" s="504" t="s">
        <v>13913</v>
      </c>
      <c r="C5956" s="502" t="s">
        <v>73</v>
      </c>
      <c r="D5956" s="503" t="s">
        <v>24831</v>
      </c>
      <c r="H5956" s="14">
        <f t="shared" si="186"/>
        <v>9.5</v>
      </c>
    </row>
    <row r="5957" spans="1:8" ht="41.4">
      <c r="A5957" s="502" t="s">
        <v>13914</v>
      </c>
      <c r="B5957" s="504" t="s">
        <v>13915</v>
      </c>
      <c r="C5957" s="502" t="s">
        <v>73</v>
      </c>
      <c r="D5957" s="503" t="s">
        <v>27707</v>
      </c>
      <c r="H5957" s="14">
        <f t="shared" ref="H5957:H6020" si="188">ROUND(D5957*(1+$H$1),2)</f>
        <v>4.6900000000000004</v>
      </c>
    </row>
    <row r="5958" spans="1:8" ht="41.4">
      <c r="A5958" s="502" t="s">
        <v>13916</v>
      </c>
      <c r="B5958" s="504" t="s">
        <v>13917</v>
      </c>
      <c r="C5958" s="502" t="s">
        <v>83</v>
      </c>
      <c r="D5958" s="503" t="s">
        <v>33997</v>
      </c>
      <c r="H5958" s="14">
        <f t="shared" si="188"/>
        <v>310.77999999999997</v>
      </c>
    </row>
    <row r="5959" spans="1:8" ht="41.4">
      <c r="A5959" s="502" t="s">
        <v>13918</v>
      </c>
      <c r="B5959" s="504" t="s">
        <v>13919</v>
      </c>
      <c r="C5959" s="502" t="s">
        <v>83</v>
      </c>
      <c r="D5959" s="503" t="s">
        <v>33998</v>
      </c>
      <c r="H5959" s="14">
        <f t="shared" si="188"/>
        <v>466.41</v>
      </c>
    </row>
    <row r="5960" spans="1:8" ht="41.4">
      <c r="A5960" s="502" t="s">
        <v>13920</v>
      </c>
      <c r="B5960" s="504" t="s">
        <v>13921</v>
      </c>
      <c r="C5960" s="502" t="s">
        <v>83</v>
      </c>
      <c r="D5960" s="503" t="s">
        <v>33999</v>
      </c>
      <c r="H5960" s="14">
        <f t="shared" si="188"/>
        <v>272.02</v>
      </c>
    </row>
    <row r="5961" spans="1:8" ht="41.4">
      <c r="A5961" s="502" t="s">
        <v>13922</v>
      </c>
      <c r="B5961" s="504" t="s">
        <v>13923</v>
      </c>
      <c r="C5961" s="502" t="s">
        <v>83</v>
      </c>
      <c r="D5961" s="503" t="s">
        <v>34000</v>
      </c>
      <c r="H5961" s="14">
        <f t="shared" si="188"/>
        <v>427.65</v>
      </c>
    </row>
    <row r="5962" spans="1:8" ht="41.4">
      <c r="A5962" s="502" t="s">
        <v>13924</v>
      </c>
      <c r="B5962" s="504" t="s">
        <v>13925</v>
      </c>
      <c r="C5962" s="502" t="s">
        <v>83</v>
      </c>
      <c r="D5962" s="503" t="s">
        <v>34001</v>
      </c>
      <c r="H5962" s="14">
        <f t="shared" si="188"/>
        <v>269.14</v>
      </c>
    </row>
    <row r="5963" spans="1:8" ht="41.4">
      <c r="A5963" s="502" t="s">
        <v>13926</v>
      </c>
      <c r="B5963" s="504" t="s">
        <v>13927</v>
      </c>
      <c r="C5963" s="502" t="s">
        <v>83</v>
      </c>
      <c r="D5963" s="503" t="s">
        <v>34002</v>
      </c>
      <c r="H5963" s="14">
        <f t="shared" si="188"/>
        <v>415.06</v>
      </c>
    </row>
    <row r="5964" spans="1:8" ht="41.4">
      <c r="A5964" s="502" t="s">
        <v>13928</v>
      </c>
      <c r="B5964" s="504" t="s">
        <v>13929</v>
      </c>
      <c r="C5964" s="502" t="s">
        <v>83</v>
      </c>
      <c r="D5964" s="503" t="s">
        <v>34003</v>
      </c>
      <c r="H5964" s="14">
        <f t="shared" si="188"/>
        <v>345.66</v>
      </c>
    </row>
    <row r="5965" spans="1:8" ht="15" customHeight="1">
      <c r="A5965" s="502" t="s">
        <v>13930</v>
      </c>
      <c r="B5965" s="504" t="s">
        <v>13931</v>
      </c>
      <c r="C5965" s="502" t="s">
        <v>83</v>
      </c>
      <c r="D5965" s="503" t="s">
        <v>34004</v>
      </c>
      <c r="H5965" s="14">
        <f t="shared" si="188"/>
        <v>208.35</v>
      </c>
    </row>
    <row r="5966" spans="1:8" ht="15" customHeight="1">
      <c r="A5966" s="502" t="s">
        <v>13933</v>
      </c>
      <c r="B5966" s="504" t="s">
        <v>13934</v>
      </c>
      <c r="C5966" s="502" t="s">
        <v>73</v>
      </c>
      <c r="D5966" s="503" t="s">
        <v>33347</v>
      </c>
      <c r="H5966" s="14">
        <f t="shared" si="188"/>
        <v>171.85</v>
      </c>
    </row>
    <row r="5967" spans="1:8" ht="15" customHeight="1">
      <c r="A5967" s="502" t="s">
        <v>26402</v>
      </c>
      <c r="B5967" s="504" t="s">
        <v>26403</v>
      </c>
      <c r="C5967" s="502" t="s">
        <v>73</v>
      </c>
      <c r="D5967" s="503" t="s">
        <v>33337</v>
      </c>
      <c r="H5967" s="14">
        <f t="shared" si="188"/>
        <v>69.73</v>
      </c>
    </row>
    <row r="5968" spans="1:8" ht="41.4">
      <c r="A5968" s="502" t="s">
        <v>26404</v>
      </c>
      <c r="B5968" s="504" t="s">
        <v>26405</v>
      </c>
      <c r="C5968" s="502" t="s">
        <v>73</v>
      </c>
      <c r="D5968" s="503" t="s">
        <v>31054</v>
      </c>
      <c r="H5968" s="14">
        <f t="shared" si="188"/>
        <v>71.34</v>
      </c>
    </row>
    <row r="5969" spans="1:8" ht="55.2">
      <c r="A5969" s="502" t="s">
        <v>26406</v>
      </c>
      <c r="B5969" s="504" t="s">
        <v>26407</v>
      </c>
      <c r="C5969" s="502" t="s">
        <v>73</v>
      </c>
      <c r="D5969" s="503" t="s">
        <v>34005</v>
      </c>
      <c r="H5969" s="14">
        <f t="shared" si="188"/>
        <v>94.5</v>
      </c>
    </row>
    <row r="5970" spans="1:8" ht="55.2">
      <c r="A5970" s="502" t="s">
        <v>26408</v>
      </c>
      <c r="B5970" s="504" t="s">
        <v>26409</v>
      </c>
      <c r="C5970" s="502" t="s">
        <v>73</v>
      </c>
      <c r="D5970" s="503" t="s">
        <v>34006</v>
      </c>
      <c r="H5970" s="14">
        <f t="shared" si="188"/>
        <v>96.31</v>
      </c>
    </row>
    <row r="5971" spans="1:8" ht="55.2">
      <c r="A5971" s="502" t="s">
        <v>26410</v>
      </c>
      <c r="B5971" s="504" t="s">
        <v>26411</v>
      </c>
      <c r="C5971" s="502" t="s">
        <v>73</v>
      </c>
      <c r="D5971" s="503" t="s">
        <v>34007</v>
      </c>
      <c r="H5971" s="14">
        <f t="shared" si="188"/>
        <v>111.04</v>
      </c>
    </row>
    <row r="5972" spans="1:8" ht="55.2">
      <c r="A5972" s="502" t="s">
        <v>26412</v>
      </c>
      <c r="B5972" s="504" t="s">
        <v>26413</v>
      </c>
      <c r="C5972" s="502" t="s">
        <v>73</v>
      </c>
      <c r="D5972" s="503" t="s">
        <v>34008</v>
      </c>
      <c r="H5972" s="14">
        <f t="shared" si="188"/>
        <v>113.16</v>
      </c>
    </row>
    <row r="5973" spans="1:8" ht="55.2">
      <c r="A5973" s="502" t="s">
        <v>26414</v>
      </c>
      <c r="B5973" s="504" t="s">
        <v>26415</v>
      </c>
      <c r="C5973" s="502" t="s">
        <v>73</v>
      </c>
      <c r="D5973" s="503" t="s">
        <v>17880</v>
      </c>
      <c r="H5973" s="14">
        <f t="shared" si="188"/>
        <v>123.42</v>
      </c>
    </row>
    <row r="5974" spans="1:8" ht="55.2">
      <c r="A5974" s="502" t="s">
        <v>26416</v>
      </c>
      <c r="B5974" s="504" t="s">
        <v>26417</v>
      </c>
      <c r="C5974" s="502" t="s">
        <v>73</v>
      </c>
      <c r="D5974" s="503" t="s">
        <v>34009</v>
      </c>
      <c r="H5974" s="14">
        <f t="shared" si="188"/>
        <v>124.82</v>
      </c>
    </row>
    <row r="5975" spans="1:8" ht="55.2">
      <c r="A5975" s="502" t="s">
        <v>26418</v>
      </c>
      <c r="B5975" s="504" t="s">
        <v>26419</v>
      </c>
      <c r="C5975" s="502" t="s">
        <v>73</v>
      </c>
      <c r="D5975" s="503" t="s">
        <v>29182</v>
      </c>
      <c r="H5975" s="14">
        <f t="shared" si="188"/>
        <v>104.05</v>
      </c>
    </row>
    <row r="5976" spans="1:8" ht="55.2">
      <c r="A5976" s="502" t="s">
        <v>26420</v>
      </c>
      <c r="B5976" s="504" t="s">
        <v>26421</v>
      </c>
      <c r="C5976" s="502" t="s">
        <v>73</v>
      </c>
      <c r="D5976" s="503" t="s">
        <v>34010</v>
      </c>
      <c r="H5976" s="14">
        <f t="shared" si="188"/>
        <v>105.57</v>
      </c>
    </row>
    <row r="5977" spans="1:8" ht="55.2">
      <c r="A5977" s="502" t="s">
        <v>26422</v>
      </c>
      <c r="B5977" s="504" t="s">
        <v>26423</v>
      </c>
      <c r="C5977" s="502" t="s">
        <v>73</v>
      </c>
      <c r="D5977" s="503" t="s">
        <v>34011</v>
      </c>
      <c r="H5977" s="14">
        <f t="shared" si="188"/>
        <v>159.94</v>
      </c>
    </row>
    <row r="5978" spans="1:8" ht="55.2">
      <c r="A5978" s="502" t="s">
        <v>26424</v>
      </c>
      <c r="B5978" s="504" t="s">
        <v>26425</v>
      </c>
      <c r="C5978" s="502" t="s">
        <v>73</v>
      </c>
      <c r="D5978" s="503" t="s">
        <v>27482</v>
      </c>
      <c r="H5978" s="14">
        <f t="shared" si="188"/>
        <v>161.55000000000001</v>
      </c>
    </row>
    <row r="5979" spans="1:8" ht="55.2">
      <c r="A5979" s="502" t="s">
        <v>26426</v>
      </c>
      <c r="B5979" s="504" t="s">
        <v>26427</v>
      </c>
      <c r="C5979" s="502" t="s">
        <v>73</v>
      </c>
      <c r="D5979" s="503" t="s">
        <v>34012</v>
      </c>
      <c r="H5979" s="14">
        <f t="shared" si="188"/>
        <v>187.32</v>
      </c>
    </row>
    <row r="5980" spans="1:8" ht="55.2">
      <c r="A5980" s="502" t="s">
        <v>26428</v>
      </c>
      <c r="B5980" s="504" t="s">
        <v>26429</v>
      </c>
      <c r="C5980" s="502" t="s">
        <v>73</v>
      </c>
      <c r="D5980" s="503" t="s">
        <v>34013</v>
      </c>
      <c r="H5980" s="14">
        <f t="shared" si="188"/>
        <v>190.13</v>
      </c>
    </row>
    <row r="5981" spans="1:8" ht="55.2">
      <c r="A5981" s="502" t="s">
        <v>34014</v>
      </c>
      <c r="B5981" s="504" t="s">
        <v>34015</v>
      </c>
      <c r="C5981" s="502" t="s">
        <v>73</v>
      </c>
      <c r="D5981" s="503" t="s">
        <v>34016</v>
      </c>
      <c r="H5981" s="14">
        <f t="shared" si="188"/>
        <v>99.9</v>
      </c>
    </row>
    <row r="5982" spans="1:8" ht="55.2">
      <c r="A5982" s="502" t="s">
        <v>34017</v>
      </c>
      <c r="B5982" s="504" t="s">
        <v>34018</v>
      </c>
      <c r="C5982" s="502" t="s">
        <v>73</v>
      </c>
      <c r="D5982" s="503" t="s">
        <v>31207</v>
      </c>
      <c r="H5982" s="14">
        <f t="shared" si="188"/>
        <v>101.78</v>
      </c>
    </row>
    <row r="5983" spans="1:8" ht="55.2">
      <c r="A5983" s="502" t="s">
        <v>34019</v>
      </c>
      <c r="B5983" s="504" t="s">
        <v>34020</v>
      </c>
      <c r="C5983" s="502" t="s">
        <v>73</v>
      </c>
      <c r="D5983" s="503" t="s">
        <v>15576</v>
      </c>
      <c r="H5983" s="14">
        <f t="shared" si="188"/>
        <v>112.16</v>
      </c>
    </row>
    <row r="5984" spans="1:8" ht="55.2">
      <c r="A5984" s="502" t="s">
        <v>34021</v>
      </c>
      <c r="B5984" s="504" t="s">
        <v>34022</v>
      </c>
      <c r="C5984" s="502" t="s">
        <v>73</v>
      </c>
      <c r="D5984" s="503" t="s">
        <v>34023</v>
      </c>
      <c r="H5984" s="14">
        <f t="shared" si="188"/>
        <v>114.16</v>
      </c>
    </row>
    <row r="5985" spans="1:8" ht="55.2">
      <c r="A5985" s="502" t="s">
        <v>34024</v>
      </c>
      <c r="B5985" s="504" t="s">
        <v>34025</v>
      </c>
      <c r="C5985" s="502" t="s">
        <v>73</v>
      </c>
      <c r="D5985" s="503" t="s">
        <v>22200</v>
      </c>
      <c r="H5985" s="14">
        <f t="shared" si="188"/>
        <v>83.03</v>
      </c>
    </row>
    <row r="5986" spans="1:8" ht="55.2">
      <c r="A5986" s="502" t="s">
        <v>34026</v>
      </c>
      <c r="B5986" s="504" t="s">
        <v>34027</v>
      </c>
      <c r="C5986" s="502" t="s">
        <v>73</v>
      </c>
      <c r="D5986" s="503" t="s">
        <v>28289</v>
      </c>
      <c r="H5986" s="14">
        <f t="shared" si="188"/>
        <v>84.73</v>
      </c>
    </row>
    <row r="5987" spans="1:8" ht="55.2">
      <c r="A5987" s="502" t="s">
        <v>26430</v>
      </c>
      <c r="B5987" s="504" t="s">
        <v>26431</v>
      </c>
      <c r="C5987" s="502" t="s">
        <v>73</v>
      </c>
      <c r="D5987" s="503" t="s">
        <v>34028</v>
      </c>
      <c r="H5987" s="14">
        <f t="shared" si="188"/>
        <v>229.14</v>
      </c>
    </row>
    <row r="5988" spans="1:8" ht="55.2">
      <c r="A5988" s="502" t="s">
        <v>26432</v>
      </c>
      <c r="B5988" s="504" t="s">
        <v>26433</v>
      </c>
      <c r="C5988" s="502" t="s">
        <v>73</v>
      </c>
      <c r="D5988" s="503" t="s">
        <v>34029</v>
      </c>
      <c r="H5988" s="14">
        <f t="shared" si="188"/>
        <v>231.2</v>
      </c>
    </row>
    <row r="5989" spans="1:8" ht="55.2">
      <c r="A5989" s="502" t="s">
        <v>34030</v>
      </c>
      <c r="B5989" s="504" t="s">
        <v>34031</v>
      </c>
      <c r="C5989" s="502" t="s">
        <v>73</v>
      </c>
      <c r="D5989" s="503" t="s">
        <v>34032</v>
      </c>
      <c r="H5989" s="14">
        <f t="shared" si="188"/>
        <v>135.69999999999999</v>
      </c>
    </row>
    <row r="5990" spans="1:8" ht="55.2">
      <c r="A5990" s="502" t="s">
        <v>34033</v>
      </c>
      <c r="B5990" s="504" t="s">
        <v>34034</v>
      </c>
      <c r="C5990" s="502" t="s">
        <v>73</v>
      </c>
      <c r="D5990" s="503" t="s">
        <v>34035</v>
      </c>
      <c r="H5990" s="14">
        <f t="shared" si="188"/>
        <v>137.19</v>
      </c>
    </row>
    <row r="5991" spans="1:8" ht="55.2">
      <c r="A5991" s="502" t="s">
        <v>34036</v>
      </c>
      <c r="B5991" s="504" t="s">
        <v>34037</v>
      </c>
      <c r="C5991" s="502" t="s">
        <v>73</v>
      </c>
      <c r="D5991" s="503" t="s">
        <v>24238</v>
      </c>
      <c r="H5991" s="14">
        <f t="shared" si="188"/>
        <v>114.22</v>
      </c>
    </row>
    <row r="5992" spans="1:8" ht="55.2">
      <c r="A5992" s="502" t="s">
        <v>34038</v>
      </c>
      <c r="B5992" s="504" t="s">
        <v>34039</v>
      </c>
      <c r="C5992" s="502" t="s">
        <v>73</v>
      </c>
      <c r="D5992" s="503" t="s">
        <v>30539</v>
      </c>
      <c r="H5992" s="14">
        <f t="shared" si="188"/>
        <v>115.83</v>
      </c>
    </row>
    <row r="5993" spans="1:8" ht="55.2">
      <c r="A5993" s="502" t="s">
        <v>26434</v>
      </c>
      <c r="B5993" s="504" t="s">
        <v>26435</v>
      </c>
      <c r="C5993" s="502" t="s">
        <v>73</v>
      </c>
      <c r="D5993" s="503" t="s">
        <v>28146</v>
      </c>
      <c r="H5993" s="14">
        <f t="shared" si="188"/>
        <v>74.900000000000006</v>
      </c>
    </row>
    <row r="5994" spans="1:8" ht="55.2">
      <c r="A5994" s="502" t="s">
        <v>26437</v>
      </c>
      <c r="B5994" s="504" t="s">
        <v>26438</v>
      </c>
      <c r="C5994" s="502" t="s">
        <v>73</v>
      </c>
      <c r="D5994" s="503" t="s">
        <v>34040</v>
      </c>
      <c r="H5994" s="14">
        <f t="shared" si="188"/>
        <v>76.09</v>
      </c>
    </row>
    <row r="5995" spans="1:8" ht="55.2">
      <c r="A5995" s="502" t="s">
        <v>34041</v>
      </c>
      <c r="B5995" s="504" t="s">
        <v>34042</v>
      </c>
      <c r="C5995" s="502" t="s">
        <v>73</v>
      </c>
      <c r="D5995" s="503" t="s">
        <v>34043</v>
      </c>
      <c r="H5995" s="14">
        <f t="shared" si="188"/>
        <v>86.97</v>
      </c>
    </row>
    <row r="5996" spans="1:8" ht="55.2">
      <c r="A5996" s="502" t="s">
        <v>34044</v>
      </c>
      <c r="B5996" s="504" t="s">
        <v>34045</v>
      </c>
      <c r="C5996" s="502" t="s">
        <v>73</v>
      </c>
      <c r="D5996" s="503" t="s">
        <v>34046</v>
      </c>
      <c r="H5996" s="14">
        <f t="shared" si="188"/>
        <v>88.25</v>
      </c>
    </row>
    <row r="5997" spans="1:8" ht="55.2">
      <c r="A5997" s="502" t="s">
        <v>34047</v>
      </c>
      <c r="B5997" s="504" t="s">
        <v>34048</v>
      </c>
      <c r="C5997" s="502" t="s">
        <v>73</v>
      </c>
      <c r="D5997" s="503" t="s">
        <v>26611</v>
      </c>
      <c r="H5997" s="14">
        <f t="shared" si="188"/>
        <v>102.1</v>
      </c>
    </row>
    <row r="5998" spans="1:8" ht="55.2">
      <c r="A5998" s="502" t="s">
        <v>34049</v>
      </c>
      <c r="B5998" s="504" t="s">
        <v>34050</v>
      </c>
      <c r="C5998" s="502" t="s">
        <v>73</v>
      </c>
      <c r="D5998" s="503" t="s">
        <v>31024</v>
      </c>
      <c r="H5998" s="14">
        <f t="shared" si="188"/>
        <v>103.71</v>
      </c>
    </row>
    <row r="5999" spans="1:8" ht="55.2">
      <c r="A5999" s="502" t="s">
        <v>34051</v>
      </c>
      <c r="B5999" s="504" t="s">
        <v>34052</v>
      </c>
      <c r="C5999" s="502" t="s">
        <v>73</v>
      </c>
      <c r="D5999" s="503" t="s">
        <v>34053</v>
      </c>
      <c r="H5999" s="14">
        <f t="shared" si="188"/>
        <v>122.48</v>
      </c>
    </row>
    <row r="6000" spans="1:8" ht="55.2">
      <c r="A6000" s="502" t="s">
        <v>34054</v>
      </c>
      <c r="B6000" s="504" t="s">
        <v>34055</v>
      </c>
      <c r="C6000" s="502" t="s">
        <v>73</v>
      </c>
      <c r="D6000" s="503" t="s">
        <v>34056</v>
      </c>
      <c r="H6000" s="14">
        <f t="shared" si="188"/>
        <v>124.3</v>
      </c>
    </row>
    <row r="6001" spans="1:8" ht="55.2">
      <c r="A6001" s="502" t="s">
        <v>34057</v>
      </c>
      <c r="B6001" s="504" t="s">
        <v>34058</v>
      </c>
      <c r="C6001" s="502" t="s">
        <v>73</v>
      </c>
      <c r="D6001" s="503" t="s">
        <v>34059</v>
      </c>
      <c r="H6001" s="14">
        <f t="shared" si="188"/>
        <v>61.65</v>
      </c>
    </row>
    <row r="6002" spans="1:8" ht="55.2">
      <c r="A6002" s="502" t="s">
        <v>34060</v>
      </c>
      <c r="B6002" s="504" t="s">
        <v>34061</v>
      </c>
      <c r="C6002" s="502" t="s">
        <v>73</v>
      </c>
      <c r="D6002" s="503" t="s">
        <v>34062</v>
      </c>
      <c r="H6002" s="14">
        <f t="shared" si="188"/>
        <v>62.43</v>
      </c>
    </row>
    <row r="6003" spans="1:8" ht="55.2">
      <c r="A6003" s="502" t="s">
        <v>34063</v>
      </c>
      <c r="B6003" s="504" t="s">
        <v>34064</v>
      </c>
      <c r="C6003" s="502" t="s">
        <v>73</v>
      </c>
      <c r="D6003" s="503" t="s">
        <v>34065</v>
      </c>
      <c r="H6003" s="14">
        <f t="shared" si="188"/>
        <v>74.34</v>
      </c>
    </row>
    <row r="6004" spans="1:8" ht="55.2">
      <c r="A6004" s="502" t="s">
        <v>34066</v>
      </c>
      <c r="B6004" s="504" t="s">
        <v>34067</v>
      </c>
      <c r="C6004" s="502" t="s">
        <v>73</v>
      </c>
      <c r="D6004" s="503" t="s">
        <v>29104</v>
      </c>
      <c r="H6004" s="14">
        <f t="shared" si="188"/>
        <v>75.5</v>
      </c>
    </row>
    <row r="6005" spans="1:8" ht="55.2">
      <c r="A6005" s="502" t="s">
        <v>34068</v>
      </c>
      <c r="B6005" s="504" t="s">
        <v>34069</v>
      </c>
      <c r="C6005" s="502" t="s">
        <v>73</v>
      </c>
      <c r="D6005" s="503" t="s">
        <v>34070</v>
      </c>
      <c r="H6005" s="14">
        <f t="shared" si="188"/>
        <v>84.87</v>
      </c>
    </row>
    <row r="6006" spans="1:8" ht="55.2">
      <c r="A6006" s="502" t="s">
        <v>34071</v>
      </c>
      <c r="B6006" s="504" t="s">
        <v>34072</v>
      </c>
      <c r="C6006" s="502" t="s">
        <v>73</v>
      </c>
      <c r="D6006" s="503" t="s">
        <v>28033</v>
      </c>
      <c r="H6006" s="14">
        <f t="shared" si="188"/>
        <v>86.33</v>
      </c>
    </row>
    <row r="6007" spans="1:8" ht="55.2">
      <c r="A6007" s="502" t="s">
        <v>34073</v>
      </c>
      <c r="B6007" s="504" t="s">
        <v>34074</v>
      </c>
      <c r="C6007" s="502" t="s">
        <v>73</v>
      </c>
      <c r="D6007" s="503" t="s">
        <v>34075</v>
      </c>
      <c r="H6007" s="14">
        <f t="shared" si="188"/>
        <v>105.39</v>
      </c>
    </row>
    <row r="6008" spans="1:8" ht="55.2">
      <c r="A6008" s="502" t="s">
        <v>34076</v>
      </c>
      <c r="B6008" s="504" t="s">
        <v>34077</v>
      </c>
      <c r="C6008" s="502" t="s">
        <v>73</v>
      </c>
      <c r="D6008" s="503" t="s">
        <v>34078</v>
      </c>
      <c r="H6008" s="14">
        <f t="shared" si="188"/>
        <v>107.04</v>
      </c>
    </row>
    <row r="6009" spans="1:8" ht="55.2">
      <c r="A6009" s="502" t="s">
        <v>6425</v>
      </c>
      <c r="B6009" s="504" t="s">
        <v>26439</v>
      </c>
      <c r="C6009" s="502" t="s">
        <v>73</v>
      </c>
      <c r="D6009" s="503" t="s">
        <v>30527</v>
      </c>
      <c r="H6009" s="14">
        <f t="shared" si="188"/>
        <v>82.87</v>
      </c>
    </row>
    <row r="6010" spans="1:8" ht="55.2">
      <c r="A6010" s="502" t="s">
        <v>6426</v>
      </c>
      <c r="B6010" s="504" t="s">
        <v>26440</v>
      </c>
      <c r="C6010" s="502" t="s">
        <v>73</v>
      </c>
      <c r="D6010" s="503" t="s">
        <v>34079</v>
      </c>
      <c r="H6010" s="14">
        <f t="shared" si="188"/>
        <v>84.63</v>
      </c>
    </row>
    <row r="6011" spans="1:8" ht="55.2">
      <c r="A6011" s="502" t="s">
        <v>6427</v>
      </c>
      <c r="B6011" s="504" t="s">
        <v>26441</v>
      </c>
      <c r="C6011" s="502" t="s">
        <v>73</v>
      </c>
      <c r="D6011" s="503" t="s">
        <v>34080</v>
      </c>
      <c r="H6011" s="14">
        <f t="shared" si="188"/>
        <v>94.91</v>
      </c>
    </row>
    <row r="6012" spans="1:8" ht="55.2">
      <c r="A6012" s="502" t="s">
        <v>6428</v>
      </c>
      <c r="B6012" s="504" t="s">
        <v>26442</v>
      </c>
      <c r="C6012" s="502" t="s">
        <v>73</v>
      </c>
      <c r="D6012" s="503" t="s">
        <v>34081</v>
      </c>
      <c r="H6012" s="14">
        <f t="shared" si="188"/>
        <v>96.86</v>
      </c>
    </row>
    <row r="6013" spans="1:8" ht="55.2">
      <c r="A6013" s="502" t="s">
        <v>6429</v>
      </c>
      <c r="B6013" s="504" t="s">
        <v>26443</v>
      </c>
      <c r="C6013" s="502" t="s">
        <v>73</v>
      </c>
      <c r="D6013" s="503" t="s">
        <v>29827</v>
      </c>
      <c r="H6013" s="14">
        <f t="shared" si="188"/>
        <v>99.19</v>
      </c>
    </row>
    <row r="6014" spans="1:8" ht="55.2">
      <c r="A6014" s="502" t="s">
        <v>6430</v>
      </c>
      <c r="B6014" s="504" t="s">
        <v>26444</v>
      </c>
      <c r="C6014" s="502" t="s">
        <v>73</v>
      </c>
      <c r="D6014" s="503" t="s">
        <v>34082</v>
      </c>
      <c r="H6014" s="14">
        <f t="shared" si="188"/>
        <v>101.54</v>
      </c>
    </row>
    <row r="6015" spans="1:8" ht="55.2">
      <c r="A6015" s="502" t="s">
        <v>6431</v>
      </c>
      <c r="B6015" s="504" t="s">
        <v>26445</v>
      </c>
      <c r="C6015" s="502" t="s">
        <v>73</v>
      </c>
      <c r="D6015" s="503" t="s">
        <v>30652</v>
      </c>
      <c r="H6015" s="14">
        <f t="shared" si="188"/>
        <v>118.19</v>
      </c>
    </row>
    <row r="6016" spans="1:8" ht="55.2">
      <c r="A6016" s="502" t="s">
        <v>6432</v>
      </c>
      <c r="B6016" s="504" t="s">
        <v>26446</v>
      </c>
      <c r="C6016" s="502" t="s">
        <v>73</v>
      </c>
      <c r="D6016" s="503" t="s">
        <v>30953</v>
      </c>
      <c r="H6016" s="14">
        <f t="shared" si="188"/>
        <v>120.8</v>
      </c>
    </row>
    <row r="6017" spans="1:8" ht="27.6">
      <c r="A6017" s="502" t="s">
        <v>26447</v>
      </c>
      <c r="B6017" s="504" t="s">
        <v>26448</v>
      </c>
      <c r="C6017" s="502" t="s">
        <v>73</v>
      </c>
      <c r="D6017" s="503" t="s">
        <v>16760</v>
      </c>
      <c r="H6017" s="14">
        <f t="shared" si="188"/>
        <v>83.83</v>
      </c>
    </row>
    <row r="6018" spans="1:8" ht="27.6">
      <c r="A6018" s="502" t="s">
        <v>26449</v>
      </c>
      <c r="B6018" s="504" t="s">
        <v>26450</v>
      </c>
      <c r="C6018" s="502" t="s">
        <v>73</v>
      </c>
      <c r="D6018" s="503" t="s">
        <v>34083</v>
      </c>
      <c r="H6018" s="14">
        <f t="shared" si="188"/>
        <v>109</v>
      </c>
    </row>
    <row r="6019" spans="1:8" ht="41.4">
      <c r="A6019" s="502" t="s">
        <v>13939</v>
      </c>
      <c r="B6019" s="504" t="s">
        <v>13940</v>
      </c>
      <c r="C6019" s="502" t="s">
        <v>73</v>
      </c>
      <c r="D6019" s="503" t="s">
        <v>34084</v>
      </c>
      <c r="H6019" s="14">
        <f t="shared" si="188"/>
        <v>194.15</v>
      </c>
    </row>
    <row r="6020" spans="1:8" ht="41.4">
      <c r="A6020" s="502" t="s">
        <v>26451</v>
      </c>
      <c r="B6020" s="504" t="s">
        <v>26452</v>
      </c>
      <c r="C6020" s="502" t="s">
        <v>73</v>
      </c>
      <c r="D6020" s="503" t="s">
        <v>33294</v>
      </c>
      <c r="H6020" s="14">
        <f t="shared" si="188"/>
        <v>106.03</v>
      </c>
    </row>
    <row r="6021" spans="1:8" ht="41.4">
      <c r="A6021" s="502" t="s">
        <v>26453</v>
      </c>
      <c r="B6021" s="504" t="s">
        <v>26454</v>
      </c>
      <c r="C6021" s="502" t="s">
        <v>73</v>
      </c>
      <c r="D6021" s="503" t="s">
        <v>28288</v>
      </c>
      <c r="H6021" s="14">
        <f t="shared" ref="H6021:H6084" si="189">ROUND(D6021*(1+$H$1),2)</f>
        <v>107.37</v>
      </c>
    </row>
    <row r="6022" spans="1:8" ht="15" customHeight="1">
      <c r="A6022" s="502" t="s">
        <v>26455</v>
      </c>
      <c r="B6022" s="504" t="s">
        <v>26456</v>
      </c>
      <c r="C6022" s="502" t="s">
        <v>73</v>
      </c>
      <c r="D6022" s="503" t="s">
        <v>34085</v>
      </c>
      <c r="H6022" s="14">
        <f t="shared" si="189"/>
        <v>137.78</v>
      </c>
    </row>
    <row r="6023" spans="1:8" ht="41.4">
      <c r="A6023" s="502" t="s">
        <v>26457</v>
      </c>
      <c r="B6023" s="504" t="s">
        <v>26458</v>
      </c>
      <c r="C6023" s="502" t="s">
        <v>73</v>
      </c>
      <c r="D6023" s="503" t="s">
        <v>34086</v>
      </c>
      <c r="H6023" s="14">
        <f t="shared" si="189"/>
        <v>139.35</v>
      </c>
    </row>
    <row r="6024" spans="1:8" ht="41.4">
      <c r="A6024" s="502" t="s">
        <v>26459</v>
      </c>
      <c r="B6024" s="504" t="s">
        <v>26460</v>
      </c>
      <c r="C6024" s="502" t="s">
        <v>73</v>
      </c>
      <c r="D6024" s="503" t="s">
        <v>34087</v>
      </c>
      <c r="H6024" s="14">
        <f t="shared" si="189"/>
        <v>165.27</v>
      </c>
    </row>
    <row r="6025" spans="1:8" ht="41.4">
      <c r="A6025" s="502" t="s">
        <v>26461</v>
      </c>
      <c r="B6025" s="504" t="s">
        <v>26462</v>
      </c>
      <c r="C6025" s="502" t="s">
        <v>73</v>
      </c>
      <c r="D6025" s="503" t="s">
        <v>33346</v>
      </c>
      <c r="H6025" s="14">
        <f t="shared" si="189"/>
        <v>167.24</v>
      </c>
    </row>
    <row r="6026" spans="1:8" ht="55.2">
      <c r="A6026" s="502" t="s">
        <v>26463</v>
      </c>
      <c r="B6026" s="504" t="s">
        <v>26464</v>
      </c>
      <c r="C6026" s="502" t="s">
        <v>73</v>
      </c>
      <c r="D6026" s="503" t="s">
        <v>34088</v>
      </c>
      <c r="H6026" s="14">
        <f t="shared" si="189"/>
        <v>119.78</v>
      </c>
    </row>
    <row r="6027" spans="1:8" ht="41.4">
      <c r="A6027" s="502" t="s">
        <v>26465</v>
      </c>
      <c r="B6027" s="504" t="s">
        <v>26466</v>
      </c>
      <c r="C6027" s="502" t="s">
        <v>73</v>
      </c>
      <c r="D6027" s="503" t="s">
        <v>34089</v>
      </c>
      <c r="H6027" s="14">
        <f t="shared" si="189"/>
        <v>121.12</v>
      </c>
    </row>
    <row r="6028" spans="1:8" ht="55.2">
      <c r="A6028" s="502" t="s">
        <v>26467</v>
      </c>
      <c r="B6028" s="504" t="s">
        <v>26468</v>
      </c>
      <c r="C6028" s="502" t="s">
        <v>73</v>
      </c>
      <c r="D6028" s="503" t="s">
        <v>34090</v>
      </c>
      <c r="H6028" s="14">
        <f t="shared" si="189"/>
        <v>157.74</v>
      </c>
    </row>
    <row r="6029" spans="1:8" ht="55.2">
      <c r="A6029" s="502" t="s">
        <v>26469</v>
      </c>
      <c r="B6029" s="504" t="s">
        <v>26470</v>
      </c>
      <c r="C6029" s="502" t="s">
        <v>73</v>
      </c>
      <c r="D6029" s="503" t="s">
        <v>34091</v>
      </c>
      <c r="H6029" s="14">
        <f t="shared" si="189"/>
        <v>159.31</v>
      </c>
    </row>
    <row r="6030" spans="1:8" ht="55.2">
      <c r="A6030" s="502" t="s">
        <v>26471</v>
      </c>
      <c r="B6030" s="504" t="s">
        <v>26472</v>
      </c>
      <c r="C6030" s="502" t="s">
        <v>73</v>
      </c>
      <c r="D6030" s="503" t="s">
        <v>29313</v>
      </c>
      <c r="H6030" s="14">
        <f t="shared" si="189"/>
        <v>190.45</v>
      </c>
    </row>
    <row r="6031" spans="1:8" ht="55.2">
      <c r="A6031" s="502" t="s">
        <v>26473</v>
      </c>
      <c r="B6031" s="504" t="s">
        <v>26474</v>
      </c>
      <c r="C6031" s="502" t="s">
        <v>73</v>
      </c>
      <c r="D6031" s="503" t="s">
        <v>34092</v>
      </c>
      <c r="H6031" s="14">
        <f t="shared" si="189"/>
        <v>192.43</v>
      </c>
    </row>
    <row r="6032" spans="1:8" ht="41.4">
      <c r="A6032" s="502" t="s">
        <v>26475</v>
      </c>
      <c r="B6032" s="504" t="s">
        <v>26476</v>
      </c>
      <c r="C6032" s="502" t="s">
        <v>73</v>
      </c>
      <c r="D6032" s="503" t="s">
        <v>34093</v>
      </c>
      <c r="H6032" s="14">
        <f t="shared" si="189"/>
        <v>160.65</v>
      </c>
    </row>
    <row r="6033" spans="1:8" ht="41.4">
      <c r="A6033" s="502" t="s">
        <v>26477</v>
      </c>
      <c r="B6033" s="504" t="s">
        <v>26478</v>
      </c>
      <c r="C6033" s="502" t="s">
        <v>73</v>
      </c>
      <c r="D6033" s="503" t="s">
        <v>34094</v>
      </c>
      <c r="H6033" s="14">
        <f t="shared" si="189"/>
        <v>162.38999999999999</v>
      </c>
    </row>
    <row r="6034" spans="1:8" ht="41.4">
      <c r="A6034" s="502" t="s">
        <v>6434</v>
      </c>
      <c r="B6034" s="504" t="s">
        <v>26479</v>
      </c>
      <c r="C6034" s="502" t="s">
        <v>73</v>
      </c>
      <c r="D6034" s="503" t="s">
        <v>19775</v>
      </c>
      <c r="H6034" s="14">
        <f t="shared" si="189"/>
        <v>119.79</v>
      </c>
    </row>
    <row r="6035" spans="1:8" ht="41.4">
      <c r="A6035" s="502" t="s">
        <v>6435</v>
      </c>
      <c r="B6035" s="504" t="s">
        <v>26480</v>
      </c>
      <c r="C6035" s="502" t="s">
        <v>73</v>
      </c>
      <c r="D6035" s="503" t="s">
        <v>30675</v>
      </c>
      <c r="H6035" s="14">
        <f t="shared" si="189"/>
        <v>145.07</v>
      </c>
    </row>
    <row r="6036" spans="1:8" ht="41.4">
      <c r="A6036" s="502" t="s">
        <v>6436</v>
      </c>
      <c r="B6036" s="504" t="s">
        <v>26481</v>
      </c>
      <c r="C6036" s="502" t="s">
        <v>73</v>
      </c>
      <c r="D6036" s="503" t="s">
        <v>34095</v>
      </c>
      <c r="H6036" s="14">
        <f t="shared" si="189"/>
        <v>158.81</v>
      </c>
    </row>
    <row r="6037" spans="1:8" ht="41.4">
      <c r="A6037" s="502" t="s">
        <v>6437</v>
      </c>
      <c r="B6037" s="504" t="s">
        <v>29829</v>
      </c>
      <c r="C6037" s="502" t="s">
        <v>73</v>
      </c>
      <c r="D6037" s="503" t="s">
        <v>34096</v>
      </c>
      <c r="H6037" s="14">
        <f t="shared" si="189"/>
        <v>186.56</v>
      </c>
    </row>
    <row r="6038" spans="1:8" ht="41.4">
      <c r="A6038" s="502" t="s">
        <v>6438</v>
      </c>
      <c r="B6038" s="504" t="s">
        <v>26482</v>
      </c>
      <c r="C6038" s="502" t="s">
        <v>73</v>
      </c>
      <c r="D6038" s="503" t="s">
        <v>34097</v>
      </c>
      <c r="H6038" s="14">
        <f t="shared" si="189"/>
        <v>136.19</v>
      </c>
    </row>
    <row r="6039" spans="1:8" ht="41.4">
      <c r="A6039" s="502" t="s">
        <v>6439</v>
      </c>
      <c r="B6039" s="504" t="s">
        <v>26484</v>
      </c>
      <c r="C6039" s="502" t="s">
        <v>73</v>
      </c>
      <c r="D6039" s="503" t="s">
        <v>34098</v>
      </c>
      <c r="H6039" s="14">
        <f t="shared" si="189"/>
        <v>162.87</v>
      </c>
    </row>
    <row r="6040" spans="1:8" ht="41.4">
      <c r="A6040" s="502" t="s">
        <v>6440</v>
      </c>
      <c r="B6040" s="504" t="s">
        <v>26485</v>
      </c>
      <c r="C6040" s="502" t="s">
        <v>73</v>
      </c>
      <c r="D6040" s="503" t="s">
        <v>34099</v>
      </c>
      <c r="H6040" s="14">
        <f t="shared" si="189"/>
        <v>185.96</v>
      </c>
    </row>
    <row r="6041" spans="1:8" ht="41.4">
      <c r="A6041" s="502" t="s">
        <v>6441</v>
      </c>
      <c r="B6041" s="504" t="s">
        <v>26486</v>
      </c>
      <c r="C6041" s="502" t="s">
        <v>73</v>
      </c>
      <c r="D6041" s="503" t="s">
        <v>34100</v>
      </c>
      <c r="H6041" s="14">
        <f t="shared" si="189"/>
        <v>215.13</v>
      </c>
    </row>
    <row r="6042" spans="1:8" ht="41.4">
      <c r="A6042" s="502" t="s">
        <v>13943</v>
      </c>
      <c r="B6042" s="504" t="s">
        <v>13944</v>
      </c>
      <c r="C6042" s="502" t="s">
        <v>73</v>
      </c>
      <c r="D6042" s="503" t="s">
        <v>34101</v>
      </c>
      <c r="H6042" s="14">
        <f t="shared" si="189"/>
        <v>315.2</v>
      </c>
    </row>
    <row r="6043" spans="1:8" ht="41.4">
      <c r="A6043" s="502" t="s">
        <v>13945</v>
      </c>
      <c r="B6043" s="504" t="s">
        <v>13946</v>
      </c>
      <c r="C6043" s="502" t="s">
        <v>73</v>
      </c>
      <c r="D6043" s="503" t="s">
        <v>34102</v>
      </c>
      <c r="H6043" s="14">
        <f t="shared" si="189"/>
        <v>1023.45</v>
      </c>
    </row>
    <row r="6044" spans="1:8" ht="41.4">
      <c r="A6044" s="502" t="s">
        <v>13947</v>
      </c>
      <c r="B6044" s="504" t="s">
        <v>13948</v>
      </c>
      <c r="C6044" s="502" t="s">
        <v>73</v>
      </c>
      <c r="D6044" s="503" t="s">
        <v>34103</v>
      </c>
      <c r="H6044" s="14">
        <f t="shared" si="189"/>
        <v>1037.96</v>
      </c>
    </row>
    <row r="6045" spans="1:8" ht="41.4">
      <c r="A6045" s="502" t="s">
        <v>6444</v>
      </c>
      <c r="B6045" s="504" t="s">
        <v>29831</v>
      </c>
      <c r="C6045" s="502" t="s">
        <v>73</v>
      </c>
      <c r="D6045" s="503" t="s">
        <v>34104</v>
      </c>
      <c r="H6045" s="14">
        <f t="shared" si="189"/>
        <v>117.67</v>
      </c>
    </row>
    <row r="6046" spans="1:8" ht="69">
      <c r="A6046" s="502" t="s">
        <v>6445</v>
      </c>
      <c r="B6046" s="504" t="s">
        <v>29832</v>
      </c>
      <c r="C6046" s="502" t="s">
        <v>73</v>
      </c>
      <c r="D6046" s="503" t="s">
        <v>11637</v>
      </c>
      <c r="H6046" s="14">
        <f t="shared" si="189"/>
        <v>130.37</v>
      </c>
    </row>
    <row r="6047" spans="1:8" ht="41.4">
      <c r="A6047" s="502" t="s">
        <v>6446</v>
      </c>
      <c r="B6047" s="504" t="s">
        <v>29833</v>
      </c>
      <c r="C6047" s="502" t="s">
        <v>73</v>
      </c>
      <c r="D6047" s="503" t="s">
        <v>10753</v>
      </c>
      <c r="H6047" s="14">
        <f t="shared" si="189"/>
        <v>147.99</v>
      </c>
    </row>
    <row r="6048" spans="1:8" ht="69">
      <c r="A6048" s="502" t="s">
        <v>6447</v>
      </c>
      <c r="B6048" s="504" t="s">
        <v>29834</v>
      </c>
      <c r="C6048" s="502" t="s">
        <v>73</v>
      </c>
      <c r="D6048" s="503" t="s">
        <v>34105</v>
      </c>
      <c r="H6048" s="14">
        <f t="shared" si="189"/>
        <v>171.44</v>
      </c>
    </row>
    <row r="6049" spans="1:8" ht="55.2">
      <c r="A6049" s="502" t="s">
        <v>6448</v>
      </c>
      <c r="B6049" s="504" t="s">
        <v>29835</v>
      </c>
      <c r="C6049" s="502" t="s">
        <v>73</v>
      </c>
      <c r="D6049" s="503" t="s">
        <v>34106</v>
      </c>
      <c r="H6049" s="14">
        <f t="shared" si="189"/>
        <v>153.52000000000001</v>
      </c>
    </row>
    <row r="6050" spans="1:8" ht="69">
      <c r="A6050" s="502" t="s">
        <v>6449</v>
      </c>
      <c r="B6050" s="504" t="s">
        <v>29836</v>
      </c>
      <c r="C6050" s="502" t="s">
        <v>73</v>
      </c>
      <c r="D6050" s="503" t="s">
        <v>34107</v>
      </c>
      <c r="H6050" s="14">
        <f t="shared" si="189"/>
        <v>167.2</v>
      </c>
    </row>
    <row r="6051" spans="1:8" ht="55.2">
      <c r="A6051" s="502" t="s">
        <v>6450</v>
      </c>
      <c r="B6051" s="504" t="s">
        <v>29838</v>
      </c>
      <c r="C6051" s="502" t="s">
        <v>73</v>
      </c>
      <c r="D6051" s="503" t="s">
        <v>32857</v>
      </c>
      <c r="H6051" s="14">
        <f t="shared" si="189"/>
        <v>183.82</v>
      </c>
    </row>
    <row r="6052" spans="1:8" ht="69">
      <c r="A6052" s="502" t="s">
        <v>6451</v>
      </c>
      <c r="B6052" s="504" t="s">
        <v>29839</v>
      </c>
      <c r="C6052" s="502" t="s">
        <v>73</v>
      </c>
      <c r="D6052" s="503" t="s">
        <v>34108</v>
      </c>
      <c r="H6052" s="14">
        <f t="shared" si="189"/>
        <v>208.3</v>
      </c>
    </row>
    <row r="6053" spans="1:8" ht="41.4">
      <c r="A6053" s="502" t="s">
        <v>6452</v>
      </c>
      <c r="B6053" s="504" t="s">
        <v>29840</v>
      </c>
      <c r="C6053" s="502" t="s">
        <v>73</v>
      </c>
      <c r="D6053" s="503" t="s">
        <v>11689</v>
      </c>
      <c r="H6053" s="14">
        <f t="shared" si="189"/>
        <v>189.36</v>
      </c>
    </row>
    <row r="6054" spans="1:8" ht="69">
      <c r="A6054" s="502" t="s">
        <v>6453</v>
      </c>
      <c r="B6054" s="504" t="s">
        <v>29841</v>
      </c>
      <c r="C6054" s="502" t="s">
        <v>73</v>
      </c>
      <c r="D6054" s="503" t="s">
        <v>34109</v>
      </c>
      <c r="H6054" s="14">
        <f t="shared" si="189"/>
        <v>204.05</v>
      </c>
    </row>
    <row r="6055" spans="1:8" ht="41.4">
      <c r="A6055" s="502" t="s">
        <v>6454</v>
      </c>
      <c r="B6055" s="504" t="s">
        <v>29842</v>
      </c>
      <c r="C6055" s="502" t="s">
        <v>73</v>
      </c>
      <c r="D6055" s="503" t="s">
        <v>34110</v>
      </c>
      <c r="H6055" s="14">
        <f t="shared" si="189"/>
        <v>219.7</v>
      </c>
    </row>
    <row r="6056" spans="1:8" ht="69">
      <c r="A6056" s="502" t="s">
        <v>6455</v>
      </c>
      <c r="B6056" s="504" t="s">
        <v>29843</v>
      </c>
      <c r="C6056" s="502" t="s">
        <v>73</v>
      </c>
      <c r="D6056" s="503" t="s">
        <v>34111</v>
      </c>
      <c r="H6056" s="14">
        <f t="shared" si="189"/>
        <v>245.14</v>
      </c>
    </row>
    <row r="6057" spans="1:8" ht="41.4">
      <c r="A6057" s="502" t="s">
        <v>6456</v>
      </c>
      <c r="B6057" s="504" t="s">
        <v>29844</v>
      </c>
      <c r="C6057" s="502" t="s">
        <v>73</v>
      </c>
      <c r="D6057" s="503" t="s">
        <v>29311</v>
      </c>
      <c r="H6057" s="14">
        <f t="shared" si="189"/>
        <v>76.02</v>
      </c>
    </row>
    <row r="6058" spans="1:8" ht="69">
      <c r="A6058" s="502" t="s">
        <v>6457</v>
      </c>
      <c r="B6058" s="504" t="s">
        <v>29845</v>
      </c>
      <c r="C6058" s="502" t="s">
        <v>73</v>
      </c>
      <c r="D6058" s="503" t="s">
        <v>34112</v>
      </c>
      <c r="H6058" s="14">
        <f t="shared" si="189"/>
        <v>87.68</v>
      </c>
    </row>
    <row r="6059" spans="1:8" ht="27.6">
      <c r="A6059" s="502" t="s">
        <v>6458</v>
      </c>
      <c r="B6059" s="504" t="s">
        <v>29846</v>
      </c>
      <c r="C6059" s="502" t="s">
        <v>75</v>
      </c>
      <c r="D6059" s="503" t="s">
        <v>29913</v>
      </c>
      <c r="H6059" s="14">
        <f t="shared" si="189"/>
        <v>13.34</v>
      </c>
    </row>
    <row r="6060" spans="1:8" ht="27.6">
      <c r="A6060" s="502" t="s">
        <v>6459</v>
      </c>
      <c r="B6060" s="504" t="s">
        <v>29847</v>
      </c>
      <c r="C6060" s="502" t="s">
        <v>75</v>
      </c>
      <c r="D6060" s="503" t="s">
        <v>32573</v>
      </c>
      <c r="H6060" s="14">
        <f t="shared" si="189"/>
        <v>42.13</v>
      </c>
    </row>
    <row r="6061" spans="1:8" ht="27.6">
      <c r="A6061" s="502" t="s">
        <v>13949</v>
      </c>
      <c r="B6061" s="504" t="s">
        <v>26487</v>
      </c>
      <c r="C6061" s="502" t="s">
        <v>73</v>
      </c>
      <c r="D6061" s="503" t="s">
        <v>34113</v>
      </c>
      <c r="H6061" s="14">
        <f t="shared" si="189"/>
        <v>810</v>
      </c>
    </row>
    <row r="6062" spans="1:8" ht="41.4">
      <c r="A6062" s="502" t="s">
        <v>13950</v>
      </c>
      <c r="B6062" s="504" t="s">
        <v>13951</v>
      </c>
      <c r="C6062" s="502" t="s">
        <v>73</v>
      </c>
      <c r="D6062" s="503" t="s">
        <v>34114</v>
      </c>
      <c r="H6062" s="14">
        <f t="shared" si="189"/>
        <v>740.07</v>
      </c>
    </row>
    <row r="6063" spans="1:8" ht="41.4">
      <c r="A6063" s="502" t="s">
        <v>13952</v>
      </c>
      <c r="B6063" s="504" t="s">
        <v>13953</v>
      </c>
      <c r="C6063" s="502" t="s">
        <v>73</v>
      </c>
      <c r="D6063" s="503" t="s">
        <v>34115</v>
      </c>
      <c r="H6063" s="14">
        <f t="shared" si="189"/>
        <v>589.38</v>
      </c>
    </row>
    <row r="6064" spans="1:8" ht="41.4">
      <c r="A6064" s="502" t="s">
        <v>13954</v>
      </c>
      <c r="B6064" s="504" t="s">
        <v>13955</v>
      </c>
      <c r="C6064" s="502" t="s">
        <v>73</v>
      </c>
      <c r="D6064" s="503" t="s">
        <v>34116</v>
      </c>
      <c r="H6064" s="14">
        <f t="shared" si="189"/>
        <v>830</v>
      </c>
    </row>
    <row r="6065" spans="1:8" ht="41.4">
      <c r="A6065" s="502" t="s">
        <v>13956</v>
      </c>
      <c r="B6065" s="504" t="s">
        <v>13957</v>
      </c>
      <c r="C6065" s="502" t="s">
        <v>73</v>
      </c>
      <c r="D6065" s="503" t="s">
        <v>34117</v>
      </c>
      <c r="H6065" s="14">
        <f t="shared" si="189"/>
        <v>686.48</v>
      </c>
    </row>
    <row r="6066" spans="1:8" ht="41.4">
      <c r="A6066" s="502" t="s">
        <v>13958</v>
      </c>
      <c r="B6066" s="504" t="s">
        <v>13959</v>
      </c>
      <c r="C6066" s="502" t="s">
        <v>73</v>
      </c>
      <c r="D6066" s="503" t="s">
        <v>34118</v>
      </c>
      <c r="H6066" s="14">
        <f t="shared" si="189"/>
        <v>459.21</v>
      </c>
    </row>
    <row r="6067" spans="1:8" ht="41.4">
      <c r="A6067" s="502" t="s">
        <v>13960</v>
      </c>
      <c r="B6067" s="504" t="s">
        <v>13961</v>
      </c>
      <c r="C6067" s="502" t="s">
        <v>73</v>
      </c>
      <c r="D6067" s="503" t="s">
        <v>34119</v>
      </c>
      <c r="H6067" s="14">
        <f t="shared" si="189"/>
        <v>549.82000000000005</v>
      </c>
    </row>
    <row r="6068" spans="1:8" ht="55.2">
      <c r="A6068" s="502" t="s">
        <v>29848</v>
      </c>
      <c r="B6068" s="504" t="s">
        <v>29849</v>
      </c>
      <c r="C6068" s="502" t="s">
        <v>73</v>
      </c>
      <c r="D6068" s="503" t="s">
        <v>34120</v>
      </c>
      <c r="H6068" s="14">
        <f t="shared" si="189"/>
        <v>153.77000000000001</v>
      </c>
    </row>
    <row r="6069" spans="1:8" ht="55.2">
      <c r="A6069" s="502" t="s">
        <v>29850</v>
      </c>
      <c r="B6069" s="504" t="s">
        <v>29851</v>
      </c>
      <c r="C6069" s="502" t="s">
        <v>73</v>
      </c>
      <c r="D6069" s="503" t="s">
        <v>29462</v>
      </c>
      <c r="H6069" s="14">
        <f t="shared" si="189"/>
        <v>213.28</v>
      </c>
    </row>
    <row r="6070" spans="1:8" ht="69">
      <c r="A6070" s="502" t="s">
        <v>29852</v>
      </c>
      <c r="B6070" s="504" t="s">
        <v>29853</v>
      </c>
      <c r="C6070" s="502" t="s">
        <v>73</v>
      </c>
      <c r="D6070" s="503" t="s">
        <v>34121</v>
      </c>
      <c r="H6070" s="14">
        <f t="shared" si="189"/>
        <v>192.59</v>
      </c>
    </row>
    <row r="6071" spans="1:8" ht="69">
      <c r="A6071" s="502" t="s">
        <v>29854</v>
      </c>
      <c r="B6071" s="504" t="s">
        <v>29855</v>
      </c>
      <c r="C6071" s="502" t="s">
        <v>73</v>
      </c>
      <c r="D6071" s="503" t="s">
        <v>34122</v>
      </c>
      <c r="H6071" s="14">
        <f t="shared" si="189"/>
        <v>252.1</v>
      </c>
    </row>
    <row r="6072" spans="1:8" ht="55.2">
      <c r="A6072" s="502" t="s">
        <v>29856</v>
      </c>
      <c r="B6072" s="504" t="s">
        <v>29857</v>
      </c>
      <c r="C6072" s="502" t="s">
        <v>73</v>
      </c>
      <c r="D6072" s="503" t="s">
        <v>34123</v>
      </c>
      <c r="H6072" s="14">
        <f t="shared" si="189"/>
        <v>231.42</v>
      </c>
    </row>
    <row r="6073" spans="1:8" ht="55.2">
      <c r="A6073" s="502" t="s">
        <v>29858</v>
      </c>
      <c r="B6073" s="504" t="s">
        <v>29859</v>
      </c>
      <c r="C6073" s="502" t="s">
        <v>73</v>
      </c>
      <c r="D6073" s="503" t="s">
        <v>34124</v>
      </c>
      <c r="H6073" s="14">
        <f t="shared" si="189"/>
        <v>290.92</v>
      </c>
    </row>
    <row r="6074" spans="1:8" ht="55.2">
      <c r="A6074" s="502" t="s">
        <v>29860</v>
      </c>
      <c r="B6074" s="504" t="s">
        <v>29861</v>
      </c>
      <c r="C6074" s="502" t="s">
        <v>73</v>
      </c>
      <c r="D6074" s="503" t="s">
        <v>34125</v>
      </c>
      <c r="H6074" s="14">
        <f t="shared" si="189"/>
        <v>109.12</v>
      </c>
    </row>
    <row r="6075" spans="1:8" ht="41.4">
      <c r="A6075" s="502" t="s">
        <v>13962</v>
      </c>
      <c r="B6075" s="504" t="s">
        <v>13963</v>
      </c>
      <c r="C6075" s="502" t="s">
        <v>73</v>
      </c>
      <c r="D6075" s="503" t="s">
        <v>34126</v>
      </c>
      <c r="H6075" s="14">
        <f t="shared" si="189"/>
        <v>171.49</v>
      </c>
    </row>
    <row r="6076" spans="1:8" ht="41.4">
      <c r="A6076" s="502" t="s">
        <v>13964</v>
      </c>
      <c r="B6076" s="504" t="s">
        <v>13965</v>
      </c>
      <c r="C6076" s="502" t="s">
        <v>73</v>
      </c>
      <c r="D6076" s="503" t="s">
        <v>34127</v>
      </c>
      <c r="H6076" s="14">
        <f t="shared" si="189"/>
        <v>240.38</v>
      </c>
    </row>
    <row r="6077" spans="1:8" ht="41.4">
      <c r="A6077" s="502" t="s">
        <v>13966</v>
      </c>
      <c r="B6077" s="504" t="s">
        <v>13967</v>
      </c>
      <c r="C6077" s="502" t="s">
        <v>73</v>
      </c>
      <c r="D6077" s="503" t="s">
        <v>34128</v>
      </c>
      <c r="H6077" s="14">
        <f t="shared" si="189"/>
        <v>352.19</v>
      </c>
    </row>
    <row r="6078" spans="1:8" ht="69">
      <c r="A6078" s="502" t="s">
        <v>13968</v>
      </c>
      <c r="B6078" s="504" t="s">
        <v>13969</v>
      </c>
      <c r="C6078" s="502" t="s">
        <v>73</v>
      </c>
      <c r="D6078" s="503" t="s">
        <v>34129</v>
      </c>
      <c r="H6078" s="14">
        <f t="shared" si="189"/>
        <v>65.31</v>
      </c>
    </row>
    <row r="6079" spans="1:8" ht="69">
      <c r="A6079" s="502" t="s">
        <v>13970</v>
      </c>
      <c r="B6079" s="504" t="s">
        <v>13971</v>
      </c>
      <c r="C6079" s="502" t="s">
        <v>73</v>
      </c>
      <c r="D6079" s="503" t="s">
        <v>10009</v>
      </c>
      <c r="H6079" s="14">
        <f t="shared" si="189"/>
        <v>94.39</v>
      </c>
    </row>
    <row r="6080" spans="1:8" ht="69">
      <c r="A6080" s="502" t="s">
        <v>13972</v>
      </c>
      <c r="B6080" s="504" t="s">
        <v>13973</v>
      </c>
      <c r="C6080" s="502" t="s">
        <v>73</v>
      </c>
      <c r="D6080" s="503" t="s">
        <v>18879</v>
      </c>
      <c r="H6080" s="14">
        <f t="shared" si="189"/>
        <v>70.88</v>
      </c>
    </row>
    <row r="6081" spans="1:8" ht="69">
      <c r="A6081" s="502" t="s">
        <v>13974</v>
      </c>
      <c r="B6081" s="504" t="s">
        <v>13975</v>
      </c>
      <c r="C6081" s="502" t="s">
        <v>73</v>
      </c>
      <c r="D6081" s="503" t="s">
        <v>10300</v>
      </c>
      <c r="H6081" s="14">
        <f t="shared" si="189"/>
        <v>87.85</v>
      </c>
    </row>
    <row r="6082" spans="1:8" ht="55.2">
      <c r="A6082" s="502" t="s">
        <v>13976</v>
      </c>
      <c r="B6082" s="504" t="s">
        <v>13977</v>
      </c>
      <c r="C6082" s="502" t="s">
        <v>73</v>
      </c>
      <c r="D6082" s="503" t="s">
        <v>34130</v>
      </c>
      <c r="H6082" s="14">
        <f t="shared" si="189"/>
        <v>60.9</v>
      </c>
    </row>
    <row r="6083" spans="1:8" ht="55.2">
      <c r="A6083" s="502" t="s">
        <v>13978</v>
      </c>
      <c r="B6083" s="504" t="s">
        <v>13979</v>
      </c>
      <c r="C6083" s="502" t="s">
        <v>83</v>
      </c>
      <c r="D6083" s="503" t="s">
        <v>34131</v>
      </c>
      <c r="H6083" s="14">
        <f t="shared" si="189"/>
        <v>191.41</v>
      </c>
    </row>
    <row r="6084" spans="1:8" ht="55.2">
      <c r="A6084" s="502" t="s">
        <v>13980</v>
      </c>
      <c r="B6084" s="504" t="s">
        <v>13981</v>
      </c>
      <c r="C6084" s="502" t="s">
        <v>83</v>
      </c>
      <c r="D6084" s="503" t="s">
        <v>16142</v>
      </c>
      <c r="H6084" s="14">
        <f t="shared" si="189"/>
        <v>233.77</v>
      </c>
    </row>
    <row r="6085" spans="1:8" ht="55.2">
      <c r="A6085" s="502" t="s">
        <v>13982</v>
      </c>
      <c r="B6085" s="504" t="s">
        <v>13983</v>
      </c>
      <c r="C6085" s="502" t="s">
        <v>83</v>
      </c>
      <c r="D6085" s="503" t="s">
        <v>34132</v>
      </c>
      <c r="H6085" s="14">
        <f t="shared" ref="H6085:H6148" si="190">ROUND(D6085*(1+$H$1),2)</f>
        <v>273.22000000000003</v>
      </c>
    </row>
    <row r="6086" spans="1:8" ht="41.4">
      <c r="A6086" s="502" t="s">
        <v>13984</v>
      </c>
      <c r="B6086" s="504" t="s">
        <v>13985</v>
      </c>
      <c r="C6086" s="502" t="s">
        <v>83</v>
      </c>
      <c r="D6086" s="503" t="s">
        <v>34133</v>
      </c>
      <c r="H6086" s="14">
        <f t="shared" si="190"/>
        <v>311.58999999999997</v>
      </c>
    </row>
    <row r="6087" spans="1:8" ht="41.4">
      <c r="A6087" s="502" t="s">
        <v>13986</v>
      </c>
      <c r="B6087" s="504" t="s">
        <v>13987</v>
      </c>
      <c r="C6087" s="502" t="s">
        <v>83</v>
      </c>
      <c r="D6087" s="503" t="s">
        <v>34134</v>
      </c>
      <c r="H6087" s="14">
        <f t="shared" si="190"/>
        <v>349.46</v>
      </c>
    </row>
    <row r="6088" spans="1:8" ht="41.4">
      <c r="A6088" s="502" t="s">
        <v>13988</v>
      </c>
      <c r="B6088" s="504" t="s">
        <v>13989</v>
      </c>
      <c r="C6088" s="502" t="s">
        <v>83</v>
      </c>
      <c r="D6088" s="503" t="s">
        <v>29501</v>
      </c>
      <c r="H6088" s="14">
        <f t="shared" si="190"/>
        <v>344.53</v>
      </c>
    </row>
    <row r="6089" spans="1:8" ht="41.4">
      <c r="A6089" s="502" t="s">
        <v>13990</v>
      </c>
      <c r="B6089" s="504" t="s">
        <v>13991</v>
      </c>
      <c r="C6089" s="502" t="s">
        <v>83</v>
      </c>
      <c r="D6089" s="503" t="s">
        <v>34135</v>
      </c>
      <c r="H6089" s="14">
        <f t="shared" si="190"/>
        <v>319.01</v>
      </c>
    </row>
    <row r="6090" spans="1:8" ht="55.2">
      <c r="A6090" s="502" t="s">
        <v>13993</v>
      </c>
      <c r="B6090" s="504" t="s">
        <v>26488</v>
      </c>
      <c r="C6090" s="502" t="s">
        <v>83</v>
      </c>
      <c r="D6090" s="503" t="s">
        <v>34136</v>
      </c>
      <c r="H6090" s="14">
        <f t="shared" si="190"/>
        <v>420.22</v>
      </c>
    </row>
    <row r="6091" spans="1:8" ht="55.2">
      <c r="A6091" s="502" t="s">
        <v>13994</v>
      </c>
      <c r="B6091" s="504" t="s">
        <v>26489</v>
      </c>
      <c r="C6091" s="502" t="s">
        <v>83</v>
      </c>
      <c r="D6091" s="503" t="s">
        <v>34137</v>
      </c>
      <c r="H6091" s="14">
        <f t="shared" si="190"/>
        <v>455.53</v>
      </c>
    </row>
    <row r="6092" spans="1:8" ht="55.2">
      <c r="A6092" s="502" t="s">
        <v>13995</v>
      </c>
      <c r="B6092" s="504" t="s">
        <v>26490</v>
      </c>
      <c r="C6092" s="502" t="s">
        <v>83</v>
      </c>
      <c r="D6092" s="503" t="s">
        <v>33578</v>
      </c>
      <c r="H6092" s="14">
        <f t="shared" si="190"/>
        <v>490.35</v>
      </c>
    </row>
    <row r="6093" spans="1:8" ht="55.2">
      <c r="A6093" s="502" t="s">
        <v>13996</v>
      </c>
      <c r="B6093" s="504" t="s">
        <v>13997</v>
      </c>
      <c r="C6093" s="502" t="s">
        <v>83</v>
      </c>
      <c r="D6093" s="503" t="s">
        <v>34138</v>
      </c>
      <c r="H6093" s="14">
        <f t="shared" si="190"/>
        <v>395.71</v>
      </c>
    </row>
    <row r="6094" spans="1:8" ht="55.2">
      <c r="A6094" s="502" t="s">
        <v>13998</v>
      </c>
      <c r="B6094" s="504" t="s">
        <v>13999</v>
      </c>
      <c r="C6094" s="502" t="s">
        <v>83</v>
      </c>
      <c r="D6094" s="503" t="s">
        <v>34139</v>
      </c>
      <c r="H6094" s="14">
        <f t="shared" si="190"/>
        <v>431.53</v>
      </c>
    </row>
    <row r="6095" spans="1:8" ht="55.2">
      <c r="A6095" s="502" t="s">
        <v>14000</v>
      </c>
      <c r="B6095" s="504" t="s">
        <v>14001</v>
      </c>
      <c r="C6095" s="502" t="s">
        <v>83</v>
      </c>
      <c r="D6095" s="503" t="s">
        <v>34140</v>
      </c>
      <c r="H6095" s="14">
        <f t="shared" si="190"/>
        <v>466.87</v>
      </c>
    </row>
    <row r="6096" spans="1:8" ht="41.4">
      <c r="A6096" s="502" t="s">
        <v>14002</v>
      </c>
      <c r="B6096" s="504" t="s">
        <v>14003</v>
      </c>
      <c r="C6096" s="502" t="s">
        <v>83</v>
      </c>
      <c r="D6096" s="503" t="s">
        <v>34141</v>
      </c>
      <c r="H6096" s="14">
        <f t="shared" si="190"/>
        <v>482.87</v>
      </c>
    </row>
    <row r="6097" spans="1:8" ht="55.2">
      <c r="A6097" s="502" t="s">
        <v>14004</v>
      </c>
      <c r="B6097" s="504" t="s">
        <v>14005</v>
      </c>
      <c r="C6097" s="502" t="s">
        <v>83</v>
      </c>
      <c r="D6097" s="503" t="s">
        <v>29079</v>
      </c>
      <c r="H6097" s="14">
        <f t="shared" si="190"/>
        <v>38.619999999999997</v>
      </c>
    </row>
    <row r="6098" spans="1:8" ht="55.2">
      <c r="A6098" s="502" t="s">
        <v>14006</v>
      </c>
      <c r="B6098" s="504" t="s">
        <v>14007</v>
      </c>
      <c r="C6098" s="502" t="s">
        <v>83</v>
      </c>
      <c r="D6098" s="503" t="s">
        <v>24819</v>
      </c>
      <c r="H6098" s="14">
        <f t="shared" si="190"/>
        <v>80.98</v>
      </c>
    </row>
    <row r="6099" spans="1:8" ht="55.2">
      <c r="A6099" s="502" t="s">
        <v>14008</v>
      </c>
      <c r="B6099" s="504" t="s">
        <v>14009</v>
      </c>
      <c r="C6099" s="502" t="s">
        <v>83</v>
      </c>
      <c r="D6099" s="503" t="s">
        <v>29956</v>
      </c>
      <c r="H6099" s="14">
        <f t="shared" si="190"/>
        <v>120.42</v>
      </c>
    </row>
    <row r="6100" spans="1:8" ht="41.4">
      <c r="A6100" s="502" t="s">
        <v>14010</v>
      </c>
      <c r="B6100" s="504" t="s">
        <v>14011</v>
      </c>
      <c r="C6100" s="502" t="s">
        <v>83</v>
      </c>
      <c r="D6100" s="503" t="s">
        <v>34142</v>
      </c>
      <c r="H6100" s="14">
        <f t="shared" si="190"/>
        <v>158.79</v>
      </c>
    </row>
    <row r="6101" spans="1:8" ht="41.4">
      <c r="A6101" s="502" t="s">
        <v>14012</v>
      </c>
      <c r="B6101" s="504" t="s">
        <v>14013</v>
      </c>
      <c r="C6101" s="502" t="s">
        <v>83</v>
      </c>
      <c r="D6101" s="503" t="s">
        <v>34143</v>
      </c>
      <c r="H6101" s="14">
        <f t="shared" si="190"/>
        <v>271.14999999999998</v>
      </c>
    </row>
    <row r="6102" spans="1:8" ht="41.4">
      <c r="A6102" s="502" t="s">
        <v>14014</v>
      </c>
      <c r="B6102" s="504" t="s">
        <v>14015</v>
      </c>
      <c r="C6102" s="502" t="s">
        <v>83</v>
      </c>
      <c r="D6102" s="503" t="s">
        <v>34144</v>
      </c>
      <c r="H6102" s="14">
        <f t="shared" si="190"/>
        <v>191.73</v>
      </c>
    </row>
    <row r="6103" spans="1:8" ht="41.4">
      <c r="A6103" s="502" t="s">
        <v>14016</v>
      </c>
      <c r="B6103" s="504" t="s">
        <v>14017</v>
      </c>
      <c r="C6103" s="502" t="s">
        <v>83</v>
      </c>
      <c r="D6103" s="503" t="s">
        <v>34145</v>
      </c>
      <c r="H6103" s="14">
        <f t="shared" si="190"/>
        <v>166.22</v>
      </c>
    </row>
    <row r="6104" spans="1:8" ht="55.2">
      <c r="A6104" s="502" t="s">
        <v>14018</v>
      </c>
      <c r="B6104" s="504" t="s">
        <v>26491</v>
      </c>
      <c r="C6104" s="502" t="s">
        <v>83</v>
      </c>
      <c r="D6104" s="503" t="s">
        <v>27954</v>
      </c>
      <c r="H6104" s="14">
        <f t="shared" si="190"/>
        <v>267.42</v>
      </c>
    </row>
    <row r="6105" spans="1:8" ht="55.2">
      <c r="A6105" s="502" t="s">
        <v>14019</v>
      </c>
      <c r="B6105" s="504" t="s">
        <v>26492</v>
      </c>
      <c r="C6105" s="502" t="s">
        <v>83</v>
      </c>
      <c r="D6105" s="503" t="s">
        <v>28526</v>
      </c>
      <c r="H6105" s="14">
        <f t="shared" si="190"/>
        <v>302.73</v>
      </c>
    </row>
    <row r="6106" spans="1:8" ht="55.2">
      <c r="A6106" s="502" t="s">
        <v>14020</v>
      </c>
      <c r="B6106" s="504" t="s">
        <v>26493</v>
      </c>
      <c r="C6106" s="502" t="s">
        <v>83</v>
      </c>
      <c r="D6106" s="503" t="s">
        <v>34146</v>
      </c>
      <c r="H6106" s="14">
        <f t="shared" si="190"/>
        <v>337.55</v>
      </c>
    </row>
    <row r="6107" spans="1:8" ht="55.2">
      <c r="A6107" s="502" t="s">
        <v>14021</v>
      </c>
      <c r="B6107" s="504" t="s">
        <v>14022</v>
      </c>
      <c r="C6107" s="502" t="s">
        <v>83</v>
      </c>
      <c r="D6107" s="503" t="s">
        <v>34147</v>
      </c>
      <c r="H6107" s="14">
        <f t="shared" si="190"/>
        <v>242.91</v>
      </c>
    </row>
    <row r="6108" spans="1:8" ht="55.2">
      <c r="A6108" s="502" t="s">
        <v>14023</v>
      </c>
      <c r="B6108" s="504" t="s">
        <v>14024</v>
      </c>
      <c r="C6108" s="502" t="s">
        <v>83</v>
      </c>
      <c r="D6108" s="503" t="s">
        <v>34148</v>
      </c>
      <c r="H6108" s="14">
        <f t="shared" si="190"/>
        <v>278.73</v>
      </c>
    </row>
    <row r="6109" spans="1:8" ht="55.2">
      <c r="A6109" s="502" t="s">
        <v>14025</v>
      </c>
      <c r="B6109" s="504" t="s">
        <v>14026</v>
      </c>
      <c r="C6109" s="502" t="s">
        <v>83</v>
      </c>
      <c r="D6109" s="503" t="s">
        <v>32040</v>
      </c>
      <c r="H6109" s="14">
        <f t="shared" si="190"/>
        <v>314.07</v>
      </c>
    </row>
    <row r="6110" spans="1:8" ht="41.4">
      <c r="A6110" s="502" t="s">
        <v>14027</v>
      </c>
      <c r="B6110" s="504" t="s">
        <v>14028</v>
      </c>
      <c r="C6110" s="502" t="s">
        <v>83</v>
      </c>
      <c r="D6110" s="503" t="s">
        <v>34149</v>
      </c>
      <c r="H6110" s="14">
        <f t="shared" si="190"/>
        <v>330.07</v>
      </c>
    </row>
    <row r="6111" spans="1:8" ht="55.2">
      <c r="A6111" s="502" t="s">
        <v>14029</v>
      </c>
      <c r="B6111" s="504" t="s">
        <v>14030</v>
      </c>
      <c r="C6111" s="502" t="s">
        <v>73</v>
      </c>
      <c r="D6111" s="503" t="s">
        <v>29925</v>
      </c>
      <c r="H6111" s="14">
        <f t="shared" si="190"/>
        <v>84.04</v>
      </c>
    </row>
    <row r="6112" spans="1:8" ht="55.2">
      <c r="A6112" s="502" t="s">
        <v>14031</v>
      </c>
      <c r="B6112" s="504" t="s">
        <v>14032</v>
      </c>
      <c r="C6112" s="502" t="s">
        <v>73</v>
      </c>
      <c r="D6112" s="503" t="s">
        <v>34150</v>
      </c>
      <c r="H6112" s="14">
        <f t="shared" si="190"/>
        <v>101.58</v>
      </c>
    </row>
    <row r="6113" spans="1:8" ht="55.2">
      <c r="A6113" s="502" t="s">
        <v>14033</v>
      </c>
      <c r="B6113" s="504" t="s">
        <v>14034</v>
      </c>
      <c r="C6113" s="502" t="s">
        <v>73</v>
      </c>
      <c r="D6113" s="503" t="s">
        <v>34151</v>
      </c>
      <c r="H6113" s="14">
        <f t="shared" si="190"/>
        <v>75.75</v>
      </c>
    </row>
    <row r="6114" spans="1:8" ht="55.2">
      <c r="A6114" s="502" t="s">
        <v>14035</v>
      </c>
      <c r="B6114" s="504" t="s">
        <v>14036</v>
      </c>
      <c r="C6114" s="502" t="s">
        <v>73</v>
      </c>
      <c r="D6114" s="503" t="s">
        <v>34152</v>
      </c>
      <c r="H6114" s="14">
        <f t="shared" si="190"/>
        <v>105.29</v>
      </c>
    </row>
    <row r="6115" spans="1:8" ht="55.2">
      <c r="A6115" s="502" t="s">
        <v>14037</v>
      </c>
      <c r="B6115" s="504" t="s">
        <v>14038</v>
      </c>
      <c r="C6115" s="502" t="s">
        <v>73</v>
      </c>
      <c r="D6115" s="503" t="s">
        <v>34153</v>
      </c>
      <c r="H6115" s="14">
        <f t="shared" si="190"/>
        <v>38.08</v>
      </c>
    </row>
    <row r="6116" spans="1:8" ht="55.2">
      <c r="A6116" s="502" t="s">
        <v>14039</v>
      </c>
      <c r="B6116" s="504" t="s">
        <v>14040</v>
      </c>
      <c r="C6116" s="502" t="s">
        <v>73</v>
      </c>
      <c r="D6116" s="503" t="s">
        <v>29421</v>
      </c>
      <c r="H6116" s="14">
        <f t="shared" si="190"/>
        <v>47.66</v>
      </c>
    </row>
    <row r="6117" spans="1:8" ht="69">
      <c r="A6117" s="502" t="s">
        <v>14041</v>
      </c>
      <c r="B6117" s="504" t="s">
        <v>14042</v>
      </c>
      <c r="C6117" s="502" t="s">
        <v>73</v>
      </c>
      <c r="D6117" s="503" t="s">
        <v>34154</v>
      </c>
      <c r="H6117" s="14">
        <f t="shared" si="190"/>
        <v>38.880000000000003</v>
      </c>
    </row>
    <row r="6118" spans="1:8" ht="69">
      <c r="A6118" s="502" t="s">
        <v>14043</v>
      </c>
      <c r="B6118" s="504" t="s">
        <v>14044</v>
      </c>
      <c r="C6118" s="502" t="s">
        <v>73</v>
      </c>
      <c r="D6118" s="503" t="s">
        <v>34155</v>
      </c>
      <c r="H6118" s="14">
        <f t="shared" si="190"/>
        <v>43</v>
      </c>
    </row>
    <row r="6119" spans="1:8" ht="69">
      <c r="A6119" s="502" t="s">
        <v>14045</v>
      </c>
      <c r="B6119" s="504" t="s">
        <v>14046</v>
      </c>
      <c r="C6119" s="502" t="s">
        <v>73</v>
      </c>
      <c r="D6119" s="503" t="s">
        <v>32445</v>
      </c>
      <c r="H6119" s="14">
        <f t="shared" si="190"/>
        <v>49.49</v>
      </c>
    </row>
    <row r="6120" spans="1:8" ht="55.2">
      <c r="A6120" s="502" t="s">
        <v>14047</v>
      </c>
      <c r="B6120" s="504" t="s">
        <v>14048</v>
      </c>
      <c r="C6120" s="502" t="s">
        <v>73</v>
      </c>
      <c r="D6120" s="503" t="s">
        <v>34156</v>
      </c>
      <c r="H6120" s="14">
        <f t="shared" si="190"/>
        <v>46.26</v>
      </c>
    </row>
    <row r="6121" spans="1:8" ht="55.2">
      <c r="A6121" s="502" t="s">
        <v>14050</v>
      </c>
      <c r="B6121" s="504" t="s">
        <v>14051</v>
      </c>
      <c r="C6121" s="502" t="s">
        <v>73</v>
      </c>
      <c r="D6121" s="503" t="s">
        <v>29579</v>
      </c>
      <c r="H6121" s="14">
        <f t="shared" si="190"/>
        <v>50.46</v>
      </c>
    </row>
    <row r="6122" spans="1:8" ht="69">
      <c r="A6122" s="502" t="s">
        <v>14052</v>
      </c>
      <c r="B6122" s="504" t="s">
        <v>14053</v>
      </c>
      <c r="C6122" s="502" t="s">
        <v>73</v>
      </c>
      <c r="D6122" s="503" t="s">
        <v>33381</v>
      </c>
      <c r="H6122" s="14">
        <f t="shared" si="190"/>
        <v>39.46</v>
      </c>
    </row>
    <row r="6123" spans="1:8" ht="69">
      <c r="A6123" s="502" t="s">
        <v>14054</v>
      </c>
      <c r="B6123" s="504" t="s">
        <v>14055</v>
      </c>
      <c r="C6123" s="502" t="s">
        <v>73</v>
      </c>
      <c r="D6123" s="503" t="s">
        <v>9783</v>
      </c>
      <c r="H6123" s="14">
        <f t="shared" si="190"/>
        <v>45.93</v>
      </c>
    </row>
    <row r="6124" spans="1:8" ht="69">
      <c r="A6124" s="502" t="s">
        <v>14056</v>
      </c>
      <c r="B6124" s="504" t="s">
        <v>14057</v>
      </c>
      <c r="C6124" s="502" t="s">
        <v>73</v>
      </c>
      <c r="D6124" s="503" t="s">
        <v>30594</v>
      </c>
      <c r="H6124" s="14">
        <f t="shared" si="190"/>
        <v>52.41</v>
      </c>
    </row>
    <row r="6125" spans="1:8" ht="55.2">
      <c r="A6125" s="502" t="s">
        <v>14058</v>
      </c>
      <c r="B6125" s="504" t="s">
        <v>14059</v>
      </c>
      <c r="C6125" s="502" t="s">
        <v>73</v>
      </c>
      <c r="D6125" s="503" t="s">
        <v>29303</v>
      </c>
      <c r="H6125" s="14">
        <f t="shared" si="190"/>
        <v>46.57</v>
      </c>
    </row>
    <row r="6126" spans="1:8" ht="55.2">
      <c r="A6126" s="502" t="s">
        <v>14060</v>
      </c>
      <c r="B6126" s="504" t="s">
        <v>14061</v>
      </c>
      <c r="C6126" s="502" t="s">
        <v>73</v>
      </c>
      <c r="D6126" s="503" t="s">
        <v>25658</v>
      </c>
      <c r="H6126" s="14">
        <f t="shared" si="190"/>
        <v>53.07</v>
      </c>
    </row>
    <row r="6127" spans="1:8" ht="69">
      <c r="A6127" s="502" t="s">
        <v>14062</v>
      </c>
      <c r="B6127" s="504" t="s">
        <v>14063</v>
      </c>
      <c r="C6127" s="502" t="s">
        <v>73</v>
      </c>
      <c r="D6127" s="503" t="s">
        <v>28144</v>
      </c>
      <c r="H6127" s="14">
        <f t="shared" si="190"/>
        <v>42.07</v>
      </c>
    </row>
    <row r="6128" spans="1:8" ht="69">
      <c r="A6128" s="502" t="s">
        <v>14064</v>
      </c>
      <c r="B6128" s="504" t="s">
        <v>14065</v>
      </c>
      <c r="C6128" s="502" t="s">
        <v>73</v>
      </c>
      <c r="D6128" s="503" t="s">
        <v>16473</v>
      </c>
      <c r="H6128" s="14">
        <f t="shared" si="190"/>
        <v>48.53</v>
      </c>
    </row>
    <row r="6129" spans="1:8" ht="69">
      <c r="A6129" s="502" t="s">
        <v>14066</v>
      </c>
      <c r="B6129" s="504" t="s">
        <v>14067</v>
      </c>
      <c r="C6129" s="502" t="s">
        <v>73</v>
      </c>
      <c r="D6129" s="503" t="s">
        <v>19429</v>
      </c>
      <c r="H6129" s="14">
        <f t="shared" si="190"/>
        <v>55.02</v>
      </c>
    </row>
    <row r="6130" spans="1:8" ht="41.4">
      <c r="A6130" s="502" t="s">
        <v>14068</v>
      </c>
      <c r="B6130" s="504" t="s">
        <v>14069</v>
      </c>
      <c r="C6130" s="502" t="s">
        <v>83</v>
      </c>
      <c r="D6130" s="503" t="s">
        <v>34157</v>
      </c>
      <c r="H6130" s="14">
        <f t="shared" si="190"/>
        <v>3187.91</v>
      </c>
    </row>
    <row r="6131" spans="1:8" ht="55.2">
      <c r="A6131" s="502" t="s">
        <v>16465</v>
      </c>
      <c r="B6131" s="504" t="s">
        <v>16466</v>
      </c>
      <c r="C6131" s="502" t="s">
        <v>73</v>
      </c>
      <c r="D6131" s="503" t="s">
        <v>34158</v>
      </c>
      <c r="H6131" s="14">
        <f t="shared" si="190"/>
        <v>81.36</v>
      </c>
    </row>
    <row r="6132" spans="1:8" ht="41.4">
      <c r="A6132" s="502" t="s">
        <v>11667</v>
      </c>
      <c r="B6132" s="504" t="s">
        <v>34159</v>
      </c>
      <c r="C6132" s="502" t="s">
        <v>73</v>
      </c>
      <c r="D6132" s="503" t="s">
        <v>7206</v>
      </c>
      <c r="H6132" s="14">
        <f t="shared" si="190"/>
        <v>2.94</v>
      </c>
    </row>
    <row r="6133" spans="1:8" ht="41.4">
      <c r="A6133" s="502" t="s">
        <v>11668</v>
      </c>
      <c r="B6133" s="504" t="s">
        <v>34160</v>
      </c>
      <c r="C6133" s="502" t="s">
        <v>73</v>
      </c>
      <c r="D6133" s="503" t="s">
        <v>23955</v>
      </c>
      <c r="H6133" s="14">
        <f t="shared" si="190"/>
        <v>0.72</v>
      </c>
    </row>
    <row r="6134" spans="1:8" ht="41.4">
      <c r="A6134" s="502" t="s">
        <v>34161</v>
      </c>
      <c r="B6134" s="504" t="s">
        <v>34162</v>
      </c>
      <c r="C6134" s="502" t="s">
        <v>73</v>
      </c>
      <c r="D6134" s="503" t="s">
        <v>3338</v>
      </c>
      <c r="H6134" s="14">
        <f t="shared" si="190"/>
        <v>5.45</v>
      </c>
    </row>
    <row r="6135" spans="1:8" ht="41.4">
      <c r="A6135" s="502" t="s">
        <v>34163</v>
      </c>
      <c r="B6135" s="504" t="s">
        <v>34164</v>
      </c>
      <c r="C6135" s="502" t="s">
        <v>73</v>
      </c>
      <c r="D6135" s="503" t="s">
        <v>15829</v>
      </c>
      <c r="H6135" s="14">
        <f t="shared" si="190"/>
        <v>2.7</v>
      </c>
    </row>
    <row r="6136" spans="1:8" ht="55.2">
      <c r="A6136" s="502" t="s">
        <v>6460</v>
      </c>
      <c r="B6136" s="504" t="s">
        <v>34165</v>
      </c>
      <c r="C6136" s="502" t="s">
        <v>83</v>
      </c>
      <c r="D6136" s="503" t="s">
        <v>34166</v>
      </c>
      <c r="H6136" s="14">
        <f t="shared" si="190"/>
        <v>12.58</v>
      </c>
    </row>
    <row r="6137" spans="1:8" ht="69">
      <c r="A6137" s="502" t="s">
        <v>6461</v>
      </c>
      <c r="B6137" s="504" t="s">
        <v>34167</v>
      </c>
      <c r="C6137" s="502" t="s">
        <v>83</v>
      </c>
      <c r="D6137" s="503" t="s">
        <v>34168</v>
      </c>
      <c r="H6137" s="14">
        <f t="shared" si="190"/>
        <v>61.33</v>
      </c>
    </row>
    <row r="6138" spans="1:8" ht="69">
      <c r="A6138" s="502" t="s">
        <v>6462</v>
      </c>
      <c r="B6138" s="504" t="s">
        <v>34169</v>
      </c>
      <c r="C6138" s="502" t="s">
        <v>83</v>
      </c>
      <c r="D6138" s="503" t="s">
        <v>34170</v>
      </c>
      <c r="H6138" s="14">
        <f t="shared" si="190"/>
        <v>100.78</v>
      </c>
    </row>
    <row r="6139" spans="1:8" ht="69">
      <c r="A6139" s="502" t="s">
        <v>6463</v>
      </c>
      <c r="B6139" s="504" t="s">
        <v>34171</v>
      </c>
      <c r="C6139" s="502" t="s">
        <v>83</v>
      </c>
      <c r="D6139" s="503" t="s">
        <v>34172</v>
      </c>
      <c r="H6139" s="14">
        <f t="shared" si="190"/>
        <v>139.15</v>
      </c>
    </row>
    <row r="6140" spans="1:8" ht="69">
      <c r="A6140" s="502" t="s">
        <v>6464</v>
      </c>
      <c r="B6140" s="504" t="s">
        <v>34173</v>
      </c>
      <c r="C6140" s="502" t="s">
        <v>83</v>
      </c>
      <c r="D6140" s="503" t="s">
        <v>34174</v>
      </c>
      <c r="H6140" s="14">
        <f t="shared" si="190"/>
        <v>177.04</v>
      </c>
    </row>
    <row r="6141" spans="1:8" ht="41.4">
      <c r="A6141" s="502" t="s">
        <v>6465</v>
      </c>
      <c r="B6141" s="504" t="s">
        <v>34175</v>
      </c>
      <c r="C6141" s="502" t="s">
        <v>83</v>
      </c>
      <c r="D6141" s="503" t="s">
        <v>34176</v>
      </c>
      <c r="H6141" s="14">
        <f t="shared" si="190"/>
        <v>311.06</v>
      </c>
    </row>
    <row r="6142" spans="1:8" ht="55.2">
      <c r="A6142" s="502" t="s">
        <v>6466</v>
      </c>
      <c r="B6142" s="504" t="s">
        <v>34177</v>
      </c>
      <c r="C6142" s="502" t="s">
        <v>83</v>
      </c>
      <c r="D6142" s="503" t="s">
        <v>34178</v>
      </c>
      <c r="H6142" s="14">
        <f t="shared" si="190"/>
        <v>385.31</v>
      </c>
    </row>
    <row r="6143" spans="1:8" ht="41.4">
      <c r="A6143" s="502" t="s">
        <v>6467</v>
      </c>
      <c r="B6143" s="504" t="s">
        <v>34179</v>
      </c>
      <c r="C6143" s="502" t="s">
        <v>83</v>
      </c>
      <c r="D6143" s="503" t="s">
        <v>34180</v>
      </c>
      <c r="H6143" s="14">
        <f t="shared" si="190"/>
        <v>484.75</v>
      </c>
    </row>
    <row r="6144" spans="1:8" ht="41.4">
      <c r="A6144" s="502" t="s">
        <v>6468</v>
      </c>
      <c r="B6144" s="504" t="s">
        <v>34181</v>
      </c>
      <c r="C6144" s="502" t="s">
        <v>83</v>
      </c>
      <c r="D6144" s="503" t="s">
        <v>34182</v>
      </c>
      <c r="H6144" s="14">
        <f t="shared" si="190"/>
        <v>215.44</v>
      </c>
    </row>
    <row r="6145" spans="1:8" ht="41.4">
      <c r="A6145" s="502" t="s">
        <v>6469</v>
      </c>
      <c r="B6145" s="504" t="s">
        <v>34183</v>
      </c>
      <c r="C6145" s="502" t="s">
        <v>83</v>
      </c>
      <c r="D6145" s="503" t="s">
        <v>34184</v>
      </c>
      <c r="H6145" s="14">
        <f t="shared" si="190"/>
        <v>281.68</v>
      </c>
    </row>
    <row r="6146" spans="1:8" ht="69">
      <c r="A6146" s="502" t="s">
        <v>11669</v>
      </c>
      <c r="B6146" s="504" t="s">
        <v>34185</v>
      </c>
      <c r="C6146" s="502" t="s">
        <v>83</v>
      </c>
      <c r="D6146" s="503" t="s">
        <v>33311</v>
      </c>
      <c r="H6146" s="14">
        <f t="shared" si="190"/>
        <v>187.18</v>
      </c>
    </row>
    <row r="6147" spans="1:8" ht="69">
      <c r="A6147" s="502" t="s">
        <v>11670</v>
      </c>
      <c r="B6147" s="504" t="s">
        <v>34186</v>
      </c>
      <c r="C6147" s="502" t="s">
        <v>83</v>
      </c>
      <c r="D6147" s="503" t="s">
        <v>29318</v>
      </c>
      <c r="H6147" s="14">
        <f t="shared" si="190"/>
        <v>161.66</v>
      </c>
    </row>
    <row r="6148" spans="1:8" ht="69">
      <c r="A6148" s="502" t="s">
        <v>11671</v>
      </c>
      <c r="B6148" s="504" t="s">
        <v>34187</v>
      </c>
      <c r="C6148" s="502" t="s">
        <v>83</v>
      </c>
      <c r="D6148" s="503" t="s">
        <v>34188</v>
      </c>
      <c r="H6148" s="14">
        <f t="shared" si="190"/>
        <v>262.73</v>
      </c>
    </row>
    <row r="6149" spans="1:8" ht="69">
      <c r="A6149" s="502" t="s">
        <v>11672</v>
      </c>
      <c r="B6149" s="504" t="s">
        <v>34189</v>
      </c>
      <c r="C6149" s="502" t="s">
        <v>83</v>
      </c>
      <c r="D6149" s="503" t="s">
        <v>34190</v>
      </c>
      <c r="H6149" s="14">
        <f t="shared" ref="H6149:H6212" si="191">ROUND(D6149*(1+$H$1),2)</f>
        <v>298.04000000000002</v>
      </c>
    </row>
    <row r="6150" spans="1:8" ht="69">
      <c r="A6150" s="502" t="s">
        <v>11673</v>
      </c>
      <c r="B6150" s="504" t="s">
        <v>34191</v>
      </c>
      <c r="C6150" s="502" t="s">
        <v>83</v>
      </c>
      <c r="D6150" s="503" t="s">
        <v>34192</v>
      </c>
      <c r="H6150" s="14">
        <f t="shared" si="191"/>
        <v>332.86</v>
      </c>
    </row>
    <row r="6151" spans="1:8" ht="69">
      <c r="A6151" s="502" t="s">
        <v>11674</v>
      </c>
      <c r="B6151" s="504" t="s">
        <v>34193</v>
      </c>
      <c r="C6151" s="502" t="s">
        <v>83</v>
      </c>
      <c r="D6151" s="503" t="s">
        <v>34194</v>
      </c>
      <c r="H6151" s="14">
        <f t="shared" si="191"/>
        <v>238.22</v>
      </c>
    </row>
    <row r="6152" spans="1:8" ht="69">
      <c r="A6152" s="502" t="s">
        <v>11675</v>
      </c>
      <c r="B6152" s="504" t="s">
        <v>34195</v>
      </c>
      <c r="C6152" s="502" t="s">
        <v>83</v>
      </c>
      <c r="D6152" s="503" t="s">
        <v>34196</v>
      </c>
      <c r="H6152" s="14">
        <f t="shared" si="191"/>
        <v>274.04000000000002</v>
      </c>
    </row>
    <row r="6153" spans="1:8" ht="69">
      <c r="A6153" s="502" t="s">
        <v>11676</v>
      </c>
      <c r="B6153" s="504" t="s">
        <v>34197</v>
      </c>
      <c r="C6153" s="502" t="s">
        <v>83</v>
      </c>
      <c r="D6153" s="503" t="s">
        <v>34198</v>
      </c>
      <c r="H6153" s="14">
        <f t="shared" si="191"/>
        <v>309.38</v>
      </c>
    </row>
    <row r="6154" spans="1:8" ht="69">
      <c r="A6154" s="502" t="s">
        <v>11677</v>
      </c>
      <c r="B6154" s="504" t="s">
        <v>34199</v>
      </c>
      <c r="C6154" s="502" t="s">
        <v>83</v>
      </c>
      <c r="D6154" s="503" t="s">
        <v>34200</v>
      </c>
      <c r="H6154" s="14">
        <f t="shared" si="191"/>
        <v>194.69</v>
      </c>
    </row>
    <row r="6155" spans="1:8" ht="69">
      <c r="A6155" s="502" t="s">
        <v>11678</v>
      </c>
      <c r="B6155" s="504" t="s">
        <v>34201</v>
      </c>
      <c r="C6155" s="502" t="s">
        <v>83</v>
      </c>
      <c r="D6155" s="503" t="s">
        <v>30569</v>
      </c>
      <c r="H6155" s="14">
        <f t="shared" si="191"/>
        <v>169.17</v>
      </c>
    </row>
    <row r="6156" spans="1:8" ht="27.6">
      <c r="A6156" s="502" t="s">
        <v>11679</v>
      </c>
      <c r="B6156" s="504" t="s">
        <v>34202</v>
      </c>
      <c r="C6156" s="502" t="s">
        <v>83</v>
      </c>
      <c r="D6156" s="503" t="s">
        <v>3547</v>
      </c>
      <c r="H6156" s="14">
        <f t="shared" si="191"/>
        <v>2</v>
      </c>
    </row>
    <row r="6157" spans="1:8" ht="27.6">
      <c r="A6157" s="502" t="s">
        <v>11680</v>
      </c>
      <c r="B6157" s="504" t="s">
        <v>34203</v>
      </c>
      <c r="C6157" s="502" t="s">
        <v>73</v>
      </c>
      <c r="D6157" s="503" t="s">
        <v>7264</v>
      </c>
      <c r="H6157" s="14">
        <f t="shared" si="191"/>
        <v>2.59</v>
      </c>
    </row>
    <row r="6158" spans="1:8" ht="55.2">
      <c r="A6158" s="502" t="s">
        <v>14072</v>
      </c>
      <c r="B6158" s="504" t="s">
        <v>34204</v>
      </c>
      <c r="C6158" s="502" t="s">
        <v>83</v>
      </c>
      <c r="D6158" s="503" t="s">
        <v>34205</v>
      </c>
      <c r="H6158" s="14">
        <f t="shared" si="191"/>
        <v>41.99</v>
      </c>
    </row>
    <row r="6159" spans="1:8" ht="55.2">
      <c r="A6159" s="502" t="s">
        <v>14073</v>
      </c>
      <c r="B6159" s="504" t="s">
        <v>34206</v>
      </c>
      <c r="C6159" s="502" t="s">
        <v>83</v>
      </c>
      <c r="D6159" s="503" t="s">
        <v>23953</v>
      </c>
      <c r="H6159" s="14">
        <f t="shared" si="191"/>
        <v>36.380000000000003</v>
      </c>
    </row>
    <row r="6160" spans="1:8" ht="55.2">
      <c r="A6160" s="502" t="s">
        <v>34207</v>
      </c>
      <c r="B6160" s="504" t="s">
        <v>34208</v>
      </c>
      <c r="C6160" s="502" t="s">
        <v>83</v>
      </c>
      <c r="D6160" s="503" t="s">
        <v>34209</v>
      </c>
      <c r="H6160" s="14">
        <f t="shared" si="191"/>
        <v>15.7</v>
      </c>
    </row>
    <row r="6161" spans="1:8" ht="55.2">
      <c r="A6161" s="502" t="s">
        <v>34210</v>
      </c>
      <c r="B6161" s="504" t="s">
        <v>34211</v>
      </c>
      <c r="C6161" s="502" t="s">
        <v>83</v>
      </c>
      <c r="D6161" s="503" t="s">
        <v>10206</v>
      </c>
      <c r="H6161" s="14">
        <f t="shared" si="191"/>
        <v>20.85</v>
      </c>
    </row>
    <row r="6162" spans="1:8" ht="55.2">
      <c r="A6162" s="502" t="s">
        <v>34212</v>
      </c>
      <c r="B6162" s="504" t="s">
        <v>34213</v>
      </c>
      <c r="C6162" s="502" t="s">
        <v>83</v>
      </c>
      <c r="D6162" s="503" t="s">
        <v>9521</v>
      </c>
      <c r="H6162" s="14">
        <f t="shared" si="191"/>
        <v>16.62</v>
      </c>
    </row>
    <row r="6163" spans="1:8" ht="55.2">
      <c r="A6163" s="502" t="s">
        <v>34214</v>
      </c>
      <c r="B6163" s="504" t="s">
        <v>34215</v>
      </c>
      <c r="C6163" s="502" t="s">
        <v>83</v>
      </c>
      <c r="D6163" s="503" t="s">
        <v>29765</v>
      </c>
      <c r="H6163" s="14">
        <f t="shared" si="191"/>
        <v>10.42</v>
      </c>
    </row>
    <row r="6164" spans="1:8" ht="55.2">
      <c r="A6164" s="502" t="s">
        <v>34216</v>
      </c>
      <c r="B6164" s="504" t="s">
        <v>34217</v>
      </c>
      <c r="C6164" s="502" t="s">
        <v>83</v>
      </c>
      <c r="D6164" s="503" t="s">
        <v>23946</v>
      </c>
      <c r="H6164" s="14">
        <f t="shared" si="191"/>
        <v>13.68</v>
      </c>
    </row>
    <row r="6165" spans="1:8" ht="69">
      <c r="A6165" s="502" t="s">
        <v>34218</v>
      </c>
      <c r="B6165" s="504" t="s">
        <v>34219</v>
      </c>
      <c r="C6165" s="502" t="s">
        <v>83</v>
      </c>
      <c r="D6165" s="503" t="s">
        <v>20547</v>
      </c>
      <c r="H6165" s="14">
        <f t="shared" si="191"/>
        <v>69.41</v>
      </c>
    </row>
    <row r="6166" spans="1:8" ht="69">
      <c r="A6166" s="502" t="s">
        <v>34220</v>
      </c>
      <c r="B6166" s="504" t="s">
        <v>34221</v>
      </c>
      <c r="C6166" s="502" t="s">
        <v>83</v>
      </c>
      <c r="D6166" s="503" t="s">
        <v>18440</v>
      </c>
      <c r="H6166" s="14">
        <f t="shared" si="191"/>
        <v>79.03</v>
      </c>
    </row>
    <row r="6167" spans="1:8" ht="69">
      <c r="A6167" s="502" t="s">
        <v>34222</v>
      </c>
      <c r="B6167" s="504" t="s">
        <v>34223</v>
      </c>
      <c r="C6167" s="502" t="s">
        <v>83</v>
      </c>
      <c r="D6167" s="503" t="s">
        <v>34224</v>
      </c>
      <c r="H6167" s="14">
        <f t="shared" si="191"/>
        <v>118.47</v>
      </c>
    </row>
    <row r="6168" spans="1:8" ht="69">
      <c r="A6168" s="502" t="s">
        <v>34225</v>
      </c>
      <c r="B6168" s="504" t="s">
        <v>34226</v>
      </c>
      <c r="C6168" s="502" t="s">
        <v>83</v>
      </c>
      <c r="D6168" s="503" t="s">
        <v>34227</v>
      </c>
      <c r="H6168" s="14">
        <f t="shared" si="191"/>
        <v>67.760000000000005</v>
      </c>
    </row>
    <row r="6169" spans="1:8" ht="69">
      <c r="A6169" s="502" t="s">
        <v>34228</v>
      </c>
      <c r="B6169" s="504" t="s">
        <v>34229</v>
      </c>
      <c r="C6169" s="502" t="s">
        <v>83</v>
      </c>
      <c r="D6169" s="503" t="s">
        <v>34230</v>
      </c>
      <c r="H6169" s="14">
        <f t="shared" si="191"/>
        <v>60.06</v>
      </c>
    </row>
    <row r="6170" spans="1:8" ht="69">
      <c r="A6170" s="502" t="s">
        <v>34231</v>
      </c>
      <c r="B6170" s="504" t="s">
        <v>34232</v>
      </c>
      <c r="C6170" s="502" t="s">
        <v>83</v>
      </c>
      <c r="D6170" s="503" t="s">
        <v>18085</v>
      </c>
      <c r="H6170" s="14">
        <f t="shared" si="191"/>
        <v>66.19</v>
      </c>
    </row>
    <row r="6171" spans="1:8" ht="69">
      <c r="A6171" s="502" t="s">
        <v>34233</v>
      </c>
      <c r="B6171" s="504" t="s">
        <v>34234</v>
      </c>
      <c r="C6171" s="502" t="s">
        <v>83</v>
      </c>
      <c r="D6171" s="503" t="s">
        <v>34235</v>
      </c>
      <c r="H6171" s="14">
        <f t="shared" si="191"/>
        <v>214.08</v>
      </c>
    </row>
    <row r="6172" spans="1:8" ht="69">
      <c r="A6172" s="502" t="s">
        <v>34236</v>
      </c>
      <c r="B6172" s="504" t="s">
        <v>34237</v>
      </c>
      <c r="C6172" s="502" t="s">
        <v>83</v>
      </c>
      <c r="D6172" s="503" t="s">
        <v>34238</v>
      </c>
      <c r="H6172" s="14">
        <f t="shared" si="191"/>
        <v>200.02</v>
      </c>
    </row>
    <row r="6173" spans="1:8" ht="69">
      <c r="A6173" s="502" t="s">
        <v>34239</v>
      </c>
      <c r="B6173" s="504" t="s">
        <v>34240</v>
      </c>
      <c r="C6173" s="502" t="s">
        <v>83</v>
      </c>
      <c r="D6173" s="503" t="s">
        <v>34241</v>
      </c>
      <c r="H6173" s="14">
        <f t="shared" si="191"/>
        <v>188.56</v>
      </c>
    </row>
    <row r="6174" spans="1:8" ht="69">
      <c r="A6174" s="502" t="s">
        <v>34242</v>
      </c>
      <c r="B6174" s="504" t="s">
        <v>34243</v>
      </c>
      <c r="C6174" s="502" t="s">
        <v>83</v>
      </c>
      <c r="D6174" s="503" t="s">
        <v>34244</v>
      </c>
      <c r="H6174" s="14">
        <f t="shared" si="191"/>
        <v>174.5</v>
      </c>
    </row>
    <row r="6175" spans="1:8" ht="69">
      <c r="A6175" s="502" t="s">
        <v>34245</v>
      </c>
      <c r="B6175" s="504" t="s">
        <v>34246</v>
      </c>
      <c r="C6175" s="502" t="s">
        <v>83</v>
      </c>
      <c r="D6175" s="503" t="s">
        <v>29928</v>
      </c>
      <c r="H6175" s="14">
        <f t="shared" si="191"/>
        <v>156.61000000000001</v>
      </c>
    </row>
    <row r="6176" spans="1:8" ht="69">
      <c r="A6176" s="502" t="s">
        <v>34247</v>
      </c>
      <c r="B6176" s="504" t="s">
        <v>34248</v>
      </c>
      <c r="C6176" s="502" t="s">
        <v>83</v>
      </c>
      <c r="D6176" s="503" t="s">
        <v>34249</v>
      </c>
      <c r="H6176" s="14">
        <f t="shared" si="191"/>
        <v>167.46</v>
      </c>
    </row>
    <row r="6177" spans="1:8" ht="69">
      <c r="A6177" s="502" t="s">
        <v>34250</v>
      </c>
      <c r="B6177" s="504" t="s">
        <v>34251</v>
      </c>
      <c r="C6177" s="502" t="s">
        <v>83</v>
      </c>
      <c r="D6177" s="503" t="s">
        <v>27898</v>
      </c>
      <c r="H6177" s="14">
        <f t="shared" si="191"/>
        <v>208.46</v>
      </c>
    </row>
    <row r="6178" spans="1:8" ht="69">
      <c r="A6178" s="502" t="s">
        <v>34252</v>
      </c>
      <c r="B6178" s="504" t="s">
        <v>34253</v>
      </c>
      <c r="C6178" s="502" t="s">
        <v>83</v>
      </c>
      <c r="D6178" s="503" t="s">
        <v>34254</v>
      </c>
      <c r="H6178" s="14">
        <f t="shared" si="191"/>
        <v>230.2</v>
      </c>
    </row>
    <row r="6179" spans="1:8" ht="69">
      <c r="A6179" s="502" t="s">
        <v>34255</v>
      </c>
      <c r="B6179" s="504" t="s">
        <v>34256</v>
      </c>
      <c r="C6179" s="502" t="s">
        <v>83</v>
      </c>
      <c r="D6179" s="503" t="s">
        <v>34257</v>
      </c>
      <c r="H6179" s="14">
        <f t="shared" si="191"/>
        <v>210.81</v>
      </c>
    </row>
    <row r="6180" spans="1:8" ht="69">
      <c r="A6180" s="502" t="s">
        <v>34258</v>
      </c>
      <c r="B6180" s="504" t="s">
        <v>34259</v>
      </c>
      <c r="C6180" s="502" t="s">
        <v>83</v>
      </c>
      <c r="D6180" s="503" t="s">
        <v>28533</v>
      </c>
      <c r="H6180" s="14">
        <f t="shared" si="191"/>
        <v>193.29</v>
      </c>
    </row>
    <row r="6181" spans="1:8" ht="69">
      <c r="A6181" s="502" t="s">
        <v>34260</v>
      </c>
      <c r="B6181" s="504" t="s">
        <v>34261</v>
      </c>
      <c r="C6181" s="502" t="s">
        <v>83</v>
      </c>
      <c r="D6181" s="503" t="s">
        <v>34262</v>
      </c>
      <c r="H6181" s="14">
        <f t="shared" si="191"/>
        <v>209.02</v>
      </c>
    </row>
    <row r="6182" spans="1:8" ht="69">
      <c r="A6182" s="502" t="s">
        <v>34263</v>
      </c>
      <c r="B6182" s="504" t="s">
        <v>34264</v>
      </c>
      <c r="C6182" s="502" t="s">
        <v>83</v>
      </c>
      <c r="D6182" s="503" t="s">
        <v>34265</v>
      </c>
      <c r="H6182" s="14">
        <f t="shared" si="191"/>
        <v>182.94</v>
      </c>
    </row>
    <row r="6183" spans="1:8" ht="69">
      <c r="A6183" s="502" t="s">
        <v>34266</v>
      </c>
      <c r="B6183" s="504" t="s">
        <v>34267</v>
      </c>
      <c r="C6183" s="502" t="s">
        <v>83</v>
      </c>
      <c r="D6183" s="503" t="s">
        <v>34268</v>
      </c>
      <c r="H6183" s="14">
        <f t="shared" si="191"/>
        <v>204.69</v>
      </c>
    </row>
    <row r="6184" spans="1:8" ht="69">
      <c r="A6184" s="502" t="s">
        <v>34269</v>
      </c>
      <c r="B6184" s="504" t="s">
        <v>34270</v>
      </c>
      <c r="C6184" s="502" t="s">
        <v>83</v>
      </c>
      <c r="D6184" s="503" t="s">
        <v>34271</v>
      </c>
      <c r="H6184" s="14">
        <f t="shared" si="191"/>
        <v>185.3</v>
      </c>
    </row>
    <row r="6185" spans="1:8" ht="69">
      <c r="A6185" s="502" t="s">
        <v>34272</v>
      </c>
      <c r="B6185" s="504" t="s">
        <v>34273</v>
      </c>
      <c r="C6185" s="502" t="s">
        <v>83</v>
      </c>
      <c r="D6185" s="503" t="s">
        <v>30475</v>
      </c>
      <c r="H6185" s="14">
        <f t="shared" si="191"/>
        <v>167.78</v>
      </c>
    </row>
    <row r="6186" spans="1:8" ht="69">
      <c r="A6186" s="502" t="s">
        <v>34274</v>
      </c>
      <c r="B6186" s="504" t="s">
        <v>34275</v>
      </c>
      <c r="C6186" s="502" t="s">
        <v>83</v>
      </c>
      <c r="D6186" s="503" t="s">
        <v>34276</v>
      </c>
      <c r="H6186" s="14">
        <f t="shared" si="191"/>
        <v>183.5</v>
      </c>
    </row>
    <row r="6187" spans="1:8" ht="69">
      <c r="A6187" s="502" t="s">
        <v>34277</v>
      </c>
      <c r="B6187" s="504" t="s">
        <v>34278</v>
      </c>
      <c r="C6187" s="502" t="s">
        <v>83</v>
      </c>
      <c r="D6187" s="503" t="s">
        <v>34279</v>
      </c>
      <c r="H6187" s="14">
        <f t="shared" si="191"/>
        <v>108.85</v>
      </c>
    </row>
    <row r="6188" spans="1:8" ht="69">
      <c r="A6188" s="502" t="s">
        <v>34280</v>
      </c>
      <c r="B6188" s="504" t="s">
        <v>34281</v>
      </c>
      <c r="C6188" s="502" t="s">
        <v>83</v>
      </c>
      <c r="D6188" s="503" t="s">
        <v>34282</v>
      </c>
      <c r="H6188" s="14">
        <f t="shared" si="191"/>
        <v>147.22999999999999</v>
      </c>
    </row>
    <row r="6189" spans="1:8" ht="69">
      <c r="A6189" s="502" t="s">
        <v>34283</v>
      </c>
      <c r="B6189" s="504" t="s">
        <v>34284</v>
      </c>
      <c r="C6189" s="502" t="s">
        <v>83</v>
      </c>
      <c r="D6189" s="503" t="s">
        <v>34285</v>
      </c>
      <c r="H6189" s="14">
        <f t="shared" si="191"/>
        <v>185.11</v>
      </c>
    </row>
    <row r="6190" spans="1:8" ht="69">
      <c r="A6190" s="502" t="s">
        <v>34286</v>
      </c>
      <c r="B6190" s="504" t="s">
        <v>34287</v>
      </c>
      <c r="C6190" s="502" t="s">
        <v>83</v>
      </c>
      <c r="D6190" s="503" t="s">
        <v>11642</v>
      </c>
      <c r="H6190" s="14">
        <f t="shared" si="191"/>
        <v>156.85</v>
      </c>
    </row>
    <row r="6191" spans="1:8" ht="69">
      <c r="A6191" s="502" t="s">
        <v>34288</v>
      </c>
      <c r="B6191" s="504" t="s">
        <v>34289</v>
      </c>
      <c r="C6191" s="502" t="s">
        <v>83</v>
      </c>
      <c r="D6191" s="503" t="s">
        <v>28872</v>
      </c>
      <c r="H6191" s="14">
        <f t="shared" si="191"/>
        <v>194.73</v>
      </c>
    </row>
    <row r="6192" spans="1:8" ht="69">
      <c r="A6192" s="502" t="s">
        <v>34290</v>
      </c>
      <c r="B6192" s="504" t="s">
        <v>34291</v>
      </c>
      <c r="C6192" s="502" t="s">
        <v>83</v>
      </c>
      <c r="D6192" s="503" t="s">
        <v>28538</v>
      </c>
      <c r="H6192" s="14">
        <f t="shared" si="191"/>
        <v>107.2</v>
      </c>
    </row>
    <row r="6193" spans="1:8" ht="69">
      <c r="A6193" s="502" t="s">
        <v>34292</v>
      </c>
      <c r="B6193" s="504" t="s">
        <v>34293</v>
      </c>
      <c r="C6193" s="502" t="s">
        <v>83</v>
      </c>
      <c r="D6193" s="503" t="s">
        <v>34294</v>
      </c>
      <c r="H6193" s="14">
        <f t="shared" si="191"/>
        <v>145.58000000000001</v>
      </c>
    </row>
    <row r="6194" spans="1:8" ht="69">
      <c r="A6194" s="502" t="s">
        <v>34295</v>
      </c>
      <c r="B6194" s="504" t="s">
        <v>34296</v>
      </c>
      <c r="C6194" s="502" t="s">
        <v>83</v>
      </c>
      <c r="D6194" s="503" t="s">
        <v>34297</v>
      </c>
      <c r="H6194" s="14">
        <f t="shared" si="191"/>
        <v>183.46</v>
      </c>
    </row>
    <row r="6195" spans="1:8" ht="69">
      <c r="A6195" s="502" t="s">
        <v>34298</v>
      </c>
      <c r="B6195" s="504" t="s">
        <v>34299</v>
      </c>
      <c r="C6195" s="502" t="s">
        <v>83</v>
      </c>
      <c r="D6195" s="503" t="s">
        <v>28321</v>
      </c>
      <c r="H6195" s="14">
        <f t="shared" si="191"/>
        <v>99.5</v>
      </c>
    </row>
    <row r="6196" spans="1:8" ht="69">
      <c r="A6196" s="502" t="s">
        <v>34300</v>
      </c>
      <c r="B6196" s="504" t="s">
        <v>34301</v>
      </c>
      <c r="C6196" s="502" t="s">
        <v>83</v>
      </c>
      <c r="D6196" s="503" t="s">
        <v>34302</v>
      </c>
      <c r="H6196" s="14">
        <f t="shared" si="191"/>
        <v>137.87</v>
      </c>
    </row>
    <row r="6197" spans="1:8" ht="69">
      <c r="A6197" s="502" t="s">
        <v>34303</v>
      </c>
      <c r="B6197" s="504" t="s">
        <v>34304</v>
      </c>
      <c r="C6197" s="502" t="s">
        <v>83</v>
      </c>
      <c r="D6197" s="503" t="s">
        <v>34305</v>
      </c>
      <c r="H6197" s="14">
        <f t="shared" si="191"/>
        <v>175.76</v>
      </c>
    </row>
    <row r="6198" spans="1:8" ht="69">
      <c r="A6198" s="502" t="s">
        <v>34306</v>
      </c>
      <c r="B6198" s="504" t="s">
        <v>34307</v>
      </c>
      <c r="C6198" s="502" t="s">
        <v>83</v>
      </c>
      <c r="D6198" s="503" t="s">
        <v>34308</v>
      </c>
      <c r="H6198" s="14">
        <f t="shared" si="191"/>
        <v>105.63</v>
      </c>
    </row>
    <row r="6199" spans="1:8" ht="69">
      <c r="A6199" s="502" t="s">
        <v>34309</v>
      </c>
      <c r="B6199" s="504" t="s">
        <v>34310</v>
      </c>
      <c r="C6199" s="502" t="s">
        <v>83</v>
      </c>
      <c r="D6199" s="503" t="s">
        <v>34311</v>
      </c>
      <c r="H6199" s="14">
        <f t="shared" si="191"/>
        <v>144</v>
      </c>
    </row>
    <row r="6200" spans="1:8" ht="69">
      <c r="A6200" s="502" t="s">
        <v>34312</v>
      </c>
      <c r="B6200" s="504" t="s">
        <v>34313</v>
      </c>
      <c r="C6200" s="502" t="s">
        <v>83</v>
      </c>
      <c r="D6200" s="503" t="s">
        <v>34314</v>
      </c>
      <c r="H6200" s="14">
        <f t="shared" si="191"/>
        <v>181.89</v>
      </c>
    </row>
    <row r="6201" spans="1:8" ht="69">
      <c r="A6201" s="502" t="s">
        <v>34315</v>
      </c>
      <c r="B6201" s="504" t="s">
        <v>34316</v>
      </c>
      <c r="C6201" s="502" t="s">
        <v>83</v>
      </c>
      <c r="D6201" s="503" t="s">
        <v>34317</v>
      </c>
      <c r="H6201" s="14">
        <f t="shared" si="191"/>
        <v>272.76</v>
      </c>
    </row>
    <row r="6202" spans="1:8" ht="69">
      <c r="A6202" s="502" t="s">
        <v>34318</v>
      </c>
      <c r="B6202" s="504" t="s">
        <v>34319</v>
      </c>
      <c r="C6202" s="502" t="s">
        <v>83</v>
      </c>
      <c r="D6202" s="503" t="s">
        <v>34320</v>
      </c>
      <c r="H6202" s="14">
        <f t="shared" si="191"/>
        <v>308.07</v>
      </c>
    </row>
    <row r="6203" spans="1:8" ht="69">
      <c r="A6203" s="502" t="s">
        <v>34321</v>
      </c>
      <c r="B6203" s="504" t="s">
        <v>34322</v>
      </c>
      <c r="C6203" s="502" t="s">
        <v>83</v>
      </c>
      <c r="D6203" s="503" t="s">
        <v>34323</v>
      </c>
      <c r="H6203" s="14">
        <f t="shared" si="191"/>
        <v>342.89</v>
      </c>
    </row>
    <row r="6204" spans="1:8" ht="69">
      <c r="A6204" s="502" t="s">
        <v>34324</v>
      </c>
      <c r="B6204" s="504" t="s">
        <v>34325</v>
      </c>
      <c r="C6204" s="502" t="s">
        <v>83</v>
      </c>
      <c r="D6204" s="503" t="s">
        <v>34326</v>
      </c>
      <c r="H6204" s="14">
        <f t="shared" si="191"/>
        <v>289.64999999999998</v>
      </c>
    </row>
    <row r="6205" spans="1:8" ht="69">
      <c r="A6205" s="502" t="s">
        <v>34327</v>
      </c>
      <c r="B6205" s="504" t="s">
        <v>34328</v>
      </c>
      <c r="C6205" s="502" t="s">
        <v>83</v>
      </c>
      <c r="D6205" s="503" t="s">
        <v>33280</v>
      </c>
      <c r="H6205" s="14">
        <f t="shared" si="191"/>
        <v>324.95999999999998</v>
      </c>
    </row>
    <row r="6206" spans="1:8" ht="69">
      <c r="A6206" s="502" t="s">
        <v>34329</v>
      </c>
      <c r="B6206" s="504" t="s">
        <v>34330</v>
      </c>
      <c r="C6206" s="502" t="s">
        <v>83</v>
      </c>
      <c r="D6206" s="503" t="s">
        <v>34331</v>
      </c>
      <c r="H6206" s="14">
        <f t="shared" si="191"/>
        <v>359.78</v>
      </c>
    </row>
    <row r="6207" spans="1:8" ht="69">
      <c r="A6207" s="502" t="s">
        <v>34332</v>
      </c>
      <c r="B6207" s="504" t="s">
        <v>34333</v>
      </c>
      <c r="C6207" s="502" t="s">
        <v>83</v>
      </c>
      <c r="D6207" s="503" t="s">
        <v>34334</v>
      </c>
      <c r="H6207" s="14">
        <f t="shared" si="191"/>
        <v>275.58999999999997</v>
      </c>
    </row>
    <row r="6208" spans="1:8" ht="69">
      <c r="A6208" s="502" t="s">
        <v>34335</v>
      </c>
      <c r="B6208" s="504" t="s">
        <v>34336</v>
      </c>
      <c r="C6208" s="502" t="s">
        <v>83</v>
      </c>
      <c r="D6208" s="503" t="s">
        <v>34337</v>
      </c>
      <c r="H6208" s="14">
        <f t="shared" si="191"/>
        <v>310.89999999999998</v>
      </c>
    </row>
    <row r="6209" spans="1:8" ht="69">
      <c r="A6209" s="502" t="s">
        <v>34338</v>
      </c>
      <c r="B6209" s="504" t="s">
        <v>34339</v>
      </c>
      <c r="C6209" s="502" t="s">
        <v>83</v>
      </c>
      <c r="D6209" s="503" t="s">
        <v>34340</v>
      </c>
      <c r="H6209" s="14">
        <f t="shared" si="191"/>
        <v>345.72</v>
      </c>
    </row>
    <row r="6210" spans="1:8" ht="69">
      <c r="A6210" s="502" t="s">
        <v>34341</v>
      </c>
      <c r="B6210" s="504" t="s">
        <v>34342</v>
      </c>
      <c r="C6210" s="502" t="s">
        <v>83</v>
      </c>
      <c r="D6210" s="503" t="s">
        <v>29992</v>
      </c>
      <c r="H6210" s="14">
        <f t="shared" si="191"/>
        <v>257.69</v>
      </c>
    </row>
    <row r="6211" spans="1:8" ht="69">
      <c r="A6211" s="502" t="s">
        <v>34343</v>
      </c>
      <c r="B6211" s="504" t="s">
        <v>34344</v>
      </c>
      <c r="C6211" s="502" t="s">
        <v>83</v>
      </c>
      <c r="D6211" s="503" t="s">
        <v>34345</v>
      </c>
      <c r="H6211" s="14">
        <f t="shared" si="191"/>
        <v>293</v>
      </c>
    </row>
    <row r="6212" spans="1:8" ht="69">
      <c r="A6212" s="502" t="s">
        <v>34346</v>
      </c>
      <c r="B6212" s="504" t="s">
        <v>34347</v>
      </c>
      <c r="C6212" s="502" t="s">
        <v>83</v>
      </c>
      <c r="D6212" s="503" t="s">
        <v>34348</v>
      </c>
      <c r="H6212" s="14">
        <f t="shared" si="191"/>
        <v>327.82</v>
      </c>
    </row>
    <row r="6213" spans="1:8" ht="69">
      <c r="A6213" s="502" t="s">
        <v>34349</v>
      </c>
      <c r="B6213" s="504" t="s">
        <v>34350</v>
      </c>
      <c r="C6213" s="502" t="s">
        <v>83</v>
      </c>
      <c r="D6213" s="503" t="s">
        <v>34351</v>
      </c>
      <c r="H6213" s="14">
        <f t="shared" ref="H6213:H6276" si="192">ROUND(D6213*(1+$H$1),2)</f>
        <v>268.54000000000002</v>
      </c>
    </row>
    <row r="6214" spans="1:8" ht="69">
      <c r="A6214" s="502" t="s">
        <v>34352</v>
      </c>
      <c r="B6214" s="504" t="s">
        <v>34353</v>
      </c>
      <c r="C6214" s="502" t="s">
        <v>83</v>
      </c>
      <c r="D6214" s="503" t="s">
        <v>34354</v>
      </c>
      <c r="H6214" s="14">
        <f t="shared" si="192"/>
        <v>303.85000000000002</v>
      </c>
    </row>
    <row r="6215" spans="1:8" ht="69">
      <c r="A6215" s="502" t="s">
        <v>34355</v>
      </c>
      <c r="B6215" s="504" t="s">
        <v>34356</v>
      </c>
      <c r="C6215" s="502" t="s">
        <v>83</v>
      </c>
      <c r="D6215" s="503" t="s">
        <v>34357</v>
      </c>
      <c r="H6215" s="14">
        <f t="shared" si="192"/>
        <v>338.67</v>
      </c>
    </row>
    <row r="6216" spans="1:8" ht="69">
      <c r="A6216" s="502" t="s">
        <v>34358</v>
      </c>
      <c r="B6216" s="504" t="s">
        <v>34359</v>
      </c>
      <c r="C6216" s="502" t="s">
        <v>83</v>
      </c>
      <c r="D6216" s="503" t="s">
        <v>34360</v>
      </c>
      <c r="H6216" s="14">
        <f t="shared" si="192"/>
        <v>248.26</v>
      </c>
    </row>
    <row r="6217" spans="1:8" ht="69">
      <c r="A6217" s="502" t="s">
        <v>34361</v>
      </c>
      <c r="B6217" s="504" t="s">
        <v>34362</v>
      </c>
      <c r="C6217" s="502" t="s">
        <v>83</v>
      </c>
      <c r="D6217" s="503" t="s">
        <v>34363</v>
      </c>
      <c r="H6217" s="14">
        <f t="shared" si="192"/>
        <v>284.08</v>
      </c>
    </row>
    <row r="6218" spans="1:8" ht="69">
      <c r="A6218" s="502" t="s">
        <v>34364</v>
      </c>
      <c r="B6218" s="504" t="s">
        <v>34365</v>
      </c>
      <c r="C6218" s="502" t="s">
        <v>83</v>
      </c>
      <c r="D6218" s="503" t="s">
        <v>34366</v>
      </c>
      <c r="H6218" s="14">
        <f t="shared" si="192"/>
        <v>319.41000000000003</v>
      </c>
    </row>
    <row r="6219" spans="1:8" ht="69">
      <c r="A6219" s="502" t="s">
        <v>34367</v>
      </c>
      <c r="B6219" s="504" t="s">
        <v>34368</v>
      </c>
      <c r="C6219" s="502" t="s">
        <v>83</v>
      </c>
      <c r="D6219" s="503" t="s">
        <v>34369</v>
      </c>
      <c r="H6219" s="14">
        <f t="shared" si="192"/>
        <v>265.14</v>
      </c>
    </row>
    <row r="6220" spans="1:8" ht="69">
      <c r="A6220" s="502" t="s">
        <v>34370</v>
      </c>
      <c r="B6220" s="504" t="s">
        <v>34371</v>
      </c>
      <c r="C6220" s="502" t="s">
        <v>83</v>
      </c>
      <c r="D6220" s="503" t="s">
        <v>34372</v>
      </c>
      <c r="H6220" s="14">
        <f t="shared" si="192"/>
        <v>300.95999999999998</v>
      </c>
    </row>
    <row r="6221" spans="1:8" ht="69">
      <c r="A6221" s="502" t="s">
        <v>34373</v>
      </c>
      <c r="B6221" s="504" t="s">
        <v>34374</v>
      </c>
      <c r="C6221" s="502" t="s">
        <v>83</v>
      </c>
      <c r="D6221" s="503" t="s">
        <v>34375</v>
      </c>
      <c r="H6221" s="14">
        <f t="shared" si="192"/>
        <v>336.3</v>
      </c>
    </row>
    <row r="6222" spans="1:8" ht="69">
      <c r="A6222" s="502" t="s">
        <v>34376</v>
      </c>
      <c r="B6222" s="504" t="s">
        <v>34377</v>
      </c>
      <c r="C6222" s="502" t="s">
        <v>83</v>
      </c>
      <c r="D6222" s="503" t="s">
        <v>34378</v>
      </c>
      <c r="H6222" s="14">
        <f t="shared" si="192"/>
        <v>251.08</v>
      </c>
    </row>
    <row r="6223" spans="1:8" ht="69">
      <c r="A6223" s="502" t="s">
        <v>34379</v>
      </c>
      <c r="B6223" s="504" t="s">
        <v>34380</v>
      </c>
      <c r="C6223" s="502" t="s">
        <v>83</v>
      </c>
      <c r="D6223" s="503" t="s">
        <v>27980</v>
      </c>
      <c r="H6223" s="14">
        <f t="shared" si="192"/>
        <v>286.89999999999998</v>
      </c>
    </row>
    <row r="6224" spans="1:8" ht="69">
      <c r="A6224" s="502" t="s">
        <v>34381</v>
      </c>
      <c r="B6224" s="504" t="s">
        <v>34382</v>
      </c>
      <c r="C6224" s="502" t="s">
        <v>83</v>
      </c>
      <c r="D6224" s="503" t="s">
        <v>34383</v>
      </c>
      <c r="H6224" s="14">
        <f t="shared" si="192"/>
        <v>322.24</v>
      </c>
    </row>
    <row r="6225" spans="1:8" ht="69">
      <c r="A6225" s="502" t="s">
        <v>34384</v>
      </c>
      <c r="B6225" s="504" t="s">
        <v>34385</v>
      </c>
      <c r="C6225" s="502" t="s">
        <v>83</v>
      </c>
      <c r="D6225" s="503" t="s">
        <v>10653</v>
      </c>
      <c r="H6225" s="14">
        <f t="shared" si="192"/>
        <v>233.19</v>
      </c>
    </row>
    <row r="6226" spans="1:8" ht="69">
      <c r="A6226" s="502" t="s">
        <v>34386</v>
      </c>
      <c r="B6226" s="504" t="s">
        <v>34387</v>
      </c>
      <c r="C6226" s="502" t="s">
        <v>83</v>
      </c>
      <c r="D6226" s="503" t="s">
        <v>34388</v>
      </c>
      <c r="H6226" s="14">
        <f t="shared" si="192"/>
        <v>269.01</v>
      </c>
    </row>
    <row r="6227" spans="1:8" ht="69">
      <c r="A6227" s="502" t="s">
        <v>34389</v>
      </c>
      <c r="B6227" s="504" t="s">
        <v>34390</v>
      </c>
      <c r="C6227" s="502" t="s">
        <v>83</v>
      </c>
      <c r="D6227" s="503" t="s">
        <v>34391</v>
      </c>
      <c r="H6227" s="14">
        <f t="shared" si="192"/>
        <v>304.33999999999997</v>
      </c>
    </row>
    <row r="6228" spans="1:8" ht="69">
      <c r="A6228" s="502" t="s">
        <v>34392</v>
      </c>
      <c r="B6228" s="504" t="s">
        <v>34393</v>
      </c>
      <c r="C6228" s="502" t="s">
        <v>83</v>
      </c>
      <c r="D6228" s="503" t="s">
        <v>34394</v>
      </c>
      <c r="H6228" s="14">
        <f t="shared" si="192"/>
        <v>244.03</v>
      </c>
    </row>
    <row r="6229" spans="1:8" ht="69">
      <c r="A6229" s="502" t="s">
        <v>34395</v>
      </c>
      <c r="B6229" s="504" t="s">
        <v>34396</v>
      </c>
      <c r="C6229" s="502" t="s">
        <v>83</v>
      </c>
      <c r="D6229" s="503" t="s">
        <v>34397</v>
      </c>
      <c r="H6229" s="14">
        <f t="shared" si="192"/>
        <v>279.85000000000002</v>
      </c>
    </row>
    <row r="6230" spans="1:8" ht="69">
      <c r="A6230" s="502" t="s">
        <v>34398</v>
      </c>
      <c r="B6230" s="504" t="s">
        <v>34399</v>
      </c>
      <c r="C6230" s="502" t="s">
        <v>83</v>
      </c>
      <c r="D6230" s="503" t="s">
        <v>34400</v>
      </c>
      <c r="H6230" s="14">
        <f t="shared" si="192"/>
        <v>315.19</v>
      </c>
    </row>
    <row r="6231" spans="1:8" ht="69">
      <c r="A6231" s="502" t="s">
        <v>34401</v>
      </c>
      <c r="B6231" s="504" t="s">
        <v>34402</v>
      </c>
      <c r="C6231" s="502" t="s">
        <v>83</v>
      </c>
      <c r="D6231" s="503" t="s">
        <v>34403</v>
      </c>
      <c r="H6231" s="14">
        <f t="shared" si="192"/>
        <v>197.2</v>
      </c>
    </row>
    <row r="6232" spans="1:8" ht="69">
      <c r="A6232" s="502" t="s">
        <v>34404</v>
      </c>
      <c r="B6232" s="504" t="s">
        <v>34405</v>
      </c>
      <c r="C6232" s="502" t="s">
        <v>83</v>
      </c>
      <c r="D6232" s="503" t="s">
        <v>34406</v>
      </c>
      <c r="H6232" s="14">
        <f t="shared" si="192"/>
        <v>182.13</v>
      </c>
    </row>
    <row r="6233" spans="1:8" ht="69">
      <c r="A6233" s="502" t="s">
        <v>34407</v>
      </c>
      <c r="B6233" s="504" t="s">
        <v>34408</v>
      </c>
      <c r="C6233" s="502" t="s">
        <v>83</v>
      </c>
      <c r="D6233" s="503" t="s">
        <v>34409</v>
      </c>
      <c r="H6233" s="14">
        <f t="shared" si="192"/>
        <v>192.97</v>
      </c>
    </row>
    <row r="6234" spans="1:8" ht="69">
      <c r="A6234" s="502" t="s">
        <v>34410</v>
      </c>
      <c r="B6234" s="504" t="s">
        <v>34411</v>
      </c>
      <c r="C6234" s="502" t="s">
        <v>83</v>
      </c>
      <c r="D6234" s="503" t="s">
        <v>22995</v>
      </c>
      <c r="H6234" s="14">
        <f t="shared" si="192"/>
        <v>171.68</v>
      </c>
    </row>
    <row r="6235" spans="1:8" ht="41.4">
      <c r="A6235" s="502" t="s">
        <v>34412</v>
      </c>
      <c r="B6235" s="504" t="s">
        <v>34413</v>
      </c>
      <c r="C6235" s="502" t="s">
        <v>83</v>
      </c>
      <c r="D6235" s="503" t="s">
        <v>34414</v>
      </c>
      <c r="H6235" s="14">
        <f t="shared" si="192"/>
        <v>315.83999999999997</v>
      </c>
    </row>
    <row r="6236" spans="1:8" ht="41.4">
      <c r="A6236" s="502" t="s">
        <v>34415</v>
      </c>
      <c r="B6236" s="504" t="s">
        <v>34416</v>
      </c>
      <c r="C6236" s="502" t="s">
        <v>83</v>
      </c>
      <c r="D6236" s="503" t="s">
        <v>34417</v>
      </c>
      <c r="H6236" s="14">
        <f t="shared" si="192"/>
        <v>324.8</v>
      </c>
    </row>
    <row r="6237" spans="1:8" ht="41.4">
      <c r="A6237" s="502" t="s">
        <v>34418</v>
      </c>
      <c r="B6237" s="504" t="s">
        <v>34419</v>
      </c>
      <c r="C6237" s="502" t="s">
        <v>83</v>
      </c>
      <c r="D6237" s="503" t="s">
        <v>34420</v>
      </c>
      <c r="H6237" s="14">
        <f t="shared" si="192"/>
        <v>318.20999999999998</v>
      </c>
    </row>
    <row r="6238" spans="1:8" ht="41.4">
      <c r="A6238" s="502" t="s">
        <v>34421</v>
      </c>
      <c r="B6238" s="504" t="s">
        <v>34422</v>
      </c>
      <c r="C6238" s="502" t="s">
        <v>83</v>
      </c>
      <c r="D6238" s="503" t="s">
        <v>34423</v>
      </c>
      <c r="H6238" s="14">
        <f t="shared" si="192"/>
        <v>308.62</v>
      </c>
    </row>
    <row r="6239" spans="1:8" ht="41.4">
      <c r="A6239" s="502" t="s">
        <v>34424</v>
      </c>
      <c r="B6239" s="504" t="s">
        <v>34425</v>
      </c>
      <c r="C6239" s="502" t="s">
        <v>83</v>
      </c>
      <c r="D6239" s="503" t="s">
        <v>34426</v>
      </c>
      <c r="H6239" s="14">
        <f t="shared" si="192"/>
        <v>314.87</v>
      </c>
    </row>
    <row r="6240" spans="1:8" ht="55.2">
      <c r="A6240" s="502" t="s">
        <v>34427</v>
      </c>
      <c r="B6240" s="504" t="s">
        <v>34428</v>
      </c>
      <c r="C6240" s="502" t="s">
        <v>83</v>
      </c>
      <c r="D6240" s="503" t="s">
        <v>34429</v>
      </c>
      <c r="H6240" s="14">
        <f t="shared" si="192"/>
        <v>391.53</v>
      </c>
    </row>
    <row r="6241" spans="1:8" ht="55.2">
      <c r="A6241" s="502" t="s">
        <v>34430</v>
      </c>
      <c r="B6241" s="504" t="s">
        <v>34431</v>
      </c>
      <c r="C6241" s="502" t="s">
        <v>83</v>
      </c>
      <c r="D6241" s="503" t="s">
        <v>34432</v>
      </c>
      <c r="H6241" s="14">
        <f t="shared" si="192"/>
        <v>402.24</v>
      </c>
    </row>
    <row r="6242" spans="1:8" ht="55.2">
      <c r="A6242" s="502" t="s">
        <v>34433</v>
      </c>
      <c r="B6242" s="504" t="s">
        <v>34434</v>
      </c>
      <c r="C6242" s="502" t="s">
        <v>83</v>
      </c>
      <c r="D6242" s="503" t="s">
        <v>34435</v>
      </c>
      <c r="H6242" s="14">
        <f t="shared" si="192"/>
        <v>393.65</v>
      </c>
    </row>
    <row r="6243" spans="1:8" ht="15" customHeight="1">
      <c r="A6243" s="502" t="s">
        <v>34436</v>
      </c>
      <c r="B6243" s="504" t="s">
        <v>34437</v>
      </c>
      <c r="C6243" s="502" t="s">
        <v>83</v>
      </c>
      <c r="D6243" s="503" t="s">
        <v>34438</v>
      </c>
      <c r="H6243" s="14">
        <f t="shared" si="192"/>
        <v>382.12</v>
      </c>
    </row>
    <row r="6244" spans="1:8" ht="15" customHeight="1">
      <c r="A6244" s="502" t="s">
        <v>34439</v>
      </c>
      <c r="B6244" s="504" t="s">
        <v>34440</v>
      </c>
      <c r="C6244" s="502" t="s">
        <v>83</v>
      </c>
      <c r="D6244" s="503" t="s">
        <v>34441</v>
      </c>
      <c r="H6244" s="14">
        <f t="shared" si="192"/>
        <v>389.28</v>
      </c>
    </row>
    <row r="6245" spans="1:8" ht="15" customHeight="1">
      <c r="A6245" s="502" t="s">
        <v>34442</v>
      </c>
      <c r="B6245" s="504" t="s">
        <v>34443</v>
      </c>
      <c r="C6245" s="502" t="s">
        <v>83</v>
      </c>
      <c r="D6245" s="503" t="s">
        <v>34444</v>
      </c>
      <c r="H6245" s="14">
        <f t="shared" si="192"/>
        <v>489.41</v>
      </c>
    </row>
    <row r="6246" spans="1:8" ht="15" customHeight="1">
      <c r="A6246" s="502" t="s">
        <v>34445</v>
      </c>
      <c r="B6246" s="504" t="s">
        <v>34446</v>
      </c>
      <c r="C6246" s="502" t="s">
        <v>83</v>
      </c>
      <c r="D6246" s="503" t="s">
        <v>29586</v>
      </c>
      <c r="H6246" s="14">
        <f t="shared" si="192"/>
        <v>498.36</v>
      </c>
    </row>
    <row r="6247" spans="1:8" ht="15" customHeight="1">
      <c r="A6247" s="502" t="s">
        <v>34447</v>
      </c>
      <c r="B6247" s="504" t="s">
        <v>34448</v>
      </c>
      <c r="C6247" s="502" t="s">
        <v>83</v>
      </c>
      <c r="D6247" s="503" t="s">
        <v>34449</v>
      </c>
      <c r="H6247" s="14">
        <f t="shared" si="192"/>
        <v>491.91</v>
      </c>
    </row>
    <row r="6248" spans="1:8" ht="15" customHeight="1">
      <c r="A6248" s="502" t="s">
        <v>34450</v>
      </c>
      <c r="B6248" s="504" t="s">
        <v>34451</v>
      </c>
      <c r="C6248" s="502" t="s">
        <v>83</v>
      </c>
      <c r="D6248" s="503" t="s">
        <v>34452</v>
      </c>
      <c r="H6248" s="14">
        <f t="shared" si="192"/>
        <v>482.26</v>
      </c>
    </row>
    <row r="6249" spans="1:8" ht="15" customHeight="1">
      <c r="A6249" s="502" t="s">
        <v>34453</v>
      </c>
      <c r="B6249" s="504" t="s">
        <v>34454</v>
      </c>
      <c r="C6249" s="502" t="s">
        <v>83</v>
      </c>
      <c r="D6249" s="503" t="s">
        <v>34455</v>
      </c>
      <c r="H6249" s="14">
        <f t="shared" si="192"/>
        <v>488.51</v>
      </c>
    </row>
    <row r="6250" spans="1:8" ht="15" customHeight="1">
      <c r="A6250" s="502" t="s">
        <v>34456</v>
      </c>
      <c r="B6250" s="504" t="s">
        <v>34457</v>
      </c>
      <c r="C6250" s="502" t="s">
        <v>83</v>
      </c>
      <c r="D6250" s="503" t="s">
        <v>34458</v>
      </c>
      <c r="H6250" s="14">
        <f t="shared" si="192"/>
        <v>217.7</v>
      </c>
    </row>
    <row r="6251" spans="1:8" ht="15" customHeight="1">
      <c r="A6251" s="502" t="s">
        <v>34459</v>
      </c>
      <c r="B6251" s="504" t="s">
        <v>34460</v>
      </c>
      <c r="C6251" s="502" t="s">
        <v>83</v>
      </c>
      <c r="D6251" s="503" t="s">
        <v>34461</v>
      </c>
      <c r="H6251" s="14">
        <f t="shared" si="192"/>
        <v>227.55</v>
      </c>
    </row>
    <row r="6252" spans="1:8" ht="41.4">
      <c r="A6252" s="502" t="s">
        <v>34462</v>
      </c>
      <c r="B6252" s="504" t="s">
        <v>34463</v>
      </c>
      <c r="C6252" s="502" t="s">
        <v>83</v>
      </c>
      <c r="D6252" s="503" t="s">
        <v>30525</v>
      </c>
      <c r="H6252" s="14">
        <f t="shared" si="192"/>
        <v>224.38</v>
      </c>
    </row>
    <row r="6253" spans="1:8" ht="41.4">
      <c r="A6253" s="502" t="s">
        <v>34464</v>
      </c>
      <c r="B6253" s="504" t="s">
        <v>34465</v>
      </c>
      <c r="C6253" s="502" t="s">
        <v>83</v>
      </c>
      <c r="D6253" s="503" t="s">
        <v>34466</v>
      </c>
      <c r="H6253" s="14">
        <f t="shared" si="192"/>
        <v>213.17</v>
      </c>
    </row>
    <row r="6254" spans="1:8" ht="41.4">
      <c r="A6254" s="502" t="s">
        <v>34467</v>
      </c>
      <c r="B6254" s="504" t="s">
        <v>34468</v>
      </c>
      <c r="C6254" s="502" t="s">
        <v>83</v>
      </c>
      <c r="D6254" s="503" t="s">
        <v>34469</v>
      </c>
      <c r="H6254" s="14">
        <f t="shared" si="192"/>
        <v>221.2</v>
      </c>
    </row>
    <row r="6255" spans="1:8" ht="41.4">
      <c r="A6255" s="502" t="s">
        <v>34470</v>
      </c>
      <c r="B6255" s="504" t="s">
        <v>34471</v>
      </c>
      <c r="C6255" s="502" t="s">
        <v>83</v>
      </c>
      <c r="D6255" s="503" t="s">
        <v>34472</v>
      </c>
      <c r="H6255" s="14">
        <f t="shared" si="192"/>
        <v>210.87</v>
      </c>
    </row>
    <row r="6256" spans="1:8" ht="41.4">
      <c r="A6256" s="502" t="s">
        <v>34473</v>
      </c>
      <c r="B6256" s="504" t="s">
        <v>34474</v>
      </c>
      <c r="C6256" s="502" t="s">
        <v>83</v>
      </c>
      <c r="D6256" s="503" t="s">
        <v>34475</v>
      </c>
      <c r="H6256" s="14">
        <f t="shared" si="192"/>
        <v>218</v>
      </c>
    </row>
    <row r="6257" spans="1:8" ht="41.4">
      <c r="A6257" s="502" t="s">
        <v>34476</v>
      </c>
      <c r="B6257" s="504" t="s">
        <v>34477</v>
      </c>
      <c r="C6257" s="502" t="s">
        <v>83</v>
      </c>
      <c r="D6257" s="503" t="s">
        <v>34478</v>
      </c>
      <c r="H6257" s="14">
        <f t="shared" si="192"/>
        <v>284.27999999999997</v>
      </c>
    </row>
    <row r="6258" spans="1:8" ht="41.4">
      <c r="A6258" s="502" t="s">
        <v>34479</v>
      </c>
      <c r="B6258" s="504" t="s">
        <v>34480</v>
      </c>
      <c r="C6258" s="502" t="s">
        <v>83</v>
      </c>
      <c r="D6258" s="503" t="s">
        <v>34481</v>
      </c>
      <c r="H6258" s="14">
        <f t="shared" si="192"/>
        <v>298.87</v>
      </c>
    </row>
    <row r="6259" spans="1:8" ht="41.4">
      <c r="A6259" s="502" t="s">
        <v>34482</v>
      </c>
      <c r="B6259" s="504" t="s">
        <v>34483</v>
      </c>
      <c r="C6259" s="502" t="s">
        <v>83</v>
      </c>
      <c r="D6259" s="503" t="s">
        <v>34484</v>
      </c>
      <c r="H6259" s="14">
        <f t="shared" si="192"/>
        <v>295.5</v>
      </c>
    </row>
    <row r="6260" spans="1:8" ht="41.4">
      <c r="A6260" s="502" t="s">
        <v>34485</v>
      </c>
      <c r="B6260" s="504" t="s">
        <v>34486</v>
      </c>
      <c r="C6260" s="502" t="s">
        <v>83</v>
      </c>
      <c r="D6260" s="503" t="s">
        <v>34487</v>
      </c>
      <c r="H6260" s="14">
        <f t="shared" si="192"/>
        <v>279.44</v>
      </c>
    </row>
    <row r="6261" spans="1:8" ht="41.4">
      <c r="A6261" s="502" t="s">
        <v>34488</v>
      </c>
      <c r="B6261" s="504" t="s">
        <v>34489</v>
      </c>
      <c r="C6261" s="502" t="s">
        <v>83</v>
      </c>
      <c r="D6261" s="503" t="s">
        <v>34490</v>
      </c>
      <c r="H6261" s="14">
        <f t="shared" si="192"/>
        <v>292.44</v>
      </c>
    </row>
    <row r="6262" spans="1:8" ht="41.4">
      <c r="A6262" s="502" t="s">
        <v>34491</v>
      </c>
      <c r="B6262" s="504" t="s">
        <v>34492</v>
      </c>
      <c r="C6262" s="502" t="s">
        <v>83</v>
      </c>
      <c r="D6262" s="503" t="s">
        <v>34493</v>
      </c>
      <c r="H6262" s="14">
        <f t="shared" si="192"/>
        <v>277.27999999999997</v>
      </c>
    </row>
    <row r="6263" spans="1:8" ht="41.4">
      <c r="A6263" s="502" t="s">
        <v>34494</v>
      </c>
      <c r="B6263" s="504" t="s">
        <v>34495</v>
      </c>
      <c r="C6263" s="502" t="s">
        <v>83</v>
      </c>
      <c r="D6263" s="503" t="s">
        <v>28561</v>
      </c>
      <c r="H6263" s="14">
        <f t="shared" si="192"/>
        <v>289.51</v>
      </c>
    </row>
    <row r="6264" spans="1:8" ht="41.4">
      <c r="A6264" s="502" t="s">
        <v>6472</v>
      </c>
      <c r="B6264" s="504" t="s">
        <v>26495</v>
      </c>
      <c r="C6264" s="502" t="s">
        <v>73</v>
      </c>
      <c r="D6264" s="503" t="s">
        <v>33455</v>
      </c>
      <c r="H6264" s="14">
        <f t="shared" si="192"/>
        <v>100.1</v>
      </c>
    </row>
    <row r="6265" spans="1:8" ht="41.4">
      <c r="A6265" s="502" t="s">
        <v>6473</v>
      </c>
      <c r="B6265" s="504" t="s">
        <v>26496</v>
      </c>
      <c r="C6265" s="502" t="s">
        <v>73</v>
      </c>
      <c r="D6265" s="503" t="s">
        <v>34496</v>
      </c>
      <c r="H6265" s="14">
        <f t="shared" si="192"/>
        <v>209.46</v>
      </c>
    </row>
    <row r="6266" spans="1:8" ht="41.4">
      <c r="A6266" s="502" t="s">
        <v>6474</v>
      </c>
      <c r="B6266" s="504" t="s">
        <v>26497</v>
      </c>
      <c r="C6266" s="502" t="s">
        <v>73</v>
      </c>
      <c r="D6266" s="503" t="s">
        <v>34497</v>
      </c>
      <c r="H6266" s="14">
        <f t="shared" si="192"/>
        <v>98.64</v>
      </c>
    </row>
    <row r="6267" spans="1:8" ht="41.4">
      <c r="A6267" s="502" t="s">
        <v>6475</v>
      </c>
      <c r="B6267" s="504" t="s">
        <v>26498</v>
      </c>
      <c r="C6267" s="502" t="s">
        <v>73</v>
      </c>
      <c r="D6267" s="503" t="s">
        <v>34498</v>
      </c>
      <c r="H6267" s="14">
        <f t="shared" si="192"/>
        <v>123.18</v>
      </c>
    </row>
    <row r="6268" spans="1:8" ht="41.4">
      <c r="A6268" s="502" t="s">
        <v>6476</v>
      </c>
      <c r="B6268" s="504" t="s">
        <v>26499</v>
      </c>
      <c r="C6268" s="502" t="s">
        <v>73</v>
      </c>
      <c r="D6268" s="503" t="s">
        <v>29823</v>
      </c>
      <c r="H6268" s="14">
        <f t="shared" si="192"/>
        <v>148.31</v>
      </c>
    </row>
    <row r="6269" spans="1:8" ht="41.4">
      <c r="A6269" s="502" t="s">
        <v>6477</v>
      </c>
      <c r="B6269" s="504" t="s">
        <v>26500</v>
      </c>
      <c r="C6269" s="502" t="s">
        <v>73</v>
      </c>
      <c r="D6269" s="503" t="s">
        <v>34499</v>
      </c>
      <c r="H6269" s="14">
        <f t="shared" si="192"/>
        <v>118.66</v>
      </c>
    </row>
    <row r="6270" spans="1:8" ht="41.4">
      <c r="A6270" s="502" t="s">
        <v>6478</v>
      </c>
      <c r="B6270" s="504" t="s">
        <v>26501</v>
      </c>
      <c r="C6270" s="502" t="s">
        <v>73</v>
      </c>
      <c r="D6270" s="503" t="s">
        <v>27732</v>
      </c>
      <c r="H6270" s="14">
        <f t="shared" si="192"/>
        <v>104.07</v>
      </c>
    </row>
    <row r="6271" spans="1:8" ht="41.4">
      <c r="A6271" s="502" t="s">
        <v>6479</v>
      </c>
      <c r="B6271" s="504" t="s">
        <v>26502</v>
      </c>
      <c r="C6271" s="502" t="s">
        <v>73</v>
      </c>
      <c r="D6271" s="503" t="s">
        <v>28278</v>
      </c>
      <c r="H6271" s="14">
        <f t="shared" si="192"/>
        <v>129.93</v>
      </c>
    </row>
    <row r="6272" spans="1:8" ht="41.4">
      <c r="A6272" s="502" t="s">
        <v>6480</v>
      </c>
      <c r="B6272" s="504" t="s">
        <v>26503</v>
      </c>
      <c r="C6272" s="502" t="s">
        <v>73</v>
      </c>
      <c r="D6272" s="503" t="s">
        <v>34500</v>
      </c>
      <c r="H6272" s="14">
        <f t="shared" si="192"/>
        <v>152.77000000000001</v>
      </c>
    </row>
    <row r="6273" spans="1:8" ht="27.6">
      <c r="A6273" s="502" t="s">
        <v>6481</v>
      </c>
      <c r="B6273" s="504" t="s">
        <v>26504</v>
      </c>
      <c r="C6273" s="502" t="s">
        <v>73</v>
      </c>
      <c r="D6273" s="503" t="s">
        <v>34501</v>
      </c>
      <c r="H6273" s="14">
        <f t="shared" si="192"/>
        <v>115.65</v>
      </c>
    </row>
    <row r="6274" spans="1:8" ht="41.4">
      <c r="A6274" s="502" t="s">
        <v>6482</v>
      </c>
      <c r="B6274" s="504" t="s">
        <v>26505</v>
      </c>
      <c r="C6274" s="502" t="s">
        <v>73</v>
      </c>
      <c r="D6274" s="503" t="s">
        <v>29864</v>
      </c>
      <c r="H6274" s="14">
        <f t="shared" si="192"/>
        <v>100.54</v>
      </c>
    </row>
    <row r="6275" spans="1:8" ht="41.4">
      <c r="A6275" s="502" t="s">
        <v>6483</v>
      </c>
      <c r="B6275" s="504" t="s">
        <v>26506</v>
      </c>
      <c r="C6275" s="502" t="s">
        <v>73</v>
      </c>
      <c r="D6275" s="503" t="s">
        <v>34502</v>
      </c>
      <c r="H6275" s="14">
        <f t="shared" si="192"/>
        <v>126.4</v>
      </c>
    </row>
    <row r="6276" spans="1:8" ht="41.4">
      <c r="A6276" s="502" t="s">
        <v>6484</v>
      </c>
      <c r="B6276" s="504" t="s">
        <v>26507</v>
      </c>
      <c r="C6276" s="502" t="s">
        <v>73</v>
      </c>
      <c r="D6276" s="503" t="s">
        <v>34503</v>
      </c>
      <c r="H6276" s="14">
        <f t="shared" si="192"/>
        <v>151.97999999999999</v>
      </c>
    </row>
    <row r="6277" spans="1:8" ht="41.4">
      <c r="A6277" s="502" t="s">
        <v>6485</v>
      </c>
      <c r="B6277" s="504" t="s">
        <v>26508</v>
      </c>
      <c r="C6277" s="502" t="s">
        <v>73</v>
      </c>
      <c r="D6277" s="503" t="s">
        <v>34504</v>
      </c>
      <c r="H6277" s="14">
        <f t="shared" ref="H6277:H6340" si="193">ROUND(D6277*(1+$H$1),2)</f>
        <v>131.97</v>
      </c>
    </row>
    <row r="6278" spans="1:8" ht="41.4">
      <c r="A6278" s="502" t="s">
        <v>6486</v>
      </c>
      <c r="B6278" s="504" t="s">
        <v>26509</v>
      </c>
      <c r="C6278" s="502" t="s">
        <v>73</v>
      </c>
      <c r="D6278" s="503" t="s">
        <v>34505</v>
      </c>
      <c r="H6278" s="14">
        <f t="shared" si="193"/>
        <v>117.05</v>
      </c>
    </row>
    <row r="6279" spans="1:8" ht="41.4">
      <c r="A6279" s="502" t="s">
        <v>6487</v>
      </c>
      <c r="B6279" s="504" t="s">
        <v>26510</v>
      </c>
      <c r="C6279" s="502" t="s">
        <v>73</v>
      </c>
      <c r="D6279" s="503" t="s">
        <v>13072</v>
      </c>
      <c r="H6279" s="14">
        <f t="shared" si="193"/>
        <v>140.33000000000001</v>
      </c>
    </row>
    <row r="6280" spans="1:8" ht="27.6">
      <c r="A6280" s="502" t="s">
        <v>14076</v>
      </c>
      <c r="B6280" s="504" t="s">
        <v>26511</v>
      </c>
      <c r="C6280" s="502" t="s">
        <v>73</v>
      </c>
      <c r="D6280" s="503" t="s">
        <v>28318</v>
      </c>
      <c r="H6280" s="14">
        <f t="shared" si="193"/>
        <v>201.91</v>
      </c>
    </row>
    <row r="6281" spans="1:8" ht="27.6">
      <c r="A6281" s="502" t="s">
        <v>14077</v>
      </c>
      <c r="B6281" s="504" t="s">
        <v>26512</v>
      </c>
      <c r="C6281" s="502" t="s">
        <v>73</v>
      </c>
      <c r="D6281" s="503" t="s">
        <v>34506</v>
      </c>
      <c r="H6281" s="14">
        <f t="shared" si="193"/>
        <v>228.94</v>
      </c>
    </row>
    <row r="6282" spans="1:8" ht="27.6">
      <c r="A6282" s="502" t="s">
        <v>14078</v>
      </c>
      <c r="B6282" s="504" t="s">
        <v>26513</v>
      </c>
      <c r="C6282" s="502" t="s">
        <v>73</v>
      </c>
      <c r="D6282" s="503" t="s">
        <v>34507</v>
      </c>
      <c r="H6282" s="14">
        <f t="shared" si="193"/>
        <v>254.83</v>
      </c>
    </row>
    <row r="6283" spans="1:8" ht="27.6">
      <c r="A6283" s="502" t="s">
        <v>14079</v>
      </c>
      <c r="B6283" s="504" t="s">
        <v>26514</v>
      </c>
      <c r="C6283" s="502" t="s">
        <v>73</v>
      </c>
      <c r="D6283" s="503" t="s">
        <v>34508</v>
      </c>
      <c r="H6283" s="14">
        <f t="shared" si="193"/>
        <v>290.79000000000002</v>
      </c>
    </row>
    <row r="6284" spans="1:8" ht="27.6">
      <c r="A6284" s="502" t="s">
        <v>14080</v>
      </c>
      <c r="B6284" s="504" t="s">
        <v>26515</v>
      </c>
      <c r="C6284" s="502" t="s">
        <v>73</v>
      </c>
      <c r="D6284" s="503" t="s">
        <v>34509</v>
      </c>
      <c r="H6284" s="14">
        <f t="shared" si="193"/>
        <v>332.7</v>
      </c>
    </row>
    <row r="6285" spans="1:8" ht="27.6">
      <c r="A6285" s="502" t="s">
        <v>14081</v>
      </c>
      <c r="B6285" s="504" t="s">
        <v>26516</v>
      </c>
      <c r="C6285" s="502" t="s">
        <v>73</v>
      </c>
      <c r="D6285" s="503" t="s">
        <v>34510</v>
      </c>
      <c r="H6285" s="14">
        <f t="shared" si="193"/>
        <v>368.12</v>
      </c>
    </row>
    <row r="6286" spans="1:8" ht="27.6">
      <c r="A6286" s="502" t="s">
        <v>14082</v>
      </c>
      <c r="B6286" s="504" t="s">
        <v>26517</v>
      </c>
      <c r="C6286" s="502" t="s">
        <v>73</v>
      </c>
      <c r="D6286" s="503" t="s">
        <v>34511</v>
      </c>
      <c r="H6286" s="14">
        <f t="shared" si="193"/>
        <v>361.08</v>
      </c>
    </row>
    <row r="6287" spans="1:8" ht="27.6">
      <c r="A6287" s="502" t="s">
        <v>14083</v>
      </c>
      <c r="B6287" s="504" t="s">
        <v>26518</v>
      </c>
      <c r="C6287" s="502" t="s">
        <v>73</v>
      </c>
      <c r="D6287" s="503" t="s">
        <v>34512</v>
      </c>
      <c r="H6287" s="14">
        <f t="shared" si="193"/>
        <v>323.17</v>
      </c>
    </row>
    <row r="6288" spans="1:8" ht="27.6">
      <c r="A6288" s="502" t="s">
        <v>14084</v>
      </c>
      <c r="B6288" s="504" t="s">
        <v>26519</v>
      </c>
      <c r="C6288" s="502" t="s">
        <v>73</v>
      </c>
      <c r="D6288" s="503" t="s">
        <v>34513</v>
      </c>
      <c r="H6288" s="14">
        <f t="shared" si="193"/>
        <v>2.69</v>
      </c>
    </row>
    <row r="6289" spans="1:8" ht="27.6">
      <c r="A6289" s="502" t="s">
        <v>6488</v>
      </c>
      <c r="B6289" s="504" t="s">
        <v>26520</v>
      </c>
      <c r="C6289" s="502" t="s">
        <v>75</v>
      </c>
      <c r="D6289" s="503" t="s">
        <v>7229</v>
      </c>
      <c r="H6289" s="14">
        <f t="shared" si="193"/>
        <v>0.56000000000000005</v>
      </c>
    </row>
    <row r="6290" spans="1:8" ht="27.6">
      <c r="A6290" s="502" t="s">
        <v>6489</v>
      </c>
      <c r="B6290" s="504" t="s">
        <v>26521</v>
      </c>
      <c r="C6290" s="502" t="s">
        <v>71</v>
      </c>
      <c r="D6290" s="503" t="s">
        <v>33588</v>
      </c>
      <c r="H6290" s="14">
        <f t="shared" si="193"/>
        <v>79.67</v>
      </c>
    </row>
    <row r="6291" spans="1:8" ht="41.4">
      <c r="A6291" s="502" t="s">
        <v>14085</v>
      </c>
      <c r="B6291" s="504" t="s">
        <v>29873</v>
      </c>
      <c r="C6291" s="502" t="s">
        <v>71</v>
      </c>
      <c r="D6291" s="503" t="s">
        <v>9572</v>
      </c>
      <c r="H6291" s="14">
        <f t="shared" si="193"/>
        <v>34.47</v>
      </c>
    </row>
    <row r="6292" spans="1:8" ht="41.4">
      <c r="A6292" s="502" t="s">
        <v>14086</v>
      </c>
      <c r="B6292" s="504" t="s">
        <v>29874</v>
      </c>
      <c r="C6292" s="502" t="s">
        <v>71</v>
      </c>
      <c r="D6292" s="503" t="s">
        <v>5042</v>
      </c>
      <c r="H6292" s="14">
        <f t="shared" si="193"/>
        <v>30.74</v>
      </c>
    </row>
    <row r="6293" spans="1:8" ht="41.4">
      <c r="A6293" s="502" t="s">
        <v>14087</v>
      </c>
      <c r="B6293" s="504" t="s">
        <v>29875</v>
      </c>
      <c r="C6293" s="502" t="s">
        <v>71</v>
      </c>
      <c r="D6293" s="503" t="s">
        <v>24968</v>
      </c>
      <c r="H6293" s="14">
        <f t="shared" si="193"/>
        <v>25.81</v>
      </c>
    </row>
    <row r="6294" spans="1:8" ht="41.4">
      <c r="A6294" s="502" t="s">
        <v>14088</v>
      </c>
      <c r="B6294" s="504" t="s">
        <v>29876</v>
      </c>
      <c r="C6294" s="502" t="s">
        <v>71</v>
      </c>
      <c r="D6294" s="503" t="s">
        <v>10275</v>
      </c>
      <c r="H6294" s="14">
        <f t="shared" si="193"/>
        <v>23.59</v>
      </c>
    </row>
    <row r="6295" spans="1:8" ht="41.4">
      <c r="A6295" s="502" t="s">
        <v>6490</v>
      </c>
      <c r="B6295" s="504" t="s">
        <v>29877</v>
      </c>
      <c r="C6295" s="502" t="s">
        <v>71</v>
      </c>
      <c r="D6295" s="503" t="s">
        <v>11630</v>
      </c>
      <c r="H6295" s="14">
        <f t="shared" si="193"/>
        <v>15.56</v>
      </c>
    </row>
    <row r="6296" spans="1:8" ht="27.6">
      <c r="A6296" s="502" t="s">
        <v>14089</v>
      </c>
      <c r="B6296" s="504" t="s">
        <v>14090</v>
      </c>
      <c r="C6296" s="502" t="s">
        <v>73</v>
      </c>
      <c r="D6296" s="503" t="s">
        <v>34514</v>
      </c>
      <c r="H6296" s="14">
        <f t="shared" si="193"/>
        <v>278.27</v>
      </c>
    </row>
    <row r="6297" spans="1:8" ht="41.4">
      <c r="A6297" s="502" t="s">
        <v>14091</v>
      </c>
      <c r="B6297" s="504" t="s">
        <v>14092</v>
      </c>
      <c r="C6297" s="502" t="s">
        <v>73</v>
      </c>
      <c r="D6297" s="503" t="s">
        <v>34515</v>
      </c>
      <c r="H6297" s="14">
        <f t="shared" si="193"/>
        <v>295.87</v>
      </c>
    </row>
    <row r="6298" spans="1:8" ht="27.6">
      <c r="A6298" s="502" t="s">
        <v>14093</v>
      </c>
      <c r="B6298" s="504" t="s">
        <v>14094</v>
      </c>
      <c r="C6298" s="502" t="s">
        <v>73</v>
      </c>
      <c r="D6298" s="503" t="s">
        <v>18879</v>
      </c>
      <c r="H6298" s="14">
        <f t="shared" si="193"/>
        <v>70.88</v>
      </c>
    </row>
    <row r="6299" spans="1:8" ht="41.4">
      <c r="A6299" s="502" t="s">
        <v>14095</v>
      </c>
      <c r="B6299" s="504" t="s">
        <v>14096</v>
      </c>
      <c r="C6299" s="502" t="s">
        <v>73</v>
      </c>
      <c r="D6299" s="503" t="s">
        <v>29316</v>
      </c>
      <c r="H6299" s="14">
        <f t="shared" si="193"/>
        <v>100.58</v>
      </c>
    </row>
    <row r="6300" spans="1:8" ht="27.6">
      <c r="A6300" s="502" t="s">
        <v>26522</v>
      </c>
      <c r="B6300" s="504" t="s">
        <v>26523</v>
      </c>
      <c r="C6300" s="502" t="s">
        <v>73</v>
      </c>
      <c r="D6300" s="503" t="s">
        <v>34516</v>
      </c>
      <c r="H6300" s="14">
        <f t="shared" si="193"/>
        <v>196.08</v>
      </c>
    </row>
    <row r="6301" spans="1:8" ht="27.6">
      <c r="A6301" s="502" t="s">
        <v>26524</v>
      </c>
      <c r="B6301" s="504" t="s">
        <v>26525</v>
      </c>
      <c r="C6301" s="502" t="s">
        <v>73</v>
      </c>
      <c r="D6301" s="503" t="s">
        <v>34517</v>
      </c>
      <c r="H6301" s="14">
        <f t="shared" si="193"/>
        <v>207.12</v>
      </c>
    </row>
    <row r="6302" spans="1:8" ht="27.6">
      <c r="A6302" s="502" t="s">
        <v>26526</v>
      </c>
      <c r="B6302" s="504" t="s">
        <v>26527</v>
      </c>
      <c r="C6302" s="502" t="s">
        <v>73</v>
      </c>
      <c r="D6302" s="503" t="s">
        <v>34518</v>
      </c>
      <c r="H6302" s="14">
        <f t="shared" si="193"/>
        <v>247.47</v>
      </c>
    </row>
    <row r="6303" spans="1:8" ht="27.6">
      <c r="A6303" s="502" t="s">
        <v>26528</v>
      </c>
      <c r="B6303" s="504" t="s">
        <v>26529</v>
      </c>
      <c r="C6303" s="502" t="s">
        <v>73</v>
      </c>
      <c r="D6303" s="503" t="s">
        <v>34519</v>
      </c>
      <c r="H6303" s="14">
        <f t="shared" si="193"/>
        <v>219.56</v>
      </c>
    </row>
    <row r="6304" spans="1:8" ht="27.6">
      <c r="A6304" s="502" t="s">
        <v>26530</v>
      </c>
      <c r="B6304" s="504" t="s">
        <v>26531</v>
      </c>
      <c r="C6304" s="502" t="s">
        <v>73</v>
      </c>
      <c r="D6304" s="503" t="s">
        <v>34520</v>
      </c>
      <c r="H6304" s="14">
        <f t="shared" si="193"/>
        <v>247.03</v>
      </c>
    </row>
    <row r="6305" spans="1:8" ht="27.6">
      <c r="A6305" s="502" t="s">
        <v>26532</v>
      </c>
      <c r="B6305" s="504" t="s">
        <v>26533</v>
      </c>
      <c r="C6305" s="502" t="s">
        <v>73</v>
      </c>
      <c r="D6305" s="503" t="s">
        <v>34521</v>
      </c>
      <c r="H6305" s="14">
        <f t="shared" si="193"/>
        <v>282.04000000000002</v>
      </c>
    </row>
    <row r="6306" spans="1:8" ht="27.6">
      <c r="A6306" s="502" t="s">
        <v>26534</v>
      </c>
      <c r="B6306" s="504" t="s">
        <v>26535</v>
      </c>
      <c r="C6306" s="502" t="s">
        <v>73</v>
      </c>
      <c r="D6306" s="503" t="s">
        <v>34522</v>
      </c>
      <c r="H6306" s="14">
        <f t="shared" si="193"/>
        <v>322.95999999999998</v>
      </c>
    </row>
    <row r="6307" spans="1:8" ht="27.6">
      <c r="A6307" s="502" t="s">
        <v>26536</v>
      </c>
      <c r="B6307" s="504" t="s">
        <v>26537</v>
      </c>
      <c r="C6307" s="502" t="s">
        <v>73</v>
      </c>
      <c r="D6307" s="503" t="s">
        <v>34523</v>
      </c>
      <c r="H6307" s="14">
        <f t="shared" si="193"/>
        <v>357.4</v>
      </c>
    </row>
    <row r="6308" spans="1:8" ht="27.6">
      <c r="A6308" s="502" t="s">
        <v>26538</v>
      </c>
      <c r="B6308" s="504" t="s">
        <v>26539</v>
      </c>
      <c r="C6308" s="502" t="s">
        <v>73</v>
      </c>
      <c r="D6308" s="503" t="s">
        <v>34524</v>
      </c>
      <c r="H6308" s="14">
        <f t="shared" si="193"/>
        <v>180.26</v>
      </c>
    </row>
    <row r="6309" spans="1:8" ht="27.6">
      <c r="A6309" s="502" t="s">
        <v>26540</v>
      </c>
      <c r="B6309" s="504" t="s">
        <v>26541</v>
      </c>
      <c r="C6309" s="502" t="s">
        <v>73</v>
      </c>
      <c r="D6309" s="503" t="s">
        <v>34525</v>
      </c>
      <c r="H6309" s="14">
        <f t="shared" si="193"/>
        <v>211.28</v>
      </c>
    </row>
    <row r="6310" spans="1:8" ht="27.6">
      <c r="A6310" s="502" t="s">
        <v>26542</v>
      </c>
      <c r="B6310" s="504" t="s">
        <v>26543</v>
      </c>
      <c r="C6310" s="502" t="s">
        <v>73</v>
      </c>
      <c r="D6310" s="503" t="s">
        <v>34526</v>
      </c>
      <c r="H6310" s="14">
        <f t="shared" si="193"/>
        <v>230</v>
      </c>
    </row>
    <row r="6311" spans="1:8" ht="27.6">
      <c r="A6311" s="502" t="s">
        <v>26544</v>
      </c>
      <c r="B6311" s="504" t="s">
        <v>26545</v>
      </c>
      <c r="C6311" s="502" t="s">
        <v>73</v>
      </c>
      <c r="D6311" s="503" t="s">
        <v>34527</v>
      </c>
      <c r="H6311" s="14">
        <f t="shared" si="193"/>
        <v>265.95</v>
      </c>
    </row>
    <row r="6312" spans="1:8" ht="27.6">
      <c r="A6312" s="502" t="s">
        <v>26546</v>
      </c>
      <c r="B6312" s="504" t="s">
        <v>26547</v>
      </c>
      <c r="C6312" s="502" t="s">
        <v>73</v>
      </c>
      <c r="D6312" s="503" t="s">
        <v>30851</v>
      </c>
      <c r="H6312" s="14">
        <f t="shared" si="193"/>
        <v>304.45999999999998</v>
      </c>
    </row>
    <row r="6313" spans="1:8" ht="27.6">
      <c r="A6313" s="502" t="s">
        <v>26548</v>
      </c>
      <c r="B6313" s="504" t="s">
        <v>26549</v>
      </c>
      <c r="C6313" s="502" t="s">
        <v>73</v>
      </c>
      <c r="D6313" s="503" t="s">
        <v>34528</v>
      </c>
      <c r="H6313" s="14">
        <f t="shared" si="193"/>
        <v>323.01</v>
      </c>
    </row>
    <row r="6314" spans="1:8" ht="27.6">
      <c r="A6314" s="502" t="s">
        <v>26550</v>
      </c>
      <c r="B6314" s="504" t="s">
        <v>26551</v>
      </c>
      <c r="C6314" s="502" t="s">
        <v>73</v>
      </c>
      <c r="D6314" s="503" t="s">
        <v>18216</v>
      </c>
      <c r="H6314" s="14">
        <f t="shared" si="193"/>
        <v>125.03</v>
      </c>
    </row>
    <row r="6315" spans="1:8" ht="41.4">
      <c r="A6315" s="502" t="s">
        <v>26552</v>
      </c>
      <c r="B6315" s="504" t="s">
        <v>26553</v>
      </c>
      <c r="C6315" s="502" t="s">
        <v>73</v>
      </c>
      <c r="D6315" s="503" t="s">
        <v>34529</v>
      </c>
      <c r="H6315" s="14">
        <f t="shared" si="193"/>
        <v>108.68</v>
      </c>
    </row>
    <row r="6316" spans="1:8" ht="41.4">
      <c r="A6316" s="502" t="s">
        <v>26554</v>
      </c>
      <c r="B6316" s="504" t="s">
        <v>26555</v>
      </c>
      <c r="C6316" s="502" t="s">
        <v>73</v>
      </c>
      <c r="D6316" s="503" t="s">
        <v>34530</v>
      </c>
      <c r="H6316" s="14">
        <f t="shared" si="193"/>
        <v>617.91</v>
      </c>
    </row>
    <row r="6317" spans="1:8" ht="41.4">
      <c r="A6317" s="502" t="s">
        <v>26556</v>
      </c>
      <c r="B6317" s="504" t="s">
        <v>26557</v>
      </c>
      <c r="C6317" s="502" t="s">
        <v>114</v>
      </c>
      <c r="D6317" s="503" t="s">
        <v>11414</v>
      </c>
      <c r="H6317" s="14">
        <f t="shared" si="193"/>
        <v>156.88999999999999</v>
      </c>
    </row>
    <row r="6318" spans="1:8" ht="41.4">
      <c r="A6318" s="502" t="s">
        <v>26558</v>
      </c>
      <c r="B6318" s="504" t="s">
        <v>26559</v>
      </c>
      <c r="C6318" s="502" t="s">
        <v>114</v>
      </c>
      <c r="D6318" s="503" t="s">
        <v>34531</v>
      </c>
      <c r="H6318" s="14">
        <f t="shared" si="193"/>
        <v>140.66999999999999</v>
      </c>
    </row>
    <row r="6319" spans="1:8" ht="41.4">
      <c r="A6319" s="502" t="s">
        <v>26560</v>
      </c>
      <c r="B6319" s="504" t="s">
        <v>26561</v>
      </c>
      <c r="C6319" s="502" t="s">
        <v>114</v>
      </c>
      <c r="D6319" s="503" t="s">
        <v>28502</v>
      </c>
      <c r="H6319" s="14">
        <f t="shared" si="193"/>
        <v>198.73</v>
      </c>
    </row>
    <row r="6320" spans="1:8" ht="41.4">
      <c r="A6320" s="502" t="s">
        <v>26562</v>
      </c>
      <c r="B6320" s="504" t="s">
        <v>26563</v>
      </c>
      <c r="C6320" s="502" t="s">
        <v>114</v>
      </c>
      <c r="D6320" s="503" t="s">
        <v>34532</v>
      </c>
      <c r="H6320" s="14">
        <f t="shared" si="193"/>
        <v>182.51</v>
      </c>
    </row>
    <row r="6321" spans="1:8" ht="41.4">
      <c r="A6321" s="502" t="s">
        <v>6493</v>
      </c>
      <c r="B6321" s="504" t="s">
        <v>11682</v>
      </c>
      <c r="C6321" s="502" t="s">
        <v>83</v>
      </c>
      <c r="D6321" s="503" t="s">
        <v>34533</v>
      </c>
      <c r="H6321" s="14">
        <f t="shared" si="193"/>
        <v>2521.7399999999998</v>
      </c>
    </row>
    <row r="6322" spans="1:8" ht="41.4">
      <c r="A6322" s="502" t="s">
        <v>6494</v>
      </c>
      <c r="B6322" s="504" t="s">
        <v>11683</v>
      </c>
      <c r="C6322" s="502" t="s">
        <v>83</v>
      </c>
      <c r="D6322" s="503" t="s">
        <v>34534</v>
      </c>
      <c r="H6322" s="14">
        <f t="shared" si="193"/>
        <v>2184.19</v>
      </c>
    </row>
    <row r="6323" spans="1:8" ht="27.6">
      <c r="A6323" s="502" t="s">
        <v>6495</v>
      </c>
      <c r="B6323" s="504" t="s">
        <v>11684</v>
      </c>
      <c r="C6323" s="502" t="s">
        <v>73</v>
      </c>
      <c r="D6323" s="503" t="s">
        <v>20727</v>
      </c>
      <c r="H6323" s="14">
        <f t="shared" si="193"/>
        <v>10.1</v>
      </c>
    </row>
    <row r="6324" spans="1:8" ht="14.4">
      <c r="A6324" s="502" t="s">
        <v>6496</v>
      </c>
      <c r="B6324" s="504" t="s">
        <v>14097</v>
      </c>
      <c r="C6324" s="502" t="s">
        <v>83</v>
      </c>
      <c r="D6324" s="503" t="s">
        <v>34535</v>
      </c>
      <c r="H6324" s="14">
        <f t="shared" si="193"/>
        <v>291.45999999999998</v>
      </c>
    </row>
    <row r="6325" spans="1:8" ht="27.6">
      <c r="A6325" s="502" t="s">
        <v>6497</v>
      </c>
      <c r="B6325" s="504" t="s">
        <v>14098</v>
      </c>
      <c r="C6325" s="502" t="s">
        <v>83</v>
      </c>
      <c r="D6325" s="503" t="s">
        <v>34536</v>
      </c>
      <c r="H6325" s="14">
        <f t="shared" si="193"/>
        <v>362.84</v>
      </c>
    </row>
    <row r="6326" spans="1:8" ht="27.6">
      <c r="A6326" s="502" t="s">
        <v>6498</v>
      </c>
      <c r="B6326" s="504" t="s">
        <v>14099</v>
      </c>
      <c r="C6326" s="502" t="s">
        <v>83</v>
      </c>
      <c r="D6326" s="503" t="s">
        <v>34537</v>
      </c>
      <c r="H6326" s="14">
        <f t="shared" si="193"/>
        <v>465.15</v>
      </c>
    </row>
    <row r="6327" spans="1:8" ht="41.4">
      <c r="A6327" s="502" t="s">
        <v>6501</v>
      </c>
      <c r="B6327" s="504" t="s">
        <v>29880</v>
      </c>
      <c r="C6327" s="502" t="s">
        <v>73</v>
      </c>
      <c r="D6327" s="503" t="s">
        <v>11447</v>
      </c>
      <c r="H6327" s="14">
        <f t="shared" si="193"/>
        <v>7.73</v>
      </c>
    </row>
    <row r="6328" spans="1:8" ht="41.4">
      <c r="A6328" s="502" t="s">
        <v>6503</v>
      </c>
      <c r="B6328" s="504" t="s">
        <v>29881</v>
      </c>
      <c r="C6328" s="502" t="s">
        <v>73</v>
      </c>
      <c r="D6328" s="503" t="s">
        <v>10066</v>
      </c>
      <c r="H6328" s="14">
        <f t="shared" si="193"/>
        <v>6.41</v>
      </c>
    </row>
    <row r="6329" spans="1:8" ht="41.4">
      <c r="A6329" s="502" t="s">
        <v>6504</v>
      </c>
      <c r="B6329" s="504" t="s">
        <v>29882</v>
      </c>
      <c r="C6329" s="502" t="s">
        <v>73</v>
      </c>
      <c r="D6329" s="503" t="s">
        <v>4527</v>
      </c>
      <c r="H6329" s="14">
        <f t="shared" si="193"/>
        <v>9.3000000000000007</v>
      </c>
    </row>
    <row r="6330" spans="1:8" ht="41.4">
      <c r="A6330" s="502" t="s">
        <v>6505</v>
      </c>
      <c r="B6330" s="504" t="s">
        <v>29883</v>
      </c>
      <c r="C6330" s="502" t="s">
        <v>73</v>
      </c>
      <c r="D6330" s="503" t="s">
        <v>30453</v>
      </c>
      <c r="H6330" s="14">
        <f t="shared" si="193"/>
        <v>11.07</v>
      </c>
    </row>
    <row r="6331" spans="1:8" ht="27.6">
      <c r="A6331" s="502" t="s">
        <v>6506</v>
      </c>
      <c r="B6331" s="504" t="s">
        <v>29884</v>
      </c>
      <c r="C6331" s="502" t="s">
        <v>73</v>
      </c>
      <c r="D6331" s="503" t="s">
        <v>30581</v>
      </c>
      <c r="H6331" s="14">
        <f t="shared" si="193"/>
        <v>7.81</v>
      </c>
    </row>
    <row r="6332" spans="1:8" ht="41.4">
      <c r="A6332" s="502" t="s">
        <v>6508</v>
      </c>
      <c r="B6332" s="504" t="s">
        <v>29885</v>
      </c>
      <c r="C6332" s="502" t="s">
        <v>73</v>
      </c>
      <c r="D6332" s="503" t="s">
        <v>29298</v>
      </c>
      <c r="H6332" s="14">
        <f t="shared" si="193"/>
        <v>27.41</v>
      </c>
    </row>
    <row r="6333" spans="1:8" ht="55.2">
      <c r="A6333" s="502" t="s">
        <v>6509</v>
      </c>
      <c r="B6333" s="504" t="s">
        <v>29886</v>
      </c>
      <c r="C6333" s="502" t="s">
        <v>73</v>
      </c>
      <c r="D6333" s="503" t="s">
        <v>10040</v>
      </c>
      <c r="H6333" s="14">
        <f t="shared" si="193"/>
        <v>22.96</v>
      </c>
    </row>
    <row r="6334" spans="1:8" ht="55.2">
      <c r="A6334" s="502" t="s">
        <v>6510</v>
      </c>
      <c r="B6334" s="504" t="s">
        <v>29887</v>
      </c>
      <c r="C6334" s="502" t="s">
        <v>73</v>
      </c>
      <c r="D6334" s="503" t="s">
        <v>10071</v>
      </c>
      <c r="H6334" s="14">
        <f t="shared" si="193"/>
        <v>32.090000000000003</v>
      </c>
    </row>
    <row r="6335" spans="1:8" ht="55.2">
      <c r="A6335" s="502" t="s">
        <v>6511</v>
      </c>
      <c r="B6335" s="504" t="s">
        <v>29888</v>
      </c>
      <c r="C6335" s="502" t="s">
        <v>73</v>
      </c>
      <c r="D6335" s="503" t="s">
        <v>10019</v>
      </c>
      <c r="H6335" s="14">
        <f t="shared" si="193"/>
        <v>38.659999999999997</v>
      </c>
    </row>
    <row r="6336" spans="1:8" ht="41.4">
      <c r="A6336" s="502" t="s">
        <v>6512</v>
      </c>
      <c r="B6336" s="504" t="s">
        <v>29889</v>
      </c>
      <c r="C6336" s="502" t="s">
        <v>73</v>
      </c>
      <c r="D6336" s="503" t="s">
        <v>33420</v>
      </c>
      <c r="H6336" s="14">
        <f t="shared" si="193"/>
        <v>27.54</v>
      </c>
    </row>
    <row r="6337" spans="1:8" ht="41.4">
      <c r="A6337" s="502" t="s">
        <v>6513</v>
      </c>
      <c r="B6337" s="504" t="s">
        <v>29890</v>
      </c>
      <c r="C6337" s="502" t="s">
        <v>73</v>
      </c>
      <c r="D6337" s="503" t="s">
        <v>9926</v>
      </c>
      <c r="H6337" s="14">
        <f t="shared" si="193"/>
        <v>32.590000000000003</v>
      </c>
    </row>
    <row r="6338" spans="1:8" ht="55.2">
      <c r="A6338" s="502" t="s">
        <v>6514</v>
      </c>
      <c r="B6338" s="504" t="s">
        <v>29892</v>
      </c>
      <c r="C6338" s="502" t="s">
        <v>73</v>
      </c>
      <c r="D6338" s="503" t="s">
        <v>9896</v>
      </c>
      <c r="H6338" s="14">
        <f t="shared" si="193"/>
        <v>25.74</v>
      </c>
    </row>
    <row r="6339" spans="1:8" ht="55.2">
      <c r="A6339" s="502" t="s">
        <v>6515</v>
      </c>
      <c r="B6339" s="504" t="s">
        <v>29893</v>
      </c>
      <c r="C6339" s="502" t="s">
        <v>73</v>
      </c>
      <c r="D6339" s="503" t="s">
        <v>29029</v>
      </c>
      <c r="H6339" s="14">
        <f t="shared" si="193"/>
        <v>42</v>
      </c>
    </row>
    <row r="6340" spans="1:8" ht="55.2">
      <c r="A6340" s="502" t="s">
        <v>6517</v>
      </c>
      <c r="B6340" s="504" t="s">
        <v>29894</v>
      </c>
      <c r="C6340" s="502" t="s">
        <v>73</v>
      </c>
      <c r="D6340" s="503" t="s">
        <v>34538</v>
      </c>
      <c r="H6340" s="14">
        <f t="shared" si="193"/>
        <v>50.21</v>
      </c>
    </row>
    <row r="6341" spans="1:8" ht="41.4">
      <c r="A6341" s="502" t="s">
        <v>6518</v>
      </c>
      <c r="B6341" s="504" t="s">
        <v>29895</v>
      </c>
      <c r="C6341" s="502" t="s">
        <v>73</v>
      </c>
      <c r="D6341" s="503" t="s">
        <v>16851</v>
      </c>
      <c r="H6341" s="14">
        <f t="shared" ref="H6341:H6404" si="194">ROUND(D6341*(1+$H$1),2)</f>
        <v>33.35</v>
      </c>
    </row>
    <row r="6342" spans="1:8" ht="27.6">
      <c r="A6342" s="502" t="s">
        <v>6519</v>
      </c>
      <c r="B6342" s="504" t="s">
        <v>29896</v>
      </c>
      <c r="C6342" s="502" t="s">
        <v>73</v>
      </c>
      <c r="D6342" s="503" t="s">
        <v>29865</v>
      </c>
      <c r="H6342" s="14">
        <f t="shared" si="194"/>
        <v>42.84</v>
      </c>
    </row>
    <row r="6343" spans="1:8" ht="27.6">
      <c r="A6343" s="502" t="s">
        <v>6522</v>
      </c>
      <c r="B6343" s="504" t="s">
        <v>26565</v>
      </c>
      <c r="C6343" s="502" t="s">
        <v>73</v>
      </c>
      <c r="D6343" s="503" t="s">
        <v>5218</v>
      </c>
      <c r="H6343" s="14">
        <f t="shared" si="194"/>
        <v>7.86</v>
      </c>
    </row>
    <row r="6344" spans="1:8" ht="27.6">
      <c r="A6344" s="502" t="s">
        <v>6523</v>
      </c>
      <c r="B6344" s="504" t="s">
        <v>26566</v>
      </c>
      <c r="C6344" s="502" t="s">
        <v>73</v>
      </c>
      <c r="D6344" s="503" t="s">
        <v>7231</v>
      </c>
      <c r="H6344" s="14">
        <f t="shared" si="194"/>
        <v>6.44</v>
      </c>
    </row>
    <row r="6345" spans="1:8" ht="27.6">
      <c r="A6345" s="502" t="s">
        <v>6526</v>
      </c>
      <c r="B6345" s="504" t="s">
        <v>26567</v>
      </c>
      <c r="C6345" s="502" t="s">
        <v>73</v>
      </c>
      <c r="D6345" s="503" t="s">
        <v>9525</v>
      </c>
      <c r="H6345" s="14">
        <f t="shared" si="194"/>
        <v>20.8</v>
      </c>
    </row>
    <row r="6346" spans="1:8" ht="27.6">
      <c r="A6346" s="502" t="s">
        <v>6527</v>
      </c>
      <c r="B6346" s="504" t="s">
        <v>26568</v>
      </c>
      <c r="C6346" s="502" t="s">
        <v>73</v>
      </c>
      <c r="D6346" s="503" t="s">
        <v>9910</v>
      </c>
      <c r="H6346" s="14">
        <f t="shared" si="194"/>
        <v>17.34</v>
      </c>
    </row>
    <row r="6347" spans="1:8" ht="27.6">
      <c r="A6347" s="502" t="s">
        <v>6528</v>
      </c>
      <c r="B6347" s="504" t="s">
        <v>26569</v>
      </c>
      <c r="C6347" s="502" t="s">
        <v>73</v>
      </c>
      <c r="D6347" s="503" t="s">
        <v>10071</v>
      </c>
      <c r="H6347" s="14">
        <f t="shared" si="194"/>
        <v>32.090000000000003</v>
      </c>
    </row>
    <row r="6348" spans="1:8" ht="27.6">
      <c r="A6348" s="502" t="s">
        <v>6530</v>
      </c>
      <c r="B6348" s="504" t="s">
        <v>26570</v>
      </c>
      <c r="C6348" s="502" t="s">
        <v>73</v>
      </c>
      <c r="D6348" s="503" t="s">
        <v>9915</v>
      </c>
      <c r="H6348" s="14">
        <f t="shared" si="194"/>
        <v>18.03</v>
      </c>
    </row>
    <row r="6349" spans="1:8" ht="27.6">
      <c r="A6349" s="502" t="s">
        <v>6531</v>
      </c>
      <c r="B6349" s="504" t="s">
        <v>26571</v>
      </c>
      <c r="C6349" s="502" t="s">
        <v>73</v>
      </c>
      <c r="D6349" s="503" t="s">
        <v>18286</v>
      </c>
      <c r="H6349" s="14">
        <f t="shared" si="194"/>
        <v>48.88</v>
      </c>
    </row>
    <row r="6350" spans="1:8" ht="27.6">
      <c r="A6350" s="502" t="s">
        <v>6533</v>
      </c>
      <c r="B6350" s="504" t="s">
        <v>26572</v>
      </c>
      <c r="C6350" s="502" t="s">
        <v>73</v>
      </c>
      <c r="D6350" s="503" t="s">
        <v>10195</v>
      </c>
      <c r="H6350" s="14">
        <f t="shared" si="194"/>
        <v>28.25</v>
      </c>
    </row>
    <row r="6351" spans="1:8" ht="27.6">
      <c r="A6351" s="502" t="s">
        <v>6534</v>
      </c>
      <c r="B6351" s="504" t="s">
        <v>26573</v>
      </c>
      <c r="C6351" s="502" t="s">
        <v>73</v>
      </c>
      <c r="D6351" s="503" t="s">
        <v>29119</v>
      </c>
      <c r="H6351" s="14">
        <f t="shared" si="194"/>
        <v>18.18</v>
      </c>
    </row>
    <row r="6352" spans="1:8" ht="27.6">
      <c r="A6352" s="502" t="s">
        <v>6535</v>
      </c>
      <c r="B6352" s="504" t="s">
        <v>26574</v>
      </c>
      <c r="C6352" s="502" t="s">
        <v>73</v>
      </c>
      <c r="D6352" s="503" t="s">
        <v>29295</v>
      </c>
      <c r="H6352" s="14">
        <f t="shared" si="194"/>
        <v>21.44</v>
      </c>
    </row>
    <row r="6353" spans="1:8" ht="41.4">
      <c r="A6353" s="502" t="s">
        <v>6536</v>
      </c>
      <c r="B6353" s="504" t="s">
        <v>29898</v>
      </c>
      <c r="C6353" s="502" t="s">
        <v>73</v>
      </c>
      <c r="D6353" s="503" t="s">
        <v>10697</v>
      </c>
      <c r="H6353" s="14">
        <f t="shared" si="194"/>
        <v>20.329999999999998</v>
      </c>
    </row>
    <row r="6354" spans="1:8" ht="41.4">
      <c r="A6354" s="502" t="s">
        <v>6537</v>
      </c>
      <c r="B6354" s="504" t="s">
        <v>29899</v>
      </c>
      <c r="C6354" s="502" t="s">
        <v>73</v>
      </c>
      <c r="D6354" s="503" t="s">
        <v>34539</v>
      </c>
      <c r="H6354" s="14">
        <f t="shared" si="194"/>
        <v>13.98</v>
      </c>
    </row>
    <row r="6355" spans="1:8" ht="41.4">
      <c r="A6355" s="502" t="s">
        <v>6538</v>
      </c>
      <c r="B6355" s="504" t="s">
        <v>29900</v>
      </c>
      <c r="C6355" s="502" t="s">
        <v>73</v>
      </c>
      <c r="D6355" s="503" t="s">
        <v>12732</v>
      </c>
      <c r="H6355" s="14">
        <f t="shared" si="194"/>
        <v>31.42</v>
      </c>
    </row>
    <row r="6356" spans="1:8" ht="41.4">
      <c r="A6356" s="502" t="s">
        <v>6539</v>
      </c>
      <c r="B6356" s="504" t="s">
        <v>29901</v>
      </c>
      <c r="C6356" s="502" t="s">
        <v>73</v>
      </c>
      <c r="D6356" s="503" t="s">
        <v>34540</v>
      </c>
      <c r="H6356" s="14">
        <f t="shared" si="194"/>
        <v>37.11</v>
      </c>
    </row>
    <row r="6357" spans="1:8" ht="27.6">
      <c r="A6357" s="502" t="s">
        <v>6540</v>
      </c>
      <c r="B6357" s="504" t="s">
        <v>29902</v>
      </c>
      <c r="C6357" s="502" t="s">
        <v>73</v>
      </c>
      <c r="D6357" s="503" t="s">
        <v>31647</v>
      </c>
      <c r="H6357" s="14">
        <f t="shared" si="194"/>
        <v>21.64</v>
      </c>
    </row>
    <row r="6358" spans="1:8" ht="41.4">
      <c r="A6358" s="502" t="s">
        <v>6541</v>
      </c>
      <c r="B6358" s="504" t="s">
        <v>29903</v>
      </c>
      <c r="C6358" s="502" t="s">
        <v>73</v>
      </c>
      <c r="D6358" s="503" t="s">
        <v>27831</v>
      </c>
      <c r="H6358" s="14">
        <f t="shared" si="194"/>
        <v>27.74</v>
      </c>
    </row>
    <row r="6359" spans="1:8" ht="41.4">
      <c r="A6359" s="502" t="s">
        <v>6542</v>
      </c>
      <c r="B6359" s="504" t="s">
        <v>29904</v>
      </c>
      <c r="C6359" s="502" t="s">
        <v>73</v>
      </c>
      <c r="D6359" s="503" t="s">
        <v>24326</v>
      </c>
      <c r="H6359" s="14">
        <f t="shared" si="194"/>
        <v>18.36</v>
      </c>
    </row>
    <row r="6360" spans="1:8" ht="41.4">
      <c r="A6360" s="502" t="s">
        <v>6543</v>
      </c>
      <c r="B6360" s="504" t="s">
        <v>29905</v>
      </c>
      <c r="C6360" s="502" t="s">
        <v>73</v>
      </c>
      <c r="D6360" s="503" t="s">
        <v>33054</v>
      </c>
      <c r="H6360" s="14">
        <f t="shared" si="194"/>
        <v>44.67</v>
      </c>
    </row>
    <row r="6361" spans="1:8" ht="41.4">
      <c r="A6361" s="502" t="s">
        <v>6544</v>
      </c>
      <c r="B6361" s="504" t="s">
        <v>29906</v>
      </c>
      <c r="C6361" s="502" t="s">
        <v>73</v>
      </c>
      <c r="D6361" s="503" t="s">
        <v>16212</v>
      </c>
      <c r="H6361" s="14">
        <f t="shared" si="194"/>
        <v>52.57</v>
      </c>
    </row>
    <row r="6362" spans="1:8" ht="27.6">
      <c r="A6362" s="502" t="s">
        <v>6545</v>
      </c>
      <c r="B6362" s="504" t="s">
        <v>29907</v>
      </c>
      <c r="C6362" s="502" t="s">
        <v>73</v>
      </c>
      <c r="D6362" s="503" t="s">
        <v>19126</v>
      </c>
      <c r="H6362" s="14">
        <f t="shared" si="194"/>
        <v>29.81</v>
      </c>
    </row>
    <row r="6363" spans="1:8" ht="41.4">
      <c r="A6363" s="502" t="s">
        <v>6546</v>
      </c>
      <c r="B6363" s="504" t="s">
        <v>29908</v>
      </c>
      <c r="C6363" s="502" t="s">
        <v>73</v>
      </c>
      <c r="D6363" s="503" t="s">
        <v>29004</v>
      </c>
      <c r="H6363" s="14">
        <f t="shared" si="194"/>
        <v>44.12</v>
      </c>
    </row>
    <row r="6364" spans="1:8" ht="41.4">
      <c r="A6364" s="502" t="s">
        <v>6547</v>
      </c>
      <c r="B6364" s="504" t="s">
        <v>29909</v>
      </c>
      <c r="C6364" s="502" t="s">
        <v>73</v>
      </c>
      <c r="D6364" s="503" t="s">
        <v>32998</v>
      </c>
      <c r="H6364" s="14">
        <f t="shared" si="194"/>
        <v>30.09</v>
      </c>
    </row>
    <row r="6365" spans="1:8" ht="41.4">
      <c r="A6365" s="502" t="s">
        <v>6548</v>
      </c>
      <c r="B6365" s="504" t="s">
        <v>29910</v>
      </c>
      <c r="C6365" s="502" t="s">
        <v>73</v>
      </c>
      <c r="D6365" s="503" t="s">
        <v>28282</v>
      </c>
      <c r="H6365" s="14">
        <f t="shared" si="194"/>
        <v>68.69</v>
      </c>
    </row>
    <row r="6366" spans="1:8" ht="41.4">
      <c r="A6366" s="502" t="s">
        <v>6549</v>
      </c>
      <c r="B6366" s="504" t="s">
        <v>29911</v>
      </c>
      <c r="C6366" s="502" t="s">
        <v>73</v>
      </c>
      <c r="D6366" s="503" t="s">
        <v>34541</v>
      </c>
      <c r="H6366" s="14">
        <f t="shared" si="194"/>
        <v>81.040000000000006</v>
      </c>
    </row>
    <row r="6367" spans="1:8" ht="27.6">
      <c r="A6367" s="502" t="s">
        <v>6550</v>
      </c>
      <c r="B6367" s="504" t="s">
        <v>29912</v>
      </c>
      <c r="C6367" s="502" t="s">
        <v>73</v>
      </c>
      <c r="D6367" s="503" t="s">
        <v>15190</v>
      </c>
      <c r="H6367" s="14">
        <f t="shared" si="194"/>
        <v>47.02</v>
      </c>
    </row>
    <row r="6368" spans="1:8" ht="27.6">
      <c r="A6368" s="502" t="s">
        <v>26575</v>
      </c>
      <c r="B6368" s="504" t="s">
        <v>26576</v>
      </c>
      <c r="C6368" s="502" t="s">
        <v>73</v>
      </c>
      <c r="D6368" s="503" t="s">
        <v>27939</v>
      </c>
      <c r="H6368" s="14">
        <f t="shared" si="194"/>
        <v>16.440000000000001</v>
      </c>
    </row>
    <row r="6369" spans="1:8" ht="27.6">
      <c r="A6369" s="502" t="s">
        <v>26577</v>
      </c>
      <c r="B6369" s="504" t="s">
        <v>26578</v>
      </c>
      <c r="C6369" s="502" t="s">
        <v>73</v>
      </c>
      <c r="D6369" s="503" t="s">
        <v>34542</v>
      </c>
      <c r="H6369" s="14">
        <f t="shared" si="194"/>
        <v>18.059999999999999</v>
      </c>
    </row>
    <row r="6370" spans="1:8" ht="27.6">
      <c r="A6370" s="502" t="s">
        <v>26579</v>
      </c>
      <c r="B6370" s="504" t="s">
        <v>26580</v>
      </c>
      <c r="C6370" s="502" t="s">
        <v>73</v>
      </c>
      <c r="D6370" s="503" t="s">
        <v>9618</v>
      </c>
      <c r="H6370" s="14">
        <f t="shared" si="194"/>
        <v>12.98</v>
      </c>
    </row>
    <row r="6371" spans="1:8" ht="27.6">
      <c r="A6371" s="502" t="s">
        <v>26582</v>
      </c>
      <c r="B6371" s="504" t="s">
        <v>26583</v>
      </c>
      <c r="C6371" s="502" t="s">
        <v>73</v>
      </c>
      <c r="D6371" s="503" t="s">
        <v>16244</v>
      </c>
      <c r="H6371" s="14">
        <f t="shared" si="194"/>
        <v>14.59</v>
      </c>
    </row>
    <row r="6372" spans="1:8" ht="27.6">
      <c r="A6372" s="502" t="s">
        <v>14102</v>
      </c>
      <c r="B6372" s="504" t="s">
        <v>14103</v>
      </c>
      <c r="C6372" s="502" t="s">
        <v>73</v>
      </c>
      <c r="D6372" s="503" t="s">
        <v>3467</v>
      </c>
      <c r="H6372" s="14">
        <f t="shared" si="194"/>
        <v>3.2</v>
      </c>
    </row>
    <row r="6373" spans="1:8" ht="14.4">
      <c r="A6373" s="502" t="s">
        <v>14104</v>
      </c>
      <c r="B6373" s="504" t="s">
        <v>14105</v>
      </c>
      <c r="C6373" s="502" t="s">
        <v>73</v>
      </c>
      <c r="D6373" s="503" t="s">
        <v>7402</v>
      </c>
      <c r="H6373" s="14">
        <f t="shared" si="194"/>
        <v>12.42</v>
      </c>
    </row>
    <row r="6374" spans="1:8" ht="27.6">
      <c r="A6374" s="502" t="s">
        <v>14106</v>
      </c>
      <c r="B6374" s="504" t="s">
        <v>14107</v>
      </c>
      <c r="C6374" s="502" t="s">
        <v>73</v>
      </c>
      <c r="D6374" s="503" t="s">
        <v>15256</v>
      </c>
      <c r="H6374" s="14">
        <f t="shared" si="194"/>
        <v>44.97</v>
      </c>
    </row>
    <row r="6375" spans="1:8" ht="41.4">
      <c r="A6375" s="502" t="s">
        <v>14108</v>
      </c>
      <c r="B6375" s="504" t="s">
        <v>14109</v>
      </c>
      <c r="C6375" s="502" t="s">
        <v>73</v>
      </c>
      <c r="D6375" s="503" t="s">
        <v>19140</v>
      </c>
      <c r="H6375" s="14">
        <f t="shared" si="194"/>
        <v>34.19</v>
      </c>
    </row>
    <row r="6376" spans="1:8" ht="27.6">
      <c r="A6376" s="502" t="s">
        <v>26585</v>
      </c>
      <c r="B6376" s="504" t="s">
        <v>26586</v>
      </c>
      <c r="C6376" s="502" t="s">
        <v>73</v>
      </c>
      <c r="D6376" s="503" t="s">
        <v>28830</v>
      </c>
      <c r="H6376" s="14">
        <f t="shared" si="194"/>
        <v>30.43</v>
      </c>
    </row>
    <row r="6377" spans="1:8" ht="27.6">
      <c r="A6377" s="502" t="s">
        <v>14110</v>
      </c>
      <c r="B6377" s="504" t="s">
        <v>14111</v>
      </c>
      <c r="C6377" s="502" t="s">
        <v>73</v>
      </c>
      <c r="D6377" s="503" t="s">
        <v>34543</v>
      </c>
      <c r="H6377" s="14">
        <f t="shared" si="194"/>
        <v>87.84</v>
      </c>
    </row>
    <row r="6378" spans="1:8" ht="27.6">
      <c r="A6378" s="502" t="s">
        <v>14112</v>
      </c>
      <c r="B6378" s="504" t="s">
        <v>14113</v>
      </c>
      <c r="C6378" s="502" t="s">
        <v>73</v>
      </c>
      <c r="D6378" s="503" t="s">
        <v>4100</v>
      </c>
      <c r="H6378" s="14">
        <f t="shared" si="194"/>
        <v>14.72</v>
      </c>
    </row>
    <row r="6379" spans="1:8" ht="27.6">
      <c r="A6379" s="502" t="s">
        <v>14114</v>
      </c>
      <c r="B6379" s="504" t="s">
        <v>14115</v>
      </c>
      <c r="C6379" s="502" t="s">
        <v>73</v>
      </c>
      <c r="D6379" s="503" t="s">
        <v>24501</v>
      </c>
      <c r="H6379" s="14">
        <f t="shared" si="194"/>
        <v>15.15</v>
      </c>
    </row>
    <row r="6380" spans="1:8" ht="41.4">
      <c r="A6380" s="502" t="s">
        <v>14116</v>
      </c>
      <c r="B6380" s="504" t="s">
        <v>14117</v>
      </c>
      <c r="C6380" s="502" t="s">
        <v>73</v>
      </c>
      <c r="D6380" s="503" t="s">
        <v>10080</v>
      </c>
      <c r="H6380" s="14">
        <f t="shared" si="194"/>
        <v>13.84</v>
      </c>
    </row>
    <row r="6381" spans="1:8" ht="27.6">
      <c r="A6381" s="502" t="s">
        <v>14118</v>
      </c>
      <c r="B6381" s="504" t="s">
        <v>14119</v>
      </c>
      <c r="C6381" s="502" t="s">
        <v>73</v>
      </c>
      <c r="D6381" s="503" t="s">
        <v>4741</v>
      </c>
      <c r="H6381" s="14">
        <f t="shared" si="194"/>
        <v>12.53</v>
      </c>
    </row>
    <row r="6382" spans="1:8" ht="27.6">
      <c r="A6382" s="502" t="s">
        <v>14120</v>
      </c>
      <c r="B6382" s="504" t="s">
        <v>14121</v>
      </c>
      <c r="C6382" s="502" t="s">
        <v>73</v>
      </c>
      <c r="D6382" s="503" t="s">
        <v>5034</v>
      </c>
      <c r="H6382" s="14">
        <f t="shared" si="194"/>
        <v>11.98</v>
      </c>
    </row>
    <row r="6383" spans="1:8" ht="27.6">
      <c r="A6383" s="502" t="s">
        <v>14122</v>
      </c>
      <c r="B6383" s="504" t="s">
        <v>14123</v>
      </c>
      <c r="C6383" s="502" t="s">
        <v>73</v>
      </c>
      <c r="D6383" s="503" t="s">
        <v>34544</v>
      </c>
      <c r="H6383" s="14">
        <f t="shared" si="194"/>
        <v>12.34</v>
      </c>
    </row>
    <row r="6384" spans="1:8" ht="27.6">
      <c r="A6384" s="502" t="s">
        <v>14124</v>
      </c>
      <c r="B6384" s="504" t="s">
        <v>14125</v>
      </c>
      <c r="C6384" s="502" t="s">
        <v>73</v>
      </c>
      <c r="D6384" s="503" t="s">
        <v>7311</v>
      </c>
      <c r="H6384" s="14">
        <f t="shared" si="194"/>
        <v>11.81</v>
      </c>
    </row>
    <row r="6385" spans="1:8" ht="27.6">
      <c r="A6385" s="502" t="s">
        <v>14126</v>
      </c>
      <c r="B6385" s="504" t="s">
        <v>14127</v>
      </c>
      <c r="C6385" s="502" t="s">
        <v>73</v>
      </c>
      <c r="D6385" s="503" t="s">
        <v>34545</v>
      </c>
      <c r="H6385" s="14">
        <f t="shared" si="194"/>
        <v>29.47</v>
      </c>
    </row>
    <row r="6386" spans="1:8" ht="27.6">
      <c r="A6386" s="502" t="s">
        <v>14128</v>
      </c>
      <c r="B6386" s="504" t="s">
        <v>14129</v>
      </c>
      <c r="C6386" s="502" t="s">
        <v>73</v>
      </c>
      <c r="D6386" s="503" t="s">
        <v>34546</v>
      </c>
      <c r="H6386">
        <f t="shared" si="194"/>
        <v>30.3</v>
      </c>
    </row>
    <row r="6387" spans="1:8" ht="41.4">
      <c r="A6387" s="502" t="s">
        <v>14130</v>
      </c>
      <c r="B6387" s="504" t="s">
        <v>14131</v>
      </c>
      <c r="C6387" s="502" t="s">
        <v>73</v>
      </c>
      <c r="D6387" s="503" t="s">
        <v>33992</v>
      </c>
      <c r="H6387">
        <f t="shared" si="194"/>
        <v>27.72</v>
      </c>
    </row>
    <row r="6388" spans="1:8" ht="27.6">
      <c r="A6388" s="502" t="s">
        <v>14132</v>
      </c>
      <c r="B6388" s="504" t="s">
        <v>14133</v>
      </c>
      <c r="C6388" s="502" t="s">
        <v>73</v>
      </c>
      <c r="D6388" s="503" t="s">
        <v>10271</v>
      </c>
      <c r="H6388">
        <f t="shared" si="194"/>
        <v>25.05</v>
      </c>
    </row>
    <row r="6389" spans="1:8" ht="27.6">
      <c r="A6389" s="502" t="s">
        <v>14134</v>
      </c>
      <c r="B6389" s="504" t="s">
        <v>14135</v>
      </c>
      <c r="C6389" s="502" t="s">
        <v>73</v>
      </c>
      <c r="D6389" s="503" t="s">
        <v>16469</v>
      </c>
      <c r="H6389">
        <f t="shared" si="194"/>
        <v>23.95</v>
      </c>
    </row>
    <row r="6390" spans="1:8" ht="41.4">
      <c r="A6390" s="502" t="s">
        <v>14136</v>
      </c>
      <c r="B6390" s="504" t="s">
        <v>14137</v>
      </c>
      <c r="C6390" s="502" t="s">
        <v>73</v>
      </c>
      <c r="D6390" s="503" t="s">
        <v>22727</v>
      </c>
      <c r="H6390">
        <f t="shared" si="194"/>
        <v>24.68</v>
      </c>
    </row>
    <row r="6391" spans="1:8" ht="41.4">
      <c r="A6391" s="502" t="s">
        <v>14138</v>
      </c>
      <c r="B6391" s="504" t="s">
        <v>14139</v>
      </c>
      <c r="C6391" s="502" t="s">
        <v>73</v>
      </c>
      <c r="D6391" s="503" t="s">
        <v>10275</v>
      </c>
      <c r="H6391">
        <f t="shared" si="194"/>
        <v>23.59</v>
      </c>
    </row>
    <row r="6392" spans="1:8" ht="27.6">
      <c r="A6392" s="502" t="s">
        <v>14140</v>
      </c>
      <c r="B6392" s="504" t="s">
        <v>14141</v>
      </c>
      <c r="C6392" s="502" t="s">
        <v>73</v>
      </c>
      <c r="D6392" s="503" t="s">
        <v>34547</v>
      </c>
      <c r="H6392">
        <f t="shared" si="194"/>
        <v>44.23</v>
      </c>
    </row>
    <row r="6393" spans="1:8" ht="27.6">
      <c r="A6393" s="502" t="s">
        <v>14142</v>
      </c>
      <c r="B6393" s="504" t="s">
        <v>14143</v>
      </c>
      <c r="C6393" s="502" t="s">
        <v>73</v>
      </c>
      <c r="D6393" s="503" t="s">
        <v>16266</v>
      </c>
      <c r="H6393">
        <f t="shared" si="194"/>
        <v>45.46</v>
      </c>
    </row>
    <row r="6394" spans="1:8" ht="41.4">
      <c r="A6394" s="502" t="s">
        <v>14144</v>
      </c>
      <c r="B6394" s="504" t="s">
        <v>14145</v>
      </c>
      <c r="C6394" s="502" t="s">
        <v>73</v>
      </c>
      <c r="D6394" s="503" t="s">
        <v>33440</v>
      </c>
      <c r="H6394">
        <f t="shared" si="194"/>
        <v>41.57</v>
      </c>
    </row>
    <row r="6395" spans="1:8" ht="27.6">
      <c r="A6395" s="502" t="s">
        <v>14146</v>
      </c>
      <c r="B6395" s="504" t="s">
        <v>14147</v>
      </c>
      <c r="C6395" s="502" t="s">
        <v>73</v>
      </c>
      <c r="D6395" s="503" t="s">
        <v>25656</v>
      </c>
      <c r="H6395">
        <f t="shared" si="194"/>
        <v>37.590000000000003</v>
      </c>
    </row>
    <row r="6396" spans="1:8" ht="27.6">
      <c r="A6396" s="502" t="s">
        <v>14148</v>
      </c>
      <c r="B6396" s="504" t="s">
        <v>14149</v>
      </c>
      <c r="C6396" s="502" t="s">
        <v>73</v>
      </c>
      <c r="D6396" s="503" t="s">
        <v>34548</v>
      </c>
      <c r="H6396">
        <f t="shared" si="194"/>
        <v>35.96</v>
      </c>
    </row>
    <row r="6397" spans="1:8" ht="41.4">
      <c r="A6397" s="502" t="s">
        <v>14150</v>
      </c>
      <c r="B6397" s="504" t="s">
        <v>14151</v>
      </c>
      <c r="C6397" s="502" t="s">
        <v>73</v>
      </c>
      <c r="D6397" s="503" t="s">
        <v>30300</v>
      </c>
      <c r="H6397">
        <f t="shared" si="194"/>
        <v>37.04</v>
      </c>
    </row>
    <row r="6398" spans="1:8" ht="41.4">
      <c r="A6398" s="502" t="s">
        <v>14152</v>
      </c>
      <c r="B6398" s="504" t="s">
        <v>14153</v>
      </c>
      <c r="C6398" s="502" t="s">
        <v>73</v>
      </c>
      <c r="D6398" s="503" t="s">
        <v>31710</v>
      </c>
      <c r="H6398">
        <f t="shared" si="194"/>
        <v>35.4</v>
      </c>
    </row>
    <row r="6399" spans="1:8" ht="27.6">
      <c r="A6399" s="502" t="s">
        <v>14154</v>
      </c>
      <c r="B6399" s="504" t="s">
        <v>14155</v>
      </c>
      <c r="C6399" s="502" t="s">
        <v>73</v>
      </c>
      <c r="D6399" s="503" t="s">
        <v>5304</v>
      </c>
      <c r="H6399">
        <f t="shared" si="194"/>
        <v>14.84</v>
      </c>
    </row>
    <row r="6400" spans="1:8" ht="27.6">
      <c r="A6400" s="502" t="s">
        <v>14156</v>
      </c>
      <c r="B6400" s="504" t="s">
        <v>14157</v>
      </c>
      <c r="C6400" s="502" t="s">
        <v>73</v>
      </c>
      <c r="D6400" s="503" t="s">
        <v>29755</v>
      </c>
      <c r="H6400">
        <f t="shared" si="194"/>
        <v>29.69</v>
      </c>
    </row>
    <row r="6401" spans="1:8" ht="27.6">
      <c r="A6401" s="502" t="s">
        <v>14158</v>
      </c>
      <c r="B6401" s="504" t="s">
        <v>14159</v>
      </c>
      <c r="C6401" s="502" t="s">
        <v>73</v>
      </c>
      <c r="D6401" s="503" t="s">
        <v>29758</v>
      </c>
      <c r="H6401">
        <f t="shared" si="194"/>
        <v>35.840000000000003</v>
      </c>
    </row>
    <row r="6402" spans="1:8" ht="27.6">
      <c r="A6402" s="502" t="s">
        <v>14160</v>
      </c>
      <c r="B6402" s="504" t="s">
        <v>14161</v>
      </c>
      <c r="C6402" s="502" t="s">
        <v>73</v>
      </c>
      <c r="D6402" s="503" t="s">
        <v>7458</v>
      </c>
      <c r="H6402">
        <f t="shared" si="194"/>
        <v>14.94</v>
      </c>
    </row>
    <row r="6403" spans="1:8" ht="27.6">
      <c r="A6403" s="502" t="s">
        <v>14162</v>
      </c>
      <c r="B6403" s="504" t="s">
        <v>14163</v>
      </c>
      <c r="C6403" s="502" t="s">
        <v>75</v>
      </c>
      <c r="D6403" s="503" t="s">
        <v>4994</v>
      </c>
      <c r="H6403">
        <f t="shared" si="194"/>
        <v>2.04</v>
      </c>
    </row>
    <row r="6404" spans="1:8" ht="41.4">
      <c r="A6404" s="502" t="s">
        <v>14164</v>
      </c>
      <c r="B6404" s="504" t="s">
        <v>26589</v>
      </c>
      <c r="C6404" s="502" t="s">
        <v>73</v>
      </c>
      <c r="D6404" s="503" t="s">
        <v>32941</v>
      </c>
      <c r="H6404">
        <f t="shared" si="194"/>
        <v>15.26</v>
      </c>
    </row>
    <row r="6405" spans="1:8" ht="41.4">
      <c r="A6405" s="502" t="s">
        <v>14165</v>
      </c>
      <c r="B6405" s="504" t="s">
        <v>14166</v>
      </c>
      <c r="C6405" s="502" t="s">
        <v>73</v>
      </c>
      <c r="D6405" s="503" t="s">
        <v>28485</v>
      </c>
      <c r="H6405">
        <f t="shared" ref="H6405:H6468" si="195">ROUND(D6405*(1+$H$1),2)</f>
        <v>15.76</v>
      </c>
    </row>
    <row r="6406" spans="1:8" ht="55.2">
      <c r="A6406" s="502" t="s">
        <v>14167</v>
      </c>
      <c r="B6406" s="504" t="s">
        <v>26590</v>
      </c>
      <c r="C6406" s="502" t="s">
        <v>73</v>
      </c>
      <c r="D6406" s="503" t="s">
        <v>10335</v>
      </c>
      <c r="H6406">
        <f t="shared" si="195"/>
        <v>36.479999999999997</v>
      </c>
    </row>
    <row r="6407" spans="1:8" ht="55.2">
      <c r="A6407" s="502" t="s">
        <v>14168</v>
      </c>
      <c r="B6407" s="504" t="s">
        <v>14169</v>
      </c>
      <c r="C6407" s="502" t="s">
        <v>73</v>
      </c>
      <c r="D6407" s="503" t="s">
        <v>13168</v>
      </c>
      <c r="H6407">
        <f t="shared" si="195"/>
        <v>36.15</v>
      </c>
    </row>
    <row r="6408" spans="1:8" ht="55.2">
      <c r="A6408" s="502" t="s">
        <v>14170</v>
      </c>
      <c r="B6408" s="504" t="s">
        <v>26592</v>
      </c>
      <c r="C6408" s="502" t="s">
        <v>73</v>
      </c>
      <c r="D6408" s="503" t="s">
        <v>29074</v>
      </c>
      <c r="H6408">
        <f t="shared" si="195"/>
        <v>16.36</v>
      </c>
    </row>
    <row r="6409" spans="1:8" ht="55.2">
      <c r="A6409" s="502" t="s">
        <v>14171</v>
      </c>
      <c r="B6409" s="504" t="s">
        <v>14172</v>
      </c>
      <c r="C6409" s="502" t="s">
        <v>73</v>
      </c>
      <c r="D6409" s="503" t="s">
        <v>28826</v>
      </c>
      <c r="H6409">
        <f t="shared" si="195"/>
        <v>20.25</v>
      </c>
    </row>
    <row r="6410" spans="1:8" ht="55.2">
      <c r="A6410" s="502" t="s">
        <v>14173</v>
      </c>
      <c r="B6410" s="504" t="s">
        <v>26593</v>
      </c>
      <c r="C6410" s="502" t="s">
        <v>73</v>
      </c>
      <c r="D6410" s="503" t="s">
        <v>10731</v>
      </c>
      <c r="H6410">
        <f t="shared" si="195"/>
        <v>36.840000000000003</v>
      </c>
    </row>
    <row r="6411" spans="1:8" ht="55.2">
      <c r="A6411" s="502" t="s">
        <v>14174</v>
      </c>
      <c r="B6411" s="504" t="s">
        <v>14175</v>
      </c>
      <c r="C6411" s="502" t="s">
        <v>73</v>
      </c>
      <c r="D6411" s="503" t="s">
        <v>34549</v>
      </c>
      <c r="H6411">
        <f t="shared" si="195"/>
        <v>40.520000000000003</v>
      </c>
    </row>
    <row r="6412" spans="1:8" ht="41.4">
      <c r="A6412" s="502" t="s">
        <v>14176</v>
      </c>
      <c r="B6412" s="504" t="s">
        <v>26594</v>
      </c>
      <c r="C6412" s="502" t="s">
        <v>73</v>
      </c>
      <c r="D6412" s="503" t="s">
        <v>33270</v>
      </c>
      <c r="H6412">
        <f t="shared" si="195"/>
        <v>37.35</v>
      </c>
    </row>
    <row r="6413" spans="1:8" ht="41.4">
      <c r="A6413" s="502" t="s">
        <v>14177</v>
      </c>
      <c r="B6413" s="504" t="s">
        <v>14178</v>
      </c>
      <c r="C6413" s="502" t="s">
        <v>73</v>
      </c>
      <c r="D6413" s="503" t="s">
        <v>34550</v>
      </c>
      <c r="H6413">
        <f t="shared" si="195"/>
        <v>34.1</v>
      </c>
    </row>
    <row r="6414" spans="1:8" ht="41.4">
      <c r="A6414" s="502" t="s">
        <v>14179</v>
      </c>
      <c r="B6414" s="504" t="s">
        <v>26595</v>
      </c>
      <c r="C6414" s="502" t="s">
        <v>73</v>
      </c>
      <c r="D6414" s="503" t="s">
        <v>32944</v>
      </c>
      <c r="H6414">
        <f t="shared" si="195"/>
        <v>28.13</v>
      </c>
    </row>
    <row r="6415" spans="1:8" ht="41.4">
      <c r="A6415" s="502" t="s">
        <v>14180</v>
      </c>
      <c r="B6415" s="504" t="s">
        <v>14181</v>
      </c>
      <c r="C6415" s="502" t="s">
        <v>73</v>
      </c>
      <c r="D6415" s="503" t="s">
        <v>34551</v>
      </c>
      <c r="H6415">
        <f t="shared" si="195"/>
        <v>33.47</v>
      </c>
    </row>
    <row r="6416" spans="1:8" ht="41.4">
      <c r="A6416" s="502" t="s">
        <v>14182</v>
      </c>
      <c r="B6416" s="504" t="s">
        <v>26596</v>
      </c>
      <c r="C6416" s="502" t="s">
        <v>73</v>
      </c>
      <c r="D6416" s="503" t="s">
        <v>10319</v>
      </c>
      <c r="H6416">
        <f t="shared" si="195"/>
        <v>19.57</v>
      </c>
    </row>
    <row r="6417" spans="1:8" ht="41.4">
      <c r="A6417" s="502" t="s">
        <v>14183</v>
      </c>
      <c r="B6417" s="504" t="s">
        <v>14184</v>
      </c>
      <c r="C6417" s="502" t="s">
        <v>73</v>
      </c>
      <c r="D6417" s="503" t="s">
        <v>23960</v>
      </c>
      <c r="H6417">
        <f t="shared" si="195"/>
        <v>24.56</v>
      </c>
    </row>
    <row r="6418" spans="1:8" ht="55.2">
      <c r="A6418" s="502" t="s">
        <v>14185</v>
      </c>
      <c r="B6418" s="504" t="s">
        <v>26597</v>
      </c>
      <c r="C6418" s="502" t="s">
        <v>73</v>
      </c>
      <c r="D6418" s="503" t="s">
        <v>10052</v>
      </c>
      <c r="H6418">
        <f t="shared" si="195"/>
        <v>16.5</v>
      </c>
    </row>
    <row r="6419" spans="1:8" ht="41.4">
      <c r="A6419" s="502" t="s">
        <v>14186</v>
      </c>
      <c r="B6419" s="504" t="s">
        <v>14187</v>
      </c>
      <c r="C6419" s="502" t="s">
        <v>73</v>
      </c>
      <c r="D6419" s="503" t="s">
        <v>10785</v>
      </c>
      <c r="H6419">
        <f t="shared" si="195"/>
        <v>22.07</v>
      </c>
    </row>
    <row r="6420" spans="1:8" ht="55.2">
      <c r="A6420" s="502" t="s">
        <v>14188</v>
      </c>
      <c r="B6420" s="504" t="s">
        <v>26598</v>
      </c>
      <c r="C6420" s="502" t="s">
        <v>73</v>
      </c>
      <c r="D6420" s="503" t="s">
        <v>10147</v>
      </c>
      <c r="H6420">
        <f t="shared" si="195"/>
        <v>15.02</v>
      </c>
    </row>
    <row r="6421" spans="1:8" ht="55.2">
      <c r="A6421" s="502" t="s">
        <v>14189</v>
      </c>
      <c r="B6421" s="504" t="s">
        <v>14190</v>
      </c>
      <c r="C6421" s="502" t="s">
        <v>73</v>
      </c>
      <c r="D6421" s="503" t="s">
        <v>4993</v>
      </c>
      <c r="H6421">
        <f t="shared" si="195"/>
        <v>16.54</v>
      </c>
    </row>
    <row r="6422" spans="1:8" ht="55.2">
      <c r="A6422" s="502" t="s">
        <v>14191</v>
      </c>
      <c r="B6422" s="504" t="s">
        <v>26600</v>
      </c>
      <c r="C6422" s="502" t="s">
        <v>73</v>
      </c>
      <c r="D6422" s="503" t="s">
        <v>11700</v>
      </c>
      <c r="H6422">
        <f t="shared" si="195"/>
        <v>35.950000000000003</v>
      </c>
    </row>
    <row r="6423" spans="1:8" ht="55.2">
      <c r="A6423" s="502" t="s">
        <v>14192</v>
      </c>
      <c r="B6423" s="504" t="s">
        <v>14193</v>
      </c>
      <c r="C6423" s="502" t="s">
        <v>73</v>
      </c>
      <c r="D6423" s="503" t="s">
        <v>20669</v>
      </c>
      <c r="H6423">
        <f t="shared" si="195"/>
        <v>36.9</v>
      </c>
    </row>
    <row r="6424" spans="1:8" ht="55.2">
      <c r="A6424" s="502" t="s">
        <v>14194</v>
      </c>
      <c r="B6424" s="504" t="s">
        <v>26601</v>
      </c>
      <c r="C6424" s="502" t="s">
        <v>73</v>
      </c>
      <c r="D6424" s="503" t="s">
        <v>25939</v>
      </c>
      <c r="H6424">
        <f t="shared" si="195"/>
        <v>14.68</v>
      </c>
    </row>
    <row r="6425" spans="1:8" ht="55.2">
      <c r="A6425" s="502" t="s">
        <v>14195</v>
      </c>
      <c r="B6425" s="504" t="s">
        <v>14196</v>
      </c>
      <c r="C6425" s="502" t="s">
        <v>73</v>
      </c>
      <c r="D6425" s="503" t="s">
        <v>11698</v>
      </c>
      <c r="H6425">
        <f t="shared" si="195"/>
        <v>16.32</v>
      </c>
    </row>
    <row r="6426" spans="1:8" ht="55.2">
      <c r="A6426" s="502" t="s">
        <v>14197</v>
      </c>
      <c r="B6426" s="504" t="s">
        <v>26602</v>
      </c>
      <c r="C6426" s="502" t="s">
        <v>73</v>
      </c>
      <c r="D6426" s="503" t="s">
        <v>28964</v>
      </c>
      <c r="H6426">
        <f t="shared" si="195"/>
        <v>35.590000000000003</v>
      </c>
    </row>
    <row r="6427" spans="1:8" ht="55.2">
      <c r="A6427" s="502" t="s">
        <v>14198</v>
      </c>
      <c r="B6427" s="504" t="s">
        <v>14199</v>
      </c>
      <c r="C6427" s="502" t="s">
        <v>73</v>
      </c>
      <c r="D6427" s="503" t="s">
        <v>31352</v>
      </c>
      <c r="H6427">
        <f t="shared" si="195"/>
        <v>36.68</v>
      </c>
    </row>
    <row r="6428" spans="1:8" ht="41.4">
      <c r="A6428" s="502" t="s">
        <v>14200</v>
      </c>
      <c r="B6428" s="504" t="s">
        <v>26603</v>
      </c>
      <c r="C6428" s="502" t="s">
        <v>73</v>
      </c>
      <c r="D6428" s="503" t="s">
        <v>10286</v>
      </c>
      <c r="H6428">
        <f t="shared" si="195"/>
        <v>14.82</v>
      </c>
    </row>
    <row r="6429" spans="1:8" ht="55.2">
      <c r="A6429" s="502" t="s">
        <v>14201</v>
      </c>
      <c r="B6429" s="504" t="s">
        <v>14202</v>
      </c>
      <c r="C6429" s="502" t="s">
        <v>73</v>
      </c>
      <c r="D6429" s="503" t="s">
        <v>28224</v>
      </c>
      <c r="H6429">
        <f t="shared" si="195"/>
        <v>16.399999999999999</v>
      </c>
    </row>
    <row r="6430" spans="1:8" ht="55.2">
      <c r="A6430" s="502" t="s">
        <v>14203</v>
      </c>
      <c r="B6430" s="504" t="s">
        <v>26604</v>
      </c>
      <c r="C6430" s="502" t="s">
        <v>73</v>
      </c>
      <c r="D6430" s="503" t="s">
        <v>34552</v>
      </c>
      <c r="H6430">
        <f t="shared" si="195"/>
        <v>35.74</v>
      </c>
    </row>
    <row r="6431" spans="1:8" ht="55.2">
      <c r="A6431" s="502" t="s">
        <v>14205</v>
      </c>
      <c r="B6431" s="504" t="s">
        <v>14206</v>
      </c>
      <c r="C6431" s="502" t="s">
        <v>73</v>
      </c>
      <c r="D6431" s="503" t="s">
        <v>28042</v>
      </c>
      <c r="H6431">
        <f t="shared" si="195"/>
        <v>36.78</v>
      </c>
    </row>
    <row r="6432" spans="1:8" ht="41.4">
      <c r="A6432" s="502" t="s">
        <v>14207</v>
      </c>
      <c r="B6432" s="504" t="s">
        <v>26605</v>
      </c>
      <c r="C6432" s="502" t="s">
        <v>73</v>
      </c>
      <c r="D6432" s="503" t="s">
        <v>16256</v>
      </c>
      <c r="H6432">
        <f t="shared" si="195"/>
        <v>56.27</v>
      </c>
    </row>
    <row r="6433" spans="1:8" ht="41.4">
      <c r="A6433" s="502" t="s">
        <v>14208</v>
      </c>
      <c r="B6433" s="504" t="s">
        <v>14209</v>
      </c>
      <c r="C6433" s="502" t="s">
        <v>73</v>
      </c>
      <c r="D6433" s="503" t="s">
        <v>34553</v>
      </c>
      <c r="H6433">
        <f t="shared" si="195"/>
        <v>66.94</v>
      </c>
    </row>
    <row r="6434" spans="1:8" ht="55.2">
      <c r="A6434" s="502" t="s">
        <v>14210</v>
      </c>
      <c r="B6434" s="504" t="s">
        <v>26606</v>
      </c>
      <c r="C6434" s="502" t="s">
        <v>73</v>
      </c>
      <c r="D6434" s="503" t="s">
        <v>33194</v>
      </c>
      <c r="H6434">
        <f t="shared" si="195"/>
        <v>33.01</v>
      </c>
    </row>
    <row r="6435" spans="1:8" ht="41.4">
      <c r="A6435" s="502" t="s">
        <v>14211</v>
      </c>
      <c r="B6435" s="504" t="s">
        <v>14212</v>
      </c>
      <c r="C6435" s="502" t="s">
        <v>73</v>
      </c>
      <c r="D6435" s="503" t="s">
        <v>34554</v>
      </c>
      <c r="H6435">
        <f t="shared" si="195"/>
        <v>44.15</v>
      </c>
    </row>
    <row r="6436" spans="1:8" ht="55.2">
      <c r="A6436" s="502" t="s">
        <v>14213</v>
      </c>
      <c r="B6436" s="504" t="s">
        <v>26607</v>
      </c>
      <c r="C6436" s="502" t="s">
        <v>73</v>
      </c>
      <c r="D6436" s="503" t="s">
        <v>9762</v>
      </c>
      <c r="H6436">
        <f t="shared" si="195"/>
        <v>71.930000000000007</v>
      </c>
    </row>
    <row r="6437" spans="1:8" ht="55.2">
      <c r="A6437" s="502" t="s">
        <v>14214</v>
      </c>
      <c r="B6437" s="504" t="s">
        <v>14215</v>
      </c>
      <c r="C6437" s="502" t="s">
        <v>73</v>
      </c>
      <c r="D6437" s="503" t="s">
        <v>34555</v>
      </c>
      <c r="H6437">
        <f t="shared" si="195"/>
        <v>73.819999999999993</v>
      </c>
    </row>
    <row r="6438" spans="1:8" ht="55.2">
      <c r="A6438" s="502" t="s">
        <v>14216</v>
      </c>
      <c r="B6438" s="504" t="s">
        <v>26608</v>
      </c>
      <c r="C6438" s="502" t="s">
        <v>73</v>
      </c>
      <c r="D6438" s="503" t="s">
        <v>34556</v>
      </c>
      <c r="H6438">
        <f t="shared" si="195"/>
        <v>71.2</v>
      </c>
    </row>
    <row r="6439" spans="1:8" ht="55.2">
      <c r="A6439" s="502" t="s">
        <v>14217</v>
      </c>
      <c r="B6439" s="504" t="s">
        <v>14218</v>
      </c>
      <c r="C6439" s="502" t="s">
        <v>73</v>
      </c>
      <c r="D6439" s="503" t="s">
        <v>19950</v>
      </c>
      <c r="H6439">
        <f t="shared" si="195"/>
        <v>73.37</v>
      </c>
    </row>
    <row r="6440" spans="1:8" ht="55.2">
      <c r="A6440" s="502" t="s">
        <v>14219</v>
      </c>
      <c r="B6440" s="504" t="s">
        <v>26609</v>
      </c>
      <c r="C6440" s="502" t="s">
        <v>73</v>
      </c>
      <c r="D6440" s="503" t="s">
        <v>34557</v>
      </c>
      <c r="H6440">
        <f t="shared" si="195"/>
        <v>71.5</v>
      </c>
    </row>
    <row r="6441" spans="1:8" ht="55.2">
      <c r="A6441" s="502" t="s">
        <v>14220</v>
      </c>
      <c r="B6441" s="504" t="s">
        <v>14221</v>
      </c>
      <c r="C6441" s="502" t="s">
        <v>73</v>
      </c>
      <c r="D6441" s="503" t="s">
        <v>11437</v>
      </c>
      <c r="H6441">
        <f t="shared" si="195"/>
        <v>73.55</v>
      </c>
    </row>
    <row r="6442" spans="1:8" ht="27.6">
      <c r="A6442" s="502" t="s">
        <v>14222</v>
      </c>
      <c r="B6442" s="504" t="s">
        <v>14223</v>
      </c>
      <c r="C6442" s="502" t="s">
        <v>73</v>
      </c>
      <c r="D6442" s="503" t="s">
        <v>20975</v>
      </c>
      <c r="H6442">
        <f t="shared" si="195"/>
        <v>5.37</v>
      </c>
    </row>
    <row r="6443" spans="1:8" ht="27.6">
      <c r="A6443" s="502" t="s">
        <v>14224</v>
      </c>
      <c r="B6443" s="504" t="s">
        <v>14225</v>
      </c>
      <c r="C6443" s="502" t="s">
        <v>73</v>
      </c>
      <c r="D6443" s="503" t="s">
        <v>32428</v>
      </c>
      <c r="H6443">
        <f t="shared" si="195"/>
        <v>36.18</v>
      </c>
    </row>
    <row r="6444" spans="1:8" ht="41.4">
      <c r="A6444" s="502" t="s">
        <v>14226</v>
      </c>
      <c r="B6444" s="504" t="s">
        <v>14227</v>
      </c>
      <c r="C6444" s="502" t="s">
        <v>73</v>
      </c>
      <c r="D6444" s="503" t="s">
        <v>7350</v>
      </c>
      <c r="H6444">
        <f t="shared" si="195"/>
        <v>29.16</v>
      </c>
    </row>
    <row r="6445" spans="1:8" ht="41.4">
      <c r="A6445" s="502" t="s">
        <v>14228</v>
      </c>
      <c r="B6445" s="504" t="s">
        <v>14229</v>
      </c>
      <c r="C6445" s="502" t="s">
        <v>73</v>
      </c>
      <c r="D6445" s="503" t="s">
        <v>30297</v>
      </c>
      <c r="H6445">
        <f t="shared" si="195"/>
        <v>36.94</v>
      </c>
    </row>
    <row r="6446" spans="1:8" ht="27.6">
      <c r="A6446" s="502" t="s">
        <v>14230</v>
      </c>
      <c r="B6446" s="504" t="s">
        <v>14231</v>
      </c>
      <c r="C6446" s="502" t="s">
        <v>73</v>
      </c>
      <c r="D6446" s="503" t="s">
        <v>34558</v>
      </c>
      <c r="H6446">
        <f t="shared" si="195"/>
        <v>88.69</v>
      </c>
    </row>
    <row r="6447" spans="1:8" ht="27.6">
      <c r="A6447" s="502" t="s">
        <v>14232</v>
      </c>
      <c r="B6447" s="504" t="s">
        <v>14233</v>
      </c>
      <c r="C6447" s="502" t="s">
        <v>75</v>
      </c>
      <c r="D6447" s="503" t="s">
        <v>24310</v>
      </c>
      <c r="H6447">
        <f t="shared" si="195"/>
        <v>18.91</v>
      </c>
    </row>
    <row r="6448" spans="1:8" ht="27.6">
      <c r="A6448" s="502" t="s">
        <v>14234</v>
      </c>
      <c r="B6448" s="504" t="s">
        <v>14235</v>
      </c>
      <c r="C6448" s="502" t="s">
        <v>75</v>
      </c>
      <c r="D6448" s="503" t="s">
        <v>9542</v>
      </c>
      <c r="H6448">
        <f t="shared" si="195"/>
        <v>7.08</v>
      </c>
    </row>
    <row r="6449" spans="1:8" ht="27.6">
      <c r="A6449" s="502" t="s">
        <v>14236</v>
      </c>
      <c r="B6449" s="504" t="s">
        <v>14237</v>
      </c>
      <c r="C6449" s="502" t="s">
        <v>75</v>
      </c>
      <c r="D6449" s="503" t="s">
        <v>4153</v>
      </c>
      <c r="H6449">
        <f t="shared" si="195"/>
        <v>2.37</v>
      </c>
    </row>
    <row r="6450" spans="1:8" ht="14.4">
      <c r="A6450" s="502" t="s">
        <v>14238</v>
      </c>
      <c r="B6450" s="504" t="s">
        <v>14239</v>
      </c>
      <c r="C6450" s="502" t="s">
        <v>73</v>
      </c>
      <c r="D6450" s="503" t="s">
        <v>5226</v>
      </c>
      <c r="H6450">
        <f t="shared" si="195"/>
        <v>4.34</v>
      </c>
    </row>
    <row r="6451" spans="1:8" ht="27.6">
      <c r="A6451" s="502" t="s">
        <v>14240</v>
      </c>
      <c r="B6451" s="504" t="s">
        <v>14241</v>
      </c>
      <c r="C6451" s="502" t="s">
        <v>75</v>
      </c>
      <c r="D6451" s="503" t="s">
        <v>34559</v>
      </c>
      <c r="H6451">
        <f t="shared" si="195"/>
        <v>6.3</v>
      </c>
    </row>
    <row r="6452" spans="1:8" ht="27.6">
      <c r="A6452" s="502" t="s">
        <v>14242</v>
      </c>
      <c r="B6452" s="504" t="s">
        <v>14243</v>
      </c>
      <c r="C6452" s="502" t="s">
        <v>73</v>
      </c>
      <c r="D6452" s="503" t="s">
        <v>7474</v>
      </c>
      <c r="H6452">
        <f t="shared" si="195"/>
        <v>35.35</v>
      </c>
    </row>
    <row r="6453" spans="1:8" ht="41.4">
      <c r="A6453" s="502" t="s">
        <v>14244</v>
      </c>
      <c r="B6453" s="504" t="s">
        <v>14245</v>
      </c>
      <c r="C6453" s="502" t="s">
        <v>75</v>
      </c>
      <c r="D6453" s="503" t="s">
        <v>31800</v>
      </c>
      <c r="H6453">
        <f t="shared" si="195"/>
        <v>14.62</v>
      </c>
    </row>
    <row r="6454" spans="1:8" ht="41.4">
      <c r="A6454" s="502" t="s">
        <v>14246</v>
      </c>
      <c r="B6454" s="504" t="s">
        <v>14247</v>
      </c>
      <c r="C6454" s="502" t="s">
        <v>75</v>
      </c>
      <c r="D6454" s="503" t="s">
        <v>16678</v>
      </c>
      <c r="H6454">
        <f t="shared" si="195"/>
        <v>15.6</v>
      </c>
    </row>
    <row r="6455" spans="1:8" ht="27.6">
      <c r="A6455" s="502" t="s">
        <v>14248</v>
      </c>
      <c r="B6455" s="504" t="s">
        <v>14249</v>
      </c>
      <c r="C6455" s="502" t="s">
        <v>75</v>
      </c>
      <c r="D6455" s="503" t="s">
        <v>16168</v>
      </c>
      <c r="H6455">
        <f t="shared" si="195"/>
        <v>16.03</v>
      </c>
    </row>
    <row r="6456" spans="1:8" ht="27.6">
      <c r="A6456" s="502" t="s">
        <v>14250</v>
      </c>
      <c r="B6456" s="504" t="s">
        <v>14251</v>
      </c>
      <c r="C6456" s="502" t="s">
        <v>75</v>
      </c>
      <c r="D6456" s="503" t="s">
        <v>11611</v>
      </c>
      <c r="H6456">
        <f t="shared" si="195"/>
        <v>9.11</v>
      </c>
    </row>
    <row r="6457" spans="1:8" ht="27.6">
      <c r="A6457" s="502" t="s">
        <v>14252</v>
      </c>
      <c r="B6457" s="504" t="s">
        <v>14253</v>
      </c>
      <c r="C6457" s="502" t="s">
        <v>73</v>
      </c>
      <c r="D6457" s="503" t="s">
        <v>32787</v>
      </c>
      <c r="H6457">
        <f t="shared" si="195"/>
        <v>64.040000000000006</v>
      </c>
    </row>
    <row r="6458" spans="1:8" ht="55.2">
      <c r="A6458" s="502" t="s">
        <v>14254</v>
      </c>
      <c r="B6458" s="504" t="s">
        <v>14255</v>
      </c>
      <c r="C6458" s="502" t="s">
        <v>73</v>
      </c>
      <c r="D6458" s="503" t="s">
        <v>34560</v>
      </c>
      <c r="H6458">
        <f t="shared" si="195"/>
        <v>50.26</v>
      </c>
    </row>
    <row r="6459" spans="1:8" ht="55.2">
      <c r="A6459" s="502" t="s">
        <v>14256</v>
      </c>
      <c r="B6459" s="504" t="s">
        <v>14257</v>
      </c>
      <c r="C6459" s="502" t="s">
        <v>75</v>
      </c>
      <c r="D6459" s="503" t="s">
        <v>16554</v>
      </c>
      <c r="H6459">
        <f t="shared" si="195"/>
        <v>9.3699999999999992</v>
      </c>
    </row>
    <row r="6460" spans="1:8" ht="41.4">
      <c r="A6460" s="502" t="s">
        <v>14258</v>
      </c>
      <c r="B6460" s="504" t="s">
        <v>14259</v>
      </c>
      <c r="C6460" s="502" t="s">
        <v>73</v>
      </c>
      <c r="D6460" s="503" t="s">
        <v>34561</v>
      </c>
      <c r="H6460">
        <f t="shared" si="195"/>
        <v>68.239999999999995</v>
      </c>
    </row>
    <row r="6461" spans="1:8" ht="41.4">
      <c r="A6461" s="502" t="s">
        <v>14260</v>
      </c>
      <c r="B6461" s="504" t="s">
        <v>14261</v>
      </c>
      <c r="C6461" s="502" t="s">
        <v>73</v>
      </c>
      <c r="D6461" s="503" t="s">
        <v>32547</v>
      </c>
      <c r="H6461">
        <f t="shared" si="195"/>
        <v>119.19</v>
      </c>
    </row>
    <row r="6462" spans="1:8" ht="41.4">
      <c r="A6462" s="502" t="s">
        <v>14262</v>
      </c>
      <c r="B6462" s="504" t="s">
        <v>14263</v>
      </c>
      <c r="C6462" s="502" t="s">
        <v>73</v>
      </c>
      <c r="D6462" s="503" t="s">
        <v>34562</v>
      </c>
      <c r="H6462">
        <f t="shared" si="195"/>
        <v>71.48</v>
      </c>
    </row>
    <row r="6463" spans="1:8" ht="41.4">
      <c r="A6463" s="502" t="s">
        <v>14264</v>
      </c>
      <c r="B6463" s="504" t="s">
        <v>14265</v>
      </c>
      <c r="C6463" s="502" t="s">
        <v>73</v>
      </c>
      <c r="D6463" s="503" t="s">
        <v>24766</v>
      </c>
      <c r="H6463">
        <f t="shared" si="195"/>
        <v>67.81</v>
      </c>
    </row>
    <row r="6464" spans="1:8" ht="27.6">
      <c r="A6464" s="502" t="s">
        <v>14266</v>
      </c>
      <c r="B6464" s="504" t="s">
        <v>14267</v>
      </c>
      <c r="C6464" s="502" t="s">
        <v>73</v>
      </c>
      <c r="D6464" s="503" t="s">
        <v>34563</v>
      </c>
      <c r="H6464">
        <f t="shared" si="195"/>
        <v>263.99</v>
      </c>
    </row>
    <row r="6465" spans="1:8" ht="14.4">
      <c r="A6465" s="502" t="s">
        <v>14268</v>
      </c>
      <c r="B6465" s="504" t="s">
        <v>14269</v>
      </c>
      <c r="C6465" s="502" t="s">
        <v>73</v>
      </c>
      <c r="D6465" s="503" t="s">
        <v>34564</v>
      </c>
      <c r="H6465">
        <f t="shared" si="195"/>
        <v>396.94</v>
      </c>
    </row>
    <row r="6466" spans="1:8" ht="27.6">
      <c r="A6466" s="502" t="s">
        <v>14270</v>
      </c>
      <c r="B6466" s="504" t="s">
        <v>14271</v>
      </c>
      <c r="C6466" s="502" t="s">
        <v>73</v>
      </c>
      <c r="D6466" s="503" t="s">
        <v>34565</v>
      </c>
      <c r="H6466">
        <f t="shared" si="195"/>
        <v>274.14999999999998</v>
      </c>
    </row>
    <row r="6467" spans="1:8" ht="41.4">
      <c r="A6467" s="502" t="s">
        <v>6552</v>
      </c>
      <c r="B6467" s="504" t="s">
        <v>29920</v>
      </c>
      <c r="C6467" s="502" t="s">
        <v>73</v>
      </c>
      <c r="D6467" s="503" t="s">
        <v>29358</v>
      </c>
      <c r="H6467">
        <f t="shared" si="195"/>
        <v>83.48</v>
      </c>
    </row>
    <row r="6468" spans="1:8" ht="41.4">
      <c r="A6468" s="502" t="s">
        <v>6553</v>
      </c>
      <c r="B6468" s="504" t="s">
        <v>29921</v>
      </c>
      <c r="C6468" s="502" t="s">
        <v>73</v>
      </c>
      <c r="D6468" s="503" t="s">
        <v>20144</v>
      </c>
      <c r="H6468">
        <f t="shared" si="195"/>
        <v>73.349999999999994</v>
      </c>
    </row>
    <row r="6469" spans="1:8" ht="41.4">
      <c r="A6469" s="502" t="s">
        <v>6554</v>
      </c>
      <c r="B6469" s="504" t="s">
        <v>29922</v>
      </c>
      <c r="C6469" s="502" t="s">
        <v>73</v>
      </c>
      <c r="D6469" s="503" t="s">
        <v>31249</v>
      </c>
      <c r="H6469">
        <f t="shared" ref="H6469:H6532" si="196">ROUND(D6469*(1+$H$1),2)</f>
        <v>62.52</v>
      </c>
    </row>
    <row r="6470" spans="1:8" ht="41.4">
      <c r="A6470" s="502" t="s">
        <v>6555</v>
      </c>
      <c r="B6470" s="504" t="s">
        <v>29923</v>
      </c>
      <c r="C6470" s="502" t="s">
        <v>73</v>
      </c>
      <c r="D6470" s="503" t="s">
        <v>34566</v>
      </c>
      <c r="H6470">
        <f t="shared" si="196"/>
        <v>90.17</v>
      </c>
    </row>
    <row r="6471" spans="1:8" ht="41.4">
      <c r="A6471" s="502" t="s">
        <v>6556</v>
      </c>
      <c r="B6471" s="504" t="s">
        <v>29924</v>
      </c>
      <c r="C6471" s="502" t="s">
        <v>73</v>
      </c>
      <c r="D6471" s="503" t="s">
        <v>34567</v>
      </c>
      <c r="H6471">
        <f t="shared" si="196"/>
        <v>75.23</v>
      </c>
    </row>
    <row r="6472" spans="1:8" ht="41.4">
      <c r="A6472" s="502" t="s">
        <v>6557</v>
      </c>
      <c r="B6472" s="504" t="s">
        <v>29926</v>
      </c>
      <c r="C6472" s="502" t="s">
        <v>73</v>
      </c>
      <c r="D6472" s="503" t="s">
        <v>12958</v>
      </c>
      <c r="H6472">
        <f t="shared" si="196"/>
        <v>62.89</v>
      </c>
    </row>
    <row r="6473" spans="1:8" ht="41.4">
      <c r="A6473" s="502" t="s">
        <v>6558</v>
      </c>
      <c r="B6473" s="504" t="s">
        <v>29927</v>
      </c>
      <c r="C6473" s="502" t="s">
        <v>73</v>
      </c>
      <c r="D6473" s="503" t="s">
        <v>32508</v>
      </c>
      <c r="H6473">
        <f t="shared" si="196"/>
        <v>104.24</v>
      </c>
    </row>
    <row r="6474" spans="1:8" ht="41.4">
      <c r="A6474" s="524" t="s">
        <v>6559</v>
      </c>
      <c r="B6474" s="504" t="s">
        <v>29929</v>
      </c>
      <c r="C6474" s="502" t="s">
        <v>73</v>
      </c>
      <c r="D6474" s="503" t="s">
        <v>34568</v>
      </c>
      <c r="H6474">
        <f t="shared" si="196"/>
        <v>87.97</v>
      </c>
    </row>
    <row r="6475" spans="1:8" ht="41.4">
      <c r="A6475" s="502" t="s">
        <v>6560</v>
      </c>
      <c r="B6475" s="504" t="s">
        <v>29931</v>
      </c>
      <c r="C6475" s="502" t="s">
        <v>73</v>
      </c>
      <c r="D6475" s="503" t="s">
        <v>34569</v>
      </c>
      <c r="H6475">
        <f t="shared" si="196"/>
        <v>74.22</v>
      </c>
    </row>
    <row r="6476" spans="1:8" ht="41.4">
      <c r="A6476" s="502" t="s">
        <v>6561</v>
      </c>
      <c r="B6476" s="504" t="s">
        <v>26612</v>
      </c>
      <c r="C6476" s="502" t="s">
        <v>73</v>
      </c>
      <c r="D6476" s="503" t="s">
        <v>34570</v>
      </c>
      <c r="H6476">
        <f t="shared" si="196"/>
        <v>166.52</v>
      </c>
    </row>
    <row r="6477" spans="1:8" ht="15" customHeight="1">
      <c r="A6477" s="502" t="s">
        <v>6562</v>
      </c>
      <c r="B6477" s="504" t="s">
        <v>26613</v>
      </c>
      <c r="C6477" s="502" t="s">
        <v>73</v>
      </c>
      <c r="D6477" s="503" t="s">
        <v>34571</v>
      </c>
      <c r="H6477">
        <f t="shared" si="196"/>
        <v>148.88999999999999</v>
      </c>
    </row>
    <row r="6478" spans="1:8" ht="41.4">
      <c r="A6478" s="502" t="s">
        <v>6563</v>
      </c>
      <c r="B6478" s="504" t="s">
        <v>26614</v>
      </c>
      <c r="C6478" s="502" t="s">
        <v>73</v>
      </c>
      <c r="D6478" s="503" t="s">
        <v>34572</v>
      </c>
      <c r="H6478">
        <f t="shared" si="196"/>
        <v>134.61000000000001</v>
      </c>
    </row>
    <row r="6479" spans="1:8" ht="41.4">
      <c r="A6479" s="502" t="s">
        <v>26615</v>
      </c>
      <c r="B6479" s="504" t="s">
        <v>29933</v>
      </c>
      <c r="C6479" s="502" t="s">
        <v>73</v>
      </c>
      <c r="D6479" s="503" t="s">
        <v>34573</v>
      </c>
      <c r="H6479">
        <f t="shared" si="196"/>
        <v>109.01</v>
      </c>
    </row>
    <row r="6480" spans="1:8" ht="41.4">
      <c r="A6480" s="502" t="s">
        <v>26616</v>
      </c>
      <c r="B6480" s="504" t="s">
        <v>29934</v>
      </c>
      <c r="C6480" s="502" t="s">
        <v>73</v>
      </c>
      <c r="D6480" s="503" t="s">
        <v>34574</v>
      </c>
      <c r="H6480">
        <f t="shared" si="196"/>
        <v>90.88</v>
      </c>
    </row>
    <row r="6481" spans="1:8" ht="41.4">
      <c r="A6481" s="502" t="s">
        <v>26617</v>
      </c>
      <c r="B6481" s="504" t="s">
        <v>29935</v>
      </c>
      <c r="C6481" s="502" t="s">
        <v>73</v>
      </c>
      <c r="D6481" s="503" t="s">
        <v>30310</v>
      </c>
      <c r="H6481">
        <f t="shared" si="196"/>
        <v>74.849999999999994</v>
      </c>
    </row>
    <row r="6482" spans="1:8" ht="41.4">
      <c r="A6482" s="502" t="s">
        <v>26618</v>
      </c>
      <c r="B6482" s="504" t="s">
        <v>26619</v>
      </c>
      <c r="C6482" s="502" t="s">
        <v>73</v>
      </c>
      <c r="D6482" s="503" t="s">
        <v>34575</v>
      </c>
      <c r="H6482">
        <f t="shared" si="196"/>
        <v>171.92</v>
      </c>
    </row>
    <row r="6483" spans="1:8" ht="41.4">
      <c r="A6483" s="502" t="s">
        <v>26620</v>
      </c>
      <c r="B6483" s="504" t="s">
        <v>26621</v>
      </c>
      <c r="C6483" s="502" t="s">
        <v>73</v>
      </c>
      <c r="D6483" s="503" t="s">
        <v>34576</v>
      </c>
      <c r="H6483">
        <f t="shared" si="196"/>
        <v>152.16999999999999</v>
      </c>
    </row>
    <row r="6484" spans="1:8" ht="41.4">
      <c r="A6484" s="502" t="s">
        <v>26622</v>
      </c>
      <c r="B6484" s="504" t="s">
        <v>26623</v>
      </c>
      <c r="C6484" s="502" t="s">
        <v>73</v>
      </c>
      <c r="D6484" s="503" t="s">
        <v>15579</v>
      </c>
      <c r="H6484">
        <f t="shared" si="196"/>
        <v>135.34</v>
      </c>
    </row>
    <row r="6485" spans="1:8" ht="55.2">
      <c r="A6485" s="502" t="s">
        <v>26624</v>
      </c>
      <c r="B6485" s="504" t="s">
        <v>29936</v>
      </c>
      <c r="C6485" s="502" t="s">
        <v>73</v>
      </c>
      <c r="D6485" s="503" t="s">
        <v>31207</v>
      </c>
      <c r="H6485">
        <f t="shared" si="196"/>
        <v>101.78</v>
      </c>
    </row>
    <row r="6486" spans="1:8" ht="55.2">
      <c r="A6486" s="502" t="s">
        <v>26625</v>
      </c>
      <c r="B6486" s="504" t="s">
        <v>29937</v>
      </c>
      <c r="C6486" s="502" t="s">
        <v>73</v>
      </c>
      <c r="D6486" s="503" t="s">
        <v>34577</v>
      </c>
      <c r="H6486">
        <f t="shared" si="196"/>
        <v>80.260000000000005</v>
      </c>
    </row>
    <row r="6487" spans="1:8" ht="55.2">
      <c r="A6487" s="502" t="s">
        <v>26626</v>
      </c>
      <c r="B6487" s="504" t="s">
        <v>29938</v>
      </c>
      <c r="C6487" s="502" t="s">
        <v>73</v>
      </c>
      <c r="D6487" s="503" t="s">
        <v>33285</v>
      </c>
      <c r="H6487">
        <f t="shared" si="196"/>
        <v>65.97</v>
      </c>
    </row>
    <row r="6488" spans="1:8" ht="55.2">
      <c r="A6488" s="502" t="s">
        <v>26628</v>
      </c>
      <c r="B6488" s="504" t="s">
        <v>29939</v>
      </c>
      <c r="C6488" s="502" t="s">
        <v>73</v>
      </c>
      <c r="D6488" s="503" t="s">
        <v>34578</v>
      </c>
      <c r="H6488">
        <f t="shared" si="196"/>
        <v>128.88</v>
      </c>
    </row>
    <row r="6489" spans="1:8" ht="55.2">
      <c r="A6489" s="502" t="s">
        <v>26629</v>
      </c>
      <c r="B6489" s="504" t="s">
        <v>29940</v>
      </c>
      <c r="C6489" s="502" t="s">
        <v>73</v>
      </c>
      <c r="D6489" s="503" t="s">
        <v>34579</v>
      </c>
      <c r="H6489">
        <f t="shared" si="196"/>
        <v>86.21</v>
      </c>
    </row>
    <row r="6490" spans="1:8" ht="55.2">
      <c r="A6490" s="502" t="s">
        <v>26630</v>
      </c>
      <c r="B6490" s="504" t="s">
        <v>29941</v>
      </c>
      <c r="C6490" s="502" t="s">
        <v>73</v>
      </c>
      <c r="D6490" s="503" t="s">
        <v>34580</v>
      </c>
      <c r="H6490">
        <f t="shared" si="196"/>
        <v>67.78</v>
      </c>
    </row>
    <row r="6491" spans="1:8" ht="27.6">
      <c r="A6491" s="502" t="s">
        <v>7904</v>
      </c>
      <c r="B6491" s="504" t="s">
        <v>14272</v>
      </c>
      <c r="C6491" s="502" t="s">
        <v>73</v>
      </c>
      <c r="D6491" s="503" t="s">
        <v>34581</v>
      </c>
      <c r="H6491">
        <f t="shared" si="196"/>
        <v>371.86</v>
      </c>
    </row>
    <row r="6492" spans="1:8" ht="27.6">
      <c r="A6492" s="502" t="s">
        <v>7906</v>
      </c>
      <c r="B6492" s="504" t="s">
        <v>14273</v>
      </c>
      <c r="C6492" s="502" t="s">
        <v>73</v>
      </c>
      <c r="D6492" s="503" t="s">
        <v>34582</v>
      </c>
      <c r="H6492">
        <f t="shared" si="196"/>
        <v>388.5</v>
      </c>
    </row>
    <row r="6493" spans="1:8" ht="27.6">
      <c r="A6493" s="502" t="s">
        <v>14274</v>
      </c>
      <c r="B6493" s="504" t="s">
        <v>14275</v>
      </c>
      <c r="C6493" s="502" t="s">
        <v>73</v>
      </c>
      <c r="D6493" s="503" t="s">
        <v>34583</v>
      </c>
      <c r="H6493">
        <f t="shared" si="196"/>
        <v>486.67</v>
      </c>
    </row>
    <row r="6494" spans="1:8" ht="41.4">
      <c r="A6494" s="502" t="s">
        <v>7907</v>
      </c>
      <c r="B6494" s="504" t="s">
        <v>14276</v>
      </c>
      <c r="C6494" s="502" t="s">
        <v>73</v>
      </c>
      <c r="D6494" s="503" t="s">
        <v>34584</v>
      </c>
      <c r="H6494">
        <f t="shared" si="196"/>
        <v>49.5</v>
      </c>
    </row>
    <row r="6495" spans="1:8" ht="41.4">
      <c r="A6495" s="502" t="s">
        <v>7908</v>
      </c>
      <c r="B6495" s="504" t="s">
        <v>14277</v>
      </c>
      <c r="C6495" s="502" t="s">
        <v>73</v>
      </c>
      <c r="D6495" s="503" t="s">
        <v>34585</v>
      </c>
      <c r="H6495">
        <f t="shared" si="196"/>
        <v>61.6</v>
      </c>
    </row>
    <row r="6496" spans="1:8" ht="41.4">
      <c r="A6496" s="502" t="s">
        <v>7909</v>
      </c>
      <c r="B6496" s="504" t="s">
        <v>14278</v>
      </c>
      <c r="C6496" s="502" t="s">
        <v>73</v>
      </c>
      <c r="D6496" s="503" t="s">
        <v>34586</v>
      </c>
      <c r="H6496">
        <f t="shared" si="196"/>
        <v>45.85</v>
      </c>
    </row>
    <row r="6497" spans="1:8" ht="41.4">
      <c r="A6497" s="502" t="s">
        <v>7910</v>
      </c>
      <c r="B6497" s="504" t="s">
        <v>14279</v>
      </c>
      <c r="C6497" s="502" t="s">
        <v>73</v>
      </c>
      <c r="D6497" s="503" t="s">
        <v>34587</v>
      </c>
      <c r="H6497">
        <f t="shared" si="196"/>
        <v>57.94</v>
      </c>
    </row>
    <row r="6498" spans="1:8" ht="14.4">
      <c r="A6498" s="502" t="s">
        <v>7911</v>
      </c>
      <c r="B6498" s="504" t="s">
        <v>14280</v>
      </c>
      <c r="C6498" s="502" t="s">
        <v>75</v>
      </c>
      <c r="D6498" s="503" t="s">
        <v>34588</v>
      </c>
      <c r="H6498">
        <f t="shared" si="196"/>
        <v>69.42</v>
      </c>
    </row>
    <row r="6499" spans="1:8" ht="27.6">
      <c r="A6499" s="502" t="s">
        <v>7912</v>
      </c>
      <c r="B6499" s="504" t="s">
        <v>14281</v>
      </c>
      <c r="C6499" s="502" t="s">
        <v>75</v>
      </c>
      <c r="D6499" s="503" t="s">
        <v>25726</v>
      </c>
      <c r="H6499">
        <f t="shared" si="196"/>
        <v>64.650000000000006</v>
      </c>
    </row>
    <row r="6500" spans="1:8" ht="14.4">
      <c r="A6500" s="502" t="s">
        <v>7913</v>
      </c>
      <c r="B6500" s="504" t="s">
        <v>14282</v>
      </c>
      <c r="C6500" s="502" t="s">
        <v>75</v>
      </c>
      <c r="D6500" s="503" t="s">
        <v>32507</v>
      </c>
      <c r="H6500">
        <f t="shared" si="196"/>
        <v>96.67</v>
      </c>
    </row>
    <row r="6501" spans="1:8" ht="27.6">
      <c r="A6501" s="502" t="s">
        <v>7914</v>
      </c>
      <c r="B6501" s="504" t="s">
        <v>14283</v>
      </c>
      <c r="C6501" s="502" t="s">
        <v>75</v>
      </c>
      <c r="D6501" s="503" t="s">
        <v>34589</v>
      </c>
      <c r="H6501">
        <f t="shared" si="196"/>
        <v>101.92</v>
      </c>
    </row>
    <row r="6502" spans="1:8" ht="41.4">
      <c r="A6502" s="502" t="s">
        <v>14284</v>
      </c>
      <c r="B6502" s="504" t="s">
        <v>14285</v>
      </c>
      <c r="C6502" s="502" t="s">
        <v>73</v>
      </c>
      <c r="D6502" s="503" t="s">
        <v>33830</v>
      </c>
      <c r="H6502">
        <f t="shared" si="196"/>
        <v>304.42</v>
      </c>
    </row>
    <row r="6503" spans="1:8" ht="27.6">
      <c r="A6503" s="502" t="s">
        <v>14286</v>
      </c>
      <c r="B6503" s="504" t="s">
        <v>14287</v>
      </c>
      <c r="C6503" s="502" t="s">
        <v>73</v>
      </c>
      <c r="D6503" s="503" t="s">
        <v>34590</v>
      </c>
      <c r="H6503">
        <f t="shared" si="196"/>
        <v>222.41</v>
      </c>
    </row>
    <row r="6504" spans="1:8" ht="41.4">
      <c r="A6504" s="502" t="s">
        <v>14288</v>
      </c>
      <c r="B6504" s="504" t="s">
        <v>14289</v>
      </c>
      <c r="C6504" s="502" t="s">
        <v>73</v>
      </c>
      <c r="D6504" s="503" t="s">
        <v>34591</v>
      </c>
      <c r="H6504">
        <f t="shared" si="196"/>
        <v>420.98</v>
      </c>
    </row>
    <row r="6505" spans="1:8" ht="41.4">
      <c r="A6505" s="502" t="s">
        <v>14290</v>
      </c>
      <c r="B6505" s="504" t="s">
        <v>14291</v>
      </c>
      <c r="C6505" s="502" t="s">
        <v>73</v>
      </c>
      <c r="D6505" s="503" t="s">
        <v>34592</v>
      </c>
      <c r="H6505">
        <f t="shared" si="196"/>
        <v>283.73</v>
      </c>
    </row>
    <row r="6506" spans="1:8" ht="27.6">
      <c r="A6506" s="502" t="s">
        <v>14292</v>
      </c>
      <c r="B6506" s="504" t="s">
        <v>14293</v>
      </c>
      <c r="C6506" s="502" t="s">
        <v>73</v>
      </c>
      <c r="D6506" s="503" t="s">
        <v>34593</v>
      </c>
      <c r="H6506">
        <f t="shared" si="196"/>
        <v>465.36</v>
      </c>
    </row>
    <row r="6507" spans="1:8" ht="27.6">
      <c r="A6507" s="502" t="s">
        <v>14294</v>
      </c>
      <c r="B6507" s="504" t="s">
        <v>14295</v>
      </c>
      <c r="C6507" s="502" t="s">
        <v>73</v>
      </c>
      <c r="D6507" s="503" t="s">
        <v>13330</v>
      </c>
      <c r="H6507">
        <f t="shared" si="196"/>
        <v>139.31</v>
      </c>
    </row>
    <row r="6508" spans="1:8" ht="27.6">
      <c r="A6508" s="502" t="s">
        <v>14296</v>
      </c>
      <c r="B6508" s="504" t="s">
        <v>26631</v>
      </c>
      <c r="C6508" s="502" t="s">
        <v>75</v>
      </c>
      <c r="D6508" s="503" t="s">
        <v>21708</v>
      </c>
      <c r="H6508">
        <f t="shared" si="196"/>
        <v>185</v>
      </c>
    </row>
    <row r="6509" spans="1:8" ht="27.6">
      <c r="A6509" s="502" t="s">
        <v>14297</v>
      </c>
      <c r="B6509" s="504" t="s">
        <v>14298</v>
      </c>
      <c r="C6509" s="502" t="s">
        <v>73</v>
      </c>
      <c r="D6509" s="503" t="s">
        <v>34594</v>
      </c>
      <c r="H6509">
        <f t="shared" si="196"/>
        <v>213.63</v>
      </c>
    </row>
    <row r="6510" spans="1:8" ht="27.6">
      <c r="A6510" s="502" t="s">
        <v>14299</v>
      </c>
      <c r="B6510" s="504" t="s">
        <v>14300</v>
      </c>
      <c r="C6510" s="502" t="s">
        <v>73</v>
      </c>
      <c r="D6510" s="503" t="s">
        <v>34595</v>
      </c>
      <c r="H6510">
        <f t="shared" si="196"/>
        <v>301.60000000000002</v>
      </c>
    </row>
    <row r="6511" spans="1:8" ht="27.6">
      <c r="A6511" s="502" t="s">
        <v>14301</v>
      </c>
      <c r="B6511" s="504" t="s">
        <v>14302</v>
      </c>
      <c r="C6511" s="502" t="s">
        <v>73</v>
      </c>
      <c r="D6511" s="503" t="s">
        <v>34596</v>
      </c>
      <c r="H6511">
        <f t="shared" si="196"/>
        <v>448.15</v>
      </c>
    </row>
    <row r="6512" spans="1:8" ht="27.6">
      <c r="A6512" s="502" t="s">
        <v>14303</v>
      </c>
      <c r="B6512" s="504" t="s">
        <v>14304</v>
      </c>
      <c r="C6512" s="502" t="s">
        <v>73</v>
      </c>
      <c r="D6512" s="503" t="s">
        <v>34597</v>
      </c>
      <c r="H6512">
        <f t="shared" si="196"/>
        <v>458.78</v>
      </c>
    </row>
    <row r="6513" spans="1:8" ht="27.6">
      <c r="A6513" s="502" t="s">
        <v>14305</v>
      </c>
      <c r="B6513" s="504" t="s">
        <v>14306</v>
      </c>
      <c r="C6513" s="502" t="s">
        <v>73</v>
      </c>
      <c r="D6513" s="503" t="s">
        <v>34598</v>
      </c>
      <c r="H6513">
        <f t="shared" si="196"/>
        <v>135.13</v>
      </c>
    </row>
    <row r="6514" spans="1:8" ht="27.6">
      <c r="A6514" s="502" t="s">
        <v>14307</v>
      </c>
      <c r="B6514" s="504" t="s">
        <v>14308</v>
      </c>
      <c r="C6514" s="502" t="s">
        <v>73</v>
      </c>
      <c r="D6514" s="503" t="s">
        <v>34599</v>
      </c>
      <c r="H6514">
        <f t="shared" si="196"/>
        <v>156.16</v>
      </c>
    </row>
    <row r="6515" spans="1:8" ht="14.4">
      <c r="A6515" s="502" t="s">
        <v>14309</v>
      </c>
      <c r="B6515" s="504" t="s">
        <v>14310</v>
      </c>
      <c r="C6515" s="502" t="s">
        <v>73</v>
      </c>
      <c r="D6515" s="503" t="s">
        <v>9919</v>
      </c>
      <c r="H6515">
        <f t="shared" si="196"/>
        <v>5.36</v>
      </c>
    </row>
    <row r="6516" spans="1:8" ht="69">
      <c r="A6516" s="502" t="s">
        <v>26632</v>
      </c>
      <c r="B6516" s="504" t="s">
        <v>26633</v>
      </c>
      <c r="C6516" s="502" t="s">
        <v>73</v>
      </c>
      <c r="D6516" s="503" t="s">
        <v>34600</v>
      </c>
      <c r="H6516">
        <f t="shared" si="196"/>
        <v>120.16</v>
      </c>
    </row>
    <row r="6517" spans="1:8" ht="27.6">
      <c r="A6517" s="502" t="s">
        <v>14311</v>
      </c>
      <c r="B6517" s="504" t="s">
        <v>14312</v>
      </c>
      <c r="C6517" s="502" t="s">
        <v>73</v>
      </c>
      <c r="D6517" s="503" t="s">
        <v>34601</v>
      </c>
      <c r="H6517">
        <f t="shared" si="196"/>
        <v>388.37</v>
      </c>
    </row>
    <row r="6518" spans="1:8" ht="27.6">
      <c r="A6518" s="502" t="s">
        <v>14313</v>
      </c>
      <c r="B6518" s="504" t="s">
        <v>14314</v>
      </c>
      <c r="C6518" s="502" t="s">
        <v>73</v>
      </c>
      <c r="D6518" s="503" t="s">
        <v>34602</v>
      </c>
      <c r="H6518">
        <f t="shared" si="196"/>
        <v>405.01</v>
      </c>
    </row>
    <row r="6519" spans="1:8" ht="27.6">
      <c r="A6519" s="502" t="s">
        <v>7916</v>
      </c>
      <c r="B6519" s="504" t="s">
        <v>14315</v>
      </c>
      <c r="C6519" s="502" t="s">
        <v>75</v>
      </c>
      <c r="D6519" s="503" t="s">
        <v>34603</v>
      </c>
      <c r="H6519">
        <f t="shared" si="196"/>
        <v>80.239999999999995</v>
      </c>
    </row>
    <row r="6520" spans="1:8" ht="14.4">
      <c r="A6520" s="502" t="s">
        <v>7917</v>
      </c>
      <c r="B6520" s="504" t="s">
        <v>14316</v>
      </c>
      <c r="C6520" s="502" t="s">
        <v>75</v>
      </c>
      <c r="D6520" s="503" t="s">
        <v>11613</v>
      </c>
      <c r="H6520">
        <f t="shared" si="196"/>
        <v>50.81</v>
      </c>
    </row>
    <row r="6521" spans="1:8" ht="27.6">
      <c r="A6521" s="502" t="s">
        <v>14317</v>
      </c>
      <c r="B6521" s="504" t="s">
        <v>14318</v>
      </c>
      <c r="C6521" s="502" t="s">
        <v>75</v>
      </c>
      <c r="D6521" s="503" t="s">
        <v>29301</v>
      </c>
      <c r="H6521">
        <f t="shared" si="196"/>
        <v>42.43</v>
      </c>
    </row>
    <row r="6522" spans="1:8" ht="27.6">
      <c r="A6522" s="502" t="s">
        <v>14319</v>
      </c>
      <c r="B6522" s="504" t="s">
        <v>14320</v>
      </c>
      <c r="C6522" s="502" t="s">
        <v>75</v>
      </c>
      <c r="D6522" s="503" t="s">
        <v>16500</v>
      </c>
      <c r="H6522">
        <f t="shared" si="196"/>
        <v>46.77</v>
      </c>
    </row>
    <row r="6523" spans="1:8" ht="27.6">
      <c r="A6523" s="502" t="s">
        <v>6566</v>
      </c>
      <c r="B6523" s="504" t="s">
        <v>29945</v>
      </c>
      <c r="C6523" s="502" t="s">
        <v>75</v>
      </c>
      <c r="D6523" s="503" t="s">
        <v>25270</v>
      </c>
      <c r="H6523">
        <f t="shared" si="196"/>
        <v>9.4600000000000009</v>
      </c>
    </row>
    <row r="6524" spans="1:8" ht="27.6">
      <c r="A6524" s="502" t="s">
        <v>6567</v>
      </c>
      <c r="B6524" s="504" t="s">
        <v>29946</v>
      </c>
      <c r="C6524" s="502" t="s">
        <v>75</v>
      </c>
      <c r="D6524" s="503" t="s">
        <v>31639</v>
      </c>
      <c r="H6524">
        <f t="shared" si="196"/>
        <v>10.62</v>
      </c>
    </row>
    <row r="6525" spans="1:8" ht="27.6">
      <c r="A6525" s="502" t="s">
        <v>6568</v>
      </c>
      <c r="B6525" s="504" t="s">
        <v>29947</v>
      </c>
      <c r="C6525" s="502" t="s">
        <v>75</v>
      </c>
      <c r="D6525" s="503" t="s">
        <v>5555</v>
      </c>
      <c r="H6525">
        <f t="shared" si="196"/>
        <v>14.2</v>
      </c>
    </row>
    <row r="6526" spans="1:8" ht="14.4">
      <c r="A6526" s="502" t="s">
        <v>14321</v>
      </c>
      <c r="B6526" s="504" t="s">
        <v>14322</v>
      </c>
      <c r="C6526" s="502" t="s">
        <v>75</v>
      </c>
      <c r="D6526" s="503" t="s">
        <v>27889</v>
      </c>
      <c r="H6526">
        <f t="shared" si="196"/>
        <v>72.91</v>
      </c>
    </row>
    <row r="6527" spans="1:8" ht="14.4">
      <c r="A6527" s="502" t="s">
        <v>14323</v>
      </c>
      <c r="B6527" s="504" t="s">
        <v>14324</v>
      </c>
      <c r="C6527" s="502" t="s">
        <v>75</v>
      </c>
      <c r="D6527" s="503" t="s">
        <v>24485</v>
      </c>
      <c r="H6527">
        <f t="shared" si="196"/>
        <v>34.25</v>
      </c>
    </row>
    <row r="6528" spans="1:8" ht="41.4">
      <c r="A6528" s="502" t="s">
        <v>6570</v>
      </c>
      <c r="B6528" s="504" t="s">
        <v>26634</v>
      </c>
      <c r="C6528" s="502" t="s">
        <v>83</v>
      </c>
      <c r="D6528" s="503" t="s">
        <v>34604</v>
      </c>
      <c r="H6528">
        <f t="shared" si="196"/>
        <v>1031.24</v>
      </c>
    </row>
    <row r="6529" spans="1:8" ht="41.4">
      <c r="A6529" s="502" t="s">
        <v>6571</v>
      </c>
      <c r="B6529" s="504" t="s">
        <v>26635</v>
      </c>
      <c r="C6529" s="502" t="s">
        <v>83</v>
      </c>
      <c r="D6529" s="503" t="s">
        <v>34605</v>
      </c>
      <c r="H6529">
        <f t="shared" si="196"/>
        <v>1124.27</v>
      </c>
    </row>
    <row r="6530" spans="1:8" ht="55.2">
      <c r="A6530" s="502" t="s">
        <v>6572</v>
      </c>
      <c r="B6530" s="504" t="s">
        <v>26636</v>
      </c>
      <c r="C6530" s="502" t="s">
        <v>73</v>
      </c>
      <c r="D6530" s="503" t="s">
        <v>34606</v>
      </c>
      <c r="H6530">
        <f t="shared" si="196"/>
        <v>107.27</v>
      </c>
    </row>
    <row r="6531" spans="1:8" ht="41.4">
      <c r="A6531" s="502" t="s">
        <v>6573</v>
      </c>
      <c r="B6531" s="504" t="s">
        <v>26637</v>
      </c>
      <c r="C6531" s="502" t="s">
        <v>73</v>
      </c>
      <c r="D6531" s="503" t="s">
        <v>34607</v>
      </c>
      <c r="H6531">
        <f t="shared" si="196"/>
        <v>112.85</v>
      </c>
    </row>
    <row r="6532" spans="1:8" ht="55.2">
      <c r="A6532" s="502" t="s">
        <v>6574</v>
      </c>
      <c r="B6532" s="504" t="s">
        <v>26638</v>
      </c>
      <c r="C6532" s="502" t="s">
        <v>73</v>
      </c>
      <c r="D6532" s="503" t="s">
        <v>34608</v>
      </c>
      <c r="H6532">
        <f t="shared" si="196"/>
        <v>128.44</v>
      </c>
    </row>
    <row r="6533" spans="1:8" ht="41.4">
      <c r="A6533" s="502" t="s">
        <v>6575</v>
      </c>
      <c r="B6533" s="504" t="s">
        <v>26639</v>
      </c>
      <c r="C6533" s="502" t="s">
        <v>73</v>
      </c>
      <c r="D6533" s="503" t="s">
        <v>34609</v>
      </c>
      <c r="H6533">
        <f t="shared" ref="H6533:H6596" si="197">ROUND(D6533*(1+$H$1),2)</f>
        <v>135.88</v>
      </c>
    </row>
    <row r="6534" spans="1:8" ht="27.6">
      <c r="A6534" s="502" t="s">
        <v>14325</v>
      </c>
      <c r="B6534" s="504" t="s">
        <v>14326</v>
      </c>
      <c r="C6534" s="502" t="s">
        <v>73</v>
      </c>
      <c r="D6534" s="503" t="s">
        <v>28963</v>
      </c>
      <c r="H6534">
        <f t="shared" si="197"/>
        <v>108.95</v>
      </c>
    </row>
    <row r="6535" spans="1:8" ht="41.4">
      <c r="A6535" s="502" t="s">
        <v>26640</v>
      </c>
      <c r="B6535" s="504" t="s">
        <v>26641</v>
      </c>
      <c r="C6535" s="502" t="s">
        <v>83</v>
      </c>
      <c r="D6535" s="503" t="s">
        <v>34610</v>
      </c>
      <c r="H6535">
        <f t="shared" si="197"/>
        <v>1151.2</v>
      </c>
    </row>
    <row r="6536" spans="1:8" ht="27.6">
      <c r="A6536" s="502" t="s">
        <v>29949</v>
      </c>
      <c r="B6536" s="504" t="s">
        <v>29950</v>
      </c>
      <c r="C6536" s="502" t="s">
        <v>73</v>
      </c>
      <c r="D6536" s="503" t="s">
        <v>34611</v>
      </c>
      <c r="H6536">
        <f t="shared" si="197"/>
        <v>223.14</v>
      </c>
    </row>
    <row r="6537" spans="1:8" ht="55.2">
      <c r="A6537" s="502" t="s">
        <v>6576</v>
      </c>
      <c r="B6537" s="504" t="s">
        <v>16482</v>
      </c>
      <c r="C6537" s="502" t="s">
        <v>73</v>
      </c>
      <c r="D6537" s="503" t="s">
        <v>34612</v>
      </c>
      <c r="H6537">
        <f t="shared" si="197"/>
        <v>39.700000000000003</v>
      </c>
    </row>
    <row r="6538" spans="1:8" ht="55.2">
      <c r="A6538" s="502" t="s">
        <v>6577</v>
      </c>
      <c r="B6538" s="504" t="s">
        <v>16483</v>
      </c>
      <c r="C6538" s="502" t="s">
        <v>73</v>
      </c>
      <c r="D6538" s="503" t="s">
        <v>9616</v>
      </c>
      <c r="H6538">
        <f t="shared" si="197"/>
        <v>44.07</v>
      </c>
    </row>
    <row r="6539" spans="1:8" ht="55.2">
      <c r="A6539" s="502" t="s">
        <v>6578</v>
      </c>
      <c r="B6539" s="504" t="s">
        <v>16484</v>
      </c>
      <c r="C6539" s="502" t="s">
        <v>73</v>
      </c>
      <c r="D6539" s="503" t="s">
        <v>34613</v>
      </c>
      <c r="H6539">
        <f t="shared" si="197"/>
        <v>92.1</v>
      </c>
    </row>
    <row r="6540" spans="1:8" ht="41.4">
      <c r="A6540" s="502" t="s">
        <v>6579</v>
      </c>
      <c r="B6540" s="504" t="s">
        <v>29952</v>
      </c>
      <c r="C6540" s="502" t="s">
        <v>73</v>
      </c>
      <c r="D6540" s="503" t="s">
        <v>34614</v>
      </c>
      <c r="H6540">
        <f t="shared" si="197"/>
        <v>101.06</v>
      </c>
    </row>
    <row r="6541" spans="1:8" ht="55.2">
      <c r="A6541" s="502" t="s">
        <v>6580</v>
      </c>
      <c r="B6541" s="504" t="s">
        <v>16485</v>
      </c>
      <c r="C6541" s="502" t="s">
        <v>73</v>
      </c>
      <c r="D6541" s="503" t="s">
        <v>19938</v>
      </c>
      <c r="H6541">
        <f t="shared" si="197"/>
        <v>50.69</v>
      </c>
    </row>
    <row r="6542" spans="1:8" ht="55.2">
      <c r="A6542" s="502" t="s">
        <v>6581</v>
      </c>
      <c r="B6542" s="504" t="s">
        <v>16486</v>
      </c>
      <c r="C6542" s="502" t="s">
        <v>73</v>
      </c>
      <c r="D6542" s="503" t="s">
        <v>34615</v>
      </c>
      <c r="H6542">
        <f t="shared" si="197"/>
        <v>56.75</v>
      </c>
    </row>
    <row r="6543" spans="1:8" ht="55.2">
      <c r="A6543" s="502" t="s">
        <v>6582</v>
      </c>
      <c r="B6543" s="504" t="s">
        <v>16487</v>
      </c>
      <c r="C6543" s="502" t="s">
        <v>73</v>
      </c>
      <c r="D6543" s="503" t="s">
        <v>34616</v>
      </c>
      <c r="H6543">
        <f t="shared" si="197"/>
        <v>123.54</v>
      </c>
    </row>
    <row r="6544" spans="1:8" ht="41.4">
      <c r="A6544" s="502" t="s">
        <v>6583</v>
      </c>
      <c r="B6544" s="504" t="s">
        <v>16489</v>
      </c>
      <c r="C6544" s="502" t="s">
        <v>73</v>
      </c>
      <c r="D6544" s="503" t="s">
        <v>32516</v>
      </c>
      <c r="H6544">
        <f t="shared" si="197"/>
        <v>135.99</v>
      </c>
    </row>
    <row r="6545" spans="1:8" ht="55.2">
      <c r="A6545" s="502" t="s">
        <v>6584</v>
      </c>
      <c r="B6545" s="504" t="s">
        <v>16491</v>
      </c>
      <c r="C6545" s="502" t="s">
        <v>73</v>
      </c>
      <c r="D6545" s="503" t="s">
        <v>34617</v>
      </c>
      <c r="H6545">
        <f t="shared" si="197"/>
        <v>59.71</v>
      </c>
    </row>
    <row r="6546" spans="1:8" ht="55.2">
      <c r="A6546" s="502" t="s">
        <v>6585</v>
      </c>
      <c r="B6546" s="504" t="s">
        <v>16492</v>
      </c>
      <c r="C6546" s="502" t="s">
        <v>73</v>
      </c>
      <c r="D6546" s="503" t="s">
        <v>25821</v>
      </c>
      <c r="H6546">
        <f t="shared" si="197"/>
        <v>67.16</v>
      </c>
    </row>
    <row r="6547" spans="1:8" ht="55.2">
      <c r="A6547" s="502" t="s">
        <v>6586</v>
      </c>
      <c r="B6547" s="504" t="s">
        <v>16493</v>
      </c>
      <c r="C6547" s="502" t="s">
        <v>73</v>
      </c>
      <c r="D6547" s="503" t="s">
        <v>34618</v>
      </c>
      <c r="H6547">
        <f t="shared" si="197"/>
        <v>149.28</v>
      </c>
    </row>
    <row r="6548" spans="1:8" ht="41.4">
      <c r="A6548" s="502" t="s">
        <v>6587</v>
      </c>
      <c r="B6548" s="504" t="s">
        <v>16494</v>
      </c>
      <c r="C6548" s="502" t="s">
        <v>73</v>
      </c>
      <c r="D6548" s="503" t="s">
        <v>34619</v>
      </c>
      <c r="H6548">
        <f t="shared" si="197"/>
        <v>164.6</v>
      </c>
    </row>
    <row r="6549" spans="1:8" ht="55.2">
      <c r="A6549" s="502" t="s">
        <v>6588</v>
      </c>
      <c r="B6549" s="504" t="s">
        <v>16495</v>
      </c>
      <c r="C6549" s="502" t="s">
        <v>73</v>
      </c>
      <c r="D6549" s="503" t="s">
        <v>20562</v>
      </c>
      <c r="H6549">
        <f t="shared" si="197"/>
        <v>54.49</v>
      </c>
    </row>
    <row r="6550" spans="1:8" ht="55.2">
      <c r="A6550" s="502" t="s">
        <v>6590</v>
      </c>
      <c r="B6550" s="504" t="s">
        <v>16496</v>
      </c>
      <c r="C6550" s="502" t="s">
        <v>73</v>
      </c>
      <c r="D6550" s="503" t="s">
        <v>14670</v>
      </c>
      <c r="H6550">
        <f t="shared" si="197"/>
        <v>61.93</v>
      </c>
    </row>
    <row r="6551" spans="1:8" ht="55.2">
      <c r="A6551" s="502" t="s">
        <v>6591</v>
      </c>
      <c r="B6551" s="504" t="s">
        <v>16497</v>
      </c>
      <c r="C6551" s="502" t="s">
        <v>73</v>
      </c>
      <c r="D6551" s="503" t="s">
        <v>34620</v>
      </c>
      <c r="H6551">
        <f t="shared" si="197"/>
        <v>144.06</v>
      </c>
    </row>
    <row r="6552" spans="1:8" ht="41.4">
      <c r="A6552" s="502" t="s">
        <v>6592</v>
      </c>
      <c r="B6552" s="504" t="s">
        <v>16498</v>
      </c>
      <c r="C6552" s="502" t="s">
        <v>73</v>
      </c>
      <c r="D6552" s="503" t="s">
        <v>34621</v>
      </c>
      <c r="H6552">
        <f t="shared" si="197"/>
        <v>159.38</v>
      </c>
    </row>
    <row r="6553" spans="1:8" ht="55.2">
      <c r="A6553" s="502" t="s">
        <v>6593</v>
      </c>
      <c r="B6553" s="504" t="s">
        <v>16499</v>
      </c>
      <c r="C6553" s="502" t="s">
        <v>73</v>
      </c>
      <c r="D6553" s="503" t="s">
        <v>34062</v>
      </c>
      <c r="H6553">
        <f t="shared" si="197"/>
        <v>62.43</v>
      </c>
    </row>
    <row r="6554" spans="1:8" ht="55.2">
      <c r="A6554" s="502" t="s">
        <v>6594</v>
      </c>
      <c r="B6554" s="504" t="s">
        <v>16501</v>
      </c>
      <c r="C6554" s="502" t="s">
        <v>73</v>
      </c>
      <c r="D6554" s="503" t="s">
        <v>29954</v>
      </c>
      <c r="H6554">
        <f t="shared" si="197"/>
        <v>70.97</v>
      </c>
    </row>
    <row r="6555" spans="1:8" ht="41.4">
      <c r="A6555" s="502" t="s">
        <v>6595</v>
      </c>
      <c r="B6555" s="504" t="s">
        <v>16502</v>
      </c>
      <c r="C6555" s="502" t="s">
        <v>73</v>
      </c>
      <c r="D6555" s="503" t="s">
        <v>34622</v>
      </c>
      <c r="H6555">
        <f t="shared" si="197"/>
        <v>165.03</v>
      </c>
    </row>
    <row r="6556" spans="1:8" ht="41.4">
      <c r="A6556" s="502" t="s">
        <v>6596</v>
      </c>
      <c r="B6556" s="504" t="s">
        <v>16503</v>
      </c>
      <c r="C6556" s="502" t="s">
        <v>73</v>
      </c>
      <c r="D6556" s="503" t="s">
        <v>34623</v>
      </c>
      <c r="H6556">
        <f t="shared" si="197"/>
        <v>182.58</v>
      </c>
    </row>
    <row r="6557" spans="1:8" ht="55.2">
      <c r="A6557" s="502" t="s">
        <v>6597</v>
      </c>
      <c r="B6557" s="504" t="s">
        <v>16504</v>
      </c>
      <c r="C6557" s="502" t="s">
        <v>73</v>
      </c>
      <c r="D6557" s="503" t="s">
        <v>34624</v>
      </c>
      <c r="H6557">
        <f t="shared" si="197"/>
        <v>67.34</v>
      </c>
    </row>
    <row r="6558" spans="1:8" ht="55.2">
      <c r="A6558" s="502" t="s">
        <v>6598</v>
      </c>
      <c r="B6558" s="504" t="s">
        <v>16505</v>
      </c>
      <c r="C6558" s="502" t="s">
        <v>73</v>
      </c>
      <c r="D6558" s="503" t="s">
        <v>31447</v>
      </c>
      <c r="H6558">
        <f t="shared" si="197"/>
        <v>76.650000000000006</v>
      </c>
    </row>
    <row r="6559" spans="1:8" ht="55.2">
      <c r="A6559" s="502" t="s">
        <v>6599</v>
      </c>
      <c r="B6559" s="504" t="s">
        <v>16506</v>
      </c>
      <c r="C6559" s="502" t="s">
        <v>73</v>
      </c>
      <c r="D6559" s="503" t="s">
        <v>28753</v>
      </c>
      <c r="H6559">
        <f t="shared" si="197"/>
        <v>179.06</v>
      </c>
    </row>
    <row r="6560" spans="1:8" ht="41.4">
      <c r="A6560" s="502" t="s">
        <v>6600</v>
      </c>
      <c r="B6560" s="504" t="s">
        <v>16507</v>
      </c>
      <c r="C6560" s="502" t="s">
        <v>73</v>
      </c>
      <c r="D6560" s="503" t="s">
        <v>34625</v>
      </c>
      <c r="H6560">
        <f t="shared" si="197"/>
        <v>198.17</v>
      </c>
    </row>
    <row r="6561" spans="1:8" ht="55.2">
      <c r="A6561" s="502" t="s">
        <v>6601</v>
      </c>
      <c r="B6561" s="504" t="s">
        <v>16508</v>
      </c>
      <c r="C6561" s="502" t="s">
        <v>73</v>
      </c>
      <c r="D6561" s="503" t="s">
        <v>28017</v>
      </c>
      <c r="H6561">
        <f t="shared" si="197"/>
        <v>57.83</v>
      </c>
    </row>
    <row r="6562" spans="1:8" ht="55.2">
      <c r="A6562" s="502" t="s">
        <v>6602</v>
      </c>
      <c r="B6562" s="504" t="s">
        <v>16509</v>
      </c>
      <c r="C6562" s="502" t="s">
        <v>73</v>
      </c>
      <c r="D6562" s="503" t="s">
        <v>34626</v>
      </c>
      <c r="H6562">
        <f t="shared" si="197"/>
        <v>62.2</v>
      </c>
    </row>
    <row r="6563" spans="1:8" ht="55.2">
      <c r="A6563" s="502" t="s">
        <v>6603</v>
      </c>
      <c r="B6563" s="504" t="s">
        <v>16510</v>
      </c>
      <c r="C6563" s="502" t="s">
        <v>73</v>
      </c>
      <c r="D6563" s="503" t="s">
        <v>34627</v>
      </c>
      <c r="H6563">
        <f t="shared" si="197"/>
        <v>110.24</v>
      </c>
    </row>
    <row r="6564" spans="1:8" ht="41.4">
      <c r="A6564" s="502" t="s">
        <v>6604</v>
      </c>
      <c r="B6564" s="504" t="s">
        <v>16511</v>
      </c>
      <c r="C6564" s="502" t="s">
        <v>73</v>
      </c>
      <c r="D6564" s="503" t="s">
        <v>32547</v>
      </c>
      <c r="H6564">
        <f t="shared" si="197"/>
        <v>119.19</v>
      </c>
    </row>
    <row r="6565" spans="1:8" ht="55.2">
      <c r="A6565" s="502" t="s">
        <v>6605</v>
      </c>
      <c r="B6565" s="504" t="s">
        <v>16512</v>
      </c>
      <c r="C6565" s="502" t="s">
        <v>73</v>
      </c>
      <c r="D6565" s="503" t="s">
        <v>34628</v>
      </c>
      <c r="H6565">
        <f t="shared" si="197"/>
        <v>68.84</v>
      </c>
    </row>
    <row r="6566" spans="1:8" ht="55.2">
      <c r="A6566" s="502" t="s">
        <v>6606</v>
      </c>
      <c r="B6566" s="504" t="s">
        <v>16513</v>
      </c>
      <c r="C6566" s="502" t="s">
        <v>73</v>
      </c>
      <c r="D6566" s="503" t="s">
        <v>28146</v>
      </c>
      <c r="H6566">
        <f t="shared" si="197"/>
        <v>74.900000000000006</v>
      </c>
    </row>
    <row r="6567" spans="1:8" ht="55.2">
      <c r="A6567" s="502" t="s">
        <v>6607</v>
      </c>
      <c r="B6567" s="504" t="s">
        <v>16514</v>
      </c>
      <c r="C6567" s="502" t="s">
        <v>73</v>
      </c>
      <c r="D6567" s="503" t="s">
        <v>34629</v>
      </c>
      <c r="H6567">
        <f t="shared" si="197"/>
        <v>141.68</v>
      </c>
    </row>
    <row r="6568" spans="1:8" ht="41.4">
      <c r="A6568" s="502" t="s">
        <v>6608</v>
      </c>
      <c r="B6568" s="504" t="s">
        <v>16515</v>
      </c>
      <c r="C6568" s="502" t="s">
        <v>73</v>
      </c>
      <c r="D6568" s="503" t="s">
        <v>34630</v>
      </c>
      <c r="H6568">
        <f t="shared" si="197"/>
        <v>154.13999999999999</v>
      </c>
    </row>
    <row r="6569" spans="1:8" ht="55.2">
      <c r="A6569" s="502" t="s">
        <v>6609</v>
      </c>
      <c r="B6569" s="504" t="s">
        <v>16516</v>
      </c>
      <c r="C6569" s="502" t="s">
        <v>73</v>
      </c>
      <c r="D6569" s="503" t="s">
        <v>29073</v>
      </c>
      <c r="H6569">
        <f t="shared" si="197"/>
        <v>67.010000000000005</v>
      </c>
    </row>
    <row r="6570" spans="1:8" ht="55.2">
      <c r="A6570" s="502" t="s">
        <v>6610</v>
      </c>
      <c r="B6570" s="504" t="s">
        <v>16517</v>
      </c>
      <c r="C6570" s="502" t="s">
        <v>73</v>
      </c>
      <c r="D6570" s="503" t="s">
        <v>34631</v>
      </c>
      <c r="H6570">
        <f t="shared" si="197"/>
        <v>73.069999999999993</v>
      </c>
    </row>
    <row r="6571" spans="1:8" ht="55.2">
      <c r="A6571" s="502" t="s">
        <v>6611</v>
      </c>
      <c r="B6571" s="504" t="s">
        <v>16518</v>
      </c>
      <c r="C6571" s="502" t="s">
        <v>73</v>
      </c>
      <c r="D6571" s="503" t="s">
        <v>28060</v>
      </c>
      <c r="H6571">
        <f t="shared" si="197"/>
        <v>139.86000000000001</v>
      </c>
    </row>
    <row r="6572" spans="1:8" ht="41.4">
      <c r="A6572" s="502" t="s">
        <v>6612</v>
      </c>
      <c r="B6572" s="504" t="s">
        <v>16519</v>
      </c>
      <c r="C6572" s="502" t="s">
        <v>73</v>
      </c>
      <c r="D6572" s="503" t="s">
        <v>15875</v>
      </c>
      <c r="H6572">
        <f t="shared" si="197"/>
        <v>152.32</v>
      </c>
    </row>
    <row r="6573" spans="1:8" ht="55.2">
      <c r="A6573" s="502" t="s">
        <v>6613</v>
      </c>
      <c r="B6573" s="504" t="s">
        <v>16520</v>
      </c>
      <c r="C6573" s="502" t="s">
        <v>73</v>
      </c>
      <c r="D6573" s="503" t="s">
        <v>34632</v>
      </c>
      <c r="H6573">
        <f t="shared" si="197"/>
        <v>76.099999999999994</v>
      </c>
    </row>
    <row r="6574" spans="1:8" ht="55.2">
      <c r="A6574" s="502" t="s">
        <v>6614</v>
      </c>
      <c r="B6574" s="504" t="s">
        <v>16521</v>
      </c>
      <c r="C6574" s="502" t="s">
        <v>73</v>
      </c>
      <c r="D6574" s="503" t="s">
        <v>34633</v>
      </c>
      <c r="H6574">
        <f t="shared" si="197"/>
        <v>83.55</v>
      </c>
    </row>
    <row r="6575" spans="1:8" ht="55.2">
      <c r="A6575" s="502" t="s">
        <v>6615</v>
      </c>
      <c r="B6575" s="504" t="s">
        <v>16522</v>
      </c>
      <c r="C6575" s="502" t="s">
        <v>73</v>
      </c>
      <c r="D6575" s="503" t="s">
        <v>34634</v>
      </c>
      <c r="H6575">
        <f t="shared" si="197"/>
        <v>165.67</v>
      </c>
    </row>
    <row r="6576" spans="1:8" ht="41.4">
      <c r="A6576" s="502" t="s">
        <v>6616</v>
      </c>
      <c r="B6576" s="504" t="s">
        <v>16523</v>
      </c>
      <c r="C6576" s="502" t="s">
        <v>73</v>
      </c>
      <c r="D6576" s="503" t="s">
        <v>27915</v>
      </c>
      <c r="H6576">
        <f t="shared" si="197"/>
        <v>180.99</v>
      </c>
    </row>
    <row r="6577" spans="1:8" ht="27.6">
      <c r="A6577" s="502" t="s">
        <v>6617</v>
      </c>
      <c r="B6577" s="504" t="s">
        <v>16524</v>
      </c>
      <c r="C6577" s="502" t="s">
        <v>73</v>
      </c>
      <c r="D6577" s="503" t="s">
        <v>30561</v>
      </c>
      <c r="H6577">
        <f t="shared" si="197"/>
        <v>41.2</v>
      </c>
    </row>
    <row r="6578" spans="1:8" ht="27.6">
      <c r="A6578" s="502" t="s">
        <v>6618</v>
      </c>
      <c r="B6578" s="504" t="s">
        <v>16525</v>
      </c>
      <c r="C6578" s="502" t="s">
        <v>73</v>
      </c>
      <c r="D6578" s="503" t="s">
        <v>13598</v>
      </c>
      <c r="H6578">
        <f t="shared" si="197"/>
        <v>51.5</v>
      </c>
    </row>
    <row r="6579" spans="1:8" ht="27.6">
      <c r="A6579" s="502" t="s">
        <v>6619</v>
      </c>
      <c r="B6579" s="504" t="s">
        <v>16526</v>
      </c>
      <c r="C6579" s="502" t="s">
        <v>73</v>
      </c>
      <c r="D6579" s="503" t="s">
        <v>34635</v>
      </c>
      <c r="H6579">
        <f t="shared" si="197"/>
        <v>59.7</v>
      </c>
    </row>
    <row r="6580" spans="1:8" ht="27.6">
      <c r="A6580" s="502" t="s">
        <v>6620</v>
      </c>
      <c r="B6580" s="504" t="s">
        <v>16527</v>
      </c>
      <c r="C6580" s="502" t="s">
        <v>73</v>
      </c>
      <c r="D6580" s="503" t="s">
        <v>34636</v>
      </c>
      <c r="H6580">
        <f t="shared" si="197"/>
        <v>32.700000000000003</v>
      </c>
    </row>
    <row r="6581" spans="1:8" ht="27.6">
      <c r="A6581" s="502" t="s">
        <v>6621</v>
      </c>
      <c r="B6581" s="504" t="s">
        <v>16528</v>
      </c>
      <c r="C6581" s="502" t="s">
        <v>73</v>
      </c>
      <c r="D6581" s="503" t="s">
        <v>10001</v>
      </c>
      <c r="H6581">
        <f t="shared" si="197"/>
        <v>45.6</v>
      </c>
    </row>
    <row r="6582" spans="1:8" ht="27.6">
      <c r="A6582" s="502" t="s">
        <v>6622</v>
      </c>
      <c r="B6582" s="504" t="s">
        <v>16529</v>
      </c>
      <c r="C6582" s="502" t="s">
        <v>73</v>
      </c>
      <c r="D6582" s="503" t="s">
        <v>34637</v>
      </c>
      <c r="H6582">
        <f t="shared" si="197"/>
        <v>56.24</v>
      </c>
    </row>
    <row r="6583" spans="1:8" ht="55.2">
      <c r="A6583" s="502" t="s">
        <v>6623</v>
      </c>
      <c r="B6583" s="504" t="s">
        <v>16530</v>
      </c>
      <c r="C6583" s="502" t="s">
        <v>73</v>
      </c>
      <c r="D6583" s="503" t="s">
        <v>34638</v>
      </c>
      <c r="H6583">
        <f t="shared" si="197"/>
        <v>105.41</v>
      </c>
    </row>
    <row r="6584" spans="1:8" ht="41.4">
      <c r="A6584" s="502" t="s">
        <v>6624</v>
      </c>
      <c r="B6584" s="504" t="s">
        <v>16531</v>
      </c>
      <c r="C6584" s="502" t="s">
        <v>73</v>
      </c>
      <c r="D6584" s="503" t="s">
        <v>29944</v>
      </c>
      <c r="H6584">
        <f t="shared" si="197"/>
        <v>113.96</v>
      </c>
    </row>
    <row r="6585" spans="1:8" ht="55.2">
      <c r="A6585" s="502" t="s">
        <v>6625</v>
      </c>
      <c r="B6585" s="504" t="s">
        <v>16532</v>
      </c>
      <c r="C6585" s="502" t="s">
        <v>73</v>
      </c>
      <c r="D6585" s="503" t="s">
        <v>34639</v>
      </c>
      <c r="H6585">
        <f t="shared" si="197"/>
        <v>208.02</v>
      </c>
    </row>
    <row r="6586" spans="1:8" ht="41.4">
      <c r="A6586" s="502" t="s">
        <v>6626</v>
      </c>
      <c r="B6586" s="504" t="s">
        <v>16533</v>
      </c>
      <c r="C6586" s="502" t="s">
        <v>73</v>
      </c>
      <c r="D6586" s="503" t="s">
        <v>34640</v>
      </c>
      <c r="H6586">
        <f t="shared" si="197"/>
        <v>225.57</v>
      </c>
    </row>
    <row r="6587" spans="1:8" ht="55.2">
      <c r="A6587" s="502" t="s">
        <v>6627</v>
      </c>
      <c r="B6587" s="504" t="s">
        <v>16534</v>
      </c>
      <c r="C6587" s="502" t="s">
        <v>73</v>
      </c>
      <c r="D6587" s="503" t="s">
        <v>34641</v>
      </c>
      <c r="H6587">
        <f t="shared" si="197"/>
        <v>112.28</v>
      </c>
    </row>
    <row r="6588" spans="1:8" ht="41.4">
      <c r="A6588" s="502" t="s">
        <v>6628</v>
      </c>
      <c r="B6588" s="504" t="s">
        <v>16535</v>
      </c>
      <c r="C6588" s="502" t="s">
        <v>73</v>
      </c>
      <c r="D6588" s="503" t="s">
        <v>20222</v>
      </c>
      <c r="H6588">
        <f t="shared" si="197"/>
        <v>121.58</v>
      </c>
    </row>
    <row r="6589" spans="1:8" ht="55.2">
      <c r="A6589" s="502" t="s">
        <v>6629</v>
      </c>
      <c r="B6589" s="504" t="s">
        <v>16536</v>
      </c>
      <c r="C6589" s="502" t="s">
        <v>73</v>
      </c>
      <c r="D6589" s="503" t="s">
        <v>34642</v>
      </c>
      <c r="H6589">
        <f t="shared" si="197"/>
        <v>223.99</v>
      </c>
    </row>
    <row r="6590" spans="1:8" ht="41.4">
      <c r="A6590" s="502" t="s">
        <v>6630</v>
      </c>
      <c r="B6590" s="504" t="s">
        <v>16537</v>
      </c>
      <c r="C6590" s="502" t="s">
        <v>73</v>
      </c>
      <c r="D6590" s="503" t="s">
        <v>34643</v>
      </c>
      <c r="H6590">
        <f t="shared" si="197"/>
        <v>243.1</v>
      </c>
    </row>
    <row r="6591" spans="1:8" ht="55.2">
      <c r="A6591" s="502" t="s">
        <v>6631</v>
      </c>
      <c r="B6591" s="504" t="s">
        <v>16538</v>
      </c>
      <c r="C6591" s="502" t="s">
        <v>73</v>
      </c>
      <c r="D6591" s="503" t="s">
        <v>34009</v>
      </c>
      <c r="H6591">
        <f t="shared" si="197"/>
        <v>124.82</v>
      </c>
    </row>
    <row r="6592" spans="1:8" ht="41.4">
      <c r="A6592" s="502" t="s">
        <v>6632</v>
      </c>
      <c r="B6592" s="504" t="s">
        <v>16539</v>
      </c>
      <c r="C6592" s="502" t="s">
        <v>73</v>
      </c>
      <c r="D6592" s="503" t="s">
        <v>34644</v>
      </c>
      <c r="H6592">
        <f t="shared" si="197"/>
        <v>135.5</v>
      </c>
    </row>
    <row r="6593" spans="1:8" ht="55.2">
      <c r="A6593" s="502" t="s">
        <v>6633</v>
      </c>
      <c r="B6593" s="504" t="s">
        <v>16540</v>
      </c>
      <c r="C6593" s="502" t="s">
        <v>73</v>
      </c>
      <c r="D6593" s="503" t="s">
        <v>34645</v>
      </c>
      <c r="H6593">
        <f t="shared" si="197"/>
        <v>253.27</v>
      </c>
    </row>
    <row r="6594" spans="1:8" ht="41.4">
      <c r="A6594" s="502" t="s">
        <v>6634</v>
      </c>
      <c r="B6594" s="504" t="s">
        <v>16541</v>
      </c>
      <c r="C6594" s="502" t="s">
        <v>73</v>
      </c>
      <c r="D6594" s="503" t="s">
        <v>34646</v>
      </c>
      <c r="H6594">
        <f t="shared" si="197"/>
        <v>275.24</v>
      </c>
    </row>
    <row r="6595" spans="1:8" ht="27.6">
      <c r="A6595" s="502" t="s">
        <v>16542</v>
      </c>
      <c r="B6595" s="504" t="s">
        <v>16543</v>
      </c>
      <c r="C6595" s="502" t="s">
        <v>73</v>
      </c>
      <c r="D6595" s="503" t="s">
        <v>3775</v>
      </c>
      <c r="H6595">
        <f t="shared" si="197"/>
        <v>3.41</v>
      </c>
    </row>
    <row r="6596" spans="1:8" ht="27.6">
      <c r="A6596" s="502" t="s">
        <v>14327</v>
      </c>
      <c r="B6596" s="504" t="s">
        <v>14328</v>
      </c>
      <c r="C6596" s="502" t="s">
        <v>75</v>
      </c>
      <c r="D6596" s="503" t="s">
        <v>34647</v>
      </c>
      <c r="H6596">
        <f t="shared" si="197"/>
        <v>74.540000000000006</v>
      </c>
    </row>
    <row r="6597" spans="1:8" ht="41.4">
      <c r="A6597" s="502" t="s">
        <v>6636</v>
      </c>
      <c r="B6597" s="504" t="s">
        <v>26643</v>
      </c>
      <c r="C6597" s="502" t="s">
        <v>73</v>
      </c>
      <c r="D6597" s="503" t="s">
        <v>34648</v>
      </c>
      <c r="H6597">
        <f t="shared" ref="H6597:H6660" si="198">ROUND(D6597*(1+$H$1),2)</f>
        <v>6.68</v>
      </c>
    </row>
    <row r="6598" spans="1:8" ht="55.2">
      <c r="A6598" s="502" t="s">
        <v>6637</v>
      </c>
      <c r="B6598" s="504" t="s">
        <v>26644</v>
      </c>
      <c r="C6598" s="502" t="s">
        <v>73</v>
      </c>
      <c r="D6598" s="503" t="s">
        <v>34649</v>
      </c>
      <c r="H6598">
        <f t="shared" si="198"/>
        <v>6.08</v>
      </c>
    </row>
    <row r="6599" spans="1:8" ht="55.2">
      <c r="A6599" s="502" t="s">
        <v>6639</v>
      </c>
      <c r="B6599" s="504" t="s">
        <v>26645</v>
      </c>
      <c r="C6599" s="502" t="s">
        <v>73</v>
      </c>
      <c r="D6599" s="503" t="s">
        <v>4219</v>
      </c>
      <c r="H6599">
        <f t="shared" si="198"/>
        <v>7.69</v>
      </c>
    </row>
    <row r="6600" spans="1:8" ht="55.2">
      <c r="A6600" s="502" t="s">
        <v>6640</v>
      </c>
      <c r="B6600" s="504" t="s">
        <v>26646</v>
      </c>
      <c r="C6600" s="502" t="s">
        <v>73</v>
      </c>
      <c r="D6600" s="503" t="s">
        <v>10167</v>
      </c>
      <c r="H6600">
        <f t="shared" si="198"/>
        <v>7.49</v>
      </c>
    </row>
    <row r="6601" spans="1:8" ht="55.2">
      <c r="A6601" s="502" t="s">
        <v>6641</v>
      </c>
      <c r="B6601" s="504" t="s">
        <v>26647</v>
      </c>
      <c r="C6601" s="502" t="s">
        <v>73</v>
      </c>
      <c r="D6601" s="503" t="s">
        <v>34544</v>
      </c>
      <c r="H6601">
        <f t="shared" si="198"/>
        <v>12.34</v>
      </c>
    </row>
    <row r="6602" spans="1:8" ht="55.2">
      <c r="A6602" s="502" t="s">
        <v>6642</v>
      </c>
      <c r="B6602" s="504" t="s">
        <v>26648</v>
      </c>
      <c r="C6602" s="502" t="s">
        <v>73</v>
      </c>
      <c r="D6602" s="503" t="s">
        <v>26581</v>
      </c>
      <c r="H6602">
        <f t="shared" si="198"/>
        <v>11.83</v>
      </c>
    </row>
    <row r="6603" spans="1:8" ht="41.4">
      <c r="A6603" s="502" t="s">
        <v>6643</v>
      </c>
      <c r="B6603" s="504" t="s">
        <v>26649</v>
      </c>
      <c r="C6603" s="502" t="s">
        <v>73</v>
      </c>
      <c r="D6603" s="503" t="s">
        <v>17596</v>
      </c>
      <c r="H6603">
        <f t="shared" si="198"/>
        <v>22.08</v>
      </c>
    </row>
    <row r="6604" spans="1:8" ht="41.4">
      <c r="A6604" s="502" t="s">
        <v>6644</v>
      </c>
      <c r="B6604" s="504" t="s">
        <v>26650</v>
      </c>
      <c r="C6604" s="502" t="s">
        <v>73</v>
      </c>
      <c r="D6604" s="503" t="s">
        <v>34650</v>
      </c>
      <c r="H6604">
        <f t="shared" si="198"/>
        <v>20.99</v>
      </c>
    </row>
    <row r="6605" spans="1:8" ht="69">
      <c r="A6605" s="502" t="s">
        <v>6645</v>
      </c>
      <c r="B6605" s="504" t="s">
        <v>26651</v>
      </c>
      <c r="C6605" s="502" t="s">
        <v>73</v>
      </c>
      <c r="D6605" s="503" t="s">
        <v>28153</v>
      </c>
      <c r="H6605">
        <f t="shared" si="198"/>
        <v>10.14</v>
      </c>
    </row>
    <row r="6606" spans="1:8" ht="69">
      <c r="A6606" s="502" t="s">
        <v>6646</v>
      </c>
      <c r="B6606" s="504" t="s">
        <v>26652</v>
      </c>
      <c r="C6606" s="502" t="s">
        <v>73</v>
      </c>
      <c r="D6606" s="503" t="s">
        <v>4222</v>
      </c>
      <c r="H6606">
        <f t="shared" si="198"/>
        <v>9.94</v>
      </c>
    </row>
    <row r="6607" spans="1:8" ht="55.2">
      <c r="A6607" s="502" t="s">
        <v>6647</v>
      </c>
      <c r="B6607" s="504" t="s">
        <v>26653</v>
      </c>
      <c r="C6607" s="502" t="s">
        <v>73</v>
      </c>
      <c r="D6607" s="503" t="s">
        <v>10679</v>
      </c>
      <c r="H6607">
        <f t="shared" si="198"/>
        <v>14.79</v>
      </c>
    </row>
    <row r="6608" spans="1:8" ht="55.2">
      <c r="A6608" s="502" t="s">
        <v>6648</v>
      </c>
      <c r="B6608" s="504" t="s">
        <v>26654</v>
      </c>
      <c r="C6608" s="502" t="s">
        <v>73</v>
      </c>
      <c r="D6608" s="503" t="s">
        <v>9478</v>
      </c>
      <c r="H6608">
        <f t="shared" si="198"/>
        <v>14.28</v>
      </c>
    </row>
    <row r="6609" spans="1:8" ht="55.2">
      <c r="A6609" s="502" t="s">
        <v>6649</v>
      </c>
      <c r="B6609" s="504" t="s">
        <v>26655</v>
      </c>
      <c r="C6609" s="502" t="s">
        <v>73</v>
      </c>
      <c r="D6609" s="503" t="s">
        <v>28816</v>
      </c>
      <c r="H6609">
        <f t="shared" si="198"/>
        <v>10.31</v>
      </c>
    </row>
    <row r="6610" spans="1:8" ht="55.2">
      <c r="A6610" s="502" t="s">
        <v>6651</v>
      </c>
      <c r="B6610" s="504" t="s">
        <v>26656</v>
      </c>
      <c r="C6610" s="502" t="s">
        <v>73</v>
      </c>
      <c r="D6610" s="503" t="s">
        <v>29363</v>
      </c>
      <c r="H6610">
        <f t="shared" si="198"/>
        <v>9.7100000000000009</v>
      </c>
    </row>
    <row r="6611" spans="1:8" ht="55.2">
      <c r="A6611" s="502" t="s">
        <v>6652</v>
      </c>
      <c r="B6611" s="504" t="s">
        <v>26657</v>
      </c>
      <c r="C6611" s="502" t="s">
        <v>73</v>
      </c>
      <c r="D6611" s="503" t="s">
        <v>3478</v>
      </c>
      <c r="H6611">
        <f t="shared" si="198"/>
        <v>7.62</v>
      </c>
    </row>
    <row r="6612" spans="1:8" ht="55.2">
      <c r="A6612" s="502" t="s">
        <v>6653</v>
      </c>
      <c r="B6612" s="504" t="s">
        <v>26658</v>
      </c>
      <c r="C6612" s="502" t="s">
        <v>73</v>
      </c>
      <c r="D6612" s="503" t="s">
        <v>7353</v>
      </c>
      <c r="H6612">
        <f t="shared" si="198"/>
        <v>7.02</v>
      </c>
    </row>
    <row r="6613" spans="1:8" ht="69">
      <c r="A6613" s="502" t="s">
        <v>6654</v>
      </c>
      <c r="B6613" s="504" t="s">
        <v>26659</v>
      </c>
      <c r="C6613" s="502" t="s">
        <v>73</v>
      </c>
      <c r="D6613" s="503" t="s">
        <v>31049</v>
      </c>
      <c r="H6613">
        <f t="shared" si="198"/>
        <v>11.22</v>
      </c>
    </row>
    <row r="6614" spans="1:8" ht="69">
      <c r="A6614" s="502" t="s">
        <v>6655</v>
      </c>
      <c r="B6614" s="504" t="s">
        <v>26660</v>
      </c>
      <c r="C6614" s="502" t="s">
        <v>73</v>
      </c>
      <c r="D6614" s="503" t="s">
        <v>9966</v>
      </c>
      <c r="H6614">
        <f t="shared" si="198"/>
        <v>11.02</v>
      </c>
    </row>
    <row r="6615" spans="1:8" ht="55.2">
      <c r="A6615" s="502" t="s">
        <v>6656</v>
      </c>
      <c r="B6615" s="504" t="s">
        <v>26661</v>
      </c>
      <c r="C6615" s="502" t="s">
        <v>73</v>
      </c>
      <c r="D6615" s="503" t="s">
        <v>10212</v>
      </c>
      <c r="H6615">
        <f t="shared" si="198"/>
        <v>15.87</v>
      </c>
    </row>
    <row r="6616" spans="1:8" ht="55.2">
      <c r="A6616" s="502" t="s">
        <v>6657</v>
      </c>
      <c r="B6616" s="504" t="s">
        <v>26662</v>
      </c>
      <c r="C6616" s="502" t="s">
        <v>73</v>
      </c>
      <c r="D6616" s="503" t="s">
        <v>10643</v>
      </c>
      <c r="H6616">
        <f t="shared" si="198"/>
        <v>15.36</v>
      </c>
    </row>
    <row r="6617" spans="1:8" ht="55.2">
      <c r="A6617" s="502" t="s">
        <v>6658</v>
      </c>
      <c r="B6617" s="504" t="s">
        <v>26663</v>
      </c>
      <c r="C6617" s="502" t="s">
        <v>73</v>
      </c>
      <c r="D6617" s="503" t="s">
        <v>7322</v>
      </c>
      <c r="H6617">
        <f t="shared" si="198"/>
        <v>12.05</v>
      </c>
    </row>
    <row r="6618" spans="1:8" ht="55.2">
      <c r="A6618" s="502" t="s">
        <v>6659</v>
      </c>
      <c r="B6618" s="504" t="s">
        <v>26664</v>
      </c>
      <c r="C6618" s="502" t="s">
        <v>73</v>
      </c>
      <c r="D6618" s="503" t="s">
        <v>33808</v>
      </c>
      <c r="H6618">
        <f t="shared" si="198"/>
        <v>11.45</v>
      </c>
    </row>
    <row r="6619" spans="1:8" ht="55.2">
      <c r="A6619" s="502" t="s">
        <v>6660</v>
      </c>
      <c r="B6619" s="504" t="s">
        <v>26665</v>
      </c>
      <c r="C6619" s="502" t="s">
        <v>73</v>
      </c>
      <c r="D6619" s="503" t="s">
        <v>7297</v>
      </c>
      <c r="H6619">
        <f t="shared" si="198"/>
        <v>9.23</v>
      </c>
    </row>
    <row r="6620" spans="1:8" ht="55.2">
      <c r="A6620" s="502" t="s">
        <v>6661</v>
      </c>
      <c r="B6620" s="504" t="s">
        <v>26666</v>
      </c>
      <c r="C6620" s="502" t="s">
        <v>73</v>
      </c>
      <c r="D6620" s="503" t="s">
        <v>3104</v>
      </c>
      <c r="H6620">
        <f t="shared" si="198"/>
        <v>8.6300000000000008</v>
      </c>
    </row>
    <row r="6621" spans="1:8" ht="41.4">
      <c r="A6621" s="502" t="s">
        <v>6662</v>
      </c>
      <c r="B6621" s="504" t="s">
        <v>26667</v>
      </c>
      <c r="C6621" s="502" t="s">
        <v>73</v>
      </c>
      <c r="D6621" s="503" t="s">
        <v>25657</v>
      </c>
      <c r="H6621">
        <f t="shared" si="198"/>
        <v>30.26</v>
      </c>
    </row>
    <row r="6622" spans="1:8" ht="55.2">
      <c r="A6622" s="502" t="s">
        <v>6663</v>
      </c>
      <c r="B6622" s="504" t="s">
        <v>26668</v>
      </c>
      <c r="C6622" s="502" t="s">
        <v>73</v>
      </c>
      <c r="D6622" s="503" t="s">
        <v>25148</v>
      </c>
      <c r="H6622">
        <f t="shared" si="198"/>
        <v>29.17</v>
      </c>
    </row>
    <row r="6623" spans="1:8" ht="41.4">
      <c r="A6623" s="502" t="s">
        <v>26669</v>
      </c>
      <c r="B6623" s="504" t="s">
        <v>26670</v>
      </c>
      <c r="C6623" s="502" t="s">
        <v>73</v>
      </c>
      <c r="D6623" s="503" t="s">
        <v>34651</v>
      </c>
      <c r="H6623">
        <f t="shared" si="198"/>
        <v>6.86</v>
      </c>
    </row>
    <row r="6624" spans="1:8" ht="55.2">
      <c r="A6624" s="502" t="s">
        <v>26671</v>
      </c>
      <c r="B6624" s="504" t="s">
        <v>26672</v>
      </c>
      <c r="C6624" s="502" t="s">
        <v>73</v>
      </c>
      <c r="D6624" s="503" t="s">
        <v>34651</v>
      </c>
      <c r="H6624">
        <f t="shared" si="198"/>
        <v>6.86</v>
      </c>
    </row>
    <row r="6625" spans="1:8" ht="41.4">
      <c r="A6625" s="502" t="s">
        <v>6664</v>
      </c>
      <c r="B6625" s="504" t="s">
        <v>26673</v>
      </c>
      <c r="C6625" s="502" t="s">
        <v>73</v>
      </c>
      <c r="D6625" s="503" t="s">
        <v>16145</v>
      </c>
      <c r="H6625">
        <f t="shared" si="198"/>
        <v>20.79</v>
      </c>
    </row>
    <row r="6626" spans="1:8" ht="41.4">
      <c r="A6626" s="502" t="s">
        <v>6665</v>
      </c>
      <c r="B6626" s="504" t="s">
        <v>26674</v>
      </c>
      <c r="C6626" s="502" t="s">
        <v>73</v>
      </c>
      <c r="D6626" s="503" t="s">
        <v>15285</v>
      </c>
      <c r="H6626">
        <f t="shared" si="198"/>
        <v>31.06</v>
      </c>
    </row>
    <row r="6627" spans="1:8" ht="41.4">
      <c r="A6627" s="502" t="s">
        <v>6666</v>
      </c>
      <c r="B6627" s="504" t="s">
        <v>26675</v>
      </c>
      <c r="C6627" s="502" t="s">
        <v>73</v>
      </c>
      <c r="D6627" s="503" t="s">
        <v>10333</v>
      </c>
      <c r="H6627">
        <f t="shared" si="198"/>
        <v>36.979999999999997</v>
      </c>
    </row>
    <row r="6628" spans="1:8" ht="41.4">
      <c r="A6628" s="502" t="s">
        <v>6668</v>
      </c>
      <c r="B6628" s="504" t="s">
        <v>26676</v>
      </c>
      <c r="C6628" s="502" t="s">
        <v>73</v>
      </c>
      <c r="D6628" s="503" t="s">
        <v>16161</v>
      </c>
      <c r="H6628">
        <f t="shared" si="198"/>
        <v>33.11</v>
      </c>
    </row>
    <row r="6629" spans="1:8" ht="41.4">
      <c r="A6629" s="502" t="s">
        <v>6669</v>
      </c>
      <c r="B6629" s="504" t="s">
        <v>26677</v>
      </c>
      <c r="C6629" s="502" t="s">
        <v>73</v>
      </c>
      <c r="D6629" s="503" t="s">
        <v>34652</v>
      </c>
      <c r="H6629">
        <f t="shared" si="198"/>
        <v>43.39</v>
      </c>
    </row>
    <row r="6630" spans="1:8" ht="41.4">
      <c r="A6630" s="502" t="s">
        <v>6670</v>
      </c>
      <c r="B6630" s="504" t="s">
        <v>26678</v>
      </c>
      <c r="C6630" s="502" t="s">
        <v>73</v>
      </c>
      <c r="D6630" s="503" t="s">
        <v>29307</v>
      </c>
      <c r="H6630">
        <f t="shared" si="198"/>
        <v>49.29</v>
      </c>
    </row>
    <row r="6631" spans="1:8" ht="41.4">
      <c r="A6631" s="502" t="s">
        <v>6671</v>
      </c>
      <c r="B6631" s="504" t="s">
        <v>26679</v>
      </c>
      <c r="C6631" s="502" t="s">
        <v>73</v>
      </c>
      <c r="D6631" s="503" t="s">
        <v>9493</v>
      </c>
      <c r="H6631">
        <f t="shared" si="198"/>
        <v>24.04</v>
      </c>
    </row>
    <row r="6632" spans="1:8" ht="41.4">
      <c r="A6632" s="502" t="s">
        <v>6672</v>
      </c>
      <c r="B6632" s="504" t="s">
        <v>26680</v>
      </c>
      <c r="C6632" s="502" t="s">
        <v>73</v>
      </c>
      <c r="D6632" s="503" t="s">
        <v>10731</v>
      </c>
      <c r="H6632">
        <f t="shared" si="198"/>
        <v>36.840000000000003</v>
      </c>
    </row>
    <row r="6633" spans="1:8" ht="27.6">
      <c r="A6633" s="502" t="s">
        <v>6673</v>
      </c>
      <c r="B6633" s="504" t="s">
        <v>26681</v>
      </c>
      <c r="C6633" s="502" t="s">
        <v>73</v>
      </c>
      <c r="D6633" s="503" t="s">
        <v>10338</v>
      </c>
      <c r="H6633">
        <f t="shared" si="198"/>
        <v>48.32</v>
      </c>
    </row>
    <row r="6634" spans="1:8" ht="27.6">
      <c r="A6634" s="502" t="s">
        <v>6674</v>
      </c>
      <c r="B6634" s="504" t="s">
        <v>26682</v>
      </c>
      <c r="C6634" s="502" t="s">
        <v>73</v>
      </c>
      <c r="D6634" s="503" t="s">
        <v>34653</v>
      </c>
      <c r="H6634">
        <f t="shared" si="198"/>
        <v>57.23</v>
      </c>
    </row>
    <row r="6635" spans="1:8" ht="41.4">
      <c r="A6635" s="502" t="s">
        <v>6675</v>
      </c>
      <c r="B6635" s="504" t="s">
        <v>26683</v>
      </c>
      <c r="C6635" s="502" t="s">
        <v>73</v>
      </c>
      <c r="D6635" s="503" t="s">
        <v>7461</v>
      </c>
      <c r="H6635">
        <f t="shared" si="198"/>
        <v>24.6</v>
      </c>
    </row>
    <row r="6636" spans="1:8" ht="41.4">
      <c r="A6636" s="502" t="s">
        <v>6676</v>
      </c>
      <c r="B6636" s="504" t="s">
        <v>26684</v>
      </c>
      <c r="C6636" s="502" t="s">
        <v>73</v>
      </c>
      <c r="D6636" s="503" t="s">
        <v>34654</v>
      </c>
      <c r="H6636">
        <f t="shared" si="198"/>
        <v>35.9</v>
      </c>
    </row>
    <row r="6637" spans="1:8" ht="41.4">
      <c r="A6637" s="502" t="s">
        <v>6677</v>
      </c>
      <c r="B6637" s="504" t="s">
        <v>26685</v>
      </c>
      <c r="C6637" s="502" t="s">
        <v>73</v>
      </c>
      <c r="D6637" s="503" t="s">
        <v>33760</v>
      </c>
      <c r="H6637">
        <f t="shared" si="198"/>
        <v>40.56</v>
      </c>
    </row>
    <row r="6638" spans="1:8" ht="41.4">
      <c r="A6638" s="502" t="s">
        <v>6678</v>
      </c>
      <c r="B6638" s="504" t="s">
        <v>26686</v>
      </c>
      <c r="C6638" s="502" t="s">
        <v>73</v>
      </c>
      <c r="D6638" s="503" t="s">
        <v>9513</v>
      </c>
      <c r="H6638">
        <f t="shared" si="198"/>
        <v>49.84</v>
      </c>
    </row>
    <row r="6639" spans="1:8" ht="55.2">
      <c r="A6639" s="502" t="s">
        <v>6679</v>
      </c>
      <c r="B6639" s="504" t="s">
        <v>29958</v>
      </c>
      <c r="C6639" s="502" t="s">
        <v>73</v>
      </c>
      <c r="D6639" s="503" t="s">
        <v>34655</v>
      </c>
      <c r="H6639">
        <f t="shared" si="198"/>
        <v>54.65</v>
      </c>
    </row>
    <row r="6640" spans="1:8" ht="55.2">
      <c r="A6640" s="502" t="s">
        <v>6680</v>
      </c>
      <c r="B6640" s="504" t="s">
        <v>29959</v>
      </c>
      <c r="C6640" s="502" t="s">
        <v>73</v>
      </c>
      <c r="D6640" s="503" t="s">
        <v>22516</v>
      </c>
      <c r="H6640">
        <f t="shared" si="198"/>
        <v>59.32</v>
      </c>
    </row>
    <row r="6641" spans="1:8" ht="55.2">
      <c r="A6641" s="502" t="s">
        <v>6681</v>
      </c>
      <c r="B6641" s="504" t="s">
        <v>29960</v>
      </c>
      <c r="C6641" s="502" t="s">
        <v>73</v>
      </c>
      <c r="D6641" s="503" t="s">
        <v>33330</v>
      </c>
      <c r="H6641">
        <f t="shared" si="198"/>
        <v>50.1</v>
      </c>
    </row>
    <row r="6642" spans="1:8" ht="55.2">
      <c r="A6642" s="502" t="s">
        <v>6682</v>
      </c>
      <c r="B6642" s="504" t="s">
        <v>29961</v>
      </c>
      <c r="C6642" s="502" t="s">
        <v>73</v>
      </c>
      <c r="D6642" s="503" t="s">
        <v>34656</v>
      </c>
      <c r="H6642">
        <f t="shared" si="198"/>
        <v>54.78</v>
      </c>
    </row>
    <row r="6643" spans="1:8" ht="55.2">
      <c r="A6643" s="502" t="s">
        <v>6683</v>
      </c>
      <c r="B6643" s="504" t="s">
        <v>29962</v>
      </c>
      <c r="C6643" s="502" t="s">
        <v>73</v>
      </c>
      <c r="D6643" s="503" t="s">
        <v>22578</v>
      </c>
      <c r="H6643">
        <f t="shared" si="198"/>
        <v>48.25</v>
      </c>
    </row>
    <row r="6644" spans="1:8" ht="55.2">
      <c r="A6644" s="502" t="s">
        <v>6684</v>
      </c>
      <c r="B6644" s="504" t="s">
        <v>29963</v>
      </c>
      <c r="C6644" s="502" t="s">
        <v>73</v>
      </c>
      <c r="D6644" s="503" t="s">
        <v>34657</v>
      </c>
      <c r="H6644">
        <f t="shared" si="198"/>
        <v>52.93</v>
      </c>
    </row>
    <row r="6645" spans="1:8" ht="55.2">
      <c r="A6645" s="502" t="s">
        <v>6685</v>
      </c>
      <c r="B6645" s="504" t="s">
        <v>29964</v>
      </c>
      <c r="C6645" s="502" t="s">
        <v>73</v>
      </c>
      <c r="D6645" s="503" t="s">
        <v>30309</v>
      </c>
      <c r="H6645">
        <f t="shared" si="198"/>
        <v>44.44</v>
      </c>
    </row>
    <row r="6646" spans="1:8" ht="55.2">
      <c r="A6646" s="502" t="s">
        <v>6686</v>
      </c>
      <c r="B6646" s="504" t="s">
        <v>29965</v>
      </c>
      <c r="C6646" s="502" t="s">
        <v>73</v>
      </c>
      <c r="D6646" s="503" t="s">
        <v>34658</v>
      </c>
      <c r="H6646">
        <f t="shared" si="198"/>
        <v>49.12</v>
      </c>
    </row>
    <row r="6647" spans="1:8" ht="55.2">
      <c r="A6647" s="502" t="s">
        <v>6687</v>
      </c>
      <c r="B6647" s="504" t="s">
        <v>29966</v>
      </c>
      <c r="C6647" s="502" t="s">
        <v>73</v>
      </c>
      <c r="D6647" s="503" t="s">
        <v>31023</v>
      </c>
      <c r="H6647">
        <f t="shared" si="198"/>
        <v>83.73</v>
      </c>
    </row>
    <row r="6648" spans="1:8" ht="55.2">
      <c r="A6648" s="502" t="s">
        <v>6688</v>
      </c>
      <c r="B6648" s="504" t="s">
        <v>29968</v>
      </c>
      <c r="C6648" s="502" t="s">
        <v>73</v>
      </c>
      <c r="D6648" s="503" t="s">
        <v>4669</v>
      </c>
      <c r="H6648">
        <f t="shared" si="198"/>
        <v>32.46</v>
      </c>
    </row>
    <row r="6649" spans="1:8" ht="55.2">
      <c r="A6649" s="502" t="s">
        <v>6689</v>
      </c>
      <c r="B6649" s="504" t="s">
        <v>29969</v>
      </c>
      <c r="C6649" s="502" t="s">
        <v>73</v>
      </c>
      <c r="D6649" s="503" t="s">
        <v>19992</v>
      </c>
      <c r="H6649">
        <f t="shared" si="198"/>
        <v>40.96</v>
      </c>
    </row>
    <row r="6650" spans="1:8" ht="55.2">
      <c r="A6650" s="502" t="s">
        <v>6691</v>
      </c>
      <c r="B6650" s="504" t="s">
        <v>29970</v>
      </c>
      <c r="C6650" s="502" t="s">
        <v>73</v>
      </c>
      <c r="D6650" s="503" t="s">
        <v>34659</v>
      </c>
      <c r="H6650">
        <f t="shared" si="198"/>
        <v>43.95</v>
      </c>
    </row>
    <row r="6651" spans="1:8" ht="55.2">
      <c r="A6651" s="502" t="s">
        <v>6692</v>
      </c>
      <c r="B6651" s="504" t="s">
        <v>29971</v>
      </c>
      <c r="C6651" s="502" t="s">
        <v>73</v>
      </c>
      <c r="D6651" s="503" t="s">
        <v>28834</v>
      </c>
      <c r="H6651">
        <f t="shared" si="198"/>
        <v>36.42</v>
      </c>
    </row>
    <row r="6652" spans="1:8" ht="55.2">
      <c r="A6652" s="502" t="s">
        <v>6693</v>
      </c>
      <c r="B6652" s="504" t="s">
        <v>29972</v>
      </c>
      <c r="C6652" s="502" t="s">
        <v>73</v>
      </c>
      <c r="D6652" s="503" t="s">
        <v>18745</v>
      </c>
      <c r="H6652">
        <f t="shared" si="198"/>
        <v>39.4</v>
      </c>
    </row>
    <row r="6653" spans="1:8" ht="55.2">
      <c r="A6653" s="502" t="s">
        <v>6694</v>
      </c>
      <c r="B6653" s="504" t="s">
        <v>29974</v>
      </c>
      <c r="C6653" s="502" t="s">
        <v>73</v>
      </c>
      <c r="D6653" s="503" t="s">
        <v>34660</v>
      </c>
      <c r="H6653">
        <f t="shared" si="198"/>
        <v>34.58</v>
      </c>
    </row>
    <row r="6654" spans="1:8" ht="55.2">
      <c r="A6654" s="502" t="s">
        <v>6695</v>
      </c>
      <c r="B6654" s="504" t="s">
        <v>29975</v>
      </c>
      <c r="C6654" s="502" t="s">
        <v>73</v>
      </c>
      <c r="D6654" s="503" t="s">
        <v>27979</v>
      </c>
      <c r="H6654">
        <f t="shared" si="198"/>
        <v>37.56</v>
      </c>
    </row>
    <row r="6655" spans="1:8" ht="55.2">
      <c r="A6655" s="502" t="s">
        <v>6696</v>
      </c>
      <c r="B6655" s="504" t="s">
        <v>29976</v>
      </c>
      <c r="C6655" s="502" t="s">
        <v>73</v>
      </c>
      <c r="D6655" s="503" t="s">
        <v>9886</v>
      </c>
      <c r="H6655">
        <f t="shared" si="198"/>
        <v>30.75</v>
      </c>
    </row>
    <row r="6656" spans="1:8" ht="55.2">
      <c r="A6656" s="502" t="s">
        <v>6697</v>
      </c>
      <c r="B6656" s="504" t="s">
        <v>29977</v>
      </c>
      <c r="C6656" s="502" t="s">
        <v>73</v>
      </c>
      <c r="D6656" s="503" t="s">
        <v>9590</v>
      </c>
      <c r="H6656">
        <f t="shared" si="198"/>
        <v>33.74</v>
      </c>
    </row>
    <row r="6657" spans="1:8" ht="55.2">
      <c r="A6657" s="502" t="s">
        <v>6698</v>
      </c>
      <c r="B6657" s="504" t="s">
        <v>29978</v>
      </c>
      <c r="C6657" s="502" t="s">
        <v>73</v>
      </c>
      <c r="D6657" s="503" t="s">
        <v>33147</v>
      </c>
      <c r="H6657">
        <f t="shared" si="198"/>
        <v>55.62</v>
      </c>
    </row>
    <row r="6658" spans="1:8" ht="55.2">
      <c r="A6658" s="502" t="s">
        <v>6699</v>
      </c>
      <c r="B6658" s="504" t="s">
        <v>29979</v>
      </c>
      <c r="C6658" s="502" t="s">
        <v>73</v>
      </c>
      <c r="D6658" s="503" t="s">
        <v>31342</v>
      </c>
      <c r="H6658">
        <f t="shared" si="198"/>
        <v>54.79</v>
      </c>
    </row>
    <row r="6659" spans="1:8" ht="55.2">
      <c r="A6659" s="502" t="s">
        <v>6700</v>
      </c>
      <c r="B6659" s="504" t="s">
        <v>26687</v>
      </c>
      <c r="C6659" s="502" t="s">
        <v>73</v>
      </c>
      <c r="D6659" s="503" t="s">
        <v>33105</v>
      </c>
      <c r="H6659">
        <f t="shared" si="198"/>
        <v>76.87</v>
      </c>
    </row>
    <row r="6660" spans="1:8" ht="55.2">
      <c r="A6660" s="502" t="s">
        <v>6701</v>
      </c>
      <c r="B6660" s="504" t="s">
        <v>26688</v>
      </c>
      <c r="C6660" s="502" t="s">
        <v>73</v>
      </c>
      <c r="D6660" s="503" t="s">
        <v>12844</v>
      </c>
      <c r="H6660">
        <f t="shared" si="198"/>
        <v>81.709999999999994</v>
      </c>
    </row>
    <row r="6661" spans="1:8" ht="69">
      <c r="A6661" s="502" t="s">
        <v>6702</v>
      </c>
      <c r="B6661" s="504" t="s">
        <v>26689</v>
      </c>
      <c r="C6661" s="502" t="s">
        <v>73</v>
      </c>
      <c r="D6661" s="503" t="s">
        <v>34661</v>
      </c>
      <c r="H6661">
        <f t="shared" ref="H6661:H6724" si="199">ROUND(D6661*(1+$H$1),2)</f>
        <v>116.71</v>
      </c>
    </row>
    <row r="6662" spans="1:8" ht="55.2">
      <c r="A6662" s="502" t="s">
        <v>6703</v>
      </c>
      <c r="B6662" s="504" t="s">
        <v>26690</v>
      </c>
      <c r="C6662" s="502" t="s">
        <v>73</v>
      </c>
      <c r="D6662" s="503" t="s">
        <v>34662</v>
      </c>
      <c r="H6662">
        <f t="shared" si="199"/>
        <v>98.9</v>
      </c>
    </row>
    <row r="6663" spans="1:8" ht="55.2">
      <c r="A6663" s="502" t="s">
        <v>6704</v>
      </c>
      <c r="B6663" s="504" t="s">
        <v>26691</v>
      </c>
      <c r="C6663" s="502" t="s">
        <v>73</v>
      </c>
      <c r="D6663" s="503" t="s">
        <v>34075</v>
      </c>
      <c r="H6663">
        <f t="shared" si="199"/>
        <v>105.39</v>
      </c>
    </row>
    <row r="6664" spans="1:8" ht="69">
      <c r="A6664" s="502" t="s">
        <v>6705</v>
      </c>
      <c r="B6664" s="504" t="s">
        <v>26692</v>
      </c>
      <c r="C6664" s="502" t="s">
        <v>73</v>
      </c>
      <c r="D6664" s="503" t="s">
        <v>31824</v>
      </c>
      <c r="H6664">
        <f t="shared" si="199"/>
        <v>152.69999999999999</v>
      </c>
    </row>
    <row r="6665" spans="1:8" ht="55.2">
      <c r="A6665" s="502" t="s">
        <v>6706</v>
      </c>
      <c r="B6665" s="504" t="s">
        <v>26693</v>
      </c>
      <c r="C6665" s="502" t="s">
        <v>73</v>
      </c>
      <c r="D6665" s="503" t="s">
        <v>34663</v>
      </c>
      <c r="H6665">
        <f t="shared" si="199"/>
        <v>106.97</v>
      </c>
    </row>
    <row r="6666" spans="1:8" ht="55.2">
      <c r="A6666" s="502" t="s">
        <v>6707</v>
      </c>
      <c r="B6666" s="504" t="s">
        <v>26694</v>
      </c>
      <c r="C6666" s="502" t="s">
        <v>73</v>
      </c>
      <c r="D6666" s="503" t="s">
        <v>34664</v>
      </c>
      <c r="H6666">
        <f t="shared" si="199"/>
        <v>115.1</v>
      </c>
    </row>
    <row r="6667" spans="1:8" ht="69">
      <c r="A6667" s="502" t="s">
        <v>6708</v>
      </c>
      <c r="B6667" s="504" t="s">
        <v>26695</v>
      </c>
      <c r="C6667" s="502" t="s">
        <v>73</v>
      </c>
      <c r="D6667" s="503" t="s">
        <v>33074</v>
      </c>
      <c r="H6667">
        <f t="shared" si="199"/>
        <v>175.9</v>
      </c>
    </row>
    <row r="6668" spans="1:8" ht="55.2">
      <c r="A6668" s="502" t="s">
        <v>6709</v>
      </c>
      <c r="B6668" s="504" t="s">
        <v>26696</v>
      </c>
      <c r="C6668" s="502" t="s">
        <v>73</v>
      </c>
      <c r="D6668" s="503" t="s">
        <v>34665</v>
      </c>
      <c r="H6668">
        <f t="shared" si="199"/>
        <v>126.83</v>
      </c>
    </row>
    <row r="6669" spans="1:8" ht="69">
      <c r="A6669" s="502" t="s">
        <v>6710</v>
      </c>
      <c r="B6669" s="504" t="s">
        <v>26697</v>
      </c>
      <c r="C6669" s="502" t="s">
        <v>73</v>
      </c>
      <c r="D6669" s="503" t="s">
        <v>34666</v>
      </c>
      <c r="H6669">
        <f t="shared" si="199"/>
        <v>193.93</v>
      </c>
    </row>
    <row r="6670" spans="1:8" ht="55.2">
      <c r="A6670" s="502" t="s">
        <v>6711</v>
      </c>
      <c r="B6670" s="504" t="s">
        <v>26698</v>
      </c>
      <c r="C6670" s="502" t="s">
        <v>73</v>
      </c>
      <c r="D6670" s="503" t="s">
        <v>34667</v>
      </c>
      <c r="H6670">
        <f t="shared" si="199"/>
        <v>55.94</v>
      </c>
    </row>
    <row r="6671" spans="1:8" ht="55.2">
      <c r="A6671" s="502" t="s">
        <v>6712</v>
      </c>
      <c r="B6671" s="504" t="s">
        <v>26699</v>
      </c>
      <c r="C6671" s="502" t="s">
        <v>73</v>
      </c>
      <c r="D6671" s="503" t="s">
        <v>10715</v>
      </c>
      <c r="H6671">
        <f t="shared" si="199"/>
        <v>60.46</v>
      </c>
    </row>
    <row r="6672" spans="1:8" ht="69">
      <c r="A6672" s="502" t="s">
        <v>6713</v>
      </c>
      <c r="B6672" s="504" t="s">
        <v>26700</v>
      </c>
      <c r="C6672" s="502" t="s">
        <v>73</v>
      </c>
      <c r="D6672" s="503" t="s">
        <v>34668</v>
      </c>
      <c r="H6672">
        <f t="shared" si="199"/>
        <v>94.65</v>
      </c>
    </row>
    <row r="6673" spans="1:8" ht="55.2">
      <c r="A6673" s="502" t="s">
        <v>6714</v>
      </c>
      <c r="B6673" s="504" t="s">
        <v>26701</v>
      </c>
      <c r="C6673" s="502" t="s">
        <v>73</v>
      </c>
      <c r="D6673" s="503" t="s">
        <v>23216</v>
      </c>
      <c r="H6673">
        <f t="shared" si="199"/>
        <v>77.510000000000005</v>
      </c>
    </row>
    <row r="6674" spans="1:8" ht="55.2">
      <c r="A6674" s="502" t="s">
        <v>6715</v>
      </c>
      <c r="B6674" s="504" t="s">
        <v>26702</v>
      </c>
      <c r="C6674" s="502" t="s">
        <v>73</v>
      </c>
      <c r="D6674" s="503" t="s">
        <v>21943</v>
      </c>
      <c r="H6674">
        <f t="shared" si="199"/>
        <v>83.56</v>
      </c>
    </row>
    <row r="6675" spans="1:8" ht="69">
      <c r="A6675" s="502" t="s">
        <v>6716</v>
      </c>
      <c r="B6675" s="504" t="s">
        <v>26703</v>
      </c>
      <c r="C6675" s="502" t="s">
        <v>73</v>
      </c>
      <c r="D6675" s="503" t="s">
        <v>34669</v>
      </c>
      <c r="H6675">
        <f t="shared" si="199"/>
        <v>129.04</v>
      </c>
    </row>
    <row r="6676" spans="1:8" ht="55.2">
      <c r="A6676" s="502" t="s">
        <v>6717</v>
      </c>
      <c r="B6676" s="504" t="s">
        <v>26704</v>
      </c>
      <c r="C6676" s="502" t="s">
        <v>73</v>
      </c>
      <c r="D6676" s="503" t="s">
        <v>34670</v>
      </c>
      <c r="H6676">
        <f t="shared" si="199"/>
        <v>85.05</v>
      </c>
    </row>
    <row r="6677" spans="1:8" ht="55.2">
      <c r="A6677" s="502" t="s">
        <v>6718</v>
      </c>
      <c r="B6677" s="504" t="s">
        <v>26705</v>
      </c>
      <c r="C6677" s="502" t="s">
        <v>73</v>
      </c>
      <c r="D6677" s="503" t="s">
        <v>34671</v>
      </c>
      <c r="H6677">
        <f t="shared" si="199"/>
        <v>92.65</v>
      </c>
    </row>
    <row r="6678" spans="1:8" ht="69">
      <c r="A6678" s="502" t="s">
        <v>6719</v>
      </c>
      <c r="B6678" s="504" t="s">
        <v>26706</v>
      </c>
      <c r="C6678" s="502" t="s">
        <v>73</v>
      </c>
      <c r="D6678" s="503" t="s">
        <v>34672</v>
      </c>
      <c r="H6678">
        <f t="shared" si="199"/>
        <v>150.72</v>
      </c>
    </row>
    <row r="6679" spans="1:8" ht="69">
      <c r="A6679" s="502" t="s">
        <v>6720</v>
      </c>
      <c r="B6679" s="504" t="s">
        <v>26707</v>
      </c>
      <c r="C6679" s="502" t="s">
        <v>73</v>
      </c>
      <c r="D6679" s="503" t="s">
        <v>30520</v>
      </c>
      <c r="H6679">
        <f t="shared" si="199"/>
        <v>92.86</v>
      </c>
    </row>
    <row r="6680" spans="1:8" ht="55.2">
      <c r="A6680" s="502" t="s">
        <v>6721</v>
      </c>
      <c r="B6680" s="504" t="s">
        <v>26708</v>
      </c>
      <c r="C6680" s="502" t="s">
        <v>73</v>
      </c>
      <c r="D6680" s="503" t="s">
        <v>34673</v>
      </c>
      <c r="H6680">
        <f t="shared" si="199"/>
        <v>101.22</v>
      </c>
    </row>
    <row r="6681" spans="1:8" ht="69">
      <c r="A6681" s="502" t="s">
        <v>6722</v>
      </c>
      <c r="B6681" s="504" t="s">
        <v>26709</v>
      </c>
      <c r="C6681" s="502" t="s">
        <v>73</v>
      </c>
      <c r="D6681" s="503" t="s">
        <v>34674</v>
      </c>
      <c r="H6681">
        <f t="shared" si="199"/>
        <v>160.53</v>
      </c>
    </row>
    <row r="6682" spans="1:8" ht="69">
      <c r="A6682" s="502" t="s">
        <v>6723</v>
      </c>
      <c r="B6682" s="504" t="s">
        <v>26710</v>
      </c>
      <c r="C6682" s="502" t="s">
        <v>73</v>
      </c>
      <c r="D6682" s="503" t="s">
        <v>27905</v>
      </c>
      <c r="H6682">
        <f t="shared" si="199"/>
        <v>111.36</v>
      </c>
    </row>
    <row r="6683" spans="1:8" ht="69">
      <c r="A6683" s="502" t="s">
        <v>6724</v>
      </c>
      <c r="B6683" s="504" t="s">
        <v>26711</v>
      </c>
      <c r="C6683" s="502" t="s">
        <v>73</v>
      </c>
      <c r="D6683" s="503" t="s">
        <v>34675</v>
      </c>
      <c r="H6683">
        <f t="shared" si="199"/>
        <v>115.87</v>
      </c>
    </row>
    <row r="6684" spans="1:8" ht="69">
      <c r="A6684" s="502" t="s">
        <v>6725</v>
      </c>
      <c r="B6684" s="504" t="s">
        <v>26712</v>
      </c>
      <c r="C6684" s="502" t="s">
        <v>73</v>
      </c>
      <c r="D6684" s="503" t="s">
        <v>34676</v>
      </c>
      <c r="H6684">
        <f t="shared" si="199"/>
        <v>144.66</v>
      </c>
    </row>
    <row r="6685" spans="1:8" ht="69">
      <c r="A6685" s="502" t="s">
        <v>6726</v>
      </c>
      <c r="B6685" s="504" t="s">
        <v>26713</v>
      </c>
      <c r="C6685" s="502" t="s">
        <v>73</v>
      </c>
      <c r="D6685" s="503" t="s">
        <v>32856</v>
      </c>
      <c r="H6685">
        <f t="shared" si="199"/>
        <v>132.94</v>
      </c>
    </row>
    <row r="6686" spans="1:8" ht="69">
      <c r="A6686" s="502" t="s">
        <v>6727</v>
      </c>
      <c r="B6686" s="504" t="s">
        <v>26714</v>
      </c>
      <c r="C6686" s="502" t="s">
        <v>73</v>
      </c>
      <c r="D6686" s="503" t="s">
        <v>34677</v>
      </c>
      <c r="H6686">
        <f t="shared" si="199"/>
        <v>138.99</v>
      </c>
    </row>
    <row r="6687" spans="1:8" ht="69">
      <c r="A6687" s="502" t="s">
        <v>6728</v>
      </c>
      <c r="B6687" s="504" t="s">
        <v>26715</v>
      </c>
      <c r="C6687" s="502" t="s">
        <v>73</v>
      </c>
      <c r="D6687" s="503" t="s">
        <v>34678</v>
      </c>
      <c r="H6687">
        <f t="shared" si="199"/>
        <v>179.11</v>
      </c>
    </row>
    <row r="6688" spans="1:8" ht="69">
      <c r="A6688" s="502" t="s">
        <v>6729</v>
      </c>
      <c r="B6688" s="504" t="s">
        <v>26716</v>
      </c>
      <c r="C6688" s="502" t="s">
        <v>73</v>
      </c>
      <c r="D6688" s="503" t="s">
        <v>34679</v>
      </c>
      <c r="H6688">
        <f t="shared" si="199"/>
        <v>140.49</v>
      </c>
    </row>
    <row r="6689" spans="1:8" ht="69">
      <c r="A6689" s="502" t="s">
        <v>6730</v>
      </c>
      <c r="B6689" s="504" t="s">
        <v>26717</v>
      </c>
      <c r="C6689" s="502" t="s">
        <v>73</v>
      </c>
      <c r="D6689" s="503" t="s">
        <v>30706</v>
      </c>
      <c r="H6689">
        <f t="shared" si="199"/>
        <v>148.08000000000001</v>
      </c>
    </row>
    <row r="6690" spans="1:8" ht="69">
      <c r="A6690" s="502" t="s">
        <v>6731</v>
      </c>
      <c r="B6690" s="504" t="s">
        <v>26718</v>
      </c>
      <c r="C6690" s="502" t="s">
        <v>73</v>
      </c>
      <c r="D6690" s="503" t="s">
        <v>34680</v>
      </c>
      <c r="H6690">
        <f t="shared" si="199"/>
        <v>200.79</v>
      </c>
    </row>
    <row r="6691" spans="1:8" ht="69">
      <c r="A6691" s="502" t="s">
        <v>6732</v>
      </c>
      <c r="B6691" s="504" t="s">
        <v>26719</v>
      </c>
      <c r="C6691" s="502" t="s">
        <v>73</v>
      </c>
      <c r="D6691" s="503" t="s">
        <v>34681</v>
      </c>
      <c r="H6691">
        <f t="shared" si="199"/>
        <v>183.67</v>
      </c>
    </row>
    <row r="6692" spans="1:8" ht="69">
      <c r="A6692" s="502" t="s">
        <v>6733</v>
      </c>
      <c r="B6692" s="504" t="s">
        <v>29983</v>
      </c>
      <c r="C6692" s="502" t="s">
        <v>73</v>
      </c>
      <c r="D6692" s="503" t="s">
        <v>34682</v>
      </c>
      <c r="H6692">
        <f t="shared" si="199"/>
        <v>192.03</v>
      </c>
    </row>
    <row r="6693" spans="1:8" ht="69">
      <c r="A6693" s="502" t="s">
        <v>6734</v>
      </c>
      <c r="B6693" s="504" t="s">
        <v>26720</v>
      </c>
      <c r="C6693" s="502" t="s">
        <v>73</v>
      </c>
      <c r="D6693" s="503" t="s">
        <v>34683</v>
      </c>
      <c r="H6693">
        <f t="shared" si="199"/>
        <v>233.51</v>
      </c>
    </row>
    <row r="6694" spans="1:8" ht="69">
      <c r="A6694" s="502" t="s">
        <v>6735</v>
      </c>
      <c r="B6694" s="504" t="s">
        <v>26721</v>
      </c>
      <c r="C6694" s="502" t="s">
        <v>73</v>
      </c>
      <c r="D6694" s="503" t="s">
        <v>34684</v>
      </c>
      <c r="H6694">
        <f t="shared" si="199"/>
        <v>103.2</v>
      </c>
    </row>
    <row r="6695" spans="1:8" ht="69">
      <c r="A6695" s="502" t="s">
        <v>6736</v>
      </c>
      <c r="B6695" s="504" t="s">
        <v>26722</v>
      </c>
      <c r="C6695" s="502" t="s">
        <v>73</v>
      </c>
      <c r="D6695" s="503" t="s">
        <v>32902</v>
      </c>
      <c r="H6695">
        <f t="shared" si="199"/>
        <v>108.73</v>
      </c>
    </row>
    <row r="6696" spans="1:8" ht="69">
      <c r="A6696" s="502" t="s">
        <v>6737</v>
      </c>
      <c r="B6696" s="504" t="s">
        <v>26723</v>
      </c>
      <c r="C6696" s="502" t="s">
        <v>73</v>
      </c>
      <c r="D6696" s="503" t="s">
        <v>32877</v>
      </c>
      <c r="H6696">
        <f t="shared" si="199"/>
        <v>147.13</v>
      </c>
    </row>
    <row r="6697" spans="1:8" ht="69">
      <c r="A6697" s="502" t="s">
        <v>6738</v>
      </c>
      <c r="B6697" s="504" t="s">
        <v>26724</v>
      </c>
      <c r="C6697" s="502" t="s">
        <v>73</v>
      </c>
      <c r="D6697" s="503" t="s">
        <v>34685</v>
      </c>
      <c r="H6697">
        <f t="shared" si="199"/>
        <v>124.38</v>
      </c>
    </row>
    <row r="6698" spans="1:8" ht="69">
      <c r="A6698" s="502" t="s">
        <v>6739</v>
      </c>
      <c r="B6698" s="504" t="s">
        <v>26725</v>
      </c>
      <c r="C6698" s="502" t="s">
        <v>73</v>
      </c>
      <c r="D6698" s="503" t="s">
        <v>30705</v>
      </c>
      <c r="H6698">
        <f t="shared" si="199"/>
        <v>131.78</v>
      </c>
    </row>
    <row r="6699" spans="1:8" ht="69">
      <c r="A6699" s="502" t="s">
        <v>6740</v>
      </c>
      <c r="B6699" s="504" t="s">
        <v>26726</v>
      </c>
      <c r="C6699" s="502" t="s">
        <v>73</v>
      </c>
      <c r="D6699" s="503" t="s">
        <v>34686</v>
      </c>
      <c r="H6699">
        <f t="shared" si="199"/>
        <v>184.46</v>
      </c>
    </row>
    <row r="6700" spans="1:8" ht="41.4">
      <c r="A6700" s="502" t="s">
        <v>6741</v>
      </c>
      <c r="B6700" s="504" t="s">
        <v>29985</v>
      </c>
      <c r="C6700" s="502" t="s">
        <v>73</v>
      </c>
      <c r="D6700" s="503" t="s">
        <v>34687</v>
      </c>
      <c r="H6700">
        <f t="shared" si="199"/>
        <v>243.78</v>
      </c>
    </row>
    <row r="6701" spans="1:8" ht="41.4">
      <c r="A6701" s="502" t="s">
        <v>6742</v>
      </c>
      <c r="B6701" s="504" t="s">
        <v>29986</v>
      </c>
      <c r="C6701" s="502" t="s">
        <v>73</v>
      </c>
      <c r="D6701" s="503" t="s">
        <v>34688</v>
      </c>
      <c r="H6701">
        <f t="shared" si="199"/>
        <v>176.36</v>
      </c>
    </row>
    <row r="6702" spans="1:8" ht="55.2">
      <c r="A6702" s="502" t="s">
        <v>6743</v>
      </c>
      <c r="B6702" s="504" t="s">
        <v>29987</v>
      </c>
      <c r="C6702" s="502" t="s">
        <v>73</v>
      </c>
      <c r="D6702" s="503" t="s">
        <v>34689</v>
      </c>
      <c r="H6702">
        <f t="shared" si="199"/>
        <v>235.08</v>
      </c>
    </row>
    <row r="6703" spans="1:8" ht="55.2">
      <c r="A6703" s="502" t="s">
        <v>6744</v>
      </c>
      <c r="B6703" s="504" t="s">
        <v>29988</v>
      </c>
      <c r="C6703" s="502" t="s">
        <v>73</v>
      </c>
      <c r="D6703" s="503" t="s">
        <v>34690</v>
      </c>
      <c r="H6703">
        <f t="shared" si="199"/>
        <v>167.99</v>
      </c>
    </row>
    <row r="6704" spans="1:8" ht="41.4">
      <c r="A6704" s="502" t="s">
        <v>6745</v>
      </c>
      <c r="B6704" s="504" t="s">
        <v>29989</v>
      </c>
      <c r="C6704" s="502" t="s">
        <v>73</v>
      </c>
      <c r="D6704" s="503" t="s">
        <v>34691</v>
      </c>
      <c r="H6704">
        <f t="shared" si="199"/>
        <v>264.62</v>
      </c>
    </row>
    <row r="6705" spans="1:8" ht="41.4">
      <c r="A6705" s="502" t="s">
        <v>6746</v>
      </c>
      <c r="B6705" s="504" t="s">
        <v>29990</v>
      </c>
      <c r="C6705" s="502" t="s">
        <v>73</v>
      </c>
      <c r="D6705" s="503" t="s">
        <v>34692</v>
      </c>
      <c r="H6705">
        <f t="shared" si="199"/>
        <v>197.18</v>
      </c>
    </row>
    <row r="6706" spans="1:8" ht="55.2">
      <c r="A6706" s="502" t="s">
        <v>6747</v>
      </c>
      <c r="B6706" s="504" t="s">
        <v>29991</v>
      </c>
      <c r="C6706" s="502" t="s">
        <v>73</v>
      </c>
      <c r="D6706" s="503" t="s">
        <v>34693</v>
      </c>
      <c r="H6706">
        <f t="shared" si="199"/>
        <v>255.27</v>
      </c>
    </row>
    <row r="6707" spans="1:8" ht="55.2">
      <c r="A6707" s="502" t="s">
        <v>6748</v>
      </c>
      <c r="B6707" s="504" t="s">
        <v>29993</v>
      </c>
      <c r="C6707" s="502" t="s">
        <v>73</v>
      </c>
      <c r="D6707" s="503" t="s">
        <v>34694</v>
      </c>
      <c r="H6707">
        <f t="shared" si="199"/>
        <v>188.19</v>
      </c>
    </row>
    <row r="6708" spans="1:8" ht="41.4">
      <c r="A6708" s="502" t="s">
        <v>6749</v>
      </c>
      <c r="B6708" s="504" t="s">
        <v>29994</v>
      </c>
      <c r="C6708" s="502" t="s">
        <v>73</v>
      </c>
      <c r="D6708" s="503" t="s">
        <v>34695</v>
      </c>
      <c r="H6708">
        <f t="shared" si="199"/>
        <v>60.18</v>
      </c>
    </row>
    <row r="6709" spans="1:8" ht="41.4">
      <c r="A6709" s="502" t="s">
        <v>6750</v>
      </c>
      <c r="B6709" s="504" t="s">
        <v>29995</v>
      </c>
      <c r="C6709" s="502" t="s">
        <v>73</v>
      </c>
      <c r="D6709" s="503" t="s">
        <v>16219</v>
      </c>
      <c r="H6709">
        <f t="shared" si="199"/>
        <v>45.25</v>
      </c>
    </row>
    <row r="6710" spans="1:8" ht="69">
      <c r="A6710" s="502" t="s">
        <v>26727</v>
      </c>
      <c r="B6710" s="504" t="s">
        <v>26728</v>
      </c>
      <c r="C6710" s="502" t="s">
        <v>73</v>
      </c>
      <c r="D6710" s="503" t="s">
        <v>16451</v>
      </c>
      <c r="H6710">
        <f t="shared" si="199"/>
        <v>82.02</v>
      </c>
    </row>
    <row r="6711" spans="1:8" ht="69">
      <c r="A6711" s="502" t="s">
        <v>26729</v>
      </c>
      <c r="B6711" s="504" t="s">
        <v>26730</v>
      </c>
      <c r="C6711" s="502" t="s">
        <v>73</v>
      </c>
      <c r="D6711" s="503" t="s">
        <v>34696</v>
      </c>
      <c r="H6711">
        <f t="shared" si="199"/>
        <v>105.88</v>
      </c>
    </row>
    <row r="6712" spans="1:8" ht="69">
      <c r="A6712" s="502" t="s">
        <v>26731</v>
      </c>
      <c r="B6712" s="504" t="s">
        <v>26732</v>
      </c>
      <c r="C6712" s="502" t="s">
        <v>73</v>
      </c>
      <c r="D6712" s="503" t="s">
        <v>13404</v>
      </c>
      <c r="H6712">
        <f t="shared" si="199"/>
        <v>114.87</v>
      </c>
    </row>
    <row r="6713" spans="1:8" ht="69">
      <c r="A6713" s="502" t="s">
        <v>26733</v>
      </c>
      <c r="B6713" s="504" t="s">
        <v>26734</v>
      </c>
      <c r="C6713" s="502" t="s">
        <v>73</v>
      </c>
      <c r="D6713" s="503" t="s">
        <v>34697</v>
      </c>
      <c r="H6713">
        <f t="shared" si="199"/>
        <v>126.93</v>
      </c>
    </row>
    <row r="6714" spans="1:8" ht="69">
      <c r="A6714" s="502" t="s">
        <v>26735</v>
      </c>
      <c r="B6714" s="504" t="s">
        <v>26736</v>
      </c>
      <c r="C6714" s="502" t="s">
        <v>73</v>
      </c>
      <c r="D6714" s="503" t="s">
        <v>15161</v>
      </c>
      <c r="H6714">
        <f t="shared" si="199"/>
        <v>59.96</v>
      </c>
    </row>
    <row r="6715" spans="1:8" ht="69">
      <c r="A6715" s="502" t="s">
        <v>26737</v>
      </c>
      <c r="B6715" s="504" t="s">
        <v>26738</v>
      </c>
      <c r="C6715" s="502" t="s">
        <v>73</v>
      </c>
      <c r="D6715" s="503" t="s">
        <v>34698</v>
      </c>
      <c r="H6715">
        <f t="shared" si="199"/>
        <v>83.23</v>
      </c>
    </row>
    <row r="6716" spans="1:8" ht="69">
      <c r="A6716" s="502" t="s">
        <v>26739</v>
      </c>
      <c r="B6716" s="504" t="s">
        <v>26740</v>
      </c>
      <c r="C6716" s="502" t="s">
        <v>73</v>
      </c>
      <c r="D6716" s="503" t="s">
        <v>34699</v>
      </c>
      <c r="H6716">
        <f t="shared" si="199"/>
        <v>91.69</v>
      </c>
    </row>
    <row r="6717" spans="1:8" ht="69">
      <c r="A6717" s="502" t="s">
        <v>26741</v>
      </c>
      <c r="B6717" s="504" t="s">
        <v>26742</v>
      </c>
      <c r="C6717" s="502" t="s">
        <v>73</v>
      </c>
      <c r="D6717" s="503" t="s">
        <v>34700</v>
      </c>
      <c r="H6717">
        <f t="shared" si="199"/>
        <v>94.7</v>
      </c>
    </row>
    <row r="6718" spans="1:8" ht="69">
      <c r="A6718" s="502" t="s">
        <v>26743</v>
      </c>
      <c r="B6718" s="504" t="s">
        <v>26744</v>
      </c>
      <c r="C6718" s="502" t="s">
        <v>73</v>
      </c>
      <c r="D6718" s="503" t="s">
        <v>22876</v>
      </c>
      <c r="H6718">
        <f t="shared" si="199"/>
        <v>118.79</v>
      </c>
    </row>
    <row r="6719" spans="1:8" ht="69">
      <c r="A6719" s="502" t="s">
        <v>26745</v>
      </c>
      <c r="B6719" s="504" t="s">
        <v>26746</v>
      </c>
      <c r="C6719" s="502" t="s">
        <v>73</v>
      </c>
      <c r="D6719" s="503" t="s">
        <v>28140</v>
      </c>
      <c r="H6719">
        <f t="shared" si="199"/>
        <v>142.15</v>
      </c>
    </row>
    <row r="6720" spans="1:8" ht="69">
      <c r="A6720" s="502" t="s">
        <v>26747</v>
      </c>
      <c r="B6720" s="504" t="s">
        <v>26748</v>
      </c>
      <c r="C6720" s="502" t="s">
        <v>73</v>
      </c>
      <c r="D6720" s="503" t="s">
        <v>34701</v>
      </c>
      <c r="H6720">
        <f t="shared" si="199"/>
        <v>150.6</v>
      </c>
    </row>
    <row r="6721" spans="1:8" ht="69">
      <c r="A6721" s="502" t="s">
        <v>26749</v>
      </c>
      <c r="B6721" s="504" t="s">
        <v>26750</v>
      </c>
      <c r="C6721" s="502" t="s">
        <v>73</v>
      </c>
      <c r="D6721" s="503" t="s">
        <v>34702</v>
      </c>
      <c r="H6721">
        <f t="shared" si="199"/>
        <v>180.29</v>
      </c>
    </row>
    <row r="6722" spans="1:8" ht="69">
      <c r="A6722" s="502" t="s">
        <v>26751</v>
      </c>
      <c r="B6722" s="504" t="s">
        <v>26752</v>
      </c>
      <c r="C6722" s="502" t="s">
        <v>73</v>
      </c>
      <c r="D6722" s="503" t="s">
        <v>34703</v>
      </c>
      <c r="H6722">
        <f t="shared" si="199"/>
        <v>110.01</v>
      </c>
    </row>
    <row r="6723" spans="1:8" ht="69">
      <c r="A6723" s="502" t="s">
        <v>26753</v>
      </c>
      <c r="B6723" s="504" t="s">
        <v>26754</v>
      </c>
      <c r="C6723" s="502" t="s">
        <v>73</v>
      </c>
      <c r="D6723" s="503" t="s">
        <v>34704</v>
      </c>
      <c r="H6723">
        <f t="shared" si="199"/>
        <v>132.78</v>
      </c>
    </row>
    <row r="6724" spans="1:8" ht="69">
      <c r="A6724" s="502" t="s">
        <v>26755</v>
      </c>
      <c r="B6724" s="504" t="s">
        <v>26756</v>
      </c>
      <c r="C6724" s="502" t="s">
        <v>73</v>
      </c>
      <c r="D6724" s="503" t="s">
        <v>34705</v>
      </c>
      <c r="H6724">
        <f t="shared" si="199"/>
        <v>71.14</v>
      </c>
    </row>
    <row r="6725" spans="1:8" ht="55.2">
      <c r="A6725" s="502" t="s">
        <v>26757</v>
      </c>
      <c r="B6725" s="504" t="s">
        <v>26758</v>
      </c>
      <c r="C6725" s="502" t="s">
        <v>73</v>
      </c>
      <c r="D6725" s="503" t="s">
        <v>29824</v>
      </c>
      <c r="H6725">
        <f t="shared" ref="H6725:H6788" si="200">ROUND(D6725*(1+$H$1),2)</f>
        <v>75.98</v>
      </c>
    </row>
    <row r="6726" spans="1:8" ht="69">
      <c r="A6726" s="502" t="s">
        <v>26759</v>
      </c>
      <c r="B6726" s="504" t="s">
        <v>26760</v>
      </c>
      <c r="C6726" s="502" t="s">
        <v>73</v>
      </c>
      <c r="D6726" s="503" t="s">
        <v>28124</v>
      </c>
      <c r="H6726">
        <f t="shared" si="200"/>
        <v>111.58</v>
      </c>
    </row>
    <row r="6727" spans="1:8" ht="69">
      <c r="A6727" s="502" t="s">
        <v>26761</v>
      </c>
      <c r="B6727" s="504" t="s">
        <v>26762</v>
      </c>
      <c r="C6727" s="502" t="s">
        <v>73</v>
      </c>
      <c r="D6727" s="503" t="s">
        <v>34706</v>
      </c>
      <c r="H6727">
        <f t="shared" si="200"/>
        <v>76.05</v>
      </c>
    </row>
    <row r="6728" spans="1:8" ht="69">
      <c r="A6728" s="502" t="s">
        <v>26763</v>
      </c>
      <c r="B6728" s="504" t="s">
        <v>26764</v>
      </c>
      <c r="C6728" s="502" t="s">
        <v>73</v>
      </c>
      <c r="D6728" s="503" t="s">
        <v>20325</v>
      </c>
      <c r="H6728">
        <f t="shared" si="200"/>
        <v>91.56</v>
      </c>
    </row>
    <row r="6729" spans="1:8" ht="55.2">
      <c r="A6729" s="502" t="s">
        <v>26765</v>
      </c>
      <c r="B6729" s="504" t="s">
        <v>26766</v>
      </c>
      <c r="C6729" s="502" t="s">
        <v>73</v>
      </c>
      <c r="D6729" s="503" t="s">
        <v>29981</v>
      </c>
      <c r="H6729">
        <f t="shared" si="200"/>
        <v>98.05</v>
      </c>
    </row>
    <row r="6730" spans="1:8" ht="69">
      <c r="A6730" s="502" t="s">
        <v>26767</v>
      </c>
      <c r="B6730" s="504" t="s">
        <v>26768</v>
      </c>
      <c r="C6730" s="502" t="s">
        <v>73</v>
      </c>
      <c r="D6730" s="503" t="s">
        <v>34707</v>
      </c>
      <c r="H6730">
        <f t="shared" si="200"/>
        <v>146.03</v>
      </c>
    </row>
    <row r="6731" spans="1:8" ht="69">
      <c r="A6731" s="502" t="s">
        <v>26769</v>
      </c>
      <c r="B6731" s="504" t="s">
        <v>26770</v>
      </c>
      <c r="C6731" s="502" t="s">
        <v>73</v>
      </c>
      <c r="D6731" s="503" t="s">
        <v>12239</v>
      </c>
      <c r="H6731">
        <f t="shared" si="200"/>
        <v>98.11</v>
      </c>
    </row>
    <row r="6732" spans="1:8" ht="69">
      <c r="A6732" s="502" t="s">
        <v>26771</v>
      </c>
      <c r="B6732" s="504" t="s">
        <v>26772</v>
      </c>
      <c r="C6732" s="502" t="s">
        <v>73</v>
      </c>
      <c r="D6732" s="503" t="s">
        <v>21385</v>
      </c>
      <c r="H6732">
        <f t="shared" si="200"/>
        <v>99.63</v>
      </c>
    </row>
    <row r="6733" spans="1:8" ht="55.2">
      <c r="A6733" s="502" t="s">
        <v>26773</v>
      </c>
      <c r="B6733" s="504" t="s">
        <v>26774</v>
      </c>
      <c r="C6733" s="502" t="s">
        <v>73</v>
      </c>
      <c r="D6733" s="503" t="s">
        <v>34708</v>
      </c>
      <c r="H6733">
        <f t="shared" si="200"/>
        <v>107.76</v>
      </c>
    </row>
    <row r="6734" spans="1:8" ht="69">
      <c r="A6734" s="502" t="s">
        <v>26775</v>
      </c>
      <c r="B6734" s="504" t="s">
        <v>26776</v>
      </c>
      <c r="C6734" s="502" t="s">
        <v>73</v>
      </c>
      <c r="D6734" s="503" t="s">
        <v>34709</v>
      </c>
      <c r="H6734">
        <f t="shared" si="200"/>
        <v>169.23</v>
      </c>
    </row>
    <row r="6735" spans="1:8" ht="69">
      <c r="A6735" s="502" t="s">
        <v>26777</v>
      </c>
      <c r="B6735" s="504" t="s">
        <v>26778</v>
      </c>
      <c r="C6735" s="502" t="s">
        <v>73</v>
      </c>
      <c r="D6735" s="503" t="s">
        <v>29813</v>
      </c>
      <c r="H6735">
        <f t="shared" si="200"/>
        <v>107.11</v>
      </c>
    </row>
    <row r="6736" spans="1:8" ht="69">
      <c r="A6736" s="502" t="s">
        <v>26779</v>
      </c>
      <c r="B6736" s="504" t="s">
        <v>26780</v>
      </c>
      <c r="C6736" s="502" t="s">
        <v>73</v>
      </c>
      <c r="D6736" s="503" t="s">
        <v>34710</v>
      </c>
      <c r="H6736">
        <f t="shared" si="200"/>
        <v>117.74</v>
      </c>
    </row>
    <row r="6737" spans="1:8" ht="55.2">
      <c r="A6737" s="502" t="s">
        <v>26781</v>
      </c>
      <c r="B6737" s="504" t="s">
        <v>26782</v>
      </c>
      <c r="C6737" s="502" t="s">
        <v>73</v>
      </c>
      <c r="D6737" s="503" t="s">
        <v>34711</v>
      </c>
      <c r="H6737">
        <f t="shared" si="200"/>
        <v>126.69</v>
      </c>
    </row>
    <row r="6738" spans="1:8" ht="15" customHeight="1">
      <c r="A6738" s="502" t="s">
        <v>26783</v>
      </c>
      <c r="B6738" s="504" t="s">
        <v>26784</v>
      </c>
      <c r="C6738" s="502" t="s">
        <v>73</v>
      </c>
      <c r="D6738" s="503" t="s">
        <v>34712</v>
      </c>
      <c r="H6738">
        <f t="shared" si="200"/>
        <v>186.6</v>
      </c>
    </row>
    <row r="6739" spans="1:8" ht="15" customHeight="1">
      <c r="A6739" s="502" t="s">
        <v>26785</v>
      </c>
      <c r="B6739" s="504" t="s">
        <v>26786</v>
      </c>
      <c r="C6739" s="502" t="s">
        <v>73</v>
      </c>
      <c r="D6739" s="503" t="s">
        <v>34713</v>
      </c>
      <c r="H6739">
        <f t="shared" si="200"/>
        <v>118.39</v>
      </c>
    </row>
    <row r="6740" spans="1:8" ht="15" customHeight="1">
      <c r="A6740" s="502" t="s">
        <v>26787</v>
      </c>
      <c r="B6740" s="504" t="s">
        <v>26788</v>
      </c>
      <c r="C6740" s="502" t="s">
        <v>73</v>
      </c>
      <c r="D6740" s="503" t="s">
        <v>28540</v>
      </c>
      <c r="H6740">
        <f t="shared" si="200"/>
        <v>52.55</v>
      </c>
    </row>
    <row r="6741" spans="1:8" ht="15" customHeight="1">
      <c r="A6741" s="502" t="s">
        <v>26789</v>
      </c>
      <c r="B6741" s="504" t="s">
        <v>26790</v>
      </c>
      <c r="C6741" s="502" t="s">
        <v>73</v>
      </c>
      <c r="D6741" s="503" t="s">
        <v>28778</v>
      </c>
      <c r="H6741">
        <f t="shared" si="200"/>
        <v>57.07</v>
      </c>
    </row>
    <row r="6742" spans="1:8" ht="69">
      <c r="A6742" s="502" t="s">
        <v>26791</v>
      </c>
      <c r="B6742" s="504" t="s">
        <v>26792</v>
      </c>
      <c r="C6742" s="502" t="s">
        <v>73</v>
      </c>
      <c r="D6742" s="503" t="s">
        <v>34714</v>
      </c>
      <c r="H6742">
        <f t="shared" si="200"/>
        <v>91.5</v>
      </c>
    </row>
    <row r="6743" spans="1:8" ht="69">
      <c r="A6743" s="502" t="s">
        <v>26793</v>
      </c>
      <c r="B6743" s="504" t="s">
        <v>26794</v>
      </c>
      <c r="C6743" s="502" t="s">
        <v>73</v>
      </c>
      <c r="D6743" s="503" t="s">
        <v>33565</v>
      </c>
      <c r="H6743">
        <f t="shared" si="200"/>
        <v>56.3</v>
      </c>
    </row>
    <row r="6744" spans="1:8" ht="69">
      <c r="A6744" s="502" t="s">
        <v>26795</v>
      </c>
      <c r="B6744" s="504" t="s">
        <v>26796</v>
      </c>
      <c r="C6744" s="502" t="s">
        <v>73</v>
      </c>
      <c r="D6744" s="503" t="s">
        <v>34715</v>
      </c>
      <c r="H6744">
        <f t="shared" si="200"/>
        <v>72.53</v>
      </c>
    </row>
    <row r="6745" spans="1:8" ht="55.2">
      <c r="A6745" s="502" t="s">
        <v>26797</v>
      </c>
      <c r="B6745" s="504" t="s">
        <v>26798</v>
      </c>
      <c r="C6745" s="502" t="s">
        <v>73</v>
      </c>
      <c r="D6745" s="503" t="s">
        <v>33205</v>
      </c>
      <c r="H6745">
        <f t="shared" si="200"/>
        <v>78.58</v>
      </c>
    </row>
    <row r="6746" spans="1:8" ht="69">
      <c r="A6746" s="502" t="s">
        <v>26799</v>
      </c>
      <c r="B6746" s="504" t="s">
        <v>26800</v>
      </c>
      <c r="C6746" s="502" t="s">
        <v>73</v>
      </c>
      <c r="D6746" s="503" t="s">
        <v>34716</v>
      </c>
      <c r="H6746">
        <f t="shared" si="200"/>
        <v>124.48</v>
      </c>
    </row>
    <row r="6747" spans="1:8" ht="69">
      <c r="A6747" s="502" t="s">
        <v>26801</v>
      </c>
      <c r="B6747" s="504" t="s">
        <v>26802</v>
      </c>
      <c r="C6747" s="502" t="s">
        <v>73</v>
      </c>
      <c r="D6747" s="503" t="s">
        <v>10730</v>
      </c>
      <c r="H6747">
        <f t="shared" si="200"/>
        <v>77.92</v>
      </c>
    </row>
    <row r="6748" spans="1:8" ht="69">
      <c r="A6748" s="502" t="s">
        <v>26803</v>
      </c>
      <c r="B6748" s="504" t="s">
        <v>26804</v>
      </c>
      <c r="C6748" s="502" t="s">
        <v>73</v>
      </c>
      <c r="D6748" s="503" t="s">
        <v>30117</v>
      </c>
      <c r="H6748">
        <f t="shared" si="200"/>
        <v>80.069999999999993</v>
      </c>
    </row>
    <row r="6749" spans="1:8" ht="55.2">
      <c r="A6749" s="502" t="s">
        <v>26805</v>
      </c>
      <c r="B6749" s="504" t="s">
        <v>26806</v>
      </c>
      <c r="C6749" s="502" t="s">
        <v>73</v>
      </c>
      <c r="D6749" s="503" t="s">
        <v>31957</v>
      </c>
      <c r="H6749">
        <f t="shared" si="200"/>
        <v>87.67</v>
      </c>
    </row>
    <row r="6750" spans="1:8" ht="69">
      <c r="A6750" s="502" t="s">
        <v>26807</v>
      </c>
      <c r="B6750" s="504" t="s">
        <v>26808</v>
      </c>
      <c r="C6750" s="502" t="s">
        <v>73</v>
      </c>
      <c r="D6750" s="503" t="s">
        <v>34717</v>
      </c>
      <c r="H6750">
        <f t="shared" si="200"/>
        <v>146.16</v>
      </c>
    </row>
    <row r="6751" spans="1:8" ht="69">
      <c r="A6751" s="502" t="s">
        <v>26809</v>
      </c>
      <c r="B6751" s="504" t="s">
        <v>26810</v>
      </c>
      <c r="C6751" s="502" t="s">
        <v>73</v>
      </c>
      <c r="D6751" s="503" t="s">
        <v>34718</v>
      </c>
      <c r="H6751">
        <f t="shared" si="200"/>
        <v>86.39</v>
      </c>
    </row>
    <row r="6752" spans="1:8" ht="69">
      <c r="A6752" s="502" t="s">
        <v>26811</v>
      </c>
      <c r="B6752" s="504" t="s">
        <v>26812</v>
      </c>
      <c r="C6752" s="502" t="s">
        <v>73</v>
      </c>
      <c r="D6752" s="503" t="s">
        <v>31124</v>
      </c>
      <c r="H6752">
        <f t="shared" si="200"/>
        <v>87.36</v>
      </c>
    </row>
    <row r="6753" spans="1:8" ht="55.2">
      <c r="A6753" s="502" t="s">
        <v>26813</v>
      </c>
      <c r="B6753" s="504" t="s">
        <v>26814</v>
      </c>
      <c r="C6753" s="502" t="s">
        <v>73</v>
      </c>
      <c r="D6753" s="503" t="s">
        <v>34719</v>
      </c>
      <c r="H6753">
        <f t="shared" si="200"/>
        <v>95.71</v>
      </c>
    </row>
    <row r="6754" spans="1:8" ht="69">
      <c r="A6754" s="502" t="s">
        <v>26815</v>
      </c>
      <c r="B6754" s="504" t="s">
        <v>26816</v>
      </c>
      <c r="C6754" s="502" t="s">
        <v>73</v>
      </c>
      <c r="D6754" s="503" t="s">
        <v>34720</v>
      </c>
      <c r="H6754">
        <f t="shared" si="200"/>
        <v>156.13</v>
      </c>
    </row>
    <row r="6755" spans="1:8" ht="69">
      <c r="A6755" s="502" t="s">
        <v>26817</v>
      </c>
      <c r="B6755" s="504" t="s">
        <v>26818</v>
      </c>
      <c r="C6755" s="502" t="s">
        <v>73</v>
      </c>
      <c r="D6755" s="503" t="s">
        <v>34721</v>
      </c>
      <c r="H6755">
        <f t="shared" si="200"/>
        <v>89.58</v>
      </c>
    </row>
    <row r="6756" spans="1:8" ht="69">
      <c r="A6756" s="502" t="s">
        <v>26819</v>
      </c>
      <c r="B6756" s="504" t="s">
        <v>26820</v>
      </c>
      <c r="C6756" s="502" t="s">
        <v>73</v>
      </c>
      <c r="D6756" s="503" t="s">
        <v>34722</v>
      </c>
      <c r="H6756">
        <f t="shared" si="200"/>
        <v>101.08</v>
      </c>
    </row>
    <row r="6757" spans="1:8" ht="55.2">
      <c r="A6757" s="502" t="s">
        <v>26821</v>
      </c>
      <c r="B6757" s="504" t="s">
        <v>26822</v>
      </c>
      <c r="C6757" s="502" t="s">
        <v>73</v>
      </c>
      <c r="D6757" s="503" t="s">
        <v>34723</v>
      </c>
      <c r="H6757">
        <f t="shared" si="200"/>
        <v>105.6</v>
      </c>
    </row>
    <row r="6758" spans="1:8" ht="69">
      <c r="A6758" s="502" t="s">
        <v>26823</v>
      </c>
      <c r="B6758" s="504" t="s">
        <v>30000</v>
      </c>
      <c r="C6758" s="502" t="s">
        <v>73</v>
      </c>
      <c r="D6758" s="503" t="s">
        <v>34724</v>
      </c>
      <c r="H6758">
        <f t="shared" si="200"/>
        <v>135.4</v>
      </c>
    </row>
    <row r="6759" spans="1:8" ht="69">
      <c r="A6759" s="502" t="s">
        <v>26824</v>
      </c>
      <c r="B6759" s="504" t="s">
        <v>26825</v>
      </c>
      <c r="C6759" s="502" t="s">
        <v>73</v>
      </c>
      <c r="D6759" s="503" t="s">
        <v>34725</v>
      </c>
      <c r="H6759">
        <f t="shared" si="200"/>
        <v>108.01</v>
      </c>
    </row>
    <row r="6760" spans="1:8" ht="69">
      <c r="A6760" s="502" t="s">
        <v>26826</v>
      </c>
      <c r="B6760" s="504" t="s">
        <v>26827</v>
      </c>
      <c r="C6760" s="502" t="s">
        <v>73</v>
      </c>
      <c r="D6760" s="503" t="s">
        <v>34726</v>
      </c>
      <c r="H6760">
        <f t="shared" si="200"/>
        <v>121.04</v>
      </c>
    </row>
    <row r="6761" spans="1:8" ht="55.2">
      <c r="A6761" s="502" t="s">
        <v>26828</v>
      </c>
      <c r="B6761" s="504" t="s">
        <v>26829</v>
      </c>
      <c r="C6761" s="502" t="s">
        <v>73</v>
      </c>
      <c r="D6761" s="503" t="s">
        <v>34727</v>
      </c>
      <c r="H6761">
        <f t="shared" si="200"/>
        <v>127.09</v>
      </c>
    </row>
    <row r="6762" spans="1:8" ht="69">
      <c r="A6762" s="502" t="s">
        <v>26830</v>
      </c>
      <c r="B6762" s="504" t="s">
        <v>30001</v>
      </c>
      <c r="C6762" s="502" t="s">
        <v>73</v>
      </c>
      <c r="D6762" s="503" t="s">
        <v>34728</v>
      </c>
      <c r="H6762">
        <f t="shared" si="200"/>
        <v>168.39</v>
      </c>
    </row>
    <row r="6763" spans="1:8" ht="69">
      <c r="A6763" s="502" t="s">
        <v>26831</v>
      </c>
      <c r="B6763" s="504" t="s">
        <v>26832</v>
      </c>
      <c r="C6763" s="502" t="s">
        <v>73</v>
      </c>
      <c r="D6763" s="503" t="s">
        <v>34729</v>
      </c>
      <c r="H6763">
        <f t="shared" si="200"/>
        <v>129.66999999999999</v>
      </c>
    </row>
    <row r="6764" spans="1:8" ht="69">
      <c r="A6764" s="502" t="s">
        <v>26833</v>
      </c>
      <c r="B6764" s="504" t="s">
        <v>26834</v>
      </c>
      <c r="C6764" s="502" t="s">
        <v>73</v>
      </c>
      <c r="D6764" s="503" t="s">
        <v>34730</v>
      </c>
      <c r="H6764">
        <f t="shared" si="200"/>
        <v>128.59</v>
      </c>
    </row>
    <row r="6765" spans="1:8" ht="55.2">
      <c r="A6765" s="502" t="s">
        <v>26835</v>
      </c>
      <c r="B6765" s="504" t="s">
        <v>26836</v>
      </c>
      <c r="C6765" s="502" t="s">
        <v>73</v>
      </c>
      <c r="D6765" s="503" t="s">
        <v>34731</v>
      </c>
      <c r="H6765">
        <f t="shared" si="200"/>
        <v>136.18</v>
      </c>
    </row>
    <row r="6766" spans="1:8" ht="69">
      <c r="A6766" s="502" t="s">
        <v>26837</v>
      </c>
      <c r="B6766" s="504" t="s">
        <v>30002</v>
      </c>
      <c r="C6766" s="502" t="s">
        <v>73</v>
      </c>
      <c r="D6766" s="503" t="s">
        <v>34732</v>
      </c>
      <c r="H6766">
        <f t="shared" si="200"/>
        <v>190.07</v>
      </c>
    </row>
    <row r="6767" spans="1:8" ht="69">
      <c r="A6767" s="502" t="s">
        <v>26838</v>
      </c>
      <c r="B6767" s="504" t="s">
        <v>26839</v>
      </c>
      <c r="C6767" s="502" t="s">
        <v>73</v>
      </c>
      <c r="D6767" s="503" t="s">
        <v>34733</v>
      </c>
      <c r="H6767">
        <f t="shared" si="200"/>
        <v>138.11000000000001</v>
      </c>
    </row>
    <row r="6768" spans="1:8" ht="69">
      <c r="A6768" s="502" t="s">
        <v>26840</v>
      </c>
      <c r="B6768" s="504" t="s">
        <v>26841</v>
      </c>
      <c r="C6768" s="502" t="s">
        <v>73</v>
      </c>
      <c r="D6768" s="503" t="s">
        <v>34249</v>
      </c>
      <c r="H6768">
        <f t="shared" si="200"/>
        <v>167.46</v>
      </c>
    </row>
    <row r="6769" spans="1:8" ht="55.2">
      <c r="A6769" s="502" t="s">
        <v>26842</v>
      </c>
      <c r="B6769" s="504" t="s">
        <v>26843</v>
      </c>
      <c r="C6769" s="502" t="s">
        <v>73</v>
      </c>
      <c r="D6769" s="503" t="s">
        <v>34734</v>
      </c>
      <c r="H6769">
        <f t="shared" si="200"/>
        <v>175.81</v>
      </c>
    </row>
    <row r="6770" spans="1:8" ht="69">
      <c r="A6770" s="502" t="s">
        <v>26844</v>
      </c>
      <c r="B6770" s="504" t="s">
        <v>30003</v>
      </c>
      <c r="C6770" s="502" t="s">
        <v>73</v>
      </c>
      <c r="D6770" s="503" t="s">
        <v>34735</v>
      </c>
      <c r="H6770">
        <f t="shared" si="200"/>
        <v>220.3</v>
      </c>
    </row>
    <row r="6771" spans="1:8" ht="69">
      <c r="A6771" s="502" t="s">
        <v>26845</v>
      </c>
      <c r="B6771" s="504" t="s">
        <v>26846</v>
      </c>
      <c r="C6771" s="502" t="s">
        <v>73</v>
      </c>
      <c r="D6771" s="503" t="s">
        <v>18739</v>
      </c>
      <c r="H6771">
        <f t="shared" si="200"/>
        <v>164.91</v>
      </c>
    </row>
    <row r="6772" spans="1:8" ht="55.2">
      <c r="A6772" s="502" t="s">
        <v>26847</v>
      </c>
      <c r="B6772" s="504" t="s">
        <v>26848</v>
      </c>
      <c r="C6772" s="502" t="s">
        <v>73</v>
      </c>
      <c r="D6772" s="503" t="s">
        <v>9607</v>
      </c>
      <c r="H6772">
        <f t="shared" si="200"/>
        <v>24.02</v>
      </c>
    </row>
    <row r="6773" spans="1:8" ht="55.2">
      <c r="A6773" s="502" t="s">
        <v>26849</v>
      </c>
      <c r="B6773" s="504" t="s">
        <v>26850</v>
      </c>
      <c r="C6773" s="502" t="s">
        <v>73</v>
      </c>
      <c r="D6773" s="503" t="s">
        <v>30109</v>
      </c>
      <c r="H6773">
        <f t="shared" si="200"/>
        <v>37.36</v>
      </c>
    </row>
    <row r="6774" spans="1:8" ht="55.2">
      <c r="A6774" s="502" t="s">
        <v>26851</v>
      </c>
      <c r="B6774" s="504" t="s">
        <v>26852</v>
      </c>
      <c r="C6774" s="502" t="s">
        <v>73</v>
      </c>
      <c r="D6774" s="503" t="s">
        <v>15825</v>
      </c>
      <c r="H6774">
        <f t="shared" si="200"/>
        <v>45.03</v>
      </c>
    </row>
    <row r="6775" spans="1:8" ht="55.2">
      <c r="A6775" s="502" t="s">
        <v>26853</v>
      </c>
      <c r="B6775" s="504" t="s">
        <v>26854</v>
      </c>
      <c r="C6775" s="502" t="s">
        <v>73</v>
      </c>
      <c r="D6775" s="503" t="s">
        <v>34736</v>
      </c>
      <c r="H6775">
        <f t="shared" si="200"/>
        <v>37.76</v>
      </c>
    </row>
    <row r="6776" spans="1:8" ht="55.2">
      <c r="A6776" s="502" t="s">
        <v>26855</v>
      </c>
      <c r="B6776" s="504" t="s">
        <v>26856</v>
      </c>
      <c r="C6776" s="502" t="s">
        <v>73</v>
      </c>
      <c r="D6776" s="503" t="s">
        <v>34737</v>
      </c>
      <c r="H6776">
        <f t="shared" si="200"/>
        <v>51.1</v>
      </c>
    </row>
    <row r="6777" spans="1:8" ht="55.2">
      <c r="A6777" s="502" t="s">
        <v>26857</v>
      </c>
      <c r="B6777" s="504" t="s">
        <v>26858</v>
      </c>
      <c r="C6777" s="502" t="s">
        <v>73</v>
      </c>
      <c r="D6777" s="503" t="s">
        <v>27940</v>
      </c>
      <c r="H6777">
        <f t="shared" si="200"/>
        <v>58.76</v>
      </c>
    </row>
    <row r="6778" spans="1:8" ht="41.4">
      <c r="A6778" s="502" t="s">
        <v>26859</v>
      </c>
      <c r="B6778" s="504" t="s">
        <v>26860</v>
      </c>
      <c r="C6778" s="502" t="s">
        <v>73</v>
      </c>
      <c r="D6778" s="503" t="s">
        <v>34738</v>
      </c>
      <c r="H6778">
        <f t="shared" si="200"/>
        <v>32.99</v>
      </c>
    </row>
    <row r="6779" spans="1:8" ht="41.4">
      <c r="A6779" s="502" t="s">
        <v>26861</v>
      </c>
      <c r="B6779" s="504" t="s">
        <v>26862</v>
      </c>
      <c r="C6779" s="502" t="s">
        <v>73</v>
      </c>
      <c r="D6779" s="503" t="s">
        <v>22528</v>
      </c>
      <c r="H6779">
        <f t="shared" si="200"/>
        <v>48.73</v>
      </c>
    </row>
    <row r="6780" spans="1:8" ht="41.4">
      <c r="A6780" s="502" t="s">
        <v>26863</v>
      </c>
      <c r="B6780" s="504" t="s">
        <v>26864</v>
      </c>
      <c r="C6780" s="502" t="s">
        <v>73</v>
      </c>
      <c r="D6780" s="503" t="s">
        <v>34739</v>
      </c>
      <c r="H6780">
        <f t="shared" si="200"/>
        <v>67.3</v>
      </c>
    </row>
    <row r="6781" spans="1:8" ht="41.4">
      <c r="A6781" s="502" t="s">
        <v>26865</v>
      </c>
      <c r="B6781" s="504" t="s">
        <v>26866</v>
      </c>
      <c r="C6781" s="502" t="s">
        <v>73</v>
      </c>
      <c r="D6781" s="503" t="s">
        <v>34740</v>
      </c>
      <c r="H6781">
        <f t="shared" si="200"/>
        <v>78.28</v>
      </c>
    </row>
    <row r="6782" spans="1:8" ht="55.2">
      <c r="A6782" s="502" t="s">
        <v>30006</v>
      </c>
      <c r="B6782" s="504" t="s">
        <v>30007</v>
      </c>
      <c r="C6782" s="502" t="s">
        <v>73</v>
      </c>
      <c r="D6782" s="503" t="s">
        <v>10954</v>
      </c>
      <c r="H6782">
        <f t="shared" si="200"/>
        <v>45.4</v>
      </c>
    </row>
    <row r="6783" spans="1:8" ht="55.2">
      <c r="A6783" s="502" t="s">
        <v>30008</v>
      </c>
      <c r="B6783" s="504" t="s">
        <v>30009</v>
      </c>
      <c r="C6783" s="502" t="s">
        <v>73</v>
      </c>
      <c r="D6783" s="503" t="s">
        <v>34741</v>
      </c>
      <c r="H6783">
        <f t="shared" si="200"/>
        <v>50.08</v>
      </c>
    </row>
    <row r="6784" spans="1:8" ht="55.2">
      <c r="A6784" s="502" t="s">
        <v>30010</v>
      </c>
      <c r="B6784" s="504" t="s">
        <v>30011</v>
      </c>
      <c r="C6784" s="502" t="s">
        <v>73</v>
      </c>
      <c r="D6784" s="503" t="s">
        <v>34742</v>
      </c>
      <c r="H6784">
        <f t="shared" si="200"/>
        <v>81.47</v>
      </c>
    </row>
    <row r="6785" spans="1:8" ht="55.2">
      <c r="A6785" s="502" t="s">
        <v>30012</v>
      </c>
      <c r="B6785" s="504" t="s">
        <v>30013</v>
      </c>
      <c r="C6785" s="502" t="s">
        <v>73</v>
      </c>
      <c r="D6785" s="503" t="s">
        <v>26436</v>
      </c>
      <c r="H6785">
        <f t="shared" si="200"/>
        <v>66.84</v>
      </c>
    </row>
    <row r="6786" spans="1:8" ht="15" customHeight="1">
      <c r="A6786" s="502" t="s">
        <v>30014</v>
      </c>
      <c r="B6786" s="504" t="s">
        <v>30015</v>
      </c>
      <c r="C6786" s="502" t="s">
        <v>73</v>
      </c>
      <c r="D6786" s="503" t="s">
        <v>28063</v>
      </c>
      <c r="H6786">
        <f t="shared" si="200"/>
        <v>57.74</v>
      </c>
    </row>
    <row r="6787" spans="1:8" ht="15" customHeight="1">
      <c r="A6787" s="502" t="s">
        <v>30016</v>
      </c>
      <c r="B6787" s="504" t="s">
        <v>30017</v>
      </c>
      <c r="C6787" s="502" t="s">
        <v>73</v>
      </c>
      <c r="D6787" s="503" t="s">
        <v>33490</v>
      </c>
      <c r="H6787">
        <f t="shared" si="200"/>
        <v>62.41</v>
      </c>
    </row>
    <row r="6788" spans="1:8" ht="15" customHeight="1">
      <c r="A6788" s="502" t="s">
        <v>30018</v>
      </c>
      <c r="B6788" s="504" t="s">
        <v>30019</v>
      </c>
      <c r="C6788" s="502" t="s">
        <v>73</v>
      </c>
      <c r="D6788" s="503" t="s">
        <v>9770</v>
      </c>
      <c r="H6788">
        <f t="shared" si="200"/>
        <v>56.26</v>
      </c>
    </row>
    <row r="6789" spans="1:8" ht="55.2">
      <c r="A6789" s="502" t="s">
        <v>30020</v>
      </c>
      <c r="B6789" s="504" t="s">
        <v>30021</v>
      </c>
      <c r="C6789" s="502" t="s">
        <v>73</v>
      </c>
      <c r="D6789" s="503" t="s">
        <v>27854</v>
      </c>
      <c r="H6789">
        <f t="shared" ref="H6789:H6852" si="201">ROUND(D6789*(1+$H$1),2)</f>
        <v>31.71</v>
      </c>
    </row>
    <row r="6790" spans="1:8" ht="55.2">
      <c r="A6790" s="502" t="s">
        <v>30022</v>
      </c>
      <c r="B6790" s="504" t="s">
        <v>30023</v>
      </c>
      <c r="C6790" s="502" t="s">
        <v>73</v>
      </c>
      <c r="D6790" s="503" t="s">
        <v>24072</v>
      </c>
      <c r="H6790">
        <f t="shared" si="201"/>
        <v>34.700000000000003</v>
      </c>
    </row>
    <row r="6791" spans="1:8" ht="55.2">
      <c r="A6791" s="502" t="s">
        <v>30024</v>
      </c>
      <c r="B6791" s="504" t="s">
        <v>30025</v>
      </c>
      <c r="C6791" s="502" t="s">
        <v>73</v>
      </c>
      <c r="D6791" s="503" t="s">
        <v>34743</v>
      </c>
      <c r="H6791">
        <f t="shared" si="201"/>
        <v>53.35</v>
      </c>
    </row>
    <row r="6792" spans="1:8" ht="55.2">
      <c r="A6792" s="502" t="s">
        <v>30026</v>
      </c>
      <c r="B6792" s="504" t="s">
        <v>30027</v>
      </c>
      <c r="C6792" s="502" t="s">
        <v>73</v>
      </c>
      <c r="D6792" s="503" t="s">
        <v>34744</v>
      </c>
      <c r="H6792">
        <f t="shared" si="201"/>
        <v>72.069999999999993</v>
      </c>
    </row>
    <row r="6793" spans="1:8" ht="55.2">
      <c r="A6793" s="502" t="s">
        <v>30028</v>
      </c>
      <c r="B6793" s="504" t="s">
        <v>30029</v>
      </c>
      <c r="C6793" s="502" t="s">
        <v>73</v>
      </c>
      <c r="D6793" s="503" t="s">
        <v>28053</v>
      </c>
      <c r="H6793">
        <f t="shared" si="201"/>
        <v>76.75</v>
      </c>
    </row>
    <row r="6794" spans="1:8" ht="55.2">
      <c r="A6794" s="502" t="s">
        <v>30030</v>
      </c>
      <c r="B6794" s="504" t="s">
        <v>30031</v>
      </c>
      <c r="C6794" s="502" t="s">
        <v>73</v>
      </c>
      <c r="D6794" s="503" t="s">
        <v>28432</v>
      </c>
      <c r="H6794">
        <f t="shared" si="201"/>
        <v>65.03</v>
      </c>
    </row>
    <row r="6795" spans="1:8" ht="55.2">
      <c r="A6795" s="502" t="s">
        <v>30033</v>
      </c>
      <c r="B6795" s="504" t="s">
        <v>30034</v>
      </c>
      <c r="C6795" s="502" t="s">
        <v>73</v>
      </c>
      <c r="D6795" s="503" t="s">
        <v>34745</v>
      </c>
      <c r="H6795">
        <f t="shared" si="201"/>
        <v>69.7</v>
      </c>
    </row>
    <row r="6796" spans="1:8" ht="55.2">
      <c r="A6796" s="502" t="s">
        <v>30035</v>
      </c>
      <c r="B6796" s="504" t="s">
        <v>30036</v>
      </c>
      <c r="C6796" s="502" t="s">
        <v>73</v>
      </c>
      <c r="D6796" s="503" t="s">
        <v>15200</v>
      </c>
      <c r="H6796">
        <f t="shared" si="201"/>
        <v>62.16</v>
      </c>
    </row>
    <row r="6797" spans="1:8" ht="55.2">
      <c r="A6797" s="502" t="s">
        <v>30037</v>
      </c>
      <c r="B6797" s="504" t="s">
        <v>30038</v>
      </c>
      <c r="C6797" s="502" t="s">
        <v>73</v>
      </c>
      <c r="D6797" s="503" t="s">
        <v>11452</v>
      </c>
      <c r="H6797">
        <f t="shared" si="201"/>
        <v>60.94</v>
      </c>
    </row>
    <row r="6798" spans="1:8" ht="55.2">
      <c r="A6798" s="502" t="s">
        <v>30039</v>
      </c>
      <c r="B6798" s="504" t="s">
        <v>30040</v>
      </c>
      <c r="C6798" s="502" t="s">
        <v>73</v>
      </c>
      <c r="D6798" s="503" t="s">
        <v>32811</v>
      </c>
      <c r="H6798">
        <f t="shared" si="201"/>
        <v>55.45</v>
      </c>
    </row>
    <row r="6799" spans="1:8" ht="55.2">
      <c r="A6799" s="502" t="s">
        <v>30041</v>
      </c>
      <c r="B6799" s="504" t="s">
        <v>30042</v>
      </c>
      <c r="C6799" s="502" t="s">
        <v>73</v>
      </c>
      <c r="D6799" s="503" t="s">
        <v>34746</v>
      </c>
      <c r="H6799">
        <f t="shared" si="201"/>
        <v>58.43</v>
      </c>
    </row>
    <row r="6800" spans="1:8" ht="55.2">
      <c r="A6800" s="502" t="s">
        <v>30044</v>
      </c>
      <c r="B6800" s="504" t="s">
        <v>30045</v>
      </c>
      <c r="C6800" s="502" t="s">
        <v>73</v>
      </c>
      <c r="D6800" s="503" t="s">
        <v>34747</v>
      </c>
      <c r="H6800">
        <f t="shared" si="201"/>
        <v>48.4</v>
      </c>
    </row>
    <row r="6801" spans="1:8" ht="55.2">
      <c r="A6801" s="502" t="s">
        <v>30046</v>
      </c>
      <c r="B6801" s="504" t="s">
        <v>30047</v>
      </c>
      <c r="C6801" s="502" t="s">
        <v>73</v>
      </c>
      <c r="D6801" s="503" t="s">
        <v>23972</v>
      </c>
      <c r="H6801">
        <f t="shared" si="201"/>
        <v>51.38</v>
      </c>
    </row>
    <row r="6802" spans="1:8" ht="55.2">
      <c r="A6802" s="502" t="s">
        <v>30048</v>
      </c>
      <c r="B6802" s="504" t="s">
        <v>30049</v>
      </c>
      <c r="C6802" s="502" t="s">
        <v>73</v>
      </c>
      <c r="D6802" s="503" t="s">
        <v>32306</v>
      </c>
      <c r="H6802">
        <f t="shared" si="201"/>
        <v>45.53</v>
      </c>
    </row>
    <row r="6803" spans="1:8" ht="55.2">
      <c r="A6803" s="502" t="s">
        <v>30050</v>
      </c>
      <c r="B6803" s="504" t="s">
        <v>30051</v>
      </c>
      <c r="C6803" s="502" t="s">
        <v>73</v>
      </c>
      <c r="D6803" s="503" t="s">
        <v>11812</v>
      </c>
      <c r="H6803">
        <f t="shared" si="201"/>
        <v>48.52</v>
      </c>
    </row>
    <row r="6804" spans="1:8" ht="55.2">
      <c r="A6804" s="502" t="s">
        <v>30052</v>
      </c>
      <c r="B6804" s="504" t="s">
        <v>30053</v>
      </c>
      <c r="C6804" s="502" t="s">
        <v>73</v>
      </c>
      <c r="D6804" s="503" t="s">
        <v>34748</v>
      </c>
      <c r="H6804">
        <f t="shared" si="201"/>
        <v>41.09</v>
      </c>
    </row>
    <row r="6805" spans="1:8" ht="55.2">
      <c r="A6805" s="502" t="s">
        <v>30055</v>
      </c>
      <c r="B6805" s="504" t="s">
        <v>30056</v>
      </c>
      <c r="C6805" s="502" t="s">
        <v>73</v>
      </c>
      <c r="D6805" s="503" t="s">
        <v>16470</v>
      </c>
      <c r="H6805">
        <f t="shared" si="201"/>
        <v>44.08</v>
      </c>
    </row>
    <row r="6806" spans="1:8" ht="55.2">
      <c r="A6806" s="502" t="s">
        <v>30057</v>
      </c>
      <c r="B6806" s="504" t="s">
        <v>30058</v>
      </c>
      <c r="C6806" s="502" t="s">
        <v>73</v>
      </c>
      <c r="D6806" s="503" t="s">
        <v>30062</v>
      </c>
      <c r="H6806">
        <f t="shared" si="201"/>
        <v>39.630000000000003</v>
      </c>
    </row>
    <row r="6807" spans="1:8" ht="55.2">
      <c r="A6807" s="502" t="s">
        <v>30060</v>
      </c>
      <c r="B6807" s="504" t="s">
        <v>30061</v>
      </c>
      <c r="C6807" s="502" t="s">
        <v>73</v>
      </c>
      <c r="D6807" s="503" t="s">
        <v>30004</v>
      </c>
      <c r="H6807">
        <f t="shared" si="201"/>
        <v>42.61</v>
      </c>
    </row>
    <row r="6808" spans="1:8" ht="55.2">
      <c r="A6808" s="502" t="s">
        <v>30063</v>
      </c>
      <c r="B6808" s="504" t="s">
        <v>30064</v>
      </c>
      <c r="C6808" s="502" t="s">
        <v>73</v>
      </c>
      <c r="D6808" s="503" t="s">
        <v>13336</v>
      </c>
      <c r="H6808">
        <f t="shared" si="201"/>
        <v>68.38</v>
      </c>
    </row>
    <row r="6809" spans="1:8" ht="55.2">
      <c r="A6809" s="502" t="s">
        <v>30065</v>
      </c>
      <c r="B6809" s="504" t="s">
        <v>30066</v>
      </c>
      <c r="C6809" s="502" t="s">
        <v>73</v>
      </c>
      <c r="D6809" s="503" t="s">
        <v>34749</v>
      </c>
      <c r="H6809">
        <f t="shared" si="201"/>
        <v>52.01</v>
      </c>
    </row>
    <row r="6810" spans="1:8" ht="55.2">
      <c r="A6810" s="502" t="s">
        <v>30067</v>
      </c>
      <c r="B6810" s="504" t="s">
        <v>30068</v>
      </c>
      <c r="C6810" s="502" t="s">
        <v>73</v>
      </c>
      <c r="D6810" s="503" t="s">
        <v>34750</v>
      </c>
      <c r="H6810">
        <f t="shared" si="201"/>
        <v>260.37</v>
      </c>
    </row>
    <row r="6811" spans="1:8" ht="55.2">
      <c r="A6811" s="502" t="s">
        <v>30069</v>
      </c>
      <c r="B6811" s="504" t="s">
        <v>30070</v>
      </c>
      <c r="C6811" s="502" t="s">
        <v>73</v>
      </c>
      <c r="D6811" s="503" t="s">
        <v>33454</v>
      </c>
      <c r="H6811">
        <f t="shared" si="201"/>
        <v>193.01</v>
      </c>
    </row>
    <row r="6812" spans="1:8" ht="55.2">
      <c r="A6812" s="502" t="s">
        <v>30071</v>
      </c>
      <c r="B6812" s="504" t="s">
        <v>30072</v>
      </c>
      <c r="C6812" s="502" t="s">
        <v>73</v>
      </c>
      <c r="D6812" s="503" t="s">
        <v>34751</v>
      </c>
      <c r="H6812">
        <f t="shared" si="201"/>
        <v>252.04</v>
      </c>
    </row>
    <row r="6813" spans="1:8" ht="55.2">
      <c r="A6813" s="502" t="s">
        <v>30073</v>
      </c>
      <c r="B6813" s="504" t="s">
        <v>30074</v>
      </c>
      <c r="C6813" s="502" t="s">
        <v>73</v>
      </c>
      <c r="D6813" s="503" t="s">
        <v>29201</v>
      </c>
      <c r="H6813">
        <f t="shared" si="201"/>
        <v>184.96</v>
      </c>
    </row>
    <row r="6814" spans="1:8" ht="41.4">
      <c r="A6814" s="502" t="s">
        <v>6751</v>
      </c>
      <c r="B6814" s="504" t="s">
        <v>26867</v>
      </c>
      <c r="C6814" s="502" t="s">
        <v>73</v>
      </c>
      <c r="D6814" s="503" t="s">
        <v>34752</v>
      </c>
      <c r="H6814">
        <f t="shared" si="201"/>
        <v>327.25</v>
      </c>
    </row>
    <row r="6815" spans="1:8" ht="55.2">
      <c r="A6815" s="502" t="s">
        <v>6752</v>
      </c>
      <c r="B6815" s="504" t="s">
        <v>26868</v>
      </c>
      <c r="C6815" s="502" t="s">
        <v>73</v>
      </c>
      <c r="D6815" s="503" t="s">
        <v>34753</v>
      </c>
      <c r="H6815">
        <f t="shared" si="201"/>
        <v>391.6</v>
      </c>
    </row>
    <row r="6816" spans="1:8" ht="15" customHeight="1">
      <c r="A6816" s="502" t="s">
        <v>6753</v>
      </c>
      <c r="B6816" s="504" t="s">
        <v>30075</v>
      </c>
      <c r="C6816" s="502" t="s">
        <v>73</v>
      </c>
      <c r="D6816" s="503" t="s">
        <v>15474</v>
      </c>
      <c r="H6816">
        <f t="shared" si="201"/>
        <v>73.290000000000006</v>
      </c>
    </row>
    <row r="6817" spans="1:8" ht="15" customHeight="1">
      <c r="A6817" s="502" t="s">
        <v>6754</v>
      </c>
      <c r="B6817" s="504" t="s">
        <v>30076</v>
      </c>
      <c r="C6817" s="502" t="s">
        <v>73</v>
      </c>
      <c r="D6817" s="503" t="s">
        <v>34754</v>
      </c>
      <c r="H6817">
        <f t="shared" si="201"/>
        <v>80.8</v>
      </c>
    </row>
    <row r="6818" spans="1:8" ht="55.2">
      <c r="A6818" s="502" t="s">
        <v>6755</v>
      </c>
      <c r="B6818" s="504" t="s">
        <v>30077</v>
      </c>
      <c r="C6818" s="502" t="s">
        <v>73</v>
      </c>
      <c r="D6818" s="503" t="s">
        <v>31101</v>
      </c>
      <c r="H6818">
        <f t="shared" si="201"/>
        <v>78.88</v>
      </c>
    </row>
    <row r="6819" spans="1:8" ht="41.4">
      <c r="A6819" s="502" t="s">
        <v>6756</v>
      </c>
      <c r="B6819" s="504" t="s">
        <v>30078</v>
      </c>
      <c r="C6819" s="502" t="s">
        <v>73</v>
      </c>
      <c r="D6819" s="503" t="s">
        <v>34755</v>
      </c>
      <c r="H6819">
        <f t="shared" si="201"/>
        <v>86.49</v>
      </c>
    </row>
    <row r="6820" spans="1:8" ht="55.2">
      <c r="A6820" s="502" t="s">
        <v>6758</v>
      </c>
      <c r="B6820" s="504" t="s">
        <v>30079</v>
      </c>
      <c r="C6820" s="502" t="s">
        <v>73</v>
      </c>
      <c r="D6820" s="503" t="s">
        <v>33806</v>
      </c>
      <c r="H6820">
        <f t="shared" si="201"/>
        <v>83.05</v>
      </c>
    </row>
    <row r="6821" spans="1:8" ht="41.4">
      <c r="A6821" s="502" t="s">
        <v>6759</v>
      </c>
      <c r="B6821" s="504" t="s">
        <v>30080</v>
      </c>
      <c r="C6821" s="502" t="s">
        <v>73</v>
      </c>
      <c r="D6821" s="503" t="s">
        <v>34756</v>
      </c>
      <c r="H6821">
        <f t="shared" si="201"/>
        <v>93.12</v>
      </c>
    </row>
    <row r="6822" spans="1:8" ht="41.4">
      <c r="A6822" s="502" t="s">
        <v>6760</v>
      </c>
      <c r="B6822" s="504" t="s">
        <v>26869</v>
      </c>
      <c r="C6822" s="502" t="s">
        <v>73</v>
      </c>
      <c r="D6822" s="503" t="s">
        <v>34757</v>
      </c>
      <c r="H6822">
        <f t="shared" si="201"/>
        <v>423.36</v>
      </c>
    </row>
    <row r="6823" spans="1:8" ht="55.2">
      <c r="A6823" s="502" t="s">
        <v>6761</v>
      </c>
      <c r="B6823" s="504" t="s">
        <v>26870</v>
      </c>
      <c r="C6823" s="502" t="s">
        <v>73</v>
      </c>
      <c r="D6823" s="503" t="s">
        <v>34758</v>
      </c>
      <c r="H6823">
        <f t="shared" si="201"/>
        <v>507.46</v>
      </c>
    </row>
    <row r="6824" spans="1:8" ht="41.4">
      <c r="A6824" s="502" t="s">
        <v>34759</v>
      </c>
      <c r="B6824" s="504" t="s">
        <v>34760</v>
      </c>
      <c r="C6824" s="502" t="s">
        <v>73</v>
      </c>
      <c r="D6824" s="503" t="s">
        <v>29105</v>
      </c>
      <c r="H6824">
        <f t="shared" si="201"/>
        <v>273.26</v>
      </c>
    </row>
    <row r="6825" spans="1:8" ht="55.2">
      <c r="A6825" s="502" t="s">
        <v>34761</v>
      </c>
      <c r="B6825" s="504" t="s">
        <v>34762</v>
      </c>
      <c r="C6825" s="502" t="s">
        <v>73</v>
      </c>
      <c r="D6825" s="503" t="s">
        <v>34763</v>
      </c>
      <c r="H6825">
        <f t="shared" si="201"/>
        <v>326.16000000000003</v>
      </c>
    </row>
    <row r="6826" spans="1:8" ht="41.4">
      <c r="A6826" s="502" t="s">
        <v>34764</v>
      </c>
      <c r="B6826" s="504" t="s">
        <v>34765</v>
      </c>
      <c r="C6826" s="502" t="s">
        <v>73</v>
      </c>
      <c r="D6826" s="503" t="s">
        <v>34766</v>
      </c>
      <c r="H6826">
        <f t="shared" si="201"/>
        <v>302.94</v>
      </c>
    </row>
    <row r="6827" spans="1:8" ht="55.2">
      <c r="A6827" s="502" t="s">
        <v>34767</v>
      </c>
      <c r="B6827" s="504" t="s">
        <v>34768</v>
      </c>
      <c r="C6827" s="502" t="s">
        <v>73</v>
      </c>
      <c r="D6827" s="503" t="s">
        <v>34769</v>
      </c>
      <c r="H6827">
        <f t="shared" si="201"/>
        <v>359.28</v>
      </c>
    </row>
    <row r="6828" spans="1:8" ht="55.2">
      <c r="A6828" s="502" t="s">
        <v>26871</v>
      </c>
      <c r="B6828" s="504" t="s">
        <v>30081</v>
      </c>
      <c r="C6828" s="502" t="s">
        <v>73</v>
      </c>
      <c r="D6828" s="503" t="s">
        <v>29733</v>
      </c>
      <c r="H6828">
        <f t="shared" si="201"/>
        <v>113.33</v>
      </c>
    </row>
    <row r="6829" spans="1:8" ht="41.4">
      <c r="A6829" s="502" t="s">
        <v>26872</v>
      </c>
      <c r="B6829" s="504" t="s">
        <v>30082</v>
      </c>
      <c r="C6829" s="502" t="s">
        <v>73</v>
      </c>
      <c r="D6829" s="503" t="s">
        <v>34770</v>
      </c>
      <c r="H6829">
        <f t="shared" si="201"/>
        <v>114.53</v>
      </c>
    </row>
    <row r="6830" spans="1:8" ht="55.2">
      <c r="A6830" s="502" t="s">
        <v>26873</v>
      </c>
      <c r="B6830" s="504" t="s">
        <v>30083</v>
      </c>
      <c r="C6830" s="502" t="s">
        <v>73</v>
      </c>
      <c r="D6830" s="503" t="s">
        <v>26209</v>
      </c>
      <c r="H6830">
        <f t="shared" si="201"/>
        <v>78.22</v>
      </c>
    </row>
    <row r="6831" spans="1:8" ht="55.2">
      <c r="A6831" s="502" t="s">
        <v>26874</v>
      </c>
      <c r="B6831" s="504" t="s">
        <v>30084</v>
      </c>
      <c r="C6831" s="502" t="s">
        <v>73</v>
      </c>
      <c r="D6831" s="503" t="s">
        <v>34771</v>
      </c>
      <c r="H6831">
        <f t="shared" si="201"/>
        <v>87.98</v>
      </c>
    </row>
    <row r="6832" spans="1:8" ht="55.2">
      <c r="A6832" s="502" t="s">
        <v>26875</v>
      </c>
      <c r="B6832" s="504" t="s">
        <v>26876</v>
      </c>
      <c r="C6832" s="502" t="s">
        <v>73</v>
      </c>
      <c r="D6832" s="503" t="s">
        <v>34772</v>
      </c>
      <c r="H6832">
        <f t="shared" si="201"/>
        <v>324.02</v>
      </c>
    </row>
    <row r="6833" spans="1:8" ht="15" customHeight="1">
      <c r="A6833" s="502" t="s">
        <v>26877</v>
      </c>
      <c r="B6833" s="504" t="s">
        <v>26878</v>
      </c>
      <c r="C6833" s="502" t="s">
        <v>73</v>
      </c>
      <c r="D6833" s="503" t="s">
        <v>34773</v>
      </c>
      <c r="H6833">
        <f t="shared" si="201"/>
        <v>423.7</v>
      </c>
    </row>
    <row r="6834" spans="1:8" ht="15" customHeight="1">
      <c r="A6834" s="502" t="s">
        <v>26879</v>
      </c>
      <c r="B6834" s="504" t="s">
        <v>26880</v>
      </c>
      <c r="C6834" s="502" t="s">
        <v>73</v>
      </c>
      <c r="D6834" s="503" t="s">
        <v>28354</v>
      </c>
      <c r="H6834">
        <f t="shared" si="201"/>
        <v>339.33</v>
      </c>
    </row>
    <row r="6835" spans="1:8" ht="55.2">
      <c r="A6835" s="502" t="s">
        <v>26881</v>
      </c>
      <c r="B6835" s="504" t="s">
        <v>26882</v>
      </c>
      <c r="C6835" s="502" t="s">
        <v>73</v>
      </c>
      <c r="D6835" s="503" t="s">
        <v>34774</v>
      </c>
      <c r="H6835">
        <f t="shared" si="201"/>
        <v>439.01</v>
      </c>
    </row>
    <row r="6836" spans="1:8" ht="27.6">
      <c r="A6836" s="502" t="s">
        <v>26883</v>
      </c>
      <c r="B6836" s="504" t="s">
        <v>30085</v>
      </c>
      <c r="C6836" s="502" t="s">
        <v>75</v>
      </c>
      <c r="D6836" s="503" t="s">
        <v>27941</v>
      </c>
      <c r="H6836">
        <f t="shared" si="201"/>
        <v>16.71</v>
      </c>
    </row>
    <row r="6837" spans="1:8" ht="41.4">
      <c r="A6837" s="502" t="s">
        <v>14336</v>
      </c>
      <c r="B6837" s="504" t="s">
        <v>14337</v>
      </c>
      <c r="C6837" s="502" t="s">
        <v>75</v>
      </c>
      <c r="D6837" s="503" t="s">
        <v>34775</v>
      </c>
      <c r="H6837">
        <f t="shared" si="201"/>
        <v>111.48</v>
      </c>
    </row>
    <row r="6838" spans="1:8" ht="41.4">
      <c r="A6838" s="502" t="s">
        <v>14338</v>
      </c>
      <c r="B6838" s="504" t="s">
        <v>14339</v>
      </c>
      <c r="C6838" s="502" t="s">
        <v>75</v>
      </c>
      <c r="D6838" s="503" t="s">
        <v>34776</v>
      </c>
      <c r="H6838">
        <f t="shared" si="201"/>
        <v>116.61</v>
      </c>
    </row>
    <row r="6839" spans="1:8" ht="27.6">
      <c r="A6839" s="502" t="s">
        <v>14340</v>
      </c>
      <c r="B6839" s="504" t="s">
        <v>14341</v>
      </c>
      <c r="C6839" s="502" t="s">
        <v>75</v>
      </c>
      <c r="D6839" s="503" t="s">
        <v>28840</v>
      </c>
      <c r="H6839">
        <f t="shared" si="201"/>
        <v>54.67</v>
      </c>
    </row>
    <row r="6840" spans="1:8" ht="41.4">
      <c r="A6840" s="502" t="s">
        <v>6762</v>
      </c>
      <c r="B6840" s="504" t="s">
        <v>30086</v>
      </c>
      <c r="C6840" s="502" t="s">
        <v>73</v>
      </c>
      <c r="D6840" s="503" t="s">
        <v>34777</v>
      </c>
      <c r="H6840">
        <f t="shared" si="201"/>
        <v>216.72</v>
      </c>
    </row>
    <row r="6841" spans="1:8" ht="27.6">
      <c r="A6841" s="502" t="s">
        <v>6763</v>
      </c>
      <c r="B6841" s="504" t="s">
        <v>30088</v>
      </c>
      <c r="C6841" s="502" t="s">
        <v>75</v>
      </c>
      <c r="D6841" s="503" t="s">
        <v>11454</v>
      </c>
      <c r="H6841">
        <f t="shared" si="201"/>
        <v>65.63</v>
      </c>
    </row>
    <row r="6842" spans="1:8" ht="41.4">
      <c r="A6842" s="502" t="s">
        <v>30089</v>
      </c>
      <c r="B6842" s="504" t="s">
        <v>30090</v>
      </c>
      <c r="C6842" s="502" t="s">
        <v>73</v>
      </c>
      <c r="D6842" s="503" t="s">
        <v>30152</v>
      </c>
      <c r="H6842">
        <f t="shared" si="201"/>
        <v>281.95999999999998</v>
      </c>
    </row>
    <row r="6843" spans="1:8" ht="27.6">
      <c r="A6843" s="502" t="s">
        <v>6764</v>
      </c>
      <c r="B6843" s="504" t="s">
        <v>30091</v>
      </c>
      <c r="C6843" s="502" t="s">
        <v>73</v>
      </c>
      <c r="D6843" s="503" t="s">
        <v>34778</v>
      </c>
      <c r="H6843">
        <f t="shared" si="201"/>
        <v>66.03</v>
      </c>
    </row>
    <row r="6844" spans="1:8" ht="41.4">
      <c r="A6844" s="502" t="s">
        <v>6765</v>
      </c>
      <c r="B6844" s="504" t="s">
        <v>30092</v>
      </c>
      <c r="C6844" s="502" t="s">
        <v>73</v>
      </c>
      <c r="D6844" s="503" t="s">
        <v>34779</v>
      </c>
      <c r="H6844">
        <f t="shared" si="201"/>
        <v>98.75</v>
      </c>
    </row>
    <row r="6845" spans="1:8" ht="27.6">
      <c r="A6845" s="502" t="s">
        <v>6766</v>
      </c>
      <c r="B6845" s="504" t="s">
        <v>30093</v>
      </c>
      <c r="C6845" s="502" t="s">
        <v>73</v>
      </c>
      <c r="D6845" s="503" t="s">
        <v>34780</v>
      </c>
      <c r="H6845">
        <f t="shared" si="201"/>
        <v>59.62</v>
      </c>
    </row>
    <row r="6846" spans="1:8" ht="41.4">
      <c r="A6846" s="502" t="s">
        <v>6767</v>
      </c>
      <c r="B6846" s="504" t="s">
        <v>30094</v>
      </c>
      <c r="C6846" s="502" t="s">
        <v>73</v>
      </c>
      <c r="D6846" s="503" t="s">
        <v>27515</v>
      </c>
      <c r="H6846">
        <f t="shared" si="201"/>
        <v>97.09</v>
      </c>
    </row>
    <row r="6847" spans="1:8" ht="27.6">
      <c r="A6847" s="502" t="s">
        <v>6768</v>
      </c>
      <c r="B6847" s="504" t="s">
        <v>30095</v>
      </c>
      <c r="C6847" s="502" t="s">
        <v>75</v>
      </c>
      <c r="D6847" s="503" t="s">
        <v>34781</v>
      </c>
      <c r="H6847">
        <f t="shared" si="201"/>
        <v>3.86</v>
      </c>
    </row>
    <row r="6848" spans="1:8" ht="27.6">
      <c r="A6848" s="502" t="s">
        <v>6769</v>
      </c>
      <c r="B6848" s="504" t="s">
        <v>30096</v>
      </c>
      <c r="C6848" s="502" t="s">
        <v>75</v>
      </c>
      <c r="D6848" s="503" t="s">
        <v>26494</v>
      </c>
      <c r="H6848">
        <f t="shared" si="201"/>
        <v>37.119999999999997</v>
      </c>
    </row>
    <row r="6849" spans="1:8" ht="27.6">
      <c r="A6849" s="502" t="s">
        <v>9615</v>
      </c>
      <c r="B6849" s="504" t="s">
        <v>30097</v>
      </c>
      <c r="C6849" s="502" t="s">
        <v>73</v>
      </c>
      <c r="D6849" s="503" t="s">
        <v>29104</v>
      </c>
      <c r="H6849">
        <f t="shared" si="201"/>
        <v>75.5</v>
      </c>
    </row>
    <row r="6850" spans="1:8" ht="41.4">
      <c r="A6850" s="502" t="s">
        <v>6770</v>
      </c>
      <c r="B6850" s="504" t="s">
        <v>30098</v>
      </c>
      <c r="C6850" s="502" t="s">
        <v>73</v>
      </c>
      <c r="D6850" s="503" t="s">
        <v>34782</v>
      </c>
      <c r="H6850">
        <f t="shared" si="201"/>
        <v>81.7</v>
      </c>
    </row>
    <row r="6851" spans="1:8" ht="41.4">
      <c r="A6851" s="502" t="s">
        <v>6771</v>
      </c>
      <c r="B6851" s="504" t="s">
        <v>30099</v>
      </c>
      <c r="C6851" s="502" t="s">
        <v>73</v>
      </c>
      <c r="D6851" s="503" t="s">
        <v>34783</v>
      </c>
      <c r="H6851">
        <f t="shared" si="201"/>
        <v>81.900000000000006</v>
      </c>
    </row>
    <row r="6852" spans="1:8" ht="27.6">
      <c r="A6852" s="502" t="s">
        <v>6772</v>
      </c>
      <c r="B6852" s="504" t="s">
        <v>30100</v>
      </c>
      <c r="C6852" s="502" t="s">
        <v>75</v>
      </c>
      <c r="D6852" s="503" t="s">
        <v>34784</v>
      </c>
      <c r="H6852">
        <f t="shared" si="201"/>
        <v>17.309999999999999</v>
      </c>
    </row>
    <row r="6853" spans="1:8" ht="41.4">
      <c r="A6853" s="502" t="s">
        <v>6773</v>
      </c>
      <c r="B6853" s="504" t="s">
        <v>30101</v>
      </c>
      <c r="C6853" s="502" t="s">
        <v>73</v>
      </c>
      <c r="D6853" s="503" t="s">
        <v>28844</v>
      </c>
      <c r="H6853">
        <f t="shared" ref="H6853:H6916" si="202">ROUND(D6853*(1+$H$1),2)</f>
        <v>93.43</v>
      </c>
    </row>
    <row r="6854" spans="1:8" ht="41.4">
      <c r="A6854" s="502" t="s">
        <v>6774</v>
      </c>
      <c r="B6854" s="504" t="s">
        <v>30102</v>
      </c>
      <c r="C6854" s="502" t="s">
        <v>73</v>
      </c>
      <c r="D6854" s="503" t="s">
        <v>32350</v>
      </c>
      <c r="H6854">
        <f t="shared" si="202"/>
        <v>93.63</v>
      </c>
    </row>
    <row r="6855" spans="1:8" ht="55.2">
      <c r="A6855" s="502" t="s">
        <v>6775</v>
      </c>
      <c r="B6855" s="504" t="s">
        <v>34785</v>
      </c>
      <c r="C6855" s="502" t="s">
        <v>73</v>
      </c>
      <c r="D6855" s="503" t="s">
        <v>7353</v>
      </c>
      <c r="H6855">
        <f t="shared" si="202"/>
        <v>7.02</v>
      </c>
    </row>
    <row r="6856" spans="1:8" ht="55.2">
      <c r="A6856" s="502" t="s">
        <v>6777</v>
      </c>
      <c r="B6856" s="504" t="s">
        <v>34786</v>
      </c>
      <c r="C6856" s="502" t="s">
        <v>73</v>
      </c>
      <c r="D6856" s="503" t="s">
        <v>10320</v>
      </c>
      <c r="H6856">
        <f t="shared" si="202"/>
        <v>2.92</v>
      </c>
    </row>
    <row r="6857" spans="1:8" ht="55.2">
      <c r="A6857" s="502" t="s">
        <v>6778</v>
      </c>
      <c r="B6857" s="504" t="s">
        <v>34787</v>
      </c>
      <c r="C6857" s="502" t="s">
        <v>73</v>
      </c>
      <c r="D6857" s="503" t="s">
        <v>32723</v>
      </c>
      <c r="H6857">
        <f t="shared" si="202"/>
        <v>2.96</v>
      </c>
    </row>
    <row r="6858" spans="1:8" ht="55.2">
      <c r="A6858" s="502" t="s">
        <v>6779</v>
      </c>
      <c r="B6858" s="504" t="s">
        <v>34788</v>
      </c>
      <c r="C6858" s="502" t="s">
        <v>73</v>
      </c>
      <c r="D6858" s="503" t="s">
        <v>17321</v>
      </c>
      <c r="H6858">
        <f t="shared" si="202"/>
        <v>5</v>
      </c>
    </row>
    <row r="6859" spans="1:8" ht="55.2">
      <c r="A6859" s="502" t="s">
        <v>6780</v>
      </c>
      <c r="B6859" s="504" t="s">
        <v>34789</v>
      </c>
      <c r="C6859" s="502" t="s">
        <v>73</v>
      </c>
      <c r="D6859" s="503" t="s">
        <v>32739</v>
      </c>
      <c r="H6859">
        <f t="shared" si="202"/>
        <v>9.85</v>
      </c>
    </row>
    <row r="6860" spans="1:8" ht="55.2">
      <c r="A6860" s="502" t="s">
        <v>26884</v>
      </c>
      <c r="B6860" s="504" t="s">
        <v>34790</v>
      </c>
      <c r="C6860" s="502" t="s">
        <v>73</v>
      </c>
      <c r="D6860" s="503" t="s">
        <v>9996</v>
      </c>
      <c r="H6860">
        <f t="shared" si="202"/>
        <v>4.49</v>
      </c>
    </row>
    <row r="6861" spans="1:8" ht="55.2">
      <c r="A6861" s="502" t="s">
        <v>26885</v>
      </c>
      <c r="B6861" s="504" t="s">
        <v>34791</v>
      </c>
      <c r="C6861" s="502" t="s">
        <v>73</v>
      </c>
      <c r="D6861" s="503" t="s">
        <v>4607</v>
      </c>
      <c r="H6861">
        <f t="shared" si="202"/>
        <v>7.64</v>
      </c>
    </row>
    <row r="6862" spans="1:8" ht="55.2">
      <c r="A6862" s="502" t="s">
        <v>26886</v>
      </c>
      <c r="B6862" s="504" t="s">
        <v>34792</v>
      </c>
      <c r="C6862" s="502" t="s">
        <v>73</v>
      </c>
      <c r="D6862" s="503" t="s">
        <v>3987</v>
      </c>
      <c r="H6862">
        <f t="shared" si="202"/>
        <v>8.65</v>
      </c>
    </row>
    <row r="6863" spans="1:8" ht="55.2">
      <c r="A6863" s="502" t="s">
        <v>26887</v>
      </c>
      <c r="B6863" s="504" t="s">
        <v>34793</v>
      </c>
      <c r="C6863" s="502" t="s">
        <v>73</v>
      </c>
      <c r="D6863" s="503" t="s">
        <v>17548</v>
      </c>
      <c r="H6863">
        <f t="shared" si="202"/>
        <v>16.2</v>
      </c>
    </row>
    <row r="6864" spans="1:8" ht="55.2">
      <c r="A6864" s="502" t="s">
        <v>26888</v>
      </c>
      <c r="B6864" s="504" t="s">
        <v>34794</v>
      </c>
      <c r="C6864" s="502" t="s">
        <v>73</v>
      </c>
      <c r="D6864" s="503" t="s">
        <v>34795</v>
      </c>
      <c r="H6864">
        <f t="shared" si="202"/>
        <v>2.4500000000000002</v>
      </c>
    </row>
    <row r="6865" spans="1:8" ht="55.2">
      <c r="A6865" s="502" t="s">
        <v>26889</v>
      </c>
      <c r="B6865" s="504" t="s">
        <v>34796</v>
      </c>
      <c r="C6865" s="502" t="s">
        <v>73</v>
      </c>
      <c r="D6865" s="503" t="s">
        <v>2904</v>
      </c>
      <c r="H6865">
        <f t="shared" si="202"/>
        <v>5.57</v>
      </c>
    </row>
    <row r="6866" spans="1:8" ht="55.2">
      <c r="A6866" s="502" t="s">
        <v>26890</v>
      </c>
      <c r="B6866" s="504" t="s">
        <v>34797</v>
      </c>
      <c r="C6866" s="502" t="s">
        <v>73</v>
      </c>
      <c r="D6866" s="503" t="s">
        <v>10383</v>
      </c>
      <c r="H6866">
        <f t="shared" si="202"/>
        <v>3.82</v>
      </c>
    </row>
    <row r="6867" spans="1:8" ht="69">
      <c r="A6867" s="502" t="s">
        <v>26891</v>
      </c>
      <c r="B6867" s="504" t="s">
        <v>34798</v>
      </c>
      <c r="C6867" s="502" t="s">
        <v>73</v>
      </c>
      <c r="D6867" s="503" t="s">
        <v>30552</v>
      </c>
      <c r="H6867">
        <f t="shared" si="202"/>
        <v>6.09</v>
      </c>
    </row>
    <row r="6868" spans="1:8" ht="55.2">
      <c r="A6868" s="502" t="s">
        <v>26892</v>
      </c>
      <c r="B6868" s="504" t="s">
        <v>34799</v>
      </c>
      <c r="C6868" s="502" t="s">
        <v>73</v>
      </c>
      <c r="D6868" s="503" t="s">
        <v>33307</v>
      </c>
      <c r="H6868">
        <f t="shared" si="202"/>
        <v>21.49</v>
      </c>
    </row>
    <row r="6869" spans="1:8" ht="55.2">
      <c r="A6869" s="502" t="s">
        <v>26893</v>
      </c>
      <c r="B6869" s="504" t="s">
        <v>34800</v>
      </c>
      <c r="C6869" s="502" t="s">
        <v>73</v>
      </c>
      <c r="D6869" s="503" t="s">
        <v>10080</v>
      </c>
      <c r="H6869">
        <f t="shared" si="202"/>
        <v>13.84</v>
      </c>
    </row>
    <row r="6870" spans="1:8" ht="69">
      <c r="A6870" s="502" t="s">
        <v>26894</v>
      </c>
      <c r="B6870" s="504" t="s">
        <v>34801</v>
      </c>
      <c r="C6870" s="502" t="s">
        <v>73</v>
      </c>
      <c r="D6870" s="503" t="s">
        <v>31645</v>
      </c>
      <c r="H6870">
        <f t="shared" si="202"/>
        <v>19.21</v>
      </c>
    </row>
    <row r="6871" spans="1:8" ht="55.2">
      <c r="A6871" s="502" t="s">
        <v>26895</v>
      </c>
      <c r="B6871" s="504" t="s">
        <v>34802</v>
      </c>
      <c r="C6871" s="502" t="s">
        <v>73</v>
      </c>
      <c r="D6871" s="503" t="s">
        <v>34803</v>
      </c>
      <c r="H6871">
        <f t="shared" si="202"/>
        <v>11.51</v>
      </c>
    </row>
    <row r="6872" spans="1:8" ht="55.2">
      <c r="A6872" s="502" t="s">
        <v>34804</v>
      </c>
      <c r="B6872" s="504" t="s">
        <v>34805</v>
      </c>
      <c r="C6872" s="502" t="s">
        <v>73</v>
      </c>
      <c r="D6872" s="503" t="s">
        <v>33957</v>
      </c>
      <c r="H6872">
        <f t="shared" si="202"/>
        <v>13.46</v>
      </c>
    </row>
    <row r="6873" spans="1:8" ht="69">
      <c r="A6873" s="502" t="s">
        <v>34806</v>
      </c>
      <c r="B6873" s="504" t="s">
        <v>34807</v>
      </c>
      <c r="C6873" s="502" t="s">
        <v>73</v>
      </c>
      <c r="D6873" s="503" t="s">
        <v>32793</v>
      </c>
      <c r="H6873">
        <f t="shared" si="202"/>
        <v>6.36</v>
      </c>
    </row>
    <row r="6874" spans="1:8" ht="55.2">
      <c r="A6874" s="502" t="s">
        <v>34808</v>
      </c>
      <c r="B6874" s="504" t="s">
        <v>34809</v>
      </c>
      <c r="C6874" s="502" t="s">
        <v>73</v>
      </c>
      <c r="D6874" s="503" t="s">
        <v>16442</v>
      </c>
      <c r="H6874">
        <f t="shared" si="202"/>
        <v>14.66</v>
      </c>
    </row>
    <row r="6875" spans="1:8" ht="69">
      <c r="A6875" s="502" t="s">
        <v>34810</v>
      </c>
      <c r="B6875" s="504" t="s">
        <v>34811</v>
      </c>
      <c r="C6875" s="502" t="s">
        <v>73</v>
      </c>
      <c r="D6875" s="503" t="s">
        <v>32792</v>
      </c>
      <c r="H6875">
        <f t="shared" si="202"/>
        <v>7.56</v>
      </c>
    </row>
    <row r="6876" spans="1:8" ht="55.2">
      <c r="A6876" s="502" t="s">
        <v>34812</v>
      </c>
      <c r="B6876" s="504" t="s">
        <v>34813</v>
      </c>
      <c r="C6876" s="502" t="s">
        <v>73</v>
      </c>
      <c r="D6876" s="503" t="s">
        <v>7396</v>
      </c>
      <c r="H6876">
        <f t="shared" si="202"/>
        <v>21.01</v>
      </c>
    </row>
    <row r="6877" spans="1:8" ht="69">
      <c r="A6877" s="502" t="s">
        <v>34814</v>
      </c>
      <c r="B6877" s="504" t="s">
        <v>34815</v>
      </c>
      <c r="C6877" s="502" t="s">
        <v>73</v>
      </c>
      <c r="D6877" s="503" t="s">
        <v>7344</v>
      </c>
      <c r="H6877">
        <f t="shared" si="202"/>
        <v>13.91</v>
      </c>
    </row>
    <row r="6878" spans="1:8" ht="55.2">
      <c r="A6878" s="502" t="s">
        <v>34816</v>
      </c>
      <c r="B6878" s="504" t="s">
        <v>34817</v>
      </c>
      <c r="C6878" s="502" t="s">
        <v>73</v>
      </c>
      <c r="D6878" s="503" t="s">
        <v>29550</v>
      </c>
      <c r="H6878">
        <f t="shared" si="202"/>
        <v>24.25</v>
      </c>
    </row>
    <row r="6879" spans="1:8" ht="69">
      <c r="A6879" s="502" t="s">
        <v>34818</v>
      </c>
      <c r="B6879" s="504" t="s">
        <v>34819</v>
      </c>
      <c r="C6879" s="502" t="s">
        <v>73</v>
      </c>
      <c r="D6879" s="503" t="s">
        <v>16150</v>
      </c>
      <c r="H6879">
        <f t="shared" si="202"/>
        <v>17.079999999999998</v>
      </c>
    </row>
    <row r="6880" spans="1:8" ht="55.2">
      <c r="A6880" s="502" t="s">
        <v>34820</v>
      </c>
      <c r="B6880" s="504" t="s">
        <v>34821</v>
      </c>
      <c r="C6880" s="502" t="s">
        <v>73</v>
      </c>
      <c r="D6880" s="503" t="s">
        <v>9913</v>
      </c>
      <c r="H6880">
        <f t="shared" si="202"/>
        <v>16.600000000000001</v>
      </c>
    </row>
    <row r="6881" spans="1:8" ht="69">
      <c r="A6881" s="502" t="s">
        <v>34822</v>
      </c>
      <c r="B6881" s="504" t="s">
        <v>34823</v>
      </c>
      <c r="C6881" s="502" t="s">
        <v>73</v>
      </c>
      <c r="D6881" s="503" t="s">
        <v>9781</v>
      </c>
      <c r="H6881">
        <f t="shared" si="202"/>
        <v>9.43</v>
      </c>
    </row>
    <row r="6882" spans="1:8" ht="69">
      <c r="A6882" s="502" t="s">
        <v>34824</v>
      </c>
      <c r="B6882" s="504" t="s">
        <v>34825</v>
      </c>
      <c r="C6882" s="502" t="s">
        <v>73</v>
      </c>
      <c r="D6882" s="503" t="s">
        <v>32356</v>
      </c>
      <c r="H6882">
        <f t="shared" si="202"/>
        <v>21.97</v>
      </c>
    </row>
    <row r="6883" spans="1:8" ht="69">
      <c r="A6883" s="502" t="s">
        <v>34826</v>
      </c>
      <c r="B6883" s="504" t="s">
        <v>34827</v>
      </c>
      <c r="C6883" s="502" t="s">
        <v>73</v>
      </c>
      <c r="D6883" s="503" t="s">
        <v>3158</v>
      </c>
      <c r="H6883">
        <f t="shared" si="202"/>
        <v>14.8</v>
      </c>
    </row>
    <row r="6884" spans="1:8" ht="55.2">
      <c r="A6884" s="502" t="s">
        <v>34828</v>
      </c>
      <c r="B6884" s="504" t="s">
        <v>34829</v>
      </c>
      <c r="C6884" s="502" t="s">
        <v>73</v>
      </c>
      <c r="D6884" s="503" t="s">
        <v>24528</v>
      </c>
      <c r="H6884">
        <f t="shared" si="202"/>
        <v>14.27</v>
      </c>
    </row>
    <row r="6885" spans="1:8" ht="69">
      <c r="A6885" s="502" t="s">
        <v>34830</v>
      </c>
      <c r="B6885" s="504" t="s">
        <v>34831</v>
      </c>
      <c r="C6885" s="502" t="s">
        <v>73</v>
      </c>
      <c r="D6885" s="503" t="s">
        <v>7637</v>
      </c>
      <c r="H6885">
        <f t="shared" si="202"/>
        <v>7.1</v>
      </c>
    </row>
    <row r="6886" spans="1:8" ht="69">
      <c r="A6886" s="502" t="s">
        <v>6781</v>
      </c>
      <c r="B6886" s="504" t="s">
        <v>10789</v>
      </c>
      <c r="C6886" s="502" t="s">
        <v>83</v>
      </c>
      <c r="D6886" s="503" t="s">
        <v>34832</v>
      </c>
      <c r="H6886">
        <f t="shared" si="202"/>
        <v>564.30999999999995</v>
      </c>
    </row>
    <row r="6887" spans="1:8" ht="69">
      <c r="A6887" s="502" t="s">
        <v>6782</v>
      </c>
      <c r="B6887" s="504" t="s">
        <v>10790</v>
      </c>
      <c r="C6887" s="502" t="s">
        <v>83</v>
      </c>
      <c r="D6887" s="503" t="s">
        <v>34833</v>
      </c>
      <c r="H6887">
        <f t="shared" si="202"/>
        <v>541.33000000000004</v>
      </c>
    </row>
    <row r="6888" spans="1:8" ht="69">
      <c r="A6888" s="502" t="s">
        <v>6783</v>
      </c>
      <c r="B6888" s="504" t="s">
        <v>10791</v>
      </c>
      <c r="C6888" s="502" t="s">
        <v>83</v>
      </c>
      <c r="D6888" s="503" t="s">
        <v>34834</v>
      </c>
      <c r="H6888">
        <f t="shared" si="202"/>
        <v>575.28</v>
      </c>
    </row>
    <row r="6889" spans="1:8" ht="69">
      <c r="A6889" s="502" t="s">
        <v>6784</v>
      </c>
      <c r="B6889" s="504" t="s">
        <v>10792</v>
      </c>
      <c r="C6889" s="502" t="s">
        <v>83</v>
      </c>
      <c r="D6889" s="503" t="s">
        <v>34835</v>
      </c>
      <c r="H6889">
        <f t="shared" si="202"/>
        <v>551.79</v>
      </c>
    </row>
    <row r="6890" spans="1:8" ht="55.2">
      <c r="A6890" s="502" t="s">
        <v>6785</v>
      </c>
      <c r="B6890" s="504" t="s">
        <v>10793</v>
      </c>
      <c r="C6890" s="502" t="s">
        <v>83</v>
      </c>
      <c r="D6890" s="503" t="s">
        <v>34836</v>
      </c>
      <c r="H6890">
        <f t="shared" si="202"/>
        <v>756.57</v>
      </c>
    </row>
    <row r="6891" spans="1:8" ht="55.2">
      <c r="A6891" s="502" t="s">
        <v>6786</v>
      </c>
      <c r="B6891" s="504" t="s">
        <v>10794</v>
      </c>
      <c r="C6891" s="502" t="s">
        <v>83</v>
      </c>
      <c r="D6891" s="503" t="s">
        <v>34837</v>
      </c>
      <c r="H6891">
        <f t="shared" si="202"/>
        <v>709.58</v>
      </c>
    </row>
    <row r="6892" spans="1:8" ht="55.2">
      <c r="A6892" s="502" t="s">
        <v>6787</v>
      </c>
      <c r="B6892" s="504" t="s">
        <v>10795</v>
      </c>
      <c r="C6892" s="502" t="s">
        <v>83</v>
      </c>
      <c r="D6892" s="503" t="s">
        <v>34838</v>
      </c>
      <c r="H6892">
        <f t="shared" si="202"/>
        <v>735.89</v>
      </c>
    </row>
    <row r="6893" spans="1:8" ht="55.2">
      <c r="A6893" s="502" t="s">
        <v>6788</v>
      </c>
      <c r="B6893" s="504" t="s">
        <v>10796</v>
      </c>
      <c r="C6893" s="502" t="s">
        <v>83</v>
      </c>
      <c r="D6893" s="503" t="s">
        <v>34839</v>
      </c>
      <c r="H6893">
        <f t="shared" si="202"/>
        <v>707.65</v>
      </c>
    </row>
    <row r="6894" spans="1:8" ht="55.2">
      <c r="A6894" s="502" t="s">
        <v>6789</v>
      </c>
      <c r="B6894" s="504" t="s">
        <v>10797</v>
      </c>
      <c r="C6894" s="502" t="s">
        <v>83</v>
      </c>
      <c r="D6894" s="503" t="s">
        <v>34840</v>
      </c>
      <c r="H6894">
        <f t="shared" si="202"/>
        <v>754.46</v>
      </c>
    </row>
    <row r="6895" spans="1:8" ht="55.2">
      <c r="A6895" s="502" t="s">
        <v>6790</v>
      </c>
      <c r="B6895" s="504" t="s">
        <v>10798</v>
      </c>
      <c r="C6895" s="502" t="s">
        <v>83</v>
      </c>
      <c r="D6895" s="503" t="s">
        <v>34841</v>
      </c>
      <c r="H6895">
        <f t="shared" si="202"/>
        <v>712.02</v>
      </c>
    </row>
    <row r="6896" spans="1:8" ht="55.2">
      <c r="A6896" s="502" t="s">
        <v>6791</v>
      </c>
      <c r="B6896" s="504" t="s">
        <v>10799</v>
      </c>
      <c r="C6896" s="502" t="s">
        <v>83</v>
      </c>
      <c r="D6896" s="503" t="s">
        <v>34842</v>
      </c>
      <c r="H6896">
        <f t="shared" si="202"/>
        <v>756.91</v>
      </c>
    </row>
    <row r="6897" spans="1:8" ht="55.2">
      <c r="A6897" s="502" t="s">
        <v>6792</v>
      </c>
      <c r="B6897" s="504" t="s">
        <v>10800</v>
      </c>
      <c r="C6897" s="502" t="s">
        <v>83</v>
      </c>
      <c r="D6897" s="503" t="s">
        <v>34843</v>
      </c>
      <c r="H6897">
        <f t="shared" si="202"/>
        <v>693.05</v>
      </c>
    </row>
    <row r="6898" spans="1:8" ht="41.4">
      <c r="A6898" s="502" t="s">
        <v>6793</v>
      </c>
      <c r="B6898" s="504" t="s">
        <v>10801</v>
      </c>
      <c r="C6898" s="502" t="s">
        <v>83</v>
      </c>
      <c r="D6898" s="503" t="s">
        <v>34844</v>
      </c>
      <c r="H6898">
        <f t="shared" si="202"/>
        <v>831.08</v>
      </c>
    </row>
    <row r="6899" spans="1:8" ht="41.4">
      <c r="A6899" s="502" t="s">
        <v>6794</v>
      </c>
      <c r="B6899" s="504" t="s">
        <v>10802</v>
      </c>
      <c r="C6899" s="502" t="s">
        <v>83</v>
      </c>
      <c r="D6899" s="503" t="s">
        <v>34845</v>
      </c>
      <c r="H6899">
        <f t="shared" si="202"/>
        <v>552.16</v>
      </c>
    </row>
    <row r="6900" spans="1:8" ht="41.4">
      <c r="A6900" s="502" t="s">
        <v>6795</v>
      </c>
      <c r="B6900" s="504" t="s">
        <v>10803</v>
      </c>
      <c r="C6900" s="502" t="s">
        <v>83</v>
      </c>
      <c r="D6900" s="503" t="s">
        <v>34846</v>
      </c>
      <c r="H6900">
        <f t="shared" si="202"/>
        <v>759.09</v>
      </c>
    </row>
    <row r="6901" spans="1:8" ht="41.4">
      <c r="A6901" s="502" t="s">
        <v>6796</v>
      </c>
      <c r="B6901" s="504" t="s">
        <v>10804</v>
      </c>
      <c r="C6901" s="502" t="s">
        <v>83</v>
      </c>
      <c r="D6901" s="503" t="s">
        <v>34847</v>
      </c>
      <c r="H6901">
        <f t="shared" si="202"/>
        <v>730.1</v>
      </c>
    </row>
    <row r="6902" spans="1:8" ht="41.4">
      <c r="A6902" s="502" t="s">
        <v>6797</v>
      </c>
      <c r="B6902" s="504" t="s">
        <v>10805</v>
      </c>
      <c r="C6902" s="502" t="s">
        <v>83</v>
      </c>
      <c r="D6902" s="503" t="s">
        <v>34848</v>
      </c>
      <c r="H6902">
        <f t="shared" si="202"/>
        <v>684.07</v>
      </c>
    </row>
    <row r="6903" spans="1:8" ht="15" customHeight="1">
      <c r="A6903" t="s">
        <v>6798</v>
      </c>
      <c r="B6903" s="56" t="s">
        <v>10806</v>
      </c>
      <c r="C6903" t="s">
        <v>83</v>
      </c>
      <c r="D6903" t="s">
        <v>34849</v>
      </c>
      <c r="H6903">
        <f t="shared" si="202"/>
        <v>677.82</v>
      </c>
    </row>
    <row r="6904" spans="1:8" ht="15" customHeight="1">
      <c r="A6904" s="58" t="s">
        <v>6799</v>
      </c>
      <c r="B6904" s="20" t="s">
        <v>10807</v>
      </c>
      <c r="C6904" s="58" t="s">
        <v>83</v>
      </c>
      <c r="D6904" s="58" t="s">
        <v>34850</v>
      </c>
      <c r="H6904">
        <f t="shared" si="202"/>
        <v>660.31</v>
      </c>
    </row>
    <row r="6905" spans="1:8" ht="15" customHeight="1">
      <c r="A6905" s="58" t="s">
        <v>6800</v>
      </c>
      <c r="B6905" s="20" t="s">
        <v>10808</v>
      </c>
      <c r="C6905" s="58" t="s">
        <v>83</v>
      </c>
      <c r="D6905" s="58" t="s">
        <v>29547</v>
      </c>
      <c r="H6905">
        <f t="shared" si="202"/>
        <v>632.67999999999995</v>
      </c>
    </row>
    <row r="6906" spans="1:8" ht="15" customHeight="1">
      <c r="A6906" s="58" t="s">
        <v>6801</v>
      </c>
      <c r="B6906" s="20" t="s">
        <v>10809</v>
      </c>
      <c r="C6906" s="58" t="s">
        <v>83</v>
      </c>
      <c r="D6906" s="58" t="s">
        <v>34851</v>
      </c>
      <c r="H6906">
        <f t="shared" si="202"/>
        <v>555.35</v>
      </c>
    </row>
    <row r="6907" spans="1:8" ht="15" customHeight="1">
      <c r="A6907" s="58" t="s">
        <v>6802</v>
      </c>
      <c r="B6907" s="20" t="s">
        <v>10810</v>
      </c>
      <c r="C6907" s="58" t="s">
        <v>83</v>
      </c>
      <c r="D6907" s="58" t="s">
        <v>34852</v>
      </c>
      <c r="H6907">
        <f t="shared" si="202"/>
        <v>528.29999999999995</v>
      </c>
    </row>
    <row r="6908" spans="1:8" ht="15" customHeight="1">
      <c r="A6908" s="58" t="s">
        <v>6803</v>
      </c>
      <c r="B6908" s="20" t="s">
        <v>10811</v>
      </c>
      <c r="C6908" s="58" t="s">
        <v>83</v>
      </c>
      <c r="D6908" s="58" t="s">
        <v>34853</v>
      </c>
      <c r="H6908">
        <f t="shared" si="202"/>
        <v>663.31</v>
      </c>
    </row>
    <row r="6909" spans="1:8" ht="15" customHeight="1">
      <c r="A6909" s="58" t="s">
        <v>6804</v>
      </c>
      <c r="B6909" s="20" t="s">
        <v>10812</v>
      </c>
      <c r="C6909" s="58" t="s">
        <v>83</v>
      </c>
      <c r="D6909" s="58" t="s">
        <v>34854</v>
      </c>
      <c r="H6909">
        <f t="shared" si="202"/>
        <v>638.30999999999995</v>
      </c>
    </row>
    <row r="6910" spans="1:8" ht="15" customHeight="1">
      <c r="A6910" s="58" t="s">
        <v>6805</v>
      </c>
      <c r="B6910" s="20" t="s">
        <v>10813</v>
      </c>
      <c r="C6910" s="58" t="s">
        <v>83</v>
      </c>
      <c r="D6910" s="58" t="s">
        <v>34855</v>
      </c>
      <c r="H6910">
        <f t="shared" si="202"/>
        <v>611.64</v>
      </c>
    </row>
    <row r="6911" spans="1:8" ht="15" customHeight="1">
      <c r="A6911" s="58" t="s">
        <v>6806</v>
      </c>
      <c r="B6911" s="20" t="s">
        <v>10814</v>
      </c>
      <c r="C6911" s="58" t="s">
        <v>83</v>
      </c>
      <c r="D6911" s="58" t="s">
        <v>34856</v>
      </c>
      <c r="H6911">
        <f t="shared" si="202"/>
        <v>573.35</v>
      </c>
    </row>
    <row r="6912" spans="1:8" ht="15" customHeight="1">
      <c r="A6912" s="58" t="s">
        <v>6807</v>
      </c>
      <c r="B6912" s="20" t="s">
        <v>10815</v>
      </c>
      <c r="C6912" s="58" t="s">
        <v>83</v>
      </c>
      <c r="D6912" s="58" t="s">
        <v>34857</v>
      </c>
      <c r="H6912">
        <f t="shared" si="202"/>
        <v>3584.17</v>
      </c>
    </row>
    <row r="6913" spans="1:8" ht="15" customHeight="1">
      <c r="A6913" s="58" t="s">
        <v>6808</v>
      </c>
      <c r="B6913" s="20" t="s">
        <v>10816</v>
      </c>
      <c r="C6913" s="58" t="s">
        <v>83</v>
      </c>
      <c r="D6913" s="58" t="s">
        <v>34858</v>
      </c>
      <c r="H6913">
        <f t="shared" si="202"/>
        <v>3573.46</v>
      </c>
    </row>
    <row r="6914" spans="1:8" ht="15" customHeight="1">
      <c r="A6914" s="58" t="s">
        <v>6809</v>
      </c>
      <c r="B6914" s="20" t="s">
        <v>10817</v>
      </c>
      <c r="C6914" s="58" t="s">
        <v>83</v>
      </c>
      <c r="D6914" s="58" t="s">
        <v>34859</v>
      </c>
      <c r="H6914">
        <f t="shared" si="202"/>
        <v>3710.04</v>
      </c>
    </row>
    <row r="6915" spans="1:8" ht="15" customHeight="1">
      <c r="A6915" s="58" t="s">
        <v>6810</v>
      </c>
      <c r="B6915" s="20" t="s">
        <v>10818</v>
      </c>
      <c r="C6915" s="58" t="s">
        <v>83</v>
      </c>
      <c r="D6915" s="58" t="s">
        <v>34860</v>
      </c>
      <c r="H6915">
        <f t="shared" si="202"/>
        <v>3685.51</v>
      </c>
    </row>
    <row r="6916" spans="1:8" ht="15" customHeight="1">
      <c r="A6916" s="58" t="s">
        <v>6811</v>
      </c>
      <c r="B6916" s="20" t="s">
        <v>10819</v>
      </c>
      <c r="C6916" s="58" t="s">
        <v>83</v>
      </c>
      <c r="D6916" s="58" t="s">
        <v>34861</v>
      </c>
      <c r="H6916">
        <f t="shared" si="202"/>
        <v>3623.92</v>
      </c>
    </row>
    <row r="6917" spans="1:8" ht="15" customHeight="1">
      <c r="A6917" s="58" t="s">
        <v>6812</v>
      </c>
      <c r="B6917" s="20" t="s">
        <v>10820</v>
      </c>
      <c r="C6917" s="58" t="s">
        <v>83</v>
      </c>
      <c r="D6917" s="58" t="s">
        <v>34862</v>
      </c>
      <c r="H6917">
        <f t="shared" ref="H6917:H6980" si="203">ROUND(D6917*(1+$H$1),2)</f>
        <v>3603.23</v>
      </c>
    </row>
    <row r="6918" spans="1:8" ht="15" customHeight="1">
      <c r="A6918" s="58" t="s">
        <v>6813</v>
      </c>
      <c r="B6918" s="20" t="s">
        <v>10821</v>
      </c>
      <c r="C6918" s="58" t="s">
        <v>83</v>
      </c>
      <c r="D6918" s="58" t="s">
        <v>33548</v>
      </c>
      <c r="H6918">
        <f t="shared" si="203"/>
        <v>607.77</v>
      </c>
    </row>
    <row r="6919" spans="1:8" ht="15" customHeight="1">
      <c r="A6919" s="58" t="s">
        <v>6814</v>
      </c>
      <c r="B6919" s="20" t="s">
        <v>10822</v>
      </c>
      <c r="C6919" s="58" t="s">
        <v>83</v>
      </c>
      <c r="D6919" s="58" t="s">
        <v>34863</v>
      </c>
      <c r="H6919">
        <f t="shared" si="203"/>
        <v>493.44</v>
      </c>
    </row>
    <row r="6920" spans="1:8" ht="15" customHeight="1">
      <c r="A6920" s="58" t="s">
        <v>6815</v>
      </c>
      <c r="B6920" s="20" t="s">
        <v>10823</v>
      </c>
      <c r="C6920" s="58" t="s">
        <v>83</v>
      </c>
      <c r="D6920" s="58" t="s">
        <v>34864</v>
      </c>
      <c r="H6920">
        <f t="shared" si="203"/>
        <v>654.72</v>
      </c>
    </row>
    <row r="6921" spans="1:8" ht="15" customHeight="1">
      <c r="A6921" s="58" t="s">
        <v>6816</v>
      </c>
      <c r="B6921" s="20" t="s">
        <v>10824</v>
      </c>
      <c r="C6921" s="58" t="s">
        <v>83</v>
      </c>
      <c r="D6921" s="58" t="s">
        <v>34865</v>
      </c>
      <c r="H6921">
        <f t="shared" si="203"/>
        <v>526.11</v>
      </c>
    </row>
    <row r="6922" spans="1:8" ht="15" customHeight="1">
      <c r="A6922" s="58" t="s">
        <v>6817</v>
      </c>
      <c r="B6922" s="20" t="s">
        <v>10825</v>
      </c>
      <c r="C6922" s="58" t="s">
        <v>83</v>
      </c>
      <c r="D6922" s="58" t="s">
        <v>34866</v>
      </c>
      <c r="H6922">
        <f t="shared" si="203"/>
        <v>798.29</v>
      </c>
    </row>
    <row r="6923" spans="1:8" ht="15" customHeight="1">
      <c r="A6923" s="58" t="s">
        <v>6818</v>
      </c>
      <c r="B6923" s="20" t="s">
        <v>10826</v>
      </c>
      <c r="C6923" s="58" t="s">
        <v>83</v>
      </c>
      <c r="D6923" s="58" t="s">
        <v>34867</v>
      </c>
      <c r="H6923">
        <f t="shared" si="203"/>
        <v>678.87</v>
      </c>
    </row>
    <row r="6924" spans="1:8" ht="15" customHeight="1">
      <c r="A6924" s="58" t="s">
        <v>6819</v>
      </c>
      <c r="B6924" s="20" t="s">
        <v>10827</v>
      </c>
      <c r="C6924" s="58" t="s">
        <v>83</v>
      </c>
      <c r="D6924" s="58" t="s">
        <v>28618</v>
      </c>
      <c r="H6924">
        <f t="shared" si="203"/>
        <v>748.43</v>
      </c>
    </row>
    <row r="6925" spans="1:8" ht="15" customHeight="1">
      <c r="A6925" s="58" t="s">
        <v>6820</v>
      </c>
      <c r="B6925" s="20" t="s">
        <v>10828</v>
      </c>
      <c r="C6925" s="58" t="s">
        <v>83</v>
      </c>
      <c r="D6925" s="58" t="s">
        <v>34868</v>
      </c>
      <c r="H6925">
        <f t="shared" si="203"/>
        <v>673.73</v>
      </c>
    </row>
    <row r="6926" spans="1:8" ht="15" customHeight="1">
      <c r="A6926" s="58" t="s">
        <v>6821</v>
      </c>
      <c r="B6926" s="20" t="s">
        <v>10829</v>
      </c>
      <c r="C6926" s="58" t="s">
        <v>83</v>
      </c>
      <c r="D6926" s="58" t="s">
        <v>34869</v>
      </c>
      <c r="H6926">
        <f t="shared" si="203"/>
        <v>733.82</v>
      </c>
    </row>
    <row r="6927" spans="1:8" ht="15" customHeight="1">
      <c r="A6927" s="58" t="s">
        <v>6822</v>
      </c>
      <c r="B6927" s="20" t="s">
        <v>10830</v>
      </c>
      <c r="C6927" s="58" t="s">
        <v>83</v>
      </c>
      <c r="D6927" s="58" t="s">
        <v>34870</v>
      </c>
      <c r="H6927">
        <f t="shared" si="203"/>
        <v>700.99</v>
      </c>
    </row>
    <row r="6928" spans="1:8" ht="15" customHeight="1">
      <c r="A6928" s="58" t="s">
        <v>6823</v>
      </c>
      <c r="B6928" s="20" t="s">
        <v>10831</v>
      </c>
      <c r="C6928" s="58" t="s">
        <v>83</v>
      </c>
      <c r="D6928" s="58" t="s">
        <v>34871</v>
      </c>
      <c r="H6928">
        <f t="shared" si="203"/>
        <v>728.32</v>
      </c>
    </row>
    <row r="6929" spans="1:8" ht="15" customHeight="1">
      <c r="A6929" s="58" t="s">
        <v>6824</v>
      </c>
      <c r="B6929" s="20" t="s">
        <v>10832</v>
      </c>
      <c r="C6929" s="58" t="s">
        <v>83</v>
      </c>
      <c r="D6929" s="58" t="s">
        <v>34872</v>
      </c>
      <c r="H6929">
        <f t="shared" si="203"/>
        <v>697.18</v>
      </c>
    </row>
    <row r="6930" spans="1:8" ht="15" customHeight="1">
      <c r="A6930" s="58" t="s">
        <v>6825</v>
      </c>
      <c r="B6930" s="20" t="s">
        <v>10833</v>
      </c>
      <c r="C6930" s="58" t="s">
        <v>83</v>
      </c>
      <c r="D6930" s="58" t="s">
        <v>34873</v>
      </c>
      <c r="H6930">
        <f t="shared" si="203"/>
        <v>1065.5999999999999</v>
      </c>
    </row>
    <row r="6931" spans="1:8" ht="15" customHeight="1">
      <c r="A6931" s="58" t="s">
        <v>6826</v>
      </c>
      <c r="B6931" s="20" t="s">
        <v>10834</v>
      </c>
      <c r="C6931" s="58" t="s">
        <v>83</v>
      </c>
      <c r="D6931" s="58" t="s">
        <v>34874</v>
      </c>
      <c r="H6931">
        <f t="shared" si="203"/>
        <v>835.01</v>
      </c>
    </row>
    <row r="6932" spans="1:8" ht="15" customHeight="1">
      <c r="A6932" s="58" t="s">
        <v>6827</v>
      </c>
      <c r="B6932" s="20" t="s">
        <v>10835</v>
      </c>
      <c r="C6932" s="58" t="s">
        <v>83</v>
      </c>
      <c r="D6932" s="58" t="s">
        <v>34875</v>
      </c>
      <c r="H6932">
        <f t="shared" si="203"/>
        <v>771.78</v>
      </c>
    </row>
    <row r="6933" spans="1:8" ht="15" customHeight="1">
      <c r="A6933" s="58" t="s">
        <v>6828</v>
      </c>
      <c r="B6933" s="20" t="s">
        <v>10836</v>
      </c>
      <c r="C6933" s="58" t="s">
        <v>83</v>
      </c>
      <c r="D6933" s="58" t="s">
        <v>34876</v>
      </c>
      <c r="H6933">
        <f t="shared" si="203"/>
        <v>896.91</v>
      </c>
    </row>
    <row r="6934" spans="1:8" ht="15" customHeight="1">
      <c r="A6934" s="58" t="s">
        <v>6829</v>
      </c>
      <c r="B6934" s="20" t="s">
        <v>10837</v>
      </c>
      <c r="C6934" s="58" t="s">
        <v>83</v>
      </c>
      <c r="D6934" s="58" t="s">
        <v>34877</v>
      </c>
      <c r="H6934">
        <f t="shared" si="203"/>
        <v>766.21</v>
      </c>
    </row>
    <row r="6935" spans="1:8" ht="15" customHeight="1">
      <c r="A6935" s="58" t="s">
        <v>6830</v>
      </c>
      <c r="B6935" s="20" t="s">
        <v>10838</v>
      </c>
      <c r="C6935" s="58" t="s">
        <v>83</v>
      </c>
      <c r="D6935" s="58" t="s">
        <v>34878</v>
      </c>
      <c r="H6935">
        <f t="shared" si="203"/>
        <v>687.56</v>
      </c>
    </row>
    <row r="6936" spans="1:8" ht="15" customHeight="1">
      <c r="A6936" s="58" t="s">
        <v>6831</v>
      </c>
      <c r="B6936" s="20" t="s">
        <v>10839</v>
      </c>
      <c r="C6936" s="58" t="s">
        <v>83</v>
      </c>
      <c r="D6936" s="58" t="s">
        <v>34879</v>
      </c>
      <c r="H6936">
        <f t="shared" si="203"/>
        <v>801.58</v>
      </c>
    </row>
    <row r="6937" spans="1:8" ht="15" customHeight="1">
      <c r="A6937" s="58" t="s">
        <v>6832</v>
      </c>
      <c r="B6937" s="20" t="s">
        <v>10840</v>
      </c>
      <c r="C6937" s="58" t="s">
        <v>83</v>
      </c>
      <c r="D6937" s="58" t="s">
        <v>34880</v>
      </c>
      <c r="H6937">
        <f t="shared" si="203"/>
        <v>693.26</v>
      </c>
    </row>
    <row r="6938" spans="1:8" ht="15" customHeight="1">
      <c r="A6938" s="58" t="s">
        <v>6833</v>
      </c>
      <c r="B6938" s="20" t="s">
        <v>10841</v>
      </c>
      <c r="C6938" s="58" t="s">
        <v>83</v>
      </c>
      <c r="D6938" s="58" t="s">
        <v>34881</v>
      </c>
      <c r="H6938">
        <f t="shared" si="203"/>
        <v>630.23</v>
      </c>
    </row>
    <row r="6939" spans="1:8" ht="15" customHeight="1">
      <c r="A6939" s="58" t="s">
        <v>6834</v>
      </c>
      <c r="B6939" s="20" t="s">
        <v>10842</v>
      </c>
      <c r="C6939" s="58" t="s">
        <v>83</v>
      </c>
      <c r="D6939" s="58" t="s">
        <v>34882</v>
      </c>
      <c r="H6939">
        <f t="shared" si="203"/>
        <v>729.5</v>
      </c>
    </row>
    <row r="6940" spans="1:8" ht="15" customHeight="1">
      <c r="A6940" s="58" t="s">
        <v>6835</v>
      </c>
      <c r="B6940" s="20" t="s">
        <v>10843</v>
      </c>
      <c r="C6940" s="58" t="s">
        <v>83</v>
      </c>
      <c r="D6940" s="58" t="s">
        <v>34883</v>
      </c>
      <c r="H6940">
        <f t="shared" si="203"/>
        <v>581.52</v>
      </c>
    </row>
    <row r="6941" spans="1:8" ht="15" customHeight="1">
      <c r="A6941" s="58" t="s">
        <v>6836</v>
      </c>
      <c r="B6941" s="20" t="s">
        <v>10844</v>
      </c>
      <c r="C6941" s="58" t="s">
        <v>83</v>
      </c>
      <c r="D6941" s="58" t="s">
        <v>34884</v>
      </c>
      <c r="H6941">
        <f t="shared" si="203"/>
        <v>642.08000000000004</v>
      </c>
    </row>
    <row r="6942" spans="1:8" ht="15" customHeight="1">
      <c r="A6942" s="58" t="s">
        <v>6837</v>
      </c>
      <c r="B6942" s="20" t="s">
        <v>10845</v>
      </c>
      <c r="C6942" s="58" t="s">
        <v>83</v>
      </c>
      <c r="D6942" s="58" t="s">
        <v>34885</v>
      </c>
      <c r="H6942">
        <f t="shared" si="203"/>
        <v>505.04</v>
      </c>
    </row>
    <row r="6943" spans="1:8" ht="15" customHeight="1">
      <c r="A6943" s="58" t="s">
        <v>6838</v>
      </c>
      <c r="B6943" s="20" t="s">
        <v>10846</v>
      </c>
      <c r="C6943" s="58" t="s">
        <v>83</v>
      </c>
      <c r="D6943" s="58" t="s">
        <v>34886</v>
      </c>
      <c r="H6943">
        <f t="shared" si="203"/>
        <v>817.3</v>
      </c>
    </row>
    <row r="6944" spans="1:8" ht="15" customHeight="1">
      <c r="A6944" s="58" t="s">
        <v>6839</v>
      </c>
      <c r="B6944" s="20" t="s">
        <v>10847</v>
      </c>
      <c r="C6944" s="58" t="s">
        <v>83</v>
      </c>
      <c r="D6944" s="58" t="s">
        <v>34887</v>
      </c>
      <c r="H6944">
        <f t="shared" si="203"/>
        <v>675.91</v>
      </c>
    </row>
    <row r="6945" spans="1:8" ht="15" customHeight="1">
      <c r="A6945" s="58" t="s">
        <v>6840</v>
      </c>
      <c r="B6945" s="20" t="s">
        <v>10848</v>
      </c>
      <c r="C6945" s="58" t="s">
        <v>83</v>
      </c>
      <c r="D6945" s="58" t="s">
        <v>34888</v>
      </c>
      <c r="H6945">
        <f t="shared" si="203"/>
        <v>605.73</v>
      </c>
    </row>
    <row r="6946" spans="1:8" ht="15" customHeight="1">
      <c r="A6946" s="58" t="s">
        <v>6841</v>
      </c>
      <c r="B6946" s="20" t="s">
        <v>10849</v>
      </c>
      <c r="C6946" s="58" t="s">
        <v>83</v>
      </c>
      <c r="D6946" s="58" t="s">
        <v>34889</v>
      </c>
      <c r="H6946">
        <f t="shared" si="203"/>
        <v>686.38</v>
      </c>
    </row>
    <row r="6947" spans="1:8" ht="15" customHeight="1">
      <c r="A6947" s="58" t="s">
        <v>6842</v>
      </c>
      <c r="B6947" s="20" t="s">
        <v>10850</v>
      </c>
      <c r="C6947" s="58" t="s">
        <v>83</v>
      </c>
      <c r="D6947" s="58" t="s">
        <v>34890</v>
      </c>
      <c r="H6947">
        <f t="shared" si="203"/>
        <v>589.51</v>
      </c>
    </row>
    <row r="6948" spans="1:8" ht="15" customHeight="1">
      <c r="A6948" s="58" t="s">
        <v>6843</v>
      </c>
      <c r="B6948" s="20" t="s">
        <v>10851</v>
      </c>
      <c r="C6948" s="58" t="s">
        <v>83</v>
      </c>
      <c r="D6948" s="58" t="s">
        <v>34891</v>
      </c>
      <c r="H6948">
        <f t="shared" si="203"/>
        <v>538.05999999999995</v>
      </c>
    </row>
    <row r="6949" spans="1:8" ht="15" customHeight="1">
      <c r="A6949" s="58" t="s">
        <v>6844</v>
      </c>
      <c r="B6949" s="20" t="s">
        <v>10852</v>
      </c>
      <c r="C6949" s="58" t="s">
        <v>83</v>
      </c>
      <c r="D6949" s="58" t="s">
        <v>34892</v>
      </c>
      <c r="H6949">
        <f t="shared" si="203"/>
        <v>3567.41</v>
      </c>
    </row>
    <row r="6950" spans="1:8" ht="15" customHeight="1">
      <c r="A6950" s="58" t="s">
        <v>6845</v>
      </c>
      <c r="B6950" s="20" t="s">
        <v>10853</v>
      </c>
      <c r="C6950" s="58" t="s">
        <v>83</v>
      </c>
      <c r="D6950" s="58" t="s">
        <v>34893</v>
      </c>
      <c r="H6950">
        <f t="shared" si="203"/>
        <v>3499.73</v>
      </c>
    </row>
    <row r="6951" spans="1:8" ht="15" customHeight="1">
      <c r="A6951" s="58" t="s">
        <v>6846</v>
      </c>
      <c r="B6951" s="20" t="s">
        <v>10854</v>
      </c>
      <c r="C6951" s="58" t="s">
        <v>83</v>
      </c>
      <c r="D6951" s="58" t="s">
        <v>34894</v>
      </c>
      <c r="H6951">
        <f t="shared" si="203"/>
        <v>3713.88</v>
      </c>
    </row>
    <row r="6952" spans="1:8" ht="15" customHeight="1">
      <c r="A6952" s="58" t="s">
        <v>6847</v>
      </c>
      <c r="B6952" s="20" t="s">
        <v>10855</v>
      </c>
      <c r="C6952" s="58" t="s">
        <v>83</v>
      </c>
      <c r="D6952" s="58" t="s">
        <v>34895</v>
      </c>
      <c r="H6952">
        <f t="shared" si="203"/>
        <v>3617.04</v>
      </c>
    </row>
    <row r="6953" spans="1:8" ht="15" customHeight="1">
      <c r="A6953" s="58" t="s">
        <v>6848</v>
      </c>
      <c r="B6953" s="20" t="s">
        <v>10856</v>
      </c>
      <c r="C6953" s="58" t="s">
        <v>83</v>
      </c>
      <c r="D6953" s="58" t="s">
        <v>34896</v>
      </c>
      <c r="H6953">
        <f t="shared" si="203"/>
        <v>3590.31</v>
      </c>
    </row>
    <row r="6954" spans="1:8" ht="15" customHeight="1">
      <c r="A6954" s="58" t="s">
        <v>6849</v>
      </c>
      <c r="B6954" s="20" t="s">
        <v>10857</v>
      </c>
      <c r="C6954" s="58" t="s">
        <v>83</v>
      </c>
      <c r="D6954" s="58" t="s">
        <v>34897</v>
      </c>
      <c r="H6954">
        <f t="shared" si="203"/>
        <v>3618.86</v>
      </c>
    </row>
    <row r="6955" spans="1:8" ht="15" customHeight="1">
      <c r="A6955" s="58" t="s">
        <v>6850</v>
      </c>
      <c r="B6955" s="20" t="s">
        <v>10858</v>
      </c>
      <c r="C6955" s="58" t="s">
        <v>83</v>
      </c>
      <c r="D6955" s="58" t="s">
        <v>34898</v>
      </c>
      <c r="H6955">
        <f t="shared" si="203"/>
        <v>3534.34</v>
      </c>
    </row>
    <row r="6956" spans="1:8" ht="15" customHeight="1">
      <c r="A6956" s="58" t="s">
        <v>6851</v>
      </c>
      <c r="B6956" s="20" t="s">
        <v>10859</v>
      </c>
      <c r="C6956" s="58" t="s">
        <v>83</v>
      </c>
      <c r="D6956" s="58" t="s">
        <v>34899</v>
      </c>
      <c r="H6956">
        <f t="shared" si="203"/>
        <v>702.48</v>
      </c>
    </row>
    <row r="6957" spans="1:8" ht="15" customHeight="1">
      <c r="A6957" s="58" t="s">
        <v>6852</v>
      </c>
      <c r="B6957" s="20" t="s">
        <v>10860</v>
      </c>
      <c r="C6957" s="58" t="s">
        <v>83</v>
      </c>
      <c r="D6957" s="58" t="s">
        <v>34900</v>
      </c>
      <c r="H6957">
        <f t="shared" si="203"/>
        <v>740.24</v>
      </c>
    </row>
    <row r="6958" spans="1:8" ht="15" customHeight="1">
      <c r="A6958" s="58" t="s">
        <v>6853</v>
      </c>
      <c r="B6958" s="20" t="s">
        <v>10861</v>
      </c>
      <c r="C6958" s="58" t="s">
        <v>83</v>
      </c>
      <c r="D6958" s="58" t="s">
        <v>34901</v>
      </c>
      <c r="H6958">
        <f t="shared" si="203"/>
        <v>892.67</v>
      </c>
    </row>
    <row r="6959" spans="1:8" ht="15" customHeight="1">
      <c r="A6959" s="58" t="s">
        <v>6854</v>
      </c>
      <c r="B6959" s="20" t="s">
        <v>10862</v>
      </c>
      <c r="C6959" s="58" t="s">
        <v>83</v>
      </c>
      <c r="D6959" s="58" t="s">
        <v>34902</v>
      </c>
      <c r="H6959">
        <f t="shared" si="203"/>
        <v>881.97</v>
      </c>
    </row>
    <row r="6960" spans="1:8" ht="15" customHeight="1">
      <c r="A6960" s="58" t="s">
        <v>6855</v>
      </c>
      <c r="B6960" s="20" t="s">
        <v>10863</v>
      </c>
      <c r="C6960" s="58" t="s">
        <v>83</v>
      </c>
      <c r="D6960" s="58" t="s">
        <v>34903</v>
      </c>
      <c r="H6960">
        <f t="shared" si="203"/>
        <v>908.45</v>
      </c>
    </row>
    <row r="6961" spans="1:8" ht="15" customHeight="1">
      <c r="A6961" s="58" t="s">
        <v>6856</v>
      </c>
      <c r="B6961" s="20" t="s">
        <v>10864</v>
      </c>
      <c r="C6961" s="58" t="s">
        <v>83</v>
      </c>
      <c r="D6961" s="58" t="s">
        <v>34904</v>
      </c>
      <c r="H6961">
        <f t="shared" si="203"/>
        <v>875.71</v>
      </c>
    </row>
    <row r="6962" spans="1:8" ht="15" customHeight="1">
      <c r="A6962" s="58" t="s">
        <v>6857</v>
      </c>
      <c r="B6962" s="20" t="s">
        <v>10865</v>
      </c>
      <c r="C6962" s="58" t="s">
        <v>83</v>
      </c>
      <c r="D6962" s="58" t="s">
        <v>34905</v>
      </c>
      <c r="H6962">
        <f t="shared" si="203"/>
        <v>865.37</v>
      </c>
    </row>
    <row r="6963" spans="1:8" ht="15" customHeight="1">
      <c r="A6963" s="58" t="s">
        <v>6858</v>
      </c>
      <c r="B6963" s="20" t="s">
        <v>10866</v>
      </c>
      <c r="C6963" s="58" t="s">
        <v>83</v>
      </c>
      <c r="D6963" s="58" t="s">
        <v>34906</v>
      </c>
      <c r="H6963">
        <f t="shared" si="203"/>
        <v>1004.52</v>
      </c>
    </row>
    <row r="6964" spans="1:8" ht="15" customHeight="1">
      <c r="A6964" s="58" t="s">
        <v>6859</v>
      </c>
      <c r="B6964" s="20" t="s">
        <v>10867</v>
      </c>
      <c r="C6964" s="58" t="s">
        <v>83</v>
      </c>
      <c r="D6964" s="58" t="s">
        <v>34907</v>
      </c>
      <c r="H6964">
        <f t="shared" si="203"/>
        <v>899.74</v>
      </c>
    </row>
    <row r="6965" spans="1:8" ht="15" customHeight="1">
      <c r="A6965" s="58" t="s">
        <v>6860</v>
      </c>
      <c r="B6965" s="20" t="s">
        <v>10868</v>
      </c>
      <c r="C6965" s="58" t="s">
        <v>83</v>
      </c>
      <c r="D6965" s="58" t="s">
        <v>34908</v>
      </c>
      <c r="H6965">
        <f t="shared" si="203"/>
        <v>844.15</v>
      </c>
    </row>
    <row r="6966" spans="1:8" ht="15" customHeight="1">
      <c r="A6966" s="58" t="s">
        <v>6861</v>
      </c>
      <c r="B6966" s="20" t="s">
        <v>10869</v>
      </c>
      <c r="C6966" s="58" t="s">
        <v>83</v>
      </c>
      <c r="D6966" s="58" t="s">
        <v>33358</v>
      </c>
      <c r="H6966">
        <f t="shared" si="203"/>
        <v>809.67</v>
      </c>
    </row>
    <row r="6967" spans="1:8" ht="15" customHeight="1">
      <c r="A6967" s="58" t="s">
        <v>6862</v>
      </c>
      <c r="B6967" s="20" t="s">
        <v>10870</v>
      </c>
      <c r="C6967" s="58" t="s">
        <v>83</v>
      </c>
      <c r="D6967" s="58" t="s">
        <v>34909</v>
      </c>
      <c r="H6967">
        <f t="shared" si="203"/>
        <v>712.93</v>
      </c>
    </row>
    <row r="6968" spans="1:8" ht="15" customHeight="1">
      <c r="A6968" s="58" t="s">
        <v>6863</v>
      </c>
      <c r="B6968" s="20" t="s">
        <v>10871</v>
      </c>
      <c r="C6968" s="58" t="s">
        <v>83</v>
      </c>
      <c r="D6968" s="58" t="s">
        <v>34910</v>
      </c>
      <c r="H6968">
        <f t="shared" si="203"/>
        <v>827.47</v>
      </c>
    </row>
    <row r="6969" spans="1:8" ht="15" customHeight="1">
      <c r="A6969" s="58" t="s">
        <v>6864</v>
      </c>
      <c r="B6969" s="20" t="s">
        <v>10872</v>
      </c>
      <c r="C6969" s="58" t="s">
        <v>83</v>
      </c>
      <c r="D6969" s="58" t="s">
        <v>34911</v>
      </c>
      <c r="H6969">
        <f t="shared" si="203"/>
        <v>751.61</v>
      </c>
    </row>
    <row r="6970" spans="1:8" ht="15" customHeight="1">
      <c r="A6970" s="58" t="s">
        <v>6865</v>
      </c>
      <c r="B6970" s="20" t="s">
        <v>10873</v>
      </c>
      <c r="C6970" s="58" t="s">
        <v>83</v>
      </c>
      <c r="D6970" s="58" t="s">
        <v>34912</v>
      </c>
      <c r="H6970">
        <f t="shared" si="203"/>
        <v>3719.14</v>
      </c>
    </row>
    <row r="6971" spans="1:8" ht="15" customHeight="1">
      <c r="A6971" s="58" t="s">
        <v>6866</v>
      </c>
      <c r="B6971" s="20" t="s">
        <v>10874</v>
      </c>
      <c r="C6971" s="58" t="s">
        <v>83</v>
      </c>
      <c r="D6971" s="58" t="s">
        <v>34913</v>
      </c>
      <c r="H6971">
        <f t="shared" si="203"/>
        <v>3827.45</v>
      </c>
    </row>
    <row r="6972" spans="1:8" ht="15" customHeight="1">
      <c r="A6972" s="58" t="s">
        <v>6867</v>
      </c>
      <c r="B6972" s="20" t="s">
        <v>10875</v>
      </c>
      <c r="C6972" s="58" t="s">
        <v>83</v>
      </c>
      <c r="D6972" s="58" t="s">
        <v>34914</v>
      </c>
      <c r="H6972">
        <f t="shared" si="203"/>
        <v>3755.06</v>
      </c>
    </row>
    <row r="6973" spans="1:8" ht="15" customHeight="1">
      <c r="A6973" s="58" t="s">
        <v>6868</v>
      </c>
      <c r="B6973" s="20" t="s">
        <v>10876</v>
      </c>
      <c r="C6973" s="58" t="s">
        <v>83</v>
      </c>
      <c r="D6973" s="58" t="s">
        <v>34915</v>
      </c>
      <c r="H6973">
        <f t="shared" si="203"/>
        <v>2128.48</v>
      </c>
    </row>
    <row r="6974" spans="1:8" ht="15" customHeight="1">
      <c r="A6974" s="58" t="s">
        <v>6869</v>
      </c>
      <c r="B6974" s="20" t="s">
        <v>10877</v>
      </c>
      <c r="C6974" s="58" t="s">
        <v>83</v>
      </c>
      <c r="D6974" s="58" t="s">
        <v>34916</v>
      </c>
      <c r="H6974">
        <f t="shared" si="203"/>
        <v>2108.29</v>
      </c>
    </row>
    <row r="6975" spans="1:8" ht="15" customHeight="1">
      <c r="A6975" s="58" t="s">
        <v>6870</v>
      </c>
      <c r="B6975" s="20" t="s">
        <v>10878</v>
      </c>
      <c r="C6975" s="58" t="s">
        <v>83</v>
      </c>
      <c r="D6975" s="58" t="s">
        <v>34917</v>
      </c>
      <c r="H6975">
        <f t="shared" si="203"/>
        <v>2080.86</v>
      </c>
    </row>
    <row r="6976" spans="1:8" ht="15" customHeight="1">
      <c r="A6976" s="58" t="s">
        <v>6871</v>
      </c>
      <c r="B6976" s="20" t="s">
        <v>10879</v>
      </c>
      <c r="C6976" s="58" t="s">
        <v>83</v>
      </c>
      <c r="D6976" s="58" t="s">
        <v>34918</v>
      </c>
      <c r="H6976">
        <f t="shared" si="203"/>
        <v>2480.7600000000002</v>
      </c>
    </row>
    <row r="6977" spans="1:8" ht="15" customHeight="1">
      <c r="A6977" s="58" t="s">
        <v>6872</v>
      </c>
      <c r="B6977" s="20" t="s">
        <v>10880</v>
      </c>
      <c r="C6977" s="58" t="s">
        <v>83</v>
      </c>
      <c r="D6977" s="58" t="s">
        <v>34919</v>
      </c>
      <c r="H6977">
        <f t="shared" si="203"/>
        <v>2449.2800000000002</v>
      </c>
    </row>
    <row r="6978" spans="1:8" ht="15" customHeight="1">
      <c r="A6978" s="58" t="s">
        <v>6873</v>
      </c>
      <c r="B6978" s="20" t="s">
        <v>10881</v>
      </c>
      <c r="C6978" s="58" t="s">
        <v>83</v>
      </c>
      <c r="D6978" s="58" t="s">
        <v>34920</v>
      </c>
      <c r="H6978">
        <f t="shared" si="203"/>
        <v>2422.4299999999998</v>
      </c>
    </row>
    <row r="6979" spans="1:8" ht="15" customHeight="1">
      <c r="A6979" s="58" t="s">
        <v>6874</v>
      </c>
      <c r="B6979" s="20" t="s">
        <v>10882</v>
      </c>
      <c r="C6979" s="58" t="s">
        <v>83</v>
      </c>
      <c r="D6979" s="58" t="s">
        <v>34921</v>
      </c>
      <c r="H6979">
        <f t="shared" si="203"/>
        <v>5819.03</v>
      </c>
    </row>
    <row r="6980" spans="1:8" ht="15" customHeight="1">
      <c r="A6980" s="58" t="s">
        <v>6875</v>
      </c>
      <c r="B6980" s="20" t="s">
        <v>10883</v>
      </c>
      <c r="C6980" s="58" t="s">
        <v>83</v>
      </c>
      <c r="D6980" s="58" t="s">
        <v>34922</v>
      </c>
      <c r="H6980">
        <f t="shared" si="203"/>
        <v>5824.1</v>
      </c>
    </row>
    <row r="6981" spans="1:8" ht="15" customHeight="1">
      <c r="A6981" s="58" t="s">
        <v>6876</v>
      </c>
      <c r="B6981" s="20" t="s">
        <v>10884</v>
      </c>
      <c r="C6981" s="58" t="s">
        <v>83</v>
      </c>
      <c r="D6981" s="58" t="s">
        <v>34923</v>
      </c>
      <c r="H6981">
        <f t="shared" ref="H6981:H7044" si="204">ROUND(D6981*(1+$H$1),2)</f>
        <v>5835.26</v>
      </c>
    </row>
    <row r="6982" spans="1:8" ht="15" customHeight="1">
      <c r="A6982" s="58" t="s">
        <v>6877</v>
      </c>
      <c r="B6982" s="20" t="s">
        <v>10885</v>
      </c>
      <c r="C6982" s="58" t="s">
        <v>83</v>
      </c>
      <c r="D6982" s="58" t="s">
        <v>34924</v>
      </c>
      <c r="H6982">
        <f t="shared" si="204"/>
        <v>6476.43</v>
      </c>
    </row>
    <row r="6983" spans="1:8" ht="15" customHeight="1">
      <c r="A6983" s="58" t="s">
        <v>6878</v>
      </c>
      <c r="B6983" s="20" t="s">
        <v>10886</v>
      </c>
      <c r="C6983" s="58" t="s">
        <v>83</v>
      </c>
      <c r="D6983" s="58" t="s">
        <v>34925</v>
      </c>
      <c r="H6983">
        <f t="shared" si="204"/>
        <v>6514.66</v>
      </c>
    </row>
    <row r="6984" spans="1:8" ht="15" customHeight="1">
      <c r="A6984" s="58" t="s">
        <v>6879</v>
      </c>
      <c r="B6984" s="20" t="s">
        <v>10887</v>
      </c>
      <c r="C6984" s="58" t="s">
        <v>83</v>
      </c>
      <c r="D6984" s="58" t="s">
        <v>34926</v>
      </c>
      <c r="H6984">
        <f t="shared" si="204"/>
        <v>6548.81</v>
      </c>
    </row>
    <row r="6985" spans="1:8" ht="15" customHeight="1">
      <c r="A6985" s="58" t="s">
        <v>6880</v>
      </c>
      <c r="B6985" s="20" t="s">
        <v>10888</v>
      </c>
      <c r="C6985" s="58" t="s">
        <v>83</v>
      </c>
      <c r="D6985" s="58" t="s">
        <v>34927</v>
      </c>
      <c r="H6985">
        <f t="shared" si="204"/>
        <v>4131.9399999999996</v>
      </c>
    </row>
    <row r="6986" spans="1:8" ht="15" customHeight="1">
      <c r="A6986" s="58" t="s">
        <v>6881</v>
      </c>
      <c r="B6986" s="20" t="s">
        <v>10889</v>
      </c>
      <c r="C6986" s="58" t="s">
        <v>83</v>
      </c>
      <c r="D6986" s="58" t="s">
        <v>34928</v>
      </c>
      <c r="H6986">
        <f t="shared" si="204"/>
        <v>4138.68</v>
      </c>
    </row>
    <row r="6987" spans="1:8" ht="15" customHeight="1">
      <c r="A6987" s="58" t="s">
        <v>6882</v>
      </c>
      <c r="B6987" s="20" t="s">
        <v>10890</v>
      </c>
      <c r="C6987" s="58" t="s">
        <v>83</v>
      </c>
      <c r="D6987" s="58" t="s">
        <v>34929</v>
      </c>
      <c r="H6987">
        <f t="shared" si="204"/>
        <v>4142.74</v>
      </c>
    </row>
    <row r="6988" spans="1:8" ht="15" customHeight="1">
      <c r="A6988" s="58" t="s">
        <v>6883</v>
      </c>
      <c r="B6988" s="20" t="s">
        <v>10891</v>
      </c>
      <c r="C6988" s="58" t="s">
        <v>83</v>
      </c>
      <c r="D6988" s="58" t="s">
        <v>34930</v>
      </c>
      <c r="H6988">
        <f t="shared" si="204"/>
        <v>2389.4899999999998</v>
      </c>
    </row>
    <row r="6989" spans="1:8" ht="15" customHeight="1">
      <c r="A6989" s="58" t="s">
        <v>6884</v>
      </c>
      <c r="B6989" s="20" t="s">
        <v>10892</v>
      </c>
      <c r="C6989" s="58" t="s">
        <v>83</v>
      </c>
      <c r="D6989" s="58" t="s">
        <v>34931</v>
      </c>
      <c r="H6989">
        <f t="shared" si="204"/>
        <v>2738.35</v>
      </c>
    </row>
    <row r="6990" spans="1:8" ht="15" customHeight="1">
      <c r="A6990" s="58" t="s">
        <v>6885</v>
      </c>
      <c r="B6990" s="20" t="s">
        <v>10893</v>
      </c>
      <c r="C6990" s="58" t="s">
        <v>83</v>
      </c>
      <c r="D6990" s="58" t="s">
        <v>34932</v>
      </c>
      <c r="H6990">
        <f t="shared" si="204"/>
        <v>6854.7</v>
      </c>
    </row>
    <row r="6991" spans="1:8" ht="15" customHeight="1">
      <c r="A6991" s="58" t="s">
        <v>6886</v>
      </c>
      <c r="B6991" s="20" t="s">
        <v>10894</v>
      </c>
      <c r="C6991" s="58" t="s">
        <v>83</v>
      </c>
      <c r="D6991" s="58" t="s">
        <v>34933</v>
      </c>
      <c r="H6991">
        <f t="shared" si="204"/>
        <v>4462.2</v>
      </c>
    </row>
    <row r="6992" spans="1:8" ht="15" customHeight="1">
      <c r="A6992" s="58" t="s">
        <v>6887</v>
      </c>
      <c r="B6992" s="20" t="s">
        <v>10895</v>
      </c>
      <c r="C6992" s="58" t="s">
        <v>83</v>
      </c>
      <c r="D6992" s="58" t="s">
        <v>34934</v>
      </c>
      <c r="H6992">
        <f t="shared" si="204"/>
        <v>6076.87</v>
      </c>
    </row>
    <row r="6993" spans="1:8" ht="15" customHeight="1">
      <c r="A6993" s="58" t="s">
        <v>6888</v>
      </c>
      <c r="B6993" s="20" t="s">
        <v>30104</v>
      </c>
      <c r="C6993" s="58" t="s">
        <v>83</v>
      </c>
      <c r="D6993" s="58" t="s">
        <v>34935</v>
      </c>
      <c r="H6993">
        <f t="shared" si="204"/>
        <v>6064.69</v>
      </c>
    </row>
    <row r="6994" spans="1:8" ht="15" customHeight="1">
      <c r="A6994" s="58" t="s">
        <v>6889</v>
      </c>
      <c r="B6994" s="20" t="s">
        <v>10896</v>
      </c>
      <c r="C6994" s="58" t="s">
        <v>83</v>
      </c>
      <c r="D6994" s="58" t="s">
        <v>34936</v>
      </c>
      <c r="H6994">
        <f t="shared" si="204"/>
        <v>2168.4699999999998</v>
      </c>
    </row>
    <row r="6995" spans="1:8" ht="15" customHeight="1">
      <c r="A6995" s="58" t="s">
        <v>6890</v>
      </c>
      <c r="B6995" s="20" t="s">
        <v>30105</v>
      </c>
      <c r="C6995" s="58" t="s">
        <v>83</v>
      </c>
      <c r="D6995" s="58" t="s">
        <v>34937</v>
      </c>
      <c r="H6995">
        <f t="shared" si="204"/>
        <v>2136.7600000000002</v>
      </c>
    </row>
    <row r="6996" spans="1:8" ht="15" customHeight="1">
      <c r="A6996" s="58" t="s">
        <v>6891</v>
      </c>
      <c r="B6996" s="20" t="s">
        <v>10897</v>
      </c>
      <c r="C6996" s="58" t="s">
        <v>83</v>
      </c>
      <c r="D6996" s="58" t="s">
        <v>34938</v>
      </c>
      <c r="H6996">
        <f t="shared" si="204"/>
        <v>1170.4000000000001</v>
      </c>
    </row>
    <row r="6997" spans="1:8" ht="15" customHeight="1">
      <c r="A6997" s="58" t="s">
        <v>6892</v>
      </c>
      <c r="B6997" s="20" t="s">
        <v>10898</v>
      </c>
      <c r="C6997" s="58" t="s">
        <v>83</v>
      </c>
      <c r="D6997" s="58" t="s">
        <v>34939</v>
      </c>
      <c r="H6997">
        <f t="shared" si="204"/>
        <v>701.67</v>
      </c>
    </row>
    <row r="6998" spans="1:8" ht="15" customHeight="1">
      <c r="A6998" s="58" t="s">
        <v>6893</v>
      </c>
      <c r="B6998" s="20" t="s">
        <v>10899</v>
      </c>
      <c r="C6998" s="58" t="s">
        <v>83</v>
      </c>
      <c r="D6998" s="58" t="s">
        <v>34940</v>
      </c>
      <c r="H6998">
        <f t="shared" si="204"/>
        <v>817.69</v>
      </c>
    </row>
    <row r="6999" spans="1:8" ht="15" customHeight="1">
      <c r="A6999" s="58" t="s">
        <v>6894</v>
      </c>
      <c r="B6999" s="20" t="s">
        <v>10900</v>
      </c>
      <c r="C6999" s="58" t="s">
        <v>83</v>
      </c>
      <c r="D6999" s="58" t="s">
        <v>34941</v>
      </c>
      <c r="H6999">
        <f t="shared" si="204"/>
        <v>687.81</v>
      </c>
    </row>
    <row r="7000" spans="1:8" ht="15" customHeight="1">
      <c r="A7000" s="58" t="s">
        <v>6895</v>
      </c>
      <c r="B7000" s="20" t="s">
        <v>10901</v>
      </c>
      <c r="C7000" s="58" t="s">
        <v>83</v>
      </c>
      <c r="D7000" s="58" t="s">
        <v>34942</v>
      </c>
      <c r="H7000">
        <f t="shared" si="204"/>
        <v>815.78</v>
      </c>
    </row>
    <row r="7001" spans="1:8" ht="15" customHeight="1">
      <c r="A7001" s="58" t="s">
        <v>6896</v>
      </c>
      <c r="B7001" s="20" t="s">
        <v>30106</v>
      </c>
      <c r="C7001" s="58" t="s">
        <v>83</v>
      </c>
      <c r="D7001" s="58" t="s">
        <v>34943</v>
      </c>
      <c r="H7001">
        <f t="shared" si="204"/>
        <v>589.88</v>
      </c>
    </row>
    <row r="7002" spans="1:8" ht="15" customHeight="1">
      <c r="A7002" s="58" t="s">
        <v>6897</v>
      </c>
      <c r="B7002" s="20" t="s">
        <v>10902</v>
      </c>
      <c r="C7002" s="58" t="s">
        <v>83</v>
      </c>
      <c r="D7002" s="58" t="s">
        <v>34944</v>
      </c>
      <c r="H7002">
        <f t="shared" si="204"/>
        <v>733.62</v>
      </c>
    </row>
    <row r="7003" spans="1:8" ht="15" customHeight="1">
      <c r="A7003" s="58" t="s">
        <v>6898</v>
      </c>
      <c r="B7003" s="20" t="s">
        <v>10903</v>
      </c>
      <c r="C7003" s="58" t="s">
        <v>83</v>
      </c>
      <c r="D7003" s="58" t="s">
        <v>34945</v>
      </c>
      <c r="H7003">
        <f t="shared" si="204"/>
        <v>709.72</v>
      </c>
    </row>
    <row r="7004" spans="1:8" ht="15" customHeight="1">
      <c r="A7004" s="58" t="s">
        <v>10904</v>
      </c>
      <c r="B7004" s="20" t="s">
        <v>10905</v>
      </c>
      <c r="C7004" s="58" t="s">
        <v>83</v>
      </c>
      <c r="D7004" s="58" t="s">
        <v>34946</v>
      </c>
      <c r="H7004">
        <f t="shared" si="204"/>
        <v>753.73</v>
      </c>
    </row>
    <row r="7005" spans="1:8" ht="15" customHeight="1">
      <c r="A7005" s="58" t="s">
        <v>10906</v>
      </c>
      <c r="B7005" s="20" t="s">
        <v>10907</v>
      </c>
      <c r="C7005" s="58" t="s">
        <v>83</v>
      </c>
      <c r="D7005" s="58" t="s">
        <v>34947</v>
      </c>
      <c r="H7005">
        <f t="shared" si="204"/>
        <v>681.25</v>
      </c>
    </row>
    <row r="7006" spans="1:8" ht="15" customHeight="1">
      <c r="A7006" s="58" t="s">
        <v>10908</v>
      </c>
      <c r="B7006" s="20" t="s">
        <v>10909</v>
      </c>
      <c r="C7006" s="58" t="s">
        <v>83</v>
      </c>
      <c r="D7006" s="58" t="s">
        <v>34948</v>
      </c>
      <c r="H7006">
        <f t="shared" si="204"/>
        <v>640.30999999999995</v>
      </c>
    </row>
    <row r="7007" spans="1:8" ht="15" customHeight="1">
      <c r="A7007" s="58" t="s">
        <v>10910</v>
      </c>
      <c r="B7007" s="20" t="s">
        <v>10911</v>
      </c>
      <c r="C7007" s="58" t="s">
        <v>83</v>
      </c>
      <c r="D7007" s="58" t="s">
        <v>34949</v>
      </c>
      <c r="H7007">
        <f t="shared" si="204"/>
        <v>876.75</v>
      </c>
    </row>
    <row r="7008" spans="1:8" ht="15" customHeight="1">
      <c r="A7008" s="58" t="s">
        <v>10912</v>
      </c>
      <c r="B7008" s="20" t="s">
        <v>10913</v>
      </c>
      <c r="C7008" s="58" t="s">
        <v>83</v>
      </c>
      <c r="D7008" s="58" t="s">
        <v>34950</v>
      </c>
      <c r="H7008">
        <f t="shared" si="204"/>
        <v>674.26</v>
      </c>
    </row>
    <row r="7009" spans="1:8" ht="15" customHeight="1">
      <c r="A7009" s="58" t="s">
        <v>10914</v>
      </c>
      <c r="B7009" s="20" t="s">
        <v>10915</v>
      </c>
      <c r="C7009" s="58" t="s">
        <v>83</v>
      </c>
      <c r="D7009" s="58" t="s">
        <v>34951</v>
      </c>
      <c r="H7009">
        <f t="shared" si="204"/>
        <v>613.36</v>
      </c>
    </row>
    <row r="7010" spans="1:8" ht="15" customHeight="1">
      <c r="A7010" s="58" t="s">
        <v>10916</v>
      </c>
      <c r="B7010" s="20" t="s">
        <v>10917</v>
      </c>
      <c r="C7010" s="58" t="s">
        <v>83</v>
      </c>
      <c r="D7010" s="58" t="s">
        <v>34952</v>
      </c>
      <c r="H7010">
        <f t="shared" si="204"/>
        <v>704.72</v>
      </c>
    </row>
    <row r="7011" spans="1:8" ht="15" customHeight="1">
      <c r="A7011" s="58" t="s">
        <v>10918</v>
      </c>
      <c r="B7011" s="20" t="s">
        <v>10919</v>
      </c>
      <c r="C7011" s="58" t="s">
        <v>83</v>
      </c>
      <c r="D7011" s="58" t="s">
        <v>34953</v>
      </c>
      <c r="H7011">
        <f t="shared" si="204"/>
        <v>613.76</v>
      </c>
    </row>
    <row r="7012" spans="1:8" ht="15" customHeight="1">
      <c r="A7012" s="58" t="s">
        <v>10920</v>
      </c>
      <c r="B7012" s="20" t="s">
        <v>10921</v>
      </c>
      <c r="C7012" s="58" t="s">
        <v>83</v>
      </c>
      <c r="D7012" s="58" t="s">
        <v>34954</v>
      </c>
      <c r="H7012">
        <f t="shared" si="204"/>
        <v>567.98</v>
      </c>
    </row>
    <row r="7013" spans="1:8" ht="15" customHeight="1">
      <c r="A7013" s="58" t="s">
        <v>10922</v>
      </c>
      <c r="B7013" s="20" t="s">
        <v>10923</v>
      </c>
      <c r="C7013" s="58" t="s">
        <v>83</v>
      </c>
      <c r="D7013" s="58" t="s">
        <v>34955</v>
      </c>
      <c r="H7013">
        <f t="shared" si="204"/>
        <v>860.98</v>
      </c>
    </row>
    <row r="7014" spans="1:8" ht="15" customHeight="1">
      <c r="A7014" s="58" t="s">
        <v>10924</v>
      </c>
      <c r="B7014" s="20" t="s">
        <v>10925</v>
      </c>
      <c r="C7014" s="58" t="s">
        <v>83</v>
      </c>
      <c r="D7014" s="58" t="s">
        <v>34956</v>
      </c>
      <c r="H7014">
        <f t="shared" si="204"/>
        <v>986.12</v>
      </c>
    </row>
    <row r="7015" spans="1:8" ht="15" customHeight="1">
      <c r="A7015" s="58" t="s">
        <v>10926</v>
      </c>
      <c r="B7015" s="20" t="s">
        <v>10927</v>
      </c>
      <c r="C7015" s="58" t="s">
        <v>83</v>
      </c>
      <c r="D7015" s="58" t="s">
        <v>34957</v>
      </c>
      <c r="H7015">
        <f t="shared" si="204"/>
        <v>843.45</v>
      </c>
    </row>
    <row r="7016" spans="1:8" ht="15" customHeight="1">
      <c r="A7016" s="58" t="s">
        <v>10928</v>
      </c>
      <c r="B7016" s="20" t="s">
        <v>10929</v>
      </c>
      <c r="C7016" s="58" t="s">
        <v>83</v>
      </c>
      <c r="D7016" s="58" t="s">
        <v>34958</v>
      </c>
      <c r="H7016">
        <f t="shared" si="204"/>
        <v>806.92</v>
      </c>
    </row>
    <row r="7017" spans="1:8" ht="15" customHeight="1">
      <c r="A7017" s="58" t="s">
        <v>10930</v>
      </c>
      <c r="B7017" s="20" t="s">
        <v>10931</v>
      </c>
      <c r="C7017" s="58" t="s">
        <v>83</v>
      </c>
      <c r="D7017" s="58" t="s">
        <v>34959</v>
      </c>
      <c r="H7017">
        <f t="shared" si="204"/>
        <v>984.68</v>
      </c>
    </row>
    <row r="7018" spans="1:8" ht="15" customHeight="1">
      <c r="A7018" s="58" t="s">
        <v>10932</v>
      </c>
      <c r="B7018" s="20" t="s">
        <v>10933</v>
      </c>
      <c r="C7018" s="58" t="s">
        <v>83</v>
      </c>
      <c r="D7018" s="58" t="s">
        <v>34960</v>
      </c>
      <c r="H7018">
        <f t="shared" si="204"/>
        <v>745.11</v>
      </c>
    </row>
    <row r="7019" spans="1:8" ht="15" customHeight="1">
      <c r="A7019" s="58" t="s">
        <v>10934</v>
      </c>
      <c r="B7019" s="20" t="s">
        <v>10935</v>
      </c>
      <c r="C7019" s="58" t="s">
        <v>83</v>
      </c>
      <c r="D7019" s="58" t="s">
        <v>34961</v>
      </c>
      <c r="H7019">
        <f t="shared" si="204"/>
        <v>838.52</v>
      </c>
    </row>
    <row r="7020" spans="1:8" ht="15" customHeight="1">
      <c r="A7020" s="58" t="s">
        <v>10936</v>
      </c>
      <c r="B7020" s="20" t="s">
        <v>10937</v>
      </c>
      <c r="C7020" s="58" t="s">
        <v>83</v>
      </c>
      <c r="D7020" s="58" t="s">
        <v>34962</v>
      </c>
      <c r="H7020">
        <f t="shared" si="204"/>
        <v>748.79</v>
      </c>
    </row>
    <row r="7021" spans="1:8" ht="15" customHeight="1">
      <c r="A7021" s="58" t="s">
        <v>10938</v>
      </c>
      <c r="B7021" s="20" t="s">
        <v>10939</v>
      </c>
      <c r="C7021" s="58" t="s">
        <v>83</v>
      </c>
      <c r="D7021" s="58" t="s">
        <v>34963</v>
      </c>
      <c r="H7021">
        <f t="shared" si="204"/>
        <v>704.73</v>
      </c>
    </row>
    <row r="7022" spans="1:8" ht="15" customHeight="1">
      <c r="A7022" s="58" t="s">
        <v>10940</v>
      </c>
      <c r="B7022" s="20" t="s">
        <v>10941</v>
      </c>
      <c r="C7022" s="58" t="s">
        <v>83</v>
      </c>
      <c r="D7022" s="58" t="s">
        <v>34964</v>
      </c>
      <c r="H7022">
        <f t="shared" si="204"/>
        <v>875.55</v>
      </c>
    </row>
    <row r="7023" spans="1:8" ht="15" customHeight="1">
      <c r="A7023" s="58" t="s">
        <v>10942</v>
      </c>
      <c r="B7023" s="20" t="s">
        <v>10943</v>
      </c>
      <c r="C7023" s="58" t="s">
        <v>83</v>
      </c>
      <c r="D7023" s="58" t="s">
        <v>34965</v>
      </c>
      <c r="H7023">
        <f t="shared" si="204"/>
        <v>661.31</v>
      </c>
    </row>
    <row r="7024" spans="1:8" ht="15" customHeight="1">
      <c r="A7024" s="58" t="s">
        <v>10944</v>
      </c>
      <c r="B7024" s="20" t="s">
        <v>10945</v>
      </c>
      <c r="C7024" s="58" t="s">
        <v>83</v>
      </c>
      <c r="D7024" s="58" t="s">
        <v>34966</v>
      </c>
      <c r="H7024">
        <f t="shared" si="204"/>
        <v>675.35</v>
      </c>
    </row>
    <row r="7025" spans="1:8" ht="15" customHeight="1">
      <c r="A7025" s="58" t="s">
        <v>10946</v>
      </c>
      <c r="B7025" s="20" t="s">
        <v>10947</v>
      </c>
      <c r="C7025" s="58" t="s">
        <v>83</v>
      </c>
      <c r="D7025" s="58" t="s">
        <v>34967</v>
      </c>
      <c r="H7025">
        <f t="shared" si="204"/>
        <v>675.66</v>
      </c>
    </row>
    <row r="7026" spans="1:8" ht="15" customHeight="1">
      <c r="A7026" s="58" t="s">
        <v>10948</v>
      </c>
      <c r="B7026" s="20" t="s">
        <v>10949</v>
      </c>
      <c r="C7026" s="58" t="s">
        <v>83</v>
      </c>
      <c r="D7026" s="58" t="s">
        <v>34968</v>
      </c>
      <c r="H7026">
        <f t="shared" si="204"/>
        <v>595.92999999999995</v>
      </c>
    </row>
    <row r="7027" spans="1:8" ht="15" customHeight="1">
      <c r="A7027" s="58" t="s">
        <v>10950</v>
      </c>
      <c r="B7027" s="20" t="s">
        <v>10951</v>
      </c>
      <c r="C7027" s="58" t="s">
        <v>83</v>
      </c>
      <c r="D7027" s="58" t="s">
        <v>34969</v>
      </c>
      <c r="H7027">
        <f t="shared" si="204"/>
        <v>849.66</v>
      </c>
    </row>
    <row r="7028" spans="1:8" ht="15" customHeight="1">
      <c r="A7028" s="58" t="s">
        <v>10952</v>
      </c>
      <c r="B7028" s="20" t="s">
        <v>10953</v>
      </c>
      <c r="C7028" s="58" t="s">
        <v>83</v>
      </c>
      <c r="D7028" s="58" t="s">
        <v>34970</v>
      </c>
      <c r="H7028">
        <f t="shared" si="204"/>
        <v>734.67</v>
      </c>
    </row>
    <row r="7029" spans="1:8" ht="15" customHeight="1">
      <c r="A7029" s="58" t="s">
        <v>30107</v>
      </c>
      <c r="B7029" s="20" t="s">
        <v>30108</v>
      </c>
      <c r="C7029" s="58" t="s">
        <v>83</v>
      </c>
      <c r="D7029" s="58" t="s">
        <v>34971</v>
      </c>
      <c r="H7029">
        <f t="shared" si="204"/>
        <v>1022.69</v>
      </c>
    </row>
    <row r="7030" spans="1:8" ht="15" customHeight="1">
      <c r="A7030" s="58" t="s">
        <v>6903</v>
      </c>
      <c r="B7030" s="20" t="s">
        <v>2679</v>
      </c>
      <c r="C7030" s="58" t="s">
        <v>83</v>
      </c>
      <c r="D7030" s="58" t="s">
        <v>15256</v>
      </c>
      <c r="H7030">
        <f t="shared" si="204"/>
        <v>44.97</v>
      </c>
    </row>
    <row r="7031" spans="1:8" ht="15" customHeight="1">
      <c r="A7031" s="58" t="s">
        <v>6904</v>
      </c>
      <c r="B7031" s="20" t="s">
        <v>2680</v>
      </c>
      <c r="C7031" s="58" t="s">
        <v>83</v>
      </c>
      <c r="D7031" s="58" t="s">
        <v>34972</v>
      </c>
      <c r="H7031">
        <f t="shared" si="204"/>
        <v>76.17</v>
      </c>
    </row>
    <row r="7032" spans="1:8" ht="15" customHeight="1">
      <c r="A7032" s="58" t="s">
        <v>6905</v>
      </c>
      <c r="B7032" s="20" t="s">
        <v>2681</v>
      </c>
      <c r="C7032" s="58" t="s">
        <v>83</v>
      </c>
      <c r="D7032" s="58" t="s">
        <v>28076</v>
      </c>
      <c r="H7032">
        <f t="shared" si="204"/>
        <v>86.65</v>
      </c>
    </row>
    <row r="7033" spans="1:8" ht="15" customHeight="1">
      <c r="A7033" s="58" t="s">
        <v>10955</v>
      </c>
      <c r="B7033" s="20" t="s">
        <v>10956</v>
      </c>
      <c r="C7033" s="58" t="s">
        <v>10957</v>
      </c>
      <c r="D7033" s="58" t="s">
        <v>23951</v>
      </c>
      <c r="H7033">
        <f t="shared" si="204"/>
        <v>1.1599999999999999</v>
      </c>
    </row>
    <row r="7034" spans="1:8" ht="15" customHeight="1">
      <c r="A7034" s="58" t="s">
        <v>10958</v>
      </c>
      <c r="B7034" s="20" t="s">
        <v>10959</v>
      </c>
      <c r="C7034" s="58" t="s">
        <v>10957</v>
      </c>
      <c r="D7034" s="58" t="s">
        <v>3715</v>
      </c>
      <c r="H7034">
        <f t="shared" si="204"/>
        <v>1.93</v>
      </c>
    </row>
    <row r="7035" spans="1:8" ht="15" customHeight="1">
      <c r="A7035" s="58" t="s">
        <v>10960</v>
      </c>
      <c r="B7035" s="20" t="s">
        <v>10961</v>
      </c>
      <c r="C7035" s="58" t="s">
        <v>10957</v>
      </c>
      <c r="D7035" s="58" t="s">
        <v>2965</v>
      </c>
      <c r="H7035">
        <f t="shared" si="204"/>
        <v>2.9</v>
      </c>
    </row>
    <row r="7036" spans="1:8" ht="15" customHeight="1">
      <c r="A7036" s="58" t="s">
        <v>10962</v>
      </c>
      <c r="B7036" s="20" t="s">
        <v>10963</v>
      </c>
      <c r="C7036" s="58" t="s">
        <v>10957</v>
      </c>
      <c r="D7036" s="58" t="s">
        <v>6899</v>
      </c>
      <c r="H7036">
        <f t="shared" si="204"/>
        <v>0.4</v>
      </c>
    </row>
    <row r="7037" spans="1:8" ht="15" customHeight="1">
      <c r="A7037" s="58" t="s">
        <v>10964</v>
      </c>
      <c r="B7037" s="20" t="s">
        <v>10965</v>
      </c>
      <c r="C7037" s="58" t="s">
        <v>10957</v>
      </c>
      <c r="D7037" s="58" t="s">
        <v>26983</v>
      </c>
      <c r="H7037">
        <f t="shared" si="204"/>
        <v>0.48</v>
      </c>
    </row>
    <row r="7038" spans="1:8" ht="15" customHeight="1">
      <c r="A7038" s="58" t="s">
        <v>10966</v>
      </c>
      <c r="B7038" s="20" t="s">
        <v>10967</v>
      </c>
      <c r="C7038" s="58" t="s">
        <v>10957</v>
      </c>
      <c r="D7038" s="58" t="s">
        <v>3568</v>
      </c>
      <c r="H7038">
        <f t="shared" si="204"/>
        <v>0.59</v>
      </c>
    </row>
    <row r="7039" spans="1:8" ht="15" customHeight="1">
      <c r="A7039" s="58" t="s">
        <v>10968</v>
      </c>
      <c r="B7039" s="20" t="s">
        <v>10969</v>
      </c>
      <c r="C7039" s="58" t="s">
        <v>10957</v>
      </c>
      <c r="D7039" s="58" t="s">
        <v>15795</v>
      </c>
      <c r="H7039">
        <f t="shared" si="204"/>
        <v>1.17</v>
      </c>
    </row>
    <row r="7040" spans="1:8" ht="15" customHeight="1">
      <c r="A7040" s="58" t="s">
        <v>10970</v>
      </c>
      <c r="B7040" s="20" t="s">
        <v>10971</v>
      </c>
      <c r="C7040" s="58" t="s">
        <v>10957</v>
      </c>
      <c r="D7040" s="58" t="s">
        <v>3180</v>
      </c>
      <c r="H7040">
        <f t="shared" si="204"/>
        <v>1.37</v>
      </c>
    </row>
    <row r="7041" spans="1:8" ht="15" customHeight="1">
      <c r="A7041" s="58" t="s">
        <v>10972</v>
      </c>
      <c r="B7041" s="20" t="s">
        <v>10973</v>
      </c>
      <c r="C7041" s="58" t="s">
        <v>10957</v>
      </c>
      <c r="D7041" s="58" t="s">
        <v>6409</v>
      </c>
      <c r="H7041">
        <f t="shared" si="204"/>
        <v>1.64</v>
      </c>
    </row>
    <row r="7042" spans="1:8" ht="15" customHeight="1">
      <c r="A7042" s="58" t="s">
        <v>10974</v>
      </c>
      <c r="B7042" s="20" t="s">
        <v>10975</v>
      </c>
      <c r="C7042" s="58" t="s">
        <v>10957</v>
      </c>
      <c r="D7042" s="58" t="s">
        <v>3211</v>
      </c>
      <c r="H7042">
        <f t="shared" si="204"/>
        <v>0.17</v>
      </c>
    </row>
    <row r="7043" spans="1:8" ht="15" customHeight="1">
      <c r="A7043" s="58" t="s">
        <v>10976</v>
      </c>
      <c r="B7043" s="20" t="s">
        <v>10977</v>
      </c>
      <c r="C7043" s="58" t="s">
        <v>1766</v>
      </c>
      <c r="D7043" s="58" t="s">
        <v>34973</v>
      </c>
      <c r="H7043">
        <f t="shared" si="204"/>
        <v>2169.87</v>
      </c>
    </row>
    <row r="7044" spans="1:8" ht="15" customHeight="1">
      <c r="A7044" s="58" t="s">
        <v>10978</v>
      </c>
      <c r="B7044" s="20" t="s">
        <v>10979</v>
      </c>
      <c r="C7044" s="58" t="s">
        <v>1766</v>
      </c>
      <c r="D7044" s="58" t="s">
        <v>34974</v>
      </c>
      <c r="H7044">
        <f t="shared" si="204"/>
        <v>1568.45</v>
      </c>
    </row>
    <row r="7045" spans="1:8" ht="15" customHeight="1">
      <c r="A7045" s="58" t="s">
        <v>10980</v>
      </c>
      <c r="B7045" s="20" t="s">
        <v>10981</v>
      </c>
      <c r="C7045" s="58" t="s">
        <v>1766</v>
      </c>
      <c r="D7045" s="58" t="s">
        <v>34975</v>
      </c>
      <c r="H7045">
        <f t="shared" ref="H7045:H7108" si="205">ROUND(D7045*(1+$H$1),2)</f>
        <v>720.4</v>
      </c>
    </row>
    <row r="7046" spans="1:8" ht="15" customHeight="1">
      <c r="A7046" s="58" t="s">
        <v>10982</v>
      </c>
      <c r="B7046" s="20" t="s">
        <v>10983</v>
      </c>
      <c r="C7046" s="58" t="s">
        <v>10984</v>
      </c>
      <c r="D7046" s="58" t="s">
        <v>10756</v>
      </c>
      <c r="H7046">
        <f t="shared" si="205"/>
        <v>28.7</v>
      </c>
    </row>
    <row r="7047" spans="1:8" ht="15" customHeight="1">
      <c r="A7047" s="58" t="s">
        <v>10985</v>
      </c>
      <c r="B7047" s="20" t="s">
        <v>10986</v>
      </c>
      <c r="C7047" s="58" t="s">
        <v>10984</v>
      </c>
      <c r="D7047" s="58" t="s">
        <v>7267</v>
      </c>
      <c r="H7047">
        <f t="shared" si="205"/>
        <v>14.35</v>
      </c>
    </row>
    <row r="7048" spans="1:8" ht="15" customHeight="1">
      <c r="A7048" s="58" t="s">
        <v>10987</v>
      </c>
      <c r="B7048" s="20" t="s">
        <v>10988</v>
      </c>
      <c r="C7048" s="58" t="s">
        <v>10984</v>
      </c>
      <c r="D7048" s="58" t="s">
        <v>33437</v>
      </c>
      <c r="H7048">
        <f t="shared" si="205"/>
        <v>26.44</v>
      </c>
    </row>
    <row r="7049" spans="1:8" ht="15" customHeight="1">
      <c r="A7049" s="58" t="s">
        <v>10989</v>
      </c>
      <c r="B7049" s="20" t="s">
        <v>10990</v>
      </c>
      <c r="C7049" s="58" t="s">
        <v>10984</v>
      </c>
      <c r="D7049" s="58" t="s">
        <v>5152</v>
      </c>
      <c r="H7049">
        <f t="shared" si="205"/>
        <v>10.19</v>
      </c>
    </row>
    <row r="7050" spans="1:8" ht="15" customHeight="1">
      <c r="A7050" s="58" t="s">
        <v>10991</v>
      </c>
      <c r="B7050" s="20" t="s">
        <v>10992</v>
      </c>
      <c r="C7050" s="58" t="s">
        <v>10984</v>
      </c>
      <c r="D7050" s="58" t="s">
        <v>15791</v>
      </c>
      <c r="H7050">
        <f t="shared" si="205"/>
        <v>11.26</v>
      </c>
    </row>
    <row r="7051" spans="1:8" ht="15" customHeight="1">
      <c r="A7051" s="58" t="s">
        <v>10993</v>
      </c>
      <c r="B7051" s="20" t="s">
        <v>10994</v>
      </c>
      <c r="C7051" s="58" t="s">
        <v>10984</v>
      </c>
      <c r="D7051" s="58" t="s">
        <v>7465</v>
      </c>
      <c r="H7051">
        <f t="shared" si="205"/>
        <v>4.04</v>
      </c>
    </row>
    <row r="7052" spans="1:8" ht="15" customHeight="1">
      <c r="A7052" s="58" t="s">
        <v>10995</v>
      </c>
      <c r="B7052" s="20" t="s">
        <v>10996</v>
      </c>
      <c r="C7052" s="58" t="s">
        <v>10984</v>
      </c>
      <c r="D7052" s="58" t="s">
        <v>26927</v>
      </c>
      <c r="H7052">
        <f t="shared" si="205"/>
        <v>6.21</v>
      </c>
    </row>
    <row r="7053" spans="1:8" ht="15" customHeight="1">
      <c r="A7053" s="58" t="s">
        <v>10997</v>
      </c>
      <c r="B7053" s="20" t="s">
        <v>10998</v>
      </c>
      <c r="C7053" s="58" t="s">
        <v>10984</v>
      </c>
      <c r="D7053" s="58" t="s">
        <v>9972</v>
      </c>
      <c r="H7053">
        <f t="shared" si="205"/>
        <v>5.32</v>
      </c>
    </row>
    <row r="7054" spans="1:8" ht="15" customHeight="1">
      <c r="A7054" s="58" t="s">
        <v>10999</v>
      </c>
      <c r="B7054" s="20" t="s">
        <v>11000</v>
      </c>
      <c r="C7054" s="58" t="s">
        <v>10984</v>
      </c>
      <c r="D7054" s="58" t="s">
        <v>10073</v>
      </c>
      <c r="H7054">
        <f t="shared" si="205"/>
        <v>1.43</v>
      </c>
    </row>
    <row r="7055" spans="1:8" ht="15" customHeight="1">
      <c r="A7055" s="58" t="s">
        <v>11001</v>
      </c>
      <c r="B7055" s="20" t="s">
        <v>11002</v>
      </c>
      <c r="C7055" s="58" t="s">
        <v>10984</v>
      </c>
      <c r="D7055" s="58" t="s">
        <v>30184</v>
      </c>
      <c r="H7055">
        <f t="shared" si="205"/>
        <v>4.8899999999999997</v>
      </c>
    </row>
    <row r="7056" spans="1:8" ht="15" customHeight="1">
      <c r="A7056" s="58" t="s">
        <v>11003</v>
      </c>
      <c r="B7056" s="20" t="s">
        <v>11004</v>
      </c>
      <c r="C7056" s="58" t="s">
        <v>10984</v>
      </c>
      <c r="D7056" s="58" t="s">
        <v>6470</v>
      </c>
      <c r="H7056">
        <f t="shared" si="205"/>
        <v>3.33</v>
      </c>
    </row>
    <row r="7057" spans="1:8" ht="15" customHeight="1">
      <c r="A7057" s="58" t="s">
        <v>11005</v>
      </c>
      <c r="B7057" s="20" t="s">
        <v>11006</v>
      </c>
      <c r="C7057" s="58" t="s">
        <v>10984</v>
      </c>
      <c r="D7057" s="58" t="s">
        <v>3571</v>
      </c>
      <c r="H7057">
        <f t="shared" si="205"/>
        <v>0.73</v>
      </c>
    </row>
    <row r="7058" spans="1:8" ht="15" customHeight="1">
      <c r="A7058" s="58" t="s">
        <v>11007</v>
      </c>
      <c r="B7058" s="20" t="s">
        <v>11008</v>
      </c>
      <c r="C7058" s="58" t="s">
        <v>11009</v>
      </c>
      <c r="D7058" s="58" t="s">
        <v>34976</v>
      </c>
      <c r="H7058">
        <f t="shared" si="205"/>
        <v>41.23</v>
      </c>
    </row>
    <row r="7059" spans="1:8" ht="15" customHeight="1">
      <c r="A7059" s="58" t="s">
        <v>11010</v>
      </c>
      <c r="B7059" s="20" t="s">
        <v>11011</v>
      </c>
      <c r="C7059" s="58" t="s">
        <v>11009</v>
      </c>
      <c r="D7059" s="58" t="s">
        <v>34977</v>
      </c>
      <c r="H7059">
        <f t="shared" si="205"/>
        <v>46.74</v>
      </c>
    </row>
    <row r="7060" spans="1:8" ht="15" customHeight="1">
      <c r="A7060" s="58" t="s">
        <v>11012</v>
      </c>
      <c r="B7060" s="20" t="s">
        <v>11013</v>
      </c>
      <c r="C7060" s="58" t="s">
        <v>11009</v>
      </c>
      <c r="D7060" s="58" t="s">
        <v>12643</v>
      </c>
      <c r="H7060">
        <f t="shared" si="205"/>
        <v>17.71</v>
      </c>
    </row>
    <row r="7061" spans="1:8" ht="15" customHeight="1">
      <c r="A7061" s="58" t="s">
        <v>11014</v>
      </c>
      <c r="B7061" s="20" t="s">
        <v>11015</v>
      </c>
      <c r="C7061" s="58" t="s">
        <v>11009</v>
      </c>
      <c r="D7061" s="58" t="s">
        <v>6492</v>
      </c>
      <c r="H7061">
        <f t="shared" si="205"/>
        <v>8.27</v>
      </c>
    </row>
    <row r="7062" spans="1:8" ht="15" customHeight="1">
      <c r="A7062" s="58" t="s">
        <v>11016</v>
      </c>
      <c r="B7062" s="20" t="s">
        <v>11017</v>
      </c>
      <c r="C7062" s="58" t="s">
        <v>11009</v>
      </c>
      <c r="D7062" s="58" t="s">
        <v>30184</v>
      </c>
      <c r="H7062">
        <f t="shared" si="205"/>
        <v>4.8899999999999997</v>
      </c>
    </row>
    <row r="7063" spans="1:8" ht="15" customHeight="1">
      <c r="A7063" s="58" t="s">
        <v>11018</v>
      </c>
      <c r="B7063" s="20" t="s">
        <v>11019</v>
      </c>
      <c r="C7063" s="58" t="s">
        <v>11020</v>
      </c>
      <c r="D7063" s="58" t="s">
        <v>17137</v>
      </c>
      <c r="H7063">
        <f t="shared" si="205"/>
        <v>3.24</v>
      </c>
    </row>
    <row r="7064" spans="1:8" ht="15" customHeight="1">
      <c r="A7064" s="58" t="s">
        <v>11021</v>
      </c>
      <c r="B7064" s="20" t="s">
        <v>11022</v>
      </c>
      <c r="C7064" s="58" t="s">
        <v>11020</v>
      </c>
      <c r="D7064" s="58" t="s">
        <v>7277</v>
      </c>
      <c r="H7064">
        <f t="shared" si="205"/>
        <v>1.01</v>
      </c>
    </row>
    <row r="7065" spans="1:8" ht="15" customHeight="1">
      <c r="A7065" s="58" t="s">
        <v>11023</v>
      </c>
      <c r="B7065" s="20" t="s">
        <v>11024</v>
      </c>
      <c r="C7065" s="58" t="s">
        <v>11020</v>
      </c>
      <c r="D7065" s="58" t="s">
        <v>15832</v>
      </c>
      <c r="H7065">
        <f t="shared" si="205"/>
        <v>1.51</v>
      </c>
    </row>
    <row r="7066" spans="1:8" ht="15" customHeight="1">
      <c r="A7066" s="58" t="s">
        <v>11025</v>
      </c>
      <c r="B7066" s="20" t="s">
        <v>11026</v>
      </c>
      <c r="C7066" s="58" t="s">
        <v>11020</v>
      </c>
      <c r="D7066" s="58" t="s">
        <v>26983</v>
      </c>
      <c r="H7066">
        <f t="shared" si="205"/>
        <v>0.48</v>
      </c>
    </row>
    <row r="7067" spans="1:8" ht="15" customHeight="1">
      <c r="A7067" s="58" t="s">
        <v>11027</v>
      </c>
      <c r="B7067" s="20" t="s">
        <v>11028</v>
      </c>
      <c r="C7067" s="58" t="s">
        <v>71</v>
      </c>
      <c r="D7067" s="58" t="s">
        <v>3869</v>
      </c>
      <c r="H7067">
        <f t="shared" si="205"/>
        <v>0.01</v>
      </c>
    </row>
    <row r="7068" spans="1:8" ht="15" customHeight="1">
      <c r="A7068" s="58" t="s">
        <v>11029</v>
      </c>
      <c r="B7068" s="20" t="s">
        <v>11030</v>
      </c>
      <c r="C7068" s="58" t="s">
        <v>71</v>
      </c>
      <c r="D7068" s="58" t="s">
        <v>3394</v>
      </c>
      <c r="H7068">
        <f t="shared" si="205"/>
        <v>0.03</v>
      </c>
    </row>
    <row r="7069" spans="1:8" ht="15" customHeight="1">
      <c r="A7069" s="58" t="s">
        <v>11031</v>
      </c>
      <c r="B7069" s="20" t="s">
        <v>11032</v>
      </c>
      <c r="C7069" s="58" t="s">
        <v>71</v>
      </c>
      <c r="D7069" s="58" t="s">
        <v>3483</v>
      </c>
      <c r="H7069">
        <f t="shared" si="205"/>
        <v>0.05</v>
      </c>
    </row>
    <row r="7070" spans="1:8" ht="15" customHeight="1">
      <c r="A7070" s="58" t="s">
        <v>11033</v>
      </c>
      <c r="B7070" s="20" t="s">
        <v>11034</v>
      </c>
      <c r="C7070" s="58" t="s">
        <v>114</v>
      </c>
      <c r="D7070" s="58" t="s">
        <v>4025</v>
      </c>
      <c r="H7070">
        <f t="shared" si="205"/>
        <v>0.55000000000000004</v>
      </c>
    </row>
    <row r="7071" spans="1:8" ht="15" customHeight="1">
      <c r="A7071" s="58" t="s">
        <v>11035</v>
      </c>
      <c r="B7071" s="20" t="s">
        <v>11036</v>
      </c>
      <c r="C7071" s="58" t="s">
        <v>114</v>
      </c>
      <c r="D7071" s="58" t="s">
        <v>3385</v>
      </c>
      <c r="H7071">
        <f t="shared" si="205"/>
        <v>0.27</v>
      </c>
    </row>
    <row r="7072" spans="1:8" ht="15" customHeight="1">
      <c r="A7072" s="58" t="s">
        <v>11037</v>
      </c>
      <c r="B7072" s="20" t="s">
        <v>11038</v>
      </c>
      <c r="C7072" s="58" t="s">
        <v>73</v>
      </c>
      <c r="D7072" s="58" t="s">
        <v>34978</v>
      </c>
      <c r="H7072">
        <f t="shared" si="205"/>
        <v>0.81</v>
      </c>
    </row>
    <row r="7073" spans="1:8" ht="15" customHeight="1">
      <c r="A7073" s="58" t="s">
        <v>11039</v>
      </c>
      <c r="B7073" s="20" t="s">
        <v>11040</v>
      </c>
      <c r="C7073" s="58" t="s">
        <v>69</v>
      </c>
      <c r="D7073" s="58" t="s">
        <v>3483</v>
      </c>
      <c r="H7073">
        <f t="shared" si="205"/>
        <v>0.05</v>
      </c>
    </row>
    <row r="7074" spans="1:8" ht="15" customHeight="1">
      <c r="A7074" s="58" t="s">
        <v>11041</v>
      </c>
      <c r="B7074" s="20" t="s">
        <v>11042</v>
      </c>
      <c r="C7074" s="58" t="s">
        <v>11043</v>
      </c>
      <c r="D7074" s="58" t="s">
        <v>7304</v>
      </c>
      <c r="H7074">
        <f t="shared" si="205"/>
        <v>4.0999999999999996</v>
      </c>
    </row>
    <row r="7075" spans="1:8" ht="15" customHeight="1">
      <c r="A7075" s="58" t="s">
        <v>11044</v>
      </c>
      <c r="B7075" s="20" t="s">
        <v>11045</v>
      </c>
      <c r="C7075" s="58" t="s">
        <v>11043</v>
      </c>
      <c r="D7075" s="58" t="s">
        <v>6410</v>
      </c>
      <c r="H7075">
        <f t="shared" si="205"/>
        <v>4.93</v>
      </c>
    </row>
    <row r="7076" spans="1:8" ht="15" customHeight="1">
      <c r="A7076" s="58" t="s">
        <v>11046</v>
      </c>
      <c r="B7076" s="20" t="s">
        <v>11047</v>
      </c>
      <c r="C7076" s="58" t="s">
        <v>11043</v>
      </c>
      <c r="D7076" s="58" t="s">
        <v>7397</v>
      </c>
      <c r="H7076">
        <f t="shared" si="205"/>
        <v>7.89</v>
      </c>
    </row>
    <row r="7077" spans="1:8" ht="15" customHeight="1">
      <c r="A7077" s="58" t="s">
        <v>11048</v>
      </c>
      <c r="B7077" s="20" t="s">
        <v>11049</v>
      </c>
      <c r="C7077" s="58" t="s">
        <v>11043</v>
      </c>
      <c r="D7077" s="58" t="s">
        <v>34979</v>
      </c>
      <c r="H7077">
        <f t="shared" si="205"/>
        <v>9.86</v>
      </c>
    </row>
    <row r="7078" spans="1:8" ht="15" customHeight="1">
      <c r="A7078" s="58" t="s">
        <v>11050</v>
      </c>
      <c r="B7078" s="20" t="s">
        <v>11051</v>
      </c>
      <c r="C7078" s="58" t="s">
        <v>11043</v>
      </c>
      <c r="D7078" s="58" t="s">
        <v>27988</v>
      </c>
      <c r="H7078">
        <f t="shared" si="205"/>
        <v>5.92</v>
      </c>
    </row>
    <row r="7079" spans="1:8" ht="15" customHeight="1">
      <c r="A7079" s="58" t="s">
        <v>11052</v>
      </c>
      <c r="B7079" s="20" t="s">
        <v>11053</v>
      </c>
      <c r="C7079" s="58" t="s">
        <v>11043</v>
      </c>
      <c r="D7079" s="58" t="s">
        <v>34979</v>
      </c>
      <c r="H7079">
        <f t="shared" si="205"/>
        <v>9.86</v>
      </c>
    </row>
    <row r="7080" spans="1:8" ht="15" customHeight="1">
      <c r="A7080" s="58" t="s">
        <v>11054</v>
      </c>
      <c r="B7080" s="20" t="s">
        <v>11055</v>
      </c>
      <c r="C7080" s="58" t="s">
        <v>11043</v>
      </c>
      <c r="D7080" s="58" t="s">
        <v>16564</v>
      </c>
      <c r="H7080">
        <f t="shared" si="205"/>
        <v>29.14</v>
      </c>
    </row>
    <row r="7081" spans="1:8" ht="15" customHeight="1">
      <c r="A7081" s="58" t="s">
        <v>11056</v>
      </c>
      <c r="B7081" s="20" t="s">
        <v>11057</v>
      </c>
      <c r="C7081" s="58" t="s">
        <v>11043</v>
      </c>
      <c r="D7081" s="58" t="s">
        <v>7257</v>
      </c>
      <c r="H7081">
        <f t="shared" si="205"/>
        <v>4.7300000000000004</v>
      </c>
    </row>
    <row r="7082" spans="1:8" ht="15" customHeight="1">
      <c r="A7082" s="58" t="s">
        <v>11058</v>
      </c>
      <c r="B7082" s="20" t="s">
        <v>11059</v>
      </c>
      <c r="C7082" s="58" t="s">
        <v>11043</v>
      </c>
      <c r="D7082" s="58" t="s">
        <v>27988</v>
      </c>
      <c r="H7082">
        <f t="shared" si="205"/>
        <v>5.92</v>
      </c>
    </row>
    <row r="7083" spans="1:8" ht="15" customHeight="1">
      <c r="A7083" s="58" t="s">
        <v>11060</v>
      </c>
      <c r="B7083" s="20" t="s">
        <v>11061</v>
      </c>
      <c r="C7083" s="58" t="s">
        <v>11043</v>
      </c>
      <c r="D7083" s="58" t="s">
        <v>26581</v>
      </c>
      <c r="H7083">
        <f t="shared" si="205"/>
        <v>11.83</v>
      </c>
    </row>
    <row r="7084" spans="1:8" ht="15" customHeight="1">
      <c r="A7084" s="58" t="s">
        <v>11062</v>
      </c>
      <c r="B7084" s="20" t="s">
        <v>11063</v>
      </c>
      <c r="C7084" s="58" t="s">
        <v>11043</v>
      </c>
      <c r="D7084" s="58" t="s">
        <v>10237</v>
      </c>
      <c r="H7084">
        <f t="shared" si="205"/>
        <v>3.94</v>
      </c>
    </row>
    <row r="7085" spans="1:8" ht="15" customHeight="1">
      <c r="A7085" s="58" t="s">
        <v>11064</v>
      </c>
      <c r="B7085" s="20" t="s">
        <v>11065</v>
      </c>
      <c r="C7085" s="58" t="s">
        <v>11043</v>
      </c>
      <c r="D7085" s="58" t="s">
        <v>6410</v>
      </c>
      <c r="H7085">
        <f t="shared" si="205"/>
        <v>4.93</v>
      </c>
    </row>
    <row r="7086" spans="1:8" ht="15" customHeight="1">
      <c r="A7086" s="58" t="s">
        <v>11066</v>
      </c>
      <c r="B7086" s="20" t="s">
        <v>11067</v>
      </c>
      <c r="C7086" s="58" t="s">
        <v>11043</v>
      </c>
      <c r="D7086" s="58" t="s">
        <v>29664</v>
      </c>
      <c r="H7086">
        <f t="shared" si="205"/>
        <v>19.43</v>
      </c>
    </row>
    <row r="7087" spans="1:8" ht="15" customHeight="1">
      <c r="A7087" s="58" t="s">
        <v>11068</v>
      </c>
      <c r="B7087" s="20" t="s">
        <v>11069</v>
      </c>
      <c r="C7087" s="58" t="s">
        <v>11043</v>
      </c>
      <c r="D7087" s="58" t="s">
        <v>10237</v>
      </c>
      <c r="H7087">
        <f t="shared" si="205"/>
        <v>3.94</v>
      </c>
    </row>
    <row r="7088" spans="1:8" ht="15" customHeight="1">
      <c r="A7088" s="58" t="s">
        <v>11070</v>
      </c>
      <c r="B7088" s="20" t="s">
        <v>11071</v>
      </c>
      <c r="C7088" s="58" t="s">
        <v>11043</v>
      </c>
      <c r="D7088" s="58" t="s">
        <v>22613</v>
      </c>
      <c r="H7088">
        <f t="shared" si="205"/>
        <v>6.57</v>
      </c>
    </row>
    <row r="7089" spans="1:8" ht="15" customHeight="1">
      <c r="A7089" s="58" t="s">
        <v>11072</v>
      </c>
      <c r="B7089" s="20" t="s">
        <v>11073</v>
      </c>
      <c r="C7089" s="58" t="s">
        <v>11043</v>
      </c>
      <c r="D7089" s="58" t="s">
        <v>29664</v>
      </c>
      <c r="H7089">
        <f t="shared" si="205"/>
        <v>19.43</v>
      </c>
    </row>
    <row r="7090" spans="1:8" ht="15" customHeight="1">
      <c r="A7090" s="58" t="s">
        <v>11074</v>
      </c>
      <c r="B7090" s="20" t="s">
        <v>11075</v>
      </c>
      <c r="C7090" s="58" t="s">
        <v>11043</v>
      </c>
      <c r="D7090" s="58" t="s">
        <v>16564</v>
      </c>
      <c r="H7090">
        <f t="shared" si="205"/>
        <v>29.14</v>
      </c>
    </row>
    <row r="7091" spans="1:8" ht="15" customHeight="1">
      <c r="A7091" s="58" t="s">
        <v>11076</v>
      </c>
      <c r="B7091" s="20" t="s">
        <v>11077</v>
      </c>
      <c r="C7091" s="58" t="s">
        <v>11043</v>
      </c>
      <c r="D7091" s="58" t="s">
        <v>33412</v>
      </c>
      <c r="H7091">
        <f t="shared" si="205"/>
        <v>38.869999999999997</v>
      </c>
    </row>
    <row r="7092" spans="1:8" ht="15" customHeight="1">
      <c r="A7092" s="58" t="s">
        <v>11078</v>
      </c>
      <c r="B7092" s="20" t="s">
        <v>11079</v>
      </c>
      <c r="C7092" s="58" t="s">
        <v>11043</v>
      </c>
      <c r="D7092" s="58" t="s">
        <v>34980</v>
      </c>
      <c r="H7092">
        <f t="shared" si="205"/>
        <v>58.3</v>
      </c>
    </row>
    <row r="7093" spans="1:8" ht="15" customHeight="1">
      <c r="A7093" s="58" t="s">
        <v>11080</v>
      </c>
      <c r="B7093" s="20" t="s">
        <v>11081</v>
      </c>
      <c r="C7093" s="58" t="s">
        <v>11043</v>
      </c>
      <c r="D7093" s="58" t="s">
        <v>26345</v>
      </c>
      <c r="H7093">
        <f t="shared" si="205"/>
        <v>19.72</v>
      </c>
    </row>
    <row r="7094" spans="1:8" ht="15" customHeight="1">
      <c r="A7094" s="58" t="s">
        <v>11082</v>
      </c>
      <c r="B7094" s="20" t="s">
        <v>11083</v>
      </c>
      <c r="C7094" s="58" t="s">
        <v>11043</v>
      </c>
      <c r="D7094" s="58" t="s">
        <v>19658</v>
      </c>
      <c r="H7094">
        <f t="shared" si="205"/>
        <v>13.15</v>
      </c>
    </row>
    <row r="7095" spans="1:8" ht="15" customHeight="1">
      <c r="A7095" s="58" t="s">
        <v>11084</v>
      </c>
      <c r="B7095" s="20" t="s">
        <v>11085</v>
      </c>
      <c r="C7095" s="58" t="s">
        <v>11043</v>
      </c>
      <c r="D7095" s="58" t="s">
        <v>7397</v>
      </c>
      <c r="H7095">
        <f t="shared" si="205"/>
        <v>7.89</v>
      </c>
    </row>
    <row r="7096" spans="1:8" ht="15" customHeight="1">
      <c r="A7096" s="58" t="s">
        <v>11086</v>
      </c>
      <c r="B7096" s="20" t="s">
        <v>11087</v>
      </c>
      <c r="C7096" s="58" t="s">
        <v>11043</v>
      </c>
      <c r="D7096" s="58" t="s">
        <v>26345</v>
      </c>
      <c r="H7096">
        <f t="shared" si="205"/>
        <v>19.72</v>
      </c>
    </row>
    <row r="7097" spans="1:8" ht="15" customHeight="1">
      <c r="A7097" s="58" t="s">
        <v>11088</v>
      </c>
      <c r="B7097" s="20" t="s">
        <v>11089</v>
      </c>
      <c r="C7097" s="58" t="s">
        <v>11043</v>
      </c>
      <c r="D7097" s="58" t="s">
        <v>33412</v>
      </c>
      <c r="H7097">
        <f t="shared" si="205"/>
        <v>38.869999999999997</v>
      </c>
    </row>
    <row r="7098" spans="1:8" ht="15" customHeight="1">
      <c r="A7098" s="58" t="s">
        <v>11090</v>
      </c>
      <c r="B7098" s="20" t="s">
        <v>11091</v>
      </c>
      <c r="C7098" s="58" t="s">
        <v>10957</v>
      </c>
      <c r="D7098" s="58" t="s">
        <v>34981</v>
      </c>
      <c r="H7098">
        <f t="shared" si="205"/>
        <v>12.81</v>
      </c>
    </row>
    <row r="7099" spans="1:8" ht="15" customHeight="1">
      <c r="A7099" s="58" t="s">
        <v>11092</v>
      </c>
      <c r="B7099" s="20" t="s">
        <v>11093</v>
      </c>
      <c r="C7099" s="58" t="s">
        <v>10957</v>
      </c>
      <c r="D7099" s="58" t="s">
        <v>4151</v>
      </c>
      <c r="H7099">
        <f t="shared" si="205"/>
        <v>8.0500000000000007</v>
      </c>
    </row>
    <row r="7100" spans="1:8" ht="15" customHeight="1">
      <c r="A7100" s="58" t="s">
        <v>11094</v>
      </c>
      <c r="B7100" s="20" t="s">
        <v>11095</v>
      </c>
      <c r="C7100" s="58" t="s">
        <v>10957</v>
      </c>
      <c r="D7100" s="58" t="s">
        <v>2902</v>
      </c>
      <c r="H7100">
        <f t="shared" si="205"/>
        <v>4.9800000000000004</v>
      </c>
    </row>
    <row r="7101" spans="1:8" ht="15" customHeight="1">
      <c r="A7101" s="58" t="s">
        <v>11096</v>
      </c>
      <c r="B7101" s="20" t="s">
        <v>11097</v>
      </c>
      <c r="C7101" s="58" t="s">
        <v>10957</v>
      </c>
      <c r="D7101" s="58" t="s">
        <v>3467</v>
      </c>
      <c r="H7101">
        <f t="shared" si="205"/>
        <v>3.2</v>
      </c>
    </row>
    <row r="7102" spans="1:8" ht="15" customHeight="1">
      <c r="A7102" s="58" t="s">
        <v>11098</v>
      </c>
      <c r="B7102" s="20" t="s">
        <v>11099</v>
      </c>
      <c r="C7102" s="58" t="s">
        <v>11009</v>
      </c>
      <c r="D7102" s="58" t="s">
        <v>34982</v>
      </c>
      <c r="H7102">
        <f t="shared" si="205"/>
        <v>58.2</v>
      </c>
    </row>
    <row r="7103" spans="1:8" ht="15" customHeight="1">
      <c r="A7103" s="58" t="s">
        <v>11100</v>
      </c>
      <c r="B7103" s="20" t="s">
        <v>11101</v>
      </c>
      <c r="C7103" s="58" t="s">
        <v>73</v>
      </c>
      <c r="D7103" s="58" t="s">
        <v>7538</v>
      </c>
      <c r="H7103">
        <f t="shared" si="205"/>
        <v>1.21</v>
      </c>
    </row>
    <row r="7104" spans="1:8" ht="15" customHeight="1">
      <c r="A7104" s="58" t="s">
        <v>11102</v>
      </c>
      <c r="B7104" s="20" t="s">
        <v>11103</v>
      </c>
      <c r="C7104" s="58" t="s">
        <v>10984</v>
      </c>
      <c r="D7104" s="58" t="s">
        <v>34983</v>
      </c>
      <c r="H7104">
        <f t="shared" si="205"/>
        <v>123.71</v>
      </c>
    </row>
    <row r="7105" spans="1:8" ht="15" customHeight="1">
      <c r="A7105" s="58" t="s">
        <v>11104</v>
      </c>
      <c r="B7105" s="20" t="s">
        <v>11105</v>
      </c>
      <c r="C7105" s="58" t="s">
        <v>114</v>
      </c>
      <c r="D7105" s="58" t="s">
        <v>34795</v>
      </c>
      <c r="H7105">
        <f t="shared" si="205"/>
        <v>2.4500000000000002</v>
      </c>
    </row>
    <row r="7106" spans="1:8" ht="15" customHeight="1">
      <c r="A7106" s="58" t="s">
        <v>11106</v>
      </c>
      <c r="B7106" s="20" t="s">
        <v>11107</v>
      </c>
      <c r="C7106" s="58" t="s">
        <v>10984</v>
      </c>
      <c r="D7106" s="58" t="s">
        <v>34983</v>
      </c>
      <c r="H7106">
        <f t="shared" si="205"/>
        <v>123.71</v>
      </c>
    </row>
    <row r="7107" spans="1:8" ht="15" customHeight="1">
      <c r="A7107" s="58" t="s">
        <v>11108</v>
      </c>
      <c r="B7107" s="20" t="s">
        <v>11109</v>
      </c>
      <c r="C7107" s="58" t="s">
        <v>114</v>
      </c>
      <c r="D7107" s="58" t="s">
        <v>34795</v>
      </c>
      <c r="H7107">
        <f t="shared" si="205"/>
        <v>2.4500000000000002</v>
      </c>
    </row>
    <row r="7108" spans="1:8" ht="15" customHeight="1">
      <c r="A7108" s="58" t="s">
        <v>11110</v>
      </c>
      <c r="B7108" s="20" t="s">
        <v>11111</v>
      </c>
      <c r="C7108" s="58" t="s">
        <v>10984</v>
      </c>
      <c r="D7108" s="58" t="s">
        <v>24811</v>
      </c>
      <c r="H7108">
        <f t="shared" si="205"/>
        <v>92.73</v>
      </c>
    </row>
    <row r="7109" spans="1:8" ht="15" customHeight="1">
      <c r="A7109" s="58" t="s">
        <v>11112</v>
      </c>
      <c r="B7109" s="20" t="s">
        <v>11113</v>
      </c>
      <c r="C7109" s="58" t="s">
        <v>11009</v>
      </c>
      <c r="D7109" s="58" t="s">
        <v>34984</v>
      </c>
      <c r="H7109">
        <f t="shared" ref="H7109:H7172" si="206">ROUND(D7109*(1+$H$1),2)</f>
        <v>92.78</v>
      </c>
    </row>
    <row r="7110" spans="1:8" ht="15" customHeight="1">
      <c r="A7110" s="58" t="s">
        <v>11114</v>
      </c>
      <c r="B7110" s="20" t="s">
        <v>11115</v>
      </c>
      <c r="C7110" s="58" t="s">
        <v>73</v>
      </c>
      <c r="D7110" s="58" t="s">
        <v>34985</v>
      </c>
      <c r="H7110">
        <f t="shared" si="206"/>
        <v>1.84</v>
      </c>
    </row>
    <row r="7111" spans="1:8" ht="15" customHeight="1">
      <c r="A7111" s="58" t="s">
        <v>11116</v>
      </c>
      <c r="B7111" s="20" t="s">
        <v>11117</v>
      </c>
      <c r="C7111" s="58" t="s">
        <v>10957</v>
      </c>
      <c r="D7111" s="58" t="s">
        <v>23967</v>
      </c>
      <c r="H7111">
        <f t="shared" si="206"/>
        <v>4.84</v>
      </c>
    </row>
    <row r="7112" spans="1:8" ht="15" customHeight="1">
      <c r="A7112" s="58" t="s">
        <v>11118</v>
      </c>
      <c r="B7112" s="20" t="s">
        <v>11119</v>
      </c>
      <c r="C7112" s="58" t="s">
        <v>11009</v>
      </c>
      <c r="D7112" s="58" t="s">
        <v>34986</v>
      </c>
      <c r="H7112">
        <f t="shared" si="206"/>
        <v>41.25</v>
      </c>
    </row>
    <row r="7113" spans="1:8" ht="15" customHeight="1">
      <c r="A7113" s="58" t="s">
        <v>11120</v>
      </c>
      <c r="B7113" s="20" t="s">
        <v>11121</v>
      </c>
      <c r="C7113" s="58" t="s">
        <v>11009</v>
      </c>
      <c r="D7113" s="58" t="s">
        <v>32503</v>
      </c>
      <c r="H7113">
        <f t="shared" si="206"/>
        <v>26.68</v>
      </c>
    </row>
    <row r="7114" spans="1:8" ht="15" customHeight="1">
      <c r="A7114" s="58" t="s">
        <v>11122</v>
      </c>
      <c r="B7114" s="20" t="s">
        <v>11123</v>
      </c>
      <c r="C7114" s="58" t="s">
        <v>11009</v>
      </c>
      <c r="D7114" s="58" t="s">
        <v>11694</v>
      </c>
      <c r="H7114">
        <f t="shared" si="206"/>
        <v>48.68</v>
      </c>
    </row>
    <row r="7115" spans="1:8" ht="15" customHeight="1">
      <c r="A7115" s="58" t="s">
        <v>11124</v>
      </c>
      <c r="B7115" s="20" t="s">
        <v>11125</v>
      </c>
      <c r="C7115" s="58" t="s">
        <v>11009</v>
      </c>
      <c r="D7115" s="58" t="s">
        <v>7273</v>
      </c>
      <c r="H7115">
        <f t="shared" si="206"/>
        <v>3.13</v>
      </c>
    </row>
    <row r="7116" spans="1:8" ht="15" customHeight="1">
      <c r="A7116" s="58" t="s">
        <v>11126</v>
      </c>
      <c r="B7116" s="20" t="s">
        <v>11127</v>
      </c>
      <c r="C7116" s="58" t="s">
        <v>10984</v>
      </c>
      <c r="D7116" s="58" t="s">
        <v>26933</v>
      </c>
      <c r="H7116">
        <f t="shared" si="206"/>
        <v>59.19</v>
      </c>
    </row>
    <row r="7117" spans="1:8" ht="15" customHeight="1">
      <c r="A7117" s="58" t="s">
        <v>11128</v>
      </c>
      <c r="B7117" s="20" t="s">
        <v>11129</v>
      </c>
      <c r="C7117" s="58" t="s">
        <v>114</v>
      </c>
      <c r="D7117" s="58" t="s">
        <v>3573</v>
      </c>
      <c r="H7117">
        <f t="shared" si="206"/>
        <v>1.1499999999999999</v>
      </c>
    </row>
    <row r="7118" spans="1:8" ht="15" customHeight="1">
      <c r="A7118" s="58" t="s">
        <v>11130</v>
      </c>
      <c r="B7118" s="20" t="s">
        <v>11131</v>
      </c>
      <c r="C7118" s="58" t="s">
        <v>10984</v>
      </c>
      <c r="D7118" s="58" t="s">
        <v>26982</v>
      </c>
      <c r="H7118">
        <f t="shared" si="206"/>
        <v>27.17</v>
      </c>
    </row>
    <row r="7119" spans="1:8" ht="15" customHeight="1">
      <c r="A7119" s="58" t="s">
        <v>11132</v>
      </c>
      <c r="B7119" s="20" t="s">
        <v>11133</v>
      </c>
      <c r="C7119" s="58" t="s">
        <v>10984</v>
      </c>
      <c r="D7119" s="58" t="s">
        <v>15821</v>
      </c>
      <c r="H7119">
        <f t="shared" si="206"/>
        <v>5.97</v>
      </c>
    </row>
    <row r="7120" spans="1:8" ht="15" customHeight="1">
      <c r="A7120" s="58" t="s">
        <v>11134</v>
      </c>
      <c r="B7120" s="20" t="s">
        <v>11135</v>
      </c>
      <c r="C7120" s="58" t="s">
        <v>11009</v>
      </c>
      <c r="D7120" s="58" t="s">
        <v>34987</v>
      </c>
      <c r="H7120">
        <f t="shared" si="206"/>
        <v>231.79</v>
      </c>
    </row>
    <row r="7121" spans="1:8" ht="15" customHeight="1">
      <c r="A7121" s="58" t="s">
        <v>11136</v>
      </c>
      <c r="B7121" s="20" t="s">
        <v>11137</v>
      </c>
      <c r="C7121" s="58" t="s">
        <v>11009</v>
      </c>
      <c r="D7121" s="58" t="s">
        <v>33262</v>
      </c>
      <c r="H7121">
        <f t="shared" si="206"/>
        <v>37.44</v>
      </c>
    </row>
    <row r="7122" spans="1:8" ht="15" customHeight="1">
      <c r="A7122" s="58" t="s">
        <v>11139</v>
      </c>
      <c r="B7122" s="20" t="s">
        <v>11140</v>
      </c>
      <c r="C7122" s="58" t="s">
        <v>11009</v>
      </c>
      <c r="D7122" s="58" t="s">
        <v>28327</v>
      </c>
      <c r="H7122">
        <f t="shared" si="206"/>
        <v>17.5</v>
      </c>
    </row>
    <row r="7123" spans="1:8" ht="15" customHeight="1">
      <c r="A7123" s="58" t="s">
        <v>11141</v>
      </c>
      <c r="B7123" s="20" t="s">
        <v>11142</v>
      </c>
      <c r="C7123" s="58" t="s">
        <v>11043</v>
      </c>
      <c r="D7123" s="58" t="s">
        <v>29308</v>
      </c>
      <c r="H7123">
        <f t="shared" si="206"/>
        <v>62.27</v>
      </c>
    </row>
    <row r="7124" spans="1:8" ht="15" customHeight="1">
      <c r="A7124" s="58" t="s">
        <v>11143</v>
      </c>
      <c r="B7124" s="20" t="s">
        <v>11144</v>
      </c>
      <c r="C7124" s="58" t="s">
        <v>11043</v>
      </c>
      <c r="D7124" s="58" t="s">
        <v>32570</v>
      </c>
      <c r="H7124">
        <f t="shared" si="206"/>
        <v>20.29</v>
      </c>
    </row>
    <row r="7125" spans="1:8" ht="15" customHeight="1">
      <c r="A7125" s="58" t="s">
        <v>11145</v>
      </c>
      <c r="B7125" s="20" t="s">
        <v>30112</v>
      </c>
      <c r="C7125" s="58" t="s">
        <v>11043</v>
      </c>
      <c r="D7125" s="58" t="s">
        <v>29664</v>
      </c>
      <c r="H7125">
        <f t="shared" si="206"/>
        <v>19.43</v>
      </c>
    </row>
    <row r="7126" spans="1:8" ht="15" customHeight="1">
      <c r="A7126" s="58" t="s">
        <v>11146</v>
      </c>
      <c r="B7126" s="20" t="s">
        <v>11147</v>
      </c>
      <c r="C7126" s="58" t="s">
        <v>73</v>
      </c>
      <c r="D7126" s="58" t="s">
        <v>23965</v>
      </c>
      <c r="H7126">
        <f t="shared" si="206"/>
        <v>0.79</v>
      </c>
    </row>
    <row r="7127" spans="1:8" ht="15" customHeight="1">
      <c r="A7127" s="58" t="s">
        <v>11148</v>
      </c>
      <c r="B7127" s="20" t="s">
        <v>11149</v>
      </c>
      <c r="C7127" s="58" t="s">
        <v>73</v>
      </c>
      <c r="D7127" s="58" t="s">
        <v>7390</v>
      </c>
      <c r="H7127">
        <f t="shared" si="206"/>
        <v>3.08</v>
      </c>
    </row>
    <row r="7128" spans="1:8" ht="15" customHeight="1">
      <c r="A7128" s="58" t="s">
        <v>26897</v>
      </c>
      <c r="B7128" s="20" t="s">
        <v>26898</v>
      </c>
      <c r="C7128" s="58" t="s">
        <v>73</v>
      </c>
      <c r="D7128" s="58" t="s">
        <v>4521</v>
      </c>
      <c r="H7128">
        <f t="shared" si="206"/>
        <v>7.97</v>
      </c>
    </row>
    <row r="7129" spans="1:8" ht="15" customHeight="1">
      <c r="A7129" s="58" t="s">
        <v>11150</v>
      </c>
      <c r="B7129" s="20" t="s">
        <v>11151</v>
      </c>
      <c r="C7129" s="58" t="s">
        <v>73</v>
      </c>
      <c r="D7129" s="58" t="s">
        <v>7250</v>
      </c>
      <c r="H7129">
        <f t="shared" si="206"/>
        <v>16.510000000000002</v>
      </c>
    </row>
    <row r="7130" spans="1:8" ht="15" customHeight="1">
      <c r="A7130" s="58" t="s">
        <v>11152</v>
      </c>
      <c r="B7130" s="20" t="s">
        <v>11153</v>
      </c>
      <c r="C7130" s="58" t="s">
        <v>73</v>
      </c>
      <c r="D7130" s="58" t="s">
        <v>3976</v>
      </c>
      <c r="H7130">
        <f t="shared" si="206"/>
        <v>1.27</v>
      </c>
    </row>
    <row r="7131" spans="1:8" ht="15" customHeight="1">
      <c r="A7131" s="58" t="s">
        <v>26899</v>
      </c>
      <c r="B7131" s="20" t="s">
        <v>26900</v>
      </c>
      <c r="C7131" s="58" t="s">
        <v>73</v>
      </c>
      <c r="D7131" s="58" t="s">
        <v>3719</v>
      </c>
      <c r="H7131">
        <f t="shared" si="206"/>
        <v>2.41</v>
      </c>
    </row>
    <row r="7132" spans="1:8" ht="15" customHeight="1">
      <c r="A7132" s="58" t="s">
        <v>11154</v>
      </c>
      <c r="B7132" s="20" t="s">
        <v>11155</v>
      </c>
      <c r="C7132" s="58" t="s">
        <v>73</v>
      </c>
      <c r="D7132" s="58" t="s">
        <v>10211</v>
      </c>
      <c r="H7132">
        <f t="shared" si="206"/>
        <v>5.7</v>
      </c>
    </row>
    <row r="7133" spans="1:8" ht="15" customHeight="1">
      <c r="A7133" s="58" t="s">
        <v>11156</v>
      </c>
      <c r="B7133" s="20" t="s">
        <v>11157</v>
      </c>
      <c r="C7133" s="58" t="s">
        <v>73</v>
      </c>
      <c r="D7133" s="58" t="s">
        <v>5383</v>
      </c>
      <c r="H7133">
        <f t="shared" si="206"/>
        <v>8.75</v>
      </c>
    </row>
    <row r="7134" spans="1:8" ht="15" customHeight="1">
      <c r="A7134" s="58" t="s">
        <v>26901</v>
      </c>
      <c r="B7134" s="20" t="s">
        <v>26902</v>
      </c>
      <c r="C7134" s="58" t="s">
        <v>73</v>
      </c>
      <c r="D7134" s="58" t="s">
        <v>23952</v>
      </c>
      <c r="H7134">
        <f t="shared" si="206"/>
        <v>10.89</v>
      </c>
    </row>
    <row r="7135" spans="1:8" ht="15" customHeight="1">
      <c r="A7135" s="58" t="s">
        <v>11158</v>
      </c>
      <c r="B7135" s="20" t="s">
        <v>11159</v>
      </c>
      <c r="C7135" s="58" t="s">
        <v>73</v>
      </c>
      <c r="D7135" s="58" t="s">
        <v>3914</v>
      </c>
      <c r="H7135">
        <f t="shared" si="206"/>
        <v>5.24</v>
      </c>
    </row>
    <row r="7136" spans="1:8" ht="15" customHeight="1">
      <c r="A7136" s="58" t="s">
        <v>11160</v>
      </c>
      <c r="B7136" s="20" t="s">
        <v>11161</v>
      </c>
      <c r="C7136" s="58" t="s">
        <v>73</v>
      </c>
      <c r="D7136" s="58" t="s">
        <v>2993</v>
      </c>
      <c r="H7136">
        <f t="shared" si="206"/>
        <v>1.68</v>
      </c>
    </row>
    <row r="7137" spans="1:8" ht="15" customHeight="1">
      <c r="A7137" s="58" t="s">
        <v>26903</v>
      </c>
      <c r="B7137" s="20" t="s">
        <v>26904</v>
      </c>
      <c r="C7137" s="58" t="s">
        <v>73</v>
      </c>
      <c r="D7137" s="58" t="s">
        <v>10073</v>
      </c>
      <c r="H7137">
        <f t="shared" si="206"/>
        <v>1.43</v>
      </c>
    </row>
    <row r="7138" spans="1:8" ht="15" customHeight="1">
      <c r="A7138" s="58" t="s">
        <v>11162</v>
      </c>
      <c r="B7138" s="20" t="s">
        <v>11163</v>
      </c>
      <c r="C7138" s="58" t="s">
        <v>73</v>
      </c>
      <c r="D7138" s="58" t="s">
        <v>2965</v>
      </c>
      <c r="H7138">
        <f t="shared" si="206"/>
        <v>2.9</v>
      </c>
    </row>
    <row r="7139" spans="1:8" ht="15" customHeight="1">
      <c r="A7139" s="58" t="s">
        <v>26905</v>
      </c>
      <c r="B7139" s="20" t="s">
        <v>26906</v>
      </c>
      <c r="C7139" s="58" t="s">
        <v>114</v>
      </c>
      <c r="D7139" s="58" t="s">
        <v>7730</v>
      </c>
      <c r="H7139">
        <f t="shared" si="206"/>
        <v>12.25</v>
      </c>
    </row>
    <row r="7140" spans="1:8" ht="15" customHeight="1">
      <c r="A7140" s="58" t="s">
        <v>26907</v>
      </c>
      <c r="B7140" s="20" t="s">
        <v>26908</v>
      </c>
      <c r="C7140" s="58" t="s">
        <v>114</v>
      </c>
      <c r="D7140" s="58" t="s">
        <v>9872</v>
      </c>
      <c r="H7140">
        <f t="shared" si="206"/>
        <v>13.05</v>
      </c>
    </row>
    <row r="7141" spans="1:8" ht="15" customHeight="1">
      <c r="A7141" s="58" t="s">
        <v>26909</v>
      </c>
      <c r="B7141" s="20" t="s">
        <v>26910</v>
      </c>
      <c r="C7141" s="58" t="s">
        <v>114</v>
      </c>
      <c r="D7141" s="58" t="s">
        <v>10119</v>
      </c>
      <c r="H7141">
        <f t="shared" si="206"/>
        <v>7.52</v>
      </c>
    </row>
    <row r="7142" spans="1:8" ht="15" customHeight="1">
      <c r="A7142" s="58" t="s">
        <v>26911</v>
      </c>
      <c r="B7142" s="20" t="s">
        <v>26912</v>
      </c>
      <c r="C7142" s="58" t="s">
        <v>114</v>
      </c>
      <c r="D7142" s="58" t="s">
        <v>10119</v>
      </c>
      <c r="H7142">
        <f t="shared" si="206"/>
        <v>7.52</v>
      </c>
    </row>
    <row r="7143" spans="1:8" ht="15" customHeight="1">
      <c r="A7143" s="58" t="s">
        <v>26913</v>
      </c>
      <c r="B7143" s="20" t="s">
        <v>26914</v>
      </c>
      <c r="C7143" s="58" t="s">
        <v>73</v>
      </c>
      <c r="D7143" s="58" t="s">
        <v>31724</v>
      </c>
      <c r="H7143">
        <f t="shared" si="206"/>
        <v>24.92</v>
      </c>
    </row>
    <row r="7144" spans="1:8" ht="15" customHeight="1">
      <c r="A7144" s="58" t="s">
        <v>26915</v>
      </c>
      <c r="B7144" s="20" t="s">
        <v>26916</v>
      </c>
      <c r="C7144" s="58" t="s">
        <v>73</v>
      </c>
      <c r="D7144" s="58" t="s">
        <v>30558</v>
      </c>
      <c r="H7144">
        <f t="shared" si="206"/>
        <v>2.77</v>
      </c>
    </row>
    <row r="7145" spans="1:8" ht="15" customHeight="1">
      <c r="A7145" s="58" t="s">
        <v>26917</v>
      </c>
      <c r="B7145" s="20" t="s">
        <v>26918</v>
      </c>
      <c r="C7145" s="58" t="s">
        <v>73</v>
      </c>
      <c r="D7145" s="58" t="s">
        <v>3779</v>
      </c>
      <c r="H7145">
        <f t="shared" si="206"/>
        <v>4.28</v>
      </c>
    </row>
    <row r="7146" spans="1:8" ht="15" customHeight="1">
      <c r="A7146" s="58" t="s">
        <v>11164</v>
      </c>
      <c r="B7146" s="20" t="s">
        <v>11165</v>
      </c>
      <c r="C7146" s="58" t="s">
        <v>73</v>
      </c>
      <c r="D7146" s="58" t="s">
        <v>3918</v>
      </c>
      <c r="H7146">
        <f t="shared" si="206"/>
        <v>1.49</v>
      </c>
    </row>
    <row r="7147" spans="1:8" ht="15" customHeight="1">
      <c r="A7147" s="58" t="s">
        <v>26919</v>
      </c>
      <c r="B7147" s="20" t="s">
        <v>26920</v>
      </c>
      <c r="C7147" s="58" t="s">
        <v>73</v>
      </c>
      <c r="D7147" s="58" t="s">
        <v>6407</v>
      </c>
      <c r="H7147">
        <f t="shared" si="206"/>
        <v>3.28</v>
      </c>
    </row>
    <row r="7148" spans="1:8" ht="15" customHeight="1">
      <c r="A7148" s="58" t="s">
        <v>26921</v>
      </c>
      <c r="B7148" s="20" t="s">
        <v>26922</v>
      </c>
      <c r="C7148" s="58" t="s">
        <v>73</v>
      </c>
      <c r="D7148" s="58" t="s">
        <v>31095</v>
      </c>
      <c r="H7148">
        <f t="shared" si="206"/>
        <v>3.62</v>
      </c>
    </row>
    <row r="7149" spans="1:8" ht="15" customHeight="1">
      <c r="A7149" s="58" t="s">
        <v>26923</v>
      </c>
      <c r="B7149" s="20" t="s">
        <v>26924</v>
      </c>
      <c r="C7149" s="58" t="s">
        <v>73</v>
      </c>
      <c r="D7149" s="58" t="s">
        <v>9605</v>
      </c>
      <c r="H7149">
        <f t="shared" si="206"/>
        <v>5.04</v>
      </c>
    </row>
    <row r="7150" spans="1:8" ht="15" customHeight="1">
      <c r="A7150" s="58" t="s">
        <v>11166</v>
      </c>
      <c r="B7150" s="20" t="s">
        <v>11167</v>
      </c>
      <c r="C7150" s="58" t="s">
        <v>73</v>
      </c>
      <c r="D7150" s="58" t="s">
        <v>3789</v>
      </c>
      <c r="H7150">
        <f t="shared" si="206"/>
        <v>2.2799999999999998</v>
      </c>
    </row>
    <row r="7151" spans="1:8" ht="15" customHeight="1">
      <c r="A7151" s="58" t="s">
        <v>6913</v>
      </c>
      <c r="B7151" s="20" t="s">
        <v>30113</v>
      </c>
      <c r="C7151" s="58" t="s">
        <v>75</v>
      </c>
      <c r="D7151" s="58" t="s">
        <v>34988</v>
      </c>
      <c r="H7151">
        <f t="shared" si="206"/>
        <v>124.71</v>
      </c>
    </row>
    <row r="7152" spans="1:8" ht="15" customHeight="1">
      <c r="A7152" s="58" t="s">
        <v>6914</v>
      </c>
      <c r="B7152" s="20" t="s">
        <v>30114</v>
      </c>
      <c r="C7152" s="58" t="s">
        <v>75</v>
      </c>
      <c r="D7152" s="58" t="s">
        <v>34989</v>
      </c>
      <c r="H7152">
        <f t="shared" si="206"/>
        <v>92.97</v>
      </c>
    </row>
    <row r="7153" spans="1:8" ht="15" customHeight="1">
      <c r="A7153" s="58" t="s">
        <v>6915</v>
      </c>
      <c r="B7153" s="20" t="s">
        <v>30115</v>
      </c>
      <c r="C7153" s="58" t="s">
        <v>75</v>
      </c>
      <c r="D7153" s="58" t="s">
        <v>34990</v>
      </c>
      <c r="H7153">
        <f t="shared" si="206"/>
        <v>77.17</v>
      </c>
    </row>
    <row r="7154" spans="1:8" ht="15" customHeight="1">
      <c r="A7154" s="58" t="s">
        <v>6916</v>
      </c>
      <c r="B7154" s="20" t="s">
        <v>30116</v>
      </c>
      <c r="C7154" s="58" t="s">
        <v>75</v>
      </c>
      <c r="D7154" s="58" t="s">
        <v>31264</v>
      </c>
      <c r="H7154">
        <f t="shared" si="206"/>
        <v>87.49</v>
      </c>
    </row>
    <row r="7155" spans="1:8" ht="15" customHeight="1">
      <c r="A7155" s="58" t="s">
        <v>6917</v>
      </c>
      <c r="B7155" s="20" t="s">
        <v>30118</v>
      </c>
      <c r="C7155" s="58" t="s">
        <v>75</v>
      </c>
      <c r="D7155" s="58" t="s">
        <v>34991</v>
      </c>
      <c r="H7155">
        <f t="shared" si="206"/>
        <v>65.84</v>
      </c>
    </row>
    <row r="7156" spans="1:8" ht="15" customHeight="1">
      <c r="A7156" s="58" t="s">
        <v>6918</v>
      </c>
      <c r="B7156" s="20" t="s">
        <v>30119</v>
      </c>
      <c r="C7156" s="58" t="s">
        <v>75</v>
      </c>
      <c r="D7156" s="58" t="s">
        <v>32419</v>
      </c>
      <c r="H7156">
        <f t="shared" si="206"/>
        <v>55.14</v>
      </c>
    </row>
    <row r="7157" spans="1:8" ht="15" customHeight="1">
      <c r="A7157" s="58" t="s">
        <v>6919</v>
      </c>
      <c r="B7157" s="20" t="s">
        <v>30120</v>
      </c>
      <c r="C7157" s="58" t="s">
        <v>75</v>
      </c>
      <c r="D7157" s="58" t="s">
        <v>34992</v>
      </c>
      <c r="H7157">
        <f t="shared" si="206"/>
        <v>130.32</v>
      </c>
    </row>
    <row r="7158" spans="1:8" ht="15" customHeight="1">
      <c r="A7158" s="58" t="s">
        <v>6920</v>
      </c>
      <c r="B7158" s="20" t="s">
        <v>30121</v>
      </c>
      <c r="C7158" s="58" t="s">
        <v>75</v>
      </c>
      <c r="D7158" s="58" t="s">
        <v>32882</v>
      </c>
      <c r="H7158">
        <f t="shared" si="206"/>
        <v>80.790000000000006</v>
      </c>
    </row>
    <row r="7159" spans="1:8" ht="15" customHeight="1">
      <c r="A7159" s="58" t="s">
        <v>7919</v>
      </c>
      <c r="B7159" s="20" t="s">
        <v>30122</v>
      </c>
      <c r="C7159" s="58" t="s">
        <v>75</v>
      </c>
      <c r="D7159" s="58" t="s">
        <v>34993</v>
      </c>
      <c r="H7159">
        <f t="shared" si="206"/>
        <v>123.34</v>
      </c>
    </row>
    <row r="7160" spans="1:8" ht="15" customHeight="1">
      <c r="A7160" s="58" t="s">
        <v>7920</v>
      </c>
      <c r="B7160" s="20" t="s">
        <v>30123</v>
      </c>
      <c r="C7160" s="58" t="s">
        <v>75</v>
      </c>
      <c r="D7160" s="58" t="s">
        <v>34994</v>
      </c>
      <c r="H7160">
        <f t="shared" si="206"/>
        <v>81.48</v>
      </c>
    </row>
    <row r="7161" spans="1:8" ht="15" customHeight="1">
      <c r="A7161" s="58" t="s">
        <v>6922</v>
      </c>
      <c r="B7161" s="20" t="s">
        <v>30124</v>
      </c>
      <c r="C7161" s="58" t="s">
        <v>73</v>
      </c>
      <c r="D7161" s="58" t="s">
        <v>34995</v>
      </c>
      <c r="H7161">
        <f t="shared" si="206"/>
        <v>122.98</v>
      </c>
    </row>
    <row r="7162" spans="1:8" ht="15" customHeight="1">
      <c r="A7162" s="58" t="s">
        <v>6923</v>
      </c>
      <c r="B7162" s="20" t="s">
        <v>30125</v>
      </c>
      <c r="C7162" s="58" t="s">
        <v>73</v>
      </c>
      <c r="D7162" s="58" t="s">
        <v>24973</v>
      </c>
      <c r="H7162">
        <f t="shared" si="206"/>
        <v>27.4</v>
      </c>
    </row>
    <row r="7163" spans="1:8" ht="15" customHeight="1">
      <c r="A7163" s="58" t="s">
        <v>6924</v>
      </c>
      <c r="B7163" s="20" t="s">
        <v>30126</v>
      </c>
      <c r="C7163" s="58" t="s">
        <v>73</v>
      </c>
      <c r="D7163" s="58" t="s">
        <v>34996</v>
      </c>
      <c r="H7163">
        <f t="shared" si="206"/>
        <v>197.76</v>
      </c>
    </row>
    <row r="7164" spans="1:8" ht="15" customHeight="1">
      <c r="A7164" s="58" t="s">
        <v>7921</v>
      </c>
      <c r="B7164" s="20" t="s">
        <v>34997</v>
      </c>
      <c r="C7164" s="58" t="s">
        <v>73</v>
      </c>
      <c r="D7164" s="58" t="s">
        <v>26896</v>
      </c>
      <c r="H7164">
        <f t="shared" si="206"/>
        <v>0.41</v>
      </c>
    </row>
    <row r="7165" spans="1:8" ht="15" customHeight="1">
      <c r="A7165" s="58" t="s">
        <v>7922</v>
      </c>
      <c r="B7165" s="20" t="s">
        <v>30127</v>
      </c>
      <c r="C7165" s="58" t="s">
        <v>73</v>
      </c>
      <c r="D7165" s="58" t="s">
        <v>3564</v>
      </c>
      <c r="H7165">
        <f t="shared" si="206"/>
        <v>0.16</v>
      </c>
    </row>
    <row r="7166" spans="1:8" ht="15" customHeight="1">
      <c r="A7166" s="58" t="s">
        <v>7923</v>
      </c>
      <c r="B7166" s="20" t="s">
        <v>30128</v>
      </c>
      <c r="C7166" s="58" t="s">
        <v>73</v>
      </c>
      <c r="D7166" s="58" t="s">
        <v>4027</v>
      </c>
      <c r="H7166">
        <f t="shared" si="206"/>
        <v>0.11</v>
      </c>
    </row>
    <row r="7167" spans="1:8" ht="15" customHeight="1">
      <c r="A7167" s="58" t="s">
        <v>14349</v>
      </c>
      <c r="B7167" s="20" t="s">
        <v>30129</v>
      </c>
      <c r="C7167" s="58" t="s">
        <v>114</v>
      </c>
      <c r="D7167" s="58" t="s">
        <v>10278</v>
      </c>
      <c r="H7167">
        <f t="shared" si="206"/>
        <v>37.43</v>
      </c>
    </row>
    <row r="7168" spans="1:8" ht="15" customHeight="1">
      <c r="A7168" s="58" t="s">
        <v>6925</v>
      </c>
      <c r="B7168" s="20" t="s">
        <v>30130</v>
      </c>
      <c r="C7168" s="58" t="s">
        <v>73</v>
      </c>
      <c r="D7168" s="58" t="s">
        <v>3636</v>
      </c>
      <c r="H7168">
        <f t="shared" si="206"/>
        <v>9.26</v>
      </c>
    </row>
    <row r="7169" spans="1:8" ht="15" customHeight="1">
      <c r="A7169" s="58" t="s">
        <v>6926</v>
      </c>
      <c r="B7169" s="20" t="s">
        <v>30131</v>
      </c>
      <c r="C7169" s="58" t="s">
        <v>73</v>
      </c>
      <c r="D7169" s="58" t="s">
        <v>29072</v>
      </c>
      <c r="H7169">
        <f t="shared" si="206"/>
        <v>31.23</v>
      </c>
    </row>
    <row r="7170" spans="1:8" ht="15" customHeight="1">
      <c r="A7170" s="58" t="s">
        <v>6927</v>
      </c>
      <c r="B7170" s="20" t="s">
        <v>30132</v>
      </c>
      <c r="C7170" s="58" t="s">
        <v>75</v>
      </c>
      <c r="D7170" s="58" t="s">
        <v>29044</v>
      </c>
      <c r="H7170">
        <f t="shared" si="206"/>
        <v>43.03</v>
      </c>
    </row>
    <row r="7171" spans="1:8" ht="15" customHeight="1">
      <c r="A7171" s="58" t="s">
        <v>6928</v>
      </c>
      <c r="B7171" s="20" t="s">
        <v>30133</v>
      </c>
      <c r="C7171" s="58" t="s">
        <v>83</v>
      </c>
      <c r="D7171" s="58" t="s">
        <v>4501</v>
      </c>
      <c r="H7171">
        <f t="shared" si="206"/>
        <v>20.47</v>
      </c>
    </row>
    <row r="7172" spans="1:8" ht="15" customHeight="1">
      <c r="A7172" s="58" t="s">
        <v>6929</v>
      </c>
      <c r="B7172" s="20" t="s">
        <v>30134</v>
      </c>
      <c r="C7172" s="58" t="s">
        <v>73</v>
      </c>
      <c r="D7172" s="58" t="s">
        <v>34998</v>
      </c>
      <c r="H7172">
        <f t="shared" si="206"/>
        <v>568.07000000000005</v>
      </c>
    </row>
    <row r="7173" spans="1:8" ht="15" customHeight="1">
      <c r="A7173" s="58" t="s">
        <v>6930</v>
      </c>
      <c r="B7173" s="20" t="s">
        <v>30135</v>
      </c>
      <c r="C7173" s="58" t="s">
        <v>75</v>
      </c>
      <c r="D7173" s="58" t="s">
        <v>34999</v>
      </c>
      <c r="H7173">
        <f t="shared" ref="H7173:H7236" si="207">ROUND(D7173*(1+$H$1),2)</f>
        <v>915.84</v>
      </c>
    </row>
    <row r="7174" spans="1:8" ht="15" customHeight="1">
      <c r="A7174" s="58" t="s">
        <v>30136</v>
      </c>
      <c r="B7174" s="20" t="s">
        <v>30137</v>
      </c>
      <c r="C7174" s="58" t="s">
        <v>114</v>
      </c>
      <c r="D7174" s="58" t="s">
        <v>35000</v>
      </c>
      <c r="H7174">
        <f t="shared" si="207"/>
        <v>59.06</v>
      </c>
    </row>
    <row r="7175" spans="1:8" ht="15" customHeight="1">
      <c r="A7175" s="58" t="s">
        <v>30138</v>
      </c>
      <c r="B7175" s="20" t="s">
        <v>30139</v>
      </c>
      <c r="C7175" s="58" t="s">
        <v>75</v>
      </c>
      <c r="D7175" s="58" t="s">
        <v>7289</v>
      </c>
      <c r="H7175">
        <f t="shared" si="207"/>
        <v>16.239999999999998</v>
      </c>
    </row>
    <row r="7176" spans="1:8" ht="15" customHeight="1">
      <c r="A7176" s="58" t="s">
        <v>30140</v>
      </c>
      <c r="B7176" s="20" t="s">
        <v>30141</v>
      </c>
      <c r="C7176" s="58" t="s">
        <v>75</v>
      </c>
      <c r="D7176" s="58" t="s">
        <v>35001</v>
      </c>
      <c r="H7176">
        <f t="shared" si="207"/>
        <v>149.85</v>
      </c>
    </row>
    <row r="7177" spans="1:8" ht="15" customHeight="1">
      <c r="A7177" s="58" t="s">
        <v>30142</v>
      </c>
      <c r="B7177" s="20" t="s">
        <v>30143</v>
      </c>
      <c r="C7177" s="58" t="s">
        <v>114</v>
      </c>
      <c r="D7177" s="58" t="s">
        <v>35002</v>
      </c>
      <c r="H7177">
        <f t="shared" si="207"/>
        <v>6598.95</v>
      </c>
    </row>
    <row r="7178" spans="1:8" ht="15" customHeight="1">
      <c r="A7178" s="58" t="s">
        <v>30144</v>
      </c>
      <c r="B7178" s="20" t="s">
        <v>30145</v>
      </c>
      <c r="C7178" s="58" t="s">
        <v>75</v>
      </c>
      <c r="D7178" s="58" t="s">
        <v>35003</v>
      </c>
      <c r="H7178">
        <f t="shared" si="207"/>
        <v>105.23</v>
      </c>
    </row>
    <row r="7179" spans="1:8" ht="15" customHeight="1">
      <c r="A7179" s="58" t="s">
        <v>30146</v>
      </c>
      <c r="B7179" s="20" t="s">
        <v>30147</v>
      </c>
      <c r="C7179" s="58" t="s">
        <v>114</v>
      </c>
      <c r="D7179" s="58" t="s">
        <v>35004</v>
      </c>
      <c r="H7179">
        <f t="shared" si="207"/>
        <v>3411.03</v>
      </c>
    </row>
    <row r="7180" spans="1:8" ht="15" customHeight="1">
      <c r="A7180" s="58" t="s">
        <v>30148</v>
      </c>
      <c r="B7180" s="20" t="s">
        <v>30149</v>
      </c>
      <c r="C7180" s="58" t="s">
        <v>114</v>
      </c>
      <c r="D7180" s="58" t="s">
        <v>35005</v>
      </c>
      <c r="H7180">
        <f t="shared" si="207"/>
        <v>5036.7</v>
      </c>
    </row>
    <row r="7181" spans="1:8" ht="15" customHeight="1">
      <c r="A7181" s="58" t="s">
        <v>30150</v>
      </c>
      <c r="B7181" s="20" t="s">
        <v>30151</v>
      </c>
      <c r="C7181" s="58" t="s">
        <v>75</v>
      </c>
      <c r="D7181" s="58" t="s">
        <v>35006</v>
      </c>
      <c r="H7181">
        <f t="shared" si="207"/>
        <v>314.56</v>
      </c>
    </row>
    <row r="7182" spans="1:8" ht="15" customHeight="1">
      <c r="A7182" s="58" t="s">
        <v>30153</v>
      </c>
      <c r="B7182" s="20" t="s">
        <v>30154</v>
      </c>
      <c r="C7182" s="58" t="s">
        <v>114</v>
      </c>
      <c r="D7182" s="58" t="s">
        <v>35007</v>
      </c>
      <c r="H7182">
        <f t="shared" si="207"/>
        <v>26318.15</v>
      </c>
    </row>
    <row r="7183" spans="1:8" ht="15" customHeight="1">
      <c r="A7183" s="58" t="s">
        <v>30155</v>
      </c>
      <c r="B7183" s="20" t="s">
        <v>30156</v>
      </c>
      <c r="C7183" s="58" t="s">
        <v>75</v>
      </c>
      <c r="D7183" s="58" t="s">
        <v>34188</v>
      </c>
      <c r="H7183">
        <f t="shared" si="207"/>
        <v>262.73</v>
      </c>
    </row>
    <row r="7184" spans="1:8" ht="15" customHeight="1">
      <c r="A7184" s="58" t="s">
        <v>6931</v>
      </c>
      <c r="B7184" s="20" t="s">
        <v>30157</v>
      </c>
      <c r="C7184" s="58" t="s">
        <v>83</v>
      </c>
      <c r="D7184" s="58" t="s">
        <v>35008</v>
      </c>
      <c r="H7184">
        <f t="shared" si="207"/>
        <v>173.36</v>
      </c>
    </row>
    <row r="7185" spans="1:8" ht="15" customHeight="1">
      <c r="A7185" s="58" t="s">
        <v>6932</v>
      </c>
      <c r="B7185" s="20" t="s">
        <v>30158</v>
      </c>
      <c r="C7185" s="58" t="s">
        <v>83</v>
      </c>
      <c r="D7185" s="58" t="s">
        <v>31435</v>
      </c>
      <c r="H7185">
        <f t="shared" si="207"/>
        <v>84.48</v>
      </c>
    </row>
    <row r="7186" spans="1:8" ht="15" customHeight="1">
      <c r="A7186" s="58" t="s">
        <v>6933</v>
      </c>
      <c r="B7186" s="20" t="s">
        <v>30159</v>
      </c>
      <c r="C7186" s="58" t="s">
        <v>83</v>
      </c>
      <c r="D7186" s="58" t="s">
        <v>35009</v>
      </c>
      <c r="H7186">
        <f t="shared" si="207"/>
        <v>258.81</v>
      </c>
    </row>
    <row r="7187" spans="1:8" ht="15" customHeight="1">
      <c r="A7187" s="58" t="s">
        <v>6934</v>
      </c>
      <c r="B7187" s="20" t="s">
        <v>30160</v>
      </c>
      <c r="C7187" s="58" t="s">
        <v>83</v>
      </c>
      <c r="D7187" s="58" t="s">
        <v>35010</v>
      </c>
      <c r="H7187">
        <f t="shared" si="207"/>
        <v>158.85</v>
      </c>
    </row>
    <row r="7188" spans="1:8" ht="15" customHeight="1">
      <c r="A7188" s="58" t="s">
        <v>6935</v>
      </c>
      <c r="B7188" s="20" t="s">
        <v>30161</v>
      </c>
      <c r="C7188" s="58" t="s">
        <v>83</v>
      </c>
      <c r="D7188" s="58" t="s">
        <v>35011</v>
      </c>
      <c r="H7188">
        <f t="shared" si="207"/>
        <v>71.45</v>
      </c>
    </row>
    <row r="7189" spans="1:8" ht="15" customHeight="1">
      <c r="A7189" s="58" t="s">
        <v>6937</v>
      </c>
      <c r="B7189" s="20" t="s">
        <v>30162</v>
      </c>
      <c r="C7189" s="58" t="s">
        <v>83</v>
      </c>
      <c r="D7189" s="58" t="s">
        <v>35012</v>
      </c>
      <c r="H7189">
        <f t="shared" si="207"/>
        <v>849.11</v>
      </c>
    </row>
    <row r="7190" spans="1:8" ht="15" customHeight="1">
      <c r="A7190" s="58" t="s">
        <v>6938</v>
      </c>
      <c r="B7190" s="20" t="s">
        <v>30163</v>
      </c>
      <c r="C7190" s="58" t="s">
        <v>83</v>
      </c>
      <c r="D7190" s="58" t="s">
        <v>35013</v>
      </c>
      <c r="H7190">
        <f t="shared" si="207"/>
        <v>279.95999999999998</v>
      </c>
    </row>
    <row r="7191" spans="1:8" ht="15" customHeight="1">
      <c r="A7191" s="58" t="s">
        <v>6939</v>
      </c>
      <c r="B7191" s="20" t="s">
        <v>30164</v>
      </c>
      <c r="C7191" s="58" t="s">
        <v>83</v>
      </c>
      <c r="D7191" s="58" t="s">
        <v>35014</v>
      </c>
      <c r="H7191">
        <f t="shared" si="207"/>
        <v>395.46</v>
      </c>
    </row>
    <row r="7192" spans="1:8" ht="15" customHeight="1">
      <c r="A7192" s="58" t="s">
        <v>6940</v>
      </c>
      <c r="B7192" s="20" t="s">
        <v>30165</v>
      </c>
      <c r="C7192" s="58" t="s">
        <v>83</v>
      </c>
      <c r="D7192" s="58" t="s">
        <v>28998</v>
      </c>
      <c r="H7192">
        <f t="shared" si="207"/>
        <v>130.4</v>
      </c>
    </row>
    <row r="7193" spans="1:8" ht="15" customHeight="1">
      <c r="A7193" s="58" t="s">
        <v>6942</v>
      </c>
      <c r="B7193" s="20" t="s">
        <v>30166</v>
      </c>
      <c r="C7193" s="58" t="s">
        <v>73</v>
      </c>
      <c r="D7193" s="58" t="s">
        <v>16150</v>
      </c>
      <c r="H7193">
        <f t="shared" si="207"/>
        <v>17.079999999999998</v>
      </c>
    </row>
    <row r="7194" spans="1:8" ht="15" customHeight="1">
      <c r="A7194" s="58" t="s">
        <v>6943</v>
      </c>
      <c r="B7194" s="20" t="s">
        <v>30167</v>
      </c>
      <c r="C7194" s="58" t="s">
        <v>75</v>
      </c>
      <c r="D7194" s="58" t="s">
        <v>15837</v>
      </c>
      <c r="H7194">
        <f t="shared" si="207"/>
        <v>3.9</v>
      </c>
    </row>
    <row r="7195" spans="1:8" ht="15" customHeight="1">
      <c r="A7195" s="58" t="s">
        <v>6944</v>
      </c>
      <c r="B7195" s="20" t="s">
        <v>30168</v>
      </c>
      <c r="C7195" s="58" t="s">
        <v>73</v>
      </c>
      <c r="D7195" s="58" t="s">
        <v>14632</v>
      </c>
      <c r="H7195">
        <f t="shared" si="207"/>
        <v>34.11</v>
      </c>
    </row>
    <row r="7196" spans="1:8" ht="15" customHeight="1">
      <c r="A7196" s="58" t="s">
        <v>6945</v>
      </c>
      <c r="B7196" s="20" t="s">
        <v>30170</v>
      </c>
      <c r="C7196" s="58" t="s">
        <v>73</v>
      </c>
      <c r="D7196" s="58" t="s">
        <v>9500</v>
      </c>
      <c r="H7196">
        <f t="shared" si="207"/>
        <v>10.35</v>
      </c>
    </row>
    <row r="7197" spans="1:8" ht="15" customHeight="1">
      <c r="A7197" s="58" t="s">
        <v>6947</v>
      </c>
      <c r="B7197" s="20" t="s">
        <v>30171</v>
      </c>
      <c r="C7197" s="58" t="s">
        <v>73</v>
      </c>
      <c r="D7197" s="58" t="s">
        <v>29751</v>
      </c>
      <c r="H7197">
        <f t="shared" si="207"/>
        <v>24.38</v>
      </c>
    </row>
    <row r="7198" spans="1:8" ht="15" customHeight="1">
      <c r="A7198" s="58" t="s">
        <v>6948</v>
      </c>
      <c r="B7198" s="20" t="s">
        <v>30172</v>
      </c>
      <c r="C7198" s="58" t="s">
        <v>73</v>
      </c>
      <c r="D7198" s="58" t="s">
        <v>10225</v>
      </c>
      <c r="H7198">
        <f t="shared" si="207"/>
        <v>32.07</v>
      </c>
    </row>
    <row r="7199" spans="1:8" ht="15" customHeight="1">
      <c r="A7199" s="58" t="s">
        <v>6949</v>
      </c>
      <c r="B7199" s="20" t="s">
        <v>30173</v>
      </c>
      <c r="C7199" s="58" t="s">
        <v>73</v>
      </c>
      <c r="D7199" s="58" t="s">
        <v>10780</v>
      </c>
      <c r="H7199">
        <f t="shared" si="207"/>
        <v>4.5</v>
      </c>
    </row>
    <row r="7200" spans="1:8" ht="15" customHeight="1">
      <c r="A7200" s="58" t="s">
        <v>6950</v>
      </c>
      <c r="B7200" s="20" t="s">
        <v>30174</v>
      </c>
      <c r="C7200" s="58" t="s">
        <v>73</v>
      </c>
      <c r="D7200" s="58" t="s">
        <v>4618</v>
      </c>
      <c r="H7200">
        <f t="shared" si="207"/>
        <v>13.13</v>
      </c>
    </row>
    <row r="7201" spans="1:8" ht="15" customHeight="1">
      <c r="A7201" s="58" t="s">
        <v>6951</v>
      </c>
      <c r="B7201" s="20" t="s">
        <v>30175</v>
      </c>
      <c r="C7201" s="58" t="s">
        <v>73</v>
      </c>
      <c r="D7201" s="58" t="s">
        <v>30169</v>
      </c>
      <c r="H7201">
        <f t="shared" si="207"/>
        <v>30.85</v>
      </c>
    </row>
    <row r="7202" spans="1:8" ht="15" customHeight="1">
      <c r="A7202" s="58" t="s">
        <v>6953</v>
      </c>
      <c r="B7202" s="20" t="s">
        <v>30176</v>
      </c>
      <c r="C7202" s="58" t="s">
        <v>73</v>
      </c>
      <c r="D7202" s="58" t="s">
        <v>15842</v>
      </c>
      <c r="H7202">
        <f t="shared" si="207"/>
        <v>3.06</v>
      </c>
    </row>
    <row r="7203" spans="1:8" ht="15" customHeight="1">
      <c r="A7203" s="58" t="s">
        <v>6954</v>
      </c>
      <c r="B7203" s="20" t="s">
        <v>30177</v>
      </c>
      <c r="C7203" s="58" t="s">
        <v>73</v>
      </c>
      <c r="D7203" s="58" t="s">
        <v>7304</v>
      </c>
      <c r="H7203">
        <f t="shared" si="207"/>
        <v>4.0999999999999996</v>
      </c>
    </row>
    <row r="7204" spans="1:8" ht="15" customHeight="1">
      <c r="A7204" s="58" t="s">
        <v>6956</v>
      </c>
      <c r="B7204" s="20" t="s">
        <v>30178</v>
      </c>
      <c r="C7204" s="58" t="s">
        <v>73</v>
      </c>
      <c r="D7204" s="58" t="s">
        <v>9473</v>
      </c>
      <c r="H7204">
        <f t="shared" si="207"/>
        <v>4.38</v>
      </c>
    </row>
    <row r="7205" spans="1:8" ht="15" customHeight="1">
      <c r="A7205" s="58" t="s">
        <v>6958</v>
      </c>
      <c r="B7205" s="20" t="s">
        <v>30179</v>
      </c>
      <c r="C7205" s="58" t="s">
        <v>73</v>
      </c>
      <c r="D7205" s="58" t="s">
        <v>16209</v>
      </c>
      <c r="H7205">
        <f t="shared" si="207"/>
        <v>38.520000000000003</v>
      </c>
    </row>
    <row r="7206" spans="1:8" ht="15" customHeight="1">
      <c r="A7206" s="58" t="s">
        <v>6959</v>
      </c>
      <c r="B7206" s="20" t="s">
        <v>30181</v>
      </c>
      <c r="C7206" s="58" t="s">
        <v>73</v>
      </c>
      <c r="D7206" s="58" t="s">
        <v>9478</v>
      </c>
      <c r="H7206">
        <f t="shared" si="207"/>
        <v>14.28</v>
      </c>
    </row>
    <row r="7207" spans="1:8" ht="15" customHeight="1">
      <c r="A7207" s="58" t="s">
        <v>6960</v>
      </c>
      <c r="B7207" s="20" t="s">
        <v>30182</v>
      </c>
      <c r="C7207" s="58" t="s">
        <v>73</v>
      </c>
      <c r="D7207" s="58" t="s">
        <v>31725</v>
      </c>
      <c r="H7207">
        <f t="shared" si="207"/>
        <v>36.880000000000003</v>
      </c>
    </row>
    <row r="7208" spans="1:8" ht="15" customHeight="1">
      <c r="A7208" s="58" t="s">
        <v>6962</v>
      </c>
      <c r="B7208" s="20" t="s">
        <v>30183</v>
      </c>
      <c r="C7208" s="58" t="s">
        <v>73</v>
      </c>
      <c r="D7208" s="58" t="s">
        <v>7235</v>
      </c>
      <c r="H7208">
        <f t="shared" si="207"/>
        <v>5.4</v>
      </c>
    </row>
    <row r="7209" spans="1:8" ht="15" customHeight="1">
      <c r="A7209" s="58" t="s">
        <v>6963</v>
      </c>
      <c r="B7209" s="20" t="s">
        <v>30185</v>
      </c>
      <c r="C7209" s="58" t="s">
        <v>73</v>
      </c>
      <c r="D7209" s="58" t="s">
        <v>3747</v>
      </c>
      <c r="H7209">
        <f t="shared" si="207"/>
        <v>3.1</v>
      </c>
    </row>
    <row r="7210" spans="1:8" ht="15" customHeight="1">
      <c r="A7210" s="58" t="s">
        <v>6964</v>
      </c>
      <c r="B7210" s="20" t="s">
        <v>30186</v>
      </c>
      <c r="C7210" s="58" t="s">
        <v>73</v>
      </c>
      <c r="D7210" s="58" t="s">
        <v>35015</v>
      </c>
      <c r="H7210">
        <f t="shared" si="207"/>
        <v>6.84</v>
      </c>
    </row>
    <row r="7211" spans="1:8" ht="15" customHeight="1">
      <c r="A7211" s="58" t="s">
        <v>6965</v>
      </c>
      <c r="B7211" s="20" t="s">
        <v>30187</v>
      </c>
      <c r="C7211" s="58" t="s">
        <v>73</v>
      </c>
      <c r="D7211" s="58" t="s">
        <v>7401</v>
      </c>
      <c r="H7211">
        <f t="shared" si="207"/>
        <v>11.67</v>
      </c>
    </row>
    <row r="7212" spans="1:8" ht="15" customHeight="1">
      <c r="A7212" s="58" t="s">
        <v>6966</v>
      </c>
      <c r="B7212" s="20" t="s">
        <v>30188</v>
      </c>
      <c r="C7212" s="58" t="s">
        <v>114</v>
      </c>
      <c r="D7212" s="58" t="s">
        <v>35016</v>
      </c>
      <c r="H7212">
        <f t="shared" si="207"/>
        <v>127.21</v>
      </c>
    </row>
    <row r="7213" spans="1:8" ht="15" customHeight="1">
      <c r="A7213" s="58" t="s">
        <v>6967</v>
      </c>
      <c r="B7213" s="20" t="s">
        <v>30190</v>
      </c>
      <c r="C7213" s="58" t="s">
        <v>114</v>
      </c>
      <c r="D7213" s="58" t="s">
        <v>35017</v>
      </c>
      <c r="H7213">
        <f t="shared" si="207"/>
        <v>288.41000000000003</v>
      </c>
    </row>
    <row r="7214" spans="1:8" ht="15" customHeight="1">
      <c r="A7214" s="58" t="s">
        <v>6968</v>
      </c>
      <c r="B7214" s="20" t="s">
        <v>30191</v>
      </c>
      <c r="C7214" s="58" t="s">
        <v>114</v>
      </c>
      <c r="D7214" s="58" t="s">
        <v>31091</v>
      </c>
      <c r="H7214">
        <f t="shared" si="207"/>
        <v>209.63</v>
      </c>
    </row>
    <row r="7215" spans="1:8" ht="15" customHeight="1">
      <c r="A7215" s="58" t="s">
        <v>6969</v>
      </c>
      <c r="B7215" s="20" t="s">
        <v>30192</v>
      </c>
      <c r="C7215" s="58" t="s">
        <v>114</v>
      </c>
      <c r="D7215" s="58" t="s">
        <v>35018</v>
      </c>
      <c r="H7215">
        <f t="shared" si="207"/>
        <v>262.38</v>
      </c>
    </row>
    <row r="7216" spans="1:8" ht="15" customHeight="1">
      <c r="A7216" s="58" t="s">
        <v>6970</v>
      </c>
      <c r="B7216" s="20" t="s">
        <v>30194</v>
      </c>
      <c r="C7216" s="58" t="s">
        <v>73</v>
      </c>
      <c r="D7216" s="58" t="s">
        <v>32803</v>
      </c>
      <c r="H7216">
        <f t="shared" si="207"/>
        <v>48.49</v>
      </c>
    </row>
    <row r="7217" spans="1:8" ht="15" customHeight="1">
      <c r="A7217" s="58" t="s">
        <v>6971</v>
      </c>
      <c r="B7217" s="20" t="s">
        <v>30195</v>
      </c>
      <c r="C7217" s="58" t="s">
        <v>114</v>
      </c>
      <c r="D7217" s="58" t="s">
        <v>35019</v>
      </c>
      <c r="H7217">
        <f t="shared" si="207"/>
        <v>450.9</v>
      </c>
    </row>
    <row r="7218" spans="1:8" ht="15" customHeight="1">
      <c r="A7218" s="58" t="s">
        <v>6972</v>
      </c>
      <c r="B7218" s="20" t="s">
        <v>30196</v>
      </c>
      <c r="C7218" s="58" t="s">
        <v>114</v>
      </c>
      <c r="D7218" s="58" t="s">
        <v>35020</v>
      </c>
      <c r="H7218">
        <f t="shared" si="207"/>
        <v>893.72</v>
      </c>
    </row>
    <row r="7219" spans="1:8" ht="15" customHeight="1">
      <c r="A7219" s="58" t="s">
        <v>6973</v>
      </c>
      <c r="B7219" s="20" t="s">
        <v>30197</v>
      </c>
      <c r="C7219" s="58" t="s">
        <v>114</v>
      </c>
      <c r="D7219" s="58" t="s">
        <v>35021</v>
      </c>
      <c r="H7219">
        <f t="shared" si="207"/>
        <v>314.68</v>
      </c>
    </row>
    <row r="7220" spans="1:8" ht="15" customHeight="1">
      <c r="A7220" s="58" t="s">
        <v>6974</v>
      </c>
      <c r="B7220" s="20" t="s">
        <v>30198</v>
      </c>
      <c r="C7220" s="58" t="s">
        <v>114</v>
      </c>
      <c r="D7220" s="58" t="s">
        <v>35022</v>
      </c>
      <c r="H7220">
        <f t="shared" si="207"/>
        <v>432.86</v>
      </c>
    </row>
    <row r="7221" spans="1:8" ht="15" customHeight="1">
      <c r="A7221" s="58" t="s">
        <v>6975</v>
      </c>
      <c r="B7221" s="20" t="s">
        <v>30199</v>
      </c>
      <c r="C7221" s="58" t="s">
        <v>114</v>
      </c>
      <c r="D7221" s="58" t="s">
        <v>3854</v>
      </c>
      <c r="H7221">
        <f t="shared" si="207"/>
        <v>1.05</v>
      </c>
    </row>
    <row r="7222" spans="1:8" ht="15" customHeight="1">
      <c r="A7222" s="58" t="s">
        <v>6976</v>
      </c>
      <c r="B7222" s="20" t="s">
        <v>30200</v>
      </c>
      <c r="C7222" s="58" t="s">
        <v>75</v>
      </c>
      <c r="D7222" s="58" t="s">
        <v>3834</v>
      </c>
      <c r="H7222">
        <f t="shared" si="207"/>
        <v>1.1200000000000001</v>
      </c>
    </row>
    <row r="7223" spans="1:8" ht="15" customHeight="1">
      <c r="A7223" s="58" t="s">
        <v>6977</v>
      </c>
      <c r="B7223" s="20" t="s">
        <v>30201</v>
      </c>
      <c r="C7223" s="58" t="s">
        <v>75</v>
      </c>
      <c r="D7223" s="58" t="s">
        <v>3562</v>
      </c>
      <c r="H7223">
        <f t="shared" si="207"/>
        <v>0.75</v>
      </c>
    </row>
    <row r="7224" spans="1:8" ht="15" customHeight="1">
      <c r="A7224" s="58" t="s">
        <v>6978</v>
      </c>
      <c r="B7224" s="20" t="s">
        <v>30202</v>
      </c>
      <c r="C7224" s="58" t="s">
        <v>114</v>
      </c>
      <c r="D7224" s="58" t="s">
        <v>28228</v>
      </c>
      <c r="H7224">
        <f t="shared" si="207"/>
        <v>18.690000000000001</v>
      </c>
    </row>
    <row r="7225" spans="1:8" ht="15" customHeight="1">
      <c r="A7225" s="58" t="s">
        <v>6979</v>
      </c>
      <c r="B7225" s="20" t="s">
        <v>30203</v>
      </c>
      <c r="C7225" s="58" t="s">
        <v>114</v>
      </c>
      <c r="D7225" s="58" t="s">
        <v>3971</v>
      </c>
      <c r="H7225">
        <f t="shared" si="207"/>
        <v>2.33</v>
      </c>
    </row>
    <row r="7226" spans="1:8" ht="15" customHeight="1">
      <c r="A7226" s="58" t="s">
        <v>6980</v>
      </c>
      <c r="B7226" s="20" t="s">
        <v>30204</v>
      </c>
      <c r="C7226" s="58" t="s">
        <v>114</v>
      </c>
      <c r="D7226" s="58" t="s">
        <v>17356</v>
      </c>
      <c r="H7226">
        <f t="shared" si="207"/>
        <v>2.86</v>
      </c>
    </row>
    <row r="7227" spans="1:8" ht="15" customHeight="1">
      <c r="A7227" s="58" t="s">
        <v>6981</v>
      </c>
      <c r="B7227" s="20" t="s">
        <v>30205</v>
      </c>
      <c r="C7227" s="58" t="s">
        <v>114</v>
      </c>
      <c r="D7227" s="58" t="s">
        <v>35023</v>
      </c>
      <c r="H7227">
        <f t="shared" si="207"/>
        <v>13.62</v>
      </c>
    </row>
    <row r="7228" spans="1:8" ht="15" customHeight="1">
      <c r="A7228" s="58" t="s">
        <v>30206</v>
      </c>
      <c r="B7228" s="20" t="s">
        <v>30207</v>
      </c>
      <c r="C7228" s="58" t="s">
        <v>83</v>
      </c>
      <c r="D7228" s="58" t="s">
        <v>35024</v>
      </c>
      <c r="H7228">
        <f t="shared" si="207"/>
        <v>297.33</v>
      </c>
    </row>
    <row r="7229" spans="1:8" ht="15" customHeight="1">
      <c r="A7229" s="58" t="s">
        <v>30208</v>
      </c>
      <c r="B7229" s="20" t="s">
        <v>30209</v>
      </c>
      <c r="C7229" s="58" t="s">
        <v>83</v>
      </c>
      <c r="D7229" s="58" t="s">
        <v>31722</v>
      </c>
      <c r="H7229">
        <f t="shared" si="207"/>
        <v>160.94999999999999</v>
      </c>
    </row>
    <row r="7230" spans="1:8" ht="15" customHeight="1">
      <c r="A7230" s="58" t="s">
        <v>30210</v>
      </c>
      <c r="B7230" s="20" t="s">
        <v>30211</v>
      </c>
      <c r="C7230" s="58" t="s">
        <v>73</v>
      </c>
      <c r="D7230" s="58" t="s">
        <v>35025</v>
      </c>
      <c r="H7230">
        <f t="shared" si="207"/>
        <v>9.27</v>
      </c>
    </row>
    <row r="7231" spans="1:8" ht="15" customHeight="1">
      <c r="A7231" s="58" t="s">
        <v>30212</v>
      </c>
      <c r="B7231" s="20" t="s">
        <v>30213</v>
      </c>
      <c r="C7231" s="58" t="s">
        <v>75</v>
      </c>
      <c r="D7231" s="58" t="s">
        <v>6908</v>
      </c>
      <c r="H7231">
        <f t="shared" si="207"/>
        <v>0.61</v>
      </c>
    </row>
    <row r="7232" spans="1:8" ht="15" customHeight="1">
      <c r="A7232" s="58" t="s">
        <v>30214</v>
      </c>
      <c r="B7232" s="20" t="s">
        <v>30215</v>
      </c>
      <c r="C7232" s="58" t="s">
        <v>75</v>
      </c>
      <c r="D7232" s="58" t="s">
        <v>6907</v>
      </c>
      <c r="H7232">
        <f t="shared" si="207"/>
        <v>0.85</v>
      </c>
    </row>
    <row r="7233" spans="1:8" ht="15" customHeight="1">
      <c r="A7233" s="58" t="s">
        <v>30216</v>
      </c>
      <c r="B7233" s="20" t="s">
        <v>30217</v>
      </c>
      <c r="C7233" s="58" t="s">
        <v>75</v>
      </c>
      <c r="D7233" s="58" t="s">
        <v>35026</v>
      </c>
      <c r="H7233">
        <f t="shared" si="207"/>
        <v>1.53</v>
      </c>
    </row>
    <row r="7234" spans="1:8" ht="15" customHeight="1">
      <c r="A7234" s="58" t="s">
        <v>30218</v>
      </c>
      <c r="B7234" s="20" t="s">
        <v>30219</v>
      </c>
      <c r="C7234" s="58" t="s">
        <v>75</v>
      </c>
      <c r="D7234" s="58" t="s">
        <v>3004</v>
      </c>
      <c r="H7234">
        <f t="shared" si="207"/>
        <v>2.15</v>
      </c>
    </row>
    <row r="7235" spans="1:8" ht="15" customHeight="1">
      <c r="A7235" s="58" t="s">
        <v>30220</v>
      </c>
      <c r="B7235" s="20" t="s">
        <v>30221</v>
      </c>
      <c r="C7235" s="58" t="s">
        <v>75</v>
      </c>
      <c r="D7235" s="58" t="s">
        <v>10403</v>
      </c>
      <c r="H7235">
        <f t="shared" si="207"/>
        <v>20.84</v>
      </c>
    </row>
    <row r="7236" spans="1:8" ht="15" customHeight="1">
      <c r="A7236" s="58" t="s">
        <v>30222</v>
      </c>
      <c r="B7236" s="20" t="s">
        <v>30223</v>
      </c>
      <c r="C7236" s="58" t="s">
        <v>75</v>
      </c>
      <c r="D7236" s="58" t="s">
        <v>5627</v>
      </c>
      <c r="H7236">
        <f t="shared" si="207"/>
        <v>26.08</v>
      </c>
    </row>
    <row r="7237" spans="1:8" ht="15" customHeight="1">
      <c r="A7237" s="58" t="s">
        <v>30224</v>
      </c>
      <c r="B7237" s="20" t="s">
        <v>30225</v>
      </c>
      <c r="C7237" s="58" t="s">
        <v>114</v>
      </c>
      <c r="D7237" s="58" t="s">
        <v>31204</v>
      </c>
      <c r="H7237">
        <f t="shared" ref="H7237:H7300" si="208">ROUND(D7237*(1+$H$1),2)</f>
        <v>21.52</v>
      </c>
    </row>
    <row r="7238" spans="1:8" ht="15" customHeight="1">
      <c r="A7238" s="58" t="s">
        <v>30226</v>
      </c>
      <c r="B7238" s="20" t="s">
        <v>30227</v>
      </c>
      <c r="C7238" s="58" t="s">
        <v>73</v>
      </c>
      <c r="D7238" s="58" t="s">
        <v>9780</v>
      </c>
      <c r="H7238">
        <f t="shared" si="208"/>
        <v>16.899999999999999</v>
      </c>
    </row>
    <row r="7239" spans="1:8" ht="15" customHeight="1">
      <c r="A7239" s="58" t="s">
        <v>30228</v>
      </c>
      <c r="B7239" s="20" t="s">
        <v>30229</v>
      </c>
      <c r="C7239" s="58" t="s">
        <v>75</v>
      </c>
      <c r="D7239" s="58" t="s">
        <v>11661</v>
      </c>
      <c r="H7239">
        <f t="shared" si="208"/>
        <v>14.07</v>
      </c>
    </row>
    <row r="7240" spans="1:8" ht="15" customHeight="1">
      <c r="A7240" s="58" t="s">
        <v>30230</v>
      </c>
      <c r="B7240" s="20" t="s">
        <v>30231</v>
      </c>
      <c r="C7240" s="58" t="s">
        <v>73</v>
      </c>
      <c r="D7240" s="58" t="s">
        <v>10224</v>
      </c>
      <c r="H7240">
        <f t="shared" si="208"/>
        <v>22.89</v>
      </c>
    </row>
    <row r="7241" spans="1:8" ht="15" customHeight="1">
      <c r="A7241" s="58" t="s">
        <v>30232</v>
      </c>
      <c r="B7241" s="20" t="s">
        <v>30233</v>
      </c>
      <c r="C7241" s="58" t="s">
        <v>73</v>
      </c>
      <c r="D7241" s="58" t="s">
        <v>16433</v>
      </c>
      <c r="H7241">
        <f t="shared" si="208"/>
        <v>15.23</v>
      </c>
    </row>
    <row r="7242" spans="1:8" ht="15" customHeight="1">
      <c r="A7242" s="58" t="s">
        <v>30234</v>
      </c>
      <c r="B7242" s="20" t="s">
        <v>30235</v>
      </c>
      <c r="C7242" s="58" t="s">
        <v>75</v>
      </c>
      <c r="D7242" s="58" t="s">
        <v>27741</v>
      </c>
      <c r="H7242">
        <f t="shared" si="208"/>
        <v>7.09</v>
      </c>
    </row>
    <row r="7243" spans="1:8" ht="15" customHeight="1">
      <c r="A7243" s="58" t="s">
        <v>6984</v>
      </c>
      <c r="B7243" s="20" t="s">
        <v>2682</v>
      </c>
      <c r="C7243" s="58" t="s">
        <v>109</v>
      </c>
      <c r="D7243" s="58" t="s">
        <v>35027</v>
      </c>
      <c r="H7243">
        <f t="shared" si="208"/>
        <v>227.3</v>
      </c>
    </row>
    <row r="7244" spans="1:8" ht="15" customHeight="1">
      <c r="A7244" s="58" t="s">
        <v>9987</v>
      </c>
      <c r="B7244" s="20" t="s">
        <v>30236</v>
      </c>
      <c r="C7244" s="58" t="s">
        <v>75</v>
      </c>
      <c r="D7244" s="58" t="s">
        <v>35028</v>
      </c>
      <c r="H7244">
        <f t="shared" si="208"/>
        <v>93.65</v>
      </c>
    </row>
    <row r="7245" spans="1:8" ht="15" customHeight="1">
      <c r="A7245" s="58" t="s">
        <v>9988</v>
      </c>
      <c r="B7245" s="20" t="s">
        <v>30237</v>
      </c>
      <c r="C7245" s="58" t="s">
        <v>114</v>
      </c>
      <c r="D7245" s="58" t="s">
        <v>35029</v>
      </c>
      <c r="H7245">
        <f t="shared" si="208"/>
        <v>278.52</v>
      </c>
    </row>
    <row r="7246" spans="1:8" ht="15" customHeight="1">
      <c r="A7246" s="58" t="s">
        <v>9989</v>
      </c>
      <c r="B7246" s="20" t="s">
        <v>30238</v>
      </c>
      <c r="C7246" s="58" t="s">
        <v>114</v>
      </c>
      <c r="D7246" s="58" t="s">
        <v>29837</v>
      </c>
      <c r="H7246">
        <f t="shared" si="208"/>
        <v>172.43</v>
      </c>
    </row>
    <row r="7247" spans="1:8" ht="15" customHeight="1">
      <c r="A7247" s="58" t="s">
        <v>9990</v>
      </c>
      <c r="B7247" s="20" t="s">
        <v>30239</v>
      </c>
      <c r="C7247" s="58" t="s">
        <v>114</v>
      </c>
      <c r="D7247" s="58" t="s">
        <v>7273</v>
      </c>
      <c r="H7247">
        <f t="shared" si="208"/>
        <v>3.13</v>
      </c>
    </row>
    <row r="7248" spans="1:8" ht="15" customHeight="1">
      <c r="A7248" s="58" t="s">
        <v>9991</v>
      </c>
      <c r="B7248" s="20" t="s">
        <v>30240</v>
      </c>
      <c r="C7248" s="58" t="s">
        <v>75</v>
      </c>
      <c r="D7248" s="58" t="s">
        <v>35030</v>
      </c>
      <c r="H7248">
        <f t="shared" si="208"/>
        <v>13.78</v>
      </c>
    </row>
    <row r="7249" spans="1:8" ht="15" customHeight="1">
      <c r="A7249" s="58" t="s">
        <v>30241</v>
      </c>
      <c r="B7249" s="20" t="s">
        <v>30242</v>
      </c>
      <c r="C7249" s="58" t="s">
        <v>114</v>
      </c>
      <c r="D7249" s="58" t="s">
        <v>31031</v>
      </c>
      <c r="H7249">
        <f t="shared" si="208"/>
        <v>57.66</v>
      </c>
    </row>
    <row r="7250" spans="1:8" ht="15" customHeight="1">
      <c r="A7250" s="58" t="s">
        <v>30243</v>
      </c>
      <c r="B7250" s="20" t="s">
        <v>30244</v>
      </c>
      <c r="C7250" s="58" t="s">
        <v>75</v>
      </c>
      <c r="D7250" s="58" t="s">
        <v>35031</v>
      </c>
      <c r="H7250">
        <f t="shared" si="208"/>
        <v>114.89</v>
      </c>
    </row>
    <row r="7251" spans="1:8" ht="15" customHeight="1">
      <c r="A7251" s="58" t="s">
        <v>30245</v>
      </c>
      <c r="B7251" s="20" t="s">
        <v>30246</v>
      </c>
      <c r="C7251" s="58" t="s">
        <v>75</v>
      </c>
      <c r="D7251" s="58" t="s">
        <v>34978</v>
      </c>
      <c r="H7251">
        <f t="shared" si="208"/>
        <v>0.81</v>
      </c>
    </row>
    <row r="7252" spans="1:8" ht="15" customHeight="1">
      <c r="A7252" s="58" t="s">
        <v>6985</v>
      </c>
      <c r="B7252" s="20" t="s">
        <v>14350</v>
      </c>
      <c r="C7252" s="58" t="s">
        <v>1766</v>
      </c>
      <c r="D7252" s="58" t="s">
        <v>6009</v>
      </c>
      <c r="H7252">
        <f t="shared" si="208"/>
        <v>4.22</v>
      </c>
    </row>
    <row r="7253" spans="1:8" ht="15" customHeight="1">
      <c r="A7253" s="58" t="s">
        <v>6987</v>
      </c>
      <c r="B7253" s="20" t="s">
        <v>14351</v>
      </c>
      <c r="C7253" s="58" t="s">
        <v>1766</v>
      </c>
      <c r="D7253" s="58" t="s">
        <v>3169</v>
      </c>
      <c r="H7253">
        <f t="shared" si="208"/>
        <v>3.61</v>
      </c>
    </row>
    <row r="7254" spans="1:8" ht="15" customHeight="1">
      <c r="A7254" s="58" t="s">
        <v>6988</v>
      </c>
      <c r="B7254" s="20" t="s">
        <v>14352</v>
      </c>
      <c r="C7254" s="58" t="s">
        <v>1766</v>
      </c>
      <c r="D7254" s="58" t="s">
        <v>4086</v>
      </c>
      <c r="H7254">
        <f t="shared" si="208"/>
        <v>1.31</v>
      </c>
    </row>
    <row r="7255" spans="1:8" ht="15" customHeight="1">
      <c r="A7255" s="58" t="s">
        <v>6989</v>
      </c>
      <c r="B7255" s="20" t="s">
        <v>14353</v>
      </c>
      <c r="C7255" s="58" t="s">
        <v>1766</v>
      </c>
      <c r="D7255" s="58" t="s">
        <v>6491</v>
      </c>
      <c r="H7255">
        <f t="shared" si="208"/>
        <v>3.74</v>
      </c>
    </row>
    <row r="7256" spans="1:8" ht="15" customHeight="1">
      <c r="A7256" s="58" t="s">
        <v>6991</v>
      </c>
      <c r="B7256" s="20" t="s">
        <v>14354</v>
      </c>
      <c r="C7256" s="58" t="s">
        <v>1766</v>
      </c>
      <c r="D7256" s="58" t="s">
        <v>17137</v>
      </c>
      <c r="H7256">
        <f t="shared" si="208"/>
        <v>3.24</v>
      </c>
    </row>
    <row r="7257" spans="1:8" ht="15" customHeight="1">
      <c r="A7257" s="58" t="s">
        <v>6992</v>
      </c>
      <c r="B7257" s="20" t="s">
        <v>14355</v>
      </c>
      <c r="C7257" s="58" t="s">
        <v>1766</v>
      </c>
      <c r="D7257" s="58" t="s">
        <v>7014</v>
      </c>
      <c r="H7257">
        <f t="shared" si="208"/>
        <v>1.19</v>
      </c>
    </row>
    <row r="7258" spans="1:8" ht="15" customHeight="1">
      <c r="A7258" s="58" t="s">
        <v>6993</v>
      </c>
      <c r="B7258" s="20" t="s">
        <v>14356</v>
      </c>
      <c r="C7258" s="58" t="s">
        <v>1765</v>
      </c>
      <c r="D7258" s="58" t="s">
        <v>7254</v>
      </c>
      <c r="H7258">
        <f t="shared" si="208"/>
        <v>2.8</v>
      </c>
    </row>
    <row r="7259" spans="1:8" ht="15" customHeight="1">
      <c r="A7259" s="58" t="s">
        <v>6995</v>
      </c>
      <c r="B7259" s="20" t="s">
        <v>14357</v>
      </c>
      <c r="C7259" s="58" t="s">
        <v>1765</v>
      </c>
      <c r="D7259" s="58" t="s">
        <v>3098</v>
      </c>
      <c r="H7259">
        <f t="shared" si="208"/>
        <v>2.44</v>
      </c>
    </row>
    <row r="7260" spans="1:8" ht="15" customHeight="1">
      <c r="A7260" s="58" t="s">
        <v>6996</v>
      </c>
      <c r="B7260" s="20" t="s">
        <v>14358</v>
      </c>
      <c r="C7260" s="58" t="s">
        <v>1765</v>
      </c>
      <c r="D7260" s="58" t="s">
        <v>3822</v>
      </c>
      <c r="H7260">
        <f t="shared" si="208"/>
        <v>0.88</v>
      </c>
    </row>
    <row r="7261" spans="1:8" ht="15" customHeight="1">
      <c r="A7261" s="58" t="s">
        <v>6997</v>
      </c>
      <c r="B7261" s="20" t="s">
        <v>14359</v>
      </c>
      <c r="C7261" s="58" t="s">
        <v>1765</v>
      </c>
      <c r="D7261" s="58" t="s">
        <v>7255</v>
      </c>
      <c r="H7261">
        <f t="shared" si="208"/>
        <v>2.4900000000000002</v>
      </c>
    </row>
    <row r="7262" spans="1:8" ht="15" customHeight="1">
      <c r="A7262" s="58" t="s">
        <v>6998</v>
      </c>
      <c r="B7262" s="20" t="s">
        <v>14360</v>
      </c>
      <c r="C7262" s="58" t="s">
        <v>1765</v>
      </c>
      <c r="D7262" s="58" t="s">
        <v>3004</v>
      </c>
      <c r="H7262">
        <f t="shared" si="208"/>
        <v>2.15</v>
      </c>
    </row>
    <row r="7263" spans="1:8" ht="15" customHeight="1">
      <c r="A7263" s="58" t="s">
        <v>6999</v>
      </c>
      <c r="B7263" s="20" t="s">
        <v>14361</v>
      </c>
      <c r="C7263" s="58" t="s">
        <v>1765</v>
      </c>
      <c r="D7263" s="58" t="s">
        <v>23965</v>
      </c>
      <c r="H7263">
        <f t="shared" si="208"/>
        <v>0.79</v>
      </c>
    </row>
    <row r="7264" spans="1:8" ht="15" customHeight="1">
      <c r="A7264" s="58" t="s">
        <v>7000</v>
      </c>
      <c r="B7264" s="20" t="s">
        <v>14362</v>
      </c>
      <c r="C7264" s="58" t="s">
        <v>1766</v>
      </c>
      <c r="D7264" s="58" t="s">
        <v>3744</v>
      </c>
      <c r="H7264">
        <f t="shared" si="208"/>
        <v>3.17</v>
      </c>
    </row>
    <row r="7265" spans="1:8" ht="15" customHeight="1">
      <c r="A7265" s="58" t="s">
        <v>7001</v>
      </c>
      <c r="B7265" s="20" t="s">
        <v>14363</v>
      </c>
      <c r="C7265" s="58" t="s">
        <v>1766</v>
      </c>
      <c r="D7265" s="58" t="s">
        <v>7281</v>
      </c>
      <c r="H7265">
        <f t="shared" si="208"/>
        <v>2.73</v>
      </c>
    </row>
    <row r="7266" spans="1:8" ht="15" customHeight="1">
      <c r="A7266" s="58" t="s">
        <v>7002</v>
      </c>
      <c r="B7266" s="20" t="s">
        <v>14364</v>
      </c>
      <c r="C7266" s="58" t="s">
        <v>1766</v>
      </c>
      <c r="D7266" s="58" t="s">
        <v>7225</v>
      </c>
      <c r="H7266">
        <f t="shared" si="208"/>
        <v>1.03</v>
      </c>
    </row>
    <row r="7267" spans="1:8" ht="15" customHeight="1">
      <c r="A7267" s="58" t="s">
        <v>7003</v>
      </c>
      <c r="B7267" s="20" t="s">
        <v>14365</v>
      </c>
      <c r="C7267" s="58" t="s">
        <v>1765</v>
      </c>
      <c r="D7267" s="58" t="s">
        <v>3002</v>
      </c>
      <c r="H7267">
        <f t="shared" si="208"/>
        <v>2.13</v>
      </c>
    </row>
    <row r="7268" spans="1:8" ht="15" customHeight="1">
      <c r="A7268" s="58" t="s">
        <v>7004</v>
      </c>
      <c r="B7268" s="20" t="s">
        <v>14366</v>
      </c>
      <c r="C7268" s="58" t="s">
        <v>1765</v>
      </c>
      <c r="D7268" s="58" t="s">
        <v>10406</v>
      </c>
      <c r="H7268">
        <f t="shared" si="208"/>
        <v>1.85</v>
      </c>
    </row>
    <row r="7269" spans="1:8" ht="15" customHeight="1">
      <c r="A7269" s="58" t="s">
        <v>7005</v>
      </c>
      <c r="B7269" s="20" t="s">
        <v>14367</v>
      </c>
      <c r="C7269" s="58" t="s">
        <v>1765</v>
      </c>
      <c r="D7269" s="58" t="s">
        <v>15854</v>
      </c>
      <c r="H7269">
        <f t="shared" si="208"/>
        <v>0.64</v>
      </c>
    </row>
    <row r="7270" spans="1:8" ht="15" customHeight="1">
      <c r="A7270" s="58" t="s">
        <v>7006</v>
      </c>
      <c r="B7270" s="20" t="s">
        <v>14368</v>
      </c>
      <c r="C7270" s="58" t="s">
        <v>1766</v>
      </c>
      <c r="D7270" s="58" t="s">
        <v>6470</v>
      </c>
      <c r="H7270">
        <f t="shared" si="208"/>
        <v>3.33</v>
      </c>
    </row>
    <row r="7271" spans="1:8" ht="15" customHeight="1">
      <c r="A7271" s="58" t="s">
        <v>7007</v>
      </c>
      <c r="B7271" s="20" t="s">
        <v>14369</v>
      </c>
      <c r="C7271" s="58" t="s">
        <v>1766</v>
      </c>
      <c r="D7271" s="58" t="s">
        <v>3896</v>
      </c>
      <c r="H7271">
        <f t="shared" si="208"/>
        <v>2.93</v>
      </c>
    </row>
    <row r="7272" spans="1:8" ht="15" customHeight="1">
      <c r="A7272" s="58" t="s">
        <v>7008</v>
      </c>
      <c r="B7272" s="20" t="s">
        <v>14370</v>
      </c>
      <c r="C7272" s="58" t="s">
        <v>1766</v>
      </c>
      <c r="D7272" s="58" t="s">
        <v>35032</v>
      </c>
      <c r="H7272">
        <f t="shared" si="208"/>
        <v>2.52</v>
      </c>
    </row>
    <row r="7273" spans="1:8" ht="15" customHeight="1">
      <c r="A7273" s="58" t="s">
        <v>7009</v>
      </c>
      <c r="B7273" s="20" t="s">
        <v>14371</v>
      </c>
      <c r="C7273" s="58" t="s">
        <v>1765</v>
      </c>
      <c r="D7273" s="58" t="s">
        <v>7012</v>
      </c>
      <c r="H7273">
        <f t="shared" si="208"/>
        <v>2.2400000000000002</v>
      </c>
    </row>
    <row r="7274" spans="1:8" ht="15" customHeight="1">
      <c r="A7274" s="58" t="s">
        <v>7010</v>
      </c>
      <c r="B7274" s="20" t="s">
        <v>14372</v>
      </c>
      <c r="C7274" s="58" t="s">
        <v>1765</v>
      </c>
      <c r="D7274" s="58" t="s">
        <v>35033</v>
      </c>
      <c r="H7274">
        <f t="shared" si="208"/>
        <v>1.99</v>
      </c>
    </row>
    <row r="7275" spans="1:8" ht="15" customHeight="1">
      <c r="A7275" s="58" t="s">
        <v>7011</v>
      </c>
      <c r="B7275" s="20" t="s">
        <v>14373</v>
      </c>
      <c r="C7275" s="58" t="s">
        <v>1765</v>
      </c>
      <c r="D7275" s="58" t="s">
        <v>3013</v>
      </c>
      <c r="H7275">
        <f t="shared" si="208"/>
        <v>1.69</v>
      </c>
    </row>
    <row r="7276" spans="1:8" ht="15" customHeight="1">
      <c r="A7276" s="58" t="s">
        <v>6414</v>
      </c>
      <c r="B7276" s="20" t="s">
        <v>14374</v>
      </c>
      <c r="C7276" s="58" t="s">
        <v>1766</v>
      </c>
      <c r="D7276" s="58" t="s">
        <v>15844</v>
      </c>
      <c r="H7276">
        <f t="shared" si="208"/>
        <v>5.05</v>
      </c>
    </row>
    <row r="7277" spans="1:8" ht="15" customHeight="1">
      <c r="A7277" s="58" t="s">
        <v>6415</v>
      </c>
      <c r="B7277" s="20" t="s">
        <v>14375</v>
      </c>
      <c r="C7277" s="58" t="s">
        <v>1766</v>
      </c>
      <c r="D7277" s="58" t="s">
        <v>9531</v>
      </c>
      <c r="H7277">
        <f t="shared" si="208"/>
        <v>4.37</v>
      </c>
    </row>
    <row r="7278" spans="1:8" ht="15" customHeight="1">
      <c r="A7278" s="58" t="s">
        <v>6416</v>
      </c>
      <c r="B7278" s="20" t="s">
        <v>14376</v>
      </c>
      <c r="C7278" s="58" t="s">
        <v>1766</v>
      </c>
      <c r="D7278" s="58" t="s">
        <v>7365</v>
      </c>
      <c r="H7278">
        <f t="shared" si="208"/>
        <v>4.01</v>
      </c>
    </row>
    <row r="7279" spans="1:8" ht="15" customHeight="1">
      <c r="A7279" s="58" t="s">
        <v>6417</v>
      </c>
      <c r="B7279" s="20" t="s">
        <v>14377</v>
      </c>
      <c r="C7279" s="58" t="s">
        <v>1766</v>
      </c>
      <c r="D7279" s="58" t="s">
        <v>10398</v>
      </c>
      <c r="H7279">
        <f t="shared" si="208"/>
        <v>1.6</v>
      </c>
    </row>
    <row r="7280" spans="1:8" ht="15" customHeight="1">
      <c r="A7280" s="58" t="s">
        <v>14378</v>
      </c>
      <c r="B7280" s="20" t="s">
        <v>14379</v>
      </c>
      <c r="C7280" s="58" t="s">
        <v>1766</v>
      </c>
      <c r="D7280" s="58" t="s">
        <v>7322</v>
      </c>
      <c r="H7280">
        <f t="shared" si="208"/>
        <v>12.05</v>
      </c>
    </row>
    <row r="7281" spans="1:8" ht="15" customHeight="1">
      <c r="A7281" s="58" t="s">
        <v>14380</v>
      </c>
      <c r="B7281" s="20" t="s">
        <v>14381</v>
      </c>
      <c r="C7281" s="58" t="s">
        <v>1766</v>
      </c>
      <c r="D7281" s="58" t="s">
        <v>35034</v>
      </c>
      <c r="H7281">
        <f t="shared" si="208"/>
        <v>10.029999999999999</v>
      </c>
    </row>
    <row r="7282" spans="1:8" ht="15" customHeight="1">
      <c r="A7282" s="58" t="s">
        <v>14382</v>
      </c>
      <c r="B7282" s="20" t="s">
        <v>14383</v>
      </c>
      <c r="C7282" s="58" t="s">
        <v>1766</v>
      </c>
      <c r="D7282" s="58" t="s">
        <v>7348</v>
      </c>
      <c r="H7282">
        <f t="shared" si="208"/>
        <v>8.94</v>
      </c>
    </row>
    <row r="7283" spans="1:8" ht="15" customHeight="1">
      <c r="A7283" s="58" t="s">
        <v>14384</v>
      </c>
      <c r="B7283" s="20" t="s">
        <v>14385</v>
      </c>
      <c r="C7283" s="58" t="s">
        <v>1766</v>
      </c>
      <c r="D7283" s="58" t="s">
        <v>3478</v>
      </c>
      <c r="H7283">
        <f t="shared" si="208"/>
        <v>7.62</v>
      </c>
    </row>
    <row r="7284" spans="1:8" ht="15" customHeight="1">
      <c r="A7284" s="58" t="s">
        <v>14386</v>
      </c>
      <c r="B7284" s="20" t="s">
        <v>14387</v>
      </c>
      <c r="C7284" s="58" t="s">
        <v>1765</v>
      </c>
      <c r="D7284" s="58" t="s">
        <v>7633</v>
      </c>
      <c r="H7284">
        <f t="shared" si="208"/>
        <v>8.02</v>
      </c>
    </row>
    <row r="7285" spans="1:8" ht="15" customHeight="1">
      <c r="A7285" s="58" t="s">
        <v>14388</v>
      </c>
      <c r="B7285" s="20" t="s">
        <v>14389</v>
      </c>
      <c r="C7285" s="58" t="s">
        <v>1765</v>
      </c>
      <c r="D7285" s="58" t="s">
        <v>9474</v>
      </c>
      <c r="H7285">
        <f t="shared" si="208"/>
        <v>6.7</v>
      </c>
    </row>
    <row r="7286" spans="1:8" ht="15" customHeight="1">
      <c r="A7286" s="58" t="s">
        <v>14390</v>
      </c>
      <c r="B7286" s="20" t="s">
        <v>14391</v>
      </c>
      <c r="C7286" s="58" t="s">
        <v>1765</v>
      </c>
      <c r="D7286" s="58" t="s">
        <v>4067</v>
      </c>
      <c r="H7286">
        <f t="shared" si="208"/>
        <v>5.93</v>
      </c>
    </row>
    <row r="7287" spans="1:8" ht="15" customHeight="1">
      <c r="A7287" s="58" t="s">
        <v>14392</v>
      </c>
      <c r="B7287" s="20" t="s">
        <v>14393</v>
      </c>
      <c r="C7287" s="58" t="s">
        <v>1765</v>
      </c>
      <c r="D7287" s="58" t="s">
        <v>11810</v>
      </c>
      <c r="H7287">
        <f t="shared" si="208"/>
        <v>5.0999999999999996</v>
      </c>
    </row>
    <row r="7288" spans="1:8" ht="15" customHeight="1">
      <c r="A7288" s="58" t="s">
        <v>14394</v>
      </c>
      <c r="B7288" s="20" t="s">
        <v>14395</v>
      </c>
      <c r="C7288" s="58" t="s">
        <v>1765</v>
      </c>
      <c r="D7288" s="58" t="s">
        <v>3343</v>
      </c>
      <c r="H7288">
        <f t="shared" si="208"/>
        <v>3.8</v>
      </c>
    </row>
    <row r="7289" spans="1:8" ht="15" customHeight="1">
      <c r="A7289" s="58" t="s">
        <v>14396</v>
      </c>
      <c r="B7289" s="20" t="s">
        <v>14397</v>
      </c>
      <c r="C7289" s="58" t="s">
        <v>1765</v>
      </c>
      <c r="D7289" s="58" t="s">
        <v>35035</v>
      </c>
      <c r="H7289">
        <f t="shared" si="208"/>
        <v>3.26</v>
      </c>
    </row>
    <row r="7290" spans="1:8" ht="15" customHeight="1">
      <c r="A7290" s="58" t="s">
        <v>14398</v>
      </c>
      <c r="B7290" s="20" t="s">
        <v>14399</v>
      </c>
      <c r="C7290" s="58" t="s">
        <v>1765</v>
      </c>
      <c r="D7290" s="58" t="s">
        <v>7232</v>
      </c>
      <c r="H7290">
        <f t="shared" si="208"/>
        <v>3.01</v>
      </c>
    </row>
    <row r="7291" spans="1:8" ht="15" customHeight="1">
      <c r="A7291" s="58" t="s">
        <v>14400</v>
      </c>
      <c r="B7291" s="20" t="s">
        <v>14401</v>
      </c>
      <c r="C7291" s="58" t="s">
        <v>1765</v>
      </c>
      <c r="D7291" s="58" t="s">
        <v>7275</v>
      </c>
      <c r="H7291">
        <f t="shared" si="208"/>
        <v>1.2</v>
      </c>
    </row>
    <row r="7292" spans="1:8" ht="15" customHeight="1">
      <c r="A7292" s="58" t="s">
        <v>14402</v>
      </c>
      <c r="B7292" s="20" t="s">
        <v>14403</v>
      </c>
      <c r="C7292" s="58" t="s">
        <v>1765</v>
      </c>
      <c r="D7292" s="58" t="s">
        <v>7469</v>
      </c>
      <c r="H7292">
        <f t="shared" si="208"/>
        <v>9.02</v>
      </c>
    </row>
    <row r="7293" spans="1:8" ht="15" customHeight="1">
      <c r="A7293" s="58" t="s">
        <v>14404</v>
      </c>
      <c r="B7293" s="20" t="s">
        <v>14405</v>
      </c>
      <c r="C7293" s="58" t="s">
        <v>1765</v>
      </c>
      <c r="D7293" s="58" t="s">
        <v>23983</v>
      </c>
      <c r="H7293">
        <f t="shared" si="208"/>
        <v>4.8</v>
      </c>
    </row>
    <row r="7294" spans="1:8" ht="15" customHeight="1">
      <c r="A7294" s="58" t="s">
        <v>14406</v>
      </c>
      <c r="B7294" s="20" t="s">
        <v>14407</v>
      </c>
      <c r="C7294" s="58" t="s">
        <v>1765</v>
      </c>
      <c r="D7294" s="58" t="s">
        <v>11761</v>
      </c>
      <c r="H7294">
        <f t="shared" si="208"/>
        <v>4.13</v>
      </c>
    </row>
    <row r="7295" spans="1:8" ht="15" customHeight="1">
      <c r="A7295" s="58" t="s">
        <v>14408</v>
      </c>
      <c r="B7295" s="20" t="s">
        <v>14409</v>
      </c>
      <c r="C7295" s="58" t="s">
        <v>1765</v>
      </c>
      <c r="D7295" s="58" t="s">
        <v>26564</v>
      </c>
      <c r="H7295">
        <f t="shared" si="208"/>
        <v>3.81</v>
      </c>
    </row>
    <row r="7296" spans="1:8" ht="15" customHeight="1">
      <c r="A7296" s="58" t="s">
        <v>14410</v>
      </c>
      <c r="B7296" s="20" t="s">
        <v>14411</v>
      </c>
      <c r="C7296" s="58" t="s">
        <v>1765</v>
      </c>
      <c r="D7296" s="58" t="s">
        <v>15832</v>
      </c>
      <c r="H7296">
        <f t="shared" si="208"/>
        <v>1.51</v>
      </c>
    </row>
    <row r="7297" spans="1:8" ht="15" customHeight="1">
      <c r="A7297" s="58" t="s">
        <v>14412</v>
      </c>
      <c r="B7297" s="20" t="s">
        <v>14413</v>
      </c>
      <c r="C7297" s="58" t="s">
        <v>1765</v>
      </c>
      <c r="D7297" s="58" t="s">
        <v>7477</v>
      </c>
      <c r="H7297">
        <f t="shared" si="208"/>
        <v>11.42</v>
      </c>
    </row>
    <row r="7298" spans="1:8" ht="15" customHeight="1">
      <c r="A7298" s="58" t="s">
        <v>14414</v>
      </c>
      <c r="B7298" s="20" t="s">
        <v>14415</v>
      </c>
      <c r="C7298" s="58" t="s">
        <v>1766</v>
      </c>
      <c r="D7298" s="58" t="s">
        <v>7362</v>
      </c>
      <c r="H7298">
        <f t="shared" si="208"/>
        <v>6.58</v>
      </c>
    </row>
    <row r="7299" spans="1:8" ht="15" customHeight="1">
      <c r="A7299" s="58" t="s">
        <v>14416</v>
      </c>
      <c r="B7299" s="20" t="s">
        <v>14417</v>
      </c>
      <c r="C7299" s="58" t="s">
        <v>1766</v>
      </c>
      <c r="D7299" s="58" t="s">
        <v>4574</v>
      </c>
      <c r="H7299">
        <f t="shared" si="208"/>
        <v>5.72</v>
      </c>
    </row>
    <row r="7300" spans="1:8" ht="15" customHeight="1">
      <c r="A7300" s="58" t="s">
        <v>14418</v>
      </c>
      <c r="B7300" s="20" t="s">
        <v>14419</v>
      </c>
      <c r="C7300" s="58" t="s">
        <v>1766</v>
      </c>
      <c r="D7300" s="58" t="s">
        <v>3914</v>
      </c>
      <c r="H7300">
        <f t="shared" si="208"/>
        <v>5.24</v>
      </c>
    </row>
    <row r="7301" spans="1:8" ht="15" customHeight="1">
      <c r="A7301" s="58" t="s">
        <v>14420</v>
      </c>
      <c r="B7301" s="20" t="s">
        <v>14421</v>
      </c>
      <c r="C7301" s="58" t="s">
        <v>1766</v>
      </c>
      <c r="D7301" s="58" t="s">
        <v>7303</v>
      </c>
      <c r="H7301">
        <f t="shared" ref="H7301:H7364" si="209">ROUND(D7301*(1+$H$1),2)</f>
        <v>2.09</v>
      </c>
    </row>
    <row r="7302" spans="1:8" ht="15" customHeight="1">
      <c r="A7302" s="58" t="s">
        <v>14422</v>
      </c>
      <c r="B7302" s="20" t="s">
        <v>14423</v>
      </c>
      <c r="C7302" s="58" t="s">
        <v>1766</v>
      </c>
      <c r="D7302" s="58" t="s">
        <v>34209</v>
      </c>
      <c r="H7302">
        <f t="shared" si="209"/>
        <v>15.7</v>
      </c>
    </row>
    <row r="7303" spans="1:8" ht="15" customHeight="1">
      <c r="A7303" s="58" t="s">
        <v>14424</v>
      </c>
      <c r="B7303" s="20" t="s">
        <v>14425</v>
      </c>
      <c r="C7303" s="58" t="s">
        <v>1766</v>
      </c>
      <c r="D7303" s="58" t="s">
        <v>30248</v>
      </c>
      <c r="H7303">
        <f t="shared" si="209"/>
        <v>4.88</v>
      </c>
    </row>
    <row r="7304" spans="1:8" ht="15" customHeight="1">
      <c r="A7304" s="58" t="s">
        <v>14426</v>
      </c>
      <c r="B7304" s="20" t="s">
        <v>14427</v>
      </c>
      <c r="C7304" s="58" t="s">
        <v>1766</v>
      </c>
      <c r="D7304" s="58" t="s">
        <v>10379</v>
      </c>
      <c r="H7304">
        <f t="shared" si="209"/>
        <v>4.24</v>
      </c>
    </row>
    <row r="7305" spans="1:8" ht="15" customHeight="1">
      <c r="A7305" s="58" t="s">
        <v>14428</v>
      </c>
      <c r="B7305" s="20" t="s">
        <v>14429</v>
      </c>
      <c r="C7305" s="58" t="s">
        <v>1766</v>
      </c>
      <c r="D7305" s="58" t="s">
        <v>35036</v>
      </c>
      <c r="H7305">
        <f t="shared" si="209"/>
        <v>3.85</v>
      </c>
    </row>
    <row r="7306" spans="1:8" ht="15" customHeight="1">
      <c r="A7306" s="58" t="s">
        <v>14430</v>
      </c>
      <c r="B7306" s="20" t="s">
        <v>14431</v>
      </c>
      <c r="C7306" s="58" t="s">
        <v>1766</v>
      </c>
      <c r="D7306" s="58" t="s">
        <v>16555</v>
      </c>
      <c r="H7306">
        <f t="shared" si="209"/>
        <v>1.52</v>
      </c>
    </row>
    <row r="7307" spans="1:8" ht="15" customHeight="1">
      <c r="A7307" s="58" t="s">
        <v>14432</v>
      </c>
      <c r="B7307" s="20" t="s">
        <v>14433</v>
      </c>
      <c r="C7307" s="58" t="s">
        <v>1766</v>
      </c>
      <c r="D7307" s="58" t="s">
        <v>9519</v>
      </c>
      <c r="H7307">
        <f t="shared" si="209"/>
        <v>11.71</v>
      </c>
    </row>
    <row r="7308" spans="1:8" ht="15" customHeight="1">
      <c r="A7308" s="58" t="s">
        <v>14434</v>
      </c>
      <c r="B7308" s="20" t="s">
        <v>14435</v>
      </c>
      <c r="C7308" s="58" t="s">
        <v>83</v>
      </c>
      <c r="D7308" s="58" t="s">
        <v>4726</v>
      </c>
      <c r="H7308">
        <f t="shared" si="209"/>
        <v>12.06</v>
      </c>
    </row>
    <row r="7309" spans="1:8" ht="15" customHeight="1">
      <c r="A7309" s="58" t="s">
        <v>14436</v>
      </c>
      <c r="B7309" s="20" t="s">
        <v>14437</v>
      </c>
      <c r="C7309" s="58" t="s">
        <v>83</v>
      </c>
      <c r="D7309" s="58" t="s">
        <v>35037</v>
      </c>
      <c r="H7309">
        <f t="shared" si="209"/>
        <v>11.57</v>
      </c>
    </row>
    <row r="7310" spans="1:8" ht="15" customHeight="1">
      <c r="A7310" s="58" t="s">
        <v>14438</v>
      </c>
      <c r="B7310" s="20" t="s">
        <v>14439</v>
      </c>
      <c r="C7310" s="58" t="s">
        <v>83</v>
      </c>
      <c r="D7310" s="58" t="s">
        <v>16171</v>
      </c>
      <c r="H7310">
        <f t="shared" si="209"/>
        <v>11.75</v>
      </c>
    </row>
    <row r="7311" spans="1:8" ht="15" customHeight="1">
      <c r="A7311" s="58" t="s">
        <v>14440</v>
      </c>
      <c r="B7311" s="20" t="s">
        <v>14441</v>
      </c>
      <c r="C7311" s="58" t="s">
        <v>1765</v>
      </c>
      <c r="D7311" s="58" t="s">
        <v>3719</v>
      </c>
      <c r="H7311">
        <f t="shared" si="209"/>
        <v>2.41</v>
      </c>
    </row>
    <row r="7312" spans="1:8" ht="15" customHeight="1">
      <c r="A7312" s="58" t="s">
        <v>14442</v>
      </c>
      <c r="B7312" s="20" t="s">
        <v>14443</v>
      </c>
      <c r="C7312" s="58" t="s">
        <v>1765</v>
      </c>
      <c r="D7312" s="58" t="s">
        <v>7227</v>
      </c>
      <c r="H7312">
        <f t="shared" si="209"/>
        <v>2.0699999999999998</v>
      </c>
    </row>
    <row r="7313" spans="1:8" ht="15" customHeight="1">
      <c r="A7313" s="58" t="s">
        <v>14444</v>
      </c>
      <c r="B7313" s="20" t="s">
        <v>14445</v>
      </c>
      <c r="C7313" s="58" t="s">
        <v>1765</v>
      </c>
      <c r="D7313" s="58" t="s">
        <v>32742</v>
      </c>
      <c r="H7313">
        <f t="shared" si="209"/>
        <v>3.14</v>
      </c>
    </row>
    <row r="7314" spans="1:8" ht="15" customHeight="1">
      <c r="A7314" s="58" t="s">
        <v>14446</v>
      </c>
      <c r="B7314" s="20" t="s">
        <v>14447</v>
      </c>
      <c r="C7314" s="58" t="s">
        <v>1765</v>
      </c>
      <c r="D7314" s="58" t="s">
        <v>10407</v>
      </c>
      <c r="H7314">
        <f t="shared" si="209"/>
        <v>2.67</v>
      </c>
    </row>
    <row r="7315" spans="1:8" ht="15" customHeight="1">
      <c r="A7315" s="58" t="s">
        <v>14448</v>
      </c>
      <c r="B7315" s="20" t="s">
        <v>14449</v>
      </c>
      <c r="C7315" s="58" t="s">
        <v>1765</v>
      </c>
      <c r="D7315" s="58" t="s">
        <v>6986</v>
      </c>
      <c r="H7315">
        <f t="shared" si="209"/>
        <v>1.92</v>
      </c>
    </row>
    <row r="7316" spans="1:8" ht="15" customHeight="1">
      <c r="A7316" s="58" t="s">
        <v>14450</v>
      </c>
      <c r="B7316" s="20" t="s">
        <v>14451</v>
      </c>
      <c r="C7316" s="58" t="s">
        <v>1765</v>
      </c>
      <c r="D7316" s="58" t="s">
        <v>3305</v>
      </c>
      <c r="H7316">
        <f t="shared" si="209"/>
        <v>0.76</v>
      </c>
    </row>
    <row r="7317" spans="1:8" ht="15" customHeight="1">
      <c r="A7317" s="58" t="s">
        <v>14452</v>
      </c>
      <c r="B7317" s="20" t="s">
        <v>14453</v>
      </c>
      <c r="C7317" s="58" t="s">
        <v>1765</v>
      </c>
      <c r="D7317" s="58" t="s">
        <v>7924</v>
      </c>
      <c r="H7317">
        <f t="shared" si="209"/>
        <v>2.48</v>
      </c>
    </row>
    <row r="7318" spans="1:8" ht="15" customHeight="1">
      <c r="A7318" s="58" t="s">
        <v>14454</v>
      </c>
      <c r="B7318" s="20" t="s">
        <v>14455</v>
      </c>
      <c r="C7318" s="58" t="s">
        <v>1765</v>
      </c>
      <c r="D7318" s="58" t="s">
        <v>3630</v>
      </c>
      <c r="H7318">
        <f t="shared" si="209"/>
        <v>0.99</v>
      </c>
    </row>
    <row r="7319" spans="1:8" ht="15" customHeight="1">
      <c r="A7319" s="58" t="s">
        <v>14456</v>
      </c>
      <c r="B7319" s="20" t="s">
        <v>14457</v>
      </c>
      <c r="C7319" s="58" t="s">
        <v>1714</v>
      </c>
      <c r="D7319" s="58" t="s">
        <v>35038</v>
      </c>
      <c r="H7319">
        <f t="shared" si="209"/>
        <v>791.61</v>
      </c>
    </row>
    <row r="7320" spans="1:8" ht="15" customHeight="1">
      <c r="A7320" s="58" t="s">
        <v>14458</v>
      </c>
      <c r="B7320" s="20" t="s">
        <v>14459</v>
      </c>
      <c r="C7320" s="58" t="s">
        <v>1714</v>
      </c>
      <c r="D7320" s="58" t="s">
        <v>35039</v>
      </c>
      <c r="H7320">
        <f t="shared" si="209"/>
        <v>230.63</v>
      </c>
    </row>
    <row r="7321" spans="1:8" ht="15" customHeight="1">
      <c r="A7321" s="58" t="s">
        <v>14460</v>
      </c>
      <c r="B7321" s="20" t="s">
        <v>14461</v>
      </c>
      <c r="C7321" s="58" t="s">
        <v>1714</v>
      </c>
      <c r="D7321" s="58" t="s">
        <v>35040</v>
      </c>
      <c r="H7321">
        <f t="shared" si="209"/>
        <v>392.9</v>
      </c>
    </row>
    <row r="7322" spans="1:8" ht="15" customHeight="1">
      <c r="A7322" s="58" t="s">
        <v>14462</v>
      </c>
      <c r="B7322" s="20" t="s">
        <v>14463</v>
      </c>
      <c r="C7322" s="58" t="s">
        <v>83</v>
      </c>
      <c r="D7322" s="58" t="s">
        <v>4873</v>
      </c>
      <c r="H7322">
        <f t="shared" si="209"/>
        <v>11.5</v>
      </c>
    </row>
    <row r="7323" spans="1:8" ht="15" customHeight="1">
      <c r="A7323" s="58" t="s">
        <v>14464</v>
      </c>
      <c r="B7323" s="20" t="s">
        <v>14465</v>
      </c>
      <c r="C7323" s="58" t="s">
        <v>83</v>
      </c>
      <c r="D7323" s="58" t="s">
        <v>30555</v>
      </c>
      <c r="H7323">
        <f t="shared" si="209"/>
        <v>10.58</v>
      </c>
    </row>
    <row r="7324" spans="1:8" ht="15" customHeight="1">
      <c r="A7324" s="58" t="s">
        <v>14466</v>
      </c>
      <c r="B7324" s="20" t="s">
        <v>14467</v>
      </c>
      <c r="C7324" s="58" t="s">
        <v>83</v>
      </c>
      <c r="D7324" s="58" t="s">
        <v>24831</v>
      </c>
      <c r="H7324">
        <f t="shared" si="209"/>
        <v>9.5</v>
      </c>
    </row>
    <row r="7325" spans="1:8" ht="15" customHeight="1">
      <c r="A7325" s="58" t="s">
        <v>14468</v>
      </c>
      <c r="B7325" s="20" t="s">
        <v>14469</v>
      </c>
      <c r="C7325" s="58" t="s">
        <v>83</v>
      </c>
      <c r="D7325" s="58" t="s">
        <v>16226</v>
      </c>
      <c r="H7325">
        <f t="shared" si="209"/>
        <v>9.18</v>
      </c>
    </row>
    <row r="7326" spans="1:8" ht="15" customHeight="1">
      <c r="A7326" s="58" t="s">
        <v>14470</v>
      </c>
      <c r="B7326" s="20" t="s">
        <v>14471</v>
      </c>
      <c r="C7326" s="58" t="s">
        <v>83</v>
      </c>
      <c r="D7326" s="58" t="s">
        <v>7287</v>
      </c>
      <c r="H7326">
        <f t="shared" si="209"/>
        <v>8.69</v>
      </c>
    </row>
    <row r="7327" spans="1:8" ht="15" customHeight="1">
      <c r="A7327" s="58" t="s">
        <v>14472</v>
      </c>
      <c r="B7327" s="20" t="s">
        <v>14473</v>
      </c>
      <c r="C7327" s="58" t="s">
        <v>83</v>
      </c>
      <c r="D7327" s="58" t="s">
        <v>5173</v>
      </c>
      <c r="H7327">
        <f t="shared" si="209"/>
        <v>12.85</v>
      </c>
    </row>
    <row r="7328" spans="1:8" ht="15" customHeight="1">
      <c r="A7328" s="58" t="s">
        <v>14474</v>
      </c>
      <c r="B7328" s="20" t="s">
        <v>14475</v>
      </c>
      <c r="C7328" s="58" t="s">
        <v>83</v>
      </c>
      <c r="D7328" s="58" t="s">
        <v>5910</v>
      </c>
      <c r="H7328">
        <f t="shared" si="209"/>
        <v>12.26</v>
      </c>
    </row>
    <row r="7329" spans="1:8" ht="15" customHeight="1">
      <c r="A7329" s="58" t="s">
        <v>14476</v>
      </c>
      <c r="B7329" s="20" t="s">
        <v>14477</v>
      </c>
      <c r="C7329" s="58" t="s">
        <v>83</v>
      </c>
      <c r="D7329" s="58" t="s">
        <v>10408</v>
      </c>
      <c r="H7329">
        <f t="shared" si="209"/>
        <v>12.41</v>
      </c>
    </row>
    <row r="7330" spans="1:8" ht="15" customHeight="1">
      <c r="A7330" s="58" t="s">
        <v>14478</v>
      </c>
      <c r="B7330" s="20" t="s">
        <v>14479</v>
      </c>
      <c r="C7330" s="58" t="s">
        <v>83</v>
      </c>
      <c r="D7330" s="58" t="s">
        <v>7456</v>
      </c>
      <c r="H7330">
        <f t="shared" si="209"/>
        <v>12.13</v>
      </c>
    </row>
    <row r="7331" spans="1:8" ht="15" customHeight="1">
      <c r="A7331" s="58" t="s">
        <v>14480</v>
      </c>
      <c r="B7331" s="20" t="s">
        <v>14481</v>
      </c>
      <c r="C7331" s="58" t="s">
        <v>83</v>
      </c>
      <c r="D7331" s="58" t="s">
        <v>22459</v>
      </c>
      <c r="H7331">
        <f t="shared" si="209"/>
        <v>10.17</v>
      </c>
    </row>
    <row r="7332" spans="1:8" ht="15" customHeight="1">
      <c r="A7332" s="58" t="s">
        <v>14482</v>
      </c>
      <c r="B7332" s="20" t="s">
        <v>14483</v>
      </c>
      <c r="C7332" s="58" t="s">
        <v>83</v>
      </c>
      <c r="D7332" s="58" t="s">
        <v>9515</v>
      </c>
      <c r="H7332">
        <f t="shared" si="209"/>
        <v>12.18</v>
      </c>
    </row>
    <row r="7333" spans="1:8" ht="15" customHeight="1">
      <c r="A7333" s="58" t="s">
        <v>14484</v>
      </c>
      <c r="B7333" s="20" t="s">
        <v>14485</v>
      </c>
      <c r="C7333" s="58" t="s">
        <v>83</v>
      </c>
      <c r="D7333" s="58" t="s">
        <v>5555</v>
      </c>
      <c r="H7333">
        <f t="shared" si="209"/>
        <v>14.2</v>
      </c>
    </row>
    <row r="7334" spans="1:8" ht="15" customHeight="1">
      <c r="A7334" s="58" t="s">
        <v>14486</v>
      </c>
      <c r="B7334" s="20" t="s">
        <v>14487</v>
      </c>
      <c r="C7334" s="58" t="s">
        <v>83</v>
      </c>
      <c r="D7334" s="58" t="s">
        <v>10147</v>
      </c>
      <c r="H7334">
        <f t="shared" si="209"/>
        <v>15.02</v>
      </c>
    </row>
    <row r="7335" spans="1:8" ht="15" customHeight="1">
      <c r="A7335" s="58" t="s">
        <v>14488</v>
      </c>
      <c r="B7335" s="20" t="s">
        <v>14489</v>
      </c>
      <c r="C7335" s="58" t="s">
        <v>1714</v>
      </c>
      <c r="D7335" s="58" t="s">
        <v>4151</v>
      </c>
      <c r="H7335">
        <f t="shared" si="209"/>
        <v>8.0500000000000007</v>
      </c>
    </row>
    <row r="7336" spans="1:8" ht="15" customHeight="1">
      <c r="A7336" s="58" t="s">
        <v>14490</v>
      </c>
      <c r="B7336" s="20" t="s">
        <v>14491</v>
      </c>
      <c r="C7336" s="58" t="s">
        <v>1714</v>
      </c>
      <c r="D7336" s="58" t="s">
        <v>30553</v>
      </c>
      <c r="H7336">
        <f t="shared" si="209"/>
        <v>7.72</v>
      </c>
    </row>
    <row r="7337" spans="1:8" ht="15" customHeight="1">
      <c r="A7337" s="58" t="s">
        <v>14492</v>
      </c>
      <c r="B7337" s="20" t="s">
        <v>14493</v>
      </c>
      <c r="C7337" s="58" t="s">
        <v>1714</v>
      </c>
      <c r="D7337" s="58" t="s">
        <v>4670</v>
      </c>
      <c r="H7337">
        <f t="shared" si="209"/>
        <v>7.88</v>
      </c>
    </row>
    <row r="7338" spans="1:8" ht="15" customHeight="1">
      <c r="A7338" s="58" t="s">
        <v>14494</v>
      </c>
      <c r="B7338" s="20" t="s">
        <v>14495</v>
      </c>
      <c r="C7338" s="58" t="s">
        <v>1714</v>
      </c>
      <c r="D7338" s="58" t="s">
        <v>6349</v>
      </c>
      <c r="H7338">
        <f t="shared" si="209"/>
        <v>7.66</v>
      </c>
    </row>
    <row r="7339" spans="1:8" ht="15" customHeight="1">
      <c r="A7339" s="58" t="s">
        <v>14496</v>
      </c>
      <c r="B7339" s="20" t="s">
        <v>14497</v>
      </c>
      <c r="C7339" s="58" t="s">
        <v>1714</v>
      </c>
      <c r="D7339" s="58" t="s">
        <v>9969</v>
      </c>
      <c r="H7339">
        <f t="shared" si="209"/>
        <v>7.05</v>
      </c>
    </row>
    <row r="7340" spans="1:8" ht="15" customHeight="1">
      <c r="A7340" s="58" t="s">
        <v>14498</v>
      </c>
      <c r="B7340" s="20" t="s">
        <v>14499</v>
      </c>
      <c r="C7340" s="58" t="s">
        <v>1714</v>
      </c>
      <c r="D7340" s="58" t="s">
        <v>34559</v>
      </c>
      <c r="H7340">
        <f t="shared" si="209"/>
        <v>6.3</v>
      </c>
    </row>
    <row r="7341" spans="1:8" ht="15" customHeight="1">
      <c r="A7341" s="58" t="s">
        <v>14500</v>
      </c>
      <c r="B7341" s="20" t="s">
        <v>14501</v>
      </c>
      <c r="C7341" s="58" t="s">
        <v>1714</v>
      </c>
      <c r="D7341" s="58" t="s">
        <v>2972</v>
      </c>
      <c r="H7341">
        <f t="shared" si="209"/>
        <v>6.14</v>
      </c>
    </row>
    <row r="7342" spans="1:8" ht="15" customHeight="1">
      <c r="A7342" s="58" t="s">
        <v>14502</v>
      </c>
      <c r="B7342" s="20" t="s">
        <v>14503</v>
      </c>
      <c r="C7342" s="58" t="s">
        <v>1714</v>
      </c>
      <c r="D7342" s="58" t="s">
        <v>30727</v>
      </c>
      <c r="H7342">
        <f t="shared" si="209"/>
        <v>5.77</v>
      </c>
    </row>
    <row r="7343" spans="1:8" ht="15" customHeight="1">
      <c r="A7343" s="58" t="s">
        <v>14504</v>
      </c>
      <c r="B7343" s="20" t="s">
        <v>14505</v>
      </c>
      <c r="C7343" s="58" t="s">
        <v>1714</v>
      </c>
      <c r="D7343" s="58" t="s">
        <v>35041</v>
      </c>
      <c r="H7343">
        <f t="shared" si="209"/>
        <v>8.58</v>
      </c>
    </row>
    <row r="7344" spans="1:8" ht="15" customHeight="1">
      <c r="A7344" s="58" t="s">
        <v>14506</v>
      </c>
      <c r="B7344" s="20" t="s">
        <v>14507</v>
      </c>
      <c r="C7344" s="58" t="s">
        <v>1714</v>
      </c>
      <c r="D7344" s="58" t="s">
        <v>2885</v>
      </c>
      <c r="H7344">
        <f t="shared" si="209"/>
        <v>8.18</v>
      </c>
    </row>
    <row r="7345" spans="1:8" ht="15" customHeight="1">
      <c r="A7345" s="58" t="s">
        <v>14508</v>
      </c>
      <c r="B7345" s="20" t="s">
        <v>14509</v>
      </c>
      <c r="C7345" s="58" t="s">
        <v>1714</v>
      </c>
      <c r="D7345" s="58" t="s">
        <v>5162</v>
      </c>
      <c r="H7345">
        <f t="shared" si="209"/>
        <v>8.31</v>
      </c>
    </row>
    <row r="7346" spans="1:8" ht="15" customHeight="1">
      <c r="A7346" s="58" t="s">
        <v>14510</v>
      </c>
      <c r="B7346" s="20" t="s">
        <v>14511</v>
      </c>
      <c r="C7346" s="58" t="s">
        <v>1714</v>
      </c>
      <c r="D7346" s="58" t="s">
        <v>10405</v>
      </c>
      <c r="H7346">
        <f t="shared" si="209"/>
        <v>8.09</v>
      </c>
    </row>
    <row r="7347" spans="1:8" ht="15" customHeight="1">
      <c r="A7347" s="58" t="s">
        <v>14512</v>
      </c>
      <c r="B7347" s="20" t="s">
        <v>14513</v>
      </c>
      <c r="C7347" s="58" t="s">
        <v>1714</v>
      </c>
      <c r="D7347" s="58" t="s">
        <v>9786</v>
      </c>
      <c r="H7347">
        <f t="shared" si="209"/>
        <v>6.78</v>
      </c>
    </row>
    <row r="7348" spans="1:8" ht="15" customHeight="1">
      <c r="A7348" s="58" t="s">
        <v>14514</v>
      </c>
      <c r="B7348" s="20" t="s">
        <v>14515</v>
      </c>
      <c r="C7348" s="58" t="s">
        <v>1714</v>
      </c>
      <c r="D7348" s="58" t="s">
        <v>4585</v>
      </c>
      <c r="H7348">
        <f t="shared" si="209"/>
        <v>8.11</v>
      </c>
    </row>
    <row r="7349" spans="1:8" ht="15" customHeight="1">
      <c r="A7349" s="58" t="s">
        <v>14516</v>
      </c>
      <c r="B7349" s="20" t="s">
        <v>14517</v>
      </c>
      <c r="C7349" s="58" t="s">
        <v>1714</v>
      </c>
      <c r="D7349" s="58" t="s">
        <v>9781</v>
      </c>
      <c r="H7349">
        <f t="shared" si="209"/>
        <v>9.43</v>
      </c>
    </row>
    <row r="7350" spans="1:8" ht="15" customHeight="1">
      <c r="A7350" s="58" t="s">
        <v>14518</v>
      </c>
      <c r="B7350" s="20" t="s">
        <v>14519</v>
      </c>
      <c r="C7350" s="58" t="s">
        <v>1714</v>
      </c>
      <c r="D7350" s="58" t="s">
        <v>5260</v>
      </c>
      <c r="H7350">
        <f t="shared" si="209"/>
        <v>10.01</v>
      </c>
    </row>
    <row r="7351" spans="1:8" ht="15" customHeight="1">
      <c r="A7351" s="58" t="s">
        <v>14520</v>
      </c>
      <c r="B7351" s="20" t="s">
        <v>14521</v>
      </c>
      <c r="C7351" s="58" t="s">
        <v>83</v>
      </c>
      <c r="D7351" s="58" t="s">
        <v>10271</v>
      </c>
      <c r="H7351">
        <f t="shared" si="209"/>
        <v>25.05</v>
      </c>
    </row>
    <row r="7352" spans="1:8" ht="15" customHeight="1">
      <c r="A7352" s="58" t="s">
        <v>14522</v>
      </c>
      <c r="B7352" s="20" t="s">
        <v>14523</v>
      </c>
      <c r="C7352" s="58" t="s">
        <v>83</v>
      </c>
      <c r="D7352" s="58" t="s">
        <v>25264</v>
      </c>
      <c r="H7352">
        <f t="shared" si="209"/>
        <v>27.81</v>
      </c>
    </row>
    <row r="7353" spans="1:8" ht="15" customHeight="1">
      <c r="A7353" s="58" t="s">
        <v>14524</v>
      </c>
      <c r="B7353" s="20" t="s">
        <v>14525</v>
      </c>
      <c r="C7353" s="58" t="s">
        <v>83</v>
      </c>
      <c r="D7353" s="58" t="s">
        <v>6982</v>
      </c>
      <c r="H7353">
        <f t="shared" si="209"/>
        <v>7.26</v>
      </c>
    </row>
    <row r="7354" spans="1:8" ht="15" customHeight="1">
      <c r="A7354" s="58" t="s">
        <v>14526</v>
      </c>
      <c r="B7354" s="20" t="s">
        <v>14527</v>
      </c>
      <c r="C7354" s="58" t="s">
        <v>83</v>
      </c>
      <c r="D7354" s="58" t="s">
        <v>35042</v>
      </c>
      <c r="H7354">
        <f t="shared" si="209"/>
        <v>7.36</v>
      </c>
    </row>
    <row r="7355" spans="1:8" ht="15" customHeight="1">
      <c r="A7355" s="58" t="s">
        <v>14528</v>
      </c>
      <c r="B7355" s="20" t="s">
        <v>14529</v>
      </c>
      <c r="C7355" s="58" t="s">
        <v>1714</v>
      </c>
      <c r="D7355" s="58" t="s">
        <v>30730</v>
      </c>
      <c r="H7355">
        <f t="shared" si="209"/>
        <v>57.8</v>
      </c>
    </row>
    <row r="7356" spans="1:8" ht="15" customHeight="1">
      <c r="A7356" s="58" t="s">
        <v>14530</v>
      </c>
      <c r="B7356" s="20" t="s">
        <v>14531</v>
      </c>
      <c r="C7356" s="58" t="s">
        <v>1714</v>
      </c>
      <c r="D7356" s="58" t="s">
        <v>28125</v>
      </c>
      <c r="H7356">
        <f t="shared" si="209"/>
        <v>36.4</v>
      </c>
    </row>
    <row r="7357" spans="1:8" ht="15" customHeight="1">
      <c r="A7357" s="58" t="s">
        <v>14532</v>
      </c>
      <c r="B7357" s="20" t="s">
        <v>14533</v>
      </c>
      <c r="C7357" s="58" t="s">
        <v>1714</v>
      </c>
      <c r="D7357" s="58" t="s">
        <v>34059</v>
      </c>
      <c r="H7357">
        <f t="shared" si="209"/>
        <v>61.65</v>
      </c>
    </row>
    <row r="7358" spans="1:8" ht="15" customHeight="1">
      <c r="A7358" s="58" t="s">
        <v>14534</v>
      </c>
      <c r="B7358" s="20" t="s">
        <v>14535</v>
      </c>
      <c r="C7358" s="58" t="s">
        <v>1714</v>
      </c>
      <c r="D7358" s="58" t="s">
        <v>26314</v>
      </c>
      <c r="H7358">
        <f t="shared" si="209"/>
        <v>56.48</v>
      </c>
    </row>
    <row r="7359" spans="1:8" ht="15" customHeight="1">
      <c r="A7359" s="58" t="s">
        <v>14536</v>
      </c>
      <c r="B7359" s="20" t="s">
        <v>14537</v>
      </c>
      <c r="C7359" s="58" t="s">
        <v>1714</v>
      </c>
      <c r="D7359" s="58" t="s">
        <v>28056</v>
      </c>
      <c r="H7359">
        <f t="shared" si="209"/>
        <v>46.4</v>
      </c>
    </row>
    <row r="7360" spans="1:8" ht="15" customHeight="1">
      <c r="A7360" s="58" t="s">
        <v>14538</v>
      </c>
      <c r="B7360" s="20" t="s">
        <v>14539</v>
      </c>
      <c r="C7360" s="58" t="s">
        <v>1714</v>
      </c>
      <c r="D7360" s="58" t="s">
        <v>35043</v>
      </c>
      <c r="H7360">
        <f t="shared" si="209"/>
        <v>53.71</v>
      </c>
    </row>
    <row r="7361" spans="1:8" ht="15" customHeight="1">
      <c r="A7361" s="58" t="s">
        <v>14540</v>
      </c>
      <c r="B7361" s="20" t="s">
        <v>14541</v>
      </c>
      <c r="C7361" s="58" t="s">
        <v>1714</v>
      </c>
      <c r="D7361" s="58" t="s">
        <v>35044</v>
      </c>
      <c r="H7361">
        <f t="shared" si="209"/>
        <v>40.72</v>
      </c>
    </row>
    <row r="7362" spans="1:8" ht="15" customHeight="1">
      <c r="A7362" s="58" t="s">
        <v>14542</v>
      </c>
      <c r="B7362" s="20" t="s">
        <v>14543</v>
      </c>
      <c r="C7362" s="58" t="s">
        <v>1714</v>
      </c>
      <c r="D7362" s="58" t="s">
        <v>10106</v>
      </c>
      <c r="H7362">
        <f t="shared" si="209"/>
        <v>33.450000000000003</v>
      </c>
    </row>
    <row r="7363" spans="1:8" ht="15" customHeight="1">
      <c r="A7363" s="58" t="s">
        <v>14544</v>
      </c>
      <c r="B7363" s="20" t="s">
        <v>14545</v>
      </c>
      <c r="C7363" s="58" t="s">
        <v>1714</v>
      </c>
      <c r="D7363" s="58" t="s">
        <v>35045</v>
      </c>
      <c r="H7363">
        <f t="shared" si="209"/>
        <v>61.83</v>
      </c>
    </row>
    <row r="7364" spans="1:8" ht="15" customHeight="1">
      <c r="A7364" s="58" t="s">
        <v>14546</v>
      </c>
      <c r="B7364" s="20" t="s">
        <v>14547</v>
      </c>
      <c r="C7364" s="58" t="s">
        <v>1714</v>
      </c>
      <c r="D7364" s="58" t="s">
        <v>17530</v>
      </c>
      <c r="H7364">
        <f t="shared" si="209"/>
        <v>47.5</v>
      </c>
    </row>
    <row r="7365" spans="1:8" ht="15" customHeight="1">
      <c r="A7365" s="58" t="s">
        <v>14548</v>
      </c>
      <c r="B7365" s="20" t="s">
        <v>14549</v>
      </c>
      <c r="C7365" s="58" t="s">
        <v>1714</v>
      </c>
      <c r="D7365" s="58" t="s">
        <v>18484</v>
      </c>
      <c r="H7365">
        <f t="shared" ref="H7365:H7428" si="210">ROUND(D7365*(1+$H$1),2)</f>
        <v>36.31</v>
      </c>
    </row>
    <row r="7366" spans="1:8" ht="15" customHeight="1">
      <c r="A7366" s="58" t="s">
        <v>14550</v>
      </c>
      <c r="B7366" s="20" t="s">
        <v>14551</v>
      </c>
      <c r="C7366" s="58" t="s">
        <v>1714</v>
      </c>
      <c r="D7366" s="58" t="s">
        <v>35046</v>
      </c>
      <c r="H7366">
        <f t="shared" si="210"/>
        <v>29.54</v>
      </c>
    </row>
    <row r="7367" spans="1:8" ht="15" customHeight="1">
      <c r="A7367" s="58" t="s">
        <v>14552</v>
      </c>
      <c r="B7367" s="20" t="s">
        <v>14553</v>
      </c>
      <c r="C7367" s="58" t="s">
        <v>1714</v>
      </c>
      <c r="D7367" s="58" t="s">
        <v>33865</v>
      </c>
      <c r="H7367">
        <f t="shared" si="210"/>
        <v>24.72</v>
      </c>
    </row>
    <row r="7368" spans="1:8" ht="15" customHeight="1">
      <c r="A7368" s="58" t="s">
        <v>14554</v>
      </c>
      <c r="B7368" s="20" t="s">
        <v>14555</v>
      </c>
      <c r="C7368" s="58" t="s">
        <v>1714</v>
      </c>
      <c r="D7368" s="58" t="s">
        <v>10246</v>
      </c>
      <c r="H7368">
        <f t="shared" si="210"/>
        <v>22.61</v>
      </c>
    </row>
    <row r="7369" spans="1:8" ht="15" customHeight="1">
      <c r="A7369" s="58" t="s">
        <v>14556</v>
      </c>
      <c r="B7369" s="20" t="s">
        <v>14557</v>
      </c>
      <c r="C7369" s="58" t="s">
        <v>1714</v>
      </c>
      <c r="D7369" s="58" t="s">
        <v>9774</v>
      </c>
      <c r="H7369">
        <f t="shared" si="210"/>
        <v>50.61</v>
      </c>
    </row>
    <row r="7370" spans="1:8" ht="15" customHeight="1">
      <c r="A7370" s="58" t="s">
        <v>14558</v>
      </c>
      <c r="B7370" s="20" t="s">
        <v>14559</v>
      </c>
      <c r="C7370" s="58" t="s">
        <v>1714</v>
      </c>
      <c r="D7370" s="58" t="s">
        <v>30298</v>
      </c>
      <c r="H7370">
        <f t="shared" si="210"/>
        <v>40.159999999999997</v>
      </c>
    </row>
    <row r="7371" spans="1:8" ht="15" customHeight="1">
      <c r="A7371" s="58" t="s">
        <v>14560</v>
      </c>
      <c r="B7371" s="20" t="s">
        <v>14561</v>
      </c>
      <c r="C7371" s="58" t="s">
        <v>1714</v>
      </c>
      <c r="D7371" s="58" t="s">
        <v>9572</v>
      </c>
      <c r="H7371">
        <f t="shared" si="210"/>
        <v>34.47</v>
      </c>
    </row>
    <row r="7372" spans="1:8" ht="15" customHeight="1">
      <c r="A7372" s="58" t="s">
        <v>14562</v>
      </c>
      <c r="B7372" s="20" t="s">
        <v>14563</v>
      </c>
      <c r="C7372" s="58" t="s">
        <v>1714</v>
      </c>
      <c r="D7372" s="58" t="s">
        <v>33874</v>
      </c>
      <c r="H7372">
        <f t="shared" si="210"/>
        <v>26.82</v>
      </c>
    </row>
    <row r="7373" spans="1:8" ht="15" customHeight="1">
      <c r="A7373" s="58" t="s">
        <v>14564</v>
      </c>
      <c r="B7373" s="20" t="s">
        <v>14565</v>
      </c>
      <c r="C7373" s="58" t="s">
        <v>1714</v>
      </c>
      <c r="D7373" s="58" t="s">
        <v>33289</v>
      </c>
      <c r="H7373">
        <f t="shared" si="210"/>
        <v>38.6</v>
      </c>
    </row>
    <row r="7374" spans="1:8" ht="15" customHeight="1">
      <c r="A7374" s="58" t="s">
        <v>14566</v>
      </c>
      <c r="B7374" s="20" t="s">
        <v>14567</v>
      </c>
      <c r="C7374" s="58" t="s">
        <v>1714</v>
      </c>
      <c r="D7374" s="58" t="s">
        <v>25826</v>
      </c>
      <c r="H7374">
        <f t="shared" si="210"/>
        <v>27.62</v>
      </c>
    </row>
    <row r="7375" spans="1:8" ht="15" customHeight="1">
      <c r="A7375" s="58" t="s">
        <v>14568</v>
      </c>
      <c r="B7375" s="20" t="s">
        <v>14569</v>
      </c>
      <c r="C7375" s="58" t="s">
        <v>1714</v>
      </c>
      <c r="D7375" s="58" t="s">
        <v>12640</v>
      </c>
      <c r="H7375">
        <f t="shared" si="210"/>
        <v>24.5</v>
      </c>
    </row>
    <row r="7376" spans="1:8" ht="15" customHeight="1">
      <c r="A7376" s="58" t="s">
        <v>14570</v>
      </c>
      <c r="B7376" s="20" t="s">
        <v>14571</v>
      </c>
      <c r="C7376" s="58" t="s">
        <v>1714</v>
      </c>
      <c r="D7376" s="58" t="s">
        <v>30251</v>
      </c>
      <c r="H7376">
        <f t="shared" si="210"/>
        <v>21.84</v>
      </c>
    </row>
    <row r="7377" spans="1:8" ht="15" customHeight="1">
      <c r="A7377" s="58" t="s">
        <v>14572</v>
      </c>
      <c r="B7377" s="20" t="s">
        <v>14573</v>
      </c>
      <c r="C7377" s="58" t="s">
        <v>1714</v>
      </c>
      <c r="D7377" s="58" t="s">
        <v>10115</v>
      </c>
      <c r="H7377">
        <f t="shared" si="210"/>
        <v>17.899999999999999</v>
      </c>
    </row>
    <row r="7378" spans="1:8" ht="15" customHeight="1">
      <c r="A7378" s="58" t="s">
        <v>14574</v>
      </c>
      <c r="B7378" s="20" t="s">
        <v>14575</v>
      </c>
      <c r="C7378" s="58" t="s">
        <v>1714</v>
      </c>
      <c r="D7378" s="58" t="s">
        <v>16433</v>
      </c>
      <c r="H7378">
        <f t="shared" si="210"/>
        <v>15.23</v>
      </c>
    </row>
    <row r="7379" spans="1:8" ht="15" customHeight="1">
      <c r="A7379" s="58" t="s">
        <v>14576</v>
      </c>
      <c r="B7379" s="20" t="s">
        <v>14577</v>
      </c>
      <c r="C7379" s="58" t="s">
        <v>1714</v>
      </c>
      <c r="D7379" s="58" t="s">
        <v>35047</v>
      </c>
      <c r="H7379">
        <f t="shared" si="210"/>
        <v>90.5</v>
      </c>
    </row>
    <row r="7380" spans="1:8" ht="15" customHeight="1">
      <c r="A7380" s="58" t="s">
        <v>14578</v>
      </c>
      <c r="B7380" s="20" t="s">
        <v>14579</v>
      </c>
      <c r="C7380" s="58" t="s">
        <v>1714</v>
      </c>
      <c r="D7380" s="58" t="s">
        <v>35048</v>
      </c>
      <c r="H7380">
        <f t="shared" si="210"/>
        <v>65.36</v>
      </c>
    </row>
    <row r="7381" spans="1:8" ht="15" customHeight="1">
      <c r="A7381" s="58" t="s">
        <v>14580</v>
      </c>
      <c r="B7381" s="20" t="s">
        <v>16561</v>
      </c>
      <c r="C7381" s="58" t="s">
        <v>1714</v>
      </c>
      <c r="D7381" s="58" t="s">
        <v>35049</v>
      </c>
      <c r="H7381">
        <f t="shared" si="210"/>
        <v>48.86</v>
      </c>
    </row>
    <row r="7382" spans="1:8" ht="15" customHeight="1">
      <c r="A7382" s="58" t="s">
        <v>14581</v>
      </c>
      <c r="B7382" s="20" t="s">
        <v>14582</v>
      </c>
      <c r="C7382" s="58" t="s">
        <v>1714</v>
      </c>
      <c r="D7382" s="58" t="s">
        <v>28841</v>
      </c>
      <c r="H7382">
        <f t="shared" si="210"/>
        <v>50.7</v>
      </c>
    </row>
    <row r="7383" spans="1:8" ht="15" customHeight="1">
      <c r="A7383" s="58" t="s">
        <v>14583</v>
      </c>
      <c r="B7383" s="20" t="s">
        <v>14584</v>
      </c>
      <c r="C7383" s="58" t="s">
        <v>1714</v>
      </c>
      <c r="D7383" s="58" t="s">
        <v>35050</v>
      </c>
      <c r="H7383">
        <f t="shared" si="210"/>
        <v>262.77</v>
      </c>
    </row>
    <row r="7384" spans="1:8" ht="15" customHeight="1">
      <c r="A7384" s="58" t="s">
        <v>14585</v>
      </c>
      <c r="B7384" s="20" t="s">
        <v>14586</v>
      </c>
      <c r="C7384" s="58" t="s">
        <v>1714</v>
      </c>
      <c r="D7384" s="58" t="s">
        <v>35051</v>
      </c>
      <c r="H7384">
        <f t="shared" si="210"/>
        <v>201.71</v>
      </c>
    </row>
    <row r="7385" spans="1:8" ht="15" customHeight="1">
      <c r="A7385" s="58" t="s">
        <v>14587</v>
      </c>
      <c r="B7385" s="20" t="s">
        <v>14588</v>
      </c>
      <c r="C7385" s="58" t="s">
        <v>1714</v>
      </c>
      <c r="D7385" s="58" t="s">
        <v>35052</v>
      </c>
      <c r="H7385">
        <f t="shared" si="210"/>
        <v>181.7</v>
      </c>
    </row>
    <row r="7386" spans="1:8" ht="15" customHeight="1">
      <c r="A7386" s="58" t="s">
        <v>14589</v>
      </c>
      <c r="B7386" s="20" t="s">
        <v>14590</v>
      </c>
      <c r="C7386" s="58" t="s">
        <v>1714</v>
      </c>
      <c r="D7386" s="58" t="s">
        <v>28970</v>
      </c>
      <c r="H7386">
        <f t="shared" si="210"/>
        <v>133.04</v>
      </c>
    </row>
    <row r="7387" spans="1:8" ht="15" customHeight="1">
      <c r="A7387" s="58" t="s">
        <v>14591</v>
      </c>
      <c r="B7387" s="20" t="s">
        <v>14592</v>
      </c>
      <c r="C7387" s="58" t="s">
        <v>1714</v>
      </c>
      <c r="D7387" s="58" t="s">
        <v>35053</v>
      </c>
      <c r="H7387">
        <f t="shared" si="210"/>
        <v>115.11</v>
      </c>
    </row>
    <row r="7388" spans="1:8" ht="15" customHeight="1">
      <c r="A7388" s="58" t="s">
        <v>14593</v>
      </c>
      <c r="B7388" s="20" t="s">
        <v>14594</v>
      </c>
      <c r="C7388" s="58" t="s">
        <v>75</v>
      </c>
      <c r="D7388" s="58" t="s">
        <v>33546</v>
      </c>
      <c r="H7388">
        <f t="shared" si="210"/>
        <v>9.34</v>
      </c>
    </row>
    <row r="7389" spans="1:8" ht="15" customHeight="1">
      <c r="A7389" s="58" t="s">
        <v>14595</v>
      </c>
      <c r="B7389" s="20" t="s">
        <v>14596</v>
      </c>
      <c r="C7389" s="58" t="s">
        <v>75</v>
      </c>
      <c r="D7389" s="58" t="s">
        <v>28284</v>
      </c>
      <c r="H7389">
        <f t="shared" si="210"/>
        <v>106.28</v>
      </c>
    </row>
    <row r="7390" spans="1:8" ht="15" customHeight="1">
      <c r="A7390" s="58" t="s">
        <v>14597</v>
      </c>
      <c r="B7390" s="20" t="s">
        <v>14598</v>
      </c>
      <c r="C7390" s="58" t="s">
        <v>75</v>
      </c>
      <c r="D7390" s="58" t="s">
        <v>18902</v>
      </c>
      <c r="H7390">
        <f t="shared" si="210"/>
        <v>105.13</v>
      </c>
    </row>
    <row r="7391" spans="1:8" ht="15" customHeight="1">
      <c r="A7391" s="58" t="s">
        <v>14599</v>
      </c>
      <c r="B7391" s="20" t="s">
        <v>14600</v>
      </c>
      <c r="C7391" s="58" t="s">
        <v>75</v>
      </c>
      <c r="D7391" s="58" t="s">
        <v>35054</v>
      </c>
      <c r="H7391">
        <f t="shared" si="210"/>
        <v>105.71</v>
      </c>
    </row>
    <row r="7392" spans="1:8" ht="15" customHeight="1">
      <c r="A7392" s="58" t="s">
        <v>14602</v>
      </c>
      <c r="B7392" s="20" t="s">
        <v>14603</v>
      </c>
      <c r="C7392" s="58" t="s">
        <v>75</v>
      </c>
      <c r="D7392" s="58" t="s">
        <v>35055</v>
      </c>
      <c r="H7392">
        <f t="shared" si="210"/>
        <v>106.48</v>
      </c>
    </row>
    <row r="7393" spans="1:8" ht="15" customHeight="1">
      <c r="A7393" s="58" t="s">
        <v>14604</v>
      </c>
      <c r="B7393" s="20" t="s">
        <v>14605</v>
      </c>
      <c r="C7393" s="58" t="s">
        <v>75</v>
      </c>
      <c r="D7393" s="58" t="s">
        <v>15612</v>
      </c>
      <c r="H7393">
        <f t="shared" si="210"/>
        <v>95.62</v>
      </c>
    </row>
    <row r="7394" spans="1:8" ht="15" customHeight="1">
      <c r="A7394" s="58" t="s">
        <v>14606</v>
      </c>
      <c r="B7394" s="20" t="s">
        <v>14607</v>
      </c>
      <c r="C7394" s="58" t="s">
        <v>75</v>
      </c>
      <c r="D7394" s="58" t="s">
        <v>35056</v>
      </c>
      <c r="H7394">
        <f t="shared" si="210"/>
        <v>96.19</v>
      </c>
    </row>
    <row r="7395" spans="1:8" ht="15" customHeight="1">
      <c r="A7395" s="58" t="s">
        <v>14608</v>
      </c>
      <c r="B7395" s="20" t="s">
        <v>14609</v>
      </c>
      <c r="C7395" s="58" t="s">
        <v>75</v>
      </c>
      <c r="D7395" s="58" t="s">
        <v>35057</v>
      </c>
      <c r="H7395">
        <f t="shared" si="210"/>
        <v>189.08</v>
      </c>
    </row>
    <row r="7396" spans="1:8" ht="15" customHeight="1">
      <c r="A7396" s="58" t="s">
        <v>14610</v>
      </c>
      <c r="B7396" s="20" t="s">
        <v>14611</v>
      </c>
      <c r="C7396" s="58" t="s">
        <v>75</v>
      </c>
      <c r="D7396" s="58" t="s">
        <v>35058</v>
      </c>
      <c r="H7396">
        <f t="shared" si="210"/>
        <v>143.56</v>
      </c>
    </row>
    <row r="7397" spans="1:8" ht="15" customHeight="1">
      <c r="A7397" s="58" t="s">
        <v>14612</v>
      </c>
      <c r="B7397" s="20" t="s">
        <v>14613</v>
      </c>
      <c r="C7397" s="58" t="s">
        <v>75</v>
      </c>
      <c r="D7397" s="58" t="s">
        <v>35059</v>
      </c>
      <c r="H7397">
        <f t="shared" si="210"/>
        <v>145</v>
      </c>
    </row>
    <row r="7398" spans="1:8" ht="15" customHeight="1">
      <c r="A7398" s="58" t="s">
        <v>14614</v>
      </c>
      <c r="B7398" s="20" t="s">
        <v>14615</v>
      </c>
      <c r="C7398" s="58" t="s">
        <v>75</v>
      </c>
      <c r="D7398" s="58" t="s">
        <v>29069</v>
      </c>
      <c r="H7398">
        <f t="shared" si="210"/>
        <v>84.08</v>
      </c>
    </row>
    <row r="7399" spans="1:8" ht="15" customHeight="1">
      <c r="A7399" s="58" t="s">
        <v>14616</v>
      </c>
      <c r="B7399" s="20" t="s">
        <v>14617</v>
      </c>
      <c r="C7399" s="58" t="s">
        <v>75</v>
      </c>
      <c r="D7399" s="58" t="s">
        <v>35060</v>
      </c>
      <c r="H7399">
        <f t="shared" si="210"/>
        <v>104.97</v>
      </c>
    </row>
    <row r="7400" spans="1:8" ht="15" customHeight="1">
      <c r="A7400" s="58" t="s">
        <v>14618</v>
      </c>
      <c r="B7400" s="20" t="s">
        <v>14619</v>
      </c>
      <c r="C7400" s="58" t="s">
        <v>75</v>
      </c>
      <c r="D7400" s="58" t="s">
        <v>10399</v>
      </c>
      <c r="H7400">
        <f t="shared" si="210"/>
        <v>64.09</v>
      </c>
    </row>
    <row r="7401" spans="1:8" ht="15" customHeight="1">
      <c r="A7401" s="58" t="s">
        <v>14620</v>
      </c>
      <c r="B7401" s="20" t="s">
        <v>14621</v>
      </c>
      <c r="C7401" s="58" t="s">
        <v>75</v>
      </c>
      <c r="D7401" s="58" t="s">
        <v>35061</v>
      </c>
      <c r="H7401">
        <f t="shared" si="210"/>
        <v>62.65</v>
      </c>
    </row>
    <row r="7402" spans="1:8" ht="15" customHeight="1">
      <c r="A7402" s="58" t="s">
        <v>14622</v>
      </c>
      <c r="B7402" s="20" t="s">
        <v>14623</v>
      </c>
      <c r="C7402" s="58" t="s">
        <v>75</v>
      </c>
      <c r="D7402" s="58" t="s">
        <v>35062</v>
      </c>
      <c r="H7402">
        <f t="shared" si="210"/>
        <v>63.23</v>
      </c>
    </row>
    <row r="7403" spans="1:8" ht="15" customHeight="1">
      <c r="A7403" s="58" t="s">
        <v>14624</v>
      </c>
      <c r="B7403" s="20" t="s">
        <v>14625</v>
      </c>
      <c r="C7403" s="58" t="s">
        <v>75</v>
      </c>
      <c r="D7403" s="58" t="s">
        <v>10399</v>
      </c>
      <c r="H7403">
        <f t="shared" si="210"/>
        <v>64.09</v>
      </c>
    </row>
    <row r="7404" spans="1:8" ht="15" customHeight="1">
      <c r="A7404" s="58" t="s">
        <v>14626</v>
      </c>
      <c r="B7404" s="20" t="s">
        <v>30255</v>
      </c>
      <c r="C7404" s="58" t="s">
        <v>73</v>
      </c>
      <c r="D7404" s="58" t="s">
        <v>35063</v>
      </c>
      <c r="H7404">
        <f t="shared" si="210"/>
        <v>291.94</v>
      </c>
    </row>
    <row r="7405" spans="1:8" ht="15" customHeight="1">
      <c r="A7405" s="58" t="s">
        <v>14627</v>
      </c>
      <c r="B7405" s="20" t="s">
        <v>30256</v>
      </c>
      <c r="C7405" s="58" t="s">
        <v>73</v>
      </c>
      <c r="D7405" s="58" t="s">
        <v>30711</v>
      </c>
      <c r="H7405">
        <f t="shared" si="210"/>
        <v>307.41000000000003</v>
      </c>
    </row>
    <row r="7406" spans="1:8" ht="15" customHeight="1">
      <c r="A7406" s="58" t="s">
        <v>14628</v>
      </c>
      <c r="B7406" s="20" t="s">
        <v>30257</v>
      </c>
      <c r="C7406" s="58" t="s">
        <v>73</v>
      </c>
      <c r="D7406" s="58" t="s">
        <v>35064</v>
      </c>
      <c r="H7406">
        <f t="shared" si="210"/>
        <v>335.84</v>
      </c>
    </row>
    <row r="7407" spans="1:8" ht="15" customHeight="1">
      <c r="A7407" s="58" t="s">
        <v>7925</v>
      </c>
      <c r="B7407" s="20" t="s">
        <v>30258</v>
      </c>
      <c r="C7407" s="58" t="s">
        <v>114</v>
      </c>
      <c r="D7407" s="58" t="s">
        <v>33337</v>
      </c>
      <c r="H7407">
        <f t="shared" si="210"/>
        <v>69.73</v>
      </c>
    </row>
    <row r="7408" spans="1:8" ht="15" customHeight="1">
      <c r="A7408" s="58" t="s">
        <v>7926</v>
      </c>
      <c r="B7408" s="20" t="s">
        <v>30259</v>
      </c>
      <c r="C7408" s="58" t="s">
        <v>114</v>
      </c>
      <c r="D7408" s="58" t="s">
        <v>35065</v>
      </c>
      <c r="H7408">
        <f t="shared" si="210"/>
        <v>121.6</v>
      </c>
    </row>
    <row r="7409" spans="1:8" ht="15" customHeight="1">
      <c r="A7409" s="58" t="s">
        <v>7927</v>
      </c>
      <c r="B7409" s="20" t="s">
        <v>30260</v>
      </c>
      <c r="C7409" s="58" t="s">
        <v>114</v>
      </c>
      <c r="D7409" s="58" t="s">
        <v>35066</v>
      </c>
      <c r="H7409">
        <f t="shared" si="210"/>
        <v>212.59</v>
      </c>
    </row>
    <row r="7410" spans="1:8" ht="15" customHeight="1">
      <c r="A7410" s="58" t="s">
        <v>7928</v>
      </c>
      <c r="B7410" s="20" t="s">
        <v>30261</v>
      </c>
      <c r="C7410" s="58" t="s">
        <v>114</v>
      </c>
      <c r="D7410" s="58" t="s">
        <v>35067</v>
      </c>
      <c r="H7410">
        <f t="shared" si="210"/>
        <v>434.95</v>
      </c>
    </row>
    <row r="7411" spans="1:8" ht="15" customHeight="1">
      <c r="A7411" s="58" t="s">
        <v>7929</v>
      </c>
      <c r="B7411" s="20" t="s">
        <v>30262</v>
      </c>
      <c r="C7411" s="58" t="s">
        <v>73</v>
      </c>
      <c r="D7411" s="58" t="s">
        <v>21226</v>
      </c>
      <c r="H7411">
        <f t="shared" si="210"/>
        <v>5.38</v>
      </c>
    </row>
    <row r="7412" spans="1:8" ht="15" customHeight="1">
      <c r="A7412" s="58" t="s">
        <v>7930</v>
      </c>
      <c r="B7412" s="20" t="s">
        <v>30263</v>
      </c>
      <c r="C7412" s="58" t="s">
        <v>73</v>
      </c>
      <c r="D7412" s="58" t="s">
        <v>10042</v>
      </c>
      <c r="H7412">
        <f t="shared" si="210"/>
        <v>7.82</v>
      </c>
    </row>
    <row r="7413" spans="1:8" ht="15" customHeight="1">
      <c r="A7413" s="58" t="s">
        <v>7931</v>
      </c>
      <c r="B7413" s="20" t="s">
        <v>30264</v>
      </c>
      <c r="C7413" s="58" t="s">
        <v>73</v>
      </c>
      <c r="D7413" s="58" t="s">
        <v>6902</v>
      </c>
      <c r="H7413">
        <f t="shared" si="210"/>
        <v>0.49</v>
      </c>
    </row>
    <row r="7414" spans="1:8" ht="15" customHeight="1">
      <c r="A7414" s="58" t="s">
        <v>7932</v>
      </c>
      <c r="B7414" s="20" t="s">
        <v>7933</v>
      </c>
      <c r="C7414" s="58" t="s">
        <v>75</v>
      </c>
      <c r="D7414" s="58" t="s">
        <v>35068</v>
      </c>
      <c r="H7414">
        <f t="shared" si="210"/>
        <v>230.72</v>
      </c>
    </row>
    <row r="7415" spans="1:8" ht="15" customHeight="1">
      <c r="A7415" s="58" t="s">
        <v>7934</v>
      </c>
      <c r="B7415" s="20" t="s">
        <v>30265</v>
      </c>
      <c r="C7415" s="58" t="s">
        <v>73</v>
      </c>
      <c r="D7415" s="58" t="s">
        <v>4599</v>
      </c>
      <c r="H7415">
        <f t="shared" si="210"/>
        <v>6.77</v>
      </c>
    </row>
    <row r="7416" spans="1:8" ht="15" customHeight="1">
      <c r="A7416" s="58" t="s">
        <v>30266</v>
      </c>
      <c r="B7416" s="20" t="s">
        <v>30267</v>
      </c>
      <c r="C7416" s="58" t="s">
        <v>73</v>
      </c>
      <c r="D7416" s="58" t="s">
        <v>4110</v>
      </c>
      <c r="H7416">
        <f t="shared" si="210"/>
        <v>5.34</v>
      </c>
    </row>
    <row r="7417" spans="1:8" ht="15" customHeight="1">
      <c r="A7417" s="58" t="s">
        <v>7935</v>
      </c>
      <c r="B7417" s="20" t="s">
        <v>30268</v>
      </c>
      <c r="C7417" s="58" t="s">
        <v>73</v>
      </c>
      <c r="D7417" s="58" t="s">
        <v>10742</v>
      </c>
      <c r="H7417">
        <f t="shared" si="210"/>
        <v>29.57</v>
      </c>
    </row>
    <row r="7418" spans="1:8" ht="15" customHeight="1">
      <c r="A7418" s="58" t="s">
        <v>7936</v>
      </c>
      <c r="B7418" s="20" t="s">
        <v>30269</v>
      </c>
      <c r="C7418" s="58" t="s">
        <v>73</v>
      </c>
      <c r="D7418" s="58" t="s">
        <v>7276</v>
      </c>
      <c r="H7418">
        <f t="shared" si="210"/>
        <v>18.559999999999999</v>
      </c>
    </row>
    <row r="7419" spans="1:8" ht="15" customHeight="1">
      <c r="A7419" s="58" t="s">
        <v>7937</v>
      </c>
      <c r="B7419" s="20" t="s">
        <v>30270</v>
      </c>
      <c r="C7419" s="58" t="s">
        <v>73</v>
      </c>
      <c r="D7419" s="58" t="s">
        <v>35069</v>
      </c>
      <c r="H7419">
        <f t="shared" si="210"/>
        <v>104.72</v>
      </c>
    </row>
    <row r="7420" spans="1:8" ht="15" customHeight="1">
      <c r="A7420" s="58" t="s">
        <v>26934</v>
      </c>
      <c r="B7420" s="20" t="s">
        <v>30271</v>
      </c>
      <c r="C7420" s="58" t="s">
        <v>73</v>
      </c>
      <c r="D7420" s="58" t="s">
        <v>35070</v>
      </c>
      <c r="H7420">
        <f t="shared" si="210"/>
        <v>23.87</v>
      </c>
    </row>
    <row r="7421" spans="1:8" ht="15" customHeight="1">
      <c r="A7421" s="58" t="s">
        <v>30272</v>
      </c>
      <c r="B7421" s="20" t="s">
        <v>30273</v>
      </c>
      <c r="C7421" s="58" t="s">
        <v>75</v>
      </c>
      <c r="D7421" s="58" t="s">
        <v>35071</v>
      </c>
      <c r="H7421">
        <f t="shared" si="210"/>
        <v>2451.56</v>
      </c>
    </row>
    <row r="7422" spans="1:8" ht="15" customHeight="1">
      <c r="A7422" s="58" t="s">
        <v>30274</v>
      </c>
      <c r="B7422" s="20" t="s">
        <v>30275</v>
      </c>
      <c r="C7422" s="58" t="s">
        <v>75</v>
      </c>
      <c r="D7422" s="58" t="s">
        <v>35072</v>
      </c>
      <c r="H7422">
        <f t="shared" si="210"/>
        <v>2500.9299999999998</v>
      </c>
    </row>
    <row r="7423" spans="1:8" ht="15" customHeight="1">
      <c r="A7423" s="58" t="s">
        <v>30276</v>
      </c>
      <c r="B7423" s="20" t="s">
        <v>30277</v>
      </c>
      <c r="C7423" s="58" t="s">
        <v>114</v>
      </c>
      <c r="D7423" s="58" t="s">
        <v>35073</v>
      </c>
      <c r="H7423">
        <f t="shared" si="210"/>
        <v>961.68</v>
      </c>
    </row>
    <row r="7424" spans="1:8" ht="15" customHeight="1">
      <c r="A7424" s="58" t="s">
        <v>30278</v>
      </c>
      <c r="B7424" s="20" t="s">
        <v>30279</v>
      </c>
      <c r="C7424" s="58" t="s">
        <v>114</v>
      </c>
      <c r="D7424" s="58" t="s">
        <v>35074</v>
      </c>
      <c r="H7424">
        <f t="shared" si="210"/>
        <v>1606.61</v>
      </c>
    </row>
    <row r="7425" spans="1:8" ht="15" customHeight="1">
      <c r="A7425" s="58" t="s">
        <v>30280</v>
      </c>
      <c r="B7425" s="20" t="s">
        <v>30281</v>
      </c>
      <c r="C7425" s="58" t="s">
        <v>73</v>
      </c>
      <c r="D7425" s="58" t="s">
        <v>35075</v>
      </c>
      <c r="H7425">
        <f t="shared" si="210"/>
        <v>163.62</v>
      </c>
    </row>
    <row r="7426" spans="1:8" ht="15" customHeight="1">
      <c r="A7426" s="58" t="s">
        <v>30282</v>
      </c>
      <c r="B7426" s="20" t="s">
        <v>30283</v>
      </c>
      <c r="C7426" s="58" t="s">
        <v>73</v>
      </c>
      <c r="D7426" s="58" t="s">
        <v>35076</v>
      </c>
      <c r="H7426">
        <f t="shared" si="210"/>
        <v>283.04000000000002</v>
      </c>
    </row>
    <row r="7427" spans="1:8" ht="15" customHeight="1">
      <c r="A7427" s="58" t="s">
        <v>26935</v>
      </c>
      <c r="B7427" s="20" t="s">
        <v>26936</v>
      </c>
      <c r="C7427" s="58" t="s">
        <v>114</v>
      </c>
      <c r="D7427" s="58" t="s">
        <v>35077</v>
      </c>
      <c r="H7427">
        <f t="shared" si="210"/>
        <v>8221.34</v>
      </c>
    </row>
    <row r="7428" spans="1:8" ht="15" customHeight="1">
      <c r="A7428" s="58" t="s">
        <v>26937</v>
      </c>
      <c r="B7428" s="20" t="s">
        <v>26938</v>
      </c>
      <c r="C7428" s="58" t="s">
        <v>114</v>
      </c>
      <c r="D7428" s="58" t="s">
        <v>35078</v>
      </c>
      <c r="H7428">
        <f t="shared" si="210"/>
        <v>8652.6200000000008</v>
      </c>
    </row>
    <row r="7429" spans="1:8" ht="15" customHeight="1">
      <c r="A7429" s="58" t="s">
        <v>26939</v>
      </c>
      <c r="B7429" s="20" t="s">
        <v>26940</v>
      </c>
      <c r="C7429" s="58" t="s">
        <v>114</v>
      </c>
      <c r="D7429" s="58" t="s">
        <v>35079</v>
      </c>
      <c r="H7429">
        <f t="shared" ref="H7429:H7492" si="211">ROUND(D7429*(1+$H$1),2)</f>
        <v>6513.53</v>
      </c>
    </row>
    <row r="7430" spans="1:8" ht="15" customHeight="1">
      <c r="A7430" s="58" t="s">
        <v>26941</v>
      </c>
      <c r="B7430" s="20" t="s">
        <v>26942</v>
      </c>
      <c r="C7430" s="58" t="s">
        <v>114</v>
      </c>
      <c r="D7430" s="58" t="s">
        <v>35080</v>
      </c>
      <c r="H7430">
        <f t="shared" si="211"/>
        <v>6997.69</v>
      </c>
    </row>
    <row r="7431" spans="1:8" ht="15" customHeight="1">
      <c r="A7431" s="58" t="s">
        <v>26943</v>
      </c>
      <c r="B7431" s="20" t="s">
        <v>26944</v>
      </c>
      <c r="C7431" s="58" t="s">
        <v>114</v>
      </c>
      <c r="D7431" s="58" t="s">
        <v>35081</v>
      </c>
      <c r="H7431">
        <f t="shared" si="211"/>
        <v>3509.87</v>
      </c>
    </row>
    <row r="7432" spans="1:8" ht="15" customHeight="1">
      <c r="A7432" s="58" t="s">
        <v>26945</v>
      </c>
      <c r="B7432" s="20" t="s">
        <v>26946</v>
      </c>
      <c r="C7432" s="58" t="s">
        <v>114</v>
      </c>
      <c r="D7432" s="58" t="s">
        <v>35082</v>
      </c>
      <c r="H7432">
        <f t="shared" si="211"/>
        <v>5458.97</v>
      </c>
    </row>
    <row r="7433" spans="1:8" ht="15" customHeight="1">
      <c r="A7433" s="58" t="s">
        <v>26947</v>
      </c>
      <c r="B7433" s="20" t="s">
        <v>26948</v>
      </c>
      <c r="C7433" s="58" t="s">
        <v>114</v>
      </c>
      <c r="D7433" s="58" t="s">
        <v>35083</v>
      </c>
      <c r="H7433">
        <f t="shared" si="211"/>
        <v>3187.17</v>
      </c>
    </row>
    <row r="7434" spans="1:8" ht="15" customHeight="1">
      <c r="A7434" s="58" t="s">
        <v>26949</v>
      </c>
      <c r="B7434" s="20" t="s">
        <v>26950</v>
      </c>
      <c r="C7434" s="58" t="s">
        <v>114</v>
      </c>
      <c r="D7434" s="58" t="s">
        <v>35084</v>
      </c>
      <c r="H7434">
        <f t="shared" si="211"/>
        <v>3391.89</v>
      </c>
    </row>
    <row r="7435" spans="1:8" ht="15" customHeight="1">
      <c r="A7435" s="58" t="s">
        <v>26951</v>
      </c>
      <c r="B7435" s="20" t="s">
        <v>26952</v>
      </c>
      <c r="C7435" s="58" t="s">
        <v>114</v>
      </c>
      <c r="D7435" s="58" t="s">
        <v>35085</v>
      </c>
      <c r="H7435">
        <f t="shared" si="211"/>
        <v>2617.35</v>
      </c>
    </row>
    <row r="7436" spans="1:8" ht="15" customHeight="1">
      <c r="A7436" s="58" t="s">
        <v>26953</v>
      </c>
      <c r="B7436" s="20" t="s">
        <v>26954</v>
      </c>
      <c r="C7436" s="58" t="s">
        <v>114</v>
      </c>
      <c r="D7436" s="58" t="s">
        <v>35086</v>
      </c>
      <c r="H7436">
        <f t="shared" si="211"/>
        <v>3760.59</v>
      </c>
    </row>
    <row r="7437" spans="1:8" ht="15" customHeight="1">
      <c r="A7437" s="58" t="s">
        <v>26955</v>
      </c>
      <c r="B7437" s="20" t="s">
        <v>26956</v>
      </c>
      <c r="C7437" s="58" t="s">
        <v>114</v>
      </c>
      <c r="D7437" s="58" t="s">
        <v>35087</v>
      </c>
      <c r="H7437">
        <f t="shared" si="211"/>
        <v>2939.68</v>
      </c>
    </row>
    <row r="7438" spans="1:8" ht="15" customHeight="1">
      <c r="A7438" s="58" t="s">
        <v>26957</v>
      </c>
      <c r="B7438" s="20" t="s">
        <v>26958</v>
      </c>
      <c r="C7438" s="58" t="s">
        <v>114</v>
      </c>
      <c r="D7438" s="58" t="s">
        <v>35088</v>
      </c>
      <c r="H7438">
        <f t="shared" si="211"/>
        <v>5482</v>
      </c>
    </row>
    <row r="7439" spans="1:8" ht="15" customHeight="1">
      <c r="A7439" s="58" t="s">
        <v>26959</v>
      </c>
      <c r="B7439" s="20" t="s">
        <v>26960</v>
      </c>
      <c r="C7439" s="58" t="s">
        <v>114</v>
      </c>
      <c r="D7439" s="58" t="s">
        <v>35089</v>
      </c>
      <c r="H7439">
        <f t="shared" si="211"/>
        <v>3210.18</v>
      </c>
    </row>
    <row r="7440" spans="1:8" ht="15" customHeight="1">
      <c r="A7440" s="58" t="s">
        <v>26961</v>
      </c>
      <c r="B7440" s="20" t="s">
        <v>26962</v>
      </c>
      <c r="C7440" s="58" t="s">
        <v>114</v>
      </c>
      <c r="D7440" s="58" t="s">
        <v>35090</v>
      </c>
      <c r="H7440">
        <f t="shared" si="211"/>
        <v>3414.9</v>
      </c>
    </row>
    <row r="7441" spans="1:8" ht="15" customHeight="1">
      <c r="A7441" s="58" t="s">
        <v>26963</v>
      </c>
      <c r="B7441" s="20" t="s">
        <v>26964</v>
      </c>
      <c r="C7441" s="58" t="s">
        <v>114</v>
      </c>
      <c r="D7441" s="58" t="s">
        <v>35091</v>
      </c>
      <c r="H7441">
        <f t="shared" si="211"/>
        <v>2640.36</v>
      </c>
    </row>
    <row r="7442" spans="1:8" ht="15" customHeight="1">
      <c r="A7442" s="58" t="s">
        <v>26965</v>
      </c>
      <c r="B7442" s="20" t="s">
        <v>26966</v>
      </c>
      <c r="C7442" s="58" t="s">
        <v>114</v>
      </c>
      <c r="D7442" s="58" t="s">
        <v>35092</v>
      </c>
      <c r="H7442">
        <f t="shared" si="211"/>
        <v>3783.61</v>
      </c>
    </row>
    <row r="7443" spans="1:8" ht="15" customHeight="1">
      <c r="A7443" s="58" t="s">
        <v>26967</v>
      </c>
      <c r="B7443" s="20" t="s">
        <v>26968</v>
      </c>
      <c r="C7443" s="58" t="s">
        <v>114</v>
      </c>
      <c r="D7443" s="58" t="s">
        <v>35093</v>
      </c>
      <c r="H7443">
        <f t="shared" si="211"/>
        <v>3097.68</v>
      </c>
    </row>
    <row r="7444" spans="1:8" ht="15" customHeight="1">
      <c r="A7444" s="58" t="s">
        <v>26969</v>
      </c>
      <c r="B7444" s="20" t="s">
        <v>26970</v>
      </c>
      <c r="C7444" s="58" t="s">
        <v>114</v>
      </c>
      <c r="D7444" s="58" t="s">
        <v>35094</v>
      </c>
      <c r="H7444">
        <f t="shared" si="211"/>
        <v>1670.37</v>
      </c>
    </row>
    <row r="7445" spans="1:8" ht="15" customHeight="1">
      <c r="A7445" s="58" t="s">
        <v>26971</v>
      </c>
      <c r="B7445" s="20" t="s">
        <v>26972</v>
      </c>
      <c r="C7445" s="58" t="s">
        <v>114</v>
      </c>
      <c r="D7445" s="58" t="s">
        <v>35095</v>
      </c>
      <c r="H7445">
        <f t="shared" si="211"/>
        <v>1798.02</v>
      </c>
    </row>
    <row r="7446" spans="1:8" ht="15" customHeight="1">
      <c r="A7446" s="58" t="s">
        <v>26973</v>
      </c>
      <c r="B7446" s="20" t="s">
        <v>26974</v>
      </c>
      <c r="C7446" s="58" t="s">
        <v>114</v>
      </c>
      <c r="D7446" s="58" t="s">
        <v>35096</v>
      </c>
      <c r="H7446">
        <f t="shared" si="211"/>
        <v>1721.62</v>
      </c>
    </row>
    <row r="7447" spans="1:8" ht="15" customHeight="1">
      <c r="A7447" s="58" t="s">
        <v>26975</v>
      </c>
      <c r="B7447" s="20" t="s">
        <v>26976</v>
      </c>
      <c r="C7447" s="58" t="s">
        <v>73</v>
      </c>
      <c r="D7447" s="58" t="s">
        <v>35097</v>
      </c>
      <c r="H7447">
        <f t="shared" si="211"/>
        <v>371.83</v>
      </c>
    </row>
    <row r="7448" spans="1:8" ht="15" customHeight="1">
      <c r="A7448" s="58" t="s">
        <v>26977</v>
      </c>
      <c r="B7448" s="20" t="s">
        <v>26978</v>
      </c>
      <c r="C7448" s="58" t="s">
        <v>73</v>
      </c>
      <c r="D7448" s="58" t="s">
        <v>35098</v>
      </c>
      <c r="H7448">
        <f t="shared" si="211"/>
        <v>358.88</v>
      </c>
    </row>
    <row r="7449" spans="1:8" ht="15" customHeight="1">
      <c r="A7449" s="58" t="s">
        <v>26979</v>
      </c>
      <c r="B7449" s="20" t="s">
        <v>26980</v>
      </c>
      <c r="C7449" s="58" t="s">
        <v>114</v>
      </c>
      <c r="D7449" s="58" t="s">
        <v>35099</v>
      </c>
      <c r="H7449">
        <f t="shared" si="211"/>
        <v>5581.64</v>
      </c>
    </row>
    <row r="7450" spans="1:8" ht="15" customHeight="1">
      <c r="A7450" s="58" t="s">
        <v>7938</v>
      </c>
      <c r="B7450" s="20" t="s">
        <v>30284</v>
      </c>
      <c r="C7450" s="58" t="s">
        <v>73</v>
      </c>
      <c r="D7450" s="58" t="s">
        <v>26401</v>
      </c>
      <c r="H7450">
        <f t="shared" si="211"/>
        <v>0.95</v>
      </c>
    </row>
    <row r="7451" spans="1:8" ht="15" customHeight="1">
      <c r="A7451" s="58" t="s">
        <v>7939</v>
      </c>
      <c r="B7451" s="20" t="s">
        <v>30285</v>
      </c>
      <c r="C7451" s="58" t="s">
        <v>114</v>
      </c>
      <c r="D7451" s="58" t="s">
        <v>35100</v>
      </c>
      <c r="H7451">
        <f t="shared" si="211"/>
        <v>191.55</v>
      </c>
    </row>
    <row r="7452" spans="1:8" ht="15" customHeight="1">
      <c r="A7452" s="58" t="s">
        <v>7940</v>
      </c>
      <c r="B7452" s="20" t="s">
        <v>30287</v>
      </c>
      <c r="C7452" s="58" t="s">
        <v>114</v>
      </c>
      <c r="D7452" s="58" t="s">
        <v>28075</v>
      </c>
      <c r="H7452">
        <f t="shared" si="211"/>
        <v>317.89</v>
      </c>
    </row>
    <row r="7453" spans="1:8" ht="15" customHeight="1">
      <c r="A7453" s="58" t="s">
        <v>7941</v>
      </c>
      <c r="B7453" s="20" t="s">
        <v>30288</v>
      </c>
      <c r="C7453" s="58" t="s">
        <v>114</v>
      </c>
      <c r="D7453" s="58" t="s">
        <v>28527</v>
      </c>
      <c r="H7453">
        <f t="shared" si="211"/>
        <v>419</v>
      </c>
    </row>
    <row r="7454" spans="1:8" ht="15" customHeight="1">
      <c r="A7454" s="58" t="s">
        <v>7942</v>
      </c>
      <c r="B7454" s="20" t="s">
        <v>30289</v>
      </c>
      <c r="C7454" s="58" t="s">
        <v>114</v>
      </c>
      <c r="D7454" s="58" t="s">
        <v>28842</v>
      </c>
      <c r="H7454">
        <f t="shared" si="211"/>
        <v>108.33</v>
      </c>
    </row>
    <row r="7455" spans="1:8" ht="15" customHeight="1">
      <c r="A7455" s="58" t="s">
        <v>7943</v>
      </c>
      <c r="B7455" s="20" t="s">
        <v>30291</v>
      </c>
      <c r="C7455" s="58" t="s">
        <v>114</v>
      </c>
      <c r="D7455" s="58" t="s">
        <v>35101</v>
      </c>
      <c r="H7455">
        <f t="shared" si="211"/>
        <v>212.63</v>
      </c>
    </row>
    <row r="7456" spans="1:8" ht="15" customHeight="1">
      <c r="A7456" s="58" t="s">
        <v>7944</v>
      </c>
      <c r="B7456" s="20" t="s">
        <v>30292</v>
      </c>
      <c r="C7456" s="58" t="s">
        <v>114</v>
      </c>
      <c r="D7456" s="58" t="s">
        <v>35102</v>
      </c>
      <c r="H7456">
        <f t="shared" si="211"/>
        <v>570.58000000000004</v>
      </c>
    </row>
    <row r="7457" spans="1:8" ht="15" customHeight="1">
      <c r="A7457" s="58" t="s">
        <v>7945</v>
      </c>
      <c r="B7457" s="20" t="s">
        <v>30293</v>
      </c>
      <c r="C7457" s="58" t="s">
        <v>114</v>
      </c>
      <c r="D7457" s="58" t="s">
        <v>10700</v>
      </c>
      <c r="H7457">
        <f t="shared" si="211"/>
        <v>42.57</v>
      </c>
    </row>
    <row r="7458" spans="1:8" ht="15" customHeight="1">
      <c r="A7458" s="58" t="s">
        <v>7946</v>
      </c>
      <c r="B7458" s="20" t="s">
        <v>30294</v>
      </c>
      <c r="C7458" s="58" t="s">
        <v>114</v>
      </c>
      <c r="D7458" s="58" t="s">
        <v>15410</v>
      </c>
      <c r="H7458">
        <f t="shared" si="211"/>
        <v>162.35</v>
      </c>
    </row>
    <row r="7459" spans="1:8" ht="15" customHeight="1">
      <c r="A7459" s="58" t="s">
        <v>7947</v>
      </c>
      <c r="B7459" s="20" t="s">
        <v>30295</v>
      </c>
      <c r="C7459" s="58" t="s">
        <v>114</v>
      </c>
      <c r="D7459" s="58" t="s">
        <v>35103</v>
      </c>
      <c r="H7459">
        <f t="shared" si="211"/>
        <v>448.69</v>
      </c>
    </row>
    <row r="7460" spans="1:8" ht="15" customHeight="1">
      <c r="A7460" s="58" t="s">
        <v>7948</v>
      </c>
      <c r="B7460" s="20" t="s">
        <v>30296</v>
      </c>
      <c r="C7460" s="58" t="s">
        <v>114</v>
      </c>
      <c r="D7460" s="58" t="s">
        <v>35104</v>
      </c>
      <c r="H7460">
        <f t="shared" si="211"/>
        <v>944.54</v>
      </c>
    </row>
    <row r="7461" spans="1:8" ht="15" customHeight="1">
      <c r="A7461" s="58" t="s">
        <v>7015</v>
      </c>
      <c r="B7461" s="20" t="s">
        <v>2683</v>
      </c>
      <c r="C7461" s="58" t="s">
        <v>109</v>
      </c>
      <c r="D7461" s="58" t="s">
        <v>11440</v>
      </c>
      <c r="H7461">
        <f t="shared" si="211"/>
        <v>34.46</v>
      </c>
    </row>
    <row r="7462" spans="1:8" ht="15" customHeight="1">
      <c r="A7462" s="58" t="s">
        <v>7016</v>
      </c>
      <c r="B7462" s="20" t="s">
        <v>2684</v>
      </c>
      <c r="C7462" s="58" t="s">
        <v>109</v>
      </c>
      <c r="D7462" s="58" t="s">
        <v>23969</v>
      </c>
      <c r="H7462">
        <f t="shared" si="211"/>
        <v>34.369999999999997</v>
      </c>
    </row>
    <row r="7463" spans="1:8" ht="15" customHeight="1">
      <c r="A7463" s="58" t="s">
        <v>7017</v>
      </c>
      <c r="B7463" s="20" t="s">
        <v>2685</v>
      </c>
      <c r="C7463" s="58" t="s">
        <v>109</v>
      </c>
      <c r="D7463" s="58" t="s">
        <v>29100</v>
      </c>
      <c r="H7463">
        <f t="shared" si="211"/>
        <v>32.869999999999997</v>
      </c>
    </row>
    <row r="7464" spans="1:8" ht="15" customHeight="1">
      <c r="A7464" s="58" t="s">
        <v>7018</v>
      </c>
      <c r="B7464" s="20" t="s">
        <v>2686</v>
      </c>
      <c r="C7464" s="58" t="s">
        <v>109</v>
      </c>
      <c r="D7464" s="58" t="s">
        <v>35105</v>
      </c>
      <c r="H7464">
        <f t="shared" si="211"/>
        <v>32.29</v>
      </c>
    </row>
    <row r="7465" spans="1:8" ht="15" customHeight="1">
      <c r="A7465" s="58" t="s">
        <v>7019</v>
      </c>
      <c r="B7465" s="20" t="s">
        <v>2687</v>
      </c>
      <c r="C7465" s="58" t="s">
        <v>109</v>
      </c>
      <c r="D7465" s="58" t="s">
        <v>24060</v>
      </c>
      <c r="H7465">
        <f t="shared" si="211"/>
        <v>34.549999999999997</v>
      </c>
    </row>
    <row r="7466" spans="1:8" ht="15" customHeight="1">
      <c r="A7466" s="58" t="s">
        <v>7020</v>
      </c>
      <c r="B7466" s="20" t="s">
        <v>2688</v>
      </c>
      <c r="C7466" s="58" t="s">
        <v>109</v>
      </c>
      <c r="D7466" s="58" t="s">
        <v>25402</v>
      </c>
      <c r="H7466">
        <f t="shared" si="211"/>
        <v>32.130000000000003</v>
      </c>
    </row>
    <row r="7467" spans="1:8" ht="15" customHeight="1">
      <c r="A7467" s="58" t="s">
        <v>7021</v>
      </c>
      <c r="B7467" s="20" t="s">
        <v>2689</v>
      </c>
      <c r="C7467" s="58" t="s">
        <v>109</v>
      </c>
      <c r="D7467" s="58" t="s">
        <v>20494</v>
      </c>
      <c r="H7467">
        <f t="shared" si="211"/>
        <v>41.32</v>
      </c>
    </row>
    <row r="7468" spans="1:8" ht="15" customHeight="1">
      <c r="A7468" s="58" t="s">
        <v>7022</v>
      </c>
      <c r="B7468" s="20" t="s">
        <v>2690</v>
      </c>
      <c r="C7468" s="58" t="s">
        <v>109</v>
      </c>
      <c r="D7468" s="58" t="s">
        <v>30306</v>
      </c>
      <c r="H7468">
        <f t="shared" si="211"/>
        <v>36.6</v>
      </c>
    </row>
    <row r="7469" spans="1:8" ht="15" customHeight="1">
      <c r="A7469" s="58" t="s">
        <v>7023</v>
      </c>
      <c r="B7469" s="20" t="s">
        <v>2691</v>
      </c>
      <c r="C7469" s="58" t="s">
        <v>109</v>
      </c>
      <c r="D7469" s="58" t="s">
        <v>35106</v>
      </c>
      <c r="H7469">
        <f t="shared" si="211"/>
        <v>35.119999999999997</v>
      </c>
    </row>
    <row r="7470" spans="1:8" ht="15" customHeight="1">
      <c r="A7470" s="58" t="s">
        <v>7024</v>
      </c>
      <c r="B7470" s="20" t="s">
        <v>2123</v>
      </c>
      <c r="C7470" s="58" t="s">
        <v>109</v>
      </c>
      <c r="D7470" s="58" t="s">
        <v>29338</v>
      </c>
      <c r="H7470">
        <f t="shared" si="211"/>
        <v>33.71</v>
      </c>
    </row>
    <row r="7471" spans="1:8" ht="15" customHeight="1">
      <c r="A7471" s="58" t="s">
        <v>7025</v>
      </c>
      <c r="B7471" s="20" t="s">
        <v>2692</v>
      </c>
      <c r="C7471" s="58" t="s">
        <v>109</v>
      </c>
      <c r="D7471" s="58" t="s">
        <v>10214</v>
      </c>
      <c r="H7471">
        <f t="shared" si="211"/>
        <v>42.36</v>
      </c>
    </row>
    <row r="7472" spans="1:8" ht="15" customHeight="1">
      <c r="A7472" s="58" t="s">
        <v>7026</v>
      </c>
      <c r="B7472" s="20" t="s">
        <v>2693</v>
      </c>
      <c r="C7472" s="58" t="s">
        <v>109</v>
      </c>
      <c r="D7472" s="58" t="s">
        <v>29100</v>
      </c>
      <c r="H7472">
        <f t="shared" si="211"/>
        <v>32.869999999999997</v>
      </c>
    </row>
    <row r="7473" spans="1:8" ht="15" customHeight="1">
      <c r="A7473" s="58" t="s">
        <v>7027</v>
      </c>
      <c r="B7473" s="20" t="s">
        <v>2694</v>
      </c>
      <c r="C7473" s="58" t="s">
        <v>109</v>
      </c>
      <c r="D7473" s="58" t="s">
        <v>11440</v>
      </c>
      <c r="H7473">
        <f t="shared" si="211"/>
        <v>34.46</v>
      </c>
    </row>
    <row r="7474" spans="1:8" ht="15" customHeight="1">
      <c r="A7474" s="58" t="s">
        <v>7028</v>
      </c>
      <c r="B7474" s="20" t="s">
        <v>2695</v>
      </c>
      <c r="C7474" s="58" t="s">
        <v>109</v>
      </c>
      <c r="D7474" s="58" t="s">
        <v>9897</v>
      </c>
      <c r="H7474">
        <f t="shared" si="211"/>
        <v>31.55</v>
      </c>
    </row>
    <row r="7475" spans="1:8" ht="15" customHeight="1">
      <c r="A7475" s="58" t="s">
        <v>7029</v>
      </c>
      <c r="B7475" s="20" t="s">
        <v>2696</v>
      </c>
      <c r="C7475" s="58" t="s">
        <v>109</v>
      </c>
      <c r="D7475" s="58" t="s">
        <v>10298</v>
      </c>
      <c r="H7475">
        <f t="shared" si="211"/>
        <v>24.9</v>
      </c>
    </row>
    <row r="7476" spans="1:8" ht="15" customHeight="1">
      <c r="A7476" s="58" t="s">
        <v>7030</v>
      </c>
      <c r="B7476" s="20" t="s">
        <v>2697</v>
      </c>
      <c r="C7476" s="58" t="s">
        <v>109</v>
      </c>
      <c r="D7476" s="58" t="s">
        <v>35107</v>
      </c>
      <c r="H7476">
        <f t="shared" si="211"/>
        <v>60.62</v>
      </c>
    </row>
    <row r="7477" spans="1:8" ht="15" customHeight="1">
      <c r="A7477" s="58" t="s">
        <v>7031</v>
      </c>
      <c r="B7477" s="20" t="s">
        <v>2698</v>
      </c>
      <c r="C7477" s="58" t="s">
        <v>109</v>
      </c>
      <c r="D7477" s="58" t="s">
        <v>23797</v>
      </c>
      <c r="H7477">
        <f t="shared" si="211"/>
        <v>41.43</v>
      </c>
    </row>
    <row r="7478" spans="1:8" ht="15" customHeight="1">
      <c r="A7478" s="58" t="s">
        <v>7032</v>
      </c>
      <c r="B7478" s="20" t="s">
        <v>2699</v>
      </c>
      <c r="C7478" s="58" t="s">
        <v>109</v>
      </c>
      <c r="D7478" s="58" t="s">
        <v>35108</v>
      </c>
      <c r="H7478">
        <f t="shared" si="211"/>
        <v>41.13</v>
      </c>
    </row>
    <row r="7479" spans="1:8" ht="15" customHeight="1">
      <c r="A7479" s="58" t="s">
        <v>7033</v>
      </c>
      <c r="B7479" s="20" t="s">
        <v>2700</v>
      </c>
      <c r="C7479" s="58" t="s">
        <v>109</v>
      </c>
      <c r="D7479" s="58" t="s">
        <v>29973</v>
      </c>
      <c r="H7479">
        <f t="shared" si="211"/>
        <v>36.74</v>
      </c>
    </row>
    <row r="7480" spans="1:8" ht="15" customHeight="1">
      <c r="A7480" s="58" t="s">
        <v>7034</v>
      </c>
      <c r="B7480" s="20" t="s">
        <v>2701</v>
      </c>
      <c r="C7480" s="58" t="s">
        <v>109</v>
      </c>
      <c r="D7480" s="58" t="s">
        <v>25300</v>
      </c>
      <c r="H7480">
        <f t="shared" si="211"/>
        <v>43.63</v>
      </c>
    </row>
    <row r="7481" spans="1:8" ht="15" customHeight="1">
      <c r="A7481" s="58" t="s">
        <v>7035</v>
      </c>
      <c r="B7481" s="20" t="s">
        <v>2702</v>
      </c>
      <c r="C7481" s="58" t="s">
        <v>109</v>
      </c>
      <c r="D7481" s="58" t="s">
        <v>11438</v>
      </c>
      <c r="H7481">
        <f t="shared" si="211"/>
        <v>43.51</v>
      </c>
    </row>
    <row r="7482" spans="1:8" ht="15" customHeight="1">
      <c r="A7482" s="58" t="s">
        <v>7036</v>
      </c>
      <c r="B7482" s="20" t="s">
        <v>2124</v>
      </c>
      <c r="C7482" s="58" t="s">
        <v>109</v>
      </c>
      <c r="D7482" s="58" t="s">
        <v>9993</v>
      </c>
      <c r="H7482">
        <f t="shared" si="211"/>
        <v>30.13</v>
      </c>
    </row>
    <row r="7483" spans="1:8" ht="15" customHeight="1">
      <c r="A7483" s="58" t="s">
        <v>7037</v>
      </c>
      <c r="B7483" s="20" t="s">
        <v>2703</v>
      </c>
      <c r="C7483" s="58" t="s">
        <v>109</v>
      </c>
      <c r="D7483" s="58" t="s">
        <v>35109</v>
      </c>
      <c r="H7483">
        <f t="shared" si="211"/>
        <v>50.33</v>
      </c>
    </row>
    <row r="7484" spans="1:8" ht="15" customHeight="1">
      <c r="A7484" s="58" t="s">
        <v>7038</v>
      </c>
      <c r="B7484" s="20" t="s">
        <v>2704</v>
      </c>
      <c r="C7484" s="58" t="s">
        <v>109</v>
      </c>
      <c r="D7484" s="58" t="s">
        <v>29581</v>
      </c>
      <c r="H7484">
        <f t="shared" si="211"/>
        <v>55.83</v>
      </c>
    </row>
    <row r="7485" spans="1:8" ht="15" customHeight="1">
      <c r="A7485" s="58" t="s">
        <v>7039</v>
      </c>
      <c r="B7485" s="20" t="s">
        <v>2705</v>
      </c>
      <c r="C7485" s="58" t="s">
        <v>109</v>
      </c>
      <c r="D7485" s="58" t="s">
        <v>35110</v>
      </c>
      <c r="H7485">
        <f t="shared" si="211"/>
        <v>39.36</v>
      </c>
    </row>
    <row r="7486" spans="1:8" ht="15" customHeight="1">
      <c r="A7486" s="58" t="s">
        <v>7040</v>
      </c>
      <c r="B7486" s="20" t="s">
        <v>2706</v>
      </c>
      <c r="C7486" s="58" t="s">
        <v>109</v>
      </c>
      <c r="D7486" s="58" t="s">
        <v>29300</v>
      </c>
      <c r="H7486">
        <f t="shared" si="211"/>
        <v>32.83</v>
      </c>
    </row>
    <row r="7487" spans="1:8" ht="15" customHeight="1">
      <c r="A7487" s="58" t="s">
        <v>7041</v>
      </c>
      <c r="B7487" s="20" t="s">
        <v>2707</v>
      </c>
      <c r="C7487" s="58" t="s">
        <v>109</v>
      </c>
      <c r="D7487" s="58" t="s">
        <v>35111</v>
      </c>
      <c r="H7487">
        <f t="shared" si="211"/>
        <v>39.1</v>
      </c>
    </row>
    <row r="7488" spans="1:8" ht="15" customHeight="1">
      <c r="A7488" s="58" t="s">
        <v>7042</v>
      </c>
      <c r="B7488" s="20" t="s">
        <v>2708</v>
      </c>
      <c r="C7488" s="58" t="s">
        <v>109</v>
      </c>
      <c r="D7488" s="58" t="s">
        <v>15826</v>
      </c>
      <c r="H7488">
        <f t="shared" si="211"/>
        <v>45.19</v>
      </c>
    </row>
    <row r="7489" spans="1:8" ht="15" customHeight="1">
      <c r="A7489" s="58" t="s">
        <v>7043</v>
      </c>
      <c r="B7489" s="20" t="s">
        <v>2709</v>
      </c>
      <c r="C7489" s="58" t="s">
        <v>109</v>
      </c>
      <c r="D7489" s="58" t="s">
        <v>24682</v>
      </c>
      <c r="H7489">
        <f t="shared" si="211"/>
        <v>42.89</v>
      </c>
    </row>
    <row r="7490" spans="1:8" ht="15" customHeight="1">
      <c r="A7490" s="58" t="s">
        <v>7045</v>
      </c>
      <c r="B7490" s="20" t="s">
        <v>2710</v>
      </c>
      <c r="C7490" s="58" t="s">
        <v>109</v>
      </c>
      <c r="D7490" s="58" t="s">
        <v>35112</v>
      </c>
      <c r="H7490">
        <f t="shared" si="211"/>
        <v>41.63</v>
      </c>
    </row>
    <row r="7491" spans="1:8" ht="15" customHeight="1">
      <c r="A7491" s="58" t="s">
        <v>7046</v>
      </c>
      <c r="B7491" s="20" t="s">
        <v>2711</v>
      </c>
      <c r="C7491" s="58" t="s">
        <v>109</v>
      </c>
      <c r="D7491" s="58" t="s">
        <v>33807</v>
      </c>
      <c r="H7491">
        <f t="shared" si="211"/>
        <v>55.81</v>
      </c>
    </row>
    <row r="7492" spans="1:8" ht="15" customHeight="1">
      <c r="A7492" s="58" t="s">
        <v>7047</v>
      </c>
      <c r="B7492" s="20" t="s">
        <v>2712</v>
      </c>
      <c r="C7492" s="58" t="s">
        <v>109</v>
      </c>
      <c r="D7492" s="58" t="s">
        <v>27729</v>
      </c>
      <c r="H7492">
        <f t="shared" si="211"/>
        <v>50.4</v>
      </c>
    </row>
    <row r="7493" spans="1:8" ht="15" customHeight="1">
      <c r="A7493" s="58" t="s">
        <v>7048</v>
      </c>
      <c r="B7493" s="20" t="s">
        <v>2713</v>
      </c>
      <c r="C7493" s="58" t="s">
        <v>109</v>
      </c>
      <c r="D7493" s="58" t="s">
        <v>35113</v>
      </c>
      <c r="H7493">
        <f t="shared" ref="H7493:H7556" si="212">ROUND(D7493*(1+$H$1),2)</f>
        <v>44.43</v>
      </c>
    </row>
    <row r="7494" spans="1:8" ht="15" customHeight="1">
      <c r="A7494" s="58" t="s">
        <v>7049</v>
      </c>
      <c r="B7494" s="20" t="s">
        <v>2714</v>
      </c>
      <c r="C7494" s="58" t="s">
        <v>109</v>
      </c>
      <c r="D7494" s="58" t="s">
        <v>28961</v>
      </c>
      <c r="H7494">
        <f t="shared" si="212"/>
        <v>58.56</v>
      </c>
    </row>
    <row r="7495" spans="1:8" ht="15" customHeight="1">
      <c r="A7495" s="58" t="s">
        <v>7050</v>
      </c>
      <c r="B7495" s="20" t="s">
        <v>2715</v>
      </c>
      <c r="C7495" s="58" t="s">
        <v>109</v>
      </c>
      <c r="D7495" s="58" t="s">
        <v>16293</v>
      </c>
      <c r="H7495">
        <f t="shared" si="212"/>
        <v>40.68</v>
      </c>
    </row>
    <row r="7496" spans="1:8" ht="15" customHeight="1">
      <c r="A7496" s="58" t="s">
        <v>7051</v>
      </c>
      <c r="B7496" s="20" t="s">
        <v>2716</v>
      </c>
      <c r="C7496" s="58" t="s">
        <v>109</v>
      </c>
      <c r="D7496" s="58" t="s">
        <v>35114</v>
      </c>
      <c r="H7496">
        <f t="shared" si="212"/>
        <v>39.520000000000003</v>
      </c>
    </row>
    <row r="7497" spans="1:8" ht="15" customHeight="1">
      <c r="A7497" s="58" t="s">
        <v>7052</v>
      </c>
      <c r="B7497" s="20" t="s">
        <v>2717</v>
      </c>
      <c r="C7497" s="58" t="s">
        <v>109</v>
      </c>
      <c r="D7497" s="58" t="s">
        <v>16500</v>
      </c>
      <c r="H7497">
        <f t="shared" si="212"/>
        <v>46.77</v>
      </c>
    </row>
    <row r="7498" spans="1:8" ht="15" customHeight="1">
      <c r="A7498" s="58" t="s">
        <v>7053</v>
      </c>
      <c r="B7498" s="20" t="s">
        <v>30299</v>
      </c>
      <c r="C7498" s="58" t="s">
        <v>109</v>
      </c>
      <c r="D7498" s="58" t="s">
        <v>35115</v>
      </c>
      <c r="H7498">
        <f t="shared" si="212"/>
        <v>34.54</v>
      </c>
    </row>
    <row r="7499" spans="1:8" ht="15" customHeight="1">
      <c r="A7499" s="58" t="s">
        <v>7054</v>
      </c>
      <c r="B7499" s="20" t="s">
        <v>2718</v>
      </c>
      <c r="C7499" s="58" t="s">
        <v>109</v>
      </c>
      <c r="D7499" s="58" t="s">
        <v>28206</v>
      </c>
      <c r="H7499">
        <f t="shared" si="212"/>
        <v>42.44</v>
      </c>
    </row>
    <row r="7500" spans="1:8" ht="15" customHeight="1">
      <c r="A7500" s="58" t="s">
        <v>7055</v>
      </c>
      <c r="B7500" s="20" t="s">
        <v>2719</v>
      </c>
      <c r="C7500" s="58" t="s">
        <v>109</v>
      </c>
      <c r="D7500" s="58" t="s">
        <v>35116</v>
      </c>
      <c r="H7500">
        <f t="shared" si="212"/>
        <v>25.9</v>
      </c>
    </row>
    <row r="7501" spans="1:8" ht="15" customHeight="1">
      <c r="A7501" s="58" t="s">
        <v>7056</v>
      </c>
      <c r="B7501" s="20" t="s">
        <v>2720</v>
      </c>
      <c r="C7501" s="58" t="s">
        <v>109</v>
      </c>
      <c r="D7501" s="58" t="s">
        <v>35117</v>
      </c>
      <c r="H7501">
        <f t="shared" si="212"/>
        <v>46.44</v>
      </c>
    </row>
    <row r="7502" spans="1:8" ht="15" customHeight="1">
      <c r="A7502" s="58" t="s">
        <v>7057</v>
      </c>
      <c r="B7502" s="20" t="s">
        <v>2721</v>
      </c>
      <c r="C7502" s="58" t="s">
        <v>109</v>
      </c>
      <c r="D7502" s="58" t="s">
        <v>28805</v>
      </c>
      <c r="H7502">
        <f t="shared" si="212"/>
        <v>32.03</v>
      </c>
    </row>
    <row r="7503" spans="1:8" ht="15" customHeight="1">
      <c r="A7503" s="58" t="s">
        <v>7058</v>
      </c>
      <c r="B7503" s="20" t="s">
        <v>2722</v>
      </c>
      <c r="C7503" s="58" t="s">
        <v>109</v>
      </c>
      <c r="D7503" s="58" t="s">
        <v>35117</v>
      </c>
      <c r="H7503">
        <f t="shared" si="212"/>
        <v>46.44</v>
      </c>
    </row>
    <row r="7504" spans="1:8" ht="15" customHeight="1">
      <c r="A7504" s="58" t="s">
        <v>7059</v>
      </c>
      <c r="B7504" s="20" t="s">
        <v>2723</v>
      </c>
      <c r="C7504" s="58" t="s">
        <v>109</v>
      </c>
      <c r="D7504" s="58" t="s">
        <v>34741</v>
      </c>
      <c r="H7504">
        <f t="shared" si="212"/>
        <v>50.08</v>
      </c>
    </row>
    <row r="7505" spans="1:8" ht="15" customHeight="1">
      <c r="A7505" s="58" t="s">
        <v>7060</v>
      </c>
      <c r="B7505" s="20" t="s">
        <v>2724</v>
      </c>
      <c r="C7505" s="58" t="s">
        <v>109</v>
      </c>
      <c r="D7505" s="58" t="s">
        <v>21368</v>
      </c>
      <c r="H7505">
        <f t="shared" si="212"/>
        <v>40.549999999999997</v>
      </c>
    </row>
    <row r="7506" spans="1:8" ht="15" customHeight="1">
      <c r="A7506" s="58" t="s">
        <v>7061</v>
      </c>
      <c r="B7506" s="20" t="s">
        <v>2725</v>
      </c>
      <c r="C7506" s="58" t="s">
        <v>109</v>
      </c>
      <c r="D7506" s="58" t="s">
        <v>35118</v>
      </c>
      <c r="H7506">
        <f t="shared" si="212"/>
        <v>63.87</v>
      </c>
    </row>
    <row r="7507" spans="1:8" ht="15" customHeight="1">
      <c r="A7507" s="58" t="s">
        <v>7062</v>
      </c>
      <c r="B7507" s="20" t="s">
        <v>2726</v>
      </c>
      <c r="C7507" s="58" t="s">
        <v>109</v>
      </c>
      <c r="D7507" s="58" t="s">
        <v>35119</v>
      </c>
      <c r="H7507">
        <f t="shared" si="212"/>
        <v>51.81</v>
      </c>
    </row>
    <row r="7508" spans="1:8" ht="15" customHeight="1">
      <c r="A7508" s="58" t="s">
        <v>7063</v>
      </c>
      <c r="B7508" s="20" t="s">
        <v>2727</v>
      </c>
      <c r="C7508" s="58" t="s">
        <v>109</v>
      </c>
      <c r="D7508" s="58" t="s">
        <v>23974</v>
      </c>
      <c r="H7508">
        <f t="shared" si="212"/>
        <v>37.18</v>
      </c>
    </row>
    <row r="7509" spans="1:8" ht="15" customHeight="1">
      <c r="A7509" s="58" t="s">
        <v>7064</v>
      </c>
      <c r="B7509" s="20" t="s">
        <v>2728</v>
      </c>
      <c r="C7509" s="58" t="s">
        <v>109</v>
      </c>
      <c r="D7509" s="58" t="s">
        <v>10706</v>
      </c>
      <c r="H7509">
        <f t="shared" si="212"/>
        <v>58.78</v>
      </c>
    </row>
    <row r="7510" spans="1:8" ht="15" customHeight="1">
      <c r="A7510" s="58" t="s">
        <v>7065</v>
      </c>
      <c r="B7510" s="20" t="s">
        <v>2729</v>
      </c>
      <c r="C7510" s="58" t="s">
        <v>109</v>
      </c>
      <c r="D7510" s="58" t="s">
        <v>10706</v>
      </c>
      <c r="H7510">
        <f t="shared" si="212"/>
        <v>58.78</v>
      </c>
    </row>
    <row r="7511" spans="1:8" ht="15" customHeight="1">
      <c r="A7511" s="58" t="s">
        <v>7066</v>
      </c>
      <c r="B7511" s="20" t="s">
        <v>2730</v>
      </c>
      <c r="C7511" s="58" t="s">
        <v>109</v>
      </c>
      <c r="D7511" s="58" t="s">
        <v>35117</v>
      </c>
      <c r="H7511">
        <f t="shared" si="212"/>
        <v>46.44</v>
      </c>
    </row>
    <row r="7512" spans="1:8" ht="15" customHeight="1">
      <c r="A7512" s="58" t="s">
        <v>7067</v>
      </c>
      <c r="B7512" s="20" t="s">
        <v>2731</v>
      </c>
      <c r="C7512" s="58" t="s">
        <v>109</v>
      </c>
      <c r="D7512" s="58" t="s">
        <v>35117</v>
      </c>
      <c r="H7512">
        <f t="shared" si="212"/>
        <v>46.44</v>
      </c>
    </row>
    <row r="7513" spans="1:8" ht="15" customHeight="1">
      <c r="A7513" s="58" t="s">
        <v>7068</v>
      </c>
      <c r="B7513" s="20" t="s">
        <v>2732</v>
      </c>
      <c r="C7513" s="58" t="s">
        <v>109</v>
      </c>
      <c r="D7513" s="58" t="s">
        <v>33152</v>
      </c>
      <c r="H7513">
        <f t="shared" si="212"/>
        <v>39.78</v>
      </c>
    </row>
    <row r="7514" spans="1:8" ht="15" customHeight="1">
      <c r="A7514" s="58" t="s">
        <v>7069</v>
      </c>
      <c r="B7514" s="20" t="s">
        <v>2125</v>
      </c>
      <c r="C7514" s="58" t="s">
        <v>109</v>
      </c>
      <c r="D7514" s="58" t="s">
        <v>10706</v>
      </c>
      <c r="H7514">
        <f t="shared" si="212"/>
        <v>58.78</v>
      </c>
    </row>
    <row r="7515" spans="1:8" ht="15" customHeight="1">
      <c r="A7515" s="58" t="s">
        <v>7070</v>
      </c>
      <c r="B7515" s="20" t="s">
        <v>2733</v>
      </c>
      <c r="C7515" s="58" t="s">
        <v>109</v>
      </c>
      <c r="D7515" s="58" t="s">
        <v>10696</v>
      </c>
      <c r="H7515">
        <f t="shared" si="212"/>
        <v>33.700000000000003</v>
      </c>
    </row>
    <row r="7516" spans="1:8" ht="15" customHeight="1">
      <c r="A7516" s="58" t="s">
        <v>7072</v>
      </c>
      <c r="B7516" s="20" t="s">
        <v>2734</v>
      </c>
      <c r="C7516" s="58" t="s">
        <v>109</v>
      </c>
      <c r="D7516" s="58" t="s">
        <v>23149</v>
      </c>
      <c r="H7516">
        <f t="shared" si="212"/>
        <v>49.02</v>
      </c>
    </row>
    <row r="7517" spans="1:8" ht="15" customHeight="1">
      <c r="A7517" s="58" t="s">
        <v>7073</v>
      </c>
      <c r="B7517" s="20" t="s">
        <v>2735</v>
      </c>
      <c r="C7517" s="58" t="s">
        <v>109</v>
      </c>
      <c r="D7517" s="58" t="s">
        <v>23797</v>
      </c>
      <c r="H7517">
        <f t="shared" si="212"/>
        <v>41.43</v>
      </c>
    </row>
    <row r="7518" spans="1:8" ht="15" customHeight="1">
      <c r="A7518" s="58" t="s">
        <v>7074</v>
      </c>
      <c r="B7518" s="20" t="s">
        <v>2736</v>
      </c>
      <c r="C7518" s="58" t="s">
        <v>109</v>
      </c>
      <c r="D7518" s="58" t="s">
        <v>15563</v>
      </c>
      <c r="H7518">
        <f t="shared" si="212"/>
        <v>41.65</v>
      </c>
    </row>
    <row r="7519" spans="1:8" ht="15" customHeight="1">
      <c r="A7519" s="58" t="s">
        <v>7075</v>
      </c>
      <c r="B7519" s="20" t="s">
        <v>2737</v>
      </c>
      <c r="C7519" s="58" t="s">
        <v>109</v>
      </c>
      <c r="D7519" s="58" t="s">
        <v>35120</v>
      </c>
      <c r="H7519">
        <f t="shared" si="212"/>
        <v>43.56</v>
      </c>
    </row>
    <row r="7520" spans="1:8" ht="15" customHeight="1">
      <c r="A7520" s="58" t="s">
        <v>7076</v>
      </c>
      <c r="B7520" s="20" t="s">
        <v>2738</v>
      </c>
      <c r="C7520" s="58" t="s">
        <v>109</v>
      </c>
      <c r="D7520" s="58" t="s">
        <v>30561</v>
      </c>
      <c r="H7520">
        <f t="shared" si="212"/>
        <v>41.2</v>
      </c>
    </row>
    <row r="7521" spans="1:8" ht="15" customHeight="1">
      <c r="A7521" s="58" t="s">
        <v>7077</v>
      </c>
      <c r="B7521" s="20" t="s">
        <v>2739</v>
      </c>
      <c r="C7521" s="58" t="s">
        <v>109</v>
      </c>
      <c r="D7521" s="58" t="s">
        <v>35120</v>
      </c>
      <c r="H7521">
        <f t="shared" si="212"/>
        <v>43.56</v>
      </c>
    </row>
    <row r="7522" spans="1:8" ht="15" customHeight="1">
      <c r="A7522" s="58" t="s">
        <v>7078</v>
      </c>
      <c r="B7522" s="20" t="s">
        <v>2740</v>
      </c>
      <c r="C7522" s="58" t="s">
        <v>109</v>
      </c>
      <c r="D7522" s="58" t="s">
        <v>10345</v>
      </c>
      <c r="H7522">
        <f t="shared" si="212"/>
        <v>39.06</v>
      </c>
    </row>
    <row r="7523" spans="1:8" ht="15" customHeight="1">
      <c r="A7523" s="58" t="s">
        <v>7079</v>
      </c>
      <c r="B7523" s="20" t="s">
        <v>2741</v>
      </c>
      <c r="C7523" s="58" t="s">
        <v>109</v>
      </c>
      <c r="D7523" s="58" t="s">
        <v>16478</v>
      </c>
      <c r="H7523">
        <f t="shared" si="212"/>
        <v>34.979999999999997</v>
      </c>
    </row>
    <row r="7524" spans="1:8" ht="15" customHeight="1">
      <c r="A7524" s="58" t="s">
        <v>7080</v>
      </c>
      <c r="B7524" s="20" t="s">
        <v>2742</v>
      </c>
      <c r="C7524" s="58" t="s">
        <v>109</v>
      </c>
      <c r="D7524" s="58" t="s">
        <v>35121</v>
      </c>
      <c r="H7524">
        <f t="shared" si="212"/>
        <v>46.62</v>
      </c>
    </row>
    <row r="7525" spans="1:8" ht="15" customHeight="1">
      <c r="A7525" s="58" t="s">
        <v>7081</v>
      </c>
      <c r="B7525" s="20" t="s">
        <v>2743</v>
      </c>
      <c r="C7525" s="58" t="s">
        <v>109</v>
      </c>
      <c r="D7525" s="58" t="s">
        <v>28883</v>
      </c>
      <c r="H7525">
        <f t="shared" si="212"/>
        <v>31.77</v>
      </c>
    </row>
    <row r="7526" spans="1:8" ht="15" customHeight="1">
      <c r="A7526" s="58" t="s">
        <v>7082</v>
      </c>
      <c r="B7526" s="20" t="s">
        <v>2744</v>
      </c>
      <c r="C7526" s="58" t="s">
        <v>109</v>
      </c>
      <c r="D7526" s="58" t="s">
        <v>20396</v>
      </c>
      <c r="H7526">
        <f t="shared" si="212"/>
        <v>45.8</v>
      </c>
    </row>
    <row r="7527" spans="1:8" ht="15" customHeight="1">
      <c r="A7527" s="58" t="s">
        <v>7083</v>
      </c>
      <c r="B7527" s="20" t="s">
        <v>2126</v>
      </c>
      <c r="C7527" s="58" t="s">
        <v>109</v>
      </c>
      <c r="D7527" s="58" t="s">
        <v>15317</v>
      </c>
      <c r="H7527">
        <f t="shared" si="212"/>
        <v>51.59</v>
      </c>
    </row>
    <row r="7528" spans="1:8" ht="15" customHeight="1">
      <c r="A7528" s="58" t="s">
        <v>7084</v>
      </c>
      <c r="B7528" s="20" t="s">
        <v>2745</v>
      </c>
      <c r="C7528" s="58" t="s">
        <v>109</v>
      </c>
      <c r="D7528" s="58" t="s">
        <v>17937</v>
      </c>
      <c r="H7528">
        <f t="shared" si="212"/>
        <v>69.22</v>
      </c>
    </row>
    <row r="7529" spans="1:8" ht="15" customHeight="1">
      <c r="A7529" s="58" t="s">
        <v>7085</v>
      </c>
      <c r="B7529" s="20" t="s">
        <v>2746</v>
      </c>
      <c r="C7529" s="58" t="s">
        <v>109</v>
      </c>
      <c r="D7529" s="58" t="s">
        <v>15693</v>
      </c>
      <c r="H7529">
        <f t="shared" si="212"/>
        <v>72.87</v>
      </c>
    </row>
    <row r="7530" spans="1:8" ht="15" customHeight="1">
      <c r="A7530" s="58" t="s">
        <v>7086</v>
      </c>
      <c r="B7530" s="20" t="s">
        <v>2747</v>
      </c>
      <c r="C7530" s="58" t="s">
        <v>109</v>
      </c>
      <c r="D7530" s="58" t="s">
        <v>33402</v>
      </c>
      <c r="H7530">
        <f t="shared" si="212"/>
        <v>43.09</v>
      </c>
    </row>
    <row r="7531" spans="1:8" ht="15" customHeight="1">
      <c r="A7531" s="58" t="s">
        <v>7087</v>
      </c>
      <c r="B7531" s="20" t="s">
        <v>2748</v>
      </c>
      <c r="C7531" s="58" t="s">
        <v>109</v>
      </c>
      <c r="D7531" s="58" t="s">
        <v>35119</v>
      </c>
      <c r="H7531">
        <f t="shared" si="212"/>
        <v>51.81</v>
      </c>
    </row>
    <row r="7532" spans="1:8" ht="15" customHeight="1">
      <c r="A7532" s="58" t="s">
        <v>7088</v>
      </c>
      <c r="B7532" s="20" t="s">
        <v>2749</v>
      </c>
      <c r="C7532" s="58" t="s">
        <v>109</v>
      </c>
      <c r="D7532" s="58" t="s">
        <v>18484</v>
      </c>
      <c r="H7532">
        <f t="shared" si="212"/>
        <v>36.31</v>
      </c>
    </row>
    <row r="7533" spans="1:8" ht="15" customHeight="1">
      <c r="A7533" s="58" t="s">
        <v>7089</v>
      </c>
      <c r="B7533" s="20" t="s">
        <v>2127</v>
      </c>
      <c r="C7533" s="58" t="s">
        <v>109</v>
      </c>
      <c r="D7533" s="58" t="s">
        <v>34748</v>
      </c>
      <c r="H7533">
        <f t="shared" si="212"/>
        <v>41.09</v>
      </c>
    </row>
    <row r="7534" spans="1:8" ht="15" customHeight="1">
      <c r="A7534" s="58" t="s">
        <v>7090</v>
      </c>
      <c r="B7534" s="20" t="s">
        <v>2750</v>
      </c>
      <c r="C7534" s="58" t="s">
        <v>109</v>
      </c>
      <c r="D7534" s="58" t="s">
        <v>4088</v>
      </c>
      <c r="H7534">
        <f t="shared" si="212"/>
        <v>34.21</v>
      </c>
    </row>
    <row r="7535" spans="1:8" ht="15" customHeight="1">
      <c r="A7535" s="58" t="s">
        <v>7092</v>
      </c>
      <c r="B7535" s="20" t="s">
        <v>2751</v>
      </c>
      <c r="C7535" s="58" t="s">
        <v>109</v>
      </c>
      <c r="D7535" s="58" t="s">
        <v>7463</v>
      </c>
      <c r="H7535">
        <f t="shared" si="212"/>
        <v>35.159999999999997</v>
      </c>
    </row>
    <row r="7536" spans="1:8" ht="15" customHeight="1">
      <c r="A7536" s="58" t="s">
        <v>7093</v>
      </c>
      <c r="B7536" s="20" t="s">
        <v>2752</v>
      </c>
      <c r="C7536" s="58" t="s">
        <v>109</v>
      </c>
      <c r="D7536" s="58" t="s">
        <v>23695</v>
      </c>
      <c r="H7536">
        <f t="shared" si="212"/>
        <v>36.32</v>
      </c>
    </row>
    <row r="7537" spans="1:8" ht="15" customHeight="1">
      <c r="A7537" s="58" t="s">
        <v>7094</v>
      </c>
      <c r="B7537" s="20" t="s">
        <v>2753</v>
      </c>
      <c r="C7537" s="58" t="s">
        <v>109</v>
      </c>
      <c r="D7537" s="58" t="s">
        <v>35122</v>
      </c>
      <c r="H7537">
        <f t="shared" si="212"/>
        <v>145.82</v>
      </c>
    </row>
    <row r="7538" spans="1:8" ht="15" customHeight="1">
      <c r="A7538" s="58" t="s">
        <v>7095</v>
      </c>
      <c r="B7538" s="20" t="s">
        <v>2754</v>
      </c>
      <c r="C7538" s="58" t="s">
        <v>109</v>
      </c>
      <c r="D7538" s="58" t="s">
        <v>35123</v>
      </c>
      <c r="H7538">
        <f t="shared" si="212"/>
        <v>165.62</v>
      </c>
    </row>
    <row r="7539" spans="1:8" ht="15" customHeight="1">
      <c r="A7539" s="58" t="s">
        <v>7096</v>
      </c>
      <c r="B7539" s="20" t="s">
        <v>2755</v>
      </c>
      <c r="C7539" s="58" t="s">
        <v>109</v>
      </c>
      <c r="D7539" s="58" t="s">
        <v>35124</v>
      </c>
      <c r="H7539">
        <f t="shared" si="212"/>
        <v>170.76</v>
      </c>
    </row>
    <row r="7540" spans="1:8" ht="15" customHeight="1">
      <c r="A7540" s="58" t="s">
        <v>7097</v>
      </c>
      <c r="B7540" s="20" t="s">
        <v>2756</v>
      </c>
      <c r="C7540" s="58" t="s">
        <v>109</v>
      </c>
      <c r="D7540" s="58" t="s">
        <v>33866</v>
      </c>
      <c r="H7540">
        <f t="shared" si="212"/>
        <v>26.5</v>
      </c>
    </row>
    <row r="7541" spans="1:8" ht="15" customHeight="1">
      <c r="A7541" s="58" t="s">
        <v>7098</v>
      </c>
      <c r="B7541" s="20" t="s">
        <v>2757</v>
      </c>
      <c r="C7541" s="58" t="s">
        <v>109</v>
      </c>
      <c r="D7541" s="58" t="s">
        <v>23981</v>
      </c>
      <c r="H7541">
        <f t="shared" si="212"/>
        <v>33.549999999999997</v>
      </c>
    </row>
    <row r="7542" spans="1:8" ht="15" customHeight="1">
      <c r="A7542" s="58" t="s">
        <v>7099</v>
      </c>
      <c r="B7542" s="20" t="s">
        <v>2758</v>
      </c>
      <c r="C7542" s="58" t="s">
        <v>109</v>
      </c>
      <c r="D7542" s="58" t="s">
        <v>12453</v>
      </c>
      <c r="H7542">
        <f t="shared" si="212"/>
        <v>52.1</v>
      </c>
    </row>
    <row r="7543" spans="1:8" ht="15" customHeight="1">
      <c r="A7543" s="58" t="s">
        <v>7100</v>
      </c>
      <c r="B7543" s="20" t="s">
        <v>2759</v>
      </c>
      <c r="C7543" s="58" t="s">
        <v>109</v>
      </c>
      <c r="D7543" s="58" t="s">
        <v>35125</v>
      </c>
      <c r="H7543">
        <f t="shared" si="212"/>
        <v>163.28</v>
      </c>
    </row>
    <row r="7544" spans="1:8" ht="15" customHeight="1">
      <c r="A7544" s="58" t="s">
        <v>7101</v>
      </c>
      <c r="B7544" s="20" t="s">
        <v>2760</v>
      </c>
      <c r="C7544" s="58" t="s">
        <v>109</v>
      </c>
      <c r="D7544" s="58" t="s">
        <v>35126</v>
      </c>
      <c r="H7544">
        <f t="shared" si="212"/>
        <v>175.2</v>
      </c>
    </row>
    <row r="7545" spans="1:8" ht="15" customHeight="1">
      <c r="A7545" s="58" t="s">
        <v>7102</v>
      </c>
      <c r="B7545" s="20" t="s">
        <v>2761</v>
      </c>
      <c r="C7545" s="58" t="s">
        <v>109</v>
      </c>
      <c r="D7545" s="58" t="s">
        <v>35127</v>
      </c>
      <c r="H7545">
        <f t="shared" si="212"/>
        <v>204.37</v>
      </c>
    </row>
    <row r="7546" spans="1:8" ht="15" customHeight="1">
      <c r="A7546" s="58" t="s">
        <v>7103</v>
      </c>
      <c r="B7546" s="20" t="s">
        <v>2762</v>
      </c>
      <c r="C7546" s="58" t="s">
        <v>109</v>
      </c>
      <c r="D7546" s="58" t="s">
        <v>35128</v>
      </c>
      <c r="H7546">
        <f t="shared" si="212"/>
        <v>82.68</v>
      </c>
    </row>
    <row r="7547" spans="1:8" ht="15" customHeight="1">
      <c r="A7547" s="58" t="s">
        <v>7104</v>
      </c>
      <c r="B7547" s="20" t="s">
        <v>2763</v>
      </c>
      <c r="C7547" s="58" t="s">
        <v>109</v>
      </c>
      <c r="D7547" s="58" t="s">
        <v>26642</v>
      </c>
      <c r="H7547">
        <f t="shared" si="212"/>
        <v>51.86</v>
      </c>
    </row>
    <row r="7548" spans="1:8" ht="15" customHeight="1">
      <c r="A7548" s="58" t="s">
        <v>7105</v>
      </c>
      <c r="B7548" s="20" t="s">
        <v>2764</v>
      </c>
      <c r="C7548" s="58" t="s">
        <v>1713</v>
      </c>
      <c r="D7548" s="58" t="s">
        <v>35129</v>
      </c>
      <c r="H7548">
        <f t="shared" si="212"/>
        <v>7047.47</v>
      </c>
    </row>
    <row r="7549" spans="1:8" ht="15" customHeight="1">
      <c r="A7549" s="58" t="s">
        <v>7106</v>
      </c>
      <c r="B7549" s="20" t="s">
        <v>2757</v>
      </c>
      <c r="C7549" s="58" t="s">
        <v>1713</v>
      </c>
      <c r="D7549" s="58" t="s">
        <v>35130</v>
      </c>
      <c r="H7549">
        <f t="shared" si="212"/>
        <v>5914.74</v>
      </c>
    </row>
    <row r="7550" spans="1:8" ht="15" customHeight="1">
      <c r="A7550" s="58" t="s">
        <v>7107</v>
      </c>
      <c r="B7550" s="20" t="s">
        <v>2751</v>
      </c>
      <c r="C7550" s="58" t="s">
        <v>1713</v>
      </c>
      <c r="D7550" s="58" t="s">
        <v>35131</v>
      </c>
      <c r="H7550">
        <f t="shared" si="212"/>
        <v>6193.85</v>
      </c>
    </row>
    <row r="7551" spans="1:8" ht="15" customHeight="1">
      <c r="A7551" s="58" t="s">
        <v>7108</v>
      </c>
      <c r="B7551" s="20" t="s">
        <v>2752</v>
      </c>
      <c r="C7551" s="58" t="s">
        <v>1713</v>
      </c>
      <c r="D7551" s="58" t="s">
        <v>35132</v>
      </c>
      <c r="H7551">
        <f t="shared" si="212"/>
        <v>6373.11</v>
      </c>
    </row>
    <row r="7552" spans="1:8" ht="15" customHeight="1">
      <c r="A7552" s="58" t="s">
        <v>7109</v>
      </c>
      <c r="B7552" s="20" t="s">
        <v>2759</v>
      </c>
      <c r="C7552" s="58" t="s">
        <v>1713</v>
      </c>
      <c r="D7552" s="58" t="s">
        <v>35133</v>
      </c>
      <c r="H7552">
        <f t="shared" si="212"/>
        <v>28540.82</v>
      </c>
    </row>
    <row r="7553" spans="1:8" ht="15" customHeight="1">
      <c r="A7553" s="58" t="s">
        <v>7110</v>
      </c>
      <c r="B7553" s="20" t="s">
        <v>2756</v>
      </c>
      <c r="C7553" s="58" t="s">
        <v>1713</v>
      </c>
      <c r="D7553" s="58" t="s">
        <v>35134</v>
      </c>
      <c r="H7553">
        <f t="shared" si="212"/>
        <v>4677.95</v>
      </c>
    </row>
    <row r="7554" spans="1:8" ht="15" customHeight="1">
      <c r="A7554" s="58" t="s">
        <v>7111</v>
      </c>
      <c r="B7554" s="20" t="s">
        <v>2760</v>
      </c>
      <c r="C7554" s="58" t="s">
        <v>1713</v>
      </c>
      <c r="D7554" s="58" t="s">
        <v>35135</v>
      </c>
      <c r="H7554">
        <f t="shared" si="212"/>
        <v>30623.17</v>
      </c>
    </row>
    <row r="7555" spans="1:8" ht="15" customHeight="1">
      <c r="A7555" s="58" t="s">
        <v>7112</v>
      </c>
      <c r="B7555" s="20" t="s">
        <v>2761</v>
      </c>
      <c r="C7555" s="58" t="s">
        <v>1713</v>
      </c>
      <c r="D7555" s="58" t="s">
        <v>35136</v>
      </c>
      <c r="H7555">
        <f t="shared" si="212"/>
        <v>35716.65</v>
      </c>
    </row>
    <row r="7556" spans="1:8" ht="15" customHeight="1">
      <c r="A7556" s="58" t="s">
        <v>7113</v>
      </c>
      <c r="B7556" s="20" t="s">
        <v>2765</v>
      </c>
      <c r="C7556" s="58" t="s">
        <v>1713</v>
      </c>
      <c r="D7556" s="58" t="s">
        <v>35137</v>
      </c>
      <c r="H7556">
        <f t="shared" si="212"/>
        <v>25539.79</v>
      </c>
    </row>
    <row r="7557" spans="1:8" ht="15" customHeight="1">
      <c r="A7557" s="58" t="s">
        <v>7114</v>
      </c>
      <c r="B7557" s="20" t="s">
        <v>2766</v>
      </c>
      <c r="C7557" s="58" t="s">
        <v>1713</v>
      </c>
      <c r="D7557" s="58" t="s">
        <v>35138</v>
      </c>
      <c r="H7557">
        <f t="shared" ref="H7557:H7620" si="213">ROUND(D7557*(1+$H$1),2)</f>
        <v>29003.05</v>
      </c>
    </row>
    <row r="7558" spans="1:8" ht="15" customHeight="1">
      <c r="A7558" s="58" t="s">
        <v>7115</v>
      </c>
      <c r="B7558" s="20" t="s">
        <v>2767</v>
      </c>
      <c r="C7558" s="58" t="s">
        <v>1713</v>
      </c>
      <c r="D7558" s="58" t="s">
        <v>35139</v>
      </c>
      <c r="H7558">
        <f t="shared" si="213"/>
        <v>29902.47</v>
      </c>
    </row>
    <row r="7559" spans="1:8" ht="15" customHeight="1">
      <c r="A7559" s="58" t="s">
        <v>7116</v>
      </c>
      <c r="B7559" s="20" t="s">
        <v>2768</v>
      </c>
      <c r="C7559" s="58" t="s">
        <v>1713</v>
      </c>
      <c r="D7559" s="58" t="s">
        <v>35140</v>
      </c>
      <c r="H7559">
        <f t="shared" si="213"/>
        <v>9130.32</v>
      </c>
    </row>
    <row r="7560" spans="1:8" ht="15" customHeight="1">
      <c r="A7560" s="58" t="s">
        <v>7117</v>
      </c>
      <c r="B7560" s="20" t="s">
        <v>2762</v>
      </c>
      <c r="C7560" s="58" t="s">
        <v>1713</v>
      </c>
      <c r="D7560" s="58" t="s">
        <v>35141</v>
      </c>
      <c r="H7560">
        <f t="shared" si="213"/>
        <v>14461.17</v>
      </c>
    </row>
    <row r="7561" spans="1:8" ht="15" customHeight="1">
      <c r="A7561" s="58" t="s">
        <v>7118</v>
      </c>
      <c r="B7561" s="20" t="s">
        <v>2763</v>
      </c>
      <c r="C7561" s="58" t="s">
        <v>1713</v>
      </c>
      <c r="D7561" s="58" t="s">
        <v>35142</v>
      </c>
      <c r="H7561">
        <f t="shared" si="213"/>
        <v>9107.2099999999991</v>
      </c>
    </row>
    <row r="7562" spans="1:8" ht="15" customHeight="1">
      <c r="A7562" s="58" t="s">
        <v>7119</v>
      </c>
      <c r="B7562" s="20" t="s">
        <v>2769</v>
      </c>
      <c r="C7562" s="58" t="s">
        <v>109</v>
      </c>
      <c r="D7562" s="58" t="s">
        <v>3297</v>
      </c>
      <c r="H7562">
        <f t="shared" si="213"/>
        <v>0.28999999999999998</v>
      </c>
    </row>
    <row r="7563" spans="1:8" ht="15" customHeight="1">
      <c r="A7563" s="58" t="s">
        <v>7120</v>
      </c>
      <c r="B7563" s="20" t="s">
        <v>2770</v>
      </c>
      <c r="C7563" s="58" t="s">
        <v>109</v>
      </c>
      <c r="D7563" s="58" t="s">
        <v>3303</v>
      </c>
      <c r="H7563">
        <f t="shared" si="213"/>
        <v>0.39</v>
      </c>
    </row>
    <row r="7564" spans="1:8" ht="15" customHeight="1">
      <c r="A7564" s="58" t="s">
        <v>7121</v>
      </c>
      <c r="B7564" s="20" t="s">
        <v>2771</v>
      </c>
      <c r="C7564" s="58" t="s">
        <v>109</v>
      </c>
      <c r="D7564" s="58" t="s">
        <v>3297</v>
      </c>
      <c r="H7564">
        <f t="shared" si="213"/>
        <v>0.28999999999999998</v>
      </c>
    </row>
    <row r="7565" spans="1:8" ht="15" customHeight="1">
      <c r="A7565" s="58" t="s">
        <v>7122</v>
      </c>
      <c r="B7565" s="20" t="s">
        <v>2772</v>
      </c>
      <c r="C7565" s="58" t="s">
        <v>109</v>
      </c>
      <c r="D7565" s="58" t="s">
        <v>3385</v>
      </c>
      <c r="H7565">
        <f t="shared" si="213"/>
        <v>0.27</v>
      </c>
    </row>
    <row r="7566" spans="1:8" ht="15" customHeight="1">
      <c r="A7566" s="58" t="s">
        <v>7123</v>
      </c>
      <c r="B7566" s="20" t="s">
        <v>2773</v>
      </c>
      <c r="C7566" s="58" t="s">
        <v>109</v>
      </c>
      <c r="D7566" s="58" t="s">
        <v>3303</v>
      </c>
      <c r="H7566">
        <f t="shared" si="213"/>
        <v>0.39</v>
      </c>
    </row>
    <row r="7567" spans="1:8" ht="15" customHeight="1">
      <c r="A7567" s="58" t="s">
        <v>7124</v>
      </c>
      <c r="B7567" s="20" t="s">
        <v>2774</v>
      </c>
      <c r="C7567" s="58" t="s">
        <v>109</v>
      </c>
      <c r="D7567" s="58" t="s">
        <v>3385</v>
      </c>
      <c r="H7567">
        <f t="shared" si="213"/>
        <v>0.27</v>
      </c>
    </row>
    <row r="7568" spans="1:8" ht="15" customHeight="1">
      <c r="A7568" s="58" t="s">
        <v>7125</v>
      </c>
      <c r="B7568" s="20" t="s">
        <v>2775</v>
      </c>
      <c r="C7568" s="58" t="s">
        <v>109</v>
      </c>
      <c r="D7568" s="58" t="s">
        <v>3303</v>
      </c>
      <c r="H7568">
        <f t="shared" si="213"/>
        <v>0.39</v>
      </c>
    </row>
    <row r="7569" spans="1:8" ht="15" customHeight="1">
      <c r="A7569" s="58" t="s">
        <v>7126</v>
      </c>
      <c r="B7569" s="20" t="s">
        <v>2776</v>
      </c>
      <c r="C7569" s="58" t="s">
        <v>109</v>
      </c>
      <c r="D7569" s="58" t="s">
        <v>6906</v>
      </c>
      <c r="H7569">
        <f t="shared" si="213"/>
        <v>0.44</v>
      </c>
    </row>
    <row r="7570" spans="1:8" ht="15" customHeight="1">
      <c r="A7570" s="58" t="s">
        <v>7127</v>
      </c>
      <c r="B7570" s="20" t="s">
        <v>2777</v>
      </c>
      <c r="C7570" s="58" t="s">
        <v>109</v>
      </c>
      <c r="D7570" s="58" t="s">
        <v>23954</v>
      </c>
      <c r="H7570">
        <f t="shared" si="213"/>
        <v>0.97</v>
      </c>
    </row>
    <row r="7571" spans="1:8" ht="15" customHeight="1">
      <c r="A7571" s="58" t="s">
        <v>7128</v>
      </c>
      <c r="B7571" s="20" t="s">
        <v>2778</v>
      </c>
      <c r="C7571" s="58" t="s">
        <v>109</v>
      </c>
      <c r="D7571" s="58" t="s">
        <v>3946</v>
      </c>
      <c r="H7571">
        <f t="shared" si="213"/>
        <v>0.47</v>
      </c>
    </row>
    <row r="7572" spans="1:8" ht="15" customHeight="1">
      <c r="A7572" s="58" t="s">
        <v>7129</v>
      </c>
      <c r="B7572" s="20" t="s">
        <v>2779</v>
      </c>
      <c r="C7572" s="58" t="s">
        <v>109</v>
      </c>
      <c r="D7572" s="58" t="s">
        <v>3331</v>
      </c>
      <c r="H7572">
        <f t="shared" si="213"/>
        <v>0.37</v>
      </c>
    </row>
    <row r="7573" spans="1:8" ht="15" customHeight="1">
      <c r="A7573" s="58" t="s">
        <v>7130</v>
      </c>
      <c r="B7573" s="20" t="s">
        <v>2780</v>
      </c>
      <c r="C7573" s="58" t="s">
        <v>109</v>
      </c>
      <c r="D7573" s="58" t="s">
        <v>3297</v>
      </c>
      <c r="H7573">
        <f t="shared" si="213"/>
        <v>0.28999999999999998</v>
      </c>
    </row>
    <row r="7574" spans="1:8" ht="15" customHeight="1">
      <c r="A7574" s="58" t="s">
        <v>7131</v>
      </c>
      <c r="B7574" s="20" t="s">
        <v>2781</v>
      </c>
      <c r="C7574" s="58" t="s">
        <v>109</v>
      </c>
      <c r="D7574" s="58" t="s">
        <v>3297</v>
      </c>
      <c r="H7574">
        <f t="shared" si="213"/>
        <v>0.28999999999999998</v>
      </c>
    </row>
    <row r="7575" spans="1:8" ht="15" customHeight="1">
      <c r="A7575" s="58" t="s">
        <v>7132</v>
      </c>
      <c r="B7575" s="20" t="s">
        <v>2782</v>
      </c>
      <c r="C7575" s="58" t="s">
        <v>109</v>
      </c>
      <c r="D7575" s="58" t="s">
        <v>3385</v>
      </c>
      <c r="H7575">
        <f t="shared" si="213"/>
        <v>0.27</v>
      </c>
    </row>
    <row r="7576" spans="1:8" ht="15" customHeight="1">
      <c r="A7576" s="58" t="s">
        <v>7133</v>
      </c>
      <c r="B7576" s="20" t="s">
        <v>2783</v>
      </c>
      <c r="C7576" s="58" t="s">
        <v>109</v>
      </c>
      <c r="D7576" s="58" t="s">
        <v>3964</v>
      </c>
      <c r="H7576">
        <f t="shared" si="213"/>
        <v>0.2</v>
      </c>
    </row>
    <row r="7577" spans="1:8" ht="15" customHeight="1">
      <c r="A7577" s="58" t="s">
        <v>7134</v>
      </c>
      <c r="B7577" s="20" t="s">
        <v>2784</v>
      </c>
      <c r="C7577" s="58" t="s">
        <v>109</v>
      </c>
      <c r="D7577" s="58" t="s">
        <v>4025</v>
      </c>
      <c r="H7577">
        <f t="shared" si="213"/>
        <v>0.55000000000000004</v>
      </c>
    </row>
    <row r="7578" spans="1:8" ht="15" customHeight="1">
      <c r="A7578" s="58" t="s">
        <v>7135</v>
      </c>
      <c r="B7578" s="20" t="s">
        <v>2785</v>
      </c>
      <c r="C7578" s="58" t="s">
        <v>109</v>
      </c>
      <c r="D7578" s="58" t="s">
        <v>6902</v>
      </c>
      <c r="H7578">
        <f t="shared" si="213"/>
        <v>0.49</v>
      </c>
    </row>
    <row r="7579" spans="1:8" ht="15" customHeight="1">
      <c r="A7579" s="58" t="s">
        <v>7136</v>
      </c>
      <c r="B7579" s="20" t="s">
        <v>2786</v>
      </c>
      <c r="C7579" s="58" t="s">
        <v>109</v>
      </c>
      <c r="D7579" s="58" t="s">
        <v>35143</v>
      </c>
      <c r="H7579">
        <f t="shared" si="213"/>
        <v>0.63</v>
      </c>
    </row>
    <row r="7580" spans="1:8" ht="15" customHeight="1">
      <c r="A7580" s="58" t="s">
        <v>7137</v>
      </c>
      <c r="B7580" s="20" t="s">
        <v>2787</v>
      </c>
      <c r="C7580" s="58" t="s">
        <v>109</v>
      </c>
      <c r="D7580" s="58" t="s">
        <v>3550</v>
      </c>
      <c r="H7580">
        <f t="shared" si="213"/>
        <v>0.32</v>
      </c>
    </row>
    <row r="7581" spans="1:8" ht="15" customHeight="1">
      <c r="A7581" s="58" t="s">
        <v>7138</v>
      </c>
      <c r="B7581" s="20" t="s">
        <v>2788</v>
      </c>
      <c r="C7581" s="58" t="s">
        <v>109</v>
      </c>
      <c r="D7581" s="58" t="s">
        <v>3883</v>
      </c>
      <c r="H7581">
        <f t="shared" si="213"/>
        <v>0.53</v>
      </c>
    </row>
    <row r="7582" spans="1:8" ht="15" customHeight="1">
      <c r="A7582" s="58" t="s">
        <v>7139</v>
      </c>
      <c r="B7582" s="20" t="s">
        <v>2789</v>
      </c>
      <c r="C7582" s="58" t="s">
        <v>109</v>
      </c>
      <c r="D7582" s="58" t="s">
        <v>26896</v>
      </c>
      <c r="H7582">
        <f t="shared" si="213"/>
        <v>0.41</v>
      </c>
    </row>
    <row r="7583" spans="1:8" ht="15" customHeight="1">
      <c r="A7583" s="58" t="s">
        <v>7140</v>
      </c>
      <c r="B7583" s="20" t="s">
        <v>2790</v>
      </c>
      <c r="C7583" s="58" t="s">
        <v>109</v>
      </c>
      <c r="D7583" s="58" t="s">
        <v>3385</v>
      </c>
      <c r="H7583">
        <f t="shared" si="213"/>
        <v>0.27</v>
      </c>
    </row>
    <row r="7584" spans="1:8" ht="15" customHeight="1">
      <c r="A7584" s="58" t="s">
        <v>7141</v>
      </c>
      <c r="B7584" s="20" t="s">
        <v>2791</v>
      </c>
      <c r="C7584" s="58" t="s">
        <v>109</v>
      </c>
      <c r="D7584" s="58" t="s">
        <v>10398</v>
      </c>
      <c r="H7584">
        <f t="shared" si="213"/>
        <v>1.6</v>
      </c>
    </row>
    <row r="7585" spans="1:8" ht="15" customHeight="1">
      <c r="A7585" s="58" t="s">
        <v>7142</v>
      </c>
      <c r="B7585" s="20" t="s">
        <v>2792</v>
      </c>
      <c r="C7585" s="58" t="s">
        <v>109</v>
      </c>
      <c r="D7585" s="58" t="s">
        <v>16555</v>
      </c>
      <c r="H7585">
        <f t="shared" si="213"/>
        <v>1.52</v>
      </c>
    </row>
    <row r="7586" spans="1:8" ht="15" customHeight="1">
      <c r="A7586" s="58" t="s">
        <v>7143</v>
      </c>
      <c r="B7586" s="20" t="s">
        <v>2793</v>
      </c>
      <c r="C7586" s="58" t="s">
        <v>109</v>
      </c>
      <c r="D7586" s="58" t="s">
        <v>3568</v>
      </c>
      <c r="H7586">
        <f t="shared" si="213"/>
        <v>0.59</v>
      </c>
    </row>
    <row r="7587" spans="1:8" ht="15" customHeight="1">
      <c r="A7587" s="58" t="s">
        <v>7144</v>
      </c>
      <c r="B7587" s="20" t="s">
        <v>2794</v>
      </c>
      <c r="C7587" s="58" t="s">
        <v>109</v>
      </c>
      <c r="D7587" s="58" t="s">
        <v>3313</v>
      </c>
      <c r="H7587">
        <f t="shared" si="213"/>
        <v>0.28000000000000003</v>
      </c>
    </row>
    <row r="7588" spans="1:8" ht="15" customHeight="1">
      <c r="A7588" s="58" t="s">
        <v>7145</v>
      </c>
      <c r="B7588" s="20" t="s">
        <v>2795</v>
      </c>
      <c r="C7588" s="58" t="s">
        <v>109</v>
      </c>
      <c r="D7588" s="58" t="s">
        <v>3399</v>
      </c>
      <c r="H7588">
        <f t="shared" si="213"/>
        <v>0.65</v>
      </c>
    </row>
    <row r="7589" spans="1:8" ht="15" customHeight="1">
      <c r="A7589" s="58" t="s">
        <v>7146</v>
      </c>
      <c r="B7589" s="20" t="s">
        <v>2796</v>
      </c>
      <c r="C7589" s="58" t="s">
        <v>109</v>
      </c>
      <c r="D7589" s="58" t="s">
        <v>3399</v>
      </c>
      <c r="H7589">
        <f t="shared" si="213"/>
        <v>0.65</v>
      </c>
    </row>
    <row r="7590" spans="1:8" ht="15" customHeight="1">
      <c r="A7590" s="58" t="s">
        <v>7147</v>
      </c>
      <c r="B7590" s="20" t="s">
        <v>2797</v>
      </c>
      <c r="C7590" s="58" t="s">
        <v>109</v>
      </c>
      <c r="D7590" s="58" t="s">
        <v>3603</v>
      </c>
      <c r="H7590">
        <f t="shared" si="213"/>
        <v>0.52</v>
      </c>
    </row>
    <row r="7591" spans="1:8" ht="15" customHeight="1">
      <c r="A7591" s="58" t="s">
        <v>7148</v>
      </c>
      <c r="B7591" s="20" t="s">
        <v>2798</v>
      </c>
      <c r="C7591" s="58" t="s">
        <v>109</v>
      </c>
      <c r="D7591" s="58" t="s">
        <v>6902</v>
      </c>
      <c r="H7591">
        <f t="shared" si="213"/>
        <v>0.49</v>
      </c>
    </row>
    <row r="7592" spans="1:8" ht="15" customHeight="1">
      <c r="A7592" s="58" t="s">
        <v>7149</v>
      </c>
      <c r="B7592" s="20" t="s">
        <v>2799</v>
      </c>
      <c r="C7592" s="58" t="s">
        <v>109</v>
      </c>
      <c r="D7592" s="58" t="s">
        <v>3717</v>
      </c>
      <c r="H7592">
        <f t="shared" si="213"/>
        <v>0.43</v>
      </c>
    </row>
    <row r="7593" spans="1:8" ht="15" customHeight="1">
      <c r="A7593" s="58" t="s">
        <v>7150</v>
      </c>
      <c r="B7593" s="20" t="s">
        <v>2800</v>
      </c>
      <c r="C7593" s="58" t="s">
        <v>109</v>
      </c>
      <c r="D7593" s="58" t="s">
        <v>3728</v>
      </c>
      <c r="H7593">
        <f t="shared" si="213"/>
        <v>0.67</v>
      </c>
    </row>
    <row r="7594" spans="1:8" ht="15" customHeight="1">
      <c r="A7594" s="58" t="s">
        <v>7151</v>
      </c>
      <c r="B7594" s="20" t="s">
        <v>2801</v>
      </c>
      <c r="C7594" s="58" t="s">
        <v>109</v>
      </c>
      <c r="D7594" s="58" t="s">
        <v>4038</v>
      </c>
      <c r="H7594">
        <f t="shared" si="213"/>
        <v>0.45</v>
      </c>
    </row>
    <row r="7595" spans="1:8" ht="15" customHeight="1">
      <c r="A7595" s="58" t="s">
        <v>7152</v>
      </c>
      <c r="B7595" s="20" t="s">
        <v>2802</v>
      </c>
      <c r="C7595" s="58" t="s">
        <v>109</v>
      </c>
      <c r="D7595" s="58" t="s">
        <v>30247</v>
      </c>
      <c r="H7595">
        <f t="shared" si="213"/>
        <v>1.61</v>
      </c>
    </row>
    <row r="7596" spans="1:8" ht="15" customHeight="1">
      <c r="A7596" s="58" t="s">
        <v>7153</v>
      </c>
      <c r="B7596" s="20" t="s">
        <v>2803</v>
      </c>
      <c r="C7596" s="58" t="s">
        <v>109</v>
      </c>
      <c r="D7596" s="58" t="s">
        <v>3211</v>
      </c>
      <c r="H7596">
        <f t="shared" si="213"/>
        <v>0.17</v>
      </c>
    </row>
    <row r="7597" spans="1:8" ht="15" customHeight="1">
      <c r="A7597" s="58" t="s">
        <v>7154</v>
      </c>
      <c r="B7597" s="20" t="s">
        <v>2804</v>
      </c>
      <c r="C7597" s="58" t="s">
        <v>109</v>
      </c>
      <c r="D7597" s="58" t="s">
        <v>3211</v>
      </c>
      <c r="H7597">
        <f t="shared" si="213"/>
        <v>0.17</v>
      </c>
    </row>
    <row r="7598" spans="1:8" ht="15" customHeight="1">
      <c r="A7598" s="58" t="s">
        <v>7155</v>
      </c>
      <c r="B7598" s="20" t="s">
        <v>2805</v>
      </c>
      <c r="C7598" s="58" t="s">
        <v>109</v>
      </c>
      <c r="D7598" s="58" t="s">
        <v>3432</v>
      </c>
      <c r="H7598">
        <f t="shared" si="213"/>
        <v>0.21</v>
      </c>
    </row>
    <row r="7599" spans="1:8" ht="15" customHeight="1">
      <c r="A7599" s="58" t="s">
        <v>7156</v>
      </c>
      <c r="B7599" s="20" t="s">
        <v>2806</v>
      </c>
      <c r="C7599" s="58" t="s">
        <v>109</v>
      </c>
      <c r="D7599" s="58" t="s">
        <v>3558</v>
      </c>
      <c r="H7599">
        <f t="shared" si="213"/>
        <v>0.13</v>
      </c>
    </row>
    <row r="7600" spans="1:8" ht="15" customHeight="1">
      <c r="A7600" s="58" t="s">
        <v>7157</v>
      </c>
      <c r="B7600" s="20" t="s">
        <v>2807</v>
      </c>
      <c r="C7600" s="58" t="s">
        <v>109</v>
      </c>
      <c r="D7600" s="58" t="s">
        <v>3892</v>
      </c>
      <c r="H7600">
        <f t="shared" si="213"/>
        <v>0.6</v>
      </c>
    </row>
    <row r="7601" spans="1:8" ht="15" customHeight="1">
      <c r="A7601" s="58" t="s">
        <v>7158</v>
      </c>
      <c r="B7601" s="20" t="s">
        <v>2808</v>
      </c>
      <c r="C7601" s="58" t="s">
        <v>109</v>
      </c>
      <c r="D7601" s="58" t="s">
        <v>3432</v>
      </c>
      <c r="H7601">
        <f t="shared" si="213"/>
        <v>0.21</v>
      </c>
    </row>
    <row r="7602" spans="1:8" ht="15" customHeight="1">
      <c r="A7602" s="58" t="s">
        <v>7159</v>
      </c>
      <c r="B7602" s="20" t="s">
        <v>2809</v>
      </c>
      <c r="C7602" s="58" t="s">
        <v>109</v>
      </c>
      <c r="D7602" s="58" t="s">
        <v>7244</v>
      </c>
      <c r="H7602">
        <f t="shared" si="213"/>
        <v>0.35</v>
      </c>
    </row>
    <row r="7603" spans="1:8" ht="15" customHeight="1">
      <c r="A7603" s="58" t="s">
        <v>7160</v>
      </c>
      <c r="B7603" s="20" t="s">
        <v>2810</v>
      </c>
      <c r="C7603" s="58" t="s">
        <v>109</v>
      </c>
      <c r="D7603" s="58" t="s">
        <v>3964</v>
      </c>
      <c r="H7603">
        <f t="shared" si="213"/>
        <v>0.2</v>
      </c>
    </row>
    <row r="7604" spans="1:8" ht="15" customHeight="1">
      <c r="A7604" s="58" t="s">
        <v>7161</v>
      </c>
      <c r="B7604" s="20" t="s">
        <v>2811</v>
      </c>
      <c r="C7604" s="58" t="s">
        <v>109</v>
      </c>
      <c r="D7604" s="58" t="s">
        <v>7244</v>
      </c>
      <c r="H7604">
        <f t="shared" si="213"/>
        <v>0.35</v>
      </c>
    </row>
    <row r="7605" spans="1:8" ht="15" customHeight="1">
      <c r="A7605" s="58" t="s">
        <v>7162</v>
      </c>
      <c r="B7605" s="20" t="s">
        <v>2812</v>
      </c>
      <c r="C7605" s="58" t="s">
        <v>109</v>
      </c>
      <c r="D7605" s="58" t="s">
        <v>3603</v>
      </c>
      <c r="H7605">
        <f t="shared" si="213"/>
        <v>0.52</v>
      </c>
    </row>
    <row r="7606" spans="1:8" ht="15" customHeight="1">
      <c r="A7606" s="58" t="s">
        <v>7163</v>
      </c>
      <c r="B7606" s="20" t="s">
        <v>2813</v>
      </c>
      <c r="C7606" s="58" t="s">
        <v>109</v>
      </c>
      <c r="D7606" s="58" t="s">
        <v>7229</v>
      </c>
      <c r="H7606">
        <f t="shared" si="213"/>
        <v>0.56000000000000005</v>
      </c>
    </row>
    <row r="7607" spans="1:8" ht="15" customHeight="1">
      <c r="A7607" s="58" t="s">
        <v>7164</v>
      </c>
      <c r="B7607" s="20" t="s">
        <v>2814</v>
      </c>
      <c r="C7607" s="58" t="s">
        <v>109</v>
      </c>
      <c r="D7607" s="58" t="s">
        <v>31069</v>
      </c>
      <c r="H7607">
        <f t="shared" si="213"/>
        <v>1</v>
      </c>
    </row>
    <row r="7608" spans="1:8" ht="15" customHeight="1">
      <c r="A7608" s="58" t="s">
        <v>7165</v>
      </c>
      <c r="B7608" s="20" t="s">
        <v>2815</v>
      </c>
      <c r="C7608" s="58" t="s">
        <v>109</v>
      </c>
      <c r="D7608" s="58" t="s">
        <v>4025</v>
      </c>
      <c r="H7608">
        <f t="shared" si="213"/>
        <v>0.55000000000000004</v>
      </c>
    </row>
    <row r="7609" spans="1:8" ht="15" customHeight="1">
      <c r="A7609" s="58" t="s">
        <v>7166</v>
      </c>
      <c r="B7609" s="20" t="s">
        <v>2816</v>
      </c>
      <c r="C7609" s="58" t="s">
        <v>109</v>
      </c>
      <c r="D7609" s="58" t="s">
        <v>3469</v>
      </c>
      <c r="H7609">
        <f t="shared" si="213"/>
        <v>0.25</v>
      </c>
    </row>
    <row r="7610" spans="1:8" ht="15" customHeight="1">
      <c r="A7610" s="58" t="s">
        <v>7167</v>
      </c>
      <c r="B7610" s="20" t="s">
        <v>2817</v>
      </c>
      <c r="C7610" s="58" t="s">
        <v>109</v>
      </c>
      <c r="D7610" s="58" t="s">
        <v>4038</v>
      </c>
      <c r="H7610">
        <f t="shared" si="213"/>
        <v>0.45</v>
      </c>
    </row>
    <row r="7611" spans="1:8" ht="15" customHeight="1">
      <c r="A7611" s="58" t="s">
        <v>7168</v>
      </c>
      <c r="B7611" s="20" t="s">
        <v>2818</v>
      </c>
      <c r="C7611" s="58" t="s">
        <v>109</v>
      </c>
      <c r="D7611" s="58" t="s">
        <v>4038</v>
      </c>
      <c r="H7611">
        <f t="shared" si="213"/>
        <v>0.45</v>
      </c>
    </row>
    <row r="7612" spans="1:8" ht="15" customHeight="1">
      <c r="A7612" s="58" t="s">
        <v>7169</v>
      </c>
      <c r="B7612" s="20" t="s">
        <v>2819</v>
      </c>
      <c r="C7612" s="58" t="s">
        <v>109</v>
      </c>
      <c r="D7612" s="58" t="s">
        <v>7244</v>
      </c>
      <c r="H7612">
        <f t="shared" si="213"/>
        <v>0.35</v>
      </c>
    </row>
    <row r="7613" spans="1:8" ht="15" customHeight="1">
      <c r="A7613" s="58" t="s">
        <v>7170</v>
      </c>
      <c r="B7613" s="20" t="s">
        <v>2820</v>
      </c>
      <c r="C7613" s="58" t="s">
        <v>109</v>
      </c>
      <c r="D7613" s="58" t="s">
        <v>7244</v>
      </c>
      <c r="H7613">
        <f t="shared" si="213"/>
        <v>0.35</v>
      </c>
    </row>
    <row r="7614" spans="1:8" ht="15" customHeight="1">
      <c r="A7614" s="58" t="s">
        <v>7171</v>
      </c>
      <c r="B7614" s="20" t="s">
        <v>2821</v>
      </c>
      <c r="C7614" s="58" t="s">
        <v>109</v>
      </c>
      <c r="D7614" s="58" t="s">
        <v>3313</v>
      </c>
      <c r="H7614">
        <f t="shared" si="213"/>
        <v>0.28000000000000003</v>
      </c>
    </row>
    <row r="7615" spans="1:8" ht="15" customHeight="1">
      <c r="A7615" s="58" t="s">
        <v>7172</v>
      </c>
      <c r="B7615" s="20" t="s">
        <v>2822</v>
      </c>
      <c r="C7615" s="58" t="s">
        <v>109</v>
      </c>
      <c r="D7615" s="58" t="s">
        <v>4038</v>
      </c>
      <c r="H7615">
        <f t="shared" si="213"/>
        <v>0.45</v>
      </c>
    </row>
    <row r="7616" spans="1:8" ht="15" customHeight="1">
      <c r="A7616" s="58" t="s">
        <v>7173</v>
      </c>
      <c r="B7616" s="20" t="s">
        <v>2823</v>
      </c>
      <c r="C7616" s="58" t="s">
        <v>109</v>
      </c>
      <c r="D7616" s="58" t="s">
        <v>3710</v>
      </c>
      <c r="H7616">
        <f t="shared" si="213"/>
        <v>0.31</v>
      </c>
    </row>
    <row r="7617" spans="1:8" ht="15" customHeight="1">
      <c r="A7617" s="58" t="s">
        <v>7174</v>
      </c>
      <c r="B7617" s="20" t="s">
        <v>2824</v>
      </c>
      <c r="C7617" s="58" t="s">
        <v>109</v>
      </c>
      <c r="D7617" s="58" t="s">
        <v>3377</v>
      </c>
      <c r="H7617">
        <f t="shared" si="213"/>
        <v>0.36</v>
      </c>
    </row>
    <row r="7618" spans="1:8" ht="15" customHeight="1">
      <c r="A7618" s="58" t="s">
        <v>7175</v>
      </c>
      <c r="B7618" s="20" t="s">
        <v>2825</v>
      </c>
      <c r="C7618" s="58" t="s">
        <v>109</v>
      </c>
      <c r="D7618" s="58" t="s">
        <v>6902</v>
      </c>
      <c r="H7618">
        <f t="shared" si="213"/>
        <v>0.49</v>
      </c>
    </row>
    <row r="7619" spans="1:8" ht="15" customHeight="1">
      <c r="A7619" s="58" t="s">
        <v>7176</v>
      </c>
      <c r="B7619" s="20" t="s">
        <v>2826</v>
      </c>
      <c r="C7619" s="58" t="s">
        <v>109</v>
      </c>
      <c r="D7619" s="58" t="s">
        <v>23955</v>
      </c>
      <c r="H7619">
        <f t="shared" si="213"/>
        <v>0.72</v>
      </c>
    </row>
    <row r="7620" spans="1:8" ht="15" customHeight="1">
      <c r="A7620" s="58" t="s">
        <v>7177</v>
      </c>
      <c r="B7620" s="20" t="s">
        <v>2827</v>
      </c>
      <c r="C7620" s="58" t="s">
        <v>109</v>
      </c>
      <c r="D7620" s="58" t="s">
        <v>6902</v>
      </c>
      <c r="H7620">
        <f t="shared" si="213"/>
        <v>0.49</v>
      </c>
    </row>
    <row r="7621" spans="1:8" ht="15" customHeight="1">
      <c r="A7621" s="58" t="s">
        <v>7178</v>
      </c>
      <c r="B7621" s="20" t="s">
        <v>2828</v>
      </c>
      <c r="C7621" s="58" t="s">
        <v>109</v>
      </c>
      <c r="D7621" s="58" t="s">
        <v>4038</v>
      </c>
      <c r="H7621">
        <f t="shared" ref="H7621:H7684" si="214">ROUND(D7621*(1+$H$1),2)</f>
        <v>0.45</v>
      </c>
    </row>
    <row r="7622" spans="1:8" ht="15" customHeight="1">
      <c r="A7622" s="58" t="s">
        <v>7179</v>
      </c>
      <c r="B7622" s="20" t="s">
        <v>2829</v>
      </c>
      <c r="C7622" s="58" t="s">
        <v>109</v>
      </c>
      <c r="D7622" s="58" t="s">
        <v>6902</v>
      </c>
      <c r="H7622">
        <f t="shared" si="214"/>
        <v>0.49</v>
      </c>
    </row>
    <row r="7623" spans="1:8" ht="15" customHeight="1">
      <c r="A7623" s="58" t="s">
        <v>7180</v>
      </c>
      <c r="B7623" s="20" t="s">
        <v>2830</v>
      </c>
      <c r="C7623" s="58" t="s">
        <v>109</v>
      </c>
      <c r="D7623" s="58" t="s">
        <v>3683</v>
      </c>
      <c r="H7623">
        <f t="shared" si="214"/>
        <v>0.69</v>
      </c>
    </row>
    <row r="7624" spans="1:8" ht="15" customHeight="1">
      <c r="A7624" s="58" t="s">
        <v>7181</v>
      </c>
      <c r="B7624" s="20" t="s">
        <v>2831</v>
      </c>
      <c r="C7624" s="58" t="s">
        <v>109</v>
      </c>
      <c r="D7624" s="58" t="s">
        <v>3418</v>
      </c>
      <c r="H7624">
        <f t="shared" si="214"/>
        <v>0.15</v>
      </c>
    </row>
    <row r="7625" spans="1:8" ht="15" customHeight="1">
      <c r="A7625" s="58" t="s">
        <v>7182</v>
      </c>
      <c r="B7625" s="20" t="s">
        <v>2832</v>
      </c>
      <c r="C7625" s="58" t="s">
        <v>109</v>
      </c>
      <c r="D7625" s="58" t="s">
        <v>4038</v>
      </c>
      <c r="H7625">
        <f t="shared" si="214"/>
        <v>0.45</v>
      </c>
    </row>
    <row r="7626" spans="1:8" ht="15" customHeight="1">
      <c r="A7626" s="58" t="s">
        <v>7183</v>
      </c>
      <c r="B7626" s="20" t="s">
        <v>2833</v>
      </c>
      <c r="C7626" s="58" t="s">
        <v>109</v>
      </c>
      <c r="D7626" s="58" t="s">
        <v>26983</v>
      </c>
      <c r="H7626">
        <f t="shared" si="214"/>
        <v>0.48</v>
      </c>
    </row>
    <row r="7627" spans="1:8" ht="15" customHeight="1">
      <c r="A7627" s="58" t="s">
        <v>7184</v>
      </c>
      <c r="B7627" s="20" t="s">
        <v>2834</v>
      </c>
      <c r="C7627" s="58" t="s">
        <v>109</v>
      </c>
      <c r="D7627" s="58" t="s">
        <v>3717</v>
      </c>
      <c r="H7627">
        <f t="shared" si="214"/>
        <v>0.43</v>
      </c>
    </row>
    <row r="7628" spans="1:8" ht="15" customHeight="1">
      <c r="A7628" s="58" t="s">
        <v>7185</v>
      </c>
      <c r="B7628" s="20" t="s">
        <v>2835</v>
      </c>
      <c r="C7628" s="58" t="s">
        <v>109</v>
      </c>
      <c r="D7628" s="58" t="s">
        <v>7249</v>
      </c>
      <c r="H7628">
        <f t="shared" si="214"/>
        <v>0.51</v>
      </c>
    </row>
    <row r="7629" spans="1:8" ht="15" customHeight="1">
      <c r="A7629" s="58" t="s">
        <v>7186</v>
      </c>
      <c r="B7629" s="20" t="s">
        <v>2836</v>
      </c>
      <c r="C7629" s="58" t="s">
        <v>109</v>
      </c>
      <c r="D7629" s="58" t="s">
        <v>35143</v>
      </c>
      <c r="H7629">
        <f t="shared" si="214"/>
        <v>0.63</v>
      </c>
    </row>
    <row r="7630" spans="1:8" ht="15" customHeight="1">
      <c r="A7630" s="58" t="s">
        <v>7187</v>
      </c>
      <c r="B7630" s="20" t="s">
        <v>2837</v>
      </c>
      <c r="C7630" s="58" t="s">
        <v>109</v>
      </c>
      <c r="D7630" s="58" t="s">
        <v>35144</v>
      </c>
      <c r="H7630">
        <f t="shared" si="214"/>
        <v>0.91</v>
      </c>
    </row>
    <row r="7631" spans="1:8" ht="15" customHeight="1">
      <c r="A7631" s="58" t="s">
        <v>7188</v>
      </c>
      <c r="B7631" s="20" t="s">
        <v>2838</v>
      </c>
      <c r="C7631" s="58" t="s">
        <v>109</v>
      </c>
      <c r="D7631" s="58" t="s">
        <v>26896</v>
      </c>
      <c r="H7631">
        <f t="shared" si="214"/>
        <v>0.41</v>
      </c>
    </row>
    <row r="7632" spans="1:8" ht="15" customHeight="1">
      <c r="A7632" s="58" t="s">
        <v>7189</v>
      </c>
      <c r="B7632" s="20" t="s">
        <v>2839</v>
      </c>
      <c r="C7632" s="58" t="s">
        <v>109</v>
      </c>
      <c r="D7632" s="58" t="s">
        <v>4025</v>
      </c>
      <c r="H7632">
        <f t="shared" si="214"/>
        <v>0.55000000000000004</v>
      </c>
    </row>
    <row r="7633" spans="1:8" ht="15" customHeight="1">
      <c r="A7633" s="58" t="s">
        <v>7190</v>
      </c>
      <c r="B7633" s="20" t="s">
        <v>2840</v>
      </c>
      <c r="C7633" s="58" t="s">
        <v>109</v>
      </c>
      <c r="D7633" s="58" t="s">
        <v>26896</v>
      </c>
      <c r="H7633">
        <f t="shared" si="214"/>
        <v>0.41</v>
      </c>
    </row>
    <row r="7634" spans="1:8" ht="15" customHeight="1">
      <c r="A7634" s="58" t="s">
        <v>7191</v>
      </c>
      <c r="B7634" s="20" t="s">
        <v>2841</v>
      </c>
      <c r="C7634" s="58" t="s">
        <v>109</v>
      </c>
      <c r="D7634" s="58" t="s">
        <v>3297</v>
      </c>
      <c r="H7634">
        <f t="shared" si="214"/>
        <v>0.28999999999999998</v>
      </c>
    </row>
    <row r="7635" spans="1:8" ht="15" customHeight="1">
      <c r="A7635" s="58" t="s">
        <v>7192</v>
      </c>
      <c r="B7635" s="20" t="s">
        <v>2842</v>
      </c>
      <c r="C7635" s="58" t="s">
        <v>109</v>
      </c>
      <c r="D7635" s="58" t="s">
        <v>4032</v>
      </c>
      <c r="H7635">
        <f t="shared" si="214"/>
        <v>0.12</v>
      </c>
    </row>
    <row r="7636" spans="1:8" ht="15" customHeight="1">
      <c r="A7636" s="58" t="s">
        <v>7193</v>
      </c>
      <c r="B7636" s="20" t="s">
        <v>2843</v>
      </c>
      <c r="C7636" s="58" t="s">
        <v>109</v>
      </c>
      <c r="D7636" s="58" t="s">
        <v>3599</v>
      </c>
      <c r="H7636">
        <f t="shared" si="214"/>
        <v>0.19</v>
      </c>
    </row>
    <row r="7637" spans="1:8" ht="15" customHeight="1">
      <c r="A7637" s="58" t="s">
        <v>7194</v>
      </c>
      <c r="B7637" s="20" t="s">
        <v>2844</v>
      </c>
      <c r="C7637" s="58" t="s">
        <v>109</v>
      </c>
      <c r="D7637" s="58" t="s">
        <v>23965</v>
      </c>
      <c r="H7637">
        <f t="shared" si="214"/>
        <v>0.79</v>
      </c>
    </row>
    <row r="7638" spans="1:8" ht="15" customHeight="1">
      <c r="A7638" s="58" t="s">
        <v>7195</v>
      </c>
      <c r="B7638" s="20" t="s">
        <v>2845</v>
      </c>
      <c r="C7638" s="58" t="s">
        <v>109</v>
      </c>
      <c r="D7638" s="58" t="s">
        <v>10763</v>
      </c>
      <c r="H7638">
        <f t="shared" si="214"/>
        <v>1.35</v>
      </c>
    </row>
    <row r="7639" spans="1:8" ht="15" customHeight="1">
      <c r="A7639" s="58" t="s">
        <v>7196</v>
      </c>
      <c r="B7639" s="20" t="s">
        <v>2846</v>
      </c>
      <c r="C7639" s="58" t="s">
        <v>109</v>
      </c>
      <c r="D7639" s="58" t="s">
        <v>35026</v>
      </c>
      <c r="H7639">
        <f t="shared" si="214"/>
        <v>1.53</v>
      </c>
    </row>
    <row r="7640" spans="1:8" ht="15" customHeight="1">
      <c r="A7640" s="58" t="s">
        <v>7197</v>
      </c>
      <c r="B7640" s="20" t="s">
        <v>2847</v>
      </c>
      <c r="C7640" s="58" t="s">
        <v>109</v>
      </c>
      <c r="D7640" s="58" t="s">
        <v>6471</v>
      </c>
      <c r="H7640">
        <f t="shared" si="214"/>
        <v>1.59</v>
      </c>
    </row>
    <row r="7641" spans="1:8" ht="15" customHeight="1">
      <c r="A7641" s="58" t="s">
        <v>7198</v>
      </c>
      <c r="B7641" s="20" t="s">
        <v>2848</v>
      </c>
      <c r="C7641" s="58" t="s">
        <v>109</v>
      </c>
      <c r="D7641" s="58" t="s">
        <v>3558</v>
      </c>
      <c r="H7641">
        <f t="shared" si="214"/>
        <v>0.13</v>
      </c>
    </row>
    <row r="7642" spans="1:8" ht="15" customHeight="1">
      <c r="A7642" s="58" t="s">
        <v>7199</v>
      </c>
      <c r="B7642" s="20" t="s">
        <v>2849</v>
      </c>
      <c r="C7642" s="58" t="s">
        <v>109</v>
      </c>
      <c r="D7642" s="58" t="s">
        <v>3211</v>
      </c>
      <c r="H7642">
        <f t="shared" si="214"/>
        <v>0.17</v>
      </c>
    </row>
    <row r="7643" spans="1:8" ht="15" customHeight="1">
      <c r="A7643" s="58" t="s">
        <v>7200</v>
      </c>
      <c r="B7643" s="20" t="s">
        <v>2850</v>
      </c>
      <c r="C7643" s="58" t="s">
        <v>109</v>
      </c>
      <c r="D7643" s="58" t="s">
        <v>3573</v>
      </c>
      <c r="H7643">
        <f t="shared" si="214"/>
        <v>1.1499999999999999</v>
      </c>
    </row>
    <row r="7644" spans="1:8" ht="15" customHeight="1">
      <c r="A7644" s="58" t="s">
        <v>7201</v>
      </c>
      <c r="B7644" s="20" t="s">
        <v>2851</v>
      </c>
      <c r="C7644" s="58" t="s">
        <v>109</v>
      </c>
      <c r="D7644" s="58" t="s">
        <v>7478</v>
      </c>
      <c r="H7644">
        <f t="shared" si="214"/>
        <v>2.68</v>
      </c>
    </row>
    <row r="7645" spans="1:8" ht="15" customHeight="1">
      <c r="A7645" s="58" t="s">
        <v>7202</v>
      </c>
      <c r="B7645" s="20" t="s">
        <v>2852</v>
      </c>
      <c r="C7645" s="58" t="s">
        <v>109</v>
      </c>
      <c r="D7645" s="58" t="s">
        <v>3508</v>
      </c>
      <c r="H7645">
        <f t="shared" si="214"/>
        <v>2.88</v>
      </c>
    </row>
    <row r="7646" spans="1:8" ht="15" customHeight="1">
      <c r="A7646" s="58" t="s">
        <v>7203</v>
      </c>
      <c r="B7646" s="20" t="s">
        <v>2853</v>
      </c>
      <c r="C7646" s="58" t="s">
        <v>109</v>
      </c>
      <c r="D7646" s="58" t="s">
        <v>7314</v>
      </c>
      <c r="H7646">
        <f t="shared" si="214"/>
        <v>3.36</v>
      </c>
    </row>
    <row r="7647" spans="1:8" ht="15" customHeight="1">
      <c r="A7647" s="58" t="s">
        <v>7204</v>
      </c>
      <c r="B7647" s="20" t="s">
        <v>2854</v>
      </c>
      <c r="C7647" s="58" t="s">
        <v>109</v>
      </c>
      <c r="D7647" s="58" t="s">
        <v>6347</v>
      </c>
      <c r="H7647">
        <f t="shared" si="214"/>
        <v>1.88</v>
      </c>
    </row>
    <row r="7648" spans="1:8" ht="15" customHeight="1">
      <c r="A7648" s="58" t="s">
        <v>7205</v>
      </c>
      <c r="B7648" s="20" t="s">
        <v>2855</v>
      </c>
      <c r="C7648" s="58" t="s">
        <v>109</v>
      </c>
      <c r="D7648" s="58" t="s">
        <v>4038</v>
      </c>
      <c r="H7648">
        <f t="shared" si="214"/>
        <v>0.45</v>
      </c>
    </row>
    <row r="7649" spans="1:8" ht="15" customHeight="1">
      <c r="A7649" s="58" t="s">
        <v>7207</v>
      </c>
      <c r="B7649" s="20" t="s">
        <v>2856</v>
      </c>
      <c r="C7649" s="58" t="s">
        <v>1713</v>
      </c>
      <c r="D7649" s="58" t="s">
        <v>31258</v>
      </c>
      <c r="H7649">
        <f t="shared" si="214"/>
        <v>22.71</v>
      </c>
    </row>
    <row r="7650" spans="1:8" ht="15" customHeight="1">
      <c r="A7650" s="58" t="s">
        <v>7209</v>
      </c>
      <c r="B7650" s="20" t="s">
        <v>2857</v>
      </c>
      <c r="C7650" s="58" t="s">
        <v>1713</v>
      </c>
      <c r="D7650" s="58" t="s">
        <v>9775</v>
      </c>
      <c r="H7650">
        <f t="shared" si="214"/>
        <v>23.44</v>
      </c>
    </row>
    <row r="7651" spans="1:8" ht="15" customHeight="1">
      <c r="A7651" s="58" t="s">
        <v>7210</v>
      </c>
      <c r="B7651" s="20" t="s">
        <v>2858</v>
      </c>
      <c r="C7651" s="58" t="s">
        <v>1713</v>
      </c>
      <c r="D7651" s="58" t="s">
        <v>29336</v>
      </c>
      <c r="H7651">
        <f t="shared" si="214"/>
        <v>24.57</v>
      </c>
    </row>
    <row r="7652" spans="1:8" ht="15" customHeight="1">
      <c r="A7652" s="58" t="s">
        <v>7212</v>
      </c>
      <c r="B7652" s="20" t="s">
        <v>2859</v>
      </c>
      <c r="C7652" s="58" t="s">
        <v>1713</v>
      </c>
      <c r="D7652" s="58" t="s">
        <v>35145</v>
      </c>
      <c r="H7652">
        <f t="shared" si="214"/>
        <v>104.28</v>
      </c>
    </row>
    <row r="7653" spans="1:8" ht="15" customHeight="1">
      <c r="A7653" s="58" t="s">
        <v>7213</v>
      </c>
      <c r="B7653" s="20" t="s">
        <v>2860</v>
      </c>
      <c r="C7653" s="58" t="s">
        <v>1713</v>
      </c>
      <c r="D7653" s="58" t="s">
        <v>35146</v>
      </c>
      <c r="H7653">
        <f t="shared" si="214"/>
        <v>351.47</v>
      </c>
    </row>
    <row r="7654" spans="1:8" ht="15" customHeight="1">
      <c r="A7654" s="58" t="s">
        <v>7214</v>
      </c>
      <c r="B7654" s="20" t="s">
        <v>2861</v>
      </c>
      <c r="C7654" s="58" t="s">
        <v>1713</v>
      </c>
      <c r="D7654" s="58" t="s">
        <v>7299</v>
      </c>
      <c r="H7654">
        <f t="shared" si="214"/>
        <v>17.96</v>
      </c>
    </row>
    <row r="7655" spans="1:8" ht="15" customHeight="1">
      <c r="A7655" s="58" t="s">
        <v>7215</v>
      </c>
      <c r="B7655" s="20" t="s">
        <v>2862</v>
      </c>
      <c r="C7655" s="58" t="s">
        <v>1713</v>
      </c>
      <c r="D7655" s="58" t="s">
        <v>35147</v>
      </c>
      <c r="H7655">
        <f t="shared" si="214"/>
        <v>377.6</v>
      </c>
    </row>
    <row r="7656" spans="1:8" ht="15" customHeight="1">
      <c r="A7656" s="58" t="s">
        <v>7216</v>
      </c>
      <c r="B7656" s="20" t="s">
        <v>2863</v>
      </c>
      <c r="C7656" s="58" t="s">
        <v>1713</v>
      </c>
      <c r="D7656" s="58" t="s">
        <v>35148</v>
      </c>
      <c r="H7656">
        <f t="shared" si="214"/>
        <v>441.54</v>
      </c>
    </row>
    <row r="7657" spans="1:8" ht="15" customHeight="1">
      <c r="A7657" s="58" t="s">
        <v>7217</v>
      </c>
      <c r="B7657" s="20" t="s">
        <v>2864</v>
      </c>
      <c r="C7657" s="58" t="s">
        <v>1713</v>
      </c>
      <c r="D7657" s="58" t="s">
        <v>35149</v>
      </c>
      <c r="H7657">
        <f t="shared" si="214"/>
        <v>177.76</v>
      </c>
    </row>
    <row r="7658" spans="1:8" ht="15" customHeight="1">
      <c r="A7658" s="58" t="s">
        <v>7218</v>
      </c>
      <c r="B7658" s="20" t="s">
        <v>2865</v>
      </c>
      <c r="C7658" s="58" t="s">
        <v>1713</v>
      </c>
      <c r="D7658" s="58" t="s">
        <v>35150</v>
      </c>
      <c r="H7658">
        <f t="shared" si="214"/>
        <v>202.37</v>
      </c>
    </row>
    <row r="7659" spans="1:8" ht="15" customHeight="1">
      <c r="A7659" s="58" t="s">
        <v>7219</v>
      </c>
      <c r="B7659" s="20" t="s">
        <v>2866</v>
      </c>
      <c r="C7659" s="58" t="s">
        <v>1713</v>
      </c>
      <c r="D7659" s="58" t="s">
        <v>35151</v>
      </c>
      <c r="H7659">
        <f t="shared" si="214"/>
        <v>208.76</v>
      </c>
    </row>
    <row r="7660" spans="1:8" ht="15" customHeight="1">
      <c r="A7660" s="58" t="s">
        <v>7220</v>
      </c>
      <c r="B7660" s="20" t="s">
        <v>2867</v>
      </c>
      <c r="C7660" s="58" t="s">
        <v>1713</v>
      </c>
      <c r="D7660" s="58" t="s">
        <v>35152</v>
      </c>
      <c r="H7660">
        <f t="shared" si="214"/>
        <v>151.44</v>
      </c>
    </row>
    <row r="7661" spans="1:8" ht="15" customHeight="1">
      <c r="A7661" s="58" t="s">
        <v>7221</v>
      </c>
      <c r="B7661" s="20" t="s">
        <v>2868</v>
      </c>
      <c r="C7661" s="58" t="s">
        <v>1713</v>
      </c>
      <c r="D7661" s="58" t="s">
        <v>34520</v>
      </c>
      <c r="H7661">
        <f t="shared" si="214"/>
        <v>247.03</v>
      </c>
    </row>
    <row r="7662" spans="1:8" ht="15" customHeight="1">
      <c r="A7662" s="58" t="s">
        <v>7222</v>
      </c>
      <c r="B7662" s="20" t="s">
        <v>2869</v>
      </c>
      <c r="C7662" s="58" t="s">
        <v>1713</v>
      </c>
      <c r="D7662" s="58" t="s">
        <v>34130</v>
      </c>
      <c r="H7662">
        <f t="shared" si="214"/>
        <v>60.9</v>
      </c>
    </row>
    <row r="7663" spans="1:8" ht="15" customHeight="1">
      <c r="A7663" s="58" t="s">
        <v>11181</v>
      </c>
      <c r="B7663" s="20" t="s">
        <v>11182</v>
      </c>
      <c r="C7663" s="58" t="s">
        <v>109</v>
      </c>
      <c r="D7663" s="58" t="s">
        <v>4027</v>
      </c>
      <c r="H7663">
        <f t="shared" si="214"/>
        <v>0.11</v>
      </c>
    </row>
    <row r="7664" spans="1:8" ht="15" customHeight="1">
      <c r="A7664" s="58" t="s">
        <v>11183</v>
      </c>
      <c r="B7664" s="20" t="s">
        <v>11184</v>
      </c>
      <c r="C7664" s="58" t="s">
        <v>109</v>
      </c>
      <c r="D7664" s="58" t="s">
        <v>25236</v>
      </c>
      <c r="H7664">
        <f t="shared" si="214"/>
        <v>31.37</v>
      </c>
    </row>
    <row r="7665" spans="1:8" ht="15" customHeight="1">
      <c r="A7665" s="58" t="s">
        <v>11185</v>
      </c>
      <c r="B7665" s="20" t="s">
        <v>11186</v>
      </c>
      <c r="C7665" s="58" t="s">
        <v>109</v>
      </c>
      <c r="D7665" s="58" t="s">
        <v>3303</v>
      </c>
      <c r="H7665">
        <f t="shared" si="214"/>
        <v>0.39</v>
      </c>
    </row>
    <row r="7666" spans="1:8" ht="15" customHeight="1">
      <c r="A7666" s="58" t="s">
        <v>11187</v>
      </c>
      <c r="B7666" s="20" t="s">
        <v>11188</v>
      </c>
      <c r="C7666" s="58" t="s">
        <v>109</v>
      </c>
      <c r="D7666" s="58" t="s">
        <v>3710</v>
      </c>
      <c r="H7666">
        <f t="shared" si="214"/>
        <v>0.31</v>
      </c>
    </row>
    <row r="7667" spans="1:8" ht="15" customHeight="1">
      <c r="A7667" s="58" t="s">
        <v>11189</v>
      </c>
      <c r="B7667" s="20" t="s">
        <v>11190</v>
      </c>
      <c r="C7667" s="58" t="s">
        <v>109</v>
      </c>
      <c r="D7667" s="58" t="s">
        <v>3160</v>
      </c>
      <c r="H7667">
        <f t="shared" si="214"/>
        <v>1.25</v>
      </c>
    </row>
    <row r="7668" spans="1:8" ht="15" customHeight="1">
      <c r="A7668" s="58" t="s">
        <v>11191</v>
      </c>
      <c r="B7668" s="20" t="s">
        <v>11192</v>
      </c>
      <c r="C7668" s="58" t="s">
        <v>109</v>
      </c>
      <c r="D7668" s="58" t="s">
        <v>7277</v>
      </c>
      <c r="H7668">
        <f t="shared" si="214"/>
        <v>1.01</v>
      </c>
    </row>
    <row r="7669" spans="1:8" ht="15" customHeight="1">
      <c r="A7669" s="58" t="s">
        <v>11193</v>
      </c>
      <c r="B7669" s="20" t="s">
        <v>11194</v>
      </c>
      <c r="C7669" s="58" t="s">
        <v>109</v>
      </c>
      <c r="D7669" s="58" t="s">
        <v>2990</v>
      </c>
      <c r="H7669">
        <f t="shared" si="214"/>
        <v>0.96</v>
      </c>
    </row>
    <row r="7670" spans="1:8" ht="15" customHeight="1">
      <c r="A7670" s="58" t="s">
        <v>11195</v>
      </c>
      <c r="B7670" s="20" t="s">
        <v>11196</v>
      </c>
      <c r="C7670" s="58" t="s">
        <v>109</v>
      </c>
      <c r="D7670" s="58" t="s">
        <v>29973</v>
      </c>
      <c r="H7670">
        <f t="shared" si="214"/>
        <v>36.74</v>
      </c>
    </row>
    <row r="7671" spans="1:8" ht="15" customHeight="1">
      <c r="A7671" s="58" t="s">
        <v>11197</v>
      </c>
      <c r="B7671" s="20" t="s">
        <v>11198</v>
      </c>
      <c r="C7671" s="58" t="s">
        <v>109</v>
      </c>
      <c r="D7671" s="58" t="s">
        <v>29891</v>
      </c>
      <c r="H7671">
        <f t="shared" si="214"/>
        <v>30.1</v>
      </c>
    </row>
    <row r="7672" spans="1:8" ht="15" customHeight="1">
      <c r="A7672" s="58" t="s">
        <v>11199</v>
      </c>
      <c r="B7672" s="20" t="s">
        <v>11200</v>
      </c>
      <c r="C7672" s="58" t="s">
        <v>109</v>
      </c>
      <c r="D7672" s="58" t="s">
        <v>35153</v>
      </c>
      <c r="H7672">
        <f t="shared" si="214"/>
        <v>47.84</v>
      </c>
    </row>
    <row r="7673" spans="1:8" ht="15" customHeight="1">
      <c r="A7673" s="58" t="s">
        <v>11201</v>
      </c>
      <c r="B7673" s="20" t="s">
        <v>11202</v>
      </c>
      <c r="C7673" s="58" t="s">
        <v>109</v>
      </c>
      <c r="D7673" s="58" t="s">
        <v>10316</v>
      </c>
      <c r="H7673">
        <f t="shared" si="214"/>
        <v>44.16</v>
      </c>
    </row>
    <row r="7674" spans="1:8" ht="15" customHeight="1">
      <c r="A7674" s="58" t="s">
        <v>11203</v>
      </c>
      <c r="B7674" s="20" t="s">
        <v>11207</v>
      </c>
      <c r="C7674" s="58" t="s">
        <v>109</v>
      </c>
      <c r="D7674" s="58" t="s">
        <v>35154</v>
      </c>
      <c r="H7674">
        <f t="shared" si="214"/>
        <v>50.49</v>
      </c>
    </row>
    <row r="7675" spans="1:8" ht="15" customHeight="1">
      <c r="A7675" s="58" t="s">
        <v>11204</v>
      </c>
      <c r="B7675" s="20" t="s">
        <v>11205</v>
      </c>
      <c r="C7675" s="58" t="s">
        <v>1713</v>
      </c>
      <c r="D7675" s="58" t="s">
        <v>35155</v>
      </c>
      <c r="H7675">
        <f t="shared" si="214"/>
        <v>126.48</v>
      </c>
    </row>
    <row r="7676" spans="1:8" ht="15" customHeight="1">
      <c r="A7676" s="58" t="s">
        <v>11206</v>
      </c>
      <c r="B7676" s="20" t="s">
        <v>11207</v>
      </c>
      <c r="C7676" s="58" t="s">
        <v>1713</v>
      </c>
      <c r="D7676" s="58" t="s">
        <v>35156</v>
      </c>
      <c r="H7676">
        <f t="shared" si="214"/>
        <v>8850.0400000000009</v>
      </c>
    </row>
    <row r="7677" spans="1:8" ht="15" customHeight="1">
      <c r="A7677" s="58" t="s">
        <v>11704</v>
      </c>
      <c r="B7677" s="20" t="s">
        <v>11705</v>
      </c>
      <c r="C7677" s="58" t="s">
        <v>109</v>
      </c>
      <c r="D7677" s="58" t="s">
        <v>34205</v>
      </c>
      <c r="H7677">
        <f t="shared" si="214"/>
        <v>41.99</v>
      </c>
    </row>
    <row r="7678" spans="1:8" ht="15" customHeight="1">
      <c r="A7678" s="58" t="s">
        <v>11706</v>
      </c>
      <c r="B7678" s="20" t="s">
        <v>11705</v>
      </c>
      <c r="C7678" s="58" t="s">
        <v>1713</v>
      </c>
      <c r="D7678" s="58" t="s">
        <v>35157</v>
      </c>
      <c r="H7678">
        <f t="shared" si="214"/>
        <v>7382.74</v>
      </c>
    </row>
    <row r="7679" spans="1:8" ht="15" customHeight="1">
      <c r="A7679" s="58" t="s">
        <v>11707</v>
      </c>
      <c r="B7679" s="20" t="s">
        <v>11708</v>
      </c>
      <c r="C7679" s="58" t="s">
        <v>109</v>
      </c>
      <c r="D7679" s="58" t="s">
        <v>23965</v>
      </c>
      <c r="H7679">
        <f t="shared" si="214"/>
        <v>0.79</v>
      </c>
    </row>
    <row r="7680" spans="1:8" ht="15" customHeight="1">
      <c r="A7680" s="58" t="s">
        <v>11709</v>
      </c>
      <c r="B7680" s="20" t="s">
        <v>11710</v>
      </c>
      <c r="C7680" s="58" t="s">
        <v>1713</v>
      </c>
      <c r="D7680" s="58" t="s">
        <v>29948</v>
      </c>
      <c r="H7680">
        <f t="shared" si="214"/>
        <v>104.11</v>
      </c>
    </row>
    <row r="7681" spans="1:8" ht="15" customHeight="1">
      <c r="A7681" s="58" t="s">
        <v>14634</v>
      </c>
      <c r="B7681" s="20" t="s">
        <v>14635</v>
      </c>
      <c r="C7681" s="58" t="s">
        <v>1713</v>
      </c>
      <c r="D7681" s="58" t="s">
        <v>33152</v>
      </c>
      <c r="H7681">
        <f t="shared" si="214"/>
        <v>39.78</v>
      </c>
    </row>
    <row r="7682" spans="1:8" ht="15" customHeight="1">
      <c r="A7682" s="58" t="s">
        <v>14636</v>
      </c>
      <c r="B7682" s="20" t="s">
        <v>14637</v>
      </c>
      <c r="C7682" s="58" t="s">
        <v>1713</v>
      </c>
      <c r="D7682" s="58" t="s">
        <v>35158</v>
      </c>
      <c r="H7682">
        <f t="shared" si="214"/>
        <v>128.61000000000001</v>
      </c>
    </row>
    <row r="7683" spans="1:8" ht="15" customHeight="1">
      <c r="A7683" s="58" t="s">
        <v>14638</v>
      </c>
      <c r="B7683" s="20" t="s">
        <v>14639</v>
      </c>
      <c r="C7683" s="58" t="s">
        <v>1713</v>
      </c>
      <c r="D7683" s="58" t="s">
        <v>33152</v>
      </c>
      <c r="H7683">
        <f t="shared" si="214"/>
        <v>39.78</v>
      </c>
    </row>
    <row r="7684" spans="1:8" ht="15" customHeight="1">
      <c r="A7684" s="58" t="s">
        <v>14640</v>
      </c>
      <c r="B7684" s="20" t="s">
        <v>14641</v>
      </c>
      <c r="C7684" s="58" t="s">
        <v>1713</v>
      </c>
      <c r="D7684" s="58" t="s">
        <v>20354</v>
      </c>
      <c r="H7684">
        <f t="shared" si="214"/>
        <v>36.06</v>
      </c>
    </row>
    <row r="7685" spans="1:8" ht="15" customHeight="1">
      <c r="A7685" s="58" t="s">
        <v>14642</v>
      </c>
      <c r="B7685" s="20" t="s">
        <v>14643</v>
      </c>
      <c r="C7685" s="58" t="s">
        <v>1713</v>
      </c>
      <c r="D7685" s="58" t="s">
        <v>35159</v>
      </c>
      <c r="H7685">
        <f t="shared" ref="H7685:H7748" si="215">ROUND(D7685*(1+$H$1),2)</f>
        <v>50.86</v>
      </c>
    </row>
    <row r="7686" spans="1:8" ht="15" customHeight="1">
      <c r="A7686" s="58" t="s">
        <v>14644</v>
      </c>
      <c r="B7686" s="20" t="s">
        <v>14645</v>
      </c>
      <c r="C7686" s="58" t="s">
        <v>1713</v>
      </c>
      <c r="D7686" s="58" t="s">
        <v>33152</v>
      </c>
      <c r="H7686">
        <f t="shared" si="215"/>
        <v>39.78</v>
      </c>
    </row>
    <row r="7687" spans="1:8" ht="15" customHeight="1">
      <c r="A7687" s="58" t="s">
        <v>14646</v>
      </c>
      <c r="B7687" s="20" t="s">
        <v>14647</v>
      </c>
      <c r="C7687" s="58" t="s">
        <v>1713</v>
      </c>
      <c r="D7687" s="58" t="s">
        <v>20354</v>
      </c>
      <c r="H7687">
        <f t="shared" si="215"/>
        <v>36.06</v>
      </c>
    </row>
    <row r="7688" spans="1:8" ht="15" customHeight="1">
      <c r="A7688" s="58" t="s">
        <v>14648</v>
      </c>
      <c r="B7688" s="20" t="s">
        <v>14649</v>
      </c>
      <c r="C7688" s="58" t="s">
        <v>1713</v>
      </c>
      <c r="D7688" s="58" t="s">
        <v>35160</v>
      </c>
      <c r="H7688">
        <f t="shared" si="215"/>
        <v>51.54</v>
      </c>
    </row>
    <row r="7689" spans="1:8" ht="15" customHeight="1">
      <c r="A7689" s="58" t="s">
        <v>14650</v>
      </c>
      <c r="B7689" s="20" t="s">
        <v>14651</v>
      </c>
      <c r="C7689" s="58" t="s">
        <v>1713</v>
      </c>
      <c r="D7689" s="58" t="s">
        <v>35161</v>
      </c>
      <c r="H7689">
        <f t="shared" si="215"/>
        <v>58.83</v>
      </c>
    </row>
    <row r="7690" spans="1:8" ht="15" customHeight="1">
      <c r="A7690" s="58" t="s">
        <v>14652</v>
      </c>
      <c r="B7690" s="20" t="s">
        <v>14653</v>
      </c>
      <c r="C7690" s="58" t="s">
        <v>1713</v>
      </c>
      <c r="D7690" s="58" t="s">
        <v>33481</v>
      </c>
      <c r="H7690">
        <f t="shared" si="215"/>
        <v>41.11</v>
      </c>
    </row>
    <row r="7691" spans="1:8" ht="15" customHeight="1">
      <c r="A7691" s="58" t="s">
        <v>14654</v>
      </c>
      <c r="B7691" s="20" t="s">
        <v>14655</v>
      </c>
      <c r="C7691" s="58" t="s">
        <v>1713</v>
      </c>
      <c r="D7691" s="58" t="s">
        <v>35162</v>
      </c>
      <c r="H7691">
        <f t="shared" si="215"/>
        <v>61.97</v>
      </c>
    </row>
    <row r="7692" spans="1:8" ht="15" customHeight="1">
      <c r="A7692" s="58" t="s">
        <v>14656</v>
      </c>
      <c r="B7692" s="20" t="s">
        <v>14657</v>
      </c>
      <c r="C7692" s="58" t="s">
        <v>1713</v>
      </c>
      <c r="D7692" s="58" t="s">
        <v>29304</v>
      </c>
      <c r="H7692">
        <f t="shared" si="215"/>
        <v>48.98</v>
      </c>
    </row>
    <row r="7693" spans="1:8" ht="15" customHeight="1">
      <c r="A7693" s="58" t="s">
        <v>14658</v>
      </c>
      <c r="B7693" s="20" t="s">
        <v>14659</v>
      </c>
      <c r="C7693" s="58" t="s">
        <v>1713</v>
      </c>
      <c r="D7693" s="58" t="s">
        <v>33152</v>
      </c>
      <c r="H7693">
        <f t="shared" si="215"/>
        <v>39.78</v>
      </c>
    </row>
    <row r="7694" spans="1:8" ht="15" customHeight="1">
      <c r="A7694" s="58" t="s">
        <v>14660</v>
      </c>
      <c r="B7694" s="20" t="s">
        <v>14661</v>
      </c>
      <c r="C7694" s="58" t="s">
        <v>1713</v>
      </c>
      <c r="D7694" s="58" t="s">
        <v>35159</v>
      </c>
      <c r="H7694">
        <f t="shared" si="215"/>
        <v>50.86</v>
      </c>
    </row>
    <row r="7695" spans="1:8" ht="15" customHeight="1">
      <c r="A7695" s="58" t="s">
        <v>14662</v>
      </c>
      <c r="B7695" s="20" t="s">
        <v>14663</v>
      </c>
      <c r="C7695" s="58" t="s">
        <v>1713</v>
      </c>
      <c r="D7695" s="58" t="s">
        <v>11615</v>
      </c>
      <c r="H7695">
        <f t="shared" si="215"/>
        <v>35.020000000000003</v>
      </c>
    </row>
    <row r="7696" spans="1:8" ht="15" customHeight="1">
      <c r="A7696" s="58" t="s">
        <v>14664</v>
      </c>
      <c r="B7696" s="20" t="s">
        <v>14665</v>
      </c>
      <c r="C7696" s="58" t="s">
        <v>1713</v>
      </c>
      <c r="D7696" s="58" t="s">
        <v>29298</v>
      </c>
      <c r="H7696">
        <f t="shared" si="215"/>
        <v>27.41</v>
      </c>
    </row>
    <row r="7697" spans="1:8" ht="15" customHeight="1">
      <c r="A7697" s="58" t="s">
        <v>14666</v>
      </c>
      <c r="B7697" s="20" t="s">
        <v>14667</v>
      </c>
      <c r="C7697" s="58" t="s">
        <v>1713</v>
      </c>
      <c r="D7697" s="58" t="s">
        <v>16130</v>
      </c>
      <c r="H7697">
        <f t="shared" si="215"/>
        <v>71.849999999999994</v>
      </c>
    </row>
    <row r="7698" spans="1:8" ht="15" customHeight="1">
      <c r="A7698" s="58" t="s">
        <v>14668</v>
      </c>
      <c r="B7698" s="20" t="s">
        <v>14669</v>
      </c>
      <c r="C7698" s="58" t="s">
        <v>1713</v>
      </c>
      <c r="D7698" s="58" t="s">
        <v>35163</v>
      </c>
      <c r="H7698">
        <f t="shared" si="215"/>
        <v>164.39</v>
      </c>
    </row>
    <row r="7699" spans="1:8" ht="15" customHeight="1">
      <c r="A7699" s="58" t="s">
        <v>14671</v>
      </c>
      <c r="B7699" s="20" t="s">
        <v>14672</v>
      </c>
      <c r="C7699" s="58" t="s">
        <v>1713</v>
      </c>
      <c r="D7699" s="58" t="s">
        <v>25500</v>
      </c>
      <c r="H7699">
        <f t="shared" si="215"/>
        <v>65.92</v>
      </c>
    </row>
    <row r="7700" spans="1:8" ht="15" customHeight="1">
      <c r="A7700" s="58" t="s">
        <v>14673</v>
      </c>
      <c r="B7700" s="20" t="s">
        <v>14674</v>
      </c>
      <c r="C7700" s="58" t="s">
        <v>1713</v>
      </c>
      <c r="D7700" s="58" t="s">
        <v>15304</v>
      </c>
      <c r="H7700">
        <f t="shared" si="215"/>
        <v>83.49</v>
      </c>
    </row>
    <row r="7701" spans="1:8" ht="15" customHeight="1">
      <c r="A7701" s="58" t="s">
        <v>14675</v>
      </c>
      <c r="B7701" s="20" t="s">
        <v>14676</v>
      </c>
      <c r="C7701" s="58" t="s">
        <v>1713</v>
      </c>
      <c r="D7701" s="58" t="s">
        <v>10010</v>
      </c>
      <c r="H7701">
        <f t="shared" si="215"/>
        <v>43.73</v>
      </c>
    </row>
    <row r="7702" spans="1:8" ht="15" customHeight="1">
      <c r="A7702" s="58" t="s">
        <v>14677</v>
      </c>
      <c r="B7702" s="20" t="s">
        <v>14678</v>
      </c>
      <c r="C7702" s="58" t="s">
        <v>1713</v>
      </c>
      <c r="D7702" s="58" t="s">
        <v>34780</v>
      </c>
      <c r="H7702">
        <f t="shared" si="215"/>
        <v>59.62</v>
      </c>
    </row>
    <row r="7703" spans="1:8" ht="15" customHeight="1">
      <c r="A7703" s="58" t="s">
        <v>14679</v>
      </c>
      <c r="B7703" s="20" t="s">
        <v>14680</v>
      </c>
      <c r="C7703" s="58" t="s">
        <v>1713</v>
      </c>
      <c r="D7703" s="58" t="s">
        <v>35159</v>
      </c>
      <c r="H7703">
        <f t="shared" si="215"/>
        <v>50.86</v>
      </c>
    </row>
    <row r="7704" spans="1:8" ht="15" customHeight="1">
      <c r="A7704" s="58" t="s">
        <v>14681</v>
      </c>
      <c r="B7704" s="20" t="s">
        <v>14682</v>
      </c>
      <c r="C7704" s="58" t="s">
        <v>1713</v>
      </c>
      <c r="D7704" s="58" t="s">
        <v>25219</v>
      </c>
      <c r="H7704">
        <f t="shared" si="215"/>
        <v>71.13</v>
      </c>
    </row>
    <row r="7705" spans="1:8" ht="15" customHeight="1">
      <c r="A7705" s="58" t="s">
        <v>14683</v>
      </c>
      <c r="B7705" s="20" t="s">
        <v>14684</v>
      </c>
      <c r="C7705" s="58" t="s">
        <v>1713</v>
      </c>
      <c r="D7705" s="58" t="s">
        <v>33147</v>
      </c>
      <c r="H7705">
        <f t="shared" si="215"/>
        <v>55.62</v>
      </c>
    </row>
    <row r="7706" spans="1:8" ht="15" customHeight="1">
      <c r="A7706" s="58" t="s">
        <v>14685</v>
      </c>
      <c r="B7706" s="20" t="s">
        <v>14686</v>
      </c>
      <c r="C7706" s="58" t="s">
        <v>1713</v>
      </c>
      <c r="D7706" s="58" t="s">
        <v>11615</v>
      </c>
      <c r="H7706">
        <f t="shared" si="215"/>
        <v>35.020000000000003</v>
      </c>
    </row>
    <row r="7707" spans="1:8" ht="15" customHeight="1">
      <c r="A7707" s="58" t="s">
        <v>14687</v>
      </c>
      <c r="B7707" s="20" t="s">
        <v>14688</v>
      </c>
      <c r="C7707" s="58" t="s">
        <v>1713</v>
      </c>
      <c r="D7707" s="58" t="s">
        <v>35164</v>
      </c>
      <c r="H7707">
        <f t="shared" si="215"/>
        <v>210.67</v>
      </c>
    </row>
    <row r="7708" spans="1:8" ht="15" customHeight="1">
      <c r="A7708" s="58" t="s">
        <v>14689</v>
      </c>
      <c r="B7708" s="20" t="s">
        <v>14690</v>
      </c>
      <c r="C7708" s="58" t="s">
        <v>1713</v>
      </c>
      <c r="D7708" s="58" t="s">
        <v>35165</v>
      </c>
      <c r="H7708">
        <f t="shared" si="215"/>
        <v>200.41</v>
      </c>
    </row>
    <row r="7709" spans="1:8" ht="15" customHeight="1">
      <c r="A7709" s="58" t="s">
        <v>14691</v>
      </c>
      <c r="B7709" s="20" t="s">
        <v>14692</v>
      </c>
      <c r="C7709" s="58" t="s">
        <v>1713</v>
      </c>
      <c r="D7709" s="58" t="s">
        <v>35166</v>
      </c>
      <c r="H7709">
        <f t="shared" si="215"/>
        <v>76.95</v>
      </c>
    </row>
    <row r="7710" spans="1:8" ht="15" customHeight="1">
      <c r="A7710" s="58" t="s">
        <v>14694</v>
      </c>
      <c r="B7710" s="20" t="s">
        <v>14695</v>
      </c>
      <c r="C7710" s="58" t="s">
        <v>1713</v>
      </c>
      <c r="D7710" s="58" t="s">
        <v>35167</v>
      </c>
      <c r="H7710">
        <f t="shared" si="215"/>
        <v>57.26</v>
      </c>
    </row>
    <row r="7711" spans="1:8" ht="15" customHeight="1">
      <c r="A7711" s="58" t="s">
        <v>14696</v>
      </c>
      <c r="B7711" s="20" t="s">
        <v>14697</v>
      </c>
      <c r="C7711" s="58" t="s">
        <v>1713</v>
      </c>
      <c r="D7711" s="58" t="s">
        <v>30297</v>
      </c>
      <c r="H7711">
        <f t="shared" si="215"/>
        <v>36.94</v>
      </c>
    </row>
    <row r="7712" spans="1:8" ht="15" customHeight="1">
      <c r="A7712" s="58" t="s">
        <v>14698</v>
      </c>
      <c r="B7712" s="20" t="s">
        <v>14699</v>
      </c>
      <c r="C7712" s="58" t="s">
        <v>1713</v>
      </c>
      <c r="D7712" s="58" t="s">
        <v>35168</v>
      </c>
      <c r="H7712">
        <f t="shared" si="215"/>
        <v>86.83</v>
      </c>
    </row>
    <row r="7713" spans="1:8" ht="15" customHeight="1">
      <c r="A7713" s="58" t="s">
        <v>14700</v>
      </c>
      <c r="B7713" s="20" t="s">
        <v>14701</v>
      </c>
      <c r="C7713" s="58" t="s">
        <v>1713</v>
      </c>
      <c r="D7713" s="58" t="s">
        <v>28796</v>
      </c>
      <c r="H7713">
        <f t="shared" si="215"/>
        <v>23.6</v>
      </c>
    </row>
    <row r="7714" spans="1:8" ht="15" customHeight="1">
      <c r="A7714" s="58" t="s">
        <v>14702</v>
      </c>
      <c r="B7714" s="20" t="s">
        <v>14703</v>
      </c>
      <c r="C7714" s="58" t="s">
        <v>1713</v>
      </c>
      <c r="D7714" s="58" t="s">
        <v>18655</v>
      </c>
      <c r="H7714">
        <f t="shared" si="215"/>
        <v>89.08</v>
      </c>
    </row>
    <row r="7715" spans="1:8" ht="15" customHeight="1">
      <c r="A7715" s="58" t="s">
        <v>14704</v>
      </c>
      <c r="B7715" s="20" t="s">
        <v>14705</v>
      </c>
      <c r="C7715" s="58" t="s">
        <v>1713</v>
      </c>
      <c r="D7715" s="58" t="s">
        <v>9766</v>
      </c>
      <c r="H7715">
        <f t="shared" si="215"/>
        <v>17.46</v>
      </c>
    </row>
    <row r="7716" spans="1:8" ht="15" customHeight="1">
      <c r="A7716" s="58" t="s">
        <v>14706</v>
      </c>
      <c r="B7716" s="20" t="s">
        <v>14707</v>
      </c>
      <c r="C7716" s="58" t="s">
        <v>1713</v>
      </c>
      <c r="D7716" s="58" t="s">
        <v>10195</v>
      </c>
      <c r="H7716">
        <f t="shared" si="215"/>
        <v>28.25</v>
      </c>
    </row>
    <row r="7717" spans="1:8" ht="15" customHeight="1">
      <c r="A7717" s="58" t="s">
        <v>14708</v>
      </c>
      <c r="B7717" s="20" t="s">
        <v>14709</v>
      </c>
      <c r="C7717" s="58" t="s">
        <v>1713</v>
      </c>
      <c r="D7717" s="58" t="s">
        <v>28076</v>
      </c>
      <c r="H7717">
        <f t="shared" si="215"/>
        <v>86.65</v>
      </c>
    </row>
    <row r="7718" spans="1:8" ht="15" customHeight="1">
      <c r="A7718" s="58" t="s">
        <v>14710</v>
      </c>
      <c r="B7718" s="20" t="s">
        <v>14711</v>
      </c>
      <c r="C7718" s="58" t="s">
        <v>1713</v>
      </c>
      <c r="D7718" s="58" t="s">
        <v>30548</v>
      </c>
      <c r="H7718">
        <f t="shared" si="215"/>
        <v>69.52</v>
      </c>
    </row>
    <row r="7719" spans="1:8" ht="15" customHeight="1">
      <c r="A7719" s="58" t="s">
        <v>14712</v>
      </c>
      <c r="B7719" s="20" t="s">
        <v>14713</v>
      </c>
      <c r="C7719" s="58" t="s">
        <v>1713</v>
      </c>
      <c r="D7719" s="58" t="s">
        <v>35169</v>
      </c>
      <c r="H7719">
        <f t="shared" si="215"/>
        <v>66.41</v>
      </c>
    </row>
    <row r="7720" spans="1:8" ht="15" customHeight="1">
      <c r="A7720" s="58" t="s">
        <v>14714</v>
      </c>
      <c r="B7720" s="20" t="s">
        <v>14715</v>
      </c>
      <c r="C7720" s="58" t="s">
        <v>1713</v>
      </c>
      <c r="D7720" s="58" t="s">
        <v>24310</v>
      </c>
      <c r="H7720">
        <f t="shared" si="215"/>
        <v>18.91</v>
      </c>
    </row>
    <row r="7721" spans="1:8" ht="15" customHeight="1">
      <c r="A7721" s="58" t="s">
        <v>14716</v>
      </c>
      <c r="B7721" s="20" t="s">
        <v>14717</v>
      </c>
      <c r="C7721" s="58" t="s">
        <v>1713</v>
      </c>
      <c r="D7721" s="58" t="s">
        <v>35170</v>
      </c>
      <c r="H7721">
        <f t="shared" si="215"/>
        <v>57.27</v>
      </c>
    </row>
    <row r="7722" spans="1:8" ht="15" customHeight="1">
      <c r="A7722" s="58" t="s">
        <v>14718</v>
      </c>
      <c r="B7722" s="20" t="s">
        <v>14719</v>
      </c>
      <c r="C7722" s="58" t="s">
        <v>1713</v>
      </c>
      <c r="D7722" s="58" t="s">
        <v>33853</v>
      </c>
      <c r="H7722">
        <f t="shared" si="215"/>
        <v>132.88</v>
      </c>
    </row>
    <row r="7723" spans="1:8" ht="15" customHeight="1">
      <c r="A7723" s="58" t="s">
        <v>14720</v>
      </c>
      <c r="B7723" s="20" t="s">
        <v>14721</v>
      </c>
      <c r="C7723" s="58" t="s">
        <v>1713</v>
      </c>
      <c r="D7723" s="58" t="s">
        <v>28704</v>
      </c>
      <c r="H7723">
        <f t="shared" si="215"/>
        <v>79.3</v>
      </c>
    </row>
    <row r="7724" spans="1:8" ht="15" customHeight="1">
      <c r="A7724" s="58" t="s">
        <v>14722</v>
      </c>
      <c r="B7724" s="20" t="s">
        <v>14723</v>
      </c>
      <c r="C7724" s="58" t="s">
        <v>1713</v>
      </c>
      <c r="D7724" s="58" t="s">
        <v>25615</v>
      </c>
      <c r="H7724">
        <f t="shared" si="215"/>
        <v>28.65</v>
      </c>
    </row>
    <row r="7725" spans="1:8" ht="15" customHeight="1">
      <c r="A7725" s="58" t="s">
        <v>14724</v>
      </c>
      <c r="B7725" s="20" t="s">
        <v>14725</v>
      </c>
      <c r="C7725" s="58" t="s">
        <v>1713</v>
      </c>
      <c r="D7725" s="58" t="s">
        <v>35171</v>
      </c>
      <c r="H7725">
        <f t="shared" si="215"/>
        <v>48.85</v>
      </c>
    </row>
    <row r="7726" spans="1:8" ht="15" customHeight="1">
      <c r="A7726" s="58" t="s">
        <v>14726</v>
      </c>
      <c r="B7726" s="20" t="s">
        <v>14727</v>
      </c>
      <c r="C7726" s="58" t="s">
        <v>1713</v>
      </c>
      <c r="D7726" s="58" t="s">
        <v>30302</v>
      </c>
      <c r="H7726">
        <f t="shared" si="215"/>
        <v>45.58</v>
      </c>
    </row>
    <row r="7727" spans="1:8" ht="15" customHeight="1">
      <c r="A7727" s="58" t="s">
        <v>14728</v>
      </c>
      <c r="B7727" s="20" t="s">
        <v>14729</v>
      </c>
      <c r="C7727" s="58" t="s">
        <v>1713</v>
      </c>
      <c r="D7727" s="58" t="s">
        <v>35172</v>
      </c>
      <c r="H7727">
        <f t="shared" si="215"/>
        <v>38.96</v>
      </c>
    </row>
    <row r="7728" spans="1:8" ht="15" customHeight="1">
      <c r="A7728" s="58" t="s">
        <v>14730</v>
      </c>
      <c r="B7728" s="20" t="s">
        <v>14731</v>
      </c>
      <c r="C7728" s="58" t="s">
        <v>1713</v>
      </c>
      <c r="D7728" s="58" t="s">
        <v>16225</v>
      </c>
      <c r="H7728">
        <f t="shared" si="215"/>
        <v>27.69</v>
      </c>
    </row>
    <row r="7729" spans="1:8" ht="15" customHeight="1">
      <c r="A7729" s="58" t="s">
        <v>14732</v>
      </c>
      <c r="B7729" s="20" t="s">
        <v>14733</v>
      </c>
      <c r="C7729" s="58" t="s">
        <v>1713</v>
      </c>
      <c r="D7729" s="58" t="s">
        <v>30302</v>
      </c>
      <c r="H7729">
        <f t="shared" si="215"/>
        <v>45.58</v>
      </c>
    </row>
    <row r="7730" spans="1:8" ht="15" customHeight="1">
      <c r="A7730" s="58" t="s">
        <v>14734</v>
      </c>
      <c r="B7730" s="20" t="s">
        <v>14735</v>
      </c>
      <c r="C7730" s="58" t="s">
        <v>1713</v>
      </c>
      <c r="D7730" s="58" t="s">
        <v>35173</v>
      </c>
      <c r="H7730">
        <f t="shared" si="215"/>
        <v>69.33</v>
      </c>
    </row>
    <row r="7731" spans="1:8" ht="15" customHeight="1">
      <c r="A7731" s="58" t="s">
        <v>14736</v>
      </c>
      <c r="B7731" s="20" t="s">
        <v>14737</v>
      </c>
      <c r="C7731" s="58" t="s">
        <v>1713</v>
      </c>
      <c r="D7731" s="58" t="s">
        <v>35174</v>
      </c>
      <c r="H7731">
        <f t="shared" si="215"/>
        <v>74.73</v>
      </c>
    </row>
    <row r="7732" spans="1:8" ht="15" customHeight="1">
      <c r="A7732" s="58" t="s">
        <v>14738</v>
      </c>
      <c r="B7732" s="20" t="s">
        <v>14739</v>
      </c>
      <c r="C7732" s="58" t="s">
        <v>1713</v>
      </c>
      <c r="D7732" s="58" t="s">
        <v>35175</v>
      </c>
      <c r="H7732">
        <f t="shared" si="215"/>
        <v>131.25</v>
      </c>
    </row>
    <row r="7733" spans="1:8" ht="15" customHeight="1">
      <c r="A7733" s="58" t="s">
        <v>14740</v>
      </c>
      <c r="B7733" s="20" t="s">
        <v>14741</v>
      </c>
      <c r="C7733" s="58" t="s">
        <v>1713</v>
      </c>
      <c r="D7733" s="58" t="s">
        <v>13166</v>
      </c>
      <c r="H7733">
        <f t="shared" si="215"/>
        <v>41.16</v>
      </c>
    </row>
    <row r="7734" spans="1:8" ht="15" customHeight="1">
      <c r="A7734" s="58" t="s">
        <v>14742</v>
      </c>
      <c r="B7734" s="20" t="s">
        <v>14743</v>
      </c>
      <c r="C7734" s="58" t="s">
        <v>1713</v>
      </c>
      <c r="D7734" s="58" t="s">
        <v>35176</v>
      </c>
      <c r="H7734">
        <f t="shared" si="215"/>
        <v>72.3</v>
      </c>
    </row>
    <row r="7735" spans="1:8" ht="15" customHeight="1">
      <c r="A7735" s="58" t="s">
        <v>14744</v>
      </c>
      <c r="B7735" s="20" t="s">
        <v>14745</v>
      </c>
      <c r="C7735" s="58" t="s">
        <v>1713</v>
      </c>
      <c r="D7735" s="58" t="s">
        <v>33467</v>
      </c>
      <c r="H7735">
        <f t="shared" si="215"/>
        <v>34.090000000000003</v>
      </c>
    </row>
    <row r="7736" spans="1:8" ht="15" customHeight="1">
      <c r="A7736" s="58" t="s">
        <v>14746</v>
      </c>
      <c r="B7736" s="20" t="s">
        <v>14747</v>
      </c>
      <c r="C7736" s="58" t="s">
        <v>1713</v>
      </c>
      <c r="D7736" s="58" t="s">
        <v>35177</v>
      </c>
      <c r="H7736">
        <f t="shared" si="215"/>
        <v>60.95</v>
      </c>
    </row>
    <row r="7737" spans="1:8" ht="15" customHeight="1">
      <c r="A7737" s="58" t="s">
        <v>14748</v>
      </c>
      <c r="B7737" s="20" t="s">
        <v>14749</v>
      </c>
      <c r="C7737" s="58" t="s">
        <v>1713</v>
      </c>
      <c r="D7737" s="58" t="s">
        <v>35177</v>
      </c>
      <c r="H7737">
        <f t="shared" si="215"/>
        <v>60.95</v>
      </c>
    </row>
    <row r="7738" spans="1:8" ht="15" customHeight="1">
      <c r="A7738" s="58" t="s">
        <v>14750</v>
      </c>
      <c r="B7738" s="20" t="s">
        <v>14751</v>
      </c>
      <c r="C7738" s="58" t="s">
        <v>1713</v>
      </c>
      <c r="D7738" s="58" t="s">
        <v>30302</v>
      </c>
      <c r="H7738">
        <f t="shared" si="215"/>
        <v>45.58</v>
      </c>
    </row>
    <row r="7739" spans="1:8" ht="15" customHeight="1">
      <c r="A7739" s="58" t="s">
        <v>14752</v>
      </c>
      <c r="B7739" s="20" t="s">
        <v>14753</v>
      </c>
      <c r="C7739" s="58" t="s">
        <v>1713</v>
      </c>
      <c r="D7739" s="58" t="s">
        <v>30302</v>
      </c>
      <c r="H7739">
        <f t="shared" si="215"/>
        <v>45.58</v>
      </c>
    </row>
    <row r="7740" spans="1:8" ht="15" customHeight="1">
      <c r="A7740" s="58" t="s">
        <v>14754</v>
      </c>
      <c r="B7740" s="20" t="s">
        <v>14755</v>
      </c>
      <c r="C7740" s="58" t="s">
        <v>1713</v>
      </c>
      <c r="D7740" s="58" t="s">
        <v>7473</v>
      </c>
      <c r="H7740">
        <f t="shared" si="215"/>
        <v>37.31</v>
      </c>
    </row>
    <row r="7741" spans="1:8" ht="15" customHeight="1">
      <c r="A7741" s="58" t="s">
        <v>14756</v>
      </c>
      <c r="B7741" s="20" t="s">
        <v>14757</v>
      </c>
      <c r="C7741" s="58" t="s">
        <v>1713</v>
      </c>
      <c r="D7741" s="58" t="s">
        <v>35177</v>
      </c>
      <c r="H7741">
        <f t="shared" si="215"/>
        <v>60.95</v>
      </c>
    </row>
    <row r="7742" spans="1:8" ht="15" customHeight="1">
      <c r="A7742" s="58" t="s">
        <v>14758</v>
      </c>
      <c r="B7742" s="20" t="s">
        <v>14759</v>
      </c>
      <c r="C7742" s="58" t="s">
        <v>1713</v>
      </c>
      <c r="D7742" s="58" t="s">
        <v>25500</v>
      </c>
      <c r="H7742">
        <f t="shared" si="215"/>
        <v>65.92</v>
      </c>
    </row>
    <row r="7743" spans="1:8" ht="15" customHeight="1">
      <c r="A7743" s="58" t="s">
        <v>14760</v>
      </c>
      <c r="B7743" s="20" t="s">
        <v>14761</v>
      </c>
      <c r="C7743" s="58" t="s">
        <v>1713</v>
      </c>
      <c r="D7743" s="58" t="s">
        <v>35178</v>
      </c>
      <c r="H7743">
        <f t="shared" si="215"/>
        <v>94.69</v>
      </c>
    </row>
    <row r="7744" spans="1:8" ht="15" customHeight="1">
      <c r="A7744" s="58" t="s">
        <v>14762</v>
      </c>
      <c r="B7744" s="20" t="s">
        <v>14763</v>
      </c>
      <c r="C7744" s="58" t="s">
        <v>1713</v>
      </c>
      <c r="D7744" s="58" t="s">
        <v>35179</v>
      </c>
      <c r="H7744">
        <f t="shared" si="215"/>
        <v>65.790000000000006</v>
      </c>
    </row>
    <row r="7745" spans="1:8" ht="15" customHeight="1">
      <c r="A7745" s="58" t="s">
        <v>14764</v>
      </c>
      <c r="B7745" s="20" t="s">
        <v>14765</v>
      </c>
      <c r="C7745" s="58" t="s">
        <v>1713</v>
      </c>
      <c r="D7745" s="58" t="s">
        <v>35180</v>
      </c>
      <c r="H7745">
        <f t="shared" si="215"/>
        <v>60.66</v>
      </c>
    </row>
    <row r="7746" spans="1:8" ht="15" customHeight="1">
      <c r="A7746" s="58" t="s">
        <v>14766</v>
      </c>
      <c r="B7746" s="20" t="s">
        <v>14767</v>
      </c>
      <c r="C7746" s="58" t="s">
        <v>1713</v>
      </c>
      <c r="D7746" s="58" t="s">
        <v>35179</v>
      </c>
      <c r="H7746">
        <f t="shared" si="215"/>
        <v>65.790000000000006</v>
      </c>
    </row>
    <row r="7747" spans="1:8" ht="15" customHeight="1">
      <c r="A7747" s="58" t="s">
        <v>14768</v>
      </c>
      <c r="B7747" s="20" t="s">
        <v>14769</v>
      </c>
      <c r="C7747" s="58" t="s">
        <v>1713</v>
      </c>
      <c r="D7747" s="58" t="s">
        <v>35181</v>
      </c>
      <c r="H7747">
        <f t="shared" si="215"/>
        <v>91.57</v>
      </c>
    </row>
    <row r="7748" spans="1:8" ht="15" customHeight="1">
      <c r="A7748" s="58" t="s">
        <v>14770</v>
      </c>
      <c r="B7748" s="20" t="s">
        <v>14771</v>
      </c>
      <c r="C7748" s="58" t="s">
        <v>1713</v>
      </c>
      <c r="D7748" s="58" t="s">
        <v>15461</v>
      </c>
      <c r="H7748">
        <f t="shared" si="215"/>
        <v>60.7</v>
      </c>
    </row>
    <row r="7749" spans="1:8" ht="15" customHeight="1">
      <c r="A7749" s="58" t="s">
        <v>14772</v>
      </c>
      <c r="B7749" s="20" t="s">
        <v>14773</v>
      </c>
      <c r="C7749" s="58" t="s">
        <v>1713</v>
      </c>
      <c r="D7749" s="58" t="s">
        <v>15259</v>
      </c>
      <c r="H7749">
        <f t="shared" ref="H7749:H7812" si="216">ROUND(D7749*(1+$H$1),2)</f>
        <v>64.33</v>
      </c>
    </row>
    <row r="7750" spans="1:8" ht="15" customHeight="1">
      <c r="A7750" s="58" t="s">
        <v>14774</v>
      </c>
      <c r="B7750" s="20" t="s">
        <v>14775</v>
      </c>
      <c r="C7750" s="58" t="s">
        <v>1713</v>
      </c>
      <c r="D7750" s="58" t="s">
        <v>35182</v>
      </c>
      <c r="H7750">
        <f t="shared" si="216"/>
        <v>57.03</v>
      </c>
    </row>
    <row r="7751" spans="1:8" ht="15" customHeight="1">
      <c r="A7751" s="58" t="s">
        <v>14776</v>
      </c>
      <c r="B7751" s="20" t="s">
        <v>14777</v>
      </c>
      <c r="C7751" s="58" t="s">
        <v>1713</v>
      </c>
      <c r="D7751" s="58" t="s">
        <v>35183</v>
      </c>
      <c r="H7751">
        <f t="shared" si="216"/>
        <v>67.02</v>
      </c>
    </row>
    <row r="7752" spans="1:8" ht="15" customHeight="1">
      <c r="A7752" s="58" t="s">
        <v>14778</v>
      </c>
      <c r="B7752" s="20" t="s">
        <v>14779</v>
      </c>
      <c r="C7752" s="58" t="s">
        <v>1713</v>
      </c>
      <c r="D7752" s="58" t="s">
        <v>35184</v>
      </c>
      <c r="H7752">
        <f t="shared" si="216"/>
        <v>82.35</v>
      </c>
    </row>
    <row r="7753" spans="1:8" ht="15" customHeight="1">
      <c r="A7753" s="58" t="s">
        <v>14780</v>
      </c>
      <c r="B7753" s="20" t="s">
        <v>14781</v>
      </c>
      <c r="C7753" s="58" t="s">
        <v>1713</v>
      </c>
      <c r="D7753" s="58" t="s">
        <v>35185</v>
      </c>
      <c r="H7753">
        <f t="shared" si="216"/>
        <v>120.2</v>
      </c>
    </row>
    <row r="7754" spans="1:8" ht="15" customHeight="1">
      <c r="A7754" s="58" t="s">
        <v>14782</v>
      </c>
      <c r="B7754" s="20" t="s">
        <v>14783</v>
      </c>
      <c r="C7754" s="58" t="s">
        <v>1713</v>
      </c>
      <c r="D7754" s="58" t="s">
        <v>28062</v>
      </c>
      <c r="H7754">
        <f t="shared" si="216"/>
        <v>54.97</v>
      </c>
    </row>
    <row r="7755" spans="1:8" ht="15" customHeight="1">
      <c r="A7755" s="58" t="s">
        <v>14784</v>
      </c>
      <c r="B7755" s="20" t="s">
        <v>14785</v>
      </c>
      <c r="C7755" s="58" t="s">
        <v>1713</v>
      </c>
      <c r="D7755" s="58" t="s">
        <v>29096</v>
      </c>
      <c r="H7755">
        <f t="shared" si="216"/>
        <v>54.77</v>
      </c>
    </row>
    <row r="7756" spans="1:8" ht="15" customHeight="1">
      <c r="A7756" s="58" t="s">
        <v>14786</v>
      </c>
      <c r="B7756" s="20" t="s">
        <v>14787</v>
      </c>
      <c r="C7756" s="58" t="s">
        <v>1713</v>
      </c>
      <c r="D7756" s="58" t="s">
        <v>28822</v>
      </c>
      <c r="H7756">
        <f t="shared" si="216"/>
        <v>15.4</v>
      </c>
    </row>
    <row r="7757" spans="1:8" ht="15" customHeight="1">
      <c r="A7757" s="58" t="s">
        <v>14788</v>
      </c>
      <c r="B7757" s="20" t="s">
        <v>2683</v>
      </c>
      <c r="C7757" s="58" t="s">
        <v>1713</v>
      </c>
      <c r="D7757" s="58" t="s">
        <v>35186</v>
      </c>
      <c r="H7757">
        <f t="shared" si="216"/>
        <v>6180.79</v>
      </c>
    </row>
    <row r="7758" spans="1:8" ht="15" customHeight="1">
      <c r="A7758" s="58" t="s">
        <v>14789</v>
      </c>
      <c r="B7758" s="20" t="s">
        <v>14790</v>
      </c>
      <c r="C7758" s="58" t="s">
        <v>1713</v>
      </c>
      <c r="D7758" s="58" t="s">
        <v>35187</v>
      </c>
      <c r="H7758">
        <f t="shared" si="216"/>
        <v>6266.4</v>
      </c>
    </row>
    <row r="7759" spans="1:8" ht="15" customHeight="1">
      <c r="A7759" s="58" t="s">
        <v>14791</v>
      </c>
      <c r="B7759" s="20" t="s">
        <v>14792</v>
      </c>
      <c r="C7759" s="58" t="s">
        <v>1713</v>
      </c>
      <c r="D7759" s="58" t="s">
        <v>35188</v>
      </c>
      <c r="H7759">
        <f t="shared" si="216"/>
        <v>5880.2</v>
      </c>
    </row>
    <row r="7760" spans="1:8" ht="15" customHeight="1">
      <c r="A7760" s="58" t="s">
        <v>14793</v>
      </c>
      <c r="B7760" s="20" t="s">
        <v>2686</v>
      </c>
      <c r="C7760" s="58" t="s">
        <v>1713</v>
      </c>
      <c r="D7760" s="58" t="s">
        <v>35189</v>
      </c>
      <c r="H7760">
        <f t="shared" si="216"/>
        <v>5803.86</v>
      </c>
    </row>
    <row r="7761" spans="1:8" ht="15" customHeight="1">
      <c r="A7761" s="58" t="s">
        <v>14794</v>
      </c>
      <c r="B7761" s="20" t="s">
        <v>11196</v>
      </c>
      <c r="C7761" s="58" t="s">
        <v>1713</v>
      </c>
      <c r="D7761" s="58" t="s">
        <v>35190</v>
      </c>
      <c r="H7761">
        <f t="shared" si="216"/>
        <v>6602.5</v>
      </c>
    </row>
    <row r="7762" spans="1:8" ht="15" customHeight="1">
      <c r="A7762" s="58" t="s">
        <v>14795</v>
      </c>
      <c r="B7762" s="20" t="s">
        <v>14796</v>
      </c>
      <c r="C7762" s="58" t="s">
        <v>1713</v>
      </c>
      <c r="D7762" s="58" t="s">
        <v>35186</v>
      </c>
      <c r="H7762">
        <f t="shared" si="216"/>
        <v>6180.79</v>
      </c>
    </row>
    <row r="7763" spans="1:8" ht="15" customHeight="1">
      <c r="A7763" s="58" t="s">
        <v>14797</v>
      </c>
      <c r="B7763" s="20" t="s">
        <v>2688</v>
      </c>
      <c r="C7763" s="58" t="s">
        <v>1713</v>
      </c>
      <c r="D7763" s="58" t="s">
        <v>35191</v>
      </c>
      <c r="H7763">
        <f t="shared" si="216"/>
        <v>5772.42</v>
      </c>
    </row>
    <row r="7764" spans="1:8" ht="15" customHeight="1">
      <c r="A7764" s="58" t="s">
        <v>14798</v>
      </c>
      <c r="B7764" s="20" t="s">
        <v>2689</v>
      </c>
      <c r="C7764" s="58" t="s">
        <v>1713</v>
      </c>
      <c r="D7764" s="58" t="s">
        <v>35192</v>
      </c>
      <c r="H7764">
        <f t="shared" si="216"/>
        <v>7376.89</v>
      </c>
    </row>
    <row r="7765" spans="1:8" ht="15" customHeight="1">
      <c r="A7765" s="58" t="s">
        <v>14799</v>
      </c>
      <c r="B7765" s="20" t="s">
        <v>14800</v>
      </c>
      <c r="C7765" s="58" t="s">
        <v>1713</v>
      </c>
      <c r="D7765" s="58" t="s">
        <v>35193</v>
      </c>
      <c r="H7765">
        <f t="shared" si="216"/>
        <v>6526.66</v>
      </c>
    </row>
    <row r="7766" spans="1:8" ht="15" customHeight="1">
      <c r="A7766" s="58" t="s">
        <v>14801</v>
      </c>
      <c r="B7766" s="20" t="s">
        <v>11198</v>
      </c>
      <c r="C7766" s="58" t="s">
        <v>1713</v>
      </c>
      <c r="D7766" s="58" t="s">
        <v>35194</v>
      </c>
      <c r="H7766">
        <f t="shared" si="216"/>
        <v>5415.13</v>
      </c>
    </row>
    <row r="7767" spans="1:8" ht="15" customHeight="1">
      <c r="A7767" s="58" t="s">
        <v>14802</v>
      </c>
      <c r="B7767" s="20" t="s">
        <v>2123</v>
      </c>
      <c r="C7767" s="58" t="s">
        <v>1713</v>
      </c>
      <c r="D7767" s="58" t="s">
        <v>35195</v>
      </c>
      <c r="H7767">
        <f t="shared" si="216"/>
        <v>6029.66</v>
      </c>
    </row>
    <row r="7768" spans="1:8" ht="15" customHeight="1">
      <c r="A7768" s="58" t="s">
        <v>14803</v>
      </c>
      <c r="B7768" s="20" t="s">
        <v>14804</v>
      </c>
      <c r="C7768" s="58" t="s">
        <v>1713</v>
      </c>
      <c r="D7768" s="58" t="s">
        <v>35196</v>
      </c>
      <c r="H7768">
        <f t="shared" si="216"/>
        <v>7448.85</v>
      </c>
    </row>
    <row r="7769" spans="1:8" ht="15" customHeight="1">
      <c r="A7769" s="58" t="s">
        <v>14805</v>
      </c>
      <c r="B7769" s="20" t="s">
        <v>2693</v>
      </c>
      <c r="C7769" s="58" t="s">
        <v>1713</v>
      </c>
      <c r="D7769" s="58" t="s">
        <v>35188</v>
      </c>
      <c r="H7769">
        <f t="shared" si="216"/>
        <v>5880.2</v>
      </c>
    </row>
    <row r="7770" spans="1:8" ht="15" customHeight="1">
      <c r="A7770" s="58" t="s">
        <v>14806</v>
      </c>
      <c r="B7770" s="20" t="s">
        <v>14807</v>
      </c>
      <c r="C7770" s="58" t="s">
        <v>1713</v>
      </c>
      <c r="D7770" s="58" t="s">
        <v>35197</v>
      </c>
      <c r="H7770">
        <f t="shared" si="216"/>
        <v>6191.87</v>
      </c>
    </row>
    <row r="7771" spans="1:8" ht="15" customHeight="1">
      <c r="A7771" s="58" t="s">
        <v>14808</v>
      </c>
      <c r="B7771" s="20" t="s">
        <v>2695</v>
      </c>
      <c r="C7771" s="58" t="s">
        <v>1713</v>
      </c>
      <c r="D7771" s="58" t="s">
        <v>35198</v>
      </c>
      <c r="H7771">
        <f t="shared" si="216"/>
        <v>5666.14</v>
      </c>
    </row>
    <row r="7772" spans="1:8" ht="15" customHeight="1">
      <c r="A7772" s="58" t="s">
        <v>14809</v>
      </c>
      <c r="B7772" s="20" t="s">
        <v>2696</v>
      </c>
      <c r="C7772" s="58" t="s">
        <v>1713</v>
      </c>
      <c r="D7772" s="58" t="s">
        <v>35199</v>
      </c>
      <c r="H7772">
        <f t="shared" si="216"/>
        <v>4395.38</v>
      </c>
    </row>
    <row r="7773" spans="1:8" ht="15" customHeight="1">
      <c r="A7773" s="58" t="s">
        <v>14810</v>
      </c>
      <c r="B7773" s="20" t="s">
        <v>14811</v>
      </c>
      <c r="C7773" s="58" t="s">
        <v>1713</v>
      </c>
      <c r="D7773" s="58" t="s">
        <v>35200</v>
      </c>
      <c r="H7773">
        <f t="shared" si="216"/>
        <v>10643.13</v>
      </c>
    </row>
    <row r="7774" spans="1:8" ht="15" customHeight="1">
      <c r="A7774" s="58" t="s">
        <v>14812</v>
      </c>
      <c r="B7774" s="20" t="s">
        <v>14813</v>
      </c>
      <c r="C7774" s="58" t="s">
        <v>1713</v>
      </c>
      <c r="D7774" s="58" t="s">
        <v>35201</v>
      </c>
      <c r="H7774">
        <f t="shared" si="216"/>
        <v>7392.03</v>
      </c>
    </row>
    <row r="7775" spans="1:8" ht="15" customHeight="1">
      <c r="A7775" s="58" t="s">
        <v>14814</v>
      </c>
      <c r="B7775" s="20" t="s">
        <v>14815</v>
      </c>
      <c r="C7775" s="58" t="s">
        <v>1713</v>
      </c>
      <c r="D7775" s="58" t="s">
        <v>35202</v>
      </c>
      <c r="H7775">
        <f t="shared" si="216"/>
        <v>7313.29</v>
      </c>
    </row>
    <row r="7776" spans="1:8" ht="15" customHeight="1">
      <c r="A7776" s="58" t="s">
        <v>14816</v>
      </c>
      <c r="B7776" s="20" t="s">
        <v>2700</v>
      </c>
      <c r="C7776" s="58" t="s">
        <v>1713</v>
      </c>
      <c r="D7776" s="58" t="s">
        <v>35203</v>
      </c>
      <c r="H7776">
        <f t="shared" si="216"/>
        <v>6583.32</v>
      </c>
    </row>
    <row r="7777" spans="1:8" ht="15" customHeight="1">
      <c r="A7777" s="58" t="s">
        <v>14817</v>
      </c>
      <c r="B7777" s="20" t="s">
        <v>14818</v>
      </c>
      <c r="C7777" s="58" t="s">
        <v>1713</v>
      </c>
      <c r="D7777" s="58" t="s">
        <v>35204</v>
      </c>
      <c r="H7777">
        <f t="shared" si="216"/>
        <v>6156.79</v>
      </c>
    </row>
    <row r="7778" spans="1:8" ht="15" customHeight="1">
      <c r="A7778" s="58" t="s">
        <v>14819</v>
      </c>
      <c r="B7778" s="20" t="s">
        <v>14820</v>
      </c>
      <c r="C7778" s="58" t="s">
        <v>1713</v>
      </c>
      <c r="D7778" s="58" t="s">
        <v>35205</v>
      </c>
      <c r="H7778">
        <f t="shared" si="216"/>
        <v>7772.02</v>
      </c>
    </row>
    <row r="7779" spans="1:8" ht="15" customHeight="1">
      <c r="A7779" s="58" t="s">
        <v>14821</v>
      </c>
      <c r="B7779" s="20" t="s">
        <v>2702</v>
      </c>
      <c r="C7779" s="58" t="s">
        <v>1713</v>
      </c>
      <c r="D7779" s="58" t="s">
        <v>35206</v>
      </c>
      <c r="H7779">
        <f t="shared" si="216"/>
        <v>7756.51</v>
      </c>
    </row>
    <row r="7780" spans="1:8" ht="15" customHeight="1">
      <c r="A7780" s="58" t="s">
        <v>14822</v>
      </c>
      <c r="B7780" s="20" t="s">
        <v>14823</v>
      </c>
      <c r="C7780" s="58" t="s">
        <v>1713</v>
      </c>
      <c r="D7780" s="58" t="s">
        <v>35207</v>
      </c>
      <c r="H7780">
        <f t="shared" si="216"/>
        <v>5397</v>
      </c>
    </row>
    <row r="7781" spans="1:8" ht="15" customHeight="1">
      <c r="A7781" s="58" t="s">
        <v>14824</v>
      </c>
      <c r="B7781" s="20" t="s">
        <v>2703</v>
      </c>
      <c r="C7781" s="58" t="s">
        <v>1713</v>
      </c>
      <c r="D7781" s="58" t="s">
        <v>35208</v>
      </c>
      <c r="H7781">
        <f t="shared" si="216"/>
        <v>8901.5400000000009</v>
      </c>
    </row>
    <row r="7782" spans="1:8" ht="15" customHeight="1">
      <c r="A7782" s="58" t="s">
        <v>14825</v>
      </c>
      <c r="B7782" s="20" t="s">
        <v>2704</v>
      </c>
      <c r="C7782" s="58" t="s">
        <v>1713</v>
      </c>
      <c r="D7782" s="58" t="s">
        <v>35209</v>
      </c>
      <c r="H7782">
        <f t="shared" si="216"/>
        <v>9873.69</v>
      </c>
    </row>
    <row r="7783" spans="1:8" ht="15" customHeight="1">
      <c r="A7783" s="58" t="s">
        <v>14826</v>
      </c>
      <c r="B7783" s="20" t="s">
        <v>2705</v>
      </c>
      <c r="C7783" s="58" t="s">
        <v>1713</v>
      </c>
      <c r="D7783" s="58" t="s">
        <v>35210</v>
      </c>
      <c r="H7783">
        <f t="shared" si="216"/>
        <v>7010.99</v>
      </c>
    </row>
    <row r="7784" spans="1:8" ht="15" customHeight="1">
      <c r="A7784" s="58" t="s">
        <v>14827</v>
      </c>
      <c r="B7784" s="20" t="s">
        <v>2706</v>
      </c>
      <c r="C7784" s="58" t="s">
        <v>1713</v>
      </c>
      <c r="D7784" s="58" t="s">
        <v>35211</v>
      </c>
      <c r="H7784">
        <f t="shared" si="216"/>
        <v>5893.33</v>
      </c>
    </row>
    <row r="7785" spans="1:8" ht="15" customHeight="1">
      <c r="A7785" s="58" t="s">
        <v>14828</v>
      </c>
      <c r="B7785" s="20" t="s">
        <v>2707</v>
      </c>
      <c r="C7785" s="58" t="s">
        <v>1713</v>
      </c>
      <c r="D7785" s="58" t="s">
        <v>35212</v>
      </c>
      <c r="H7785">
        <f t="shared" si="216"/>
        <v>6981.15</v>
      </c>
    </row>
    <row r="7786" spans="1:8" ht="15" customHeight="1">
      <c r="A7786" s="58" t="s">
        <v>14829</v>
      </c>
      <c r="B7786" s="20" t="s">
        <v>14830</v>
      </c>
      <c r="C7786" s="58" t="s">
        <v>1713</v>
      </c>
      <c r="D7786" s="58" t="s">
        <v>35213</v>
      </c>
      <c r="H7786">
        <f t="shared" si="216"/>
        <v>8936.77</v>
      </c>
    </row>
    <row r="7787" spans="1:8" ht="15" customHeight="1">
      <c r="A7787" s="58" t="s">
        <v>14831</v>
      </c>
      <c r="B7787" s="20" t="s">
        <v>2750</v>
      </c>
      <c r="C7787" s="58" t="s">
        <v>1713</v>
      </c>
      <c r="D7787" s="58" t="s">
        <v>35214</v>
      </c>
      <c r="H7787">
        <f t="shared" si="216"/>
        <v>6144.16</v>
      </c>
    </row>
    <row r="7788" spans="1:8" ht="15" customHeight="1">
      <c r="A7788" s="58" t="s">
        <v>14832</v>
      </c>
      <c r="B7788" s="20" t="s">
        <v>14833</v>
      </c>
      <c r="C7788" s="58" t="s">
        <v>1713</v>
      </c>
      <c r="D7788" s="58" t="s">
        <v>35215</v>
      </c>
      <c r="H7788">
        <f t="shared" si="216"/>
        <v>8062.2</v>
      </c>
    </row>
    <row r="7789" spans="1:8" ht="15" customHeight="1">
      <c r="A7789" s="58" t="s">
        <v>14834</v>
      </c>
      <c r="B7789" s="20" t="s">
        <v>2709</v>
      </c>
      <c r="C7789" s="58" t="s">
        <v>1713</v>
      </c>
      <c r="D7789" s="58" t="s">
        <v>35216</v>
      </c>
      <c r="H7789">
        <f t="shared" si="216"/>
        <v>7643.77</v>
      </c>
    </row>
    <row r="7790" spans="1:8" ht="15" customHeight="1">
      <c r="A7790" s="58" t="s">
        <v>14835</v>
      </c>
      <c r="B7790" s="20" t="s">
        <v>14836</v>
      </c>
      <c r="C7790" s="58" t="s">
        <v>1713</v>
      </c>
      <c r="D7790" s="58" t="s">
        <v>35217</v>
      </c>
      <c r="H7790">
        <f t="shared" si="216"/>
        <v>7431.01</v>
      </c>
    </row>
    <row r="7791" spans="1:8" ht="15" customHeight="1">
      <c r="A7791" s="58" t="s">
        <v>14837</v>
      </c>
      <c r="B7791" s="20" t="s">
        <v>14838</v>
      </c>
      <c r="C7791" s="58" t="s">
        <v>1713</v>
      </c>
      <c r="D7791" s="58" t="s">
        <v>35218</v>
      </c>
      <c r="H7791">
        <f t="shared" si="216"/>
        <v>9895.34</v>
      </c>
    </row>
    <row r="7792" spans="1:8" ht="15" customHeight="1">
      <c r="A7792" s="58" t="s">
        <v>14839</v>
      </c>
      <c r="B7792" s="20" t="s">
        <v>11202</v>
      </c>
      <c r="C7792" s="58" t="s">
        <v>1713</v>
      </c>
      <c r="D7792" s="58" t="s">
        <v>35219</v>
      </c>
      <c r="H7792">
        <f t="shared" si="216"/>
        <v>7847.79</v>
      </c>
    </row>
    <row r="7793" spans="1:8" ht="15" customHeight="1">
      <c r="A7793" s="58" t="s">
        <v>14840</v>
      </c>
      <c r="B7793" s="20" t="s">
        <v>14841</v>
      </c>
      <c r="C7793" s="58" t="s">
        <v>1713</v>
      </c>
      <c r="D7793" s="58" t="s">
        <v>35220</v>
      </c>
      <c r="H7793">
        <f t="shared" si="216"/>
        <v>8483.0300000000007</v>
      </c>
    </row>
    <row r="7794" spans="1:8" ht="15" customHeight="1">
      <c r="A7794" s="58" t="s">
        <v>14842</v>
      </c>
      <c r="B7794" s="20" t="s">
        <v>14843</v>
      </c>
      <c r="C7794" s="58" t="s">
        <v>1713</v>
      </c>
      <c r="D7794" s="58" t="s">
        <v>35221</v>
      </c>
      <c r="H7794">
        <f t="shared" si="216"/>
        <v>7896.5</v>
      </c>
    </row>
    <row r="7795" spans="1:8" ht="15" customHeight="1">
      <c r="A7795" s="58" t="s">
        <v>14844</v>
      </c>
      <c r="B7795" s="20" t="s">
        <v>14845</v>
      </c>
      <c r="C7795" s="58" t="s">
        <v>1713</v>
      </c>
      <c r="D7795" s="58" t="s">
        <v>35222</v>
      </c>
      <c r="H7795">
        <f t="shared" si="216"/>
        <v>10191.879999999999</v>
      </c>
    </row>
    <row r="7796" spans="1:8" ht="15" customHeight="1">
      <c r="A7796" s="58" t="s">
        <v>14846</v>
      </c>
      <c r="B7796" s="20" t="s">
        <v>14847</v>
      </c>
      <c r="C7796" s="58" t="s">
        <v>1713</v>
      </c>
      <c r="D7796" s="58" t="s">
        <v>35223</v>
      </c>
      <c r="H7796">
        <f t="shared" si="216"/>
        <v>7251.66</v>
      </c>
    </row>
    <row r="7797" spans="1:8" ht="15" customHeight="1">
      <c r="A7797" s="58" t="s">
        <v>14848</v>
      </c>
      <c r="B7797" s="20" t="s">
        <v>14849</v>
      </c>
      <c r="C7797" s="58" t="s">
        <v>1713</v>
      </c>
      <c r="D7797" s="58" t="s">
        <v>35224</v>
      </c>
      <c r="H7797">
        <f t="shared" si="216"/>
        <v>8317.4699999999993</v>
      </c>
    </row>
    <row r="7798" spans="1:8" ht="15" customHeight="1">
      <c r="A7798" s="58" t="s">
        <v>14850</v>
      </c>
      <c r="B7798" s="20" t="s">
        <v>14851</v>
      </c>
      <c r="C7798" s="58" t="s">
        <v>1713</v>
      </c>
      <c r="D7798" s="58" t="s">
        <v>35225</v>
      </c>
      <c r="H7798">
        <f t="shared" si="216"/>
        <v>6177.47</v>
      </c>
    </row>
    <row r="7799" spans="1:8" ht="15" customHeight="1">
      <c r="A7799" s="58" t="s">
        <v>14852</v>
      </c>
      <c r="B7799" s="20" t="s">
        <v>14853</v>
      </c>
      <c r="C7799" s="58" t="s">
        <v>1713</v>
      </c>
      <c r="D7799" s="58" t="s">
        <v>35226</v>
      </c>
      <c r="H7799">
        <f t="shared" si="216"/>
        <v>7542.31</v>
      </c>
    </row>
    <row r="7800" spans="1:8" ht="15" customHeight="1">
      <c r="A7800" s="58" t="s">
        <v>14854</v>
      </c>
      <c r="B7800" s="20" t="s">
        <v>14855</v>
      </c>
      <c r="C7800" s="58" t="s">
        <v>1713</v>
      </c>
      <c r="D7800" s="58" t="s">
        <v>35227</v>
      </c>
      <c r="H7800">
        <f t="shared" si="216"/>
        <v>4570.1400000000003</v>
      </c>
    </row>
    <row r="7801" spans="1:8" ht="15" customHeight="1">
      <c r="A7801" s="58" t="s">
        <v>14856</v>
      </c>
      <c r="B7801" s="20" t="s">
        <v>14857</v>
      </c>
      <c r="C7801" s="58" t="s">
        <v>1713</v>
      </c>
      <c r="D7801" s="58" t="s">
        <v>35228</v>
      </c>
      <c r="H7801">
        <f t="shared" si="216"/>
        <v>8710.9</v>
      </c>
    </row>
    <row r="7802" spans="1:8" ht="15" customHeight="1">
      <c r="A7802" s="58" t="s">
        <v>14858</v>
      </c>
      <c r="B7802" s="20" t="s">
        <v>2720</v>
      </c>
      <c r="C7802" s="58" t="s">
        <v>1713</v>
      </c>
      <c r="D7802" s="58" t="s">
        <v>35229</v>
      </c>
      <c r="H7802">
        <f t="shared" si="216"/>
        <v>8252.1299999999992</v>
      </c>
    </row>
    <row r="7803" spans="1:8" ht="15" customHeight="1">
      <c r="A7803" s="58" t="s">
        <v>14859</v>
      </c>
      <c r="B7803" s="20" t="s">
        <v>14860</v>
      </c>
      <c r="C7803" s="58" t="s">
        <v>1713</v>
      </c>
      <c r="D7803" s="58" t="s">
        <v>35230</v>
      </c>
      <c r="H7803">
        <f t="shared" si="216"/>
        <v>7319.85</v>
      </c>
    </row>
    <row r="7804" spans="1:8" ht="15" customHeight="1">
      <c r="A7804" s="58" t="s">
        <v>14861</v>
      </c>
      <c r="B7804" s="20" t="s">
        <v>14862</v>
      </c>
      <c r="C7804" s="58" t="s">
        <v>1713</v>
      </c>
      <c r="D7804" s="58" t="s">
        <v>35231</v>
      </c>
      <c r="H7804">
        <f t="shared" si="216"/>
        <v>5735.41</v>
      </c>
    </row>
    <row r="7805" spans="1:8" ht="15" customHeight="1">
      <c r="A7805" s="58" t="s">
        <v>14863</v>
      </c>
      <c r="B7805" s="20" t="s">
        <v>14864</v>
      </c>
      <c r="C7805" s="58" t="s">
        <v>1713</v>
      </c>
      <c r="D7805" s="58" t="s">
        <v>35229</v>
      </c>
      <c r="H7805">
        <f t="shared" si="216"/>
        <v>8252.1299999999992</v>
      </c>
    </row>
    <row r="7806" spans="1:8" ht="15" customHeight="1">
      <c r="A7806" s="58" t="s">
        <v>14865</v>
      </c>
      <c r="B7806" s="20" t="s">
        <v>2723</v>
      </c>
      <c r="C7806" s="58" t="s">
        <v>1713</v>
      </c>
      <c r="D7806" s="58" t="s">
        <v>35232</v>
      </c>
      <c r="H7806">
        <f t="shared" si="216"/>
        <v>8883.6</v>
      </c>
    </row>
    <row r="7807" spans="1:8" ht="15" customHeight="1">
      <c r="A7807" s="58" t="s">
        <v>14866</v>
      </c>
      <c r="B7807" s="20" t="s">
        <v>14867</v>
      </c>
      <c r="C7807" s="58" t="s">
        <v>1713</v>
      </c>
      <c r="D7807" s="58" t="s">
        <v>35233</v>
      </c>
      <c r="H7807">
        <f t="shared" si="216"/>
        <v>7213.85</v>
      </c>
    </row>
    <row r="7808" spans="1:8" ht="15" customHeight="1">
      <c r="A7808" s="58" t="s">
        <v>14868</v>
      </c>
      <c r="B7808" s="20" t="s">
        <v>2725</v>
      </c>
      <c r="C7808" s="58" t="s">
        <v>1713</v>
      </c>
      <c r="D7808" s="58" t="s">
        <v>35234</v>
      </c>
      <c r="H7808">
        <f t="shared" si="216"/>
        <v>11279.01</v>
      </c>
    </row>
    <row r="7809" spans="1:8" ht="15" customHeight="1">
      <c r="A7809" s="58" t="s">
        <v>14869</v>
      </c>
      <c r="B7809" s="20" t="s">
        <v>14870</v>
      </c>
      <c r="C7809" s="58" t="s">
        <v>1713</v>
      </c>
      <c r="D7809" s="58" t="s">
        <v>35235</v>
      </c>
      <c r="H7809">
        <f t="shared" si="216"/>
        <v>6021.97</v>
      </c>
    </row>
    <row r="7810" spans="1:8" ht="15" customHeight="1">
      <c r="A7810" s="58" t="s">
        <v>14871</v>
      </c>
      <c r="B7810" s="20" t="s">
        <v>14872</v>
      </c>
      <c r="C7810" s="58" t="s">
        <v>1713</v>
      </c>
      <c r="D7810" s="58" t="s">
        <v>35236</v>
      </c>
      <c r="H7810">
        <f t="shared" si="216"/>
        <v>9186.0400000000009</v>
      </c>
    </row>
    <row r="7811" spans="1:8" ht="15" customHeight="1">
      <c r="A7811" s="58" t="s">
        <v>14873</v>
      </c>
      <c r="B7811" s="20" t="s">
        <v>2727</v>
      </c>
      <c r="C7811" s="58" t="s">
        <v>1713</v>
      </c>
      <c r="D7811" s="58" t="s">
        <v>35237</v>
      </c>
      <c r="H7811">
        <f t="shared" si="216"/>
        <v>6635.06</v>
      </c>
    </row>
    <row r="7812" spans="1:8" ht="15" customHeight="1">
      <c r="A7812" s="58" t="s">
        <v>14874</v>
      </c>
      <c r="B7812" s="20" t="s">
        <v>14875</v>
      </c>
      <c r="C7812" s="58" t="s">
        <v>1713</v>
      </c>
      <c r="D7812" s="58" t="s">
        <v>35238</v>
      </c>
      <c r="H7812">
        <f t="shared" si="216"/>
        <v>10412.26</v>
      </c>
    </row>
    <row r="7813" spans="1:8" ht="15" customHeight="1">
      <c r="A7813" s="58" t="s">
        <v>14876</v>
      </c>
      <c r="B7813" s="20" t="s">
        <v>2729</v>
      </c>
      <c r="C7813" s="58" t="s">
        <v>1713</v>
      </c>
      <c r="D7813" s="58" t="s">
        <v>35238</v>
      </c>
      <c r="H7813">
        <f t="shared" ref="H7813:H7832" si="217">ROUND(D7813*(1+$H$1),2)</f>
        <v>10412.26</v>
      </c>
    </row>
    <row r="7814" spans="1:8" ht="15" customHeight="1">
      <c r="A7814" s="58" t="s">
        <v>14877</v>
      </c>
      <c r="B7814" s="20" t="s">
        <v>2730</v>
      </c>
      <c r="C7814" s="58" t="s">
        <v>1713</v>
      </c>
      <c r="D7814" s="58" t="s">
        <v>35229</v>
      </c>
      <c r="H7814">
        <f t="shared" si="217"/>
        <v>8252.1299999999992</v>
      </c>
    </row>
    <row r="7815" spans="1:8" ht="15" customHeight="1">
      <c r="A7815" s="58" t="s">
        <v>14878</v>
      </c>
      <c r="B7815" s="20" t="s">
        <v>14879</v>
      </c>
      <c r="C7815" s="58" t="s">
        <v>1713</v>
      </c>
      <c r="D7815" s="58" t="s">
        <v>35229</v>
      </c>
      <c r="H7815">
        <f t="shared" si="217"/>
        <v>8252.1299999999992</v>
      </c>
    </row>
    <row r="7816" spans="1:8" ht="15" customHeight="1">
      <c r="A7816" s="58" t="s">
        <v>14880</v>
      </c>
      <c r="B7816" s="20" t="s">
        <v>2732</v>
      </c>
      <c r="C7816" s="58" t="s">
        <v>1713</v>
      </c>
      <c r="D7816" s="58" t="s">
        <v>35239</v>
      </c>
      <c r="H7816">
        <f t="shared" si="217"/>
        <v>7087.81</v>
      </c>
    </row>
    <row r="7817" spans="1:8" ht="15" customHeight="1">
      <c r="A7817" s="58" t="s">
        <v>14881</v>
      </c>
      <c r="B7817" s="20" t="s">
        <v>2125</v>
      </c>
      <c r="C7817" s="58" t="s">
        <v>1713</v>
      </c>
      <c r="D7817" s="58" t="s">
        <v>35238</v>
      </c>
      <c r="H7817">
        <f t="shared" si="217"/>
        <v>10412.26</v>
      </c>
    </row>
    <row r="7818" spans="1:8" ht="15" customHeight="1">
      <c r="A7818" s="58" t="s">
        <v>14882</v>
      </c>
      <c r="B7818" s="20" t="s">
        <v>2735</v>
      </c>
      <c r="C7818" s="58" t="s">
        <v>1713</v>
      </c>
      <c r="D7818" s="58" t="s">
        <v>35201</v>
      </c>
      <c r="H7818">
        <f t="shared" si="217"/>
        <v>7392.03</v>
      </c>
    </row>
    <row r="7819" spans="1:8" ht="15" customHeight="1">
      <c r="A7819" s="58" t="s">
        <v>14883</v>
      </c>
      <c r="B7819" s="20" t="s">
        <v>2736</v>
      </c>
      <c r="C7819" s="58" t="s">
        <v>1713</v>
      </c>
      <c r="D7819" s="58" t="s">
        <v>35240</v>
      </c>
      <c r="H7819">
        <f t="shared" si="217"/>
        <v>7420.04</v>
      </c>
    </row>
    <row r="7820" spans="1:8" ht="15" customHeight="1">
      <c r="A7820" s="58" t="s">
        <v>14884</v>
      </c>
      <c r="B7820" s="20" t="s">
        <v>2737</v>
      </c>
      <c r="C7820" s="58" t="s">
        <v>1713</v>
      </c>
      <c r="D7820" s="58" t="s">
        <v>35241</v>
      </c>
      <c r="H7820">
        <f t="shared" si="217"/>
        <v>7791.62</v>
      </c>
    </row>
    <row r="7821" spans="1:8" ht="15" customHeight="1">
      <c r="A7821" s="58" t="s">
        <v>14885</v>
      </c>
      <c r="B7821" s="20" t="s">
        <v>2738</v>
      </c>
      <c r="C7821" s="58" t="s">
        <v>1713</v>
      </c>
      <c r="D7821" s="58" t="s">
        <v>35242</v>
      </c>
      <c r="H7821">
        <f t="shared" si="217"/>
        <v>7383.84</v>
      </c>
    </row>
    <row r="7822" spans="1:8" ht="15" customHeight="1">
      <c r="A7822" s="58" t="s">
        <v>14886</v>
      </c>
      <c r="B7822" s="20" t="s">
        <v>2739</v>
      </c>
      <c r="C7822" s="58" t="s">
        <v>1713</v>
      </c>
      <c r="D7822" s="58" t="s">
        <v>35241</v>
      </c>
      <c r="H7822">
        <f t="shared" si="217"/>
        <v>7791.62</v>
      </c>
    </row>
    <row r="7823" spans="1:8" ht="15" customHeight="1">
      <c r="A7823" s="58" t="s">
        <v>14887</v>
      </c>
      <c r="B7823" s="20" t="s">
        <v>14888</v>
      </c>
      <c r="C7823" s="58" t="s">
        <v>1713</v>
      </c>
      <c r="D7823" s="58" t="s">
        <v>35243</v>
      </c>
      <c r="H7823">
        <f t="shared" si="217"/>
        <v>6945.06</v>
      </c>
    </row>
    <row r="7824" spans="1:8" ht="15" customHeight="1">
      <c r="A7824" s="58" t="s">
        <v>14889</v>
      </c>
      <c r="B7824" s="20" t="s">
        <v>2742</v>
      </c>
      <c r="C7824" s="58" t="s">
        <v>1713</v>
      </c>
      <c r="D7824" s="58" t="s">
        <v>35244</v>
      </c>
      <c r="H7824">
        <f t="shared" si="217"/>
        <v>8307.36</v>
      </c>
    </row>
    <row r="7825" spans="1:8" ht="15" customHeight="1">
      <c r="A7825" s="58" t="s">
        <v>14890</v>
      </c>
      <c r="B7825" s="20" t="s">
        <v>14891</v>
      </c>
      <c r="C7825" s="58" t="s">
        <v>1713</v>
      </c>
      <c r="D7825" s="58" t="s">
        <v>35245</v>
      </c>
      <c r="H7825">
        <f t="shared" si="217"/>
        <v>5695.45</v>
      </c>
    </row>
    <row r="7826" spans="1:8" ht="15" customHeight="1">
      <c r="A7826" s="58" t="s">
        <v>14892</v>
      </c>
      <c r="B7826" s="20" t="s">
        <v>2744</v>
      </c>
      <c r="C7826" s="58" t="s">
        <v>1713</v>
      </c>
      <c r="D7826" s="58" t="s">
        <v>35246</v>
      </c>
      <c r="H7826">
        <f t="shared" si="217"/>
        <v>8176.95</v>
      </c>
    </row>
    <row r="7827" spans="1:8" ht="15" customHeight="1">
      <c r="A7827" s="58" t="s">
        <v>14893</v>
      </c>
      <c r="B7827" s="20" t="s">
        <v>14894</v>
      </c>
      <c r="C7827" s="58" t="s">
        <v>1713</v>
      </c>
      <c r="D7827" s="58" t="s">
        <v>35247</v>
      </c>
      <c r="H7827">
        <f t="shared" si="217"/>
        <v>9191.92</v>
      </c>
    </row>
    <row r="7828" spans="1:8" ht="15" customHeight="1">
      <c r="A7828" s="58" t="s">
        <v>14895</v>
      </c>
      <c r="B7828" s="20" t="s">
        <v>14896</v>
      </c>
      <c r="C7828" s="58" t="s">
        <v>1713</v>
      </c>
      <c r="D7828" s="58" t="s">
        <v>35248</v>
      </c>
      <c r="H7828">
        <f t="shared" si="217"/>
        <v>12142.34</v>
      </c>
    </row>
    <row r="7829" spans="1:8" ht="15" customHeight="1">
      <c r="A7829" s="58" t="s">
        <v>14897</v>
      </c>
      <c r="B7829" s="20" t="s">
        <v>14898</v>
      </c>
      <c r="C7829" s="58" t="s">
        <v>1713</v>
      </c>
      <c r="D7829" s="58" t="s">
        <v>35249</v>
      </c>
      <c r="H7829">
        <f t="shared" si="217"/>
        <v>14052.7</v>
      </c>
    </row>
    <row r="7830" spans="1:8" ht="15" customHeight="1">
      <c r="A7830" s="58" t="s">
        <v>14899</v>
      </c>
      <c r="B7830" s="20" t="s">
        <v>14900</v>
      </c>
      <c r="C7830" s="58" t="s">
        <v>1713</v>
      </c>
      <c r="D7830" s="58" t="s">
        <v>35250</v>
      </c>
      <c r="H7830">
        <f t="shared" si="217"/>
        <v>7689.32</v>
      </c>
    </row>
    <row r="7831" spans="1:8" ht="15" customHeight="1">
      <c r="A7831" s="58" t="s">
        <v>14901</v>
      </c>
      <c r="B7831" s="20" t="s">
        <v>2749</v>
      </c>
      <c r="C7831" s="58" t="s">
        <v>1713</v>
      </c>
      <c r="D7831" s="58" t="s">
        <v>35251</v>
      </c>
      <c r="H7831">
        <f t="shared" si="217"/>
        <v>6503.08</v>
      </c>
    </row>
    <row r="7832" spans="1:8" ht="15" customHeight="1">
      <c r="A7832" s="58" t="s">
        <v>14902</v>
      </c>
      <c r="B7832" s="20" t="s">
        <v>11184</v>
      </c>
      <c r="C7832" s="58" t="s">
        <v>1713</v>
      </c>
      <c r="D7832" s="58" t="s">
        <v>35252</v>
      </c>
      <c r="H7832">
        <f t="shared" si="217"/>
        <v>5643</v>
      </c>
    </row>
  </sheetData>
  <pageMargins left="0.511811024" right="0.511811024" top="0.78740157499999996" bottom="0.78740157499999996" header="0.31496062000000002" footer="0.31496062000000002"/>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1436"/>
  <sheetViews>
    <sheetView workbookViewId="0">
      <selection activeCell="C2" sqref="C2"/>
    </sheetView>
  </sheetViews>
  <sheetFormatPr defaultRowHeight="15" customHeight="1"/>
  <cols>
    <col min="1" max="1" width="10.88671875" customWidth="1"/>
    <col min="2" max="2" width="36.5546875" bestFit="1" customWidth="1"/>
    <col min="3" max="3" width="7.6640625" customWidth="1"/>
    <col min="4" max="4" width="16.33203125" customWidth="1"/>
    <col min="5" max="5" width="19.88671875" customWidth="1"/>
  </cols>
  <sheetData>
    <row r="1" spans="1:5" ht="14.4">
      <c r="B1" t="s">
        <v>80</v>
      </c>
      <c r="C1" s="71">
        <v>44409</v>
      </c>
      <c r="D1" t="s">
        <v>1707</v>
      </c>
      <c r="E1" s="160">
        <v>0</v>
      </c>
    </row>
    <row r="3" spans="1:5" ht="14.4">
      <c r="A3" s="238" t="s">
        <v>185</v>
      </c>
      <c r="B3" s="238" t="s">
        <v>186</v>
      </c>
      <c r="C3" s="239" t="s">
        <v>187</v>
      </c>
      <c r="D3" s="239" t="s">
        <v>188</v>
      </c>
      <c r="E3" s="239"/>
    </row>
    <row r="4" spans="1:5" ht="14.4">
      <c r="A4" s="240">
        <v>1</v>
      </c>
      <c r="B4" s="529" t="s">
        <v>189</v>
      </c>
      <c r="C4" s="530"/>
      <c r="D4" s="530"/>
      <c r="E4" s="531"/>
    </row>
    <row r="5" spans="1:5" ht="14.4">
      <c r="A5" s="240">
        <v>101</v>
      </c>
      <c r="B5" s="529" t="s">
        <v>190</v>
      </c>
      <c r="C5" s="530"/>
      <c r="D5" s="530"/>
      <c r="E5" s="531"/>
    </row>
    <row r="6" spans="1:5" ht="28.8">
      <c r="A6" s="241">
        <v>10101</v>
      </c>
      <c r="B6" s="241" t="s">
        <v>14926</v>
      </c>
      <c r="C6" s="221" t="s">
        <v>109</v>
      </c>
      <c r="D6" s="222">
        <v>6.27</v>
      </c>
      <c r="E6" s="242"/>
    </row>
    <row r="7" spans="1:5" ht="14.4">
      <c r="A7" s="241">
        <v>10106</v>
      </c>
      <c r="B7" s="241" t="s">
        <v>14927</v>
      </c>
      <c r="C7" s="221" t="s">
        <v>109</v>
      </c>
      <c r="D7" s="222">
        <v>7.43</v>
      </c>
      <c r="E7" s="242"/>
    </row>
    <row r="8" spans="1:5" ht="28.8">
      <c r="A8" s="241">
        <v>10108</v>
      </c>
      <c r="B8" s="241" t="s">
        <v>14928</v>
      </c>
      <c r="C8" s="221" t="s">
        <v>109</v>
      </c>
      <c r="D8" s="222">
        <v>7.43</v>
      </c>
      <c r="E8" s="242"/>
    </row>
    <row r="9" spans="1:5" ht="14.4">
      <c r="A9" s="241">
        <v>10111</v>
      </c>
      <c r="B9" s="241" t="s">
        <v>14929</v>
      </c>
      <c r="C9" s="221" t="s">
        <v>109</v>
      </c>
      <c r="D9" s="222">
        <v>7.43</v>
      </c>
      <c r="E9" s="242"/>
    </row>
    <row r="10" spans="1:5" ht="14.4">
      <c r="A10" s="241">
        <v>10115</v>
      </c>
      <c r="B10" s="241" t="s">
        <v>14930</v>
      </c>
      <c r="C10" s="221" t="s">
        <v>109</v>
      </c>
      <c r="D10" s="222">
        <v>7.43</v>
      </c>
      <c r="E10" s="242"/>
    </row>
    <row r="11" spans="1:5" ht="28.8">
      <c r="A11" s="241">
        <v>10117</v>
      </c>
      <c r="B11" s="241" t="s">
        <v>14931</v>
      </c>
      <c r="C11" s="221" t="s">
        <v>109</v>
      </c>
      <c r="D11" s="222">
        <v>14.1</v>
      </c>
      <c r="E11" s="242"/>
    </row>
    <row r="12" spans="1:5" ht="14.4">
      <c r="A12" s="241">
        <v>10118</v>
      </c>
      <c r="B12" s="241" t="s">
        <v>14932</v>
      </c>
      <c r="C12" s="221" t="s">
        <v>109</v>
      </c>
      <c r="D12" s="222">
        <v>7.43</v>
      </c>
      <c r="E12" s="242"/>
    </row>
    <row r="13" spans="1:5" ht="14.4">
      <c r="A13" s="241">
        <v>10121</v>
      </c>
      <c r="B13" s="241" t="s">
        <v>14933</v>
      </c>
      <c r="C13" s="221" t="s">
        <v>109</v>
      </c>
      <c r="D13" s="222">
        <v>7.43</v>
      </c>
      <c r="E13" s="242"/>
    </row>
    <row r="14" spans="1:5" ht="28.8">
      <c r="A14" s="241">
        <v>10124</v>
      </c>
      <c r="B14" s="241" t="s">
        <v>14934</v>
      </c>
      <c r="C14" s="221" t="s">
        <v>109</v>
      </c>
      <c r="D14" s="222">
        <v>7.43</v>
      </c>
      <c r="E14" s="242"/>
    </row>
    <row r="15" spans="1:5" ht="14.4">
      <c r="A15" s="241">
        <v>10128</v>
      </c>
      <c r="B15" s="241" t="s">
        <v>14935</v>
      </c>
      <c r="C15" s="221" t="s">
        <v>109</v>
      </c>
      <c r="D15" s="222">
        <v>7.43</v>
      </c>
      <c r="E15" s="242"/>
    </row>
    <row r="16" spans="1:5" ht="14.4">
      <c r="A16" s="241">
        <v>10130</v>
      </c>
      <c r="B16" s="241" t="s">
        <v>14936</v>
      </c>
      <c r="C16" s="221" t="s">
        <v>109</v>
      </c>
      <c r="D16" s="222">
        <v>11.33</v>
      </c>
      <c r="E16" s="242"/>
    </row>
    <row r="17" spans="1:5" ht="14.4">
      <c r="A17" s="241">
        <v>10138</v>
      </c>
      <c r="B17" s="241" t="s">
        <v>14937</v>
      </c>
      <c r="C17" s="221" t="s">
        <v>109</v>
      </c>
      <c r="D17" s="222">
        <v>7.43</v>
      </c>
      <c r="E17" s="242"/>
    </row>
    <row r="18" spans="1:5" ht="14.4">
      <c r="A18" s="241">
        <v>10139</v>
      </c>
      <c r="B18" s="241" t="s">
        <v>14938</v>
      </c>
      <c r="C18" s="221" t="s">
        <v>109</v>
      </c>
      <c r="D18" s="222">
        <v>7.43</v>
      </c>
      <c r="E18" s="242"/>
    </row>
    <row r="19" spans="1:5" ht="14.4">
      <c r="A19" s="241">
        <v>10140</v>
      </c>
      <c r="B19" s="241" t="s">
        <v>14939</v>
      </c>
      <c r="C19" s="221" t="s">
        <v>109</v>
      </c>
      <c r="D19" s="222">
        <v>7.43</v>
      </c>
      <c r="E19" s="242"/>
    </row>
    <row r="20" spans="1:5" ht="28.8">
      <c r="A20" s="241">
        <v>10146</v>
      </c>
      <c r="B20" s="241" t="s">
        <v>14940</v>
      </c>
      <c r="C20" s="221" t="s">
        <v>109</v>
      </c>
      <c r="D20" s="222">
        <v>5.46</v>
      </c>
      <c r="E20" s="242"/>
    </row>
    <row r="21" spans="1:5" ht="14.4">
      <c r="A21" s="241">
        <v>10150</v>
      </c>
      <c r="B21" s="241" t="s">
        <v>14941</v>
      </c>
      <c r="C21" s="221" t="s">
        <v>109</v>
      </c>
      <c r="D21" s="222">
        <v>7.43</v>
      </c>
      <c r="E21" s="242"/>
    </row>
    <row r="22" spans="1:5" ht="15" customHeight="1">
      <c r="A22" s="240">
        <v>102</v>
      </c>
      <c r="B22" s="529" t="s">
        <v>191</v>
      </c>
      <c r="C22" s="530"/>
      <c r="D22" s="530"/>
      <c r="E22" s="531"/>
    </row>
    <row r="23" spans="1:5" ht="28.8">
      <c r="A23" s="241">
        <v>10209</v>
      </c>
      <c r="B23" s="241" t="s">
        <v>192</v>
      </c>
      <c r="C23" s="221" t="s">
        <v>109</v>
      </c>
      <c r="D23" s="222">
        <v>12.12</v>
      </c>
      <c r="E23" s="242"/>
    </row>
    <row r="24" spans="1:5" ht="14.4">
      <c r="A24" s="241">
        <v>10233</v>
      </c>
      <c r="B24" s="241" t="s">
        <v>14942</v>
      </c>
      <c r="C24" s="221" t="s">
        <v>109</v>
      </c>
      <c r="D24" s="517">
        <v>5</v>
      </c>
      <c r="E24" s="242"/>
    </row>
    <row r="25" spans="1:5" ht="14.4">
      <c r="A25" s="241">
        <v>10235</v>
      </c>
      <c r="B25" s="241" t="s">
        <v>14943</v>
      </c>
      <c r="C25" s="221" t="s">
        <v>109</v>
      </c>
      <c r="D25" s="517">
        <v>5</v>
      </c>
      <c r="E25" s="242"/>
    </row>
    <row r="26" spans="1:5" ht="43.2">
      <c r="A26" s="241">
        <v>10260</v>
      </c>
      <c r="B26" s="241" t="s">
        <v>14944</v>
      </c>
      <c r="C26" s="221" t="s">
        <v>109</v>
      </c>
      <c r="D26" s="222">
        <v>5.79</v>
      </c>
      <c r="E26" s="242"/>
    </row>
    <row r="27" spans="1:5" ht="28.8">
      <c r="A27" s="241">
        <v>10278</v>
      </c>
      <c r="B27" s="241" t="s">
        <v>14945</v>
      </c>
      <c r="C27" s="221" t="s">
        <v>109</v>
      </c>
      <c r="D27" s="222">
        <v>11.33</v>
      </c>
      <c r="E27" s="243"/>
    </row>
    <row r="28" spans="1:5" ht="14.4">
      <c r="A28" s="286"/>
      <c r="B28" s="287"/>
      <c r="C28" s="287"/>
      <c r="D28" s="287"/>
      <c r="E28" s="288"/>
    </row>
    <row r="29" spans="1:5" ht="15" customHeight="1">
      <c r="A29" s="529" t="s">
        <v>193</v>
      </c>
      <c r="B29" s="530"/>
      <c r="C29" s="530"/>
      <c r="D29" s="530"/>
      <c r="E29" s="531"/>
    </row>
    <row r="30" spans="1:5" ht="14.4">
      <c r="A30" s="286"/>
      <c r="B30" s="287"/>
      <c r="C30" s="287"/>
      <c r="D30" s="287"/>
      <c r="E30" s="288"/>
    </row>
    <row r="31" spans="1:5" ht="14.4">
      <c r="A31" s="238" t="s">
        <v>185</v>
      </c>
      <c r="B31" s="238" t="s">
        <v>186</v>
      </c>
      <c r="C31" s="239" t="s">
        <v>187</v>
      </c>
      <c r="D31" s="239" t="s">
        <v>188</v>
      </c>
      <c r="E31" s="239"/>
    </row>
    <row r="32" spans="1:5" ht="14.4">
      <c r="A32" s="240">
        <v>2</v>
      </c>
      <c r="B32" s="529" t="s">
        <v>194</v>
      </c>
      <c r="C32" s="530"/>
      <c r="D32" s="530"/>
      <c r="E32" s="531"/>
    </row>
    <row r="33" spans="1:5" ht="15" customHeight="1">
      <c r="A33" s="240">
        <v>203</v>
      </c>
      <c r="B33" s="529" t="s">
        <v>195</v>
      </c>
      <c r="C33" s="530"/>
      <c r="D33" s="530"/>
      <c r="E33" s="531"/>
    </row>
    <row r="34" spans="1:5" ht="28.8">
      <c r="A34" s="241">
        <v>20356</v>
      </c>
      <c r="B34" s="241" t="s">
        <v>196</v>
      </c>
      <c r="C34" s="221" t="s">
        <v>114</v>
      </c>
      <c r="D34" s="222">
        <v>60.93</v>
      </c>
      <c r="E34" s="242"/>
    </row>
    <row r="35" spans="1:5" ht="15" customHeight="1">
      <c r="A35" s="240">
        <v>204</v>
      </c>
      <c r="B35" s="529" t="s">
        <v>197</v>
      </c>
      <c r="C35" s="530"/>
      <c r="D35" s="530"/>
      <c r="E35" s="531"/>
    </row>
    <row r="36" spans="1:5" ht="14.4">
      <c r="A36" s="241">
        <v>20416</v>
      </c>
      <c r="B36" s="241" t="s">
        <v>198</v>
      </c>
      <c r="C36" s="221" t="s">
        <v>83</v>
      </c>
      <c r="D36" s="222">
        <v>396.67</v>
      </c>
      <c r="E36" s="242"/>
    </row>
    <row r="37" spans="1:5" ht="14.4">
      <c r="A37" s="241">
        <v>20463</v>
      </c>
      <c r="B37" s="241" t="s">
        <v>199</v>
      </c>
      <c r="C37" s="221" t="s">
        <v>71</v>
      </c>
      <c r="D37" s="222">
        <v>7.29</v>
      </c>
      <c r="E37" s="242"/>
    </row>
    <row r="38" spans="1:5" ht="14.4">
      <c r="A38" s="241">
        <v>20468</v>
      </c>
      <c r="B38" s="241" t="s">
        <v>200</v>
      </c>
      <c r="C38" s="221" t="s">
        <v>71</v>
      </c>
      <c r="D38" s="222">
        <v>11.6</v>
      </c>
      <c r="E38" s="242"/>
    </row>
    <row r="39" spans="1:5" ht="15" customHeight="1">
      <c r="A39" s="240">
        <v>205</v>
      </c>
      <c r="B39" s="529" t="s">
        <v>201</v>
      </c>
      <c r="C39" s="530"/>
      <c r="D39" s="530"/>
      <c r="E39" s="531"/>
    </row>
    <row r="40" spans="1:5" ht="14.4">
      <c r="A40" s="241">
        <v>20503</v>
      </c>
      <c r="B40" s="241" t="s">
        <v>202</v>
      </c>
      <c r="C40" s="221" t="s">
        <v>83</v>
      </c>
      <c r="D40" s="222">
        <v>93.33</v>
      </c>
      <c r="E40" s="242"/>
    </row>
    <row r="41" spans="1:5" ht="14.4">
      <c r="A41" s="241">
        <v>20505</v>
      </c>
      <c r="B41" s="241" t="s">
        <v>2133</v>
      </c>
      <c r="C41" s="221" t="s">
        <v>71</v>
      </c>
      <c r="D41" s="222">
        <v>0.79</v>
      </c>
      <c r="E41" s="242"/>
    </row>
    <row r="42" spans="1:5" ht="14.4">
      <c r="A42" s="241">
        <v>20508</v>
      </c>
      <c r="B42" s="241" t="s">
        <v>2134</v>
      </c>
      <c r="C42" s="221" t="s">
        <v>71</v>
      </c>
      <c r="D42" s="222">
        <v>0.46</v>
      </c>
      <c r="E42" s="242"/>
    </row>
    <row r="43" spans="1:5" ht="14.4">
      <c r="A43" s="241">
        <v>20509</v>
      </c>
      <c r="B43" s="241" t="s">
        <v>203</v>
      </c>
      <c r="C43" s="221" t="s">
        <v>71</v>
      </c>
      <c r="D43" s="222">
        <v>3.86</v>
      </c>
      <c r="E43" s="242"/>
    </row>
    <row r="44" spans="1:5" ht="28.8">
      <c r="A44" s="241">
        <v>20510</v>
      </c>
      <c r="B44" s="241" t="s">
        <v>204</v>
      </c>
      <c r="C44" s="221" t="s">
        <v>71</v>
      </c>
      <c r="D44" s="222">
        <v>0.7</v>
      </c>
      <c r="E44" s="242"/>
    </row>
    <row r="45" spans="1:5" ht="14.4">
      <c r="A45" s="241">
        <v>20514</v>
      </c>
      <c r="B45" s="241" t="s">
        <v>205</v>
      </c>
      <c r="C45" s="221" t="s">
        <v>83</v>
      </c>
      <c r="D45" s="222">
        <v>358</v>
      </c>
      <c r="E45" s="242"/>
    </row>
    <row r="46" spans="1:5" ht="14.4">
      <c r="A46" s="241">
        <v>20517</v>
      </c>
      <c r="B46" s="241" t="s">
        <v>206</v>
      </c>
      <c r="C46" s="221" t="s">
        <v>83</v>
      </c>
      <c r="D46" s="222">
        <v>102.66</v>
      </c>
      <c r="E46" s="242"/>
    </row>
    <row r="47" spans="1:5" ht="14.4">
      <c r="A47" s="241">
        <v>20518</v>
      </c>
      <c r="B47" s="241" t="s">
        <v>207</v>
      </c>
      <c r="C47" s="221" t="s">
        <v>83</v>
      </c>
      <c r="D47" s="222">
        <v>102.66</v>
      </c>
      <c r="E47" s="242"/>
    </row>
    <row r="48" spans="1:5" ht="14.4">
      <c r="A48" s="241">
        <v>20519</v>
      </c>
      <c r="B48" s="241" t="s">
        <v>208</v>
      </c>
      <c r="C48" s="221" t="s">
        <v>83</v>
      </c>
      <c r="D48" s="222">
        <v>102.66</v>
      </c>
      <c r="E48" s="242"/>
    </row>
    <row r="49" spans="1:5" ht="14.4">
      <c r="A49" s="241">
        <v>20520</v>
      </c>
      <c r="B49" s="241" t="s">
        <v>209</v>
      </c>
      <c r="C49" s="221" t="s">
        <v>83</v>
      </c>
      <c r="D49" s="222">
        <v>102.66</v>
      </c>
      <c r="E49" s="242"/>
    </row>
    <row r="50" spans="1:5" ht="14.4">
      <c r="A50" s="241">
        <v>20521</v>
      </c>
      <c r="B50" s="241" t="s">
        <v>210</v>
      </c>
      <c r="C50" s="221" t="s">
        <v>83</v>
      </c>
      <c r="D50" s="222">
        <v>101.73</v>
      </c>
      <c r="E50" s="242"/>
    </row>
    <row r="51" spans="1:5" ht="14.4">
      <c r="A51" s="241">
        <v>20522</v>
      </c>
      <c r="B51" s="241" t="s">
        <v>211</v>
      </c>
      <c r="C51" s="221" t="s">
        <v>83</v>
      </c>
      <c r="D51" s="222">
        <v>132.1</v>
      </c>
      <c r="E51" s="242"/>
    </row>
    <row r="52" spans="1:5" ht="14.4">
      <c r="A52" s="241">
        <v>20524</v>
      </c>
      <c r="B52" s="241" t="s">
        <v>212</v>
      </c>
      <c r="C52" s="221" t="s">
        <v>83</v>
      </c>
      <c r="D52" s="222">
        <v>70.5</v>
      </c>
      <c r="E52" s="242"/>
    </row>
    <row r="53" spans="1:5" ht="14.4">
      <c r="A53" s="241">
        <v>20553</v>
      </c>
      <c r="B53" s="241" t="s">
        <v>213</v>
      </c>
      <c r="C53" s="221" t="s">
        <v>83</v>
      </c>
      <c r="D53" s="222">
        <v>102.66</v>
      </c>
      <c r="E53" s="242"/>
    </row>
    <row r="54" spans="1:5" ht="14.4">
      <c r="A54" s="241">
        <v>20554</v>
      </c>
      <c r="B54" s="241" t="s">
        <v>214</v>
      </c>
      <c r="C54" s="221" t="s">
        <v>83</v>
      </c>
      <c r="D54" s="222">
        <v>58.33</v>
      </c>
      <c r="E54" s="242"/>
    </row>
    <row r="55" spans="1:5" ht="14.4">
      <c r="A55" s="241">
        <v>20567</v>
      </c>
      <c r="B55" s="241" t="s">
        <v>215</v>
      </c>
      <c r="C55" s="221" t="s">
        <v>83</v>
      </c>
      <c r="D55" s="222">
        <v>377.33</v>
      </c>
      <c r="E55" s="242"/>
    </row>
    <row r="56" spans="1:5" ht="14.4">
      <c r="A56" s="241">
        <v>20571</v>
      </c>
      <c r="B56" s="241" t="s">
        <v>216</v>
      </c>
      <c r="C56" s="221" t="s">
        <v>83</v>
      </c>
      <c r="D56" s="222">
        <v>102.66</v>
      </c>
      <c r="E56" s="242"/>
    </row>
    <row r="57" spans="1:5" ht="28.8">
      <c r="A57" s="241">
        <v>20572</v>
      </c>
      <c r="B57" s="241" t="s">
        <v>7490</v>
      </c>
      <c r="C57" s="221" t="s">
        <v>71</v>
      </c>
      <c r="D57" s="222">
        <v>4.3</v>
      </c>
      <c r="E57" s="242"/>
    </row>
    <row r="58" spans="1:5" ht="14.4">
      <c r="A58" s="241">
        <v>20578</v>
      </c>
      <c r="B58" s="241" t="s">
        <v>217</v>
      </c>
      <c r="C58" s="221" t="s">
        <v>83</v>
      </c>
      <c r="D58" s="222">
        <v>115</v>
      </c>
      <c r="E58" s="242"/>
    </row>
    <row r="59" spans="1:5" ht="14.4">
      <c r="A59" s="241">
        <v>20580</v>
      </c>
      <c r="B59" s="241" t="s">
        <v>218</v>
      </c>
      <c r="C59" s="221" t="s">
        <v>83</v>
      </c>
      <c r="D59" s="222">
        <v>76.67</v>
      </c>
      <c r="E59" s="242"/>
    </row>
    <row r="60" spans="1:5" ht="28.8">
      <c r="A60" s="241">
        <v>20584</v>
      </c>
      <c r="B60" s="241" t="s">
        <v>219</v>
      </c>
      <c r="C60" s="221" t="s">
        <v>71</v>
      </c>
      <c r="D60" s="222">
        <v>1.82</v>
      </c>
      <c r="E60" s="242"/>
    </row>
    <row r="61" spans="1:5" ht="14.4">
      <c r="A61" s="241">
        <v>20588</v>
      </c>
      <c r="B61" s="241" t="s">
        <v>220</v>
      </c>
      <c r="C61" s="221" t="s">
        <v>71</v>
      </c>
      <c r="D61" s="222">
        <v>7.29</v>
      </c>
      <c r="E61" s="242"/>
    </row>
    <row r="62" spans="1:5" ht="15" customHeight="1">
      <c r="A62" s="240">
        <v>207</v>
      </c>
      <c r="B62" s="529" t="s">
        <v>201</v>
      </c>
      <c r="C62" s="530"/>
      <c r="D62" s="530"/>
      <c r="E62" s="531"/>
    </row>
    <row r="63" spans="1:5" ht="43.2">
      <c r="A63" s="241">
        <v>20732</v>
      </c>
      <c r="B63" s="241" t="s">
        <v>2135</v>
      </c>
      <c r="C63" s="221" t="s">
        <v>71</v>
      </c>
      <c r="D63" s="222">
        <v>1.88</v>
      </c>
      <c r="E63" s="242"/>
    </row>
    <row r="64" spans="1:5" ht="28.8">
      <c r="A64" s="241">
        <v>20746</v>
      </c>
      <c r="B64" s="241" t="s">
        <v>221</v>
      </c>
      <c r="C64" s="221" t="s">
        <v>71</v>
      </c>
      <c r="D64" s="222">
        <v>6.09</v>
      </c>
      <c r="E64" s="242"/>
    </row>
    <row r="65" spans="1:5" ht="14.4">
      <c r="A65" s="240">
        <v>209</v>
      </c>
      <c r="B65" s="529" t="s">
        <v>222</v>
      </c>
      <c r="C65" s="530"/>
      <c r="D65" s="530"/>
      <c r="E65" s="531"/>
    </row>
    <row r="66" spans="1:5" ht="28.8">
      <c r="A66" s="241">
        <v>20910</v>
      </c>
      <c r="B66" s="241" t="s">
        <v>2136</v>
      </c>
      <c r="C66" s="221" t="s">
        <v>73</v>
      </c>
      <c r="D66" s="222">
        <v>32.47</v>
      </c>
      <c r="E66" s="242"/>
    </row>
    <row r="67" spans="1:5" ht="28.8">
      <c r="A67" s="241">
        <v>20975</v>
      </c>
      <c r="B67" s="241" t="s">
        <v>14946</v>
      </c>
      <c r="C67" s="221" t="s">
        <v>75</v>
      </c>
      <c r="D67" s="222">
        <v>5.64</v>
      </c>
      <c r="E67" s="242"/>
    </row>
    <row r="68" spans="1:5" ht="14.4">
      <c r="A68" s="241">
        <v>20977</v>
      </c>
      <c r="B68" s="241" t="s">
        <v>14947</v>
      </c>
      <c r="C68" s="221" t="s">
        <v>75</v>
      </c>
      <c r="D68" s="222">
        <v>7.46</v>
      </c>
      <c r="E68" s="242"/>
    </row>
    <row r="69" spans="1:5" ht="14.4">
      <c r="A69" s="241">
        <v>20982</v>
      </c>
      <c r="B69" s="241" t="s">
        <v>9621</v>
      </c>
      <c r="C69" s="221" t="s">
        <v>75</v>
      </c>
      <c r="D69" s="222">
        <v>8.73</v>
      </c>
      <c r="E69" s="242"/>
    </row>
    <row r="70" spans="1:5" ht="14.4">
      <c r="A70" s="241">
        <v>20985</v>
      </c>
      <c r="B70" s="241" t="s">
        <v>14948</v>
      </c>
      <c r="C70" s="221" t="s">
        <v>75</v>
      </c>
      <c r="D70" s="222">
        <v>6.42</v>
      </c>
      <c r="E70" s="242"/>
    </row>
    <row r="71" spans="1:5" ht="28.8">
      <c r="A71" s="241">
        <v>20987</v>
      </c>
      <c r="B71" s="241" t="s">
        <v>14949</v>
      </c>
      <c r="C71" s="221" t="s">
        <v>73</v>
      </c>
      <c r="D71" s="222">
        <v>46.12</v>
      </c>
      <c r="E71" s="242"/>
    </row>
    <row r="72" spans="1:5" ht="14.4">
      <c r="A72" s="241">
        <v>20988</v>
      </c>
      <c r="B72" s="241" t="s">
        <v>14950</v>
      </c>
      <c r="C72" s="221" t="s">
        <v>75</v>
      </c>
      <c r="D72" s="222">
        <v>13.72</v>
      </c>
      <c r="E72" s="242"/>
    </row>
    <row r="73" spans="1:5" ht="14.4">
      <c r="A73" s="240">
        <v>210</v>
      </c>
      <c r="B73" s="529" t="s">
        <v>222</v>
      </c>
      <c r="C73" s="530"/>
      <c r="D73" s="530"/>
      <c r="E73" s="531"/>
    </row>
    <row r="74" spans="1:5" ht="14.4">
      <c r="A74" s="241">
        <v>21004</v>
      </c>
      <c r="B74" s="241" t="s">
        <v>9619</v>
      </c>
      <c r="C74" s="221" t="s">
        <v>73</v>
      </c>
      <c r="D74" s="222">
        <v>35.03</v>
      </c>
      <c r="E74" s="242"/>
    </row>
    <row r="75" spans="1:5" ht="28.8">
      <c r="A75" s="241">
        <v>21005</v>
      </c>
      <c r="B75" s="241" t="s">
        <v>14951</v>
      </c>
      <c r="C75" s="221" t="s">
        <v>83</v>
      </c>
      <c r="D75" s="223">
        <v>6877.67</v>
      </c>
      <c r="E75" s="242"/>
    </row>
    <row r="76" spans="1:5" ht="28.8">
      <c r="A76" s="241">
        <v>21009</v>
      </c>
      <c r="B76" s="241" t="s">
        <v>9620</v>
      </c>
      <c r="C76" s="221" t="s">
        <v>75</v>
      </c>
      <c r="D76" s="222">
        <v>8.25</v>
      </c>
      <c r="E76" s="242"/>
    </row>
    <row r="77" spans="1:5" ht="28.8">
      <c r="A77" s="241">
        <v>21018</v>
      </c>
      <c r="B77" s="241" t="s">
        <v>14952</v>
      </c>
      <c r="C77" s="221" t="s">
        <v>75</v>
      </c>
      <c r="D77" s="222">
        <v>16.27</v>
      </c>
      <c r="E77" s="242"/>
    </row>
    <row r="78" spans="1:5" ht="28.8">
      <c r="A78" s="241">
        <v>21023</v>
      </c>
      <c r="B78" s="241" t="s">
        <v>223</v>
      </c>
      <c r="C78" s="221" t="s">
        <v>114</v>
      </c>
      <c r="D78" s="222">
        <v>3.3</v>
      </c>
      <c r="E78" s="242"/>
    </row>
    <row r="79" spans="1:5" ht="28.8">
      <c r="A79" s="241">
        <v>21028</v>
      </c>
      <c r="B79" s="241" t="s">
        <v>2137</v>
      </c>
      <c r="C79" s="221" t="s">
        <v>224</v>
      </c>
      <c r="D79" s="222">
        <v>182.88</v>
      </c>
      <c r="E79" s="242"/>
    </row>
    <row r="80" spans="1:5" ht="28.8">
      <c r="A80" s="241">
        <v>21030</v>
      </c>
      <c r="B80" s="241" t="s">
        <v>2138</v>
      </c>
      <c r="C80" s="221" t="s">
        <v>73</v>
      </c>
      <c r="D80" s="222">
        <v>16.399999999999999</v>
      </c>
      <c r="E80" s="242"/>
    </row>
    <row r="81" spans="1:5" ht="28.8">
      <c r="A81" s="241">
        <v>21031</v>
      </c>
      <c r="B81" s="241" t="s">
        <v>2139</v>
      </c>
      <c r="C81" s="221" t="s">
        <v>73</v>
      </c>
      <c r="D81" s="222">
        <v>26.72</v>
      </c>
      <c r="E81" s="242"/>
    </row>
    <row r="82" spans="1:5" ht="28.8">
      <c r="A82" s="241">
        <v>21032</v>
      </c>
      <c r="B82" s="241" t="s">
        <v>2140</v>
      </c>
      <c r="C82" s="221" t="s">
        <v>73</v>
      </c>
      <c r="D82" s="222">
        <v>33.57</v>
      </c>
      <c r="E82" s="242"/>
    </row>
    <row r="83" spans="1:5" ht="28.8">
      <c r="A83" s="241">
        <v>21033</v>
      </c>
      <c r="B83" s="241" t="s">
        <v>2141</v>
      </c>
      <c r="C83" s="221" t="s">
        <v>73</v>
      </c>
      <c r="D83" s="222">
        <v>46.99</v>
      </c>
      <c r="E83" s="242"/>
    </row>
    <row r="84" spans="1:5" ht="14.4">
      <c r="A84" s="241">
        <v>21040</v>
      </c>
      <c r="B84" s="241" t="s">
        <v>225</v>
      </c>
      <c r="C84" s="221" t="s">
        <v>75</v>
      </c>
      <c r="D84" s="222">
        <v>50.92</v>
      </c>
      <c r="E84" s="242"/>
    </row>
    <row r="85" spans="1:5" ht="28.8">
      <c r="A85" s="241">
        <v>21041</v>
      </c>
      <c r="B85" s="241" t="s">
        <v>226</v>
      </c>
      <c r="C85" s="221" t="s">
        <v>75</v>
      </c>
      <c r="D85" s="222">
        <v>46.24</v>
      </c>
      <c r="E85" s="242"/>
    </row>
    <row r="86" spans="1:5" ht="28.8">
      <c r="A86" s="241">
        <v>21042</v>
      </c>
      <c r="B86" s="241" t="s">
        <v>227</v>
      </c>
      <c r="C86" s="221" t="s">
        <v>75</v>
      </c>
      <c r="D86" s="222">
        <v>92.34</v>
      </c>
      <c r="E86" s="242"/>
    </row>
    <row r="87" spans="1:5" ht="28.8">
      <c r="A87" s="241">
        <v>21043</v>
      </c>
      <c r="B87" s="241" t="s">
        <v>228</v>
      </c>
      <c r="C87" s="221" t="s">
        <v>75</v>
      </c>
      <c r="D87" s="222">
        <v>211.52</v>
      </c>
      <c r="E87" s="242"/>
    </row>
    <row r="88" spans="1:5" ht="14.4">
      <c r="A88" s="241">
        <v>21060</v>
      </c>
      <c r="B88" s="241" t="s">
        <v>229</v>
      </c>
      <c r="C88" s="221" t="s">
        <v>75</v>
      </c>
      <c r="D88" s="222">
        <v>4.72</v>
      </c>
      <c r="E88" s="242"/>
    </row>
    <row r="89" spans="1:5" ht="14.4">
      <c r="A89" s="241">
        <v>21061</v>
      </c>
      <c r="B89" s="241" t="s">
        <v>230</v>
      </c>
      <c r="C89" s="221" t="s">
        <v>75</v>
      </c>
      <c r="D89" s="222">
        <v>4.72</v>
      </c>
      <c r="E89" s="242"/>
    </row>
    <row r="90" spans="1:5" ht="14.4">
      <c r="A90" s="241">
        <v>21085</v>
      </c>
      <c r="B90" s="241" t="s">
        <v>14953</v>
      </c>
      <c r="C90" s="221" t="s">
        <v>83</v>
      </c>
      <c r="D90" s="223">
        <v>6877.67</v>
      </c>
      <c r="E90" s="242"/>
    </row>
    <row r="91" spans="1:5" ht="14.4">
      <c r="A91" s="241">
        <v>21089</v>
      </c>
      <c r="B91" s="241" t="s">
        <v>14954</v>
      </c>
      <c r="C91" s="221" t="s">
        <v>75</v>
      </c>
      <c r="D91" s="222">
        <v>13.96</v>
      </c>
      <c r="E91" s="242"/>
    </row>
    <row r="92" spans="1:5" ht="14.4">
      <c r="A92" s="241">
        <v>21090</v>
      </c>
      <c r="B92" s="241" t="s">
        <v>231</v>
      </c>
      <c r="C92" s="221" t="s">
        <v>73</v>
      </c>
      <c r="D92" s="222">
        <v>83.85</v>
      </c>
      <c r="E92" s="242"/>
    </row>
    <row r="93" spans="1:5" ht="14.4">
      <c r="A93" s="241">
        <v>21091</v>
      </c>
      <c r="B93" s="241" t="s">
        <v>232</v>
      </c>
      <c r="C93" s="221" t="s">
        <v>73</v>
      </c>
      <c r="D93" s="222">
        <v>39.950000000000003</v>
      </c>
      <c r="E93" s="242"/>
    </row>
    <row r="94" spans="1:5" ht="14.4">
      <c r="A94" s="240">
        <v>211</v>
      </c>
      <c r="B94" s="529" t="s">
        <v>233</v>
      </c>
      <c r="C94" s="530"/>
      <c r="D94" s="530"/>
      <c r="E94" s="531"/>
    </row>
    <row r="95" spans="1:5" ht="28.8">
      <c r="A95" s="241">
        <v>21108</v>
      </c>
      <c r="B95" s="241" t="s">
        <v>234</v>
      </c>
      <c r="C95" s="221" t="s">
        <v>75</v>
      </c>
      <c r="D95" s="222">
        <v>56.77</v>
      </c>
      <c r="E95" s="242"/>
    </row>
    <row r="96" spans="1:5" ht="14.4">
      <c r="A96" s="241">
        <v>21109</v>
      </c>
      <c r="B96" s="241" t="s">
        <v>235</v>
      </c>
      <c r="C96" s="221" t="s">
        <v>236</v>
      </c>
      <c r="D96" s="222">
        <v>110.65</v>
      </c>
      <c r="E96" s="242"/>
    </row>
    <row r="97" spans="1:5" ht="14.4">
      <c r="A97" s="241">
        <v>21111</v>
      </c>
      <c r="B97" s="241" t="s">
        <v>14955</v>
      </c>
      <c r="C97" s="221" t="s">
        <v>75</v>
      </c>
      <c r="D97" s="222">
        <v>88.93</v>
      </c>
      <c r="E97" s="242"/>
    </row>
    <row r="98" spans="1:5" ht="28.8">
      <c r="A98" s="241">
        <v>21118</v>
      </c>
      <c r="B98" s="241" t="s">
        <v>1831</v>
      </c>
      <c r="C98" s="221" t="s">
        <v>75</v>
      </c>
      <c r="D98" s="222">
        <v>81.09</v>
      </c>
      <c r="E98" s="242"/>
    </row>
    <row r="99" spans="1:5" ht="14.4">
      <c r="A99" s="241">
        <v>21144</v>
      </c>
      <c r="B99" s="241" t="s">
        <v>14956</v>
      </c>
      <c r="C99" s="221" t="s">
        <v>75</v>
      </c>
      <c r="D99" s="222">
        <v>33.76</v>
      </c>
      <c r="E99" s="242"/>
    </row>
    <row r="100" spans="1:5" ht="28.8">
      <c r="A100" s="241">
        <v>21151</v>
      </c>
      <c r="B100" s="241" t="s">
        <v>1832</v>
      </c>
      <c r="C100" s="221" t="s">
        <v>75</v>
      </c>
      <c r="D100" s="222">
        <v>5.34</v>
      </c>
      <c r="E100" s="242"/>
    </row>
    <row r="101" spans="1:5" ht="28.8">
      <c r="A101" s="241">
        <v>21170</v>
      </c>
      <c r="B101" s="241" t="s">
        <v>237</v>
      </c>
      <c r="C101" s="221" t="s">
        <v>75</v>
      </c>
      <c r="D101" s="222">
        <v>12.89</v>
      </c>
      <c r="E101" s="242"/>
    </row>
    <row r="102" spans="1:5" ht="14.4">
      <c r="A102" s="240">
        <v>212</v>
      </c>
      <c r="B102" s="529" t="s">
        <v>238</v>
      </c>
      <c r="C102" s="530"/>
      <c r="D102" s="530"/>
      <c r="E102" s="531"/>
    </row>
    <row r="103" spans="1:5" ht="28.8">
      <c r="A103" s="241">
        <v>21205</v>
      </c>
      <c r="B103" s="241" t="s">
        <v>239</v>
      </c>
      <c r="C103" s="221" t="s">
        <v>75</v>
      </c>
      <c r="D103" s="222">
        <v>8.8800000000000008</v>
      </c>
      <c r="E103" s="242"/>
    </row>
    <row r="104" spans="1:5" ht="28.8">
      <c r="A104" s="241">
        <v>21211</v>
      </c>
      <c r="B104" s="241" t="s">
        <v>240</v>
      </c>
      <c r="C104" s="221" t="s">
        <v>73</v>
      </c>
      <c r="D104" s="222">
        <v>9.17</v>
      </c>
      <c r="E104" s="242"/>
    </row>
    <row r="105" spans="1:5" ht="14.4">
      <c r="A105" s="240">
        <v>213</v>
      </c>
      <c r="B105" s="529" t="s">
        <v>233</v>
      </c>
      <c r="C105" s="530"/>
      <c r="D105" s="530"/>
      <c r="E105" s="531"/>
    </row>
    <row r="106" spans="1:5" ht="28.8">
      <c r="A106" s="241">
        <v>21305</v>
      </c>
      <c r="B106" s="241" t="s">
        <v>15732</v>
      </c>
      <c r="C106" s="221" t="s">
        <v>75</v>
      </c>
      <c r="D106" s="222">
        <v>41.09</v>
      </c>
      <c r="E106" s="242"/>
    </row>
    <row r="107" spans="1:5" ht="28.8">
      <c r="A107" s="241">
        <v>21368</v>
      </c>
      <c r="B107" s="241" t="s">
        <v>2142</v>
      </c>
      <c r="C107" s="221" t="s">
        <v>75</v>
      </c>
      <c r="D107" s="222">
        <v>4.43</v>
      </c>
      <c r="E107" s="242"/>
    </row>
    <row r="108" spans="1:5" ht="14.4">
      <c r="A108" s="240">
        <v>215</v>
      </c>
      <c r="B108" s="529" t="s">
        <v>241</v>
      </c>
      <c r="C108" s="530"/>
      <c r="D108" s="530"/>
      <c r="E108" s="531"/>
    </row>
    <row r="109" spans="1:5" ht="14.4">
      <c r="A109" s="241">
        <v>21516</v>
      </c>
      <c r="B109" s="241" t="s">
        <v>242</v>
      </c>
      <c r="C109" s="221" t="s">
        <v>71</v>
      </c>
      <c r="D109" s="222">
        <v>9.68</v>
      </c>
      <c r="E109" s="242"/>
    </row>
    <row r="110" spans="1:5" ht="14.4">
      <c r="A110" s="241">
        <v>21517</v>
      </c>
      <c r="B110" s="241" t="s">
        <v>243</v>
      </c>
      <c r="C110" s="221" t="s">
        <v>71</v>
      </c>
      <c r="D110" s="222">
        <v>9.3699999999999992</v>
      </c>
      <c r="E110" s="242"/>
    </row>
    <row r="111" spans="1:5" ht="14.4">
      <c r="A111" s="241">
        <v>21521</v>
      </c>
      <c r="B111" s="241" t="s">
        <v>244</v>
      </c>
      <c r="C111" s="221" t="s">
        <v>71</v>
      </c>
      <c r="D111" s="222">
        <v>8.8000000000000007</v>
      </c>
      <c r="E111" s="242"/>
    </row>
    <row r="112" spans="1:5" ht="14.4">
      <c r="A112" s="241">
        <v>21532</v>
      </c>
      <c r="B112" s="241" t="s">
        <v>245</v>
      </c>
      <c r="C112" s="221" t="s">
        <v>71</v>
      </c>
      <c r="D112" s="222">
        <v>13.41</v>
      </c>
      <c r="E112" s="242"/>
    </row>
    <row r="113" spans="1:5" ht="28.8">
      <c r="A113" s="241">
        <v>21543</v>
      </c>
      <c r="B113" s="241" t="s">
        <v>246</v>
      </c>
      <c r="C113" s="221" t="s">
        <v>73</v>
      </c>
      <c r="D113" s="222">
        <v>29.7</v>
      </c>
      <c r="E113" s="242"/>
    </row>
    <row r="114" spans="1:5" ht="14.4">
      <c r="A114" s="240">
        <v>220</v>
      </c>
      <c r="B114" s="529" t="s">
        <v>247</v>
      </c>
      <c r="C114" s="530"/>
      <c r="D114" s="530"/>
      <c r="E114" s="531"/>
    </row>
    <row r="115" spans="1:5" ht="43.2">
      <c r="A115" s="241">
        <v>22001</v>
      </c>
      <c r="B115" s="241" t="s">
        <v>7491</v>
      </c>
      <c r="C115" s="221" t="s">
        <v>73</v>
      </c>
      <c r="D115" s="222">
        <v>48.67</v>
      </c>
      <c r="E115" s="242"/>
    </row>
    <row r="116" spans="1:5" ht="43.2">
      <c r="A116" s="241">
        <v>22002</v>
      </c>
      <c r="B116" s="241" t="s">
        <v>7492</v>
      </c>
      <c r="C116" s="221" t="s">
        <v>73</v>
      </c>
      <c r="D116" s="222">
        <v>50.33</v>
      </c>
      <c r="E116" s="242"/>
    </row>
    <row r="117" spans="1:5" ht="14.4">
      <c r="A117" s="240">
        <v>225</v>
      </c>
      <c r="B117" s="529" t="s">
        <v>248</v>
      </c>
      <c r="C117" s="530"/>
      <c r="D117" s="530"/>
      <c r="E117" s="531"/>
    </row>
    <row r="118" spans="1:5" ht="28.8">
      <c r="A118" s="241">
        <v>22502</v>
      </c>
      <c r="B118" s="241" t="s">
        <v>249</v>
      </c>
      <c r="C118" s="221" t="s">
        <v>114</v>
      </c>
      <c r="D118" s="222">
        <v>2.27</v>
      </c>
      <c r="E118" s="242"/>
    </row>
    <row r="119" spans="1:5" ht="28.8">
      <c r="A119" s="241">
        <v>22504</v>
      </c>
      <c r="B119" s="241" t="s">
        <v>250</v>
      </c>
      <c r="C119" s="221" t="s">
        <v>114</v>
      </c>
      <c r="D119" s="222">
        <v>2.95</v>
      </c>
      <c r="E119" s="242"/>
    </row>
    <row r="120" spans="1:5" ht="28.8">
      <c r="A120" s="241">
        <v>22505</v>
      </c>
      <c r="B120" s="241" t="s">
        <v>251</v>
      </c>
      <c r="C120" s="221" t="s">
        <v>114</v>
      </c>
      <c r="D120" s="222">
        <v>3.72</v>
      </c>
      <c r="E120" s="242"/>
    </row>
    <row r="121" spans="1:5" ht="28.8">
      <c r="A121" s="241">
        <v>22507</v>
      </c>
      <c r="B121" s="241" t="s">
        <v>252</v>
      </c>
      <c r="C121" s="221" t="s">
        <v>114</v>
      </c>
      <c r="D121" s="222">
        <v>3.19</v>
      </c>
      <c r="E121" s="242"/>
    </row>
    <row r="122" spans="1:5" ht="28.8">
      <c r="A122" s="241">
        <v>22508</v>
      </c>
      <c r="B122" s="241" t="s">
        <v>253</v>
      </c>
      <c r="C122" s="221" t="s">
        <v>114</v>
      </c>
      <c r="D122" s="222">
        <v>4.18</v>
      </c>
      <c r="E122" s="242"/>
    </row>
    <row r="123" spans="1:5" ht="28.8">
      <c r="A123" s="241">
        <v>22548</v>
      </c>
      <c r="B123" s="241" t="s">
        <v>254</v>
      </c>
      <c r="C123" s="221" t="s">
        <v>114</v>
      </c>
      <c r="D123" s="222">
        <v>2.3199999999999998</v>
      </c>
      <c r="E123" s="242"/>
    </row>
    <row r="124" spans="1:5" ht="28.8">
      <c r="A124" s="241">
        <v>22585</v>
      </c>
      <c r="B124" s="241" t="s">
        <v>2143</v>
      </c>
      <c r="C124" s="221" t="s">
        <v>114</v>
      </c>
      <c r="D124" s="222">
        <v>1.04</v>
      </c>
      <c r="E124" s="242"/>
    </row>
    <row r="125" spans="1:5" ht="28.8">
      <c r="A125" s="241">
        <v>22586</v>
      </c>
      <c r="B125" s="241" t="s">
        <v>2144</v>
      </c>
      <c r="C125" s="221" t="s">
        <v>114</v>
      </c>
      <c r="D125" s="222">
        <v>0.8</v>
      </c>
      <c r="E125" s="242"/>
    </row>
    <row r="126" spans="1:5" ht="14.4">
      <c r="A126" s="240">
        <v>230</v>
      </c>
      <c r="B126" s="529" t="s">
        <v>255</v>
      </c>
      <c r="C126" s="530"/>
      <c r="D126" s="530"/>
      <c r="E126" s="531"/>
    </row>
    <row r="127" spans="1:5" ht="28.8">
      <c r="A127" s="241">
        <v>23010</v>
      </c>
      <c r="B127" s="241" t="s">
        <v>2145</v>
      </c>
      <c r="C127" s="221" t="s">
        <v>114</v>
      </c>
      <c r="D127" s="222">
        <v>4.66</v>
      </c>
      <c r="E127" s="242"/>
    </row>
    <row r="128" spans="1:5" ht="28.8">
      <c r="A128" s="241">
        <v>23015</v>
      </c>
      <c r="B128" s="241" t="s">
        <v>2146</v>
      </c>
      <c r="C128" s="221" t="s">
        <v>114</v>
      </c>
      <c r="D128" s="222">
        <v>11.69</v>
      </c>
      <c r="E128" s="242"/>
    </row>
    <row r="129" spans="1:5" ht="14.4">
      <c r="A129" s="240">
        <v>235</v>
      </c>
      <c r="B129" s="529" t="s">
        <v>256</v>
      </c>
      <c r="C129" s="530"/>
      <c r="D129" s="530"/>
      <c r="E129" s="531"/>
    </row>
    <row r="130" spans="1:5" ht="28.8">
      <c r="A130" s="241">
        <v>23501</v>
      </c>
      <c r="B130" s="241" t="s">
        <v>257</v>
      </c>
      <c r="C130" s="221" t="s">
        <v>73</v>
      </c>
      <c r="D130" s="222">
        <v>98.24</v>
      </c>
      <c r="E130" s="242"/>
    </row>
    <row r="131" spans="1:5" ht="28.8">
      <c r="A131" s="241">
        <v>23503</v>
      </c>
      <c r="B131" s="241" t="s">
        <v>258</v>
      </c>
      <c r="C131" s="221" t="s">
        <v>114</v>
      </c>
      <c r="D131" s="222">
        <v>353.75</v>
      </c>
      <c r="E131" s="242"/>
    </row>
    <row r="132" spans="1:5" ht="28.8">
      <c r="A132" s="241">
        <v>23522</v>
      </c>
      <c r="B132" s="241" t="s">
        <v>259</v>
      </c>
      <c r="C132" s="221" t="s">
        <v>73</v>
      </c>
      <c r="D132" s="222">
        <v>274.62</v>
      </c>
      <c r="E132" s="242"/>
    </row>
    <row r="133" spans="1:5" ht="14.4">
      <c r="A133" s="240">
        <v>240</v>
      </c>
      <c r="B133" s="529" t="s">
        <v>260</v>
      </c>
      <c r="C133" s="530"/>
      <c r="D133" s="530"/>
      <c r="E133" s="531"/>
    </row>
    <row r="134" spans="1:5" ht="14.4">
      <c r="A134" s="241">
        <v>24015</v>
      </c>
      <c r="B134" s="241" t="s">
        <v>14957</v>
      </c>
      <c r="C134" s="221" t="s">
        <v>71</v>
      </c>
      <c r="D134" s="222">
        <v>6.18</v>
      </c>
      <c r="E134" s="242"/>
    </row>
    <row r="135" spans="1:5" ht="14.4">
      <c r="A135" s="241">
        <v>24020</v>
      </c>
      <c r="B135" s="241" t="s">
        <v>261</v>
      </c>
      <c r="C135" s="221" t="s">
        <v>71</v>
      </c>
      <c r="D135" s="222">
        <v>11.33</v>
      </c>
      <c r="E135" s="242"/>
    </row>
    <row r="136" spans="1:5" ht="28.8">
      <c r="A136" s="241">
        <v>24029</v>
      </c>
      <c r="B136" s="241" t="s">
        <v>262</v>
      </c>
      <c r="C136" s="221" t="s">
        <v>73</v>
      </c>
      <c r="D136" s="222">
        <v>6.6</v>
      </c>
      <c r="E136" s="242"/>
    </row>
    <row r="137" spans="1:5" ht="28.8">
      <c r="A137" s="241">
        <v>24034</v>
      </c>
      <c r="B137" s="241" t="s">
        <v>2147</v>
      </c>
      <c r="C137" s="221" t="s">
        <v>71</v>
      </c>
      <c r="D137" s="222">
        <v>15.6</v>
      </c>
      <c r="E137" s="242"/>
    </row>
    <row r="138" spans="1:5" ht="43.2">
      <c r="A138" s="241">
        <v>24035</v>
      </c>
      <c r="B138" s="241" t="s">
        <v>2148</v>
      </c>
      <c r="C138" s="221" t="s">
        <v>71</v>
      </c>
      <c r="D138" s="222">
        <v>15.6</v>
      </c>
      <c r="E138" s="242"/>
    </row>
    <row r="139" spans="1:5" ht="14.4">
      <c r="A139" s="241">
        <v>24038</v>
      </c>
      <c r="B139" s="241" t="s">
        <v>263</v>
      </c>
      <c r="C139" s="221" t="s">
        <v>264</v>
      </c>
      <c r="D139" s="222">
        <v>0.28999999999999998</v>
      </c>
      <c r="E139" s="242"/>
    </row>
    <row r="140" spans="1:5" ht="28.8">
      <c r="A140" s="241">
        <v>24042</v>
      </c>
      <c r="B140" s="241" t="s">
        <v>265</v>
      </c>
      <c r="C140" s="221" t="s">
        <v>71</v>
      </c>
      <c r="D140" s="222">
        <v>27.72</v>
      </c>
      <c r="E140" s="242"/>
    </row>
    <row r="141" spans="1:5" ht="15" customHeight="1">
      <c r="A141" s="240">
        <v>241</v>
      </c>
      <c r="B141" s="529" t="s">
        <v>266</v>
      </c>
      <c r="C141" s="530"/>
      <c r="D141" s="530"/>
      <c r="E141" s="531"/>
    </row>
    <row r="142" spans="1:5" ht="14.4">
      <c r="A142" s="241">
        <v>24116</v>
      </c>
      <c r="B142" s="241" t="s">
        <v>267</v>
      </c>
      <c r="C142" s="221" t="s">
        <v>73</v>
      </c>
      <c r="D142" s="222">
        <v>0.84</v>
      </c>
      <c r="E142" s="242"/>
    </row>
    <row r="143" spans="1:5" ht="43.2">
      <c r="A143" s="241">
        <v>24130</v>
      </c>
      <c r="B143" s="241" t="s">
        <v>9622</v>
      </c>
      <c r="C143" s="221" t="s">
        <v>73</v>
      </c>
      <c r="D143" s="222">
        <v>224.58</v>
      </c>
      <c r="E143" s="242"/>
    </row>
    <row r="144" spans="1:5" ht="43.2">
      <c r="A144" s="241">
        <v>24131</v>
      </c>
      <c r="B144" s="241" t="s">
        <v>9623</v>
      </c>
      <c r="C144" s="221" t="s">
        <v>73</v>
      </c>
      <c r="D144" s="222">
        <v>232.33</v>
      </c>
      <c r="E144" s="242"/>
    </row>
    <row r="145" spans="1:5" ht="14.4">
      <c r="A145" s="241">
        <v>24145</v>
      </c>
      <c r="B145" s="241" t="s">
        <v>268</v>
      </c>
      <c r="C145" s="221" t="s">
        <v>71</v>
      </c>
      <c r="D145" s="222">
        <v>21.13</v>
      </c>
      <c r="E145" s="242"/>
    </row>
    <row r="146" spans="1:5" ht="28.8">
      <c r="A146" s="241">
        <v>24184</v>
      </c>
      <c r="B146" s="241" t="s">
        <v>269</v>
      </c>
      <c r="C146" s="221" t="s">
        <v>114</v>
      </c>
      <c r="D146" s="222">
        <v>26.31</v>
      </c>
      <c r="E146" s="242"/>
    </row>
    <row r="147" spans="1:5" ht="14.4">
      <c r="A147" s="240">
        <v>255</v>
      </c>
      <c r="B147" s="529" t="s">
        <v>270</v>
      </c>
      <c r="C147" s="530"/>
      <c r="D147" s="530"/>
      <c r="E147" s="531"/>
    </row>
    <row r="148" spans="1:5" ht="28.8">
      <c r="A148" s="241">
        <v>25513</v>
      </c>
      <c r="B148" s="241" t="s">
        <v>271</v>
      </c>
      <c r="C148" s="221" t="s">
        <v>73</v>
      </c>
      <c r="D148" s="222">
        <v>26.34</v>
      </c>
      <c r="E148" s="242"/>
    </row>
    <row r="149" spans="1:5" ht="28.8">
      <c r="A149" s="241">
        <v>25514</v>
      </c>
      <c r="B149" s="241" t="s">
        <v>272</v>
      </c>
      <c r="C149" s="221" t="s">
        <v>73</v>
      </c>
      <c r="D149" s="222">
        <v>48.4</v>
      </c>
      <c r="E149" s="242"/>
    </row>
    <row r="150" spans="1:5" ht="14.4">
      <c r="A150" s="241">
        <v>25532</v>
      </c>
      <c r="B150" s="241" t="s">
        <v>273</v>
      </c>
      <c r="C150" s="221" t="s">
        <v>73</v>
      </c>
      <c r="D150" s="222">
        <v>70.73</v>
      </c>
      <c r="E150" s="242"/>
    </row>
    <row r="151" spans="1:5" ht="28.8">
      <c r="A151" s="241">
        <v>25568</v>
      </c>
      <c r="B151" s="241" t="s">
        <v>274</v>
      </c>
      <c r="C151" s="221" t="s">
        <v>73</v>
      </c>
      <c r="D151" s="222">
        <v>37.96</v>
      </c>
      <c r="E151" s="242"/>
    </row>
    <row r="152" spans="1:5" ht="28.8">
      <c r="A152" s="241">
        <v>25569</v>
      </c>
      <c r="B152" s="241" t="s">
        <v>274</v>
      </c>
      <c r="C152" s="221" t="s">
        <v>73</v>
      </c>
      <c r="D152" s="222">
        <v>76.73</v>
      </c>
      <c r="E152" s="242"/>
    </row>
    <row r="153" spans="1:5" ht="28.8">
      <c r="A153" s="241">
        <v>25570</v>
      </c>
      <c r="B153" s="241" t="s">
        <v>275</v>
      </c>
      <c r="C153" s="221" t="s">
        <v>114</v>
      </c>
      <c r="D153" s="222">
        <v>2.4</v>
      </c>
      <c r="E153" s="242"/>
    </row>
    <row r="154" spans="1:5" ht="28.8">
      <c r="A154" s="241">
        <v>25571</v>
      </c>
      <c r="B154" s="241" t="s">
        <v>276</v>
      </c>
      <c r="C154" s="221" t="s">
        <v>114</v>
      </c>
      <c r="D154" s="222">
        <v>4.63</v>
      </c>
      <c r="E154" s="242"/>
    </row>
    <row r="155" spans="1:5" ht="28.8">
      <c r="A155" s="241">
        <v>25592</v>
      </c>
      <c r="B155" s="241" t="s">
        <v>277</v>
      </c>
      <c r="C155" s="221" t="s">
        <v>73</v>
      </c>
      <c r="D155" s="222">
        <v>71.56</v>
      </c>
      <c r="E155" s="242"/>
    </row>
    <row r="156" spans="1:5" ht="14.4">
      <c r="A156" s="240">
        <v>256</v>
      </c>
      <c r="B156" s="529" t="s">
        <v>270</v>
      </c>
      <c r="C156" s="530"/>
      <c r="D156" s="530"/>
      <c r="E156" s="531"/>
    </row>
    <row r="157" spans="1:5" ht="28.8">
      <c r="A157" s="241">
        <v>25617</v>
      </c>
      <c r="B157" s="241" t="s">
        <v>278</v>
      </c>
      <c r="C157" s="221" t="s">
        <v>73</v>
      </c>
      <c r="D157" s="222">
        <v>62.86</v>
      </c>
      <c r="E157" s="242"/>
    </row>
    <row r="158" spans="1:5" ht="14.4">
      <c r="A158" s="240">
        <v>258</v>
      </c>
      <c r="B158" s="529" t="s">
        <v>270</v>
      </c>
      <c r="C158" s="530"/>
      <c r="D158" s="530"/>
      <c r="E158" s="531"/>
    </row>
    <row r="159" spans="1:5" ht="57.6">
      <c r="A159" s="241">
        <v>25841</v>
      </c>
      <c r="B159" s="241" t="s">
        <v>14958</v>
      </c>
      <c r="C159" s="221" t="s">
        <v>73</v>
      </c>
      <c r="D159" s="222">
        <v>68.040000000000006</v>
      </c>
      <c r="E159" s="242"/>
    </row>
    <row r="160" spans="1:5" ht="43.2">
      <c r="A160" s="241">
        <v>25843</v>
      </c>
      <c r="B160" s="241" t="s">
        <v>15733</v>
      </c>
      <c r="C160" s="221" t="s">
        <v>73</v>
      </c>
      <c r="D160" s="222">
        <v>91.06</v>
      </c>
      <c r="E160" s="242"/>
    </row>
    <row r="161" spans="1:5" ht="14.4">
      <c r="A161" s="240">
        <v>260</v>
      </c>
      <c r="B161" s="529" t="s">
        <v>279</v>
      </c>
      <c r="C161" s="530"/>
      <c r="D161" s="530"/>
      <c r="E161" s="531"/>
    </row>
    <row r="162" spans="1:5" ht="28.8">
      <c r="A162" s="241">
        <v>26008</v>
      </c>
      <c r="B162" s="241" t="s">
        <v>280</v>
      </c>
      <c r="C162" s="221" t="s">
        <v>75</v>
      </c>
      <c r="D162" s="222">
        <v>25.31</v>
      </c>
      <c r="E162" s="242"/>
    </row>
    <row r="163" spans="1:5" ht="28.8">
      <c r="A163" s="241">
        <v>26015</v>
      </c>
      <c r="B163" s="241" t="s">
        <v>281</v>
      </c>
      <c r="C163" s="221" t="s">
        <v>75</v>
      </c>
      <c r="D163" s="222">
        <v>58.89</v>
      </c>
      <c r="E163" s="242"/>
    </row>
    <row r="164" spans="1:5" ht="28.8">
      <c r="A164" s="241">
        <v>26040</v>
      </c>
      <c r="B164" s="241" t="s">
        <v>14959</v>
      </c>
      <c r="C164" s="221" t="s">
        <v>75</v>
      </c>
      <c r="D164" s="222">
        <v>4.0199999999999996</v>
      </c>
      <c r="E164" s="242"/>
    </row>
    <row r="165" spans="1:5" ht="28.8">
      <c r="A165" s="241">
        <v>26091</v>
      </c>
      <c r="B165" s="241" t="s">
        <v>9624</v>
      </c>
      <c r="C165" s="221" t="s">
        <v>75</v>
      </c>
      <c r="D165" s="222">
        <v>6.32</v>
      </c>
      <c r="E165" s="242"/>
    </row>
    <row r="166" spans="1:5" ht="15" customHeight="1">
      <c r="A166" s="240">
        <v>265</v>
      </c>
      <c r="B166" s="529" t="s">
        <v>282</v>
      </c>
      <c r="C166" s="530"/>
      <c r="D166" s="530"/>
      <c r="E166" s="531"/>
    </row>
    <row r="167" spans="1:5" ht="14.4">
      <c r="A167" s="241">
        <v>26503</v>
      </c>
      <c r="B167" s="241" t="s">
        <v>283</v>
      </c>
      <c r="C167" s="221" t="s">
        <v>114</v>
      </c>
      <c r="D167" s="222">
        <v>0.55000000000000004</v>
      </c>
      <c r="E167" s="242"/>
    </row>
    <row r="168" spans="1:5" ht="15" customHeight="1">
      <c r="A168" s="241">
        <v>26506</v>
      </c>
      <c r="B168" s="241" t="s">
        <v>284</v>
      </c>
      <c r="C168" s="221" t="s">
        <v>114</v>
      </c>
      <c r="D168" s="222">
        <v>195.67</v>
      </c>
      <c r="E168" s="242"/>
    </row>
    <row r="169" spans="1:5" ht="28.8">
      <c r="A169" s="241">
        <v>26508</v>
      </c>
      <c r="B169" s="241" t="s">
        <v>9625</v>
      </c>
      <c r="C169" s="221" t="s">
        <v>75</v>
      </c>
      <c r="D169" s="222">
        <v>8.99</v>
      </c>
      <c r="E169" s="242"/>
    </row>
    <row r="170" spans="1:5" ht="14.4">
      <c r="A170" s="241">
        <v>26512</v>
      </c>
      <c r="B170" s="241" t="s">
        <v>285</v>
      </c>
      <c r="C170" s="221" t="s">
        <v>114</v>
      </c>
      <c r="D170" s="222">
        <v>1.01</v>
      </c>
      <c r="E170" s="242"/>
    </row>
    <row r="171" spans="1:5" ht="28.8">
      <c r="A171" s="241">
        <v>26517</v>
      </c>
      <c r="B171" s="241" t="s">
        <v>286</v>
      </c>
      <c r="C171" s="221" t="s">
        <v>114</v>
      </c>
      <c r="D171" s="222">
        <v>1.49</v>
      </c>
      <c r="E171" s="242"/>
    </row>
    <row r="172" spans="1:5" ht="14.4">
      <c r="A172" s="241">
        <v>26546</v>
      </c>
      <c r="B172" s="241" t="s">
        <v>287</v>
      </c>
      <c r="C172" s="221" t="s">
        <v>114</v>
      </c>
      <c r="D172" s="222">
        <v>0.32</v>
      </c>
      <c r="E172" s="242"/>
    </row>
    <row r="173" spans="1:5" ht="14.4">
      <c r="A173" s="241">
        <v>26548</v>
      </c>
      <c r="B173" s="241" t="s">
        <v>288</v>
      </c>
      <c r="C173" s="221" t="s">
        <v>114</v>
      </c>
      <c r="D173" s="222">
        <v>0.38</v>
      </c>
      <c r="E173" s="242"/>
    </row>
    <row r="174" spans="1:5" ht="14.4">
      <c r="A174" s="241">
        <v>26549</v>
      </c>
      <c r="B174" s="241" t="s">
        <v>289</v>
      </c>
      <c r="C174" s="221" t="s">
        <v>114</v>
      </c>
      <c r="D174" s="222">
        <v>0.14000000000000001</v>
      </c>
      <c r="E174" s="242"/>
    </row>
    <row r="175" spans="1:5" ht="28.8">
      <c r="A175" s="241">
        <v>26550</v>
      </c>
      <c r="B175" s="241" t="s">
        <v>290</v>
      </c>
      <c r="C175" s="221" t="s">
        <v>114</v>
      </c>
      <c r="D175" s="222">
        <v>16.920000000000002</v>
      </c>
      <c r="E175" s="242"/>
    </row>
    <row r="176" spans="1:5" ht="14.4">
      <c r="A176" s="241">
        <v>26551</v>
      </c>
      <c r="B176" s="241" t="s">
        <v>291</v>
      </c>
      <c r="C176" s="221" t="s">
        <v>114</v>
      </c>
      <c r="D176" s="222">
        <v>0.61</v>
      </c>
      <c r="E176" s="242"/>
    </row>
    <row r="177" spans="1:5" ht="14.4">
      <c r="A177" s="241">
        <v>26552</v>
      </c>
      <c r="B177" s="241" t="s">
        <v>14960</v>
      </c>
      <c r="C177" s="221" t="s">
        <v>114</v>
      </c>
      <c r="D177" s="222">
        <v>0.11</v>
      </c>
      <c r="E177" s="242"/>
    </row>
    <row r="178" spans="1:5" ht="14.4">
      <c r="A178" s="241">
        <v>26554</v>
      </c>
      <c r="B178" s="241" t="s">
        <v>292</v>
      </c>
      <c r="C178" s="221" t="s">
        <v>114</v>
      </c>
      <c r="D178" s="222">
        <v>0.12</v>
      </c>
      <c r="E178" s="242"/>
    </row>
    <row r="179" spans="1:5" ht="14.4">
      <c r="A179" s="241">
        <v>26560</v>
      </c>
      <c r="B179" s="241" t="s">
        <v>293</v>
      </c>
      <c r="C179" s="221" t="s">
        <v>71</v>
      </c>
      <c r="D179" s="222">
        <v>17.8</v>
      </c>
      <c r="E179" s="242"/>
    </row>
    <row r="180" spans="1:5" ht="14.4">
      <c r="A180" s="241">
        <v>26563</v>
      </c>
      <c r="B180" s="241" t="s">
        <v>294</v>
      </c>
      <c r="C180" s="221" t="s">
        <v>71</v>
      </c>
      <c r="D180" s="222">
        <v>23.88</v>
      </c>
      <c r="E180" s="242"/>
    </row>
    <row r="181" spans="1:5" ht="14.4">
      <c r="A181" s="241">
        <v>26566</v>
      </c>
      <c r="B181" s="241" t="s">
        <v>295</v>
      </c>
      <c r="C181" s="221" t="s">
        <v>71</v>
      </c>
      <c r="D181" s="222">
        <v>19.23</v>
      </c>
      <c r="E181" s="242"/>
    </row>
    <row r="182" spans="1:5" ht="14.4">
      <c r="A182" s="241">
        <v>26569</v>
      </c>
      <c r="B182" s="241" t="s">
        <v>296</v>
      </c>
      <c r="C182" s="221" t="s">
        <v>71</v>
      </c>
      <c r="D182" s="222">
        <v>16.88</v>
      </c>
      <c r="E182" s="242"/>
    </row>
    <row r="183" spans="1:5" ht="14.4">
      <c r="A183" s="241">
        <v>26570</v>
      </c>
      <c r="B183" s="241" t="s">
        <v>297</v>
      </c>
      <c r="C183" s="221" t="s">
        <v>71</v>
      </c>
      <c r="D183" s="222">
        <v>16.88</v>
      </c>
      <c r="E183" s="242"/>
    </row>
    <row r="184" spans="1:5" ht="14.4">
      <c r="A184" s="241">
        <v>26573</v>
      </c>
      <c r="B184" s="241" t="s">
        <v>298</v>
      </c>
      <c r="C184" s="221" t="s">
        <v>71</v>
      </c>
      <c r="D184" s="222">
        <v>25.52</v>
      </c>
      <c r="E184" s="242"/>
    </row>
    <row r="185" spans="1:5" ht="14.4">
      <c r="A185" s="241">
        <v>26581</v>
      </c>
      <c r="B185" s="241" t="s">
        <v>14961</v>
      </c>
      <c r="C185" s="221" t="s">
        <v>71</v>
      </c>
      <c r="D185" s="222">
        <v>16.34</v>
      </c>
      <c r="E185" s="242"/>
    </row>
    <row r="186" spans="1:5" ht="14.4">
      <c r="A186" s="241">
        <v>26588</v>
      </c>
      <c r="B186" s="241" t="s">
        <v>299</v>
      </c>
      <c r="C186" s="221" t="s">
        <v>114</v>
      </c>
      <c r="D186" s="222">
        <v>0.14000000000000001</v>
      </c>
      <c r="E186" s="242"/>
    </row>
    <row r="187" spans="1:5" ht="14.4">
      <c r="A187" s="241">
        <v>26589</v>
      </c>
      <c r="B187" s="241" t="s">
        <v>300</v>
      </c>
      <c r="C187" s="221" t="s">
        <v>114</v>
      </c>
      <c r="D187" s="222">
        <v>0.27</v>
      </c>
      <c r="E187" s="242"/>
    </row>
    <row r="188" spans="1:5" ht="14.4">
      <c r="A188" s="241">
        <v>26591</v>
      </c>
      <c r="B188" s="241" t="s">
        <v>14962</v>
      </c>
      <c r="C188" s="221" t="s">
        <v>114</v>
      </c>
      <c r="D188" s="222">
        <v>0.08</v>
      </c>
      <c r="E188" s="242"/>
    </row>
    <row r="189" spans="1:5" ht="14.4">
      <c r="A189" s="241">
        <v>26592</v>
      </c>
      <c r="B189" s="241" t="s">
        <v>14963</v>
      </c>
      <c r="C189" s="221" t="s">
        <v>114</v>
      </c>
      <c r="D189" s="222">
        <v>0.14000000000000001</v>
      </c>
      <c r="E189" s="242"/>
    </row>
    <row r="190" spans="1:5" ht="15" customHeight="1">
      <c r="A190" s="240">
        <v>266</v>
      </c>
      <c r="B190" s="529" t="s">
        <v>301</v>
      </c>
      <c r="C190" s="530"/>
      <c r="D190" s="530"/>
      <c r="E190" s="531"/>
    </row>
    <row r="191" spans="1:5" ht="28.8">
      <c r="A191" s="241">
        <v>26607</v>
      </c>
      <c r="B191" s="241" t="s">
        <v>1786</v>
      </c>
      <c r="C191" s="221" t="s">
        <v>114</v>
      </c>
      <c r="D191" s="222">
        <v>0.91</v>
      </c>
      <c r="E191" s="242"/>
    </row>
    <row r="192" spans="1:5" ht="15" customHeight="1">
      <c r="A192" s="241">
        <v>26610</v>
      </c>
      <c r="B192" s="241" t="s">
        <v>302</v>
      </c>
      <c r="C192" s="221" t="s">
        <v>114</v>
      </c>
      <c r="D192" s="222">
        <v>0.44</v>
      </c>
      <c r="E192" s="242"/>
    </row>
    <row r="193" spans="1:5" ht="14.4">
      <c r="A193" s="241">
        <v>26612</v>
      </c>
      <c r="B193" s="241" t="s">
        <v>2149</v>
      </c>
      <c r="C193" s="221" t="s">
        <v>114</v>
      </c>
      <c r="D193" s="222">
        <v>0.79</v>
      </c>
      <c r="E193" s="242"/>
    </row>
    <row r="194" spans="1:5" ht="28.8">
      <c r="A194" s="241">
        <v>26617</v>
      </c>
      <c r="B194" s="241" t="s">
        <v>2150</v>
      </c>
      <c r="C194" s="221" t="s">
        <v>75</v>
      </c>
      <c r="D194" s="222">
        <v>26.42</v>
      </c>
      <c r="E194" s="242"/>
    </row>
    <row r="195" spans="1:5" ht="28.8">
      <c r="A195" s="241">
        <v>26618</v>
      </c>
      <c r="B195" s="241" t="s">
        <v>303</v>
      </c>
      <c r="C195" s="221" t="s">
        <v>114</v>
      </c>
      <c r="D195" s="222">
        <v>14.34</v>
      </c>
      <c r="E195" s="242"/>
    </row>
    <row r="196" spans="1:5" ht="14.4">
      <c r="A196" s="241">
        <v>26648</v>
      </c>
      <c r="B196" s="241" t="s">
        <v>304</v>
      </c>
      <c r="C196" s="221" t="s">
        <v>114</v>
      </c>
      <c r="D196" s="222">
        <v>0.18</v>
      </c>
      <c r="E196" s="242"/>
    </row>
    <row r="197" spans="1:5" ht="14.4">
      <c r="A197" s="241">
        <v>26664</v>
      </c>
      <c r="B197" s="241" t="s">
        <v>14964</v>
      </c>
      <c r="C197" s="221" t="s">
        <v>114</v>
      </c>
      <c r="D197" s="222">
        <v>0.31</v>
      </c>
      <c r="E197" s="242"/>
    </row>
    <row r="198" spans="1:5" ht="43.2">
      <c r="A198" s="241">
        <v>26668</v>
      </c>
      <c r="B198" s="241" t="s">
        <v>7967</v>
      </c>
      <c r="C198" s="221" t="s">
        <v>114</v>
      </c>
      <c r="D198" s="222">
        <v>36.020000000000003</v>
      </c>
      <c r="E198" s="242"/>
    </row>
    <row r="199" spans="1:5" ht="28.8">
      <c r="A199" s="241">
        <v>26669</v>
      </c>
      <c r="B199" s="241" t="s">
        <v>7968</v>
      </c>
      <c r="C199" s="221" t="s">
        <v>114</v>
      </c>
      <c r="D199" s="222">
        <v>9.68</v>
      </c>
      <c r="E199" s="242"/>
    </row>
    <row r="200" spans="1:5" ht="43.2">
      <c r="A200" s="241">
        <v>26670</v>
      </c>
      <c r="B200" s="241" t="s">
        <v>7969</v>
      </c>
      <c r="C200" s="221" t="s">
        <v>114</v>
      </c>
      <c r="D200" s="222">
        <v>113.39</v>
      </c>
      <c r="E200" s="242"/>
    </row>
    <row r="201" spans="1:5" ht="43.2">
      <c r="A201" s="241">
        <v>26671</v>
      </c>
      <c r="B201" s="241" t="s">
        <v>7970</v>
      </c>
      <c r="C201" s="221" t="s">
        <v>114</v>
      </c>
      <c r="D201" s="222">
        <v>64.84</v>
      </c>
      <c r="E201" s="242"/>
    </row>
    <row r="202" spans="1:5" ht="14.4">
      <c r="A202" s="241">
        <v>26675</v>
      </c>
      <c r="B202" s="241" t="s">
        <v>305</v>
      </c>
      <c r="C202" s="221" t="s">
        <v>114</v>
      </c>
      <c r="D202" s="222">
        <v>0.42</v>
      </c>
      <c r="E202" s="242"/>
    </row>
    <row r="203" spans="1:5" ht="28.8">
      <c r="A203" s="241">
        <v>26678</v>
      </c>
      <c r="B203" s="241" t="s">
        <v>306</v>
      </c>
      <c r="C203" s="221" t="s">
        <v>114</v>
      </c>
      <c r="D203" s="222">
        <v>0.39</v>
      </c>
      <c r="E203" s="242"/>
    </row>
    <row r="204" spans="1:5" ht="15" customHeight="1">
      <c r="A204" s="240">
        <v>267</v>
      </c>
      <c r="B204" s="529" t="s">
        <v>301</v>
      </c>
      <c r="C204" s="530"/>
      <c r="D204" s="530"/>
      <c r="E204" s="531"/>
    </row>
    <row r="205" spans="1:5" ht="28.8">
      <c r="A205" s="241">
        <v>26714</v>
      </c>
      <c r="B205" s="241" t="s">
        <v>307</v>
      </c>
      <c r="C205" s="221" t="s">
        <v>114</v>
      </c>
      <c r="D205" s="222">
        <v>5.79</v>
      </c>
      <c r="E205" s="242"/>
    </row>
    <row r="206" spans="1:5" ht="15" customHeight="1">
      <c r="A206" s="240">
        <v>268</v>
      </c>
      <c r="B206" s="529" t="s">
        <v>301</v>
      </c>
      <c r="C206" s="530"/>
      <c r="D206" s="530"/>
      <c r="E206" s="531"/>
    </row>
    <row r="207" spans="1:5" ht="28.8">
      <c r="A207" s="241">
        <v>26877</v>
      </c>
      <c r="B207" s="241" t="s">
        <v>308</v>
      </c>
      <c r="C207" s="221" t="s">
        <v>114</v>
      </c>
      <c r="D207" s="222">
        <v>0.5</v>
      </c>
      <c r="E207" s="242"/>
    </row>
    <row r="208" spans="1:5" ht="15" customHeight="1">
      <c r="A208" s="241">
        <v>26879</v>
      </c>
      <c r="B208" s="241" t="s">
        <v>2151</v>
      </c>
      <c r="C208" s="221" t="s">
        <v>114</v>
      </c>
      <c r="D208" s="222">
        <v>0.41</v>
      </c>
      <c r="E208" s="242"/>
    </row>
    <row r="209" spans="1:5" ht="14.4">
      <c r="A209" s="241">
        <v>26894</v>
      </c>
      <c r="B209" s="241" t="s">
        <v>309</v>
      </c>
      <c r="C209" s="221" t="s">
        <v>114</v>
      </c>
      <c r="D209" s="222">
        <v>0.09</v>
      </c>
      <c r="E209" s="242"/>
    </row>
    <row r="210" spans="1:5" ht="15" customHeight="1">
      <c r="A210" s="240">
        <v>269</v>
      </c>
      <c r="B210" s="529" t="s">
        <v>310</v>
      </c>
      <c r="C210" s="530"/>
      <c r="D210" s="530"/>
      <c r="E210" s="531"/>
    </row>
    <row r="211" spans="1:5" ht="28.8">
      <c r="A211" s="241">
        <v>26972</v>
      </c>
      <c r="B211" s="241" t="s">
        <v>311</v>
      </c>
      <c r="C211" s="221" t="s">
        <v>114</v>
      </c>
      <c r="D211" s="222">
        <v>39.6</v>
      </c>
      <c r="E211" s="242"/>
    </row>
    <row r="212" spans="1:5" ht="15" customHeight="1">
      <c r="A212" s="240">
        <v>270</v>
      </c>
      <c r="B212" s="529" t="s">
        <v>312</v>
      </c>
      <c r="C212" s="530"/>
      <c r="D212" s="530"/>
      <c r="E212" s="531"/>
    </row>
    <row r="213" spans="1:5" ht="14.4">
      <c r="A213" s="241">
        <v>27002</v>
      </c>
      <c r="B213" s="241" t="s">
        <v>313</v>
      </c>
      <c r="C213" s="221" t="s">
        <v>71</v>
      </c>
      <c r="D213" s="222">
        <v>15.88</v>
      </c>
      <c r="E213" s="242"/>
    </row>
    <row r="214" spans="1:5" ht="14.4">
      <c r="A214" s="241">
        <v>27003</v>
      </c>
      <c r="B214" s="241" t="s">
        <v>314</v>
      </c>
      <c r="C214" s="221" t="s">
        <v>71</v>
      </c>
      <c r="D214" s="222">
        <v>16.600000000000001</v>
      </c>
      <c r="E214" s="242"/>
    </row>
    <row r="215" spans="1:5" ht="14.4">
      <c r="A215" s="241">
        <v>27004</v>
      </c>
      <c r="B215" s="241" t="s">
        <v>315</v>
      </c>
      <c r="C215" s="221" t="s">
        <v>71</v>
      </c>
      <c r="D215" s="222">
        <v>17.12</v>
      </c>
      <c r="E215" s="242"/>
    </row>
    <row r="216" spans="1:5" ht="14.4">
      <c r="A216" s="241">
        <v>27005</v>
      </c>
      <c r="B216" s="241" t="s">
        <v>316</v>
      </c>
      <c r="C216" s="221" t="s">
        <v>71</v>
      </c>
      <c r="D216" s="222">
        <v>19.41</v>
      </c>
      <c r="E216" s="242"/>
    </row>
    <row r="217" spans="1:5" ht="14.4">
      <c r="A217" s="241">
        <v>27006</v>
      </c>
      <c r="B217" s="241" t="s">
        <v>317</v>
      </c>
      <c r="C217" s="221" t="s">
        <v>71</v>
      </c>
      <c r="D217" s="222">
        <v>28.71</v>
      </c>
      <c r="E217" s="242"/>
    </row>
    <row r="218" spans="1:5" ht="14.4">
      <c r="A218" s="241">
        <v>27010</v>
      </c>
      <c r="B218" s="241" t="s">
        <v>318</v>
      </c>
      <c r="C218" s="221" t="s">
        <v>71</v>
      </c>
      <c r="D218" s="222">
        <v>21.8</v>
      </c>
      <c r="E218" s="242"/>
    </row>
    <row r="219" spans="1:5" ht="14.4">
      <c r="A219" s="241">
        <v>27020</v>
      </c>
      <c r="B219" s="241" t="s">
        <v>319</v>
      </c>
      <c r="C219" s="221" t="s">
        <v>75</v>
      </c>
      <c r="D219" s="222">
        <v>0.48</v>
      </c>
      <c r="E219" s="242"/>
    </row>
    <row r="220" spans="1:5" ht="28.8">
      <c r="A220" s="241">
        <v>27022</v>
      </c>
      <c r="B220" s="241" t="s">
        <v>320</v>
      </c>
      <c r="C220" s="221" t="s">
        <v>75</v>
      </c>
      <c r="D220" s="222">
        <v>0.87</v>
      </c>
      <c r="E220" s="242"/>
    </row>
    <row r="221" spans="1:5" ht="14.4">
      <c r="A221" s="240">
        <v>275</v>
      </c>
      <c r="B221" s="529" t="s">
        <v>321</v>
      </c>
      <c r="C221" s="530"/>
      <c r="D221" s="530"/>
      <c r="E221" s="531"/>
    </row>
    <row r="222" spans="1:5" ht="28.8">
      <c r="A222" s="241">
        <v>27504</v>
      </c>
      <c r="B222" s="241" t="s">
        <v>322</v>
      </c>
      <c r="C222" s="221" t="s">
        <v>114</v>
      </c>
      <c r="D222" s="222">
        <v>71.5</v>
      </c>
      <c r="E222" s="242"/>
    </row>
    <row r="223" spans="1:5" ht="28.8">
      <c r="A223" s="241">
        <v>27520</v>
      </c>
      <c r="B223" s="241" t="s">
        <v>2152</v>
      </c>
      <c r="C223" s="221" t="s">
        <v>73</v>
      </c>
      <c r="D223" s="222">
        <v>20.43</v>
      </c>
      <c r="E223" s="242"/>
    </row>
    <row r="224" spans="1:5" ht="28.8">
      <c r="A224" s="241">
        <v>27532</v>
      </c>
      <c r="B224" s="241" t="s">
        <v>323</v>
      </c>
      <c r="C224" s="221" t="s">
        <v>73</v>
      </c>
      <c r="D224" s="222">
        <v>114.76</v>
      </c>
      <c r="E224" s="242"/>
    </row>
    <row r="225" spans="1:5" ht="43.2">
      <c r="A225" s="241">
        <v>27546</v>
      </c>
      <c r="B225" s="241" t="s">
        <v>2153</v>
      </c>
      <c r="C225" s="221" t="s">
        <v>73</v>
      </c>
      <c r="D225" s="222">
        <v>61.58</v>
      </c>
      <c r="E225" s="242"/>
    </row>
    <row r="226" spans="1:5" ht="14.4">
      <c r="A226" s="240">
        <v>276</v>
      </c>
      <c r="B226" s="529" t="s">
        <v>324</v>
      </c>
      <c r="C226" s="530"/>
      <c r="D226" s="530"/>
      <c r="E226" s="531"/>
    </row>
    <row r="227" spans="1:5" ht="43.2">
      <c r="A227" s="241">
        <v>27602</v>
      </c>
      <c r="B227" s="241" t="s">
        <v>2154</v>
      </c>
      <c r="C227" s="221" t="s">
        <v>73</v>
      </c>
      <c r="D227" s="222">
        <v>42.37</v>
      </c>
      <c r="E227" s="242"/>
    </row>
    <row r="228" spans="1:5" ht="28.8">
      <c r="A228" s="241">
        <v>27666</v>
      </c>
      <c r="B228" s="241" t="s">
        <v>2155</v>
      </c>
      <c r="C228" s="221" t="s">
        <v>73</v>
      </c>
      <c r="D228" s="222">
        <v>75.22</v>
      </c>
      <c r="E228" s="242"/>
    </row>
    <row r="229" spans="1:5" ht="28.8">
      <c r="A229" s="241">
        <v>27676</v>
      </c>
      <c r="B229" s="241" t="s">
        <v>2156</v>
      </c>
      <c r="C229" s="221" t="s">
        <v>73</v>
      </c>
      <c r="D229" s="222">
        <v>57.51</v>
      </c>
      <c r="E229" s="242"/>
    </row>
    <row r="230" spans="1:5" ht="28.8">
      <c r="A230" s="241">
        <v>27677</v>
      </c>
      <c r="B230" s="241" t="s">
        <v>325</v>
      </c>
      <c r="C230" s="221" t="s">
        <v>73</v>
      </c>
      <c r="D230" s="222">
        <v>12.44</v>
      </c>
      <c r="E230" s="242"/>
    </row>
    <row r="231" spans="1:5" ht="28.8">
      <c r="A231" s="241">
        <v>27678</v>
      </c>
      <c r="B231" s="241" t="s">
        <v>2157</v>
      </c>
      <c r="C231" s="221" t="s">
        <v>73</v>
      </c>
      <c r="D231" s="222">
        <v>58.56</v>
      </c>
      <c r="E231" s="242"/>
    </row>
    <row r="232" spans="1:5" ht="28.8">
      <c r="A232" s="241">
        <v>27679</v>
      </c>
      <c r="B232" s="241" t="s">
        <v>2158</v>
      </c>
      <c r="C232" s="221" t="s">
        <v>73</v>
      </c>
      <c r="D232" s="222">
        <v>152.16</v>
      </c>
      <c r="E232" s="242"/>
    </row>
    <row r="233" spans="1:5" ht="28.8">
      <c r="A233" s="241">
        <v>27680</v>
      </c>
      <c r="B233" s="241" t="s">
        <v>2159</v>
      </c>
      <c r="C233" s="221" t="s">
        <v>73</v>
      </c>
      <c r="D233" s="222">
        <v>96.19</v>
      </c>
      <c r="E233" s="242"/>
    </row>
    <row r="234" spans="1:5" ht="14.4">
      <c r="A234" s="240">
        <v>280</v>
      </c>
      <c r="B234" s="529" t="s">
        <v>326</v>
      </c>
      <c r="C234" s="530"/>
      <c r="D234" s="530"/>
      <c r="E234" s="531"/>
    </row>
    <row r="235" spans="1:5" ht="14.4">
      <c r="A235" s="241">
        <v>28001</v>
      </c>
      <c r="B235" s="241" t="s">
        <v>327</v>
      </c>
      <c r="C235" s="221" t="s">
        <v>83</v>
      </c>
      <c r="D235" s="222">
        <v>31.67</v>
      </c>
      <c r="E235" s="242"/>
    </row>
    <row r="236" spans="1:5" ht="28.8">
      <c r="A236" s="241">
        <v>28004</v>
      </c>
      <c r="B236" s="241" t="s">
        <v>328</v>
      </c>
      <c r="C236" s="221" t="s">
        <v>114</v>
      </c>
      <c r="D236" s="222">
        <v>83.9</v>
      </c>
      <c r="E236" s="242"/>
    </row>
    <row r="237" spans="1:5" ht="43.2">
      <c r="A237" s="241">
        <v>28005</v>
      </c>
      <c r="B237" s="241" t="s">
        <v>14965</v>
      </c>
      <c r="C237" s="221" t="s">
        <v>71</v>
      </c>
      <c r="D237" s="222">
        <v>25.68</v>
      </c>
      <c r="E237" s="242"/>
    </row>
    <row r="238" spans="1:5" ht="14.4">
      <c r="A238" s="241">
        <v>28008</v>
      </c>
      <c r="B238" s="241" t="s">
        <v>329</v>
      </c>
      <c r="C238" s="221" t="s">
        <v>69</v>
      </c>
      <c r="D238" s="222">
        <v>10.14</v>
      </c>
      <c r="E238" s="242"/>
    </row>
    <row r="239" spans="1:5" ht="28.8">
      <c r="A239" s="241">
        <v>28028</v>
      </c>
      <c r="B239" s="241" t="s">
        <v>330</v>
      </c>
      <c r="C239" s="221" t="s">
        <v>75</v>
      </c>
      <c r="D239" s="222">
        <v>8.17</v>
      </c>
      <c r="E239" s="242"/>
    </row>
    <row r="240" spans="1:5" ht="14.4">
      <c r="A240" s="241">
        <v>28056</v>
      </c>
      <c r="B240" s="241" t="s">
        <v>331</v>
      </c>
      <c r="C240" s="221" t="s">
        <v>75</v>
      </c>
      <c r="D240" s="222">
        <v>1.99</v>
      </c>
      <c r="E240" s="242"/>
    </row>
    <row r="241" spans="1:5" ht="14.4">
      <c r="A241" s="241">
        <v>28067</v>
      </c>
      <c r="B241" s="241" t="s">
        <v>332</v>
      </c>
      <c r="C241" s="221" t="s">
        <v>75</v>
      </c>
      <c r="D241" s="222">
        <v>7.06</v>
      </c>
      <c r="E241" s="242"/>
    </row>
    <row r="242" spans="1:5" ht="28.8">
      <c r="A242" s="241">
        <v>28068</v>
      </c>
      <c r="B242" s="241" t="s">
        <v>2160</v>
      </c>
      <c r="C242" s="221" t="s">
        <v>75</v>
      </c>
      <c r="D242" s="222">
        <v>8.43</v>
      </c>
      <c r="E242" s="242"/>
    </row>
    <row r="243" spans="1:5" ht="14.4">
      <c r="A243" s="241">
        <v>28088</v>
      </c>
      <c r="B243" s="241" t="s">
        <v>333</v>
      </c>
      <c r="C243" s="221" t="s">
        <v>69</v>
      </c>
      <c r="D243" s="222">
        <v>27.67</v>
      </c>
      <c r="E243" s="242"/>
    </row>
    <row r="244" spans="1:5" ht="14.4">
      <c r="A244" s="240">
        <v>281</v>
      </c>
      <c r="B244" s="529" t="s">
        <v>334</v>
      </c>
      <c r="C244" s="530"/>
      <c r="D244" s="530"/>
      <c r="E244" s="531"/>
    </row>
    <row r="245" spans="1:5" ht="28.8">
      <c r="A245" s="241">
        <v>28125</v>
      </c>
      <c r="B245" s="241" t="s">
        <v>2161</v>
      </c>
      <c r="C245" s="221" t="s">
        <v>75</v>
      </c>
      <c r="D245" s="222">
        <v>13.26</v>
      </c>
      <c r="E245" s="242"/>
    </row>
    <row r="246" spans="1:5" ht="14.4">
      <c r="A246" s="240">
        <v>282</v>
      </c>
      <c r="B246" s="529" t="s">
        <v>334</v>
      </c>
      <c r="C246" s="530"/>
      <c r="D246" s="530"/>
      <c r="E246" s="531"/>
    </row>
    <row r="247" spans="1:5" ht="14.4">
      <c r="A247" s="241">
        <v>28270</v>
      </c>
      <c r="B247" s="241" t="s">
        <v>335</v>
      </c>
      <c r="C247" s="221" t="s">
        <v>75</v>
      </c>
      <c r="D247" s="222">
        <v>0.2</v>
      </c>
      <c r="E247" s="242"/>
    </row>
    <row r="248" spans="1:5" ht="14.4">
      <c r="A248" s="240">
        <v>290</v>
      </c>
      <c r="B248" s="529" t="s">
        <v>334</v>
      </c>
      <c r="C248" s="530"/>
      <c r="D248" s="530"/>
      <c r="E248" s="531"/>
    </row>
    <row r="249" spans="1:5" ht="28.8">
      <c r="A249" s="241">
        <v>29028</v>
      </c>
      <c r="B249" s="241" t="s">
        <v>14966</v>
      </c>
      <c r="C249" s="221" t="s">
        <v>114</v>
      </c>
      <c r="D249" s="222">
        <v>570.29999999999995</v>
      </c>
      <c r="E249" s="242"/>
    </row>
    <row r="250" spans="1:5" ht="14.4">
      <c r="A250" s="241">
        <v>29050</v>
      </c>
      <c r="B250" s="241" t="s">
        <v>336</v>
      </c>
      <c r="C250" s="221" t="s">
        <v>114</v>
      </c>
      <c r="D250" s="222">
        <v>15.58</v>
      </c>
      <c r="E250" s="242"/>
    </row>
    <row r="251" spans="1:5" ht="28.8">
      <c r="A251" s="241">
        <v>29093</v>
      </c>
      <c r="B251" s="241" t="s">
        <v>337</v>
      </c>
      <c r="C251" s="221" t="s">
        <v>114</v>
      </c>
      <c r="D251" s="222">
        <v>1.51</v>
      </c>
      <c r="E251" s="242"/>
    </row>
    <row r="252" spans="1:5" ht="28.8">
      <c r="A252" s="241">
        <v>29094</v>
      </c>
      <c r="B252" s="241" t="s">
        <v>338</v>
      </c>
      <c r="C252" s="221" t="s">
        <v>114</v>
      </c>
      <c r="D252" s="222">
        <v>27.7</v>
      </c>
      <c r="E252" s="242"/>
    </row>
    <row r="253" spans="1:5" ht="14.4">
      <c r="A253" s="240">
        <v>293</v>
      </c>
      <c r="B253" s="529" t="s">
        <v>326</v>
      </c>
      <c r="C253" s="530"/>
      <c r="D253" s="530"/>
      <c r="E253" s="531"/>
    </row>
    <row r="254" spans="1:5" ht="43.2">
      <c r="A254" s="241">
        <v>29337</v>
      </c>
      <c r="B254" s="241" t="s">
        <v>2162</v>
      </c>
      <c r="C254" s="221" t="s">
        <v>114</v>
      </c>
      <c r="D254" s="222">
        <v>38.76</v>
      </c>
      <c r="E254" s="242"/>
    </row>
    <row r="255" spans="1:5" ht="14.4">
      <c r="A255" s="240">
        <v>3</v>
      </c>
      <c r="B255" s="529" t="s">
        <v>339</v>
      </c>
      <c r="C255" s="530"/>
      <c r="D255" s="530"/>
      <c r="E255" s="531"/>
    </row>
    <row r="256" spans="1:5" ht="15" customHeight="1">
      <c r="A256" s="240">
        <v>301</v>
      </c>
      <c r="B256" s="529" t="s">
        <v>340</v>
      </c>
      <c r="C256" s="530"/>
      <c r="D256" s="530"/>
      <c r="E256" s="531"/>
    </row>
    <row r="257" spans="1:5" ht="28.8">
      <c r="A257" s="241">
        <v>30106</v>
      </c>
      <c r="B257" s="241" t="s">
        <v>341</v>
      </c>
      <c r="C257" s="221" t="s">
        <v>75</v>
      </c>
      <c r="D257" s="222">
        <v>11.61</v>
      </c>
      <c r="E257" s="242"/>
    </row>
    <row r="258" spans="1:5" ht="43.2">
      <c r="A258" s="241">
        <v>30152</v>
      </c>
      <c r="B258" s="241" t="s">
        <v>14967</v>
      </c>
      <c r="C258" s="221" t="s">
        <v>114</v>
      </c>
      <c r="D258" s="222">
        <v>210.67</v>
      </c>
      <c r="E258" s="242"/>
    </row>
    <row r="259" spans="1:5" ht="28.8">
      <c r="A259" s="241">
        <v>30172</v>
      </c>
      <c r="B259" s="241" t="s">
        <v>342</v>
      </c>
      <c r="C259" s="221" t="s">
        <v>114</v>
      </c>
      <c r="D259" s="222">
        <v>231.93</v>
      </c>
      <c r="E259" s="242"/>
    </row>
    <row r="260" spans="1:5" ht="15" customHeight="1">
      <c r="A260" s="241">
        <v>30173</v>
      </c>
      <c r="B260" s="241" t="s">
        <v>343</v>
      </c>
      <c r="C260" s="221" t="s">
        <v>114</v>
      </c>
      <c r="D260" s="222">
        <v>231.93</v>
      </c>
      <c r="E260" s="242"/>
    </row>
    <row r="261" spans="1:5" ht="28.8">
      <c r="A261" s="241">
        <v>30174</v>
      </c>
      <c r="B261" s="241" t="s">
        <v>344</v>
      </c>
      <c r="C261" s="221" t="s">
        <v>114</v>
      </c>
      <c r="D261" s="222">
        <v>231.93</v>
      </c>
      <c r="E261" s="242"/>
    </row>
    <row r="262" spans="1:5" ht="28.8">
      <c r="A262" s="241">
        <v>30175</v>
      </c>
      <c r="B262" s="241" t="s">
        <v>345</v>
      </c>
      <c r="C262" s="221" t="s">
        <v>114</v>
      </c>
      <c r="D262" s="222">
        <v>231.93</v>
      </c>
      <c r="E262" s="242"/>
    </row>
    <row r="263" spans="1:5" ht="14.4">
      <c r="A263" s="241">
        <v>30191</v>
      </c>
      <c r="B263" s="241" t="s">
        <v>346</v>
      </c>
      <c r="C263" s="221" t="s">
        <v>75</v>
      </c>
      <c r="D263" s="222">
        <v>56.29</v>
      </c>
      <c r="E263" s="242"/>
    </row>
    <row r="264" spans="1:5" ht="14.4">
      <c r="A264" s="240">
        <v>302</v>
      </c>
      <c r="B264" s="529" t="s">
        <v>347</v>
      </c>
      <c r="C264" s="530"/>
      <c r="D264" s="530"/>
      <c r="E264" s="531"/>
    </row>
    <row r="265" spans="1:5" ht="28.8">
      <c r="A265" s="241">
        <v>30202</v>
      </c>
      <c r="B265" s="241" t="s">
        <v>9626</v>
      </c>
      <c r="C265" s="221" t="s">
        <v>114</v>
      </c>
      <c r="D265" s="222">
        <v>185</v>
      </c>
      <c r="E265" s="242"/>
    </row>
    <row r="266" spans="1:5" ht="43.2">
      <c r="A266" s="241">
        <v>30210</v>
      </c>
      <c r="B266" s="241" t="s">
        <v>9627</v>
      </c>
      <c r="C266" s="221" t="s">
        <v>114</v>
      </c>
      <c r="D266" s="222">
        <v>181.84</v>
      </c>
      <c r="E266" s="242"/>
    </row>
    <row r="267" spans="1:5" ht="43.2">
      <c r="A267" s="241">
        <v>30211</v>
      </c>
      <c r="B267" s="241" t="s">
        <v>9628</v>
      </c>
      <c r="C267" s="221" t="s">
        <v>114</v>
      </c>
      <c r="D267" s="222">
        <v>187.49</v>
      </c>
      <c r="E267" s="242"/>
    </row>
    <row r="268" spans="1:5" ht="43.2">
      <c r="A268" s="241">
        <v>30212</v>
      </c>
      <c r="B268" s="241" t="s">
        <v>9629</v>
      </c>
      <c r="C268" s="221" t="s">
        <v>114</v>
      </c>
      <c r="D268" s="222">
        <v>203.3</v>
      </c>
      <c r="E268" s="242"/>
    </row>
    <row r="269" spans="1:5" ht="43.2">
      <c r="A269" s="241">
        <v>30213</v>
      </c>
      <c r="B269" s="241" t="s">
        <v>9630</v>
      </c>
      <c r="C269" s="221" t="s">
        <v>114</v>
      </c>
      <c r="D269" s="222">
        <v>251.78</v>
      </c>
      <c r="E269" s="242"/>
    </row>
    <row r="270" spans="1:5" ht="28.8">
      <c r="A270" s="241">
        <v>30217</v>
      </c>
      <c r="B270" s="241" t="s">
        <v>14968</v>
      </c>
      <c r="C270" s="221" t="s">
        <v>114</v>
      </c>
      <c r="D270" s="222">
        <v>199</v>
      </c>
      <c r="E270" s="242"/>
    </row>
    <row r="271" spans="1:5" ht="43.2">
      <c r="A271" s="241">
        <v>30233</v>
      </c>
      <c r="B271" s="241" t="s">
        <v>9631</v>
      </c>
      <c r="C271" s="221" t="s">
        <v>114</v>
      </c>
      <c r="D271" s="222">
        <v>207.33</v>
      </c>
      <c r="E271" s="242"/>
    </row>
    <row r="272" spans="1:5" ht="28.8">
      <c r="A272" s="241">
        <v>30257</v>
      </c>
      <c r="B272" s="241" t="s">
        <v>14969</v>
      </c>
      <c r="C272" s="221" t="s">
        <v>114</v>
      </c>
      <c r="D272" s="222">
        <v>622.64</v>
      </c>
      <c r="E272" s="242"/>
    </row>
    <row r="273" spans="1:5" ht="28.8">
      <c r="A273" s="241">
        <v>30261</v>
      </c>
      <c r="B273" s="241" t="s">
        <v>14970</v>
      </c>
      <c r="C273" s="221" t="s">
        <v>114</v>
      </c>
      <c r="D273" s="222">
        <v>593.38</v>
      </c>
      <c r="E273" s="242"/>
    </row>
    <row r="274" spans="1:5" ht="28.8">
      <c r="A274" s="241">
        <v>30263</v>
      </c>
      <c r="B274" s="241" t="s">
        <v>14971</v>
      </c>
      <c r="C274" s="221" t="s">
        <v>114</v>
      </c>
      <c r="D274" s="222">
        <v>661.69</v>
      </c>
      <c r="E274" s="242"/>
    </row>
    <row r="275" spans="1:5" ht="14.4">
      <c r="A275" s="240">
        <v>303</v>
      </c>
      <c r="B275" s="529" t="s">
        <v>347</v>
      </c>
      <c r="C275" s="530"/>
      <c r="D275" s="530"/>
      <c r="E275" s="531"/>
    </row>
    <row r="276" spans="1:5" ht="28.8">
      <c r="A276" s="241">
        <v>30358</v>
      </c>
      <c r="B276" s="241" t="s">
        <v>348</v>
      </c>
      <c r="C276" s="221" t="s">
        <v>75</v>
      </c>
      <c r="D276" s="222">
        <v>17.05</v>
      </c>
      <c r="E276" s="242"/>
    </row>
    <row r="277" spans="1:5" ht="14.4">
      <c r="A277" s="240">
        <v>304</v>
      </c>
      <c r="B277" s="529" t="s">
        <v>347</v>
      </c>
      <c r="C277" s="530"/>
      <c r="D277" s="530"/>
      <c r="E277" s="531"/>
    </row>
    <row r="278" spans="1:5" ht="43.2">
      <c r="A278" s="241">
        <v>30460</v>
      </c>
      <c r="B278" s="241" t="s">
        <v>9632</v>
      </c>
      <c r="C278" s="221" t="s">
        <v>114</v>
      </c>
      <c r="D278" s="222">
        <v>194</v>
      </c>
      <c r="E278" s="242"/>
    </row>
    <row r="279" spans="1:5" ht="28.8">
      <c r="A279" s="241">
        <v>30496</v>
      </c>
      <c r="B279" s="241" t="s">
        <v>349</v>
      </c>
      <c r="C279" s="221" t="s">
        <v>75</v>
      </c>
      <c r="D279" s="222">
        <v>13.49</v>
      </c>
      <c r="E279" s="242"/>
    </row>
    <row r="280" spans="1:5" ht="14.4">
      <c r="A280" s="240">
        <v>306</v>
      </c>
      <c r="B280" s="529" t="s">
        <v>347</v>
      </c>
      <c r="C280" s="530"/>
      <c r="D280" s="530"/>
      <c r="E280" s="531"/>
    </row>
    <row r="281" spans="1:5" ht="28.8">
      <c r="A281" s="241">
        <v>30665</v>
      </c>
      <c r="B281" s="241" t="s">
        <v>350</v>
      </c>
      <c r="C281" s="221" t="s">
        <v>75</v>
      </c>
      <c r="D281" s="222">
        <v>46.52</v>
      </c>
      <c r="E281" s="242"/>
    </row>
    <row r="282" spans="1:5" ht="28.8">
      <c r="A282" s="241">
        <v>30675</v>
      </c>
      <c r="B282" s="241" t="s">
        <v>14972</v>
      </c>
      <c r="C282" s="221" t="s">
        <v>114</v>
      </c>
      <c r="D282" s="222">
        <v>431.18</v>
      </c>
      <c r="E282" s="242"/>
    </row>
    <row r="283" spans="1:5" ht="43.2">
      <c r="A283" s="241">
        <v>30676</v>
      </c>
      <c r="B283" s="241" t="s">
        <v>14973</v>
      </c>
      <c r="C283" s="221" t="s">
        <v>114</v>
      </c>
      <c r="D283" s="222">
        <v>446.98</v>
      </c>
      <c r="E283" s="242"/>
    </row>
    <row r="284" spans="1:5" ht="43.2">
      <c r="A284" s="241">
        <v>30677</v>
      </c>
      <c r="B284" s="241" t="s">
        <v>14974</v>
      </c>
      <c r="C284" s="221" t="s">
        <v>114</v>
      </c>
      <c r="D284" s="222">
        <v>475.71</v>
      </c>
      <c r="E284" s="242"/>
    </row>
    <row r="285" spans="1:5" ht="14.4">
      <c r="A285" s="240">
        <v>308</v>
      </c>
      <c r="B285" s="529" t="s">
        <v>351</v>
      </c>
      <c r="C285" s="530"/>
      <c r="D285" s="530"/>
      <c r="E285" s="531"/>
    </row>
    <row r="286" spans="1:5" ht="28.8">
      <c r="A286" s="241">
        <v>30868</v>
      </c>
      <c r="B286" s="241" t="s">
        <v>9633</v>
      </c>
      <c r="C286" s="221" t="s">
        <v>73</v>
      </c>
      <c r="D286" s="222">
        <v>981.06</v>
      </c>
      <c r="E286" s="242"/>
    </row>
    <row r="287" spans="1:5" ht="14.4">
      <c r="A287" s="240">
        <v>309</v>
      </c>
      <c r="B287" s="529" t="s">
        <v>351</v>
      </c>
      <c r="C287" s="530"/>
      <c r="D287" s="530"/>
      <c r="E287" s="531"/>
    </row>
    <row r="288" spans="1:5" ht="28.8">
      <c r="A288" s="241">
        <v>30951</v>
      </c>
      <c r="B288" s="241" t="s">
        <v>9634</v>
      </c>
      <c r="C288" s="221" t="s">
        <v>73</v>
      </c>
      <c r="D288" s="222">
        <v>493.53</v>
      </c>
      <c r="E288" s="242"/>
    </row>
    <row r="289" spans="1:5" ht="14.4">
      <c r="A289" s="240">
        <v>314</v>
      </c>
      <c r="B289" s="529" t="s">
        <v>351</v>
      </c>
      <c r="C289" s="530"/>
      <c r="D289" s="530"/>
      <c r="E289" s="531"/>
    </row>
    <row r="290" spans="1:5" ht="28.8">
      <c r="A290" s="241">
        <v>31443</v>
      </c>
      <c r="B290" s="241" t="s">
        <v>9635</v>
      </c>
      <c r="C290" s="221" t="s">
        <v>73</v>
      </c>
      <c r="D290" s="222">
        <v>532.03</v>
      </c>
      <c r="E290" s="242"/>
    </row>
    <row r="291" spans="1:5" ht="14.4">
      <c r="A291" s="240">
        <v>315</v>
      </c>
      <c r="B291" s="529" t="s">
        <v>352</v>
      </c>
      <c r="C291" s="530"/>
      <c r="D291" s="530"/>
      <c r="E291" s="531"/>
    </row>
    <row r="292" spans="1:5" ht="28.8">
      <c r="A292" s="241">
        <v>31507</v>
      </c>
      <c r="B292" s="241" t="s">
        <v>353</v>
      </c>
      <c r="C292" s="221" t="s">
        <v>114</v>
      </c>
      <c r="D292" s="222">
        <v>211.9</v>
      </c>
      <c r="E292" s="242"/>
    </row>
    <row r="293" spans="1:5" ht="14.4">
      <c r="A293" s="241">
        <v>31508</v>
      </c>
      <c r="B293" s="241" t="s">
        <v>14975</v>
      </c>
      <c r="C293" s="221" t="s">
        <v>114</v>
      </c>
      <c r="D293" s="222">
        <v>247.19</v>
      </c>
      <c r="E293" s="242"/>
    </row>
    <row r="294" spans="1:5" ht="14.4">
      <c r="A294" s="241">
        <v>31511</v>
      </c>
      <c r="B294" s="241" t="s">
        <v>354</v>
      </c>
      <c r="C294" s="221" t="s">
        <v>114</v>
      </c>
      <c r="D294" s="222">
        <v>6.02</v>
      </c>
      <c r="E294" s="242"/>
    </row>
    <row r="295" spans="1:5" ht="14.4">
      <c r="A295" s="241">
        <v>31515</v>
      </c>
      <c r="B295" s="241" t="s">
        <v>2163</v>
      </c>
      <c r="C295" s="221" t="s">
        <v>114</v>
      </c>
      <c r="D295" s="222">
        <v>69.5</v>
      </c>
      <c r="E295" s="242"/>
    </row>
    <row r="296" spans="1:5" ht="14.4">
      <c r="A296" s="241">
        <v>31516</v>
      </c>
      <c r="B296" s="241" t="s">
        <v>355</v>
      </c>
      <c r="C296" s="221" t="s">
        <v>114</v>
      </c>
      <c r="D296" s="222">
        <v>4.37</v>
      </c>
      <c r="E296" s="242"/>
    </row>
    <row r="297" spans="1:5" ht="14.4">
      <c r="A297" s="241">
        <v>31517</v>
      </c>
      <c r="B297" s="241" t="s">
        <v>356</v>
      </c>
      <c r="C297" s="221" t="s">
        <v>114</v>
      </c>
      <c r="D297" s="222">
        <v>51.08</v>
      </c>
      <c r="E297" s="242"/>
    </row>
    <row r="298" spans="1:5" ht="28.8">
      <c r="A298" s="241">
        <v>31518</v>
      </c>
      <c r="B298" s="241" t="s">
        <v>357</v>
      </c>
      <c r="C298" s="221" t="s">
        <v>114</v>
      </c>
      <c r="D298" s="222">
        <v>61.44</v>
      </c>
      <c r="E298" s="242"/>
    </row>
    <row r="299" spans="1:5" ht="14.4">
      <c r="A299" s="241">
        <v>31519</v>
      </c>
      <c r="B299" s="241" t="s">
        <v>358</v>
      </c>
      <c r="C299" s="221" t="s">
        <v>114</v>
      </c>
      <c r="D299" s="222">
        <v>35.49</v>
      </c>
      <c r="E299" s="242"/>
    </row>
    <row r="300" spans="1:5" ht="14.4">
      <c r="A300" s="241">
        <v>31548</v>
      </c>
      <c r="B300" s="241" t="s">
        <v>359</v>
      </c>
      <c r="C300" s="221" t="s">
        <v>114</v>
      </c>
      <c r="D300" s="222">
        <v>26.94</v>
      </c>
      <c r="E300" s="242"/>
    </row>
    <row r="301" spans="1:5" ht="28.8">
      <c r="A301" s="241">
        <v>31570</v>
      </c>
      <c r="B301" s="241" t="s">
        <v>360</v>
      </c>
      <c r="C301" s="221" t="s">
        <v>114</v>
      </c>
      <c r="D301" s="222">
        <v>6.81</v>
      </c>
      <c r="E301" s="242"/>
    </row>
    <row r="302" spans="1:5" ht="28.8">
      <c r="A302" s="241">
        <v>31571</v>
      </c>
      <c r="B302" s="241" t="s">
        <v>361</v>
      </c>
      <c r="C302" s="221" t="s">
        <v>114</v>
      </c>
      <c r="D302" s="222">
        <v>9.25</v>
      </c>
      <c r="E302" s="242"/>
    </row>
    <row r="303" spans="1:5" ht="14.4">
      <c r="A303" s="241">
        <v>31581</v>
      </c>
      <c r="B303" s="241" t="s">
        <v>362</v>
      </c>
      <c r="C303" s="221" t="s">
        <v>114</v>
      </c>
      <c r="D303" s="222">
        <v>50.62</v>
      </c>
      <c r="E303" s="242"/>
    </row>
    <row r="304" spans="1:5" ht="28.8">
      <c r="A304" s="241">
        <v>31584</v>
      </c>
      <c r="B304" s="241" t="s">
        <v>363</v>
      </c>
      <c r="C304" s="221" t="s">
        <v>114</v>
      </c>
      <c r="D304" s="222">
        <v>8.92</v>
      </c>
      <c r="E304" s="242"/>
    </row>
    <row r="305" spans="1:5" ht="15" customHeight="1">
      <c r="A305" s="240">
        <v>316</v>
      </c>
      <c r="B305" s="529" t="s">
        <v>364</v>
      </c>
      <c r="C305" s="530"/>
      <c r="D305" s="530"/>
      <c r="E305" s="531"/>
    </row>
    <row r="306" spans="1:5" ht="28.8">
      <c r="A306" s="241">
        <v>31601</v>
      </c>
      <c r="B306" s="241" t="s">
        <v>1778</v>
      </c>
      <c r="C306" s="221" t="s">
        <v>114</v>
      </c>
      <c r="D306" s="222">
        <v>39.880000000000003</v>
      </c>
      <c r="E306" s="242"/>
    </row>
    <row r="307" spans="1:5" ht="28.8">
      <c r="A307" s="241">
        <v>31647</v>
      </c>
      <c r="B307" s="241" t="s">
        <v>365</v>
      </c>
      <c r="C307" s="221" t="s">
        <v>114</v>
      </c>
      <c r="D307" s="222">
        <v>46.83</v>
      </c>
      <c r="E307" s="242"/>
    </row>
    <row r="308" spans="1:5" ht="14.4">
      <c r="A308" s="240">
        <v>317</v>
      </c>
      <c r="B308" s="529" t="s">
        <v>351</v>
      </c>
      <c r="C308" s="530"/>
      <c r="D308" s="530"/>
      <c r="E308" s="531"/>
    </row>
    <row r="309" spans="1:5" ht="15" customHeight="1">
      <c r="A309" s="241">
        <v>31733</v>
      </c>
      <c r="B309" s="241" t="s">
        <v>366</v>
      </c>
      <c r="C309" s="221" t="s">
        <v>73</v>
      </c>
      <c r="D309" s="222">
        <v>640.21</v>
      </c>
      <c r="E309" s="242"/>
    </row>
    <row r="310" spans="1:5" ht="15" customHeight="1">
      <c r="A310" s="240">
        <v>318</v>
      </c>
      <c r="B310" s="529" t="s">
        <v>364</v>
      </c>
      <c r="C310" s="530"/>
      <c r="D310" s="530"/>
      <c r="E310" s="531"/>
    </row>
    <row r="311" spans="1:5" ht="28.8">
      <c r="A311" s="241">
        <v>31811</v>
      </c>
      <c r="B311" s="241" t="s">
        <v>367</v>
      </c>
      <c r="C311" s="221" t="s">
        <v>114</v>
      </c>
      <c r="D311" s="222">
        <v>148.68</v>
      </c>
      <c r="E311" s="242"/>
    </row>
    <row r="312" spans="1:5" ht="28.8">
      <c r="A312" s="241">
        <v>31812</v>
      </c>
      <c r="B312" s="241" t="s">
        <v>368</v>
      </c>
      <c r="C312" s="221" t="s">
        <v>114</v>
      </c>
      <c r="D312" s="222">
        <v>64.36</v>
      </c>
      <c r="E312" s="242"/>
    </row>
    <row r="313" spans="1:5" ht="28.8">
      <c r="A313" s="241">
        <v>31813</v>
      </c>
      <c r="B313" s="241" t="s">
        <v>369</v>
      </c>
      <c r="C313" s="221" t="s">
        <v>114</v>
      </c>
      <c r="D313" s="222">
        <v>42.64</v>
      </c>
      <c r="E313" s="242"/>
    </row>
    <row r="314" spans="1:5" ht="15" customHeight="1">
      <c r="A314" s="240">
        <v>320</v>
      </c>
      <c r="B314" s="529" t="s">
        <v>370</v>
      </c>
      <c r="C314" s="530"/>
      <c r="D314" s="530"/>
      <c r="E314" s="531"/>
    </row>
    <row r="315" spans="1:5" ht="14.4">
      <c r="A315" s="241">
        <v>32001</v>
      </c>
      <c r="B315" s="241" t="s">
        <v>371</v>
      </c>
      <c r="C315" s="221" t="s">
        <v>73</v>
      </c>
      <c r="D315" s="222">
        <v>54.47</v>
      </c>
      <c r="E315" s="242"/>
    </row>
    <row r="316" spans="1:5" ht="15" customHeight="1">
      <c r="A316" s="240">
        <v>321</v>
      </c>
      <c r="B316" s="529" t="s">
        <v>372</v>
      </c>
      <c r="C316" s="530"/>
      <c r="D316" s="530"/>
      <c r="E316" s="531"/>
    </row>
    <row r="317" spans="1:5" ht="28.8">
      <c r="A317" s="241">
        <v>32147</v>
      </c>
      <c r="B317" s="241" t="s">
        <v>373</v>
      </c>
      <c r="C317" s="221" t="s">
        <v>73</v>
      </c>
      <c r="D317" s="222">
        <v>58.49</v>
      </c>
      <c r="E317" s="242"/>
    </row>
    <row r="318" spans="1:5" ht="15" customHeight="1">
      <c r="A318" s="240">
        <v>322</v>
      </c>
      <c r="B318" s="529" t="s">
        <v>372</v>
      </c>
      <c r="C318" s="530"/>
      <c r="D318" s="530"/>
      <c r="E318" s="531"/>
    </row>
    <row r="319" spans="1:5" ht="14.4">
      <c r="A319" s="241">
        <v>32219</v>
      </c>
      <c r="B319" s="241" t="s">
        <v>374</v>
      </c>
      <c r="C319" s="221" t="s">
        <v>73</v>
      </c>
      <c r="D319" s="222">
        <v>99.64</v>
      </c>
      <c r="E319" s="242"/>
    </row>
    <row r="320" spans="1:5" ht="15" customHeight="1">
      <c r="A320" s="241">
        <v>32223</v>
      </c>
      <c r="B320" s="241" t="s">
        <v>375</v>
      </c>
      <c r="C320" s="221" t="s">
        <v>73</v>
      </c>
      <c r="D320" s="222">
        <v>58.49</v>
      </c>
      <c r="E320" s="242"/>
    </row>
    <row r="321" spans="1:5" ht="14.4">
      <c r="A321" s="240">
        <v>325</v>
      </c>
      <c r="B321" s="529" t="s">
        <v>376</v>
      </c>
      <c r="C321" s="530"/>
      <c r="D321" s="530"/>
      <c r="E321" s="531"/>
    </row>
    <row r="322" spans="1:5" ht="15" customHeight="1">
      <c r="A322" s="241">
        <v>32502</v>
      </c>
      <c r="B322" s="241" t="s">
        <v>377</v>
      </c>
      <c r="C322" s="221" t="s">
        <v>73</v>
      </c>
      <c r="D322" s="222">
        <v>275.38</v>
      </c>
      <c r="E322" s="242"/>
    </row>
    <row r="323" spans="1:5" ht="28.8">
      <c r="A323" s="241">
        <v>32505</v>
      </c>
      <c r="B323" s="241" t="s">
        <v>378</v>
      </c>
      <c r="C323" s="221" t="s">
        <v>73</v>
      </c>
      <c r="D323" s="222">
        <v>200.5</v>
      </c>
      <c r="E323" s="242"/>
    </row>
    <row r="324" spans="1:5" ht="15" customHeight="1">
      <c r="A324" s="240">
        <v>330</v>
      </c>
      <c r="B324" s="529" t="s">
        <v>379</v>
      </c>
      <c r="C324" s="530"/>
      <c r="D324" s="530"/>
      <c r="E324" s="531"/>
    </row>
    <row r="325" spans="1:5" ht="14.4">
      <c r="A325" s="241">
        <v>33023</v>
      </c>
      <c r="B325" s="241" t="s">
        <v>380</v>
      </c>
      <c r="C325" s="221" t="s">
        <v>73</v>
      </c>
      <c r="D325" s="222">
        <v>118.43</v>
      </c>
      <c r="E325" s="242"/>
    </row>
    <row r="326" spans="1:5" ht="15" customHeight="1">
      <c r="A326" s="240">
        <v>335</v>
      </c>
      <c r="B326" s="529" t="s">
        <v>381</v>
      </c>
      <c r="C326" s="530"/>
      <c r="D326" s="530"/>
      <c r="E326" s="531"/>
    </row>
    <row r="327" spans="1:5" ht="28.8">
      <c r="A327" s="241">
        <v>33503</v>
      </c>
      <c r="B327" s="241" t="s">
        <v>382</v>
      </c>
      <c r="C327" s="221" t="s">
        <v>75</v>
      </c>
      <c r="D327" s="222">
        <v>6.26</v>
      </c>
      <c r="E327" s="242"/>
    </row>
    <row r="328" spans="1:5" ht="28.8">
      <c r="A328" s="241">
        <v>33506</v>
      </c>
      <c r="B328" s="241" t="s">
        <v>383</v>
      </c>
      <c r="C328" s="221" t="s">
        <v>75</v>
      </c>
      <c r="D328" s="222">
        <v>78.33</v>
      </c>
      <c r="E328" s="242"/>
    </row>
    <row r="329" spans="1:5" ht="15" customHeight="1">
      <c r="A329" s="241">
        <v>33511</v>
      </c>
      <c r="B329" s="241" t="s">
        <v>384</v>
      </c>
      <c r="C329" s="221" t="s">
        <v>75</v>
      </c>
      <c r="D329" s="222">
        <v>37.729999999999997</v>
      </c>
      <c r="E329" s="242"/>
    </row>
    <row r="330" spans="1:5" ht="14.4">
      <c r="A330" s="241">
        <v>33513</v>
      </c>
      <c r="B330" s="241" t="s">
        <v>385</v>
      </c>
      <c r="C330" s="221" t="s">
        <v>75</v>
      </c>
      <c r="D330" s="222">
        <v>107</v>
      </c>
      <c r="E330" s="242"/>
    </row>
    <row r="331" spans="1:5" ht="15" customHeight="1">
      <c r="A331" s="241">
        <v>33518</v>
      </c>
      <c r="B331" s="241" t="s">
        <v>386</v>
      </c>
      <c r="C331" s="221" t="s">
        <v>75</v>
      </c>
      <c r="D331" s="222">
        <v>56.75</v>
      </c>
      <c r="E331" s="242"/>
    </row>
    <row r="332" spans="1:5" ht="28.8">
      <c r="A332" s="241">
        <v>33556</v>
      </c>
      <c r="B332" s="241" t="s">
        <v>14976</v>
      </c>
      <c r="C332" s="221" t="s">
        <v>75</v>
      </c>
      <c r="D332" s="222">
        <v>5.66</v>
      </c>
      <c r="E332" s="242"/>
    </row>
    <row r="333" spans="1:5" ht="28.8">
      <c r="A333" s="241">
        <v>33599</v>
      </c>
      <c r="B333" s="241" t="s">
        <v>1833</v>
      </c>
      <c r="C333" s="221" t="s">
        <v>75</v>
      </c>
      <c r="D333" s="222">
        <v>16.23</v>
      </c>
      <c r="E333" s="242"/>
    </row>
    <row r="334" spans="1:5" ht="14.4">
      <c r="A334" s="240">
        <v>340</v>
      </c>
      <c r="B334" s="529" t="s">
        <v>387</v>
      </c>
      <c r="C334" s="530"/>
      <c r="D334" s="530"/>
      <c r="E334" s="531"/>
    </row>
    <row r="335" spans="1:5" ht="28.8">
      <c r="A335" s="241">
        <v>34005</v>
      </c>
      <c r="B335" s="241" t="s">
        <v>388</v>
      </c>
      <c r="C335" s="221" t="s">
        <v>73</v>
      </c>
      <c r="D335" s="222">
        <v>35</v>
      </c>
      <c r="E335" s="242"/>
    </row>
    <row r="336" spans="1:5" ht="14.4">
      <c r="A336" s="240">
        <v>341</v>
      </c>
      <c r="B336" s="529" t="s">
        <v>389</v>
      </c>
      <c r="C336" s="530"/>
      <c r="D336" s="530"/>
      <c r="E336" s="531"/>
    </row>
    <row r="337" spans="1:5" ht="28.8">
      <c r="A337" s="241">
        <v>34114</v>
      </c>
      <c r="B337" s="241" t="s">
        <v>390</v>
      </c>
      <c r="C337" s="221" t="s">
        <v>73</v>
      </c>
      <c r="D337" s="222">
        <v>97.67</v>
      </c>
      <c r="E337" s="242"/>
    </row>
    <row r="338" spans="1:5" ht="14.4">
      <c r="A338" s="240">
        <v>343</v>
      </c>
      <c r="B338" s="529" t="s">
        <v>2164</v>
      </c>
      <c r="C338" s="530"/>
      <c r="D338" s="530"/>
      <c r="E338" s="531"/>
    </row>
    <row r="339" spans="1:5" ht="28.8">
      <c r="A339" s="241">
        <v>34383</v>
      </c>
      <c r="B339" s="241" t="s">
        <v>7971</v>
      </c>
      <c r="C339" s="221" t="s">
        <v>114</v>
      </c>
      <c r="D339" s="222">
        <v>43.94</v>
      </c>
      <c r="E339" s="242"/>
    </row>
    <row r="340" spans="1:5" ht="14.4">
      <c r="A340" s="241">
        <v>34384</v>
      </c>
      <c r="B340" s="241" t="s">
        <v>2165</v>
      </c>
      <c r="C340" s="221" t="s">
        <v>114</v>
      </c>
      <c r="D340" s="222">
        <v>50.1</v>
      </c>
      <c r="E340" s="242"/>
    </row>
    <row r="341" spans="1:5" ht="14.4">
      <c r="A341" s="240">
        <v>345</v>
      </c>
      <c r="B341" s="529" t="s">
        <v>391</v>
      </c>
      <c r="C341" s="530"/>
      <c r="D341" s="530"/>
      <c r="E341" s="531"/>
    </row>
    <row r="342" spans="1:5" ht="28.8">
      <c r="A342" s="241">
        <v>34544</v>
      </c>
      <c r="B342" s="241" t="s">
        <v>392</v>
      </c>
      <c r="C342" s="221" t="s">
        <v>71</v>
      </c>
      <c r="D342" s="222">
        <v>27.27</v>
      </c>
      <c r="E342" s="242"/>
    </row>
    <row r="343" spans="1:5" ht="14.4">
      <c r="A343" s="240">
        <v>346</v>
      </c>
      <c r="B343" s="529" t="s">
        <v>393</v>
      </c>
      <c r="C343" s="530"/>
      <c r="D343" s="530"/>
      <c r="E343" s="531"/>
    </row>
    <row r="344" spans="1:5" ht="28.8">
      <c r="A344" s="241">
        <v>34656</v>
      </c>
      <c r="B344" s="241" t="s">
        <v>1834</v>
      </c>
      <c r="C344" s="221" t="s">
        <v>73</v>
      </c>
      <c r="D344" s="222">
        <v>57.29</v>
      </c>
      <c r="E344" s="242"/>
    </row>
    <row r="345" spans="1:5" ht="28.8">
      <c r="A345" s="241">
        <v>34661</v>
      </c>
      <c r="B345" s="241" t="s">
        <v>394</v>
      </c>
      <c r="C345" s="221" t="s">
        <v>73</v>
      </c>
      <c r="D345" s="222">
        <v>47.19</v>
      </c>
      <c r="E345" s="242"/>
    </row>
    <row r="346" spans="1:5" ht="28.8">
      <c r="A346" s="241">
        <v>34666</v>
      </c>
      <c r="B346" s="241" t="s">
        <v>1835</v>
      </c>
      <c r="C346" s="221" t="s">
        <v>73</v>
      </c>
      <c r="D346" s="222">
        <v>57.29</v>
      </c>
      <c r="E346" s="242"/>
    </row>
    <row r="347" spans="1:5" ht="14.4">
      <c r="A347" s="240">
        <v>347</v>
      </c>
      <c r="B347" s="529" t="s">
        <v>393</v>
      </c>
      <c r="C347" s="530"/>
      <c r="D347" s="530"/>
      <c r="E347" s="531"/>
    </row>
    <row r="348" spans="1:5" ht="28.8">
      <c r="A348" s="241">
        <v>34787</v>
      </c>
      <c r="B348" s="241" t="s">
        <v>2166</v>
      </c>
      <c r="C348" s="221" t="s">
        <v>73</v>
      </c>
      <c r="D348" s="222">
        <v>42.17</v>
      </c>
      <c r="E348" s="242"/>
    </row>
    <row r="349" spans="1:5" ht="14.4">
      <c r="A349" s="240">
        <v>348</v>
      </c>
      <c r="B349" s="529" t="s">
        <v>416</v>
      </c>
      <c r="C349" s="530"/>
      <c r="D349" s="530"/>
      <c r="E349" s="531"/>
    </row>
    <row r="350" spans="1:5" ht="43.2">
      <c r="A350" s="241">
        <v>34850</v>
      </c>
      <c r="B350" s="241" t="s">
        <v>14977</v>
      </c>
      <c r="C350" s="221" t="s">
        <v>69</v>
      </c>
      <c r="D350" s="222">
        <v>83.34</v>
      </c>
      <c r="E350" s="242"/>
    </row>
    <row r="351" spans="1:5" ht="14.4">
      <c r="A351" s="240">
        <v>351</v>
      </c>
      <c r="B351" s="529" t="s">
        <v>395</v>
      </c>
      <c r="C351" s="530"/>
      <c r="D351" s="530"/>
      <c r="E351" s="531"/>
    </row>
    <row r="352" spans="1:5" ht="14.4">
      <c r="A352" s="241">
        <v>35114</v>
      </c>
      <c r="B352" s="241" t="s">
        <v>396</v>
      </c>
      <c r="C352" s="221" t="s">
        <v>75</v>
      </c>
      <c r="D352" s="222">
        <v>0.96</v>
      </c>
      <c r="E352" s="242"/>
    </row>
    <row r="353" spans="1:5" ht="28.8">
      <c r="A353" s="241">
        <v>35144</v>
      </c>
      <c r="B353" s="241" t="s">
        <v>397</v>
      </c>
      <c r="C353" s="221" t="s">
        <v>73</v>
      </c>
      <c r="D353" s="222">
        <v>94.93</v>
      </c>
      <c r="E353" s="242"/>
    </row>
    <row r="354" spans="1:5" ht="28.8">
      <c r="A354" s="241">
        <v>35145</v>
      </c>
      <c r="B354" s="241" t="s">
        <v>398</v>
      </c>
      <c r="C354" s="221" t="s">
        <v>73</v>
      </c>
      <c r="D354" s="222">
        <v>60.38</v>
      </c>
      <c r="E354" s="242"/>
    </row>
    <row r="355" spans="1:5" ht="28.8">
      <c r="A355" s="241">
        <v>35155</v>
      </c>
      <c r="B355" s="241" t="s">
        <v>9636</v>
      </c>
      <c r="C355" s="221" t="s">
        <v>73</v>
      </c>
      <c r="D355" s="222">
        <v>98.89</v>
      </c>
      <c r="E355" s="242"/>
    </row>
    <row r="356" spans="1:5" ht="15" customHeight="1">
      <c r="A356" s="240">
        <v>352</v>
      </c>
      <c r="B356" s="529" t="s">
        <v>2167</v>
      </c>
      <c r="C356" s="530"/>
      <c r="D356" s="530"/>
      <c r="E356" s="531"/>
    </row>
    <row r="357" spans="1:5" ht="28.8">
      <c r="A357" s="241">
        <v>35211</v>
      </c>
      <c r="B357" s="241" t="s">
        <v>2168</v>
      </c>
      <c r="C357" s="221" t="s">
        <v>116</v>
      </c>
      <c r="D357" s="222">
        <v>11.94</v>
      </c>
      <c r="E357" s="242"/>
    </row>
    <row r="358" spans="1:5" ht="14.4">
      <c r="A358" s="240">
        <v>355</v>
      </c>
      <c r="B358" s="529" t="s">
        <v>399</v>
      </c>
      <c r="C358" s="530"/>
      <c r="D358" s="530"/>
      <c r="E358" s="531"/>
    </row>
    <row r="359" spans="1:5" ht="15" customHeight="1">
      <c r="A359" s="241">
        <v>35504</v>
      </c>
      <c r="B359" s="241" t="s">
        <v>400</v>
      </c>
      <c r="C359" s="221" t="s">
        <v>71</v>
      </c>
      <c r="D359" s="222">
        <v>0.93</v>
      </c>
      <c r="E359" s="242"/>
    </row>
    <row r="360" spans="1:5" ht="28.8">
      <c r="A360" s="241">
        <v>35571</v>
      </c>
      <c r="B360" s="241" t="s">
        <v>401</v>
      </c>
      <c r="C360" s="221" t="s">
        <v>73</v>
      </c>
      <c r="D360" s="222">
        <v>160.26</v>
      </c>
      <c r="E360" s="242"/>
    </row>
    <row r="361" spans="1:5" ht="43.2">
      <c r="A361" s="241">
        <v>35579</v>
      </c>
      <c r="B361" s="241" t="s">
        <v>15765</v>
      </c>
      <c r="C361" s="221" t="s">
        <v>73</v>
      </c>
      <c r="D361" s="222">
        <v>197.74</v>
      </c>
      <c r="E361" s="242"/>
    </row>
    <row r="362" spans="1:5" ht="15" customHeight="1">
      <c r="A362" s="240">
        <v>356</v>
      </c>
      <c r="B362" s="529" t="s">
        <v>402</v>
      </c>
      <c r="C362" s="530"/>
      <c r="D362" s="530"/>
      <c r="E362" s="531"/>
    </row>
    <row r="363" spans="1:5" ht="28.8">
      <c r="A363" s="241">
        <v>35625</v>
      </c>
      <c r="B363" s="241" t="s">
        <v>403</v>
      </c>
      <c r="C363" s="221" t="s">
        <v>73</v>
      </c>
      <c r="D363" s="222">
        <v>93.11</v>
      </c>
      <c r="E363" s="242"/>
    </row>
    <row r="364" spans="1:5" ht="14.4">
      <c r="A364" s="240">
        <v>360</v>
      </c>
      <c r="B364" s="529" t="s">
        <v>404</v>
      </c>
      <c r="C364" s="530"/>
      <c r="D364" s="530"/>
      <c r="E364" s="531"/>
    </row>
    <row r="365" spans="1:5" ht="15" customHeight="1">
      <c r="A365" s="241">
        <v>36002</v>
      </c>
      <c r="B365" s="241" t="s">
        <v>405</v>
      </c>
      <c r="C365" s="221" t="s">
        <v>75</v>
      </c>
      <c r="D365" s="222">
        <v>15.71</v>
      </c>
      <c r="E365" s="242"/>
    </row>
    <row r="366" spans="1:5" ht="28.8">
      <c r="A366" s="241">
        <v>36010</v>
      </c>
      <c r="B366" s="241" t="s">
        <v>406</v>
      </c>
      <c r="C366" s="221" t="s">
        <v>75</v>
      </c>
      <c r="D366" s="222">
        <v>13.23</v>
      </c>
      <c r="E366" s="242"/>
    </row>
    <row r="367" spans="1:5" ht="14.4">
      <c r="A367" s="241">
        <v>36012</v>
      </c>
      <c r="B367" s="241" t="s">
        <v>407</v>
      </c>
      <c r="C367" s="221" t="s">
        <v>75</v>
      </c>
      <c r="D367" s="222">
        <v>2.42</v>
      </c>
      <c r="E367" s="242"/>
    </row>
    <row r="368" spans="1:5" ht="28.8">
      <c r="A368" s="241">
        <v>36018</v>
      </c>
      <c r="B368" s="241" t="s">
        <v>408</v>
      </c>
      <c r="C368" s="221" t="s">
        <v>75</v>
      </c>
      <c r="D368" s="222">
        <v>18.52</v>
      </c>
      <c r="E368" s="242"/>
    </row>
    <row r="369" spans="1:5" ht="28.8">
      <c r="A369" s="241">
        <v>36034</v>
      </c>
      <c r="B369" s="241" t="s">
        <v>409</v>
      </c>
      <c r="C369" s="221" t="s">
        <v>75</v>
      </c>
      <c r="D369" s="222">
        <v>24.39</v>
      </c>
      <c r="E369" s="242"/>
    </row>
    <row r="370" spans="1:5" ht="28.8">
      <c r="A370" s="241">
        <v>36044</v>
      </c>
      <c r="B370" s="241" t="s">
        <v>410</v>
      </c>
      <c r="C370" s="221" t="s">
        <v>75</v>
      </c>
      <c r="D370" s="222">
        <v>31.82</v>
      </c>
      <c r="E370" s="242"/>
    </row>
    <row r="371" spans="1:5" ht="28.8">
      <c r="A371" s="241">
        <v>36091</v>
      </c>
      <c r="B371" s="241" t="s">
        <v>2169</v>
      </c>
      <c r="C371" s="221" t="s">
        <v>75</v>
      </c>
      <c r="D371" s="222">
        <v>16.23</v>
      </c>
      <c r="E371" s="242"/>
    </row>
    <row r="372" spans="1:5" ht="15" customHeight="1">
      <c r="A372" s="240">
        <v>362</v>
      </c>
      <c r="B372" s="529" t="s">
        <v>411</v>
      </c>
      <c r="C372" s="530"/>
      <c r="D372" s="530"/>
      <c r="E372" s="531"/>
    </row>
    <row r="373" spans="1:5" ht="14.4">
      <c r="A373" s="241">
        <v>36221</v>
      </c>
      <c r="B373" s="241" t="s">
        <v>412</v>
      </c>
      <c r="C373" s="221" t="s">
        <v>75</v>
      </c>
      <c r="D373" s="222">
        <v>12.52</v>
      </c>
      <c r="E373" s="242"/>
    </row>
    <row r="374" spans="1:5" ht="14.4">
      <c r="A374" s="240">
        <v>365</v>
      </c>
      <c r="B374" s="529" t="s">
        <v>57</v>
      </c>
      <c r="C374" s="530"/>
      <c r="D374" s="530"/>
      <c r="E374" s="531"/>
    </row>
    <row r="375" spans="1:5" ht="15" customHeight="1">
      <c r="A375" s="241">
        <v>36506</v>
      </c>
      <c r="B375" s="241" t="s">
        <v>7972</v>
      </c>
      <c r="C375" s="221" t="s">
        <v>75</v>
      </c>
      <c r="D375" s="222">
        <v>24.55</v>
      </c>
      <c r="E375" s="242"/>
    </row>
    <row r="376" spans="1:5" ht="28.8">
      <c r="A376" s="241">
        <v>36512</v>
      </c>
      <c r="B376" s="241" t="s">
        <v>413</v>
      </c>
      <c r="C376" s="221" t="s">
        <v>114</v>
      </c>
      <c r="D376" s="222">
        <v>1.07</v>
      </c>
      <c r="E376" s="242"/>
    </row>
    <row r="377" spans="1:5" ht="15" customHeight="1">
      <c r="A377" s="241">
        <v>36514</v>
      </c>
      <c r="B377" s="241" t="s">
        <v>414</v>
      </c>
      <c r="C377" s="221" t="s">
        <v>114</v>
      </c>
      <c r="D377" s="222">
        <v>1.41</v>
      </c>
      <c r="E377" s="242"/>
    </row>
    <row r="378" spans="1:5" ht="28.8">
      <c r="A378" s="241">
        <v>36517</v>
      </c>
      <c r="B378" s="241" t="s">
        <v>415</v>
      </c>
      <c r="C378" s="221" t="s">
        <v>114</v>
      </c>
      <c r="D378" s="222">
        <v>0.93</v>
      </c>
      <c r="E378" s="242"/>
    </row>
    <row r="379" spans="1:5" ht="14.4">
      <c r="A379" s="240">
        <v>368</v>
      </c>
      <c r="B379" s="529" t="s">
        <v>416</v>
      </c>
      <c r="C379" s="530"/>
      <c r="D379" s="530"/>
      <c r="E379" s="531"/>
    </row>
    <row r="380" spans="1:5" ht="57.6">
      <c r="A380" s="241">
        <v>36825</v>
      </c>
      <c r="B380" s="241" t="s">
        <v>14978</v>
      </c>
      <c r="C380" s="221" t="s">
        <v>69</v>
      </c>
      <c r="D380" s="222">
        <v>82.94</v>
      </c>
      <c r="E380" s="242"/>
    </row>
    <row r="381" spans="1:5" ht="14.4">
      <c r="A381" s="240">
        <v>370</v>
      </c>
      <c r="B381" s="529" t="s">
        <v>417</v>
      </c>
      <c r="C381" s="530"/>
      <c r="D381" s="530"/>
      <c r="E381" s="531"/>
    </row>
    <row r="382" spans="1:5" ht="28.8">
      <c r="A382" s="241">
        <v>37009</v>
      </c>
      <c r="B382" s="241" t="s">
        <v>418</v>
      </c>
      <c r="C382" s="221" t="s">
        <v>73</v>
      </c>
      <c r="D382" s="222">
        <v>271.33</v>
      </c>
      <c r="E382" s="242"/>
    </row>
    <row r="383" spans="1:5" ht="28.8">
      <c r="A383" s="241">
        <v>37013</v>
      </c>
      <c r="B383" s="241" t="s">
        <v>419</v>
      </c>
      <c r="C383" s="221" t="s">
        <v>73</v>
      </c>
      <c r="D383" s="222">
        <v>294.67</v>
      </c>
      <c r="E383" s="242"/>
    </row>
    <row r="384" spans="1:5" ht="14.4">
      <c r="A384" s="241">
        <v>37043</v>
      </c>
      <c r="B384" s="241" t="s">
        <v>420</v>
      </c>
      <c r="C384" s="221" t="s">
        <v>71</v>
      </c>
      <c r="D384" s="222">
        <v>14</v>
      </c>
      <c r="E384" s="242"/>
    </row>
    <row r="385" spans="1:5" ht="14.4">
      <c r="A385" s="241">
        <v>37057</v>
      </c>
      <c r="B385" s="241" t="s">
        <v>421</v>
      </c>
      <c r="C385" s="221" t="s">
        <v>73</v>
      </c>
      <c r="D385" s="222">
        <v>399.33</v>
      </c>
      <c r="E385" s="242"/>
    </row>
    <row r="386" spans="1:5" ht="28.8">
      <c r="A386" s="241">
        <v>37090</v>
      </c>
      <c r="B386" s="241" t="s">
        <v>422</v>
      </c>
      <c r="C386" s="221" t="s">
        <v>114</v>
      </c>
      <c r="D386" s="222">
        <v>4.83</v>
      </c>
      <c r="E386" s="242"/>
    </row>
    <row r="387" spans="1:5" ht="15" customHeight="1">
      <c r="A387" s="240">
        <v>371</v>
      </c>
      <c r="B387" s="529" t="s">
        <v>423</v>
      </c>
      <c r="C387" s="530"/>
      <c r="D387" s="530"/>
      <c r="E387" s="531"/>
    </row>
    <row r="388" spans="1:5" ht="14.4">
      <c r="A388" s="241">
        <v>37103</v>
      </c>
      <c r="B388" s="241" t="s">
        <v>424</v>
      </c>
      <c r="C388" s="221" t="s">
        <v>73</v>
      </c>
      <c r="D388" s="222">
        <v>937</v>
      </c>
      <c r="E388" s="242"/>
    </row>
    <row r="389" spans="1:5" ht="14.4">
      <c r="A389" s="240">
        <v>375</v>
      </c>
      <c r="B389" s="529" t="s">
        <v>425</v>
      </c>
      <c r="C389" s="530"/>
      <c r="D389" s="530"/>
      <c r="E389" s="531"/>
    </row>
    <row r="390" spans="1:5" ht="14.4">
      <c r="A390" s="241">
        <v>37502</v>
      </c>
      <c r="B390" s="241" t="s">
        <v>426</v>
      </c>
      <c r="C390" s="221" t="s">
        <v>69</v>
      </c>
      <c r="D390" s="222">
        <v>28.29</v>
      </c>
      <c r="E390" s="242"/>
    </row>
    <row r="391" spans="1:5" ht="28.8">
      <c r="A391" s="241">
        <v>37509</v>
      </c>
      <c r="B391" s="241" t="s">
        <v>15766</v>
      </c>
      <c r="C391" s="221" t="s">
        <v>69</v>
      </c>
      <c r="D391" s="222">
        <v>63.21</v>
      </c>
      <c r="E391" s="242"/>
    </row>
    <row r="392" spans="1:5" ht="15" customHeight="1">
      <c r="A392" s="241">
        <v>37513</v>
      </c>
      <c r="B392" s="241" t="s">
        <v>427</v>
      </c>
      <c r="C392" s="221" t="s">
        <v>69</v>
      </c>
      <c r="D392" s="222">
        <v>15.73</v>
      </c>
      <c r="E392" s="242"/>
    </row>
    <row r="393" spans="1:5" ht="14.4">
      <c r="A393" s="241">
        <v>37514</v>
      </c>
      <c r="B393" s="241" t="s">
        <v>1796</v>
      </c>
      <c r="C393" s="221" t="s">
        <v>69</v>
      </c>
      <c r="D393" s="222">
        <v>16.04</v>
      </c>
      <c r="E393" s="242"/>
    </row>
    <row r="394" spans="1:5" ht="28.8">
      <c r="A394" s="241">
        <v>37517</v>
      </c>
      <c r="B394" s="241" t="s">
        <v>428</v>
      </c>
      <c r="C394" s="221" t="s">
        <v>69</v>
      </c>
      <c r="D394" s="222">
        <v>13.11</v>
      </c>
      <c r="E394" s="242"/>
    </row>
    <row r="395" spans="1:5" ht="14.4">
      <c r="A395" s="241">
        <v>37519</v>
      </c>
      <c r="B395" s="241" t="s">
        <v>429</v>
      </c>
      <c r="C395" s="221" t="s">
        <v>69</v>
      </c>
      <c r="D395" s="222">
        <v>5.33</v>
      </c>
      <c r="E395" s="242"/>
    </row>
    <row r="396" spans="1:5" ht="14.4">
      <c r="A396" s="241">
        <v>37564</v>
      </c>
      <c r="B396" s="241" t="s">
        <v>430</v>
      </c>
      <c r="C396" s="221" t="s">
        <v>69</v>
      </c>
      <c r="D396" s="222">
        <v>30.21</v>
      </c>
      <c r="E396" s="242"/>
    </row>
    <row r="397" spans="1:5" ht="14.4">
      <c r="A397" s="241">
        <v>37566</v>
      </c>
      <c r="B397" s="241" t="s">
        <v>431</v>
      </c>
      <c r="C397" s="221" t="s">
        <v>69</v>
      </c>
      <c r="D397" s="222">
        <v>13.11</v>
      </c>
      <c r="E397" s="242"/>
    </row>
    <row r="398" spans="1:5" ht="14.4">
      <c r="A398" s="240">
        <v>377</v>
      </c>
      <c r="B398" s="529" t="s">
        <v>425</v>
      </c>
      <c r="C398" s="530"/>
      <c r="D398" s="530"/>
      <c r="E398" s="531"/>
    </row>
    <row r="399" spans="1:5" ht="28.8">
      <c r="A399" s="241">
        <v>37733</v>
      </c>
      <c r="B399" s="241" t="s">
        <v>432</v>
      </c>
      <c r="C399" s="221" t="s">
        <v>69</v>
      </c>
      <c r="D399" s="222">
        <v>27.09</v>
      </c>
      <c r="E399" s="242"/>
    </row>
    <row r="400" spans="1:5" ht="15" customHeight="1">
      <c r="A400" s="240">
        <v>380</v>
      </c>
      <c r="B400" s="529" t="s">
        <v>433</v>
      </c>
      <c r="C400" s="530"/>
      <c r="D400" s="530"/>
      <c r="E400" s="531"/>
    </row>
    <row r="401" spans="1:5" ht="14.4">
      <c r="A401" s="241">
        <v>38001</v>
      </c>
      <c r="B401" s="241" t="s">
        <v>434</v>
      </c>
      <c r="C401" s="221" t="s">
        <v>69</v>
      </c>
      <c r="D401" s="222">
        <v>12.58</v>
      </c>
      <c r="E401" s="242"/>
    </row>
    <row r="402" spans="1:5" ht="14.4">
      <c r="A402" s="241">
        <v>38003</v>
      </c>
      <c r="B402" s="241" t="s">
        <v>435</v>
      </c>
      <c r="C402" s="221" t="s">
        <v>71</v>
      </c>
      <c r="D402" s="222">
        <v>1.28</v>
      </c>
      <c r="E402" s="242"/>
    </row>
    <row r="403" spans="1:5" ht="28.8">
      <c r="A403" s="241">
        <v>38006</v>
      </c>
      <c r="B403" s="241" t="s">
        <v>436</v>
      </c>
      <c r="C403" s="221" t="s">
        <v>69</v>
      </c>
      <c r="D403" s="222">
        <v>24.53</v>
      </c>
      <c r="E403" s="242"/>
    </row>
    <row r="404" spans="1:5" ht="28.8">
      <c r="A404" s="241">
        <v>38009</v>
      </c>
      <c r="B404" s="241" t="s">
        <v>437</v>
      </c>
      <c r="C404" s="221" t="s">
        <v>69</v>
      </c>
      <c r="D404" s="222">
        <v>5.33</v>
      </c>
      <c r="E404" s="242"/>
    </row>
    <row r="405" spans="1:5" ht="15" customHeight="1">
      <c r="A405" s="241">
        <v>38012</v>
      </c>
      <c r="B405" s="241" t="s">
        <v>2170</v>
      </c>
      <c r="C405" s="221" t="s">
        <v>114</v>
      </c>
      <c r="D405" s="222">
        <v>3.17</v>
      </c>
      <c r="E405" s="242"/>
    </row>
    <row r="406" spans="1:5" ht="14.4">
      <c r="A406" s="241">
        <v>38013</v>
      </c>
      <c r="B406" s="241" t="s">
        <v>2171</v>
      </c>
      <c r="C406" s="221" t="s">
        <v>114</v>
      </c>
      <c r="D406" s="222">
        <v>0.91</v>
      </c>
      <c r="E406" s="242"/>
    </row>
    <row r="407" spans="1:5" ht="14.4">
      <c r="A407" s="241">
        <v>38014</v>
      </c>
      <c r="B407" s="241" t="s">
        <v>438</v>
      </c>
      <c r="C407" s="221" t="s">
        <v>71</v>
      </c>
      <c r="D407" s="222">
        <v>4.9800000000000004</v>
      </c>
      <c r="E407" s="242"/>
    </row>
    <row r="408" spans="1:5" ht="14.4">
      <c r="A408" s="241">
        <v>38016</v>
      </c>
      <c r="B408" s="241" t="s">
        <v>14979</v>
      </c>
      <c r="C408" s="221" t="s">
        <v>71</v>
      </c>
      <c r="D408" s="222">
        <v>10.78</v>
      </c>
      <c r="E408" s="242"/>
    </row>
    <row r="409" spans="1:5" ht="14.4">
      <c r="A409" s="241">
        <v>38017</v>
      </c>
      <c r="B409" s="241" t="s">
        <v>439</v>
      </c>
      <c r="C409" s="221" t="s">
        <v>71</v>
      </c>
      <c r="D409" s="222">
        <v>3.63</v>
      </c>
      <c r="E409" s="242"/>
    </row>
    <row r="410" spans="1:5" ht="14.4">
      <c r="A410" s="241">
        <v>38018</v>
      </c>
      <c r="B410" s="241" t="s">
        <v>440</v>
      </c>
      <c r="C410" s="221" t="s">
        <v>71</v>
      </c>
      <c r="D410" s="222">
        <v>27.83</v>
      </c>
      <c r="E410" s="242"/>
    </row>
    <row r="411" spans="1:5" ht="14.4">
      <c r="A411" s="241">
        <v>38021</v>
      </c>
      <c r="B411" s="241" t="s">
        <v>441</v>
      </c>
      <c r="C411" s="221" t="s">
        <v>69</v>
      </c>
      <c r="D411" s="222">
        <v>77.94</v>
      </c>
      <c r="E411" s="242"/>
    </row>
    <row r="412" spans="1:5" ht="14.4">
      <c r="A412" s="241">
        <v>38022</v>
      </c>
      <c r="B412" s="241" t="s">
        <v>442</v>
      </c>
      <c r="C412" s="221" t="s">
        <v>69</v>
      </c>
      <c r="D412" s="222">
        <v>49.51</v>
      </c>
      <c r="E412" s="242"/>
    </row>
    <row r="413" spans="1:5" ht="14.4">
      <c r="A413" s="241">
        <v>38024</v>
      </c>
      <c r="B413" s="241" t="s">
        <v>443</v>
      </c>
      <c r="C413" s="221" t="s">
        <v>114</v>
      </c>
      <c r="D413" s="222">
        <v>5.0199999999999996</v>
      </c>
      <c r="E413" s="242"/>
    </row>
    <row r="414" spans="1:5" ht="14.4">
      <c r="A414" s="241">
        <v>38025</v>
      </c>
      <c r="B414" s="241" t="s">
        <v>444</v>
      </c>
      <c r="C414" s="221" t="s">
        <v>69</v>
      </c>
      <c r="D414" s="222">
        <v>15.93</v>
      </c>
      <c r="E414" s="242"/>
    </row>
    <row r="415" spans="1:5" ht="14.4">
      <c r="A415" s="241">
        <v>38028</v>
      </c>
      <c r="B415" s="241" t="s">
        <v>445</v>
      </c>
      <c r="C415" s="221" t="s">
        <v>69</v>
      </c>
      <c r="D415" s="222">
        <v>19.38</v>
      </c>
      <c r="E415" s="242"/>
    </row>
    <row r="416" spans="1:5" ht="14.4">
      <c r="A416" s="241">
        <v>38029</v>
      </c>
      <c r="B416" s="241" t="s">
        <v>446</v>
      </c>
      <c r="C416" s="221" t="s">
        <v>69</v>
      </c>
      <c r="D416" s="222">
        <v>30.51</v>
      </c>
      <c r="E416" s="242"/>
    </row>
    <row r="417" spans="1:5" ht="14.4">
      <c r="A417" s="241">
        <v>38030</v>
      </c>
      <c r="B417" s="241" t="s">
        <v>447</v>
      </c>
      <c r="C417" s="221" t="s">
        <v>69</v>
      </c>
      <c r="D417" s="222">
        <v>29.35</v>
      </c>
      <c r="E417" s="242"/>
    </row>
    <row r="418" spans="1:5" ht="28.8">
      <c r="A418" s="241">
        <v>38051</v>
      </c>
      <c r="B418" s="241" t="s">
        <v>448</v>
      </c>
      <c r="C418" s="221" t="s">
        <v>69</v>
      </c>
      <c r="D418" s="222">
        <v>24.43</v>
      </c>
      <c r="E418" s="242"/>
    </row>
    <row r="419" spans="1:5" ht="28.8">
      <c r="A419" s="241">
        <v>38088</v>
      </c>
      <c r="B419" s="241" t="s">
        <v>449</v>
      </c>
      <c r="C419" s="221" t="s">
        <v>69</v>
      </c>
      <c r="D419" s="222">
        <v>61.38</v>
      </c>
      <c r="E419" s="242"/>
    </row>
    <row r="420" spans="1:5" ht="14.4">
      <c r="A420" s="240">
        <v>385</v>
      </c>
      <c r="B420" s="529" t="s">
        <v>58</v>
      </c>
      <c r="C420" s="530"/>
      <c r="D420" s="530"/>
      <c r="E420" s="531"/>
    </row>
    <row r="421" spans="1:5" ht="14.4">
      <c r="A421" s="241">
        <v>38509</v>
      </c>
      <c r="B421" s="241" t="s">
        <v>450</v>
      </c>
      <c r="C421" s="221" t="s">
        <v>73</v>
      </c>
      <c r="D421" s="222">
        <v>9.32</v>
      </c>
      <c r="E421" s="242"/>
    </row>
    <row r="422" spans="1:5" ht="14.4">
      <c r="A422" s="241">
        <v>38511</v>
      </c>
      <c r="B422" s="241" t="s">
        <v>451</v>
      </c>
      <c r="C422" s="221" t="s">
        <v>83</v>
      </c>
      <c r="D422" s="222">
        <v>144.52000000000001</v>
      </c>
      <c r="E422" s="242"/>
    </row>
    <row r="423" spans="1:5" ht="14.4">
      <c r="A423" s="240">
        <v>390</v>
      </c>
      <c r="B423" s="529" t="s">
        <v>326</v>
      </c>
      <c r="C423" s="530"/>
      <c r="D423" s="530"/>
      <c r="E423" s="531"/>
    </row>
    <row r="424" spans="1:5" ht="28.8">
      <c r="A424" s="241">
        <v>39002</v>
      </c>
      <c r="B424" s="241" t="s">
        <v>2172</v>
      </c>
      <c r="C424" s="221" t="s">
        <v>73</v>
      </c>
      <c r="D424" s="222">
        <v>253.75</v>
      </c>
      <c r="E424" s="242"/>
    </row>
    <row r="425" spans="1:5" ht="14.4">
      <c r="A425" s="241">
        <v>39013</v>
      </c>
      <c r="B425" s="241" t="s">
        <v>452</v>
      </c>
      <c r="C425" s="221" t="s">
        <v>69</v>
      </c>
      <c r="D425" s="222">
        <v>8.6</v>
      </c>
      <c r="E425" s="242"/>
    </row>
    <row r="426" spans="1:5" ht="14.4">
      <c r="A426" s="241">
        <v>39021</v>
      </c>
      <c r="B426" s="241" t="s">
        <v>453</v>
      </c>
      <c r="C426" s="221" t="s">
        <v>71</v>
      </c>
      <c r="D426" s="222">
        <v>23.9</v>
      </c>
      <c r="E426" s="242"/>
    </row>
    <row r="427" spans="1:5" ht="28.8">
      <c r="A427" s="241">
        <v>39044</v>
      </c>
      <c r="B427" s="241" t="s">
        <v>454</v>
      </c>
      <c r="C427" s="221" t="s">
        <v>114</v>
      </c>
      <c r="D427" s="223">
        <v>3080</v>
      </c>
      <c r="E427" s="242"/>
    </row>
    <row r="428" spans="1:5" ht="28.8">
      <c r="A428" s="241">
        <v>39072</v>
      </c>
      <c r="B428" s="241" t="s">
        <v>455</v>
      </c>
      <c r="C428" s="221" t="s">
        <v>114</v>
      </c>
      <c r="D428" s="222">
        <v>23.33</v>
      </c>
      <c r="E428" s="242"/>
    </row>
    <row r="429" spans="1:5" ht="28.8">
      <c r="A429" s="241">
        <v>39075</v>
      </c>
      <c r="B429" s="241" t="s">
        <v>456</v>
      </c>
      <c r="C429" s="221" t="s">
        <v>73</v>
      </c>
      <c r="D429" s="223">
        <v>1436.67</v>
      </c>
      <c r="E429" s="242"/>
    </row>
    <row r="430" spans="1:5" ht="28.8">
      <c r="A430" s="241">
        <v>39089</v>
      </c>
      <c r="B430" s="241" t="s">
        <v>457</v>
      </c>
      <c r="C430" s="221" t="s">
        <v>114</v>
      </c>
      <c r="D430" s="223">
        <v>1573.48</v>
      </c>
      <c r="E430" s="242"/>
    </row>
    <row r="431" spans="1:5" ht="28.8">
      <c r="A431" s="241">
        <v>39090</v>
      </c>
      <c r="B431" s="241" t="s">
        <v>458</v>
      </c>
      <c r="C431" s="221" t="s">
        <v>76</v>
      </c>
      <c r="D431" s="223">
        <v>1269.46</v>
      </c>
      <c r="E431" s="242"/>
    </row>
    <row r="432" spans="1:5" ht="14.4">
      <c r="A432" s="240">
        <v>391</v>
      </c>
      <c r="B432" s="529" t="s">
        <v>459</v>
      </c>
      <c r="C432" s="530"/>
      <c r="D432" s="530"/>
      <c r="E432" s="531"/>
    </row>
    <row r="433" spans="1:5" ht="28.8">
      <c r="A433" s="241">
        <v>39113</v>
      </c>
      <c r="B433" s="241" t="s">
        <v>460</v>
      </c>
      <c r="C433" s="221" t="s">
        <v>114</v>
      </c>
      <c r="D433" s="222">
        <v>189.84</v>
      </c>
      <c r="E433" s="242"/>
    </row>
    <row r="434" spans="1:5" ht="14.4">
      <c r="A434" s="241">
        <v>39114</v>
      </c>
      <c r="B434" s="241" t="s">
        <v>461</v>
      </c>
      <c r="C434" s="221" t="s">
        <v>114</v>
      </c>
      <c r="D434" s="222">
        <v>21.19</v>
      </c>
      <c r="E434" s="242"/>
    </row>
    <row r="435" spans="1:5" ht="28.8">
      <c r="A435" s="241">
        <v>39115</v>
      </c>
      <c r="B435" s="241" t="s">
        <v>462</v>
      </c>
      <c r="C435" s="221" t="s">
        <v>114</v>
      </c>
      <c r="D435" s="222">
        <v>204.72</v>
      </c>
      <c r="E435" s="242"/>
    </row>
    <row r="436" spans="1:5" ht="28.8">
      <c r="A436" s="241">
        <v>39123</v>
      </c>
      <c r="B436" s="241" t="s">
        <v>9637</v>
      </c>
      <c r="C436" s="221" t="s">
        <v>75</v>
      </c>
      <c r="D436" s="222">
        <v>12.08</v>
      </c>
      <c r="E436" s="242"/>
    </row>
    <row r="437" spans="1:5" ht="28.8">
      <c r="A437" s="241">
        <v>39125</v>
      </c>
      <c r="B437" s="241" t="s">
        <v>9638</v>
      </c>
      <c r="C437" s="221" t="s">
        <v>75</v>
      </c>
      <c r="D437" s="222">
        <v>32.78</v>
      </c>
      <c r="E437" s="242"/>
    </row>
    <row r="438" spans="1:5" ht="28.8">
      <c r="A438" s="241">
        <v>39165</v>
      </c>
      <c r="B438" s="241" t="s">
        <v>463</v>
      </c>
      <c r="C438" s="221" t="s">
        <v>114</v>
      </c>
      <c r="D438" s="222">
        <v>184.68</v>
      </c>
      <c r="E438" s="242"/>
    </row>
    <row r="439" spans="1:5" ht="14.4">
      <c r="A439" s="240">
        <v>394</v>
      </c>
      <c r="B439" s="529" t="s">
        <v>459</v>
      </c>
      <c r="C439" s="530"/>
      <c r="D439" s="530"/>
      <c r="E439" s="531"/>
    </row>
    <row r="440" spans="1:5" ht="28.8">
      <c r="A440" s="241">
        <v>39402</v>
      </c>
      <c r="B440" s="241" t="s">
        <v>464</v>
      </c>
      <c r="C440" s="221" t="s">
        <v>114</v>
      </c>
      <c r="D440" s="223">
        <v>2700</v>
      </c>
      <c r="E440" s="242"/>
    </row>
    <row r="441" spans="1:5" ht="14.4">
      <c r="A441" s="240">
        <v>395</v>
      </c>
      <c r="B441" s="529" t="s">
        <v>459</v>
      </c>
      <c r="C441" s="530"/>
      <c r="D441" s="530"/>
      <c r="E441" s="531"/>
    </row>
    <row r="442" spans="1:5" ht="28.8">
      <c r="A442" s="241">
        <v>39515</v>
      </c>
      <c r="B442" s="241" t="s">
        <v>1836</v>
      </c>
      <c r="C442" s="221" t="s">
        <v>114</v>
      </c>
      <c r="D442" s="222">
        <v>12.17</v>
      </c>
      <c r="E442" s="242"/>
    </row>
    <row r="443" spans="1:5" ht="15" customHeight="1">
      <c r="A443" s="240">
        <v>398</v>
      </c>
      <c r="B443" s="529" t="s">
        <v>14980</v>
      </c>
      <c r="C443" s="530"/>
      <c r="D443" s="530"/>
      <c r="E443" s="531"/>
    </row>
    <row r="444" spans="1:5" ht="28.8">
      <c r="A444" s="241">
        <v>39841</v>
      </c>
      <c r="B444" s="241" t="s">
        <v>14981</v>
      </c>
      <c r="C444" s="221" t="s">
        <v>73</v>
      </c>
      <c r="D444" s="222">
        <v>198.88</v>
      </c>
      <c r="E444" s="242"/>
    </row>
    <row r="445" spans="1:5" ht="14.4">
      <c r="A445" s="240">
        <v>4</v>
      </c>
      <c r="B445" s="529" t="s">
        <v>465</v>
      </c>
      <c r="C445" s="530"/>
      <c r="D445" s="530"/>
      <c r="E445" s="531"/>
    </row>
    <row r="446" spans="1:5" ht="14.4">
      <c r="A446" s="240">
        <v>401</v>
      </c>
      <c r="B446" s="529" t="s">
        <v>466</v>
      </c>
      <c r="C446" s="530"/>
      <c r="D446" s="530"/>
      <c r="E446" s="531"/>
    </row>
    <row r="447" spans="1:5" ht="28.8">
      <c r="A447" s="241">
        <v>40102</v>
      </c>
      <c r="B447" s="241" t="s">
        <v>467</v>
      </c>
      <c r="C447" s="221" t="s">
        <v>114</v>
      </c>
      <c r="D447" s="223">
        <v>1661.65</v>
      </c>
      <c r="E447" s="242"/>
    </row>
    <row r="448" spans="1:5" ht="28.8">
      <c r="A448" s="241">
        <v>40140</v>
      </c>
      <c r="B448" s="241" t="s">
        <v>468</v>
      </c>
      <c r="C448" s="221" t="s">
        <v>114</v>
      </c>
      <c r="D448" s="223">
        <v>2393.0700000000002</v>
      </c>
      <c r="E448" s="242"/>
    </row>
    <row r="449" spans="1:5" ht="28.8">
      <c r="A449" s="241">
        <v>40144</v>
      </c>
      <c r="B449" s="241" t="s">
        <v>7493</v>
      </c>
      <c r="C449" s="221" t="s">
        <v>114</v>
      </c>
      <c r="D449" s="223">
        <v>2130.87</v>
      </c>
      <c r="E449" s="242"/>
    </row>
    <row r="450" spans="1:5" ht="14.4">
      <c r="A450" s="240">
        <v>402</v>
      </c>
      <c r="B450" s="529" t="s">
        <v>469</v>
      </c>
      <c r="C450" s="530"/>
      <c r="D450" s="530"/>
      <c r="E450" s="531"/>
    </row>
    <row r="451" spans="1:5" ht="28.8">
      <c r="A451" s="241">
        <v>40211</v>
      </c>
      <c r="B451" s="241" t="s">
        <v>7973</v>
      </c>
      <c r="C451" s="221" t="s">
        <v>114</v>
      </c>
      <c r="D451" s="222">
        <v>38.94</v>
      </c>
      <c r="E451" s="242"/>
    </row>
    <row r="452" spans="1:5" ht="14.4">
      <c r="A452" s="240">
        <v>403</v>
      </c>
      <c r="B452" s="529" t="s">
        <v>326</v>
      </c>
      <c r="C452" s="530"/>
      <c r="D452" s="530"/>
      <c r="E452" s="531"/>
    </row>
    <row r="453" spans="1:5" ht="28.8">
      <c r="A453" s="241">
        <v>40303</v>
      </c>
      <c r="B453" s="241" t="s">
        <v>470</v>
      </c>
      <c r="C453" s="221" t="s">
        <v>114</v>
      </c>
      <c r="D453" s="222">
        <v>46.34</v>
      </c>
      <c r="E453" s="242"/>
    </row>
    <row r="454" spans="1:5" ht="28.8">
      <c r="A454" s="241">
        <v>40304</v>
      </c>
      <c r="B454" s="241" t="s">
        <v>471</v>
      </c>
      <c r="C454" s="221" t="s">
        <v>114</v>
      </c>
      <c r="D454" s="222">
        <v>58.5</v>
      </c>
      <c r="E454" s="242"/>
    </row>
    <row r="455" spans="1:5" ht="28.8">
      <c r="A455" s="241">
        <v>40305</v>
      </c>
      <c r="B455" s="241" t="s">
        <v>472</v>
      </c>
      <c r="C455" s="221" t="s">
        <v>114</v>
      </c>
      <c r="D455" s="222">
        <v>89.63</v>
      </c>
      <c r="E455" s="242"/>
    </row>
    <row r="456" spans="1:5" ht="28.8">
      <c r="A456" s="241">
        <v>40306</v>
      </c>
      <c r="B456" s="241" t="s">
        <v>473</v>
      </c>
      <c r="C456" s="221" t="s">
        <v>114</v>
      </c>
      <c r="D456" s="222">
        <v>14.26</v>
      </c>
      <c r="E456" s="242"/>
    </row>
    <row r="457" spans="1:5" ht="14.4">
      <c r="A457" s="240">
        <v>404</v>
      </c>
      <c r="B457" s="529" t="s">
        <v>474</v>
      </c>
      <c r="C457" s="530"/>
      <c r="D457" s="530"/>
      <c r="E457" s="531"/>
    </row>
    <row r="458" spans="1:5" ht="28.8">
      <c r="A458" s="241">
        <v>40401</v>
      </c>
      <c r="B458" s="241" t="s">
        <v>475</v>
      </c>
      <c r="C458" s="221" t="s">
        <v>114</v>
      </c>
      <c r="D458" s="222">
        <v>10.7</v>
      </c>
      <c r="E458" s="242"/>
    </row>
    <row r="459" spans="1:5" ht="14.4">
      <c r="A459" s="240">
        <v>405</v>
      </c>
      <c r="B459" s="529" t="s">
        <v>476</v>
      </c>
      <c r="C459" s="530"/>
      <c r="D459" s="530"/>
      <c r="E459" s="531"/>
    </row>
    <row r="460" spans="1:5" ht="28.8">
      <c r="A460" s="241">
        <v>40504</v>
      </c>
      <c r="B460" s="241" t="s">
        <v>1837</v>
      </c>
      <c r="C460" s="221" t="s">
        <v>114</v>
      </c>
      <c r="D460" s="222">
        <v>46.26</v>
      </c>
      <c r="E460" s="242"/>
    </row>
    <row r="461" spans="1:5" ht="14.4">
      <c r="A461" s="241">
        <v>40522</v>
      </c>
      <c r="B461" s="241" t="s">
        <v>477</v>
      </c>
      <c r="C461" s="221" t="s">
        <v>114</v>
      </c>
      <c r="D461" s="222">
        <v>8.58</v>
      </c>
      <c r="E461" s="242"/>
    </row>
    <row r="462" spans="1:5" ht="14.4">
      <c r="A462" s="241">
        <v>40523</v>
      </c>
      <c r="B462" s="241" t="s">
        <v>478</v>
      </c>
      <c r="C462" s="221" t="s">
        <v>114</v>
      </c>
      <c r="D462" s="222">
        <v>5.95</v>
      </c>
      <c r="E462" s="242"/>
    </row>
    <row r="463" spans="1:5" ht="14.4">
      <c r="A463" s="241">
        <v>40524</v>
      </c>
      <c r="B463" s="241" t="s">
        <v>479</v>
      </c>
      <c r="C463" s="221" t="s">
        <v>114</v>
      </c>
      <c r="D463" s="222">
        <v>5.62</v>
      </c>
      <c r="E463" s="242"/>
    </row>
    <row r="464" spans="1:5" ht="14.4">
      <c r="A464" s="240">
        <v>406</v>
      </c>
      <c r="B464" s="529" t="s">
        <v>14982</v>
      </c>
      <c r="C464" s="530"/>
      <c r="D464" s="530"/>
      <c r="E464" s="531"/>
    </row>
    <row r="465" spans="1:5" ht="28.8">
      <c r="A465" s="241">
        <v>40612</v>
      </c>
      <c r="B465" s="241" t="s">
        <v>14983</v>
      </c>
      <c r="C465" s="221" t="s">
        <v>114</v>
      </c>
      <c r="D465" s="222">
        <v>14.91</v>
      </c>
      <c r="E465" s="242"/>
    </row>
    <row r="466" spans="1:5" ht="14.4">
      <c r="A466" s="240">
        <v>407</v>
      </c>
      <c r="B466" s="529" t="s">
        <v>480</v>
      </c>
      <c r="C466" s="530"/>
      <c r="D466" s="530"/>
      <c r="E466" s="531"/>
    </row>
    <row r="467" spans="1:5" ht="28.8">
      <c r="A467" s="241">
        <v>40761</v>
      </c>
      <c r="B467" s="241" t="s">
        <v>7974</v>
      </c>
      <c r="C467" s="221" t="s">
        <v>114</v>
      </c>
      <c r="D467" s="222">
        <v>581.9</v>
      </c>
      <c r="E467" s="242"/>
    </row>
    <row r="468" spans="1:5" ht="14.4">
      <c r="A468" s="240">
        <v>409</v>
      </c>
      <c r="B468" s="529" t="s">
        <v>326</v>
      </c>
      <c r="C468" s="530"/>
      <c r="D468" s="530"/>
      <c r="E468" s="531"/>
    </row>
    <row r="469" spans="1:5" ht="28.8">
      <c r="A469" s="241">
        <v>40974</v>
      </c>
      <c r="B469" s="241" t="s">
        <v>14984</v>
      </c>
      <c r="C469" s="221" t="s">
        <v>114</v>
      </c>
      <c r="D469" s="222">
        <v>41.95</v>
      </c>
      <c r="E469" s="242"/>
    </row>
    <row r="470" spans="1:5" ht="14.4">
      <c r="A470" s="240">
        <v>410</v>
      </c>
      <c r="B470" s="529" t="s">
        <v>481</v>
      </c>
      <c r="C470" s="530"/>
      <c r="D470" s="530"/>
      <c r="E470" s="531"/>
    </row>
    <row r="471" spans="1:5" ht="28.8">
      <c r="A471" s="241">
        <v>41054</v>
      </c>
      <c r="B471" s="241" t="s">
        <v>15767</v>
      </c>
      <c r="C471" s="221" t="s">
        <v>114</v>
      </c>
      <c r="D471" s="223">
        <v>18000.8</v>
      </c>
      <c r="E471" s="242"/>
    </row>
    <row r="472" spans="1:5" ht="28.8">
      <c r="A472" s="241">
        <v>41055</v>
      </c>
      <c r="B472" s="241" t="s">
        <v>15768</v>
      </c>
      <c r="C472" s="221" t="s">
        <v>114</v>
      </c>
      <c r="D472" s="223">
        <v>8348.5</v>
      </c>
      <c r="E472" s="242"/>
    </row>
    <row r="473" spans="1:5" ht="28.8">
      <c r="A473" s="241">
        <v>41056</v>
      </c>
      <c r="B473" s="241" t="s">
        <v>15769</v>
      </c>
      <c r="C473" s="221" t="s">
        <v>114</v>
      </c>
      <c r="D473" s="223">
        <v>13104.4</v>
      </c>
      <c r="E473" s="242"/>
    </row>
    <row r="474" spans="1:5" ht="28.8">
      <c r="A474" s="241">
        <v>41058</v>
      </c>
      <c r="B474" s="241" t="s">
        <v>15770</v>
      </c>
      <c r="C474" s="221" t="s">
        <v>114</v>
      </c>
      <c r="D474" s="223">
        <v>11472.4</v>
      </c>
      <c r="E474" s="242"/>
    </row>
    <row r="475" spans="1:5" ht="14.4">
      <c r="A475" s="240">
        <v>411</v>
      </c>
      <c r="B475" s="529" t="s">
        <v>482</v>
      </c>
      <c r="C475" s="530"/>
      <c r="D475" s="530"/>
      <c r="E475" s="531"/>
    </row>
    <row r="476" spans="1:5" ht="28.8">
      <c r="A476" s="241">
        <v>41106</v>
      </c>
      <c r="B476" s="241" t="s">
        <v>15771</v>
      </c>
      <c r="C476" s="221" t="s">
        <v>75</v>
      </c>
      <c r="D476" s="222">
        <v>40.43</v>
      </c>
      <c r="E476" s="242"/>
    </row>
    <row r="477" spans="1:5" ht="15" customHeight="1">
      <c r="A477" s="240">
        <v>415</v>
      </c>
      <c r="B477" s="529" t="s">
        <v>483</v>
      </c>
      <c r="C477" s="530"/>
      <c r="D477" s="530"/>
      <c r="E477" s="531"/>
    </row>
    <row r="478" spans="1:5" ht="28.8">
      <c r="A478" s="241">
        <v>41520</v>
      </c>
      <c r="B478" s="241" t="s">
        <v>484</v>
      </c>
      <c r="C478" s="221" t="s">
        <v>114</v>
      </c>
      <c r="D478" s="223">
        <v>1329.07</v>
      </c>
      <c r="E478" s="242"/>
    </row>
    <row r="479" spans="1:5" ht="43.2">
      <c r="A479" s="241">
        <v>41528</v>
      </c>
      <c r="B479" s="241" t="s">
        <v>14985</v>
      </c>
      <c r="C479" s="221" t="s">
        <v>114</v>
      </c>
      <c r="D479" s="222">
        <v>481.66</v>
      </c>
      <c r="E479" s="242"/>
    </row>
    <row r="480" spans="1:5" ht="15" customHeight="1">
      <c r="A480" s="241">
        <v>41530</v>
      </c>
      <c r="B480" s="241" t="s">
        <v>14986</v>
      </c>
      <c r="C480" s="221" t="s">
        <v>114</v>
      </c>
      <c r="D480" s="222">
        <v>760.4</v>
      </c>
      <c r="E480" s="242"/>
    </row>
    <row r="481" spans="1:5" ht="43.2">
      <c r="A481" s="241">
        <v>41533</v>
      </c>
      <c r="B481" s="241" t="s">
        <v>14987</v>
      </c>
      <c r="C481" s="221" t="s">
        <v>114</v>
      </c>
      <c r="D481" s="222">
        <v>532.73</v>
      </c>
      <c r="E481" s="242"/>
    </row>
    <row r="482" spans="1:5" ht="43.2">
      <c r="A482" s="241">
        <v>41536</v>
      </c>
      <c r="B482" s="241" t="s">
        <v>14988</v>
      </c>
      <c r="C482" s="221" t="s">
        <v>114</v>
      </c>
      <c r="D482" s="222">
        <v>717.92</v>
      </c>
      <c r="E482" s="242"/>
    </row>
    <row r="483" spans="1:5" ht="28.8">
      <c r="A483" s="241">
        <v>41537</v>
      </c>
      <c r="B483" s="241" t="s">
        <v>14989</v>
      </c>
      <c r="C483" s="221" t="s">
        <v>114</v>
      </c>
      <c r="D483" s="222">
        <v>24.33</v>
      </c>
      <c r="E483" s="242"/>
    </row>
    <row r="484" spans="1:5" ht="28.8">
      <c r="A484" s="241">
        <v>41542</v>
      </c>
      <c r="B484" s="241" t="s">
        <v>2173</v>
      </c>
      <c r="C484" s="221" t="s">
        <v>114</v>
      </c>
      <c r="D484" s="222">
        <v>733.12</v>
      </c>
      <c r="E484" s="242"/>
    </row>
    <row r="485" spans="1:5" ht="28.8">
      <c r="A485" s="241">
        <v>41543</v>
      </c>
      <c r="B485" s="241" t="s">
        <v>485</v>
      </c>
      <c r="C485" s="221" t="s">
        <v>114</v>
      </c>
      <c r="D485" s="223">
        <v>2730.43</v>
      </c>
      <c r="E485" s="242"/>
    </row>
    <row r="486" spans="1:5" ht="28.8">
      <c r="A486" s="241">
        <v>41569</v>
      </c>
      <c r="B486" s="241" t="s">
        <v>486</v>
      </c>
      <c r="C486" s="221" t="s">
        <v>114</v>
      </c>
      <c r="D486" s="222">
        <v>156.86000000000001</v>
      </c>
      <c r="E486" s="242"/>
    </row>
    <row r="487" spans="1:5" ht="43.2">
      <c r="A487" s="241">
        <v>41579</v>
      </c>
      <c r="B487" s="241" t="s">
        <v>15772</v>
      </c>
      <c r="C487" s="221" t="s">
        <v>114</v>
      </c>
      <c r="D487" s="223">
        <v>1135.0999999999999</v>
      </c>
      <c r="E487" s="242"/>
    </row>
    <row r="488" spans="1:5" ht="28.8">
      <c r="A488" s="241">
        <v>41588</v>
      </c>
      <c r="B488" s="241" t="s">
        <v>15773</v>
      </c>
      <c r="C488" s="221" t="s">
        <v>114</v>
      </c>
      <c r="D488" s="222">
        <v>4.0599999999999996</v>
      </c>
      <c r="E488" s="242"/>
    </row>
    <row r="489" spans="1:5" ht="14.4">
      <c r="A489" s="240">
        <v>416</v>
      </c>
      <c r="B489" s="529" t="s">
        <v>487</v>
      </c>
      <c r="C489" s="530"/>
      <c r="D489" s="530"/>
      <c r="E489" s="531"/>
    </row>
    <row r="490" spans="1:5" ht="14.4">
      <c r="A490" s="241">
        <v>41667</v>
      </c>
      <c r="B490" s="241" t="s">
        <v>488</v>
      </c>
      <c r="C490" s="221" t="s">
        <v>114</v>
      </c>
      <c r="D490" s="222">
        <v>4.22</v>
      </c>
      <c r="E490" s="242"/>
    </row>
    <row r="491" spans="1:5" ht="14.4">
      <c r="A491" s="240">
        <v>417</v>
      </c>
      <c r="B491" s="529" t="s">
        <v>487</v>
      </c>
      <c r="C491" s="530"/>
      <c r="D491" s="530"/>
      <c r="E491" s="531"/>
    </row>
    <row r="492" spans="1:5" ht="43.2">
      <c r="A492" s="241">
        <v>41724</v>
      </c>
      <c r="B492" s="241" t="s">
        <v>14990</v>
      </c>
      <c r="C492" s="221" t="s">
        <v>114</v>
      </c>
      <c r="D492" s="222">
        <v>449.72</v>
      </c>
      <c r="E492" s="242"/>
    </row>
    <row r="493" spans="1:5" ht="43.2">
      <c r="A493" s="241">
        <v>41726</v>
      </c>
      <c r="B493" s="241" t="s">
        <v>14991</v>
      </c>
      <c r="C493" s="221" t="s">
        <v>114</v>
      </c>
      <c r="D493" s="222">
        <v>569.54</v>
      </c>
      <c r="E493" s="242"/>
    </row>
    <row r="494" spans="1:5" ht="14.4">
      <c r="A494" s="240">
        <v>418</v>
      </c>
      <c r="B494" s="529" t="s">
        <v>487</v>
      </c>
      <c r="C494" s="530"/>
      <c r="D494" s="530"/>
      <c r="E494" s="531"/>
    </row>
    <row r="495" spans="1:5" ht="43.2">
      <c r="A495" s="241">
        <v>41815</v>
      </c>
      <c r="B495" s="241" t="s">
        <v>14992</v>
      </c>
      <c r="C495" s="221" t="s">
        <v>114</v>
      </c>
      <c r="D495" s="223">
        <v>1117.94</v>
      </c>
      <c r="E495" s="242"/>
    </row>
    <row r="496" spans="1:5" ht="43.2">
      <c r="A496" s="241">
        <v>41817</v>
      </c>
      <c r="B496" s="241" t="s">
        <v>14993</v>
      </c>
      <c r="C496" s="221" t="s">
        <v>114</v>
      </c>
      <c r="D496" s="223">
        <v>1287.58</v>
      </c>
      <c r="E496" s="242"/>
    </row>
    <row r="497" spans="1:5" ht="43.2">
      <c r="A497" s="241">
        <v>41821</v>
      </c>
      <c r="B497" s="241" t="s">
        <v>14994</v>
      </c>
      <c r="C497" s="221" t="s">
        <v>114</v>
      </c>
      <c r="D497" s="222">
        <v>760.4</v>
      </c>
      <c r="E497" s="242"/>
    </row>
    <row r="498" spans="1:5" ht="28.8">
      <c r="A498" s="241">
        <v>41860</v>
      </c>
      <c r="B498" s="241" t="s">
        <v>489</v>
      </c>
      <c r="C498" s="221" t="s">
        <v>114</v>
      </c>
      <c r="D498" s="223">
        <v>1638.46</v>
      </c>
      <c r="E498" s="242"/>
    </row>
    <row r="499" spans="1:5" ht="28.8">
      <c r="A499" s="241">
        <v>41861</v>
      </c>
      <c r="B499" s="241" t="s">
        <v>490</v>
      </c>
      <c r="C499" s="221" t="s">
        <v>114</v>
      </c>
      <c r="D499" s="222">
        <v>86.91</v>
      </c>
      <c r="E499" s="242"/>
    </row>
    <row r="500" spans="1:5" ht="28.8">
      <c r="A500" s="241">
        <v>41866</v>
      </c>
      <c r="B500" s="241" t="s">
        <v>14995</v>
      </c>
      <c r="C500" s="221" t="s">
        <v>114</v>
      </c>
      <c r="D500" s="222">
        <v>196.55</v>
      </c>
      <c r="E500" s="242"/>
    </row>
    <row r="501" spans="1:5" ht="14.4">
      <c r="A501" s="240">
        <v>419</v>
      </c>
      <c r="B501" s="529" t="s">
        <v>487</v>
      </c>
      <c r="C501" s="530"/>
      <c r="D501" s="530"/>
      <c r="E501" s="531"/>
    </row>
    <row r="502" spans="1:5" ht="43.2">
      <c r="A502" s="241">
        <v>41962</v>
      </c>
      <c r="B502" s="241" t="s">
        <v>14996</v>
      </c>
      <c r="C502" s="221" t="s">
        <v>114</v>
      </c>
      <c r="D502" s="222">
        <v>725.26</v>
      </c>
      <c r="E502" s="242"/>
    </row>
    <row r="503" spans="1:5" ht="15" customHeight="1">
      <c r="A503" s="240">
        <v>420</v>
      </c>
      <c r="B503" s="529" t="s">
        <v>491</v>
      </c>
      <c r="C503" s="530"/>
      <c r="D503" s="530"/>
      <c r="E503" s="531"/>
    </row>
    <row r="504" spans="1:5" ht="14.4">
      <c r="A504" s="241">
        <v>42047</v>
      </c>
      <c r="B504" s="241" t="s">
        <v>492</v>
      </c>
      <c r="C504" s="221" t="s">
        <v>75</v>
      </c>
      <c r="D504" s="222">
        <v>517.9</v>
      </c>
      <c r="E504" s="242"/>
    </row>
    <row r="505" spans="1:5" ht="14.4">
      <c r="A505" s="241">
        <v>42051</v>
      </c>
      <c r="B505" s="241" t="s">
        <v>14997</v>
      </c>
      <c r="C505" s="221" t="s">
        <v>75</v>
      </c>
      <c r="D505" s="222">
        <v>67.150000000000006</v>
      </c>
      <c r="E505" s="242"/>
    </row>
    <row r="506" spans="1:5" ht="14.4">
      <c r="A506" s="241">
        <v>42052</v>
      </c>
      <c r="B506" s="241" t="s">
        <v>493</v>
      </c>
      <c r="C506" s="221" t="s">
        <v>75</v>
      </c>
      <c r="D506" s="222">
        <v>117.89</v>
      </c>
      <c r="E506" s="242"/>
    </row>
    <row r="507" spans="1:5" ht="14.4">
      <c r="A507" s="241">
        <v>42087</v>
      </c>
      <c r="B507" s="241" t="s">
        <v>2174</v>
      </c>
      <c r="C507" s="221" t="s">
        <v>114</v>
      </c>
      <c r="D507" s="222">
        <v>105.84</v>
      </c>
      <c r="E507" s="242"/>
    </row>
    <row r="508" spans="1:5" ht="14.4">
      <c r="A508" s="241">
        <v>42090</v>
      </c>
      <c r="B508" s="241" t="s">
        <v>494</v>
      </c>
      <c r="C508" s="221" t="s">
        <v>75</v>
      </c>
      <c r="D508" s="222">
        <v>101.03</v>
      </c>
      <c r="E508" s="242"/>
    </row>
    <row r="509" spans="1:5" ht="15" customHeight="1">
      <c r="A509" s="241">
        <v>42091</v>
      </c>
      <c r="B509" s="241" t="s">
        <v>495</v>
      </c>
      <c r="C509" s="221" t="s">
        <v>114</v>
      </c>
      <c r="D509" s="222">
        <v>14.44</v>
      </c>
      <c r="E509" s="242"/>
    </row>
    <row r="510" spans="1:5" ht="15" customHeight="1">
      <c r="A510" s="240">
        <v>423</v>
      </c>
      <c r="B510" s="529" t="s">
        <v>496</v>
      </c>
      <c r="C510" s="530"/>
      <c r="D510" s="530"/>
      <c r="E510" s="531"/>
    </row>
    <row r="511" spans="1:5" ht="28.8">
      <c r="A511" s="241">
        <v>42301</v>
      </c>
      <c r="B511" s="241" t="s">
        <v>15734</v>
      </c>
      <c r="C511" s="221" t="s">
        <v>114</v>
      </c>
      <c r="D511" s="222">
        <v>12.69</v>
      </c>
      <c r="E511" s="242"/>
    </row>
    <row r="512" spans="1:5" ht="28.8">
      <c r="A512" s="241">
        <v>42302</v>
      </c>
      <c r="B512" s="241" t="s">
        <v>15735</v>
      </c>
      <c r="C512" s="221" t="s">
        <v>114</v>
      </c>
      <c r="D512" s="222">
        <v>15.38</v>
      </c>
      <c r="E512" s="242"/>
    </row>
    <row r="513" spans="1:5" ht="28.8">
      <c r="A513" s="241">
        <v>42303</v>
      </c>
      <c r="B513" s="241" t="s">
        <v>15736</v>
      </c>
      <c r="C513" s="221" t="s">
        <v>114</v>
      </c>
      <c r="D513" s="222">
        <v>18.420000000000002</v>
      </c>
      <c r="E513" s="242"/>
    </row>
    <row r="514" spans="1:5" ht="15" customHeight="1">
      <c r="A514" s="240">
        <v>425</v>
      </c>
      <c r="B514" s="529" t="s">
        <v>497</v>
      </c>
      <c r="C514" s="530"/>
      <c r="D514" s="530"/>
      <c r="E514" s="531"/>
    </row>
    <row r="515" spans="1:5" ht="28.8">
      <c r="A515" s="241">
        <v>42501</v>
      </c>
      <c r="B515" s="241" t="s">
        <v>2175</v>
      </c>
      <c r="C515" s="221" t="s">
        <v>75</v>
      </c>
      <c r="D515" s="222">
        <v>3.59</v>
      </c>
      <c r="E515" s="242"/>
    </row>
    <row r="516" spans="1:5" ht="28.8">
      <c r="A516" s="241">
        <v>42502</v>
      </c>
      <c r="B516" s="241" t="s">
        <v>2176</v>
      </c>
      <c r="C516" s="221" t="s">
        <v>75</v>
      </c>
      <c r="D516" s="222">
        <v>4.5199999999999996</v>
      </c>
      <c r="E516" s="242"/>
    </row>
    <row r="517" spans="1:5" ht="28.8">
      <c r="A517" s="241">
        <v>42503</v>
      </c>
      <c r="B517" s="241" t="s">
        <v>2177</v>
      </c>
      <c r="C517" s="221" t="s">
        <v>75</v>
      </c>
      <c r="D517" s="222">
        <v>6.7</v>
      </c>
      <c r="E517" s="242"/>
    </row>
    <row r="518" spans="1:5" ht="28.8">
      <c r="A518" s="241">
        <v>42504</v>
      </c>
      <c r="B518" s="241" t="s">
        <v>2178</v>
      </c>
      <c r="C518" s="221" t="s">
        <v>75</v>
      </c>
      <c r="D518" s="222">
        <v>9.7100000000000009</v>
      </c>
      <c r="E518" s="242"/>
    </row>
    <row r="519" spans="1:5" ht="15" customHeight="1">
      <c r="A519" s="241">
        <v>42505</v>
      </c>
      <c r="B519" s="241" t="s">
        <v>2179</v>
      </c>
      <c r="C519" s="221" t="s">
        <v>75</v>
      </c>
      <c r="D519" s="222">
        <v>12</v>
      </c>
      <c r="E519" s="242"/>
    </row>
    <row r="520" spans="1:5" ht="28.8">
      <c r="A520" s="241">
        <v>42506</v>
      </c>
      <c r="B520" s="241" t="s">
        <v>2180</v>
      </c>
      <c r="C520" s="221" t="s">
        <v>75</v>
      </c>
      <c r="D520" s="222">
        <v>19.47</v>
      </c>
      <c r="E520" s="242"/>
    </row>
    <row r="521" spans="1:5" ht="15" customHeight="1">
      <c r="A521" s="241">
        <v>42508</v>
      </c>
      <c r="B521" s="241" t="s">
        <v>2181</v>
      </c>
      <c r="C521" s="221" t="s">
        <v>75</v>
      </c>
      <c r="D521" s="222">
        <v>38.049999999999997</v>
      </c>
      <c r="E521" s="242"/>
    </row>
    <row r="522" spans="1:5" ht="28.8">
      <c r="A522" s="241">
        <v>42509</v>
      </c>
      <c r="B522" s="241" t="s">
        <v>2182</v>
      </c>
      <c r="C522" s="221" t="s">
        <v>75</v>
      </c>
      <c r="D522" s="222">
        <v>66.459999999999994</v>
      </c>
      <c r="E522" s="242"/>
    </row>
    <row r="523" spans="1:5" ht="28.8">
      <c r="A523" s="241">
        <v>42511</v>
      </c>
      <c r="B523" s="241" t="s">
        <v>498</v>
      </c>
      <c r="C523" s="221" t="s">
        <v>114</v>
      </c>
      <c r="D523" s="222">
        <v>4.6100000000000003</v>
      </c>
      <c r="E523" s="242"/>
    </row>
    <row r="524" spans="1:5" ht="28.8">
      <c r="A524" s="241">
        <v>42521</v>
      </c>
      <c r="B524" s="241" t="s">
        <v>499</v>
      </c>
      <c r="C524" s="221" t="s">
        <v>114</v>
      </c>
      <c r="D524" s="222">
        <v>1.8</v>
      </c>
      <c r="E524" s="242"/>
    </row>
    <row r="525" spans="1:5" ht="15" customHeight="1">
      <c r="A525" s="241">
        <v>42529</v>
      </c>
      <c r="B525" s="241" t="s">
        <v>500</v>
      </c>
      <c r="C525" s="221" t="s">
        <v>75</v>
      </c>
      <c r="D525" s="222">
        <v>5.66</v>
      </c>
      <c r="E525" s="242"/>
    </row>
    <row r="526" spans="1:5" ht="14.4">
      <c r="A526" s="241">
        <v>42530</v>
      </c>
      <c r="B526" s="241" t="s">
        <v>501</v>
      </c>
      <c r="C526" s="221" t="s">
        <v>114</v>
      </c>
      <c r="D526" s="222">
        <v>63.11</v>
      </c>
      <c r="E526" s="242"/>
    </row>
    <row r="527" spans="1:5" ht="28.8">
      <c r="A527" s="241">
        <v>42535</v>
      </c>
      <c r="B527" s="241" t="s">
        <v>502</v>
      </c>
      <c r="C527" s="221" t="s">
        <v>75</v>
      </c>
      <c r="D527" s="222">
        <v>4.22</v>
      </c>
      <c r="E527" s="242"/>
    </row>
    <row r="528" spans="1:5" ht="28.8">
      <c r="A528" s="241">
        <v>42546</v>
      </c>
      <c r="B528" s="241" t="s">
        <v>503</v>
      </c>
      <c r="C528" s="221" t="s">
        <v>75</v>
      </c>
      <c r="D528" s="222">
        <v>8.35</v>
      </c>
      <c r="E528" s="242"/>
    </row>
    <row r="529" spans="1:5" ht="14.4">
      <c r="A529" s="241">
        <v>42548</v>
      </c>
      <c r="B529" s="241" t="s">
        <v>504</v>
      </c>
      <c r="C529" s="221" t="s">
        <v>75</v>
      </c>
      <c r="D529" s="222">
        <v>193.96</v>
      </c>
      <c r="E529" s="242"/>
    </row>
    <row r="530" spans="1:5" ht="28.8">
      <c r="A530" s="241">
        <v>42552</v>
      </c>
      <c r="B530" s="241" t="s">
        <v>505</v>
      </c>
      <c r="C530" s="221" t="s">
        <v>114</v>
      </c>
      <c r="D530" s="222">
        <v>3.64</v>
      </c>
      <c r="E530" s="242"/>
    </row>
    <row r="531" spans="1:5" ht="57.6">
      <c r="A531" s="241">
        <v>42558</v>
      </c>
      <c r="B531" s="241" t="s">
        <v>14998</v>
      </c>
      <c r="C531" s="221" t="s">
        <v>114</v>
      </c>
      <c r="D531" s="222">
        <v>8.44</v>
      </c>
      <c r="E531" s="242"/>
    </row>
    <row r="532" spans="1:5" ht="28.8">
      <c r="A532" s="241">
        <v>42565</v>
      </c>
      <c r="B532" s="241" t="s">
        <v>506</v>
      </c>
      <c r="C532" s="221" t="s">
        <v>75</v>
      </c>
      <c r="D532" s="222">
        <v>3.28</v>
      </c>
      <c r="E532" s="242"/>
    </row>
    <row r="533" spans="1:5" ht="28.8">
      <c r="A533" s="241">
        <v>42588</v>
      </c>
      <c r="B533" s="241" t="s">
        <v>507</v>
      </c>
      <c r="C533" s="221" t="s">
        <v>75</v>
      </c>
      <c r="D533" s="222">
        <v>4.47</v>
      </c>
      <c r="E533" s="242"/>
    </row>
    <row r="534" spans="1:5" ht="15" customHeight="1">
      <c r="A534" s="240">
        <v>426</v>
      </c>
      <c r="B534" s="529" t="s">
        <v>508</v>
      </c>
      <c r="C534" s="530"/>
      <c r="D534" s="530"/>
      <c r="E534" s="531"/>
    </row>
    <row r="535" spans="1:5" ht="28.8">
      <c r="A535" s="241">
        <v>42636</v>
      </c>
      <c r="B535" s="241" t="s">
        <v>509</v>
      </c>
      <c r="C535" s="221" t="s">
        <v>75</v>
      </c>
      <c r="D535" s="222">
        <v>31.72</v>
      </c>
      <c r="E535" s="242"/>
    </row>
    <row r="536" spans="1:5" ht="28.8">
      <c r="A536" s="241">
        <v>42673</v>
      </c>
      <c r="B536" s="241" t="s">
        <v>510</v>
      </c>
      <c r="C536" s="221" t="s">
        <v>75</v>
      </c>
      <c r="D536" s="222">
        <v>4.79</v>
      </c>
      <c r="E536" s="242"/>
    </row>
    <row r="537" spans="1:5" ht="28.8">
      <c r="A537" s="241">
        <v>42674</v>
      </c>
      <c r="B537" s="241" t="s">
        <v>511</v>
      </c>
      <c r="C537" s="221" t="s">
        <v>75</v>
      </c>
      <c r="D537" s="222">
        <v>6.29</v>
      </c>
      <c r="E537" s="242"/>
    </row>
    <row r="538" spans="1:5" ht="28.8">
      <c r="A538" s="241">
        <v>42690</v>
      </c>
      <c r="B538" s="241" t="s">
        <v>512</v>
      </c>
      <c r="C538" s="221" t="s">
        <v>75</v>
      </c>
      <c r="D538" s="222">
        <v>11.53</v>
      </c>
      <c r="E538" s="242"/>
    </row>
    <row r="539" spans="1:5" ht="15" customHeight="1">
      <c r="A539" s="240">
        <v>427</v>
      </c>
      <c r="B539" s="529" t="s">
        <v>513</v>
      </c>
      <c r="C539" s="530"/>
      <c r="D539" s="530"/>
      <c r="E539" s="531"/>
    </row>
    <row r="540" spans="1:5" ht="28.8">
      <c r="A540" s="241">
        <v>42701</v>
      </c>
      <c r="B540" s="241" t="s">
        <v>514</v>
      </c>
      <c r="C540" s="221" t="s">
        <v>75</v>
      </c>
      <c r="D540" s="222">
        <v>9.44</v>
      </c>
      <c r="E540" s="242"/>
    </row>
    <row r="541" spans="1:5" ht="28.8">
      <c r="A541" s="241">
        <v>42717</v>
      </c>
      <c r="B541" s="241" t="s">
        <v>515</v>
      </c>
      <c r="C541" s="221" t="s">
        <v>75</v>
      </c>
      <c r="D541" s="222">
        <v>3.49</v>
      </c>
      <c r="E541" s="242"/>
    </row>
    <row r="542" spans="1:5" ht="14.4">
      <c r="A542" s="240">
        <v>429</v>
      </c>
      <c r="B542" s="529" t="s">
        <v>614</v>
      </c>
      <c r="C542" s="530"/>
      <c r="D542" s="530"/>
      <c r="E542" s="531"/>
    </row>
    <row r="543" spans="1:5" ht="28.8">
      <c r="A543" s="241">
        <v>42906</v>
      </c>
      <c r="B543" s="241" t="s">
        <v>15774</v>
      </c>
      <c r="C543" s="221" t="s">
        <v>114</v>
      </c>
      <c r="D543" s="222">
        <v>6.6</v>
      </c>
      <c r="E543" s="242"/>
    </row>
    <row r="544" spans="1:5" ht="14.4">
      <c r="A544" s="240">
        <v>430</v>
      </c>
      <c r="B544" s="529" t="s">
        <v>516</v>
      </c>
      <c r="C544" s="530"/>
      <c r="D544" s="530"/>
      <c r="E544" s="531"/>
    </row>
    <row r="545" spans="1:5" ht="28.8">
      <c r="A545" s="241">
        <v>43004</v>
      </c>
      <c r="B545" s="241" t="s">
        <v>517</v>
      </c>
      <c r="C545" s="221" t="s">
        <v>75</v>
      </c>
      <c r="D545" s="222">
        <v>1.76</v>
      </c>
      <c r="E545" s="242"/>
    </row>
    <row r="546" spans="1:5" ht="28.8">
      <c r="A546" s="241">
        <v>43005</v>
      </c>
      <c r="B546" s="241" t="s">
        <v>518</v>
      </c>
      <c r="C546" s="221" t="s">
        <v>75</v>
      </c>
      <c r="D546" s="222">
        <v>2.73</v>
      </c>
      <c r="E546" s="242"/>
    </row>
    <row r="547" spans="1:5" ht="28.8">
      <c r="A547" s="241">
        <v>43006</v>
      </c>
      <c r="B547" s="241" t="s">
        <v>519</v>
      </c>
      <c r="C547" s="221" t="s">
        <v>75</v>
      </c>
      <c r="D547" s="222">
        <v>4.58</v>
      </c>
      <c r="E547" s="242"/>
    </row>
    <row r="548" spans="1:5" ht="28.8">
      <c r="A548" s="241">
        <v>43007</v>
      </c>
      <c r="B548" s="241" t="s">
        <v>520</v>
      </c>
      <c r="C548" s="221" t="s">
        <v>75</v>
      </c>
      <c r="D548" s="222">
        <v>6.56</v>
      </c>
      <c r="E548" s="242"/>
    </row>
    <row r="549" spans="1:5" ht="28.8">
      <c r="A549" s="241">
        <v>43009</v>
      </c>
      <c r="B549" s="241" t="s">
        <v>521</v>
      </c>
      <c r="C549" s="221" t="s">
        <v>75</v>
      </c>
      <c r="D549" s="222">
        <v>114.55</v>
      </c>
      <c r="E549" s="242"/>
    </row>
    <row r="550" spans="1:5" ht="15" customHeight="1">
      <c r="A550" s="241">
        <v>43015</v>
      </c>
      <c r="B550" s="241" t="s">
        <v>522</v>
      </c>
      <c r="C550" s="221" t="s">
        <v>75</v>
      </c>
      <c r="D550" s="222">
        <v>19.78</v>
      </c>
      <c r="E550" s="242"/>
    </row>
    <row r="551" spans="1:5" ht="28.8">
      <c r="A551" s="241">
        <v>43016</v>
      </c>
      <c r="B551" s="241" t="s">
        <v>523</v>
      </c>
      <c r="C551" s="221" t="s">
        <v>75</v>
      </c>
      <c r="D551" s="222">
        <v>31.22</v>
      </c>
      <c r="E551" s="242"/>
    </row>
    <row r="552" spans="1:5" ht="28.8">
      <c r="A552" s="241">
        <v>43023</v>
      </c>
      <c r="B552" s="241" t="s">
        <v>524</v>
      </c>
      <c r="C552" s="221" t="s">
        <v>75</v>
      </c>
      <c r="D552" s="222">
        <v>222.62</v>
      </c>
      <c r="E552" s="242"/>
    </row>
    <row r="553" spans="1:5" ht="28.8">
      <c r="A553" s="241">
        <v>43036</v>
      </c>
      <c r="B553" s="241" t="s">
        <v>15775</v>
      </c>
      <c r="C553" s="221" t="s">
        <v>75</v>
      </c>
      <c r="D553" s="222">
        <v>12.15</v>
      </c>
      <c r="E553" s="242"/>
    </row>
    <row r="554" spans="1:5" ht="28.8">
      <c r="A554" s="241">
        <v>43038</v>
      </c>
      <c r="B554" s="241" t="s">
        <v>15776</v>
      </c>
      <c r="C554" s="221" t="s">
        <v>75</v>
      </c>
      <c r="D554" s="222">
        <v>21.6</v>
      </c>
      <c r="E554" s="242"/>
    </row>
    <row r="555" spans="1:5" ht="15" customHeight="1">
      <c r="A555" s="241">
        <v>43039</v>
      </c>
      <c r="B555" s="241" t="s">
        <v>15777</v>
      </c>
      <c r="C555" s="221" t="s">
        <v>75</v>
      </c>
      <c r="D555" s="222">
        <v>12.66</v>
      </c>
      <c r="E555" s="242"/>
    </row>
    <row r="556" spans="1:5" ht="28.8">
      <c r="A556" s="241">
        <v>43040</v>
      </c>
      <c r="B556" s="241" t="s">
        <v>15778</v>
      </c>
      <c r="C556" s="221" t="s">
        <v>75</v>
      </c>
      <c r="D556" s="222">
        <v>30.14</v>
      </c>
      <c r="E556" s="242"/>
    </row>
    <row r="557" spans="1:5" ht="28.8">
      <c r="A557" s="241">
        <v>43041</v>
      </c>
      <c r="B557" s="241" t="s">
        <v>15779</v>
      </c>
      <c r="C557" s="221" t="s">
        <v>75</v>
      </c>
      <c r="D557" s="222">
        <v>43.8</v>
      </c>
      <c r="E557" s="242"/>
    </row>
    <row r="558" spans="1:5" ht="28.8">
      <c r="A558" s="241">
        <v>43044</v>
      </c>
      <c r="B558" s="241" t="s">
        <v>15780</v>
      </c>
      <c r="C558" s="221" t="s">
        <v>75</v>
      </c>
      <c r="D558" s="222">
        <v>63.11</v>
      </c>
      <c r="E558" s="242"/>
    </row>
    <row r="559" spans="1:5" ht="28.8">
      <c r="A559" s="241">
        <v>43055</v>
      </c>
      <c r="B559" s="241" t="s">
        <v>14999</v>
      </c>
      <c r="C559" s="221" t="s">
        <v>75</v>
      </c>
      <c r="D559" s="222">
        <v>23.34</v>
      </c>
      <c r="E559" s="242"/>
    </row>
    <row r="560" spans="1:5" ht="28.8">
      <c r="A560" s="241">
        <v>43059</v>
      </c>
      <c r="B560" s="241" t="s">
        <v>525</v>
      </c>
      <c r="C560" s="221" t="s">
        <v>75</v>
      </c>
      <c r="D560" s="222">
        <v>19.829999999999998</v>
      </c>
      <c r="E560" s="242"/>
    </row>
    <row r="561" spans="1:5" ht="14.4">
      <c r="A561" s="240">
        <v>431</v>
      </c>
      <c r="B561" s="529" t="s">
        <v>526</v>
      </c>
      <c r="C561" s="530"/>
      <c r="D561" s="530"/>
      <c r="E561" s="531"/>
    </row>
    <row r="562" spans="1:5" ht="28.8">
      <c r="A562" s="241">
        <v>43113</v>
      </c>
      <c r="B562" s="241" t="s">
        <v>527</v>
      </c>
      <c r="C562" s="221" t="s">
        <v>75</v>
      </c>
      <c r="D562" s="222">
        <v>76.180000000000007</v>
      </c>
      <c r="E562" s="242"/>
    </row>
    <row r="563" spans="1:5" ht="14.4">
      <c r="A563" s="241">
        <v>43127</v>
      </c>
      <c r="B563" s="241" t="s">
        <v>528</v>
      </c>
      <c r="C563" s="221" t="s">
        <v>75</v>
      </c>
      <c r="D563" s="222">
        <v>3.16</v>
      </c>
      <c r="E563" s="242"/>
    </row>
    <row r="564" spans="1:5" ht="28.8">
      <c r="A564" s="241">
        <v>43137</v>
      </c>
      <c r="B564" s="241" t="s">
        <v>529</v>
      </c>
      <c r="C564" s="221" t="s">
        <v>75</v>
      </c>
      <c r="D564" s="222">
        <v>82.79</v>
      </c>
      <c r="E564" s="242"/>
    </row>
    <row r="565" spans="1:5" ht="14.4">
      <c r="A565" s="241">
        <v>43149</v>
      </c>
      <c r="B565" s="241" t="s">
        <v>530</v>
      </c>
      <c r="C565" s="221" t="s">
        <v>75</v>
      </c>
      <c r="D565" s="222">
        <v>22.74</v>
      </c>
      <c r="E565" s="242"/>
    </row>
    <row r="566" spans="1:5" ht="14.4">
      <c r="A566" s="241">
        <v>43150</v>
      </c>
      <c r="B566" s="241" t="s">
        <v>531</v>
      </c>
      <c r="C566" s="221" t="s">
        <v>75</v>
      </c>
      <c r="D566" s="222">
        <v>83.95</v>
      </c>
      <c r="E566" s="242"/>
    </row>
    <row r="567" spans="1:5" ht="28.8">
      <c r="A567" s="241">
        <v>43160</v>
      </c>
      <c r="B567" s="241" t="s">
        <v>532</v>
      </c>
      <c r="C567" s="221" t="s">
        <v>75</v>
      </c>
      <c r="D567" s="222">
        <v>32.08</v>
      </c>
      <c r="E567" s="242"/>
    </row>
    <row r="568" spans="1:5" ht="28.8">
      <c r="A568" s="241">
        <v>43174</v>
      </c>
      <c r="B568" s="241" t="s">
        <v>533</v>
      </c>
      <c r="C568" s="221" t="s">
        <v>75</v>
      </c>
      <c r="D568" s="222">
        <v>42.68</v>
      </c>
      <c r="E568" s="242"/>
    </row>
    <row r="569" spans="1:5" ht="28.8">
      <c r="A569" s="241">
        <v>43175</v>
      </c>
      <c r="B569" s="241" t="s">
        <v>534</v>
      </c>
      <c r="C569" s="221" t="s">
        <v>75</v>
      </c>
      <c r="D569" s="222">
        <v>8.06</v>
      </c>
      <c r="E569" s="242"/>
    </row>
    <row r="570" spans="1:5" ht="28.8">
      <c r="A570" s="241">
        <v>43180</v>
      </c>
      <c r="B570" s="241" t="s">
        <v>535</v>
      </c>
      <c r="C570" s="221" t="s">
        <v>75</v>
      </c>
      <c r="D570" s="222">
        <v>12.8</v>
      </c>
      <c r="E570" s="242"/>
    </row>
    <row r="571" spans="1:5" ht="28.8">
      <c r="A571" s="241">
        <v>43188</v>
      </c>
      <c r="B571" s="241" t="s">
        <v>15000</v>
      </c>
      <c r="C571" s="221" t="s">
        <v>75</v>
      </c>
      <c r="D571" s="222">
        <v>17.36</v>
      </c>
      <c r="E571" s="242"/>
    </row>
    <row r="572" spans="1:5" ht="28.8">
      <c r="A572" s="241">
        <v>43190</v>
      </c>
      <c r="B572" s="241" t="s">
        <v>536</v>
      </c>
      <c r="C572" s="221" t="s">
        <v>75</v>
      </c>
      <c r="D572" s="222">
        <v>61.49</v>
      </c>
      <c r="E572" s="242"/>
    </row>
    <row r="573" spans="1:5" ht="28.8">
      <c r="A573" s="241">
        <v>43193</v>
      </c>
      <c r="B573" s="241" t="s">
        <v>537</v>
      </c>
      <c r="C573" s="221" t="s">
        <v>75</v>
      </c>
      <c r="D573" s="222">
        <v>12.11</v>
      </c>
      <c r="E573" s="242"/>
    </row>
    <row r="574" spans="1:5" ht="28.8">
      <c r="A574" s="241">
        <v>43194</v>
      </c>
      <c r="B574" s="241" t="s">
        <v>538</v>
      </c>
      <c r="C574" s="221" t="s">
        <v>75</v>
      </c>
      <c r="D574" s="222">
        <v>301.14</v>
      </c>
      <c r="E574" s="242"/>
    </row>
    <row r="575" spans="1:5" ht="28.8">
      <c r="A575" s="241">
        <v>43199</v>
      </c>
      <c r="B575" s="241" t="s">
        <v>539</v>
      </c>
      <c r="C575" s="221" t="s">
        <v>75</v>
      </c>
      <c r="D575" s="222">
        <v>170.35</v>
      </c>
      <c r="E575" s="242"/>
    </row>
    <row r="576" spans="1:5" ht="14.4">
      <c r="A576" s="240">
        <v>432</v>
      </c>
      <c r="B576" s="529" t="s">
        <v>526</v>
      </c>
      <c r="C576" s="530"/>
      <c r="D576" s="530"/>
      <c r="E576" s="531"/>
    </row>
    <row r="577" spans="1:5" ht="28.8">
      <c r="A577" s="241">
        <v>43204</v>
      </c>
      <c r="B577" s="241" t="s">
        <v>540</v>
      </c>
      <c r="C577" s="221" t="s">
        <v>75</v>
      </c>
      <c r="D577" s="222">
        <v>89.8</v>
      </c>
      <c r="E577" s="242"/>
    </row>
    <row r="578" spans="1:5" ht="28.8">
      <c r="A578" s="241">
        <v>43205</v>
      </c>
      <c r="B578" s="241" t="s">
        <v>541</v>
      </c>
      <c r="C578" s="221" t="s">
        <v>75</v>
      </c>
      <c r="D578" s="222">
        <v>3.9</v>
      </c>
      <c r="E578" s="242"/>
    </row>
    <row r="579" spans="1:5" ht="28.8">
      <c r="A579" s="241">
        <v>43206</v>
      </c>
      <c r="B579" s="241" t="s">
        <v>542</v>
      </c>
      <c r="C579" s="221" t="s">
        <v>75</v>
      </c>
      <c r="D579" s="222">
        <v>5.9</v>
      </c>
      <c r="E579" s="242"/>
    </row>
    <row r="580" spans="1:5" ht="28.8">
      <c r="A580" s="241">
        <v>43236</v>
      </c>
      <c r="B580" s="241" t="s">
        <v>543</v>
      </c>
      <c r="C580" s="221" t="s">
        <v>75</v>
      </c>
      <c r="D580" s="222">
        <v>146.63999999999999</v>
      </c>
      <c r="E580" s="242"/>
    </row>
    <row r="581" spans="1:5" ht="28.8">
      <c r="A581" s="241">
        <v>43243</v>
      </c>
      <c r="B581" s="241" t="s">
        <v>544</v>
      </c>
      <c r="C581" s="221" t="s">
        <v>71</v>
      </c>
      <c r="D581" s="222">
        <v>97.7</v>
      </c>
      <c r="E581" s="242"/>
    </row>
    <row r="582" spans="1:5" ht="28.8">
      <c r="A582" s="241">
        <v>43253</v>
      </c>
      <c r="B582" s="241" t="s">
        <v>545</v>
      </c>
      <c r="C582" s="221" t="s">
        <v>75</v>
      </c>
      <c r="D582" s="222">
        <v>387.63</v>
      </c>
      <c r="E582" s="242"/>
    </row>
    <row r="583" spans="1:5" ht="14.4">
      <c r="A583" s="240">
        <v>434</v>
      </c>
      <c r="B583" s="529" t="s">
        <v>546</v>
      </c>
      <c r="C583" s="530"/>
      <c r="D583" s="530"/>
      <c r="E583" s="531"/>
    </row>
    <row r="584" spans="1:5" ht="28.8">
      <c r="A584" s="241">
        <v>43406</v>
      </c>
      <c r="B584" s="241" t="s">
        <v>15001</v>
      </c>
      <c r="C584" s="221" t="s">
        <v>75</v>
      </c>
      <c r="D584" s="222">
        <v>8.4499999999999993</v>
      </c>
      <c r="E584" s="242"/>
    </row>
    <row r="585" spans="1:5" ht="14.4">
      <c r="A585" s="241">
        <v>43441</v>
      </c>
      <c r="B585" s="241" t="s">
        <v>547</v>
      </c>
      <c r="C585" s="221" t="s">
        <v>75</v>
      </c>
      <c r="D585" s="222">
        <v>2.08</v>
      </c>
      <c r="E585" s="242"/>
    </row>
    <row r="586" spans="1:5" ht="28.8">
      <c r="A586" s="241">
        <v>43496</v>
      </c>
      <c r="B586" s="241" t="s">
        <v>15002</v>
      </c>
      <c r="C586" s="221" t="s">
        <v>75</v>
      </c>
      <c r="D586" s="222">
        <v>11.51</v>
      </c>
      <c r="E586" s="242"/>
    </row>
    <row r="587" spans="1:5" ht="14.4">
      <c r="A587" s="240">
        <v>435</v>
      </c>
      <c r="B587" s="529" t="s">
        <v>548</v>
      </c>
      <c r="C587" s="530"/>
      <c r="D587" s="530"/>
      <c r="E587" s="531"/>
    </row>
    <row r="588" spans="1:5" ht="28.8">
      <c r="A588" s="241">
        <v>43540</v>
      </c>
      <c r="B588" s="241" t="s">
        <v>549</v>
      </c>
      <c r="C588" s="221" t="s">
        <v>114</v>
      </c>
      <c r="D588" s="223">
        <v>2266.23</v>
      </c>
      <c r="E588" s="242"/>
    </row>
    <row r="589" spans="1:5" ht="14.4">
      <c r="A589" s="241">
        <v>43585</v>
      </c>
      <c r="B589" s="241" t="s">
        <v>550</v>
      </c>
      <c r="C589" s="221" t="s">
        <v>114</v>
      </c>
      <c r="D589" s="223">
        <v>2570.4299999999998</v>
      </c>
      <c r="E589" s="242"/>
    </row>
    <row r="590" spans="1:5" ht="14.4">
      <c r="A590" s="241">
        <v>43587</v>
      </c>
      <c r="B590" s="241" t="s">
        <v>551</v>
      </c>
      <c r="C590" s="221" t="s">
        <v>114</v>
      </c>
      <c r="D590" s="223">
        <v>3771.06</v>
      </c>
      <c r="E590" s="242"/>
    </row>
    <row r="591" spans="1:5" ht="28.8">
      <c r="A591" s="241">
        <v>43591</v>
      </c>
      <c r="B591" s="241" t="s">
        <v>552</v>
      </c>
      <c r="C591" s="221" t="s">
        <v>114</v>
      </c>
      <c r="D591" s="223">
        <v>3831.06</v>
      </c>
      <c r="E591" s="242"/>
    </row>
    <row r="592" spans="1:5" ht="28.8">
      <c r="A592" s="241">
        <v>43593</v>
      </c>
      <c r="B592" s="241" t="s">
        <v>553</v>
      </c>
      <c r="C592" s="221" t="s">
        <v>114</v>
      </c>
      <c r="D592" s="223">
        <v>3543.39</v>
      </c>
      <c r="E592" s="242"/>
    </row>
    <row r="593" spans="1:5" ht="14.4">
      <c r="A593" s="240">
        <v>436</v>
      </c>
      <c r="B593" s="529" t="s">
        <v>554</v>
      </c>
      <c r="C593" s="530"/>
      <c r="D593" s="530"/>
      <c r="E593" s="531"/>
    </row>
    <row r="594" spans="1:5" ht="14.4">
      <c r="A594" s="241">
        <v>43620</v>
      </c>
      <c r="B594" s="241" t="s">
        <v>555</v>
      </c>
      <c r="C594" s="221" t="s">
        <v>114</v>
      </c>
      <c r="D594" s="222">
        <v>283.67</v>
      </c>
      <c r="E594" s="242"/>
    </row>
    <row r="595" spans="1:5" ht="14.4">
      <c r="A595" s="241">
        <v>43627</v>
      </c>
      <c r="B595" s="241" t="s">
        <v>556</v>
      </c>
      <c r="C595" s="221" t="s">
        <v>114</v>
      </c>
      <c r="D595" s="223">
        <v>1260.01</v>
      </c>
      <c r="E595" s="242"/>
    </row>
    <row r="596" spans="1:5" ht="28.8">
      <c r="A596" s="241">
        <v>43648</v>
      </c>
      <c r="B596" s="241" t="s">
        <v>557</v>
      </c>
      <c r="C596" s="221" t="s">
        <v>114</v>
      </c>
      <c r="D596" s="223">
        <v>8390.49</v>
      </c>
      <c r="E596" s="242"/>
    </row>
    <row r="597" spans="1:5" ht="14.4">
      <c r="A597" s="241">
        <v>43657</v>
      </c>
      <c r="B597" s="241" t="s">
        <v>558</v>
      </c>
      <c r="C597" s="221" t="s">
        <v>114</v>
      </c>
      <c r="D597" s="223">
        <v>8297.16</v>
      </c>
      <c r="E597" s="242"/>
    </row>
    <row r="598" spans="1:5" ht="14.4">
      <c r="A598" s="240">
        <v>437</v>
      </c>
      <c r="B598" s="529" t="s">
        <v>334</v>
      </c>
      <c r="C598" s="530"/>
      <c r="D598" s="530"/>
      <c r="E598" s="531"/>
    </row>
    <row r="599" spans="1:5" ht="14.4">
      <c r="A599" s="241">
        <v>43702</v>
      </c>
      <c r="B599" s="241" t="s">
        <v>559</v>
      </c>
      <c r="C599" s="221" t="s">
        <v>114</v>
      </c>
      <c r="D599" s="222">
        <v>5.95</v>
      </c>
      <c r="E599" s="242"/>
    </row>
    <row r="600" spans="1:5" ht="28.8">
      <c r="A600" s="241">
        <v>43792</v>
      </c>
      <c r="B600" s="241" t="s">
        <v>2183</v>
      </c>
      <c r="C600" s="221" t="s">
        <v>114</v>
      </c>
      <c r="D600" s="222">
        <v>9.0299999999999994</v>
      </c>
      <c r="E600" s="242"/>
    </row>
    <row r="601" spans="1:5" ht="28.8">
      <c r="A601" s="241">
        <v>43795</v>
      </c>
      <c r="B601" s="241" t="s">
        <v>2184</v>
      </c>
      <c r="C601" s="221" t="s">
        <v>114</v>
      </c>
      <c r="D601" s="222">
        <v>5.97</v>
      </c>
      <c r="E601" s="242"/>
    </row>
    <row r="602" spans="1:5" ht="14.4">
      <c r="A602" s="240">
        <v>438</v>
      </c>
      <c r="B602" s="529" t="s">
        <v>487</v>
      </c>
      <c r="C602" s="530"/>
      <c r="D602" s="530"/>
      <c r="E602" s="531"/>
    </row>
    <row r="603" spans="1:5" ht="28.8">
      <c r="A603" s="241">
        <v>43807</v>
      </c>
      <c r="B603" s="241" t="s">
        <v>1838</v>
      </c>
      <c r="C603" s="221" t="s">
        <v>114</v>
      </c>
      <c r="D603" s="223">
        <v>1030.24</v>
      </c>
      <c r="E603" s="242"/>
    </row>
    <row r="604" spans="1:5" ht="28.8">
      <c r="A604" s="241">
        <v>43835</v>
      </c>
      <c r="B604" s="241" t="s">
        <v>560</v>
      </c>
      <c r="C604" s="221" t="s">
        <v>114</v>
      </c>
      <c r="D604" s="222">
        <v>57.77</v>
      </c>
      <c r="E604" s="242"/>
    </row>
    <row r="605" spans="1:5" ht="28.8">
      <c r="A605" s="241">
        <v>43836</v>
      </c>
      <c r="B605" s="241" t="s">
        <v>561</v>
      </c>
      <c r="C605" s="221" t="s">
        <v>114</v>
      </c>
      <c r="D605" s="222">
        <v>148.86000000000001</v>
      </c>
      <c r="E605" s="242"/>
    </row>
    <row r="606" spans="1:5" ht="28.8">
      <c r="A606" s="241">
        <v>43837</v>
      </c>
      <c r="B606" s="241" t="s">
        <v>562</v>
      </c>
      <c r="C606" s="221" t="s">
        <v>114</v>
      </c>
      <c r="D606" s="222">
        <v>699.18</v>
      </c>
      <c r="E606" s="242"/>
    </row>
    <row r="607" spans="1:5" ht="28.8">
      <c r="A607" s="241">
        <v>43838</v>
      </c>
      <c r="B607" s="241" t="s">
        <v>563</v>
      </c>
      <c r="C607" s="221" t="s">
        <v>114</v>
      </c>
      <c r="D607" s="222">
        <v>699.18</v>
      </c>
      <c r="E607" s="242"/>
    </row>
    <row r="608" spans="1:5" ht="14.4">
      <c r="A608" s="240">
        <v>440</v>
      </c>
      <c r="B608" s="529" t="s">
        <v>564</v>
      </c>
      <c r="C608" s="530"/>
      <c r="D608" s="530"/>
      <c r="E608" s="531"/>
    </row>
    <row r="609" spans="1:5" ht="14.4">
      <c r="A609" s="241">
        <v>44014</v>
      </c>
      <c r="B609" s="241" t="s">
        <v>565</v>
      </c>
      <c r="C609" s="221" t="s">
        <v>114</v>
      </c>
      <c r="D609" s="222">
        <v>44.11</v>
      </c>
      <c r="E609" s="242"/>
    </row>
    <row r="610" spans="1:5" ht="14.4">
      <c r="A610" s="241">
        <v>44034</v>
      </c>
      <c r="B610" s="241" t="s">
        <v>566</v>
      </c>
      <c r="C610" s="221" t="s">
        <v>114</v>
      </c>
      <c r="D610" s="222">
        <v>44.11</v>
      </c>
      <c r="E610" s="242"/>
    </row>
    <row r="611" spans="1:5" ht="14.4">
      <c r="A611" s="241">
        <v>44059</v>
      </c>
      <c r="B611" s="241" t="s">
        <v>567</v>
      </c>
      <c r="C611" s="221" t="s">
        <v>114</v>
      </c>
      <c r="D611" s="222">
        <v>44.11</v>
      </c>
      <c r="E611" s="242"/>
    </row>
    <row r="612" spans="1:5" ht="14.4">
      <c r="A612" s="241">
        <v>44097</v>
      </c>
      <c r="B612" s="241" t="s">
        <v>568</v>
      </c>
      <c r="C612" s="221" t="s">
        <v>114</v>
      </c>
      <c r="D612" s="222">
        <v>76.8</v>
      </c>
      <c r="E612" s="242"/>
    </row>
    <row r="613" spans="1:5" ht="14.4">
      <c r="A613" s="240">
        <v>441</v>
      </c>
      <c r="B613" s="529" t="s">
        <v>569</v>
      </c>
      <c r="C613" s="530"/>
      <c r="D613" s="530"/>
      <c r="E613" s="531"/>
    </row>
    <row r="614" spans="1:5" ht="14.4">
      <c r="A614" s="241">
        <v>44112</v>
      </c>
      <c r="B614" s="241" t="s">
        <v>570</v>
      </c>
      <c r="C614" s="221" t="s">
        <v>114</v>
      </c>
      <c r="D614" s="222">
        <v>76.8</v>
      </c>
      <c r="E614" s="242"/>
    </row>
    <row r="615" spans="1:5" ht="14.4">
      <c r="A615" s="241">
        <v>44128</v>
      </c>
      <c r="B615" s="241" t="s">
        <v>571</v>
      </c>
      <c r="C615" s="221" t="s">
        <v>114</v>
      </c>
      <c r="D615" s="222">
        <v>76.8</v>
      </c>
      <c r="E615" s="242"/>
    </row>
    <row r="616" spans="1:5" ht="14.4">
      <c r="A616" s="240">
        <v>444</v>
      </c>
      <c r="B616" s="529" t="s">
        <v>572</v>
      </c>
      <c r="C616" s="530"/>
      <c r="D616" s="530"/>
      <c r="E616" s="531"/>
    </row>
    <row r="617" spans="1:5" ht="28.8">
      <c r="A617" s="241">
        <v>44481</v>
      </c>
      <c r="B617" s="241" t="s">
        <v>573</v>
      </c>
      <c r="C617" s="221" t="s">
        <v>114</v>
      </c>
      <c r="D617" s="223">
        <v>1902.21</v>
      </c>
      <c r="E617" s="242"/>
    </row>
    <row r="618" spans="1:5" ht="14.4">
      <c r="A618" s="240">
        <v>445</v>
      </c>
      <c r="B618" s="529" t="s">
        <v>574</v>
      </c>
      <c r="C618" s="530"/>
      <c r="D618" s="530"/>
      <c r="E618" s="531"/>
    </row>
    <row r="619" spans="1:5" ht="28.8">
      <c r="A619" s="241">
        <v>44505</v>
      </c>
      <c r="B619" s="241" t="s">
        <v>575</v>
      </c>
      <c r="C619" s="221" t="s">
        <v>114</v>
      </c>
      <c r="D619" s="222">
        <v>30.88</v>
      </c>
      <c r="E619" s="242"/>
    </row>
    <row r="620" spans="1:5" ht="28.8">
      <c r="A620" s="241">
        <v>44508</v>
      </c>
      <c r="B620" s="241" t="s">
        <v>576</v>
      </c>
      <c r="C620" s="221" t="s">
        <v>114</v>
      </c>
      <c r="D620" s="222">
        <v>30.88</v>
      </c>
      <c r="E620" s="242"/>
    </row>
    <row r="621" spans="1:5" ht="14.4">
      <c r="A621" s="241">
        <v>44530</v>
      </c>
      <c r="B621" s="241" t="s">
        <v>577</v>
      </c>
      <c r="C621" s="221" t="s">
        <v>114</v>
      </c>
      <c r="D621" s="222">
        <v>127.27</v>
      </c>
      <c r="E621" s="242"/>
    </row>
    <row r="622" spans="1:5" ht="28.8">
      <c r="A622" s="241">
        <v>44552</v>
      </c>
      <c r="B622" s="241" t="s">
        <v>578</v>
      </c>
      <c r="C622" s="221" t="s">
        <v>114</v>
      </c>
      <c r="D622" s="222">
        <v>30.88</v>
      </c>
      <c r="E622" s="242"/>
    </row>
    <row r="623" spans="1:5" ht="28.8">
      <c r="A623" s="241">
        <v>44561</v>
      </c>
      <c r="B623" s="241" t="s">
        <v>15003</v>
      </c>
      <c r="C623" s="221" t="s">
        <v>114</v>
      </c>
      <c r="D623" s="222">
        <v>333.59</v>
      </c>
      <c r="E623" s="242"/>
    </row>
    <row r="624" spans="1:5" ht="28.8">
      <c r="A624" s="241">
        <v>44562</v>
      </c>
      <c r="B624" s="241" t="s">
        <v>579</v>
      </c>
      <c r="C624" s="221" t="s">
        <v>114</v>
      </c>
      <c r="D624" s="222">
        <v>122.04</v>
      </c>
      <c r="E624" s="242"/>
    </row>
    <row r="625" spans="1:5" ht="14.4">
      <c r="A625" s="241">
        <v>44575</v>
      </c>
      <c r="B625" s="241" t="s">
        <v>580</v>
      </c>
      <c r="C625" s="221" t="s">
        <v>114</v>
      </c>
      <c r="D625" s="222">
        <v>127.27</v>
      </c>
      <c r="E625" s="242"/>
    </row>
    <row r="626" spans="1:5" ht="28.8">
      <c r="A626" s="241">
        <v>44582</v>
      </c>
      <c r="B626" s="241" t="s">
        <v>15004</v>
      </c>
      <c r="C626" s="221" t="s">
        <v>114</v>
      </c>
      <c r="D626" s="222">
        <v>361.94</v>
      </c>
      <c r="E626" s="242"/>
    </row>
    <row r="627" spans="1:5" ht="14.4">
      <c r="A627" s="240">
        <v>446</v>
      </c>
      <c r="B627" s="529" t="s">
        <v>572</v>
      </c>
      <c r="C627" s="530"/>
      <c r="D627" s="530"/>
      <c r="E627" s="531"/>
    </row>
    <row r="628" spans="1:5" ht="14.4">
      <c r="A628" s="241">
        <v>44618</v>
      </c>
      <c r="B628" s="241" t="s">
        <v>581</v>
      </c>
      <c r="C628" s="221" t="s">
        <v>114</v>
      </c>
      <c r="D628" s="222">
        <v>128.01</v>
      </c>
      <c r="E628" s="242"/>
    </row>
    <row r="629" spans="1:5" ht="28.8">
      <c r="A629" s="241">
        <v>44659</v>
      </c>
      <c r="B629" s="241" t="s">
        <v>582</v>
      </c>
      <c r="C629" s="221" t="s">
        <v>114</v>
      </c>
      <c r="D629" s="222">
        <v>8.42</v>
      </c>
      <c r="E629" s="242"/>
    </row>
    <row r="630" spans="1:5" ht="28.8">
      <c r="A630" s="241">
        <v>44660</v>
      </c>
      <c r="B630" s="241" t="s">
        <v>583</v>
      </c>
      <c r="C630" s="221" t="s">
        <v>114</v>
      </c>
      <c r="D630" s="222">
        <v>8.42</v>
      </c>
      <c r="E630" s="242"/>
    </row>
    <row r="631" spans="1:5" ht="28.8">
      <c r="A631" s="241">
        <v>44661</v>
      </c>
      <c r="B631" s="241" t="s">
        <v>584</v>
      </c>
      <c r="C631" s="221" t="s">
        <v>114</v>
      </c>
      <c r="D631" s="222">
        <v>8.42</v>
      </c>
      <c r="E631" s="242"/>
    </row>
    <row r="632" spans="1:5" ht="28.8">
      <c r="A632" s="241">
        <v>44662</v>
      </c>
      <c r="B632" s="241" t="s">
        <v>585</v>
      </c>
      <c r="C632" s="221" t="s">
        <v>114</v>
      </c>
      <c r="D632" s="222">
        <v>8.42</v>
      </c>
      <c r="E632" s="242"/>
    </row>
    <row r="633" spans="1:5" ht="28.8">
      <c r="A633" s="241">
        <v>44663</v>
      </c>
      <c r="B633" s="241" t="s">
        <v>586</v>
      </c>
      <c r="C633" s="221" t="s">
        <v>114</v>
      </c>
      <c r="D633" s="222">
        <v>12.52</v>
      </c>
      <c r="E633" s="242"/>
    </row>
    <row r="634" spans="1:5" ht="28.8">
      <c r="A634" s="241">
        <v>44664</v>
      </c>
      <c r="B634" s="241" t="s">
        <v>587</v>
      </c>
      <c r="C634" s="221" t="s">
        <v>114</v>
      </c>
      <c r="D634" s="222">
        <v>32.21</v>
      </c>
      <c r="E634" s="242"/>
    </row>
    <row r="635" spans="1:5" ht="28.8">
      <c r="A635" s="241">
        <v>44665</v>
      </c>
      <c r="B635" s="241" t="s">
        <v>588</v>
      </c>
      <c r="C635" s="221" t="s">
        <v>114</v>
      </c>
      <c r="D635" s="222">
        <v>32.21</v>
      </c>
      <c r="E635" s="242"/>
    </row>
    <row r="636" spans="1:5" ht="28.8">
      <c r="A636" s="241">
        <v>44666</v>
      </c>
      <c r="B636" s="241" t="s">
        <v>589</v>
      </c>
      <c r="C636" s="221" t="s">
        <v>114</v>
      </c>
      <c r="D636" s="222">
        <v>32.21</v>
      </c>
      <c r="E636" s="242"/>
    </row>
    <row r="637" spans="1:5" ht="28.8">
      <c r="A637" s="241">
        <v>44667</v>
      </c>
      <c r="B637" s="241" t="s">
        <v>590</v>
      </c>
      <c r="C637" s="221" t="s">
        <v>114</v>
      </c>
      <c r="D637" s="222">
        <v>32.21</v>
      </c>
      <c r="E637" s="242"/>
    </row>
    <row r="638" spans="1:5" ht="28.8">
      <c r="A638" s="241">
        <v>44668</v>
      </c>
      <c r="B638" s="241" t="s">
        <v>591</v>
      </c>
      <c r="C638" s="221" t="s">
        <v>114</v>
      </c>
      <c r="D638" s="222">
        <v>44</v>
      </c>
      <c r="E638" s="242"/>
    </row>
    <row r="639" spans="1:5" ht="28.8">
      <c r="A639" s="241">
        <v>44669</v>
      </c>
      <c r="B639" s="241" t="s">
        <v>592</v>
      </c>
      <c r="C639" s="221" t="s">
        <v>114</v>
      </c>
      <c r="D639" s="222">
        <v>44</v>
      </c>
      <c r="E639" s="242"/>
    </row>
    <row r="640" spans="1:5" ht="28.8">
      <c r="A640" s="241">
        <v>44670</v>
      </c>
      <c r="B640" s="241" t="s">
        <v>593</v>
      </c>
      <c r="C640" s="221" t="s">
        <v>114</v>
      </c>
      <c r="D640" s="222">
        <v>47.22</v>
      </c>
      <c r="E640" s="242"/>
    </row>
    <row r="641" spans="1:5" ht="28.8">
      <c r="A641" s="241">
        <v>44671</v>
      </c>
      <c r="B641" s="241" t="s">
        <v>594</v>
      </c>
      <c r="C641" s="221" t="s">
        <v>114</v>
      </c>
      <c r="D641" s="222">
        <v>47.22</v>
      </c>
      <c r="E641" s="242"/>
    </row>
    <row r="642" spans="1:5" ht="28.8">
      <c r="A642" s="241">
        <v>44672</v>
      </c>
      <c r="B642" s="241" t="s">
        <v>595</v>
      </c>
      <c r="C642" s="221" t="s">
        <v>114</v>
      </c>
      <c r="D642" s="222">
        <v>47.22</v>
      </c>
      <c r="E642" s="242"/>
    </row>
    <row r="643" spans="1:5" ht="28.8">
      <c r="A643" s="241">
        <v>44673</v>
      </c>
      <c r="B643" s="241" t="s">
        <v>596</v>
      </c>
      <c r="C643" s="221" t="s">
        <v>114</v>
      </c>
      <c r="D643" s="222">
        <v>47.22</v>
      </c>
      <c r="E643" s="242"/>
    </row>
    <row r="644" spans="1:5" ht="28.8">
      <c r="A644" s="241">
        <v>44674</v>
      </c>
      <c r="B644" s="241" t="s">
        <v>597</v>
      </c>
      <c r="C644" s="221" t="s">
        <v>114</v>
      </c>
      <c r="D644" s="222">
        <v>55.37</v>
      </c>
      <c r="E644" s="242"/>
    </row>
    <row r="645" spans="1:5" ht="28.8">
      <c r="A645" s="241">
        <v>44675</v>
      </c>
      <c r="B645" s="241" t="s">
        <v>598</v>
      </c>
      <c r="C645" s="221" t="s">
        <v>114</v>
      </c>
      <c r="D645" s="222">
        <v>63.06</v>
      </c>
      <c r="E645" s="242"/>
    </row>
    <row r="646" spans="1:5" ht="28.8">
      <c r="A646" s="241">
        <v>44676</v>
      </c>
      <c r="B646" s="241" t="s">
        <v>599</v>
      </c>
      <c r="C646" s="221" t="s">
        <v>114</v>
      </c>
      <c r="D646" s="222">
        <v>101.08</v>
      </c>
      <c r="E646" s="242"/>
    </row>
    <row r="647" spans="1:5" ht="14.4">
      <c r="A647" s="240">
        <v>447</v>
      </c>
      <c r="B647" s="529" t="s">
        <v>572</v>
      </c>
      <c r="C647" s="530"/>
      <c r="D647" s="530"/>
      <c r="E647" s="531"/>
    </row>
    <row r="648" spans="1:5" ht="28.8">
      <c r="A648" s="241">
        <v>44711</v>
      </c>
      <c r="B648" s="241" t="s">
        <v>600</v>
      </c>
      <c r="C648" s="221" t="s">
        <v>114</v>
      </c>
      <c r="D648" s="222">
        <v>119.83</v>
      </c>
      <c r="E648" s="242"/>
    </row>
    <row r="649" spans="1:5" ht="28.8">
      <c r="A649" s="241">
        <v>44712</v>
      </c>
      <c r="B649" s="241" t="s">
        <v>601</v>
      </c>
      <c r="C649" s="221" t="s">
        <v>114</v>
      </c>
      <c r="D649" s="222">
        <v>95.62</v>
      </c>
      <c r="E649" s="242"/>
    </row>
    <row r="650" spans="1:5" ht="28.8">
      <c r="A650" s="241">
        <v>44715</v>
      </c>
      <c r="B650" s="241" t="s">
        <v>602</v>
      </c>
      <c r="C650" s="221" t="s">
        <v>114</v>
      </c>
      <c r="D650" s="222">
        <v>8.42</v>
      </c>
      <c r="E650" s="242"/>
    </row>
    <row r="651" spans="1:5" ht="28.8">
      <c r="A651" s="241">
        <v>44735</v>
      </c>
      <c r="B651" s="241" t="s">
        <v>7494</v>
      </c>
      <c r="C651" s="221" t="s">
        <v>114</v>
      </c>
      <c r="D651" s="222">
        <v>126.95</v>
      </c>
      <c r="E651" s="242"/>
    </row>
    <row r="652" spans="1:5" ht="28.8">
      <c r="A652" s="241">
        <v>44736</v>
      </c>
      <c r="B652" s="241" t="s">
        <v>15005</v>
      </c>
      <c r="C652" s="221" t="s">
        <v>114</v>
      </c>
      <c r="D652" s="222">
        <v>126.95</v>
      </c>
      <c r="E652" s="242"/>
    </row>
    <row r="653" spans="1:5" ht="28.8">
      <c r="A653" s="241">
        <v>44740</v>
      </c>
      <c r="B653" s="241" t="s">
        <v>603</v>
      </c>
      <c r="C653" s="221" t="s">
        <v>114</v>
      </c>
      <c r="D653" s="222">
        <v>15.36</v>
      </c>
      <c r="E653" s="242"/>
    </row>
    <row r="654" spans="1:5" ht="28.8">
      <c r="A654" s="241">
        <v>44760</v>
      </c>
      <c r="B654" s="241" t="s">
        <v>7495</v>
      </c>
      <c r="C654" s="221" t="s">
        <v>114</v>
      </c>
      <c r="D654" s="222">
        <v>31.46</v>
      </c>
      <c r="E654" s="242"/>
    </row>
    <row r="655" spans="1:5" ht="28.8">
      <c r="A655" s="241">
        <v>44781</v>
      </c>
      <c r="B655" s="241" t="s">
        <v>604</v>
      </c>
      <c r="C655" s="221" t="s">
        <v>114</v>
      </c>
      <c r="D655" s="222">
        <v>13.46</v>
      </c>
      <c r="E655" s="242"/>
    </row>
    <row r="656" spans="1:5" ht="28.8">
      <c r="A656" s="241">
        <v>44783</v>
      </c>
      <c r="B656" s="241" t="s">
        <v>605</v>
      </c>
      <c r="C656" s="221" t="s">
        <v>114</v>
      </c>
      <c r="D656" s="222">
        <v>342.12</v>
      </c>
      <c r="E656" s="242"/>
    </row>
    <row r="657" spans="1:5" ht="28.8">
      <c r="A657" s="241">
        <v>44793</v>
      </c>
      <c r="B657" s="241" t="s">
        <v>606</v>
      </c>
      <c r="C657" s="221" t="s">
        <v>114</v>
      </c>
      <c r="D657" s="222">
        <v>796.11</v>
      </c>
      <c r="E657" s="242"/>
    </row>
    <row r="658" spans="1:5" ht="14.4">
      <c r="A658" s="240">
        <v>448</v>
      </c>
      <c r="B658" s="529" t="s">
        <v>572</v>
      </c>
      <c r="C658" s="530"/>
      <c r="D658" s="530"/>
      <c r="E658" s="531"/>
    </row>
    <row r="659" spans="1:5" ht="28.8">
      <c r="A659" s="241">
        <v>44805</v>
      </c>
      <c r="B659" s="241" t="s">
        <v>607</v>
      </c>
      <c r="C659" s="221" t="s">
        <v>114</v>
      </c>
      <c r="D659" s="222">
        <v>335.33</v>
      </c>
      <c r="E659" s="242"/>
    </row>
    <row r="660" spans="1:5" ht="28.8">
      <c r="A660" s="241">
        <v>44808</v>
      </c>
      <c r="B660" s="241" t="s">
        <v>7496</v>
      </c>
      <c r="C660" s="221" t="s">
        <v>114</v>
      </c>
      <c r="D660" s="222">
        <v>31.71</v>
      </c>
      <c r="E660" s="242"/>
    </row>
    <row r="661" spans="1:5" ht="28.8">
      <c r="A661" s="241">
        <v>44833</v>
      </c>
      <c r="B661" s="241" t="s">
        <v>608</v>
      </c>
      <c r="C661" s="221" t="s">
        <v>114</v>
      </c>
      <c r="D661" s="222">
        <v>14.73</v>
      </c>
      <c r="E661" s="242"/>
    </row>
    <row r="662" spans="1:5" ht="28.8">
      <c r="A662" s="241">
        <v>44851</v>
      </c>
      <c r="B662" s="241" t="s">
        <v>609</v>
      </c>
      <c r="C662" s="221" t="s">
        <v>114</v>
      </c>
      <c r="D662" s="222">
        <v>18.55</v>
      </c>
      <c r="E662" s="242"/>
    </row>
    <row r="663" spans="1:5" ht="28.8">
      <c r="A663" s="241">
        <v>44852</v>
      </c>
      <c r="B663" s="241" t="s">
        <v>610</v>
      </c>
      <c r="C663" s="221" t="s">
        <v>114</v>
      </c>
      <c r="D663" s="222">
        <v>65.650000000000006</v>
      </c>
      <c r="E663" s="242"/>
    </row>
    <row r="664" spans="1:5" ht="28.8">
      <c r="A664" s="241">
        <v>44871</v>
      </c>
      <c r="B664" s="241" t="s">
        <v>611</v>
      </c>
      <c r="C664" s="221" t="s">
        <v>114</v>
      </c>
      <c r="D664" s="222">
        <v>72.34</v>
      </c>
      <c r="E664" s="242"/>
    </row>
    <row r="665" spans="1:5" ht="14.4">
      <c r="A665" s="240">
        <v>449</v>
      </c>
      <c r="B665" s="529" t="s">
        <v>612</v>
      </c>
      <c r="C665" s="530"/>
      <c r="D665" s="530"/>
      <c r="E665" s="531"/>
    </row>
    <row r="666" spans="1:5" ht="28.8">
      <c r="A666" s="241">
        <v>44905</v>
      </c>
      <c r="B666" s="241" t="s">
        <v>613</v>
      </c>
      <c r="C666" s="221" t="s">
        <v>114</v>
      </c>
      <c r="D666" s="222">
        <v>102.55</v>
      </c>
      <c r="E666" s="242"/>
    </row>
    <row r="667" spans="1:5" ht="28.8">
      <c r="A667" s="241">
        <v>44951</v>
      </c>
      <c r="B667" s="241" t="s">
        <v>7497</v>
      </c>
      <c r="C667" s="221" t="s">
        <v>114</v>
      </c>
      <c r="D667" s="222">
        <v>31.71</v>
      </c>
      <c r="E667" s="242"/>
    </row>
    <row r="668" spans="1:5" ht="14.4">
      <c r="A668" s="240">
        <v>450</v>
      </c>
      <c r="B668" s="529" t="s">
        <v>614</v>
      </c>
      <c r="C668" s="530"/>
      <c r="D668" s="530"/>
      <c r="E668" s="531"/>
    </row>
    <row r="669" spans="1:5" ht="28.8">
      <c r="A669" s="241">
        <v>45001</v>
      </c>
      <c r="B669" s="241" t="s">
        <v>2185</v>
      </c>
      <c r="C669" s="221" t="s">
        <v>114</v>
      </c>
      <c r="D669" s="222">
        <v>29.19</v>
      </c>
      <c r="E669" s="242"/>
    </row>
    <row r="670" spans="1:5" ht="28.8">
      <c r="A670" s="241">
        <v>45002</v>
      </c>
      <c r="B670" s="241" t="s">
        <v>615</v>
      </c>
      <c r="C670" s="221" t="s">
        <v>114</v>
      </c>
      <c r="D670" s="222">
        <v>33.090000000000003</v>
      </c>
      <c r="E670" s="242"/>
    </row>
    <row r="671" spans="1:5" ht="28.8">
      <c r="A671" s="241">
        <v>45003</v>
      </c>
      <c r="B671" s="241" t="s">
        <v>616</v>
      </c>
      <c r="C671" s="221" t="s">
        <v>114</v>
      </c>
      <c r="D671" s="222">
        <v>43.95</v>
      </c>
      <c r="E671" s="242"/>
    </row>
    <row r="672" spans="1:5" ht="28.8">
      <c r="A672" s="241">
        <v>45005</v>
      </c>
      <c r="B672" s="241" t="s">
        <v>617</v>
      </c>
      <c r="C672" s="221" t="s">
        <v>114</v>
      </c>
      <c r="D672" s="222">
        <v>84.86</v>
      </c>
      <c r="E672" s="242"/>
    </row>
    <row r="673" spans="1:5" ht="28.8">
      <c r="A673" s="241">
        <v>45035</v>
      </c>
      <c r="B673" s="241" t="s">
        <v>2186</v>
      </c>
      <c r="C673" s="221" t="s">
        <v>114</v>
      </c>
      <c r="D673" s="222">
        <v>90.67</v>
      </c>
      <c r="E673" s="242"/>
    </row>
    <row r="674" spans="1:5" ht="28.8">
      <c r="A674" s="241">
        <v>45037</v>
      </c>
      <c r="B674" s="241" t="s">
        <v>2187</v>
      </c>
      <c r="C674" s="221" t="s">
        <v>114</v>
      </c>
      <c r="D674" s="222">
        <v>347.26</v>
      </c>
      <c r="E674" s="242"/>
    </row>
    <row r="675" spans="1:5" ht="28.8">
      <c r="A675" s="241">
        <v>45044</v>
      </c>
      <c r="B675" s="241" t="s">
        <v>618</v>
      </c>
      <c r="C675" s="221" t="s">
        <v>114</v>
      </c>
      <c r="D675" s="222">
        <v>37.58</v>
      </c>
      <c r="E675" s="242"/>
    </row>
    <row r="676" spans="1:5" ht="14.4">
      <c r="A676" s="241">
        <v>45067</v>
      </c>
      <c r="B676" s="241" t="s">
        <v>15006</v>
      </c>
      <c r="C676" s="221" t="s">
        <v>114</v>
      </c>
      <c r="D676" s="222">
        <v>25.63</v>
      </c>
      <c r="E676" s="242"/>
    </row>
    <row r="677" spans="1:5" ht="15" customHeight="1">
      <c r="A677" s="240">
        <v>451</v>
      </c>
      <c r="B677" s="529" t="s">
        <v>619</v>
      </c>
      <c r="C677" s="530"/>
      <c r="D677" s="530"/>
      <c r="E677" s="531"/>
    </row>
    <row r="678" spans="1:5" ht="28.8">
      <c r="A678" s="241">
        <v>45104</v>
      </c>
      <c r="B678" s="241" t="s">
        <v>15781</v>
      </c>
      <c r="C678" s="221" t="s">
        <v>114</v>
      </c>
      <c r="D678" s="222">
        <v>2.35</v>
      </c>
      <c r="E678" s="242"/>
    </row>
    <row r="679" spans="1:5" ht="15" customHeight="1">
      <c r="A679" s="240">
        <v>452</v>
      </c>
      <c r="B679" s="529" t="s">
        <v>619</v>
      </c>
      <c r="C679" s="530"/>
      <c r="D679" s="530"/>
      <c r="E679" s="531"/>
    </row>
    <row r="680" spans="1:5" ht="43.2">
      <c r="A680" s="241">
        <v>45270</v>
      </c>
      <c r="B680" s="241" t="s">
        <v>15007</v>
      </c>
      <c r="C680" s="221" t="s">
        <v>114</v>
      </c>
      <c r="D680" s="222">
        <v>13.68</v>
      </c>
      <c r="E680" s="242"/>
    </row>
    <row r="681" spans="1:5" ht="14.4">
      <c r="A681" s="240">
        <v>454</v>
      </c>
      <c r="B681" s="529" t="s">
        <v>620</v>
      </c>
      <c r="C681" s="530"/>
      <c r="D681" s="530"/>
      <c r="E681" s="531"/>
    </row>
    <row r="682" spans="1:5" ht="14.4">
      <c r="A682" s="241">
        <v>45442</v>
      </c>
      <c r="B682" s="241" t="s">
        <v>621</v>
      </c>
      <c r="C682" s="221" t="s">
        <v>114</v>
      </c>
      <c r="D682" s="223">
        <v>2856.74</v>
      </c>
      <c r="E682" s="242"/>
    </row>
    <row r="683" spans="1:5" ht="15" customHeight="1">
      <c r="A683" s="240">
        <v>455</v>
      </c>
      <c r="B683" s="529" t="s">
        <v>622</v>
      </c>
      <c r="C683" s="530"/>
      <c r="D683" s="530"/>
      <c r="E683" s="531"/>
    </row>
    <row r="684" spans="1:5" ht="28.8">
      <c r="A684" s="241">
        <v>45501</v>
      </c>
      <c r="B684" s="241" t="s">
        <v>7498</v>
      </c>
      <c r="C684" s="221" t="s">
        <v>114</v>
      </c>
      <c r="D684" s="222">
        <v>18.45</v>
      </c>
      <c r="E684" s="242"/>
    </row>
    <row r="685" spans="1:5" ht="28.8">
      <c r="A685" s="241">
        <v>45502</v>
      </c>
      <c r="B685" s="241" t="s">
        <v>7499</v>
      </c>
      <c r="C685" s="221" t="s">
        <v>114</v>
      </c>
      <c r="D685" s="222">
        <v>22.54</v>
      </c>
      <c r="E685" s="242"/>
    </row>
    <row r="686" spans="1:5" ht="28.8">
      <c r="A686" s="241">
        <v>45505</v>
      </c>
      <c r="B686" s="241" t="s">
        <v>7500</v>
      </c>
      <c r="C686" s="221" t="s">
        <v>114</v>
      </c>
      <c r="D686" s="222">
        <v>18.309999999999999</v>
      </c>
      <c r="E686" s="242"/>
    </row>
    <row r="687" spans="1:5" ht="28.8">
      <c r="A687" s="241">
        <v>45519</v>
      </c>
      <c r="B687" s="241" t="s">
        <v>7501</v>
      </c>
      <c r="C687" s="221" t="s">
        <v>114</v>
      </c>
      <c r="D687" s="222">
        <v>22.09</v>
      </c>
      <c r="E687" s="242"/>
    </row>
    <row r="688" spans="1:5" ht="28.8">
      <c r="A688" s="241">
        <v>45520</v>
      </c>
      <c r="B688" s="241" t="s">
        <v>7502</v>
      </c>
      <c r="C688" s="221" t="s">
        <v>114</v>
      </c>
      <c r="D688" s="222">
        <v>19.739999999999998</v>
      </c>
      <c r="E688" s="242"/>
    </row>
    <row r="689" spans="1:5" ht="28.8">
      <c r="A689" s="241">
        <v>45523</v>
      </c>
      <c r="B689" s="241" t="s">
        <v>623</v>
      </c>
      <c r="C689" s="221" t="s">
        <v>114</v>
      </c>
      <c r="D689" s="222">
        <v>21.45</v>
      </c>
      <c r="E689" s="242"/>
    </row>
    <row r="690" spans="1:5" ht="14.4">
      <c r="A690" s="241">
        <v>45525</v>
      </c>
      <c r="B690" s="241" t="s">
        <v>624</v>
      </c>
      <c r="C690" s="221" t="s">
        <v>114</v>
      </c>
      <c r="D690" s="222">
        <v>5.88</v>
      </c>
      <c r="E690" s="242"/>
    </row>
    <row r="691" spans="1:5" ht="14.4">
      <c r="A691" s="241">
        <v>45526</v>
      </c>
      <c r="B691" s="241" t="s">
        <v>625</v>
      </c>
      <c r="C691" s="221" t="s">
        <v>114</v>
      </c>
      <c r="D691" s="222">
        <v>14.25</v>
      </c>
      <c r="E691" s="242"/>
    </row>
    <row r="692" spans="1:5" ht="15" customHeight="1">
      <c r="A692" s="240">
        <v>460</v>
      </c>
      <c r="B692" s="529" t="s">
        <v>626</v>
      </c>
      <c r="C692" s="530"/>
      <c r="D692" s="530"/>
      <c r="E692" s="531"/>
    </row>
    <row r="693" spans="1:5" ht="57.6">
      <c r="A693" s="241">
        <v>46001</v>
      </c>
      <c r="B693" s="241" t="s">
        <v>2188</v>
      </c>
      <c r="C693" s="221" t="s">
        <v>114</v>
      </c>
      <c r="D693" s="222">
        <v>125.8</v>
      </c>
      <c r="E693" s="242"/>
    </row>
    <row r="694" spans="1:5" ht="57.6">
      <c r="A694" s="241">
        <v>46002</v>
      </c>
      <c r="B694" s="241" t="s">
        <v>2189</v>
      </c>
      <c r="C694" s="221" t="s">
        <v>114</v>
      </c>
      <c r="D694" s="222">
        <v>141.96</v>
      </c>
      <c r="E694" s="242"/>
    </row>
    <row r="695" spans="1:5" ht="57.6">
      <c r="A695" s="241">
        <v>46003</v>
      </c>
      <c r="B695" s="241" t="s">
        <v>2190</v>
      </c>
      <c r="C695" s="221" t="s">
        <v>114</v>
      </c>
      <c r="D695" s="222">
        <v>183.7</v>
      </c>
      <c r="E695" s="242"/>
    </row>
    <row r="696" spans="1:5" ht="57.6">
      <c r="A696" s="241">
        <v>46004</v>
      </c>
      <c r="B696" s="241" t="s">
        <v>2191</v>
      </c>
      <c r="C696" s="221" t="s">
        <v>114</v>
      </c>
      <c r="D696" s="222">
        <v>235.92</v>
      </c>
      <c r="E696" s="242"/>
    </row>
    <row r="697" spans="1:5" ht="57.6">
      <c r="A697" s="241">
        <v>46009</v>
      </c>
      <c r="B697" s="241" t="s">
        <v>2192</v>
      </c>
      <c r="C697" s="221" t="s">
        <v>114</v>
      </c>
      <c r="D697" s="222">
        <v>91.22</v>
      </c>
      <c r="E697" s="242"/>
    </row>
    <row r="698" spans="1:5" ht="28.8">
      <c r="A698" s="241">
        <v>46027</v>
      </c>
      <c r="B698" s="241" t="s">
        <v>627</v>
      </c>
      <c r="C698" s="221" t="s">
        <v>114</v>
      </c>
      <c r="D698" s="222">
        <v>28.12</v>
      </c>
      <c r="E698" s="242"/>
    </row>
    <row r="699" spans="1:5" ht="28.8">
      <c r="A699" s="241">
        <v>46028</v>
      </c>
      <c r="B699" s="241" t="s">
        <v>628</v>
      </c>
      <c r="C699" s="221" t="s">
        <v>114</v>
      </c>
      <c r="D699" s="222">
        <v>45.14</v>
      </c>
      <c r="E699" s="242"/>
    </row>
    <row r="700" spans="1:5" ht="57.6">
      <c r="A700" s="241">
        <v>46036</v>
      </c>
      <c r="B700" s="241" t="s">
        <v>2193</v>
      </c>
      <c r="C700" s="221" t="s">
        <v>114</v>
      </c>
      <c r="D700" s="222">
        <v>104.51</v>
      </c>
      <c r="E700" s="242"/>
    </row>
    <row r="701" spans="1:5" ht="57.6">
      <c r="A701" s="241">
        <v>46038</v>
      </c>
      <c r="B701" s="241" t="s">
        <v>2194</v>
      </c>
      <c r="C701" s="221" t="s">
        <v>114</v>
      </c>
      <c r="D701" s="222">
        <v>316.06</v>
      </c>
      <c r="E701" s="242"/>
    </row>
    <row r="702" spans="1:5" ht="28.8">
      <c r="A702" s="241">
        <v>46058</v>
      </c>
      <c r="B702" s="241" t="s">
        <v>629</v>
      </c>
      <c r="C702" s="221" t="s">
        <v>114</v>
      </c>
      <c r="D702" s="222">
        <v>213.49</v>
      </c>
      <c r="E702" s="242"/>
    </row>
    <row r="703" spans="1:5" ht="57.6">
      <c r="A703" s="241">
        <v>46078</v>
      </c>
      <c r="B703" s="241" t="s">
        <v>2195</v>
      </c>
      <c r="C703" s="221" t="s">
        <v>114</v>
      </c>
      <c r="D703" s="222">
        <v>193.69</v>
      </c>
      <c r="E703" s="242"/>
    </row>
    <row r="704" spans="1:5" ht="14.4">
      <c r="A704" s="240">
        <v>465</v>
      </c>
      <c r="B704" s="529" t="s">
        <v>630</v>
      </c>
      <c r="C704" s="530"/>
      <c r="D704" s="530"/>
      <c r="E704" s="531"/>
    </row>
    <row r="705" spans="1:5" ht="15" customHeight="1">
      <c r="A705" s="241">
        <v>46501</v>
      </c>
      <c r="B705" s="241" t="s">
        <v>631</v>
      </c>
      <c r="C705" s="221" t="s">
        <v>114</v>
      </c>
      <c r="D705" s="222">
        <v>58.74</v>
      </c>
      <c r="E705" s="242"/>
    </row>
    <row r="706" spans="1:5" ht="14.4">
      <c r="A706" s="241">
        <v>46504</v>
      </c>
      <c r="B706" s="241" t="s">
        <v>632</v>
      </c>
      <c r="C706" s="221" t="s">
        <v>114</v>
      </c>
      <c r="D706" s="222">
        <v>6.03</v>
      </c>
      <c r="E706" s="242"/>
    </row>
    <row r="707" spans="1:5" ht="15" customHeight="1">
      <c r="A707" s="241">
        <v>46506</v>
      </c>
      <c r="B707" s="241" t="s">
        <v>633</v>
      </c>
      <c r="C707" s="221" t="s">
        <v>114</v>
      </c>
      <c r="D707" s="222">
        <v>34.619999999999997</v>
      </c>
      <c r="E707" s="242"/>
    </row>
    <row r="708" spans="1:5" ht="14.4">
      <c r="A708" s="241">
        <v>46509</v>
      </c>
      <c r="B708" s="241" t="s">
        <v>634</v>
      </c>
      <c r="C708" s="221" t="s">
        <v>114</v>
      </c>
      <c r="D708" s="222">
        <v>6.82</v>
      </c>
      <c r="E708" s="242"/>
    </row>
    <row r="709" spans="1:5" ht="28.8">
      <c r="A709" s="241">
        <v>46513</v>
      </c>
      <c r="B709" s="241" t="s">
        <v>2196</v>
      </c>
      <c r="C709" s="221" t="s">
        <v>114</v>
      </c>
      <c r="D709" s="222">
        <v>62.39</v>
      </c>
      <c r="E709" s="242"/>
    </row>
    <row r="710" spans="1:5" ht="14.4">
      <c r="A710" s="241">
        <v>46524</v>
      </c>
      <c r="B710" s="241" t="s">
        <v>635</v>
      </c>
      <c r="C710" s="221" t="s">
        <v>114</v>
      </c>
      <c r="D710" s="222">
        <v>13.26</v>
      </c>
      <c r="E710" s="242"/>
    </row>
    <row r="711" spans="1:5" ht="14.4">
      <c r="A711" s="241">
        <v>46525</v>
      </c>
      <c r="B711" s="241" t="s">
        <v>636</v>
      </c>
      <c r="C711" s="221" t="s">
        <v>114</v>
      </c>
      <c r="D711" s="222">
        <v>13.26</v>
      </c>
      <c r="E711" s="242"/>
    </row>
    <row r="712" spans="1:5" ht="14.4">
      <c r="A712" s="240">
        <v>466</v>
      </c>
      <c r="B712" s="529" t="s">
        <v>637</v>
      </c>
      <c r="C712" s="530"/>
      <c r="D712" s="530"/>
      <c r="E712" s="531"/>
    </row>
    <row r="713" spans="1:5" ht="43.2">
      <c r="A713" s="241">
        <v>46636</v>
      </c>
      <c r="B713" s="241" t="s">
        <v>2197</v>
      </c>
      <c r="C713" s="221" t="s">
        <v>114</v>
      </c>
      <c r="D713" s="222">
        <v>30.06</v>
      </c>
      <c r="E713" s="242"/>
    </row>
    <row r="714" spans="1:5" ht="14.4">
      <c r="A714" s="241">
        <v>46656</v>
      </c>
      <c r="B714" s="241" t="s">
        <v>638</v>
      </c>
      <c r="C714" s="221" t="s">
        <v>114</v>
      </c>
      <c r="D714" s="222">
        <v>28.2</v>
      </c>
      <c r="E714" s="242"/>
    </row>
    <row r="715" spans="1:5" ht="28.8">
      <c r="A715" s="241">
        <v>46689</v>
      </c>
      <c r="B715" s="241" t="s">
        <v>639</v>
      </c>
      <c r="C715" s="221" t="s">
        <v>114</v>
      </c>
      <c r="D715" s="222">
        <v>215.18</v>
      </c>
      <c r="E715" s="242"/>
    </row>
    <row r="716" spans="1:5" ht="15" customHeight="1">
      <c r="A716" s="240">
        <v>469</v>
      </c>
      <c r="B716" s="529" t="s">
        <v>640</v>
      </c>
      <c r="C716" s="530"/>
      <c r="D716" s="530"/>
      <c r="E716" s="531"/>
    </row>
    <row r="717" spans="1:5" ht="57.6">
      <c r="A717" s="241">
        <v>46947</v>
      </c>
      <c r="B717" s="241" t="s">
        <v>15008</v>
      </c>
      <c r="C717" s="221" t="s">
        <v>114</v>
      </c>
      <c r="D717" s="222">
        <v>65.34</v>
      </c>
      <c r="E717" s="242"/>
    </row>
    <row r="718" spans="1:5" ht="57.6">
      <c r="A718" s="241">
        <v>46986</v>
      </c>
      <c r="B718" s="241" t="s">
        <v>15009</v>
      </c>
      <c r="C718" s="221" t="s">
        <v>114</v>
      </c>
      <c r="D718" s="222">
        <v>105.62</v>
      </c>
      <c r="E718" s="242"/>
    </row>
    <row r="719" spans="1:5" ht="14.4">
      <c r="A719" s="240">
        <v>471</v>
      </c>
      <c r="B719" s="529" t="s">
        <v>640</v>
      </c>
      <c r="C719" s="530"/>
      <c r="D719" s="530"/>
      <c r="E719" s="531"/>
    </row>
    <row r="720" spans="1:5" ht="57.6">
      <c r="A720" s="241">
        <v>47160</v>
      </c>
      <c r="B720" s="241" t="s">
        <v>15010</v>
      </c>
      <c r="C720" s="221" t="s">
        <v>114</v>
      </c>
      <c r="D720" s="222">
        <v>105.59</v>
      </c>
      <c r="E720" s="242"/>
    </row>
    <row r="721" spans="1:5" ht="14.4">
      <c r="A721" s="240">
        <v>472</v>
      </c>
      <c r="B721" s="529" t="s">
        <v>641</v>
      </c>
      <c r="C721" s="530"/>
      <c r="D721" s="530"/>
      <c r="E721" s="531"/>
    </row>
    <row r="722" spans="1:5" ht="43.2">
      <c r="A722" s="241">
        <v>47239</v>
      </c>
      <c r="B722" s="241" t="s">
        <v>2198</v>
      </c>
      <c r="C722" s="221" t="s">
        <v>114</v>
      </c>
      <c r="D722" s="222">
        <v>491.33</v>
      </c>
      <c r="E722" s="242"/>
    </row>
    <row r="723" spans="1:5" ht="57.6">
      <c r="A723" s="241">
        <v>47270</v>
      </c>
      <c r="B723" s="241" t="s">
        <v>15011</v>
      </c>
      <c r="C723" s="221" t="s">
        <v>114</v>
      </c>
      <c r="D723" s="222">
        <v>142.1</v>
      </c>
      <c r="E723" s="242"/>
    </row>
    <row r="724" spans="1:5" ht="57.6">
      <c r="A724" s="241">
        <v>47271</v>
      </c>
      <c r="B724" s="241" t="s">
        <v>15012</v>
      </c>
      <c r="C724" s="221" t="s">
        <v>114</v>
      </c>
      <c r="D724" s="222">
        <v>65.790000000000006</v>
      </c>
      <c r="E724" s="242"/>
    </row>
    <row r="725" spans="1:5" ht="15" customHeight="1">
      <c r="A725" s="240">
        <v>475</v>
      </c>
      <c r="B725" s="529" t="s">
        <v>642</v>
      </c>
      <c r="C725" s="530"/>
      <c r="D725" s="530"/>
      <c r="E725" s="531"/>
    </row>
    <row r="726" spans="1:5" ht="28.8">
      <c r="A726" s="241">
        <v>47526</v>
      </c>
      <c r="B726" s="241" t="s">
        <v>643</v>
      </c>
      <c r="C726" s="221" t="s">
        <v>114</v>
      </c>
      <c r="D726" s="222">
        <v>99.33</v>
      </c>
      <c r="E726" s="242"/>
    </row>
    <row r="727" spans="1:5" ht="14.4">
      <c r="A727" s="241">
        <v>47527</v>
      </c>
      <c r="B727" s="241" t="s">
        <v>644</v>
      </c>
      <c r="C727" s="221" t="s">
        <v>114</v>
      </c>
      <c r="D727" s="222">
        <v>797.67</v>
      </c>
      <c r="E727" s="242"/>
    </row>
    <row r="728" spans="1:5" ht="28.8">
      <c r="A728" s="241">
        <v>47530</v>
      </c>
      <c r="B728" s="241" t="s">
        <v>645</v>
      </c>
      <c r="C728" s="221" t="s">
        <v>114</v>
      </c>
      <c r="D728" s="222">
        <v>776.25</v>
      </c>
      <c r="E728" s="242"/>
    </row>
    <row r="729" spans="1:5" ht="28.8">
      <c r="A729" s="241">
        <v>47561</v>
      </c>
      <c r="B729" s="241" t="s">
        <v>646</v>
      </c>
      <c r="C729" s="221" t="s">
        <v>114</v>
      </c>
      <c r="D729" s="222">
        <v>126.56</v>
      </c>
      <c r="E729" s="242"/>
    </row>
    <row r="730" spans="1:5" ht="28.8">
      <c r="A730" s="241">
        <v>47566</v>
      </c>
      <c r="B730" s="241" t="s">
        <v>647</v>
      </c>
      <c r="C730" s="221" t="s">
        <v>114</v>
      </c>
      <c r="D730" s="223">
        <v>1319.87</v>
      </c>
      <c r="E730" s="242"/>
    </row>
    <row r="731" spans="1:5" ht="28.8">
      <c r="A731" s="241">
        <v>47574</v>
      </c>
      <c r="B731" s="241" t="s">
        <v>9639</v>
      </c>
      <c r="C731" s="221" t="s">
        <v>114</v>
      </c>
      <c r="D731" s="223">
        <v>3358.37</v>
      </c>
      <c r="E731" s="242"/>
    </row>
    <row r="732" spans="1:5" ht="15" customHeight="1">
      <c r="A732" s="240">
        <v>476</v>
      </c>
      <c r="B732" s="529" t="s">
        <v>648</v>
      </c>
      <c r="C732" s="530"/>
      <c r="D732" s="530"/>
      <c r="E732" s="531"/>
    </row>
    <row r="733" spans="1:5" ht="28.8">
      <c r="A733" s="241">
        <v>47633</v>
      </c>
      <c r="B733" s="241" t="s">
        <v>649</v>
      </c>
      <c r="C733" s="221" t="s">
        <v>114</v>
      </c>
      <c r="D733" s="223">
        <v>1408.38</v>
      </c>
      <c r="E733" s="242"/>
    </row>
    <row r="734" spans="1:5" ht="28.8">
      <c r="A734" s="241">
        <v>47634</v>
      </c>
      <c r="B734" s="241" t="s">
        <v>650</v>
      </c>
      <c r="C734" s="221" t="s">
        <v>114</v>
      </c>
      <c r="D734" s="223">
        <v>1340.4</v>
      </c>
      <c r="E734" s="242"/>
    </row>
    <row r="735" spans="1:5" ht="15" customHeight="1">
      <c r="A735" s="240">
        <v>477</v>
      </c>
      <c r="B735" s="529" t="s">
        <v>648</v>
      </c>
      <c r="C735" s="530"/>
      <c r="D735" s="530"/>
      <c r="E735" s="531"/>
    </row>
    <row r="736" spans="1:5" ht="28.8">
      <c r="A736" s="241">
        <v>47795</v>
      </c>
      <c r="B736" s="241" t="s">
        <v>651</v>
      </c>
      <c r="C736" s="221" t="s">
        <v>114</v>
      </c>
      <c r="D736" s="222">
        <v>729.93</v>
      </c>
      <c r="E736" s="242"/>
    </row>
    <row r="737" spans="1:5" ht="15" customHeight="1">
      <c r="A737" s="240">
        <v>478</v>
      </c>
      <c r="B737" s="529" t="s">
        <v>652</v>
      </c>
      <c r="C737" s="530"/>
      <c r="D737" s="530"/>
      <c r="E737" s="531"/>
    </row>
    <row r="738" spans="1:5" ht="28.8">
      <c r="A738" s="241">
        <v>47855</v>
      </c>
      <c r="B738" s="241" t="s">
        <v>653</v>
      </c>
      <c r="C738" s="221" t="s">
        <v>114</v>
      </c>
      <c r="D738" s="222">
        <v>94.41</v>
      </c>
      <c r="E738" s="242"/>
    </row>
    <row r="739" spans="1:5" ht="28.8">
      <c r="A739" s="241">
        <v>47862</v>
      </c>
      <c r="B739" s="241" t="s">
        <v>654</v>
      </c>
      <c r="C739" s="221" t="s">
        <v>114</v>
      </c>
      <c r="D739" s="222">
        <v>235.57</v>
      </c>
      <c r="E739" s="242"/>
    </row>
    <row r="740" spans="1:5" ht="14.4">
      <c r="A740" s="240">
        <v>480</v>
      </c>
      <c r="B740" s="529" t="s">
        <v>655</v>
      </c>
      <c r="C740" s="530"/>
      <c r="D740" s="530"/>
      <c r="E740" s="531"/>
    </row>
    <row r="741" spans="1:5" ht="28.8">
      <c r="A741" s="241">
        <v>48002</v>
      </c>
      <c r="B741" s="241" t="s">
        <v>1797</v>
      </c>
      <c r="C741" s="221" t="s">
        <v>114</v>
      </c>
      <c r="D741" s="222">
        <v>74.05</v>
      </c>
      <c r="E741" s="242"/>
    </row>
    <row r="742" spans="1:5" ht="28.8">
      <c r="A742" s="241">
        <v>48004</v>
      </c>
      <c r="B742" s="241" t="s">
        <v>1839</v>
      </c>
      <c r="C742" s="221" t="s">
        <v>114</v>
      </c>
      <c r="D742" s="222">
        <v>147.97</v>
      </c>
      <c r="E742" s="242"/>
    </row>
    <row r="743" spans="1:5" ht="28.8">
      <c r="A743" s="241">
        <v>48015</v>
      </c>
      <c r="B743" s="241" t="s">
        <v>656</v>
      </c>
      <c r="C743" s="221" t="s">
        <v>114</v>
      </c>
      <c r="D743" s="222">
        <v>92.86</v>
      </c>
      <c r="E743" s="242"/>
    </row>
    <row r="744" spans="1:5" ht="28.8">
      <c r="A744" s="241">
        <v>48020</v>
      </c>
      <c r="B744" s="241" t="s">
        <v>657</v>
      </c>
      <c r="C744" s="221" t="s">
        <v>114</v>
      </c>
      <c r="D744" s="222">
        <v>12.97</v>
      </c>
      <c r="E744" s="242"/>
    </row>
    <row r="745" spans="1:5" ht="28.8">
      <c r="A745" s="241">
        <v>48035</v>
      </c>
      <c r="B745" s="241" t="s">
        <v>15782</v>
      </c>
      <c r="C745" s="221" t="s">
        <v>114</v>
      </c>
      <c r="D745" s="222">
        <v>60.39</v>
      </c>
      <c r="E745" s="242"/>
    </row>
    <row r="746" spans="1:5" ht="28.8">
      <c r="A746" s="241">
        <v>48036</v>
      </c>
      <c r="B746" s="241" t="s">
        <v>658</v>
      </c>
      <c r="C746" s="221" t="s">
        <v>114</v>
      </c>
      <c r="D746" s="222">
        <v>276.89</v>
      </c>
      <c r="E746" s="242"/>
    </row>
    <row r="747" spans="1:5" ht="28.8">
      <c r="A747" s="241">
        <v>48038</v>
      </c>
      <c r="B747" s="241" t="s">
        <v>1840</v>
      </c>
      <c r="C747" s="221" t="s">
        <v>114</v>
      </c>
      <c r="D747" s="222">
        <v>14.97</v>
      </c>
      <c r="E747" s="242"/>
    </row>
    <row r="748" spans="1:5" ht="28.8">
      <c r="A748" s="241">
        <v>48041</v>
      </c>
      <c r="B748" s="241" t="s">
        <v>2199</v>
      </c>
      <c r="C748" s="221" t="s">
        <v>114</v>
      </c>
      <c r="D748" s="222">
        <v>146.11000000000001</v>
      </c>
      <c r="E748" s="242"/>
    </row>
    <row r="749" spans="1:5" ht="28.8">
      <c r="A749" s="241">
        <v>48051</v>
      </c>
      <c r="B749" s="241" t="s">
        <v>1841</v>
      </c>
      <c r="C749" s="221" t="s">
        <v>114</v>
      </c>
      <c r="D749" s="222">
        <v>13.22</v>
      </c>
      <c r="E749" s="242"/>
    </row>
    <row r="750" spans="1:5" ht="28.8">
      <c r="A750" s="241">
        <v>48052</v>
      </c>
      <c r="B750" s="241" t="s">
        <v>659</v>
      </c>
      <c r="C750" s="221" t="s">
        <v>114</v>
      </c>
      <c r="D750" s="222">
        <v>6.69</v>
      </c>
      <c r="E750" s="242"/>
    </row>
    <row r="751" spans="1:5" ht="28.8">
      <c r="A751" s="241">
        <v>48053</v>
      </c>
      <c r="B751" s="241" t="s">
        <v>1842</v>
      </c>
      <c r="C751" s="221" t="s">
        <v>114</v>
      </c>
      <c r="D751" s="222">
        <v>34.61</v>
      </c>
      <c r="E751" s="242"/>
    </row>
    <row r="752" spans="1:5" ht="28.8">
      <c r="A752" s="241">
        <v>48054</v>
      </c>
      <c r="B752" s="241" t="s">
        <v>660</v>
      </c>
      <c r="C752" s="221" t="s">
        <v>114</v>
      </c>
      <c r="D752" s="222">
        <v>6.56</v>
      </c>
      <c r="E752" s="242"/>
    </row>
    <row r="753" spans="1:5" ht="28.8">
      <c r="A753" s="241">
        <v>48055</v>
      </c>
      <c r="B753" s="241" t="s">
        <v>661</v>
      </c>
      <c r="C753" s="221" t="s">
        <v>114</v>
      </c>
      <c r="D753" s="222">
        <v>22.33</v>
      </c>
      <c r="E753" s="242"/>
    </row>
    <row r="754" spans="1:5" ht="28.8">
      <c r="A754" s="241">
        <v>48056</v>
      </c>
      <c r="B754" s="241" t="s">
        <v>662</v>
      </c>
      <c r="C754" s="221" t="s">
        <v>114</v>
      </c>
      <c r="D754" s="222">
        <v>8.65</v>
      </c>
      <c r="E754" s="242"/>
    </row>
    <row r="755" spans="1:5" ht="28.8">
      <c r="A755" s="241">
        <v>48057</v>
      </c>
      <c r="B755" s="241" t="s">
        <v>663</v>
      </c>
      <c r="C755" s="221" t="s">
        <v>114</v>
      </c>
      <c r="D755" s="222">
        <v>8.83</v>
      </c>
      <c r="E755" s="242"/>
    </row>
    <row r="756" spans="1:5" ht="28.8">
      <c r="A756" s="241">
        <v>48064</v>
      </c>
      <c r="B756" s="241" t="s">
        <v>1843</v>
      </c>
      <c r="C756" s="221" t="s">
        <v>114</v>
      </c>
      <c r="D756" s="222">
        <v>16.190000000000001</v>
      </c>
      <c r="E756" s="242"/>
    </row>
    <row r="757" spans="1:5" ht="28.8">
      <c r="A757" s="241">
        <v>48067</v>
      </c>
      <c r="B757" s="241" t="s">
        <v>664</v>
      </c>
      <c r="C757" s="221" t="s">
        <v>114</v>
      </c>
      <c r="D757" s="222">
        <v>2.2400000000000002</v>
      </c>
      <c r="E757" s="242"/>
    </row>
    <row r="758" spans="1:5" ht="43.2">
      <c r="A758" s="241">
        <v>48070</v>
      </c>
      <c r="B758" s="241" t="s">
        <v>15013</v>
      </c>
      <c r="C758" s="221" t="s">
        <v>114</v>
      </c>
      <c r="D758" s="222">
        <v>1.1399999999999999</v>
      </c>
      <c r="E758" s="242"/>
    </row>
    <row r="759" spans="1:5" ht="28.8">
      <c r="A759" s="241">
        <v>48085</v>
      </c>
      <c r="B759" s="241" t="s">
        <v>1798</v>
      </c>
      <c r="C759" s="221" t="s">
        <v>114</v>
      </c>
      <c r="D759" s="222">
        <v>77.58</v>
      </c>
      <c r="E759" s="242"/>
    </row>
    <row r="760" spans="1:5" ht="14.4">
      <c r="A760" s="241">
        <v>481</v>
      </c>
      <c r="B760" s="241" t="s">
        <v>665</v>
      </c>
      <c r="C760" s="221"/>
      <c r="D760" s="222"/>
      <c r="E760" s="242"/>
    </row>
    <row r="761" spans="1:5" ht="28.8">
      <c r="A761" s="240">
        <v>48120</v>
      </c>
      <c r="B761" s="529" t="s">
        <v>1844</v>
      </c>
      <c r="C761" s="530" t="s">
        <v>114</v>
      </c>
      <c r="D761" s="530">
        <v>13.22</v>
      </c>
      <c r="E761" s="531"/>
    </row>
    <row r="762" spans="1:5" ht="28.8">
      <c r="A762" s="241">
        <v>48145</v>
      </c>
      <c r="B762" s="241" t="s">
        <v>1799</v>
      </c>
      <c r="C762" s="221" t="s">
        <v>114</v>
      </c>
      <c r="D762" s="222">
        <v>5.61</v>
      </c>
      <c r="E762" s="242"/>
    </row>
    <row r="763" spans="1:5" ht="28.8">
      <c r="A763" s="241">
        <v>48146</v>
      </c>
      <c r="B763" s="241" t="s">
        <v>666</v>
      </c>
      <c r="C763" s="221" t="s">
        <v>114</v>
      </c>
      <c r="D763" s="222">
        <v>6.3</v>
      </c>
      <c r="E763" s="242"/>
    </row>
    <row r="764" spans="1:5" ht="15" customHeight="1">
      <c r="A764" s="241">
        <v>48149</v>
      </c>
      <c r="B764" s="241" t="s">
        <v>2200</v>
      </c>
      <c r="C764" s="221" t="s">
        <v>114</v>
      </c>
      <c r="D764" s="222">
        <v>63.11</v>
      </c>
      <c r="E764" s="242"/>
    </row>
    <row r="765" spans="1:5" ht="28.8">
      <c r="A765" s="241">
        <v>48150</v>
      </c>
      <c r="B765" s="241" t="s">
        <v>667</v>
      </c>
      <c r="C765" s="221" t="s">
        <v>75</v>
      </c>
      <c r="D765" s="222">
        <v>68.36</v>
      </c>
      <c r="E765" s="242"/>
    </row>
    <row r="766" spans="1:5" ht="28.8">
      <c r="A766" s="241">
        <v>48151</v>
      </c>
      <c r="B766" s="241" t="s">
        <v>668</v>
      </c>
      <c r="C766" s="221" t="s">
        <v>75</v>
      </c>
      <c r="D766" s="222">
        <v>51.7</v>
      </c>
      <c r="E766" s="242"/>
    </row>
    <row r="767" spans="1:5" ht="15" customHeight="1">
      <c r="A767" s="241">
        <v>48152</v>
      </c>
      <c r="B767" s="241" t="s">
        <v>669</v>
      </c>
      <c r="C767" s="221" t="s">
        <v>75</v>
      </c>
      <c r="D767" s="222">
        <v>27.91</v>
      </c>
      <c r="E767" s="242"/>
    </row>
    <row r="768" spans="1:5" ht="14.4">
      <c r="A768" s="241">
        <v>482</v>
      </c>
      <c r="B768" s="241" t="s">
        <v>326</v>
      </c>
      <c r="C768" s="221"/>
      <c r="D768" s="222"/>
      <c r="E768" s="242"/>
    </row>
    <row r="769" spans="1:5" ht="15" customHeight="1">
      <c r="A769" s="240">
        <v>48220</v>
      </c>
      <c r="B769" s="529" t="s">
        <v>15014</v>
      </c>
      <c r="C769" s="530" t="s">
        <v>114</v>
      </c>
      <c r="D769" s="530">
        <v>19.16</v>
      </c>
      <c r="E769" s="531"/>
    </row>
    <row r="770" spans="1:5" ht="14.4">
      <c r="A770" s="241">
        <v>483</v>
      </c>
      <c r="B770" s="241" t="s">
        <v>459</v>
      </c>
      <c r="C770" s="221"/>
      <c r="D770" s="222"/>
      <c r="E770" s="242"/>
    </row>
    <row r="771" spans="1:5" ht="14.4">
      <c r="A771" s="240">
        <v>48316</v>
      </c>
      <c r="B771" s="529" t="s">
        <v>670</v>
      </c>
      <c r="C771" s="530" t="s">
        <v>114</v>
      </c>
      <c r="D771" s="530">
        <v>414.94</v>
      </c>
      <c r="E771" s="531"/>
    </row>
    <row r="772" spans="1:5" ht="28.8">
      <c r="A772" s="241">
        <v>48340</v>
      </c>
      <c r="B772" s="241" t="s">
        <v>1800</v>
      </c>
      <c r="C772" s="221" t="s">
        <v>114</v>
      </c>
      <c r="D772" s="222">
        <v>35.979999999999997</v>
      </c>
      <c r="E772" s="242"/>
    </row>
    <row r="773" spans="1:5" ht="28.8">
      <c r="A773" s="241">
        <v>48341</v>
      </c>
      <c r="B773" s="241" t="s">
        <v>671</v>
      </c>
      <c r="C773" s="221" t="s">
        <v>114</v>
      </c>
      <c r="D773" s="222">
        <v>81.34</v>
      </c>
      <c r="E773" s="242"/>
    </row>
    <row r="774" spans="1:5" ht="28.8">
      <c r="A774" s="241">
        <v>48342</v>
      </c>
      <c r="B774" s="241" t="s">
        <v>1845</v>
      </c>
      <c r="C774" s="221" t="s">
        <v>114</v>
      </c>
      <c r="D774" s="222">
        <v>9.14</v>
      </c>
      <c r="E774" s="242"/>
    </row>
    <row r="775" spans="1:5" ht="28.8">
      <c r="A775" s="241">
        <v>48365</v>
      </c>
      <c r="B775" s="241" t="s">
        <v>15015</v>
      </c>
      <c r="C775" s="221" t="s">
        <v>114</v>
      </c>
      <c r="D775" s="222">
        <v>8.43</v>
      </c>
      <c r="E775" s="242"/>
    </row>
    <row r="776" spans="1:5" ht="28.8">
      <c r="A776" s="241">
        <v>48390</v>
      </c>
      <c r="B776" s="241" t="s">
        <v>2201</v>
      </c>
      <c r="C776" s="221" t="s">
        <v>75</v>
      </c>
      <c r="D776" s="222">
        <v>52.62</v>
      </c>
      <c r="E776" s="242"/>
    </row>
    <row r="777" spans="1:5" ht="28.8">
      <c r="A777" s="241">
        <v>484</v>
      </c>
      <c r="B777" s="241" t="s">
        <v>672</v>
      </c>
      <c r="C777" s="221"/>
      <c r="D777" s="222"/>
      <c r="E777" s="242"/>
    </row>
    <row r="778" spans="1:5" ht="15" customHeight="1">
      <c r="A778" s="240">
        <v>48444</v>
      </c>
      <c r="B778" s="529" t="s">
        <v>673</v>
      </c>
      <c r="C778" s="530" t="s">
        <v>114</v>
      </c>
      <c r="D778" s="530">
        <v>35.92</v>
      </c>
      <c r="E778" s="531"/>
    </row>
    <row r="779" spans="1:5" ht="28.8">
      <c r="A779" s="241">
        <v>48458</v>
      </c>
      <c r="B779" s="241" t="s">
        <v>1846</v>
      </c>
      <c r="C779" s="221" t="s">
        <v>114</v>
      </c>
      <c r="D779" s="222">
        <v>1.42</v>
      </c>
      <c r="E779" s="242"/>
    </row>
    <row r="780" spans="1:5" ht="28.8">
      <c r="A780" s="241">
        <v>48474</v>
      </c>
      <c r="B780" s="241" t="s">
        <v>674</v>
      </c>
      <c r="C780" s="221" t="s">
        <v>114</v>
      </c>
      <c r="D780" s="222">
        <v>251.92</v>
      </c>
      <c r="E780" s="242"/>
    </row>
    <row r="781" spans="1:5" ht="28.8">
      <c r="A781" s="241">
        <v>485</v>
      </c>
      <c r="B781" s="241" t="s">
        <v>672</v>
      </c>
      <c r="C781" s="221"/>
      <c r="D781" s="222"/>
      <c r="E781" s="242"/>
    </row>
    <row r="782" spans="1:5" ht="15" customHeight="1">
      <c r="A782" s="240">
        <v>48502</v>
      </c>
      <c r="B782" s="529" t="s">
        <v>15016</v>
      </c>
      <c r="C782" s="530" t="s">
        <v>114</v>
      </c>
      <c r="D782" s="530">
        <v>1.1000000000000001</v>
      </c>
      <c r="E782" s="531"/>
    </row>
    <row r="783" spans="1:5" ht="28.8">
      <c r="A783" s="241">
        <v>48503</v>
      </c>
      <c r="B783" s="241" t="s">
        <v>15017</v>
      </c>
      <c r="C783" s="221" t="s">
        <v>114</v>
      </c>
      <c r="D783" s="222">
        <v>1.46</v>
      </c>
      <c r="E783" s="242"/>
    </row>
    <row r="784" spans="1:5" ht="28.8">
      <c r="A784" s="241">
        <v>48505</v>
      </c>
      <c r="B784" s="241" t="s">
        <v>15018</v>
      </c>
      <c r="C784" s="221" t="s">
        <v>114</v>
      </c>
      <c r="D784" s="222">
        <v>2.57</v>
      </c>
      <c r="E784" s="242"/>
    </row>
    <row r="785" spans="1:5" ht="28.8">
      <c r="A785" s="241">
        <v>48506</v>
      </c>
      <c r="B785" s="241" t="s">
        <v>15019</v>
      </c>
      <c r="C785" s="221" t="s">
        <v>114</v>
      </c>
      <c r="D785" s="222">
        <v>5.24</v>
      </c>
      <c r="E785" s="242"/>
    </row>
    <row r="786" spans="1:5" ht="28.8">
      <c r="A786" s="241">
        <v>48508</v>
      </c>
      <c r="B786" s="241" t="s">
        <v>15020</v>
      </c>
      <c r="C786" s="221" t="s">
        <v>114</v>
      </c>
      <c r="D786" s="222">
        <v>9.4499999999999993</v>
      </c>
      <c r="E786" s="242"/>
    </row>
    <row r="787" spans="1:5" ht="28.8">
      <c r="A787" s="241">
        <v>48510</v>
      </c>
      <c r="B787" s="241" t="s">
        <v>15021</v>
      </c>
      <c r="C787" s="221" t="s">
        <v>114</v>
      </c>
      <c r="D787" s="222">
        <v>10.93</v>
      </c>
      <c r="E787" s="242"/>
    </row>
    <row r="788" spans="1:5" ht="28.8">
      <c r="A788" s="241">
        <v>48512</v>
      </c>
      <c r="B788" s="241" t="s">
        <v>15022</v>
      </c>
      <c r="C788" s="221" t="s">
        <v>114</v>
      </c>
      <c r="D788" s="222">
        <v>37.44</v>
      </c>
      <c r="E788" s="242"/>
    </row>
    <row r="789" spans="1:5" ht="28.8">
      <c r="A789" s="241">
        <v>48516</v>
      </c>
      <c r="B789" s="241" t="s">
        <v>15023</v>
      </c>
      <c r="C789" s="221" t="s">
        <v>114</v>
      </c>
      <c r="D789" s="222">
        <v>0.68</v>
      </c>
      <c r="E789" s="242"/>
    </row>
    <row r="790" spans="1:5" ht="28.8">
      <c r="A790" s="241">
        <v>48517</v>
      </c>
      <c r="B790" s="241" t="s">
        <v>15024</v>
      </c>
      <c r="C790" s="221" t="s">
        <v>114</v>
      </c>
      <c r="D790" s="222">
        <v>1.21</v>
      </c>
      <c r="E790" s="242"/>
    </row>
    <row r="791" spans="1:5" ht="28.8">
      <c r="A791" s="241">
        <v>48519</v>
      </c>
      <c r="B791" s="241" t="s">
        <v>15025</v>
      </c>
      <c r="C791" s="221" t="s">
        <v>114</v>
      </c>
      <c r="D791" s="222">
        <v>2.06</v>
      </c>
      <c r="E791" s="242"/>
    </row>
    <row r="792" spans="1:5" ht="28.8">
      <c r="A792" s="241">
        <v>48520</v>
      </c>
      <c r="B792" s="241" t="s">
        <v>15026</v>
      </c>
      <c r="C792" s="221" t="s">
        <v>114</v>
      </c>
      <c r="D792" s="222">
        <v>2.58</v>
      </c>
      <c r="E792" s="242"/>
    </row>
    <row r="793" spans="1:5" ht="28.8">
      <c r="A793" s="241">
        <v>48522</v>
      </c>
      <c r="B793" s="241" t="s">
        <v>15027</v>
      </c>
      <c r="C793" s="221" t="s">
        <v>114</v>
      </c>
      <c r="D793" s="222">
        <v>7.14</v>
      </c>
      <c r="E793" s="242"/>
    </row>
    <row r="794" spans="1:5" ht="28.8">
      <c r="A794" s="241">
        <v>48524</v>
      </c>
      <c r="B794" s="241" t="s">
        <v>15028</v>
      </c>
      <c r="C794" s="221" t="s">
        <v>114</v>
      </c>
      <c r="D794" s="222">
        <v>9.99</v>
      </c>
      <c r="E794" s="242"/>
    </row>
    <row r="795" spans="1:5" ht="28.8">
      <c r="A795" s="241">
        <v>48525</v>
      </c>
      <c r="B795" s="241" t="s">
        <v>15029</v>
      </c>
      <c r="C795" s="221" t="s">
        <v>114</v>
      </c>
      <c r="D795" s="222">
        <v>23.75</v>
      </c>
      <c r="E795" s="242"/>
    </row>
    <row r="796" spans="1:5" ht="28.8">
      <c r="A796" s="241">
        <v>48534</v>
      </c>
      <c r="B796" s="241" t="s">
        <v>675</v>
      </c>
      <c r="C796" s="221" t="s">
        <v>114</v>
      </c>
      <c r="D796" s="222">
        <v>0.46</v>
      </c>
      <c r="E796" s="242"/>
    </row>
    <row r="797" spans="1:5" ht="28.8">
      <c r="A797" s="241">
        <v>48538</v>
      </c>
      <c r="B797" s="241" t="s">
        <v>2202</v>
      </c>
      <c r="C797" s="221" t="s">
        <v>114</v>
      </c>
      <c r="D797" s="222">
        <v>1.1299999999999999</v>
      </c>
      <c r="E797" s="242"/>
    </row>
    <row r="798" spans="1:5" ht="28.8">
      <c r="A798" s="241">
        <v>48553</v>
      </c>
      <c r="B798" s="241" t="s">
        <v>676</v>
      </c>
      <c r="C798" s="221" t="s">
        <v>114</v>
      </c>
      <c r="D798" s="222">
        <v>6.14</v>
      </c>
      <c r="E798" s="242"/>
    </row>
    <row r="799" spans="1:5" ht="28.8">
      <c r="A799" s="241">
        <v>48556</v>
      </c>
      <c r="B799" s="241" t="s">
        <v>1847</v>
      </c>
      <c r="C799" s="221" t="s">
        <v>114</v>
      </c>
      <c r="D799" s="222">
        <v>2.62</v>
      </c>
      <c r="E799" s="242"/>
    </row>
    <row r="800" spans="1:5" ht="28.8">
      <c r="A800" s="241">
        <v>486</v>
      </c>
      <c r="B800" s="241" t="s">
        <v>672</v>
      </c>
      <c r="C800" s="221"/>
      <c r="D800" s="222"/>
      <c r="E800" s="242"/>
    </row>
    <row r="801" spans="1:5" ht="15" customHeight="1">
      <c r="A801" s="240">
        <v>48604</v>
      </c>
      <c r="B801" s="529" t="s">
        <v>677</v>
      </c>
      <c r="C801" s="530" t="s">
        <v>114</v>
      </c>
      <c r="D801" s="530">
        <v>2.06</v>
      </c>
      <c r="E801" s="531"/>
    </row>
    <row r="802" spans="1:5" ht="28.8">
      <c r="A802" s="241">
        <v>48605</v>
      </c>
      <c r="B802" s="241" t="s">
        <v>678</v>
      </c>
      <c r="C802" s="221" t="s">
        <v>114</v>
      </c>
      <c r="D802" s="222">
        <v>6.9</v>
      </c>
      <c r="E802" s="242"/>
    </row>
    <row r="803" spans="1:5" ht="28.8">
      <c r="A803" s="241">
        <v>48606</v>
      </c>
      <c r="B803" s="241" t="s">
        <v>679</v>
      </c>
      <c r="C803" s="221" t="s">
        <v>114</v>
      </c>
      <c r="D803" s="222">
        <v>9.0500000000000007</v>
      </c>
      <c r="E803" s="242"/>
    </row>
    <row r="804" spans="1:5" ht="28.8">
      <c r="A804" s="241">
        <v>48607</v>
      </c>
      <c r="B804" s="241" t="s">
        <v>680</v>
      </c>
      <c r="C804" s="221" t="s">
        <v>114</v>
      </c>
      <c r="D804" s="222">
        <v>12.31</v>
      </c>
      <c r="E804" s="242"/>
    </row>
    <row r="805" spans="1:5" ht="28.8">
      <c r="A805" s="241">
        <v>48634</v>
      </c>
      <c r="B805" s="241" t="s">
        <v>681</v>
      </c>
      <c r="C805" s="221" t="s">
        <v>75</v>
      </c>
      <c r="D805" s="222">
        <v>35.9</v>
      </c>
      <c r="E805" s="242"/>
    </row>
    <row r="806" spans="1:5" ht="14.4">
      <c r="A806" s="241">
        <v>487</v>
      </c>
      <c r="B806" s="241" t="s">
        <v>682</v>
      </c>
      <c r="C806" s="221"/>
      <c r="D806" s="222"/>
      <c r="E806" s="242"/>
    </row>
    <row r="807" spans="1:5" ht="28.8">
      <c r="A807" s="240">
        <v>48701</v>
      </c>
      <c r="B807" s="529" t="s">
        <v>15783</v>
      </c>
      <c r="C807" s="530" t="s">
        <v>75</v>
      </c>
      <c r="D807" s="530">
        <v>14.7</v>
      </c>
      <c r="E807" s="531"/>
    </row>
    <row r="808" spans="1:5" ht="15" customHeight="1">
      <c r="A808" s="241">
        <v>48730</v>
      </c>
      <c r="B808" s="241" t="s">
        <v>1848</v>
      </c>
      <c r="C808" s="221" t="s">
        <v>114</v>
      </c>
      <c r="D808" s="222">
        <v>88.1</v>
      </c>
      <c r="E808" s="242"/>
    </row>
    <row r="809" spans="1:5" ht="28.8">
      <c r="A809" s="241">
        <v>48744</v>
      </c>
      <c r="B809" s="241" t="s">
        <v>683</v>
      </c>
      <c r="C809" s="221" t="s">
        <v>114</v>
      </c>
      <c r="D809" s="222">
        <v>84.56</v>
      </c>
      <c r="E809" s="242"/>
    </row>
    <row r="810" spans="1:5" ht="14.4">
      <c r="A810" s="241">
        <v>48747</v>
      </c>
      <c r="B810" s="241" t="s">
        <v>684</v>
      </c>
      <c r="C810" s="221" t="s">
        <v>114</v>
      </c>
      <c r="D810" s="222">
        <v>1.46</v>
      </c>
      <c r="E810" s="242"/>
    </row>
    <row r="811" spans="1:5" ht="28.8">
      <c r="A811" s="241">
        <v>48763</v>
      </c>
      <c r="B811" s="241" t="s">
        <v>685</v>
      </c>
      <c r="C811" s="221" t="s">
        <v>114</v>
      </c>
      <c r="D811" s="222">
        <v>25.22</v>
      </c>
      <c r="E811" s="242"/>
    </row>
    <row r="812" spans="1:5" ht="15" customHeight="1">
      <c r="A812" s="241">
        <v>48772</v>
      </c>
      <c r="B812" s="241" t="s">
        <v>686</v>
      </c>
      <c r="C812" s="221" t="s">
        <v>114</v>
      </c>
      <c r="D812" s="222">
        <v>114.96</v>
      </c>
      <c r="E812" s="242"/>
    </row>
    <row r="813" spans="1:5" ht="43.2">
      <c r="A813" s="241">
        <v>48782</v>
      </c>
      <c r="B813" s="241" t="s">
        <v>15784</v>
      </c>
      <c r="C813" s="221" t="s">
        <v>114</v>
      </c>
      <c r="D813" s="222">
        <v>58.79</v>
      </c>
      <c r="E813" s="242"/>
    </row>
    <row r="814" spans="1:5" ht="28.8">
      <c r="A814" s="241">
        <v>48784</v>
      </c>
      <c r="B814" s="241" t="s">
        <v>1849</v>
      </c>
      <c r="C814" s="221" t="s">
        <v>114</v>
      </c>
      <c r="D814" s="222">
        <v>162.46</v>
      </c>
      <c r="E814" s="242"/>
    </row>
    <row r="815" spans="1:5" ht="28.8">
      <c r="A815" s="241">
        <v>48790</v>
      </c>
      <c r="B815" s="241" t="s">
        <v>687</v>
      </c>
      <c r="C815" s="221" t="s">
        <v>114</v>
      </c>
      <c r="D815" s="222">
        <v>398.45</v>
      </c>
      <c r="E815" s="242"/>
    </row>
    <row r="816" spans="1:5" ht="28.8">
      <c r="A816" s="241">
        <v>48794</v>
      </c>
      <c r="B816" s="241" t="s">
        <v>688</v>
      </c>
      <c r="C816" s="221" t="s">
        <v>114</v>
      </c>
      <c r="D816" s="222">
        <v>47.26</v>
      </c>
      <c r="E816" s="242"/>
    </row>
    <row r="817" spans="1:5" ht="14.4">
      <c r="A817" s="241">
        <v>488</v>
      </c>
      <c r="B817" s="241" t="s">
        <v>334</v>
      </c>
      <c r="C817" s="221"/>
      <c r="D817" s="222"/>
      <c r="E817" s="242"/>
    </row>
    <row r="818" spans="1:5" ht="28.8">
      <c r="A818" s="240">
        <v>48860</v>
      </c>
      <c r="B818" s="529" t="s">
        <v>689</v>
      </c>
      <c r="C818" s="530" t="s">
        <v>114</v>
      </c>
      <c r="D818" s="530">
        <v>24.93</v>
      </c>
      <c r="E818" s="531"/>
    </row>
    <row r="819" spans="1:5" ht="14.4">
      <c r="A819" s="241">
        <v>489</v>
      </c>
      <c r="B819" s="241" t="s">
        <v>459</v>
      </c>
      <c r="C819" s="221"/>
      <c r="D819" s="222"/>
      <c r="E819" s="242"/>
    </row>
    <row r="820" spans="1:5" ht="28.8">
      <c r="A820" s="240">
        <v>48917</v>
      </c>
      <c r="B820" s="529" t="s">
        <v>690</v>
      </c>
      <c r="C820" s="530" t="s">
        <v>75</v>
      </c>
      <c r="D820" s="530">
        <v>4.96</v>
      </c>
      <c r="E820" s="531"/>
    </row>
    <row r="821" spans="1:5" ht="28.8">
      <c r="A821" s="241">
        <v>48986</v>
      </c>
      <c r="B821" s="241" t="s">
        <v>2203</v>
      </c>
      <c r="C821" s="221" t="s">
        <v>75</v>
      </c>
      <c r="D821" s="222">
        <v>79.64</v>
      </c>
      <c r="E821" s="242"/>
    </row>
    <row r="822" spans="1:5" ht="28.8">
      <c r="A822" s="241">
        <v>48987</v>
      </c>
      <c r="B822" s="241" t="s">
        <v>1801</v>
      </c>
      <c r="C822" s="221" t="s">
        <v>114</v>
      </c>
      <c r="D822" s="222">
        <v>49.52</v>
      </c>
      <c r="E822" s="242"/>
    </row>
    <row r="823" spans="1:5" ht="28.8">
      <c r="A823" s="241">
        <v>48988</v>
      </c>
      <c r="B823" s="241" t="s">
        <v>2204</v>
      </c>
      <c r="C823" s="221" t="s">
        <v>75</v>
      </c>
      <c r="D823" s="222">
        <v>121.02</v>
      </c>
      <c r="E823" s="242"/>
    </row>
    <row r="824" spans="1:5" ht="14.4">
      <c r="A824" s="241">
        <v>490</v>
      </c>
      <c r="B824" s="241" t="s">
        <v>691</v>
      </c>
      <c r="C824" s="221"/>
      <c r="D824" s="222"/>
      <c r="E824" s="242"/>
    </row>
    <row r="825" spans="1:5" ht="28.8">
      <c r="A825" s="240">
        <v>49002</v>
      </c>
      <c r="B825" s="529" t="s">
        <v>692</v>
      </c>
      <c r="C825" s="530" t="s">
        <v>114</v>
      </c>
      <c r="D825" s="530">
        <v>18.420000000000002</v>
      </c>
      <c r="E825" s="531"/>
    </row>
    <row r="826" spans="1:5" ht="14.4">
      <c r="A826" s="241">
        <v>49064</v>
      </c>
      <c r="B826" s="241" t="s">
        <v>693</v>
      </c>
      <c r="C826" s="221" t="s">
        <v>114</v>
      </c>
      <c r="D826" s="222">
        <v>4.55</v>
      </c>
      <c r="E826" s="242"/>
    </row>
    <row r="827" spans="1:5" ht="28.8">
      <c r="A827" s="241">
        <v>49072</v>
      </c>
      <c r="B827" s="241" t="s">
        <v>694</v>
      </c>
      <c r="C827" s="221" t="s">
        <v>114</v>
      </c>
      <c r="D827" s="222">
        <v>39.85</v>
      </c>
      <c r="E827" s="242"/>
    </row>
    <row r="828" spans="1:5" ht="14.4">
      <c r="A828" s="241">
        <v>491</v>
      </c>
      <c r="B828" s="241" t="s">
        <v>691</v>
      </c>
      <c r="C828" s="221"/>
      <c r="D828" s="222"/>
      <c r="E828" s="242"/>
    </row>
    <row r="829" spans="1:5" ht="28.8">
      <c r="A829" s="240">
        <v>49101</v>
      </c>
      <c r="B829" s="529" t="s">
        <v>7975</v>
      </c>
      <c r="C829" s="530" t="s">
        <v>114</v>
      </c>
      <c r="D829" s="530">
        <v>452.07</v>
      </c>
      <c r="E829" s="531"/>
    </row>
    <row r="830" spans="1:5" ht="14.4">
      <c r="A830" s="241">
        <v>49104</v>
      </c>
      <c r="B830" s="241" t="s">
        <v>695</v>
      </c>
      <c r="C830" s="221" t="s">
        <v>114</v>
      </c>
      <c r="D830" s="222">
        <v>2.02</v>
      </c>
      <c r="E830" s="242"/>
    </row>
    <row r="831" spans="1:5" ht="28.8">
      <c r="A831" s="241">
        <v>49112</v>
      </c>
      <c r="B831" s="241" t="s">
        <v>696</v>
      </c>
      <c r="C831" s="221" t="s">
        <v>114</v>
      </c>
      <c r="D831" s="222">
        <v>43.02</v>
      </c>
      <c r="E831" s="242"/>
    </row>
    <row r="832" spans="1:5" ht="15" customHeight="1">
      <c r="A832" s="241">
        <v>49123</v>
      </c>
      <c r="B832" s="241" t="s">
        <v>15030</v>
      </c>
      <c r="C832" s="221" t="s">
        <v>114</v>
      </c>
      <c r="D832" s="222">
        <v>4.12</v>
      </c>
      <c r="E832" s="242"/>
    </row>
    <row r="833" spans="1:5" ht="28.8">
      <c r="A833" s="241">
        <v>49143</v>
      </c>
      <c r="B833" s="241" t="s">
        <v>697</v>
      </c>
      <c r="C833" s="221" t="s">
        <v>114</v>
      </c>
      <c r="D833" s="222">
        <v>175.22</v>
      </c>
      <c r="E833" s="242"/>
    </row>
    <row r="834" spans="1:5" ht="43.2">
      <c r="A834" s="241">
        <v>49165</v>
      </c>
      <c r="B834" s="241" t="s">
        <v>2205</v>
      </c>
      <c r="C834" s="221" t="s">
        <v>114</v>
      </c>
      <c r="D834" s="222">
        <v>200.97</v>
      </c>
      <c r="E834" s="242"/>
    </row>
    <row r="835" spans="1:5" ht="28.8">
      <c r="A835" s="241">
        <v>49170</v>
      </c>
      <c r="B835" s="241" t="s">
        <v>698</v>
      </c>
      <c r="C835" s="221" t="s">
        <v>114</v>
      </c>
      <c r="D835" s="222">
        <v>2022.06</v>
      </c>
      <c r="E835" s="242"/>
    </row>
    <row r="836" spans="1:5" ht="14.4">
      <c r="A836" s="241">
        <v>492</v>
      </c>
      <c r="B836" s="241" t="s">
        <v>699</v>
      </c>
      <c r="C836" s="221"/>
      <c r="D836" s="223"/>
      <c r="E836" s="242"/>
    </row>
    <row r="837" spans="1:5" ht="28.8">
      <c r="A837" s="240">
        <v>49227</v>
      </c>
      <c r="B837" s="529" t="s">
        <v>700</v>
      </c>
      <c r="C837" s="530" t="s">
        <v>114</v>
      </c>
      <c r="D837" s="530">
        <v>4.5599999999999996</v>
      </c>
      <c r="E837" s="531"/>
    </row>
    <row r="838" spans="1:5" ht="28.8">
      <c r="A838" s="241">
        <v>49228</v>
      </c>
      <c r="B838" s="241" t="s">
        <v>701</v>
      </c>
      <c r="C838" s="221" t="s">
        <v>114</v>
      </c>
      <c r="D838" s="222">
        <v>6.14</v>
      </c>
      <c r="E838" s="242"/>
    </row>
    <row r="839" spans="1:5" ht="28.8">
      <c r="A839" s="241">
        <v>49241</v>
      </c>
      <c r="B839" s="241" t="s">
        <v>702</v>
      </c>
      <c r="C839" s="221" t="s">
        <v>114</v>
      </c>
      <c r="D839" s="222">
        <v>7.25</v>
      </c>
      <c r="E839" s="242"/>
    </row>
    <row r="840" spans="1:5" ht="28.8">
      <c r="A840" s="241">
        <v>49242</v>
      </c>
      <c r="B840" s="241" t="s">
        <v>7976</v>
      </c>
      <c r="C840" s="221" t="s">
        <v>114</v>
      </c>
      <c r="D840" s="222">
        <v>4.47</v>
      </c>
      <c r="E840" s="242"/>
    </row>
    <row r="841" spans="1:5" ht="43.2">
      <c r="A841" s="241">
        <v>49243</v>
      </c>
      <c r="B841" s="241" t="s">
        <v>15031</v>
      </c>
      <c r="C841" s="221" t="s">
        <v>114</v>
      </c>
      <c r="D841" s="222">
        <v>5.78</v>
      </c>
      <c r="E841" s="242"/>
    </row>
    <row r="842" spans="1:5" ht="28.8">
      <c r="A842" s="241">
        <v>49249</v>
      </c>
      <c r="B842" s="241" t="s">
        <v>703</v>
      </c>
      <c r="C842" s="221" t="s">
        <v>114</v>
      </c>
      <c r="D842" s="222">
        <v>10.91</v>
      </c>
      <c r="E842" s="242"/>
    </row>
    <row r="843" spans="1:5" ht="28.8">
      <c r="A843" s="241">
        <v>49274</v>
      </c>
      <c r="B843" s="241" t="s">
        <v>2206</v>
      </c>
      <c r="C843" s="221" t="s">
        <v>114</v>
      </c>
      <c r="D843" s="222">
        <v>110.76</v>
      </c>
      <c r="E843" s="242"/>
    </row>
    <row r="844" spans="1:5" ht="28.8">
      <c r="A844" s="241">
        <v>49275</v>
      </c>
      <c r="B844" s="241" t="s">
        <v>2207</v>
      </c>
      <c r="C844" s="221" t="s">
        <v>114</v>
      </c>
      <c r="D844" s="222">
        <v>147.82</v>
      </c>
      <c r="E844" s="242"/>
    </row>
    <row r="845" spans="1:5" ht="28.8">
      <c r="A845" s="241">
        <v>49289</v>
      </c>
      <c r="B845" s="241" t="s">
        <v>704</v>
      </c>
      <c r="C845" s="221" t="s">
        <v>114</v>
      </c>
      <c r="D845" s="222">
        <v>12.58</v>
      </c>
      <c r="E845" s="242"/>
    </row>
    <row r="846" spans="1:5" ht="14.4">
      <c r="A846" s="241">
        <v>494</v>
      </c>
      <c r="B846" s="241" t="s">
        <v>705</v>
      </c>
      <c r="C846" s="221"/>
      <c r="D846" s="222"/>
      <c r="E846" s="242"/>
    </row>
    <row r="847" spans="1:5" ht="28.8">
      <c r="A847" s="240">
        <v>49424</v>
      </c>
      <c r="B847" s="529" t="s">
        <v>706</v>
      </c>
      <c r="C847" s="530" t="s">
        <v>114</v>
      </c>
      <c r="D847" s="530">
        <v>11.43</v>
      </c>
      <c r="E847" s="531"/>
    </row>
    <row r="848" spans="1:5" ht="14.4">
      <c r="A848" s="241">
        <v>49428</v>
      </c>
      <c r="B848" s="241" t="s">
        <v>707</v>
      </c>
      <c r="C848" s="221" t="s">
        <v>114</v>
      </c>
      <c r="D848" s="222">
        <v>4.62</v>
      </c>
      <c r="E848" s="242"/>
    </row>
    <row r="849" spans="1:5" ht="28.8">
      <c r="A849" s="241">
        <v>49459</v>
      </c>
      <c r="B849" s="241" t="s">
        <v>1850</v>
      </c>
      <c r="C849" s="221" t="s">
        <v>114</v>
      </c>
      <c r="D849" s="222">
        <v>551.41999999999996</v>
      </c>
      <c r="E849" s="242"/>
    </row>
    <row r="850" spans="1:5" ht="28.8">
      <c r="A850" s="241">
        <v>49463</v>
      </c>
      <c r="B850" s="241" t="s">
        <v>2208</v>
      </c>
      <c r="C850" s="221" t="s">
        <v>114</v>
      </c>
      <c r="D850" s="222">
        <v>98.27</v>
      </c>
      <c r="E850" s="242"/>
    </row>
    <row r="851" spans="1:5" ht="28.8">
      <c r="A851" s="241">
        <v>49464</v>
      </c>
      <c r="B851" s="241" t="s">
        <v>2209</v>
      </c>
      <c r="C851" s="221" t="s">
        <v>114</v>
      </c>
      <c r="D851" s="222">
        <v>147.69999999999999</v>
      </c>
      <c r="E851" s="242"/>
    </row>
    <row r="852" spans="1:5" ht="14.4">
      <c r="A852" s="241">
        <v>49488</v>
      </c>
      <c r="B852" s="241" t="s">
        <v>708</v>
      </c>
      <c r="C852" s="221" t="s">
        <v>114</v>
      </c>
      <c r="D852" s="222">
        <v>1.49</v>
      </c>
      <c r="E852" s="242"/>
    </row>
    <row r="853" spans="1:5" ht="28.8">
      <c r="A853" s="241">
        <v>49492</v>
      </c>
      <c r="B853" s="241" t="s">
        <v>709</v>
      </c>
      <c r="C853" s="221" t="s">
        <v>114</v>
      </c>
      <c r="D853" s="222">
        <v>4.13</v>
      </c>
      <c r="E853" s="242"/>
    </row>
    <row r="854" spans="1:5" ht="28.8">
      <c r="A854" s="241">
        <v>49493</v>
      </c>
      <c r="B854" s="241" t="s">
        <v>710</v>
      </c>
      <c r="C854" s="221" t="s">
        <v>114</v>
      </c>
      <c r="D854" s="222">
        <v>8.19</v>
      </c>
      <c r="E854" s="242"/>
    </row>
    <row r="855" spans="1:5" ht="14.4">
      <c r="A855" s="241">
        <v>495</v>
      </c>
      <c r="B855" s="241" t="s">
        <v>326</v>
      </c>
      <c r="C855" s="221"/>
      <c r="D855" s="222"/>
      <c r="E855" s="242"/>
    </row>
    <row r="856" spans="1:5" ht="28.8">
      <c r="A856" s="240">
        <v>49502</v>
      </c>
      <c r="B856" s="529" t="s">
        <v>711</v>
      </c>
      <c r="C856" s="530" t="s">
        <v>114</v>
      </c>
      <c r="D856" s="530">
        <v>2.02</v>
      </c>
      <c r="E856" s="531"/>
    </row>
    <row r="857" spans="1:5" ht="14.4">
      <c r="A857" s="241">
        <v>49503</v>
      </c>
      <c r="B857" s="241" t="s">
        <v>712</v>
      </c>
      <c r="C857" s="221" t="s">
        <v>114</v>
      </c>
      <c r="D857" s="222">
        <v>22.35</v>
      </c>
      <c r="E857" s="242"/>
    </row>
    <row r="858" spans="1:5" ht="28.8">
      <c r="A858" s="241">
        <v>49505</v>
      </c>
      <c r="B858" s="241" t="s">
        <v>713</v>
      </c>
      <c r="C858" s="221" t="s">
        <v>114</v>
      </c>
      <c r="D858" s="222">
        <v>5.01</v>
      </c>
      <c r="E858" s="242"/>
    </row>
    <row r="859" spans="1:5" ht="14.4">
      <c r="A859" s="241">
        <v>49507</v>
      </c>
      <c r="B859" s="241" t="s">
        <v>2210</v>
      </c>
      <c r="C859" s="221" t="s">
        <v>114</v>
      </c>
      <c r="D859" s="222">
        <v>3.67</v>
      </c>
      <c r="E859" s="242"/>
    </row>
    <row r="860" spans="1:5" ht="28.8">
      <c r="A860" s="241">
        <v>49510</v>
      </c>
      <c r="B860" s="241" t="s">
        <v>15032</v>
      </c>
      <c r="C860" s="221" t="s">
        <v>114</v>
      </c>
      <c r="D860" s="222">
        <v>744.01</v>
      </c>
      <c r="E860" s="242"/>
    </row>
    <row r="861" spans="1:5" ht="28.8">
      <c r="A861" s="241">
        <v>49512</v>
      </c>
      <c r="B861" s="241" t="s">
        <v>7977</v>
      </c>
      <c r="C861" s="221" t="s">
        <v>114</v>
      </c>
      <c r="D861" s="222">
        <v>27.94</v>
      </c>
      <c r="E861" s="242"/>
    </row>
    <row r="862" spans="1:5" ht="14.4">
      <c r="A862" s="241">
        <v>49514</v>
      </c>
      <c r="B862" s="241" t="s">
        <v>714</v>
      </c>
      <c r="C862" s="221" t="s">
        <v>114</v>
      </c>
      <c r="D862" s="222">
        <v>20.03</v>
      </c>
      <c r="E862" s="242"/>
    </row>
    <row r="863" spans="1:5" ht="43.2">
      <c r="A863" s="241">
        <v>49521</v>
      </c>
      <c r="B863" s="241" t="s">
        <v>15033</v>
      </c>
      <c r="C863" s="221" t="s">
        <v>114</v>
      </c>
      <c r="D863" s="222">
        <v>11.51</v>
      </c>
      <c r="E863" s="242"/>
    </row>
    <row r="864" spans="1:5" ht="28.8">
      <c r="A864" s="241">
        <v>49524</v>
      </c>
      <c r="B864" s="241" t="s">
        <v>9640</v>
      </c>
      <c r="C864" s="221" t="s">
        <v>75</v>
      </c>
      <c r="D864" s="222">
        <v>26.5</v>
      </c>
      <c r="E864" s="242"/>
    </row>
    <row r="865" spans="1:5" ht="28.8">
      <c r="A865" s="241">
        <v>49537</v>
      </c>
      <c r="B865" s="241" t="s">
        <v>15785</v>
      </c>
      <c r="C865" s="221" t="s">
        <v>114</v>
      </c>
      <c r="D865" s="222">
        <v>8.11</v>
      </c>
      <c r="E865" s="242"/>
    </row>
    <row r="866" spans="1:5" ht="14.4">
      <c r="A866" s="241">
        <v>49565</v>
      </c>
      <c r="B866" s="241" t="s">
        <v>715</v>
      </c>
      <c r="C866" s="221" t="s">
        <v>114</v>
      </c>
      <c r="D866" s="222">
        <v>24.46</v>
      </c>
      <c r="E866" s="242"/>
    </row>
    <row r="867" spans="1:5" ht="14.4">
      <c r="A867" s="241">
        <v>49566</v>
      </c>
      <c r="B867" s="241" t="s">
        <v>716</v>
      </c>
      <c r="C867" s="221" t="s">
        <v>114</v>
      </c>
      <c r="D867" s="222">
        <v>3.37</v>
      </c>
      <c r="E867" s="242"/>
    </row>
    <row r="868" spans="1:5" ht="28.8">
      <c r="A868" s="241">
        <v>49567</v>
      </c>
      <c r="B868" s="241" t="s">
        <v>717</v>
      </c>
      <c r="C868" s="221" t="s">
        <v>114</v>
      </c>
      <c r="D868" s="222">
        <v>54.05</v>
      </c>
      <c r="E868" s="242"/>
    </row>
    <row r="869" spans="1:5" ht="14.4">
      <c r="A869" s="241">
        <v>49568</v>
      </c>
      <c r="B869" s="241" t="s">
        <v>718</v>
      </c>
      <c r="C869" s="221" t="s">
        <v>114</v>
      </c>
      <c r="D869" s="222">
        <v>9.01</v>
      </c>
      <c r="E869" s="242"/>
    </row>
    <row r="870" spans="1:5" ht="14.4">
      <c r="A870" s="241">
        <v>49570</v>
      </c>
      <c r="B870" s="241" t="s">
        <v>719</v>
      </c>
      <c r="C870" s="221" t="s">
        <v>114</v>
      </c>
      <c r="D870" s="222">
        <v>8.5500000000000007</v>
      </c>
      <c r="E870" s="242"/>
    </row>
    <row r="871" spans="1:5" ht="28.8">
      <c r="A871" s="241">
        <v>49582</v>
      </c>
      <c r="B871" s="241" t="s">
        <v>15034</v>
      </c>
      <c r="C871" s="221" t="s">
        <v>114</v>
      </c>
      <c r="D871" s="222">
        <v>174.67</v>
      </c>
      <c r="E871" s="242"/>
    </row>
    <row r="872" spans="1:5" ht="14.4">
      <c r="A872" s="241">
        <v>496</v>
      </c>
      <c r="B872" s="241" t="s">
        <v>334</v>
      </c>
      <c r="C872" s="221"/>
      <c r="D872" s="222"/>
      <c r="E872" s="242"/>
    </row>
    <row r="873" spans="1:5" ht="28.8">
      <c r="A873" s="240">
        <v>49606</v>
      </c>
      <c r="B873" s="529" t="s">
        <v>9641</v>
      </c>
      <c r="C873" s="530" t="s">
        <v>75</v>
      </c>
      <c r="D873" s="530">
        <v>15.64</v>
      </c>
      <c r="E873" s="531"/>
    </row>
    <row r="874" spans="1:5" ht="28.8">
      <c r="A874" s="241">
        <v>49626</v>
      </c>
      <c r="B874" s="241" t="s">
        <v>720</v>
      </c>
      <c r="C874" s="221" t="s">
        <v>114</v>
      </c>
      <c r="D874" s="222">
        <v>3.83</v>
      </c>
      <c r="E874" s="242"/>
    </row>
    <row r="875" spans="1:5" ht="28.8">
      <c r="A875" s="241">
        <v>49633</v>
      </c>
      <c r="B875" s="241" t="s">
        <v>721</v>
      </c>
      <c r="C875" s="221" t="s">
        <v>114</v>
      </c>
      <c r="D875" s="222">
        <v>1.39</v>
      </c>
      <c r="E875" s="242"/>
    </row>
    <row r="876" spans="1:5" ht="28.8">
      <c r="A876" s="241">
        <v>49645</v>
      </c>
      <c r="B876" s="241" t="s">
        <v>7978</v>
      </c>
      <c r="C876" s="221" t="s">
        <v>114</v>
      </c>
      <c r="D876" s="222">
        <v>284.38</v>
      </c>
      <c r="E876" s="242"/>
    </row>
    <row r="877" spans="1:5" ht="28.8">
      <c r="A877" s="241">
        <v>49654</v>
      </c>
      <c r="B877" s="241" t="s">
        <v>722</v>
      </c>
      <c r="C877" s="221" t="s">
        <v>114</v>
      </c>
      <c r="D877" s="222">
        <v>34.049999999999997</v>
      </c>
      <c r="E877" s="242"/>
    </row>
    <row r="878" spans="1:5" ht="28.8">
      <c r="A878" s="241">
        <v>49666</v>
      </c>
      <c r="B878" s="241" t="s">
        <v>9642</v>
      </c>
      <c r="C878" s="221" t="s">
        <v>75</v>
      </c>
      <c r="D878" s="222">
        <v>22.18</v>
      </c>
      <c r="E878" s="242"/>
    </row>
    <row r="879" spans="1:5" ht="14.4">
      <c r="A879" s="241">
        <v>49674</v>
      </c>
      <c r="B879" s="241" t="s">
        <v>723</v>
      </c>
      <c r="C879" s="221" t="s">
        <v>114</v>
      </c>
      <c r="D879" s="222">
        <v>30.48</v>
      </c>
      <c r="E879" s="242"/>
    </row>
    <row r="880" spans="1:5" ht="14.4">
      <c r="A880" s="241">
        <v>49681</v>
      </c>
      <c r="B880" s="241" t="s">
        <v>15035</v>
      </c>
      <c r="C880" s="221" t="s">
        <v>114</v>
      </c>
      <c r="D880" s="222">
        <v>4.79</v>
      </c>
      <c r="E880" s="242"/>
    </row>
    <row r="881" spans="1:5" ht="14.4">
      <c r="A881" s="241">
        <v>49686</v>
      </c>
      <c r="B881" s="241" t="s">
        <v>724</v>
      </c>
      <c r="C881" s="221" t="s">
        <v>114</v>
      </c>
      <c r="D881" s="222">
        <v>73.73</v>
      </c>
      <c r="E881" s="242"/>
    </row>
    <row r="882" spans="1:5" ht="28.8">
      <c r="A882" s="241">
        <v>49694</v>
      </c>
      <c r="B882" s="241" t="s">
        <v>725</v>
      </c>
      <c r="C882" s="221" t="s">
        <v>114</v>
      </c>
      <c r="D882" s="222">
        <v>24.95</v>
      </c>
      <c r="E882" s="242"/>
    </row>
    <row r="883" spans="1:5" ht="14.4">
      <c r="A883" s="241">
        <v>49695</v>
      </c>
      <c r="B883" s="241" t="s">
        <v>726</v>
      </c>
      <c r="C883" s="221" t="s">
        <v>114</v>
      </c>
      <c r="D883" s="222">
        <v>59.69</v>
      </c>
      <c r="E883" s="242"/>
    </row>
    <row r="884" spans="1:5" ht="14.4">
      <c r="A884" s="241">
        <v>49696</v>
      </c>
      <c r="B884" s="241" t="s">
        <v>727</v>
      </c>
      <c r="C884" s="221" t="s">
        <v>114</v>
      </c>
      <c r="D884" s="222">
        <v>157.78</v>
      </c>
      <c r="E884" s="242"/>
    </row>
    <row r="885" spans="1:5" ht="14.4">
      <c r="A885" s="241">
        <v>497</v>
      </c>
      <c r="B885" s="241" t="s">
        <v>326</v>
      </c>
      <c r="C885" s="221"/>
      <c r="D885" s="222"/>
      <c r="E885" s="242"/>
    </row>
    <row r="886" spans="1:5" ht="28.8">
      <c r="A886" s="240">
        <v>49709</v>
      </c>
      <c r="B886" s="529" t="s">
        <v>15786</v>
      </c>
      <c r="C886" s="530" t="s">
        <v>114</v>
      </c>
      <c r="D886" s="530">
        <v>3.82</v>
      </c>
      <c r="E886" s="531"/>
    </row>
    <row r="887" spans="1:5" ht="28.8">
      <c r="A887" s="241">
        <v>49729</v>
      </c>
      <c r="B887" s="241" t="s">
        <v>728</v>
      </c>
      <c r="C887" s="221" t="s">
        <v>75</v>
      </c>
      <c r="D887" s="222">
        <v>100.26</v>
      </c>
      <c r="E887" s="242"/>
    </row>
    <row r="888" spans="1:5" ht="28.8">
      <c r="A888" s="241">
        <v>49774</v>
      </c>
      <c r="B888" s="241" t="s">
        <v>729</v>
      </c>
      <c r="C888" s="221" t="s">
        <v>114</v>
      </c>
      <c r="D888" s="222">
        <v>29.01</v>
      </c>
      <c r="E888" s="242"/>
    </row>
    <row r="889" spans="1:5" ht="28.8">
      <c r="A889" s="241">
        <v>49791</v>
      </c>
      <c r="B889" s="241" t="s">
        <v>2211</v>
      </c>
      <c r="C889" s="221" t="s">
        <v>114</v>
      </c>
      <c r="D889" s="222">
        <v>14.09</v>
      </c>
      <c r="E889" s="242"/>
    </row>
    <row r="890" spans="1:5" ht="14.4">
      <c r="A890" s="241">
        <v>498</v>
      </c>
      <c r="B890" s="241" t="s">
        <v>459</v>
      </c>
      <c r="C890" s="221"/>
      <c r="D890" s="222"/>
      <c r="E890" s="242"/>
    </row>
    <row r="891" spans="1:5" ht="28.8">
      <c r="A891" s="240">
        <v>49803</v>
      </c>
      <c r="B891" s="529" t="s">
        <v>730</v>
      </c>
      <c r="C891" s="530" t="s">
        <v>114</v>
      </c>
      <c r="D891" s="530">
        <v>4.47</v>
      </c>
      <c r="E891" s="531"/>
    </row>
    <row r="892" spans="1:5" ht="28.8">
      <c r="A892" s="241">
        <v>49804</v>
      </c>
      <c r="B892" s="241" t="s">
        <v>731</v>
      </c>
      <c r="C892" s="221" t="s">
        <v>114</v>
      </c>
      <c r="D892" s="222">
        <v>4.79</v>
      </c>
      <c r="E892" s="242"/>
    </row>
    <row r="893" spans="1:5" ht="28.8">
      <c r="A893" s="241">
        <v>49805</v>
      </c>
      <c r="B893" s="241" t="s">
        <v>732</v>
      </c>
      <c r="C893" s="221" t="s">
        <v>114</v>
      </c>
      <c r="D893" s="222">
        <v>8.65</v>
      </c>
      <c r="E893" s="242"/>
    </row>
    <row r="894" spans="1:5" ht="28.8">
      <c r="A894" s="241">
        <v>49806</v>
      </c>
      <c r="B894" s="241" t="s">
        <v>733</v>
      </c>
      <c r="C894" s="221" t="s">
        <v>114</v>
      </c>
      <c r="D894" s="222">
        <v>9.14</v>
      </c>
      <c r="E894" s="242"/>
    </row>
    <row r="895" spans="1:5" ht="28.8">
      <c r="A895" s="241">
        <v>49807</v>
      </c>
      <c r="B895" s="241" t="s">
        <v>734</v>
      </c>
      <c r="C895" s="221" t="s">
        <v>114</v>
      </c>
      <c r="D895" s="222">
        <v>15.51</v>
      </c>
      <c r="E895" s="242"/>
    </row>
    <row r="896" spans="1:5" ht="28.8">
      <c r="A896" s="241">
        <v>49809</v>
      </c>
      <c r="B896" s="241" t="s">
        <v>735</v>
      </c>
      <c r="C896" s="221" t="s">
        <v>114</v>
      </c>
      <c r="D896" s="222">
        <v>21.77</v>
      </c>
      <c r="E896" s="242"/>
    </row>
    <row r="897" spans="1:5" ht="28.8">
      <c r="A897" s="241">
        <v>49811</v>
      </c>
      <c r="B897" s="241" t="s">
        <v>736</v>
      </c>
      <c r="C897" s="221" t="s">
        <v>114</v>
      </c>
      <c r="D897" s="222">
        <v>33.03</v>
      </c>
      <c r="E897" s="242"/>
    </row>
    <row r="898" spans="1:5" ht="28.8">
      <c r="A898" s="241">
        <v>49812</v>
      </c>
      <c r="B898" s="241" t="s">
        <v>737</v>
      </c>
      <c r="C898" s="221" t="s">
        <v>114</v>
      </c>
      <c r="D898" s="222">
        <v>212.58</v>
      </c>
      <c r="E898" s="242"/>
    </row>
    <row r="899" spans="1:5" ht="14.4">
      <c r="A899" s="241">
        <v>49818</v>
      </c>
      <c r="B899" s="241" t="s">
        <v>738</v>
      </c>
      <c r="C899" s="221" t="s">
        <v>114</v>
      </c>
      <c r="D899" s="222">
        <v>1.07</v>
      </c>
      <c r="E899" s="242"/>
    </row>
    <row r="900" spans="1:5" ht="28.8">
      <c r="A900" s="241">
        <v>49860</v>
      </c>
      <c r="B900" s="241" t="s">
        <v>739</v>
      </c>
      <c r="C900" s="221" t="s">
        <v>114</v>
      </c>
      <c r="D900" s="222">
        <v>118.41</v>
      </c>
      <c r="E900" s="242"/>
    </row>
    <row r="901" spans="1:5" ht="14.4">
      <c r="A901" s="241">
        <v>49861</v>
      </c>
      <c r="B901" s="241" t="s">
        <v>15036</v>
      </c>
      <c r="C901" s="221" t="s">
        <v>114</v>
      </c>
      <c r="D901" s="222">
        <v>6.96</v>
      </c>
      <c r="E901" s="242"/>
    </row>
    <row r="902" spans="1:5" ht="28.8">
      <c r="A902" s="241">
        <v>49897</v>
      </c>
      <c r="B902" s="241" t="s">
        <v>740</v>
      </c>
      <c r="C902" s="221" t="s">
        <v>114</v>
      </c>
      <c r="D902" s="222">
        <v>42.67</v>
      </c>
      <c r="E902" s="242"/>
    </row>
    <row r="903" spans="1:5" ht="14.4">
      <c r="A903" s="241">
        <v>499</v>
      </c>
      <c r="B903" s="241" t="s">
        <v>741</v>
      </c>
      <c r="C903" s="221"/>
      <c r="D903" s="222"/>
      <c r="E903" s="242"/>
    </row>
    <row r="904" spans="1:5" ht="43.2">
      <c r="A904" s="240">
        <v>49905</v>
      </c>
      <c r="B904" s="529" t="s">
        <v>7979</v>
      </c>
      <c r="C904" s="530" t="s">
        <v>114</v>
      </c>
      <c r="D904" s="530">
        <v>195.28</v>
      </c>
      <c r="E904" s="531"/>
    </row>
    <row r="905" spans="1:5" ht="28.8">
      <c r="A905" s="241">
        <v>49959</v>
      </c>
      <c r="B905" s="241" t="s">
        <v>742</v>
      </c>
      <c r="C905" s="221" t="s">
        <v>114</v>
      </c>
      <c r="D905" s="222">
        <v>274.95999999999998</v>
      </c>
      <c r="E905" s="242"/>
    </row>
    <row r="906" spans="1:5" ht="28.8">
      <c r="A906" s="241">
        <v>5</v>
      </c>
      <c r="B906" s="241" t="s">
        <v>743</v>
      </c>
      <c r="C906" s="221"/>
      <c r="D906" s="222"/>
      <c r="E906" s="242"/>
    </row>
    <row r="907" spans="1:5" ht="15" customHeight="1">
      <c r="A907" s="240">
        <v>501</v>
      </c>
      <c r="B907" s="529" t="s">
        <v>744</v>
      </c>
      <c r="C907" s="530"/>
      <c r="D907" s="530"/>
      <c r="E907" s="531"/>
    </row>
    <row r="908" spans="1:5" ht="28.8">
      <c r="A908" s="240">
        <v>50128</v>
      </c>
      <c r="B908" s="529" t="s">
        <v>745</v>
      </c>
      <c r="C908" s="530" t="s">
        <v>114</v>
      </c>
      <c r="D908" s="530">
        <v>1.3</v>
      </c>
      <c r="E908" s="531"/>
    </row>
    <row r="909" spans="1:5" ht="14.4">
      <c r="A909" s="241">
        <v>50163</v>
      </c>
      <c r="B909" s="241" t="s">
        <v>746</v>
      </c>
      <c r="C909" s="221" t="s">
        <v>114</v>
      </c>
      <c r="D909" s="222">
        <v>4.5999999999999996</v>
      </c>
      <c r="E909" s="242"/>
    </row>
    <row r="910" spans="1:5" ht="14.4">
      <c r="A910" s="241">
        <v>50164</v>
      </c>
      <c r="B910" s="241" t="s">
        <v>747</v>
      </c>
      <c r="C910" s="221" t="s">
        <v>114</v>
      </c>
      <c r="D910" s="222">
        <v>12.28</v>
      </c>
      <c r="E910" s="242"/>
    </row>
    <row r="911" spans="1:5" ht="14.4">
      <c r="A911" s="241">
        <v>510</v>
      </c>
      <c r="B911" s="241" t="s">
        <v>54</v>
      </c>
      <c r="C911" s="221"/>
      <c r="D911" s="222"/>
      <c r="E911" s="242"/>
    </row>
    <row r="912" spans="1:5" ht="28.8">
      <c r="A912" s="240">
        <v>51008</v>
      </c>
      <c r="B912" s="529" t="s">
        <v>15037</v>
      </c>
      <c r="C912" s="530" t="s">
        <v>114</v>
      </c>
      <c r="D912" s="530">
        <v>19.87</v>
      </c>
      <c r="E912" s="531"/>
    </row>
    <row r="913" spans="1:5" ht="14.4">
      <c r="A913" s="241">
        <v>51015</v>
      </c>
      <c r="B913" s="241" t="s">
        <v>748</v>
      </c>
      <c r="C913" s="221" t="s">
        <v>114</v>
      </c>
      <c r="D913" s="222">
        <v>25.64</v>
      </c>
      <c r="E913" s="242"/>
    </row>
    <row r="914" spans="1:5" ht="28.8">
      <c r="A914" s="241">
        <v>51016</v>
      </c>
      <c r="B914" s="241" t="s">
        <v>749</v>
      </c>
      <c r="C914" s="221" t="s">
        <v>114</v>
      </c>
      <c r="D914" s="222">
        <v>19.37</v>
      </c>
      <c r="E914" s="242"/>
    </row>
    <row r="915" spans="1:5" ht="14.4">
      <c r="A915" s="241">
        <v>540</v>
      </c>
      <c r="B915" s="241" t="s">
        <v>326</v>
      </c>
      <c r="C915" s="221"/>
      <c r="D915" s="222"/>
      <c r="E915" s="242"/>
    </row>
    <row r="916" spans="1:5" ht="28.8">
      <c r="A916" s="240">
        <v>54003</v>
      </c>
      <c r="B916" s="529" t="s">
        <v>750</v>
      </c>
      <c r="C916" s="530" t="s">
        <v>114</v>
      </c>
      <c r="D916" s="530">
        <v>3.77</v>
      </c>
      <c r="E916" s="531"/>
    </row>
    <row r="917" spans="1:5" ht="28.8">
      <c r="A917" s="241">
        <v>54010</v>
      </c>
      <c r="B917" s="241" t="s">
        <v>1802</v>
      </c>
      <c r="C917" s="221" t="s">
        <v>114</v>
      </c>
      <c r="D917" s="222">
        <v>22.42</v>
      </c>
      <c r="E917" s="242"/>
    </row>
    <row r="918" spans="1:5" ht="14.4">
      <c r="A918" s="241">
        <v>6</v>
      </c>
      <c r="B918" s="241" t="s">
        <v>751</v>
      </c>
      <c r="C918" s="221"/>
      <c r="D918" s="222"/>
      <c r="E918" s="242"/>
    </row>
    <row r="919" spans="1:5" ht="14.4">
      <c r="A919" s="240">
        <v>601</v>
      </c>
      <c r="B919" s="529" t="s">
        <v>752</v>
      </c>
      <c r="C919" s="530"/>
      <c r="D919" s="530"/>
      <c r="E919" s="531"/>
    </row>
    <row r="920" spans="1:5" ht="28.8">
      <c r="A920" s="240">
        <v>60101</v>
      </c>
      <c r="B920" s="529" t="s">
        <v>753</v>
      </c>
      <c r="C920" s="530" t="s">
        <v>75</v>
      </c>
      <c r="D920" s="530">
        <v>54.07</v>
      </c>
      <c r="E920" s="531"/>
    </row>
    <row r="921" spans="1:5" ht="28.8">
      <c r="A921" s="241">
        <v>60104</v>
      </c>
      <c r="B921" s="241" t="s">
        <v>754</v>
      </c>
      <c r="C921" s="221" t="s">
        <v>75</v>
      </c>
      <c r="D921" s="222">
        <v>40.14</v>
      </c>
      <c r="E921" s="242"/>
    </row>
    <row r="922" spans="1:5" ht="14.4">
      <c r="A922" s="241">
        <v>602</v>
      </c>
      <c r="B922" s="241" t="s">
        <v>755</v>
      </c>
      <c r="C922" s="221"/>
      <c r="D922" s="222"/>
      <c r="E922" s="242"/>
    </row>
    <row r="923" spans="1:5" ht="14.4">
      <c r="A923" s="240">
        <v>60241</v>
      </c>
      <c r="B923" s="529" t="s">
        <v>15038</v>
      </c>
      <c r="C923" s="530" t="s">
        <v>114</v>
      </c>
      <c r="D923" s="530">
        <v>22.34</v>
      </c>
      <c r="E923" s="531"/>
    </row>
    <row r="924" spans="1:5" ht="14.4">
      <c r="A924" s="241">
        <v>60242</v>
      </c>
      <c r="B924" s="241" t="s">
        <v>756</v>
      </c>
      <c r="C924" s="221" t="s">
        <v>114</v>
      </c>
      <c r="D924" s="222">
        <v>39.42</v>
      </c>
      <c r="E924" s="242"/>
    </row>
    <row r="925" spans="1:5" ht="14.4">
      <c r="A925" s="241">
        <v>60243</v>
      </c>
      <c r="B925" s="241" t="s">
        <v>757</v>
      </c>
      <c r="C925" s="221" t="s">
        <v>114</v>
      </c>
      <c r="D925" s="222">
        <v>78.569999999999993</v>
      </c>
      <c r="E925" s="242"/>
    </row>
    <row r="926" spans="1:5" ht="14.4">
      <c r="A926" s="241">
        <v>604</v>
      </c>
      <c r="B926" s="241" t="s">
        <v>758</v>
      </c>
      <c r="C926" s="221"/>
      <c r="D926" s="222"/>
      <c r="E926" s="242"/>
    </row>
    <row r="927" spans="1:5" ht="15" customHeight="1">
      <c r="A927" s="240">
        <v>60406</v>
      </c>
      <c r="B927" s="529" t="s">
        <v>759</v>
      </c>
      <c r="C927" s="530" t="s">
        <v>114</v>
      </c>
      <c r="D927" s="530">
        <v>109.95</v>
      </c>
      <c r="E927" s="531"/>
    </row>
    <row r="928" spans="1:5" ht="28.8">
      <c r="A928" s="241">
        <v>60443</v>
      </c>
      <c r="B928" s="241" t="s">
        <v>1851</v>
      </c>
      <c r="C928" s="221" t="s">
        <v>114</v>
      </c>
      <c r="D928" s="222">
        <v>24.81</v>
      </c>
      <c r="E928" s="242"/>
    </row>
    <row r="929" spans="1:5" ht="14.4">
      <c r="A929" s="241">
        <v>605</v>
      </c>
      <c r="B929" s="241" t="s">
        <v>758</v>
      </c>
      <c r="C929" s="221"/>
      <c r="D929" s="222"/>
      <c r="E929" s="242"/>
    </row>
    <row r="930" spans="1:5" ht="15" customHeight="1">
      <c r="A930" s="240">
        <v>60501</v>
      </c>
      <c r="B930" s="529" t="s">
        <v>15039</v>
      </c>
      <c r="C930" s="530" t="s">
        <v>75</v>
      </c>
      <c r="D930" s="530">
        <v>25.02</v>
      </c>
      <c r="E930" s="531"/>
    </row>
    <row r="931" spans="1:5" ht="28.8">
      <c r="A931" s="241">
        <v>60502</v>
      </c>
      <c r="B931" s="241" t="s">
        <v>15040</v>
      </c>
      <c r="C931" s="221" t="s">
        <v>75</v>
      </c>
      <c r="D931" s="222">
        <v>31.71</v>
      </c>
      <c r="E931" s="242"/>
    </row>
    <row r="932" spans="1:5" ht="28.8">
      <c r="A932" s="241">
        <v>60503</v>
      </c>
      <c r="B932" s="241" t="s">
        <v>15041</v>
      </c>
      <c r="C932" s="221" t="s">
        <v>75</v>
      </c>
      <c r="D932" s="222">
        <v>44.54</v>
      </c>
      <c r="E932" s="242"/>
    </row>
    <row r="933" spans="1:5" ht="28.8">
      <c r="A933" s="241">
        <v>60504</v>
      </c>
      <c r="B933" s="241" t="s">
        <v>15042</v>
      </c>
      <c r="C933" s="221" t="s">
        <v>75</v>
      </c>
      <c r="D933" s="222">
        <v>59.21</v>
      </c>
      <c r="E933" s="242"/>
    </row>
    <row r="934" spans="1:5" ht="28.8">
      <c r="A934" s="241">
        <v>60505</v>
      </c>
      <c r="B934" s="241" t="s">
        <v>15043</v>
      </c>
      <c r="C934" s="221" t="s">
        <v>75</v>
      </c>
      <c r="D934" s="222">
        <v>73.59</v>
      </c>
      <c r="E934" s="242"/>
    </row>
    <row r="935" spans="1:5" ht="28.8">
      <c r="A935" s="241">
        <v>60506</v>
      </c>
      <c r="B935" s="241" t="s">
        <v>15044</v>
      </c>
      <c r="C935" s="221" t="s">
        <v>75</v>
      </c>
      <c r="D935" s="222">
        <v>93.68</v>
      </c>
      <c r="E935" s="242"/>
    </row>
    <row r="936" spans="1:5" ht="28.8">
      <c r="A936" s="241">
        <v>60507</v>
      </c>
      <c r="B936" s="241" t="s">
        <v>15045</v>
      </c>
      <c r="C936" s="221" t="s">
        <v>75</v>
      </c>
      <c r="D936" s="222">
        <v>127.69</v>
      </c>
      <c r="E936" s="242"/>
    </row>
    <row r="937" spans="1:5" ht="28.8">
      <c r="A937" s="241">
        <v>60508</v>
      </c>
      <c r="B937" s="241" t="s">
        <v>15046</v>
      </c>
      <c r="C937" s="221" t="s">
        <v>75</v>
      </c>
      <c r="D937" s="222">
        <v>148.80000000000001</v>
      </c>
      <c r="E937" s="242"/>
    </row>
    <row r="938" spans="1:5" ht="28.8">
      <c r="A938" s="241">
        <v>60509</v>
      </c>
      <c r="B938" s="241" t="s">
        <v>15047</v>
      </c>
      <c r="C938" s="221" t="s">
        <v>75</v>
      </c>
      <c r="D938" s="222">
        <v>227.48</v>
      </c>
      <c r="E938" s="242"/>
    </row>
    <row r="939" spans="1:5" ht="14.4">
      <c r="A939" s="241">
        <v>610</v>
      </c>
      <c r="B939" s="241" t="s">
        <v>760</v>
      </c>
      <c r="C939" s="221"/>
      <c r="D939" s="222"/>
      <c r="E939" s="242"/>
    </row>
    <row r="940" spans="1:5" ht="14.4">
      <c r="A940" s="240">
        <v>61004</v>
      </c>
      <c r="B940" s="529" t="s">
        <v>761</v>
      </c>
      <c r="C940" s="530" t="s">
        <v>75</v>
      </c>
      <c r="D940" s="530">
        <v>391.33</v>
      </c>
      <c r="E940" s="531"/>
    </row>
    <row r="941" spans="1:5" ht="14.4">
      <c r="A941" s="241">
        <v>621</v>
      </c>
      <c r="B941" s="241" t="s">
        <v>762</v>
      </c>
      <c r="C941" s="221"/>
      <c r="D941" s="222"/>
      <c r="E941" s="242"/>
    </row>
    <row r="942" spans="1:5" ht="28.8">
      <c r="A942" s="240">
        <v>62101</v>
      </c>
      <c r="B942" s="529" t="s">
        <v>763</v>
      </c>
      <c r="C942" s="530" t="s">
        <v>114</v>
      </c>
      <c r="D942" s="530">
        <v>12.37</v>
      </c>
      <c r="E942" s="531"/>
    </row>
    <row r="943" spans="1:5" ht="28.8">
      <c r="A943" s="241">
        <v>62102</v>
      </c>
      <c r="B943" s="241" t="s">
        <v>764</v>
      </c>
      <c r="C943" s="221" t="s">
        <v>114</v>
      </c>
      <c r="D943" s="222">
        <v>15.98</v>
      </c>
      <c r="E943" s="242"/>
    </row>
    <row r="944" spans="1:5" ht="28.8">
      <c r="A944" s="241">
        <v>62103</v>
      </c>
      <c r="B944" s="241" t="s">
        <v>765</v>
      </c>
      <c r="C944" s="221" t="s">
        <v>114</v>
      </c>
      <c r="D944" s="222">
        <v>19.86</v>
      </c>
      <c r="E944" s="242"/>
    </row>
    <row r="945" spans="1:5" ht="28.8">
      <c r="A945" s="241">
        <v>62104</v>
      </c>
      <c r="B945" s="241" t="s">
        <v>766</v>
      </c>
      <c r="C945" s="221" t="s">
        <v>114</v>
      </c>
      <c r="D945" s="222">
        <v>32.65</v>
      </c>
      <c r="E945" s="242"/>
    </row>
    <row r="946" spans="1:5" ht="28.8">
      <c r="A946" s="241">
        <v>62105</v>
      </c>
      <c r="B946" s="241" t="s">
        <v>767</v>
      </c>
      <c r="C946" s="221" t="s">
        <v>114</v>
      </c>
      <c r="D946" s="222">
        <v>37.979999999999997</v>
      </c>
      <c r="E946" s="242"/>
    </row>
    <row r="947" spans="1:5" ht="28.8">
      <c r="A947" s="241">
        <v>62106</v>
      </c>
      <c r="B947" s="241" t="s">
        <v>1803</v>
      </c>
      <c r="C947" s="221" t="s">
        <v>114</v>
      </c>
      <c r="D947" s="222">
        <v>51.1</v>
      </c>
      <c r="E947" s="242"/>
    </row>
    <row r="948" spans="1:5" ht="28.8">
      <c r="A948" s="241">
        <v>62107</v>
      </c>
      <c r="B948" s="241" t="s">
        <v>1804</v>
      </c>
      <c r="C948" s="221" t="s">
        <v>114</v>
      </c>
      <c r="D948" s="222">
        <v>167.81</v>
      </c>
      <c r="E948" s="242"/>
    </row>
    <row r="949" spans="1:5" ht="28.8">
      <c r="A949" s="241">
        <v>62111</v>
      </c>
      <c r="B949" s="241" t="s">
        <v>768</v>
      </c>
      <c r="C949" s="221" t="s">
        <v>114</v>
      </c>
      <c r="D949" s="222">
        <v>1.18</v>
      </c>
      <c r="E949" s="242"/>
    </row>
    <row r="950" spans="1:5" ht="28.8">
      <c r="A950" s="241">
        <v>62112</v>
      </c>
      <c r="B950" s="241" t="s">
        <v>769</v>
      </c>
      <c r="C950" s="221" t="s">
        <v>114</v>
      </c>
      <c r="D950" s="222">
        <v>2.19</v>
      </c>
      <c r="E950" s="242"/>
    </row>
    <row r="951" spans="1:5" ht="28.8">
      <c r="A951" s="241">
        <v>62116</v>
      </c>
      <c r="B951" s="241" t="s">
        <v>770</v>
      </c>
      <c r="C951" s="221" t="s">
        <v>114</v>
      </c>
      <c r="D951" s="222">
        <v>5.91</v>
      </c>
      <c r="E951" s="242"/>
    </row>
    <row r="952" spans="1:5" ht="28.8">
      <c r="A952" s="241">
        <v>62122</v>
      </c>
      <c r="B952" s="241" t="s">
        <v>771</v>
      </c>
      <c r="C952" s="221" t="s">
        <v>114</v>
      </c>
      <c r="D952" s="222">
        <v>1.55</v>
      </c>
      <c r="E952" s="242"/>
    </row>
    <row r="953" spans="1:5" ht="28.8">
      <c r="A953" s="241">
        <v>62129</v>
      </c>
      <c r="B953" s="241" t="s">
        <v>772</v>
      </c>
      <c r="C953" s="221" t="s">
        <v>114</v>
      </c>
      <c r="D953" s="222">
        <v>5.37</v>
      </c>
      <c r="E953" s="242"/>
    </row>
    <row r="954" spans="1:5" ht="15" customHeight="1">
      <c r="A954" s="241">
        <v>62187</v>
      </c>
      <c r="B954" s="241" t="s">
        <v>773</v>
      </c>
      <c r="C954" s="221" t="s">
        <v>114</v>
      </c>
      <c r="D954" s="222">
        <v>4.03</v>
      </c>
      <c r="E954" s="242"/>
    </row>
    <row r="955" spans="1:5" ht="14.4">
      <c r="A955" s="241">
        <v>623</v>
      </c>
      <c r="B955" s="241" t="s">
        <v>774</v>
      </c>
      <c r="C955" s="221"/>
      <c r="D955" s="222"/>
      <c r="E955" s="242"/>
    </row>
    <row r="956" spans="1:5" ht="15" customHeight="1">
      <c r="A956" s="240">
        <v>62319</v>
      </c>
      <c r="B956" s="529" t="s">
        <v>775</v>
      </c>
      <c r="C956" s="530" t="s">
        <v>114</v>
      </c>
      <c r="D956" s="530">
        <v>3.48</v>
      </c>
      <c r="E956" s="531"/>
    </row>
    <row r="957" spans="1:5" ht="28.8">
      <c r="A957" s="241">
        <v>62321</v>
      </c>
      <c r="B957" s="241" t="s">
        <v>776</v>
      </c>
      <c r="C957" s="221" t="s">
        <v>114</v>
      </c>
      <c r="D957" s="222">
        <v>3.27</v>
      </c>
      <c r="E957" s="242"/>
    </row>
    <row r="958" spans="1:5" ht="14.4">
      <c r="A958" s="241">
        <v>62324</v>
      </c>
      <c r="B958" s="241" t="s">
        <v>777</v>
      </c>
      <c r="C958" s="221" t="s">
        <v>114</v>
      </c>
      <c r="D958" s="222">
        <v>3.47</v>
      </c>
      <c r="E958" s="242"/>
    </row>
    <row r="959" spans="1:5" ht="43.2">
      <c r="A959" s="241">
        <v>62375</v>
      </c>
      <c r="B959" s="241" t="s">
        <v>15048</v>
      </c>
      <c r="C959" s="221" t="s">
        <v>75</v>
      </c>
      <c r="D959" s="222">
        <v>95.53</v>
      </c>
      <c r="E959" s="242"/>
    </row>
    <row r="960" spans="1:5" ht="14.4">
      <c r="A960" s="241">
        <v>624</v>
      </c>
      <c r="B960" s="241" t="s">
        <v>778</v>
      </c>
      <c r="C960" s="221"/>
      <c r="D960" s="222"/>
      <c r="E960" s="242"/>
    </row>
    <row r="961" spans="1:5" ht="28.8">
      <c r="A961" s="240">
        <v>62419</v>
      </c>
      <c r="B961" s="529" t="s">
        <v>779</v>
      </c>
      <c r="C961" s="530" t="s">
        <v>75</v>
      </c>
      <c r="D961" s="530">
        <v>81.36</v>
      </c>
      <c r="E961" s="531"/>
    </row>
    <row r="962" spans="1:5" ht="14.4">
      <c r="A962" s="241">
        <v>62420</v>
      </c>
      <c r="B962" s="241" t="s">
        <v>780</v>
      </c>
      <c r="C962" s="221" t="s">
        <v>114</v>
      </c>
      <c r="D962" s="222">
        <v>3.48</v>
      </c>
      <c r="E962" s="242"/>
    </row>
    <row r="963" spans="1:5" ht="14.4">
      <c r="A963" s="241">
        <v>62423</v>
      </c>
      <c r="B963" s="241" t="s">
        <v>781</v>
      </c>
      <c r="C963" s="221" t="s">
        <v>114</v>
      </c>
      <c r="D963" s="222">
        <v>19.23</v>
      </c>
      <c r="E963" s="242"/>
    </row>
    <row r="964" spans="1:5" ht="14.4">
      <c r="A964" s="241">
        <v>62430</v>
      </c>
      <c r="B964" s="241" t="s">
        <v>782</v>
      </c>
      <c r="C964" s="221" t="s">
        <v>114</v>
      </c>
      <c r="D964" s="222">
        <v>37.46</v>
      </c>
      <c r="E964" s="242"/>
    </row>
    <row r="965" spans="1:5" ht="14.4">
      <c r="A965" s="241">
        <v>62440</v>
      </c>
      <c r="B965" s="241" t="s">
        <v>783</v>
      </c>
      <c r="C965" s="221" t="s">
        <v>114</v>
      </c>
      <c r="D965" s="222">
        <v>23</v>
      </c>
      <c r="E965" s="242"/>
    </row>
    <row r="966" spans="1:5" ht="14.4">
      <c r="A966" s="241">
        <v>62472</v>
      </c>
      <c r="B966" s="241" t="s">
        <v>784</v>
      </c>
      <c r="C966" s="221" t="s">
        <v>114</v>
      </c>
      <c r="D966" s="222">
        <v>11.27</v>
      </c>
      <c r="E966" s="242"/>
    </row>
    <row r="967" spans="1:5" ht="28.8">
      <c r="A967" s="241">
        <v>62482</v>
      </c>
      <c r="B967" s="241" t="s">
        <v>785</v>
      </c>
      <c r="C967" s="221" t="s">
        <v>114</v>
      </c>
      <c r="D967" s="222">
        <v>50.81</v>
      </c>
      <c r="E967" s="242"/>
    </row>
    <row r="968" spans="1:5" ht="28.8">
      <c r="A968" s="241">
        <v>625</v>
      </c>
      <c r="B968" s="241" t="s">
        <v>786</v>
      </c>
      <c r="C968" s="221"/>
      <c r="D968" s="222"/>
      <c r="E968" s="242"/>
    </row>
    <row r="969" spans="1:5" ht="15" customHeight="1">
      <c r="A969" s="240">
        <v>62501</v>
      </c>
      <c r="B969" s="529" t="s">
        <v>15049</v>
      </c>
      <c r="C969" s="530" t="s">
        <v>75</v>
      </c>
      <c r="D969" s="530">
        <v>3.21</v>
      </c>
      <c r="E969" s="531"/>
    </row>
    <row r="970" spans="1:5" ht="43.2">
      <c r="A970" s="241">
        <v>62502</v>
      </c>
      <c r="B970" s="241" t="s">
        <v>15050</v>
      </c>
      <c r="C970" s="221" t="s">
        <v>75</v>
      </c>
      <c r="D970" s="222">
        <v>4.1100000000000003</v>
      </c>
      <c r="E970" s="242"/>
    </row>
    <row r="971" spans="1:5" ht="43.2">
      <c r="A971" s="241">
        <v>62503</v>
      </c>
      <c r="B971" s="241" t="s">
        <v>15051</v>
      </c>
      <c r="C971" s="221" t="s">
        <v>75</v>
      </c>
      <c r="D971" s="222">
        <v>7.31</v>
      </c>
      <c r="E971" s="242"/>
    </row>
    <row r="972" spans="1:5" ht="43.2">
      <c r="A972" s="241">
        <v>62504</v>
      </c>
      <c r="B972" s="241" t="s">
        <v>15052</v>
      </c>
      <c r="C972" s="221" t="s">
        <v>75</v>
      </c>
      <c r="D972" s="222">
        <v>11.45</v>
      </c>
      <c r="E972" s="242"/>
    </row>
    <row r="973" spans="1:5" ht="15" customHeight="1">
      <c r="A973" s="241">
        <v>62505</v>
      </c>
      <c r="B973" s="241" t="s">
        <v>15053</v>
      </c>
      <c r="C973" s="221" t="s">
        <v>75</v>
      </c>
      <c r="D973" s="222">
        <v>14.95</v>
      </c>
      <c r="E973" s="242"/>
    </row>
    <row r="974" spans="1:5" ht="43.2">
      <c r="A974" s="241">
        <v>62506</v>
      </c>
      <c r="B974" s="241" t="s">
        <v>15054</v>
      </c>
      <c r="C974" s="221" t="s">
        <v>75</v>
      </c>
      <c r="D974" s="222">
        <v>26.66</v>
      </c>
      <c r="E974" s="242"/>
    </row>
    <row r="975" spans="1:5" ht="43.2">
      <c r="A975" s="241">
        <v>62507</v>
      </c>
      <c r="B975" s="241" t="s">
        <v>15055</v>
      </c>
      <c r="C975" s="221" t="s">
        <v>75</v>
      </c>
      <c r="D975" s="222">
        <v>48.66</v>
      </c>
      <c r="E975" s="242"/>
    </row>
    <row r="976" spans="1:5" ht="43.2">
      <c r="A976" s="241">
        <v>62508</v>
      </c>
      <c r="B976" s="241" t="s">
        <v>15056</v>
      </c>
      <c r="C976" s="221" t="s">
        <v>75</v>
      </c>
      <c r="D976" s="222">
        <v>65.37</v>
      </c>
      <c r="E976" s="242"/>
    </row>
    <row r="977" spans="1:5" ht="15" customHeight="1">
      <c r="A977" s="241">
        <v>62511</v>
      </c>
      <c r="B977" s="241" t="s">
        <v>787</v>
      </c>
      <c r="C977" s="221" t="s">
        <v>114</v>
      </c>
      <c r="D977" s="222">
        <v>1.1100000000000001</v>
      </c>
      <c r="E977" s="242"/>
    </row>
    <row r="978" spans="1:5" ht="14.4">
      <c r="A978" s="241">
        <v>62512</v>
      </c>
      <c r="B978" s="241" t="s">
        <v>788</v>
      </c>
      <c r="C978" s="221" t="s">
        <v>114</v>
      </c>
      <c r="D978" s="222">
        <v>2.91</v>
      </c>
      <c r="E978" s="242"/>
    </row>
    <row r="979" spans="1:5" ht="14.4">
      <c r="A979" s="241">
        <v>62514</v>
      </c>
      <c r="B979" s="241" t="s">
        <v>789</v>
      </c>
      <c r="C979" s="221" t="s">
        <v>114</v>
      </c>
      <c r="D979" s="222">
        <v>6.47</v>
      </c>
      <c r="E979" s="242"/>
    </row>
    <row r="980" spans="1:5" ht="14.4">
      <c r="A980" s="241">
        <v>62520</v>
      </c>
      <c r="B980" s="241" t="s">
        <v>790</v>
      </c>
      <c r="C980" s="221" t="s">
        <v>114</v>
      </c>
      <c r="D980" s="222">
        <v>1.82</v>
      </c>
      <c r="E980" s="242"/>
    </row>
    <row r="981" spans="1:5" ht="14.4">
      <c r="A981" s="241">
        <v>62521</v>
      </c>
      <c r="B981" s="241" t="s">
        <v>791</v>
      </c>
      <c r="C981" s="221" t="s">
        <v>114</v>
      </c>
      <c r="D981" s="222">
        <v>4.8</v>
      </c>
      <c r="E981" s="242"/>
    </row>
    <row r="982" spans="1:5" ht="43.2">
      <c r="A982" s="241">
        <v>62530</v>
      </c>
      <c r="B982" s="241" t="s">
        <v>15057</v>
      </c>
      <c r="C982" s="221" t="s">
        <v>75</v>
      </c>
      <c r="D982" s="222">
        <v>6.22</v>
      </c>
      <c r="E982" s="242"/>
    </row>
    <row r="983" spans="1:5" ht="43.2">
      <c r="A983" s="241">
        <v>62531</v>
      </c>
      <c r="B983" s="241" t="s">
        <v>15058</v>
      </c>
      <c r="C983" s="221" t="s">
        <v>75</v>
      </c>
      <c r="D983" s="222">
        <v>9.2899999999999991</v>
      </c>
      <c r="E983" s="242"/>
    </row>
    <row r="984" spans="1:5" ht="43.2">
      <c r="A984" s="241">
        <v>62532</v>
      </c>
      <c r="B984" s="241" t="s">
        <v>15059</v>
      </c>
      <c r="C984" s="221" t="s">
        <v>75</v>
      </c>
      <c r="D984" s="222">
        <v>15.05</v>
      </c>
      <c r="E984" s="242"/>
    </row>
    <row r="985" spans="1:5" ht="43.2">
      <c r="A985" s="241">
        <v>62533</v>
      </c>
      <c r="B985" s="241" t="s">
        <v>15060</v>
      </c>
      <c r="C985" s="221" t="s">
        <v>75</v>
      </c>
      <c r="D985" s="222">
        <v>15.78</v>
      </c>
      <c r="E985" s="242"/>
    </row>
    <row r="986" spans="1:5" ht="43.2">
      <c r="A986" s="241">
        <v>62534</v>
      </c>
      <c r="B986" s="241" t="s">
        <v>15061</v>
      </c>
      <c r="C986" s="221" t="s">
        <v>75</v>
      </c>
      <c r="D986" s="222">
        <v>39.659999999999997</v>
      </c>
      <c r="E986" s="242"/>
    </row>
    <row r="987" spans="1:5" ht="15" customHeight="1">
      <c r="A987" s="241">
        <v>62535</v>
      </c>
      <c r="B987" s="241" t="s">
        <v>15062</v>
      </c>
      <c r="C987" s="221" t="s">
        <v>75</v>
      </c>
      <c r="D987" s="222">
        <v>74.790000000000006</v>
      </c>
      <c r="E987" s="242"/>
    </row>
    <row r="988" spans="1:5" ht="14.4">
      <c r="A988" s="241">
        <v>62536</v>
      </c>
      <c r="B988" s="241" t="s">
        <v>792</v>
      </c>
      <c r="C988" s="221" t="s">
        <v>114</v>
      </c>
      <c r="D988" s="222">
        <v>2.72</v>
      </c>
      <c r="E988" s="242"/>
    </row>
    <row r="989" spans="1:5" ht="14.4">
      <c r="A989" s="241">
        <v>62540</v>
      </c>
      <c r="B989" s="241" t="s">
        <v>793</v>
      </c>
      <c r="C989" s="221" t="s">
        <v>114</v>
      </c>
      <c r="D989" s="222">
        <v>1.92</v>
      </c>
      <c r="E989" s="242"/>
    </row>
    <row r="990" spans="1:5" ht="14.4">
      <c r="A990" s="241">
        <v>62542</v>
      </c>
      <c r="B990" s="241" t="s">
        <v>794</v>
      </c>
      <c r="C990" s="221" t="s">
        <v>114</v>
      </c>
      <c r="D990" s="222">
        <v>5.88</v>
      </c>
      <c r="E990" s="242"/>
    </row>
    <row r="991" spans="1:5" ht="14.4">
      <c r="A991" s="241">
        <v>62543</v>
      </c>
      <c r="B991" s="241" t="s">
        <v>795</v>
      </c>
      <c r="C991" s="221" t="s">
        <v>114</v>
      </c>
      <c r="D991" s="222">
        <v>7.45</v>
      </c>
      <c r="E991" s="242"/>
    </row>
    <row r="992" spans="1:5" ht="28.8">
      <c r="A992" s="241">
        <v>62544</v>
      </c>
      <c r="B992" s="241" t="s">
        <v>796</v>
      </c>
      <c r="C992" s="221" t="s">
        <v>114</v>
      </c>
      <c r="D992" s="222">
        <v>5.13</v>
      </c>
      <c r="E992" s="242"/>
    </row>
    <row r="993" spans="1:5" ht="28.8">
      <c r="A993" s="241">
        <v>62547</v>
      </c>
      <c r="B993" s="241" t="s">
        <v>797</v>
      </c>
      <c r="C993" s="221" t="s">
        <v>114</v>
      </c>
      <c r="D993" s="222">
        <v>17.829999999999998</v>
      </c>
      <c r="E993" s="242"/>
    </row>
    <row r="994" spans="1:5" ht="14.4">
      <c r="A994" s="241">
        <v>62549</v>
      </c>
      <c r="B994" s="241" t="s">
        <v>798</v>
      </c>
      <c r="C994" s="221" t="s">
        <v>114</v>
      </c>
      <c r="D994" s="222">
        <v>14.17</v>
      </c>
      <c r="E994" s="242"/>
    </row>
    <row r="995" spans="1:5" ht="14.4">
      <c r="A995" s="241">
        <v>62570</v>
      </c>
      <c r="B995" s="241" t="s">
        <v>799</v>
      </c>
      <c r="C995" s="221" t="s">
        <v>114</v>
      </c>
      <c r="D995" s="222">
        <v>1.05</v>
      </c>
      <c r="E995" s="242"/>
    </row>
    <row r="996" spans="1:5" ht="14.4">
      <c r="A996" s="241">
        <v>62577</v>
      </c>
      <c r="B996" s="241" t="s">
        <v>800</v>
      </c>
      <c r="C996" s="221" t="s">
        <v>114</v>
      </c>
      <c r="D996" s="222">
        <v>40.76</v>
      </c>
      <c r="E996" s="242"/>
    </row>
    <row r="997" spans="1:5" ht="14.4">
      <c r="A997" s="241">
        <v>62588</v>
      </c>
      <c r="B997" s="241" t="s">
        <v>801</v>
      </c>
      <c r="C997" s="221" t="s">
        <v>114</v>
      </c>
      <c r="D997" s="222">
        <v>6.94</v>
      </c>
      <c r="E997" s="242"/>
    </row>
    <row r="998" spans="1:5" ht="14.4">
      <c r="A998" s="241">
        <v>62594</v>
      </c>
      <c r="B998" s="241" t="s">
        <v>802</v>
      </c>
      <c r="C998" s="221" t="s">
        <v>114</v>
      </c>
      <c r="D998" s="222">
        <v>1.53</v>
      </c>
      <c r="E998" s="242"/>
    </row>
    <row r="999" spans="1:5" ht="14.4">
      <c r="A999" s="241">
        <v>626</v>
      </c>
      <c r="B999" s="241" t="s">
        <v>803</v>
      </c>
      <c r="C999" s="221"/>
      <c r="D999" s="222"/>
      <c r="E999" s="242"/>
    </row>
    <row r="1000" spans="1:5" ht="15" customHeight="1">
      <c r="A1000" s="240">
        <v>62674</v>
      </c>
      <c r="B1000" s="529" t="s">
        <v>804</v>
      </c>
      <c r="C1000" s="530" t="s">
        <v>114</v>
      </c>
      <c r="D1000" s="530">
        <v>11.03</v>
      </c>
      <c r="E1000" s="531"/>
    </row>
    <row r="1001" spans="1:5" ht="28.8">
      <c r="A1001" s="241">
        <v>627</v>
      </c>
      <c r="B1001" s="241" t="s">
        <v>805</v>
      </c>
      <c r="C1001" s="221"/>
      <c r="D1001" s="222"/>
      <c r="E1001" s="242"/>
    </row>
    <row r="1002" spans="1:5" ht="15" customHeight="1">
      <c r="A1002" s="240">
        <v>62702</v>
      </c>
      <c r="B1002" s="529" t="s">
        <v>806</v>
      </c>
      <c r="C1002" s="530" t="s">
        <v>75</v>
      </c>
      <c r="D1002" s="530">
        <v>18.190000000000001</v>
      </c>
      <c r="E1002" s="531"/>
    </row>
    <row r="1003" spans="1:5" ht="14.4">
      <c r="A1003" s="241">
        <v>62703</v>
      </c>
      <c r="B1003" s="241" t="s">
        <v>807</v>
      </c>
      <c r="C1003" s="221" t="s">
        <v>75</v>
      </c>
      <c r="D1003" s="222">
        <v>35.97</v>
      </c>
      <c r="E1003" s="242"/>
    </row>
    <row r="1004" spans="1:5" ht="28.8">
      <c r="A1004" s="241">
        <v>628</v>
      </c>
      <c r="B1004" s="241" t="s">
        <v>805</v>
      </c>
      <c r="C1004" s="221"/>
      <c r="D1004" s="222"/>
      <c r="E1004" s="242"/>
    </row>
    <row r="1005" spans="1:5" ht="15" customHeight="1">
      <c r="A1005" s="240">
        <v>62813</v>
      </c>
      <c r="B1005" s="529" t="s">
        <v>808</v>
      </c>
      <c r="C1005" s="530" t="s">
        <v>114</v>
      </c>
      <c r="D1005" s="530">
        <v>3.88</v>
      </c>
      <c r="E1005" s="531"/>
    </row>
    <row r="1006" spans="1:5" ht="14.4">
      <c r="A1006" s="241">
        <v>62814</v>
      </c>
      <c r="B1006" s="241" t="s">
        <v>809</v>
      </c>
      <c r="C1006" s="221" t="s">
        <v>114</v>
      </c>
      <c r="D1006" s="222">
        <v>6.42</v>
      </c>
      <c r="E1006" s="242"/>
    </row>
    <row r="1007" spans="1:5" ht="28.8">
      <c r="A1007" s="241">
        <v>62890</v>
      </c>
      <c r="B1007" s="241" t="s">
        <v>810</v>
      </c>
      <c r="C1007" s="221" t="s">
        <v>114</v>
      </c>
      <c r="D1007" s="222">
        <v>7.95</v>
      </c>
      <c r="E1007" s="242"/>
    </row>
    <row r="1008" spans="1:5" ht="14.4">
      <c r="A1008" s="241">
        <v>634</v>
      </c>
      <c r="B1008" s="241" t="s">
        <v>811</v>
      </c>
      <c r="C1008" s="221"/>
      <c r="D1008" s="222"/>
      <c r="E1008" s="242"/>
    </row>
    <row r="1009" spans="1:5" ht="28.8">
      <c r="A1009" s="240">
        <v>63480</v>
      </c>
      <c r="B1009" s="529" t="s">
        <v>812</v>
      </c>
      <c r="C1009" s="530" t="s">
        <v>114</v>
      </c>
      <c r="D1009" s="530">
        <v>286.76</v>
      </c>
      <c r="E1009" s="531"/>
    </row>
    <row r="1010" spans="1:5" ht="14.4">
      <c r="A1010" s="241">
        <v>635</v>
      </c>
      <c r="B1010" s="241" t="s">
        <v>813</v>
      </c>
      <c r="C1010" s="221"/>
      <c r="D1010" s="222"/>
      <c r="E1010" s="242"/>
    </row>
    <row r="1011" spans="1:5" ht="28.8">
      <c r="A1011" s="240">
        <v>63501</v>
      </c>
      <c r="B1011" s="529" t="s">
        <v>2212</v>
      </c>
      <c r="C1011" s="530" t="s">
        <v>114</v>
      </c>
      <c r="D1011" s="530">
        <v>26.82</v>
      </c>
      <c r="E1011" s="531"/>
    </row>
    <row r="1012" spans="1:5" ht="28.8">
      <c r="A1012" s="241">
        <v>63502</v>
      </c>
      <c r="B1012" s="241" t="s">
        <v>2213</v>
      </c>
      <c r="C1012" s="221" t="s">
        <v>114</v>
      </c>
      <c r="D1012" s="222">
        <v>39.03</v>
      </c>
      <c r="E1012" s="242"/>
    </row>
    <row r="1013" spans="1:5" ht="14.4">
      <c r="A1013" s="241">
        <v>63503</v>
      </c>
      <c r="B1013" s="241" t="s">
        <v>2214</v>
      </c>
      <c r="C1013" s="221" t="s">
        <v>114</v>
      </c>
      <c r="D1013" s="222">
        <v>45.91</v>
      </c>
      <c r="E1013" s="242"/>
    </row>
    <row r="1014" spans="1:5" ht="28.8">
      <c r="A1014" s="241">
        <v>63504</v>
      </c>
      <c r="B1014" s="241" t="s">
        <v>2215</v>
      </c>
      <c r="C1014" s="221" t="s">
        <v>114</v>
      </c>
      <c r="D1014" s="222">
        <v>64.67</v>
      </c>
      <c r="E1014" s="242"/>
    </row>
    <row r="1015" spans="1:5" ht="28.8">
      <c r="A1015" s="241">
        <v>63505</v>
      </c>
      <c r="B1015" s="241" t="s">
        <v>2216</v>
      </c>
      <c r="C1015" s="221" t="s">
        <v>114</v>
      </c>
      <c r="D1015" s="222">
        <v>81.099999999999994</v>
      </c>
      <c r="E1015" s="242"/>
    </row>
    <row r="1016" spans="1:5" ht="14.4">
      <c r="A1016" s="241">
        <v>63506</v>
      </c>
      <c r="B1016" s="241" t="s">
        <v>2217</v>
      </c>
      <c r="C1016" s="221" t="s">
        <v>114</v>
      </c>
      <c r="D1016" s="222">
        <v>131.16999999999999</v>
      </c>
      <c r="E1016" s="242"/>
    </row>
    <row r="1017" spans="1:5" ht="28.8">
      <c r="A1017" s="241">
        <v>63507</v>
      </c>
      <c r="B1017" s="241" t="s">
        <v>2218</v>
      </c>
      <c r="C1017" s="221" t="s">
        <v>114</v>
      </c>
      <c r="D1017" s="222">
        <v>282.25</v>
      </c>
      <c r="E1017" s="242"/>
    </row>
    <row r="1018" spans="1:5" ht="15" customHeight="1">
      <c r="A1018" s="241">
        <v>63508</v>
      </c>
      <c r="B1018" s="241" t="s">
        <v>2219</v>
      </c>
      <c r="C1018" s="221" t="s">
        <v>114</v>
      </c>
      <c r="D1018" s="222">
        <v>440.54</v>
      </c>
      <c r="E1018" s="242"/>
    </row>
    <row r="1019" spans="1:5" ht="28.8">
      <c r="A1019" s="241">
        <v>63515</v>
      </c>
      <c r="B1019" s="241" t="s">
        <v>2220</v>
      </c>
      <c r="C1019" s="221" t="s">
        <v>114</v>
      </c>
      <c r="D1019" s="222">
        <v>83.05</v>
      </c>
      <c r="E1019" s="242"/>
    </row>
    <row r="1020" spans="1:5" ht="28.8">
      <c r="A1020" s="241">
        <v>63516</v>
      </c>
      <c r="B1020" s="241" t="s">
        <v>2221</v>
      </c>
      <c r="C1020" s="221" t="s">
        <v>114</v>
      </c>
      <c r="D1020" s="222">
        <v>88.14</v>
      </c>
      <c r="E1020" s="242"/>
    </row>
    <row r="1021" spans="1:5" ht="28.8">
      <c r="A1021" s="241">
        <v>63517</v>
      </c>
      <c r="B1021" s="241" t="s">
        <v>2222</v>
      </c>
      <c r="C1021" s="221" t="s">
        <v>114</v>
      </c>
      <c r="D1021" s="222">
        <v>102.55</v>
      </c>
      <c r="E1021" s="242"/>
    </row>
    <row r="1022" spans="1:5" ht="28.8">
      <c r="A1022" s="241">
        <v>63518</v>
      </c>
      <c r="B1022" s="241" t="s">
        <v>2223</v>
      </c>
      <c r="C1022" s="221" t="s">
        <v>114</v>
      </c>
      <c r="D1022" s="222">
        <v>217.99</v>
      </c>
      <c r="E1022" s="242"/>
    </row>
    <row r="1023" spans="1:5" ht="14.4">
      <c r="A1023" s="241">
        <v>63520</v>
      </c>
      <c r="B1023" s="241" t="s">
        <v>814</v>
      </c>
      <c r="C1023" s="221" t="s">
        <v>114</v>
      </c>
      <c r="D1023" s="222">
        <v>86.91</v>
      </c>
      <c r="E1023" s="242"/>
    </row>
    <row r="1024" spans="1:5" ht="14.4">
      <c r="A1024" s="241">
        <v>63521</v>
      </c>
      <c r="B1024" s="241" t="s">
        <v>815</v>
      </c>
      <c r="C1024" s="221" t="s">
        <v>114</v>
      </c>
      <c r="D1024" s="222">
        <v>88.91</v>
      </c>
      <c r="E1024" s="242"/>
    </row>
    <row r="1025" spans="1:5" ht="28.8">
      <c r="A1025" s="241">
        <v>63523</v>
      </c>
      <c r="B1025" s="241" t="s">
        <v>2224</v>
      </c>
      <c r="C1025" s="221" t="s">
        <v>114</v>
      </c>
      <c r="D1025" s="222">
        <v>202.31</v>
      </c>
      <c r="E1025" s="242"/>
    </row>
    <row r="1026" spans="1:5" ht="14.4">
      <c r="A1026" s="241">
        <v>63530</v>
      </c>
      <c r="B1026" s="241" t="s">
        <v>816</v>
      </c>
      <c r="C1026" s="221" t="s">
        <v>114</v>
      </c>
      <c r="D1026" s="222">
        <v>44.55</v>
      </c>
      <c r="E1026" s="242"/>
    </row>
    <row r="1027" spans="1:5" ht="28.8">
      <c r="A1027" s="241">
        <v>63533</v>
      </c>
      <c r="B1027" s="241" t="s">
        <v>817</v>
      </c>
      <c r="C1027" s="221" t="s">
        <v>114</v>
      </c>
      <c r="D1027" s="222">
        <v>29.52</v>
      </c>
      <c r="E1027" s="242"/>
    </row>
    <row r="1028" spans="1:5" ht="14.4">
      <c r="A1028" s="241">
        <v>63536</v>
      </c>
      <c r="B1028" s="241" t="s">
        <v>818</v>
      </c>
      <c r="C1028" s="221" t="s">
        <v>114</v>
      </c>
      <c r="D1028" s="222">
        <v>40.86</v>
      </c>
      <c r="E1028" s="242"/>
    </row>
    <row r="1029" spans="1:5" ht="14.4">
      <c r="A1029" s="241">
        <v>640</v>
      </c>
      <c r="B1029" s="241" t="s">
        <v>819</v>
      </c>
      <c r="C1029" s="221"/>
      <c r="D1029" s="222"/>
      <c r="E1029" s="242"/>
    </row>
    <row r="1030" spans="1:5" ht="28.8">
      <c r="A1030" s="240">
        <v>64001</v>
      </c>
      <c r="B1030" s="529" t="s">
        <v>15737</v>
      </c>
      <c r="C1030" s="530" t="s">
        <v>114</v>
      </c>
      <c r="D1030" s="530">
        <v>42.77</v>
      </c>
      <c r="E1030" s="531"/>
    </row>
    <row r="1031" spans="1:5" ht="28.8">
      <c r="A1031" s="241">
        <v>64002</v>
      </c>
      <c r="B1031" s="241" t="s">
        <v>820</v>
      </c>
      <c r="C1031" s="221" t="s">
        <v>114</v>
      </c>
      <c r="D1031" s="222">
        <v>46.24</v>
      </c>
      <c r="E1031" s="242"/>
    </row>
    <row r="1032" spans="1:5" ht="28.8">
      <c r="A1032" s="241">
        <v>64003</v>
      </c>
      <c r="B1032" s="241" t="s">
        <v>15063</v>
      </c>
      <c r="C1032" s="221" t="s">
        <v>114</v>
      </c>
      <c r="D1032" s="222">
        <v>59.08</v>
      </c>
      <c r="E1032" s="242"/>
    </row>
    <row r="1033" spans="1:5" ht="28.8">
      <c r="A1033" s="241">
        <v>64004</v>
      </c>
      <c r="B1033" s="241" t="s">
        <v>821</v>
      </c>
      <c r="C1033" s="221" t="s">
        <v>114</v>
      </c>
      <c r="D1033" s="222">
        <v>265.86</v>
      </c>
      <c r="E1033" s="242"/>
    </row>
    <row r="1034" spans="1:5" ht="14.4">
      <c r="A1034" s="241">
        <v>64005</v>
      </c>
      <c r="B1034" s="241" t="s">
        <v>822</v>
      </c>
      <c r="C1034" s="221" t="s">
        <v>114</v>
      </c>
      <c r="D1034" s="222">
        <v>8.5</v>
      </c>
      <c r="E1034" s="242"/>
    </row>
    <row r="1035" spans="1:5" ht="14.4">
      <c r="A1035" s="241">
        <v>64006</v>
      </c>
      <c r="B1035" s="241" t="s">
        <v>823</v>
      </c>
      <c r="C1035" s="221" t="s">
        <v>114</v>
      </c>
      <c r="D1035" s="222">
        <v>4.55</v>
      </c>
      <c r="E1035" s="242"/>
    </row>
    <row r="1036" spans="1:5" ht="28.8">
      <c r="A1036" s="241">
        <v>64010</v>
      </c>
      <c r="B1036" s="241" t="s">
        <v>824</v>
      </c>
      <c r="C1036" s="221" t="s">
        <v>114</v>
      </c>
      <c r="D1036" s="222">
        <v>274.39</v>
      </c>
      <c r="E1036" s="242"/>
    </row>
    <row r="1037" spans="1:5" ht="28.8">
      <c r="A1037" s="241">
        <v>64011</v>
      </c>
      <c r="B1037" s="241" t="s">
        <v>825</v>
      </c>
      <c r="C1037" s="221" t="s">
        <v>114</v>
      </c>
      <c r="D1037" s="222">
        <v>131.63</v>
      </c>
      <c r="E1037" s="242"/>
    </row>
    <row r="1038" spans="1:5" ht="28.8">
      <c r="A1038" s="241">
        <v>64015</v>
      </c>
      <c r="B1038" s="241" t="s">
        <v>15738</v>
      </c>
      <c r="C1038" s="221" t="s">
        <v>114</v>
      </c>
      <c r="D1038" s="222">
        <v>59.16</v>
      </c>
      <c r="E1038" s="242"/>
    </row>
    <row r="1039" spans="1:5" ht="28.8">
      <c r="A1039" s="241">
        <v>64016</v>
      </c>
      <c r="B1039" s="241" t="s">
        <v>15739</v>
      </c>
      <c r="C1039" s="221" t="s">
        <v>114</v>
      </c>
      <c r="D1039" s="222">
        <v>80.91</v>
      </c>
      <c r="E1039" s="242"/>
    </row>
    <row r="1040" spans="1:5" ht="28.8">
      <c r="A1040" s="241">
        <v>64017</v>
      </c>
      <c r="B1040" s="241" t="s">
        <v>15740</v>
      </c>
      <c r="C1040" s="221" t="s">
        <v>114</v>
      </c>
      <c r="D1040" s="222">
        <v>107.27</v>
      </c>
      <c r="E1040" s="242"/>
    </row>
    <row r="1041" spans="1:5" ht="28.8">
      <c r="A1041" s="241">
        <v>64018</v>
      </c>
      <c r="B1041" s="241" t="s">
        <v>15741</v>
      </c>
      <c r="C1041" s="221" t="s">
        <v>114</v>
      </c>
      <c r="D1041" s="222">
        <v>165.12</v>
      </c>
      <c r="E1041" s="242"/>
    </row>
    <row r="1042" spans="1:5" ht="28.8">
      <c r="A1042" s="241">
        <v>64019</v>
      </c>
      <c r="B1042" s="241" t="s">
        <v>15742</v>
      </c>
      <c r="C1042" s="221" t="s">
        <v>114</v>
      </c>
      <c r="D1042" s="222">
        <v>181.53</v>
      </c>
      <c r="E1042" s="242"/>
    </row>
    <row r="1043" spans="1:5" ht="28.8">
      <c r="A1043" s="241">
        <v>64020</v>
      </c>
      <c r="B1043" s="241" t="s">
        <v>15743</v>
      </c>
      <c r="C1043" s="221" t="s">
        <v>114</v>
      </c>
      <c r="D1043" s="222">
        <v>230.22</v>
      </c>
      <c r="E1043" s="242"/>
    </row>
    <row r="1044" spans="1:5" ht="28.8">
      <c r="A1044" s="241">
        <v>64021</v>
      </c>
      <c r="B1044" s="241" t="s">
        <v>15744</v>
      </c>
      <c r="C1044" s="221" t="s">
        <v>114</v>
      </c>
      <c r="D1044" s="222">
        <v>436.95</v>
      </c>
      <c r="E1044" s="242"/>
    </row>
    <row r="1045" spans="1:5" ht="28.8">
      <c r="A1045" s="241">
        <v>64022</v>
      </c>
      <c r="B1045" s="241" t="s">
        <v>826</v>
      </c>
      <c r="C1045" s="221" t="s">
        <v>114</v>
      </c>
      <c r="D1045" s="222">
        <v>558.54</v>
      </c>
      <c r="E1045" s="242"/>
    </row>
    <row r="1046" spans="1:5" ht="28.8">
      <c r="A1046" s="241">
        <v>64034</v>
      </c>
      <c r="B1046" s="241" t="s">
        <v>827</v>
      </c>
      <c r="C1046" s="221" t="s">
        <v>114</v>
      </c>
      <c r="D1046" s="222">
        <v>100.94</v>
      </c>
      <c r="E1046" s="242"/>
    </row>
    <row r="1047" spans="1:5" ht="28.8">
      <c r="A1047" s="241">
        <v>64035</v>
      </c>
      <c r="B1047" s="241" t="s">
        <v>828</v>
      </c>
      <c r="C1047" s="221" t="s">
        <v>114</v>
      </c>
      <c r="D1047" s="222">
        <v>46.6</v>
      </c>
      <c r="E1047" s="242"/>
    </row>
    <row r="1048" spans="1:5" ht="28.8">
      <c r="A1048" s="241">
        <v>64040</v>
      </c>
      <c r="B1048" s="241" t="s">
        <v>829</v>
      </c>
      <c r="C1048" s="221" t="s">
        <v>114</v>
      </c>
      <c r="D1048" s="222">
        <v>44.52</v>
      </c>
      <c r="E1048" s="242"/>
    </row>
    <row r="1049" spans="1:5" ht="15" customHeight="1">
      <c r="A1049" s="241">
        <v>64041</v>
      </c>
      <c r="B1049" s="241" t="s">
        <v>830</v>
      </c>
      <c r="C1049" s="221" t="s">
        <v>114</v>
      </c>
      <c r="D1049" s="222">
        <v>118.91</v>
      </c>
      <c r="E1049" s="242"/>
    </row>
    <row r="1050" spans="1:5" ht="28.8">
      <c r="A1050" s="241">
        <v>64042</v>
      </c>
      <c r="B1050" s="241" t="s">
        <v>831</v>
      </c>
      <c r="C1050" s="221" t="s">
        <v>114</v>
      </c>
      <c r="D1050" s="222">
        <v>156.99</v>
      </c>
      <c r="E1050" s="242"/>
    </row>
    <row r="1051" spans="1:5" ht="15" customHeight="1">
      <c r="A1051" s="241">
        <v>64043</v>
      </c>
      <c r="B1051" s="241" t="s">
        <v>832</v>
      </c>
      <c r="C1051" s="221" t="s">
        <v>114</v>
      </c>
      <c r="D1051" s="222">
        <v>275.35000000000002</v>
      </c>
      <c r="E1051" s="242"/>
    </row>
    <row r="1052" spans="1:5" ht="28.8">
      <c r="A1052" s="241">
        <v>64044</v>
      </c>
      <c r="B1052" s="241" t="s">
        <v>833</v>
      </c>
      <c r="C1052" s="221" t="s">
        <v>114</v>
      </c>
      <c r="D1052" s="222">
        <v>404.14</v>
      </c>
      <c r="E1052" s="242"/>
    </row>
    <row r="1053" spans="1:5" ht="28.8">
      <c r="A1053" s="241">
        <v>64045</v>
      </c>
      <c r="B1053" s="241" t="s">
        <v>15745</v>
      </c>
      <c r="C1053" s="221" t="s">
        <v>114</v>
      </c>
      <c r="D1053" s="222">
        <v>42.77</v>
      </c>
      <c r="E1053" s="242"/>
    </row>
    <row r="1054" spans="1:5" ht="15" customHeight="1">
      <c r="A1054" s="241">
        <v>64066</v>
      </c>
      <c r="B1054" s="241" t="s">
        <v>834</v>
      </c>
      <c r="C1054" s="221" t="s">
        <v>114</v>
      </c>
      <c r="D1054" s="222">
        <v>53.29</v>
      </c>
      <c r="E1054" s="242"/>
    </row>
    <row r="1055" spans="1:5" ht="28.8">
      <c r="A1055" s="241">
        <v>64077</v>
      </c>
      <c r="B1055" s="241" t="s">
        <v>835</v>
      </c>
      <c r="C1055" s="221" t="s">
        <v>114</v>
      </c>
      <c r="D1055" s="222">
        <v>4.88</v>
      </c>
      <c r="E1055" s="242"/>
    </row>
    <row r="1056" spans="1:5" ht="28.8">
      <c r="A1056" s="241">
        <v>64094</v>
      </c>
      <c r="B1056" s="241" t="s">
        <v>836</v>
      </c>
      <c r="C1056" s="221" t="s">
        <v>114</v>
      </c>
      <c r="D1056" s="222">
        <v>274.39</v>
      </c>
      <c r="E1056" s="242"/>
    </row>
    <row r="1057" spans="1:5" ht="28.8">
      <c r="A1057" s="241">
        <v>64097</v>
      </c>
      <c r="B1057" s="241" t="s">
        <v>15064</v>
      </c>
      <c r="C1057" s="221" t="s">
        <v>114</v>
      </c>
      <c r="D1057" s="222">
        <v>377.65</v>
      </c>
      <c r="E1057" s="242"/>
    </row>
    <row r="1058" spans="1:5" ht="14.4">
      <c r="A1058" s="241">
        <v>641</v>
      </c>
      <c r="B1058" s="241" t="s">
        <v>837</v>
      </c>
      <c r="C1058" s="221"/>
      <c r="D1058" s="222"/>
      <c r="E1058" s="242"/>
    </row>
    <row r="1059" spans="1:5" ht="14.4">
      <c r="A1059" s="240">
        <v>64149</v>
      </c>
      <c r="B1059" s="529" t="s">
        <v>838</v>
      </c>
      <c r="C1059" s="530" t="s">
        <v>114</v>
      </c>
      <c r="D1059" s="530">
        <v>57.5</v>
      </c>
      <c r="E1059" s="531"/>
    </row>
    <row r="1060" spans="1:5" ht="14.4">
      <c r="A1060" s="241">
        <v>645</v>
      </c>
      <c r="B1060" s="241" t="s">
        <v>839</v>
      </c>
      <c r="C1060" s="221"/>
      <c r="D1060" s="222"/>
      <c r="E1060" s="242"/>
    </row>
    <row r="1061" spans="1:5" ht="14.4">
      <c r="A1061" s="240">
        <v>64503</v>
      </c>
      <c r="B1061" s="529" t="s">
        <v>840</v>
      </c>
      <c r="C1061" s="530" t="s">
        <v>114</v>
      </c>
      <c r="D1061" s="530">
        <v>137.85</v>
      </c>
      <c r="E1061" s="531"/>
    </row>
    <row r="1062" spans="1:5" ht="14.4">
      <c r="A1062" s="241">
        <v>64504</v>
      </c>
      <c r="B1062" s="241" t="s">
        <v>841</v>
      </c>
      <c r="C1062" s="221" t="s">
        <v>114</v>
      </c>
      <c r="D1062" s="222">
        <v>192.28</v>
      </c>
      <c r="E1062" s="242"/>
    </row>
    <row r="1063" spans="1:5" ht="28.8">
      <c r="A1063" s="241">
        <v>64506</v>
      </c>
      <c r="B1063" s="241" t="s">
        <v>2225</v>
      </c>
      <c r="C1063" s="221" t="s">
        <v>114</v>
      </c>
      <c r="D1063" s="222">
        <v>158.51</v>
      </c>
      <c r="E1063" s="242"/>
    </row>
    <row r="1064" spans="1:5" ht="28.8">
      <c r="A1064" s="241">
        <v>64507</v>
      </c>
      <c r="B1064" s="241" t="s">
        <v>842</v>
      </c>
      <c r="C1064" s="221" t="s">
        <v>114</v>
      </c>
      <c r="D1064" s="222">
        <v>23.34</v>
      </c>
      <c r="E1064" s="242"/>
    </row>
    <row r="1065" spans="1:5" ht="28.8">
      <c r="A1065" s="241">
        <v>64511</v>
      </c>
      <c r="B1065" s="241" t="s">
        <v>2226</v>
      </c>
      <c r="C1065" s="221" t="s">
        <v>114</v>
      </c>
      <c r="D1065" s="222">
        <v>163.51</v>
      </c>
      <c r="E1065" s="242"/>
    </row>
    <row r="1066" spans="1:5" ht="14.4">
      <c r="A1066" s="241">
        <v>64515</v>
      </c>
      <c r="B1066" s="241" t="s">
        <v>843</v>
      </c>
      <c r="C1066" s="221" t="s">
        <v>114</v>
      </c>
      <c r="D1066" s="222">
        <v>24.73</v>
      </c>
      <c r="E1066" s="242"/>
    </row>
    <row r="1067" spans="1:5" ht="28.8">
      <c r="A1067" s="241">
        <v>64519</v>
      </c>
      <c r="B1067" s="241" t="s">
        <v>844</v>
      </c>
      <c r="C1067" s="221" t="s">
        <v>114</v>
      </c>
      <c r="D1067" s="222">
        <v>15.25</v>
      </c>
      <c r="E1067" s="242"/>
    </row>
    <row r="1068" spans="1:5" ht="28.8">
      <c r="A1068" s="241">
        <v>64527</v>
      </c>
      <c r="B1068" s="241" t="s">
        <v>845</v>
      </c>
      <c r="C1068" s="221" t="s">
        <v>114</v>
      </c>
      <c r="D1068" s="222">
        <v>31.99</v>
      </c>
      <c r="E1068" s="242"/>
    </row>
    <row r="1069" spans="1:5" ht="14.4">
      <c r="A1069" s="241">
        <v>647</v>
      </c>
      <c r="B1069" s="241" t="s">
        <v>326</v>
      </c>
      <c r="C1069" s="221"/>
      <c r="D1069" s="222"/>
      <c r="E1069" s="242"/>
    </row>
    <row r="1070" spans="1:5" ht="28.8">
      <c r="A1070" s="240">
        <v>64701</v>
      </c>
      <c r="B1070" s="529" t="s">
        <v>1787</v>
      </c>
      <c r="C1070" s="530" t="s">
        <v>75</v>
      </c>
      <c r="D1070" s="530">
        <v>35.51</v>
      </c>
      <c r="E1070" s="531"/>
    </row>
    <row r="1071" spans="1:5" ht="14.4">
      <c r="A1071" s="241">
        <v>64702</v>
      </c>
      <c r="B1071" s="241" t="s">
        <v>2227</v>
      </c>
      <c r="C1071" s="221" t="s">
        <v>114</v>
      </c>
      <c r="D1071" s="222">
        <v>18.649999999999999</v>
      </c>
      <c r="E1071" s="242"/>
    </row>
    <row r="1072" spans="1:5" ht="28.8">
      <c r="A1072" s="241">
        <v>64703</v>
      </c>
      <c r="B1072" s="241" t="s">
        <v>2228</v>
      </c>
      <c r="C1072" s="221" t="s">
        <v>114</v>
      </c>
      <c r="D1072" s="222">
        <v>15.93</v>
      </c>
      <c r="E1072" s="242"/>
    </row>
    <row r="1073" spans="1:5" ht="14.4">
      <c r="A1073" s="241">
        <v>64704</v>
      </c>
      <c r="B1073" s="241" t="s">
        <v>2229</v>
      </c>
      <c r="C1073" s="221" t="s">
        <v>114</v>
      </c>
      <c r="D1073" s="222">
        <v>23.92</v>
      </c>
      <c r="E1073" s="242"/>
    </row>
    <row r="1074" spans="1:5" ht="14.4">
      <c r="A1074" s="241">
        <v>64706</v>
      </c>
      <c r="B1074" s="241" t="s">
        <v>2230</v>
      </c>
      <c r="C1074" s="221" t="s">
        <v>114</v>
      </c>
      <c r="D1074" s="222">
        <v>37.299999999999997</v>
      </c>
      <c r="E1074" s="242"/>
    </row>
    <row r="1075" spans="1:5" ht="28.8">
      <c r="A1075" s="241">
        <v>64707</v>
      </c>
      <c r="B1075" s="241" t="s">
        <v>9643</v>
      </c>
      <c r="C1075" s="221" t="s">
        <v>114</v>
      </c>
      <c r="D1075" s="222">
        <v>629.87</v>
      </c>
      <c r="E1075" s="242"/>
    </row>
    <row r="1076" spans="1:5" ht="14.4">
      <c r="A1076" s="241">
        <v>64709</v>
      </c>
      <c r="B1076" s="241" t="s">
        <v>846</v>
      </c>
      <c r="C1076" s="221" t="s">
        <v>114</v>
      </c>
      <c r="D1076" s="222">
        <v>15.72</v>
      </c>
      <c r="E1076" s="242"/>
    </row>
    <row r="1077" spans="1:5" ht="14.4">
      <c r="A1077" s="241">
        <v>650</v>
      </c>
      <c r="B1077" s="241" t="s">
        <v>847</v>
      </c>
      <c r="C1077" s="221"/>
      <c r="D1077" s="222"/>
      <c r="E1077" s="242"/>
    </row>
    <row r="1078" spans="1:5" ht="15" customHeight="1">
      <c r="A1078" s="240">
        <v>65002</v>
      </c>
      <c r="B1078" s="529" t="s">
        <v>2231</v>
      </c>
      <c r="C1078" s="530" t="s">
        <v>114</v>
      </c>
      <c r="D1078" s="530">
        <v>44.9</v>
      </c>
      <c r="E1078" s="531"/>
    </row>
    <row r="1079" spans="1:5" ht="28.8">
      <c r="A1079" s="241">
        <v>65004</v>
      </c>
      <c r="B1079" s="241" t="s">
        <v>848</v>
      </c>
      <c r="C1079" s="221" t="s">
        <v>114</v>
      </c>
      <c r="D1079" s="222">
        <v>452.33</v>
      </c>
      <c r="E1079" s="242"/>
    </row>
    <row r="1080" spans="1:5" ht="28.8">
      <c r="A1080" s="241">
        <v>65005</v>
      </c>
      <c r="B1080" s="241" t="s">
        <v>849</v>
      </c>
      <c r="C1080" s="221" t="s">
        <v>114</v>
      </c>
      <c r="D1080" s="222">
        <v>2869.84</v>
      </c>
      <c r="E1080" s="242"/>
    </row>
    <row r="1081" spans="1:5" ht="28.8">
      <c r="A1081" s="241">
        <v>65023</v>
      </c>
      <c r="B1081" s="241" t="s">
        <v>850</v>
      </c>
      <c r="C1081" s="221" t="s">
        <v>114</v>
      </c>
      <c r="D1081" s="223">
        <v>870.19</v>
      </c>
      <c r="E1081" s="242"/>
    </row>
    <row r="1082" spans="1:5" ht="28.8">
      <c r="A1082" s="241">
        <v>65024</v>
      </c>
      <c r="B1082" s="241" t="s">
        <v>851</v>
      </c>
      <c r="C1082" s="221" t="s">
        <v>114</v>
      </c>
      <c r="D1082" s="222">
        <v>293</v>
      </c>
      <c r="E1082" s="242"/>
    </row>
    <row r="1083" spans="1:5" ht="28.8">
      <c r="A1083" s="241">
        <v>65031</v>
      </c>
      <c r="B1083" s="241" t="s">
        <v>852</v>
      </c>
      <c r="C1083" s="221" t="s">
        <v>114</v>
      </c>
      <c r="D1083" s="222">
        <v>271</v>
      </c>
      <c r="E1083" s="242"/>
    </row>
    <row r="1084" spans="1:5" ht="28.8">
      <c r="A1084" s="241">
        <v>65032</v>
      </c>
      <c r="B1084" s="241" t="s">
        <v>853</v>
      </c>
      <c r="C1084" s="221" t="s">
        <v>114</v>
      </c>
      <c r="D1084" s="222">
        <v>2063.13</v>
      </c>
      <c r="E1084" s="242"/>
    </row>
    <row r="1085" spans="1:5" ht="28.8">
      <c r="A1085" s="241">
        <v>65033</v>
      </c>
      <c r="B1085" s="241" t="s">
        <v>854</v>
      </c>
      <c r="C1085" s="221" t="s">
        <v>114</v>
      </c>
      <c r="D1085" s="223">
        <v>1296.67</v>
      </c>
      <c r="E1085" s="242"/>
    </row>
    <row r="1086" spans="1:5" ht="28.8">
      <c r="A1086" s="241">
        <v>65076</v>
      </c>
      <c r="B1086" s="241" t="s">
        <v>855</v>
      </c>
      <c r="C1086" s="221" t="s">
        <v>114</v>
      </c>
      <c r="D1086" s="223">
        <v>10615.1</v>
      </c>
      <c r="E1086" s="242"/>
    </row>
    <row r="1087" spans="1:5" ht="14.4">
      <c r="A1087" s="241">
        <v>652</v>
      </c>
      <c r="B1087" s="241" t="s">
        <v>856</v>
      </c>
      <c r="C1087" s="221"/>
      <c r="D1087" s="223"/>
      <c r="E1087" s="242"/>
    </row>
    <row r="1088" spans="1:5" ht="28.8">
      <c r="A1088" s="240">
        <v>65204</v>
      </c>
      <c r="B1088" s="529" t="s">
        <v>1788</v>
      </c>
      <c r="C1088" s="530" t="s">
        <v>114</v>
      </c>
      <c r="D1088" s="530">
        <v>793.3</v>
      </c>
      <c r="E1088" s="531"/>
    </row>
    <row r="1089" spans="1:5" ht="43.2">
      <c r="A1089" s="241">
        <v>65256</v>
      </c>
      <c r="B1089" s="241" t="s">
        <v>15065</v>
      </c>
      <c r="C1089" s="221" t="s">
        <v>114</v>
      </c>
      <c r="D1089" s="222">
        <v>181.53</v>
      </c>
      <c r="E1089" s="242"/>
    </row>
    <row r="1090" spans="1:5" ht="28.8">
      <c r="A1090" s="241">
        <v>65257</v>
      </c>
      <c r="B1090" s="241" t="s">
        <v>857</v>
      </c>
      <c r="C1090" s="221" t="s">
        <v>114</v>
      </c>
      <c r="D1090" s="222">
        <v>543.92999999999995</v>
      </c>
      <c r="E1090" s="242"/>
    </row>
    <row r="1091" spans="1:5" ht="14.4">
      <c r="A1091" s="241">
        <v>655</v>
      </c>
      <c r="B1091" s="241" t="s">
        <v>856</v>
      </c>
      <c r="C1091" s="221"/>
      <c r="D1091" s="222"/>
      <c r="E1091" s="242"/>
    </row>
    <row r="1092" spans="1:5" ht="14.4">
      <c r="A1092" s="240">
        <v>65502</v>
      </c>
      <c r="B1092" s="529" t="s">
        <v>858</v>
      </c>
      <c r="C1092" s="530" t="s">
        <v>114</v>
      </c>
      <c r="D1092" s="530">
        <v>139.29</v>
      </c>
      <c r="E1092" s="531"/>
    </row>
    <row r="1093" spans="1:5" ht="28.8">
      <c r="A1093" s="241">
        <v>65503</v>
      </c>
      <c r="B1093" s="241" t="s">
        <v>7503</v>
      </c>
      <c r="C1093" s="221" t="s">
        <v>114</v>
      </c>
      <c r="D1093" s="222">
        <v>363.07</v>
      </c>
      <c r="E1093" s="242"/>
    </row>
    <row r="1094" spans="1:5" ht="28.8">
      <c r="A1094" s="241">
        <v>65507</v>
      </c>
      <c r="B1094" s="241" t="s">
        <v>859</v>
      </c>
      <c r="C1094" s="221" t="s">
        <v>114</v>
      </c>
      <c r="D1094" s="222">
        <v>36.75</v>
      </c>
      <c r="E1094" s="242"/>
    </row>
    <row r="1095" spans="1:5" ht="28.8">
      <c r="A1095" s="241">
        <v>65508</v>
      </c>
      <c r="B1095" s="241" t="s">
        <v>860</v>
      </c>
      <c r="C1095" s="221" t="s">
        <v>114</v>
      </c>
      <c r="D1095" s="222">
        <v>303.45999999999998</v>
      </c>
      <c r="E1095" s="242"/>
    </row>
    <row r="1096" spans="1:5" ht="28.8">
      <c r="A1096" s="241">
        <v>65509</v>
      </c>
      <c r="B1096" s="241" t="s">
        <v>861</v>
      </c>
      <c r="C1096" s="221" t="s">
        <v>114</v>
      </c>
      <c r="D1096" s="222">
        <v>160.12</v>
      </c>
      <c r="E1096" s="242"/>
    </row>
    <row r="1097" spans="1:5" ht="28.8">
      <c r="A1097" s="241">
        <v>65510</v>
      </c>
      <c r="B1097" s="241" t="s">
        <v>862</v>
      </c>
      <c r="C1097" s="221" t="s">
        <v>75</v>
      </c>
      <c r="D1097" s="222">
        <v>852.34</v>
      </c>
      <c r="E1097" s="242"/>
    </row>
    <row r="1098" spans="1:5" ht="14.4">
      <c r="A1098" s="241">
        <v>65511</v>
      </c>
      <c r="B1098" s="241" t="s">
        <v>863</v>
      </c>
      <c r="C1098" s="221" t="s">
        <v>114</v>
      </c>
      <c r="D1098" s="222">
        <v>359.24</v>
      </c>
      <c r="E1098" s="242"/>
    </row>
    <row r="1099" spans="1:5" ht="28.8">
      <c r="A1099" s="241">
        <v>65513</v>
      </c>
      <c r="B1099" s="241" t="s">
        <v>864</v>
      </c>
      <c r="C1099" s="221" t="s">
        <v>114</v>
      </c>
      <c r="D1099" s="222">
        <v>1319.85</v>
      </c>
      <c r="E1099" s="242"/>
    </row>
    <row r="1100" spans="1:5" ht="14.4">
      <c r="A1100" s="241">
        <v>65514</v>
      </c>
      <c r="B1100" s="241" t="s">
        <v>865</v>
      </c>
      <c r="C1100" s="221" t="s">
        <v>114</v>
      </c>
      <c r="D1100" s="223">
        <v>54.34</v>
      </c>
      <c r="E1100" s="242"/>
    </row>
    <row r="1101" spans="1:5" ht="28.8">
      <c r="A1101" s="241">
        <v>65516</v>
      </c>
      <c r="B1101" s="241" t="s">
        <v>866</v>
      </c>
      <c r="C1101" s="221" t="s">
        <v>114</v>
      </c>
      <c r="D1101" s="222">
        <v>49.84</v>
      </c>
      <c r="E1101" s="242"/>
    </row>
    <row r="1102" spans="1:5" ht="28.8">
      <c r="A1102" s="241">
        <v>65518</v>
      </c>
      <c r="B1102" s="241" t="s">
        <v>867</v>
      </c>
      <c r="C1102" s="221" t="s">
        <v>114</v>
      </c>
      <c r="D1102" s="222">
        <v>54.97</v>
      </c>
      <c r="E1102" s="242"/>
    </row>
    <row r="1103" spans="1:5" ht="28.8">
      <c r="A1103" s="241">
        <v>65521</v>
      </c>
      <c r="B1103" s="241" t="s">
        <v>868</v>
      </c>
      <c r="C1103" s="221" t="s">
        <v>114</v>
      </c>
      <c r="D1103" s="222">
        <v>1597.59</v>
      </c>
      <c r="E1103" s="242"/>
    </row>
    <row r="1104" spans="1:5" ht="28.8">
      <c r="A1104" s="241">
        <v>65523</v>
      </c>
      <c r="B1104" s="241" t="s">
        <v>869</v>
      </c>
      <c r="C1104" s="221" t="s">
        <v>114</v>
      </c>
      <c r="D1104" s="223">
        <v>1118.6300000000001</v>
      </c>
      <c r="E1104" s="242"/>
    </row>
    <row r="1105" spans="1:5" ht="28.8">
      <c r="A1105" s="241">
        <v>65524</v>
      </c>
      <c r="B1105" s="241" t="s">
        <v>870</v>
      </c>
      <c r="C1105" s="221" t="s">
        <v>114</v>
      </c>
      <c r="D1105" s="223">
        <v>21.75</v>
      </c>
      <c r="E1105" s="242"/>
    </row>
    <row r="1106" spans="1:5" ht="14.4">
      <c r="A1106" s="241">
        <v>65526</v>
      </c>
      <c r="B1106" s="241" t="s">
        <v>871</v>
      </c>
      <c r="C1106" s="221" t="s">
        <v>114</v>
      </c>
      <c r="D1106" s="222">
        <v>16.5</v>
      </c>
      <c r="E1106" s="242"/>
    </row>
    <row r="1107" spans="1:5" ht="28.8">
      <c r="A1107" s="241">
        <v>65528</v>
      </c>
      <c r="B1107" s="241" t="s">
        <v>872</v>
      </c>
      <c r="C1107" s="221" t="s">
        <v>114</v>
      </c>
      <c r="D1107" s="222">
        <v>400.93</v>
      </c>
      <c r="E1107" s="242"/>
    </row>
    <row r="1108" spans="1:5" ht="28.8">
      <c r="A1108" s="241">
        <v>65544</v>
      </c>
      <c r="B1108" s="241" t="s">
        <v>7504</v>
      </c>
      <c r="C1108" s="221" t="s">
        <v>114</v>
      </c>
      <c r="D1108" s="222">
        <v>89.98</v>
      </c>
      <c r="E1108" s="242"/>
    </row>
    <row r="1109" spans="1:5" ht="28.8">
      <c r="A1109" s="241">
        <v>65555</v>
      </c>
      <c r="B1109" s="241" t="s">
        <v>873</v>
      </c>
      <c r="C1109" s="221" t="s">
        <v>75</v>
      </c>
      <c r="D1109" s="222">
        <v>917.18</v>
      </c>
      <c r="E1109" s="242"/>
    </row>
    <row r="1110" spans="1:5" ht="28.8">
      <c r="A1110" s="241">
        <v>65556</v>
      </c>
      <c r="B1110" s="241" t="s">
        <v>874</v>
      </c>
      <c r="C1110" s="221" t="s">
        <v>75</v>
      </c>
      <c r="D1110" s="222">
        <v>917.18</v>
      </c>
      <c r="E1110" s="242"/>
    </row>
    <row r="1111" spans="1:5" ht="28.8">
      <c r="A1111" s="241">
        <v>65563</v>
      </c>
      <c r="B1111" s="241" t="s">
        <v>875</v>
      </c>
      <c r="C1111" s="221" t="s">
        <v>75</v>
      </c>
      <c r="D1111" s="222">
        <v>852.34</v>
      </c>
      <c r="E1111" s="242"/>
    </row>
    <row r="1112" spans="1:5" ht="28.8">
      <c r="A1112" s="241">
        <v>65565</v>
      </c>
      <c r="B1112" s="241" t="s">
        <v>876</v>
      </c>
      <c r="C1112" s="221" t="s">
        <v>114</v>
      </c>
      <c r="D1112" s="222">
        <v>2336.4</v>
      </c>
      <c r="E1112" s="242"/>
    </row>
    <row r="1113" spans="1:5" ht="28.8">
      <c r="A1113" s="241">
        <v>65566</v>
      </c>
      <c r="B1113" s="241" t="s">
        <v>877</v>
      </c>
      <c r="C1113" s="221" t="s">
        <v>114</v>
      </c>
      <c r="D1113" s="223">
        <v>2509.6799999999998</v>
      </c>
      <c r="E1113" s="242"/>
    </row>
    <row r="1114" spans="1:5" ht="28.8">
      <c r="A1114" s="241">
        <v>65567</v>
      </c>
      <c r="B1114" s="241" t="s">
        <v>878</v>
      </c>
      <c r="C1114" s="221" t="s">
        <v>114</v>
      </c>
      <c r="D1114" s="223">
        <v>1220.07</v>
      </c>
      <c r="E1114" s="242"/>
    </row>
    <row r="1115" spans="1:5" ht="28.8">
      <c r="A1115" s="241">
        <v>65572</v>
      </c>
      <c r="B1115" s="241" t="s">
        <v>879</v>
      </c>
      <c r="C1115" s="221" t="s">
        <v>114</v>
      </c>
      <c r="D1115" s="223">
        <v>2494.5700000000002</v>
      </c>
      <c r="E1115" s="242"/>
    </row>
    <row r="1116" spans="1:5" ht="28.8">
      <c r="A1116" s="241">
        <v>65594</v>
      </c>
      <c r="B1116" s="241" t="s">
        <v>880</v>
      </c>
      <c r="C1116" s="221" t="s">
        <v>75</v>
      </c>
      <c r="D1116" s="223">
        <v>942.66</v>
      </c>
      <c r="E1116" s="242"/>
    </row>
    <row r="1117" spans="1:5" ht="28.8">
      <c r="A1117" s="241">
        <v>65596</v>
      </c>
      <c r="B1117" s="241" t="s">
        <v>881</v>
      </c>
      <c r="C1117" s="221" t="s">
        <v>114</v>
      </c>
      <c r="D1117" s="222">
        <v>413.3</v>
      </c>
      <c r="E1117" s="242"/>
    </row>
    <row r="1118" spans="1:5" ht="28.8">
      <c r="A1118" s="241">
        <v>65598</v>
      </c>
      <c r="B1118" s="241" t="s">
        <v>882</v>
      </c>
      <c r="C1118" s="221" t="s">
        <v>114</v>
      </c>
      <c r="D1118" s="222">
        <v>288.20999999999998</v>
      </c>
      <c r="E1118" s="242"/>
    </row>
    <row r="1119" spans="1:5" ht="14.4">
      <c r="A1119" s="241">
        <v>656</v>
      </c>
      <c r="B1119" s="241" t="s">
        <v>856</v>
      </c>
      <c r="C1119" s="221"/>
      <c r="D1119" s="222"/>
      <c r="E1119" s="242"/>
    </row>
    <row r="1120" spans="1:5" ht="28.8">
      <c r="A1120" s="240">
        <v>65604</v>
      </c>
      <c r="B1120" s="529" t="s">
        <v>883</v>
      </c>
      <c r="C1120" s="530" t="s">
        <v>114</v>
      </c>
      <c r="D1120" s="530">
        <v>35.36</v>
      </c>
      <c r="E1120" s="531"/>
    </row>
    <row r="1121" spans="1:5" ht="14.4">
      <c r="A1121" s="241">
        <v>65611</v>
      </c>
      <c r="B1121" s="241" t="s">
        <v>884</v>
      </c>
      <c r="C1121" s="221" t="s">
        <v>114</v>
      </c>
      <c r="D1121" s="222">
        <v>127.75</v>
      </c>
      <c r="E1121" s="242"/>
    </row>
    <row r="1122" spans="1:5" ht="28.8">
      <c r="A1122" s="241">
        <v>65670</v>
      </c>
      <c r="B1122" s="241" t="s">
        <v>885</v>
      </c>
      <c r="C1122" s="221" t="s">
        <v>114</v>
      </c>
      <c r="D1122" s="222">
        <v>99.34</v>
      </c>
      <c r="E1122" s="242"/>
    </row>
    <row r="1123" spans="1:5" ht="14.4">
      <c r="A1123" s="241">
        <v>65697</v>
      </c>
      <c r="B1123" s="241" t="s">
        <v>886</v>
      </c>
      <c r="C1123" s="221" t="s">
        <v>114</v>
      </c>
      <c r="D1123" s="222">
        <v>182.27</v>
      </c>
      <c r="E1123" s="242"/>
    </row>
    <row r="1124" spans="1:5" ht="28.8">
      <c r="A1124" s="241">
        <v>65698</v>
      </c>
      <c r="B1124" s="241" t="s">
        <v>887</v>
      </c>
      <c r="C1124" s="221" t="s">
        <v>114</v>
      </c>
      <c r="D1124" s="222">
        <v>116.36</v>
      </c>
      <c r="E1124" s="242"/>
    </row>
    <row r="1125" spans="1:5" ht="14.4">
      <c r="A1125" s="241">
        <v>657</v>
      </c>
      <c r="B1125" s="241" t="s">
        <v>856</v>
      </c>
      <c r="C1125" s="221"/>
      <c r="D1125" s="222"/>
      <c r="E1125" s="242"/>
    </row>
    <row r="1126" spans="1:5" ht="28.8">
      <c r="A1126" s="240">
        <v>65717</v>
      </c>
      <c r="B1126" s="529" t="s">
        <v>888</v>
      </c>
      <c r="C1126" s="530" t="s">
        <v>114</v>
      </c>
      <c r="D1126" s="530">
        <v>208.4</v>
      </c>
      <c r="E1126" s="531"/>
    </row>
    <row r="1127" spans="1:5" ht="14.4">
      <c r="A1127" s="241">
        <v>658</v>
      </c>
      <c r="B1127" s="241" t="s">
        <v>856</v>
      </c>
      <c r="C1127" s="221"/>
      <c r="D1127" s="222"/>
      <c r="E1127" s="242"/>
    </row>
    <row r="1128" spans="1:5" ht="15" customHeight="1">
      <c r="A1128" s="240">
        <v>65812</v>
      </c>
      <c r="B1128" s="529" t="s">
        <v>1779</v>
      </c>
      <c r="C1128" s="530" t="s">
        <v>114</v>
      </c>
      <c r="D1128" s="530">
        <v>329.07</v>
      </c>
      <c r="E1128" s="531"/>
    </row>
    <row r="1129" spans="1:5" ht="28.8">
      <c r="A1129" s="241">
        <v>65829</v>
      </c>
      <c r="B1129" s="241" t="s">
        <v>889</v>
      </c>
      <c r="C1129" s="221" t="s">
        <v>114</v>
      </c>
      <c r="D1129" s="222">
        <v>1568.68</v>
      </c>
      <c r="E1129" s="242"/>
    </row>
    <row r="1130" spans="1:5" ht="28.8">
      <c r="A1130" s="241">
        <v>65830</v>
      </c>
      <c r="B1130" s="241" t="s">
        <v>890</v>
      </c>
      <c r="C1130" s="221" t="s">
        <v>114</v>
      </c>
      <c r="D1130" s="223">
        <v>2158.5100000000002</v>
      </c>
      <c r="E1130" s="242"/>
    </row>
    <row r="1131" spans="1:5" ht="28.8">
      <c r="A1131" s="241">
        <v>65831</v>
      </c>
      <c r="B1131" s="241" t="s">
        <v>891</v>
      </c>
      <c r="C1131" s="221" t="s">
        <v>114</v>
      </c>
      <c r="D1131" s="223">
        <v>155.84</v>
      </c>
      <c r="E1131" s="242"/>
    </row>
    <row r="1132" spans="1:5" ht="14.4">
      <c r="A1132" s="241">
        <v>65847</v>
      </c>
      <c r="B1132" s="241" t="s">
        <v>892</v>
      </c>
      <c r="C1132" s="221" t="s">
        <v>114</v>
      </c>
      <c r="D1132" s="222">
        <v>173.13</v>
      </c>
      <c r="E1132" s="242"/>
    </row>
    <row r="1133" spans="1:5" ht="28.8">
      <c r="A1133" s="241">
        <v>65861</v>
      </c>
      <c r="B1133" s="241" t="s">
        <v>893</v>
      </c>
      <c r="C1133" s="221" t="s">
        <v>114</v>
      </c>
      <c r="D1133" s="222">
        <v>273.94</v>
      </c>
      <c r="E1133" s="242"/>
    </row>
    <row r="1134" spans="1:5" ht="28.8">
      <c r="A1134" s="241">
        <v>65881</v>
      </c>
      <c r="B1134" s="241" t="s">
        <v>894</v>
      </c>
      <c r="C1134" s="221" t="s">
        <v>114</v>
      </c>
      <c r="D1134" s="222">
        <v>1065.43</v>
      </c>
      <c r="E1134" s="242"/>
    </row>
    <row r="1135" spans="1:5" ht="14.4">
      <c r="A1135" s="241">
        <v>659</v>
      </c>
      <c r="B1135" s="241" t="s">
        <v>856</v>
      </c>
      <c r="C1135" s="221"/>
      <c r="D1135" s="223"/>
      <c r="E1135" s="242"/>
    </row>
    <row r="1136" spans="1:5" ht="28.8">
      <c r="A1136" s="240">
        <v>65943</v>
      </c>
      <c r="B1136" s="529" t="s">
        <v>2232</v>
      </c>
      <c r="C1136" s="530" t="s">
        <v>114</v>
      </c>
      <c r="D1136" s="530">
        <v>339.32</v>
      </c>
      <c r="E1136" s="531"/>
    </row>
    <row r="1137" spans="1:5" ht="28.8">
      <c r="A1137" s="241">
        <v>65973</v>
      </c>
      <c r="B1137" s="241" t="s">
        <v>895</v>
      </c>
      <c r="C1137" s="221" t="s">
        <v>114</v>
      </c>
      <c r="D1137" s="222">
        <v>873.6</v>
      </c>
      <c r="E1137" s="242"/>
    </row>
    <row r="1138" spans="1:5" ht="14.4">
      <c r="A1138" s="241">
        <v>660</v>
      </c>
      <c r="B1138" s="241" t="s">
        <v>896</v>
      </c>
      <c r="C1138" s="221"/>
      <c r="D1138" s="222"/>
      <c r="E1138" s="242"/>
    </row>
    <row r="1139" spans="1:5" ht="14.4">
      <c r="A1139" s="240">
        <v>66008</v>
      </c>
      <c r="B1139" s="529" t="s">
        <v>897</v>
      </c>
      <c r="C1139" s="530" t="s">
        <v>114</v>
      </c>
      <c r="D1139" s="530">
        <v>110.99</v>
      </c>
      <c r="E1139" s="531"/>
    </row>
    <row r="1140" spans="1:5" ht="28.8">
      <c r="A1140" s="241">
        <v>66009</v>
      </c>
      <c r="B1140" s="241" t="s">
        <v>15746</v>
      </c>
      <c r="C1140" s="221" t="s">
        <v>114</v>
      </c>
      <c r="D1140" s="222">
        <v>132.59</v>
      </c>
      <c r="E1140" s="242"/>
    </row>
    <row r="1141" spans="1:5" ht="28.8">
      <c r="A1141" s="241">
        <v>66012</v>
      </c>
      <c r="B1141" s="241" t="s">
        <v>898</v>
      </c>
      <c r="C1141" s="221" t="s">
        <v>114</v>
      </c>
      <c r="D1141" s="222">
        <v>139.28</v>
      </c>
      <c r="E1141" s="242"/>
    </row>
    <row r="1142" spans="1:5" ht="28.8">
      <c r="A1142" s="241">
        <v>66013</v>
      </c>
      <c r="B1142" s="241" t="s">
        <v>899</v>
      </c>
      <c r="C1142" s="221" t="s">
        <v>114</v>
      </c>
      <c r="D1142" s="222">
        <v>49.17</v>
      </c>
      <c r="E1142" s="242"/>
    </row>
    <row r="1143" spans="1:5" ht="28.8">
      <c r="A1143" s="241">
        <v>66022</v>
      </c>
      <c r="B1143" s="241" t="s">
        <v>900</v>
      </c>
      <c r="C1143" s="221" t="s">
        <v>114</v>
      </c>
      <c r="D1143" s="222">
        <v>69.209999999999994</v>
      </c>
      <c r="E1143" s="242"/>
    </row>
    <row r="1144" spans="1:5" ht="28.8">
      <c r="A1144" s="241">
        <v>66024</v>
      </c>
      <c r="B1144" s="241" t="s">
        <v>901</v>
      </c>
      <c r="C1144" s="221" t="s">
        <v>114</v>
      </c>
      <c r="D1144" s="222">
        <v>29.86</v>
      </c>
      <c r="E1144" s="242"/>
    </row>
    <row r="1145" spans="1:5" ht="28.8">
      <c r="A1145" s="241">
        <v>66027</v>
      </c>
      <c r="B1145" s="241" t="s">
        <v>902</v>
      </c>
      <c r="C1145" s="221" t="s">
        <v>114</v>
      </c>
      <c r="D1145" s="222">
        <v>247.3</v>
      </c>
      <c r="E1145" s="242"/>
    </row>
    <row r="1146" spans="1:5" ht="28.8">
      <c r="A1146" s="241">
        <v>66045</v>
      </c>
      <c r="B1146" s="241" t="s">
        <v>903</v>
      </c>
      <c r="C1146" s="221" t="s">
        <v>114</v>
      </c>
      <c r="D1146" s="222">
        <v>155.25</v>
      </c>
      <c r="E1146" s="242"/>
    </row>
    <row r="1147" spans="1:5" ht="43.2">
      <c r="A1147" s="241">
        <v>66048</v>
      </c>
      <c r="B1147" s="241" t="s">
        <v>9644</v>
      </c>
      <c r="C1147" s="221" t="s">
        <v>114</v>
      </c>
      <c r="D1147" s="222">
        <v>79</v>
      </c>
      <c r="E1147" s="242"/>
    </row>
    <row r="1148" spans="1:5" ht="14.4">
      <c r="A1148" s="241">
        <v>66049</v>
      </c>
      <c r="B1148" s="241" t="s">
        <v>904</v>
      </c>
      <c r="C1148" s="221" t="s">
        <v>114</v>
      </c>
      <c r="D1148" s="222">
        <v>18.190000000000001</v>
      </c>
      <c r="E1148" s="242"/>
    </row>
    <row r="1149" spans="1:5" ht="28.8">
      <c r="A1149" s="241">
        <v>66058</v>
      </c>
      <c r="B1149" s="241" t="s">
        <v>905</v>
      </c>
      <c r="C1149" s="221" t="s">
        <v>114</v>
      </c>
      <c r="D1149" s="222">
        <v>110.99</v>
      </c>
      <c r="E1149" s="242"/>
    </row>
    <row r="1150" spans="1:5" ht="28.8">
      <c r="A1150" s="241">
        <v>66074</v>
      </c>
      <c r="B1150" s="241" t="s">
        <v>1852</v>
      </c>
      <c r="C1150" s="221" t="s">
        <v>114</v>
      </c>
      <c r="D1150" s="222">
        <v>306.82</v>
      </c>
      <c r="E1150" s="242"/>
    </row>
    <row r="1151" spans="1:5" ht="14.4">
      <c r="A1151" s="241">
        <v>661</v>
      </c>
      <c r="B1151" s="241" t="s">
        <v>896</v>
      </c>
      <c r="C1151" s="221"/>
      <c r="D1151" s="222"/>
      <c r="E1151" s="242"/>
    </row>
    <row r="1152" spans="1:5" ht="28.8">
      <c r="A1152" s="240">
        <v>66124</v>
      </c>
      <c r="B1152" s="529" t="s">
        <v>906</v>
      </c>
      <c r="C1152" s="530" t="s">
        <v>114</v>
      </c>
      <c r="D1152" s="530">
        <v>134.84</v>
      </c>
      <c r="E1152" s="531"/>
    </row>
    <row r="1153" spans="1:5" ht="28.8">
      <c r="A1153" s="241">
        <v>66125</v>
      </c>
      <c r="B1153" s="241" t="s">
        <v>2233</v>
      </c>
      <c r="C1153" s="221" t="s">
        <v>114</v>
      </c>
      <c r="D1153" s="222">
        <v>115</v>
      </c>
      <c r="E1153" s="242"/>
    </row>
    <row r="1154" spans="1:5" ht="28.8">
      <c r="A1154" s="241">
        <v>66178</v>
      </c>
      <c r="B1154" s="241" t="s">
        <v>907</v>
      </c>
      <c r="C1154" s="221" t="s">
        <v>114</v>
      </c>
      <c r="D1154" s="222">
        <v>548.27</v>
      </c>
      <c r="E1154" s="242"/>
    </row>
    <row r="1155" spans="1:5" ht="14.4">
      <c r="A1155" s="241">
        <v>662</v>
      </c>
      <c r="B1155" s="241" t="s">
        <v>856</v>
      </c>
      <c r="C1155" s="221"/>
      <c r="D1155" s="222"/>
      <c r="E1155" s="242"/>
    </row>
    <row r="1156" spans="1:5" ht="28.8">
      <c r="A1156" s="240">
        <v>66207</v>
      </c>
      <c r="B1156" s="529" t="s">
        <v>908</v>
      </c>
      <c r="C1156" s="530" t="s">
        <v>114</v>
      </c>
      <c r="D1156" s="530">
        <v>684.61</v>
      </c>
      <c r="E1156" s="531"/>
    </row>
    <row r="1157" spans="1:5" ht="14.4">
      <c r="A1157" s="241">
        <v>663</v>
      </c>
      <c r="B1157" s="241" t="s">
        <v>896</v>
      </c>
      <c r="C1157" s="221"/>
      <c r="D1157" s="222"/>
      <c r="E1157" s="242"/>
    </row>
    <row r="1158" spans="1:5" ht="57.6">
      <c r="A1158" s="240">
        <v>66301</v>
      </c>
      <c r="B1158" s="529" t="s">
        <v>15066</v>
      </c>
      <c r="C1158" s="530" t="s">
        <v>114</v>
      </c>
      <c r="D1158" s="530">
        <v>706.01</v>
      </c>
      <c r="E1158" s="531"/>
    </row>
    <row r="1159" spans="1:5" ht="28.8">
      <c r="A1159" s="241">
        <v>66335</v>
      </c>
      <c r="B1159" s="241" t="s">
        <v>909</v>
      </c>
      <c r="C1159" s="221" t="s">
        <v>114</v>
      </c>
      <c r="D1159" s="222">
        <v>111.61</v>
      </c>
      <c r="E1159" s="242"/>
    </row>
    <row r="1160" spans="1:5" ht="28.8">
      <c r="A1160" s="241">
        <v>66368</v>
      </c>
      <c r="B1160" s="241" t="s">
        <v>2234</v>
      </c>
      <c r="C1160" s="221" t="s">
        <v>114</v>
      </c>
      <c r="D1160" s="222">
        <v>819.71</v>
      </c>
      <c r="E1160" s="242"/>
    </row>
    <row r="1161" spans="1:5" ht="14.4">
      <c r="A1161" s="241">
        <v>666</v>
      </c>
      <c r="B1161" s="241" t="s">
        <v>910</v>
      </c>
      <c r="C1161" s="221"/>
      <c r="D1161" s="222"/>
      <c r="E1161" s="242"/>
    </row>
    <row r="1162" spans="1:5" ht="28.8">
      <c r="A1162" s="240">
        <v>66608</v>
      </c>
      <c r="B1162" s="529" t="s">
        <v>911</v>
      </c>
      <c r="C1162" s="530" t="s">
        <v>114</v>
      </c>
      <c r="D1162" s="530">
        <v>903.86</v>
      </c>
      <c r="E1162" s="531"/>
    </row>
    <row r="1163" spans="1:5" ht="28.8">
      <c r="A1163" s="241">
        <v>66618</v>
      </c>
      <c r="B1163" s="241" t="s">
        <v>912</v>
      </c>
      <c r="C1163" s="221" t="s">
        <v>114</v>
      </c>
      <c r="D1163" s="222">
        <v>725.58</v>
      </c>
      <c r="E1163" s="242"/>
    </row>
    <row r="1164" spans="1:5" ht="28.8">
      <c r="A1164" s="241">
        <v>670</v>
      </c>
      <c r="B1164" s="241" t="s">
        <v>913</v>
      </c>
      <c r="C1164" s="221"/>
      <c r="D1164" s="222"/>
      <c r="E1164" s="242"/>
    </row>
    <row r="1165" spans="1:5" ht="15" customHeight="1">
      <c r="A1165" s="240">
        <v>67001</v>
      </c>
      <c r="B1165" s="529" t="s">
        <v>9645</v>
      </c>
      <c r="C1165" s="530" t="s">
        <v>114</v>
      </c>
      <c r="D1165" s="530">
        <v>370.99</v>
      </c>
      <c r="E1165" s="531"/>
    </row>
    <row r="1166" spans="1:5" ht="28.8">
      <c r="A1166" s="241">
        <v>67004</v>
      </c>
      <c r="B1166" s="241" t="s">
        <v>914</v>
      </c>
      <c r="C1166" s="221" t="s">
        <v>114</v>
      </c>
      <c r="D1166" s="222">
        <v>462.33</v>
      </c>
      <c r="E1166" s="242"/>
    </row>
    <row r="1167" spans="1:5" ht="28.8">
      <c r="A1167" s="241">
        <v>67007</v>
      </c>
      <c r="B1167" s="241" t="s">
        <v>915</v>
      </c>
      <c r="C1167" s="221" t="s">
        <v>114</v>
      </c>
      <c r="D1167" s="222">
        <v>309.33</v>
      </c>
      <c r="E1167" s="242"/>
    </row>
    <row r="1168" spans="1:5" ht="28.8">
      <c r="A1168" s="241">
        <v>67008</v>
      </c>
      <c r="B1168" s="241" t="s">
        <v>916</v>
      </c>
      <c r="C1168" s="221" t="s">
        <v>114</v>
      </c>
      <c r="D1168" s="222">
        <v>70.36</v>
      </c>
      <c r="E1168" s="242"/>
    </row>
    <row r="1169" spans="1:5" ht="14.4">
      <c r="A1169" s="241">
        <v>67035</v>
      </c>
      <c r="B1169" s="241" t="s">
        <v>917</v>
      </c>
      <c r="C1169" s="221" t="s">
        <v>114</v>
      </c>
      <c r="D1169" s="222">
        <v>5.7</v>
      </c>
      <c r="E1169" s="242"/>
    </row>
    <row r="1170" spans="1:5" ht="14.4">
      <c r="A1170" s="241">
        <v>67040</v>
      </c>
      <c r="B1170" s="241" t="s">
        <v>918</v>
      </c>
      <c r="C1170" s="221" t="s">
        <v>114</v>
      </c>
      <c r="D1170" s="222">
        <v>142.80000000000001</v>
      </c>
      <c r="E1170" s="242"/>
    </row>
    <row r="1171" spans="1:5" ht="28.8">
      <c r="A1171" s="241">
        <v>67042</v>
      </c>
      <c r="B1171" s="241" t="s">
        <v>919</v>
      </c>
      <c r="C1171" s="221" t="s">
        <v>114</v>
      </c>
      <c r="D1171" s="222">
        <v>175.58</v>
      </c>
      <c r="E1171" s="242"/>
    </row>
    <row r="1172" spans="1:5" ht="28.8">
      <c r="A1172" s="241">
        <v>67043</v>
      </c>
      <c r="B1172" s="241" t="s">
        <v>920</v>
      </c>
      <c r="C1172" s="221" t="s">
        <v>114</v>
      </c>
      <c r="D1172" s="222">
        <v>192.85</v>
      </c>
      <c r="E1172" s="242"/>
    </row>
    <row r="1173" spans="1:5" ht="14.4">
      <c r="A1173" s="241">
        <v>67046</v>
      </c>
      <c r="B1173" s="241" t="s">
        <v>921</v>
      </c>
      <c r="C1173" s="221" t="s">
        <v>114</v>
      </c>
      <c r="D1173" s="222">
        <v>142</v>
      </c>
      <c r="E1173" s="242"/>
    </row>
    <row r="1174" spans="1:5" ht="28.8">
      <c r="A1174" s="241">
        <v>67047</v>
      </c>
      <c r="B1174" s="241" t="s">
        <v>922</v>
      </c>
      <c r="C1174" s="221" t="s">
        <v>114</v>
      </c>
      <c r="D1174" s="222">
        <v>543.6</v>
      </c>
      <c r="E1174" s="242"/>
    </row>
    <row r="1175" spans="1:5" ht="14.4">
      <c r="A1175" s="241">
        <v>67050</v>
      </c>
      <c r="B1175" s="241" t="s">
        <v>923</v>
      </c>
      <c r="C1175" s="221" t="s">
        <v>114</v>
      </c>
      <c r="D1175" s="222">
        <v>195.66</v>
      </c>
      <c r="E1175" s="242"/>
    </row>
    <row r="1176" spans="1:5" ht="28.8">
      <c r="A1176" s="241">
        <v>67051</v>
      </c>
      <c r="B1176" s="241" t="s">
        <v>924</v>
      </c>
      <c r="C1176" s="221" t="s">
        <v>114</v>
      </c>
      <c r="D1176" s="222">
        <v>60.83</v>
      </c>
      <c r="E1176" s="242"/>
    </row>
    <row r="1177" spans="1:5" ht="43.2">
      <c r="A1177" s="241">
        <v>67054</v>
      </c>
      <c r="B1177" s="241" t="s">
        <v>9646</v>
      </c>
      <c r="C1177" s="221" t="s">
        <v>114</v>
      </c>
      <c r="D1177" s="222">
        <v>513.33000000000004</v>
      </c>
      <c r="E1177" s="242"/>
    </row>
    <row r="1178" spans="1:5" ht="28.8">
      <c r="A1178" s="241">
        <v>67061</v>
      </c>
      <c r="B1178" s="241" t="s">
        <v>925</v>
      </c>
      <c r="C1178" s="221" t="s">
        <v>114</v>
      </c>
      <c r="D1178" s="222">
        <v>15</v>
      </c>
      <c r="E1178" s="242"/>
    </row>
    <row r="1179" spans="1:5" ht="28.8">
      <c r="A1179" s="241">
        <v>67066</v>
      </c>
      <c r="B1179" s="241" t="s">
        <v>926</v>
      </c>
      <c r="C1179" s="221" t="s">
        <v>114</v>
      </c>
      <c r="D1179" s="222">
        <v>491.27</v>
      </c>
      <c r="E1179" s="242"/>
    </row>
    <row r="1180" spans="1:5" ht="28.8">
      <c r="A1180" s="241">
        <v>67067</v>
      </c>
      <c r="B1180" s="241" t="s">
        <v>927</v>
      </c>
      <c r="C1180" s="221" t="s">
        <v>114</v>
      </c>
      <c r="D1180" s="222">
        <v>105.06</v>
      </c>
      <c r="E1180" s="242"/>
    </row>
    <row r="1181" spans="1:5" ht="57.6">
      <c r="A1181" s="241">
        <v>67090</v>
      </c>
      <c r="B1181" s="241" t="s">
        <v>7505</v>
      </c>
      <c r="C1181" s="221" t="s">
        <v>114</v>
      </c>
      <c r="D1181" s="222">
        <v>13.9</v>
      </c>
      <c r="E1181" s="242"/>
    </row>
    <row r="1182" spans="1:5" ht="14.4">
      <c r="A1182" s="241">
        <v>67094</v>
      </c>
      <c r="B1182" s="241" t="s">
        <v>928</v>
      </c>
      <c r="C1182" s="221" t="s">
        <v>114</v>
      </c>
      <c r="D1182" s="222">
        <v>155.59</v>
      </c>
      <c r="E1182" s="242"/>
    </row>
    <row r="1183" spans="1:5" ht="14.4">
      <c r="A1183" s="241">
        <v>675</v>
      </c>
      <c r="B1183" s="241" t="s">
        <v>929</v>
      </c>
      <c r="C1183" s="221"/>
      <c r="D1183" s="222"/>
      <c r="E1183" s="242"/>
    </row>
    <row r="1184" spans="1:5" ht="28.8">
      <c r="A1184" s="240">
        <v>67507</v>
      </c>
      <c r="B1184" s="529" t="s">
        <v>930</v>
      </c>
      <c r="C1184" s="530" t="s">
        <v>114</v>
      </c>
      <c r="D1184" s="530">
        <v>14.42</v>
      </c>
      <c r="E1184" s="531"/>
    </row>
    <row r="1185" spans="1:5" ht="28.8">
      <c r="A1185" s="241">
        <v>67510</v>
      </c>
      <c r="B1185" s="241" t="s">
        <v>931</v>
      </c>
      <c r="C1185" s="221" t="s">
        <v>114</v>
      </c>
      <c r="D1185" s="222">
        <v>14.2</v>
      </c>
      <c r="E1185" s="242"/>
    </row>
    <row r="1186" spans="1:5" ht="28.8">
      <c r="A1186" s="241">
        <v>67512</v>
      </c>
      <c r="B1186" s="241" t="s">
        <v>932</v>
      </c>
      <c r="C1186" s="221" t="s">
        <v>114</v>
      </c>
      <c r="D1186" s="222">
        <v>36.35</v>
      </c>
      <c r="E1186" s="242"/>
    </row>
    <row r="1187" spans="1:5" ht="28.8">
      <c r="A1187" s="241">
        <v>67522</v>
      </c>
      <c r="B1187" s="241" t="s">
        <v>933</v>
      </c>
      <c r="C1187" s="221" t="s">
        <v>114</v>
      </c>
      <c r="D1187" s="222">
        <v>10.5</v>
      </c>
      <c r="E1187" s="242"/>
    </row>
    <row r="1188" spans="1:5" ht="28.8">
      <c r="A1188" s="241">
        <v>67552</v>
      </c>
      <c r="B1188" s="241" t="s">
        <v>934</v>
      </c>
      <c r="C1188" s="221" t="s">
        <v>114</v>
      </c>
      <c r="D1188" s="222">
        <v>17.97</v>
      </c>
      <c r="E1188" s="242"/>
    </row>
    <row r="1189" spans="1:5" ht="28.8">
      <c r="A1189" s="241">
        <v>67560</v>
      </c>
      <c r="B1189" s="241" t="s">
        <v>935</v>
      </c>
      <c r="C1189" s="221" t="s">
        <v>114</v>
      </c>
      <c r="D1189" s="222">
        <v>31.87</v>
      </c>
      <c r="E1189" s="242"/>
    </row>
    <row r="1190" spans="1:5" ht="28.8">
      <c r="A1190" s="241">
        <v>67561</v>
      </c>
      <c r="B1190" s="241" t="s">
        <v>936</v>
      </c>
      <c r="C1190" s="221" t="s">
        <v>114</v>
      </c>
      <c r="D1190" s="222">
        <v>27.2</v>
      </c>
      <c r="E1190" s="242"/>
    </row>
    <row r="1191" spans="1:5" ht="28.8">
      <c r="A1191" s="241">
        <v>67578</v>
      </c>
      <c r="B1191" s="241" t="s">
        <v>937</v>
      </c>
      <c r="C1191" s="221" t="s">
        <v>114</v>
      </c>
      <c r="D1191" s="222">
        <v>14.42</v>
      </c>
      <c r="E1191" s="242"/>
    </row>
    <row r="1192" spans="1:5" ht="14.4">
      <c r="A1192" s="241">
        <v>676</v>
      </c>
      <c r="B1192" s="241" t="s">
        <v>938</v>
      </c>
      <c r="C1192" s="221"/>
      <c r="D1192" s="222"/>
      <c r="E1192" s="242"/>
    </row>
    <row r="1193" spans="1:5" ht="28.8">
      <c r="A1193" s="240">
        <v>67650</v>
      </c>
      <c r="B1193" s="529" t="s">
        <v>1780</v>
      </c>
      <c r="C1193" s="530" t="s">
        <v>114</v>
      </c>
      <c r="D1193" s="530">
        <v>28.93</v>
      </c>
      <c r="E1193" s="531"/>
    </row>
    <row r="1194" spans="1:5" ht="28.8">
      <c r="A1194" s="241">
        <v>67651</v>
      </c>
      <c r="B1194" s="241" t="s">
        <v>1781</v>
      </c>
      <c r="C1194" s="221" t="s">
        <v>114</v>
      </c>
      <c r="D1194" s="222">
        <v>17.72</v>
      </c>
      <c r="E1194" s="242"/>
    </row>
    <row r="1195" spans="1:5" ht="14.4">
      <c r="A1195" s="241">
        <v>67652</v>
      </c>
      <c r="B1195" s="241" t="s">
        <v>939</v>
      </c>
      <c r="C1195" s="221" t="s">
        <v>114</v>
      </c>
      <c r="D1195" s="222">
        <v>6.02</v>
      </c>
      <c r="E1195" s="242"/>
    </row>
    <row r="1196" spans="1:5" ht="14.4">
      <c r="A1196" s="241">
        <v>680</v>
      </c>
      <c r="B1196" s="241" t="s">
        <v>940</v>
      </c>
      <c r="C1196" s="221"/>
      <c r="D1196" s="222"/>
      <c r="E1196" s="242"/>
    </row>
    <row r="1197" spans="1:5" ht="28.8">
      <c r="A1197" s="240">
        <v>68001</v>
      </c>
      <c r="B1197" s="529" t="s">
        <v>941</v>
      </c>
      <c r="C1197" s="530" t="s">
        <v>75</v>
      </c>
      <c r="D1197" s="530">
        <v>21.73</v>
      </c>
      <c r="E1197" s="531"/>
    </row>
    <row r="1198" spans="1:5" ht="14.4">
      <c r="A1198" s="241">
        <v>68017</v>
      </c>
      <c r="B1198" s="241" t="s">
        <v>942</v>
      </c>
      <c r="C1198" s="221" t="s">
        <v>114</v>
      </c>
      <c r="D1198" s="222">
        <v>20.9</v>
      </c>
      <c r="E1198" s="242"/>
    </row>
    <row r="1199" spans="1:5" ht="28.8">
      <c r="A1199" s="241">
        <v>68020</v>
      </c>
      <c r="B1199" s="241" t="s">
        <v>2235</v>
      </c>
      <c r="C1199" s="221" t="s">
        <v>73</v>
      </c>
      <c r="D1199" s="222">
        <v>195.78</v>
      </c>
      <c r="E1199" s="242"/>
    </row>
    <row r="1200" spans="1:5" ht="28.8">
      <c r="A1200" s="241">
        <v>68023</v>
      </c>
      <c r="B1200" s="241" t="s">
        <v>943</v>
      </c>
      <c r="C1200" s="221" t="s">
        <v>75</v>
      </c>
      <c r="D1200" s="222">
        <v>93.58</v>
      </c>
      <c r="E1200" s="242"/>
    </row>
    <row r="1201" spans="1:5" ht="28.8">
      <c r="A1201" s="241">
        <v>68047</v>
      </c>
      <c r="B1201" s="241" t="s">
        <v>2236</v>
      </c>
      <c r="C1201" s="221" t="s">
        <v>73</v>
      </c>
      <c r="D1201" s="222">
        <v>259.58999999999997</v>
      </c>
      <c r="E1201" s="242"/>
    </row>
    <row r="1202" spans="1:5" ht="28.8">
      <c r="A1202" s="241">
        <v>681</v>
      </c>
      <c r="B1202" s="241" t="s">
        <v>944</v>
      </c>
      <c r="C1202" s="221"/>
      <c r="D1202" s="222"/>
      <c r="E1202" s="242"/>
    </row>
    <row r="1203" spans="1:5" ht="15" customHeight="1">
      <c r="A1203" s="240">
        <v>68138</v>
      </c>
      <c r="B1203" s="529" t="s">
        <v>945</v>
      </c>
      <c r="C1203" s="530" t="s">
        <v>114</v>
      </c>
      <c r="D1203" s="530">
        <v>262.29000000000002</v>
      </c>
      <c r="E1203" s="531"/>
    </row>
    <row r="1204" spans="1:5" ht="14.4">
      <c r="A1204" s="241">
        <v>691</v>
      </c>
      <c r="B1204" s="241" t="s">
        <v>334</v>
      </c>
      <c r="C1204" s="221"/>
      <c r="D1204" s="222"/>
      <c r="E1204" s="242"/>
    </row>
    <row r="1205" spans="1:5" ht="28.8">
      <c r="A1205" s="240">
        <v>69172</v>
      </c>
      <c r="B1205" s="529" t="s">
        <v>946</v>
      </c>
      <c r="C1205" s="530" t="s">
        <v>114</v>
      </c>
      <c r="D1205" s="530">
        <v>51.63</v>
      </c>
      <c r="E1205" s="531"/>
    </row>
    <row r="1206" spans="1:5" ht="28.8">
      <c r="A1206" s="241">
        <v>69191</v>
      </c>
      <c r="B1206" s="241" t="s">
        <v>947</v>
      </c>
      <c r="C1206" s="221" t="s">
        <v>114</v>
      </c>
      <c r="D1206" s="222">
        <v>247.25</v>
      </c>
      <c r="E1206" s="242"/>
    </row>
    <row r="1207" spans="1:5" ht="14.4">
      <c r="A1207" s="241">
        <v>692</v>
      </c>
      <c r="B1207" s="241" t="s">
        <v>1789</v>
      </c>
      <c r="C1207" s="221"/>
      <c r="D1207" s="222"/>
      <c r="E1207" s="242"/>
    </row>
    <row r="1208" spans="1:5" ht="28.8">
      <c r="A1208" s="240">
        <v>69291</v>
      </c>
      <c r="B1208" s="529" t="s">
        <v>15067</v>
      </c>
      <c r="C1208" s="530" t="s">
        <v>114</v>
      </c>
      <c r="D1208" s="530">
        <v>1011.26</v>
      </c>
      <c r="E1208" s="531"/>
    </row>
    <row r="1209" spans="1:5" ht="14.4">
      <c r="A1209" s="241">
        <v>694</v>
      </c>
      <c r="B1209" s="241" t="s">
        <v>459</v>
      </c>
      <c r="C1209" s="221"/>
      <c r="D1209" s="223"/>
      <c r="E1209" s="242"/>
    </row>
    <row r="1210" spans="1:5" ht="28.8">
      <c r="A1210" s="240">
        <v>69404</v>
      </c>
      <c r="B1210" s="529" t="s">
        <v>948</v>
      </c>
      <c r="C1210" s="530" t="s">
        <v>114</v>
      </c>
      <c r="D1210" s="530">
        <v>1336.67</v>
      </c>
      <c r="E1210" s="531"/>
    </row>
    <row r="1211" spans="1:5" ht="43.2">
      <c r="A1211" s="241">
        <v>69409</v>
      </c>
      <c r="B1211" s="241" t="s">
        <v>1782</v>
      </c>
      <c r="C1211" s="221" t="s">
        <v>114</v>
      </c>
      <c r="D1211" s="223">
        <v>69.8</v>
      </c>
      <c r="E1211" s="242"/>
    </row>
    <row r="1212" spans="1:5" ht="28.8">
      <c r="A1212" s="241">
        <v>69421</v>
      </c>
      <c r="B1212" s="241" t="s">
        <v>949</v>
      </c>
      <c r="C1212" s="221" t="s">
        <v>114</v>
      </c>
      <c r="D1212" s="222">
        <v>264.14</v>
      </c>
      <c r="E1212" s="242"/>
    </row>
    <row r="1213" spans="1:5" ht="43.2">
      <c r="A1213" s="241">
        <v>69445</v>
      </c>
      <c r="B1213" s="241" t="s">
        <v>15068</v>
      </c>
      <c r="C1213" s="221" t="s">
        <v>114</v>
      </c>
      <c r="D1213" s="222">
        <v>1056.5999999999999</v>
      </c>
      <c r="E1213" s="242"/>
    </row>
    <row r="1214" spans="1:5" ht="14.4">
      <c r="A1214" s="241">
        <v>695</v>
      </c>
      <c r="B1214" s="241" t="s">
        <v>326</v>
      </c>
      <c r="C1214" s="221"/>
      <c r="D1214" s="223"/>
      <c r="E1214" s="242"/>
    </row>
    <row r="1215" spans="1:5" ht="28.8">
      <c r="A1215" s="240">
        <v>69503</v>
      </c>
      <c r="B1215" s="529" t="s">
        <v>950</v>
      </c>
      <c r="C1215" s="530" t="s">
        <v>114</v>
      </c>
      <c r="D1215" s="530">
        <v>11.5</v>
      </c>
      <c r="E1215" s="531"/>
    </row>
    <row r="1216" spans="1:5" ht="14.4">
      <c r="A1216" s="241">
        <v>69505</v>
      </c>
      <c r="B1216" s="241" t="s">
        <v>951</v>
      </c>
      <c r="C1216" s="221" t="s">
        <v>114</v>
      </c>
      <c r="D1216" s="222">
        <v>6.93</v>
      </c>
      <c r="E1216" s="242"/>
    </row>
    <row r="1217" spans="1:5" ht="15" customHeight="1">
      <c r="A1217" s="241">
        <v>69506</v>
      </c>
      <c r="B1217" s="241" t="s">
        <v>952</v>
      </c>
      <c r="C1217" s="221" t="s">
        <v>114</v>
      </c>
      <c r="D1217" s="222">
        <v>31.99</v>
      </c>
      <c r="E1217" s="242"/>
    </row>
    <row r="1218" spans="1:5" ht="28.8">
      <c r="A1218" s="241">
        <v>69509</v>
      </c>
      <c r="B1218" s="241" t="s">
        <v>953</v>
      </c>
      <c r="C1218" s="221" t="s">
        <v>114</v>
      </c>
      <c r="D1218" s="222">
        <v>41</v>
      </c>
      <c r="E1218" s="242"/>
    </row>
    <row r="1219" spans="1:5" ht="14.4">
      <c r="A1219" s="241">
        <v>69512</v>
      </c>
      <c r="B1219" s="241" t="s">
        <v>954</v>
      </c>
      <c r="C1219" s="221" t="s">
        <v>75</v>
      </c>
      <c r="D1219" s="222">
        <v>0.14000000000000001</v>
      </c>
      <c r="E1219" s="242"/>
    </row>
    <row r="1220" spans="1:5" ht="14.4">
      <c r="A1220" s="241">
        <v>69513</v>
      </c>
      <c r="B1220" s="241" t="s">
        <v>955</v>
      </c>
      <c r="C1220" s="221" t="s">
        <v>71</v>
      </c>
      <c r="D1220" s="222">
        <v>80.53</v>
      </c>
      <c r="E1220" s="242"/>
    </row>
    <row r="1221" spans="1:5" ht="14.4">
      <c r="A1221" s="241">
        <v>69514</v>
      </c>
      <c r="B1221" s="241" t="s">
        <v>956</v>
      </c>
      <c r="C1221" s="221" t="s">
        <v>69</v>
      </c>
      <c r="D1221" s="222">
        <v>72.25</v>
      </c>
      <c r="E1221" s="242"/>
    </row>
    <row r="1222" spans="1:5" ht="28.8">
      <c r="A1222" s="241">
        <v>69515</v>
      </c>
      <c r="B1222" s="241" t="s">
        <v>957</v>
      </c>
      <c r="C1222" s="221" t="s">
        <v>114</v>
      </c>
      <c r="D1222" s="222">
        <v>77.95</v>
      </c>
      <c r="E1222" s="242"/>
    </row>
    <row r="1223" spans="1:5" ht="28.8">
      <c r="A1223" s="241">
        <v>69516</v>
      </c>
      <c r="B1223" s="241" t="s">
        <v>15747</v>
      </c>
      <c r="C1223" s="221" t="s">
        <v>114</v>
      </c>
      <c r="D1223" s="222">
        <v>108.11</v>
      </c>
      <c r="E1223" s="242"/>
    </row>
    <row r="1224" spans="1:5" ht="28.8">
      <c r="A1224" s="241">
        <v>69521</v>
      </c>
      <c r="B1224" s="241" t="s">
        <v>1790</v>
      </c>
      <c r="C1224" s="221" t="s">
        <v>114</v>
      </c>
      <c r="D1224" s="222">
        <v>77.95</v>
      </c>
      <c r="E1224" s="242"/>
    </row>
    <row r="1225" spans="1:5" ht="28.8">
      <c r="A1225" s="241">
        <v>69522</v>
      </c>
      <c r="B1225" s="241" t="s">
        <v>15748</v>
      </c>
      <c r="C1225" s="221" t="s">
        <v>114</v>
      </c>
      <c r="D1225" s="222">
        <v>195.41</v>
      </c>
      <c r="E1225" s="242"/>
    </row>
    <row r="1226" spans="1:5" ht="28.8">
      <c r="A1226" s="241">
        <v>69525</v>
      </c>
      <c r="B1226" s="241" t="s">
        <v>958</v>
      </c>
      <c r="C1226" s="221" t="s">
        <v>114</v>
      </c>
      <c r="D1226" s="222">
        <v>1610</v>
      </c>
      <c r="E1226" s="242"/>
    </row>
    <row r="1227" spans="1:5" ht="28.8">
      <c r="A1227" s="241">
        <v>69526</v>
      </c>
      <c r="B1227" s="241" t="s">
        <v>959</v>
      </c>
      <c r="C1227" s="221" t="s">
        <v>114</v>
      </c>
      <c r="D1227" s="223">
        <v>3424</v>
      </c>
      <c r="E1227" s="242"/>
    </row>
    <row r="1228" spans="1:5" ht="28.8">
      <c r="A1228" s="241">
        <v>69527</v>
      </c>
      <c r="B1228" s="241" t="s">
        <v>960</v>
      </c>
      <c r="C1228" s="221" t="s">
        <v>114</v>
      </c>
      <c r="D1228" s="223">
        <v>4066.67</v>
      </c>
      <c r="E1228" s="242"/>
    </row>
    <row r="1229" spans="1:5" ht="28.8">
      <c r="A1229" s="241">
        <v>69545</v>
      </c>
      <c r="B1229" s="241" t="s">
        <v>961</v>
      </c>
      <c r="C1229" s="221" t="s">
        <v>114</v>
      </c>
      <c r="D1229" s="223">
        <v>96.52</v>
      </c>
      <c r="E1229" s="242"/>
    </row>
    <row r="1230" spans="1:5" ht="14.4">
      <c r="A1230" s="241">
        <v>69547</v>
      </c>
      <c r="B1230" s="241" t="s">
        <v>962</v>
      </c>
      <c r="C1230" s="221" t="s">
        <v>114</v>
      </c>
      <c r="D1230" s="222">
        <v>6.93</v>
      </c>
      <c r="E1230" s="242"/>
    </row>
    <row r="1231" spans="1:5" ht="28.8">
      <c r="A1231" s="241">
        <v>69567</v>
      </c>
      <c r="B1231" s="241" t="s">
        <v>963</v>
      </c>
      <c r="C1231" s="221" t="s">
        <v>114</v>
      </c>
      <c r="D1231" s="222">
        <v>6.93</v>
      </c>
      <c r="E1231" s="242"/>
    </row>
    <row r="1232" spans="1:5" ht="28.8">
      <c r="A1232" s="241">
        <v>69572</v>
      </c>
      <c r="B1232" s="241" t="s">
        <v>2237</v>
      </c>
      <c r="C1232" s="221" t="s">
        <v>71</v>
      </c>
      <c r="D1232" s="222">
        <v>74.2</v>
      </c>
      <c r="E1232" s="242"/>
    </row>
    <row r="1233" spans="1:5" ht="14.4">
      <c r="A1233" s="241">
        <v>696</v>
      </c>
      <c r="B1233" s="241" t="s">
        <v>741</v>
      </c>
      <c r="C1233" s="221"/>
      <c r="D1233" s="222"/>
      <c r="E1233" s="242"/>
    </row>
    <row r="1234" spans="1:5" ht="28.8">
      <c r="A1234" s="240">
        <v>69606</v>
      </c>
      <c r="B1234" s="529" t="s">
        <v>964</v>
      </c>
      <c r="C1234" s="530" t="s">
        <v>114</v>
      </c>
      <c r="D1234" s="530">
        <v>1496.67</v>
      </c>
      <c r="E1234" s="531"/>
    </row>
    <row r="1235" spans="1:5" ht="14.4">
      <c r="A1235" s="241">
        <v>69616</v>
      </c>
      <c r="B1235" s="241" t="s">
        <v>965</v>
      </c>
      <c r="C1235" s="221" t="s">
        <v>114</v>
      </c>
      <c r="D1235" s="223">
        <v>49.11</v>
      </c>
      <c r="E1235" s="242"/>
    </row>
    <row r="1236" spans="1:5" ht="28.8">
      <c r="A1236" s="241">
        <v>69626</v>
      </c>
      <c r="B1236" s="241" t="s">
        <v>966</v>
      </c>
      <c r="C1236" s="221" t="s">
        <v>114</v>
      </c>
      <c r="D1236" s="222">
        <v>64</v>
      </c>
      <c r="E1236" s="242"/>
    </row>
    <row r="1237" spans="1:5" ht="28.8">
      <c r="A1237" s="241">
        <v>69681</v>
      </c>
      <c r="B1237" s="241" t="s">
        <v>2238</v>
      </c>
      <c r="C1237" s="221" t="s">
        <v>114</v>
      </c>
      <c r="D1237" s="222">
        <v>499.83</v>
      </c>
      <c r="E1237" s="242"/>
    </row>
    <row r="1238" spans="1:5" ht="14.4">
      <c r="A1238" s="241">
        <v>69682</v>
      </c>
      <c r="B1238" s="241" t="s">
        <v>967</v>
      </c>
      <c r="C1238" s="221" t="s">
        <v>114</v>
      </c>
      <c r="D1238" s="222">
        <v>476.5</v>
      </c>
      <c r="E1238" s="242"/>
    </row>
    <row r="1239" spans="1:5" ht="28.8">
      <c r="A1239" s="241">
        <v>697</v>
      </c>
      <c r="B1239" s="241" t="s">
        <v>968</v>
      </c>
      <c r="C1239" s="221"/>
      <c r="D1239" s="222"/>
      <c r="E1239" s="242"/>
    </row>
    <row r="1240" spans="1:5" ht="15" customHeight="1">
      <c r="A1240" s="240">
        <v>69753</v>
      </c>
      <c r="B1240" s="529" t="s">
        <v>969</v>
      </c>
      <c r="C1240" s="530" t="s">
        <v>114</v>
      </c>
      <c r="D1240" s="530">
        <v>44.17</v>
      </c>
      <c r="E1240" s="531"/>
    </row>
    <row r="1241" spans="1:5" ht="14.4">
      <c r="A1241" s="241">
        <v>7</v>
      </c>
      <c r="B1241" s="241" t="s">
        <v>326</v>
      </c>
      <c r="C1241" s="221"/>
      <c r="D1241" s="222"/>
      <c r="E1241" s="242"/>
    </row>
    <row r="1242" spans="1:5" ht="14.4">
      <c r="A1242" s="240">
        <v>701</v>
      </c>
      <c r="B1242" s="529" t="s">
        <v>326</v>
      </c>
      <c r="C1242" s="530"/>
      <c r="D1242" s="530"/>
      <c r="E1242" s="531"/>
    </row>
    <row r="1243" spans="1:5" ht="43.2">
      <c r="A1243" s="240">
        <v>70114</v>
      </c>
      <c r="B1243" s="529" t="s">
        <v>15069</v>
      </c>
      <c r="C1243" s="530" t="s">
        <v>83</v>
      </c>
      <c r="D1243" s="530">
        <v>40</v>
      </c>
      <c r="E1243" s="531"/>
    </row>
    <row r="1244" spans="1:5" ht="14.4">
      <c r="A1244" s="241">
        <v>702</v>
      </c>
      <c r="B1244" s="241" t="s">
        <v>691</v>
      </c>
      <c r="C1244" s="221"/>
      <c r="D1244" s="222"/>
      <c r="E1244" s="242"/>
    </row>
    <row r="1245" spans="1:5" ht="28.8">
      <c r="A1245" s="240">
        <v>70276</v>
      </c>
      <c r="B1245" s="529" t="s">
        <v>2239</v>
      </c>
      <c r="C1245" s="530" t="s">
        <v>75</v>
      </c>
      <c r="D1245" s="530">
        <v>15.17</v>
      </c>
      <c r="E1245" s="531"/>
    </row>
    <row r="1246" spans="1:5" ht="14.4">
      <c r="A1246" s="241">
        <v>703</v>
      </c>
      <c r="B1246" s="241" t="s">
        <v>691</v>
      </c>
      <c r="C1246" s="221"/>
      <c r="D1246" s="222"/>
      <c r="E1246" s="242"/>
    </row>
    <row r="1247" spans="1:5" ht="28.8">
      <c r="A1247" s="240">
        <v>70328</v>
      </c>
      <c r="B1247" s="529" t="s">
        <v>15070</v>
      </c>
      <c r="C1247" s="530" t="s">
        <v>75</v>
      </c>
      <c r="D1247" s="530">
        <v>110.73</v>
      </c>
      <c r="E1247" s="531"/>
    </row>
    <row r="1248" spans="1:5" ht="28.8">
      <c r="A1248" s="241">
        <v>70350</v>
      </c>
      <c r="B1248" s="241" t="s">
        <v>15071</v>
      </c>
      <c r="C1248" s="221" t="s">
        <v>75</v>
      </c>
      <c r="D1248" s="222">
        <v>51.94</v>
      </c>
      <c r="E1248" s="242"/>
    </row>
    <row r="1249" spans="1:5" ht="14.4">
      <c r="A1249" s="241">
        <v>706</v>
      </c>
      <c r="B1249" s="241" t="s">
        <v>691</v>
      </c>
      <c r="C1249" s="221"/>
      <c r="D1249" s="222"/>
      <c r="E1249" s="242"/>
    </row>
    <row r="1250" spans="1:5" ht="28.8">
      <c r="A1250" s="240">
        <v>70660</v>
      </c>
      <c r="B1250" s="529" t="s">
        <v>970</v>
      </c>
      <c r="C1250" s="530" t="s">
        <v>75</v>
      </c>
      <c r="D1250" s="530">
        <v>197.67</v>
      </c>
      <c r="E1250" s="531"/>
    </row>
    <row r="1251" spans="1:5" ht="14.4">
      <c r="A1251" s="241">
        <v>70674</v>
      </c>
      <c r="B1251" s="241" t="s">
        <v>971</v>
      </c>
      <c r="C1251" s="221" t="s">
        <v>114</v>
      </c>
      <c r="D1251" s="222">
        <v>506.67</v>
      </c>
      <c r="E1251" s="242"/>
    </row>
    <row r="1252" spans="1:5" ht="14.4">
      <c r="A1252" s="241">
        <v>710</v>
      </c>
      <c r="B1252" s="241" t="s">
        <v>691</v>
      </c>
      <c r="C1252" s="221"/>
      <c r="D1252" s="222"/>
      <c r="E1252" s="242"/>
    </row>
    <row r="1253" spans="1:5" ht="14.4">
      <c r="A1253" s="240">
        <v>71096</v>
      </c>
      <c r="B1253" s="529" t="s">
        <v>2240</v>
      </c>
      <c r="C1253" s="530" t="s">
        <v>73</v>
      </c>
      <c r="D1253" s="530">
        <v>34.25</v>
      </c>
      <c r="E1253" s="531"/>
    </row>
    <row r="1254" spans="1:5" ht="14.4">
      <c r="A1254" s="241">
        <v>712</v>
      </c>
      <c r="B1254" s="241" t="s">
        <v>691</v>
      </c>
      <c r="C1254" s="221"/>
      <c r="D1254" s="222"/>
      <c r="E1254" s="242"/>
    </row>
    <row r="1255" spans="1:5" ht="28.8">
      <c r="A1255" s="240">
        <v>71268</v>
      </c>
      <c r="B1255" s="529" t="s">
        <v>15072</v>
      </c>
      <c r="C1255" s="530" t="s">
        <v>75</v>
      </c>
      <c r="D1255" s="530">
        <v>33.880000000000003</v>
      </c>
      <c r="E1255" s="531"/>
    </row>
    <row r="1256" spans="1:5" ht="15" customHeight="1">
      <c r="A1256" s="241">
        <v>71270</v>
      </c>
      <c r="B1256" s="241" t="s">
        <v>15073</v>
      </c>
      <c r="C1256" s="221" t="s">
        <v>75</v>
      </c>
      <c r="D1256" s="222">
        <v>141.56</v>
      </c>
      <c r="E1256" s="242"/>
    </row>
    <row r="1257" spans="1:5" ht="14.4">
      <c r="A1257" s="241">
        <v>717</v>
      </c>
      <c r="B1257" s="241" t="s">
        <v>691</v>
      </c>
      <c r="C1257" s="221"/>
      <c r="D1257" s="222"/>
      <c r="E1257" s="242"/>
    </row>
    <row r="1258" spans="1:5" ht="28.8">
      <c r="A1258" s="240">
        <v>71707</v>
      </c>
      <c r="B1258" s="529" t="s">
        <v>1805</v>
      </c>
      <c r="C1258" s="530" t="s">
        <v>1022</v>
      </c>
      <c r="D1258" s="530">
        <v>529</v>
      </c>
      <c r="E1258" s="531"/>
    </row>
    <row r="1259" spans="1:5" ht="28.8">
      <c r="A1259" s="241">
        <v>71711</v>
      </c>
      <c r="B1259" s="241" t="s">
        <v>2241</v>
      </c>
      <c r="C1259" s="221" t="s">
        <v>73</v>
      </c>
      <c r="D1259" s="222">
        <v>8.2799999999999994</v>
      </c>
      <c r="E1259" s="242"/>
    </row>
    <row r="1260" spans="1:5" ht="14.4">
      <c r="A1260" s="241">
        <v>718</v>
      </c>
      <c r="B1260" s="241" t="s">
        <v>691</v>
      </c>
      <c r="C1260" s="221"/>
      <c r="D1260" s="222"/>
      <c r="E1260" s="242"/>
    </row>
    <row r="1261" spans="1:5" ht="28.8">
      <c r="A1261" s="240">
        <v>71820</v>
      </c>
      <c r="B1261" s="529" t="s">
        <v>1806</v>
      </c>
      <c r="C1261" s="530" t="s">
        <v>114</v>
      </c>
      <c r="D1261" s="530">
        <v>1035.67</v>
      </c>
      <c r="E1261" s="531"/>
    </row>
    <row r="1262" spans="1:5" ht="28.8">
      <c r="A1262" s="241">
        <v>71874</v>
      </c>
      <c r="B1262" s="241" t="s">
        <v>15074</v>
      </c>
      <c r="C1262" s="221" t="s">
        <v>75</v>
      </c>
      <c r="D1262" s="223">
        <v>81.760000000000005</v>
      </c>
      <c r="E1262" s="242"/>
    </row>
    <row r="1263" spans="1:5" ht="28.8">
      <c r="A1263" s="241">
        <v>71894</v>
      </c>
      <c r="B1263" s="241" t="s">
        <v>1807</v>
      </c>
      <c r="C1263" s="221" t="s">
        <v>114</v>
      </c>
      <c r="D1263" s="222">
        <v>211.37</v>
      </c>
      <c r="E1263" s="242"/>
    </row>
    <row r="1264" spans="1:5" ht="14.4">
      <c r="A1264" s="241">
        <v>719</v>
      </c>
      <c r="B1264" s="241" t="s">
        <v>691</v>
      </c>
      <c r="C1264" s="221"/>
      <c r="D1264" s="222"/>
      <c r="E1264" s="242"/>
    </row>
    <row r="1265" spans="1:5" ht="28.8">
      <c r="A1265" s="240">
        <v>71911</v>
      </c>
      <c r="B1265" s="529" t="s">
        <v>972</v>
      </c>
      <c r="C1265" s="530" t="s">
        <v>973</v>
      </c>
      <c r="D1265" s="530">
        <v>199.53</v>
      </c>
      <c r="E1265" s="531"/>
    </row>
    <row r="1266" spans="1:5" ht="28.8">
      <c r="A1266" s="241">
        <v>71963</v>
      </c>
      <c r="B1266" s="241" t="s">
        <v>974</v>
      </c>
      <c r="C1266" s="221" t="s">
        <v>114</v>
      </c>
      <c r="D1266" s="222">
        <v>18.5</v>
      </c>
      <c r="E1266" s="242"/>
    </row>
    <row r="1267" spans="1:5" ht="14.4">
      <c r="A1267" s="241">
        <v>720</v>
      </c>
      <c r="B1267" s="241" t="s">
        <v>691</v>
      </c>
      <c r="C1267" s="221"/>
      <c r="D1267" s="222"/>
      <c r="E1267" s="242"/>
    </row>
    <row r="1268" spans="1:5" ht="28.8">
      <c r="A1268" s="240">
        <v>72054</v>
      </c>
      <c r="B1268" s="529" t="s">
        <v>1808</v>
      </c>
      <c r="C1268" s="530" t="s">
        <v>1022</v>
      </c>
      <c r="D1268" s="530">
        <v>538.75</v>
      </c>
      <c r="E1268" s="531"/>
    </row>
    <row r="1269" spans="1:5" ht="14.4">
      <c r="A1269" s="241">
        <v>722</v>
      </c>
      <c r="B1269" s="241" t="s">
        <v>691</v>
      </c>
      <c r="C1269" s="221"/>
      <c r="D1269" s="222"/>
      <c r="E1269" s="242"/>
    </row>
    <row r="1270" spans="1:5" ht="28.8">
      <c r="A1270" s="240">
        <v>72280</v>
      </c>
      <c r="B1270" s="529" t="s">
        <v>1809</v>
      </c>
      <c r="C1270" s="530" t="s">
        <v>1022</v>
      </c>
      <c r="D1270" s="530">
        <v>719</v>
      </c>
      <c r="E1270" s="531"/>
    </row>
    <row r="1271" spans="1:5" ht="28.8">
      <c r="A1271" s="241">
        <v>72282</v>
      </c>
      <c r="B1271" s="241" t="s">
        <v>1810</v>
      </c>
      <c r="C1271" s="221" t="s">
        <v>1022</v>
      </c>
      <c r="D1271" s="222">
        <v>847.25</v>
      </c>
      <c r="E1271" s="242"/>
    </row>
    <row r="1272" spans="1:5" ht="14.4">
      <c r="A1272" s="241">
        <v>724</v>
      </c>
      <c r="B1272" s="241" t="s">
        <v>691</v>
      </c>
      <c r="C1272" s="221"/>
      <c r="D1272" s="222"/>
      <c r="E1272" s="242"/>
    </row>
    <row r="1273" spans="1:5" ht="28.8">
      <c r="A1273" s="240">
        <v>72455</v>
      </c>
      <c r="B1273" s="529" t="s">
        <v>975</v>
      </c>
      <c r="C1273" s="530" t="s">
        <v>114</v>
      </c>
      <c r="D1273" s="530">
        <v>60.84</v>
      </c>
      <c r="E1273" s="531"/>
    </row>
    <row r="1274" spans="1:5" ht="14.4">
      <c r="A1274" s="241">
        <v>727</v>
      </c>
      <c r="B1274" s="241" t="s">
        <v>691</v>
      </c>
      <c r="C1274" s="221"/>
      <c r="D1274" s="222"/>
      <c r="E1274" s="242"/>
    </row>
    <row r="1275" spans="1:5" ht="28.8">
      <c r="A1275" s="240">
        <v>72708</v>
      </c>
      <c r="B1275" s="529" t="s">
        <v>976</v>
      </c>
      <c r="C1275" s="530" t="s">
        <v>114</v>
      </c>
      <c r="D1275" s="530">
        <v>18.559999999999999</v>
      </c>
      <c r="E1275" s="531"/>
    </row>
    <row r="1276" spans="1:5" ht="14.4">
      <c r="A1276" s="241">
        <v>781</v>
      </c>
      <c r="B1276" s="241" t="s">
        <v>334</v>
      </c>
      <c r="C1276" s="221"/>
      <c r="D1276" s="222"/>
      <c r="E1276" s="242"/>
    </row>
    <row r="1277" spans="1:5" ht="28.8">
      <c r="A1277" s="240">
        <v>78133</v>
      </c>
      <c r="B1277" s="529" t="s">
        <v>1811</v>
      </c>
      <c r="C1277" s="530" t="s">
        <v>1022</v>
      </c>
      <c r="D1277" s="530">
        <v>787.33</v>
      </c>
      <c r="E1277" s="531"/>
    </row>
    <row r="1278" spans="1:5" ht="14.4">
      <c r="A1278" s="241">
        <v>782</v>
      </c>
      <c r="B1278" s="241" t="s">
        <v>326</v>
      </c>
      <c r="C1278" s="221"/>
      <c r="D1278" s="222"/>
      <c r="E1278" s="242"/>
    </row>
    <row r="1279" spans="1:5" ht="28.8">
      <c r="A1279" s="240">
        <v>78203</v>
      </c>
      <c r="B1279" s="529" t="s">
        <v>977</v>
      </c>
      <c r="C1279" s="530" t="s">
        <v>114</v>
      </c>
      <c r="D1279" s="530">
        <v>732</v>
      </c>
      <c r="E1279" s="531"/>
    </row>
    <row r="1280" spans="1:5" ht="28.8">
      <c r="A1280" s="241">
        <v>78226</v>
      </c>
      <c r="B1280" s="241" t="s">
        <v>978</v>
      </c>
      <c r="C1280" s="221" t="s">
        <v>114</v>
      </c>
      <c r="D1280" s="222">
        <v>3.13</v>
      </c>
      <c r="E1280" s="242"/>
    </row>
    <row r="1281" spans="1:5" ht="14.4">
      <c r="A1281" s="241">
        <v>783</v>
      </c>
      <c r="B1281" s="241" t="s">
        <v>980</v>
      </c>
      <c r="C1281" s="221"/>
      <c r="D1281" s="222"/>
      <c r="E1281" s="242"/>
    </row>
    <row r="1282" spans="1:5" ht="28.8">
      <c r="A1282" s="240">
        <v>78373</v>
      </c>
      <c r="B1282" s="529" t="s">
        <v>1812</v>
      </c>
      <c r="C1282" s="530" t="s">
        <v>1022</v>
      </c>
      <c r="D1282" s="530">
        <v>719</v>
      </c>
      <c r="E1282" s="531"/>
    </row>
    <row r="1283" spans="1:5" ht="14.4">
      <c r="A1283" s="241">
        <v>786</v>
      </c>
      <c r="B1283" s="241" t="s">
        <v>459</v>
      </c>
      <c r="C1283" s="221"/>
      <c r="D1283" s="222"/>
      <c r="E1283" s="242"/>
    </row>
    <row r="1284" spans="1:5" ht="14.4">
      <c r="A1284" s="240">
        <v>78627</v>
      </c>
      <c r="B1284" s="529" t="s">
        <v>979</v>
      </c>
      <c r="C1284" s="530" t="s">
        <v>114</v>
      </c>
      <c r="D1284" s="530">
        <v>166.95</v>
      </c>
      <c r="E1284" s="531"/>
    </row>
    <row r="1285" spans="1:5" ht="14.4">
      <c r="A1285" s="241">
        <v>787</v>
      </c>
      <c r="B1285" s="241" t="s">
        <v>980</v>
      </c>
      <c r="C1285" s="221"/>
      <c r="D1285" s="222"/>
      <c r="E1285" s="242"/>
    </row>
    <row r="1286" spans="1:5" ht="14.4">
      <c r="A1286" s="240">
        <v>78735</v>
      </c>
      <c r="B1286" s="529" t="s">
        <v>981</v>
      </c>
      <c r="C1286" s="530" t="s">
        <v>114</v>
      </c>
      <c r="D1286" s="530">
        <v>28.69</v>
      </c>
      <c r="E1286" s="531"/>
    </row>
    <row r="1287" spans="1:5" ht="14.4">
      <c r="A1287" s="241">
        <v>78749</v>
      </c>
      <c r="B1287" s="241" t="s">
        <v>982</v>
      </c>
      <c r="C1287" s="221" t="s">
        <v>114</v>
      </c>
      <c r="D1287" s="222">
        <v>107.1</v>
      </c>
      <c r="E1287" s="242"/>
    </row>
    <row r="1288" spans="1:5" ht="14.4">
      <c r="A1288" s="241">
        <v>793</v>
      </c>
      <c r="B1288" s="241" t="s">
        <v>691</v>
      </c>
      <c r="C1288" s="221"/>
      <c r="D1288" s="222"/>
      <c r="E1288" s="242"/>
    </row>
    <row r="1289" spans="1:5" ht="28.8">
      <c r="A1289" s="240">
        <v>79372</v>
      </c>
      <c r="B1289" s="529" t="s">
        <v>15075</v>
      </c>
      <c r="C1289" s="530" t="s">
        <v>75</v>
      </c>
      <c r="D1289" s="530">
        <v>245.52</v>
      </c>
      <c r="E1289" s="531"/>
    </row>
    <row r="1290" spans="1:5" ht="28.8">
      <c r="A1290" s="241">
        <v>79374</v>
      </c>
      <c r="B1290" s="241" t="s">
        <v>2242</v>
      </c>
      <c r="C1290" s="221" t="s">
        <v>114</v>
      </c>
      <c r="D1290" s="222">
        <v>26.66</v>
      </c>
      <c r="E1290" s="242"/>
    </row>
    <row r="1291" spans="1:5" ht="14.4">
      <c r="A1291" s="241">
        <v>79375</v>
      </c>
      <c r="B1291" s="241" t="s">
        <v>2243</v>
      </c>
      <c r="C1291" s="221" t="s">
        <v>71</v>
      </c>
      <c r="D1291" s="222">
        <v>2.5299999999999998</v>
      </c>
      <c r="E1291" s="242"/>
    </row>
    <row r="1292" spans="1:5" ht="28.8">
      <c r="A1292" s="241">
        <v>10</v>
      </c>
      <c r="B1292" s="241" t="s">
        <v>2244</v>
      </c>
      <c r="C1292" s="221"/>
      <c r="D1292" s="222"/>
      <c r="E1292" s="242"/>
    </row>
    <row r="1293" spans="1:5" ht="15" customHeight="1">
      <c r="A1293" s="240">
        <v>1001</v>
      </c>
      <c r="B1293" s="529" t="s">
        <v>2244</v>
      </c>
      <c r="C1293" s="530"/>
      <c r="D1293" s="530"/>
      <c r="E1293" s="531"/>
    </row>
    <row r="1294" spans="1:5" ht="15" customHeight="1">
      <c r="A1294" s="240">
        <v>100189</v>
      </c>
      <c r="B1294" s="529" t="s">
        <v>2245</v>
      </c>
      <c r="C1294" s="530" t="s">
        <v>75</v>
      </c>
      <c r="D1294" s="530">
        <v>5.17</v>
      </c>
      <c r="E1294" s="531"/>
    </row>
    <row r="1295" spans="1:5" ht="28.8">
      <c r="A1295" s="241">
        <v>100190</v>
      </c>
      <c r="B1295" s="241" t="s">
        <v>2246</v>
      </c>
      <c r="C1295" s="221" t="s">
        <v>75</v>
      </c>
      <c r="D1295" s="222">
        <v>20.04</v>
      </c>
      <c r="E1295" s="242"/>
    </row>
    <row r="1296" spans="1:5" ht="28.8">
      <c r="A1296" s="241">
        <v>100192</v>
      </c>
      <c r="B1296" s="241" t="s">
        <v>9647</v>
      </c>
      <c r="C1296" s="221" t="s">
        <v>75</v>
      </c>
      <c r="D1296" s="222">
        <v>30.58</v>
      </c>
      <c r="E1296" s="242"/>
    </row>
    <row r="1297" spans="1:5" ht="28.8">
      <c r="A1297" s="241">
        <v>100194</v>
      </c>
      <c r="B1297" s="241" t="s">
        <v>2247</v>
      </c>
      <c r="C1297" s="221" t="s">
        <v>75</v>
      </c>
      <c r="D1297" s="222">
        <v>11.03</v>
      </c>
      <c r="E1297" s="242"/>
    </row>
    <row r="1298" spans="1:5" ht="28.8">
      <c r="A1298" s="241">
        <v>100195</v>
      </c>
      <c r="B1298" s="241" t="s">
        <v>2248</v>
      </c>
      <c r="C1298" s="221" t="s">
        <v>71</v>
      </c>
      <c r="D1298" s="222">
        <v>11.04</v>
      </c>
      <c r="E1298" s="242"/>
    </row>
    <row r="1299" spans="1:5" ht="28.8">
      <c r="A1299" s="241">
        <v>100196</v>
      </c>
      <c r="B1299" s="241" t="s">
        <v>2249</v>
      </c>
      <c r="C1299" s="221" t="s">
        <v>71</v>
      </c>
      <c r="D1299" s="222">
        <v>10.97</v>
      </c>
      <c r="E1299" s="242"/>
    </row>
    <row r="1300" spans="1:5" ht="28.8">
      <c r="A1300" s="241">
        <v>100197</v>
      </c>
      <c r="B1300" s="241" t="s">
        <v>2250</v>
      </c>
      <c r="C1300" s="221" t="s">
        <v>71</v>
      </c>
      <c r="D1300" s="222">
        <v>11.17</v>
      </c>
      <c r="E1300" s="242"/>
    </row>
    <row r="1301" spans="1:5" ht="14.4">
      <c r="A1301" s="241">
        <v>100198</v>
      </c>
      <c r="B1301" s="241" t="s">
        <v>2251</v>
      </c>
      <c r="C1301" s="221" t="s">
        <v>75</v>
      </c>
      <c r="D1301" s="222">
        <v>8.98</v>
      </c>
      <c r="E1301" s="242"/>
    </row>
    <row r="1302" spans="1:5" ht="28.8">
      <c r="A1302" s="241">
        <v>1002</v>
      </c>
      <c r="B1302" s="241" t="s">
        <v>2252</v>
      </c>
      <c r="C1302" s="221"/>
      <c r="D1302" s="222"/>
      <c r="E1302" s="242"/>
    </row>
    <row r="1303" spans="1:5" ht="15" customHeight="1">
      <c r="A1303" s="240">
        <v>100202</v>
      </c>
      <c r="B1303" s="529" t="s">
        <v>2253</v>
      </c>
      <c r="C1303" s="530" t="s">
        <v>71</v>
      </c>
      <c r="D1303" s="530">
        <v>13.44</v>
      </c>
      <c r="E1303" s="531"/>
    </row>
    <row r="1304" spans="1:5" ht="28.8">
      <c r="A1304" s="241">
        <v>100203</v>
      </c>
      <c r="B1304" s="241" t="s">
        <v>2254</v>
      </c>
      <c r="C1304" s="221" t="s">
        <v>71</v>
      </c>
      <c r="D1304" s="222">
        <v>13.3</v>
      </c>
      <c r="E1304" s="242"/>
    </row>
    <row r="1305" spans="1:5" ht="28.8">
      <c r="A1305" s="241">
        <v>100208</v>
      </c>
      <c r="B1305" s="241" t="s">
        <v>15076</v>
      </c>
      <c r="C1305" s="221" t="s">
        <v>75</v>
      </c>
      <c r="D1305" s="222">
        <v>177.76</v>
      </c>
      <c r="E1305" s="242"/>
    </row>
    <row r="1306" spans="1:5" ht="28.8">
      <c r="A1306" s="241">
        <v>100209</v>
      </c>
      <c r="B1306" s="241" t="s">
        <v>2255</v>
      </c>
      <c r="C1306" s="221" t="s">
        <v>71</v>
      </c>
      <c r="D1306" s="222">
        <v>14.24</v>
      </c>
      <c r="E1306" s="242"/>
    </row>
    <row r="1307" spans="1:5" ht="14.4">
      <c r="A1307" s="241">
        <v>13</v>
      </c>
      <c r="B1307" s="241" t="s">
        <v>983</v>
      </c>
      <c r="C1307" s="221"/>
      <c r="D1307" s="222"/>
      <c r="E1307" s="242"/>
    </row>
    <row r="1308" spans="1:5" ht="14.4">
      <c r="A1308" s="240">
        <v>1304</v>
      </c>
      <c r="B1308" s="529" t="s">
        <v>984</v>
      </c>
      <c r="C1308" s="530"/>
      <c r="D1308" s="530"/>
      <c r="E1308" s="531"/>
    </row>
    <row r="1309" spans="1:5" ht="14.4">
      <c r="A1309" s="240">
        <v>130401</v>
      </c>
      <c r="B1309" s="529" t="s">
        <v>985</v>
      </c>
      <c r="C1309" s="530" t="s">
        <v>114</v>
      </c>
      <c r="D1309" s="530">
        <v>134.38999999999999</v>
      </c>
      <c r="E1309" s="531"/>
    </row>
    <row r="1310" spans="1:5" ht="14.4">
      <c r="A1310" s="241">
        <v>1305</v>
      </c>
      <c r="B1310" s="241" t="s">
        <v>640</v>
      </c>
      <c r="C1310" s="221"/>
      <c r="D1310" s="222"/>
      <c r="E1310" s="242"/>
    </row>
    <row r="1311" spans="1:5" ht="57.6">
      <c r="A1311" s="240">
        <v>130561</v>
      </c>
      <c r="B1311" s="529" t="s">
        <v>15077</v>
      </c>
      <c r="C1311" s="530" t="s">
        <v>114</v>
      </c>
      <c r="D1311" s="530">
        <v>142.1</v>
      </c>
      <c r="E1311" s="531"/>
    </row>
    <row r="1312" spans="1:5" ht="14.4">
      <c r="A1312" s="241">
        <v>1306</v>
      </c>
      <c r="B1312" s="241" t="s">
        <v>487</v>
      </c>
      <c r="C1312" s="221"/>
      <c r="D1312" s="222"/>
      <c r="E1312" s="242"/>
    </row>
    <row r="1313" spans="1:5" ht="28.8">
      <c r="A1313" s="240">
        <v>130627</v>
      </c>
      <c r="B1313" s="529" t="s">
        <v>15078</v>
      </c>
      <c r="C1313" s="530" t="s">
        <v>114</v>
      </c>
      <c r="D1313" s="530">
        <v>127.73</v>
      </c>
      <c r="E1313" s="531"/>
    </row>
    <row r="1314" spans="1:5" ht="28.8">
      <c r="A1314" s="241">
        <v>130628</v>
      </c>
      <c r="B1314" s="241" t="s">
        <v>15079</v>
      </c>
      <c r="C1314" s="221" t="s">
        <v>114</v>
      </c>
      <c r="D1314" s="222">
        <v>64.23</v>
      </c>
      <c r="E1314" s="242"/>
    </row>
    <row r="1315" spans="1:5" ht="14.4">
      <c r="A1315" s="241">
        <v>1307</v>
      </c>
      <c r="B1315" s="241" t="s">
        <v>14982</v>
      </c>
      <c r="C1315" s="221"/>
      <c r="D1315" s="222"/>
      <c r="E1315" s="242"/>
    </row>
    <row r="1316" spans="1:5" ht="28.8">
      <c r="A1316" s="240">
        <v>130701</v>
      </c>
      <c r="B1316" s="529" t="s">
        <v>15080</v>
      </c>
      <c r="C1316" s="530" t="s">
        <v>114</v>
      </c>
      <c r="D1316" s="530">
        <v>19.940000000000001</v>
      </c>
      <c r="E1316" s="531"/>
    </row>
    <row r="1317" spans="1:5" ht="14.4">
      <c r="A1317" s="241">
        <v>15</v>
      </c>
      <c r="B1317" s="241" t="s">
        <v>986</v>
      </c>
      <c r="C1317" s="221"/>
      <c r="D1317" s="222"/>
      <c r="E1317" s="242"/>
    </row>
    <row r="1318" spans="1:5" ht="14.4">
      <c r="A1318" s="240">
        <v>1502</v>
      </c>
      <c r="B1318" s="529" t="s">
        <v>987</v>
      </c>
      <c r="C1318" s="530"/>
      <c r="D1318" s="530"/>
      <c r="E1318" s="531"/>
    </row>
    <row r="1319" spans="1:5" ht="15" customHeight="1">
      <c r="A1319" s="240">
        <v>150266</v>
      </c>
      <c r="B1319" s="529" t="s">
        <v>15081</v>
      </c>
      <c r="C1319" s="530" t="s">
        <v>73</v>
      </c>
      <c r="D1319" s="530">
        <v>35.630000000000003</v>
      </c>
      <c r="E1319" s="531"/>
    </row>
    <row r="1320" spans="1:5" ht="14.4">
      <c r="A1320" s="241">
        <v>1507</v>
      </c>
      <c r="B1320" s="241" t="s">
        <v>988</v>
      </c>
      <c r="C1320" s="221"/>
      <c r="D1320" s="222"/>
      <c r="E1320" s="242"/>
    </row>
    <row r="1321" spans="1:5" ht="28.8">
      <c r="A1321" s="240">
        <v>150706</v>
      </c>
      <c r="B1321" s="529" t="s">
        <v>989</v>
      </c>
      <c r="C1321" s="530" t="s">
        <v>114</v>
      </c>
      <c r="D1321" s="530">
        <v>2683.33</v>
      </c>
      <c r="E1321" s="531"/>
    </row>
    <row r="1322" spans="1:5" ht="14.4">
      <c r="A1322" s="241">
        <v>60</v>
      </c>
      <c r="B1322" s="241" t="s">
        <v>990</v>
      </c>
      <c r="C1322" s="221"/>
      <c r="D1322" s="223"/>
      <c r="E1322" s="242"/>
    </row>
    <row r="1323" spans="1:5" ht="28.8">
      <c r="A1323" s="240">
        <v>6003</v>
      </c>
      <c r="B1323" s="529" t="s">
        <v>991</v>
      </c>
      <c r="C1323" s="530"/>
      <c r="D1323" s="530"/>
      <c r="E1323" s="531"/>
    </row>
    <row r="1324" spans="1:5" ht="15" customHeight="1">
      <c r="A1324" s="240">
        <v>600327</v>
      </c>
      <c r="B1324" s="529" t="s">
        <v>2256</v>
      </c>
      <c r="C1324" s="530" t="s">
        <v>83</v>
      </c>
      <c r="D1324" s="530">
        <v>93.52</v>
      </c>
      <c r="E1324" s="531"/>
    </row>
    <row r="1325" spans="1:5" ht="14.4">
      <c r="A1325" s="241">
        <v>80</v>
      </c>
      <c r="B1325" s="241" t="s">
        <v>992</v>
      </c>
      <c r="C1325" s="221"/>
      <c r="D1325" s="222"/>
      <c r="E1325" s="242"/>
    </row>
    <row r="1326" spans="1:5" ht="14.4">
      <c r="A1326" s="240">
        <v>8001</v>
      </c>
      <c r="B1326" s="529" t="s">
        <v>993</v>
      </c>
      <c r="C1326" s="530"/>
      <c r="D1326" s="530"/>
      <c r="E1326" s="531"/>
    </row>
    <row r="1327" spans="1:5" ht="14.4">
      <c r="A1327" s="240">
        <v>800102</v>
      </c>
      <c r="B1327" s="529" t="s">
        <v>994</v>
      </c>
      <c r="C1327" s="530" t="s">
        <v>69</v>
      </c>
      <c r="D1327" s="530">
        <v>6.36</v>
      </c>
      <c r="E1327" s="531"/>
    </row>
    <row r="1328" spans="1:5" ht="14.4">
      <c r="A1328" s="241">
        <v>8005</v>
      </c>
      <c r="B1328" s="241" t="s">
        <v>9648</v>
      </c>
      <c r="C1328" s="221"/>
      <c r="D1328" s="222"/>
      <c r="E1328" s="242"/>
    </row>
    <row r="1329" spans="1:5" ht="14.4">
      <c r="A1329" s="240">
        <v>800502</v>
      </c>
      <c r="B1329" s="529" t="s">
        <v>15082</v>
      </c>
      <c r="C1329" s="530" t="s">
        <v>71</v>
      </c>
      <c r="D1329" s="530">
        <v>13.74</v>
      </c>
      <c r="E1329" s="531"/>
    </row>
    <row r="1330" spans="1:5" ht="14.4">
      <c r="A1330" s="241">
        <v>82</v>
      </c>
      <c r="B1330" s="241" t="s">
        <v>15749</v>
      </c>
      <c r="C1330" s="221"/>
      <c r="D1330" s="222"/>
      <c r="E1330" s="242"/>
    </row>
    <row r="1331" spans="1:5" ht="14.4">
      <c r="A1331" s="240">
        <v>8201</v>
      </c>
      <c r="B1331" s="529" t="s">
        <v>15750</v>
      </c>
      <c r="C1331" s="530"/>
      <c r="D1331" s="530"/>
      <c r="E1331" s="531"/>
    </row>
    <row r="1332" spans="1:5" ht="14.4">
      <c r="A1332" s="240">
        <v>820101</v>
      </c>
      <c r="B1332" s="529" t="s">
        <v>995</v>
      </c>
      <c r="C1332" s="530" t="s">
        <v>114</v>
      </c>
      <c r="D1332" s="530">
        <v>79.45</v>
      </c>
      <c r="E1332" s="531"/>
    </row>
    <row r="1333" spans="1:5" ht="14.4">
      <c r="A1333" s="241">
        <v>820104</v>
      </c>
      <c r="B1333" s="241" t="s">
        <v>996</v>
      </c>
      <c r="C1333" s="221" t="s">
        <v>114</v>
      </c>
      <c r="D1333" s="222">
        <v>128.66999999999999</v>
      </c>
      <c r="E1333" s="242"/>
    </row>
    <row r="1334" spans="1:5" ht="14.4">
      <c r="A1334" s="241">
        <v>820106</v>
      </c>
      <c r="B1334" s="241" t="s">
        <v>997</v>
      </c>
      <c r="C1334" s="221" t="s">
        <v>114</v>
      </c>
      <c r="D1334" s="222">
        <v>18.440000000000001</v>
      </c>
      <c r="E1334" s="242"/>
    </row>
    <row r="1335" spans="1:5" ht="28.8">
      <c r="A1335" s="241">
        <v>820113</v>
      </c>
      <c r="B1335" s="241" t="s">
        <v>998</v>
      </c>
      <c r="C1335" s="221" t="s">
        <v>114</v>
      </c>
      <c r="D1335" s="222">
        <v>30.3</v>
      </c>
      <c r="E1335" s="242"/>
    </row>
    <row r="1336" spans="1:5" ht="14.4">
      <c r="A1336" s="241">
        <v>820114</v>
      </c>
      <c r="B1336" s="241" t="s">
        <v>1813</v>
      </c>
      <c r="C1336" s="221" t="s">
        <v>114</v>
      </c>
      <c r="D1336" s="222">
        <v>11.02</v>
      </c>
      <c r="E1336" s="242"/>
    </row>
    <row r="1337" spans="1:5" ht="14.4">
      <c r="A1337" s="241">
        <v>820115</v>
      </c>
      <c r="B1337" s="241" t="s">
        <v>999</v>
      </c>
      <c r="C1337" s="221" t="s">
        <v>114</v>
      </c>
      <c r="D1337" s="222">
        <v>54.79</v>
      </c>
      <c r="E1337" s="242"/>
    </row>
    <row r="1338" spans="1:5" ht="14.4">
      <c r="A1338" s="241">
        <v>820116</v>
      </c>
      <c r="B1338" s="241" t="s">
        <v>1000</v>
      </c>
      <c r="C1338" s="221" t="s">
        <v>114</v>
      </c>
      <c r="D1338" s="222">
        <v>4.55</v>
      </c>
      <c r="E1338" s="242"/>
    </row>
    <row r="1339" spans="1:5" ht="14.4">
      <c r="A1339" s="241">
        <v>820117</v>
      </c>
      <c r="B1339" s="241" t="s">
        <v>1001</v>
      </c>
      <c r="C1339" s="221" t="s">
        <v>114</v>
      </c>
      <c r="D1339" s="222">
        <v>10.029999999999999</v>
      </c>
      <c r="E1339" s="242"/>
    </row>
    <row r="1340" spans="1:5" ht="14.4">
      <c r="A1340" s="241">
        <v>820118</v>
      </c>
      <c r="B1340" s="241" t="s">
        <v>1002</v>
      </c>
      <c r="C1340" s="221" t="s">
        <v>114</v>
      </c>
      <c r="D1340" s="222">
        <v>3.06</v>
      </c>
      <c r="E1340" s="242"/>
    </row>
    <row r="1341" spans="1:5" ht="14.4">
      <c r="A1341" s="241">
        <v>83</v>
      </c>
      <c r="B1341" s="241" t="s">
        <v>1003</v>
      </c>
      <c r="C1341" s="221"/>
      <c r="D1341" s="222"/>
      <c r="E1341" s="242"/>
    </row>
    <row r="1342" spans="1:5" ht="14.4">
      <c r="A1342" s="240">
        <v>8301</v>
      </c>
      <c r="B1342" s="529" t="s">
        <v>1004</v>
      </c>
      <c r="C1342" s="530"/>
      <c r="D1342" s="530"/>
      <c r="E1342" s="531"/>
    </row>
    <row r="1343" spans="1:5" ht="15" customHeight="1">
      <c r="A1343" s="240">
        <v>830101</v>
      </c>
      <c r="B1343" s="529" t="s">
        <v>1005</v>
      </c>
      <c r="C1343" s="530" t="s">
        <v>114</v>
      </c>
      <c r="D1343" s="530">
        <v>84.67</v>
      </c>
      <c r="E1343" s="531"/>
    </row>
    <row r="1344" spans="1:5" ht="14.4">
      <c r="A1344" s="241">
        <v>830102</v>
      </c>
      <c r="B1344" s="241" t="s">
        <v>1006</v>
      </c>
      <c r="C1344" s="221" t="s">
        <v>114</v>
      </c>
      <c r="D1344" s="222">
        <v>27.46</v>
      </c>
      <c r="E1344" s="242"/>
    </row>
    <row r="1345" spans="1:5" ht="14.4">
      <c r="A1345" s="241">
        <v>830103</v>
      </c>
      <c r="B1345" s="241" t="s">
        <v>1007</v>
      </c>
      <c r="C1345" s="221" t="s">
        <v>114</v>
      </c>
      <c r="D1345" s="222">
        <v>45.63</v>
      </c>
      <c r="E1345" s="242"/>
    </row>
    <row r="1346" spans="1:5" ht="14.4">
      <c r="A1346" s="241">
        <v>830104</v>
      </c>
      <c r="B1346" s="241" t="s">
        <v>1008</v>
      </c>
      <c r="C1346" s="221" t="s">
        <v>114</v>
      </c>
      <c r="D1346" s="222">
        <v>63.59</v>
      </c>
      <c r="E1346" s="242"/>
    </row>
    <row r="1347" spans="1:5" ht="14.4">
      <c r="A1347" s="241">
        <v>830105</v>
      </c>
      <c r="B1347" s="241" t="s">
        <v>1009</v>
      </c>
      <c r="C1347" s="221" t="s">
        <v>114</v>
      </c>
      <c r="D1347" s="222">
        <v>28.78</v>
      </c>
      <c r="E1347" s="242"/>
    </row>
    <row r="1348" spans="1:5" ht="15" customHeight="1">
      <c r="A1348" s="241">
        <v>830106</v>
      </c>
      <c r="B1348" s="241" t="s">
        <v>1010</v>
      </c>
      <c r="C1348" s="221" t="s">
        <v>114</v>
      </c>
      <c r="D1348" s="222">
        <v>28.65</v>
      </c>
      <c r="E1348" s="242"/>
    </row>
    <row r="1349" spans="1:5" ht="15" customHeight="1">
      <c r="A1349" s="241">
        <v>830107</v>
      </c>
      <c r="B1349" s="241" t="s">
        <v>1011</v>
      </c>
      <c r="C1349" s="221" t="s">
        <v>114</v>
      </c>
      <c r="D1349" s="222">
        <v>37.72</v>
      </c>
      <c r="E1349" s="242"/>
    </row>
    <row r="1350" spans="1:5" ht="14.4">
      <c r="A1350" s="241">
        <v>830108</v>
      </c>
      <c r="B1350" s="241" t="s">
        <v>1012</v>
      </c>
      <c r="C1350" s="221" t="s">
        <v>114</v>
      </c>
      <c r="D1350" s="222">
        <v>108.99</v>
      </c>
      <c r="E1350" s="242"/>
    </row>
    <row r="1351" spans="1:5" ht="14.4">
      <c r="A1351" s="241">
        <v>830109</v>
      </c>
      <c r="B1351" s="241" t="s">
        <v>1013</v>
      </c>
      <c r="C1351" s="221" t="s">
        <v>114</v>
      </c>
      <c r="D1351" s="222">
        <v>58.75</v>
      </c>
      <c r="E1351" s="242"/>
    </row>
    <row r="1352" spans="1:5" ht="14.4">
      <c r="A1352" s="241">
        <v>830110</v>
      </c>
      <c r="B1352" s="241" t="s">
        <v>1014</v>
      </c>
      <c r="C1352" s="221" t="s">
        <v>114</v>
      </c>
      <c r="D1352" s="222">
        <v>56.67</v>
      </c>
      <c r="E1352" s="242"/>
    </row>
    <row r="1353" spans="1:5" ht="14.4">
      <c r="A1353" s="241">
        <v>830111</v>
      </c>
      <c r="B1353" s="241" t="s">
        <v>1015</v>
      </c>
      <c r="C1353" s="221" t="s">
        <v>114</v>
      </c>
      <c r="D1353" s="222">
        <v>49.27</v>
      </c>
      <c r="E1353" s="242"/>
    </row>
    <row r="1354" spans="1:5" ht="14.4">
      <c r="A1354" s="241">
        <v>830112</v>
      </c>
      <c r="B1354" s="241" t="s">
        <v>1016</v>
      </c>
      <c r="C1354" s="221" t="s">
        <v>114</v>
      </c>
      <c r="D1354" s="222">
        <v>511.9</v>
      </c>
      <c r="E1354" s="242"/>
    </row>
    <row r="1355" spans="1:5" ht="14.4">
      <c r="A1355" s="241">
        <v>830113</v>
      </c>
      <c r="B1355" s="241" t="s">
        <v>1017</v>
      </c>
      <c r="C1355" s="221" t="s">
        <v>114</v>
      </c>
      <c r="D1355" s="222">
        <v>756.92</v>
      </c>
      <c r="E1355" s="242"/>
    </row>
    <row r="1356" spans="1:5" ht="14.4">
      <c r="A1356" s="241">
        <v>830114</v>
      </c>
      <c r="B1356" s="241" t="s">
        <v>1018</v>
      </c>
      <c r="C1356" s="221" t="s">
        <v>114</v>
      </c>
      <c r="D1356" s="222">
        <v>265.66000000000003</v>
      </c>
      <c r="E1356" s="242"/>
    </row>
    <row r="1357" spans="1:5" ht="14.4">
      <c r="A1357" s="241">
        <v>92</v>
      </c>
      <c r="B1357" s="241" t="s">
        <v>1019</v>
      </c>
      <c r="C1357" s="221"/>
      <c r="D1357" s="222"/>
      <c r="E1357" s="242"/>
    </row>
    <row r="1358" spans="1:5" ht="15" customHeight="1">
      <c r="A1358" s="240">
        <v>9201</v>
      </c>
      <c r="B1358" s="529" t="s">
        <v>1020</v>
      </c>
      <c r="C1358" s="530"/>
      <c r="D1358" s="530"/>
      <c r="E1358" s="531"/>
    </row>
    <row r="1359" spans="1:5" ht="28.8">
      <c r="A1359" s="240">
        <v>920110</v>
      </c>
      <c r="B1359" s="529" t="s">
        <v>1021</v>
      </c>
      <c r="C1359" s="530" t="s">
        <v>1022</v>
      </c>
      <c r="D1359" s="530">
        <v>1155</v>
      </c>
      <c r="E1359" s="531"/>
    </row>
    <row r="1360" spans="1:5" ht="14.4">
      <c r="A1360" s="241">
        <v>9203</v>
      </c>
      <c r="B1360" s="241" t="s">
        <v>2257</v>
      </c>
      <c r="C1360" s="221"/>
      <c r="D1360" s="223"/>
      <c r="E1360" s="242"/>
    </row>
    <row r="1361" spans="1:5" ht="28.8">
      <c r="A1361" s="240">
        <v>920396</v>
      </c>
      <c r="B1361" s="529" t="s">
        <v>15083</v>
      </c>
      <c r="C1361" s="530" t="s">
        <v>1022</v>
      </c>
      <c r="D1361" s="530">
        <v>5495.45</v>
      </c>
      <c r="E1361" s="531"/>
    </row>
    <row r="1362" spans="1:5" ht="28.8">
      <c r="A1362" s="241">
        <v>920397</v>
      </c>
      <c r="B1362" s="241" t="s">
        <v>15084</v>
      </c>
      <c r="C1362" s="221" t="s">
        <v>1022</v>
      </c>
      <c r="D1362" s="223">
        <v>20666.650000000001</v>
      </c>
      <c r="E1362" s="242"/>
    </row>
    <row r="1363" spans="1:5" ht="28.8">
      <c r="A1363" s="241">
        <v>920398</v>
      </c>
      <c r="B1363" s="241" t="s">
        <v>15085</v>
      </c>
      <c r="C1363" s="221" t="s">
        <v>1022</v>
      </c>
      <c r="D1363" s="223">
        <v>8603.65</v>
      </c>
      <c r="E1363" s="242"/>
    </row>
    <row r="1364" spans="1:5" ht="28.8">
      <c r="A1364" s="241">
        <v>920399</v>
      </c>
      <c r="B1364" s="241" t="s">
        <v>15086</v>
      </c>
      <c r="C1364" s="221" t="s">
        <v>1022</v>
      </c>
      <c r="D1364" s="223">
        <v>2633.28</v>
      </c>
      <c r="E1364" s="242"/>
    </row>
    <row r="1365" spans="1:5" ht="14.4">
      <c r="A1365" s="241">
        <v>9205</v>
      </c>
      <c r="B1365" s="241" t="s">
        <v>15087</v>
      </c>
      <c r="C1365" s="221"/>
      <c r="D1365" s="223"/>
      <c r="E1365" s="242"/>
    </row>
    <row r="1366" spans="1:5" ht="28.8">
      <c r="A1366" s="240">
        <v>920501</v>
      </c>
      <c r="B1366" s="529" t="s">
        <v>15088</v>
      </c>
      <c r="C1366" s="530" t="s">
        <v>1022</v>
      </c>
      <c r="D1366" s="530">
        <v>14761.89</v>
      </c>
      <c r="E1366" s="531"/>
    </row>
    <row r="1367" spans="1:5" ht="15" customHeight="1">
      <c r="A1367" s="241">
        <v>920502</v>
      </c>
      <c r="B1367" s="241" t="s">
        <v>15089</v>
      </c>
      <c r="C1367" s="221" t="s">
        <v>1022</v>
      </c>
      <c r="D1367" s="223">
        <v>4391.29</v>
      </c>
      <c r="E1367" s="242"/>
    </row>
    <row r="1368" spans="1:5" ht="28.8">
      <c r="A1368" s="241">
        <v>920503</v>
      </c>
      <c r="B1368" s="241" t="s">
        <v>15090</v>
      </c>
      <c r="C1368" s="221" t="s">
        <v>1022</v>
      </c>
      <c r="D1368" s="223">
        <v>3976.76</v>
      </c>
      <c r="E1368" s="242"/>
    </row>
    <row r="1369" spans="1:5" ht="28.8">
      <c r="A1369" s="241">
        <v>920504</v>
      </c>
      <c r="B1369" s="241" t="s">
        <v>15091</v>
      </c>
      <c r="C1369" s="221" t="s">
        <v>1022</v>
      </c>
      <c r="D1369" s="223">
        <v>11779.69</v>
      </c>
      <c r="E1369" s="242"/>
    </row>
    <row r="1370" spans="1:5" ht="28.8">
      <c r="A1370" s="241">
        <v>920505</v>
      </c>
      <c r="B1370" s="241" t="s">
        <v>15092</v>
      </c>
      <c r="C1370" s="221" t="s">
        <v>1022</v>
      </c>
      <c r="D1370" s="223">
        <v>9781.6200000000008</v>
      </c>
      <c r="E1370" s="242"/>
    </row>
    <row r="1371" spans="1:5" ht="28.8">
      <c r="A1371" s="241">
        <v>920506</v>
      </c>
      <c r="B1371" s="241" t="s">
        <v>15093</v>
      </c>
      <c r="C1371" s="221" t="s">
        <v>1022</v>
      </c>
      <c r="D1371" s="223">
        <v>9781.6200000000008</v>
      </c>
      <c r="E1371" s="242"/>
    </row>
    <row r="1372" spans="1:5" ht="28.8">
      <c r="A1372" s="241">
        <v>920507</v>
      </c>
      <c r="B1372" s="241" t="s">
        <v>15094</v>
      </c>
      <c r="C1372" s="221" t="s">
        <v>1022</v>
      </c>
      <c r="D1372" s="223">
        <v>9990.3700000000008</v>
      </c>
      <c r="E1372" s="242"/>
    </row>
    <row r="1373" spans="1:5" ht="15" customHeight="1">
      <c r="A1373" s="241">
        <v>920508</v>
      </c>
      <c r="B1373" s="241" t="s">
        <v>15095</v>
      </c>
      <c r="C1373" s="221" t="s">
        <v>1022</v>
      </c>
      <c r="D1373" s="223">
        <v>9155.35</v>
      </c>
      <c r="E1373" s="242"/>
    </row>
    <row r="1374" spans="1:5" ht="28.8">
      <c r="A1374" s="241">
        <v>920509</v>
      </c>
      <c r="B1374" s="241" t="s">
        <v>15096</v>
      </c>
      <c r="C1374" s="221" t="s">
        <v>1022</v>
      </c>
      <c r="D1374" s="223">
        <v>9785.34</v>
      </c>
      <c r="E1374" s="242"/>
    </row>
    <row r="1375" spans="1:5" ht="28.8">
      <c r="A1375" s="241">
        <v>920510</v>
      </c>
      <c r="B1375" s="241" t="s">
        <v>15097</v>
      </c>
      <c r="C1375" s="221" t="s">
        <v>1022</v>
      </c>
      <c r="D1375" s="223">
        <v>21173.62</v>
      </c>
      <c r="E1375" s="242"/>
    </row>
    <row r="1376" spans="1:5" ht="14.4">
      <c r="A1376" s="241">
        <v>920511</v>
      </c>
      <c r="B1376" s="241" t="s">
        <v>15098</v>
      </c>
      <c r="C1376" s="221" t="s">
        <v>1022</v>
      </c>
      <c r="D1376" s="223">
        <v>5487.25</v>
      </c>
      <c r="E1376" s="242"/>
    </row>
    <row r="1377" spans="1:5" ht="28.8">
      <c r="A1377" s="241">
        <v>920512</v>
      </c>
      <c r="B1377" s="241" t="s">
        <v>15099</v>
      </c>
      <c r="C1377" s="221" t="s">
        <v>1022</v>
      </c>
      <c r="D1377" s="223">
        <v>11846.79</v>
      </c>
      <c r="E1377" s="242"/>
    </row>
    <row r="1378" spans="1:5" ht="28.8">
      <c r="A1378" s="241">
        <v>920513</v>
      </c>
      <c r="B1378" s="241" t="s">
        <v>15100</v>
      </c>
      <c r="C1378" s="221" t="s">
        <v>1022</v>
      </c>
      <c r="D1378" s="223">
        <v>17714.27</v>
      </c>
      <c r="E1378" s="242"/>
    </row>
    <row r="1379" spans="1:5" ht="14.4">
      <c r="A1379" s="241">
        <v>920514</v>
      </c>
      <c r="B1379" s="241" t="s">
        <v>15101</v>
      </c>
      <c r="C1379" s="221" t="s">
        <v>1022</v>
      </c>
      <c r="D1379" s="223">
        <v>2450.77</v>
      </c>
      <c r="E1379" s="242"/>
    </row>
    <row r="1380" spans="1:5" ht="28.8">
      <c r="A1380" s="241">
        <v>920515</v>
      </c>
      <c r="B1380" s="241" t="s">
        <v>15102</v>
      </c>
      <c r="C1380" s="221" t="s">
        <v>1022</v>
      </c>
      <c r="D1380" s="223">
        <v>4409.62</v>
      </c>
      <c r="E1380" s="242"/>
    </row>
    <row r="1381" spans="1:5" ht="14.4">
      <c r="A1381" s="241">
        <v>920516</v>
      </c>
      <c r="B1381" s="241" t="s">
        <v>15103</v>
      </c>
      <c r="C1381" s="221" t="s">
        <v>1022</v>
      </c>
      <c r="D1381" s="223">
        <v>1791.11</v>
      </c>
      <c r="E1381" s="242"/>
    </row>
    <row r="1382" spans="1:5" ht="28.8">
      <c r="A1382" s="241">
        <v>920518</v>
      </c>
      <c r="B1382" s="241" t="s">
        <v>15104</v>
      </c>
      <c r="C1382" s="221" t="s">
        <v>1022</v>
      </c>
      <c r="D1382" s="223">
        <v>3391.95</v>
      </c>
      <c r="E1382" s="242"/>
    </row>
    <row r="1383" spans="1:5" ht="28.8">
      <c r="A1383" s="241">
        <v>920519</v>
      </c>
      <c r="B1383" s="241" t="s">
        <v>15105</v>
      </c>
      <c r="C1383" s="221" t="s">
        <v>1022</v>
      </c>
      <c r="D1383" s="223">
        <v>6364.12</v>
      </c>
      <c r="E1383" s="242"/>
    </row>
    <row r="1384" spans="1:5" ht="28.8">
      <c r="A1384" s="241">
        <v>920520</v>
      </c>
      <c r="B1384" s="241" t="s">
        <v>15106</v>
      </c>
      <c r="C1384" s="221" t="s">
        <v>1022</v>
      </c>
      <c r="D1384" s="223">
        <v>23933.45</v>
      </c>
      <c r="E1384" s="242"/>
    </row>
    <row r="1385" spans="1:5" ht="28.8">
      <c r="A1385" s="241">
        <v>920521</v>
      </c>
      <c r="B1385" s="241" t="s">
        <v>15107</v>
      </c>
      <c r="C1385" s="221" t="s">
        <v>1022</v>
      </c>
      <c r="D1385" s="223">
        <v>9963.64</v>
      </c>
      <c r="E1385" s="242"/>
    </row>
    <row r="1386" spans="1:5" ht="28.8">
      <c r="A1386" s="241">
        <v>920522</v>
      </c>
      <c r="B1386" s="241" t="s">
        <v>15108</v>
      </c>
      <c r="C1386" s="221" t="s">
        <v>1022</v>
      </c>
      <c r="D1386" s="223">
        <v>3049.53</v>
      </c>
      <c r="E1386" s="242"/>
    </row>
    <row r="1387" spans="1:5" ht="28.8">
      <c r="A1387" s="241">
        <v>920523</v>
      </c>
      <c r="B1387" s="241" t="s">
        <v>15109</v>
      </c>
      <c r="C1387" s="221" t="s">
        <v>1022</v>
      </c>
      <c r="D1387" s="223">
        <v>17095.32</v>
      </c>
      <c r="E1387" s="242"/>
    </row>
    <row r="1388" spans="1:5" ht="28.8">
      <c r="A1388" s="241">
        <v>920524</v>
      </c>
      <c r="B1388" s="241" t="s">
        <v>15110</v>
      </c>
      <c r="C1388" s="221" t="s">
        <v>1022</v>
      </c>
      <c r="D1388" s="223">
        <v>5085.43</v>
      </c>
      <c r="E1388" s="242"/>
    </row>
    <row r="1389" spans="1:5" ht="28.8">
      <c r="A1389" s="241">
        <v>920525</v>
      </c>
      <c r="B1389" s="241" t="s">
        <v>15111</v>
      </c>
      <c r="C1389" s="221" t="s">
        <v>1022</v>
      </c>
      <c r="D1389" s="223">
        <v>4605.38</v>
      </c>
      <c r="E1389" s="242"/>
    </row>
    <row r="1390" spans="1:5" ht="15" customHeight="1">
      <c r="A1390" s="241">
        <v>920526</v>
      </c>
      <c r="B1390" s="241" t="s">
        <v>15112</v>
      </c>
      <c r="C1390" s="221" t="s">
        <v>1022</v>
      </c>
      <c r="D1390" s="223">
        <v>13641.72</v>
      </c>
      <c r="E1390" s="242"/>
    </row>
    <row r="1391" spans="1:5" ht="28.8">
      <c r="A1391" s="241">
        <v>920527</v>
      </c>
      <c r="B1391" s="241" t="s">
        <v>15113</v>
      </c>
      <c r="C1391" s="221" t="s">
        <v>1022</v>
      </c>
      <c r="D1391" s="223">
        <v>11327.81</v>
      </c>
      <c r="E1391" s="242"/>
    </row>
    <row r="1392" spans="1:5" ht="28.8">
      <c r="A1392" s="241">
        <v>920528</v>
      </c>
      <c r="B1392" s="241" t="s">
        <v>15114</v>
      </c>
      <c r="C1392" s="221" t="s">
        <v>1022</v>
      </c>
      <c r="D1392" s="223">
        <v>11327.81</v>
      </c>
      <c r="E1392" s="242"/>
    </row>
    <row r="1393" spans="1:5" ht="28.8">
      <c r="A1393" s="241">
        <v>920529</v>
      </c>
      <c r="B1393" s="241" t="s">
        <v>15115</v>
      </c>
      <c r="C1393" s="221" t="s">
        <v>1022</v>
      </c>
      <c r="D1393" s="223">
        <v>11569.56</v>
      </c>
      <c r="E1393" s="242"/>
    </row>
    <row r="1394" spans="1:5" ht="28.8">
      <c r="A1394" s="241">
        <v>920530</v>
      </c>
      <c r="B1394" s="241" t="s">
        <v>15116</v>
      </c>
      <c r="C1394" s="221" t="s">
        <v>1022</v>
      </c>
      <c r="D1394" s="223">
        <v>10602.55</v>
      </c>
      <c r="E1394" s="242"/>
    </row>
    <row r="1395" spans="1:5" ht="28.8">
      <c r="A1395" s="241">
        <v>920531</v>
      </c>
      <c r="B1395" s="241" t="s">
        <v>15117</v>
      </c>
      <c r="C1395" s="221" t="s">
        <v>1022</v>
      </c>
      <c r="D1395" s="223">
        <v>11332.13</v>
      </c>
      <c r="E1395" s="242"/>
    </row>
    <row r="1396" spans="1:5" ht="28.8">
      <c r="A1396" s="241">
        <v>920532</v>
      </c>
      <c r="B1396" s="241" t="s">
        <v>15118</v>
      </c>
      <c r="C1396" s="221" t="s">
        <v>1022</v>
      </c>
      <c r="D1396" s="223">
        <v>24520.560000000001</v>
      </c>
      <c r="E1396" s="242"/>
    </row>
    <row r="1397" spans="1:5" ht="14.4">
      <c r="A1397" s="241">
        <v>920533</v>
      </c>
      <c r="B1397" s="241" t="s">
        <v>15119</v>
      </c>
      <c r="C1397" s="221" t="s">
        <v>1022</v>
      </c>
      <c r="D1397" s="223">
        <v>6354.62</v>
      </c>
      <c r="E1397" s="242"/>
    </row>
    <row r="1398" spans="1:5" ht="28.8">
      <c r="A1398" s="241">
        <v>920534</v>
      </c>
      <c r="B1398" s="241" t="s">
        <v>15120</v>
      </c>
      <c r="C1398" s="221" t="s">
        <v>1022</v>
      </c>
      <c r="D1398" s="223">
        <v>13719.43</v>
      </c>
      <c r="E1398" s="242"/>
    </row>
    <row r="1399" spans="1:5" ht="28.8">
      <c r="A1399" s="241">
        <v>920535</v>
      </c>
      <c r="B1399" s="241" t="s">
        <v>15121</v>
      </c>
      <c r="C1399" s="221" t="s">
        <v>1022</v>
      </c>
      <c r="D1399" s="223">
        <v>20514.38</v>
      </c>
      <c r="E1399" s="242"/>
    </row>
    <row r="1400" spans="1:5" ht="14.4">
      <c r="A1400" s="241">
        <v>920536</v>
      </c>
      <c r="B1400" s="241" t="s">
        <v>15122</v>
      </c>
      <c r="C1400" s="221" t="s">
        <v>1022</v>
      </c>
      <c r="D1400" s="223">
        <v>2838.17</v>
      </c>
      <c r="E1400" s="242"/>
    </row>
    <row r="1401" spans="1:5" ht="28.8">
      <c r="A1401" s="241">
        <v>920537</v>
      </c>
      <c r="B1401" s="241" t="s">
        <v>15123</v>
      </c>
      <c r="C1401" s="221" t="s">
        <v>1022</v>
      </c>
      <c r="D1401" s="223">
        <v>5106.6499999999996</v>
      </c>
      <c r="E1401" s="242"/>
    </row>
    <row r="1402" spans="1:5" ht="14.4">
      <c r="A1402" s="241">
        <v>920538</v>
      </c>
      <c r="B1402" s="241" t="s">
        <v>15124</v>
      </c>
      <c r="C1402" s="221" t="s">
        <v>1022</v>
      </c>
      <c r="D1402" s="223">
        <v>2074.23</v>
      </c>
      <c r="E1402" s="242"/>
    </row>
    <row r="1403" spans="1:5" ht="28.8">
      <c r="A1403" s="241">
        <v>920539</v>
      </c>
      <c r="B1403" s="241" t="s">
        <v>15125</v>
      </c>
      <c r="C1403" s="221" t="s">
        <v>1022</v>
      </c>
      <c r="D1403" s="223">
        <v>2074.23</v>
      </c>
      <c r="E1403" s="242"/>
    </row>
    <row r="1404" spans="1:5" ht="28.8">
      <c r="A1404" s="241">
        <v>920540</v>
      </c>
      <c r="B1404" s="241" t="s">
        <v>15126</v>
      </c>
      <c r="C1404" s="221" t="s">
        <v>1022</v>
      </c>
      <c r="D1404" s="223">
        <v>3928.12</v>
      </c>
      <c r="E1404" s="242"/>
    </row>
    <row r="1405" spans="1:5" ht="14.4">
      <c r="A1405" s="241">
        <v>93</v>
      </c>
      <c r="B1405" s="241" t="s">
        <v>1023</v>
      </c>
      <c r="C1405" s="221"/>
      <c r="D1405" s="223"/>
      <c r="E1405" s="242"/>
    </row>
    <row r="1406" spans="1:5" ht="14.4">
      <c r="A1406" s="240">
        <v>9302</v>
      </c>
      <c r="B1406" s="529" t="s">
        <v>1024</v>
      </c>
      <c r="C1406" s="530"/>
      <c r="D1406" s="530"/>
      <c r="E1406" s="531"/>
    </row>
    <row r="1407" spans="1:5" ht="28.8">
      <c r="A1407" s="240">
        <v>930213</v>
      </c>
      <c r="B1407" s="529" t="s">
        <v>1025</v>
      </c>
      <c r="C1407" s="530" t="s">
        <v>114</v>
      </c>
      <c r="D1407" s="530">
        <v>962.08</v>
      </c>
      <c r="E1407" s="531"/>
    </row>
    <row r="1408" spans="1:5" ht="28.8">
      <c r="A1408" s="241">
        <v>930214</v>
      </c>
      <c r="B1408" s="241" t="s">
        <v>1026</v>
      </c>
      <c r="C1408" s="221" t="s">
        <v>114</v>
      </c>
      <c r="D1408" s="222">
        <v>1752.7</v>
      </c>
      <c r="E1408" s="242"/>
    </row>
    <row r="1409" spans="1:5" ht="28.8">
      <c r="A1409" s="241">
        <v>930218</v>
      </c>
      <c r="B1409" s="241" t="s">
        <v>1027</v>
      </c>
      <c r="C1409" s="221" t="s">
        <v>114</v>
      </c>
      <c r="D1409" s="223">
        <v>771.4</v>
      </c>
      <c r="E1409" s="242"/>
    </row>
    <row r="1410" spans="1:5" ht="28.8">
      <c r="A1410" s="241">
        <v>930219</v>
      </c>
      <c r="B1410" s="241" t="s">
        <v>1028</v>
      </c>
      <c r="C1410" s="221" t="s">
        <v>114</v>
      </c>
      <c r="D1410" s="222">
        <v>880.1</v>
      </c>
      <c r="E1410" s="242"/>
    </row>
    <row r="1411" spans="1:5" ht="28.8">
      <c r="A1411" s="241">
        <v>930220</v>
      </c>
      <c r="B1411" s="241" t="s">
        <v>1029</v>
      </c>
      <c r="C1411" s="221" t="s">
        <v>114</v>
      </c>
      <c r="D1411" s="222">
        <v>1065.4000000000001</v>
      </c>
      <c r="E1411" s="242"/>
    </row>
    <row r="1412" spans="1:5" ht="14.4">
      <c r="A1412" s="241">
        <v>95</v>
      </c>
      <c r="B1412" s="241" t="s">
        <v>1030</v>
      </c>
      <c r="C1412" s="221"/>
      <c r="D1412" s="223"/>
      <c r="E1412" s="242"/>
    </row>
    <row r="1413" spans="1:5" ht="14.4">
      <c r="A1413" s="240">
        <v>9501</v>
      </c>
      <c r="B1413" s="529" t="s">
        <v>1031</v>
      </c>
      <c r="C1413" s="530"/>
      <c r="D1413" s="530"/>
      <c r="E1413" s="531"/>
    </row>
    <row r="1414" spans="1:5" ht="28.8">
      <c r="A1414" s="240">
        <v>950101</v>
      </c>
      <c r="B1414" s="529" t="s">
        <v>2258</v>
      </c>
      <c r="C1414" s="530" t="s">
        <v>109</v>
      </c>
      <c r="D1414" s="530">
        <v>3.08</v>
      </c>
      <c r="E1414" s="531"/>
    </row>
    <row r="1415" spans="1:5" ht="28.8">
      <c r="A1415" s="241">
        <v>950102</v>
      </c>
      <c r="B1415" s="241" t="s">
        <v>2259</v>
      </c>
      <c r="C1415" s="221" t="s">
        <v>109</v>
      </c>
      <c r="D1415" s="222">
        <v>22.82</v>
      </c>
      <c r="E1415" s="242"/>
    </row>
    <row r="1416" spans="1:5" ht="14.4">
      <c r="A1416" s="241"/>
      <c r="B1416" s="241"/>
      <c r="C1416" s="221"/>
      <c r="D1416" s="222"/>
      <c r="E1416" s="243"/>
    </row>
    <row r="1417" spans="1:5" ht="43.2">
      <c r="A1417" s="241" t="s">
        <v>1032</v>
      </c>
      <c r="B1417" s="241"/>
      <c r="C1417" s="221"/>
      <c r="D1417" s="223"/>
      <c r="E1417" s="242"/>
    </row>
    <row r="1418" spans="1:5" ht="14.4">
      <c r="A1418" s="241"/>
      <c r="B1418" s="241"/>
      <c r="C1418" s="221"/>
      <c r="D1418" s="223"/>
      <c r="E1418" s="242"/>
    </row>
    <row r="1419" spans="1:5" ht="14.4">
      <c r="A1419" s="241" t="s">
        <v>185</v>
      </c>
      <c r="B1419" s="241" t="s">
        <v>186</v>
      </c>
      <c r="C1419" s="221" t="s">
        <v>187</v>
      </c>
      <c r="D1419" s="223" t="s">
        <v>2260</v>
      </c>
      <c r="E1419" s="242" t="s">
        <v>1033</v>
      </c>
    </row>
    <row r="1420" spans="1:5" ht="28.8">
      <c r="A1420" s="241">
        <v>8</v>
      </c>
      <c r="B1420" s="241" t="s">
        <v>1034</v>
      </c>
      <c r="C1420" s="221"/>
      <c r="D1420" s="223"/>
      <c r="E1420" s="242"/>
    </row>
    <row r="1421" spans="1:5" ht="14.4">
      <c r="A1421" s="241">
        <v>801</v>
      </c>
      <c r="B1421" s="241" t="s">
        <v>1035</v>
      </c>
      <c r="C1421" s="221"/>
      <c r="D1421" s="223"/>
      <c r="E1421" s="242"/>
    </row>
    <row r="1422" spans="1:5" ht="28.8">
      <c r="A1422" s="241">
        <v>80124</v>
      </c>
      <c r="B1422" s="241" t="s">
        <v>1036</v>
      </c>
      <c r="C1422" s="221" t="s">
        <v>109</v>
      </c>
      <c r="D1422" s="223">
        <v>75.5</v>
      </c>
      <c r="E1422" s="242">
        <v>14.08</v>
      </c>
    </row>
    <row r="1423" spans="1:5" ht="14.4">
      <c r="A1423" s="240">
        <v>80125</v>
      </c>
      <c r="B1423" s="529" t="s">
        <v>1037</v>
      </c>
      <c r="C1423" s="530" t="s">
        <v>109</v>
      </c>
      <c r="D1423" s="530">
        <v>33.89</v>
      </c>
      <c r="E1423" s="242">
        <v>14.08</v>
      </c>
    </row>
    <row r="1424" spans="1:5" ht="28.8">
      <c r="A1424" s="240">
        <v>80144</v>
      </c>
      <c r="B1424" s="529" t="s">
        <v>1038</v>
      </c>
      <c r="C1424" s="530" t="s">
        <v>109</v>
      </c>
      <c r="D1424" s="530">
        <v>21.49</v>
      </c>
      <c r="E1424" s="242">
        <v>14.08</v>
      </c>
    </row>
    <row r="1425" spans="1:5" ht="28.8">
      <c r="A1425" s="241">
        <v>80170</v>
      </c>
      <c r="B1425" s="241" t="s">
        <v>1039</v>
      </c>
      <c r="C1425" s="221" t="s">
        <v>109</v>
      </c>
      <c r="D1425" s="222">
        <v>164.15</v>
      </c>
      <c r="E1425" s="531">
        <v>11.6</v>
      </c>
    </row>
    <row r="1426" spans="1:5" ht="28.8">
      <c r="A1426" s="241">
        <v>80178</v>
      </c>
      <c r="B1426" s="241" t="s">
        <v>1040</v>
      </c>
      <c r="C1426" s="221" t="s">
        <v>109</v>
      </c>
      <c r="D1426" s="223">
        <v>114.74</v>
      </c>
      <c r="E1426" s="242">
        <v>11.6</v>
      </c>
    </row>
    <row r="1427" spans="1:5" ht="28.8">
      <c r="A1427" s="241">
        <v>802</v>
      </c>
      <c r="B1427" s="241" t="s">
        <v>1041</v>
      </c>
      <c r="C1427" s="221"/>
      <c r="D1427" s="222"/>
      <c r="E1427" s="242"/>
    </row>
    <row r="1428" spans="1:5" ht="28.8">
      <c r="A1428" s="241">
        <v>80201</v>
      </c>
      <c r="B1428" s="241" t="s">
        <v>1042</v>
      </c>
      <c r="C1428" s="221" t="s">
        <v>109</v>
      </c>
      <c r="D1428" s="222">
        <v>2.25</v>
      </c>
      <c r="E1428" s="242">
        <v>0</v>
      </c>
    </row>
    <row r="1429" spans="1:5" ht="28.8">
      <c r="A1429" s="241">
        <v>80202</v>
      </c>
      <c r="B1429" s="241" t="s">
        <v>1043</v>
      </c>
      <c r="C1429" s="221" t="s">
        <v>109</v>
      </c>
      <c r="D1429" s="222">
        <v>2.25</v>
      </c>
      <c r="E1429" s="242">
        <v>0</v>
      </c>
    </row>
    <row r="1430" spans="1:5" ht="28.8">
      <c r="A1430" s="240">
        <v>80276</v>
      </c>
      <c r="B1430" s="529" t="s">
        <v>1044</v>
      </c>
      <c r="C1430" s="530" t="s">
        <v>114</v>
      </c>
      <c r="D1430" s="530">
        <v>42364</v>
      </c>
      <c r="E1430" s="242">
        <v>0</v>
      </c>
    </row>
    <row r="1431" spans="1:5" ht="28.8">
      <c r="A1431" s="240">
        <v>807</v>
      </c>
      <c r="B1431" s="529" t="s">
        <v>1045</v>
      </c>
      <c r="C1431" s="530"/>
      <c r="D1431" s="530"/>
      <c r="E1431" s="242"/>
    </row>
    <row r="1432" spans="1:5" ht="28.8">
      <c r="A1432" s="241">
        <v>80716</v>
      </c>
      <c r="B1432" s="241" t="s">
        <v>1046</v>
      </c>
      <c r="C1432" s="221" t="s">
        <v>114</v>
      </c>
      <c r="D1432" s="222">
        <v>30950</v>
      </c>
      <c r="E1432" s="531">
        <v>0</v>
      </c>
    </row>
    <row r="1433" spans="1:5" ht="28.8">
      <c r="A1433" s="241">
        <v>860</v>
      </c>
      <c r="B1433" s="241" t="s">
        <v>1047</v>
      </c>
      <c r="C1433" s="221"/>
      <c r="D1433" s="222"/>
      <c r="E1433" s="531"/>
    </row>
    <row r="1434" spans="1:5" ht="28.8">
      <c r="A1434" s="286">
        <v>86030</v>
      </c>
      <c r="B1434" s="287" t="s">
        <v>1048</v>
      </c>
      <c r="C1434" s="287" t="s">
        <v>109</v>
      </c>
      <c r="D1434" s="287">
        <v>98.11</v>
      </c>
      <c r="E1434" s="242">
        <v>14.08</v>
      </c>
    </row>
    <row r="1435" spans="1:5" ht="28.8">
      <c r="A1435" s="529">
        <v>86049</v>
      </c>
      <c r="B1435" s="530" t="s">
        <v>1049</v>
      </c>
      <c r="C1435" s="530" t="s">
        <v>109</v>
      </c>
      <c r="D1435" s="530">
        <v>114.32</v>
      </c>
      <c r="E1435" s="242">
        <v>11.6</v>
      </c>
    </row>
    <row r="1436" spans="1:5" ht="28.8">
      <c r="A1436" s="286">
        <v>86096</v>
      </c>
      <c r="B1436" s="287" t="s">
        <v>1050</v>
      </c>
      <c r="C1436" s="287" t="s">
        <v>109</v>
      </c>
      <c r="D1436" s="287">
        <v>17.78</v>
      </c>
      <c r="E1436" s="242">
        <v>9.34</v>
      </c>
    </row>
  </sheetData>
  <pageMargins left="0.511811024" right="0.511811024" top="0.78740157499999996" bottom="0.78740157499999996" header="0.31496062000000002" footer="0.3149606200000000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U75"/>
  <sheetViews>
    <sheetView view="pageBreakPreview" topLeftCell="B22" zoomScale="89" zoomScaleSheetLayoutView="89" workbookViewId="0">
      <selection activeCell="S22" sqref="S22"/>
    </sheetView>
  </sheetViews>
  <sheetFormatPr defaultRowHeight="13.2"/>
  <cols>
    <col min="1" max="1" width="9.109375" style="400"/>
    <col min="2" max="2" width="9.88671875" style="439" bestFit="1" customWidth="1"/>
    <col min="3" max="3" width="9.109375" style="400"/>
    <col min="4" max="12" width="9.109375" style="413"/>
    <col min="13" max="13" width="9.5546875" style="413" bestFit="1" customWidth="1"/>
    <col min="14" max="14" width="11.109375" style="413" customWidth="1"/>
    <col min="15" max="15" width="9.109375" style="413"/>
    <col min="16" max="16" width="8.109375" style="400" bestFit="1" customWidth="1"/>
    <col min="17" max="17" width="9" style="400" bestFit="1" customWidth="1"/>
    <col min="18" max="18" width="9" style="400" customWidth="1"/>
    <col min="19" max="19" width="9.109375" style="413"/>
    <col min="20" max="20" width="9.109375" style="400"/>
    <col min="21" max="21" width="32.88671875" style="400" customWidth="1"/>
    <col min="22" max="257" width="9.109375" style="400"/>
    <col min="258" max="258" width="9.88671875" style="400" bestFit="1" customWidth="1"/>
    <col min="259" max="268" width="9.109375" style="400"/>
    <col min="269" max="269" width="9.5546875" style="400" bestFit="1" customWidth="1"/>
    <col min="270" max="270" width="11.109375" style="400" customWidth="1"/>
    <col min="271" max="271" width="9.109375" style="400"/>
    <col min="272" max="272" width="8.109375" style="400" bestFit="1" customWidth="1"/>
    <col min="273" max="273" width="9" style="400" bestFit="1" customWidth="1"/>
    <col min="274" max="274" width="9" style="400" customWidth="1"/>
    <col min="275" max="276" width="9.109375" style="400"/>
    <col min="277" max="277" width="32.88671875" style="400" customWidth="1"/>
    <col min="278" max="513" width="9.109375" style="400"/>
    <col min="514" max="514" width="9.88671875" style="400" bestFit="1" customWidth="1"/>
    <col min="515" max="524" width="9.109375" style="400"/>
    <col min="525" max="525" width="9.5546875" style="400" bestFit="1" customWidth="1"/>
    <col min="526" max="526" width="11.109375" style="400" customWidth="1"/>
    <col min="527" max="527" width="9.109375" style="400"/>
    <col min="528" max="528" width="8.109375" style="400" bestFit="1" customWidth="1"/>
    <col min="529" max="529" width="9" style="400" bestFit="1" customWidth="1"/>
    <col min="530" max="530" width="9" style="400" customWidth="1"/>
    <col min="531" max="532" width="9.109375" style="400"/>
    <col min="533" max="533" width="32.88671875" style="400" customWidth="1"/>
    <col min="534" max="769" width="9.109375" style="400"/>
    <col min="770" max="770" width="9.88671875" style="400" bestFit="1" customWidth="1"/>
    <col min="771" max="780" width="9.109375" style="400"/>
    <col min="781" max="781" width="9.5546875" style="400" bestFit="1" customWidth="1"/>
    <col min="782" max="782" width="11.109375" style="400" customWidth="1"/>
    <col min="783" max="783" width="9.109375" style="400"/>
    <col min="784" max="784" width="8.109375" style="400" bestFit="1" customWidth="1"/>
    <col min="785" max="785" width="9" style="400" bestFit="1" customWidth="1"/>
    <col min="786" max="786" width="9" style="400" customWidth="1"/>
    <col min="787" max="788" width="9.109375" style="400"/>
    <col min="789" max="789" width="32.88671875" style="400" customWidth="1"/>
    <col min="790" max="1025" width="9.109375" style="400"/>
    <col min="1026" max="1026" width="9.88671875" style="400" bestFit="1" customWidth="1"/>
    <col min="1027" max="1036" width="9.109375" style="400"/>
    <col min="1037" max="1037" width="9.5546875" style="400" bestFit="1" customWidth="1"/>
    <col min="1038" max="1038" width="11.109375" style="400" customWidth="1"/>
    <col min="1039" max="1039" width="9.109375" style="400"/>
    <col min="1040" max="1040" width="8.109375" style="400" bestFit="1" customWidth="1"/>
    <col min="1041" max="1041" width="9" style="400" bestFit="1" customWidth="1"/>
    <col min="1042" max="1042" width="9" style="400" customWidth="1"/>
    <col min="1043" max="1044" width="9.109375" style="400"/>
    <col min="1045" max="1045" width="32.88671875" style="400" customWidth="1"/>
    <col min="1046" max="1281" width="9.109375" style="400"/>
    <col min="1282" max="1282" width="9.88671875" style="400" bestFit="1" customWidth="1"/>
    <col min="1283" max="1292" width="9.109375" style="400"/>
    <col min="1293" max="1293" width="9.5546875" style="400" bestFit="1" customWidth="1"/>
    <col min="1294" max="1294" width="11.109375" style="400" customWidth="1"/>
    <col min="1295" max="1295" width="9.109375" style="400"/>
    <col min="1296" max="1296" width="8.109375" style="400" bestFit="1" customWidth="1"/>
    <col min="1297" max="1297" width="9" style="400" bestFit="1" customWidth="1"/>
    <col min="1298" max="1298" width="9" style="400" customWidth="1"/>
    <col min="1299" max="1300" width="9.109375" style="400"/>
    <col min="1301" max="1301" width="32.88671875" style="400" customWidth="1"/>
    <col min="1302" max="1537" width="9.109375" style="400"/>
    <col min="1538" max="1538" width="9.88671875" style="400" bestFit="1" customWidth="1"/>
    <col min="1539" max="1548" width="9.109375" style="400"/>
    <col min="1549" max="1549" width="9.5546875" style="400" bestFit="1" customWidth="1"/>
    <col min="1550" max="1550" width="11.109375" style="400" customWidth="1"/>
    <col min="1551" max="1551" width="9.109375" style="400"/>
    <col min="1552" max="1552" width="8.109375" style="400" bestFit="1" customWidth="1"/>
    <col min="1553" max="1553" width="9" style="400" bestFit="1" customWidth="1"/>
    <col min="1554" max="1554" width="9" style="400" customWidth="1"/>
    <col min="1555" max="1556" width="9.109375" style="400"/>
    <col min="1557" max="1557" width="32.88671875" style="400" customWidth="1"/>
    <col min="1558" max="1793" width="9.109375" style="400"/>
    <col min="1794" max="1794" width="9.88671875" style="400" bestFit="1" customWidth="1"/>
    <col min="1795" max="1804" width="9.109375" style="400"/>
    <col min="1805" max="1805" width="9.5546875" style="400" bestFit="1" customWidth="1"/>
    <col min="1806" max="1806" width="11.109375" style="400" customWidth="1"/>
    <col min="1807" max="1807" width="9.109375" style="400"/>
    <col min="1808" max="1808" width="8.109375" style="400" bestFit="1" customWidth="1"/>
    <col min="1809" max="1809" width="9" style="400" bestFit="1" customWidth="1"/>
    <col min="1810" max="1810" width="9" style="400" customWidth="1"/>
    <col min="1811" max="1812" width="9.109375" style="400"/>
    <col min="1813" max="1813" width="32.88671875" style="400" customWidth="1"/>
    <col min="1814" max="2049" width="9.109375" style="400"/>
    <col min="2050" max="2050" width="9.88671875" style="400" bestFit="1" customWidth="1"/>
    <col min="2051" max="2060" width="9.109375" style="400"/>
    <col min="2061" max="2061" width="9.5546875" style="400" bestFit="1" customWidth="1"/>
    <col min="2062" max="2062" width="11.109375" style="400" customWidth="1"/>
    <col min="2063" max="2063" width="9.109375" style="400"/>
    <col min="2064" max="2064" width="8.109375" style="400" bestFit="1" customWidth="1"/>
    <col min="2065" max="2065" width="9" style="400" bestFit="1" customWidth="1"/>
    <col min="2066" max="2066" width="9" style="400" customWidth="1"/>
    <col min="2067" max="2068" width="9.109375" style="400"/>
    <col min="2069" max="2069" width="32.88671875" style="400" customWidth="1"/>
    <col min="2070" max="2305" width="9.109375" style="400"/>
    <col min="2306" max="2306" width="9.88671875" style="400" bestFit="1" customWidth="1"/>
    <col min="2307" max="2316" width="9.109375" style="400"/>
    <col min="2317" max="2317" width="9.5546875" style="400" bestFit="1" customWidth="1"/>
    <col min="2318" max="2318" width="11.109375" style="400" customWidth="1"/>
    <col min="2319" max="2319" width="9.109375" style="400"/>
    <col min="2320" max="2320" width="8.109375" style="400" bestFit="1" customWidth="1"/>
    <col min="2321" max="2321" width="9" style="400" bestFit="1" customWidth="1"/>
    <col min="2322" max="2322" width="9" style="400" customWidth="1"/>
    <col min="2323" max="2324" width="9.109375" style="400"/>
    <col min="2325" max="2325" width="32.88671875" style="400" customWidth="1"/>
    <col min="2326" max="2561" width="9.109375" style="400"/>
    <col min="2562" max="2562" width="9.88671875" style="400" bestFit="1" customWidth="1"/>
    <col min="2563" max="2572" width="9.109375" style="400"/>
    <col min="2573" max="2573" width="9.5546875" style="400" bestFit="1" customWidth="1"/>
    <col min="2574" max="2574" width="11.109375" style="400" customWidth="1"/>
    <col min="2575" max="2575" width="9.109375" style="400"/>
    <col min="2576" max="2576" width="8.109375" style="400" bestFit="1" customWidth="1"/>
    <col min="2577" max="2577" width="9" style="400" bestFit="1" customWidth="1"/>
    <col min="2578" max="2578" width="9" style="400" customWidth="1"/>
    <col min="2579" max="2580" width="9.109375" style="400"/>
    <col min="2581" max="2581" width="32.88671875" style="400" customWidth="1"/>
    <col min="2582" max="2817" width="9.109375" style="400"/>
    <col min="2818" max="2818" width="9.88671875" style="400" bestFit="1" customWidth="1"/>
    <col min="2819" max="2828" width="9.109375" style="400"/>
    <col min="2829" max="2829" width="9.5546875" style="400" bestFit="1" customWidth="1"/>
    <col min="2830" max="2830" width="11.109375" style="400" customWidth="1"/>
    <col min="2831" max="2831" width="9.109375" style="400"/>
    <col min="2832" max="2832" width="8.109375" style="400" bestFit="1" customWidth="1"/>
    <col min="2833" max="2833" width="9" style="400" bestFit="1" customWidth="1"/>
    <col min="2834" max="2834" width="9" style="400" customWidth="1"/>
    <col min="2835" max="2836" width="9.109375" style="400"/>
    <col min="2837" max="2837" width="32.88671875" style="400" customWidth="1"/>
    <col min="2838" max="3073" width="9.109375" style="400"/>
    <col min="3074" max="3074" width="9.88671875" style="400" bestFit="1" customWidth="1"/>
    <col min="3075" max="3084" width="9.109375" style="400"/>
    <col min="3085" max="3085" width="9.5546875" style="400" bestFit="1" customWidth="1"/>
    <col min="3086" max="3086" width="11.109375" style="400" customWidth="1"/>
    <col min="3087" max="3087" width="9.109375" style="400"/>
    <col min="3088" max="3088" width="8.109375" style="400" bestFit="1" customWidth="1"/>
    <col min="3089" max="3089" width="9" style="400" bestFit="1" customWidth="1"/>
    <col min="3090" max="3090" width="9" style="400" customWidth="1"/>
    <col min="3091" max="3092" width="9.109375" style="400"/>
    <col min="3093" max="3093" width="32.88671875" style="400" customWidth="1"/>
    <col min="3094" max="3329" width="9.109375" style="400"/>
    <col min="3330" max="3330" width="9.88671875" style="400" bestFit="1" customWidth="1"/>
    <col min="3331" max="3340" width="9.109375" style="400"/>
    <col min="3341" max="3341" width="9.5546875" style="400" bestFit="1" customWidth="1"/>
    <col min="3342" max="3342" width="11.109375" style="400" customWidth="1"/>
    <col min="3343" max="3343" width="9.109375" style="400"/>
    <col min="3344" max="3344" width="8.109375" style="400" bestFit="1" customWidth="1"/>
    <col min="3345" max="3345" width="9" style="400" bestFit="1" customWidth="1"/>
    <col min="3346" max="3346" width="9" style="400" customWidth="1"/>
    <col min="3347" max="3348" width="9.109375" style="400"/>
    <col min="3349" max="3349" width="32.88671875" style="400" customWidth="1"/>
    <col min="3350" max="3585" width="9.109375" style="400"/>
    <col min="3586" max="3586" width="9.88671875" style="400" bestFit="1" customWidth="1"/>
    <col min="3587" max="3596" width="9.109375" style="400"/>
    <col min="3597" max="3597" width="9.5546875" style="400" bestFit="1" customWidth="1"/>
    <col min="3598" max="3598" width="11.109375" style="400" customWidth="1"/>
    <col min="3599" max="3599" width="9.109375" style="400"/>
    <col min="3600" max="3600" width="8.109375" style="400" bestFit="1" customWidth="1"/>
    <col min="3601" max="3601" width="9" style="400" bestFit="1" customWidth="1"/>
    <col min="3602" max="3602" width="9" style="400" customWidth="1"/>
    <col min="3603" max="3604" width="9.109375" style="400"/>
    <col min="3605" max="3605" width="32.88671875" style="400" customWidth="1"/>
    <col min="3606" max="3841" width="9.109375" style="400"/>
    <col min="3842" max="3842" width="9.88671875" style="400" bestFit="1" customWidth="1"/>
    <col min="3843" max="3852" width="9.109375" style="400"/>
    <col min="3853" max="3853" width="9.5546875" style="400" bestFit="1" customWidth="1"/>
    <col min="3854" max="3854" width="11.109375" style="400" customWidth="1"/>
    <col min="3855" max="3855" width="9.109375" style="400"/>
    <col min="3856" max="3856" width="8.109375" style="400" bestFit="1" customWidth="1"/>
    <col min="3857" max="3857" width="9" style="400" bestFit="1" customWidth="1"/>
    <col min="3858" max="3858" width="9" style="400" customWidth="1"/>
    <col min="3859" max="3860" width="9.109375" style="400"/>
    <col min="3861" max="3861" width="32.88671875" style="400" customWidth="1"/>
    <col min="3862" max="4097" width="9.109375" style="400"/>
    <col min="4098" max="4098" width="9.88671875" style="400" bestFit="1" customWidth="1"/>
    <col min="4099" max="4108" width="9.109375" style="400"/>
    <col min="4109" max="4109" width="9.5546875" style="400" bestFit="1" customWidth="1"/>
    <col min="4110" max="4110" width="11.109375" style="400" customWidth="1"/>
    <col min="4111" max="4111" width="9.109375" style="400"/>
    <col min="4112" max="4112" width="8.109375" style="400" bestFit="1" customWidth="1"/>
    <col min="4113" max="4113" width="9" style="400" bestFit="1" customWidth="1"/>
    <col min="4114" max="4114" width="9" style="400" customWidth="1"/>
    <col min="4115" max="4116" width="9.109375" style="400"/>
    <col min="4117" max="4117" width="32.88671875" style="400" customWidth="1"/>
    <col min="4118" max="4353" width="9.109375" style="400"/>
    <col min="4354" max="4354" width="9.88671875" style="400" bestFit="1" customWidth="1"/>
    <col min="4355" max="4364" width="9.109375" style="400"/>
    <col min="4365" max="4365" width="9.5546875" style="400" bestFit="1" customWidth="1"/>
    <col min="4366" max="4366" width="11.109375" style="400" customWidth="1"/>
    <col min="4367" max="4367" width="9.109375" style="400"/>
    <col min="4368" max="4368" width="8.109375" style="400" bestFit="1" customWidth="1"/>
    <col min="4369" max="4369" width="9" style="400" bestFit="1" customWidth="1"/>
    <col min="4370" max="4370" width="9" style="400" customWidth="1"/>
    <col min="4371" max="4372" width="9.109375" style="400"/>
    <col min="4373" max="4373" width="32.88671875" style="400" customWidth="1"/>
    <col min="4374" max="4609" width="9.109375" style="400"/>
    <col min="4610" max="4610" width="9.88671875" style="400" bestFit="1" customWidth="1"/>
    <col min="4611" max="4620" width="9.109375" style="400"/>
    <col min="4621" max="4621" width="9.5546875" style="400" bestFit="1" customWidth="1"/>
    <col min="4622" max="4622" width="11.109375" style="400" customWidth="1"/>
    <col min="4623" max="4623" width="9.109375" style="400"/>
    <col min="4624" max="4624" width="8.109375" style="400" bestFit="1" customWidth="1"/>
    <col min="4625" max="4625" width="9" style="400" bestFit="1" customWidth="1"/>
    <col min="4626" max="4626" width="9" style="400" customWidth="1"/>
    <col min="4627" max="4628" width="9.109375" style="400"/>
    <col min="4629" max="4629" width="32.88671875" style="400" customWidth="1"/>
    <col min="4630" max="4865" width="9.109375" style="400"/>
    <col min="4866" max="4866" width="9.88671875" style="400" bestFit="1" customWidth="1"/>
    <col min="4867" max="4876" width="9.109375" style="400"/>
    <col min="4877" max="4877" width="9.5546875" style="400" bestFit="1" customWidth="1"/>
    <col min="4878" max="4878" width="11.109375" style="400" customWidth="1"/>
    <col min="4879" max="4879" width="9.109375" style="400"/>
    <col min="4880" max="4880" width="8.109375" style="400" bestFit="1" customWidth="1"/>
    <col min="4881" max="4881" width="9" style="400" bestFit="1" customWidth="1"/>
    <col min="4882" max="4882" width="9" style="400" customWidth="1"/>
    <col min="4883" max="4884" width="9.109375" style="400"/>
    <col min="4885" max="4885" width="32.88671875" style="400" customWidth="1"/>
    <col min="4886" max="5121" width="9.109375" style="400"/>
    <col min="5122" max="5122" width="9.88671875" style="400" bestFit="1" customWidth="1"/>
    <col min="5123" max="5132" width="9.109375" style="400"/>
    <col min="5133" max="5133" width="9.5546875" style="400" bestFit="1" customWidth="1"/>
    <col min="5134" max="5134" width="11.109375" style="400" customWidth="1"/>
    <col min="5135" max="5135" width="9.109375" style="400"/>
    <col min="5136" max="5136" width="8.109375" style="400" bestFit="1" customWidth="1"/>
    <col min="5137" max="5137" width="9" style="400" bestFit="1" customWidth="1"/>
    <col min="5138" max="5138" width="9" style="400" customWidth="1"/>
    <col min="5139" max="5140" width="9.109375" style="400"/>
    <col min="5141" max="5141" width="32.88671875" style="400" customWidth="1"/>
    <col min="5142" max="5377" width="9.109375" style="400"/>
    <col min="5378" max="5378" width="9.88671875" style="400" bestFit="1" customWidth="1"/>
    <col min="5379" max="5388" width="9.109375" style="400"/>
    <col min="5389" max="5389" width="9.5546875" style="400" bestFit="1" customWidth="1"/>
    <col min="5390" max="5390" width="11.109375" style="400" customWidth="1"/>
    <col min="5391" max="5391" width="9.109375" style="400"/>
    <col min="5392" max="5392" width="8.109375" style="400" bestFit="1" customWidth="1"/>
    <col min="5393" max="5393" width="9" style="400" bestFit="1" customWidth="1"/>
    <col min="5394" max="5394" width="9" style="400" customWidth="1"/>
    <col min="5395" max="5396" width="9.109375" style="400"/>
    <col min="5397" max="5397" width="32.88671875" style="400" customWidth="1"/>
    <col min="5398" max="5633" width="9.109375" style="400"/>
    <col min="5634" max="5634" width="9.88671875" style="400" bestFit="1" customWidth="1"/>
    <col min="5635" max="5644" width="9.109375" style="400"/>
    <col min="5645" max="5645" width="9.5546875" style="400" bestFit="1" customWidth="1"/>
    <col min="5646" max="5646" width="11.109375" style="400" customWidth="1"/>
    <col min="5647" max="5647" width="9.109375" style="400"/>
    <col min="5648" max="5648" width="8.109375" style="400" bestFit="1" customWidth="1"/>
    <col min="5649" max="5649" width="9" style="400" bestFit="1" customWidth="1"/>
    <col min="5650" max="5650" width="9" style="400" customWidth="1"/>
    <col min="5651" max="5652" width="9.109375" style="400"/>
    <col min="5653" max="5653" width="32.88671875" style="400" customWidth="1"/>
    <col min="5654" max="5889" width="9.109375" style="400"/>
    <col min="5890" max="5890" width="9.88671875" style="400" bestFit="1" customWidth="1"/>
    <col min="5891" max="5900" width="9.109375" style="400"/>
    <col min="5901" max="5901" width="9.5546875" style="400" bestFit="1" customWidth="1"/>
    <col min="5902" max="5902" width="11.109375" style="400" customWidth="1"/>
    <col min="5903" max="5903" width="9.109375" style="400"/>
    <col min="5904" max="5904" width="8.109375" style="400" bestFit="1" customWidth="1"/>
    <col min="5905" max="5905" width="9" style="400" bestFit="1" customWidth="1"/>
    <col min="5906" max="5906" width="9" style="400" customWidth="1"/>
    <col min="5907" max="5908" width="9.109375" style="400"/>
    <col min="5909" max="5909" width="32.88671875" style="400" customWidth="1"/>
    <col min="5910" max="6145" width="9.109375" style="400"/>
    <col min="6146" max="6146" width="9.88671875" style="400" bestFit="1" customWidth="1"/>
    <col min="6147" max="6156" width="9.109375" style="400"/>
    <col min="6157" max="6157" width="9.5546875" style="400" bestFit="1" customWidth="1"/>
    <col min="6158" max="6158" width="11.109375" style="400" customWidth="1"/>
    <col min="6159" max="6159" width="9.109375" style="400"/>
    <col min="6160" max="6160" width="8.109375" style="400" bestFit="1" customWidth="1"/>
    <col min="6161" max="6161" width="9" style="400" bestFit="1" customWidth="1"/>
    <col min="6162" max="6162" width="9" style="400" customWidth="1"/>
    <col min="6163" max="6164" width="9.109375" style="400"/>
    <col min="6165" max="6165" width="32.88671875" style="400" customWidth="1"/>
    <col min="6166" max="6401" width="9.109375" style="400"/>
    <col min="6402" max="6402" width="9.88671875" style="400" bestFit="1" customWidth="1"/>
    <col min="6403" max="6412" width="9.109375" style="400"/>
    <col min="6413" max="6413" width="9.5546875" style="400" bestFit="1" customWidth="1"/>
    <col min="6414" max="6414" width="11.109375" style="400" customWidth="1"/>
    <col min="6415" max="6415" width="9.109375" style="400"/>
    <col min="6416" max="6416" width="8.109375" style="400" bestFit="1" customWidth="1"/>
    <col min="6417" max="6417" width="9" style="400" bestFit="1" customWidth="1"/>
    <col min="6418" max="6418" width="9" style="400" customWidth="1"/>
    <col min="6419" max="6420" width="9.109375" style="400"/>
    <col min="6421" max="6421" width="32.88671875" style="400" customWidth="1"/>
    <col min="6422" max="6657" width="9.109375" style="400"/>
    <col min="6658" max="6658" width="9.88671875" style="400" bestFit="1" customWidth="1"/>
    <col min="6659" max="6668" width="9.109375" style="400"/>
    <col min="6669" max="6669" width="9.5546875" style="400" bestFit="1" customWidth="1"/>
    <col min="6670" max="6670" width="11.109375" style="400" customWidth="1"/>
    <col min="6671" max="6671" width="9.109375" style="400"/>
    <col min="6672" max="6672" width="8.109375" style="400" bestFit="1" customWidth="1"/>
    <col min="6673" max="6673" width="9" style="400" bestFit="1" customWidth="1"/>
    <col min="6674" max="6674" width="9" style="400" customWidth="1"/>
    <col min="6675" max="6676" width="9.109375" style="400"/>
    <col min="6677" max="6677" width="32.88671875" style="400" customWidth="1"/>
    <col min="6678" max="6913" width="9.109375" style="400"/>
    <col min="6914" max="6914" width="9.88671875" style="400" bestFit="1" customWidth="1"/>
    <col min="6915" max="6924" width="9.109375" style="400"/>
    <col min="6925" max="6925" width="9.5546875" style="400" bestFit="1" customWidth="1"/>
    <col min="6926" max="6926" width="11.109375" style="400" customWidth="1"/>
    <col min="6927" max="6927" width="9.109375" style="400"/>
    <col min="6928" max="6928" width="8.109375" style="400" bestFit="1" customWidth="1"/>
    <col min="6929" max="6929" width="9" style="400" bestFit="1" customWidth="1"/>
    <col min="6930" max="6930" width="9" style="400" customWidth="1"/>
    <col min="6931" max="6932" width="9.109375" style="400"/>
    <col min="6933" max="6933" width="32.88671875" style="400" customWidth="1"/>
    <col min="6934" max="7169" width="9.109375" style="400"/>
    <col min="7170" max="7170" width="9.88671875" style="400" bestFit="1" customWidth="1"/>
    <col min="7171" max="7180" width="9.109375" style="400"/>
    <col min="7181" max="7181" width="9.5546875" style="400" bestFit="1" customWidth="1"/>
    <col min="7182" max="7182" width="11.109375" style="400" customWidth="1"/>
    <col min="7183" max="7183" width="9.109375" style="400"/>
    <col min="7184" max="7184" width="8.109375" style="400" bestFit="1" customWidth="1"/>
    <col min="7185" max="7185" width="9" style="400" bestFit="1" customWidth="1"/>
    <col min="7186" max="7186" width="9" style="400" customWidth="1"/>
    <col min="7187" max="7188" width="9.109375" style="400"/>
    <col min="7189" max="7189" width="32.88671875" style="400" customWidth="1"/>
    <col min="7190" max="7425" width="9.109375" style="400"/>
    <col min="7426" max="7426" width="9.88671875" style="400" bestFit="1" customWidth="1"/>
    <col min="7427" max="7436" width="9.109375" style="400"/>
    <col min="7437" max="7437" width="9.5546875" style="400" bestFit="1" customWidth="1"/>
    <col min="7438" max="7438" width="11.109375" style="400" customWidth="1"/>
    <col min="7439" max="7439" width="9.109375" style="400"/>
    <col min="7440" max="7440" width="8.109375" style="400" bestFit="1" customWidth="1"/>
    <col min="7441" max="7441" width="9" style="400" bestFit="1" customWidth="1"/>
    <col min="7442" max="7442" width="9" style="400" customWidth="1"/>
    <col min="7443" max="7444" width="9.109375" style="400"/>
    <col min="7445" max="7445" width="32.88671875" style="400" customWidth="1"/>
    <col min="7446" max="7681" width="9.109375" style="400"/>
    <col min="7682" max="7682" width="9.88671875" style="400" bestFit="1" customWidth="1"/>
    <col min="7683" max="7692" width="9.109375" style="400"/>
    <col min="7693" max="7693" width="9.5546875" style="400" bestFit="1" customWidth="1"/>
    <col min="7694" max="7694" width="11.109375" style="400" customWidth="1"/>
    <col min="7695" max="7695" width="9.109375" style="400"/>
    <col min="7696" max="7696" width="8.109375" style="400" bestFit="1" customWidth="1"/>
    <col min="7697" max="7697" width="9" style="400" bestFit="1" customWidth="1"/>
    <col min="7698" max="7698" width="9" style="400" customWidth="1"/>
    <col min="7699" max="7700" width="9.109375" style="400"/>
    <col min="7701" max="7701" width="32.88671875" style="400" customWidth="1"/>
    <col min="7702" max="7937" width="9.109375" style="400"/>
    <col min="7938" max="7938" width="9.88671875" style="400" bestFit="1" customWidth="1"/>
    <col min="7939" max="7948" width="9.109375" style="400"/>
    <col min="7949" max="7949" width="9.5546875" style="400" bestFit="1" customWidth="1"/>
    <col min="7950" max="7950" width="11.109375" style="400" customWidth="1"/>
    <col min="7951" max="7951" width="9.109375" style="400"/>
    <col min="7952" max="7952" width="8.109375" style="400" bestFit="1" customWidth="1"/>
    <col min="7953" max="7953" width="9" style="400" bestFit="1" customWidth="1"/>
    <col min="7954" max="7954" width="9" style="400" customWidth="1"/>
    <col min="7955" max="7956" width="9.109375" style="400"/>
    <col min="7957" max="7957" width="32.88671875" style="400" customWidth="1"/>
    <col min="7958" max="8193" width="9.109375" style="400"/>
    <col min="8194" max="8194" width="9.88671875" style="400" bestFit="1" customWidth="1"/>
    <col min="8195" max="8204" width="9.109375" style="400"/>
    <col min="8205" max="8205" width="9.5546875" style="400" bestFit="1" customWidth="1"/>
    <col min="8206" max="8206" width="11.109375" style="400" customWidth="1"/>
    <col min="8207" max="8207" width="9.109375" style="400"/>
    <col min="8208" max="8208" width="8.109375" style="400" bestFit="1" customWidth="1"/>
    <col min="8209" max="8209" width="9" style="400" bestFit="1" customWidth="1"/>
    <col min="8210" max="8210" width="9" style="400" customWidth="1"/>
    <col min="8211" max="8212" width="9.109375" style="400"/>
    <col min="8213" max="8213" width="32.88671875" style="400" customWidth="1"/>
    <col min="8214" max="8449" width="9.109375" style="400"/>
    <col min="8450" max="8450" width="9.88671875" style="400" bestFit="1" customWidth="1"/>
    <col min="8451" max="8460" width="9.109375" style="400"/>
    <col min="8461" max="8461" width="9.5546875" style="400" bestFit="1" customWidth="1"/>
    <col min="8462" max="8462" width="11.109375" style="400" customWidth="1"/>
    <col min="8463" max="8463" width="9.109375" style="400"/>
    <col min="8464" max="8464" width="8.109375" style="400" bestFit="1" customWidth="1"/>
    <col min="8465" max="8465" width="9" style="400" bestFit="1" customWidth="1"/>
    <col min="8466" max="8466" width="9" style="400" customWidth="1"/>
    <col min="8467" max="8468" width="9.109375" style="400"/>
    <col min="8469" max="8469" width="32.88671875" style="400" customWidth="1"/>
    <col min="8470" max="8705" width="9.109375" style="400"/>
    <col min="8706" max="8706" width="9.88671875" style="400" bestFit="1" customWidth="1"/>
    <col min="8707" max="8716" width="9.109375" style="400"/>
    <col min="8717" max="8717" width="9.5546875" style="400" bestFit="1" customWidth="1"/>
    <col min="8718" max="8718" width="11.109375" style="400" customWidth="1"/>
    <col min="8719" max="8719" width="9.109375" style="400"/>
    <col min="8720" max="8720" width="8.109375" style="400" bestFit="1" customWidth="1"/>
    <col min="8721" max="8721" width="9" style="400" bestFit="1" customWidth="1"/>
    <col min="8722" max="8722" width="9" style="400" customWidth="1"/>
    <col min="8723" max="8724" width="9.109375" style="400"/>
    <col min="8725" max="8725" width="32.88671875" style="400" customWidth="1"/>
    <col min="8726" max="8961" width="9.109375" style="400"/>
    <col min="8962" max="8962" width="9.88671875" style="400" bestFit="1" customWidth="1"/>
    <col min="8963" max="8972" width="9.109375" style="400"/>
    <col min="8973" max="8973" width="9.5546875" style="400" bestFit="1" customWidth="1"/>
    <col min="8974" max="8974" width="11.109375" style="400" customWidth="1"/>
    <col min="8975" max="8975" width="9.109375" style="400"/>
    <col min="8976" max="8976" width="8.109375" style="400" bestFit="1" customWidth="1"/>
    <col min="8977" max="8977" width="9" style="400" bestFit="1" customWidth="1"/>
    <col min="8978" max="8978" width="9" style="400" customWidth="1"/>
    <col min="8979" max="8980" width="9.109375" style="400"/>
    <col min="8981" max="8981" width="32.88671875" style="400" customWidth="1"/>
    <col min="8982" max="9217" width="9.109375" style="400"/>
    <col min="9218" max="9218" width="9.88671875" style="400" bestFit="1" customWidth="1"/>
    <col min="9219" max="9228" width="9.109375" style="400"/>
    <col min="9229" max="9229" width="9.5546875" style="400" bestFit="1" customWidth="1"/>
    <col min="9230" max="9230" width="11.109375" style="400" customWidth="1"/>
    <col min="9231" max="9231" width="9.109375" style="400"/>
    <col min="9232" max="9232" width="8.109375" style="400" bestFit="1" customWidth="1"/>
    <col min="9233" max="9233" width="9" style="400" bestFit="1" customWidth="1"/>
    <col min="9234" max="9234" width="9" style="400" customWidth="1"/>
    <col min="9235" max="9236" width="9.109375" style="400"/>
    <col min="9237" max="9237" width="32.88671875" style="400" customWidth="1"/>
    <col min="9238" max="9473" width="9.109375" style="400"/>
    <col min="9474" max="9474" width="9.88671875" style="400" bestFit="1" customWidth="1"/>
    <col min="9475" max="9484" width="9.109375" style="400"/>
    <col min="9485" max="9485" width="9.5546875" style="400" bestFit="1" customWidth="1"/>
    <col min="9486" max="9486" width="11.109375" style="400" customWidth="1"/>
    <col min="9487" max="9487" width="9.109375" style="400"/>
    <col min="9488" max="9488" width="8.109375" style="400" bestFit="1" customWidth="1"/>
    <col min="9489" max="9489" width="9" style="400" bestFit="1" customWidth="1"/>
    <col min="9490" max="9490" width="9" style="400" customWidth="1"/>
    <col min="9491" max="9492" width="9.109375" style="400"/>
    <col min="9493" max="9493" width="32.88671875" style="400" customWidth="1"/>
    <col min="9494" max="9729" width="9.109375" style="400"/>
    <col min="9730" max="9730" width="9.88671875" style="400" bestFit="1" customWidth="1"/>
    <col min="9731" max="9740" width="9.109375" style="400"/>
    <col min="9741" max="9741" width="9.5546875" style="400" bestFit="1" customWidth="1"/>
    <col min="9742" max="9742" width="11.109375" style="400" customWidth="1"/>
    <col min="9743" max="9743" width="9.109375" style="400"/>
    <col min="9744" max="9744" width="8.109375" style="400" bestFit="1" customWidth="1"/>
    <col min="9745" max="9745" width="9" style="400" bestFit="1" customWidth="1"/>
    <col min="9746" max="9746" width="9" style="400" customWidth="1"/>
    <col min="9747" max="9748" width="9.109375" style="400"/>
    <col min="9749" max="9749" width="32.88671875" style="400" customWidth="1"/>
    <col min="9750" max="9985" width="9.109375" style="400"/>
    <col min="9986" max="9986" width="9.88671875" style="400" bestFit="1" customWidth="1"/>
    <col min="9987" max="9996" width="9.109375" style="400"/>
    <col min="9997" max="9997" width="9.5546875" style="400" bestFit="1" customWidth="1"/>
    <col min="9998" max="9998" width="11.109375" style="400" customWidth="1"/>
    <col min="9999" max="9999" width="9.109375" style="400"/>
    <col min="10000" max="10000" width="8.109375" style="400" bestFit="1" customWidth="1"/>
    <col min="10001" max="10001" width="9" style="400" bestFit="1" customWidth="1"/>
    <col min="10002" max="10002" width="9" style="400" customWidth="1"/>
    <col min="10003" max="10004" width="9.109375" style="400"/>
    <col min="10005" max="10005" width="32.88671875" style="400" customWidth="1"/>
    <col min="10006" max="10241" width="9.109375" style="400"/>
    <col min="10242" max="10242" width="9.88671875" style="400" bestFit="1" customWidth="1"/>
    <col min="10243" max="10252" width="9.109375" style="400"/>
    <col min="10253" max="10253" width="9.5546875" style="400" bestFit="1" customWidth="1"/>
    <col min="10254" max="10254" width="11.109375" style="400" customWidth="1"/>
    <col min="10255" max="10255" width="9.109375" style="400"/>
    <col min="10256" max="10256" width="8.109375" style="400" bestFit="1" customWidth="1"/>
    <col min="10257" max="10257" width="9" style="400" bestFit="1" customWidth="1"/>
    <col min="10258" max="10258" width="9" style="400" customWidth="1"/>
    <col min="10259" max="10260" width="9.109375" style="400"/>
    <col min="10261" max="10261" width="32.88671875" style="400" customWidth="1"/>
    <col min="10262" max="10497" width="9.109375" style="400"/>
    <col min="10498" max="10498" width="9.88671875" style="400" bestFit="1" customWidth="1"/>
    <col min="10499" max="10508" width="9.109375" style="400"/>
    <col min="10509" max="10509" width="9.5546875" style="400" bestFit="1" customWidth="1"/>
    <col min="10510" max="10510" width="11.109375" style="400" customWidth="1"/>
    <col min="10511" max="10511" width="9.109375" style="400"/>
    <col min="10512" max="10512" width="8.109375" style="400" bestFit="1" customWidth="1"/>
    <col min="10513" max="10513" width="9" style="400" bestFit="1" customWidth="1"/>
    <col min="10514" max="10514" width="9" style="400" customWidth="1"/>
    <col min="10515" max="10516" width="9.109375" style="400"/>
    <col min="10517" max="10517" width="32.88671875" style="400" customWidth="1"/>
    <col min="10518" max="10753" width="9.109375" style="400"/>
    <col min="10754" max="10754" width="9.88671875" style="400" bestFit="1" customWidth="1"/>
    <col min="10755" max="10764" width="9.109375" style="400"/>
    <col min="10765" max="10765" width="9.5546875" style="400" bestFit="1" customWidth="1"/>
    <col min="10766" max="10766" width="11.109375" style="400" customWidth="1"/>
    <col min="10767" max="10767" width="9.109375" style="400"/>
    <col min="10768" max="10768" width="8.109375" style="400" bestFit="1" customWidth="1"/>
    <col min="10769" max="10769" width="9" style="400" bestFit="1" customWidth="1"/>
    <col min="10770" max="10770" width="9" style="400" customWidth="1"/>
    <col min="10771" max="10772" width="9.109375" style="400"/>
    <col min="10773" max="10773" width="32.88671875" style="400" customWidth="1"/>
    <col min="10774" max="11009" width="9.109375" style="400"/>
    <col min="11010" max="11010" width="9.88671875" style="400" bestFit="1" customWidth="1"/>
    <col min="11011" max="11020" width="9.109375" style="400"/>
    <col min="11021" max="11021" width="9.5546875" style="400" bestFit="1" customWidth="1"/>
    <col min="11022" max="11022" width="11.109375" style="400" customWidth="1"/>
    <col min="11023" max="11023" width="9.109375" style="400"/>
    <col min="11024" max="11024" width="8.109375" style="400" bestFit="1" customWidth="1"/>
    <col min="11025" max="11025" width="9" style="400" bestFit="1" customWidth="1"/>
    <col min="11026" max="11026" width="9" style="400" customWidth="1"/>
    <col min="11027" max="11028" width="9.109375" style="400"/>
    <col min="11029" max="11029" width="32.88671875" style="400" customWidth="1"/>
    <col min="11030" max="11265" width="9.109375" style="400"/>
    <col min="11266" max="11266" width="9.88671875" style="400" bestFit="1" customWidth="1"/>
    <col min="11267" max="11276" width="9.109375" style="400"/>
    <col min="11277" max="11277" width="9.5546875" style="400" bestFit="1" customWidth="1"/>
    <col min="11278" max="11278" width="11.109375" style="400" customWidth="1"/>
    <col min="11279" max="11279" width="9.109375" style="400"/>
    <col min="11280" max="11280" width="8.109375" style="400" bestFit="1" customWidth="1"/>
    <col min="11281" max="11281" width="9" style="400" bestFit="1" customWidth="1"/>
    <col min="11282" max="11282" width="9" style="400" customWidth="1"/>
    <col min="11283" max="11284" width="9.109375" style="400"/>
    <col min="11285" max="11285" width="32.88671875" style="400" customWidth="1"/>
    <col min="11286" max="11521" width="9.109375" style="400"/>
    <col min="11522" max="11522" width="9.88671875" style="400" bestFit="1" customWidth="1"/>
    <col min="11523" max="11532" width="9.109375" style="400"/>
    <col min="11533" max="11533" width="9.5546875" style="400" bestFit="1" customWidth="1"/>
    <col min="11534" max="11534" width="11.109375" style="400" customWidth="1"/>
    <col min="11535" max="11535" width="9.109375" style="400"/>
    <col min="11536" max="11536" width="8.109375" style="400" bestFit="1" customWidth="1"/>
    <col min="11537" max="11537" width="9" style="400" bestFit="1" customWidth="1"/>
    <col min="11538" max="11538" width="9" style="400" customWidth="1"/>
    <col min="11539" max="11540" width="9.109375" style="400"/>
    <col min="11541" max="11541" width="32.88671875" style="400" customWidth="1"/>
    <col min="11542" max="11777" width="9.109375" style="400"/>
    <col min="11778" max="11778" width="9.88671875" style="400" bestFit="1" customWidth="1"/>
    <col min="11779" max="11788" width="9.109375" style="400"/>
    <col min="11789" max="11789" width="9.5546875" style="400" bestFit="1" customWidth="1"/>
    <col min="11790" max="11790" width="11.109375" style="400" customWidth="1"/>
    <col min="11791" max="11791" width="9.109375" style="400"/>
    <col min="11792" max="11792" width="8.109375" style="400" bestFit="1" customWidth="1"/>
    <col min="11793" max="11793" width="9" style="400" bestFit="1" customWidth="1"/>
    <col min="11794" max="11794" width="9" style="400" customWidth="1"/>
    <col min="11795" max="11796" width="9.109375" style="400"/>
    <col min="11797" max="11797" width="32.88671875" style="400" customWidth="1"/>
    <col min="11798" max="12033" width="9.109375" style="400"/>
    <col min="12034" max="12034" width="9.88671875" style="400" bestFit="1" customWidth="1"/>
    <col min="12035" max="12044" width="9.109375" style="400"/>
    <col min="12045" max="12045" width="9.5546875" style="400" bestFit="1" customWidth="1"/>
    <col min="12046" max="12046" width="11.109375" style="400" customWidth="1"/>
    <col min="12047" max="12047" width="9.109375" style="400"/>
    <col min="12048" max="12048" width="8.109375" style="400" bestFit="1" customWidth="1"/>
    <col min="12049" max="12049" width="9" style="400" bestFit="1" customWidth="1"/>
    <col min="12050" max="12050" width="9" style="400" customWidth="1"/>
    <col min="12051" max="12052" width="9.109375" style="400"/>
    <col min="12053" max="12053" width="32.88671875" style="400" customWidth="1"/>
    <col min="12054" max="12289" width="9.109375" style="400"/>
    <col min="12290" max="12290" width="9.88671875" style="400" bestFit="1" customWidth="1"/>
    <col min="12291" max="12300" width="9.109375" style="400"/>
    <col min="12301" max="12301" width="9.5546875" style="400" bestFit="1" customWidth="1"/>
    <col min="12302" max="12302" width="11.109375" style="400" customWidth="1"/>
    <col min="12303" max="12303" width="9.109375" style="400"/>
    <col min="12304" max="12304" width="8.109375" style="400" bestFit="1" customWidth="1"/>
    <col min="12305" max="12305" width="9" style="400" bestFit="1" customWidth="1"/>
    <col min="12306" max="12306" width="9" style="400" customWidth="1"/>
    <col min="12307" max="12308" width="9.109375" style="400"/>
    <col min="12309" max="12309" width="32.88671875" style="400" customWidth="1"/>
    <col min="12310" max="12545" width="9.109375" style="400"/>
    <col min="12546" max="12546" width="9.88671875" style="400" bestFit="1" customWidth="1"/>
    <col min="12547" max="12556" width="9.109375" style="400"/>
    <col min="12557" max="12557" width="9.5546875" style="400" bestFit="1" customWidth="1"/>
    <col min="12558" max="12558" width="11.109375" style="400" customWidth="1"/>
    <col min="12559" max="12559" width="9.109375" style="400"/>
    <col min="12560" max="12560" width="8.109375" style="400" bestFit="1" customWidth="1"/>
    <col min="12561" max="12561" width="9" style="400" bestFit="1" customWidth="1"/>
    <col min="12562" max="12562" width="9" style="400" customWidth="1"/>
    <col min="12563" max="12564" width="9.109375" style="400"/>
    <col min="12565" max="12565" width="32.88671875" style="400" customWidth="1"/>
    <col min="12566" max="12801" width="9.109375" style="400"/>
    <col min="12802" max="12802" width="9.88671875" style="400" bestFit="1" customWidth="1"/>
    <col min="12803" max="12812" width="9.109375" style="400"/>
    <col min="12813" max="12813" width="9.5546875" style="400" bestFit="1" customWidth="1"/>
    <col min="12814" max="12814" width="11.109375" style="400" customWidth="1"/>
    <col min="12815" max="12815" width="9.109375" style="400"/>
    <col min="12816" max="12816" width="8.109375" style="400" bestFit="1" customWidth="1"/>
    <col min="12817" max="12817" width="9" style="400" bestFit="1" customWidth="1"/>
    <col min="12818" max="12818" width="9" style="400" customWidth="1"/>
    <col min="12819" max="12820" width="9.109375" style="400"/>
    <col min="12821" max="12821" width="32.88671875" style="400" customWidth="1"/>
    <col min="12822" max="13057" width="9.109375" style="400"/>
    <col min="13058" max="13058" width="9.88671875" style="400" bestFit="1" customWidth="1"/>
    <col min="13059" max="13068" width="9.109375" style="400"/>
    <col min="13069" max="13069" width="9.5546875" style="400" bestFit="1" customWidth="1"/>
    <col min="13070" max="13070" width="11.109375" style="400" customWidth="1"/>
    <col min="13071" max="13071" width="9.109375" style="400"/>
    <col min="13072" max="13072" width="8.109375" style="400" bestFit="1" customWidth="1"/>
    <col min="13073" max="13073" width="9" style="400" bestFit="1" customWidth="1"/>
    <col min="13074" max="13074" width="9" style="400" customWidth="1"/>
    <col min="13075" max="13076" width="9.109375" style="400"/>
    <col min="13077" max="13077" width="32.88671875" style="400" customWidth="1"/>
    <col min="13078" max="13313" width="9.109375" style="400"/>
    <col min="13314" max="13314" width="9.88671875" style="400" bestFit="1" customWidth="1"/>
    <col min="13315" max="13324" width="9.109375" style="400"/>
    <col min="13325" max="13325" width="9.5546875" style="400" bestFit="1" customWidth="1"/>
    <col min="13326" max="13326" width="11.109375" style="400" customWidth="1"/>
    <col min="13327" max="13327" width="9.109375" style="400"/>
    <col min="13328" max="13328" width="8.109375" style="400" bestFit="1" customWidth="1"/>
    <col min="13329" max="13329" width="9" style="400" bestFit="1" customWidth="1"/>
    <col min="13330" max="13330" width="9" style="400" customWidth="1"/>
    <col min="13331" max="13332" width="9.109375" style="400"/>
    <col min="13333" max="13333" width="32.88671875" style="400" customWidth="1"/>
    <col min="13334" max="13569" width="9.109375" style="400"/>
    <col min="13570" max="13570" width="9.88671875" style="400" bestFit="1" customWidth="1"/>
    <col min="13571" max="13580" width="9.109375" style="400"/>
    <col min="13581" max="13581" width="9.5546875" style="400" bestFit="1" customWidth="1"/>
    <col min="13582" max="13582" width="11.109375" style="400" customWidth="1"/>
    <col min="13583" max="13583" width="9.109375" style="400"/>
    <col min="13584" max="13584" width="8.109375" style="400" bestFit="1" customWidth="1"/>
    <col min="13585" max="13585" width="9" style="400" bestFit="1" customWidth="1"/>
    <col min="13586" max="13586" width="9" style="400" customWidth="1"/>
    <col min="13587" max="13588" width="9.109375" style="400"/>
    <col min="13589" max="13589" width="32.88671875" style="400" customWidth="1"/>
    <col min="13590" max="13825" width="9.109375" style="400"/>
    <col min="13826" max="13826" width="9.88671875" style="400" bestFit="1" customWidth="1"/>
    <col min="13827" max="13836" width="9.109375" style="400"/>
    <col min="13837" max="13837" width="9.5546875" style="400" bestFit="1" customWidth="1"/>
    <col min="13838" max="13838" width="11.109375" style="400" customWidth="1"/>
    <col min="13839" max="13839" width="9.109375" style="400"/>
    <col min="13840" max="13840" width="8.109375" style="400" bestFit="1" customWidth="1"/>
    <col min="13841" max="13841" width="9" style="400" bestFit="1" customWidth="1"/>
    <col min="13842" max="13842" width="9" style="400" customWidth="1"/>
    <col min="13843" max="13844" width="9.109375" style="400"/>
    <col min="13845" max="13845" width="32.88671875" style="400" customWidth="1"/>
    <col min="13846" max="14081" width="9.109375" style="400"/>
    <col min="14082" max="14082" width="9.88671875" style="400" bestFit="1" customWidth="1"/>
    <col min="14083" max="14092" width="9.109375" style="400"/>
    <col min="14093" max="14093" width="9.5546875" style="400" bestFit="1" customWidth="1"/>
    <col min="14094" max="14094" width="11.109375" style="400" customWidth="1"/>
    <col min="14095" max="14095" width="9.109375" style="400"/>
    <col min="14096" max="14096" width="8.109375" style="400" bestFit="1" customWidth="1"/>
    <col min="14097" max="14097" width="9" style="400" bestFit="1" customWidth="1"/>
    <col min="14098" max="14098" width="9" style="400" customWidth="1"/>
    <col min="14099" max="14100" width="9.109375" style="400"/>
    <col min="14101" max="14101" width="32.88671875" style="400" customWidth="1"/>
    <col min="14102" max="14337" width="9.109375" style="400"/>
    <col min="14338" max="14338" width="9.88671875" style="400" bestFit="1" customWidth="1"/>
    <col min="14339" max="14348" width="9.109375" style="400"/>
    <col min="14349" max="14349" width="9.5546875" style="400" bestFit="1" customWidth="1"/>
    <col min="14350" max="14350" width="11.109375" style="400" customWidth="1"/>
    <col min="14351" max="14351" width="9.109375" style="400"/>
    <col min="14352" max="14352" width="8.109375" style="400" bestFit="1" customWidth="1"/>
    <col min="14353" max="14353" width="9" style="400" bestFit="1" customWidth="1"/>
    <col min="14354" max="14354" width="9" style="400" customWidth="1"/>
    <col min="14355" max="14356" width="9.109375" style="400"/>
    <col min="14357" max="14357" width="32.88671875" style="400" customWidth="1"/>
    <col min="14358" max="14593" width="9.109375" style="400"/>
    <col min="14594" max="14594" width="9.88671875" style="400" bestFit="1" customWidth="1"/>
    <col min="14595" max="14604" width="9.109375" style="400"/>
    <col min="14605" max="14605" width="9.5546875" style="400" bestFit="1" customWidth="1"/>
    <col min="14606" max="14606" width="11.109375" style="400" customWidth="1"/>
    <col min="14607" max="14607" width="9.109375" style="400"/>
    <col min="14608" max="14608" width="8.109375" style="400" bestFit="1" customWidth="1"/>
    <col min="14609" max="14609" width="9" style="400" bestFit="1" customWidth="1"/>
    <col min="14610" max="14610" width="9" style="400" customWidth="1"/>
    <col min="14611" max="14612" width="9.109375" style="400"/>
    <col min="14613" max="14613" width="32.88671875" style="400" customWidth="1"/>
    <col min="14614" max="14849" width="9.109375" style="400"/>
    <col min="14850" max="14850" width="9.88671875" style="400" bestFit="1" customWidth="1"/>
    <col min="14851" max="14860" width="9.109375" style="400"/>
    <col min="14861" max="14861" width="9.5546875" style="400" bestFit="1" customWidth="1"/>
    <col min="14862" max="14862" width="11.109375" style="400" customWidth="1"/>
    <col min="14863" max="14863" width="9.109375" style="400"/>
    <col min="14864" max="14864" width="8.109375" style="400" bestFit="1" customWidth="1"/>
    <col min="14865" max="14865" width="9" style="400" bestFit="1" customWidth="1"/>
    <col min="14866" max="14866" width="9" style="400" customWidth="1"/>
    <col min="14867" max="14868" width="9.109375" style="400"/>
    <col min="14869" max="14869" width="32.88671875" style="400" customWidth="1"/>
    <col min="14870" max="15105" width="9.109375" style="400"/>
    <col min="15106" max="15106" width="9.88671875" style="400" bestFit="1" customWidth="1"/>
    <col min="15107" max="15116" width="9.109375" style="400"/>
    <col min="15117" max="15117" width="9.5546875" style="400" bestFit="1" customWidth="1"/>
    <col min="15118" max="15118" width="11.109375" style="400" customWidth="1"/>
    <col min="15119" max="15119" width="9.109375" style="400"/>
    <col min="15120" max="15120" width="8.109375" style="400" bestFit="1" customWidth="1"/>
    <col min="15121" max="15121" width="9" style="400" bestFit="1" customWidth="1"/>
    <col min="15122" max="15122" width="9" style="400" customWidth="1"/>
    <col min="15123" max="15124" width="9.109375" style="400"/>
    <col min="15125" max="15125" width="32.88671875" style="400" customWidth="1"/>
    <col min="15126" max="15361" width="9.109375" style="400"/>
    <col min="15362" max="15362" width="9.88671875" style="400" bestFit="1" customWidth="1"/>
    <col min="15363" max="15372" width="9.109375" style="400"/>
    <col min="15373" max="15373" width="9.5546875" style="400" bestFit="1" customWidth="1"/>
    <col min="15374" max="15374" width="11.109375" style="400" customWidth="1"/>
    <col min="15375" max="15375" width="9.109375" style="400"/>
    <col min="15376" max="15376" width="8.109375" style="400" bestFit="1" customWidth="1"/>
    <col min="15377" max="15377" width="9" style="400" bestFit="1" customWidth="1"/>
    <col min="15378" max="15378" width="9" style="400" customWidth="1"/>
    <col min="15379" max="15380" width="9.109375" style="400"/>
    <col min="15381" max="15381" width="32.88671875" style="400" customWidth="1"/>
    <col min="15382" max="15617" width="9.109375" style="400"/>
    <col min="15618" max="15618" width="9.88671875" style="400" bestFit="1" customWidth="1"/>
    <col min="15619" max="15628" width="9.109375" style="400"/>
    <col min="15629" max="15629" width="9.5546875" style="400" bestFit="1" customWidth="1"/>
    <col min="15630" max="15630" width="11.109375" style="400" customWidth="1"/>
    <col min="15631" max="15631" width="9.109375" style="400"/>
    <col min="15632" max="15632" width="8.109375" style="400" bestFit="1" customWidth="1"/>
    <col min="15633" max="15633" width="9" style="400" bestFit="1" customWidth="1"/>
    <col min="15634" max="15634" width="9" style="400" customWidth="1"/>
    <col min="15635" max="15636" width="9.109375" style="400"/>
    <col min="15637" max="15637" width="32.88671875" style="400" customWidth="1"/>
    <col min="15638" max="15873" width="9.109375" style="400"/>
    <col min="15874" max="15874" width="9.88671875" style="400" bestFit="1" customWidth="1"/>
    <col min="15875" max="15884" width="9.109375" style="400"/>
    <col min="15885" max="15885" width="9.5546875" style="400" bestFit="1" customWidth="1"/>
    <col min="15886" max="15886" width="11.109375" style="400" customWidth="1"/>
    <col min="15887" max="15887" width="9.109375" style="400"/>
    <col min="15888" max="15888" width="8.109375" style="400" bestFit="1" customWidth="1"/>
    <col min="15889" max="15889" width="9" style="400" bestFit="1" customWidth="1"/>
    <col min="15890" max="15890" width="9" style="400" customWidth="1"/>
    <col min="15891" max="15892" width="9.109375" style="400"/>
    <col min="15893" max="15893" width="32.88671875" style="400" customWidth="1"/>
    <col min="15894" max="16129" width="9.109375" style="400"/>
    <col min="16130" max="16130" width="9.88671875" style="400" bestFit="1" customWidth="1"/>
    <col min="16131" max="16140" width="9.109375" style="400"/>
    <col min="16141" max="16141" width="9.5546875" style="400" bestFit="1" customWidth="1"/>
    <col min="16142" max="16142" width="11.109375" style="400" customWidth="1"/>
    <col min="16143" max="16143" width="9.109375" style="400"/>
    <col min="16144" max="16144" width="8.109375" style="400" bestFit="1" customWidth="1"/>
    <col min="16145" max="16145" width="9" style="400" bestFit="1" customWidth="1"/>
    <col min="16146" max="16146" width="9" style="400" customWidth="1"/>
    <col min="16147" max="16148" width="9.109375" style="400"/>
    <col min="16149" max="16149" width="32.88671875" style="400" customWidth="1"/>
    <col min="16150" max="16384" width="9.109375" style="400"/>
  </cols>
  <sheetData>
    <row r="1" spans="2:20" ht="24.6">
      <c r="B1" s="399"/>
      <c r="C1" s="774" t="s">
        <v>7379</v>
      </c>
      <c r="D1" s="774"/>
      <c r="E1" s="774"/>
      <c r="F1" s="774"/>
      <c r="G1" s="774"/>
      <c r="H1" s="774"/>
      <c r="I1" s="774"/>
      <c r="J1" s="774"/>
      <c r="K1" s="774"/>
      <c r="L1" s="774"/>
      <c r="M1" s="774"/>
      <c r="N1" s="774"/>
      <c r="O1" s="774"/>
      <c r="P1" s="774"/>
      <c r="Q1" s="774"/>
      <c r="R1" s="774"/>
      <c r="S1" s="774"/>
      <c r="T1" s="775"/>
    </row>
    <row r="2" spans="2:20" ht="17.399999999999999">
      <c r="B2" s="401"/>
      <c r="C2" s="776" t="s">
        <v>11210</v>
      </c>
      <c r="D2" s="776"/>
      <c r="E2" s="776"/>
      <c r="F2" s="776"/>
      <c r="G2" s="776"/>
      <c r="H2" s="776"/>
      <c r="I2" s="776"/>
      <c r="J2" s="776"/>
      <c r="K2" s="776"/>
      <c r="L2" s="776"/>
      <c r="M2" s="776"/>
      <c r="N2" s="776"/>
      <c r="O2" s="776"/>
      <c r="P2" s="776"/>
      <c r="Q2" s="776"/>
      <c r="R2" s="776"/>
      <c r="S2" s="776"/>
      <c r="T2" s="777"/>
    </row>
    <row r="3" spans="2:20" ht="32.25" customHeight="1">
      <c r="B3" s="778" t="s">
        <v>11211</v>
      </c>
      <c r="C3" s="779"/>
      <c r="D3" s="779"/>
      <c r="E3" s="779"/>
      <c r="F3" s="779"/>
      <c r="G3" s="779"/>
      <c r="H3" s="779"/>
      <c r="I3" s="779"/>
      <c r="J3" s="779"/>
      <c r="K3" s="779"/>
      <c r="L3" s="779"/>
      <c r="M3" s="779"/>
      <c r="N3" s="779"/>
      <c r="O3" s="779"/>
      <c r="P3" s="779"/>
      <c r="Q3" s="779"/>
      <c r="R3" s="779"/>
      <c r="S3" s="779"/>
      <c r="T3" s="780"/>
    </row>
    <row r="4" spans="2:20" ht="18" thickBot="1">
      <c r="B4" s="402"/>
      <c r="C4" s="403" t="str">
        <f>[11]Planilha!A3</f>
        <v>OBRA: Unidade de Saúde Industrial</v>
      </c>
      <c r="D4" s="404"/>
      <c r="E4" s="405"/>
      <c r="F4" s="405"/>
      <c r="G4" s="405"/>
      <c r="H4" s="405"/>
      <c r="I4" s="405"/>
      <c r="J4" s="405"/>
      <c r="K4" s="405"/>
      <c r="L4" s="405"/>
      <c r="M4" s="405"/>
      <c r="N4" s="405"/>
      <c r="O4" s="405"/>
      <c r="P4" s="406"/>
      <c r="Q4" s="406"/>
      <c r="R4" s="406"/>
      <c r="S4" s="406"/>
      <c r="T4" s="407"/>
    </row>
    <row r="5" spans="2:20">
      <c r="B5" s="408"/>
      <c r="C5" s="409"/>
      <c r="D5" s="410"/>
      <c r="E5" s="410"/>
      <c r="F5" s="410"/>
      <c r="G5" s="410"/>
      <c r="H5" s="410"/>
      <c r="I5" s="410"/>
      <c r="J5" s="410"/>
      <c r="K5" s="410"/>
      <c r="L5" s="410"/>
      <c r="M5" s="410"/>
      <c r="N5" s="410"/>
      <c r="O5" s="410"/>
      <c r="Q5" s="409"/>
      <c r="R5" s="409"/>
      <c r="S5" s="410"/>
      <c r="T5" s="411"/>
    </row>
    <row r="6" spans="2:20">
      <c r="B6" s="412"/>
      <c r="P6" s="414"/>
      <c r="T6" s="415"/>
    </row>
    <row r="7" spans="2:20" ht="13.5" customHeight="1">
      <c r="B7" s="412"/>
      <c r="T7" s="415"/>
    </row>
    <row r="8" spans="2:20" ht="27.75" customHeight="1">
      <c r="B8" s="412"/>
      <c r="T8" s="415"/>
    </row>
    <row r="9" spans="2:20" ht="26.25" customHeight="1">
      <c r="B9" s="412"/>
      <c r="T9" s="415"/>
    </row>
    <row r="10" spans="2:20">
      <c r="B10" s="412"/>
      <c r="T10" s="415"/>
    </row>
    <row r="11" spans="2:20">
      <c r="B11" s="412"/>
      <c r="T11" s="415"/>
    </row>
    <row r="12" spans="2:20">
      <c r="B12" s="412"/>
      <c r="T12" s="415"/>
    </row>
    <row r="13" spans="2:20">
      <c r="B13" s="412"/>
      <c r="T13" s="415"/>
    </row>
    <row r="14" spans="2:20" ht="13.8" thickBot="1">
      <c r="B14" s="412"/>
      <c r="T14" s="415"/>
    </row>
    <row r="15" spans="2:20">
      <c r="B15" s="416" t="s">
        <v>11212</v>
      </c>
      <c r="C15" s="781" t="s">
        <v>11213</v>
      </c>
      <c r="D15" s="782"/>
      <c r="T15" s="415"/>
    </row>
    <row r="16" spans="2:20" ht="13.8" thickBot="1">
      <c r="B16" s="417" t="s">
        <v>11214</v>
      </c>
      <c r="C16" s="783" t="s">
        <v>11215</v>
      </c>
      <c r="D16" s="784"/>
      <c r="T16" s="415"/>
    </row>
    <row r="17" spans="2:21">
      <c r="B17" s="417" t="s">
        <v>11216</v>
      </c>
      <c r="C17" s="762" t="s">
        <v>11217</v>
      </c>
      <c r="D17" s="763"/>
      <c r="F17" s="764" t="s">
        <v>11218</v>
      </c>
      <c r="G17" s="765"/>
      <c r="H17" s="765"/>
      <c r="I17" s="765"/>
      <c r="J17" s="766"/>
      <c r="S17" s="400"/>
      <c r="T17" s="415"/>
    </row>
    <row r="18" spans="2:21" ht="21.75" customHeight="1" thickBot="1">
      <c r="B18" s="418" t="s">
        <v>11219</v>
      </c>
      <c r="C18" s="770" t="s">
        <v>11220</v>
      </c>
      <c r="D18" s="771"/>
      <c r="F18" s="767"/>
      <c r="G18" s="768"/>
      <c r="H18" s="768"/>
      <c r="I18" s="768"/>
      <c r="J18" s="769"/>
      <c r="S18" s="400"/>
      <c r="T18" s="415"/>
    </row>
    <row r="19" spans="2:21" ht="13.8" thickBot="1">
      <c r="B19" s="412"/>
      <c r="F19" s="419"/>
      <c r="G19" s="419"/>
      <c r="H19" s="419"/>
      <c r="I19" s="419"/>
      <c r="J19" s="419"/>
      <c r="S19" s="419"/>
      <c r="T19" s="415"/>
    </row>
    <row r="20" spans="2:21" ht="13.8" thickBot="1">
      <c r="B20" s="772" t="s">
        <v>11221</v>
      </c>
      <c r="C20" s="772" t="s">
        <v>11222</v>
      </c>
      <c r="D20" s="420" t="s">
        <v>11223</v>
      </c>
      <c r="E20" s="420" t="s">
        <v>11224</v>
      </c>
      <c r="F20" s="420" t="s">
        <v>11225</v>
      </c>
      <c r="G20" s="420" t="s">
        <v>11226</v>
      </c>
      <c r="H20" s="421" t="s">
        <v>11227</v>
      </c>
      <c r="I20" s="420" t="s">
        <v>11228</v>
      </c>
      <c r="J20" s="420" t="s">
        <v>109</v>
      </c>
      <c r="K20" s="421" t="s">
        <v>11229</v>
      </c>
      <c r="L20" s="421" t="s">
        <v>11230</v>
      </c>
      <c r="M20" s="421" t="s">
        <v>11231</v>
      </c>
      <c r="N20" s="421" t="s">
        <v>11232</v>
      </c>
      <c r="O20" s="421" t="s">
        <v>11233</v>
      </c>
      <c r="P20" s="422" t="s">
        <v>11234</v>
      </c>
      <c r="Q20" s="422" t="s">
        <v>11235</v>
      </c>
      <c r="R20" s="422" t="s">
        <v>11236</v>
      </c>
      <c r="S20" s="421" t="s">
        <v>11237</v>
      </c>
      <c r="T20" s="415"/>
    </row>
    <row r="21" spans="2:21" ht="13.8" thickBot="1">
      <c r="B21" s="773"/>
      <c r="C21" s="773"/>
      <c r="D21" s="423" t="s">
        <v>11238</v>
      </c>
      <c r="E21" s="423" t="s">
        <v>11238</v>
      </c>
      <c r="F21" s="423" t="s">
        <v>11238</v>
      </c>
      <c r="G21" s="423" t="s">
        <v>11238</v>
      </c>
      <c r="H21" s="424" t="s">
        <v>11238</v>
      </c>
      <c r="I21" s="423" t="s">
        <v>11238</v>
      </c>
      <c r="J21" s="423" t="s">
        <v>11238</v>
      </c>
      <c r="K21" s="424" t="s">
        <v>11239</v>
      </c>
      <c r="L21" s="424" t="s">
        <v>11240</v>
      </c>
      <c r="M21" s="424" t="s">
        <v>11240</v>
      </c>
      <c r="N21" s="424" t="s">
        <v>11240</v>
      </c>
      <c r="O21" s="424" t="s">
        <v>11239</v>
      </c>
      <c r="P21" s="425">
        <v>1.3</v>
      </c>
      <c r="Q21" s="425">
        <v>0.08</v>
      </c>
      <c r="R21" s="424" t="s">
        <v>11240</v>
      </c>
      <c r="S21" s="424" t="s">
        <v>11241</v>
      </c>
      <c r="T21" s="415"/>
    </row>
    <row r="22" spans="2:21" ht="13.8" thickBot="1">
      <c r="B22" s="757" t="s">
        <v>19</v>
      </c>
      <c r="C22" s="758"/>
      <c r="D22" s="426"/>
      <c r="E22" s="427"/>
      <c r="F22" s="427"/>
      <c r="G22" s="427"/>
      <c r="H22" s="427"/>
      <c r="I22" s="427"/>
      <c r="J22" s="427"/>
      <c r="K22" s="427"/>
      <c r="L22" s="427"/>
      <c r="M22" s="428"/>
      <c r="N22" s="429">
        <f>SUM(N24:N57)</f>
        <v>9.3464425666666671</v>
      </c>
      <c r="O22" s="429">
        <f t="shared" ref="O22:S22" si="0">SUM(O24:O57)</f>
        <v>27.184000000000005</v>
      </c>
      <c r="P22" s="429">
        <f t="shared" si="0"/>
        <v>81.022369999999995</v>
      </c>
      <c r="Q22" s="429">
        <f t="shared" si="0"/>
        <v>2.73048</v>
      </c>
      <c r="R22" s="429">
        <f t="shared" si="0"/>
        <v>67.725447433333372</v>
      </c>
      <c r="S22" s="429">
        <f t="shared" si="0"/>
        <v>489.15215649999988</v>
      </c>
      <c r="T22" s="415"/>
    </row>
    <row r="23" spans="2:21" ht="13.8" thickBot="1">
      <c r="B23" s="757" t="s">
        <v>11378</v>
      </c>
      <c r="C23" s="759"/>
      <c r="D23" s="759"/>
      <c r="E23" s="427"/>
      <c r="F23" s="427"/>
      <c r="G23" s="427"/>
      <c r="H23" s="427"/>
      <c r="I23" s="427"/>
      <c r="J23" s="427"/>
      <c r="K23" s="427"/>
      <c r="L23" s="427"/>
      <c r="M23" s="427"/>
      <c r="N23" s="430"/>
      <c r="O23" s="430"/>
      <c r="P23" s="430"/>
      <c r="Q23" s="430"/>
      <c r="R23" s="430"/>
      <c r="S23" s="431"/>
      <c r="T23" s="415"/>
    </row>
    <row r="24" spans="2:21">
      <c r="B24" s="432" t="s">
        <v>11242</v>
      </c>
      <c r="C24" s="433">
        <v>1</v>
      </c>
      <c r="D24" s="433">
        <v>0.8</v>
      </c>
      <c r="E24" s="433">
        <v>0.8</v>
      </c>
      <c r="F24" s="433">
        <v>0.3</v>
      </c>
      <c r="G24" s="433">
        <v>0.15</v>
      </c>
      <c r="H24" s="433">
        <f>J24-I24</f>
        <v>0.19999999999999998</v>
      </c>
      <c r="I24" s="433">
        <v>0.15</v>
      </c>
      <c r="J24" s="433">
        <v>0.35</v>
      </c>
      <c r="K24" s="433">
        <f>D24*E24</f>
        <v>0.64000000000000012</v>
      </c>
      <c r="L24" s="433">
        <f>I24*K24</f>
        <v>9.6000000000000016E-2</v>
      </c>
      <c r="M24" s="433">
        <f>H24/3*(D24+K24+((D24*K24)^1/2))</f>
        <v>0.11306666666666668</v>
      </c>
      <c r="N24" s="433">
        <f>L24+M24</f>
        <v>0.20906666666666668</v>
      </c>
      <c r="O24" s="433">
        <f>(2*D24+2*E24)*H24</f>
        <v>0.64</v>
      </c>
      <c r="P24" s="433">
        <f>(D24+0.4)*(E24+0.4)*$P$21</f>
        <v>1.8720000000000006</v>
      </c>
      <c r="Q24" s="433">
        <f>(E24+0.4)*(F24+0.4)*$Q$21</f>
        <v>6.720000000000001E-2</v>
      </c>
      <c r="R24" s="434">
        <f>P24-Q24-N24</f>
        <v>1.5957333333333339</v>
      </c>
      <c r="S24" s="435">
        <f>N24*60</f>
        <v>12.544</v>
      </c>
      <c r="T24" s="415"/>
    </row>
    <row r="25" spans="2:21">
      <c r="B25" s="432" t="s">
        <v>11243</v>
      </c>
      <c r="C25" s="433">
        <v>1</v>
      </c>
      <c r="D25" s="433">
        <v>0.8</v>
      </c>
      <c r="E25" s="433">
        <v>0.8</v>
      </c>
      <c r="F25" s="433">
        <v>0.3</v>
      </c>
      <c r="G25" s="433">
        <v>0.15</v>
      </c>
      <c r="H25" s="433">
        <f t="shared" ref="H25:H33" si="1">J25-I25</f>
        <v>0.19999999999999998</v>
      </c>
      <c r="I25" s="433">
        <v>0.15</v>
      </c>
      <c r="J25" s="433">
        <v>0.35</v>
      </c>
      <c r="K25" s="433">
        <f t="shared" ref="K25:K33" si="2">D25*E25</f>
        <v>0.64000000000000012</v>
      </c>
      <c r="L25" s="433">
        <f t="shared" ref="L25:L33" si="3">I25*K25</f>
        <v>9.6000000000000016E-2</v>
      </c>
      <c r="M25" s="433">
        <f t="shared" ref="M25:M33" si="4">H25/3*(D25+K25+((D25*K25)^1/2))</f>
        <v>0.11306666666666668</v>
      </c>
      <c r="N25" s="433">
        <f t="shared" ref="N25:N33" si="5">L25+M25</f>
        <v>0.20906666666666668</v>
      </c>
      <c r="O25" s="433">
        <f t="shared" ref="O25:O33" si="6">(2*D25+2*E25)*H25</f>
        <v>0.64</v>
      </c>
      <c r="P25" s="433">
        <f t="shared" ref="P25:P33" si="7">(D25+0.4)*(E25+0.4)*$P$21</f>
        <v>1.8720000000000006</v>
      </c>
      <c r="Q25" s="433">
        <f t="shared" ref="Q25:Q33" si="8">(E25+0.4)*(F25+0.4)*$Q$21</f>
        <v>6.720000000000001E-2</v>
      </c>
      <c r="R25" s="434">
        <f t="shared" ref="R25:R33" si="9">P25-Q25-N25</f>
        <v>1.5957333333333339</v>
      </c>
      <c r="S25" s="435">
        <f t="shared" ref="S25:S54" si="10">N25*60</f>
        <v>12.544</v>
      </c>
      <c r="T25" s="415"/>
    </row>
    <row r="26" spans="2:21">
      <c r="B26" s="432" t="s">
        <v>11244</v>
      </c>
      <c r="C26" s="433">
        <v>1</v>
      </c>
      <c r="D26" s="433">
        <v>0.8</v>
      </c>
      <c r="E26" s="433">
        <v>0.8</v>
      </c>
      <c r="F26" s="433">
        <v>0.3</v>
      </c>
      <c r="G26" s="433">
        <v>0.15</v>
      </c>
      <c r="H26" s="433">
        <f t="shared" si="1"/>
        <v>0.19999999999999998</v>
      </c>
      <c r="I26" s="433">
        <v>0.15</v>
      </c>
      <c r="J26" s="433">
        <v>0.35</v>
      </c>
      <c r="K26" s="433">
        <f t="shared" si="2"/>
        <v>0.64000000000000012</v>
      </c>
      <c r="L26" s="433">
        <f t="shared" si="3"/>
        <v>9.6000000000000016E-2</v>
      </c>
      <c r="M26" s="433">
        <f t="shared" si="4"/>
        <v>0.11306666666666668</v>
      </c>
      <c r="N26" s="433">
        <f t="shared" si="5"/>
        <v>0.20906666666666668</v>
      </c>
      <c r="O26" s="433">
        <f t="shared" si="6"/>
        <v>0.64</v>
      </c>
      <c r="P26" s="433">
        <f t="shared" si="7"/>
        <v>1.8720000000000006</v>
      </c>
      <c r="Q26" s="433">
        <f t="shared" si="8"/>
        <v>6.720000000000001E-2</v>
      </c>
      <c r="R26" s="434">
        <f t="shared" si="9"/>
        <v>1.5957333333333339</v>
      </c>
      <c r="S26" s="435">
        <f t="shared" si="10"/>
        <v>12.544</v>
      </c>
      <c r="T26" s="415"/>
    </row>
    <row r="27" spans="2:21">
      <c r="B27" s="432" t="s">
        <v>11245</v>
      </c>
      <c r="C27" s="433">
        <v>1</v>
      </c>
      <c r="D27" s="433">
        <v>0.8</v>
      </c>
      <c r="E27" s="433">
        <v>0.8</v>
      </c>
      <c r="F27" s="433">
        <v>0.3</v>
      </c>
      <c r="G27" s="433">
        <v>0.15</v>
      </c>
      <c r="H27" s="433">
        <f t="shared" si="1"/>
        <v>0.19999999999999998</v>
      </c>
      <c r="I27" s="433">
        <v>0.15</v>
      </c>
      <c r="J27" s="433">
        <v>0.35</v>
      </c>
      <c r="K27" s="433">
        <f t="shared" si="2"/>
        <v>0.64000000000000012</v>
      </c>
      <c r="L27" s="433">
        <f t="shared" si="3"/>
        <v>9.6000000000000016E-2</v>
      </c>
      <c r="M27" s="433">
        <f t="shared" si="4"/>
        <v>0.11306666666666668</v>
      </c>
      <c r="N27" s="433">
        <f t="shared" si="5"/>
        <v>0.20906666666666668</v>
      </c>
      <c r="O27" s="433">
        <f t="shared" si="6"/>
        <v>0.64</v>
      </c>
      <c r="P27" s="433">
        <f t="shared" si="7"/>
        <v>1.8720000000000006</v>
      </c>
      <c r="Q27" s="433">
        <f t="shared" si="8"/>
        <v>6.720000000000001E-2</v>
      </c>
      <c r="R27" s="434">
        <f t="shared" si="9"/>
        <v>1.5957333333333339</v>
      </c>
      <c r="S27" s="435">
        <f t="shared" si="10"/>
        <v>12.544</v>
      </c>
      <c r="T27" s="415"/>
      <c r="U27" s="760"/>
    </row>
    <row r="28" spans="2:21">
      <c r="B28" s="432" t="s">
        <v>11246</v>
      </c>
      <c r="C28" s="433">
        <v>1</v>
      </c>
      <c r="D28" s="433">
        <v>0.8</v>
      </c>
      <c r="E28" s="433">
        <v>0.8</v>
      </c>
      <c r="F28" s="433">
        <v>0.3</v>
      </c>
      <c r="G28" s="433">
        <v>0.15</v>
      </c>
      <c r="H28" s="433">
        <f t="shared" si="1"/>
        <v>0.19999999999999998</v>
      </c>
      <c r="I28" s="433">
        <v>0.15</v>
      </c>
      <c r="J28" s="433">
        <v>0.35</v>
      </c>
      <c r="K28" s="433">
        <f t="shared" si="2"/>
        <v>0.64000000000000012</v>
      </c>
      <c r="L28" s="433">
        <f t="shared" si="3"/>
        <v>9.6000000000000016E-2</v>
      </c>
      <c r="M28" s="433">
        <f t="shared" si="4"/>
        <v>0.11306666666666668</v>
      </c>
      <c r="N28" s="433">
        <f t="shared" si="5"/>
        <v>0.20906666666666668</v>
      </c>
      <c r="O28" s="433">
        <f t="shared" si="6"/>
        <v>0.64</v>
      </c>
      <c r="P28" s="433">
        <f t="shared" si="7"/>
        <v>1.8720000000000006</v>
      </c>
      <c r="Q28" s="433">
        <f t="shared" si="8"/>
        <v>6.720000000000001E-2</v>
      </c>
      <c r="R28" s="434">
        <f t="shared" si="9"/>
        <v>1.5957333333333339</v>
      </c>
      <c r="S28" s="435">
        <f t="shared" si="10"/>
        <v>12.544</v>
      </c>
      <c r="T28" s="415"/>
      <c r="U28" s="761"/>
    </row>
    <row r="29" spans="2:21">
      <c r="B29" s="432" t="s">
        <v>11247</v>
      </c>
      <c r="C29" s="433">
        <v>1</v>
      </c>
      <c r="D29" s="433">
        <v>0.8</v>
      </c>
      <c r="E29" s="433">
        <v>0.8</v>
      </c>
      <c r="F29" s="433">
        <v>0.3</v>
      </c>
      <c r="G29" s="433">
        <v>0.15</v>
      </c>
      <c r="H29" s="433">
        <f t="shared" si="1"/>
        <v>0.19999999999999998</v>
      </c>
      <c r="I29" s="433">
        <v>0.15</v>
      </c>
      <c r="J29" s="433">
        <v>0.35</v>
      </c>
      <c r="K29" s="433">
        <f t="shared" si="2"/>
        <v>0.64000000000000012</v>
      </c>
      <c r="L29" s="433">
        <f t="shared" si="3"/>
        <v>9.6000000000000016E-2</v>
      </c>
      <c r="M29" s="433">
        <f t="shared" si="4"/>
        <v>0.11306666666666668</v>
      </c>
      <c r="N29" s="433">
        <f t="shared" si="5"/>
        <v>0.20906666666666668</v>
      </c>
      <c r="O29" s="433">
        <f t="shared" si="6"/>
        <v>0.64</v>
      </c>
      <c r="P29" s="433">
        <f t="shared" si="7"/>
        <v>1.8720000000000006</v>
      </c>
      <c r="Q29" s="433">
        <f t="shared" si="8"/>
        <v>6.720000000000001E-2</v>
      </c>
      <c r="R29" s="434">
        <f t="shared" si="9"/>
        <v>1.5957333333333339</v>
      </c>
      <c r="S29" s="435">
        <f t="shared" si="10"/>
        <v>12.544</v>
      </c>
      <c r="T29" s="415"/>
      <c r="U29" s="761"/>
    </row>
    <row r="30" spans="2:21">
      <c r="B30" s="432" t="s">
        <v>11248</v>
      </c>
      <c r="C30" s="433">
        <v>1</v>
      </c>
      <c r="D30" s="433">
        <v>0.8</v>
      </c>
      <c r="E30" s="433">
        <v>0.8</v>
      </c>
      <c r="F30" s="433">
        <v>0.3</v>
      </c>
      <c r="G30" s="433">
        <v>0.15</v>
      </c>
      <c r="H30" s="433">
        <f t="shared" si="1"/>
        <v>0.19999999999999998</v>
      </c>
      <c r="I30" s="433">
        <v>0.15</v>
      </c>
      <c r="J30" s="433">
        <v>0.35</v>
      </c>
      <c r="K30" s="433">
        <f t="shared" si="2"/>
        <v>0.64000000000000012</v>
      </c>
      <c r="L30" s="433">
        <f t="shared" si="3"/>
        <v>9.6000000000000016E-2</v>
      </c>
      <c r="M30" s="433">
        <f t="shared" si="4"/>
        <v>0.11306666666666668</v>
      </c>
      <c r="N30" s="433">
        <f t="shared" si="5"/>
        <v>0.20906666666666668</v>
      </c>
      <c r="O30" s="433">
        <f t="shared" si="6"/>
        <v>0.64</v>
      </c>
      <c r="P30" s="433">
        <f t="shared" si="7"/>
        <v>1.8720000000000006</v>
      </c>
      <c r="Q30" s="433">
        <f t="shared" si="8"/>
        <v>6.720000000000001E-2</v>
      </c>
      <c r="R30" s="434">
        <f t="shared" si="9"/>
        <v>1.5957333333333339</v>
      </c>
      <c r="S30" s="435">
        <f t="shared" si="10"/>
        <v>12.544</v>
      </c>
      <c r="T30" s="415"/>
      <c r="U30" s="761"/>
    </row>
    <row r="31" spans="2:21">
      <c r="B31" s="432" t="s">
        <v>11249</v>
      </c>
      <c r="C31" s="433">
        <v>1</v>
      </c>
      <c r="D31" s="433">
        <v>0.8</v>
      </c>
      <c r="E31" s="433">
        <v>0.8</v>
      </c>
      <c r="F31" s="433">
        <v>0.3</v>
      </c>
      <c r="G31" s="433">
        <v>0.15</v>
      </c>
      <c r="H31" s="433">
        <f t="shared" si="1"/>
        <v>0.19999999999999998</v>
      </c>
      <c r="I31" s="433">
        <v>0.15</v>
      </c>
      <c r="J31" s="433">
        <v>0.35</v>
      </c>
      <c r="K31" s="433">
        <f t="shared" si="2"/>
        <v>0.64000000000000012</v>
      </c>
      <c r="L31" s="433">
        <f t="shared" si="3"/>
        <v>9.6000000000000016E-2</v>
      </c>
      <c r="M31" s="433">
        <f t="shared" si="4"/>
        <v>0.11306666666666668</v>
      </c>
      <c r="N31" s="433">
        <f t="shared" si="5"/>
        <v>0.20906666666666668</v>
      </c>
      <c r="O31" s="433">
        <f t="shared" si="6"/>
        <v>0.64</v>
      </c>
      <c r="P31" s="433">
        <f t="shared" si="7"/>
        <v>1.8720000000000006</v>
      </c>
      <c r="Q31" s="433">
        <f t="shared" si="8"/>
        <v>6.720000000000001E-2</v>
      </c>
      <c r="R31" s="434">
        <f t="shared" si="9"/>
        <v>1.5957333333333339</v>
      </c>
      <c r="S31" s="435">
        <f t="shared" si="10"/>
        <v>12.544</v>
      </c>
      <c r="T31" s="415"/>
      <c r="U31" s="761"/>
    </row>
    <row r="32" spans="2:21">
      <c r="B32" s="432" t="s">
        <v>11250</v>
      </c>
      <c r="C32" s="433">
        <v>1</v>
      </c>
      <c r="D32" s="433">
        <v>0.8</v>
      </c>
      <c r="E32" s="433">
        <v>0.8</v>
      </c>
      <c r="F32" s="433">
        <v>0.3</v>
      </c>
      <c r="G32" s="433">
        <v>0.15</v>
      </c>
      <c r="H32" s="433">
        <f t="shared" si="1"/>
        <v>0.19999999999999998</v>
      </c>
      <c r="I32" s="433">
        <v>0.15</v>
      </c>
      <c r="J32" s="433">
        <v>0.35</v>
      </c>
      <c r="K32" s="433">
        <f t="shared" si="2"/>
        <v>0.64000000000000012</v>
      </c>
      <c r="L32" s="433">
        <f t="shared" si="3"/>
        <v>9.6000000000000016E-2</v>
      </c>
      <c r="M32" s="433">
        <f t="shared" si="4"/>
        <v>0.11306666666666668</v>
      </c>
      <c r="N32" s="433">
        <f t="shared" si="5"/>
        <v>0.20906666666666668</v>
      </c>
      <c r="O32" s="433">
        <f t="shared" si="6"/>
        <v>0.64</v>
      </c>
      <c r="P32" s="433">
        <f t="shared" si="7"/>
        <v>1.8720000000000006</v>
      </c>
      <c r="Q32" s="433">
        <f t="shared" si="8"/>
        <v>6.720000000000001E-2</v>
      </c>
      <c r="R32" s="434">
        <f t="shared" si="9"/>
        <v>1.5957333333333339</v>
      </c>
      <c r="S32" s="435">
        <f t="shared" si="10"/>
        <v>12.544</v>
      </c>
      <c r="T32" s="415"/>
      <c r="U32" s="761"/>
    </row>
    <row r="33" spans="2:21">
      <c r="B33" s="432" t="s">
        <v>11251</v>
      </c>
      <c r="C33" s="433">
        <v>1</v>
      </c>
      <c r="D33" s="433">
        <v>0.8</v>
      </c>
      <c r="E33" s="433">
        <v>0.8</v>
      </c>
      <c r="F33" s="433">
        <v>0.3</v>
      </c>
      <c r="G33" s="433">
        <v>0.15</v>
      </c>
      <c r="H33" s="433">
        <f t="shared" si="1"/>
        <v>0.19999999999999998</v>
      </c>
      <c r="I33" s="433">
        <v>0.15</v>
      </c>
      <c r="J33" s="433">
        <v>0.35</v>
      </c>
      <c r="K33" s="433">
        <f t="shared" si="2"/>
        <v>0.64000000000000012</v>
      </c>
      <c r="L33" s="433">
        <f t="shared" si="3"/>
        <v>9.6000000000000016E-2</v>
      </c>
      <c r="M33" s="433">
        <f t="shared" si="4"/>
        <v>0.11306666666666668</v>
      </c>
      <c r="N33" s="433">
        <f t="shared" si="5"/>
        <v>0.20906666666666668</v>
      </c>
      <c r="O33" s="433">
        <f t="shared" si="6"/>
        <v>0.64</v>
      </c>
      <c r="P33" s="433">
        <f t="shared" si="7"/>
        <v>1.8720000000000006</v>
      </c>
      <c r="Q33" s="433">
        <f t="shared" si="8"/>
        <v>6.720000000000001E-2</v>
      </c>
      <c r="R33" s="434">
        <f t="shared" si="9"/>
        <v>1.5957333333333339</v>
      </c>
      <c r="S33" s="435">
        <f t="shared" si="10"/>
        <v>12.544</v>
      </c>
      <c r="T33" s="415"/>
      <c r="U33" s="761"/>
    </row>
    <row r="34" spans="2:21">
      <c r="B34" s="432" t="s">
        <v>11252</v>
      </c>
      <c r="C34" s="433">
        <v>1</v>
      </c>
      <c r="D34" s="433">
        <v>0.8</v>
      </c>
      <c r="E34" s="433">
        <v>0.8</v>
      </c>
      <c r="F34" s="433">
        <v>0.3</v>
      </c>
      <c r="G34" s="433">
        <v>0.15</v>
      </c>
      <c r="H34" s="433">
        <f>J34-I34</f>
        <v>0.19999999999999998</v>
      </c>
      <c r="I34" s="433">
        <v>0.15</v>
      </c>
      <c r="J34" s="433">
        <v>0.35</v>
      </c>
      <c r="K34" s="433">
        <f>D34*E34</f>
        <v>0.64000000000000012</v>
      </c>
      <c r="L34" s="433">
        <f>I34*K34</f>
        <v>9.6000000000000016E-2</v>
      </c>
      <c r="M34" s="433">
        <f>H34/3*(D34+K34+((D34*K34)^1/2))</f>
        <v>0.11306666666666668</v>
      </c>
      <c r="N34" s="433">
        <f>L34+M34</f>
        <v>0.20906666666666668</v>
      </c>
      <c r="O34" s="433">
        <f>(2*D34+2*E34)*H34</f>
        <v>0.64</v>
      </c>
      <c r="P34" s="433">
        <f>(D34+0.4)*(E34+0.4)*$P$21</f>
        <v>1.8720000000000006</v>
      </c>
      <c r="Q34" s="433">
        <f>(E34+0.4)*(F34+0.4)*$Q$21</f>
        <v>6.720000000000001E-2</v>
      </c>
      <c r="R34" s="434">
        <f>P34-Q34-N34</f>
        <v>1.5957333333333339</v>
      </c>
      <c r="S34" s="435">
        <f t="shared" si="10"/>
        <v>12.544</v>
      </c>
      <c r="T34" s="415"/>
      <c r="U34" s="761"/>
    </row>
    <row r="35" spans="2:21">
      <c r="B35" s="432" t="s">
        <v>11253</v>
      </c>
      <c r="C35" s="433">
        <v>1</v>
      </c>
      <c r="D35" s="433">
        <v>0.8</v>
      </c>
      <c r="E35" s="433">
        <v>0.8</v>
      </c>
      <c r="F35" s="433">
        <v>0.3</v>
      </c>
      <c r="G35" s="433">
        <v>0.15</v>
      </c>
      <c r="H35" s="433">
        <f t="shared" ref="H35:H47" si="11">J35-I35</f>
        <v>0.19999999999999998</v>
      </c>
      <c r="I35" s="433">
        <v>0.15</v>
      </c>
      <c r="J35" s="433">
        <v>0.35</v>
      </c>
      <c r="K35" s="433">
        <f t="shared" ref="K35:K47" si="12">D35*E35</f>
        <v>0.64000000000000012</v>
      </c>
      <c r="L35" s="433">
        <f t="shared" ref="L35:L47" si="13">I35*K35</f>
        <v>9.6000000000000016E-2</v>
      </c>
      <c r="M35" s="433">
        <f t="shared" ref="M35:M47" si="14">H35/3*(D35+K35+((D35*K35)^1/2))</f>
        <v>0.11306666666666668</v>
      </c>
      <c r="N35" s="433">
        <f t="shared" ref="N35:N47" si="15">L35+M35</f>
        <v>0.20906666666666668</v>
      </c>
      <c r="O35" s="433">
        <f t="shared" ref="O35:O47" si="16">(2*D35+2*E35)*H35</f>
        <v>0.64</v>
      </c>
      <c r="P35" s="433">
        <f t="shared" ref="P35:P47" si="17">(D35+0.4)*(E35+0.4)*$P$21</f>
        <v>1.8720000000000006</v>
      </c>
      <c r="Q35" s="433">
        <f t="shared" ref="Q35:Q47" si="18">(E35+0.4)*(F35+0.4)*$Q$21</f>
        <v>6.720000000000001E-2</v>
      </c>
      <c r="R35" s="434">
        <f t="shared" ref="R35:R47" si="19">P35-Q35-N35</f>
        <v>1.5957333333333339</v>
      </c>
      <c r="S35" s="435">
        <f t="shared" si="10"/>
        <v>12.544</v>
      </c>
      <c r="T35" s="415"/>
      <c r="U35" s="761"/>
    </row>
    <row r="36" spans="2:21">
      <c r="B36" s="432" t="s">
        <v>11254</v>
      </c>
      <c r="C36" s="433">
        <v>1</v>
      </c>
      <c r="D36" s="433">
        <v>0.8</v>
      </c>
      <c r="E36" s="433">
        <v>0.8</v>
      </c>
      <c r="F36" s="433">
        <v>0.3</v>
      </c>
      <c r="G36" s="433">
        <v>0.15</v>
      </c>
      <c r="H36" s="433">
        <f t="shared" si="11"/>
        <v>0.19999999999999998</v>
      </c>
      <c r="I36" s="433">
        <v>0.15</v>
      </c>
      <c r="J36" s="433">
        <v>0.35</v>
      </c>
      <c r="K36" s="433">
        <f t="shared" si="12"/>
        <v>0.64000000000000012</v>
      </c>
      <c r="L36" s="433">
        <f t="shared" si="13"/>
        <v>9.6000000000000016E-2</v>
      </c>
      <c r="M36" s="433">
        <f t="shared" si="14"/>
        <v>0.11306666666666668</v>
      </c>
      <c r="N36" s="433">
        <f t="shared" si="15"/>
        <v>0.20906666666666668</v>
      </c>
      <c r="O36" s="433">
        <f t="shared" si="16"/>
        <v>0.64</v>
      </c>
      <c r="P36" s="433">
        <f t="shared" si="17"/>
        <v>1.8720000000000006</v>
      </c>
      <c r="Q36" s="433">
        <f t="shared" si="18"/>
        <v>6.720000000000001E-2</v>
      </c>
      <c r="R36" s="434">
        <f t="shared" si="19"/>
        <v>1.5957333333333339</v>
      </c>
      <c r="S36" s="435">
        <f t="shared" si="10"/>
        <v>12.544</v>
      </c>
      <c r="T36" s="415"/>
      <c r="U36" s="761"/>
    </row>
    <row r="37" spans="2:21">
      <c r="B37" s="432" t="s">
        <v>11255</v>
      </c>
      <c r="C37" s="433">
        <v>1</v>
      </c>
      <c r="D37" s="433">
        <v>0.8</v>
      </c>
      <c r="E37" s="433">
        <v>0.8</v>
      </c>
      <c r="F37" s="433">
        <v>0.3</v>
      </c>
      <c r="G37" s="433">
        <v>0.15</v>
      </c>
      <c r="H37" s="433">
        <f t="shared" si="11"/>
        <v>0.19999999999999998</v>
      </c>
      <c r="I37" s="433">
        <v>0.15</v>
      </c>
      <c r="J37" s="433">
        <v>0.35</v>
      </c>
      <c r="K37" s="433">
        <f t="shared" si="12"/>
        <v>0.64000000000000012</v>
      </c>
      <c r="L37" s="433">
        <f t="shared" si="13"/>
        <v>9.6000000000000016E-2</v>
      </c>
      <c r="M37" s="433">
        <f t="shared" si="14"/>
        <v>0.11306666666666668</v>
      </c>
      <c r="N37" s="433">
        <f t="shared" si="15"/>
        <v>0.20906666666666668</v>
      </c>
      <c r="O37" s="433">
        <f t="shared" si="16"/>
        <v>0.64</v>
      </c>
      <c r="P37" s="433">
        <f t="shared" si="17"/>
        <v>1.8720000000000006</v>
      </c>
      <c r="Q37" s="433">
        <f t="shared" si="18"/>
        <v>6.720000000000001E-2</v>
      </c>
      <c r="R37" s="434">
        <f t="shared" si="19"/>
        <v>1.5957333333333339</v>
      </c>
      <c r="S37" s="435">
        <f t="shared" si="10"/>
        <v>12.544</v>
      </c>
      <c r="T37" s="415"/>
      <c r="U37" s="761"/>
    </row>
    <row r="38" spans="2:21">
      <c r="B38" s="432" t="s">
        <v>11256</v>
      </c>
      <c r="C38" s="433">
        <v>1</v>
      </c>
      <c r="D38" s="433">
        <v>0.8</v>
      </c>
      <c r="E38" s="433">
        <v>0.8</v>
      </c>
      <c r="F38" s="433">
        <v>0.3</v>
      </c>
      <c r="G38" s="433">
        <v>0.15</v>
      </c>
      <c r="H38" s="433">
        <f t="shared" si="11"/>
        <v>0.19999999999999998</v>
      </c>
      <c r="I38" s="433">
        <v>0.15</v>
      </c>
      <c r="J38" s="433">
        <v>0.35</v>
      </c>
      <c r="K38" s="433">
        <f t="shared" si="12"/>
        <v>0.64000000000000012</v>
      </c>
      <c r="L38" s="433">
        <f t="shared" si="13"/>
        <v>9.6000000000000016E-2</v>
      </c>
      <c r="M38" s="433">
        <f t="shared" si="14"/>
        <v>0.11306666666666668</v>
      </c>
      <c r="N38" s="433">
        <f t="shared" si="15"/>
        <v>0.20906666666666668</v>
      </c>
      <c r="O38" s="433">
        <f t="shared" si="16"/>
        <v>0.64</v>
      </c>
      <c r="P38" s="433">
        <f t="shared" si="17"/>
        <v>1.8720000000000006</v>
      </c>
      <c r="Q38" s="433">
        <f t="shared" si="18"/>
        <v>6.720000000000001E-2</v>
      </c>
      <c r="R38" s="434">
        <f t="shared" si="19"/>
        <v>1.5957333333333339</v>
      </c>
      <c r="S38" s="435">
        <f t="shared" si="10"/>
        <v>12.544</v>
      </c>
      <c r="T38" s="415"/>
      <c r="U38" s="761"/>
    </row>
    <row r="39" spans="2:21">
      <c r="B39" s="432" t="s">
        <v>11257</v>
      </c>
      <c r="C39" s="433">
        <v>1</v>
      </c>
      <c r="D39" s="433">
        <v>0.8</v>
      </c>
      <c r="E39" s="433">
        <v>0.8</v>
      </c>
      <c r="F39" s="433">
        <v>0.3</v>
      </c>
      <c r="G39" s="433">
        <v>0.15</v>
      </c>
      <c r="H39" s="433">
        <f t="shared" si="11"/>
        <v>0.19999999999999998</v>
      </c>
      <c r="I39" s="433">
        <v>0.15</v>
      </c>
      <c r="J39" s="433">
        <v>0.35</v>
      </c>
      <c r="K39" s="433">
        <f t="shared" si="12"/>
        <v>0.64000000000000012</v>
      </c>
      <c r="L39" s="433">
        <f t="shared" si="13"/>
        <v>9.6000000000000016E-2</v>
      </c>
      <c r="M39" s="433">
        <f t="shared" si="14"/>
        <v>0.11306666666666668</v>
      </c>
      <c r="N39" s="433">
        <f t="shared" si="15"/>
        <v>0.20906666666666668</v>
      </c>
      <c r="O39" s="433">
        <f t="shared" si="16"/>
        <v>0.64</v>
      </c>
      <c r="P39" s="433">
        <f t="shared" si="17"/>
        <v>1.8720000000000006</v>
      </c>
      <c r="Q39" s="433">
        <f t="shared" si="18"/>
        <v>6.720000000000001E-2</v>
      </c>
      <c r="R39" s="434">
        <f t="shared" si="19"/>
        <v>1.5957333333333339</v>
      </c>
      <c r="S39" s="435">
        <f t="shared" si="10"/>
        <v>12.544</v>
      </c>
      <c r="T39" s="415"/>
      <c r="U39" s="761"/>
    </row>
    <row r="40" spans="2:21">
      <c r="B40" s="432" t="s">
        <v>11258</v>
      </c>
      <c r="C40" s="433">
        <v>1</v>
      </c>
      <c r="D40" s="433">
        <v>0.8</v>
      </c>
      <c r="E40" s="433">
        <v>0.8</v>
      </c>
      <c r="F40" s="433">
        <v>0.3</v>
      </c>
      <c r="G40" s="433">
        <v>0.15</v>
      </c>
      <c r="H40" s="433">
        <f t="shared" si="11"/>
        <v>0.19999999999999998</v>
      </c>
      <c r="I40" s="433">
        <v>0.15</v>
      </c>
      <c r="J40" s="433">
        <v>0.35</v>
      </c>
      <c r="K40" s="433">
        <f t="shared" si="12"/>
        <v>0.64000000000000012</v>
      </c>
      <c r="L40" s="433">
        <f t="shared" si="13"/>
        <v>9.6000000000000016E-2</v>
      </c>
      <c r="M40" s="433">
        <f t="shared" si="14"/>
        <v>0.11306666666666668</v>
      </c>
      <c r="N40" s="433">
        <f t="shared" si="15"/>
        <v>0.20906666666666668</v>
      </c>
      <c r="O40" s="433">
        <f t="shared" si="16"/>
        <v>0.64</v>
      </c>
      <c r="P40" s="433">
        <f t="shared" si="17"/>
        <v>1.8720000000000006</v>
      </c>
      <c r="Q40" s="433">
        <f t="shared" si="18"/>
        <v>6.720000000000001E-2</v>
      </c>
      <c r="R40" s="434">
        <f t="shared" si="19"/>
        <v>1.5957333333333339</v>
      </c>
      <c r="S40" s="435">
        <f t="shared" si="10"/>
        <v>12.544</v>
      </c>
      <c r="T40" s="415"/>
      <c r="U40" s="761"/>
    </row>
    <row r="41" spans="2:21">
      <c r="B41" s="432" t="s">
        <v>11259</v>
      </c>
      <c r="C41" s="433">
        <v>1</v>
      </c>
      <c r="D41" s="433">
        <v>0.8</v>
      </c>
      <c r="E41" s="433">
        <v>0.8</v>
      </c>
      <c r="F41" s="433">
        <v>0.3</v>
      </c>
      <c r="G41" s="433">
        <v>0.15</v>
      </c>
      <c r="H41" s="433">
        <f t="shared" si="11"/>
        <v>0.19999999999999998</v>
      </c>
      <c r="I41" s="433">
        <v>0.15</v>
      </c>
      <c r="J41" s="433">
        <v>0.35</v>
      </c>
      <c r="K41" s="433">
        <f t="shared" si="12"/>
        <v>0.64000000000000012</v>
      </c>
      <c r="L41" s="433">
        <f t="shared" si="13"/>
        <v>9.6000000000000016E-2</v>
      </c>
      <c r="M41" s="433">
        <f t="shared" si="14"/>
        <v>0.11306666666666668</v>
      </c>
      <c r="N41" s="433">
        <f t="shared" si="15"/>
        <v>0.20906666666666668</v>
      </c>
      <c r="O41" s="433">
        <f t="shared" si="16"/>
        <v>0.64</v>
      </c>
      <c r="P41" s="433">
        <f t="shared" si="17"/>
        <v>1.8720000000000006</v>
      </c>
      <c r="Q41" s="433">
        <f t="shared" si="18"/>
        <v>6.720000000000001E-2</v>
      </c>
      <c r="R41" s="434">
        <f t="shared" si="19"/>
        <v>1.5957333333333339</v>
      </c>
      <c r="S41" s="435">
        <f t="shared" si="10"/>
        <v>12.544</v>
      </c>
      <c r="T41" s="415"/>
      <c r="U41" s="761"/>
    </row>
    <row r="42" spans="2:21">
      <c r="B42" s="432" t="s">
        <v>11260</v>
      </c>
      <c r="C42" s="433">
        <v>1</v>
      </c>
      <c r="D42" s="433">
        <v>0.8</v>
      </c>
      <c r="E42" s="433">
        <v>0.8</v>
      </c>
      <c r="F42" s="433">
        <v>0.3</v>
      </c>
      <c r="G42" s="433">
        <v>0.15</v>
      </c>
      <c r="H42" s="433">
        <f t="shared" si="11"/>
        <v>0.19999999999999998</v>
      </c>
      <c r="I42" s="433">
        <v>0.15</v>
      </c>
      <c r="J42" s="433">
        <v>0.35</v>
      </c>
      <c r="K42" s="433">
        <f t="shared" si="12"/>
        <v>0.64000000000000012</v>
      </c>
      <c r="L42" s="433">
        <f t="shared" si="13"/>
        <v>9.6000000000000016E-2</v>
      </c>
      <c r="M42" s="433">
        <f t="shared" si="14"/>
        <v>0.11306666666666668</v>
      </c>
      <c r="N42" s="433">
        <f t="shared" si="15"/>
        <v>0.20906666666666668</v>
      </c>
      <c r="O42" s="433">
        <f t="shared" si="16"/>
        <v>0.64</v>
      </c>
      <c r="P42" s="433">
        <f t="shared" si="17"/>
        <v>1.8720000000000006</v>
      </c>
      <c r="Q42" s="433">
        <f t="shared" si="18"/>
        <v>6.720000000000001E-2</v>
      </c>
      <c r="R42" s="434">
        <f t="shared" si="19"/>
        <v>1.5957333333333339</v>
      </c>
      <c r="S42" s="435">
        <f t="shared" si="10"/>
        <v>12.544</v>
      </c>
      <c r="T42" s="415"/>
      <c r="U42" s="761"/>
    </row>
    <row r="43" spans="2:21">
      <c r="B43" s="432" t="s">
        <v>11261</v>
      </c>
      <c r="C43" s="433">
        <v>1</v>
      </c>
      <c r="D43" s="433">
        <v>0.8</v>
      </c>
      <c r="E43" s="433">
        <v>0.8</v>
      </c>
      <c r="F43" s="433">
        <v>0.3</v>
      </c>
      <c r="G43" s="433">
        <v>0.15</v>
      </c>
      <c r="H43" s="433">
        <f t="shared" si="11"/>
        <v>0.19999999999999998</v>
      </c>
      <c r="I43" s="433">
        <v>0.15</v>
      </c>
      <c r="J43" s="433">
        <v>0.35</v>
      </c>
      <c r="K43" s="433">
        <f t="shared" si="12"/>
        <v>0.64000000000000012</v>
      </c>
      <c r="L43" s="433">
        <f t="shared" si="13"/>
        <v>9.6000000000000016E-2</v>
      </c>
      <c r="M43" s="433">
        <f t="shared" si="14"/>
        <v>0.11306666666666668</v>
      </c>
      <c r="N43" s="433">
        <f t="shared" si="15"/>
        <v>0.20906666666666668</v>
      </c>
      <c r="O43" s="433">
        <f t="shared" si="16"/>
        <v>0.64</v>
      </c>
      <c r="P43" s="433">
        <f t="shared" si="17"/>
        <v>1.8720000000000006</v>
      </c>
      <c r="Q43" s="433">
        <f t="shared" si="18"/>
        <v>6.720000000000001E-2</v>
      </c>
      <c r="R43" s="434">
        <f t="shared" si="19"/>
        <v>1.5957333333333339</v>
      </c>
      <c r="S43" s="435">
        <f t="shared" si="10"/>
        <v>12.544</v>
      </c>
      <c r="T43" s="415"/>
      <c r="U43" s="761"/>
    </row>
    <row r="44" spans="2:21">
      <c r="B44" s="432" t="s">
        <v>11262</v>
      </c>
      <c r="C44" s="433">
        <v>1</v>
      </c>
      <c r="D44" s="433">
        <v>0.8</v>
      </c>
      <c r="E44" s="433">
        <v>0.8</v>
      </c>
      <c r="F44" s="433">
        <v>0.3</v>
      </c>
      <c r="G44" s="433">
        <v>0.15</v>
      </c>
      <c r="H44" s="433">
        <f t="shared" si="11"/>
        <v>0.19999999999999998</v>
      </c>
      <c r="I44" s="433">
        <v>0.15</v>
      </c>
      <c r="J44" s="433">
        <v>0.35</v>
      </c>
      <c r="K44" s="433">
        <f t="shared" si="12"/>
        <v>0.64000000000000012</v>
      </c>
      <c r="L44" s="433">
        <f t="shared" si="13"/>
        <v>9.6000000000000016E-2</v>
      </c>
      <c r="M44" s="433">
        <f t="shared" si="14"/>
        <v>0.11306666666666668</v>
      </c>
      <c r="N44" s="433">
        <f t="shared" si="15"/>
        <v>0.20906666666666668</v>
      </c>
      <c r="O44" s="433">
        <f t="shared" si="16"/>
        <v>0.64</v>
      </c>
      <c r="P44" s="433">
        <f t="shared" si="17"/>
        <v>1.8720000000000006</v>
      </c>
      <c r="Q44" s="433">
        <f t="shared" si="18"/>
        <v>6.720000000000001E-2</v>
      </c>
      <c r="R44" s="434">
        <f t="shared" si="19"/>
        <v>1.5957333333333339</v>
      </c>
      <c r="S44" s="435">
        <f t="shared" si="10"/>
        <v>12.544</v>
      </c>
      <c r="T44" s="415"/>
      <c r="U44" s="761"/>
    </row>
    <row r="45" spans="2:21">
      <c r="B45" s="432" t="s">
        <v>11263</v>
      </c>
      <c r="C45" s="433">
        <v>1</v>
      </c>
      <c r="D45" s="433">
        <v>0.8</v>
      </c>
      <c r="E45" s="433">
        <v>0.8</v>
      </c>
      <c r="F45" s="433">
        <v>0.3</v>
      </c>
      <c r="G45" s="433">
        <v>0.15</v>
      </c>
      <c r="H45" s="433">
        <f t="shared" si="11"/>
        <v>0.19999999999999998</v>
      </c>
      <c r="I45" s="433">
        <v>0.15</v>
      </c>
      <c r="J45" s="433">
        <v>0.35</v>
      </c>
      <c r="K45" s="433">
        <f t="shared" si="12"/>
        <v>0.64000000000000012</v>
      </c>
      <c r="L45" s="433">
        <f t="shared" si="13"/>
        <v>9.6000000000000016E-2</v>
      </c>
      <c r="M45" s="433">
        <f t="shared" si="14"/>
        <v>0.11306666666666668</v>
      </c>
      <c r="N45" s="433">
        <f t="shared" si="15"/>
        <v>0.20906666666666668</v>
      </c>
      <c r="O45" s="433">
        <f t="shared" si="16"/>
        <v>0.64</v>
      </c>
      <c r="P45" s="433">
        <f t="shared" si="17"/>
        <v>1.8720000000000006</v>
      </c>
      <c r="Q45" s="433">
        <f t="shared" si="18"/>
        <v>6.720000000000001E-2</v>
      </c>
      <c r="R45" s="434">
        <f t="shared" si="19"/>
        <v>1.5957333333333339</v>
      </c>
      <c r="S45" s="435">
        <f t="shared" si="10"/>
        <v>12.544</v>
      </c>
      <c r="T45" s="415"/>
      <c r="U45" s="761"/>
    </row>
    <row r="46" spans="2:21">
      <c r="B46" s="432" t="s">
        <v>11264</v>
      </c>
      <c r="C46" s="433">
        <v>1</v>
      </c>
      <c r="D46" s="433">
        <v>0.8</v>
      </c>
      <c r="E46" s="433">
        <v>0.8</v>
      </c>
      <c r="F46" s="433">
        <v>0.3</v>
      </c>
      <c r="G46" s="433">
        <v>0.15</v>
      </c>
      <c r="H46" s="433">
        <f t="shared" si="11"/>
        <v>0.19999999999999998</v>
      </c>
      <c r="I46" s="433">
        <v>0.15</v>
      </c>
      <c r="J46" s="433">
        <v>0.35</v>
      </c>
      <c r="K46" s="433">
        <f t="shared" si="12"/>
        <v>0.64000000000000012</v>
      </c>
      <c r="L46" s="433">
        <f t="shared" si="13"/>
        <v>9.6000000000000016E-2</v>
      </c>
      <c r="M46" s="433">
        <f t="shared" si="14"/>
        <v>0.11306666666666668</v>
      </c>
      <c r="N46" s="433">
        <f t="shared" si="15"/>
        <v>0.20906666666666668</v>
      </c>
      <c r="O46" s="433">
        <f t="shared" si="16"/>
        <v>0.64</v>
      </c>
      <c r="P46" s="433">
        <f t="shared" si="17"/>
        <v>1.8720000000000006</v>
      </c>
      <c r="Q46" s="433">
        <f t="shared" si="18"/>
        <v>6.720000000000001E-2</v>
      </c>
      <c r="R46" s="434">
        <f t="shared" si="19"/>
        <v>1.5957333333333339</v>
      </c>
      <c r="S46" s="435">
        <f t="shared" si="10"/>
        <v>12.544</v>
      </c>
      <c r="T46" s="415"/>
      <c r="U46" s="761"/>
    </row>
    <row r="47" spans="2:21">
      <c r="B47" s="432" t="s">
        <v>11265</v>
      </c>
      <c r="C47" s="433">
        <v>1</v>
      </c>
      <c r="D47" s="433">
        <v>0.8</v>
      </c>
      <c r="E47" s="433">
        <v>0.8</v>
      </c>
      <c r="F47" s="433">
        <v>0.3</v>
      </c>
      <c r="G47" s="433">
        <v>0.15</v>
      </c>
      <c r="H47" s="433">
        <f t="shared" si="11"/>
        <v>0.19999999999999998</v>
      </c>
      <c r="I47" s="433">
        <v>0.15</v>
      </c>
      <c r="J47" s="433">
        <v>0.35</v>
      </c>
      <c r="K47" s="433">
        <f t="shared" si="12"/>
        <v>0.64000000000000012</v>
      </c>
      <c r="L47" s="433">
        <f t="shared" si="13"/>
        <v>9.6000000000000016E-2</v>
      </c>
      <c r="M47" s="433">
        <f t="shared" si="14"/>
        <v>0.11306666666666668</v>
      </c>
      <c r="N47" s="433">
        <f t="shared" si="15"/>
        <v>0.20906666666666668</v>
      </c>
      <c r="O47" s="433">
        <f t="shared" si="16"/>
        <v>0.64</v>
      </c>
      <c r="P47" s="433">
        <f t="shared" si="17"/>
        <v>1.8720000000000006</v>
      </c>
      <c r="Q47" s="433">
        <f t="shared" si="18"/>
        <v>6.720000000000001E-2</v>
      </c>
      <c r="R47" s="434">
        <f t="shared" si="19"/>
        <v>1.5957333333333339</v>
      </c>
      <c r="S47" s="435">
        <f t="shared" si="10"/>
        <v>12.544</v>
      </c>
      <c r="T47" s="415"/>
      <c r="U47" s="761"/>
    </row>
    <row r="48" spans="2:21">
      <c r="B48" s="432" t="s">
        <v>11379</v>
      </c>
      <c r="C48" s="433">
        <v>1</v>
      </c>
      <c r="D48" s="433">
        <v>0.8</v>
      </c>
      <c r="E48" s="433">
        <v>0.8</v>
      </c>
      <c r="F48" s="433">
        <v>0.3</v>
      </c>
      <c r="G48" s="433">
        <v>0.15</v>
      </c>
      <c r="H48" s="433">
        <f>J48-I48</f>
        <v>0.19999999999999998</v>
      </c>
      <c r="I48" s="433">
        <v>0.15</v>
      </c>
      <c r="J48" s="433">
        <v>0.35</v>
      </c>
      <c r="K48" s="433">
        <f>D48*E48</f>
        <v>0.64000000000000012</v>
      </c>
      <c r="L48" s="433">
        <f>I48*K48</f>
        <v>9.6000000000000016E-2</v>
      </c>
      <c r="M48" s="433">
        <f>H48/3*(D48+K48+((D48*K48)^1/2))</f>
        <v>0.11306666666666668</v>
      </c>
      <c r="N48" s="433">
        <f>L48+M48</f>
        <v>0.20906666666666668</v>
      </c>
      <c r="O48" s="433">
        <f>(2*D48+2*E48)*H48</f>
        <v>0.64</v>
      </c>
      <c r="P48" s="433">
        <f>(D48+0.4)*(E48+0.4)*$P$21</f>
        <v>1.8720000000000006</v>
      </c>
      <c r="Q48" s="433">
        <f>(E48+0.4)*(F48+0.4)*$Q$21</f>
        <v>6.720000000000001E-2</v>
      </c>
      <c r="R48" s="434">
        <f>P48-Q48-N48</f>
        <v>1.5957333333333339</v>
      </c>
      <c r="S48" s="435">
        <f t="shared" si="10"/>
        <v>12.544</v>
      </c>
      <c r="T48" s="415"/>
    </row>
    <row r="49" spans="2:21">
      <c r="B49" s="432" t="s">
        <v>11380</v>
      </c>
      <c r="C49" s="433">
        <v>1</v>
      </c>
      <c r="D49" s="433">
        <v>0.8</v>
      </c>
      <c r="E49" s="433">
        <v>0.8</v>
      </c>
      <c r="F49" s="433">
        <v>0.3</v>
      </c>
      <c r="G49" s="433">
        <v>0.15</v>
      </c>
      <c r="H49" s="433">
        <f t="shared" ref="H49:H54" si="20">J49-I49</f>
        <v>0.19999999999999998</v>
      </c>
      <c r="I49" s="433">
        <v>0.15</v>
      </c>
      <c r="J49" s="433">
        <v>0.35</v>
      </c>
      <c r="K49" s="433">
        <f t="shared" ref="K49:K54" si="21">D49*E49</f>
        <v>0.64000000000000012</v>
      </c>
      <c r="L49" s="433">
        <f t="shared" ref="L49:L54" si="22">I49*K49</f>
        <v>9.6000000000000016E-2</v>
      </c>
      <c r="M49" s="433">
        <f t="shared" ref="M49:M54" si="23">H49/3*(D49+K49+((D49*K49)^1/2))</f>
        <v>0.11306666666666668</v>
      </c>
      <c r="N49" s="433">
        <f t="shared" ref="N49:N54" si="24">L49+M49</f>
        <v>0.20906666666666668</v>
      </c>
      <c r="O49" s="433">
        <f t="shared" ref="O49:O54" si="25">(2*D49+2*E49)*H49</f>
        <v>0.64</v>
      </c>
      <c r="P49" s="433">
        <f t="shared" ref="P49:P54" si="26">(D49+0.4)*(E49+0.4)*$P$21</f>
        <v>1.8720000000000006</v>
      </c>
      <c r="Q49" s="433">
        <f t="shared" ref="Q49:Q54" si="27">(E49+0.4)*(F49+0.4)*$Q$21</f>
        <v>6.720000000000001E-2</v>
      </c>
      <c r="R49" s="434">
        <f t="shared" ref="R49:R54" si="28">P49-Q49-N49</f>
        <v>1.5957333333333339</v>
      </c>
      <c r="S49" s="435">
        <f t="shared" si="10"/>
        <v>12.544</v>
      </c>
      <c r="T49" s="415"/>
    </row>
    <row r="50" spans="2:21">
      <c r="B50" s="432" t="s">
        <v>11381</v>
      </c>
      <c r="C50" s="433">
        <v>1</v>
      </c>
      <c r="D50" s="433">
        <v>0.8</v>
      </c>
      <c r="E50" s="433">
        <v>0.8</v>
      </c>
      <c r="F50" s="433">
        <v>0.3</v>
      </c>
      <c r="G50" s="433">
        <v>0.15</v>
      </c>
      <c r="H50" s="433">
        <f t="shared" si="20"/>
        <v>0.19999999999999998</v>
      </c>
      <c r="I50" s="433">
        <v>0.15</v>
      </c>
      <c r="J50" s="433">
        <v>0.35</v>
      </c>
      <c r="K50" s="433">
        <f t="shared" si="21"/>
        <v>0.64000000000000012</v>
      </c>
      <c r="L50" s="433">
        <f t="shared" si="22"/>
        <v>9.6000000000000016E-2</v>
      </c>
      <c r="M50" s="433">
        <f t="shared" si="23"/>
        <v>0.11306666666666668</v>
      </c>
      <c r="N50" s="433">
        <f t="shared" si="24"/>
        <v>0.20906666666666668</v>
      </c>
      <c r="O50" s="433">
        <f t="shared" si="25"/>
        <v>0.64</v>
      </c>
      <c r="P50" s="433">
        <f t="shared" si="26"/>
        <v>1.8720000000000006</v>
      </c>
      <c r="Q50" s="433">
        <f t="shared" si="27"/>
        <v>6.720000000000001E-2</v>
      </c>
      <c r="R50" s="434">
        <f t="shared" si="28"/>
        <v>1.5957333333333339</v>
      </c>
      <c r="S50" s="435">
        <f t="shared" si="10"/>
        <v>12.544</v>
      </c>
      <c r="T50" s="415"/>
    </row>
    <row r="51" spans="2:21">
      <c r="B51" s="432" t="s">
        <v>11382</v>
      </c>
      <c r="C51" s="433">
        <v>1</v>
      </c>
      <c r="D51" s="433">
        <v>0.8</v>
      </c>
      <c r="E51" s="433">
        <v>0.8</v>
      </c>
      <c r="F51" s="433">
        <v>0.3</v>
      </c>
      <c r="G51" s="433">
        <v>0.15</v>
      </c>
      <c r="H51" s="433">
        <f t="shared" si="20"/>
        <v>0.19999999999999998</v>
      </c>
      <c r="I51" s="433">
        <v>0.15</v>
      </c>
      <c r="J51" s="433">
        <v>0.35</v>
      </c>
      <c r="K51" s="433">
        <f t="shared" si="21"/>
        <v>0.64000000000000012</v>
      </c>
      <c r="L51" s="433">
        <f t="shared" si="22"/>
        <v>9.6000000000000016E-2</v>
      </c>
      <c r="M51" s="433">
        <f t="shared" si="23"/>
        <v>0.11306666666666668</v>
      </c>
      <c r="N51" s="433">
        <f t="shared" si="24"/>
        <v>0.20906666666666668</v>
      </c>
      <c r="O51" s="433">
        <f t="shared" si="25"/>
        <v>0.64</v>
      </c>
      <c r="P51" s="433">
        <f t="shared" si="26"/>
        <v>1.8720000000000006</v>
      </c>
      <c r="Q51" s="433">
        <f t="shared" si="27"/>
        <v>6.720000000000001E-2</v>
      </c>
      <c r="R51" s="434">
        <f t="shared" si="28"/>
        <v>1.5957333333333339</v>
      </c>
      <c r="S51" s="435">
        <f t="shared" si="10"/>
        <v>12.544</v>
      </c>
      <c r="T51" s="415"/>
      <c r="U51" s="760"/>
    </row>
    <row r="52" spans="2:21">
      <c r="B52" s="432" t="s">
        <v>11383</v>
      </c>
      <c r="C52" s="433">
        <v>1</v>
      </c>
      <c r="D52" s="433">
        <v>0.8</v>
      </c>
      <c r="E52" s="433">
        <v>0.8</v>
      </c>
      <c r="F52" s="433">
        <v>0.3</v>
      </c>
      <c r="G52" s="433">
        <v>0.15</v>
      </c>
      <c r="H52" s="433">
        <f t="shared" si="20"/>
        <v>0.19999999999999998</v>
      </c>
      <c r="I52" s="433">
        <v>0.15</v>
      </c>
      <c r="J52" s="433">
        <v>0.35</v>
      </c>
      <c r="K52" s="433">
        <f t="shared" si="21"/>
        <v>0.64000000000000012</v>
      </c>
      <c r="L52" s="433">
        <f t="shared" si="22"/>
        <v>9.6000000000000016E-2</v>
      </c>
      <c r="M52" s="433">
        <f t="shared" si="23"/>
        <v>0.11306666666666668</v>
      </c>
      <c r="N52" s="433">
        <f t="shared" si="24"/>
        <v>0.20906666666666668</v>
      </c>
      <c r="O52" s="433">
        <f t="shared" si="25"/>
        <v>0.64</v>
      </c>
      <c r="P52" s="433">
        <f t="shared" si="26"/>
        <v>1.8720000000000006</v>
      </c>
      <c r="Q52" s="433">
        <f t="shared" si="27"/>
        <v>6.720000000000001E-2</v>
      </c>
      <c r="R52" s="434">
        <f t="shared" si="28"/>
        <v>1.5957333333333339</v>
      </c>
      <c r="S52" s="435">
        <f t="shared" si="10"/>
        <v>12.544</v>
      </c>
      <c r="T52" s="415"/>
      <c r="U52" s="761"/>
    </row>
    <row r="53" spans="2:21">
      <c r="B53" s="432" t="s">
        <v>11384</v>
      </c>
      <c r="C53" s="433">
        <v>1</v>
      </c>
      <c r="D53" s="433">
        <v>0.8</v>
      </c>
      <c r="E53" s="433">
        <v>0.8</v>
      </c>
      <c r="F53" s="433">
        <v>0.3</v>
      </c>
      <c r="G53" s="433">
        <v>0.15</v>
      </c>
      <c r="H53" s="433">
        <f t="shared" si="20"/>
        <v>0.19999999999999998</v>
      </c>
      <c r="I53" s="433">
        <v>0.15</v>
      </c>
      <c r="J53" s="433">
        <v>0.35</v>
      </c>
      <c r="K53" s="433">
        <f t="shared" si="21"/>
        <v>0.64000000000000012</v>
      </c>
      <c r="L53" s="433">
        <f t="shared" si="22"/>
        <v>9.6000000000000016E-2</v>
      </c>
      <c r="M53" s="433">
        <f t="shared" si="23"/>
        <v>0.11306666666666668</v>
      </c>
      <c r="N53" s="433">
        <f t="shared" si="24"/>
        <v>0.20906666666666668</v>
      </c>
      <c r="O53" s="433">
        <f t="shared" si="25"/>
        <v>0.64</v>
      </c>
      <c r="P53" s="433">
        <f t="shared" si="26"/>
        <v>1.8720000000000006</v>
      </c>
      <c r="Q53" s="433">
        <f t="shared" si="27"/>
        <v>6.720000000000001E-2</v>
      </c>
      <c r="R53" s="434">
        <f t="shared" si="28"/>
        <v>1.5957333333333339</v>
      </c>
      <c r="S53" s="435">
        <f t="shared" si="10"/>
        <v>12.544</v>
      </c>
      <c r="T53" s="415"/>
      <c r="U53" s="761"/>
    </row>
    <row r="54" spans="2:21" ht="13.8" thickBot="1">
      <c r="B54" s="432" t="s">
        <v>11385</v>
      </c>
      <c r="C54" s="433">
        <v>1</v>
      </c>
      <c r="D54" s="433">
        <v>0.8</v>
      </c>
      <c r="E54" s="433">
        <v>0.8</v>
      </c>
      <c r="F54" s="433">
        <v>0.3</v>
      </c>
      <c r="G54" s="433">
        <v>0.15</v>
      </c>
      <c r="H54" s="433">
        <f t="shared" si="20"/>
        <v>0.19999999999999998</v>
      </c>
      <c r="I54" s="433">
        <v>0.15</v>
      </c>
      <c r="J54" s="433">
        <v>0.35</v>
      </c>
      <c r="K54" s="433">
        <f t="shared" si="21"/>
        <v>0.64000000000000012</v>
      </c>
      <c r="L54" s="433">
        <f t="shared" si="22"/>
        <v>9.6000000000000016E-2</v>
      </c>
      <c r="M54" s="433">
        <f t="shared" si="23"/>
        <v>0.11306666666666668</v>
      </c>
      <c r="N54" s="433">
        <f t="shared" si="24"/>
        <v>0.20906666666666668</v>
      </c>
      <c r="O54" s="433">
        <f t="shared" si="25"/>
        <v>0.64</v>
      </c>
      <c r="P54" s="433">
        <f t="shared" si="26"/>
        <v>1.8720000000000006</v>
      </c>
      <c r="Q54" s="433">
        <f t="shared" si="27"/>
        <v>6.720000000000001E-2</v>
      </c>
      <c r="R54" s="434">
        <f t="shared" si="28"/>
        <v>1.5957333333333339</v>
      </c>
      <c r="S54" s="435">
        <f t="shared" si="10"/>
        <v>12.544</v>
      </c>
      <c r="T54" s="415"/>
      <c r="U54" s="761"/>
    </row>
    <row r="55" spans="2:21" ht="13.8" thickBot="1">
      <c r="B55" s="772" t="s">
        <v>11221</v>
      </c>
      <c r="C55" s="772" t="s">
        <v>11222</v>
      </c>
      <c r="D55" s="420" t="s">
        <v>11223</v>
      </c>
      <c r="E55" s="420" t="s">
        <v>11224</v>
      </c>
      <c r="F55" s="420" t="s">
        <v>11225</v>
      </c>
      <c r="G55" s="420" t="s">
        <v>11226</v>
      </c>
      <c r="H55" s="421" t="s">
        <v>11227</v>
      </c>
      <c r="I55" s="420" t="s">
        <v>11228</v>
      </c>
      <c r="J55" s="420" t="s">
        <v>109</v>
      </c>
      <c r="K55" s="421" t="s">
        <v>11229</v>
      </c>
      <c r="L55" s="421" t="s">
        <v>11230</v>
      </c>
      <c r="M55" s="421" t="s">
        <v>11231</v>
      </c>
      <c r="N55" s="421" t="s">
        <v>11232</v>
      </c>
      <c r="O55" s="421" t="s">
        <v>11233</v>
      </c>
      <c r="P55" s="422" t="s">
        <v>11234</v>
      </c>
      <c r="Q55" s="422" t="s">
        <v>11235</v>
      </c>
      <c r="R55" s="422" t="s">
        <v>11236</v>
      </c>
      <c r="S55" s="421" t="s">
        <v>11237</v>
      </c>
      <c r="T55" s="415"/>
    </row>
    <row r="56" spans="2:21" ht="13.8" thickBot="1">
      <c r="B56" s="773"/>
      <c r="C56" s="773"/>
      <c r="D56" s="423" t="s">
        <v>11238</v>
      </c>
      <c r="E56" s="423" t="s">
        <v>11238</v>
      </c>
      <c r="F56" s="423" t="s">
        <v>11238</v>
      </c>
      <c r="G56" s="423" t="s">
        <v>11238</v>
      </c>
      <c r="H56" s="424" t="s">
        <v>11238</v>
      </c>
      <c r="I56" s="423" t="s">
        <v>11238</v>
      </c>
      <c r="J56" s="423" t="s">
        <v>11238</v>
      </c>
      <c r="K56" s="424" t="s">
        <v>11239</v>
      </c>
      <c r="L56" s="424" t="s">
        <v>11240</v>
      </c>
      <c r="M56" s="424" t="s">
        <v>11240</v>
      </c>
      <c r="N56" s="424" t="s">
        <v>11240</v>
      </c>
      <c r="O56" s="424" t="s">
        <v>11239</v>
      </c>
      <c r="P56" s="425">
        <v>1.3</v>
      </c>
      <c r="Q56" s="425">
        <v>0.08</v>
      </c>
      <c r="R56" s="424" t="s">
        <v>11240</v>
      </c>
      <c r="S56" s="424" t="s">
        <v>11241</v>
      </c>
      <c r="T56" s="415"/>
    </row>
    <row r="57" spans="2:21" ht="13.8" thickBot="1">
      <c r="B57" s="757" t="s">
        <v>19</v>
      </c>
      <c r="C57" s="758"/>
      <c r="D57" s="426"/>
      <c r="E57" s="427"/>
      <c r="F57" s="427"/>
      <c r="G57" s="427"/>
      <c r="H57" s="427"/>
      <c r="I57" s="427"/>
      <c r="J57" s="427"/>
      <c r="K57" s="427"/>
      <c r="L57" s="427"/>
      <c r="M57" s="428"/>
      <c r="N57" s="429">
        <f>SUM(N59:N110)</f>
        <v>2.8653758999999988</v>
      </c>
      <c r="O57" s="429">
        <f t="shared" ref="O57:S57" si="29">SUM(O59:O110)</f>
        <v>7.3439999999999976</v>
      </c>
      <c r="P57" s="429">
        <f t="shared" si="29"/>
        <v>21.690369999999998</v>
      </c>
      <c r="Q57" s="429">
        <f t="shared" si="29"/>
        <v>0.56728000000000012</v>
      </c>
      <c r="R57" s="429">
        <f t="shared" si="29"/>
        <v>18.257714100000005</v>
      </c>
      <c r="S57" s="429">
        <f t="shared" si="29"/>
        <v>100.28815649999996</v>
      </c>
      <c r="T57" s="415"/>
    </row>
    <row r="58" spans="2:21" ht="15" thickBot="1">
      <c r="B58" s="757" t="s">
        <v>11412</v>
      </c>
      <c r="C58" s="785"/>
      <c r="D58" s="785"/>
      <c r="E58" s="427"/>
      <c r="F58" s="427"/>
      <c r="G58" s="427"/>
      <c r="H58" s="427"/>
      <c r="I58" s="427"/>
      <c r="J58" s="427"/>
      <c r="K58" s="427"/>
      <c r="L58" s="427"/>
      <c r="M58" s="427"/>
      <c r="N58" s="430"/>
      <c r="O58" s="430"/>
      <c r="P58" s="430"/>
      <c r="Q58" s="430"/>
      <c r="R58" s="430"/>
      <c r="S58" s="431"/>
      <c r="T58" s="415"/>
    </row>
    <row r="59" spans="2:21">
      <c r="B59" s="432" t="s">
        <v>11242</v>
      </c>
      <c r="C59" s="433">
        <v>1</v>
      </c>
      <c r="D59" s="433">
        <v>2.0299999999999998</v>
      </c>
      <c r="E59" s="433">
        <v>2.0299999999999998</v>
      </c>
      <c r="F59" s="433">
        <v>0.3</v>
      </c>
      <c r="G59" s="433">
        <v>0.15</v>
      </c>
      <c r="H59" s="433">
        <f>J59-I59</f>
        <v>0.19999999999999998</v>
      </c>
      <c r="I59" s="433">
        <v>0.15</v>
      </c>
      <c r="J59" s="433">
        <v>0.35</v>
      </c>
      <c r="K59" s="433">
        <f>D59*E59</f>
        <v>4.1208999999999989</v>
      </c>
      <c r="L59" s="433">
        <f>I59*K59</f>
        <v>0.61813499999999977</v>
      </c>
      <c r="M59" s="433">
        <f>H59/3*(D59+K59+((D59*K59)^1/2))</f>
        <v>0.68890756666666642</v>
      </c>
      <c r="N59" s="433">
        <f>L59+M59</f>
        <v>1.3070425666666661</v>
      </c>
      <c r="O59" s="433">
        <f>(2*D59+2*E59)*H59</f>
        <v>1.6239999999999997</v>
      </c>
      <c r="P59" s="433">
        <f>(D59+0.4)*(E59+0.4)*$P$21</f>
        <v>7.6763699999999986</v>
      </c>
      <c r="Q59" s="433">
        <f>(E59+0.4)*(F59+0.4)*$Q$21</f>
        <v>0.13607999999999998</v>
      </c>
      <c r="R59" s="434">
        <f>P59-Q59-N59</f>
        <v>6.2332474333333323</v>
      </c>
      <c r="S59" s="435">
        <f>N59*35</f>
        <v>45.746489833333314</v>
      </c>
      <c r="T59" s="415"/>
    </row>
    <row r="60" spans="2:21">
      <c r="B60" s="432" t="s">
        <v>11243</v>
      </c>
      <c r="C60" s="433">
        <v>1</v>
      </c>
      <c r="D60" s="433">
        <v>1</v>
      </c>
      <c r="E60" s="433">
        <v>0.3</v>
      </c>
      <c r="F60" s="433">
        <v>0.3</v>
      </c>
      <c r="G60" s="433">
        <v>0.15</v>
      </c>
      <c r="H60" s="433">
        <f t="shared" ref="H60:H68" si="30">J60-I60</f>
        <v>0.19999999999999998</v>
      </c>
      <c r="I60" s="433">
        <v>0.15</v>
      </c>
      <c r="J60" s="433">
        <v>0.35</v>
      </c>
      <c r="K60" s="433">
        <f t="shared" ref="K60:K68" si="31">D60*E60</f>
        <v>0.3</v>
      </c>
      <c r="L60" s="433">
        <f t="shared" ref="L60:L68" si="32">I60*K60</f>
        <v>4.4999999999999998E-2</v>
      </c>
      <c r="M60" s="433">
        <f t="shared" ref="M60:M68" si="33">H60/3*(D60+K60+((D60*K60)^1/2))</f>
        <v>9.6666666666666665E-2</v>
      </c>
      <c r="N60" s="433">
        <f t="shared" ref="N60:N68" si="34">L60+M60</f>
        <v>0.14166666666666666</v>
      </c>
      <c r="O60" s="433">
        <f t="shared" ref="O60:O68" si="35">(2*D60+2*E60)*H60</f>
        <v>0.52</v>
      </c>
      <c r="P60" s="433">
        <f t="shared" ref="P60:P68" si="36">(D60+0.4)*(E60+0.4)*$P$21</f>
        <v>1.2739999999999998</v>
      </c>
      <c r="Q60" s="433">
        <f t="shared" ref="Q60:Q68" si="37">(E60+0.4)*(F60+0.4)*$Q$21</f>
        <v>3.9199999999999999E-2</v>
      </c>
      <c r="R60" s="434">
        <f t="shared" ref="R60:R68" si="38">P60-Q60-N60</f>
        <v>1.0931333333333333</v>
      </c>
      <c r="S60" s="435">
        <f t="shared" ref="S60:S68" si="39">N60*35</f>
        <v>4.958333333333333</v>
      </c>
      <c r="T60" s="415"/>
    </row>
    <row r="61" spans="2:21">
      <c r="B61" s="432" t="s">
        <v>11244</v>
      </c>
      <c r="C61" s="433">
        <v>1</v>
      </c>
      <c r="D61" s="433">
        <v>1</v>
      </c>
      <c r="E61" s="433">
        <v>0.3</v>
      </c>
      <c r="F61" s="433">
        <v>0.3</v>
      </c>
      <c r="G61" s="433">
        <v>0.15</v>
      </c>
      <c r="H61" s="433">
        <f t="shared" si="30"/>
        <v>0.19999999999999998</v>
      </c>
      <c r="I61" s="433">
        <v>0.15</v>
      </c>
      <c r="J61" s="433">
        <v>0.35</v>
      </c>
      <c r="K61" s="433">
        <f t="shared" si="31"/>
        <v>0.3</v>
      </c>
      <c r="L61" s="433">
        <f t="shared" si="32"/>
        <v>4.4999999999999998E-2</v>
      </c>
      <c r="M61" s="433">
        <f t="shared" si="33"/>
        <v>9.6666666666666665E-2</v>
      </c>
      <c r="N61" s="433">
        <f t="shared" si="34"/>
        <v>0.14166666666666666</v>
      </c>
      <c r="O61" s="433">
        <f t="shared" si="35"/>
        <v>0.52</v>
      </c>
      <c r="P61" s="433">
        <f t="shared" si="36"/>
        <v>1.2739999999999998</v>
      </c>
      <c r="Q61" s="433">
        <f t="shared" si="37"/>
        <v>3.9199999999999999E-2</v>
      </c>
      <c r="R61" s="434">
        <f t="shared" si="38"/>
        <v>1.0931333333333333</v>
      </c>
      <c r="S61" s="435">
        <f t="shared" si="39"/>
        <v>4.958333333333333</v>
      </c>
      <c r="T61" s="415"/>
    </row>
    <row r="62" spans="2:21">
      <c r="B62" s="432" t="s">
        <v>11245</v>
      </c>
      <c r="C62" s="433">
        <v>1</v>
      </c>
      <c r="D62" s="433">
        <v>1</v>
      </c>
      <c r="E62" s="433">
        <v>0.3</v>
      </c>
      <c r="F62" s="433">
        <v>0.3</v>
      </c>
      <c r="G62" s="433">
        <v>0.15</v>
      </c>
      <c r="H62" s="433">
        <f t="shared" si="30"/>
        <v>0.19999999999999998</v>
      </c>
      <c r="I62" s="433">
        <v>0.15</v>
      </c>
      <c r="J62" s="433">
        <v>0.35</v>
      </c>
      <c r="K62" s="433">
        <f t="shared" si="31"/>
        <v>0.3</v>
      </c>
      <c r="L62" s="433">
        <f t="shared" si="32"/>
        <v>4.4999999999999998E-2</v>
      </c>
      <c r="M62" s="433">
        <f t="shared" si="33"/>
        <v>9.6666666666666665E-2</v>
      </c>
      <c r="N62" s="433">
        <f t="shared" si="34"/>
        <v>0.14166666666666666</v>
      </c>
      <c r="O62" s="433">
        <f t="shared" si="35"/>
        <v>0.52</v>
      </c>
      <c r="P62" s="433">
        <f t="shared" si="36"/>
        <v>1.2739999999999998</v>
      </c>
      <c r="Q62" s="433">
        <f t="shared" si="37"/>
        <v>3.9199999999999999E-2</v>
      </c>
      <c r="R62" s="434">
        <f t="shared" si="38"/>
        <v>1.0931333333333333</v>
      </c>
      <c r="S62" s="435">
        <f t="shared" si="39"/>
        <v>4.958333333333333</v>
      </c>
      <c r="T62" s="415"/>
      <c r="U62" s="501"/>
    </row>
    <row r="63" spans="2:21">
      <c r="B63" s="432" t="s">
        <v>11246</v>
      </c>
      <c r="C63" s="433">
        <v>1</v>
      </c>
      <c r="D63" s="433">
        <v>1</v>
      </c>
      <c r="E63" s="433">
        <v>0.3</v>
      </c>
      <c r="F63" s="433">
        <v>0.3</v>
      </c>
      <c r="G63" s="433">
        <v>0.15</v>
      </c>
      <c r="H63" s="433">
        <f t="shared" si="30"/>
        <v>0.19999999999999998</v>
      </c>
      <c r="I63" s="433">
        <v>0.15</v>
      </c>
      <c r="J63" s="433">
        <v>0.35</v>
      </c>
      <c r="K63" s="433">
        <f t="shared" si="31"/>
        <v>0.3</v>
      </c>
      <c r="L63" s="433">
        <f t="shared" si="32"/>
        <v>4.4999999999999998E-2</v>
      </c>
      <c r="M63" s="433">
        <f t="shared" si="33"/>
        <v>9.6666666666666665E-2</v>
      </c>
      <c r="N63" s="433">
        <f t="shared" si="34"/>
        <v>0.14166666666666666</v>
      </c>
      <c r="O63" s="433">
        <f t="shared" si="35"/>
        <v>0.52</v>
      </c>
      <c r="P63" s="433">
        <f t="shared" si="36"/>
        <v>1.2739999999999998</v>
      </c>
      <c r="Q63" s="433">
        <f t="shared" si="37"/>
        <v>3.9199999999999999E-2</v>
      </c>
      <c r="R63" s="434">
        <f t="shared" si="38"/>
        <v>1.0931333333333333</v>
      </c>
      <c r="S63" s="435">
        <f t="shared" si="39"/>
        <v>4.958333333333333</v>
      </c>
      <c r="T63" s="415"/>
      <c r="U63" s="501"/>
    </row>
    <row r="64" spans="2:21">
      <c r="B64" s="432" t="s">
        <v>11247</v>
      </c>
      <c r="C64" s="433">
        <v>1</v>
      </c>
      <c r="D64" s="433">
        <v>1</v>
      </c>
      <c r="E64" s="433">
        <v>0.3</v>
      </c>
      <c r="F64" s="433">
        <v>0.3</v>
      </c>
      <c r="G64" s="433">
        <v>0.15</v>
      </c>
      <c r="H64" s="433">
        <f t="shared" si="30"/>
        <v>0.19999999999999998</v>
      </c>
      <c r="I64" s="433">
        <v>0.15</v>
      </c>
      <c r="J64" s="433">
        <v>0.35</v>
      </c>
      <c r="K64" s="433">
        <f t="shared" si="31"/>
        <v>0.3</v>
      </c>
      <c r="L64" s="433">
        <f t="shared" si="32"/>
        <v>4.4999999999999998E-2</v>
      </c>
      <c r="M64" s="433">
        <f t="shared" si="33"/>
        <v>9.6666666666666665E-2</v>
      </c>
      <c r="N64" s="433">
        <f t="shared" si="34"/>
        <v>0.14166666666666666</v>
      </c>
      <c r="O64" s="433">
        <f t="shared" si="35"/>
        <v>0.52</v>
      </c>
      <c r="P64" s="433">
        <f t="shared" si="36"/>
        <v>1.2739999999999998</v>
      </c>
      <c r="Q64" s="433">
        <f t="shared" si="37"/>
        <v>3.9199999999999999E-2</v>
      </c>
      <c r="R64" s="434">
        <f t="shared" si="38"/>
        <v>1.0931333333333333</v>
      </c>
      <c r="S64" s="435">
        <f t="shared" si="39"/>
        <v>4.958333333333333</v>
      </c>
      <c r="T64" s="415"/>
      <c r="U64" s="501"/>
    </row>
    <row r="65" spans="2:21">
      <c r="B65" s="432" t="s">
        <v>11248</v>
      </c>
      <c r="C65" s="433">
        <v>1</v>
      </c>
      <c r="D65" s="433">
        <v>1</v>
      </c>
      <c r="E65" s="433">
        <v>0.3</v>
      </c>
      <c r="F65" s="433">
        <v>0.3</v>
      </c>
      <c r="G65" s="433">
        <v>0.15</v>
      </c>
      <c r="H65" s="433">
        <f t="shared" si="30"/>
        <v>0.19999999999999998</v>
      </c>
      <c r="I65" s="433">
        <v>0.15</v>
      </c>
      <c r="J65" s="433">
        <v>0.35</v>
      </c>
      <c r="K65" s="433">
        <f t="shared" si="31"/>
        <v>0.3</v>
      </c>
      <c r="L65" s="433">
        <f t="shared" si="32"/>
        <v>4.4999999999999998E-2</v>
      </c>
      <c r="M65" s="433">
        <f t="shared" si="33"/>
        <v>9.6666666666666665E-2</v>
      </c>
      <c r="N65" s="433">
        <f t="shared" si="34"/>
        <v>0.14166666666666666</v>
      </c>
      <c r="O65" s="433">
        <f t="shared" si="35"/>
        <v>0.52</v>
      </c>
      <c r="P65" s="433">
        <f t="shared" si="36"/>
        <v>1.2739999999999998</v>
      </c>
      <c r="Q65" s="433">
        <f t="shared" si="37"/>
        <v>3.9199999999999999E-2</v>
      </c>
      <c r="R65" s="434">
        <f t="shared" si="38"/>
        <v>1.0931333333333333</v>
      </c>
      <c r="S65" s="435">
        <f t="shared" si="39"/>
        <v>4.958333333333333</v>
      </c>
      <c r="T65" s="415"/>
      <c r="U65" s="501"/>
    </row>
    <row r="66" spans="2:21">
      <c r="B66" s="432" t="s">
        <v>11249</v>
      </c>
      <c r="C66" s="433">
        <v>1</v>
      </c>
      <c r="D66" s="433">
        <v>1</v>
      </c>
      <c r="E66" s="433">
        <v>0.3</v>
      </c>
      <c r="F66" s="433">
        <v>0.3</v>
      </c>
      <c r="G66" s="433">
        <v>0.15</v>
      </c>
      <c r="H66" s="433">
        <f t="shared" si="30"/>
        <v>0.19999999999999998</v>
      </c>
      <c r="I66" s="433">
        <v>0.15</v>
      </c>
      <c r="J66" s="433">
        <v>0.35</v>
      </c>
      <c r="K66" s="433">
        <f t="shared" si="31"/>
        <v>0.3</v>
      </c>
      <c r="L66" s="433">
        <f t="shared" si="32"/>
        <v>4.4999999999999998E-2</v>
      </c>
      <c r="M66" s="433">
        <f t="shared" si="33"/>
        <v>9.6666666666666665E-2</v>
      </c>
      <c r="N66" s="433">
        <f t="shared" si="34"/>
        <v>0.14166666666666666</v>
      </c>
      <c r="O66" s="433">
        <f t="shared" si="35"/>
        <v>0.52</v>
      </c>
      <c r="P66" s="433">
        <f t="shared" si="36"/>
        <v>1.2739999999999998</v>
      </c>
      <c r="Q66" s="433">
        <f t="shared" si="37"/>
        <v>3.9199999999999999E-2</v>
      </c>
      <c r="R66" s="434">
        <f t="shared" si="38"/>
        <v>1.0931333333333333</v>
      </c>
      <c r="S66" s="435">
        <f t="shared" si="39"/>
        <v>4.958333333333333</v>
      </c>
      <c r="T66" s="415"/>
      <c r="U66" s="501"/>
    </row>
    <row r="67" spans="2:21">
      <c r="B67" s="432" t="s">
        <v>11250</v>
      </c>
      <c r="C67" s="433">
        <v>1</v>
      </c>
      <c r="D67" s="433">
        <v>1</v>
      </c>
      <c r="E67" s="433">
        <v>0.3</v>
      </c>
      <c r="F67" s="433">
        <v>0.3</v>
      </c>
      <c r="G67" s="433">
        <v>0.15</v>
      </c>
      <c r="H67" s="433">
        <f t="shared" si="30"/>
        <v>0.19999999999999998</v>
      </c>
      <c r="I67" s="433">
        <v>0.15</v>
      </c>
      <c r="J67" s="433">
        <v>0.35</v>
      </c>
      <c r="K67" s="433">
        <f t="shared" si="31"/>
        <v>0.3</v>
      </c>
      <c r="L67" s="433">
        <f t="shared" si="32"/>
        <v>4.4999999999999998E-2</v>
      </c>
      <c r="M67" s="433">
        <f t="shared" si="33"/>
        <v>9.6666666666666665E-2</v>
      </c>
      <c r="N67" s="433">
        <f t="shared" si="34"/>
        <v>0.14166666666666666</v>
      </c>
      <c r="O67" s="433">
        <f t="shared" si="35"/>
        <v>0.52</v>
      </c>
      <c r="P67" s="433">
        <f t="shared" si="36"/>
        <v>1.2739999999999998</v>
      </c>
      <c r="Q67" s="433">
        <f t="shared" si="37"/>
        <v>3.9199999999999999E-2</v>
      </c>
      <c r="R67" s="434">
        <f t="shared" si="38"/>
        <v>1.0931333333333333</v>
      </c>
      <c r="S67" s="435">
        <f t="shared" si="39"/>
        <v>4.958333333333333</v>
      </c>
      <c r="T67" s="415"/>
      <c r="U67" s="501"/>
    </row>
    <row r="68" spans="2:21">
      <c r="B68" s="432" t="s">
        <v>11251</v>
      </c>
      <c r="C68" s="433">
        <v>1</v>
      </c>
      <c r="D68" s="433">
        <v>1</v>
      </c>
      <c r="E68" s="433">
        <v>0.3</v>
      </c>
      <c r="F68" s="433">
        <v>0.3</v>
      </c>
      <c r="G68" s="433">
        <v>0.15</v>
      </c>
      <c r="H68" s="433">
        <f t="shared" si="30"/>
        <v>0.19999999999999998</v>
      </c>
      <c r="I68" s="433">
        <v>0.15</v>
      </c>
      <c r="J68" s="433">
        <v>0.35</v>
      </c>
      <c r="K68" s="433">
        <f t="shared" si="31"/>
        <v>0.3</v>
      </c>
      <c r="L68" s="433">
        <f t="shared" si="32"/>
        <v>4.4999999999999998E-2</v>
      </c>
      <c r="M68" s="433">
        <f t="shared" si="33"/>
        <v>9.6666666666666665E-2</v>
      </c>
      <c r="N68" s="433">
        <f t="shared" si="34"/>
        <v>0.14166666666666666</v>
      </c>
      <c r="O68" s="433">
        <f t="shared" si="35"/>
        <v>0.52</v>
      </c>
      <c r="P68" s="433">
        <f t="shared" si="36"/>
        <v>1.2739999999999998</v>
      </c>
      <c r="Q68" s="433">
        <f t="shared" si="37"/>
        <v>3.9199999999999999E-2</v>
      </c>
      <c r="R68" s="434">
        <f t="shared" si="38"/>
        <v>1.0931333333333333</v>
      </c>
      <c r="S68" s="435">
        <f t="shared" si="39"/>
        <v>4.958333333333333</v>
      </c>
      <c r="T68" s="415"/>
      <c r="U68" s="501"/>
    </row>
    <row r="69" spans="2:21">
      <c r="B69" s="432" t="s">
        <v>11252</v>
      </c>
      <c r="C69" s="433">
        <v>1</v>
      </c>
      <c r="D69" s="433">
        <v>1</v>
      </c>
      <c r="E69" s="433">
        <v>0.3</v>
      </c>
      <c r="F69" s="433">
        <v>0.3</v>
      </c>
      <c r="G69" s="433">
        <v>0.15</v>
      </c>
      <c r="H69" s="433">
        <f>J69-I69</f>
        <v>0.19999999999999998</v>
      </c>
      <c r="I69" s="433">
        <v>0.15</v>
      </c>
      <c r="J69" s="433">
        <v>0.35</v>
      </c>
      <c r="K69" s="433">
        <f>D69*E69</f>
        <v>0.3</v>
      </c>
      <c r="L69" s="433">
        <f>I69*K69</f>
        <v>4.4999999999999998E-2</v>
      </c>
      <c r="M69" s="433">
        <f>H69/3*(D69+K69+((D69*K69)^1/2))</f>
        <v>9.6666666666666665E-2</v>
      </c>
      <c r="N69" s="433">
        <f>L69+M69</f>
        <v>0.14166666666666666</v>
      </c>
      <c r="O69" s="433">
        <f>(2*D69+2*E69)*H69</f>
        <v>0.52</v>
      </c>
      <c r="P69" s="433">
        <f>(D69+0.4)*(E69+0.4)*$P$21</f>
        <v>1.2739999999999998</v>
      </c>
      <c r="Q69" s="433">
        <f>(E69+0.4)*(F69+0.4)*$Q$21</f>
        <v>3.9199999999999999E-2</v>
      </c>
      <c r="R69" s="434">
        <f>P69-Q69-N69</f>
        <v>1.0931333333333333</v>
      </c>
      <c r="S69" s="435">
        <f>N69*35</f>
        <v>4.958333333333333</v>
      </c>
      <c r="T69" s="415"/>
      <c r="U69" s="501"/>
    </row>
    <row r="70" spans="2:21">
      <c r="B70" s="432" t="s">
        <v>11253</v>
      </c>
      <c r="C70" s="433">
        <v>1</v>
      </c>
      <c r="D70" s="433">
        <v>1</v>
      </c>
      <c r="E70" s="433">
        <v>0.3</v>
      </c>
      <c r="F70" s="433">
        <v>0.3</v>
      </c>
      <c r="G70" s="433">
        <v>0.15</v>
      </c>
      <c r="H70" s="433">
        <f t="shared" ref="H70" si="40">J70-I70</f>
        <v>0.19999999999999998</v>
      </c>
      <c r="I70" s="433">
        <v>0.15</v>
      </c>
      <c r="J70" s="433">
        <v>0.35</v>
      </c>
      <c r="K70" s="433">
        <f t="shared" ref="K70" si="41">D70*E70</f>
        <v>0.3</v>
      </c>
      <c r="L70" s="433">
        <f t="shared" ref="L70" si="42">I70*K70</f>
        <v>4.4999999999999998E-2</v>
      </c>
      <c r="M70" s="433">
        <f t="shared" ref="M70" si="43">H70/3*(D70+K70+((D70*K70)^1/2))</f>
        <v>9.6666666666666665E-2</v>
      </c>
      <c r="N70" s="433">
        <f t="shared" ref="N70" si="44">L70+M70</f>
        <v>0.14166666666666666</v>
      </c>
      <c r="O70" s="433">
        <f t="shared" ref="O70" si="45">(2*D70+2*E70)*H70</f>
        <v>0.52</v>
      </c>
      <c r="P70" s="433">
        <f t="shared" ref="P70" si="46">(D70+0.4)*(E70+0.4)*$P$21</f>
        <v>1.2739999999999998</v>
      </c>
      <c r="Q70" s="433">
        <f t="shared" ref="Q70" si="47">(E70+0.4)*(F70+0.4)*$Q$21</f>
        <v>3.9199999999999999E-2</v>
      </c>
      <c r="R70" s="434">
        <f t="shared" ref="R70" si="48">P70-Q70-N70</f>
        <v>1.0931333333333333</v>
      </c>
      <c r="S70" s="435">
        <f t="shared" ref="S70" si="49">N70*35</f>
        <v>4.958333333333333</v>
      </c>
      <c r="T70" s="415"/>
      <c r="U70" s="501"/>
    </row>
    <row r="71" spans="2:21">
      <c r="B71" s="412"/>
      <c r="G71" s="436"/>
      <c r="T71" s="415"/>
    </row>
    <row r="72" spans="2:21">
      <c r="B72" s="412"/>
      <c r="G72" s="436"/>
      <c r="T72" s="415"/>
    </row>
    <row r="73" spans="2:21">
      <c r="B73" s="412"/>
      <c r="G73" s="436"/>
      <c r="T73" s="415"/>
    </row>
    <row r="74" spans="2:21">
      <c r="B74" s="412"/>
      <c r="G74" s="436"/>
      <c r="T74" s="415"/>
    </row>
    <row r="75" spans="2:21" ht="13.8" thickBot="1">
      <c r="B75" s="437"/>
      <c r="C75" s="406"/>
      <c r="D75" s="438"/>
      <c r="E75" s="438"/>
      <c r="F75" s="438"/>
      <c r="G75" s="438"/>
      <c r="H75" s="438"/>
      <c r="I75" s="438"/>
      <c r="J75" s="438"/>
      <c r="K75" s="438"/>
      <c r="L75" s="438"/>
      <c r="M75" s="438"/>
      <c r="N75" s="438"/>
      <c r="O75" s="438"/>
      <c r="P75" s="406"/>
      <c r="Q75" s="406"/>
      <c r="R75" s="406"/>
      <c r="S75" s="438"/>
      <c r="T75" s="407"/>
    </row>
  </sheetData>
  <mergeCells count="18">
    <mergeCell ref="B55:B56"/>
    <mergeCell ref="C55:C56"/>
    <mergeCell ref="B57:C57"/>
    <mergeCell ref="B58:D58"/>
    <mergeCell ref="U51:U54"/>
    <mergeCell ref="C1:T1"/>
    <mergeCell ref="C2:T2"/>
    <mergeCell ref="B3:T3"/>
    <mergeCell ref="C15:D15"/>
    <mergeCell ref="C16:D16"/>
    <mergeCell ref="B22:C22"/>
    <mergeCell ref="B23:D23"/>
    <mergeCell ref="U27:U47"/>
    <mergeCell ref="C17:D17"/>
    <mergeCell ref="F17:J18"/>
    <mergeCell ref="C18:D18"/>
    <mergeCell ref="B20:B21"/>
    <mergeCell ref="C20:C21"/>
  </mergeCells>
  <printOptions horizontalCentered="1" verticalCentered="1"/>
  <pageMargins left="0.23622047244094491" right="0.23622047244094491" top="0.74803149606299213" bottom="0.74803149606299213" header="0.31496062992125984" footer="0.31496062992125984"/>
  <pageSetup paperSize="9" scale="57" fitToWidth="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Y54"/>
  <sheetViews>
    <sheetView view="pageBreakPreview" topLeftCell="A4" zoomScale="80" zoomScaleNormal="90" zoomScaleSheetLayoutView="80" workbookViewId="0">
      <selection activeCell="Z48" sqref="Z48"/>
    </sheetView>
  </sheetViews>
  <sheetFormatPr defaultRowHeight="13.2"/>
  <cols>
    <col min="1" max="1" width="9.109375" style="400"/>
    <col min="2" max="2" width="10.5546875" style="400" bestFit="1" customWidth="1"/>
    <col min="3" max="3" width="5.5546875" style="413" bestFit="1" customWidth="1"/>
    <col min="4" max="4" width="5.5546875" style="439" bestFit="1" customWidth="1"/>
    <col min="5" max="5" width="6" style="439" bestFit="1" customWidth="1"/>
    <col min="6" max="6" width="6.5546875" style="439" customWidth="1"/>
    <col min="7" max="7" width="7.109375" style="439" bestFit="1" customWidth="1"/>
    <col min="8" max="8" width="7.6640625" style="439" bestFit="1" customWidth="1"/>
    <col min="9" max="9" width="12.33203125" style="439" bestFit="1" customWidth="1"/>
    <col min="10" max="10" width="11.88671875" style="439" bestFit="1" customWidth="1"/>
    <col min="11" max="11" width="8.109375" style="439" bestFit="1" customWidth="1"/>
    <col min="12" max="12" width="12.33203125" style="400" customWidth="1"/>
    <col min="13" max="13" width="9.109375" style="400" bestFit="1" customWidth="1"/>
    <col min="14" max="14" width="7.109375" style="442" customWidth="1"/>
    <col min="15" max="15" width="7.5546875" style="442" customWidth="1"/>
    <col min="16" max="16" width="6.88671875" style="442" customWidth="1"/>
    <col min="17" max="17" width="9.109375" style="442"/>
    <col min="18" max="18" width="9.88671875" style="442" customWidth="1"/>
    <col min="19" max="19" width="8.5546875" style="442" customWidth="1"/>
    <col min="20" max="20" width="9.6640625" style="442" customWidth="1"/>
    <col min="21" max="21" width="9.109375" style="439" bestFit="1" customWidth="1"/>
    <col min="22" max="257" width="9.109375" style="400"/>
    <col min="258" max="258" width="10.5546875" style="400" bestFit="1" customWidth="1"/>
    <col min="259" max="260" width="5.5546875" style="400" bestFit="1" customWidth="1"/>
    <col min="261" max="261" width="6" style="400" bestFit="1" customWidth="1"/>
    <col min="262" max="262" width="6.5546875" style="400" customWidth="1"/>
    <col min="263" max="263" width="7.109375" style="400" bestFit="1" customWidth="1"/>
    <col min="264" max="264" width="7.6640625" style="400" bestFit="1" customWidth="1"/>
    <col min="265" max="265" width="12.33203125" style="400" bestFit="1" customWidth="1"/>
    <col min="266" max="266" width="11.88671875" style="400" bestFit="1" customWidth="1"/>
    <col min="267" max="267" width="8.109375" style="400" bestFit="1" customWidth="1"/>
    <col min="268" max="268" width="12.33203125" style="400" customWidth="1"/>
    <col min="269" max="269" width="9.109375" style="400" bestFit="1" customWidth="1"/>
    <col min="270" max="270" width="7.109375" style="400" customWidth="1"/>
    <col min="271" max="271" width="7.5546875" style="400" customWidth="1"/>
    <col min="272" max="272" width="6.88671875" style="400" customWidth="1"/>
    <col min="273" max="273" width="9.109375" style="400"/>
    <col min="274" max="274" width="9.88671875" style="400" customWidth="1"/>
    <col min="275" max="275" width="8.5546875" style="400" customWidth="1"/>
    <col min="276" max="276" width="9.6640625" style="400" customWidth="1"/>
    <col min="277" max="277" width="9.109375" style="400" bestFit="1" customWidth="1"/>
    <col min="278" max="513" width="9.109375" style="400"/>
    <col min="514" max="514" width="10.5546875" style="400" bestFit="1" customWidth="1"/>
    <col min="515" max="516" width="5.5546875" style="400" bestFit="1" customWidth="1"/>
    <col min="517" max="517" width="6" style="400" bestFit="1" customWidth="1"/>
    <col min="518" max="518" width="6.5546875" style="400" customWidth="1"/>
    <col min="519" max="519" width="7.109375" style="400" bestFit="1" customWidth="1"/>
    <col min="520" max="520" width="7.6640625" style="400" bestFit="1" customWidth="1"/>
    <col min="521" max="521" width="12.33203125" style="400" bestFit="1" customWidth="1"/>
    <col min="522" max="522" width="11.88671875" style="400" bestFit="1" customWidth="1"/>
    <col min="523" max="523" width="8.109375" style="400" bestFit="1" customWidth="1"/>
    <col min="524" max="524" width="12.33203125" style="400" customWidth="1"/>
    <col min="525" max="525" width="9.109375" style="400" bestFit="1" customWidth="1"/>
    <col min="526" max="526" width="7.109375" style="400" customWidth="1"/>
    <col min="527" max="527" width="7.5546875" style="400" customWidth="1"/>
    <col min="528" max="528" width="6.88671875" style="400" customWidth="1"/>
    <col min="529" max="529" width="9.109375" style="400"/>
    <col min="530" max="530" width="9.88671875" style="400" customWidth="1"/>
    <col min="531" max="531" width="8.5546875" style="400" customWidth="1"/>
    <col min="532" max="532" width="9.6640625" style="400" customWidth="1"/>
    <col min="533" max="533" width="9.109375" style="400" bestFit="1" customWidth="1"/>
    <col min="534" max="769" width="9.109375" style="400"/>
    <col min="770" max="770" width="10.5546875" style="400" bestFit="1" customWidth="1"/>
    <col min="771" max="772" width="5.5546875" style="400" bestFit="1" customWidth="1"/>
    <col min="773" max="773" width="6" style="400" bestFit="1" customWidth="1"/>
    <col min="774" max="774" width="6.5546875" style="400" customWidth="1"/>
    <col min="775" max="775" width="7.109375" style="400" bestFit="1" customWidth="1"/>
    <col min="776" max="776" width="7.6640625" style="400" bestFit="1" customWidth="1"/>
    <col min="777" max="777" width="12.33203125" style="400" bestFit="1" customWidth="1"/>
    <col min="778" max="778" width="11.88671875" style="400" bestFit="1" customWidth="1"/>
    <col min="779" max="779" width="8.109375" style="400" bestFit="1" customWidth="1"/>
    <col min="780" max="780" width="12.33203125" style="400" customWidth="1"/>
    <col min="781" max="781" width="9.109375" style="400" bestFit="1" customWidth="1"/>
    <col min="782" max="782" width="7.109375" style="400" customWidth="1"/>
    <col min="783" max="783" width="7.5546875" style="400" customWidth="1"/>
    <col min="784" max="784" width="6.88671875" style="400" customWidth="1"/>
    <col min="785" max="785" width="9.109375" style="400"/>
    <col min="786" max="786" width="9.88671875" style="400" customWidth="1"/>
    <col min="787" max="787" width="8.5546875" style="400" customWidth="1"/>
    <col min="788" max="788" width="9.6640625" style="400" customWidth="1"/>
    <col min="789" max="789" width="9.109375" style="400" bestFit="1" customWidth="1"/>
    <col min="790" max="1025" width="9.109375" style="400"/>
    <col min="1026" max="1026" width="10.5546875" style="400" bestFit="1" customWidth="1"/>
    <col min="1027" max="1028" width="5.5546875" style="400" bestFit="1" customWidth="1"/>
    <col min="1029" max="1029" width="6" style="400" bestFit="1" customWidth="1"/>
    <col min="1030" max="1030" width="6.5546875" style="400" customWidth="1"/>
    <col min="1031" max="1031" width="7.109375" style="400" bestFit="1" customWidth="1"/>
    <col min="1032" max="1032" width="7.6640625" style="400" bestFit="1" customWidth="1"/>
    <col min="1033" max="1033" width="12.33203125" style="400" bestFit="1" customWidth="1"/>
    <col min="1034" max="1034" width="11.88671875" style="400" bestFit="1" customWidth="1"/>
    <col min="1035" max="1035" width="8.109375" style="400" bestFit="1" customWidth="1"/>
    <col min="1036" max="1036" width="12.33203125" style="400" customWidth="1"/>
    <col min="1037" max="1037" width="9.109375" style="400" bestFit="1" customWidth="1"/>
    <col min="1038" max="1038" width="7.109375" style="400" customWidth="1"/>
    <col min="1039" max="1039" width="7.5546875" style="400" customWidth="1"/>
    <col min="1040" max="1040" width="6.88671875" style="400" customWidth="1"/>
    <col min="1041" max="1041" width="9.109375" style="400"/>
    <col min="1042" max="1042" width="9.88671875" style="400" customWidth="1"/>
    <col min="1043" max="1043" width="8.5546875" style="400" customWidth="1"/>
    <col min="1044" max="1044" width="9.6640625" style="400" customWidth="1"/>
    <col min="1045" max="1045" width="9.109375" style="400" bestFit="1" customWidth="1"/>
    <col min="1046" max="1281" width="9.109375" style="400"/>
    <col min="1282" max="1282" width="10.5546875" style="400" bestFit="1" customWidth="1"/>
    <col min="1283" max="1284" width="5.5546875" style="400" bestFit="1" customWidth="1"/>
    <col min="1285" max="1285" width="6" style="400" bestFit="1" customWidth="1"/>
    <col min="1286" max="1286" width="6.5546875" style="400" customWidth="1"/>
    <col min="1287" max="1287" width="7.109375" style="400" bestFit="1" customWidth="1"/>
    <col min="1288" max="1288" width="7.6640625" style="400" bestFit="1" customWidth="1"/>
    <col min="1289" max="1289" width="12.33203125" style="400" bestFit="1" customWidth="1"/>
    <col min="1290" max="1290" width="11.88671875" style="400" bestFit="1" customWidth="1"/>
    <col min="1291" max="1291" width="8.109375" style="400" bestFit="1" customWidth="1"/>
    <col min="1292" max="1292" width="12.33203125" style="400" customWidth="1"/>
    <col min="1293" max="1293" width="9.109375" style="400" bestFit="1" customWidth="1"/>
    <col min="1294" max="1294" width="7.109375" style="400" customWidth="1"/>
    <col min="1295" max="1295" width="7.5546875" style="400" customWidth="1"/>
    <col min="1296" max="1296" width="6.88671875" style="400" customWidth="1"/>
    <col min="1297" max="1297" width="9.109375" style="400"/>
    <col min="1298" max="1298" width="9.88671875" style="400" customWidth="1"/>
    <col min="1299" max="1299" width="8.5546875" style="400" customWidth="1"/>
    <col min="1300" max="1300" width="9.6640625" style="400" customWidth="1"/>
    <col min="1301" max="1301" width="9.109375" style="400" bestFit="1" customWidth="1"/>
    <col min="1302" max="1537" width="9.109375" style="400"/>
    <col min="1538" max="1538" width="10.5546875" style="400" bestFit="1" customWidth="1"/>
    <col min="1539" max="1540" width="5.5546875" style="400" bestFit="1" customWidth="1"/>
    <col min="1541" max="1541" width="6" style="400" bestFit="1" customWidth="1"/>
    <col min="1542" max="1542" width="6.5546875" style="400" customWidth="1"/>
    <col min="1543" max="1543" width="7.109375" style="400" bestFit="1" customWidth="1"/>
    <col min="1544" max="1544" width="7.6640625" style="400" bestFit="1" customWidth="1"/>
    <col min="1545" max="1545" width="12.33203125" style="400" bestFit="1" customWidth="1"/>
    <col min="1546" max="1546" width="11.88671875" style="400" bestFit="1" customWidth="1"/>
    <col min="1547" max="1547" width="8.109375" style="400" bestFit="1" customWidth="1"/>
    <col min="1548" max="1548" width="12.33203125" style="400" customWidth="1"/>
    <col min="1549" max="1549" width="9.109375" style="400" bestFit="1" customWidth="1"/>
    <col min="1550" max="1550" width="7.109375" style="400" customWidth="1"/>
    <col min="1551" max="1551" width="7.5546875" style="400" customWidth="1"/>
    <col min="1552" max="1552" width="6.88671875" style="400" customWidth="1"/>
    <col min="1553" max="1553" width="9.109375" style="400"/>
    <col min="1554" max="1554" width="9.88671875" style="400" customWidth="1"/>
    <col min="1555" max="1555" width="8.5546875" style="400" customWidth="1"/>
    <col min="1556" max="1556" width="9.6640625" style="400" customWidth="1"/>
    <col min="1557" max="1557" width="9.109375" style="400" bestFit="1" customWidth="1"/>
    <col min="1558" max="1793" width="9.109375" style="400"/>
    <col min="1794" max="1794" width="10.5546875" style="400" bestFit="1" customWidth="1"/>
    <col min="1795" max="1796" width="5.5546875" style="400" bestFit="1" customWidth="1"/>
    <col min="1797" max="1797" width="6" style="400" bestFit="1" customWidth="1"/>
    <col min="1798" max="1798" width="6.5546875" style="400" customWidth="1"/>
    <col min="1799" max="1799" width="7.109375" style="400" bestFit="1" customWidth="1"/>
    <col min="1800" max="1800" width="7.6640625" style="400" bestFit="1" customWidth="1"/>
    <col min="1801" max="1801" width="12.33203125" style="400" bestFit="1" customWidth="1"/>
    <col min="1802" max="1802" width="11.88671875" style="400" bestFit="1" customWidth="1"/>
    <col min="1803" max="1803" width="8.109375" style="400" bestFit="1" customWidth="1"/>
    <col min="1804" max="1804" width="12.33203125" style="400" customWidth="1"/>
    <col min="1805" max="1805" width="9.109375" style="400" bestFit="1" customWidth="1"/>
    <col min="1806" max="1806" width="7.109375" style="400" customWidth="1"/>
    <col min="1807" max="1807" width="7.5546875" style="400" customWidth="1"/>
    <col min="1808" max="1808" width="6.88671875" style="400" customWidth="1"/>
    <col min="1809" max="1809" width="9.109375" style="400"/>
    <col min="1810" max="1810" width="9.88671875" style="400" customWidth="1"/>
    <col min="1811" max="1811" width="8.5546875" style="400" customWidth="1"/>
    <col min="1812" max="1812" width="9.6640625" style="400" customWidth="1"/>
    <col min="1813" max="1813" width="9.109375" style="400" bestFit="1" customWidth="1"/>
    <col min="1814" max="2049" width="9.109375" style="400"/>
    <col min="2050" max="2050" width="10.5546875" style="400" bestFit="1" customWidth="1"/>
    <col min="2051" max="2052" width="5.5546875" style="400" bestFit="1" customWidth="1"/>
    <col min="2053" max="2053" width="6" style="400" bestFit="1" customWidth="1"/>
    <col min="2054" max="2054" width="6.5546875" style="400" customWidth="1"/>
    <col min="2055" max="2055" width="7.109375" style="400" bestFit="1" customWidth="1"/>
    <col min="2056" max="2056" width="7.6640625" style="400" bestFit="1" customWidth="1"/>
    <col min="2057" max="2057" width="12.33203125" style="400" bestFit="1" customWidth="1"/>
    <col min="2058" max="2058" width="11.88671875" style="400" bestFit="1" customWidth="1"/>
    <col min="2059" max="2059" width="8.109375" style="400" bestFit="1" customWidth="1"/>
    <col min="2060" max="2060" width="12.33203125" style="400" customWidth="1"/>
    <col min="2061" max="2061" width="9.109375" style="400" bestFit="1" customWidth="1"/>
    <col min="2062" max="2062" width="7.109375" style="400" customWidth="1"/>
    <col min="2063" max="2063" width="7.5546875" style="400" customWidth="1"/>
    <col min="2064" max="2064" width="6.88671875" style="400" customWidth="1"/>
    <col min="2065" max="2065" width="9.109375" style="400"/>
    <col min="2066" max="2066" width="9.88671875" style="400" customWidth="1"/>
    <col min="2067" max="2067" width="8.5546875" style="400" customWidth="1"/>
    <col min="2068" max="2068" width="9.6640625" style="400" customWidth="1"/>
    <col min="2069" max="2069" width="9.109375" style="400" bestFit="1" customWidth="1"/>
    <col min="2070" max="2305" width="9.109375" style="400"/>
    <col min="2306" max="2306" width="10.5546875" style="400" bestFit="1" customWidth="1"/>
    <col min="2307" max="2308" width="5.5546875" style="400" bestFit="1" customWidth="1"/>
    <col min="2309" max="2309" width="6" style="400" bestFit="1" customWidth="1"/>
    <col min="2310" max="2310" width="6.5546875" style="400" customWidth="1"/>
    <col min="2311" max="2311" width="7.109375" style="400" bestFit="1" customWidth="1"/>
    <col min="2312" max="2312" width="7.6640625" style="400" bestFit="1" customWidth="1"/>
    <col min="2313" max="2313" width="12.33203125" style="400" bestFit="1" customWidth="1"/>
    <col min="2314" max="2314" width="11.88671875" style="400" bestFit="1" customWidth="1"/>
    <col min="2315" max="2315" width="8.109375" style="400" bestFit="1" customWidth="1"/>
    <col min="2316" max="2316" width="12.33203125" style="400" customWidth="1"/>
    <col min="2317" max="2317" width="9.109375" style="400" bestFit="1" customWidth="1"/>
    <col min="2318" max="2318" width="7.109375" style="400" customWidth="1"/>
    <col min="2319" max="2319" width="7.5546875" style="400" customWidth="1"/>
    <col min="2320" max="2320" width="6.88671875" style="400" customWidth="1"/>
    <col min="2321" max="2321" width="9.109375" style="400"/>
    <col min="2322" max="2322" width="9.88671875" style="400" customWidth="1"/>
    <col min="2323" max="2323" width="8.5546875" style="400" customWidth="1"/>
    <col min="2324" max="2324" width="9.6640625" style="400" customWidth="1"/>
    <col min="2325" max="2325" width="9.109375" style="400" bestFit="1" customWidth="1"/>
    <col min="2326" max="2561" width="9.109375" style="400"/>
    <col min="2562" max="2562" width="10.5546875" style="400" bestFit="1" customWidth="1"/>
    <col min="2563" max="2564" width="5.5546875" style="400" bestFit="1" customWidth="1"/>
    <col min="2565" max="2565" width="6" style="400" bestFit="1" customWidth="1"/>
    <col min="2566" max="2566" width="6.5546875" style="400" customWidth="1"/>
    <col min="2567" max="2567" width="7.109375" style="400" bestFit="1" customWidth="1"/>
    <col min="2568" max="2568" width="7.6640625" style="400" bestFit="1" customWidth="1"/>
    <col min="2569" max="2569" width="12.33203125" style="400" bestFit="1" customWidth="1"/>
    <col min="2570" max="2570" width="11.88671875" style="400" bestFit="1" customWidth="1"/>
    <col min="2571" max="2571" width="8.109375" style="400" bestFit="1" customWidth="1"/>
    <col min="2572" max="2572" width="12.33203125" style="400" customWidth="1"/>
    <col min="2573" max="2573" width="9.109375" style="400" bestFit="1" customWidth="1"/>
    <col min="2574" max="2574" width="7.109375" style="400" customWidth="1"/>
    <col min="2575" max="2575" width="7.5546875" style="400" customWidth="1"/>
    <col min="2576" max="2576" width="6.88671875" style="400" customWidth="1"/>
    <col min="2577" max="2577" width="9.109375" style="400"/>
    <col min="2578" max="2578" width="9.88671875" style="400" customWidth="1"/>
    <col min="2579" max="2579" width="8.5546875" style="400" customWidth="1"/>
    <col min="2580" max="2580" width="9.6640625" style="400" customWidth="1"/>
    <col min="2581" max="2581" width="9.109375" style="400" bestFit="1" customWidth="1"/>
    <col min="2582" max="2817" width="9.109375" style="400"/>
    <col min="2818" max="2818" width="10.5546875" style="400" bestFit="1" customWidth="1"/>
    <col min="2819" max="2820" width="5.5546875" style="400" bestFit="1" customWidth="1"/>
    <col min="2821" max="2821" width="6" style="400" bestFit="1" customWidth="1"/>
    <col min="2822" max="2822" width="6.5546875" style="400" customWidth="1"/>
    <col min="2823" max="2823" width="7.109375" style="400" bestFit="1" customWidth="1"/>
    <col min="2824" max="2824" width="7.6640625" style="400" bestFit="1" customWidth="1"/>
    <col min="2825" max="2825" width="12.33203125" style="400" bestFit="1" customWidth="1"/>
    <col min="2826" max="2826" width="11.88671875" style="400" bestFit="1" customWidth="1"/>
    <col min="2827" max="2827" width="8.109375" style="400" bestFit="1" customWidth="1"/>
    <col min="2828" max="2828" width="12.33203125" style="400" customWidth="1"/>
    <col min="2829" max="2829" width="9.109375" style="400" bestFit="1" customWidth="1"/>
    <col min="2830" max="2830" width="7.109375" style="400" customWidth="1"/>
    <col min="2831" max="2831" width="7.5546875" style="400" customWidth="1"/>
    <col min="2832" max="2832" width="6.88671875" style="400" customWidth="1"/>
    <col min="2833" max="2833" width="9.109375" style="400"/>
    <col min="2834" max="2834" width="9.88671875" style="400" customWidth="1"/>
    <col min="2835" max="2835" width="8.5546875" style="400" customWidth="1"/>
    <col min="2836" max="2836" width="9.6640625" style="400" customWidth="1"/>
    <col min="2837" max="2837" width="9.109375" style="400" bestFit="1" customWidth="1"/>
    <col min="2838" max="3073" width="9.109375" style="400"/>
    <col min="3074" max="3074" width="10.5546875" style="400" bestFit="1" customWidth="1"/>
    <col min="3075" max="3076" width="5.5546875" style="400" bestFit="1" customWidth="1"/>
    <col min="3077" max="3077" width="6" style="400" bestFit="1" customWidth="1"/>
    <col min="3078" max="3078" width="6.5546875" style="400" customWidth="1"/>
    <col min="3079" max="3079" width="7.109375" style="400" bestFit="1" customWidth="1"/>
    <col min="3080" max="3080" width="7.6640625" style="400" bestFit="1" customWidth="1"/>
    <col min="3081" max="3081" width="12.33203125" style="400" bestFit="1" customWidth="1"/>
    <col min="3082" max="3082" width="11.88671875" style="400" bestFit="1" customWidth="1"/>
    <col min="3083" max="3083" width="8.109375" style="400" bestFit="1" customWidth="1"/>
    <col min="3084" max="3084" width="12.33203125" style="400" customWidth="1"/>
    <col min="3085" max="3085" width="9.109375" style="400" bestFit="1" customWidth="1"/>
    <col min="3086" max="3086" width="7.109375" style="400" customWidth="1"/>
    <col min="3087" max="3087" width="7.5546875" style="400" customWidth="1"/>
    <col min="3088" max="3088" width="6.88671875" style="400" customWidth="1"/>
    <col min="3089" max="3089" width="9.109375" style="400"/>
    <col min="3090" max="3090" width="9.88671875" style="400" customWidth="1"/>
    <col min="3091" max="3091" width="8.5546875" style="400" customWidth="1"/>
    <col min="3092" max="3092" width="9.6640625" style="400" customWidth="1"/>
    <col min="3093" max="3093" width="9.109375" style="400" bestFit="1" customWidth="1"/>
    <col min="3094" max="3329" width="9.109375" style="400"/>
    <col min="3330" max="3330" width="10.5546875" style="400" bestFit="1" customWidth="1"/>
    <col min="3331" max="3332" width="5.5546875" style="400" bestFit="1" customWidth="1"/>
    <col min="3333" max="3333" width="6" style="400" bestFit="1" customWidth="1"/>
    <col min="3334" max="3334" width="6.5546875" style="400" customWidth="1"/>
    <col min="3335" max="3335" width="7.109375" style="400" bestFit="1" customWidth="1"/>
    <col min="3336" max="3336" width="7.6640625" style="400" bestFit="1" customWidth="1"/>
    <col min="3337" max="3337" width="12.33203125" style="400" bestFit="1" customWidth="1"/>
    <col min="3338" max="3338" width="11.88671875" style="400" bestFit="1" customWidth="1"/>
    <col min="3339" max="3339" width="8.109375" style="400" bestFit="1" customWidth="1"/>
    <col min="3340" max="3340" width="12.33203125" style="400" customWidth="1"/>
    <col min="3341" max="3341" width="9.109375" style="400" bestFit="1" customWidth="1"/>
    <col min="3342" max="3342" width="7.109375" style="400" customWidth="1"/>
    <col min="3343" max="3343" width="7.5546875" style="400" customWidth="1"/>
    <col min="3344" max="3344" width="6.88671875" style="400" customWidth="1"/>
    <col min="3345" max="3345" width="9.109375" style="400"/>
    <col min="3346" max="3346" width="9.88671875" style="400" customWidth="1"/>
    <col min="3347" max="3347" width="8.5546875" style="400" customWidth="1"/>
    <col min="3348" max="3348" width="9.6640625" style="400" customWidth="1"/>
    <col min="3349" max="3349" width="9.109375" style="400" bestFit="1" customWidth="1"/>
    <col min="3350" max="3585" width="9.109375" style="400"/>
    <col min="3586" max="3586" width="10.5546875" style="400" bestFit="1" customWidth="1"/>
    <col min="3587" max="3588" width="5.5546875" style="400" bestFit="1" customWidth="1"/>
    <col min="3589" max="3589" width="6" style="400" bestFit="1" customWidth="1"/>
    <col min="3590" max="3590" width="6.5546875" style="400" customWidth="1"/>
    <col min="3591" max="3591" width="7.109375" style="400" bestFit="1" customWidth="1"/>
    <col min="3592" max="3592" width="7.6640625" style="400" bestFit="1" customWidth="1"/>
    <col min="3593" max="3593" width="12.33203125" style="400" bestFit="1" customWidth="1"/>
    <col min="3594" max="3594" width="11.88671875" style="400" bestFit="1" customWidth="1"/>
    <col min="3595" max="3595" width="8.109375" style="400" bestFit="1" customWidth="1"/>
    <col min="3596" max="3596" width="12.33203125" style="400" customWidth="1"/>
    <col min="3597" max="3597" width="9.109375" style="400" bestFit="1" customWidth="1"/>
    <col min="3598" max="3598" width="7.109375" style="400" customWidth="1"/>
    <col min="3599" max="3599" width="7.5546875" style="400" customWidth="1"/>
    <col min="3600" max="3600" width="6.88671875" style="400" customWidth="1"/>
    <col min="3601" max="3601" width="9.109375" style="400"/>
    <col min="3602" max="3602" width="9.88671875" style="400" customWidth="1"/>
    <col min="3603" max="3603" width="8.5546875" style="400" customWidth="1"/>
    <col min="3604" max="3604" width="9.6640625" style="400" customWidth="1"/>
    <col min="3605" max="3605" width="9.109375" style="400" bestFit="1" customWidth="1"/>
    <col min="3606" max="3841" width="9.109375" style="400"/>
    <col min="3842" max="3842" width="10.5546875" style="400" bestFit="1" customWidth="1"/>
    <col min="3843" max="3844" width="5.5546875" style="400" bestFit="1" customWidth="1"/>
    <col min="3845" max="3845" width="6" style="400" bestFit="1" customWidth="1"/>
    <col min="3846" max="3846" width="6.5546875" style="400" customWidth="1"/>
    <col min="3847" max="3847" width="7.109375" style="400" bestFit="1" customWidth="1"/>
    <col min="3848" max="3848" width="7.6640625" style="400" bestFit="1" customWidth="1"/>
    <col min="3849" max="3849" width="12.33203125" style="400" bestFit="1" customWidth="1"/>
    <col min="3850" max="3850" width="11.88671875" style="400" bestFit="1" customWidth="1"/>
    <col min="3851" max="3851" width="8.109375" style="400" bestFit="1" customWidth="1"/>
    <col min="3852" max="3852" width="12.33203125" style="400" customWidth="1"/>
    <col min="3853" max="3853" width="9.109375" style="400" bestFit="1" customWidth="1"/>
    <col min="3854" max="3854" width="7.109375" style="400" customWidth="1"/>
    <col min="3855" max="3855" width="7.5546875" style="400" customWidth="1"/>
    <col min="3856" max="3856" width="6.88671875" style="400" customWidth="1"/>
    <col min="3857" max="3857" width="9.109375" style="400"/>
    <col min="3858" max="3858" width="9.88671875" style="400" customWidth="1"/>
    <col min="3859" max="3859" width="8.5546875" style="400" customWidth="1"/>
    <col min="3860" max="3860" width="9.6640625" style="400" customWidth="1"/>
    <col min="3861" max="3861" width="9.109375" style="400" bestFit="1" customWidth="1"/>
    <col min="3862" max="4097" width="9.109375" style="400"/>
    <col min="4098" max="4098" width="10.5546875" style="400" bestFit="1" customWidth="1"/>
    <col min="4099" max="4100" width="5.5546875" style="400" bestFit="1" customWidth="1"/>
    <col min="4101" max="4101" width="6" style="400" bestFit="1" customWidth="1"/>
    <col min="4102" max="4102" width="6.5546875" style="400" customWidth="1"/>
    <col min="4103" max="4103" width="7.109375" style="400" bestFit="1" customWidth="1"/>
    <col min="4104" max="4104" width="7.6640625" style="400" bestFit="1" customWidth="1"/>
    <col min="4105" max="4105" width="12.33203125" style="400" bestFit="1" customWidth="1"/>
    <col min="4106" max="4106" width="11.88671875" style="400" bestFit="1" customWidth="1"/>
    <col min="4107" max="4107" width="8.109375" style="400" bestFit="1" customWidth="1"/>
    <col min="4108" max="4108" width="12.33203125" style="400" customWidth="1"/>
    <col min="4109" max="4109" width="9.109375" style="400" bestFit="1" customWidth="1"/>
    <col min="4110" max="4110" width="7.109375" style="400" customWidth="1"/>
    <col min="4111" max="4111" width="7.5546875" style="400" customWidth="1"/>
    <col min="4112" max="4112" width="6.88671875" style="400" customWidth="1"/>
    <col min="4113" max="4113" width="9.109375" style="400"/>
    <col min="4114" max="4114" width="9.88671875" style="400" customWidth="1"/>
    <col min="4115" max="4115" width="8.5546875" style="400" customWidth="1"/>
    <col min="4116" max="4116" width="9.6640625" style="400" customWidth="1"/>
    <col min="4117" max="4117" width="9.109375" style="400" bestFit="1" customWidth="1"/>
    <col min="4118" max="4353" width="9.109375" style="400"/>
    <col min="4354" max="4354" width="10.5546875" style="400" bestFit="1" customWidth="1"/>
    <col min="4355" max="4356" width="5.5546875" style="400" bestFit="1" customWidth="1"/>
    <col min="4357" max="4357" width="6" style="400" bestFit="1" customWidth="1"/>
    <col min="4358" max="4358" width="6.5546875" style="400" customWidth="1"/>
    <col min="4359" max="4359" width="7.109375" style="400" bestFit="1" customWidth="1"/>
    <col min="4360" max="4360" width="7.6640625" style="400" bestFit="1" customWidth="1"/>
    <col min="4361" max="4361" width="12.33203125" style="400" bestFit="1" customWidth="1"/>
    <col min="4362" max="4362" width="11.88671875" style="400" bestFit="1" customWidth="1"/>
    <col min="4363" max="4363" width="8.109375" style="400" bestFit="1" customWidth="1"/>
    <col min="4364" max="4364" width="12.33203125" style="400" customWidth="1"/>
    <col min="4365" max="4365" width="9.109375" style="400" bestFit="1" customWidth="1"/>
    <col min="4366" max="4366" width="7.109375" style="400" customWidth="1"/>
    <col min="4367" max="4367" width="7.5546875" style="400" customWidth="1"/>
    <col min="4368" max="4368" width="6.88671875" style="400" customWidth="1"/>
    <col min="4369" max="4369" width="9.109375" style="400"/>
    <col min="4370" max="4370" width="9.88671875" style="400" customWidth="1"/>
    <col min="4371" max="4371" width="8.5546875" style="400" customWidth="1"/>
    <col min="4372" max="4372" width="9.6640625" style="400" customWidth="1"/>
    <col min="4373" max="4373" width="9.109375" style="400" bestFit="1" customWidth="1"/>
    <col min="4374" max="4609" width="9.109375" style="400"/>
    <col min="4610" max="4610" width="10.5546875" style="400" bestFit="1" customWidth="1"/>
    <col min="4611" max="4612" width="5.5546875" style="400" bestFit="1" customWidth="1"/>
    <col min="4613" max="4613" width="6" style="400" bestFit="1" customWidth="1"/>
    <col min="4614" max="4614" width="6.5546875" style="400" customWidth="1"/>
    <col min="4615" max="4615" width="7.109375" style="400" bestFit="1" customWidth="1"/>
    <col min="4616" max="4616" width="7.6640625" style="400" bestFit="1" customWidth="1"/>
    <col min="4617" max="4617" width="12.33203125" style="400" bestFit="1" customWidth="1"/>
    <col min="4618" max="4618" width="11.88671875" style="400" bestFit="1" customWidth="1"/>
    <col min="4619" max="4619" width="8.109375" style="400" bestFit="1" customWidth="1"/>
    <col min="4620" max="4620" width="12.33203125" style="400" customWidth="1"/>
    <col min="4621" max="4621" width="9.109375" style="400" bestFit="1" customWidth="1"/>
    <col min="4622" max="4622" width="7.109375" style="400" customWidth="1"/>
    <col min="4623" max="4623" width="7.5546875" style="400" customWidth="1"/>
    <col min="4624" max="4624" width="6.88671875" style="400" customWidth="1"/>
    <col min="4625" max="4625" width="9.109375" style="400"/>
    <col min="4626" max="4626" width="9.88671875" style="400" customWidth="1"/>
    <col min="4627" max="4627" width="8.5546875" style="400" customWidth="1"/>
    <col min="4628" max="4628" width="9.6640625" style="400" customWidth="1"/>
    <col min="4629" max="4629" width="9.109375" style="400" bestFit="1" customWidth="1"/>
    <col min="4630" max="4865" width="9.109375" style="400"/>
    <col min="4866" max="4866" width="10.5546875" style="400" bestFit="1" customWidth="1"/>
    <col min="4867" max="4868" width="5.5546875" style="400" bestFit="1" customWidth="1"/>
    <col min="4869" max="4869" width="6" style="400" bestFit="1" customWidth="1"/>
    <col min="4870" max="4870" width="6.5546875" style="400" customWidth="1"/>
    <col min="4871" max="4871" width="7.109375" style="400" bestFit="1" customWidth="1"/>
    <col min="4872" max="4872" width="7.6640625" style="400" bestFit="1" customWidth="1"/>
    <col min="4873" max="4873" width="12.33203125" style="400" bestFit="1" customWidth="1"/>
    <col min="4874" max="4874" width="11.88671875" style="400" bestFit="1" customWidth="1"/>
    <col min="4875" max="4875" width="8.109375" style="400" bestFit="1" customWidth="1"/>
    <col min="4876" max="4876" width="12.33203125" style="400" customWidth="1"/>
    <col min="4877" max="4877" width="9.109375" style="400" bestFit="1" customWidth="1"/>
    <col min="4878" max="4878" width="7.109375" style="400" customWidth="1"/>
    <col min="4879" max="4879" width="7.5546875" style="400" customWidth="1"/>
    <col min="4880" max="4880" width="6.88671875" style="400" customWidth="1"/>
    <col min="4881" max="4881" width="9.109375" style="400"/>
    <col min="4882" max="4882" width="9.88671875" style="400" customWidth="1"/>
    <col min="4883" max="4883" width="8.5546875" style="400" customWidth="1"/>
    <col min="4884" max="4884" width="9.6640625" style="400" customWidth="1"/>
    <col min="4885" max="4885" width="9.109375" style="400" bestFit="1" customWidth="1"/>
    <col min="4886" max="5121" width="9.109375" style="400"/>
    <col min="5122" max="5122" width="10.5546875" style="400" bestFit="1" customWidth="1"/>
    <col min="5123" max="5124" width="5.5546875" style="400" bestFit="1" customWidth="1"/>
    <col min="5125" max="5125" width="6" style="400" bestFit="1" customWidth="1"/>
    <col min="5126" max="5126" width="6.5546875" style="400" customWidth="1"/>
    <col min="5127" max="5127" width="7.109375" style="400" bestFit="1" customWidth="1"/>
    <col min="5128" max="5128" width="7.6640625" style="400" bestFit="1" customWidth="1"/>
    <col min="5129" max="5129" width="12.33203125" style="400" bestFit="1" customWidth="1"/>
    <col min="5130" max="5130" width="11.88671875" style="400" bestFit="1" customWidth="1"/>
    <col min="5131" max="5131" width="8.109375" style="400" bestFit="1" customWidth="1"/>
    <col min="5132" max="5132" width="12.33203125" style="400" customWidth="1"/>
    <col min="5133" max="5133" width="9.109375" style="400" bestFit="1" customWidth="1"/>
    <col min="5134" max="5134" width="7.109375" style="400" customWidth="1"/>
    <col min="5135" max="5135" width="7.5546875" style="400" customWidth="1"/>
    <col min="5136" max="5136" width="6.88671875" style="400" customWidth="1"/>
    <col min="5137" max="5137" width="9.109375" style="400"/>
    <col min="5138" max="5138" width="9.88671875" style="400" customWidth="1"/>
    <col min="5139" max="5139" width="8.5546875" style="400" customWidth="1"/>
    <col min="5140" max="5140" width="9.6640625" style="400" customWidth="1"/>
    <col min="5141" max="5141" width="9.109375" style="400" bestFit="1" customWidth="1"/>
    <col min="5142" max="5377" width="9.109375" style="400"/>
    <col min="5378" max="5378" width="10.5546875" style="400" bestFit="1" customWidth="1"/>
    <col min="5379" max="5380" width="5.5546875" style="400" bestFit="1" customWidth="1"/>
    <col min="5381" max="5381" width="6" style="400" bestFit="1" customWidth="1"/>
    <col min="5382" max="5382" width="6.5546875" style="400" customWidth="1"/>
    <col min="5383" max="5383" width="7.109375" style="400" bestFit="1" customWidth="1"/>
    <col min="5384" max="5384" width="7.6640625" style="400" bestFit="1" customWidth="1"/>
    <col min="5385" max="5385" width="12.33203125" style="400" bestFit="1" customWidth="1"/>
    <col min="5386" max="5386" width="11.88671875" style="400" bestFit="1" customWidth="1"/>
    <col min="5387" max="5387" width="8.109375" style="400" bestFit="1" customWidth="1"/>
    <col min="5388" max="5388" width="12.33203125" style="400" customWidth="1"/>
    <col min="5389" max="5389" width="9.109375" style="400" bestFit="1" customWidth="1"/>
    <col min="5390" max="5390" width="7.109375" style="400" customWidth="1"/>
    <col min="5391" max="5391" width="7.5546875" style="400" customWidth="1"/>
    <col min="5392" max="5392" width="6.88671875" style="400" customWidth="1"/>
    <col min="5393" max="5393" width="9.109375" style="400"/>
    <col min="5394" max="5394" width="9.88671875" style="400" customWidth="1"/>
    <col min="5395" max="5395" width="8.5546875" style="400" customWidth="1"/>
    <col min="5396" max="5396" width="9.6640625" style="400" customWidth="1"/>
    <col min="5397" max="5397" width="9.109375" style="400" bestFit="1" customWidth="1"/>
    <col min="5398" max="5633" width="9.109375" style="400"/>
    <col min="5634" max="5634" width="10.5546875" style="400" bestFit="1" customWidth="1"/>
    <col min="5635" max="5636" width="5.5546875" style="400" bestFit="1" customWidth="1"/>
    <col min="5637" max="5637" width="6" style="400" bestFit="1" customWidth="1"/>
    <col min="5638" max="5638" width="6.5546875" style="400" customWidth="1"/>
    <col min="5639" max="5639" width="7.109375" style="400" bestFit="1" customWidth="1"/>
    <col min="5640" max="5640" width="7.6640625" style="400" bestFit="1" customWidth="1"/>
    <col min="5641" max="5641" width="12.33203125" style="400" bestFit="1" customWidth="1"/>
    <col min="5642" max="5642" width="11.88671875" style="400" bestFit="1" customWidth="1"/>
    <col min="5643" max="5643" width="8.109375" style="400" bestFit="1" customWidth="1"/>
    <col min="5644" max="5644" width="12.33203125" style="400" customWidth="1"/>
    <col min="5645" max="5645" width="9.109375" style="400" bestFit="1" customWidth="1"/>
    <col min="5646" max="5646" width="7.109375" style="400" customWidth="1"/>
    <col min="5647" max="5647" width="7.5546875" style="400" customWidth="1"/>
    <col min="5648" max="5648" width="6.88671875" style="400" customWidth="1"/>
    <col min="5649" max="5649" width="9.109375" style="400"/>
    <col min="5650" max="5650" width="9.88671875" style="400" customWidth="1"/>
    <col min="5651" max="5651" width="8.5546875" style="400" customWidth="1"/>
    <col min="5652" max="5652" width="9.6640625" style="400" customWidth="1"/>
    <col min="5653" max="5653" width="9.109375" style="400" bestFit="1" customWidth="1"/>
    <col min="5654" max="5889" width="9.109375" style="400"/>
    <col min="5890" max="5890" width="10.5546875" style="400" bestFit="1" customWidth="1"/>
    <col min="5891" max="5892" width="5.5546875" style="400" bestFit="1" customWidth="1"/>
    <col min="5893" max="5893" width="6" style="400" bestFit="1" customWidth="1"/>
    <col min="5894" max="5894" width="6.5546875" style="400" customWidth="1"/>
    <col min="5895" max="5895" width="7.109375" style="400" bestFit="1" customWidth="1"/>
    <col min="5896" max="5896" width="7.6640625" style="400" bestFit="1" customWidth="1"/>
    <col min="5897" max="5897" width="12.33203125" style="400" bestFit="1" customWidth="1"/>
    <col min="5898" max="5898" width="11.88671875" style="400" bestFit="1" customWidth="1"/>
    <col min="5899" max="5899" width="8.109375" style="400" bestFit="1" customWidth="1"/>
    <col min="5900" max="5900" width="12.33203125" style="400" customWidth="1"/>
    <col min="5901" max="5901" width="9.109375" style="400" bestFit="1" customWidth="1"/>
    <col min="5902" max="5902" width="7.109375" style="400" customWidth="1"/>
    <col min="5903" max="5903" width="7.5546875" style="400" customWidth="1"/>
    <col min="5904" max="5904" width="6.88671875" style="400" customWidth="1"/>
    <col min="5905" max="5905" width="9.109375" style="400"/>
    <col min="5906" max="5906" width="9.88671875" style="400" customWidth="1"/>
    <col min="5907" max="5907" width="8.5546875" style="400" customWidth="1"/>
    <col min="5908" max="5908" width="9.6640625" style="400" customWidth="1"/>
    <col min="5909" max="5909" width="9.109375" style="400" bestFit="1" customWidth="1"/>
    <col min="5910" max="6145" width="9.109375" style="400"/>
    <col min="6146" max="6146" width="10.5546875" style="400" bestFit="1" customWidth="1"/>
    <col min="6147" max="6148" width="5.5546875" style="400" bestFit="1" customWidth="1"/>
    <col min="6149" max="6149" width="6" style="400" bestFit="1" customWidth="1"/>
    <col min="6150" max="6150" width="6.5546875" style="400" customWidth="1"/>
    <col min="6151" max="6151" width="7.109375" style="400" bestFit="1" customWidth="1"/>
    <col min="6152" max="6152" width="7.6640625" style="400" bestFit="1" customWidth="1"/>
    <col min="6153" max="6153" width="12.33203125" style="400" bestFit="1" customWidth="1"/>
    <col min="6154" max="6154" width="11.88671875" style="400" bestFit="1" customWidth="1"/>
    <col min="6155" max="6155" width="8.109375" style="400" bestFit="1" customWidth="1"/>
    <col min="6156" max="6156" width="12.33203125" style="400" customWidth="1"/>
    <col min="6157" max="6157" width="9.109375" style="400" bestFit="1" customWidth="1"/>
    <col min="6158" max="6158" width="7.109375" style="400" customWidth="1"/>
    <col min="6159" max="6159" width="7.5546875" style="400" customWidth="1"/>
    <col min="6160" max="6160" width="6.88671875" style="400" customWidth="1"/>
    <col min="6161" max="6161" width="9.109375" style="400"/>
    <col min="6162" max="6162" width="9.88671875" style="400" customWidth="1"/>
    <col min="6163" max="6163" width="8.5546875" style="400" customWidth="1"/>
    <col min="6164" max="6164" width="9.6640625" style="400" customWidth="1"/>
    <col min="6165" max="6165" width="9.109375" style="400" bestFit="1" customWidth="1"/>
    <col min="6166" max="6401" width="9.109375" style="400"/>
    <col min="6402" max="6402" width="10.5546875" style="400" bestFit="1" customWidth="1"/>
    <col min="6403" max="6404" width="5.5546875" style="400" bestFit="1" customWidth="1"/>
    <col min="6405" max="6405" width="6" style="400" bestFit="1" customWidth="1"/>
    <col min="6406" max="6406" width="6.5546875" style="400" customWidth="1"/>
    <col min="6407" max="6407" width="7.109375" style="400" bestFit="1" customWidth="1"/>
    <col min="6408" max="6408" width="7.6640625" style="400" bestFit="1" customWidth="1"/>
    <col min="6409" max="6409" width="12.33203125" style="400" bestFit="1" customWidth="1"/>
    <col min="6410" max="6410" width="11.88671875" style="400" bestFit="1" customWidth="1"/>
    <col min="6411" max="6411" width="8.109375" style="400" bestFit="1" customWidth="1"/>
    <col min="6412" max="6412" width="12.33203125" style="400" customWidth="1"/>
    <col min="6413" max="6413" width="9.109375" style="400" bestFit="1" customWidth="1"/>
    <col min="6414" max="6414" width="7.109375" style="400" customWidth="1"/>
    <col min="6415" max="6415" width="7.5546875" style="400" customWidth="1"/>
    <col min="6416" max="6416" width="6.88671875" style="400" customWidth="1"/>
    <col min="6417" max="6417" width="9.109375" style="400"/>
    <col min="6418" max="6418" width="9.88671875" style="400" customWidth="1"/>
    <col min="6419" max="6419" width="8.5546875" style="400" customWidth="1"/>
    <col min="6420" max="6420" width="9.6640625" style="400" customWidth="1"/>
    <col min="6421" max="6421" width="9.109375" style="400" bestFit="1" customWidth="1"/>
    <col min="6422" max="6657" width="9.109375" style="400"/>
    <col min="6658" max="6658" width="10.5546875" style="400" bestFit="1" customWidth="1"/>
    <col min="6659" max="6660" width="5.5546875" style="400" bestFit="1" customWidth="1"/>
    <col min="6661" max="6661" width="6" style="400" bestFit="1" customWidth="1"/>
    <col min="6662" max="6662" width="6.5546875" style="400" customWidth="1"/>
    <col min="6663" max="6663" width="7.109375" style="400" bestFit="1" customWidth="1"/>
    <col min="6664" max="6664" width="7.6640625" style="400" bestFit="1" customWidth="1"/>
    <col min="6665" max="6665" width="12.33203125" style="400" bestFit="1" customWidth="1"/>
    <col min="6666" max="6666" width="11.88671875" style="400" bestFit="1" customWidth="1"/>
    <col min="6667" max="6667" width="8.109375" style="400" bestFit="1" customWidth="1"/>
    <col min="6668" max="6668" width="12.33203125" style="400" customWidth="1"/>
    <col min="6669" max="6669" width="9.109375" style="400" bestFit="1" customWidth="1"/>
    <col min="6670" max="6670" width="7.109375" style="400" customWidth="1"/>
    <col min="6671" max="6671" width="7.5546875" style="400" customWidth="1"/>
    <col min="6672" max="6672" width="6.88671875" style="400" customWidth="1"/>
    <col min="6673" max="6673" width="9.109375" style="400"/>
    <col min="6674" max="6674" width="9.88671875" style="400" customWidth="1"/>
    <col min="6675" max="6675" width="8.5546875" style="400" customWidth="1"/>
    <col min="6676" max="6676" width="9.6640625" style="400" customWidth="1"/>
    <col min="6677" max="6677" width="9.109375" style="400" bestFit="1" customWidth="1"/>
    <col min="6678" max="6913" width="9.109375" style="400"/>
    <col min="6914" max="6914" width="10.5546875" style="400" bestFit="1" customWidth="1"/>
    <col min="6915" max="6916" width="5.5546875" style="400" bestFit="1" customWidth="1"/>
    <col min="6917" max="6917" width="6" style="400" bestFit="1" customWidth="1"/>
    <col min="6918" max="6918" width="6.5546875" style="400" customWidth="1"/>
    <col min="6919" max="6919" width="7.109375" style="400" bestFit="1" customWidth="1"/>
    <col min="6920" max="6920" width="7.6640625" style="400" bestFit="1" customWidth="1"/>
    <col min="6921" max="6921" width="12.33203125" style="400" bestFit="1" customWidth="1"/>
    <col min="6922" max="6922" width="11.88671875" style="400" bestFit="1" customWidth="1"/>
    <col min="6923" max="6923" width="8.109375" style="400" bestFit="1" customWidth="1"/>
    <col min="6924" max="6924" width="12.33203125" style="400" customWidth="1"/>
    <col min="6925" max="6925" width="9.109375" style="400" bestFit="1" customWidth="1"/>
    <col min="6926" max="6926" width="7.109375" style="400" customWidth="1"/>
    <col min="6927" max="6927" width="7.5546875" style="400" customWidth="1"/>
    <col min="6928" max="6928" width="6.88671875" style="400" customWidth="1"/>
    <col min="6929" max="6929" width="9.109375" style="400"/>
    <col min="6930" max="6930" width="9.88671875" style="400" customWidth="1"/>
    <col min="6931" max="6931" width="8.5546875" style="400" customWidth="1"/>
    <col min="6932" max="6932" width="9.6640625" style="400" customWidth="1"/>
    <col min="6933" max="6933" width="9.109375" style="400" bestFit="1" customWidth="1"/>
    <col min="6934" max="7169" width="9.109375" style="400"/>
    <col min="7170" max="7170" width="10.5546875" style="400" bestFit="1" customWidth="1"/>
    <col min="7171" max="7172" width="5.5546875" style="400" bestFit="1" customWidth="1"/>
    <col min="7173" max="7173" width="6" style="400" bestFit="1" customWidth="1"/>
    <col min="7174" max="7174" width="6.5546875" style="400" customWidth="1"/>
    <col min="7175" max="7175" width="7.109375" style="400" bestFit="1" customWidth="1"/>
    <col min="7176" max="7176" width="7.6640625" style="400" bestFit="1" customWidth="1"/>
    <col min="7177" max="7177" width="12.33203125" style="400" bestFit="1" customWidth="1"/>
    <col min="7178" max="7178" width="11.88671875" style="400" bestFit="1" customWidth="1"/>
    <col min="7179" max="7179" width="8.109375" style="400" bestFit="1" customWidth="1"/>
    <col min="7180" max="7180" width="12.33203125" style="400" customWidth="1"/>
    <col min="7181" max="7181" width="9.109375" style="400" bestFit="1" customWidth="1"/>
    <col min="7182" max="7182" width="7.109375" style="400" customWidth="1"/>
    <col min="7183" max="7183" width="7.5546875" style="400" customWidth="1"/>
    <col min="7184" max="7184" width="6.88671875" style="400" customWidth="1"/>
    <col min="7185" max="7185" width="9.109375" style="400"/>
    <col min="7186" max="7186" width="9.88671875" style="400" customWidth="1"/>
    <col min="7187" max="7187" width="8.5546875" style="400" customWidth="1"/>
    <col min="7188" max="7188" width="9.6640625" style="400" customWidth="1"/>
    <col min="7189" max="7189" width="9.109375" style="400" bestFit="1" customWidth="1"/>
    <col min="7190" max="7425" width="9.109375" style="400"/>
    <col min="7426" max="7426" width="10.5546875" style="400" bestFit="1" customWidth="1"/>
    <col min="7427" max="7428" width="5.5546875" style="400" bestFit="1" customWidth="1"/>
    <col min="7429" max="7429" width="6" style="400" bestFit="1" customWidth="1"/>
    <col min="7430" max="7430" width="6.5546875" style="400" customWidth="1"/>
    <col min="7431" max="7431" width="7.109375" style="400" bestFit="1" customWidth="1"/>
    <col min="7432" max="7432" width="7.6640625" style="400" bestFit="1" customWidth="1"/>
    <col min="7433" max="7433" width="12.33203125" style="400" bestFit="1" customWidth="1"/>
    <col min="7434" max="7434" width="11.88671875" style="400" bestFit="1" customWidth="1"/>
    <col min="7435" max="7435" width="8.109375" style="400" bestFit="1" customWidth="1"/>
    <col min="7436" max="7436" width="12.33203125" style="400" customWidth="1"/>
    <col min="7437" max="7437" width="9.109375" style="400" bestFit="1" customWidth="1"/>
    <col min="7438" max="7438" width="7.109375" style="400" customWidth="1"/>
    <col min="7439" max="7439" width="7.5546875" style="400" customWidth="1"/>
    <col min="7440" max="7440" width="6.88671875" style="400" customWidth="1"/>
    <col min="7441" max="7441" width="9.109375" style="400"/>
    <col min="7442" max="7442" width="9.88671875" style="400" customWidth="1"/>
    <col min="7443" max="7443" width="8.5546875" style="400" customWidth="1"/>
    <col min="7444" max="7444" width="9.6640625" style="400" customWidth="1"/>
    <col min="7445" max="7445" width="9.109375" style="400" bestFit="1" customWidth="1"/>
    <col min="7446" max="7681" width="9.109375" style="400"/>
    <col min="7682" max="7682" width="10.5546875" style="400" bestFit="1" customWidth="1"/>
    <col min="7683" max="7684" width="5.5546875" style="400" bestFit="1" customWidth="1"/>
    <col min="7685" max="7685" width="6" style="400" bestFit="1" customWidth="1"/>
    <col min="7686" max="7686" width="6.5546875" style="400" customWidth="1"/>
    <col min="7687" max="7687" width="7.109375" style="400" bestFit="1" customWidth="1"/>
    <col min="7688" max="7688" width="7.6640625" style="400" bestFit="1" customWidth="1"/>
    <col min="7689" max="7689" width="12.33203125" style="400" bestFit="1" customWidth="1"/>
    <col min="7690" max="7690" width="11.88671875" style="400" bestFit="1" customWidth="1"/>
    <col min="7691" max="7691" width="8.109375" style="400" bestFit="1" customWidth="1"/>
    <col min="7692" max="7692" width="12.33203125" style="400" customWidth="1"/>
    <col min="7693" max="7693" width="9.109375" style="400" bestFit="1" customWidth="1"/>
    <col min="7694" max="7694" width="7.109375" style="400" customWidth="1"/>
    <col min="7695" max="7695" width="7.5546875" style="400" customWidth="1"/>
    <col min="7696" max="7696" width="6.88671875" style="400" customWidth="1"/>
    <col min="7697" max="7697" width="9.109375" style="400"/>
    <col min="7698" max="7698" width="9.88671875" style="400" customWidth="1"/>
    <col min="7699" max="7699" width="8.5546875" style="400" customWidth="1"/>
    <col min="7700" max="7700" width="9.6640625" style="400" customWidth="1"/>
    <col min="7701" max="7701" width="9.109375" style="400" bestFit="1" customWidth="1"/>
    <col min="7702" max="7937" width="9.109375" style="400"/>
    <col min="7938" max="7938" width="10.5546875" style="400" bestFit="1" customWidth="1"/>
    <col min="7939" max="7940" width="5.5546875" style="400" bestFit="1" customWidth="1"/>
    <col min="7941" max="7941" width="6" style="400" bestFit="1" customWidth="1"/>
    <col min="7942" max="7942" width="6.5546875" style="400" customWidth="1"/>
    <col min="7943" max="7943" width="7.109375" style="400" bestFit="1" customWidth="1"/>
    <col min="7944" max="7944" width="7.6640625" style="400" bestFit="1" customWidth="1"/>
    <col min="7945" max="7945" width="12.33203125" style="400" bestFit="1" customWidth="1"/>
    <col min="7946" max="7946" width="11.88671875" style="400" bestFit="1" customWidth="1"/>
    <col min="7947" max="7947" width="8.109375" style="400" bestFit="1" customWidth="1"/>
    <col min="7948" max="7948" width="12.33203125" style="400" customWidth="1"/>
    <col min="7949" max="7949" width="9.109375" style="400" bestFit="1" customWidth="1"/>
    <col min="7950" max="7950" width="7.109375" style="400" customWidth="1"/>
    <col min="7951" max="7951" width="7.5546875" style="400" customWidth="1"/>
    <col min="7952" max="7952" width="6.88671875" style="400" customWidth="1"/>
    <col min="7953" max="7953" width="9.109375" style="400"/>
    <col min="7954" max="7954" width="9.88671875" style="400" customWidth="1"/>
    <col min="7955" max="7955" width="8.5546875" style="400" customWidth="1"/>
    <col min="7956" max="7956" width="9.6640625" style="400" customWidth="1"/>
    <col min="7957" max="7957" width="9.109375" style="400" bestFit="1" customWidth="1"/>
    <col min="7958" max="8193" width="9.109375" style="400"/>
    <col min="8194" max="8194" width="10.5546875" style="400" bestFit="1" customWidth="1"/>
    <col min="8195" max="8196" width="5.5546875" style="400" bestFit="1" customWidth="1"/>
    <col min="8197" max="8197" width="6" style="400" bestFit="1" customWidth="1"/>
    <col min="8198" max="8198" width="6.5546875" style="400" customWidth="1"/>
    <col min="8199" max="8199" width="7.109375" style="400" bestFit="1" customWidth="1"/>
    <col min="8200" max="8200" width="7.6640625" style="400" bestFit="1" customWidth="1"/>
    <col min="8201" max="8201" width="12.33203125" style="400" bestFit="1" customWidth="1"/>
    <col min="8202" max="8202" width="11.88671875" style="400" bestFit="1" customWidth="1"/>
    <col min="8203" max="8203" width="8.109375" style="400" bestFit="1" customWidth="1"/>
    <col min="8204" max="8204" width="12.33203125" style="400" customWidth="1"/>
    <col min="8205" max="8205" width="9.109375" style="400" bestFit="1" customWidth="1"/>
    <col min="8206" max="8206" width="7.109375" style="400" customWidth="1"/>
    <col min="8207" max="8207" width="7.5546875" style="400" customWidth="1"/>
    <col min="8208" max="8208" width="6.88671875" style="400" customWidth="1"/>
    <col min="8209" max="8209" width="9.109375" style="400"/>
    <col min="8210" max="8210" width="9.88671875" style="400" customWidth="1"/>
    <col min="8211" max="8211" width="8.5546875" style="400" customWidth="1"/>
    <col min="8212" max="8212" width="9.6640625" style="400" customWidth="1"/>
    <col min="8213" max="8213" width="9.109375" style="400" bestFit="1" customWidth="1"/>
    <col min="8214" max="8449" width="9.109375" style="400"/>
    <col min="8450" max="8450" width="10.5546875" style="400" bestFit="1" customWidth="1"/>
    <col min="8451" max="8452" width="5.5546875" style="400" bestFit="1" customWidth="1"/>
    <col min="8453" max="8453" width="6" style="400" bestFit="1" customWidth="1"/>
    <col min="8454" max="8454" width="6.5546875" style="400" customWidth="1"/>
    <col min="8455" max="8455" width="7.109375" style="400" bestFit="1" customWidth="1"/>
    <col min="8456" max="8456" width="7.6640625" style="400" bestFit="1" customWidth="1"/>
    <col min="8457" max="8457" width="12.33203125" style="400" bestFit="1" customWidth="1"/>
    <col min="8458" max="8458" width="11.88671875" style="400" bestFit="1" customWidth="1"/>
    <col min="8459" max="8459" width="8.109375" style="400" bestFit="1" customWidth="1"/>
    <col min="8460" max="8460" width="12.33203125" style="400" customWidth="1"/>
    <col min="8461" max="8461" width="9.109375" style="400" bestFit="1" customWidth="1"/>
    <col min="8462" max="8462" width="7.109375" style="400" customWidth="1"/>
    <col min="8463" max="8463" width="7.5546875" style="400" customWidth="1"/>
    <col min="8464" max="8464" width="6.88671875" style="400" customWidth="1"/>
    <col min="8465" max="8465" width="9.109375" style="400"/>
    <col min="8466" max="8466" width="9.88671875" style="400" customWidth="1"/>
    <col min="8467" max="8467" width="8.5546875" style="400" customWidth="1"/>
    <col min="8468" max="8468" width="9.6640625" style="400" customWidth="1"/>
    <col min="8469" max="8469" width="9.109375" style="400" bestFit="1" customWidth="1"/>
    <col min="8470" max="8705" width="9.109375" style="400"/>
    <col min="8706" max="8706" width="10.5546875" style="400" bestFit="1" customWidth="1"/>
    <col min="8707" max="8708" width="5.5546875" style="400" bestFit="1" customWidth="1"/>
    <col min="8709" max="8709" width="6" style="400" bestFit="1" customWidth="1"/>
    <col min="8710" max="8710" width="6.5546875" style="400" customWidth="1"/>
    <col min="8711" max="8711" width="7.109375" style="400" bestFit="1" customWidth="1"/>
    <col min="8712" max="8712" width="7.6640625" style="400" bestFit="1" customWidth="1"/>
    <col min="8713" max="8713" width="12.33203125" style="400" bestFit="1" customWidth="1"/>
    <col min="8714" max="8714" width="11.88671875" style="400" bestFit="1" customWidth="1"/>
    <col min="8715" max="8715" width="8.109375" style="400" bestFit="1" customWidth="1"/>
    <col min="8716" max="8716" width="12.33203125" style="400" customWidth="1"/>
    <col min="8717" max="8717" width="9.109375" style="400" bestFit="1" customWidth="1"/>
    <col min="8718" max="8718" width="7.109375" style="400" customWidth="1"/>
    <col min="8719" max="8719" width="7.5546875" style="400" customWidth="1"/>
    <col min="8720" max="8720" width="6.88671875" style="400" customWidth="1"/>
    <col min="8721" max="8721" width="9.109375" style="400"/>
    <col min="8722" max="8722" width="9.88671875" style="400" customWidth="1"/>
    <col min="8723" max="8723" width="8.5546875" style="400" customWidth="1"/>
    <col min="8724" max="8724" width="9.6640625" style="400" customWidth="1"/>
    <col min="8725" max="8725" width="9.109375" style="400" bestFit="1" customWidth="1"/>
    <col min="8726" max="8961" width="9.109375" style="400"/>
    <col min="8962" max="8962" width="10.5546875" style="400" bestFit="1" customWidth="1"/>
    <col min="8963" max="8964" width="5.5546875" style="400" bestFit="1" customWidth="1"/>
    <col min="8965" max="8965" width="6" style="400" bestFit="1" customWidth="1"/>
    <col min="8966" max="8966" width="6.5546875" style="400" customWidth="1"/>
    <col min="8967" max="8967" width="7.109375" style="400" bestFit="1" customWidth="1"/>
    <col min="8968" max="8968" width="7.6640625" style="400" bestFit="1" customWidth="1"/>
    <col min="8969" max="8969" width="12.33203125" style="400" bestFit="1" customWidth="1"/>
    <col min="8970" max="8970" width="11.88671875" style="400" bestFit="1" customWidth="1"/>
    <col min="8971" max="8971" width="8.109375" style="400" bestFit="1" customWidth="1"/>
    <col min="8972" max="8972" width="12.33203125" style="400" customWidth="1"/>
    <col min="8973" max="8973" width="9.109375" style="400" bestFit="1" customWidth="1"/>
    <col min="8974" max="8974" width="7.109375" style="400" customWidth="1"/>
    <col min="8975" max="8975" width="7.5546875" style="400" customWidth="1"/>
    <col min="8976" max="8976" width="6.88671875" style="400" customWidth="1"/>
    <col min="8977" max="8977" width="9.109375" style="400"/>
    <col min="8978" max="8978" width="9.88671875" style="400" customWidth="1"/>
    <col min="8979" max="8979" width="8.5546875" style="400" customWidth="1"/>
    <col min="8980" max="8980" width="9.6640625" style="400" customWidth="1"/>
    <col min="8981" max="8981" width="9.109375" style="400" bestFit="1" customWidth="1"/>
    <col min="8982" max="9217" width="9.109375" style="400"/>
    <col min="9218" max="9218" width="10.5546875" style="400" bestFit="1" customWidth="1"/>
    <col min="9219" max="9220" width="5.5546875" style="400" bestFit="1" customWidth="1"/>
    <col min="9221" max="9221" width="6" style="400" bestFit="1" customWidth="1"/>
    <col min="9222" max="9222" width="6.5546875" style="400" customWidth="1"/>
    <col min="9223" max="9223" width="7.109375" style="400" bestFit="1" customWidth="1"/>
    <col min="9224" max="9224" width="7.6640625" style="400" bestFit="1" customWidth="1"/>
    <col min="9225" max="9225" width="12.33203125" style="400" bestFit="1" customWidth="1"/>
    <col min="9226" max="9226" width="11.88671875" style="400" bestFit="1" customWidth="1"/>
    <col min="9227" max="9227" width="8.109375" style="400" bestFit="1" customWidth="1"/>
    <col min="9228" max="9228" width="12.33203125" style="400" customWidth="1"/>
    <col min="9229" max="9229" width="9.109375" style="400" bestFit="1" customWidth="1"/>
    <col min="9230" max="9230" width="7.109375" style="400" customWidth="1"/>
    <col min="9231" max="9231" width="7.5546875" style="400" customWidth="1"/>
    <col min="9232" max="9232" width="6.88671875" style="400" customWidth="1"/>
    <col min="9233" max="9233" width="9.109375" style="400"/>
    <col min="9234" max="9234" width="9.88671875" style="400" customWidth="1"/>
    <col min="9235" max="9235" width="8.5546875" style="400" customWidth="1"/>
    <col min="9236" max="9236" width="9.6640625" style="400" customWidth="1"/>
    <col min="9237" max="9237" width="9.109375" style="400" bestFit="1" customWidth="1"/>
    <col min="9238" max="9473" width="9.109375" style="400"/>
    <col min="9474" max="9474" width="10.5546875" style="400" bestFit="1" customWidth="1"/>
    <col min="9475" max="9476" width="5.5546875" style="400" bestFit="1" customWidth="1"/>
    <col min="9477" max="9477" width="6" style="400" bestFit="1" customWidth="1"/>
    <col min="9478" max="9478" width="6.5546875" style="400" customWidth="1"/>
    <col min="9479" max="9479" width="7.109375" style="400" bestFit="1" customWidth="1"/>
    <col min="9480" max="9480" width="7.6640625" style="400" bestFit="1" customWidth="1"/>
    <col min="9481" max="9481" width="12.33203125" style="400" bestFit="1" customWidth="1"/>
    <col min="9482" max="9482" width="11.88671875" style="400" bestFit="1" customWidth="1"/>
    <col min="9483" max="9483" width="8.109375" style="400" bestFit="1" customWidth="1"/>
    <col min="9484" max="9484" width="12.33203125" style="400" customWidth="1"/>
    <col min="9485" max="9485" width="9.109375" style="400" bestFit="1" customWidth="1"/>
    <col min="9486" max="9486" width="7.109375" style="400" customWidth="1"/>
    <col min="9487" max="9487" width="7.5546875" style="400" customWidth="1"/>
    <col min="9488" max="9488" width="6.88671875" style="400" customWidth="1"/>
    <col min="9489" max="9489" width="9.109375" style="400"/>
    <col min="9490" max="9490" width="9.88671875" style="400" customWidth="1"/>
    <col min="9491" max="9491" width="8.5546875" style="400" customWidth="1"/>
    <col min="9492" max="9492" width="9.6640625" style="400" customWidth="1"/>
    <col min="9493" max="9493" width="9.109375" style="400" bestFit="1" customWidth="1"/>
    <col min="9494" max="9729" width="9.109375" style="400"/>
    <col min="9730" max="9730" width="10.5546875" style="400" bestFit="1" customWidth="1"/>
    <col min="9731" max="9732" width="5.5546875" style="400" bestFit="1" customWidth="1"/>
    <col min="9733" max="9733" width="6" style="400" bestFit="1" customWidth="1"/>
    <col min="9734" max="9734" width="6.5546875" style="400" customWidth="1"/>
    <col min="9735" max="9735" width="7.109375" style="400" bestFit="1" customWidth="1"/>
    <col min="9736" max="9736" width="7.6640625" style="400" bestFit="1" customWidth="1"/>
    <col min="9737" max="9737" width="12.33203125" style="400" bestFit="1" customWidth="1"/>
    <col min="9738" max="9738" width="11.88671875" style="400" bestFit="1" customWidth="1"/>
    <col min="9739" max="9739" width="8.109375" style="400" bestFit="1" customWidth="1"/>
    <col min="9740" max="9740" width="12.33203125" style="400" customWidth="1"/>
    <col min="9741" max="9741" width="9.109375" style="400" bestFit="1" customWidth="1"/>
    <col min="9742" max="9742" width="7.109375" style="400" customWidth="1"/>
    <col min="9743" max="9743" width="7.5546875" style="400" customWidth="1"/>
    <col min="9744" max="9744" width="6.88671875" style="400" customWidth="1"/>
    <col min="9745" max="9745" width="9.109375" style="400"/>
    <col min="9746" max="9746" width="9.88671875" style="400" customWidth="1"/>
    <col min="9747" max="9747" width="8.5546875" style="400" customWidth="1"/>
    <col min="9748" max="9748" width="9.6640625" style="400" customWidth="1"/>
    <col min="9749" max="9749" width="9.109375" style="400" bestFit="1" customWidth="1"/>
    <col min="9750" max="9985" width="9.109375" style="400"/>
    <col min="9986" max="9986" width="10.5546875" style="400" bestFit="1" customWidth="1"/>
    <col min="9987" max="9988" width="5.5546875" style="400" bestFit="1" customWidth="1"/>
    <col min="9989" max="9989" width="6" style="400" bestFit="1" customWidth="1"/>
    <col min="9990" max="9990" width="6.5546875" style="400" customWidth="1"/>
    <col min="9991" max="9991" width="7.109375" style="400" bestFit="1" customWidth="1"/>
    <col min="9992" max="9992" width="7.6640625" style="400" bestFit="1" customWidth="1"/>
    <col min="9993" max="9993" width="12.33203125" style="400" bestFit="1" customWidth="1"/>
    <col min="9994" max="9994" width="11.88671875" style="400" bestFit="1" customWidth="1"/>
    <col min="9995" max="9995" width="8.109375" style="400" bestFit="1" customWidth="1"/>
    <col min="9996" max="9996" width="12.33203125" style="400" customWidth="1"/>
    <col min="9997" max="9997" width="9.109375" style="400" bestFit="1" customWidth="1"/>
    <col min="9998" max="9998" width="7.109375" style="400" customWidth="1"/>
    <col min="9999" max="9999" width="7.5546875" style="400" customWidth="1"/>
    <col min="10000" max="10000" width="6.88671875" style="400" customWidth="1"/>
    <col min="10001" max="10001" width="9.109375" style="400"/>
    <col min="10002" max="10002" width="9.88671875" style="400" customWidth="1"/>
    <col min="10003" max="10003" width="8.5546875" style="400" customWidth="1"/>
    <col min="10004" max="10004" width="9.6640625" style="400" customWidth="1"/>
    <col min="10005" max="10005" width="9.109375" style="400" bestFit="1" customWidth="1"/>
    <col min="10006" max="10241" width="9.109375" style="400"/>
    <col min="10242" max="10242" width="10.5546875" style="400" bestFit="1" customWidth="1"/>
    <col min="10243" max="10244" width="5.5546875" style="400" bestFit="1" customWidth="1"/>
    <col min="10245" max="10245" width="6" style="400" bestFit="1" customWidth="1"/>
    <col min="10246" max="10246" width="6.5546875" style="400" customWidth="1"/>
    <col min="10247" max="10247" width="7.109375" style="400" bestFit="1" customWidth="1"/>
    <col min="10248" max="10248" width="7.6640625" style="400" bestFit="1" customWidth="1"/>
    <col min="10249" max="10249" width="12.33203125" style="400" bestFit="1" customWidth="1"/>
    <col min="10250" max="10250" width="11.88671875" style="400" bestFit="1" customWidth="1"/>
    <col min="10251" max="10251" width="8.109375" style="400" bestFit="1" customWidth="1"/>
    <col min="10252" max="10252" width="12.33203125" style="400" customWidth="1"/>
    <col min="10253" max="10253" width="9.109375" style="400" bestFit="1" customWidth="1"/>
    <col min="10254" max="10254" width="7.109375" style="400" customWidth="1"/>
    <col min="10255" max="10255" width="7.5546875" style="400" customWidth="1"/>
    <col min="10256" max="10256" width="6.88671875" style="400" customWidth="1"/>
    <col min="10257" max="10257" width="9.109375" style="400"/>
    <col min="10258" max="10258" width="9.88671875" style="400" customWidth="1"/>
    <col min="10259" max="10259" width="8.5546875" style="400" customWidth="1"/>
    <col min="10260" max="10260" width="9.6640625" style="400" customWidth="1"/>
    <col min="10261" max="10261" width="9.109375" style="400" bestFit="1" customWidth="1"/>
    <col min="10262" max="10497" width="9.109375" style="400"/>
    <col min="10498" max="10498" width="10.5546875" style="400" bestFit="1" customWidth="1"/>
    <col min="10499" max="10500" width="5.5546875" style="400" bestFit="1" customWidth="1"/>
    <col min="10501" max="10501" width="6" style="400" bestFit="1" customWidth="1"/>
    <col min="10502" max="10502" width="6.5546875" style="400" customWidth="1"/>
    <col min="10503" max="10503" width="7.109375" style="400" bestFit="1" customWidth="1"/>
    <col min="10504" max="10504" width="7.6640625" style="400" bestFit="1" customWidth="1"/>
    <col min="10505" max="10505" width="12.33203125" style="400" bestFit="1" customWidth="1"/>
    <col min="10506" max="10506" width="11.88671875" style="400" bestFit="1" customWidth="1"/>
    <col min="10507" max="10507" width="8.109375" style="400" bestFit="1" customWidth="1"/>
    <col min="10508" max="10508" width="12.33203125" style="400" customWidth="1"/>
    <col min="10509" max="10509" width="9.109375" style="400" bestFit="1" customWidth="1"/>
    <col min="10510" max="10510" width="7.109375" style="400" customWidth="1"/>
    <col min="10511" max="10511" width="7.5546875" style="400" customWidth="1"/>
    <col min="10512" max="10512" width="6.88671875" style="400" customWidth="1"/>
    <col min="10513" max="10513" width="9.109375" style="400"/>
    <col min="10514" max="10514" width="9.88671875" style="400" customWidth="1"/>
    <col min="10515" max="10515" width="8.5546875" style="400" customWidth="1"/>
    <col min="10516" max="10516" width="9.6640625" style="400" customWidth="1"/>
    <col min="10517" max="10517" width="9.109375" style="400" bestFit="1" customWidth="1"/>
    <col min="10518" max="10753" width="9.109375" style="400"/>
    <col min="10754" max="10754" width="10.5546875" style="400" bestFit="1" customWidth="1"/>
    <col min="10755" max="10756" width="5.5546875" style="400" bestFit="1" customWidth="1"/>
    <col min="10757" max="10757" width="6" style="400" bestFit="1" customWidth="1"/>
    <col min="10758" max="10758" width="6.5546875" style="400" customWidth="1"/>
    <col min="10759" max="10759" width="7.109375" style="400" bestFit="1" customWidth="1"/>
    <col min="10760" max="10760" width="7.6640625" style="400" bestFit="1" customWidth="1"/>
    <col min="10761" max="10761" width="12.33203125" style="400" bestFit="1" customWidth="1"/>
    <col min="10762" max="10762" width="11.88671875" style="400" bestFit="1" customWidth="1"/>
    <col min="10763" max="10763" width="8.109375" style="400" bestFit="1" customWidth="1"/>
    <col min="10764" max="10764" width="12.33203125" style="400" customWidth="1"/>
    <col min="10765" max="10765" width="9.109375" style="400" bestFit="1" customWidth="1"/>
    <col min="10766" max="10766" width="7.109375" style="400" customWidth="1"/>
    <col min="10767" max="10767" width="7.5546875" style="400" customWidth="1"/>
    <col min="10768" max="10768" width="6.88671875" style="400" customWidth="1"/>
    <col min="10769" max="10769" width="9.109375" style="400"/>
    <col min="10770" max="10770" width="9.88671875" style="400" customWidth="1"/>
    <col min="10771" max="10771" width="8.5546875" style="400" customWidth="1"/>
    <col min="10772" max="10772" width="9.6640625" style="400" customWidth="1"/>
    <col min="10773" max="10773" width="9.109375" style="400" bestFit="1" customWidth="1"/>
    <col min="10774" max="11009" width="9.109375" style="400"/>
    <col min="11010" max="11010" width="10.5546875" style="400" bestFit="1" customWidth="1"/>
    <col min="11011" max="11012" width="5.5546875" style="400" bestFit="1" customWidth="1"/>
    <col min="11013" max="11013" width="6" style="400" bestFit="1" customWidth="1"/>
    <col min="11014" max="11014" width="6.5546875" style="400" customWidth="1"/>
    <col min="11015" max="11015" width="7.109375" style="400" bestFit="1" customWidth="1"/>
    <col min="11016" max="11016" width="7.6640625" style="400" bestFit="1" customWidth="1"/>
    <col min="11017" max="11017" width="12.33203125" style="400" bestFit="1" customWidth="1"/>
    <col min="11018" max="11018" width="11.88671875" style="400" bestFit="1" customWidth="1"/>
    <col min="11019" max="11019" width="8.109375" style="400" bestFit="1" customWidth="1"/>
    <col min="11020" max="11020" width="12.33203125" style="400" customWidth="1"/>
    <col min="11021" max="11021" width="9.109375" style="400" bestFit="1" customWidth="1"/>
    <col min="11022" max="11022" width="7.109375" style="400" customWidth="1"/>
    <col min="11023" max="11023" width="7.5546875" style="400" customWidth="1"/>
    <col min="11024" max="11024" width="6.88671875" style="400" customWidth="1"/>
    <col min="11025" max="11025" width="9.109375" style="400"/>
    <col min="11026" max="11026" width="9.88671875" style="400" customWidth="1"/>
    <col min="11027" max="11027" width="8.5546875" style="400" customWidth="1"/>
    <col min="11028" max="11028" width="9.6640625" style="400" customWidth="1"/>
    <col min="11029" max="11029" width="9.109375" style="400" bestFit="1" customWidth="1"/>
    <col min="11030" max="11265" width="9.109375" style="400"/>
    <col min="11266" max="11266" width="10.5546875" style="400" bestFit="1" customWidth="1"/>
    <col min="11267" max="11268" width="5.5546875" style="400" bestFit="1" customWidth="1"/>
    <col min="11269" max="11269" width="6" style="400" bestFit="1" customWidth="1"/>
    <col min="11270" max="11270" width="6.5546875" style="400" customWidth="1"/>
    <col min="11271" max="11271" width="7.109375" style="400" bestFit="1" customWidth="1"/>
    <col min="11272" max="11272" width="7.6640625" style="400" bestFit="1" customWidth="1"/>
    <col min="11273" max="11273" width="12.33203125" style="400" bestFit="1" customWidth="1"/>
    <col min="11274" max="11274" width="11.88671875" style="400" bestFit="1" customWidth="1"/>
    <col min="11275" max="11275" width="8.109375" style="400" bestFit="1" customWidth="1"/>
    <col min="11276" max="11276" width="12.33203125" style="400" customWidth="1"/>
    <col min="11277" max="11277" width="9.109375" style="400" bestFit="1" customWidth="1"/>
    <col min="11278" max="11278" width="7.109375" style="400" customWidth="1"/>
    <col min="11279" max="11279" width="7.5546875" style="400" customWidth="1"/>
    <col min="11280" max="11280" width="6.88671875" style="400" customWidth="1"/>
    <col min="11281" max="11281" width="9.109375" style="400"/>
    <col min="11282" max="11282" width="9.88671875" style="400" customWidth="1"/>
    <col min="11283" max="11283" width="8.5546875" style="400" customWidth="1"/>
    <col min="11284" max="11284" width="9.6640625" style="400" customWidth="1"/>
    <col min="11285" max="11285" width="9.109375" style="400" bestFit="1" customWidth="1"/>
    <col min="11286" max="11521" width="9.109375" style="400"/>
    <col min="11522" max="11522" width="10.5546875" style="400" bestFit="1" customWidth="1"/>
    <col min="11523" max="11524" width="5.5546875" style="400" bestFit="1" customWidth="1"/>
    <col min="11525" max="11525" width="6" style="400" bestFit="1" customWidth="1"/>
    <col min="11526" max="11526" width="6.5546875" style="400" customWidth="1"/>
    <col min="11527" max="11527" width="7.109375" style="400" bestFit="1" customWidth="1"/>
    <col min="11528" max="11528" width="7.6640625" style="400" bestFit="1" customWidth="1"/>
    <col min="11529" max="11529" width="12.33203125" style="400" bestFit="1" customWidth="1"/>
    <col min="11530" max="11530" width="11.88671875" style="400" bestFit="1" customWidth="1"/>
    <col min="11531" max="11531" width="8.109375" style="400" bestFit="1" customWidth="1"/>
    <col min="11532" max="11532" width="12.33203125" style="400" customWidth="1"/>
    <col min="11533" max="11533" width="9.109375" style="400" bestFit="1" customWidth="1"/>
    <col min="11534" max="11534" width="7.109375" style="400" customWidth="1"/>
    <col min="11535" max="11535" width="7.5546875" style="400" customWidth="1"/>
    <col min="11536" max="11536" width="6.88671875" style="400" customWidth="1"/>
    <col min="11537" max="11537" width="9.109375" style="400"/>
    <col min="11538" max="11538" width="9.88671875" style="400" customWidth="1"/>
    <col min="11539" max="11539" width="8.5546875" style="400" customWidth="1"/>
    <col min="11540" max="11540" width="9.6640625" style="400" customWidth="1"/>
    <col min="11541" max="11541" width="9.109375" style="400" bestFit="1" customWidth="1"/>
    <col min="11542" max="11777" width="9.109375" style="400"/>
    <col min="11778" max="11778" width="10.5546875" style="400" bestFit="1" customWidth="1"/>
    <col min="11779" max="11780" width="5.5546875" style="400" bestFit="1" customWidth="1"/>
    <col min="11781" max="11781" width="6" style="400" bestFit="1" customWidth="1"/>
    <col min="11782" max="11782" width="6.5546875" style="400" customWidth="1"/>
    <col min="11783" max="11783" width="7.109375" style="400" bestFit="1" customWidth="1"/>
    <col min="11784" max="11784" width="7.6640625" style="400" bestFit="1" customWidth="1"/>
    <col min="11785" max="11785" width="12.33203125" style="400" bestFit="1" customWidth="1"/>
    <col min="11786" max="11786" width="11.88671875" style="400" bestFit="1" customWidth="1"/>
    <col min="11787" max="11787" width="8.109375" style="400" bestFit="1" customWidth="1"/>
    <col min="11788" max="11788" width="12.33203125" style="400" customWidth="1"/>
    <col min="11789" max="11789" width="9.109375" style="400" bestFit="1" customWidth="1"/>
    <col min="11790" max="11790" width="7.109375" style="400" customWidth="1"/>
    <col min="11791" max="11791" width="7.5546875" style="400" customWidth="1"/>
    <col min="11792" max="11792" width="6.88671875" style="400" customWidth="1"/>
    <col min="11793" max="11793" width="9.109375" style="400"/>
    <col min="11794" max="11794" width="9.88671875" style="400" customWidth="1"/>
    <col min="11795" max="11795" width="8.5546875" style="400" customWidth="1"/>
    <col min="11796" max="11796" width="9.6640625" style="400" customWidth="1"/>
    <col min="11797" max="11797" width="9.109375" style="400" bestFit="1" customWidth="1"/>
    <col min="11798" max="12033" width="9.109375" style="400"/>
    <col min="12034" max="12034" width="10.5546875" style="400" bestFit="1" customWidth="1"/>
    <col min="12035" max="12036" width="5.5546875" style="400" bestFit="1" customWidth="1"/>
    <col min="12037" max="12037" width="6" style="400" bestFit="1" customWidth="1"/>
    <col min="12038" max="12038" width="6.5546875" style="400" customWidth="1"/>
    <col min="12039" max="12039" width="7.109375" style="400" bestFit="1" customWidth="1"/>
    <col min="12040" max="12040" width="7.6640625" style="400" bestFit="1" customWidth="1"/>
    <col min="12041" max="12041" width="12.33203125" style="400" bestFit="1" customWidth="1"/>
    <col min="12042" max="12042" width="11.88671875" style="400" bestFit="1" customWidth="1"/>
    <col min="12043" max="12043" width="8.109375" style="400" bestFit="1" customWidth="1"/>
    <col min="12044" max="12044" width="12.33203125" style="400" customWidth="1"/>
    <col min="12045" max="12045" width="9.109375" style="400" bestFit="1" customWidth="1"/>
    <col min="12046" max="12046" width="7.109375" style="400" customWidth="1"/>
    <col min="12047" max="12047" width="7.5546875" style="400" customWidth="1"/>
    <col min="12048" max="12048" width="6.88671875" style="400" customWidth="1"/>
    <col min="12049" max="12049" width="9.109375" style="400"/>
    <col min="12050" max="12050" width="9.88671875" style="400" customWidth="1"/>
    <col min="12051" max="12051" width="8.5546875" style="400" customWidth="1"/>
    <col min="12052" max="12052" width="9.6640625" style="400" customWidth="1"/>
    <col min="12053" max="12053" width="9.109375" style="400" bestFit="1" customWidth="1"/>
    <col min="12054" max="12289" width="9.109375" style="400"/>
    <col min="12290" max="12290" width="10.5546875" style="400" bestFit="1" customWidth="1"/>
    <col min="12291" max="12292" width="5.5546875" style="400" bestFit="1" customWidth="1"/>
    <col min="12293" max="12293" width="6" style="400" bestFit="1" customWidth="1"/>
    <col min="12294" max="12294" width="6.5546875" style="400" customWidth="1"/>
    <col min="12295" max="12295" width="7.109375" style="400" bestFit="1" customWidth="1"/>
    <col min="12296" max="12296" width="7.6640625" style="400" bestFit="1" customWidth="1"/>
    <col min="12297" max="12297" width="12.33203125" style="400" bestFit="1" customWidth="1"/>
    <col min="12298" max="12298" width="11.88671875" style="400" bestFit="1" customWidth="1"/>
    <col min="12299" max="12299" width="8.109375" style="400" bestFit="1" customWidth="1"/>
    <col min="12300" max="12300" width="12.33203125" style="400" customWidth="1"/>
    <col min="12301" max="12301" width="9.109375" style="400" bestFit="1" customWidth="1"/>
    <col min="12302" max="12302" width="7.109375" style="400" customWidth="1"/>
    <col min="12303" max="12303" width="7.5546875" style="400" customWidth="1"/>
    <col min="12304" max="12304" width="6.88671875" style="400" customWidth="1"/>
    <col min="12305" max="12305" width="9.109375" style="400"/>
    <col min="12306" max="12306" width="9.88671875" style="400" customWidth="1"/>
    <col min="12307" max="12307" width="8.5546875" style="400" customWidth="1"/>
    <col min="12308" max="12308" width="9.6640625" style="400" customWidth="1"/>
    <col min="12309" max="12309" width="9.109375" style="400" bestFit="1" customWidth="1"/>
    <col min="12310" max="12545" width="9.109375" style="400"/>
    <col min="12546" max="12546" width="10.5546875" style="400" bestFit="1" customWidth="1"/>
    <col min="12547" max="12548" width="5.5546875" style="400" bestFit="1" customWidth="1"/>
    <col min="12549" max="12549" width="6" style="400" bestFit="1" customWidth="1"/>
    <col min="12550" max="12550" width="6.5546875" style="400" customWidth="1"/>
    <col min="12551" max="12551" width="7.109375" style="400" bestFit="1" customWidth="1"/>
    <col min="12552" max="12552" width="7.6640625" style="400" bestFit="1" customWidth="1"/>
    <col min="12553" max="12553" width="12.33203125" style="400" bestFit="1" customWidth="1"/>
    <col min="12554" max="12554" width="11.88671875" style="400" bestFit="1" customWidth="1"/>
    <col min="12555" max="12555" width="8.109375" style="400" bestFit="1" customWidth="1"/>
    <col min="12556" max="12556" width="12.33203125" style="400" customWidth="1"/>
    <col min="12557" max="12557" width="9.109375" style="400" bestFit="1" customWidth="1"/>
    <col min="12558" max="12558" width="7.109375" style="400" customWidth="1"/>
    <col min="12559" max="12559" width="7.5546875" style="400" customWidth="1"/>
    <col min="12560" max="12560" width="6.88671875" style="400" customWidth="1"/>
    <col min="12561" max="12561" width="9.109375" style="400"/>
    <col min="12562" max="12562" width="9.88671875" style="400" customWidth="1"/>
    <col min="12563" max="12563" width="8.5546875" style="400" customWidth="1"/>
    <col min="12564" max="12564" width="9.6640625" style="400" customWidth="1"/>
    <col min="12565" max="12565" width="9.109375" style="400" bestFit="1" customWidth="1"/>
    <col min="12566" max="12801" width="9.109375" style="400"/>
    <col min="12802" max="12802" width="10.5546875" style="400" bestFit="1" customWidth="1"/>
    <col min="12803" max="12804" width="5.5546875" style="400" bestFit="1" customWidth="1"/>
    <col min="12805" max="12805" width="6" style="400" bestFit="1" customWidth="1"/>
    <col min="12806" max="12806" width="6.5546875" style="400" customWidth="1"/>
    <col min="12807" max="12807" width="7.109375" style="400" bestFit="1" customWidth="1"/>
    <col min="12808" max="12808" width="7.6640625" style="400" bestFit="1" customWidth="1"/>
    <col min="12809" max="12809" width="12.33203125" style="400" bestFit="1" customWidth="1"/>
    <col min="12810" max="12810" width="11.88671875" style="400" bestFit="1" customWidth="1"/>
    <col min="12811" max="12811" width="8.109375" style="400" bestFit="1" customWidth="1"/>
    <col min="12812" max="12812" width="12.33203125" style="400" customWidth="1"/>
    <col min="12813" max="12813" width="9.109375" style="400" bestFit="1" customWidth="1"/>
    <col min="12814" max="12814" width="7.109375" style="400" customWidth="1"/>
    <col min="12815" max="12815" width="7.5546875" style="400" customWidth="1"/>
    <col min="12816" max="12816" width="6.88671875" style="400" customWidth="1"/>
    <col min="12817" max="12817" width="9.109375" style="400"/>
    <col min="12818" max="12818" width="9.88671875" style="400" customWidth="1"/>
    <col min="12819" max="12819" width="8.5546875" style="400" customWidth="1"/>
    <col min="12820" max="12820" width="9.6640625" style="400" customWidth="1"/>
    <col min="12821" max="12821" width="9.109375" style="400" bestFit="1" customWidth="1"/>
    <col min="12822" max="13057" width="9.109375" style="400"/>
    <col min="13058" max="13058" width="10.5546875" style="400" bestFit="1" customWidth="1"/>
    <col min="13059" max="13060" width="5.5546875" style="400" bestFit="1" customWidth="1"/>
    <col min="13061" max="13061" width="6" style="400" bestFit="1" customWidth="1"/>
    <col min="13062" max="13062" width="6.5546875" style="400" customWidth="1"/>
    <col min="13063" max="13063" width="7.109375" style="400" bestFit="1" customWidth="1"/>
    <col min="13064" max="13064" width="7.6640625" style="400" bestFit="1" customWidth="1"/>
    <col min="13065" max="13065" width="12.33203125" style="400" bestFit="1" customWidth="1"/>
    <col min="13066" max="13066" width="11.88671875" style="400" bestFit="1" customWidth="1"/>
    <col min="13067" max="13067" width="8.109375" style="400" bestFit="1" customWidth="1"/>
    <col min="13068" max="13068" width="12.33203125" style="400" customWidth="1"/>
    <col min="13069" max="13069" width="9.109375" style="400" bestFit="1" customWidth="1"/>
    <col min="13070" max="13070" width="7.109375" style="400" customWidth="1"/>
    <col min="13071" max="13071" width="7.5546875" style="400" customWidth="1"/>
    <col min="13072" max="13072" width="6.88671875" style="400" customWidth="1"/>
    <col min="13073" max="13073" width="9.109375" style="400"/>
    <col min="13074" max="13074" width="9.88671875" style="400" customWidth="1"/>
    <col min="13075" max="13075" width="8.5546875" style="400" customWidth="1"/>
    <col min="13076" max="13076" width="9.6640625" style="400" customWidth="1"/>
    <col min="13077" max="13077" width="9.109375" style="400" bestFit="1" customWidth="1"/>
    <col min="13078" max="13313" width="9.109375" style="400"/>
    <col min="13314" max="13314" width="10.5546875" style="400" bestFit="1" customWidth="1"/>
    <col min="13315" max="13316" width="5.5546875" style="400" bestFit="1" customWidth="1"/>
    <col min="13317" max="13317" width="6" style="400" bestFit="1" customWidth="1"/>
    <col min="13318" max="13318" width="6.5546875" style="400" customWidth="1"/>
    <col min="13319" max="13319" width="7.109375" style="400" bestFit="1" customWidth="1"/>
    <col min="13320" max="13320" width="7.6640625" style="400" bestFit="1" customWidth="1"/>
    <col min="13321" max="13321" width="12.33203125" style="400" bestFit="1" customWidth="1"/>
    <col min="13322" max="13322" width="11.88671875" style="400" bestFit="1" customWidth="1"/>
    <col min="13323" max="13323" width="8.109375" style="400" bestFit="1" customWidth="1"/>
    <col min="13324" max="13324" width="12.33203125" style="400" customWidth="1"/>
    <col min="13325" max="13325" width="9.109375" style="400" bestFit="1" customWidth="1"/>
    <col min="13326" max="13326" width="7.109375" style="400" customWidth="1"/>
    <col min="13327" max="13327" width="7.5546875" style="400" customWidth="1"/>
    <col min="13328" max="13328" width="6.88671875" style="400" customWidth="1"/>
    <col min="13329" max="13329" width="9.109375" style="400"/>
    <col min="13330" max="13330" width="9.88671875" style="400" customWidth="1"/>
    <col min="13331" max="13331" width="8.5546875" style="400" customWidth="1"/>
    <col min="13332" max="13332" width="9.6640625" style="400" customWidth="1"/>
    <col min="13333" max="13333" width="9.109375" style="400" bestFit="1" customWidth="1"/>
    <col min="13334" max="13569" width="9.109375" style="400"/>
    <col min="13570" max="13570" width="10.5546875" style="400" bestFit="1" customWidth="1"/>
    <col min="13571" max="13572" width="5.5546875" style="400" bestFit="1" customWidth="1"/>
    <col min="13573" max="13573" width="6" style="400" bestFit="1" customWidth="1"/>
    <col min="13574" max="13574" width="6.5546875" style="400" customWidth="1"/>
    <col min="13575" max="13575" width="7.109375" style="400" bestFit="1" customWidth="1"/>
    <col min="13576" max="13576" width="7.6640625" style="400" bestFit="1" customWidth="1"/>
    <col min="13577" max="13577" width="12.33203125" style="400" bestFit="1" customWidth="1"/>
    <col min="13578" max="13578" width="11.88671875" style="400" bestFit="1" customWidth="1"/>
    <col min="13579" max="13579" width="8.109375" style="400" bestFit="1" customWidth="1"/>
    <col min="13580" max="13580" width="12.33203125" style="400" customWidth="1"/>
    <col min="13581" max="13581" width="9.109375" style="400" bestFit="1" customWidth="1"/>
    <col min="13582" max="13582" width="7.109375" style="400" customWidth="1"/>
    <col min="13583" max="13583" width="7.5546875" style="400" customWidth="1"/>
    <col min="13584" max="13584" width="6.88671875" style="400" customWidth="1"/>
    <col min="13585" max="13585" width="9.109375" style="400"/>
    <col min="13586" max="13586" width="9.88671875" style="400" customWidth="1"/>
    <col min="13587" max="13587" width="8.5546875" style="400" customWidth="1"/>
    <col min="13588" max="13588" width="9.6640625" style="400" customWidth="1"/>
    <col min="13589" max="13589" width="9.109375" style="400" bestFit="1" customWidth="1"/>
    <col min="13590" max="13825" width="9.109375" style="400"/>
    <col min="13826" max="13826" width="10.5546875" style="400" bestFit="1" customWidth="1"/>
    <col min="13827" max="13828" width="5.5546875" style="400" bestFit="1" customWidth="1"/>
    <col min="13829" max="13829" width="6" style="400" bestFit="1" customWidth="1"/>
    <col min="13830" max="13830" width="6.5546875" style="400" customWidth="1"/>
    <col min="13831" max="13831" width="7.109375" style="400" bestFit="1" customWidth="1"/>
    <col min="13832" max="13832" width="7.6640625" style="400" bestFit="1" customWidth="1"/>
    <col min="13833" max="13833" width="12.33203125" style="400" bestFit="1" customWidth="1"/>
    <col min="13834" max="13834" width="11.88671875" style="400" bestFit="1" customWidth="1"/>
    <col min="13835" max="13835" width="8.109375" style="400" bestFit="1" customWidth="1"/>
    <col min="13836" max="13836" width="12.33203125" style="400" customWidth="1"/>
    <col min="13837" max="13837" width="9.109375" style="400" bestFit="1" customWidth="1"/>
    <col min="13838" max="13838" width="7.109375" style="400" customWidth="1"/>
    <col min="13839" max="13839" width="7.5546875" style="400" customWidth="1"/>
    <col min="13840" max="13840" width="6.88671875" style="400" customWidth="1"/>
    <col min="13841" max="13841" width="9.109375" style="400"/>
    <col min="13842" max="13842" width="9.88671875" style="400" customWidth="1"/>
    <col min="13843" max="13843" width="8.5546875" style="400" customWidth="1"/>
    <col min="13844" max="13844" width="9.6640625" style="400" customWidth="1"/>
    <col min="13845" max="13845" width="9.109375" style="400" bestFit="1" customWidth="1"/>
    <col min="13846" max="14081" width="9.109375" style="400"/>
    <col min="14082" max="14082" width="10.5546875" style="400" bestFit="1" customWidth="1"/>
    <col min="14083" max="14084" width="5.5546875" style="400" bestFit="1" customWidth="1"/>
    <col min="14085" max="14085" width="6" style="400" bestFit="1" customWidth="1"/>
    <col min="14086" max="14086" width="6.5546875" style="400" customWidth="1"/>
    <col min="14087" max="14087" width="7.109375" style="400" bestFit="1" customWidth="1"/>
    <col min="14088" max="14088" width="7.6640625" style="400" bestFit="1" customWidth="1"/>
    <col min="14089" max="14089" width="12.33203125" style="400" bestFit="1" customWidth="1"/>
    <col min="14090" max="14090" width="11.88671875" style="400" bestFit="1" customWidth="1"/>
    <col min="14091" max="14091" width="8.109375" style="400" bestFit="1" customWidth="1"/>
    <col min="14092" max="14092" width="12.33203125" style="400" customWidth="1"/>
    <col min="14093" max="14093" width="9.109375" style="400" bestFit="1" customWidth="1"/>
    <col min="14094" max="14094" width="7.109375" style="400" customWidth="1"/>
    <col min="14095" max="14095" width="7.5546875" style="400" customWidth="1"/>
    <col min="14096" max="14096" width="6.88671875" style="400" customWidth="1"/>
    <col min="14097" max="14097" width="9.109375" style="400"/>
    <col min="14098" max="14098" width="9.88671875" style="400" customWidth="1"/>
    <col min="14099" max="14099" width="8.5546875" style="400" customWidth="1"/>
    <col min="14100" max="14100" width="9.6640625" style="400" customWidth="1"/>
    <col min="14101" max="14101" width="9.109375" style="400" bestFit="1" customWidth="1"/>
    <col min="14102" max="14337" width="9.109375" style="400"/>
    <col min="14338" max="14338" width="10.5546875" style="400" bestFit="1" customWidth="1"/>
    <col min="14339" max="14340" width="5.5546875" style="400" bestFit="1" customWidth="1"/>
    <col min="14341" max="14341" width="6" style="400" bestFit="1" customWidth="1"/>
    <col min="14342" max="14342" width="6.5546875" style="400" customWidth="1"/>
    <col min="14343" max="14343" width="7.109375" style="400" bestFit="1" customWidth="1"/>
    <col min="14344" max="14344" width="7.6640625" style="400" bestFit="1" customWidth="1"/>
    <col min="14345" max="14345" width="12.33203125" style="400" bestFit="1" customWidth="1"/>
    <col min="14346" max="14346" width="11.88671875" style="400" bestFit="1" customWidth="1"/>
    <col min="14347" max="14347" width="8.109375" style="400" bestFit="1" customWidth="1"/>
    <col min="14348" max="14348" width="12.33203125" style="400" customWidth="1"/>
    <col min="14349" max="14349" width="9.109375" style="400" bestFit="1" customWidth="1"/>
    <col min="14350" max="14350" width="7.109375" style="400" customWidth="1"/>
    <col min="14351" max="14351" width="7.5546875" style="400" customWidth="1"/>
    <col min="14352" max="14352" width="6.88671875" style="400" customWidth="1"/>
    <col min="14353" max="14353" width="9.109375" style="400"/>
    <col min="14354" max="14354" width="9.88671875" style="400" customWidth="1"/>
    <col min="14355" max="14355" width="8.5546875" style="400" customWidth="1"/>
    <col min="14356" max="14356" width="9.6640625" style="400" customWidth="1"/>
    <col min="14357" max="14357" width="9.109375" style="400" bestFit="1" customWidth="1"/>
    <col min="14358" max="14593" width="9.109375" style="400"/>
    <col min="14594" max="14594" width="10.5546875" style="400" bestFit="1" customWidth="1"/>
    <col min="14595" max="14596" width="5.5546875" style="400" bestFit="1" customWidth="1"/>
    <col min="14597" max="14597" width="6" style="400" bestFit="1" customWidth="1"/>
    <col min="14598" max="14598" width="6.5546875" style="400" customWidth="1"/>
    <col min="14599" max="14599" width="7.109375" style="400" bestFit="1" customWidth="1"/>
    <col min="14600" max="14600" width="7.6640625" style="400" bestFit="1" customWidth="1"/>
    <col min="14601" max="14601" width="12.33203125" style="400" bestFit="1" customWidth="1"/>
    <col min="14602" max="14602" width="11.88671875" style="400" bestFit="1" customWidth="1"/>
    <col min="14603" max="14603" width="8.109375" style="400" bestFit="1" customWidth="1"/>
    <col min="14604" max="14604" width="12.33203125" style="400" customWidth="1"/>
    <col min="14605" max="14605" width="9.109375" style="400" bestFit="1" customWidth="1"/>
    <col min="14606" max="14606" width="7.109375" style="400" customWidth="1"/>
    <col min="14607" max="14607" width="7.5546875" style="400" customWidth="1"/>
    <col min="14608" max="14608" width="6.88671875" style="400" customWidth="1"/>
    <col min="14609" max="14609" width="9.109375" style="400"/>
    <col min="14610" max="14610" width="9.88671875" style="400" customWidth="1"/>
    <col min="14611" max="14611" width="8.5546875" style="400" customWidth="1"/>
    <col min="14612" max="14612" width="9.6640625" style="400" customWidth="1"/>
    <col min="14613" max="14613" width="9.109375" style="400" bestFit="1" customWidth="1"/>
    <col min="14614" max="14849" width="9.109375" style="400"/>
    <col min="14850" max="14850" width="10.5546875" style="400" bestFit="1" customWidth="1"/>
    <col min="14851" max="14852" width="5.5546875" style="400" bestFit="1" customWidth="1"/>
    <col min="14853" max="14853" width="6" style="400" bestFit="1" customWidth="1"/>
    <col min="14854" max="14854" width="6.5546875" style="400" customWidth="1"/>
    <col min="14855" max="14855" width="7.109375" style="400" bestFit="1" customWidth="1"/>
    <col min="14856" max="14856" width="7.6640625" style="400" bestFit="1" customWidth="1"/>
    <col min="14857" max="14857" width="12.33203125" style="400" bestFit="1" customWidth="1"/>
    <col min="14858" max="14858" width="11.88671875" style="400" bestFit="1" customWidth="1"/>
    <col min="14859" max="14859" width="8.109375" style="400" bestFit="1" customWidth="1"/>
    <col min="14860" max="14860" width="12.33203125" style="400" customWidth="1"/>
    <col min="14861" max="14861" width="9.109375" style="400" bestFit="1" customWidth="1"/>
    <col min="14862" max="14862" width="7.109375" style="400" customWidth="1"/>
    <col min="14863" max="14863" width="7.5546875" style="400" customWidth="1"/>
    <col min="14864" max="14864" width="6.88671875" style="400" customWidth="1"/>
    <col min="14865" max="14865" width="9.109375" style="400"/>
    <col min="14866" max="14866" width="9.88671875" style="400" customWidth="1"/>
    <col min="14867" max="14867" width="8.5546875" style="400" customWidth="1"/>
    <col min="14868" max="14868" width="9.6640625" style="400" customWidth="1"/>
    <col min="14869" max="14869" width="9.109375" style="400" bestFit="1" customWidth="1"/>
    <col min="14870" max="15105" width="9.109375" style="400"/>
    <col min="15106" max="15106" width="10.5546875" style="400" bestFit="1" customWidth="1"/>
    <col min="15107" max="15108" width="5.5546875" style="400" bestFit="1" customWidth="1"/>
    <col min="15109" max="15109" width="6" style="400" bestFit="1" customWidth="1"/>
    <col min="15110" max="15110" width="6.5546875" style="400" customWidth="1"/>
    <col min="15111" max="15111" width="7.109375" style="400" bestFit="1" customWidth="1"/>
    <col min="15112" max="15112" width="7.6640625" style="400" bestFit="1" customWidth="1"/>
    <col min="15113" max="15113" width="12.33203125" style="400" bestFit="1" customWidth="1"/>
    <col min="15114" max="15114" width="11.88671875" style="400" bestFit="1" customWidth="1"/>
    <col min="15115" max="15115" width="8.109375" style="400" bestFit="1" customWidth="1"/>
    <col min="15116" max="15116" width="12.33203125" style="400" customWidth="1"/>
    <col min="15117" max="15117" width="9.109375" style="400" bestFit="1" customWidth="1"/>
    <col min="15118" max="15118" width="7.109375" style="400" customWidth="1"/>
    <col min="15119" max="15119" width="7.5546875" style="400" customWidth="1"/>
    <col min="15120" max="15120" width="6.88671875" style="400" customWidth="1"/>
    <col min="15121" max="15121" width="9.109375" style="400"/>
    <col min="15122" max="15122" width="9.88671875" style="400" customWidth="1"/>
    <col min="15123" max="15123" width="8.5546875" style="400" customWidth="1"/>
    <col min="15124" max="15124" width="9.6640625" style="400" customWidth="1"/>
    <col min="15125" max="15125" width="9.109375" style="400" bestFit="1" customWidth="1"/>
    <col min="15126" max="15361" width="9.109375" style="400"/>
    <col min="15362" max="15362" width="10.5546875" style="400" bestFit="1" customWidth="1"/>
    <col min="15363" max="15364" width="5.5546875" style="400" bestFit="1" customWidth="1"/>
    <col min="15365" max="15365" width="6" style="400" bestFit="1" customWidth="1"/>
    <col min="15366" max="15366" width="6.5546875" style="400" customWidth="1"/>
    <col min="15367" max="15367" width="7.109375" style="400" bestFit="1" customWidth="1"/>
    <col min="15368" max="15368" width="7.6640625" style="400" bestFit="1" customWidth="1"/>
    <col min="15369" max="15369" width="12.33203125" style="400" bestFit="1" customWidth="1"/>
    <col min="15370" max="15370" width="11.88671875" style="400" bestFit="1" customWidth="1"/>
    <col min="15371" max="15371" width="8.109375" style="400" bestFit="1" customWidth="1"/>
    <col min="15372" max="15372" width="12.33203125" style="400" customWidth="1"/>
    <col min="15373" max="15373" width="9.109375" style="400" bestFit="1" customWidth="1"/>
    <col min="15374" max="15374" width="7.109375" style="400" customWidth="1"/>
    <col min="15375" max="15375" width="7.5546875" style="400" customWidth="1"/>
    <col min="15376" max="15376" width="6.88671875" style="400" customWidth="1"/>
    <col min="15377" max="15377" width="9.109375" style="400"/>
    <col min="15378" max="15378" width="9.88671875" style="400" customWidth="1"/>
    <col min="15379" max="15379" width="8.5546875" style="400" customWidth="1"/>
    <col min="15380" max="15380" width="9.6640625" style="400" customWidth="1"/>
    <col min="15381" max="15381" width="9.109375" style="400" bestFit="1" customWidth="1"/>
    <col min="15382" max="15617" width="9.109375" style="400"/>
    <col min="15618" max="15618" width="10.5546875" style="400" bestFit="1" customWidth="1"/>
    <col min="15619" max="15620" width="5.5546875" style="400" bestFit="1" customWidth="1"/>
    <col min="15621" max="15621" width="6" style="400" bestFit="1" customWidth="1"/>
    <col min="15622" max="15622" width="6.5546875" style="400" customWidth="1"/>
    <col min="15623" max="15623" width="7.109375" style="400" bestFit="1" customWidth="1"/>
    <col min="15624" max="15624" width="7.6640625" style="400" bestFit="1" customWidth="1"/>
    <col min="15625" max="15625" width="12.33203125" style="400" bestFit="1" customWidth="1"/>
    <col min="15626" max="15626" width="11.88671875" style="400" bestFit="1" customWidth="1"/>
    <col min="15627" max="15627" width="8.109375" style="400" bestFit="1" customWidth="1"/>
    <col min="15628" max="15628" width="12.33203125" style="400" customWidth="1"/>
    <col min="15629" max="15629" width="9.109375" style="400" bestFit="1" customWidth="1"/>
    <col min="15630" max="15630" width="7.109375" style="400" customWidth="1"/>
    <col min="15631" max="15631" width="7.5546875" style="400" customWidth="1"/>
    <col min="15632" max="15632" width="6.88671875" style="400" customWidth="1"/>
    <col min="15633" max="15633" width="9.109375" style="400"/>
    <col min="15634" max="15634" width="9.88671875" style="400" customWidth="1"/>
    <col min="15635" max="15635" width="8.5546875" style="400" customWidth="1"/>
    <col min="15636" max="15636" width="9.6640625" style="400" customWidth="1"/>
    <col min="15637" max="15637" width="9.109375" style="400" bestFit="1" customWidth="1"/>
    <col min="15638" max="15873" width="9.109375" style="400"/>
    <col min="15874" max="15874" width="10.5546875" style="400" bestFit="1" customWidth="1"/>
    <col min="15875" max="15876" width="5.5546875" style="400" bestFit="1" customWidth="1"/>
    <col min="15877" max="15877" width="6" style="400" bestFit="1" customWidth="1"/>
    <col min="15878" max="15878" width="6.5546875" style="400" customWidth="1"/>
    <col min="15879" max="15879" width="7.109375" style="400" bestFit="1" customWidth="1"/>
    <col min="15880" max="15880" width="7.6640625" style="400" bestFit="1" customWidth="1"/>
    <col min="15881" max="15881" width="12.33203125" style="400" bestFit="1" customWidth="1"/>
    <col min="15882" max="15882" width="11.88671875" style="400" bestFit="1" customWidth="1"/>
    <col min="15883" max="15883" width="8.109375" style="400" bestFit="1" customWidth="1"/>
    <col min="15884" max="15884" width="12.33203125" style="400" customWidth="1"/>
    <col min="15885" max="15885" width="9.109375" style="400" bestFit="1" customWidth="1"/>
    <col min="15886" max="15886" width="7.109375" style="400" customWidth="1"/>
    <col min="15887" max="15887" width="7.5546875" style="400" customWidth="1"/>
    <col min="15888" max="15888" width="6.88671875" style="400" customWidth="1"/>
    <col min="15889" max="15889" width="9.109375" style="400"/>
    <col min="15890" max="15890" width="9.88671875" style="400" customWidth="1"/>
    <col min="15891" max="15891" width="8.5546875" style="400" customWidth="1"/>
    <col min="15892" max="15892" width="9.6640625" style="400" customWidth="1"/>
    <col min="15893" max="15893" width="9.109375" style="400" bestFit="1" customWidth="1"/>
    <col min="15894" max="16129" width="9.109375" style="400"/>
    <col min="16130" max="16130" width="10.5546875" style="400" bestFit="1" customWidth="1"/>
    <col min="16131" max="16132" width="5.5546875" style="400" bestFit="1" customWidth="1"/>
    <col min="16133" max="16133" width="6" style="400" bestFit="1" customWidth="1"/>
    <col min="16134" max="16134" width="6.5546875" style="400" customWidth="1"/>
    <col min="16135" max="16135" width="7.109375" style="400" bestFit="1" customWidth="1"/>
    <col min="16136" max="16136" width="7.6640625" style="400" bestFit="1" customWidth="1"/>
    <col min="16137" max="16137" width="12.33203125" style="400" bestFit="1" customWidth="1"/>
    <col min="16138" max="16138" width="11.88671875" style="400" bestFit="1" customWidth="1"/>
    <col min="16139" max="16139" width="8.109375" style="400" bestFit="1" customWidth="1"/>
    <col min="16140" max="16140" width="12.33203125" style="400" customWidth="1"/>
    <col min="16141" max="16141" width="9.109375" style="400" bestFit="1" customWidth="1"/>
    <col min="16142" max="16142" width="7.109375" style="400" customWidth="1"/>
    <col min="16143" max="16143" width="7.5546875" style="400" customWidth="1"/>
    <col min="16144" max="16144" width="6.88671875" style="400" customWidth="1"/>
    <col min="16145" max="16145" width="9.109375" style="400"/>
    <col min="16146" max="16146" width="9.88671875" style="400" customWidth="1"/>
    <col min="16147" max="16147" width="8.5546875" style="400" customWidth="1"/>
    <col min="16148" max="16148" width="9.6640625" style="400" customWidth="1"/>
    <col min="16149" max="16149" width="9.109375" style="400" bestFit="1" customWidth="1"/>
    <col min="16150" max="16384" width="9.109375" style="400"/>
  </cols>
  <sheetData>
    <row r="1" spans="2:22" ht="24.6">
      <c r="B1" s="440"/>
      <c r="C1" s="399"/>
      <c r="D1" s="774" t="s">
        <v>7379</v>
      </c>
      <c r="E1" s="774"/>
      <c r="F1" s="774"/>
      <c r="G1" s="774"/>
      <c r="H1" s="774"/>
      <c r="I1" s="774"/>
      <c r="J1" s="774"/>
      <c r="K1" s="774"/>
      <c r="L1" s="774"/>
      <c r="M1" s="774"/>
      <c r="N1" s="774"/>
      <c r="O1" s="774"/>
      <c r="P1" s="774"/>
      <c r="Q1" s="774"/>
      <c r="R1" s="774"/>
      <c r="S1" s="774"/>
      <c r="T1" s="775"/>
      <c r="U1" s="409"/>
      <c r="V1" s="411"/>
    </row>
    <row r="2" spans="2:22" ht="17.399999999999999">
      <c r="B2" s="441"/>
      <c r="C2" s="401"/>
      <c r="D2" s="776" t="s">
        <v>11210</v>
      </c>
      <c r="E2" s="776"/>
      <c r="F2" s="776"/>
      <c r="G2" s="776"/>
      <c r="H2" s="776"/>
      <c r="I2" s="776"/>
      <c r="J2" s="776"/>
      <c r="K2" s="776"/>
      <c r="L2" s="776"/>
      <c r="M2" s="776"/>
      <c r="N2" s="776"/>
      <c r="O2" s="776"/>
      <c r="P2" s="776"/>
      <c r="Q2" s="776"/>
      <c r="R2" s="776"/>
      <c r="S2" s="776"/>
      <c r="T2" s="777"/>
      <c r="U2" s="400"/>
      <c r="V2" s="415"/>
    </row>
    <row r="3" spans="2:22" ht="32.25" customHeight="1" thickBot="1">
      <c r="B3" s="441"/>
      <c r="C3" s="778" t="s">
        <v>11211</v>
      </c>
      <c r="D3" s="779"/>
      <c r="E3" s="779"/>
      <c r="F3" s="779"/>
      <c r="G3" s="779"/>
      <c r="H3" s="779"/>
      <c r="I3" s="779"/>
      <c r="J3" s="779"/>
      <c r="K3" s="779"/>
      <c r="L3" s="779"/>
      <c r="M3" s="779"/>
      <c r="N3" s="779"/>
      <c r="O3" s="779"/>
      <c r="P3" s="779"/>
      <c r="Q3" s="779"/>
      <c r="R3" s="779"/>
      <c r="S3" s="779"/>
      <c r="T3" s="780"/>
      <c r="U3" s="400"/>
      <c r="V3" s="415"/>
    </row>
    <row r="4" spans="2:22" ht="18" thickBot="1">
      <c r="B4" s="441"/>
      <c r="C4" s="494"/>
      <c r="D4" s="495" t="str">
        <f>[11]Planilha!A3</f>
        <v>OBRA: Unidade de Saúde Industrial</v>
      </c>
      <c r="E4" s="496"/>
      <c r="F4" s="497"/>
      <c r="G4" s="497"/>
      <c r="H4" s="497"/>
      <c r="I4" s="497"/>
      <c r="J4" s="497"/>
      <c r="K4" s="497"/>
      <c r="L4" s="497"/>
      <c r="M4" s="497"/>
      <c r="N4" s="497"/>
      <c r="O4" s="497"/>
      <c r="P4" s="497"/>
      <c r="Q4" s="498"/>
      <c r="R4" s="498"/>
      <c r="S4" s="498"/>
      <c r="T4" s="499"/>
      <c r="U4" s="400"/>
      <c r="V4" s="415"/>
    </row>
    <row r="5" spans="2:22" ht="13.8" thickBot="1">
      <c r="B5" s="401"/>
      <c r="V5" s="415"/>
    </row>
    <row r="6" spans="2:22">
      <c r="B6" s="401"/>
      <c r="R6" s="443" t="s">
        <v>11266</v>
      </c>
      <c r="S6" s="444" t="s">
        <v>11267</v>
      </c>
      <c r="T6" s="444"/>
      <c r="U6" s="445"/>
      <c r="V6" s="415"/>
    </row>
    <row r="7" spans="2:22">
      <c r="B7" s="401"/>
      <c r="R7" s="446" t="s">
        <v>11268</v>
      </c>
      <c r="S7" s="447" t="s">
        <v>11269</v>
      </c>
      <c r="T7" s="447"/>
      <c r="U7" s="448"/>
      <c r="V7" s="415"/>
    </row>
    <row r="8" spans="2:22">
      <c r="B8" s="401"/>
      <c r="R8" s="446" t="s">
        <v>11270</v>
      </c>
      <c r="S8" s="447" t="s">
        <v>11271</v>
      </c>
      <c r="T8" s="447"/>
      <c r="U8" s="448"/>
      <c r="V8" s="415"/>
    </row>
    <row r="9" spans="2:22">
      <c r="B9" s="401"/>
      <c r="R9" s="446" t="s">
        <v>11272</v>
      </c>
      <c r="S9" s="447" t="s">
        <v>11273</v>
      </c>
      <c r="T9" s="447"/>
      <c r="U9" s="448"/>
      <c r="V9" s="415"/>
    </row>
    <row r="10" spans="2:22">
      <c r="B10" s="401"/>
      <c r="R10" s="446" t="s">
        <v>11274</v>
      </c>
      <c r="S10" s="447" t="s">
        <v>11215</v>
      </c>
      <c r="T10" s="447"/>
      <c r="U10" s="448"/>
      <c r="V10" s="415"/>
    </row>
    <row r="11" spans="2:22">
      <c r="B11" s="401"/>
      <c r="R11" s="446" t="s">
        <v>11275</v>
      </c>
      <c r="S11" s="447" t="s">
        <v>11276</v>
      </c>
      <c r="T11" s="447"/>
      <c r="U11" s="448"/>
      <c r="V11" s="415"/>
    </row>
    <row r="12" spans="2:22">
      <c r="B12" s="401"/>
      <c r="C12" s="795" t="s">
        <v>11277</v>
      </c>
      <c r="D12" s="795"/>
      <c r="E12" s="795"/>
      <c r="F12" s="795"/>
      <c r="G12" s="795"/>
      <c r="H12" s="795"/>
      <c r="I12" s="795"/>
      <c r="J12" s="795"/>
      <c r="K12" s="795"/>
      <c r="L12" s="795"/>
      <c r="R12" s="446" t="s">
        <v>11278</v>
      </c>
      <c r="S12" s="447" t="s">
        <v>11279</v>
      </c>
      <c r="T12" s="447"/>
      <c r="U12" s="448"/>
      <c r="V12" s="415"/>
    </row>
    <row r="13" spans="2:22" ht="13.8" thickBot="1">
      <c r="B13" s="401"/>
      <c r="R13" s="449" t="s">
        <v>11280</v>
      </c>
      <c r="S13" s="450" t="s">
        <v>11281</v>
      </c>
      <c r="T13" s="450"/>
      <c r="U13" s="451"/>
      <c r="V13" s="415"/>
    </row>
    <row r="14" spans="2:22">
      <c r="B14" s="401"/>
      <c r="V14" s="415"/>
    </row>
    <row r="15" spans="2:22" ht="13.8" thickBot="1">
      <c r="B15" s="401"/>
      <c r="U15" s="442"/>
      <c r="V15" s="415"/>
    </row>
    <row r="16" spans="2:22" ht="13.8" thickBot="1">
      <c r="B16" s="772" t="s">
        <v>11282</v>
      </c>
      <c r="C16" s="420" t="s">
        <v>69</v>
      </c>
      <c r="D16" s="420" t="s">
        <v>109</v>
      </c>
      <c r="E16" s="420" t="s">
        <v>107</v>
      </c>
      <c r="F16" s="421" t="s">
        <v>11283</v>
      </c>
      <c r="G16" s="421" t="s">
        <v>11284</v>
      </c>
      <c r="H16" s="421" t="s">
        <v>11285</v>
      </c>
      <c r="I16" s="422" t="s">
        <v>11235</v>
      </c>
      <c r="J16" s="452" t="s">
        <v>11286</v>
      </c>
      <c r="K16" s="453" t="s">
        <v>11237</v>
      </c>
      <c r="M16" s="772" t="s">
        <v>11287</v>
      </c>
      <c r="N16" s="454" t="s">
        <v>69</v>
      </c>
      <c r="O16" s="454" t="s">
        <v>109</v>
      </c>
      <c r="P16" s="454" t="s">
        <v>107</v>
      </c>
      <c r="Q16" s="454" t="s">
        <v>11227</v>
      </c>
      <c r="R16" s="455" t="s">
        <v>11283</v>
      </c>
      <c r="S16" s="455" t="s">
        <v>11288</v>
      </c>
      <c r="T16" s="455" t="s">
        <v>11289</v>
      </c>
      <c r="U16" s="421" t="s">
        <v>11237</v>
      </c>
      <c r="V16" s="415"/>
    </row>
    <row r="17" spans="2:25" ht="13.8" thickBot="1">
      <c r="B17" s="773"/>
      <c r="C17" s="456" t="s">
        <v>11238</v>
      </c>
      <c r="D17" s="456" t="s">
        <v>11238</v>
      </c>
      <c r="E17" s="456" t="s">
        <v>11238</v>
      </c>
      <c r="F17" s="457" t="s">
        <v>11240</v>
      </c>
      <c r="G17" s="457" t="s">
        <v>11239</v>
      </c>
      <c r="H17" s="457" t="s">
        <v>11239</v>
      </c>
      <c r="I17" s="425">
        <v>0.05</v>
      </c>
      <c r="J17" s="458" t="s">
        <v>11240</v>
      </c>
      <c r="K17" s="459" t="s">
        <v>11241</v>
      </c>
      <c r="M17" s="796"/>
      <c r="N17" s="460" t="s">
        <v>11238</v>
      </c>
      <c r="O17" s="460" t="s">
        <v>11238</v>
      </c>
      <c r="P17" s="460" t="s">
        <v>11238</v>
      </c>
      <c r="Q17" s="460" t="s">
        <v>11238</v>
      </c>
      <c r="R17" s="461" t="s">
        <v>11240</v>
      </c>
      <c r="S17" s="461" t="s">
        <v>11239</v>
      </c>
      <c r="T17" s="461" t="s">
        <v>11239</v>
      </c>
      <c r="U17" s="457" t="s">
        <v>11241</v>
      </c>
      <c r="V17" s="415"/>
    </row>
    <row r="18" spans="2:25" ht="13.8" thickBot="1">
      <c r="B18" s="788" t="s">
        <v>19</v>
      </c>
      <c r="C18" s="789"/>
      <c r="D18" s="789"/>
      <c r="E18" s="789"/>
      <c r="F18" s="429">
        <f t="shared" ref="F18:K18" si="0">SUM(F21:F49)</f>
        <v>4.2198000000000011</v>
      </c>
      <c r="G18" s="429">
        <f t="shared" si="0"/>
        <v>68.412500000000009</v>
      </c>
      <c r="H18" s="429">
        <f t="shared" si="0"/>
        <v>56.264000000000003</v>
      </c>
      <c r="I18" s="429">
        <f t="shared" si="0"/>
        <v>1.4173249999999997</v>
      </c>
      <c r="J18" s="429">
        <f t="shared" si="0"/>
        <v>9.8461999999999996</v>
      </c>
      <c r="K18" s="429">
        <f t="shared" si="0"/>
        <v>379.78199999999993</v>
      </c>
      <c r="M18" s="790" t="s">
        <v>19</v>
      </c>
      <c r="N18" s="791"/>
      <c r="O18" s="791"/>
      <c r="P18" s="791"/>
      <c r="Q18" s="792"/>
      <c r="R18" s="429">
        <f>SUM(R21:R54)</f>
        <v>12.119850000000001</v>
      </c>
      <c r="S18" s="429">
        <f t="shared" ref="S18:T18" si="1">SUM(S21:S54)</f>
        <v>201.99749999999997</v>
      </c>
      <c r="T18" s="429">
        <f t="shared" si="1"/>
        <v>201.99749999999997</v>
      </c>
      <c r="U18" s="429">
        <f>SUM(U21:U54)</f>
        <v>1765.6020000000008</v>
      </c>
      <c r="V18" s="415"/>
    </row>
    <row r="19" spans="2:25" ht="15.75" customHeight="1" thickBot="1">
      <c r="B19" s="793" t="s">
        <v>11378</v>
      </c>
      <c r="C19" s="794"/>
      <c r="D19" s="794"/>
      <c r="E19" s="794"/>
      <c r="F19" s="794"/>
      <c r="G19" s="794"/>
      <c r="H19" s="488"/>
      <c r="I19" s="488"/>
      <c r="J19" s="489"/>
      <c r="K19" s="490"/>
      <c r="M19" s="757" t="str">
        <f>B19</f>
        <v>US CANAÃ</v>
      </c>
      <c r="N19" s="759"/>
      <c r="O19" s="759"/>
      <c r="P19" s="759"/>
      <c r="Q19" s="759"/>
      <c r="R19" s="463"/>
      <c r="S19" s="463"/>
      <c r="T19" s="430"/>
      <c r="U19" s="431"/>
      <c r="V19" s="415"/>
    </row>
    <row r="20" spans="2:25" ht="15.75" customHeight="1">
      <c r="B20" s="491"/>
      <c r="C20" s="786" t="s">
        <v>11386</v>
      </c>
      <c r="D20" s="786"/>
      <c r="E20" s="786"/>
      <c r="F20" s="786"/>
      <c r="G20" s="786"/>
      <c r="H20" s="786"/>
      <c r="I20" s="786"/>
      <c r="J20" s="787"/>
      <c r="K20" s="492"/>
      <c r="M20" s="486"/>
      <c r="N20" s="794" t="str">
        <f>C20</f>
        <v>PAVIMENTO TÉRREO</v>
      </c>
      <c r="O20" s="794"/>
      <c r="P20" s="794"/>
      <c r="Q20" s="794"/>
      <c r="R20" s="794"/>
      <c r="S20" s="794"/>
      <c r="T20" s="794"/>
      <c r="U20" s="487"/>
      <c r="V20" s="415"/>
    </row>
    <row r="21" spans="2:25">
      <c r="B21" s="464" t="s">
        <v>11290</v>
      </c>
      <c r="C21" s="465">
        <v>0.15</v>
      </c>
      <c r="D21" s="465">
        <v>0.3</v>
      </c>
      <c r="E21" s="465">
        <v>0</v>
      </c>
      <c r="F21" s="465">
        <f>C21*D21*E21</f>
        <v>0</v>
      </c>
      <c r="G21" s="466">
        <f>(2*D21+C21)*E21</f>
        <v>0</v>
      </c>
      <c r="H21" s="485">
        <f>(2*D21)*E21</f>
        <v>0</v>
      </c>
      <c r="I21" s="433">
        <f>(C21+0.2)*E21*$I$17</f>
        <v>0</v>
      </c>
      <c r="J21" s="467">
        <f>(C21+0.2)*D21*E21</f>
        <v>0</v>
      </c>
      <c r="K21" s="468">
        <f>F21*60</f>
        <v>0</v>
      </c>
      <c r="M21" s="464" t="s">
        <v>11291</v>
      </c>
      <c r="N21" s="465">
        <v>0.15</v>
      </c>
      <c r="O21" s="465">
        <v>0.3</v>
      </c>
      <c r="P21" s="465">
        <v>12.45</v>
      </c>
      <c r="Q21" s="433">
        <f>O21</f>
        <v>0.3</v>
      </c>
      <c r="R21" s="433">
        <f t="shared" ref="R21:R49" si="2">N21*O21*P21</f>
        <v>0.56024999999999991</v>
      </c>
      <c r="S21" s="433">
        <f>((2*Q21+N21)*P21)</f>
        <v>9.3374999999999986</v>
      </c>
      <c r="T21" s="434">
        <f t="shared" ref="T21:T49" si="3">(O21+Q21+N21)*P21</f>
        <v>9.3374999999999986</v>
      </c>
      <c r="U21" s="468">
        <f>R21*150</f>
        <v>84.037499999999994</v>
      </c>
      <c r="V21" s="415"/>
    </row>
    <row r="22" spans="2:25" ht="14.4">
      <c r="B22" s="469" t="s">
        <v>11292</v>
      </c>
      <c r="C22" s="465">
        <v>0.15</v>
      </c>
      <c r="D22" s="465">
        <v>0.3</v>
      </c>
      <c r="E22" s="465">
        <v>0</v>
      </c>
      <c r="F22" s="465">
        <f t="shared" ref="F22:F33" si="4">C22*D22*E22</f>
        <v>0</v>
      </c>
      <c r="G22" s="466">
        <f t="shared" ref="G22:G33" si="5">(2*D22+C22)*E22</f>
        <v>0</v>
      </c>
      <c r="H22" s="485">
        <f t="shared" ref="H22:H33" si="6">(2*D22)*E22</f>
        <v>0</v>
      </c>
      <c r="I22" s="433">
        <f t="shared" ref="I22:I33" si="7">(C22+0.2)*E22*$I$17</f>
        <v>0</v>
      </c>
      <c r="J22" s="467">
        <f t="shared" ref="J22:J33" si="8">(C22+0.2)*D22*E22</f>
        <v>0</v>
      </c>
      <c r="K22" s="468">
        <f t="shared" ref="K22:K31" si="9">F22*60</f>
        <v>0</v>
      </c>
      <c r="M22" s="469" t="s">
        <v>11293</v>
      </c>
      <c r="N22" s="465">
        <v>0.15</v>
      </c>
      <c r="O22" s="465">
        <v>0.3</v>
      </c>
      <c r="P22" s="465">
        <v>7.25</v>
      </c>
      <c r="Q22" s="433">
        <f>O22</f>
        <v>0.3</v>
      </c>
      <c r="R22" s="433">
        <f t="shared" si="2"/>
        <v>0.32624999999999998</v>
      </c>
      <c r="S22" s="433">
        <f t="shared" ref="S22:S49" si="10">((2*Q22+N22)*P22)</f>
        <v>5.4375</v>
      </c>
      <c r="T22" s="434">
        <f t="shared" si="3"/>
        <v>5.4375</v>
      </c>
      <c r="U22" s="468">
        <f t="shared" ref="U22:U31" si="11">R22*150</f>
        <v>48.9375</v>
      </c>
      <c r="V22" s="415"/>
    </row>
    <row r="23" spans="2:25" ht="14.4">
      <c r="B23" s="469" t="s">
        <v>11294</v>
      </c>
      <c r="C23" s="465">
        <v>0.15</v>
      </c>
      <c r="D23" s="465">
        <v>0.3</v>
      </c>
      <c r="E23" s="465">
        <v>0</v>
      </c>
      <c r="F23" s="465">
        <f t="shared" si="4"/>
        <v>0</v>
      </c>
      <c r="G23" s="466">
        <f t="shared" si="5"/>
        <v>0</v>
      </c>
      <c r="H23" s="485">
        <f t="shared" si="6"/>
        <v>0</v>
      </c>
      <c r="I23" s="433">
        <f t="shared" si="7"/>
        <v>0</v>
      </c>
      <c r="J23" s="467">
        <f t="shared" si="8"/>
        <v>0</v>
      </c>
      <c r="K23" s="468">
        <f t="shared" si="9"/>
        <v>0</v>
      </c>
      <c r="M23" s="469" t="s">
        <v>11295</v>
      </c>
      <c r="N23" s="465">
        <v>0.15</v>
      </c>
      <c r="O23" s="465">
        <v>0.3</v>
      </c>
      <c r="P23" s="465">
        <v>10.95</v>
      </c>
      <c r="Q23" s="433">
        <f t="shared" ref="Q23:Q49" si="12">O23</f>
        <v>0.3</v>
      </c>
      <c r="R23" s="433">
        <f t="shared" si="2"/>
        <v>0.49274999999999997</v>
      </c>
      <c r="S23" s="433">
        <f t="shared" si="10"/>
        <v>8.2124999999999986</v>
      </c>
      <c r="T23" s="434">
        <f t="shared" si="3"/>
        <v>8.2124999999999986</v>
      </c>
      <c r="U23" s="468">
        <f t="shared" si="11"/>
        <v>73.912499999999994</v>
      </c>
      <c r="V23" s="415"/>
    </row>
    <row r="24" spans="2:25" ht="14.4">
      <c r="B24" s="469" t="s">
        <v>11296</v>
      </c>
      <c r="C24" s="465">
        <v>0.15</v>
      </c>
      <c r="D24" s="465">
        <v>0.3</v>
      </c>
      <c r="E24" s="465">
        <v>0</v>
      </c>
      <c r="F24" s="465">
        <f t="shared" si="4"/>
        <v>0</v>
      </c>
      <c r="G24" s="466">
        <f t="shared" si="5"/>
        <v>0</v>
      </c>
      <c r="H24" s="485">
        <f t="shared" si="6"/>
        <v>0</v>
      </c>
      <c r="I24" s="433">
        <f t="shared" si="7"/>
        <v>0</v>
      </c>
      <c r="J24" s="467">
        <f t="shared" si="8"/>
        <v>0</v>
      </c>
      <c r="K24" s="468">
        <f t="shared" si="9"/>
        <v>0</v>
      </c>
      <c r="M24" s="469" t="s">
        <v>11297</v>
      </c>
      <c r="N24" s="465">
        <v>0.15</v>
      </c>
      <c r="O24" s="465">
        <v>0.3</v>
      </c>
      <c r="P24" s="465">
        <v>5.95</v>
      </c>
      <c r="Q24" s="433">
        <f t="shared" si="12"/>
        <v>0.3</v>
      </c>
      <c r="R24" s="433">
        <f t="shared" si="2"/>
        <v>0.26774999999999999</v>
      </c>
      <c r="S24" s="433">
        <f t="shared" si="10"/>
        <v>4.4625000000000004</v>
      </c>
      <c r="T24" s="434">
        <f t="shared" si="3"/>
        <v>4.4625000000000004</v>
      </c>
      <c r="U24" s="468">
        <f t="shared" si="11"/>
        <v>40.162500000000001</v>
      </c>
      <c r="V24" s="415"/>
    </row>
    <row r="25" spans="2:25" ht="14.4">
      <c r="B25" s="469" t="s">
        <v>11298</v>
      </c>
      <c r="C25" s="465">
        <v>0.15</v>
      </c>
      <c r="D25" s="465">
        <v>0.3</v>
      </c>
      <c r="E25" s="465">
        <v>0</v>
      </c>
      <c r="F25" s="465">
        <f t="shared" si="4"/>
        <v>0</v>
      </c>
      <c r="G25" s="466">
        <f t="shared" si="5"/>
        <v>0</v>
      </c>
      <c r="H25" s="485">
        <f t="shared" si="6"/>
        <v>0</v>
      </c>
      <c r="I25" s="433">
        <f t="shared" si="7"/>
        <v>0</v>
      </c>
      <c r="J25" s="467">
        <f t="shared" si="8"/>
        <v>0</v>
      </c>
      <c r="K25" s="468">
        <f t="shared" si="9"/>
        <v>0</v>
      </c>
      <c r="M25" s="469" t="s">
        <v>11299</v>
      </c>
      <c r="N25" s="465">
        <v>0.15</v>
      </c>
      <c r="O25" s="465">
        <v>0.3</v>
      </c>
      <c r="P25" s="465">
        <v>6.8100000000000005</v>
      </c>
      <c r="Q25" s="433">
        <f t="shared" si="12"/>
        <v>0.3</v>
      </c>
      <c r="R25" s="433">
        <f t="shared" si="2"/>
        <v>0.30645</v>
      </c>
      <c r="S25" s="433">
        <f t="shared" si="10"/>
        <v>5.1074999999999999</v>
      </c>
      <c r="T25" s="434">
        <f t="shared" si="3"/>
        <v>5.1074999999999999</v>
      </c>
      <c r="U25" s="468">
        <f t="shared" si="11"/>
        <v>45.967500000000001</v>
      </c>
      <c r="V25" s="415"/>
    </row>
    <row r="26" spans="2:25" ht="14.4">
      <c r="B26" s="469" t="s">
        <v>11300</v>
      </c>
      <c r="C26" s="465">
        <v>0.15</v>
      </c>
      <c r="D26" s="465">
        <v>0.3</v>
      </c>
      <c r="E26" s="465">
        <v>0</v>
      </c>
      <c r="F26" s="465">
        <f t="shared" si="4"/>
        <v>0</v>
      </c>
      <c r="G26" s="466">
        <f t="shared" si="5"/>
        <v>0</v>
      </c>
      <c r="H26" s="485">
        <f t="shared" si="6"/>
        <v>0</v>
      </c>
      <c r="I26" s="433">
        <f t="shared" si="7"/>
        <v>0</v>
      </c>
      <c r="J26" s="467">
        <f t="shared" si="8"/>
        <v>0</v>
      </c>
      <c r="K26" s="468">
        <f t="shared" si="9"/>
        <v>0</v>
      </c>
      <c r="M26" s="469" t="s">
        <v>11301</v>
      </c>
      <c r="N26" s="465">
        <v>0.15</v>
      </c>
      <c r="O26" s="465">
        <v>0.3</v>
      </c>
      <c r="P26" s="465">
        <v>9.24</v>
      </c>
      <c r="Q26" s="433">
        <f t="shared" si="12"/>
        <v>0.3</v>
      </c>
      <c r="R26" s="433">
        <f t="shared" si="2"/>
        <v>0.4158</v>
      </c>
      <c r="S26" s="433">
        <f t="shared" si="10"/>
        <v>6.93</v>
      </c>
      <c r="T26" s="434">
        <f t="shared" si="3"/>
        <v>6.93</v>
      </c>
      <c r="U26" s="468">
        <f t="shared" si="11"/>
        <v>62.37</v>
      </c>
      <c r="V26" s="415"/>
      <c r="Y26" s="470"/>
    </row>
    <row r="27" spans="2:25" ht="14.4">
      <c r="B27" s="469" t="s">
        <v>11302</v>
      </c>
      <c r="C27" s="465">
        <v>0.15</v>
      </c>
      <c r="D27" s="465">
        <v>0.3</v>
      </c>
      <c r="E27" s="465">
        <v>0</v>
      </c>
      <c r="F27" s="465">
        <f t="shared" si="4"/>
        <v>0</v>
      </c>
      <c r="G27" s="466">
        <f t="shared" si="5"/>
        <v>0</v>
      </c>
      <c r="H27" s="485">
        <f t="shared" si="6"/>
        <v>0</v>
      </c>
      <c r="I27" s="433">
        <f t="shared" si="7"/>
        <v>0</v>
      </c>
      <c r="J27" s="467">
        <f t="shared" si="8"/>
        <v>0</v>
      </c>
      <c r="K27" s="468">
        <f t="shared" si="9"/>
        <v>0</v>
      </c>
      <c r="M27" s="469" t="s">
        <v>11303</v>
      </c>
      <c r="N27" s="465">
        <v>0.15</v>
      </c>
      <c r="O27" s="465">
        <v>0.3</v>
      </c>
      <c r="P27" s="465">
        <v>6.6</v>
      </c>
      <c r="Q27" s="433">
        <f t="shared" si="12"/>
        <v>0.3</v>
      </c>
      <c r="R27" s="433">
        <f t="shared" si="2"/>
        <v>0.29699999999999999</v>
      </c>
      <c r="S27" s="433">
        <f t="shared" si="10"/>
        <v>4.9499999999999993</v>
      </c>
      <c r="T27" s="434">
        <f t="shared" si="3"/>
        <v>4.9499999999999993</v>
      </c>
      <c r="U27" s="468">
        <f t="shared" si="11"/>
        <v>44.55</v>
      </c>
      <c r="V27" s="415"/>
    </row>
    <row r="28" spans="2:25" ht="14.4">
      <c r="B28" s="469" t="s">
        <v>11304</v>
      </c>
      <c r="C28" s="465">
        <v>0.15</v>
      </c>
      <c r="D28" s="465">
        <v>0.3</v>
      </c>
      <c r="E28" s="465">
        <v>0</v>
      </c>
      <c r="F28" s="465">
        <f t="shared" si="4"/>
        <v>0</v>
      </c>
      <c r="G28" s="466">
        <f t="shared" si="5"/>
        <v>0</v>
      </c>
      <c r="H28" s="485">
        <f t="shared" si="6"/>
        <v>0</v>
      </c>
      <c r="I28" s="433">
        <f t="shared" si="7"/>
        <v>0</v>
      </c>
      <c r="J28" s="467">
        <f t="shared" si="8"/>
        <v>0</v>
      </c>
      <c r="K28" s="468">
        <f t="shared" si="9"/>
        <v>0</v>
      </c>
      <c r="M28" s="469" t="s">
        <v>11305</v>
      </c>
      <c r="N28" s="465">
        <v>0.15</v>
      </c>
      <c r="O28" s="465">
        <v>0.3</v>
      </c>
      <c r="P28" s="465">
        <v>4.78</v>
      </c>
      <c r="Q28" s="433">
        <f t="shared" si="12"/>
        <v>0.3</v>
      </c>
      <c r="R28" s="433">
        <f t="shared" si="2"/>
        <v>0.21510000000000001</v>
      </c>
      <c r="S28" s="433">
        <f t="shared" si="10"/>
        <v>3.585</v>
      </c>
      <c r="T28" s="434">
        <f t="shared" si="3"/>
        <v>3.585</v>
      </c>
      <c r="U28" s="468">
        <f t="shared" si="11"/>
        <v>32.265000000000001</v>
      </c>
      <c r="V28" s="415"/>
    </row>
    <row r="29" spans="2:25" ht="14.4">
      <c r="B29" s="469" t="s">
        <v>11306</v>
      </c>
      <c r="C29" s="465">
        <v>0.15</v>
      </c>
      <c r="D29" s="465">
        <v>0.3</v>
      </c>
      <c r="E29" s="465">
        <v>0</v>
      </c>
      <c r="F29" s="465">
        <f t="shared" si="4"/>
        <v>0</v>
      </c>
      <c r="G29" s="466">
        <f t="shared" si="5"/>
        <v>0</v>
      </c>
      <c r="H29" s="485">
        <f t="shared" si="6"/>
        <v>0</v>
      </c>
      <c r="I29" s="433">
        <f t="shared" si="7"/>
        <v>0</v>
      </c>
      <c r="J29" s="467">
        <f t="shared" si="8"/>
        <v>0</v>
      </c>
      <c r="K29" s="468">
        <f t="shared" si="9"/>
        <v>0</v>
      </c>
      <c r="M29" s="469" t="s">
        <v>11307</v>
      </c>
      <c r="N29" s="465">
        <v>0.15</v>
      </c>
      <c r="O29" s="465">
        <v>0.3</v>
      </c>
      <c r="P29" s="465">
        <v>4.78</v>
      </c>
      <c r="Q29" s="433">
        <f t="shared" si="12"/>
        <v>0.3</v>
      </c>
      <c r="R29" s="433">
        <f t="shared" si="2"/>
        <v>0.21510000000000001</v>
      </c>
      <c r="S29" s="433">
        <f t="shared" si="10"/>
        <v>3.585</v>
      </c>
      <c r="T29" s="434">
        <f t="shared" si="3"/>
        <v>3.585</v>
      </c>
      <c r="U29" s="468">
        <f t="shared" si="11"/>
        <v>32.265000000000001</v>
      </c>
      <c r="V29" s="415"/>
    </row>
    <row r="30" spans="2:25" ht="14.4">
      <c r="B30" s="469" t="s">
        <v>11308</v>
      </c>
      <c r="C30" s="465">
        <v>0.15</v>
      </c>
      <c r="D30" s="465">
        <v>0.3</v>
      </c>
      <c r="E30" s="465">
        <v>0</v>
      </c>
      <c r="F30" s="465">
        <f t="shared" si="4"/>
        <v>0</v>
      </c>
      <c r="G30" s="466">
        <f t="shared" si="5"/>
        <v>0</v>
      </c>
      <c r="H30" s="485">
        <f t="shared" si="6"/>
        <v>0</v>
      </c>
      <c r="I30" s="433">
        <f t="shared" si="7"/>
        <v>0</v>
      </c>
      <c r="J30" s="467">
        <f t="shared" si="8"/>
        <v>0</v>
      </c>
      <c r="K30" s="468">
        <f t="shared" si="9"/>
        <v>0</v>
      </c>
      <c r="M30" s="469" t="s">
        <v>11309</v>
      </c>
      <c r="N30" s="465">
        <v>0.15</v>
      </c>
      <c r="O30" s="465">
        <v>0.3</v>
      </c>
      <c r="P30" s="465">
        <v>3.51</v>
      </c>
      <c r="Q30" s="433">
        <f t="shared" si="12"/>
        <v>0.3</v>
      </c>
      <c r="R30" s="433">
        <f t="shared" si="2"/>
        <v>0.15794999999999998</v>
      </c>
      <c r="S30" s="433">
        <f t="shared" si="10"/>
        <v>2.6324999999999998</v>
      </c>
      <c r="T30" s="434">
        <f t="shared" si="3"/>
        <v>2.6324999999999998</v>
      </c>
      <c r="U30" s="468">
        <f t="shared" si="11"/>
        <v>23.692499999999995</v>
      </c>
      <c r="V30" s="415"/>
    </row>
    <row r="31" spans="2:25" ht="14.4">
      <c r="B31" s="469" t="s">
        <v>11310</v>
      </c>
      <c r="C31" s="465">
        <v>0.15</v>
      </c>
      <c r="D31" s="465">
        <v>0.3</v>
      </c>
      <c r="E31" s="465">
        <v>0</v>
      </c>
      <c r="F31" s="465">
        <f t="shared" si="4"/>
        <v>0</v>
      </c>
      <c r="G31" s="466">
        <f t="shared" si="5"/>
        <v>0</v>
      </c>
      <c r="H31" s="485">
        <f t="shared" si="6"/>
        <v>0</v>
      </c>
      <c r="I31" s="433">
        <f t="shared" si="7"/>
        <v>0</v>
      </c>
      <c r="J31" s="467">
        <f t="shared" si="8"/>
        <v>0</v>
      </c>
      <c r="K31" s="468">
        <f t="shared" si="9"/>
        <v>0</v>
      </c>
      <c r="M31" s="469" t="s">
        <v>11311</v>
      </c>
      <c r="N31" s="465">
        <v>0.15</v>
      </c>
      <c r="O31" s="465">
        <v>0.3</v>
      </c>
      <c r="P31" s="465">
        <v>3.25</v>
      </c>
      <c r="Q31" s="433">
        <f t="shared" si="12"/>
        <v>0.3</v>
      </c>
      <c r="R31" s="433">
        <f t="shared" si="2"/>
        <v>0.14624999999999999</v>
      </c>
      <c r="S31" s="433">
        <f t="shared" si="10"/>
        <v>2.4375</v>
      </c>
      <c r="T31" s="434">
        <f t="shared" si="3"/>
        <v>2.4375</v>
      </c>
      <c r="U31" s="468">
        <f t="shared" si="11"/>
        <v>21.9375</v>
      </c>
      <c r="V31" s="415"/>
    </row>
    <row r="32" spans="2:25" ht="15.75" customHeight="1">
      <c r="B32" s="491"/>
      <c r="C32" s="786" t="s">
        <v>11387</v>
      </c>
      <c r="D32" s="786"/>
      <c r="E32" s="786"/>
      <c r="F32" s="786"/>
      <c r="G32" s="786"/>
      <c r="H32" s="786"/>
      <c r="I32" s="786"/>
      <c r="J32" s="787"/>
      <c r="K32" s="492"/>
      <c r="M32" s="491"/>
      <c r="N32" s="786" t="str">
        <f>C32</f>
        <v xml:space="preserve">PRIMEIRO PAVIMENTO </v>
      </c>
      <c r="O32" s="786"/>
      <c r="P32" s="786"/>
      <c r="Q32" s="786"/>
      <c r="R32" s="786"/>
      <c r="S32" s="786"/>
      <c r="T32" s="786"/>
      <c r="U32" s="787"/>
      <c r="V32" s="415"/>
    </row>
    <row r="33" spans="2:24" ht="14.4">
      <c r="B33" s="469" t="s">
        <v>11312</v>
      </c>
      <c r="C33" s="465">
        <v>0.15</v>
      </c>
      <c r="D33" s="465">
        <v>0.3</v>
      </c>
      <c r="E33" s="493">
        <v>7</v>
      </c>
      <c r="F33" s="465">
        <f t="shared" si="4"/>
        <v>0.315</v>
      </c>
      <c r="G33" s="466">
        <f t="shared" si="5"/>
        <v>5.25</v>
      </c>
      <c r="H33" s="485">
        <f t="shared" si="6"/>
        <v>4.2</v>
      </c>
      <c r="I33" s="433">
        <f t="shared" si="7"/>
        <v>0.1225</v>
      </c>
      <c r="J33" s="467">
        <f t="shared" si="8"/>
        <v>0.73499999999999999</v>
      </c>
      <c r="K33" s="468">
        <f>F33*90</f>
        <v>28.35</v>
      </c>
      <c r="M33" s="469" t="s">
        <v>11313</v>
      </c>
      <c r="N33" s="465">
        <v>0.15</v>
      </c>
      <c r="O33" s="465">
        <v>0.3</v>
      </c>
      <c r="P33" s="493">
        <f>2.75+3.05+E33</f>
        <v>12.8</v>
      </c>
      <c r="Q33" s="433">
        <f t="shared" si="12"/>
        <v>0.3</v>
      </c>
      <c r="R33" s="433">
        <f t="shared" si="2"/>
        <v>0.57599999999999996</v>
      </c>
      <c r="S33" s="433">
        <f t="shared" si="10"/>
        <v>9.6000000000000014</v>
      </c>
      <c r="T33" s="434">
        <f t="shared" si="3"/>
        <v>9.6000000000000014</v>
      </c>
      <c r="U33" s="468">
        <f>R33*150</f>
        <v>86.399999999999991</v>
      </c>
      <c r="V33" s="415"/>
      <c r="X33" s="470">
        <f>P33+E33</f>
        <v>19.8</v>
      </c>
    </row>
    <row r="34" spans="2:24" ht="14.4">
      <c r="B34" s="469" t="s">
        <v>11314</v>
      </c>
      <c r="C34" s="465">
        <v>0.15</v>
      </c>
      <c r="D34" s="465">
        <v>0.3</v>
      </c>
      <c r="E34" s="493">
        <v>5.3</v>
      </c>
      <c r="F34" s="465">
        <f>C34*D34*E34</f>
        <v>0.23849999999999999</v>
      </c>
      <c r="G34" s="466">
        <f>(2*D34+C34)*E34</f>
        <v>3.9749999999999996</v>
      </c>
      <c r="H34" s="485">
        <f>(2*D34)*E34</f>
        <v>3.1799999999999997</v>
      </c>
      <c r="I34" s="433">
        <f>(C34+0.2)*E34*$I$17</f>
        <v>9.2749999999999999E-2</v>
      </c>
      <c r="J34" s="467">
        <f>(C34+0.2)*D34*E34</f>
        <v>0.55649999999999999</v>
      </c>
      <c r="K34" s="468">
        <f t="shared" ref="K34:K49" si="13">F34*90</f>
        <v>21.465</v>
      </c>
      <c r="M34" s="469" t="s">
        <v>11315</v>
      </c>
      <c r="N34" s="465">
        <v>0.15</v>
      </c>
      <c r="O34" s="465">
        <v>0.3</v>
      </c>
      <c r="P34" s="493">
        <f>7.9+E34</f>
        <v>13.2</v>
      </c>
      <c r="Q34" s="433">
        <f t="shared" si="12"/>
        <v>0.3</v>
      </c>
      <c r="R34" s="433">
        <f t="shared" si="2"/>
        <v>0.59399999999999997</v>
      </c>
      <c r="S34" s="433">
        <f t="shared" si="10"/>
        <v>9.8999999999999986</v>
      </c>
      <c r="T34" s="434">
        <f t="shared" si="3"/>
        <v>9.8999999999999986</v>
      </c>
      <c r="U34" s="468">
        <f t="shared" ref="U34:U48" si="14">R34*150</f>
        <v>89.1</v>
      </c>
      <c r="V34" s="415"/>
    </row>
    <row r="35" spans="2:24" ht="14.4">
      <c r="B35" s="469" t="s">
        <v>11316</v>
      </c>
      <c r="C35" s="465">
        <v>0.15</v>
      </c>
      <c r="D35" s="465">
        <v>0.3</v>
      </c>
      <c r="E35" s="493">
        <v>3.25</v>
      </c>
      <c r="F35" s="465">
        <f>C35*D35*E35</f>
        <v>0.14624999999999999</v>
      </c>
      <c r="G35" s="466">
        <f>(2*D35+C35)*E35</f>
        <v>2.4375</v>
      </c>
      <c r="H35" s="485">
        <f>(2*D35)*E35</f>
        <v>1.95</v>
      </c>
      <c r="I35" s="433">
        <f>(C35+0.2)*E35*$I$17</f>
        <v>5.6875000000000002E-2</v>
      </c>
      <c r="J35" s="467">
        <f>(C35+0.2)*D35*E35</f>
        <v>0.34125</v>
      </c>
      <c r="K35" s="468">
        <f t="shared" si="13"/>
        <v>13.1625</v>
      </c>
      <c r="M35" s="469" t="s">
        <v>11317</v>
      </c>
      <c r="N35" s="465">
        <v>0.15</v>
      </c>
      <c r="O35" s="465">
        <v>0.3</v>
      </c>
      <c r="P35" s="493">
        <f>4.78+2.03+$E$35</f>
        <v>10.06</v>
      </c>
      <c r="Q35" s="433">
        <f t="shared" si="12"/>
        <v>0.3</v>
      </c>
      <c r="R35" s="433">
        <f t="shared" si="2"/>
        <v>0.45269999999999999</v>
      </c>
      <c r="S35" s="433">
        <f t="shared" si="10"/>
        <v>7.5449999999999999</v>
      </c>
      <c r="T35" s="434">
        <f t="shared" si="3"/>
        <v>7.5449999999999999</v>
      </c>
      <c r="U35" s="468">
        <f t="shared" si="14"/>
        <v>67.905000000000001</v>
      </c>
      <c r="V35" s="415"/>
    </row>
    <row r="36" spans="2:24" ht="14.4">
      <c r="B36" s="469" t="s">
        <v>11318</v>
      </c>
      <c r="C36" s="465">
        <v>0.15</v>
      </c>
      <c r="D36" s="465">
        <v>0.3</v>
      </c>
      <c r="E36" s="493">
        <v>3.25</v>
      </c>
      <c r="F36" s="465">
        <f t="shared" ref="F36:F46" si="15">C36*D36*E36</f>
        <v>0.14624999999999999</v>
      </c>
      <c r="G36" s="466">
        <f t="shared" ref="G36:G46" si="16">(2*D36+C36)*E36</f>
        <v>2.4375</v>
      </c>
      <c r="H36" s="485">
        <f t="shared" ref="H36:H46" si="17">(2*D36)*E36</f>
        <v>1.95</v>
      </c>
      <c r="I36" s="433">
        <f t="shared" ref="I36:I46" si="18">(C36+0.2)*E36*$I$17</f>
        <v>5.6875000000000002E-2</v>
      </c>
      <c r="J36" s="467">
        <f t="shared" ref="J36:J46" si="19">(C36+0.2)*D36*E36</f>
        <v>0.34125</v>
      </c>
      <c r="K36" s="468">
        <f t="shared" si="13"/>
        <v>13.1625</v>
      </c>
      <c r="M36" s="469" t="s">
        <v>11319</v>
      </c>
      <c r="N36" s="465">
        <v>0.15</v>
      </c>
      <c r="O36" s="465">
        <v>0.3</v>
      </c>
      <c r="P36" s="493">
        <f>1.5+5+1.25+2+3.25+3.6+E36</f>
        <v>19.850000000000001</v>
      </c>
      <c r="Q36" s="433">
        <f t="shared" si="12"/>
        <v>0.3</v>
      </c>
      <c r="R36" s="433">
        <f t="shared" si="2"/>
        <v>0.89324999999999999</v>
      </c>
      <c r="S36" s="433">
        <f t="shared" si="10"/>
        <v>14.887500000000001</v>
      </c>
      <c r="T36" s="434">
        <f t="shared" si="3"/>
        <v>14.887500000000001</v>
      </c>
      <c r="U36" s="468">
        <f t="shared" si="14"/>
        <v>133.98750000000001</v>
      </c>
      <c r="V36" s="415"/>
    </row>
    <row r="37" spans="2:24" ht="14.4">
      <c r="B37" s="469" t="s">
        <v>11320</v>
      </c>
      <c r="C37" s="465">
        <v>0.15</v>
      </c>
      <c r="D37" s="465">
        <v>0.3</v>
      </c>
      <c r="E37" s="493">
        <v>2.4500000000000002</v>
      </c>
      <c r="F37" s="465">
        <f t="shared" si="15"/>
        <v>0.11025</v>
      </c>
      <c r="G37" s="466">
        <f t="shared" si="16"/>
        <v>1.8375000000000001</v>
      </c>
      <c r="H37" s="485">
        <f t="shared" si="17"/>
        <v>1.47</v>
      </c>
      <c r="I37" s="433">
        <f t="shared" si="18"/>
        <v>4.2875000000000003E-2</v>
      </c>
      <c r="J37" s="467">
        <f t="shared" si="19"/>
        <v>0.25725000000000003</v>
      </c>
      <c r="K37" s="468">
        <f t="shared" si="13"/>
        <v>9.9224999999999994</v>
      </c>
      <c r="M37" s="469" t="s">
        <v>11321</v>
      </c>
      <c r="N37" s="465">
        <v>0.15</v>
      </c>
      <c r="O37" s="465">
        <v>0.3</v>
      </c>
      <c r="P37" s="493">
        <f>(3.27*2)+E37</f>
        <v>8.99</v>
      </c>
      <c r="Q37" s="433">
        <f t="shared" si="12"/>
        <v>0.3</v>
      </c>
      <c r="R37" s="433">
        <f>N37*O37*P37</f>
        <v>0.40455000000000002</v>
      </c>
      <c r="S37" s="433">
        <f t="shared" si="10"/>
        <v>6.7424999999999997</v>
      </c>
      <c r="T37" s="434">
        <f>(O37+Q37+N37)*P37</f>
        <v>6.7424999999999997</v>
      </c>
      <c r="U37" s="468">
        <f t="shared" si="14"/>
        <v>60.682500000000005</v>
      </c>
      <c r="V37" s="415"/>
    </row>
    <row r="38" spans="2:24" ht="14.4">
      <c r="B38" s="469" t="s">
        <v>11322</v>
      </c>
      <c r="C38" s="465">
        <v>0.15</v>
      </c>
      <c r="D38" s="465">
        <v>0.3</v>
      </c>
      <c r="E38" s="493">
        <v>1.81</v>
      </c>
      <c r="F38" s="465">
        <f t="shared" si="15"/>
        <v>8.1449999999999995E-2</v>
      </c>
      <c r="G38" s="466">
        <f t="shared" si="16"/>
        <v>1.3574999999999999</v>
      </c>
      <c r="H38" s="485">
        <f t="shared" si="17"/>
        <v>1.0860000000000001</v>
      </c>
      <c r="I38" s="433">
        <f t="shared" si="18"/>
        <v>3.1675000000000002E-2</v>
      </c>
      <c r="J38" s="467">
        <f t="shared" si="19"/>
        <v>0.19005</v>
      </c>
      <c r="K38" s="468">
        <f t="shared" si="13"/>
        <v>7.3304999999999998</v>
      </c>
      <c r="M38" s="469" t="s">
        <v>11323</v>
      </c>
      <c r="N38" s="465">
        <v>0.15</v>
      </c>
      <c r="O38" s="465">
        <v>0.3</v>
      </c>
      <c r="P38" s="493">
        <f>(3.86*2)+E38</f>
        <v>9.5299999999999994</v>
      </c>
      <c r="Q38" s="433">
        <f t="shared" si="12"/>
        <v>0.3</v>
      </c>
      <c r="R38" s="433">
        <f t="shared" si="2"/>
        <v>0.42884999999999995</v>
      </c>
      <c r="S38" s="433">
        <f t="shared" si="10"/>
        <v>7.1474999999999991</v>
      </c>
      <c r="T38" s="434">
        <f t="shared" si="3"/>
        <v>7.1474999999999991</v>
      </c>
      <c r="U38" s="468">
        <f t="shared" si="14"/>
        <v>64.327499999999986</v>
      </c>
      <c r="V38" s="415"/>
    </row>
    <row r="39" spans="2:24" ht="14.4">
      <c r="B39" s="469" t="s">
        <v>11324</v>
      </c>
      <c r="C39" s="465">
        <v>0.15</v>
      </c>
      <c r="D39" s="465">
        <v>0.3</v>
      </c>
      <c r="E39" s="493">
        <v>3.77</v>
      </c>
      <c r="F39" s="465">
        <f t="shared" si="15"/>
        <v>0.16965</v>
      </c>
      <c r="G39" s="466">
        <f t="shared" si="16"/>
        <v>2.8275000000000001</v>
      </c>
      <c r="H39" s="485">
        <f t="shared" si="17"/>
        <v>2.262</v>
      </c>
      <c r="I39" s="433">
        <f t="shared" si="18"/>
        <v>6.5974999999999992E-2</v>
      </c>
      <c r="J39" s="467">
        <f t="shared" si="19"/>
        <v>0.39584999999999998</v>
      </c>
      <c r="K39" s="468">
        <f t="shared" si="13"/>
        <v>15.2685</v>
      </c>
      <c r="M39" s="469" t="s">
        <v>11325</v>
      </c>
      <c r="N39" s="465">
        <v>0.15</v>
      </c>
      <c r="O39" s="465">
        <v>0.3</v>
      </c>
      <c r="P39" s="493">
        <f>(0.6*3)+E39</f>
        <v>5.57</v>
      </c>
      <c r="Q39" s="433">
        <f t="shared" si="12"/>
        <v>0.3</v>
      </c>
      <c r="R39" s="433">
        <f t="shared" si="2"/>
        <v>0.25064999999999998</v>
      </c>
      <c r="S39" s="433">
        <f t="shared" si="10"/>
        <v>4.1775000000000002</v>
      </c>
      <c r="T39" s="434">
        <f t="shared" si="3"/>
        <v>4.1775000000000002</v>
      </c>
      <c r="U39" s="468">
        <f t="shared" si="14"/>
        <v>37.597499999999997</v>
      </c>
      <c r="V39" s="415"/>
    </row>
    <row r="40" spans="2:24" ht="14.4">
      <c r="B40" s="469" t="s">
        <v>11326</v>
      </c>
      <c r="C40" s="465">
        <v>0.15</v>
      </c>
      <c r="D40" s="465">
        <v>0.3</v>
      </c>
      <c r="E40" s="493">
        <f>4.07*3</f>
        <v>12.21</v>
      </c>
      <c r="F40" s="465">
        <f t="shared" si="15"/>
        <v>0.54944999999999999</v>
      </c>
      <c r="G40" s="466">
        <f t="shared" si="16"/>
        <v>9.1575000000000006</v>
      </c>
      <c r="H40" s="485">
        <f t="shared" si="17"/>
        <v>7.3260000000000005</v>
      </c>
      <c r="I40" s="433">
        <f t="shared" si="18"/>
        <v>0.21367500000000003</v>
      </c>
      <c r="J40" s="467">
        <f t="shared" si="19"/>
        <v>1.2820500000000001</v>
      </c>
      <c r="K40" s="468">
        <f t="shared" si="13"/>
        <v>49.450499999999998</v>
      </c>
      <c r="M40" s="469" t="s">
        <v>11327</v>
      </c>
      <c r="N40" s="465">
        <v>0.15</v>
      </c>
      <c r="O40" s="465">
        <v>0.3</v>
      </c>
      <c r="P40" s="493">
        <f>(3.28*2)+E40</f>
        <v>18.77</v>
      </c>
      <c r="Q40" s="433">
        <f t="shared" si="12"/>
        <v>0.3</v>
      </c>
      <c r="R40" s="433">
        <f t="shared" si="2"/>
        <v>0.8446499999999999</v>
      </c>
      <c r="S40" s="433">
        <f t="shared" si="10"/>
        <v>14.077500000000001</v>
      </c>
      <c r="T40" s="434">
        <f t="shared" si="3"/>
        <v>14.077500000000001</v>
      </c>
      <c r="U40" s="468">
        <f t="shared" si="14"/>
        <v>126.69749999999999</v>
      </c>
      <c r="V40" s="415"/>
    </row>
    <row r="41" spans="2:24" ht="14.4">
      <c r="B41" s="469" t="s">
        <v>11328</v>
      </c>
      <c r="C41" s="465">
        <v>0.15</v>
      </c>
      <c r="D41" s="465">
        <v>0.3</v>
      </c>
      <c r="E41" s="493">
        <f>3.6</f>
        <v>3.6</v>
      </c>
      <c r="F41" s="465">
        <f t="shared" si="15"/>
        <v>0.16200000000000001</v>
      </c>
      <c r="G41" s="466">
        <f t="shared" si="16"/>
        <v>2.7</v>
      </c>
      <c r="H41" s="485">
        <f t="shared" si="17"/>
        <v>2.16</v>
      </c>
      <c r="I41" s="433">
        <f t="shared" si="18"/>
        <v>6.3E-2</v>
      </c>
      <c r="J41" s="467">
        <f t="shared" si="19"/>
        <v>0.378</v>
      </c>
      <c r="K41" s="468">
        <f t="shared" si="13"/>
        <v>14.58</v>
      </c>
      <c r="M41" s="469" t="s">
        <v>11329</v>
      </c>
      <c r="N41" s="465">
        <v>0.15</v>
      </c>
      <c r="O41" s="465">
        <v>0.3</v>
      </c>
      <c r="P41" s="493">
        <f>(3.9*2)+E40</f>
        <v>20.010000000000002</v>
      </c>
      <c r="Q41" s="433">
        <f t="shared" si="12"/>
        <v>0.3</v>
      </c>
      <c r="R41" s="433">
        <f t="shared" si="2"/>
        <v>0.90045000000000008</v>
      </c>
      <c r="S41" s="433">
        <f t="shared" si="10"/>
        <v>15.0075</v>
      </c>
      <c r="T41" s="434">
        <f t="shared" si="3"/>
        <v>15.0075</v>
      </c>
      <c r="U41" s="468">
        <f t="shared" si="14"/>
        <v>135.06750000000002</v>
      </c>
      <c r="V41" s="415"/>
    </row>
    <row r="42" spans="2:24" ht="14.4">
      <c r="B42" s="469" t="s">
        <v>11330</v>
      </c>
      <c r="C42" s="465">
        <v>0.15</v>
      </c>
      <c r="D42" s="465">
        <v>0.4</v>
      </c>
      <c r="E42" s="493">
        <f>3.25*2</f>
        <v>6.5</v>
      </c>
      <c r="F42" s="465">
        <f t="shared" si="15"/>
        <v>0.39</v>
      </c>
      <c r="G42" s="466">
        <f t="shared" si="16"/>
        <v>6.1750000000000007</v>
      </c>
      <c r="H42" s="485">
        <f t="shared" si="17"/>
        <v>5.2</v>
      </c>
      <c r="I42" s="433">
        <f t="shared" si="18"/>
        <v>0.11375</v>
      </c>
      <c r="J42" s="467">
        <f t="shared" si="19"/>
        <v>0.90999999999999992</v>
      </c>
      <c r="K42" s="468">
        <f t="shared" si="13"/>
        <v>35.1</v>
      </c>
      <c r="M42" s="469" t="s">
        <v>11331</v>
      </c>
      <c r="N42" s="465">
        <v>0.15</v>
      </c>
      <c r="O42" s="465">
        <v>0.3</v>
      </c>
      <c r="P42" s="493">
        <f>(3.9*2)+E41</f>
        <v>11.4</v>
      </c>
      <c r="Q42" s="433">
        <f t="shared" si="12"/>
        <v>0.3</v>
      </c>
      <c r="R42" s="433">
        <f t="shared" si="2"/>
        <v>0.51300000000000001</v>
      </c>
      <c r="S42" s="433">
        <f t="shared" si="10"/>
        <v>8.5500000000000007</v>
      </c>
      <c r="T42" s="434">
        <f t="shared" si="3"/>
        <v>8.5500000000000007</v>
      </c>
      <c r="U42" s="468">
        <f t="shared" si="14"/>
        <v>76.95</v>
      </c>
      <c r="V42" s="415"/>
    </row>
    <row r="43" spans="2:24" ht="14.4">
      <c r="B43" s="469" t="s">
        <v>11332</v>
      </c>
      <c r="C43" s="465">
        <v>0.15</v>
      </c>
      <c r="D43" s="465">
        <v>0.4</v>
      </c>
      <c r="E43" s="465">
        <v>4.95</v>
      </c>
      <c r="F43" s="465">
        <f t="shared" si="15"/>
        <v>0.29699999999999999</v>
      </c>
      <c r="G43" s="466">
        <f t="shared" si="16"/>
        <v>4.7025000000000006</v>
      </c>
      <c r="H43" s="485">
        <f t="shared" si="17"/>
        <v>3.9600000000000004</v>
      </c>
      <c r="I43" s="433">
        <f t="shared" si="18"/>
        <v>8.6625000000000008E-2</v>
      </c>
      <c r="J43" s="467">
        <f t="shared" si="19"/>
        <v>0.69299999999999995</v>
      </c>
      <c r="K43" s="468">
        <f t="shared" si="13"/>
        <v>26.73</v>
      </c>
      <c r="M43" s="469" t="s">
        <v>11333</v>
      </c>
      <c r="N43" s="465">
        <v>0.15</v>
      </c>
      <c r="O43" s="465">
        <v>0.3</v>
      </c>
      <c r="P43" s="493">
        <f>(1.95*4)+E42</f>
        <v>14.3</v>
      </c>
      <c r="Q43" s="433">
        <f t="shared" si="12"/>
        <v>0.3</v>
      </c>
      <c r="R43" s="433">
        <f t="shared" si="2"/>
        <v>0.64349999999999996</v>
      </c>
      <c r="S43" s="433">
        <f t="shared" si="10"/>
        <v>10.725000000000001</v>
      </c>
      <c r="T43" s="434">
        <f t="shared" si="3"/>
        <v>10.725000000000001</v>
      </c>
      <c r="U43" s="468">
        <f t="shared" si="14"/>
        <v>96.524999999999991</v>
      </c>
      <c r="V43" s="415"/>
    </row>
    <row r="44" spans="2:24" ht="14.4">
      <c r="B44" s="469" t="s">
        <v>11334</v>
      </c>
      <c r="C44" s="465">
        <v>0.15</v>
      </c>
      <c r="D44" s="465">
        <v>0.4</v>
      </c>
      <c r="E44" s="465">
        <v>4.57</v>
      </c>
      <c r="F44" s="465">
        <f t="shared" si="15"/>
        <v>0.2742</v>
      </c>
      <c r="G44" s="466">
        <f t="shared" si="16"/>
        <v>4.3415000000000008</v>
      </c>
      <c r="H44" s="485">
        <f t="shared" si="17"/>
        <v>3.6560000000000006</v>
      </c>
      <c r="I44" s="433">
        <f t="shared" si="18"/>
        <v>7.9975000000000004E-2</v>
      </c>
      <c r="J44" s="467">
        <f t="shared" si="19"/>
        <v>0.63979999999999992</v>
      </c>
      <c r="K44" s="468">
        <f t="shared" si="13"/>
        <v>24.678000000000001</v>
      </c>
      <c r="M44" s="469" t="s">
        <v>11335</v>
      </c>
      <c r="N44" s="465">
        <v>0.15</v>
      </c>
      <c r="O44" s="465">
        <v>0.3</v>
      </c>
      <c r="P44" s="465">
        <v>4.57</v>
      </c>
      <c r="Q44" s="433">
        <f t="shared" si="12"/>
        <v>0.3</v>
      </c>
      <c r="R44" s="433">
        <f t="shared" si="2"/>
        <v>0.20565</v>
      </c>
      <c r="S44" s="433">
        <f t="shared" si="10"/>
        <v>3.4275000000000002</v>
      </c>
      <c r="T44" s="434">
        <f t="shared" si="3"/>
        <v>3.4275000000000002</v>
      </c>
      <c r="U44" s="468">
        <f t="shared" si="14"/>
        <v>30.8475</v>
      </c>
      <c r="V44" s="415"/>
    </row>
    <row r="45" spans="2:24" ht="14.4">
      <c r="B45" s="469" t="s">
        <v>11336</v>
      </c>
      <c r="C45" s="465">
        <v>0.15</v>
      </c>
      <c r="D45" s="465">
        <v>0.4</v>
      </c>
      <c r="E45" s="465">
        <v>5.7</v>
      </c>
      <c r="F45" s="465">
        <f t="shared" si="15"/>
        <v>0.34199999999999997</v>
      </c>
      <c r="G45" s="466">
        <f t="shared" si="16"/>
        <v>5.4150000000000009</v>
      </c>
      <c r="H45" s="485">
        <f t="shared" si="17"/>
        <v>4.5600000000000005</v>
      </c>
      <c r="I45" s="433">
        <f t="shared" si="18"/>
        <v>9.9750000000000005E-2</v>
      </c>
      <c r="J45" s="467">
        <f t="shared" si="19"/>
        <v>0.79799999999999993</v>
      </c>
      <c r="K45" s="468">
        <f t="shared" si="13"/>
        <v>30.779999999999998</v>
      </c>
      <c r="M45" s="469" t="s">
        <v>11337</v>
      </c>
      <c r="N45" s="465">
        <v>0.15</v>
      </c>
      <c r="O45" s="465">
        <v>0.3</v>
      </c>
      <c r="P45" s="465">
        <v>5.7</v>
      </c>
      <c r="Q45" s="433">
        <f t="shared" si="12"/>
        <v>0.3</v>
      </c>
      <c r="R45" s="433">
        <f t="shared" si="2"/>
        <v>0.25650000000000001</v>
      </c>
      <c r="S45" s="433">
        <f t="shared" si="10"/>
        <v>4.2750000000000004</v>
      </c>
      <c r="T45" s="434">
        <f t="shared" si="3"/>
        <v>4.2750000000000004</v>
      </c>
      <c r="U45" s="468">
        <f t="shared" si="14"/>
        <v>38.475000000000001</v>
      </c>
      <c r="V45" s="415"/>
    </row>
    <row r="46" spans="2:24" ht="14.4">
      <c r="B46" s="469" t="s">
        <v>11338</v>
      </c>
      <c r="C46" s="465">
        <v>0.15</v>
      </c>
      <c r="D46" s="465">
        <v>0.4</v>
      </c>
      <c r="E46" s="465">
        <v>6.1</v>
      </c>
      <c r="F46" s="465">
        <f t="shared" si="15"/>
        <v>0.36599999999999999</v>
      </c>
      <c r="G46" s="466">
        <f t="shared" si="16"/>
        <v>5.7949999999999999</v>
      </c>
      <c r="H46" s="485">
        <f t="shared" si="17"/>
        <v>4.88</v>
      </c>
      <c r="I46" s="433">
        <f t="shared" si="18"/>
        <v>0.10675</v>
      </c>
      <c r="J46" s="467">
        <f t="shared" si="19"/>
        <v>0.85399999999999987</v>
      </c>
      <c r="K46" s="468">
        <f t="shared" si="13"/>
        <v>32.94</v>
      </c>
      <c r="M46" s="469" t="s">
        <v>11339</v>
      </c>
      <c r="N46" s="465">
        <v>0.15</v>
      </c>
      <c r="O46" s="465">
        <v>0.3</v>
      </c>
      <c r="P46" s="465">
        <v>6.1</v>
      </c>
      <c r="Q46" s="433">
        <f t="shared" si="12"/>
        <v>0.3</v>
      </c>
      <c r="R46" s="433">
        <f t="shared" si="2"/>
        <v>0.27449999999999997</v>
      </c>
      <c r="S46" s="433">
        <f t="shared" si="10"/>
        <v>4.5749999999999993</v>
      </c>
      <c r="T46" s="434">
        <f t="shared" si="3"/>
        <v>4.5749999999999993</v>
      </c>
      <c r="U46" s="468">
        <f t="shared" si="14"/>
        <v>41.174999999999997</v>
      </c>
      <c r="V46" s="415"/>
    </row>
    <row r="47" spans="2:24" ht="14.4">
      <c r="B47" s="469" t="s">
        <v>11340</v>
      </c>
      <c r="C47" s="465">
        <v>0.15</v>
      </c>
      <c r="D47" s="465">
        <v>0.4</v>
      </c>
      <c r="E47" s="465">
        <v>3.13</v>
      </c>
      <c r="F47" s="465">
        <f>C47*D47*E47</f>
        <v>0.18779999999999999</v>
      </c>
      <c r="G47" s="466">
        <f>(2*D47+C47)*E47</f>
        <v>2.9735</v>
      </c>
      <c r="H47" s="485">
        <f>(2*D47)*E47</f>
        <v>2.504</v>
      </c>
      <c r="I47" s="433">
        <f>(C47+0.2)*E47*$I$17</f>
        <v>5.4774999999999997E-2</v>
      </c>
      <c r="J47" s="467">
        <f>(C47+0.2)*D47*E47</f>
        <v>0.43819999999999992</v>
      </c>
      <c r="K47" s="468">
        <f t="shared" si="13"/>
        <v>16.902000000000001</v>
      </c>
      <c r="M47" s="469" t="s">
        <v>11341</v>
      </c>
      <c r="N47" s="465">
        <v>0.15</v>
      </c>
      <c r="O47" s="465">
        <v>0.3</v>
      </c>
      <c r="P47" s="465">
        <v>3.13</v>
      </c>
      <c r="Q47" s="433">
        <f t="shared" si="12"/>
        <v>0.3</v>
      </c>
      <c r="R47" s="433">
        <f t="shared" si="2"/>
        <v>0.14085</v>
      </c>
      <c r="S47" s="433">
        <f t="shared" si="10"/>
        <v>2.3475000000000001</v>
      </c>
      <c r="T47" s="434">
        <f t="shared" si="3"/>
        <v>2.3475000000000001</v>
      </c>
      <c r="U47" s="468">
        <f t="shared" si="14"/>
        <v>21.127500000000001</v>
      </c>
      <c r="V47" s="415"/>
    </row>
    <row r="48" spans="2:24" ht="14.4">
      <c r="B48" s="469" t="s">
        <v>11342</v>
      </c>
      <c r="C48" s="465">
        <v>0.15</v>
      </c>
      <c r="D48" s="465">
        <v>0.4</v>
      </c>
      <c r="E48" s="465">
        <v>4.57</v>
      </c>
      <c r="F48" s="465">
        <f>C48*D48*E48</f>
        <v>0.2742</v>
      </c>
      <c r="G48" s="466">
        <f>(2*D48+C48)*E48</f>
        <v>4.3415000000000008</v>
      </c>
      <c r="H48" s="485">
        <f>(2*D48)*E48</f>
        <v>3.6560000000000006</v>
      </c>
      <c r="I48" s="433">
        <f>(C48+0.2)*E48*$I$17</f>
        <v>7.9975000000000004E-2</v>
      </c>
      <c r="J48" s="467">
        <f>(C48+0.2)*D48*E48</f>
        <v>0.63979999999999992</v>
      </c>
      <c r="K48" s="468">
        <f t="shared" si="13"/>
        <v>24.678000000000001</v>
      </c>
      <c r="M48" s="469" t="s">
        <v>11343</v>
      </c>
      <c r="N48" s="465">
        <v>0.15</v>
      </c>
      <c r="O48" s="465">
        <v>0.3</v>
      </c>
      <c r="P48" s="465">
        <v>4.57</v>
      </c>
      <c r="Q48" s="433">
        <f t="shared" si="12"/>
        <v>0.3</v>
      </c>
      <c r="R48" s="433">
        <f t="shared" si="2"/>
        <v>0.20565</v>
      </c>
      <c r="S48" s="433">
        <f t="shared" si="10"/>
        <v>3.4275000000000002</v>
      </c>
      <c r="T48" s="434">
        <f t="shared" si="3"/>
        <v>3.4275000000000002</v>
      </c>
      <c r="U48" s="468">
        <f t="shared" si="14"/>
        <v>30.8475</v>
      </c>
      <c r="V48" s="415"/>
    </row>
    <row r="49" spans="2:22" ht="15" thickBot="1">
      <c r="B49" s="469" t="s">
        <v>11344</v>
      </c>
      <c r="C49" s="465">
        <v>0.15</v>
      </c>
      <c r="D49" s="465">
        <v>0.4</v>
      </c>
      <c r="E49" s="465">
        <v>2.83</v>
      </c>
      <c r="F49" s="465">
        <f>C49*D49*E49</f>
        <v>0.16980000000000001</v>
      </c>
      <c r="G49" s="466">
        <f>(2*D49+C49)*E49</f>
        <v>2.6885000000000003</v>
      </c>
      <c r="H49" s="485">
        <f>(2*D49)*E49</f>
        <v>2.2640000000000002</v>
      </c>
      <c r="I49" s="433">
        <f>(C49+0.2)*E49*$I$17</f>
        <v>4.9525E-2</v>
      </c>
      <c r="J49" s="467">
        <f>(C49+0.2)*D49*E49</f>
        <v>0.3962</v>
      </c>
      <c r="K49" s="468">
        <f t="shared" si="13"/>
        <v>15.282</v>
      </c>
      <c r="M49" s="469" t="s">
        <v>11345</v>
      </c>
      <c r="N49" s="465">
        <v>0.15</v>
      </c>
      <c r="O49" s="465">
        <v>0.3</v>
      </c>
      <c r="P49" s="465">
        <v>2.83</v>
      </c>
      <c r="Q49" s="433">
        <f t="shared" si="12"/>
        <v>0.3</v>
      </c>
      <c r="R49" s="433">
        <f t="shared" si="2"/>
        <v>0.12734999999999999</v>
      </c>
      <c r="S49" s="433">
        <f t="shared" si="10"/>
        <v>2.1225000000000001</v>
      </c>
      <c r="T49" s="434">
        <f t="shared" si="3"/>
        <v>2.1225000000000001</v>
      </c>
      <c r="U49" s="468">
        <f t="shared" ref="U49" si="20">R49*60</f>
        <v>7.6409999999999991</v>
      </c>
      <c r="V49" s="415"/>
    </row>
    <row r="50" spans="2:22" ht="13.8" thickBot="1">
      <c r="M50" s="462" t="s">
        <v>11346</v>
      </c>
      <c r="N50" s="463"/>
      <c r="O50" s="463"/>
      <c r="P50" s="463"/>
      <c r="Q50" s="463"/>
      <c r="R50" s="463"/>
      <c r="S50" s="463"/>
      <c r="T50" s="430"/>
      <c r="U50" s="431"/>
    </row>
    <row r="51" spans="2:22">
      <c r="M51" s="464" t="s">
        <v>11291</v>
      </c>
      <c r="N51" s="465">
        <v>0.15</v>
      </c>
      <c r="O51" s="465">
        <v>0.3</v>
      </c>
      <c r="P51" s="465">
        <v>5.81</v>
      </c>
      <c r="Q51" s="433">
        <f>O51</f>
        <v>0.3</v>
      </c>
      <c r="R51" s="433">
        <f>N51*O51*P51</f>
        <v>0.26144999999999996</v>
      </c>
      <c r="S51" s="433">
        <f>((2*Q51+N51)*P51)</f>
        <v>4.3574999999999999</v>
      </c>
      <c r="T51" s="434">
        <f>(O51+Q51+N51)*P51</f>
        <v>4.3574999999999999</v>
      </c>
      <c r="U51" s="468">
        <f>R51*125</f>
        <v>32.681249999999991</v>
      </c>
    </row>
    <row r="52" spans="2:22">
      <c r="M52" s="464" t="s">
        <v>11293</v>
      </c>
      <c r="N52" s="465">
        <v>0.15</v>
      </c>
      <c r="O52" s="465">
        <v>0.3</v>
      </c>
      <c r="P52" s="465">
        <v>5.81</v>
      </c>
      <c r="Q52" s="433">
        <f>O52</f>
        <v>0.3</v>
      </c>
      <c r="R52" s="433">
        <f>N52*O52*P52</f>
        <v>0.26144999999999996</v>
      </c>
      <c r="S52" s="433">
        <f>((2*Q52+N52)*P52)</f>
        <v>4.3574999999999999</v>
      </c>
      <c r="T52" s="434">
        <f>(O52+Q52+N52)*P52</f>
        <v>4.3574999999999999</v>
      </c>
      <c r="U52" s="468">
        <f>R52*125</f>
        <v>32.681249999999991</v>
      </c>
    </row>
    <row r="53" spans="2:22">
      <c r="M53" s="464" t="s">
        <v>11295</v>
      </c>
      <c r="N53" s="465">
        <v>0.15</v>
      </c>
      <c r="O53" s="465">
        <v>0.3</v>
      </c>
      <c r="P53" s="465">
        <v>5.38</v>
      </c>
      <c r="Q53" s="433">
        <f>O53</f>
        <v>0.3</v>
      </c>
      <c r="R53" s="433">
        <f>N53*O53*P53</f>
        <v>0.24209999999999998</v>
      </c>
      <c r="S53" s="433">
        <f>((2*Q53+N53)*P53)</f>
        <v>4.0350000000000001</v>
      </c>
      <c r="T53" s="434">
        <f>(O53+Q53+N53)*P53</f>
        <v>4.0350000000000001</v>
      </c>
      <c r="U53" s="468">
        <f>R53*125</f>
        <v>30.262499999999999</v>
      </c>
    </row>
    <row r="54" spans="2:22" ht="14.4">
      <c r="M54" s="469" t="s">
        <v>11297</v>
      </c>
      <c r="N54" s="465">
        <v>0.15</v>
      </c>
      <c r="O54" s="465">
        <v>0.3</v>
      </c>
      <c r="P54" s="465">
        <v>5.38</v>
      </c>
      <c r="Q54" s="433">
        <f>O54</f>
        <v>0.3</v>
      </c>
      <c r="R54" s="433">
        <f>N54*O54*P54</f>
        <v>0.24209999999999998</v>
      </c>
      <c r="S54" s="433">
        <f>((2*Q54+N54)*P54)</f>
        <v>4.0350000000000001</v>
      </c>
      <c r="T54" s="434">
        <f>(O54+Q54+N54)*P54</f>
        <v>4.0350000000000001</v>
      </c>
      <c r="U54" s="468">
        <f>R54*60</f>
        <v>14.526</v>
      </c>
    </row>
  </sheetData>
  <mergeCells count="14">
    <mergeCell ref="D1:T1"/>
    <mergeCell ref="D2:T2"/>
    <mergeCell ref="C3:T3"/>
    <mergeCell ref="C12:L12"/>
    <mergeCell ref="B16:B17"/>
    <mergeCell ref="M16:M17"/>
    <mergeCell ref="C32:J32"/>
    <mergeCell ref="N32:U32"/>
    <mergeCell ref="B18:E18"/>
    <mergeCell ref="M18:Q18"/>
    <mergeCell ref="B19:G19"/>
    <mergeCell ref="M19:Q19"/>
    <mergeCell ref="C20:J20"/>
    <mergeCell ref="N20:T20"/>
  </mergeCells>
  <printOptions horizontalCentered="1"/>
  <pageMargins left="0.25" right="0.25" top="0.75" bottom="0.75" header="0.3" footer="0.3"/>
  <pageSetup paperSize="9" scale="31" fitToWidth="2"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C1:V84"/>
  <sheetViews>
    <sheetView view="pageBreakPreview" topLeftCell="A8" zoomScaleSheetLayoutView="100" workbookViewId="0">
      <selection activeCell="F20" sqref="F20"/>
    </sheetView>
  </sheetViews>
  <sheetFormatPr defaultRowHeight="13.2"/>
  <cols>
    <col min="1" max="2" width="9.109375" style="400"/>
    <col min="3" max="3" width="16.109375" style="400" bestFit="1" customWidth="1"/>
    <col min="4" max="8" width="9.109375" style="400"/>
    <col min="9" max="9" width="11.44140625" style="400" customWidth="1"/>
    <col min="10" max="16" width="9.109375" style="400"/>
    <col min="17" max="17" width="10.44140625" style="400" bestFit="1" customWidth="1"/>
    <col min="18" max="258" width="9.109375" style="400"/>
    <col min="259" max="259" width="16.109375" style="400" bestFit="1" customWidth="1"/>
    <col min="260" max="264" width="9.109375" style="400"/>
    <col min="265" max="265" width="11.44140625" style="400" customWidth="1"/>
    <col min="266" max="272" width="9.109375" style="400"/>
    <col min="273" max="273" width="10.44140625" style="400" bestFit="1" customWidth="1"/>
    <col min="274" max="514" width="9.109375" style="400"/>
    <col min="515" max="515" width="16.109375" style="400" bestFit="1" customWidth="1"/>
    <col min="516" max="520" width="9.109375" style="400"/>
    <col min="521" max="521" width="11.44140625" style="400" customWidth="1"/>
    <col min="522" max="528" width="9.109375" style="400"/>
    <col min="529" max="529" width="10.44140625" style="400" bestFit="1" customWidth="1"/>
    <col min="530" max="770" width="9.109375" style="400"/>
    <col min="771" max="771" width="16.109375" style="400" bestFit="1" customWidth="1"/>
    <col min="772" max="776" width="9.109375" style="400"/>
    <col min="777" max="777" width="11.44140625" style="400" customWidth="1"/>
    <col min="778" max="784" width="9.109375" style="400"/>
    <col min="785" max="785" width="10.44140625" style="400" bestFit="1" customWidth="1"/>
    <col min="786" max="1026" width="9.109375" style="400"/>
    <col min="1027" max="1027" width="16.109375" style="400" bestFit="1" customWidth="1"/>
    <col min="1028" max="1032" width="9.109375" style="400"/>
    <col min="1033" max="1033" width="11.44140625" style="400" customWidth="1"/>
    <col min="1034" max="1040" width="9.109375" style="400"/>
    <col min="1041" max="1041" width="10.44140625" style="400" bestFit="1" customWidth="1"/>
    <col min="1042" max="1282" width="9.109375" style="400"/>
    <col min="1283" max="1283" width="16.109375" style="400" bestFit="1" customWidth="1"/>
    <col min="1284" max="1288" width="9.109375" style="400"/>
    <col min="1289" max="1289" width="11.44140625" style="400" customWidth="1"/>
    <col min="1290" max="1296" width="9.109375" style="400"/>
    <col min="1297" max="1297" width="10.44140625" style="400" bestFit="1" customWidth="1"/>
    <col min="1298" max="1538" width="9.109375" style="400"/>
    <col min="1539" max="1539" width="16.109375" style="400" bestFit="1" customWidth="1"/>
    <col min="1540" max="1544" width="9.109375" style="400"/>
    <col min="1545" max="1545" width="11.44140625" style="400" customWidth="1"/>
    <col min="1546" max="1552" width="9.109375" style="400"/>
    <col min="1553" max="1553" width="10.44140625" style="400" bestFit="1" customWidth="1"/>
    <col min="1554" max="1794" width="9.109375" style="400"/>
    <col min="1795" max="1795" width="16.109375" style="400" bestFit="1" customWidth="1"/>
    <col min="1796" max="1800" width="9.109375" style="400"/>
    <col min="1801" max="1801" width="11.44140625" style="400" customWidth="1"/>
    <col min="1802" max="1808" width="9.109375" style="400"/>
    <col min="1809" max="1809" width="10.44140625" style="400" bestFit="1" customWidth="1"/>
    <col min="1810" max="2050" width="9.109375" style="400"/>
    <col min="2051" max="2051" width="16.109375" style="400" bestFit="1" customWidth="1"/>
    <col min="2052" max="2056" width="9.109375" style="400"/>
    <col min="2057" max="2057" width="11.44140625" style="400" customWidth="1"/>
    <col min="2058" max="2064" width="9.109375" style="400"/>
    <col min="2065" max="2065" width="10.44140625" style="400" bestFit="1" customWidth="1"/>
    <col min="2066" max="2306" width="9.109375" style="400"/>
    <col min="2307" max="2307" width="16.109375" style="400" bestFit="1" customWidth="1"/>
    <col min="2308" max="2312" width="9.109375" style="400"/>
    <col min="2313" max="2313" width="11.44140625" style="400" customWidth="1"/>
    <col min="2314" max="2320" width="9.109375" style="400"/>
    <col min="2321" max="2321" width="10.44140625" style="400" bestFit="1" customWidth="1"/>
    <col min="2322" max="2562" width="9.109375" style="400"/>
    <col min="2563" max="2563" width="16.109375" style="400" bestFit="1" customWidth="1"/>
    <col min="2564" max="2568" width="9.109375" style="400"/>
    <col min="2569" max="2569" width="11.44140625" style="400" customWidth="1"/>
    <col min="2570" max="2576" width="9.109375" style="400"/>
    <col min="2577" max="2577" width="10.44140625" style="400" bestFit="1" customWidth="1"/>
    <col min="2578" max="2818" width="9.109375" style="400"/>
    <col min="2819" max="2819" width="16.109375" style="400" bestFit="1" customWidth="1"/>
    <col min="2820" max="2824" width="9.109375" style="400"/>
    <col min="2825" max="2825" width="11.44140625" style="400" customWidth="1"/>
    <col min="2826" max="2832" width="9.109375" style="400"/>
    <col min="2833" max="2833" width="10.44140625" style="400" bestFit="1" customWidth="1"/>
    <col min="2834" max="3074" width="9.109375" style="400"/>
    <col min="3075" max="3075" width="16.109375" style="400" bestFit="1" customWidth="1"/>
    <col min="3076" max="3080" width="9.109375" style="400"/>
    <col min="3081" max="3081" width="11.44140625" style="400" customWidth="1"/>
    <col min="3082" max="3088" width="9.109375" style="400"/>
    <col min="3089" max="3089" width="10.44140625" style="400" bestFit="1" customWidth="1"/>
    <col min="3090" max="3330" width="9.109375" style="400"/>
    <col min="3331" max="3331" width="16.109375" style="400" bestFit="1" customWidth="1"/>
    <col min="3332" max="3336" width="9.109375" style="400"/>
    <col min="3337" max="3337" width="11.44140625" style="400" customWidth="1"/>
    <col min="3338" max="3344" width="9.109375" style="400"/>
    <col min="3345" max="3345" width="10.44140625" style="400" bestFit="1" customWidth="1"/>
    <col min="3346" max="3586" width="9.109375" style="400"/>
    <col min="3587" max="3587" width="16.109375" style="400" bestFit="1" customWidth="1"/>
    <col min="3588" max="3592" width="9.109375" style="400"/>
    <col min="3593" max="3593" width="11.44140625" style="400" customWidth="1"/>
    <col min="3594" max="3600" width="9.109375" style="400"/>
    <col min="3601" max="3601" width="10.44140625" style="400" bestFit="1" customWidth="1"/>
    <col min="3602" max="3842" width="9.109375" style="400"/>
    <col min="3843" max="3843" width="16.109375" style="400" bestFit="1" customWidth="1"/>
    <col min="3844" max="3848" width="9.109375" style="400"/>
    <col min="3849" max="3849" width="11.44140625" style="400" customWidth="1"/>
    <col min="3850" max="3856" width="9.109375" style="400"/>
    <col min="3857" max="3857" width="10.44140625" style="400" bestFit="1" customWidth="1"/>
    <col min="3858" max="4098" width="9.109375" style="400"/>
    <col min="4099" max="4099" width="16.109375" style="400" bestFit="1" customWidth="1"/>
    <col min="4100" max="4104" width="9.109375" style="400"/>
    <col min="4105" max="4105" width="11.44140625" style="400" customWidth="1"/>
    <col min="4106" max="4112" width="9.109375" style="400"/>
    <col min="4113" max="4113" width="10.44140625" style="400" bestFit="1" customWidth="1"/>
    <col min="4114" max="4354" width="9.109375" style="400"/>
    <col min="4355" max="4355" width="16.109375" style="400" bestFit="1" customWidth="1"/>
    <col min="4356" max="4360" width="9.109375" style="400"/>
    <col min="4361" max="4361" width="11.44140625" style="400" customWidth="1"/>
    <col min="4362" max="4368" width="9.109375" style="400"/>
    <col min="4369" max="4369" width="10.44140625" style="400" bestFit="1" customWidth="1"/>
    <col min="4370" max="4610" width="9.109375" style="400"/>
    <col min="4611" max="4611" width="16.109375" style="400" bestFit="1" customWidth="1"/>
    <col min="4612" max="4616" width="9.109375" style="400"/>
    <col min="4617" max="4617" width="11.44140625" style="400" customWidth="1"/>
    <col min="4618" max="4624" width="9.109375" style="400"/>
    <col min="4625" max="4625" width="10.44140625" style="400" bestFit="1" customWidth="1"/>
    <col min="4626" max="4866" width="9.109375" style="400"/>
    <col min="4867" max="4867" width="16.109375" style="400" bestFit="1" customWidth="1"/>
    <col min="4868" max="4872" width="9.109375" style="400"/>
    <col min="4873" max="4873" width="11.44140625" style="400" customWidth="1"/>
    <col min="4874" max="4880" width="9.109375" style="400"/>
    <col min="4881" max="4881" width="10.44140625" style="400" bestFit="1" customWidth="1"/>
    <col min="4882" max="5122" width="9.109375" style="400"/>
    <col min="5123" max="5123" width="16.109375" style="400" bestFit="1" customWidth="1"/>
    <col min="5124" max="5128" width="9.109375" style="400"/>
    <col min="5129" max="5129" width="11.44140625" style="400" customWidth="1"/>
    <col min="5130" max="5136" width="9.109375" style="400"/>
    <col min="5137" max="5137" width="10.44140625" style="400" bestFit="1" customWidth="1"/>
    <col min="5138" max="5378" width="9.109375" style="400"/>
    <col min="5379" max="5379" width="16.109375" style="400" bestFit="1" customWidth="1"/>
    <col min="5380" max="5384" width="9.109375" style="400"/>
    <col min="5385" max="5385" width="11.44140625" style="400" customWidth="1"/>
    <col min="5386" max="5392" width="9.109375" style="400"/>
    <col min="5393" max="5393" width="10.44140625" style="400" bestFit="1" customWidth="1"/>
    <col min="5394" max="5634" width="9.109375" style="400"/>
    <col min="5635" max="5635" width="16.109375" style="400" bestFit="1" customWidth="1"/>
    <col min="5636" max="5640" width="9.109375" style="400"/>
    <col min="5641" max="5641" width="11.44140625" style="400" customWidth="1"/>
    <col min="5642" max="5648" width="9.109375" style="400"/>
    <col min="5649" max="5649" width="10.44140625" style="400" bestFit="1" customWidth="1"/>
    <col min="5650" max="5890" width="9.109375" style="400"/>
    <col min="5891" max="5891" width="16.109375" style="400" bestFit="1" customWidth="1"/>
    <col min="5892" max="5896" width="9.109375" style="400"/>
    <col min="5897" max="5897" width="11.44140625" style="400" customWidth="1"/>
    <col min="5898" max="5904" width="9.109375" style="400"/>
    <col min="5905" max="5905" width="10.44140625" style="400" bestFit="1" customWidth="1"/>
    <col min="5906" max="6146" width="9.109375" style="400"/>
    <col min="6147" max="6147" width="16.109375" style="400" bestFit="1" customWidth="1"/>
    <col min="6148" max="6152" width="9.109375" style="400"/>
    <col min="6153" max="6153" width="11.44140625" style="400" customWidth="1"/>
    <col min="6154" max="6160" width="9.109375" style="400"/>
    <col min="6161" max="6161" width="10.44140625" style="400" bestFit="1" customWidth="1"/>
    <col min="6162" max="6402" width="9.109375" style="400"/>
    <col min="6403" max="6403" width="16.109375" style="400" bestFit="1" customWidth="1"/>
    <col min="6404" max="6408" width="9.109375" style="400"/>
    <col min="6409" max="6409" width="11.44140625" style="400" customWidth="1"/>
    <col min="6410" max="6416" width="9.109375" style="400"/>
    <col min="6417" max="6417" width="10.44140625" style="400" bestFit="1" customWidth="1"/>
    <col min="6418" max="6658" width="9.109375" style="400"/>
    <col min="6659" max="6659" width="16.109375" style="400" bestFit="1" customWidth="1"/>
    <col min="6660" max="6664" width="9.109375" style="400"/>
    <col min="6665" max="6665" width="11.44140625" style="400" customWidth="1"/>
    <col min="6666" max="6672" width="9.109375" style="400"/>
    <col min="6673" max="6673" width="10.44140625" style="400" bestFit="1" customWidth="1"/>
    <col min="6674" max="6914" width="9.109375" style="400"/>
    <col min="6915" max="6915" width="16.109375" style="400" bestFit="1" customWidth="1"/>
    <col min="6916" max="6920" width="9.109375" style="400"/>
    <col min="6921" max="6921" width="11.44140625" style="400" customWidth="1"/>
    <col min="6922" max="6928" width="9.109375" style="400"/>
    <col min="6929" max="6929" width="10.44140625" style="400" bestFit="1" customWidth="1"/>
    <col min="6930" max="7170" width="9.109375" style="400"/>
    <col min="7171" max="7171" width="16.109375" style="400" bestFit="1" customWidth="1"/>
    <col min="7172" max="7176" width="9.109375" style="400"/>
    <col min="7177" max="7177" width="11.44140625" style="400" customWidth="1"/>
    <col min="7178" max="7184" width="9.109375" style="400"/>
    <col min="7185" max="7185" width="10.44140625" style="400" bestFit="1" customWidth="1"/>
    <col min="7186" max="7426" width="9.109375" style="400"/>
    <col min="7427" max="7427" width="16.109375" style="400" bestFit="1" customWidth="1"/>
    <col min="7428" max="7432" width="9.109375" style="400"/>
    <col min="7433" max="7433" width="11.44140625" style="400" customWidth="1"/>
    <col min="7434" max="7440" width="9.109375" style="400"/>
    <col min="7441" max="7441" width="10.44140625" style="400" bestFit="1" customWidth="1"/>
    <col min="7442" max="7682" width="9.109375" style="400"/>
    <col min="7683" max="7683" width="16.109375" style="400" bestFit="1" customWidth="1"/>
    <col min="7684" max="7688" width="9.109375" style="400"/>
    <col min="7689" max="7689" width="11.44140625" style="400" customWidth="1"/>
    <col min="7690" max="7696" width="9.109375" style="400"/>
    <col min="7697" max="7697" width="10.44140625" style="400" bestFit="1" customWidth="1"/>
    <col min="7698" max="7938" width="9.109375" style="400"/>
    <col min="7939" max="7939" width="16.109375" style="400" bestFit="1" customWidth="1"/>
    <col min="7940" max="7944" width="9.109375" style="400"/>
    <col min="7945" max="7945" width="11.44140625" style="400" customWidth="1"/>
    <col min="7946" max="7952" width="9.109375" style="400"/>
    <col min="7953" max="7953" width="10.44140625" style="400" bestFit="1" customWidth="1"/>
    <col min="7954" max="8194" width="9.109375" style="400"/>
    <col min="8195" max="8195" width="16.109375" style="400" bestFit="1" customWidth="1"/>
    <col min="8196" max="8200" width="9.109375" style="400"/>
    <col min="8201" max="8201" width="11.44140625" style="400" customWidth="1"/>
    <col min="8202" max="8208" width="9.109375" style="400"/>
    <col min="8209" max="8209" width="10.44140625" style="400" bestFit="1" customWidth="1"/>
    <col min="8210" max="8450" width="9.109375" style="400"/>
    <col min="8451" max="8451" width="16.109375" style="400" bestFit="1" customWidth="1"/>
    <col min="8452" max="8456" width="9.109375" style="400"/>
    <col min="8457" max="8457" width="11.44140625" style="400" customWidth="1"/>
    <col min="8458" max="8464" width="9.109375" style="400"/>
    <col min="8465" max="8465" width="10.44140625" style="400" bestFit="1" customWidth="1"/>
    <col min="8466" max="8706" width="9.109375" style="400"/>
    <col min="8707" max="8707" width="16.109375" style="400" bestFit="1" customWidth="1"/>
    <col min="8708" max="8712" width="9.109375" style="400"/>
    <col min="8713" max="8713" width="11.44140625" style="400" customWidth="1"/>
    <col min="8714" max="8720" width="9.109375" style="400"/>
    <col min="8721" max="8721" width="10.44140625" style="400" bestFit="1" customWidth="1"/>
    <col min="8722" max="8962" width="9.109375" style="400"/>
    <col min="8963" max="8963" width="16.109375" style="400" bestFit="1" customWidth="1"/>
    <col min="8964" max="8968" width="9.109375" style="400"/>
    <col min="8969" max="8969" width="11.44140625" style="400" customWidth="1"/>
    <col min="8970" max="8976" width="9.109375" style="400"/>
    <col min="8977" max="8977" width="10.44140625" style="400" bestFit="1" customWidth="1"/>
    <col min="8978" max="9218" width="9.109375" style="400"/>
    <col min="9219" max="9219" width="16.109375" style="400" bestFit="1" customWidth="1"/>
    <col min="9220" max="9224" width="9.109375" style="400"/>
    <col min="9225" max="9225" width="11.44140625" style="400" customWidth="1"/>
    <col min="9226" max="9232" width="9.109375" style="400"/>
    <col min="9233" max="9233" width="10.44140625" style="400" bestFit="1" customWidth="1"/>
    <col min="9234" max="9474" width="9.109375" style="400"/>
    <col min="9475" max="9475" width="16.109375" style="400" bestFit="1" customWidth="1"/>
    <col min="9476" max="9480" width="9.109375" style="400"/>
    <col min="9481" max="9481" width="11.44140625" style="400" customWidth="1"/>
    <col min="9482" max="9488" width="9.109375" style="400"/>
    <col min="9489" max="9489" width="10.44140625" style="400" bestFit="1" customWidth="1"/>
    <col min="9490" max="9730" width="9.109375" style="400"/>
    <col min="9731" max="9731" width="16.109375" style="400" bestFit="1" customWidth="1"/>
    <col min="9732" max="9736" width="9.109375" style="400"/>
    <col min="9737" max="9737" width="11.44140625" style="400" customWidth="1"/>
    <col min="9738" max="9744" width="9.109375" style="400"/>
    <col min="9745" max="9745" width="10.44140625" style="400" bestFit="1" customWidth="1"/>
    <col min="9746" max="9986" width="9.109375" style="400"/>
    <col min="9987" max="9987" width="16.109375" style="400" bestFit="1" customWidth="1"/>
    <col min="9988" max="9992" width="9.109375" style="400"/>
    <col min="9993" max="9993" width="11.44140625" style="400" customWidth="1"/>
    <col min="9994" max="10000" width="9.109375" style="400"/>
    <col min="10001" max="10001" width="10.44140625" style="400" bestFit="1" customWidth="1"/>
    <col min="10002" max="10242" width="9.109375" style="400"/>
    <col min="10243" max="10243" width="16.109375" style="400" bestFit="1" customWidth="1"/>
    <col min="10244" max="10248" width="9.109375" style="400"/>
    <col min="10249" max="10249" width="11.44140625" style="400" customWidth="1"/>
    <col min="10250" max="10256" width="9.109375" style="400"/>
    <col min="10257" max="10257" width="10.44140625" style="400" bestFit="1" customWidth="1"/>
    <col min="10258" max="10498" width="9.109375" style="400"/>
    <col min="10499" max="10499" width="16.109375" style="400" bestFit="1" customWidth="1"/>
    <col min="10500" max="10504" width="9.109375" style="400"/>
    <col min="10505" max="10505" width="11.44140625" style="400" customWidth="1"/>
    <col min="10506" max="10512" width="9.109375" style="400"/>
    <col min="10513" max="10513" width="10.44140625" style="400" bestFit="1" customWidth="1"/>
    <col min="10514" max="10754" width="9.109375" style="400"/>
    <col min="10755" max="10755" width="16.109375" style="400" bestFit="1" customWidth="1"/>
    <col min="10756" max="10760" width="9.109375" style="400"/>
    <col min="10761" max="10761" width="11.44140625" style="400" customWidth="1"/>
    <col min="10762" max="10768" width="9.109375" style="400"/>
    <col min="10769" max="10769" width="10.44140625" style="400" bestFit="1" customWidth="1"/>
    <col min="10770" max="11010" width="9.109375" style="400"/>
    <col min="11011" max="11011" width="16.109375" style="400" bestFit="1" customWidth="1"/>
    <col min="11012" max="11016" width="9.109375" style="400"/>
    <col min="11017" max="11017" width="11.44140625" style="400" customWidth="1"/>
    <col min="11018" max="11024" width="9.109375" style="400"/>
    <col min="11025" max="11025" width="10.44140625" style="400" bestFit="1" customWidth="1"/>
    <col min="11026" max="11266" width="9.109375" style="400"/>
    <col min="11267" max="11267" width="16.109375" style="400" bestFit="1" customWidth="1"/>
    <col min="11268" max="11272" width="9.109375" style="400"/>
    <col min="11273" max="11273" width="11.44140625" style="400" customWidth="1"/>
    <col min="11274" max="11280" width="9.109375" style="400"/>
    <col min="11281" max="11281" width="10.44140625" style="400" bestFit="1" customWidth="1"/>
    <col min="11282" max="11522" width="9.109375" style="400"/>
    <col min="11523" max="11523" width="16.109375" style="400" bestFit="1" customWidth="1"/>
    <col min="11524" max="11528" width="9.109375" style="400"/>
    <col min="11529" max="11529" width="11.44140625" style="400" customWidth="1"/>
    <col min="11530" max="11536" width="9.109375" style="400"/>
    <col min="11537" max="11537" width="10.44140625" style="400" bestFit="1" customWidth="1"/>
    <col min="11538" max="11778" width="9.109375" style="400"/>
    <col min="11779" max="11779" width="16.109375" style="400" bestFit="1" customWidth="1"/>
    <col min="11780" max="11784" width="9.109375" style="400"/>
    <col min="11785" max="11785" width="11.44140625" style="400" customWidth="1"/>
    <col min="11786" max="11792" width="9.109375" style="400"/>
    <col min="11793" max="11793" width="10.44140625" style="400" bestFit="1" customWidth="1"/>
    <col min="11794" max="12034" width="9.109375" style="400"/>
    <col min="12035" max="12035" width="16.109375" style="400" bestFit="1" customWidth="1"/>
    <col min="12036" max="12040" width="9.109375" style="400"/>
    <col min="12041" max="12041" width="11.44140625" style="400" customWidth="1"/>
    <col min="12042" max="12048" width="9.109375" style="400"/>
    <col min="12049" max="12049" width="10.44140625" style="400" bestFit="1" customWidth="1"/>
    <col min="12050" max="12290" width="9.109375" style="400"/>
    <col min="12291" max="12291" width="16.109375" style="400" bestFit="1" customWidth="1"/>
    <col min="12292" max="12296" width="9.109375" style="400"/>
    <col min="12297" max="12297" width="11.44140625" style="400" customWidth="1"/>
    <col min="12298" max="12304" width="9.109375" style="400"/>
    <col min="12305" max="12305" width="10.44140625" style="400" bestFit="1" customWidth="1"/>
    <col min="12306" max="12546" width="9.109375" style="400"/>
    <col min="12547" max="12547" width="16.109375" style="400" bestFit="1" customWidth="1"/>
    <col min="12548" max="12552" width="9.109375" style="400"/>
    <col min="12553" max="12553" width="11.44140625" style="400" customWidth="1"/>
    <col min="12554" max="12560" width="9.109375" style="400"/>
    <col min="12561" max="12561" width="10.44140625" style="400" bestFit="1" customWidth="1"/>
    <col min="12562" max="12802" width="9.109375" style="400"/>
    <col min="12803" max="12803" width="16.109375" style="400" bestFit="1" customWidth="1"/>
    <col min="12804" max="12808" width="9.109375" style="400"/>
    <col min="12809" max="12809" width="11.44140625" style="400" customWidth="1"/>
    <col min="12810" max="12816" width="9.109375" style="400"/>
    <col min="12817" max="12817" width="10.44140625" style="400" bestFit="1" customWidth="1"/>
    <col min="12818" max="13058" width="9.109375" style="400"/>
    <col min="13059" max="13059" width="16.109375" style="400" bestFit="1" customWidth="1"/>
    <col min="13060" max="13064" width="9.109375" style="400"/>
    <col min="13065" max="13065" width="11.44140625" style="400" customWidth="1"/>
    <col min="13066" max="13072" width="9.109375" style="400"/>
    <col min="13073" max="13073" width="10.44140625" style="400" bestFit="1" customWidth="1"/>
    <col min="13074" max="13314" width="9.109375" style="400"/>
    <col min="13315" max="13315" width="16.109375" style="400" bestFit="1" customWidth="1"/>
    <col min="13316" max="13320" width="9.109375" style="400"/>
    <col min="13321" max="13321" width="11.44140625" style="400" customWidth="1"/>
    <col min="13322" max="13328" width="9.109375" style="400"/>
    <col min="13329" max="13329" width="10.44140625" style="400" bestFit="1" customWidth="1"/>
    <col min="13330" max="13570" width="9.109375" style="400"/>
    <col min="13571" max="13571" width="16.109375" style="400" bestFit="1" customWidth="1"/>
    <col min="13572" max="13576" width="9.109375" style="400"/>
    <col min="13577" max="13577" width="11.44140625" style="400" customWidth="1"/>
    <col min="13578" max="13584" width="9.109375" style="400"/>
    <col min="13585" max="13585" width="10.44140625" style="400" bestFit="1" customWidth="1"/>
    <col min="13586" max="13826" width="9.109375" style="400"/>
    <col min="13827" max="13827" width="16.109375" style="400" bestFit="1" customWidth="1"/>
    <col min="13828" max="13832" width="9.109375" style="400"/>
    <col min="13833" max="13833" width="11.44140625" style="400" customWidth="1"/>
    <col min="13834" max="13840" width="9.109375" style="400"/>
    <col min="13841" max="13841" width="10.44140625" style="400" bestFit="1" customWidth="1"/>
    <col min="13842" max="14082" width="9.109375" style="400"/>
    <col min="14083" max="14083" width="16.109375" style="400" bestFit="1" customWidth="1"/>
    <col min="14084" max="14088" width="9.109375" style="400"/>
    <col min="14089" max="14089" width="11.44140625" style="400" customWidth="1"/>
    <col min="14090" max="14096" width="9.109375" style="400"/>
    <col min="14097" max="14097" width="10.44140625" style="400" bestFit="1" customWidth="1"/>
    <col min="14098" max="14338" width="9.109375" style="400"/>
    <col min="14339" max="14339" width="16.109375" style="400" bestFit="1" customWidth="1"/>
    <col min="14340" max="14344" width="9.109375" style="400"/>
    <col min="14345" max="14345" width="11.44140625" style="400" customWidth="1"/>
    <col min="14346" max="14352" width="9.109375" style="400"/>
    <col min="14353" max="14353" width="10.44140625" style="400" bestFit="1" customWidth="1"/>
    <col min="14354" max="14594" width="9.109375" style="400"/>
    <col min="14595" max="14595" width="16.109375" style="400" bestFit="1" customWidth="1"/>
    <col min="14596" max="14600" width="9.109375" style="400"/>
    <col min="14601" max="14601" width="11.44140625" style="400" customWidth="1"/>
    <col min="14602" max="14608" width="9.109375" style="400"/>
    <col min="14609" max="14609" width="10.44140625" style="400" bestFit="1" customWidth="1"/>
    <col min="14610" max="14850" width="9.109375" style="400"/>
    <col min="14851" max="14851" width="16.109375" style="400" bestFit="1" customWidth="1"/>
    <col min="14852" max="14856" width="9.109375" style="400"/>
    <col min="14857" max="14857" width="11.44140625" style="400" customWidth="1"/>
    <col min="14858" max="14864" width="9.109375" style="400"/>
    <col min="14865" max="14865" width="10.44140625" style="400" bestFit="1" customWidth="1"/>
    <col min="14866" max="15106" width="9.109375" style="400"/>
    <col min="15107" max="15107" width="16.109375" style="400" bestFit="1" customWidth="1"/>
    <col min="15108" max="15112" width="9.109375" style="400"/>
    <col min="15113" max="15113" width="11.44140625" style="400" customWidth="1"/>
    <col min="15114" max="15120" width="9.109375" style="400"/>
    <col min="15121" max="15121" width="10.44140625" style="400" bestFit="1" customWidth="1"/>
    <col min="15122" max="15362" width="9.109375" style="400"/>
    <col min="15363" max="15363" width="16.109375" style="400" bestFit="1" customWidth="1"/>
    <col min="15364" max="15368" width="9.109375" style="400"/>
    <col min="15369" max="15369" width="11.44140625" style="400" customWidth="1"/>
    <col min="15370" max="15376" width="9.109375" style="400"/>
    <col min="15377" max="15377" width="10.44140625" style="400" bestFit="1" customWidth="1"/>
    <col min="15378" max="15618" width="9.109375" style="400"/>
    <col min="15619" max="15619" width="16.109375" style="400" bestFit="1" customWidth="1"/>
    <col min="15620" max="15624" width="9.109375" style="400"/>
    <col min="15625" max="15625" width="11.44140625" style="400" customWidth="1"/>
    <col min="15626" max="15632" width="9.109375" style="400"/>
    <col min="15633" max="15633" width="10.44140625" style="400" bestFit="1" customWidth="1"/>
    <col min="15634" max="15874" width="9.109375" style="400"/>
    <col min="15875" max="15875" width="16.109375" style="400" bestFit="1" customWidth="1"/>
    <col min="15876" max="15880" width="9.109375" style="400"/>
    <col min="15881" max="15881" width="11.44140625" style="400" customWidth="1"/>
    <col min="15882" max="15888" width="9.109375" style="400"/>
    <col min="15889" max="15889" width="10.44140625" style="400" bestFit="1" customWidth="1"/>
    <col min="15890" max="16130" width="9.109375" style="400"/>
    <col min="16131" max="16131" width="16.109375" style="400" bestFit="1" customWidth="1"/>
    <col min="16132" max="16136" width="9.109375" style="400"/>
    <col min="16137" max="16137" width="11.44140625" style="400" customWidth="1"/>
    <col min="16138" max="16144" width="9.109375" style="400"/>
    <col min="16145" max="16145" width="10.44140625" style="400" bestFit="1" customWidth="1"/>
    <col min="16146" max="16384" width="9.109375" style="400"/>
  </cols>
  <sheetData>
    <row r="1" spans="3:22" ht="24.6">
      <c r="C1" s="797" t="s">
        <v>7379</v>
      </c>
      <c r="D1" s="774"/>
      <c r="E1" s="774"/>
      <c r="F1" s="774"/>
      <c r="G1" s="774"/>
      <c r="H1" s="774"/>
      <c r="I1" s="774"/>
      <c r="J1" s="774"/>
      <c r="K1" s="774"/>
      <c r="L1" s="774"/>
      <c r="M1" s="774"/>
      <c r="N1" s="774"/>
      <c r="O1" s="774"/>
      <c r="P1" s="774"/>
      <c r="Q1" s="774"/>
      <c r="R1" s="775"/>
      <c r="S1" s="471"/>
      <c r="T1" s="471"/>
      <c r="U1" s="409"/>
      <c r="V1" s="411"/>
    </row>
    <row r="2" spans="3:22" ht="17.399999999999999">
      <c r="C2" s="798" t="s">
        <v>11210</v>
      </c>
      <c r="D2" s="776"/>
      <c r="E2" s="776"/>
      <c r="F2" s="776"/>
      <c r="G2" s="776"/>
      <c r="H2" s="776"/>
      <c r="I2" s="776"/>
      <c r="J2" s="776"/>
      <c r="K2" s="776"/>
      <c r="L2" s="776"/>
      <c r="M2" s="776"/>
      <c r="N2" s="776"/>
      <c r="O2" s="776"/>
      <c r="P2" s="776"/>
      <c r="Q2" s="776"/>
      <c r="R2" s="777"/>
      <c r="S2" s="472"/>
      <c r="T2" s="472"/>
      <c r="V2" s="415"/>
    </row>
    <row r="3" spans="3:22" ht="32.25" customHeight="1">
      <c r="C3" s="778" t="s">
        <v>11211</v>
      </c>
      <c r="D3" s="779"/>
      <c r="E3" s="779"/>
      <c r="F3" s="779"/>
      <c r="G3" s="779"/>
      <c r="H3" s="779"/>
      <c r="I3" s="779"/>
      <c r="J3" s="779"/>
      <c r="K3" s="779"/>
      <c r="L3" s="779"/>
      <c r="M3" s="779"/>
      <c r="N3" s="779"/>
      <c r="O3" s="779"/>
      <c r="P3" s="779"/>
      <c r="Q3" s="779"/>
      <c r="R3" s="780"/>
      <c r="S3" s="473"/>
      <c r="T3" s="473"/>
      <c r="V3" s="415"/>
    </row>
    <row r="4" spans="3:22" ht="18" thickBot="1">
      <c r="C4" s="474"/>
      <c r="D4" s="406"/>
      <c r="E4" s="403" t="str">
        <f>'[11]CINTAS E VIGAS-ANEXOII'!$D$4</f>
        <v>OBRA: Unidade de Saúde Industrial</v>
      </c>
      <c r="F4" s="404"/>
      <c r="G4" s="405"/>
      <c r="H4" s="405"/>
      <c r="I4" s="405"/>
      <c r="J4" s="405"/>
      <c r="K4" s="405"/>
      <c r="L4" s="405"/>
      <c r="M4" s="405"/>
      <c r="N4" s="405"/>
      <c r="O4" s="405"/>
      <c r="P4" s="405"/>
      <c r="Q4" s="406"/>
      <c r="R4" s="407"/>
      <c r="V4" s="415"/>
    </row>
    <row r="5" spans="3:22">
      <c r="C5" s="475"/>
      <c r="D5" s="409"/>
      <c r="E5" s="409"/>
      <c r="F5" s="409"/>
      <c r="G5" s="409"/>
      <c r="H5" s="409"/>
      <c r="I5" s="409"/>
      <c r="J5" s="409"/>
      <c r="K5" s="409"/>
      <c r="L5" s="409"/>
      <c r="M5" s="409"/>
      <c r="N5" s="409"/>
      <c r="O5" s="409"/>
      <c r="P5" s="409"/>
      <c r="Q5" s="409"/>
      <c r="R5" s="411"/>
    </row>
    <row r="6" spans="3:22">
      <c r="C6" s="401"/>
      <c r="R6" s="415"/>
    </row>
    <row r="7" spans="3:22">
      <c r="C7" s="401"/>
      <c r="R7" s="415"/>
    </row>
    <row r="8" spans="3:22">
      <c r="C8" s="401"/>
      <c r="R8" s="415"/>
    </row>
    <row r="9" spans="3:22">
      <c r="C9" s="401"/>
      <c r="R9" s="415"/>
    </row>
    <row r="10" spans="3:22">
      <c r="C10" s="401"/>
      <c r="R10" s="415"/>
    </row>
    <row r="11" spans="3:22">
      <c r="C11" s="401"/>
      <c r="R11" s="415"/>
    </row>
    <row r="12" spans="3:22">
      <c r="C12" s="401"/>
      <c r="R12" s="415"/>
    </row>
    <row r="13" spans="3:22">
      <c r="C13" s="401"/>
      <c r="R13" s="415"/>
    </row>
    <row r="14" spans="3:22">
      <c r="C14" s="401"/>
      <c r="R14" s="415"/>
    </row>
    <row r="15" spans="3:22" ht="13.8" thickBot="1">
      <c r="C15" s="401"/>
      <c r="R15" s="415"/>
    </row>
    <row r="16" spans="3:22">
      <c r="C16" s="799" t="s">
        <v>11347</v>
      </c>
      <c r="D16" s="476" t="s">
        <v>11229</v>
      </c>
      <c r="E16" s="476" t="s">
        <v>11348</v>
      </c>
      <c r="F16" s="476" t="s">
        <v>109</v>
      </c>
      <c r="G16" s="477" t="s">
        <v>11233</v>
      </c>
      <c r="H16" s="477" t="s">
        <v>11283</v>
      </c>
      <c r="I16" s="477" t="s">
        <v>11237</v>
      </c>
      <c r="K16" s="772" t="s">
        <v>11349</v>
      </c>
      <c r="L16" s="476" t="s">
        <v>11229</v>
      </c>
      <c r="M16" s="476" t="s">
        <v>11348</v>
      </c>
      <c r="N16" s="476" t="s">
        <v>109</v>
      </c>
      <c r="O16" s="477" t="s">
        <v>11233</v>
      </c>
      <c r="P16" s="477" t="s">
        <v>11283</v>
      </c>
      <c r="Q16" s="477" t="s">
        <v>11237</v>
      </c>
      <c r="R16" s="415"/>
    </row>
    <row r="17" spans="3:18" ht="14.4" thickBot="1">
      <c r="C17" s="800"/>
      <c r="D17" s="478" t="s">
        <v>11238</v>
      </c>
      <c r="E17" s="478" t="s">
        <v>11238</v>
      </c>
      <c r="F17" s="478" t="s">
        <v>11238</v>
      </c>
      <c r="G17" s="479" t="s">
        <v>11239</v>
      </c>
      <c r="H17" s="479" t="s">
        <v>11240</v>
      </c>
      <c r="I17" s="479" t="s">
        <v>11350</v>
      </c>
      <c r="K17" s="773"/>
      <c r="L17" s="478" t="s">
        <v>11238</v>
      </c>
      <c r="M17" s="478" t="s">
        <v>11238</v>
      </c>
      <c r="N17" s="478" t="s">
        <v>11238</v>
      </c>
      <c r="O17" s="479" t="s">
        <v>11239</v>
      </c>
      <c r="P17" s="479" t="s">
        <v>11240</v>
      </c>
      <c r="Q17" s="479" t="s">
        <v>11350</v>
      </c>
      <c r="R17" s="415"/>
    </row>
    <row r="18" spans="3:18" ht="13.8" thickBot="1">
      <c r="C18" s="788" t="s">
        <v>19</v>
      </c>
      <c r="D18" s="789"/>
      <c r="E18" s="789"/>
      <c r="F18" s="801"/>
      <c r="G18" s="480">
        <f>SUM(G20:G43)</f>
        <v>17.280000000000005</v>
      </c>
      <c r="H18" s="480">
        <f>SUM(H20:H43)</f>
        <v>0.86400000000000021</v>
      </c>
      <c r="I18" s="481">
        <f>SUM(I20:I43)</f>
        <v>164.16000000000005</v>
      </c>
      <c r="K18" s="788" t="s">
        <v>19</v>
      </c>
      <c r="L18" s="789"/>
      <c r="M18" s="789"/>
      <c r="N18" s="801"/>
      <c r="O18" s="480">
        <f>SUM(O20:O43)</f>
        <v>75.348000000000013</v>
      </c>
      <c r="P18" s="480">
        <f>SUM(P20:P43)</f>
        <v>3.7673999999999976</v>
      </c>
      <c r="Q18" s="480">
        <f>SUM(Q20:Q43)</f>
        <v>470.92499999999995</v>
      </c>
      <c r="R18" s="415"/>
    </row>
    <row r="19" spans="3:18" ht="13.8" thickBot="1">
      <c r="C19" s="757" t="s">
        <v>11378</v>
      </c>
      <c r="D19" s="759"/>
      <c r="E19" s="759"/>
      <c r="F19" s="427"/>
      <c r="G19" s="427"/>
      <c r="H19" s="427"/>
      <c r="I19" s="428"/>
      <c r="K19" s="757" t="str">
        <f>C19</f>
        <v>US CANAÃ</v>
      </c>
      <c r="L19" s="759"/>
      <c r="M19" s="759"/>
      <c r="N19" s="759"/>
      <c r="O19" s="482"/>
      <c r="P19" s="482"/>
      <c r="Q19" s="483"/>
      <c r="R19" s="415"/>
    </row>
    <row r="20" spans="3:18">
      <c r="C20" s="464" t="s">
        <v>11351</v>
      </c>
      <c r="D20" s="465">
        <v>0.15</v>
      </c>
      <c r="E20" s="465">
        <v>0.3</v>
      </c>
      <c r="F20" s="465">
        <f>1.15-0.35</f>
        <v>0.79999999999999993</v>
      </c>
      <c r="G20" s="465">
        <f>(2*D20+2*E20)*F20</f>
        <v>0.71999999999999986</v>
      </c>
      <c r="H20" s="467">
        <f>D20*E20*F20</f>
        <v>3.5999999999999997E-2</v>
      </c>
      <c r="I20" s="484">
        <f>H20*190</f>
        <v>6.84</v>
      </c>
      <c r="K20" s="464" t="s">
        <v>11351</v>
      </c>
      <c r="L20" s="465">
        <v>0.15</v>
      </c>
      <c r="M20" s="465">
        <v>0.3</v>
      </c>
      <c r="N20" s="465">
        <v>3</v>
      </c>
      <c r="O20" s="465">
        <f>(2*L20+2*M20)*N20</f>
        <v>2.6999999999999997</v>
      </c>
      <c r="P20" s="467">
        <f>L20*M20*N20</f>
        <v>0.13500000000000001</v>
      </c>
      <c r="Q20" s="468">
        <f>P20*125</f>
        <v>16.875</v>
      </c>
      <c r="R20" s="415"/>
    </row>
    <row r="21" spans="3:18">
      <c r="C21" s="464" t="s">
        <v>11352</v>
      </c>
      <c r="D21" s="465">
        <v>0.15</v>
      </c>
      <c r="E21" s="465">
        <v>0.3</v>
      </c>
      <c r="F21" s="465">
        <f>1.15-0.35</f>
        <v>0.79999999999999993</v>
      </c>
      <c r="G21" s="465">
        <f t="shared" ref="G21:G43" si="0">(2*D21+2*E21)*F21</f>
        <v>0.71999999999999986</v>
      </c>
      <c r="H21" s="467">
        <f t="shared" ref="H21:H43" si="1">D21*E21*F21</f>
        <v>3.5999999999999997E-2</v>
      </c>
      <c r="I21" s="484">
        <f>H21*190</f>
        <v>6.84</v>
      </c>
      <c r="K21" s="464" t="s">
        <v>11352</v>
      </c>
      <c r="L21" s="465">
        <v>0.15</v>
      </c>
      <c r="M21" s="465">
        <v>0.3</v>
      </c>
      <c r="N21" s="465">
        <v>3</v>
      </c>
      <c r="O21" s="465">
        <f t="shared" ref="O21:O29" si="2">(2*L21+2*M21)*N21</f>
        <v>2.6999999999999997</v>
      </c>
      <c r="P21" s="467">
        <f t="shared" ref="P21:P29" si="3">L21*M21*N21</f>
        <v>0.13500000000000001</v>
      </c>
      <c r="Q21" s="484">
        <f>P21*125</f>
        <v>16.875</v>
      </c>
      <c r="R21" s="415"/>
    </row>
    <row r="22" spans="3:18">
      <c r="C22" s="464" t="s">
        <v>11353</v>
      </c>
      <c r="D22" s="465">
        <v>0.15</v>
      </c>
      <c r="E22" s="465">
        <v>0.3</v>
      </c>
      <c r="F22" s="465">
        <f t="shared" ref="F22:F43" si="4">1.15-0.35</f>
        <v>0.79999999999999993</v>
      </c>
      <c r="G22" s="465">
        <f t="shared" si="0"/>
        <v>0.71999999999999986</v>
      </c>
      <c r="H22" s="467">
        <f t="shared" si="1"/>
        <v>3.5999999999999997E-2</v>
      </c>
      <c r="I22" s="484">
        <f t="shared" ref="I22:I43" si="5">H22*190</f>
        <v>6.84</v>
      </c>
      <c r="K22" s="464" t="s">
        <v>11353</v>
      </c>
      <c r="L22" s="465">
        <v>0.15</v>
      </c>
      <c r="M22" s="465">
        <v>0.3</v>
      </c>
      <c r="N22" s="465">
        <v>3</v>
      </c>
      <c r="O22" s="465">
        <f t="shared" si="2"/>
        <v>2.6999999999999997</v>
      </c>
      <c r="P22" s="467">
        <f t="shared" si="3"/>
        <v>0.13500000000000001</v>
      </c>
      <c r="Q22" s="484">
        <f t="shared" ref="Q22:Q43" si="6">P22*125</f>
        <v>16.875</v>
      </c>
      <c r="R22" s="415"/>
    </row>
    <row r="23" spans="3:18">
      <c r="C23" s="464" t="s">
        <v>11354</v>
      </c>
      <c r="D23" s="465">
        <v>0.15</v>
      </c>
      <c r="E23" s="465">
        <v>0.3</v>
      </c>
      <c r="F23" s="465">
        <f t="shared" si="4"/>
        <v>0.79999999999999993</v>
      </c>
      <c r="G23" s="465">
        <f t="shared" si="0"/>
        <v>0.71999999999999986</v>
      </c>
      <c r="H23" s="467">
        <f t="shared" si="1"/>
        <v>3.5999999999999997E-2</v>
      </c>
      <c r="I23" s="484">
        <f t="shared" si="5"/>
        <v>6.84</v>
      </c>
      <c r="K23" s="464" t="s">
        <v>11354</v>
      </c>
      <c r="L23" s="465">
        <v>0.15</v>
      </c>
      <c r="M23" s="465">
        <v>0.3</v>
      </c>
      <c r="N23" s="465">
        <v>3</v>
      </c>
      <c r="O23" s="465">
        <f t="shared" si="2"/>
        <v>2.6999999999999997</v>
      </c>
      <c r="P23" s="467">
        <f t="shared" si="3"/>
        <v>0.13500000000000001</v>
      </c>
      <c r="Q23" s="484">
        <f t="shared" si="6"/>
        <v>16.875</v>
      </c>
      <c r="R23" s="415"/>
    </row>
    <row r="24" spans="3:18">
      <c r="C24" s="464" t="s">
        <v>11355</v>
      </c>
      <c r="D24" s="465">
        <v>0.15</v>
      </c>
      <c r="E24" s="465">
        <v>0.3</v>
      </c>
      <c r="F24" s="465">
        <f t="shared" si="4"/>
        <v>0.79999999999999993</v>
      </c>
      <c r="G24" s="465">
        <f t="shared" si="0"/>
        <v>0.71999999999999986</v>
      </c>
      <c r="H24" s="467">
        <f t="shared" si="1"/>
        <v>3.5999999999999997E-2</v>
      </c>
      <c r="I24" s="484">
        <f t="shared" si="5"/>
        <v>6.84</v>
      </c>
      <c r="K24" s="464" t="s">
        <v>11355</v>
      </c>
      <c r="L24" s="465">
        <v>0.15</v>
      </c>
      <c r="M24" s="465">
        <v>0.3</v>
      </c>
      <c r="N24" s="465">
        <v>3</v>
      </c>
      <c r="O24" s="465">
        <f t="shared" si="2"/>
        <v>2.6999999999999997</v>
      </c>
      <c r="P24" s="467">
        <f t="shared" si="3"/>
        <v>0.13500000000000001</v>
      </c>
      <c r="Q24" s="484">
        <f t="shared" si="6"/>
        <v>16.875</v>
      </c>
      <c r="R24" s="415"/>
    </row>
    <row r="25" spans="3:18">
      <c r="C25" s="464" t="s">
        <v>11356</v>
      </c>
      <c r="D25" s="465">
        <v>0.15</v>
      </c>
      <c r="E25" s="465">
        <v>0.3</v>
      </c>
      <c r="F25" s="465">
        <f t="shared" si="4"/>
        <v>0.79999999999999993</v>
      </c>
      <c r="G25" s="465">
        <f t="shared" si="0"/>
        <v>0.71999999999999986</v>
      </c>
      <c r="H25" s="467">
        <f t="shared" si="1"/>
        <v>3.5999999999999997E-2</v>
      </c>
      <c r="I25" s="484">
        <f t="shared" si="5"/>
        <v>6.84</v>
      </c>
      <c r="K25" s="464" t="s">
        <v>11356</v>
      </c>
      <c r="L25" s="465">
        <v>0.15</v>
      </c>
      <c r="M25" s="465">
        <v>0.3</v>
      </c>
      <c r="N25" s="465">
        <v>3</v>
      </c>
      <c r="O25" s="465">
        <f t="shared" si="2"/>
        <v>2.6999999999999997</v>
      </c>
      <c r="P25" s="467">
        <f t="shared" si="3"/>
        <v>0.13500000000000001</v>
      </c>
      <c r="Q25" s="484">
        <f t="shared" si="6"/>
        <v>16.875</v>
      </c>
      <c r="R25" s="415"/>
    </row>
    <row r="26" spans="3:18">
      <c r="C26" s="464" t="s">
        <v>11357</v>
      </c>
      <c r="D26" s="465">
        <v>0.15</v>
      </c>
      <c r="E26" s="465">
        <v>0.3</v>
      </c>
      <c r="F26" s="465">
        <f t="shared" si="4"/>
        <v>0.79999999999999993</v>
      </c>
      <c r="G26" s="465">
        <f t="shared" si="0"/>
        <v>0.71999999999999986</v>
      </c>
      <c r="H26" s="467">
        <f t="shared" si="1"/>
        <v>3.5999999999999997E-2</v>
      </c>
      <c r="I26" s="484">
        <f t="shared" si="5"/>
        <v>6.84</v>
      </c>
      <c r="K26" s="464" t="s">
        <v>11357</v>
      </c>
      <c r="L26" s="465">
        <v>0.15</v>
      </c>
      <c r="M26" s="465">
        <v>0.3</v>
      </c>
      <c r="N26" s="465">
        <v>3</v>
      </c>
      <c r="O26" s="465">
        <f t="shared" si="2"/>
        <v>2.6999999999999997</v>
      </c>
      <c r="P26" s="467">
        <f t="shared" si="3"/>
        <v>0.13500000000000001</v>
      </c>
      <c r="Q26" s="484">
        <f t="shared" si="6"/>
        <v>16.875</v>
      </c>
      <c r="R26" s="415"/>
    </row>
    <row r="27" spans="3:18">
      <c r="C27" s="464" t="s">
        <v>11358</v>
      </c>
      <c r="D27" s="465">
        <v>0.15</v>
      </c>
      <c r="E27" s="465">
        <v>0.3</v>
      </c>
      <c r="F27" s="465">
        <f t="shared" si="4"/>
        <v>0.79999999999999993</v>
      </c>
      <c r="G27" s="465">
        <f t="shared" si="0"/>
        <v>0.71999999999999986</v>
      </c>
      <c r="H27" s="467">
        <f t="shared" si="1"/>
        <v>3.5999999999999997E-2</v>
      </c>
      <c r="I27" s="484">
        <f t="shared" si="5"/>
        <v>6.84</v>
      </c>
      <c r="K27" s="464" t="s">
        <v>11358</v>
      </c>
      <c r="L27" s="465">
        <v>0.15</v>
      </c>
      <c r="M27" s="465">
        <v>0.3</v>
      </c>
      <c r="N27" s="465">
        <v>3</v>
      </c>
      <c r="O27" s="465">
        <f t="shared" si="2"/>
        <v>2.6999999999999997</v>
      </c>
      <c r="P27" s="467">
        <f t="shared" si="3"/>
        <v>0.13500000000000001</v>
      </c>
      <c r="Q27" s="484">
        <f t="shared" si="6"/>
        <v>16.875</v>
      </c>
      <c r="R27" s="415"/>
    </row>
    <row r="28" spans="3:18">
      <c r="C28" s="464" t="s">
        <v>11359</v>
      </c>
      <c r="D28" s="465">
        <v>0.15</v>
      </c>
      <c r="E28" s="465">
        <v>0.3</v>
      </c>
      <c r="F28" s="465">
        <f t="shared" si="4"/>
        <v>0.79999999999999993</v>
      </c>
      <c r="G28" s="465">
        <f t="shared" si="0"/>
        <v>0.71999999999999986</v>
      </c>
      <c r="H28" s="467">
        <f t="shared" si="1"/>
        <v>3.5999999999999997E-2</v>
      </c>
      <c r="I28" s="484">
        <f t="shared" si="5"/>
        <v>6.84</v>
      </c>
      <c r="K28" s="464" t="s">
        <v>11359</v>
      </c>
      <c r="L28" s="465">
        <v>0.15</v>
      </c>
      <c r="M28" s="465">
        <v>0.3</v>
      </c>
      <c r="N28" s="465">
        <v>3</v>
      </c>
      <c r="O28" s="465">
        <f t="shared" si="2"/>
        <v>2.6999999999999997</v>
      </c>
      <c r="P28" s="467">
        <f t="shared" si="3"/>
        <v>0.13500000000000001</v>
      </c>
      <c r="Q28" s="484">
        <f t="shared" si="6"/>
        <v>16.875</v>
      </c>
      <c r="R28" s="415"/>
    </row>
    <row r="29" spans="3:18">
      <c r="C29" s="464" t="s">
        <v>11360</v>
      </c>
      <c r="D29" s="465">
        <v>0.15</v>
      </c>
      <c r="E29" s="465">
        <v>0.3</v>
      </c>
      <c r="F29" s="465">
        <f t="shared" si="4"/>
        <v>0.79999999999999993</v>
      </c>
      <c r="G29" s="465">
        <f t="shared" si="0"/>
        <v>0.71999999999999986</v>
      </c>
      <c r="H29" s="467">
        <f t="shared" si="1"/>
        <v>3.5999999999999997E-2</v>
      </c>
      <c r="I29" s="484">
        <f t="shared" si="5"/>
        <v>6.84</v>
      </c>
      <c r="K29" s="464" t="s">
        <v>11360</v>
      </c>
      <c r="L29" s="465">
        <v>0.15</v>
      </c>
      <c r="M29" s="465">
        <v>0.3</v>
      </c>
      <c r="N29" s="465">
        <v>3</v>
      </c>
      <c r="O29" s="465">
        <f t="shared" si="2"/>
        <v>2.6999999999999997</v>
      </c>
      <c r="P29" s="467">
        <f t="shared" si="3"/>
        <v>0.13500000000000001</v>
      </c>
      <c r="Q29" s="484">
        <f t="shared" si="6"/>
        <v>16.875</v>
      </c>
      <c r="R29" s="415"/>
    </row>
    <row r="30" spans="3:18">
      <c r="C30" s="464" t="s">
        <v>11361</v>
      </c>
      <c r="D30" s="465">
        <v>0.15</v>
      </c>
      <c r="E30" s="465">
        <v>0.3</v>
      </c>
      <c r="F30" s="465">
        <f t="shared" si="4"/>
        <v>0.79999999999999993</v>
      </c>
      <c r="G30" s="465">
        <f t="shared" si="0"/>
        <v>0.71999999999999986</v>
      </c>
      <c r="H30" s="467">
        <f t="shared" si="1"/>
        <v>3.5999999999999997E-2</v>
      </c>
      <c r="I30" s="484">
        <f t="shared" si="5"/>
        <v>6.84</v>
      </c>
      <c r="K30" s="464" t="s">
        <v>11361</v>
      </c>
      <c r="L30" s="465">
        <v>0.15</v>
      </c>
      <c r="M30" s="465">
        <v>0.3</v>
      </c>
      <c r="N30" s="465">
        <f>3+2.93</f>
        <v>5.93</v>
      </c>
      <c r="O30" s="465">
        <f>(2*L30+2*M30)*N30</f>
        <v>5.3369999999999989</v>
      </c>
      <c r="P30" s="467">
        <f>L30*M30*N30</f>
        <v>0.26684999999999998</v>
      </c>
      <c r="Q30" s="484">
        <f t="shared" si="6"/>
        <v>33.356249999999996</v>
      </c>
      <c r="R30" s="415"/>
    </row>
    <row r="31" spans="3:18">
      <c r="C31" s="464" t="s">
        <v>11362</v>
      </c>
      <c r="D31" s="465">
        <v>0.15</v>
      </c>
      <c r="E31" s="465">
        <v>0.3</v>
      </c>
      <c r="F31" s="465">
        <f t="shared" si="4"/>
        <v>0.79999999999999993</v>
      </c>
      <c r="G31" s="465">
        <f t="shared" si="0"/>
        <v>0.71999999999999986</v>
      </c>
      <c r="H31" s="467">
        <f t="shared" si="1"/>
        <v>3.5999999999999997E-2</v>
      </c>
      <c r="I31" s="484">
        <f t="shared" si="5"/>
        <v>6.84</v>
      </c>
      <c r="K31" s="464" t="s">
        <v>11362</v>
      </c>
      <c r="L31" s="465">
        <v>0.15</v>
      </c>
      <c r="M31" s="465">
        <v>0.3</v>
      </c>
      <c r="N31" s="465">
        <f>3+2.93</f>
        <v>5.93</v>
      </c>
      <c r="O31" s="465">
        <f t="shared" ref="O31:O39" si="7">(2*L31+2*M31)*N31</f>
        <v>5.3369999999999989</v>
      </c>
      <c r="P31" s="467">
        <f t="shared" ref="P31:P39" si="8">L31*M31*N31</f>
        <v>0.26684999999999998</v>
      </c>
      <c r="Q31" s="484">
        <f t="shared" si="6"/>
        <v>33.356249999999996</v>
      </c>
      <c r="R31" s="415"/>
    </row>
    <row r="32" spans="3:18">
      <c r="C32" s="464" t="s">
        <v>11363</v>
      </c>
      <c r="D32" s="465">
        <v>0.15</v>
      </c>
      <c r="E32" s="465">
        <v>0.3</v>
      </c>
      <c r="F32" s="465">
        <f t="shared" si="4"/>
        <v>0.79999999999999993</v>
      </c>
      <c r="G32" s="465">
        <f t="shared" si="0"/>
        <v>0.71999999999999986</v>
      </c>
      <c r="H32" s="467">
        <f t="shared" si="1"/>
        <v>3.5999999999999997E-2</v>
      </c>
      <c r="I32" s="484">
        <f t="shared" si="5"/>
        <v>6.84</v>
      </c>
      <c r="K32" s="464" t="s">
        <v>11363</v>
      </c>
      <c r="L32" s="465">
        <v>0.15</v>
      </c>
      <c r="M32" s="465">
        <v>0.3</v>
      </c>
      <c r="N32" s="465">
        <f>3+2.93</f>
        <v>5.93</v>
      </c>
      <c r="O32" s="465">
        <f t="shared" si="7"/>
        <v>5.3369999999999989</v>
      </c>
      <c r="P32" s="467">
        <f t="shared" si="8"/>
        <v>0.26684999999999998</v>
      </c>
      <c r="Q32" s="484">
        <f t="shared" si="6"/>
        <v>33.356249999999996</v>
      </c>
      <c r="R32" s="415"/>
    </row>
    <row r="33" spans="3:18">
      <c r="C33" s="464" t="s">
        <v>11364</v>
      </c>
      <c r="D33" s="465">
        <v>0.15</v>
      </c>
      <c r="E33" s="465">
        <v>0.3</v>
      </c>
      <c r="F33" s="465">
        <f t="shared" si="4"/>
        <v>0.79999999999999993</v>
      </c>
      <c r="G33" s="465">
        <f t="shared" si="0"/>
        <v>0.71999999999999986</v>
      </c>
      <c r="H33" s="467">
        <f t="shared" si="1"/>
        <v>3.5999999999999997E-2</v>
      </c>
      <c r="I33" s="484">
        <f t="shared" si="5"/>
        <v>6.84</v>
      </c>
      <c r="K33" s="464" t="s">
        <v>11364</v>
      </c>
      <c r="L33" s="465">
        <v>0.15</v>
      </c>
      <c r="M33" s="465">
        <v>0.3</v>
      </c>
      <c r="N33" s="465">
        <f>3+2.93</f>
        <v>5.93</v>
      </c>
      <c r="O33" s="465">
        <f t="shared" si="7"/>
        <v>5.3369999999999989</v>
      </c>
      <c r="P33" s="467">
        <f t="shared" si="8"/>
        <v>0.26684999999999998</v>
      </c>
      <c r="Q33" s="484">
        <f t="shared" si="6"/>
        <v>33.356249999999996</v>
      </c>
      <c r="R33" s="415"/>
    </row>
    <row r="34" spans="3:18">
      <c r="C34" s="464" t="s">
        <v>11365</v>
      </c>
      <c r="D34" s="465">
        <v>0.15</v>
      </c>
      <c r="E34" s="465">
        <v>0.3</v>
      </c>
      <c r="F34" s="465">
        <f t="shared" si="4"/>
        <v>0.79999999999999993</v>
      </c>
      <c r="G34" s="465">
        <f t="shared" si="0"/>
        <v>0.71999999999999986</v>
      </c>
      <c r="H34" s="467">
        <f t="shared" si="1"/>
        <v>3.5999999999999997E-2</v>
      </c>
      <c r="I34" s="484">
        <f t="shared" si="5"/>
        <v>6.84</v>
      </c>
      <c r="K34" s="464" t="s">
        <v>11365</v>
      </c>
      <c r="L34" s="465">
        <v>0.15</v>
      </c>
      <c r="M34" s="465">
        <v>0.3</v>
      </c>
      <c r="N34" s="465">
        <v>3</v>
      </c>
      <c r="O34" s="465">
        <f t="shared" si="7"/>
        <v>2.6999999999999997</v>
      </c>
      <c r="P34" s="467">
        <f t="shared" si="8"/>
        <v>0.13500000000000001</v>
      </c>
      <c r="Q34" s="484">
        <f t="shared" si="6"/>
        <v>16.875</v>
      </c>
      <c r="R34" s="415"/>
    </row>
    <row r="35" spans="3:18">
      <c r="C35" s="464" t="s">
        <v>11366</v>
      </c>
      <c r="D35" s="465">
        <v>0.15</v>
      </c>
      <c r="E35" s="465">
        <v>0.3</v>
      </c>
      <c r="F35" s="465">
        <f t="shared" si="4"/>
        <v>0.79999999999999993</v>
      </c>
      <c r="G35" s="465">
        <f t="shared" si="0"/>
        <v>0.71999999999999986</v>
      </c>
      <c r="H35" s="467">
        <f t="shared" si="1"/>
        <v>3.5999999999999997E-2</v>
      </c>
      <c r="I35" s="484">
        <f t="shared" si="5"/>
        <v>6.84</v>
      </c>
      <c r="K35" s="464" t="s">
        <v>11366</v>
      </c>
      <c r="L35" s="465">
        <v>0.15</v>
      </c>
      <c r="M35" s="465">
        <v>0.3</v>
      </c>
      <c r="N35" s="465">
        <v>3</v>
      </c>
      <c r="O35" s="465">
        <f t="shared" si="7"/>
        <v>2.6999999999999997</v>
      </c>
      <c r="P35" s="467">
        <f t="shared" si="8"/>
        <v>0.13500000000000001</v>
      </c>
      <c r="Q35" s="484">
        <f t="shared" si="6"/>
        <v>16.875</v>
      </c>
      <c r="R35" s="415"/>
    </row>
    <row r="36" spans="3:18">
      <c r="C36" s="464" t="s">
        <v>11367</v>
      </c>
      <c r="D36" s="465">
        <v>0.15</v>
      </c>
      <c r="E36" s="465">
        <v>0.3</v>
      </c>
      <c r="F36" s="465">
        <f t="shared" si="4"/>
        <v>0.79999999999999993</v>
      </c>
      <c r="G36" s="465">
        <f t="shared" si="0"/>
        <v>0.71999999999999986</v>
      </c>
      <c r="H36" s="467">
        <f t="shared" si="1"/>
        <v>3.5999999999999997E-2</v>
      </c>
      <c r="I36" s="484">
        <f t="shared" si="5"/>
        <v>6.84</v>
      </c>
      <c r="K36" s="464" t="s">
        <v>11367</v>
      </c>
      <c r="L36" s="465">
        <v>0.15</v>
      </c>
      <c r="M36" s="465">
        <v>0.3</v>
      </c>
      <c r="N36" s="465">
        <v>3</v>
      </c>
      <c r="O36" s="465">
        <f t="shared" si="7"/>
        <v>2.6999999999999997</v>
      </c>
      <c r="P36" s="467">
        <f t="shared" si="8"/>
        <v>0.13500000000000001</v>
      </c>
      <c r="Q36" s="484">
        <f t="shared" si="6"/>
        <v>16.875</v>
      </c>
      <c r="R36" s="415"/>
    </row>
    <row r="37" spans="3:18">
      <c r="C37" s="464" t="s">
        <v>11368</v>
      </c>
      <c r="D37" s="465">
        <v>0.15</v>
      </c>
      <c r="E37" s="465">
        <v>0.3</v>
      </c>
      <c r="F37" s="465">
        <f t="shared" si="4"/>
        <v>0.79999999999999993</v>
      </c>
      <c r="G37" s="465">
        <f t="shared" si="0"/>
        <v>0.71999999999999986</v>
      </c>
      <c r="H37" s="467">
        <f t="shared" si="1"/>
        <v>3.5999999999999997E-2</v>
      </c>
      <c r="I37" s="484">
        <f>H37*190</f>
        <v>6.84</v>
      </c>
      <c r="K37" s="464" t="s">
        <v>11368</v>
      </c>
      <c r="L37" s="465">
        <v>0.15</v>
      </c>
      <c r="M37" s="465">
        <v>0.3</v>
      </c>
      <c r="N37" s="465">
        <v>3</v>
      </c>
      <c r="O37" s="465">
        <f t="shared" si="7"/>
        <v>2.6999999999999997</v>
      </c>
      <c r="P37" s="467">
        <f t="shared" si="8"/>
        <v>0.13500000000000001</v>
      </c>
      <c r="Q37" s="484">
        <f t="shared" si="6"/>
        <v>16.875</v>
      </c>
      <c r="R37" s="415"/>
    </row>
    <row r="38" spans="3:18">
      <c r="C38" s="464" t="s">
        <v>11369</v>
      </c>
      <c r="D38" s="465">
        <v>0.15</v>
      </c>
      <c r="E38" s="465">
        <v>0.3</v>
      </c>
      <c r="F38" s="465">
        <f t="shared" si="4"/>
        <v>0.79999999999999993</v>
      </c>
      <c r="G38" s="465">
        <f t="shared" si="0"/>
        <v>0.71999999999999986</v>
      </c>
      <c r="H38" s="467">
        <f t="shared" si="1"/>
        <v>3.5999999999999997E-2</v>
      </c>
      <c r="I38" s="484">
        <f>H38*190</f>
        <v>6.84</v>
      </c>
      <c r="K38" s="464" t="s">
        <v>11369</v>
      </c>
      <c r="L38" s="465">
        <v>0.15</v>
      </c>
      <c r="M38" s="465">
        <v>0.3</v>
      </c>
      <c r="N38" s="465">
        <v>3</v>
      </c>
      <c r="O38" s="465">
        <f t="shared" si="7"/>
        <v>2.6999999999999997</v>
      </c>
      <c r="P38" s="467">
        <f t="shared" si="8"/>
        <v>0.13500000000000001</v>
      </c>
      <c r="Q38" s="484">
        <f t="shared" si="6"/>
        <v>16.875</v>
      </c>
      <c r="R38" s="415"/>
    </row>
    <row r="39" spans="3:18">
      <c r="C39" s="464" t="s">
        <v>11370</v>
      </c>
      <c r="D39" s="465">
        <v>0.15</v>
      </c>
      <c r="E39" s="465">
        <v>0.3</v>
      </c>
      <c r="F39" s="465">
        <f t="shared" si="4"/>
        <v>0.79999999999999993</v>
      </c>
      <c r="G39" s="465">
        <f t="shared" si="0"/>
        <v>0.71999999999999986</v>
      </c>
      <c r="H39" s="467">
        <f t="shared" si="1"/>
        <v>3.5999999999999997E-2</v>
      </c>
      <c r="I39" s="484">
        <f t="shared" si="5"/>
        <v>6.84</v>
      </c>
      <c r="K39" s="464" t="s">
        <v>11370</v>
      </c>
      <c r="L39" s="465">
        <v>0.15</v>
      </c>
      <c r="M39" s="465">
        <v>0.3</v>
      </c>
      <c r="N39" s="465">
        <v>3</v>
      </c>
      <c r="O39" s="465">
        <f t="shared" si="7"/>
        <v>2.6999999999999997</v>
      </c>
      <c r="P39" s="467">
        <f t="shared" si="8"/>
        <v>0.13500000000000001</v>
      </c>
      <c r="Q39" s="484">
        <f t="shared" si="6"/>
        <v>16.875</v>
      </c>
      <c r="R39" s="415"/>
    </row>
    <row r="40" spans="3:18">
      <c r="C40" s="464" t="s">
        <v>11371</v>
      </c>
      <c r="D40" s="465">
        <v>0.15</v>
      </c>
      <c r="E40" s="465">
        <v>0.3</v>
      </c>
      <c r="F40" s="465">
        <f t="shared" si="4"/>
        <v>0.79999999999999993</v>
      </c>
      <c r="G40" s="465">
        <f t="shared" si="0"/>
        <v>0.71999999999999986</v>
      </c>
      <c r="H40" s="467">
        <f t="shared" si="1"/>
        <v>3.5999999999999997E-2</v>
      </c>
      <c r="I40" s="484">
        <f>H40*190</f>
        <v>6.84</v>
      </c>
      <c r="K40" s="464" t="s">
        <v>11371</v>
      </c>
      <c r="L40" s="465">
        <v>0.15</v>
      </c>
      <c r="M40" s="465">
        <v>0.3</v>
      </c>
      <c r="N40" s="465">
        <v>3</v>
      </c>
      <c r="O40" s="465">
        <f>(2*L40+2*M40)*N40</f>
        <v>2.6999999999999997</v>
      </c>
      <c r="P40" s="467">
        <f>L40*M40*N40</f>
        <v>0.13500000000000001</v>
      </c>
      <c r="Q40" s="484">
        <f t="shared" si="6"/>
        <v>16.875</v>
      </c>
      <c r="R40" s="415"/>
    </row>
    <row r="41" spans="3:18">
      <c r="C41" s="464" t="s">
        <v>11372</v>
      </c>
      <c r="D41" s="465">
        <v>0.15</v>
      </c>
      <c r="E41" s="465">
        <v>0.3</v>
      </c>
      <c r="F41" s="465">
        <f t="shared" si="4"/>
        <v>0.79999999999999993</v>
      </c>
      <c r="G41" s="465">
        <f t="shared" si="0"/>
        <v>0.71999999999999986</v>
      </c>
      <c r="H41" s="467">
        <f t="shared" si="1"/>
        <v>3.5999999999999997E-2</v>
      </c>
      <c r="I41" s="484">
        <f>H41*190</f>
        <v>6.84</v>
      </c>
      <c r="K41" s="464" t="s">
        <v>11372</v>
      </c>
      <c r="L41" s="465">
        <v>0.15</v>
      </c>
      <c r="M41" s="465">
        <v>0.3</v>
      </c>
      <c r="N41" s="465">
        <v>3</v>
      </c>
      <c r="O41" s="465">
        <f>(2*L41+2*M41)*N41</f>
        <v>2.6999999999999997</v>
      </c>
      <c r="P41" s="467">
        <f>L41*M41*N41</f>
        <v>0.13500000000000001</v>
      </c>
      <c r="Q41" s="484">
        <f t="shared" si="6"/>
        <v>16.875</v>
      </c>
      <c r="R41" s="415"/>
    </row>
    <row r="42" spans="3:18">
      <c r="C42" s="464" t="s">
        <v>11373</v>
      </c>
      <c r="D42" s="465">
        <v>0.15</v>
      </c>
      <c r="E42" s="465">
        <v>0.3</v>
      </c>
      <c r="F42" s="465">
        <f t="shared" si="4"/>
        <v>0.79999999999999993</v>
      </c>
      <c r="G42" s="465">
        <f t="shared" si="0"/>
        <v>0.71999999999999986</v>
      </c>
      <c r="H42" s="467">
        <f t="shared" si="1"/>
        <v>3.5999999999999997E-2</v>
      </c>
      <c r="I42" s="484">
        <f>H42*190</f>
        <v>6.84</v>
      </c>
      <c r="K42" s="464" t="s">
        <v>11373</v>
      </c>
      <c r="L42" s="465">
        <v>0.15</v>
      </c>
      <c r="M42" s="465">
        <v>0.3</v>
      </c>
      <c r="N42" s="465">
        <v>3</v>
      </c>
      <c r="O42" s="465">
        <f>(2*L42+2*M42)*N42</f>
        <v>2.6999999999999997</v>
      </c>
      <c r="P42" s="467">
        <f>L42*M42*N42</f>
        <v>0.13500000000000001</v>
      </c>
      <c r="Q42" s="484">
        <f t="shared" si="6"/>
        <v>16.875</v>
      </c>
      <c r="R42" s="415"/>
    </row>
    <row r="43" spans="3:18">
      <c r="C43" s="464" t="s">
        <v>11374</v>
      </c>
      <c r="D43" s="465">
        <v>0.15</v>
      </c>
      <c r="E43" s="465">
        <v>0.3</v>
      </c>
      <c r="F43" s="465">
        <f t="shared" si="4"/>
        <v>0.79999999999999993</v>
      </c>
      <c r="G43" s="465">
        <f t="shared" si="0"/>
        <v>0.71999999999999986</v>
      </c>
      <c r="H43" s="467">
        <f t="shared" si="1"/>
        <v>3.5999999999999997E-2</v>
      </c>
      <c r="I43" s="484">
        <f t="shared" si="5"/>
        <v>6.84</v>
      </c>
      <c r="K43" s="464" t="s">
        <v>11374</v>
      </c>
      <c r="L43" s="465">
        <v>0.15</v>
      </c>
      <c r="M43" s="465">
        <v>0.3</v>
      </c>
      <c r="N43" s="465">
        <v>3</v>
      </c>
      <c r="O43" s="465">
        <f>(2*L43+2*M43)*N43</f>
        <v>2.6999999999999997</v>
      </c>
      <c r="P43" s="467">
        <f>L43*M43*N43</f>
        <v>0.13500000000000001</v>
      </c>
      <c r="Q43" s="484">
        <f t="shared" si="6"/>
        <v>16.875</v>
      </c>
      <c r="R43" s="415"/>
    </row>
    <row r="44" spans="3:18">
      <c r="C44" s="464" t="s">
        <v>11388</v>
      </c>
      <c r="D44" s="465">
        <v>0.15</v>
      </c>
      <c r="E44" s="465">
        <v>0.3</v>
      </c>
      <c r="F44" s="465">
        <f>1.15-0.35</f>
        <v>0.79999999999999993</v>
      </c>
      <c r="G44" s="465">
        <f>(2*D44+2*E44)*F44</f>
        <v>0.71999999999999986</v>
      </c>
      <c r="H44" s="467">
        <f>D44*E44*F44</f>
        <v>3.5999999999999997E-2</v>
      </c>
      <c r="I44" s="484">
        <f>H44*190</f>
        <v>6.84</v>
      </c>
      <c r="K44" s="464" t="s">
        <v>11351</v>
      </c>
      <c r="L44" s="465">
        <v>0.15</v>
      </c>
      <c r="M44" s="465">
        <v>0.3</v>
      </c>
      <c r="N44" s="465">
        <v>3</v>
      </c>
      <c r="O44" s="465">
        <f>(2*L44+2*M44)*N44</f>
        <v>2.6999999999999997</v>
      </c>
      <c r="P44" s="467">
        <f>L44*M44*N44</f>
        <v>0.13500000000000001</v>
      </c>
      <c r="Q44" s="468">
        <f>P44*125</f>
        <v>16.875</v>
      </c>
      <c r="R44" s="415"/>
    </row>
    <row r="45" spans="3:18">
      <c r="C45" s="464" t="s">
        <v>11389</v>
      </c>
      <c r="D45" s="465">
        <v>0.15</v>
      </c>
      <c r="E45" s="465">
        <v>0.3</v>
      </c>
      <c r="F45" s="465">
        <f>1.15-0.35</f>
        <v>0.79999999999999993</v>
      </c>
      <c r="G45" s="465">
        <f t="shared" ref="G45:G67" si="9">(2*D45+2*E45)*F45</f>
        <v>0.71999999999999986</v>
      </c>
      <c r="H45" s="467">
        <f t="shared" ref="H45:H67" si="10">D45*E45*F45</f>
        <v>3.5999999999999997E-2</v>
      </c>
      <c r="I45" s="484">
        <f>H45*190</f>
        <v>6.84</v>
      </c>
      <c r="K45" s="464" t="s">
        <v>11352</v>
      </c>
      <c r="L45" s="465">
        <v>0.15</v>
      </c>
      <c r="M45" s="465">
        <v>0.3</v>
      </c>
      <c r="N45" s="465">
        <v>3</v>
      </c>
      <c r="O45" s="465">
        <f t="shared" ref="O45:O53" si="11">(2*L45+2*M45)*N45</f>
        <v>2.6999999999999997</v>
      </c>
      <c r="P45" s="467">
        <f t="shared" ref="P45:P53" si="12">L45*M45*N45</f>
        <v>0.13500000000000001</v>
      </c>
      <c r="Q45" s="484">
        <f>P45*125</f>
        <v>16.875</v>
      </c>
      <c r="R45" s="415"/>
    </row>
    <row r="46" spans="3:18">
      <c r="C46" s="464" t="s">
        <v>11390</v>
      </c>
      <c r="D46" s="465">
        <v>0.15</v>
      </c>
      <c r="E46" s="465">
        <v>0.3</v>
      </c>
      <c r="F46" s="465">
        <f t="shared" ref="F46:F67" si="13">1.15-0.35</f>
        <v>0.79999999999999993</v>
      </c>
      <c r="G46" s="465">
        <f t="shared" si="9"/>
        <v>0.71999999999999986</v>
      </c>
      <c r="H46" s="467">
        <f t="shared" si="10"/>
        <v>3.5999999999999997E-2</v>
      </c>
      <c r="I46" s="484">
        <f t="shared" ref="I46:I60" si="14">H46*190</f>
        <v>6.84</v>
      </c>
      <c r="K46" s="464" t="s">
        <v>11353</v>
      </c>
      <c r="L46" s="465">
        <v>0.15</v>
      </c>
      <c r="M46" s="465">
        <v>0.3</v>
      </c>
      <c r="N46" s="465">
        <v>3</v>
      </c>
      <c r="O46" s="465">
        <f t="shared" si="11"/>
        <v>2.6999999999999997</v>
      </c>
      <c r="P46" s="467">
        <f t="shared" si="12"/>
        <v>0.13500000000000001</v>
      </c>
      <c r="Q46" s="484">
        <f t="shared" ref="Q46:Q67" si="15">P46*125</f>
        <v>16.875</v>
      </c>
      <c r="R46" s="415"/>
    </row>
    <row r="47" spans="3:18">
      <c r="C47" s="464" t="s">
        <v>11391</v>
      </c>
      <c r="D47" s="465">
        <v>0.15</v>
      </c>
      <c r="E47" s="465">
        <v>0.3</v>
      </c>
      <c r="F47" s="465">
        <f t="shared" si="13"/>
        <v>0.79999999999999993</v>
      </c>
      <c r="G47" s="465">
        <f t="shared" si="9"/>
        <v>0.71999999999999986</v>
      </c>
      <c r="H47" s="467">
        <f t="shared" si="10"/>
        <v>3.5999999999999997E-2</v>
      </c>
      <c r="I47" s="484">
        <f t="shared" si="14"/>
        <v>6.84</v>
      </c>
      <c r="K47" s="464" t="s">
        <v>11354</v>
      </c>
      <c r="L47" s="465">
        <v>0.15</v>
      </c>
      <c r="M47" s="465">
        <v>0.3</v>
      </c>
      <c r="N47" s="465">
        <v>3</v>
      </c>
      <c r="O47" s="465">
        <f t="shared" si="11"/>
        <v>2.6999999999999997</v>
      </c>
      <c r="P47" s="467">
        <f t="shared" si="12"/>
        <v>0.13500000000000001</v>
      </c>
      <c r="Q47" s="484">
        <f t="shared" si="15"/>
        <v>16.875</v>
      </c>
      <c r="R47" s="415"/>
    </row>
    <row r="48" spans="3:18">
      <c r="C48" s="464" t="s">
        <v>11392</v>
      </c>
      <c r="D48" s="465">
        <v>0.15</v>
      </c>
      <c r="E48" s="465">
        <v>0.3</v>
      </c>
      <c r="F48" s="465">
        <f t="shared" si="13"/>
        <v>0.79999999999999993</v>
      </c>
      <c r="G48" s="465">
        <f t="shared" si="9"/>
        <v>0.71999999999999986</v>
      </c>
      <c r="H48" s="467">
        <f t="shared" si="10"/>
        <v>3.5999999999999997E-2</v>
      </c>
      <c r="I48" s="484">
        <f t="shared" si="14"/>
        <v>6.84</v>
      </c>
      <c r="K48" s="464" t="s">
        <v>11355</v>
      </c>
      <c r="L48" s="465">
        <v>0.15</v>
      </c>
      <c r="M48" s="465">
        <v>0.3</v>
      </c>
      <c r="N48" s="465">
        <v>3</v>
      </c>
      <c r="O48" s="465">
        <f t="shared" si="11"/>
        <v>2.6999999999999997</v>
      </c>
      <c r="P48" s="467">
        <f t="shared" si="12"/>
        <v>0.13500000000000001</v>
      </c>
      <c r="Q48" s="484">
        <f t="shared" si="15"/>
        <v>16.875</v>
      </c>
      <c r="R48" s="415"/>
    </row>
    <row r="49" spans="3:18">
      <c r="C49" s="464" t="s">
        <v>11393</v>
      </c>
      <c r="D49" s="465">
        <v>0.15</v>
      </c>
      <c r="E49" s="465">
        <v>0.3</v>
      </c>
      <c r="F49" s="465">
        <f t="shared" si="13"/>
        <v>0.79999999999999993</v>
      </c>
      <c r="G49" s="465">
        <f t="shared" si="9"/>
        <v>0.71999999999999986</v>
      </c>
      <c r="H49" s="467">
        <f t="shared" si="10"/>
        <v>3.5999999999999997E-2</v>
      </c>
      <c r="I49" s="484">
        <f t="shared" si="14"/>
        <v>6.84</v>
      </c>
      <c r="K49" s="464" t="s">
        <v>11356</v>
      </c>
      <c r="L49" s="465">
        <v>0.15</v>
      </c>
      <c r="M49" s="465">
        <v>0.3</v>
      </c>
      <c r="N49" s="465">
        <v>3</v>
      </c>
      <c r="O49" s="465">
        <f t="shared" si="11"/>
        <v>2.6999999999999997</v>
      </c>
      <c r="P49" s="467">
        <f t="shared" si="12"/>
        <v>0.13500000000000001</v>
      </c>
      <c r="Q49" s="484">
        <f t="shared" si="15"/>
        <v>16.875</v>
      </c>
      <c r="R49" s="415"/>
    </row>
    <row r="50" spans="3:18">
      <c r="C50" s="464" t="s">
        <v>11394</v>
      </c>
      <c r="D50" s="465">
        <v>0.15</v>
      </c>
      <c r="E50" s="465">
        <v>0.3</v>
      </c>
      <c r="F50" s="465">
        <f t="shared" si="13"/>
        <v>0.79999999999999993</v>
      </c>
      <c r="G50" s="465">
        <f t="shared" si="9"/>
        <v>0.71999999999999986</v>
      </c>
      <c r="H50" s="467">
        <f t="shared" si="10"/>
        <v>3.5999999999999997E-2</v>
      </c>
      <c r="I50" s="484">
        <f t="shared" si="14"/>
        <v>6.84</v>
      </c>
      <c r="K50" s="464" t="s">
        <v>11357</v>
      </c>
      <c r="L50" s="465">
        <v>0.15</v>
      </c>
      <c r="M50" s="465">
        <v>0.3</v>
      </c>
      <c r="N50" s="465">
        <v>3</v>
      </c>
      <c r="O50" s="465">
        <f t="shared" si="11"/>
        <v>2.6999999999999997</v>
      </c>
      <c r="P50" s="467">
        <f t="shared" si="12"/>
        <v>0.13500000000000001</v>
      </c>
      <c r="Q50" s="484">
        <f t="shared" si="15"/>
        <v>16.875</v>
      </c>
      <c r="R50" s="415"/>
    </row>
    <row r="51" spans="3:18">
      <c r="C51" s="464" t="s">
        <v>11395</v>
      </c>
      <c r="D51" s="465">
        <v>0.15</v>
      </c>
      <c r="E51" s="465">
        <v>0.3</v>
      </c>
      <c r="F51" s="465">
        <f t="shared" si="13"/>
        <v>0.79999999999999993</v>
      </c>
      <c r="G51" s="465">
        <f t="shared" si="9"/>
        <v>0.71999999999999986</v>
      </c>
      <c r="H51" s="467">
        <f t="shared" si="10"/>
        <v>3.5999999999999997E-2</v>
      </c>
      <c r="I51" s="484">
        <f t="shared" si="14"/>
        <v>6.84</v>
      </c>
      <c r="K51" s="464" t="s">
        <v>11358</v>
      </c>
      <c r="L51" s="465">
        <v>0.15</v>
      </c>
      <c r="M51" s="465">
        <v>0.3</v>
      </c>
      <c r="N51" s="465">
        <v>3</v>
      </c>
      <c r="O51" s="465">
        <f t="shared" si="11"/>
        <v>2.6999999999999997</v>
      </c>
      <c r="P51" s="467">
        <f t="shared" si="12"/>
        <v>0.13500000000000001</v>
      </c>
      <c r="Q51" s="484">
        <f t="shared" si="15"/>
        <v>16.875</v>
      </c>
      <c r="R51" s="415"/>
    </row>
    <row r="52" spans="3:18">
      <c r="C52" s="464" t="s">
        <v>11396</v>
      </c>
      <c r="D52" s="465">
        <v>0.15</v>
      </c>
      <c r="E52" s="465">
        <v>0.3</v>
      </c>
      <c r="F52" s="465">
        <f t="shared" si="13"/>
        <v>0.79999999999999993</v>
      </c>
      <c r="G52" s="465">
        <f t="shared" si="9"/>
        <v>0.71999999999999986</v>
      </c>
      <c r="H52" s="467">
        <f t="shared" si="10"/>
        <v>3.5999999999999997E-2</v>
      </c>
      <c r="I52" s="484">
        <f t="shared" si="14"/>
        <v>6.84</v>
      </c>
      <c r="K52" s="464" t="s">
        <v>11359</v>
      </c>
      <c r="L52" s="465">
        <v>0.15</v>
      </c>
      <c r="M52" s="465">
        <v>0.3</v>
      </c>
      <c r="N52" s="465">
        <v>3</v>
      </c>
      <c r="O52" s="465">
        <f t="shared" si="11"/>
        <v>2.6999999999999997</v>
      </c>
      <c r="P52" s="467">
        <f t="shared" si="12"/>
        <v>0.13500000000000001</v>
      </c>
      <c r="Q52" s="484">
        <f t="shared" si="15"/>
        <v>16.875</v>
      </c>
      <c r="R52" s="415"/>
    </row>
    <row r="53" spans="3:18">
      <c r="C53" s="464" t="s">
        <v>11397</v>
      </c>
      <c r="D53" s="465">
        <v>0.15</v>
      </c>
      <c r="E53" s="465">
        <v>0.3</v>
      </c>
      <c r="F53" s="465">
        <f t="shared" si="13"/>
        <v>0.79999999999999993</v>
      </c>
      <c r="G53" s="465">
        <f t="shared" si="9"/>
        <v>0.71999999999999986</v>
      </c>
      <c r="H53" s="467">
        <f t="shared" si="10"/>
        <v>3.5999999999999997E-2</v>
      </c>
      <c r="I53" s="484">
        <f t="shared" si="14"/>
        <v>6.84</v>
      </c>
      <c r="K53" s="464" t="s">
        <v>11360</v>
      </c>
      <c r="L53" s="465">
        <v>0.15</v>
      </c>
      <c r="M53" s="465">
        <v>0.3</v>
      </c>
      <c r="N53" s="465">
        <v>3</v>
      </c>
      <c r="O53" s="465">
        <f t="shared" si="11"/>
        <v>2.6999999999999997</v>
      </c>
      <c r="P53" s="467">
        <f t="shared" si="12"/>
        <v>0.13500000000000001</v>
      </c>
      <c r="Q53" s="484">
        <f t="shared" si="15"/>
        <v>16.875</v>
      </c>
      <c r="R53" s="415"/>
    </row>
    <row r="54" spans="3:18">
      <c r="C54" s="464" t="s">
        <v>11398</v>
      </c>
      <c r="D54" s="465">
        <v>0.15</v>
      </c>
      <c r="E54" s="465">
        <v>0.3</v>
      </c>
      <c r="F54" s="465">
        <f t="shared" si="13"/>
        <v>0.79999999999999993</v>
      </c>
      <c r="G54" s="465">
        <f t="shared" si="9"/>
        <v>0.71999999999999986</v>
      </c>
      <c r="H54" s="467">
        <f t="shared" si="10"/>
        <v>3.5999999999999997E-2</v>
      </c>
      <c r="I54" s="484">
        <f t="shared" si="14"/>
        <v>6.84</v>
      </c>
      <c r="K54" s="464" t="s">
        <v>11361</v>
      </c>
      <c r="L54" s="465">
        <v>0.15</v>
      </c>
      <c r="M54" s="465">
        <v>0.3</v>
      </c>
      <c r="N54" s="465">
        <f>3+2.93</f>
        <v>5.93</v>
      </c>
      <c r="O54" s="465">
        <f>(2*L54+2*M54)*N54</f>
        <v>5.3369999999999989</v>
      </c>
      <c r="P54" s="467">
        <f>L54*M54*N54</f>
        <v>0.26684999999999998</v>
      </c>
      <c r="Q54" s="484">
        <f t="shared" si="15"/>
        <v>33.356249999999996</v>
      </c>
      <c r="R54" s="415"/>
    </row>
    <row r="55" spans="3:18">
      <c r="C55" s="464" t="s">
        <v>11399</v>
      </c>
      <c r="D55" s="465">
        <v>0.15</v>
      </c>
      <c r="E55" s="465">
        <v>0.3</v>
      </c>
      <c r="F55" s="465">
        <f t="shared" si="13"/>
        <v>0.79999999999999993</v>
      </c>
      <c r="G55" s="465">
        <f t="shared" si="9"/>
        <v>0.71999999999999986</v>
      </c>
      <c r="H55" s="467">
        <f t="shared" si="10"/>
        <v>3.5999999999999997E-2</v>
      </c>
      <c r="I55" s="484">
        <f t="shared" si="14"/>
        <v>6.84</v>
      </c>
      <c r="K55" s="464" t="s">
        <v>11362</v>
      </c>
      <c r="L55" s="465">
        <v>0.15</v>
      </c>
      <c r="M55" s="465">
        <v>0.3</v>
      </c>
      <c r="N55" s="465">
        <f>3+2.93</f>
        <v>5.93</v>
      </c>
      <c r="O55" s="465">
        <f t="shared" ref="O55:O63" si="16">(2*L55+2*M55)*N55</f>
        <v>5.3369999999999989</v>
      </c>
      <c r="P55" s="467">
        <f t="shared" ref="P55:P63" si="17">L55*M55*N55</f>
        <v>0.26684999999999998</v>
      </c>
      <c r="Q55" s="484">
        <f t="shared" si="15"/>
        <v>33.356249999999996</v>
      </c>
      <c r="R55" s="415"/>
    </row>
    <row r="56" spans="3:18">
      <c r="C56" s="464" t="s">
        <v>11400</v>
      </c>
      <c r="D56" s="465">
        <v>0.15</v>
      </c>
      <c r="E56" s="465">
        <v>0.3</v>
      </c>
      <c r="F56" s="465">
        <f t="shared" si="13"/>
        <v>0.79999999999999993</v>
      </c>
      <c r="G56" s="465">
        <f t="shared" si="9"/>
        <v>0.71999999999999986</v>
      </c>
      <c r="H56" s="467">
        <f t="shared" si="10"/>
        <v>3.5999999999999997E-2</v>
      </c>
      <c r="I56" s="484">
        <f t="shared" si="14"/>
        <v>6.84</v>
      </c>
      <c r="K56" s="464" t="s">
        <v>11363</v>
      </c>
      <c r="L56" s="465">
        <v>0.15</v>
      </c>
      <c r="M56" s="465">
        <v>0.3</v>
      </c>
      <c r="N56" s="465">
        <f>3+2.93</f>
        <v>5.93</v>
      </c>
      <c r="O56" s="465">
        <f t="shared" si="16"/>
        <v>5.3369999999999989</v>
      </c>
      <c r="P56" s="467">
        <f t="shared" si="17"/>
        <v>0.26684999999999998</v>
      </c>
      <c r="Q56" s="484">
        <f t="shared" si="15"/>
        <v>33.356249999999996</v>
      </c>
      <c r="R56" s="415"/>
    </row>
    <row r="57" spans="3:18">
      <c r="C57" s="464" t="s">
        <v>11401</v>
      </c>
      <c r="D57" s="465">
        <v>0.15</v>
      </c>
      <c r="E57" s="465">
        <v>0.3</v>
      </c>
      <c r="F57" s="465">
        <f t="shared" si="13"/>
        <v>0.79999999999999993</v>
      </c>
      <c r="G57" s="465">
        <f t="shared" si="9"/>
        <v>0.71999999999999986</v>
      </c>
      <c r="H57" s="467">
        <f t="shared" si="10"/>
        <v>3.5999999999999997E-2</v>
      </c>
      <c r="I57" s="484">
        <f t="shared" si="14"/>
        <v>6.84</v>
      </c>
      <c r="K57" s="464" t="s">
        <v>11364</v>
      </c>
      <c r="L57" s="465">
        <v>0.15</v>
      </c>
      <c r="M57" s="465">
        <v>0.3</v>
      </c>
      <c r="N57" s="465">
        <f>3+2.93</f>
        <v>5.93</v>
      </c>
      <c r="O57" s="465">
        <f t="shared" si="16"/>
        <v>5.3369999999999989</v>
      </c>
      <c r="P57" s="467">
        <f t="shared" si="17"/>
        <v>0.26684999999999998</v>
      </c>
      <c r="Q57" s="484">
        <f t="shared" si="15"/>
        <v>33.356249999999996</v>
      </c>
      <c r="R57" s="415"/>
    </row>
    <row r="58" spans="3:18">
      <c r="C58" s="464" t="s">
        <v>11402</v>
      </c>
      <c r="D58" s="465">
        <v>0.15</v>
      </c>
      <c r="E58" s="465">
        <v>0.3</v>
      </c>
      <c r="F58" s="465">
        <f t="shared" si="13"/>
        <v>0.79999999999999993</v>
      </c>
      <c r="G58" s="465">
        <f t="shared" si="9"/>
        <v>0.71999999999999986</v>
      </c>
      <c r="H58" s="467">
        <f t="shared" si="10"/>
        <v>3.5999999999999997E-2</v>
      </c>
      <c r="I58" s="484">
        <f t="shared" si="14"/>
        <v>6.84</v>
      </c>
      <c r="K58" s="464" t="s">
        <v>11365</v>
      </c>
      <c r="L58" s="465">
        <v>0.15</v>
      </c>
      <c r="M58" s="465">
        <v>0.3</v>
      </c>
      <c r="N58" s="465">
        <v>3</v>
      </c>
      <c r="O58" s="465">
        <f t="shared" si="16"/>
        <v>2.6999999999999997</v>
      </c>
      <c r="P58" s="467">
        <f t="shared" si="17"/>
        <v>0.13500000000000001</v>
      </c>
      <c r="Q58" s="484">
        <f t="shared" si="15"/>
        <v>16.875</v>
      </c>
      <c r="R58" s="415"/>
    </row>
    <row r="59" spans="3:18">
      <c r="C59" s="464" t="s">
        <v>11403</v>
      </c>
      <c r="D59" s="465">
        <v>0.15</v>
      </c>
      <c r="E59" s="465">
        <v>0.3</v>
      </c>
      <c r="F59" s="465">
        <f t="shared" si="13"/>
        <v>0.79999999999999993</v>
      </c>
      <c r="G59" s="465">
        <f t="shared" si="9"/>
        <v>0.71999999999999986</v>
      </c>
      <c r="H59" s="467">
        <f t="shared" si="10"/>
        <v>3.5999999999999997E-2</v>
      </c>
      <c r="I59" s="484">
        <f t="shared" si="14"/>
        <v>6.84</v>
      </c>
      <c r="K59" s="464" t="s">
        <v>11366</v>
      </c>
      <c r="L59" s="465">
        <v>0.15</v>
      </c>
      <c r="M59" s="465">
        <v>0.3</v>
      </c>
      <c r="N59" s="465">
        <v>3</v>
      </c>
      <c r="O59" s="465">
        <f t="shared" si="16"/>
        <v>2.6999999999999997</v>
      </c>
      <c r="P59" s="467">
        <f t="shared" si="17"/>
        <v>0.13500000000000001</v>
      </c>
      <c r="Q59" s="484">
        <f t="shared" si="15"/>
        <v>16.875</v>
      </c>
      <c r="R59" s="415"/>
    </row>
    <row r="60" spans="3:18">
      <c r="C60" s="464" t="s">
        <v>11404</v>
      </c>
      <c r="D60" s="465">
        <v>0.15</v>
      </c>
      <c r="E60" s="465">
        <v>0.3</v>
      </c>
      <c r="F60" s="465">
        <f t="shared" si="13"/>
        <v>0.79999999999999993</v>
      </c>
      <c r="G60" s="465">
        <f t="shared" si="9"/>
        <v>0.71999999999999986</v>
      </c>
      <c r="H60" s="467">
        <f t="shared" si="10"/>
        <v>3.5999999999999997E-2</v>
      </c>
      <c r="I60" s="484">
        <f t="shared" si="14"/>
        <v>6.84</v>
      </c>
      <c r="K60" s="464" t="s">
        <v>11367</v>
      </c>
      <c r="L60" s="465">
        <v>0.15</v>
      </c>
      <c r="M60" s="465">
        <v>0.3</v>
      </c>
      <c r="N60" s="465">
        <v>3</v>
      </c>
      <c r="O60" s="465">
        <f t="shared" si="16"/>
        <v>2.6999999999999997</v>
      </c>
      <c r="P60" s="467">
        <f t="shared" si="17"/>
        <v>0.13500000000000001</v>
      </c>
      <c r="Q60" s="484">
        <f t="shared" si="15"/>
        <v>16.875</v>
      </c>
      <c r="R60" s="415"/>
    </row>
    <row r="61" spans="3:18">
      <c r="C61" s="464" t="s">
        <v>11405</v>
      </c>
      <c r="D61" s="465">
        <v>0.15</v>
      </c>
      <c r="E61" s="465">
        <v>0.3</v>
      </c>
      <c r="F61" s="465">
        <f t="shared" si="13"/>
        <v>0.79999999999999993</v>
      </c>
      <c r="G61" s="465">
        <f t="shared" si="9"/>
        <v>0.71999999999999986</v>
      </c>
      <c r="H61" s="467">
        <f t="shared" si="10"/>
        <v>3.5999999999999997E-2</v>
      </c>
      <c r="I61" s="484">
        <f>H61*190</f>
        <v>6.84</v>
      </c>
      <c r="K61" s="464" t="s">
        <v>11368</v>
      </c>
      <c r="L61" s="465">
        <v>0.15</v>
      </c>
      <c r="M61" s="465">
        <v>0.3</v>
      </c>
      <c r="N61" s="465">
        <v>3</v>
      </c>
      <c r="O61" s="465">
        <f t="shared" si="16"/>
        <v>2.6999999999999997</v>
      </c>
      <c r="P61" s="467">
        <f t="shared" si="17"/>
        <v>0.13500000000000001</v>
      </c>
      <c r="Q61" s="484">
        <f t="shared" si="15"/>
        <v>16.875</v>
      </c>
      <c r="R61" s="415"/>
    </row>
    <row r="62" spans="3:18">
      <c r="C62" s="464" t="s">
        <v>11406</v>
      </c>
      <c r="D62" s="465">
        <v>0.15</v>
      </c>
      <c r="E62" s="465">
        <v>0.3</v>
      </c>
      <c r="F62" s="465">
        <f t="shared" si="13"/>
        <v>0.79999999999999993</v>
      </c>
      <c r="G62" s="465">
        <f t="shared" si="9"/>
        <v>0.71999999999999986</v>
      </c>
      <c r="H62" s="467">
        <f t="shared" si="10"/>
        <v>3.5999999999999997E-2</v>
      </c>
      <c r="I62" s="484">
        <f>H62*190</f>
        <v>6.84</v>
      </c>
      <c r="K62" s="464" t="s">
        <v>11369</v>
      </c>
      <c r="L62" s="465">
        <v>0.15</v>
      </c>
      <c r="M62" s="465">
        <v>0.3</v>
      </c>
      <c r="N62" s="465">
        <v>3</v>
      </c>
      <c r="O62" s="465">
        <f t="shared" si="16"/>
        <v>2.6999999999999997</v>
      </c>
      <c r="P62" s="467">
        <f t="shared" si="17"/>
        <v>0.13500000000000001</v>
      </c>
      <c r="Q62" s="484">
        <f t="shared" si="15"/>
        <v>16.875</v>
      </c>
      <c r="R62" s="415"/>
    </row>
    <row r="63" spans="3:18">
      <c r="C63" s="464" t="s">
        <v>11407</v>
      </c>
      <c r="D63" s="465">
        <v>0.15</v>
      </c>
      <c r="E63" s="465">
        <v>0.3</v>
      </c>
      <c r="F63" s="465">
        <f t="shared" si="13"/>
        <v>0.79999999999999993</v>
      </c>
      <c r="G63" s="465">
        <f t="shared" si="9"/>
        <v>0.71999999999999986</v>
      </c>
      <c r="H63" s="467">
        <f t="shared" si="10"/>
        <v>3.5999999999999997E-2</v>
      </c>
      <c r="I63" s="484">
        <f t="shared" ref="I63" si="18">H63*190</f>
        <v>6.84</v>
      </c>
      <c r="K63" s="464" t="s">
        <v>11370</v>
      </c>
      <c r="L63" s="465">
        <v>0.15</v>
      </c>
      <c r="M63" s="465">
        <v>0.3</v>
      </c>
      <c r="N63" s="465">
        <v>3</v>
      </c>
      <c r="O63" s="465">
        <f t="shared" si="16"/>
        <v>2.6999999999999997</v>
      </c>
      <c r="P63" s="467">
        <f t="shared" si="17"/>
        <v>0.13500000000000001</v>
      </c>
      <c r="Q63" s="484">
        <f t="shared" si="15"/>
        <v>16.875</v>
      </c>
      <c r="R63" s="415"/>
    </row>
    <row r="64" spans="3:18">
      <c r="C64" s="464" t="s">
        <v>11408</v>
      </c>
      <c r="D64" s="465">
        <v>0.15</v>
      </c>
      <c r="E64" s="465">
        <v>0.3</v>
      </c>
      <c r="F64" s="465">
        <f t="shared" si="13"/>
        <v>0.79999999999999993</v>
      </c>
      <c r="G64" s="465">
        <f t="shared" si="9"/>
        <v>0.71999999999999986</v>
      </c>
      <c r="H64" s="467">
        <f t="shared" si="10"/>
        <v>3.5999999999999997E-2</v>
      </c>
      <c r="I64" s="484">
        <f>H64*190</f>
        <v>6.84</v>
      </c>
      <c r="K64" s="464" t="s">
        <v>11371</v>
      </c>
      <c r="L64" s="465">
        <v>0.15</v>
      </c>
      <c r="M64" s="465">
        <v>0.3</v>
      </c>
      <c r="N64" s="465">
        <v>3</v>
      </c>
      <c r="O64" s="465">
        <f>(2*L64+2*M64)*N64</f>
        <v>2.6999999999999997</v>
      </c>
      <c r="P64" s="467">
        <f>L64*M64*N64</f>
        <v>0.13500000000000001</v>
      </c>
      <c r="Q64" s="484">
        <f t="shared" si="15"/>
        <v>16.875</v>
      </c>
      <c r="R64" s="415"/>
    </row>
    <row r="65" spans="3:18">
      <c r="C65" s="464" t="s">
        <v>11409</v>
      </c>
      <c r="D65" s="465">
        <v>0.15</v>
      </c>
      <c r="E65" s="465">
        <v>0.3</v>
      </c>
      <c r="F65" s="465">
        <f t="shared" si="13"/>
        <v>0.79999999999999993</v>
      </c>
      <c r="G65" s="465">
        <f t="shared" si="9"/>
        <v>0.71999999999999986</v>
      </c>
      <c r="H65" s="467">
        <f t="shared" si="10"/>
        <v>3.5999999999999997E-2</v>
      </c>
      <c r="I65" s="484">
        <f>H65*190</f>
        <v>6.84</v>
      </c>
      <c r="K65" s="464" t="s">
        <v>11372</v>
      </c>
      <c r="L65" s="465">
        <v>0.15</v>
      </c>
      <c r="M65" s="465">
        <v>0.3</v>
      </c>
      <c r="N65" s="465">
        <v>3</v>
      </c>
      <c r="O65" s="465">
        <f>(2*L65+2*M65)*N65</f>
        <v>2.6999999999999997</v>
      </c>
      <c r="P65" s="467">
        <f>L65*M65*N65</f>
        <v>0.13500000000000001</v>
      </c>
      <c r="Q65" s="484">
        <f t="shared" si="15"/>
        <v>16.875</v>
      </c>
      <c r="R65" s="415"/>
    </row>
    <row r="66" spans="3:18">
      <c r="C66" s="464" t="s">
        <v>11410</v>
      </c>
      <c r="D66" s="465">
        <v>0.15</v>
      </c>
      <c r="E66" s="465">
        <v>0.3</v>
      </c>
      <c r="F66" s="465">
        <f t="shared" si="13"/>
        <v>0.79999999999999993</v>
      </c>
      <c r="G66" s="465">
        <f t="shared" si="9"/>
        <v>0.71999999999999986</v>
      </c>
      <c r="H66" s="467">
        <f t="shared" si="10"/>
        <v>3.5999999999999997E-2</v>
      </c>
      <c r="I66" s="484">
        <f>H66*190</f>
        <v>6.84</v>
      </c>
      <c r="K66" s="464" t="s">
        <v>11373</v>
      </c>
      <c r="L66" s="465">
        <v>0.15</v>
      </c>
      <c r="M66" s="465">
        <v>0.3</v>
      </c>
      <c r="N66" s="465">
        <v>3</v>
      </c>
      <c r="O66" s="465">
        <f>(2*L66+2*M66)*N66</f>
        <v>2.6999999999999997</v>
      </c>
      <c r="P66" s="467">
        <f>L66*M66*N66</f>
        <v>0.13500000000000001</v>
      </c>
      <c r="Q66" s="484">
        <f t="shared" si="15"/>
        <v>16.875</v>
      </c>
      <c r="R66" s="415"/>
    </row>
    <row r="67" spans="3:18">
      <c r="C67" s="464" t="s">
        <v>11411</v>
      </c>
      <c r="D67" s="465">
        <v>0.15</v>
      </c>
      <c r="E67" s="465">
        <v>0.3</v>
      </c>
      <c r="F67" s="465">
        <f t="shared" si="13"/>
        <v>0.79999999999999993</v>
      </c>
      <c r="G67" s="465">
        <f t="shared" si="9"/>
        <v>0.71999999999999986</v>
      </c>
      <c r="H67" s="467">
        <f t="shared" si="10"/>
        <v>3.5999999999999997E-2</v>
      </c>
      <c r="I67" s="484">
        <f t="shared" ref="I67" si="19">H67*190</f>
        <v>6.84</v>
      </c>
      <c r="K67" s="464" t="s">
        <v>11374</v>
      </c>
      <c r="L67" s="465">
        <v>0.15</v>
      </c>
      <c r="M67" s="465">
        <v>0.3</v>
      </c>
      <c r="N67" s="465">
        <v>3</v>
      </c>
      <c r="O67" s="465">
        <f>(2*L67+2*M67)*N67</f>
        <v>2.6999999999999997</v>
      </c>
      <c r="P67" s="467">
        <f>L67*M67*N67</f>
        <v>0.13500000000000001</v>
      </c>
      <c r="Q67" s="484">
        <f t="shared" si="15"/>
        <v>16.875</v>
      </c>
      <c r="R67" s="415"/>
    </row>
    <row r="68" spans="3:18">
      <c r="C68" s="401"/>
      <c r="R68" s="415"/>
    </row>
    <row r="69" spans="3:18">
      <c r="C69" s="401"/>
      <c r="R69" s="415"/>
    </row>
    <row r="70" spans="3:18">
      <c r="C70" s="401"/>
      <c r="R70" s="415"/>
    </row>
    <row r="71" spans="3:18">
      <c r="C71" s="401"/>
      <c r="R71" s="415"/>
    </row>
    <row r="72" spans="3:18">
      <c r="C72" s="401"/>
      <c r="R72" s="415"/>
    </row>
    <row r="73" spans="3:18">
      <c r="C73" s="401"/>
      <c r="R73" s="415"/>
    </row>
    <row r="74" spans="3:18">
      <c r="C74" s="401"/>
      <c r="R74" s="415"/>
    </row>
    <row r="75" spans="3:18">
      <c r="C75" s="401"/>
      <c r="R75" s="415"/>
    </row>
    <row r="76" spans="3:18">
      <c r="C76" s="401"/>
      <c r="R76" s="415"/>
    </row>
    <row r="77" spans="3:18">
      <c r="C77" s="401"/>
      <c r="R77" s="415"/>
    </row>
    <row r="78" spans="3:18">
      <c r="C78" s="401"/>
      <c r="R78" s="415"/>
    </row>
    <row r="79" spans="3:18">
      <c r="C79" s="401"/>
      <c r="R79" s="415"/>
    </row>
    <row r="80" spans="3:18">
      <c r="C80" s="401"/>
      <c r="R80" s="415"/>
    </row>
    <row r="81" spans="3:18">
      <c r="C81" s="401"/>
      <c r="I81" s="436" t="s">
        <v>11375</v>
      </c>
      <c r="R81" s="415"/>
    </row>
    <row r="82" spans="3:18">
      <c r="C82" s="401"/>
      <c r="I82" s="436" t="s">
        <v>11376</v>
      </c>
      <c r="R82" s="415"/>
    </row>
    <row r="83" spans="3:18">
      <c r="C83" s="401"/>
      <c r="I83" s="436" t="s">
        <v>11377</v>
      </c>
      <c r="R83" s="415"/>
    </row>
    <row r="84" spans="3:18" ht="13.8" thickBot="1">
      <c r="C84" s="402"/>
      <c r="D84" s="406"/>
      <c r="E84" s="406"/>
      <c r="F84" s="406"/>
      <c r="G84" s="406"/>
      <c r="H84" s="406"/>
      <c r="I84" s="406"/>
      <c r="J84" s="406"/>
      <c r="K84" s="406"/>
      <c r="L84" s="406"/>
      <c r="M84" s="406"/>
      <c r="N84" s="406"/>
      <c r="O84" s="406"/>
      <c r="P84" s="406"/>
      <c r="Q84" s="406"/>
      <c r="R84" s="407"/>
    </row>
  </sheetData>
  <mergeCells count="9">
    <mergeCell ref="C19:E19"/>
    <mergeCell ref="K19:N19"/>
    <mergeCell ref="C1:R1"/>
    <mergeCell ref="C2:R2"/>
    <mergeCell ref="C3:R3"/>
    <mergeCell ref="C16:C17"/>
    <mergeCell ref="K16:K17"/>
    <mergeCell ref="C18:F18"/>
    <mergeCell ref="K18:N18"/>
  </mergeCells>
  <printOptions horizontalCentered="1" verticalCentered="1"/>
  <pageMargins left="0.31496062992125984" right="0.31496062992125984" top="0.39370078740157483" bottom="0.39370078740157483" header="0.31496062992125984" footer="0.31496062992125984"/>
  <pageSetup paperSize="9" scale="5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5206"/>
  <sheetViews>
    <sheetView topLeftCell="A2258" zoomScale="120" zoomScaleNormal="120" workbookViewId="0">
      <selection activeCell="B2274" sqref="B2274"/>
    </sheetView>
  </sheetViews>
  <sheetFormatPr defaultRowHeight="15" customHeight="1"/>
  <cols>
    <col min="1" max="1" width="9" style="289" bestFit="1" customWidth="1"/>
    <col min="2" max="2" width="42.6640625" style="236" customWidth="1"/>
    <col min="3" max="3" width="9.44140625" style="58" bestFit="1" customWidth="1"/>
    <col min="4" max="4" width="15.33203125" style="58" bestFit="1" customWidth="1"/>
    <col min="5" max="5" width="16.88671875" style="58" bestFit="1" customWidth="1"/>
    <col min="6" max="6" width="9.109375" style="20"/>
  </cols>
  <sheetData>
    <row r="1" spans="1:6" ht="15" customHeight="1">
      <c r="B1" s="236" t="s">
        <v>80</v>
      </c>
      <c r="C1" s="218">
        <v>44348</v>
      </c>
      <c r="D1" s="58" t="s">
        <v>1707</v>
      </c>
      <c r="E1" s="290">
        <v>0.86739999999999995</v>
      </c>
    </row>
    <row r="2" spans="1:6" ht="15.75" customHeight="1" thickBot="1"/>
    <row r="3" spans="1:6" ht="33" customHeight="1" thickBot="1">
      <c r="A3" s="802" t="s">
        <v>1708</v>
      </c>
      <c r="B3" s="803"/>
      <c r="C3" s="803"/>
      <c r="D3" s="803"/>
      <c r="E3" s="803"/>
      <c r="F3" s="804"/>
    </row>
    <row r="4" spans="1:6" ht="33" customHeight="1" thickBot="1">
      <c r="A4" s="215" t="s">
        <v>185</v>
      </c>
      <c r="B4" s="237" t="s">
        <v>186</v>
      </c>
      <c r="C4" s="216" t="s">
        <v>1709</v>
      </c>
      <c r="D4" s="217" t="s">
        <v>1710</v>
      </c>
      <c r="E4" s="217" t="s">
        <v>1711</v>
      </c>
      <c r="F4" s="73" t="s">
        <v>1712</v>
      </c>
    </row>
    <row r="5" spans="1:6" ht="14.4">
      <c r="A5">
        <v>1363</v>
      </c>
      <c r="B5" t="s">
        <v>16580</v>
      </c>
      <c r="C5" t="s">
        <v>2270</v>
      </c>
      <c r="D5" t="s">
        <v>2268</v>
      </c>
      <c r="E5" s="527" t="s">
        <v>16269</v>
      </c>
      <c r="F5" s="219"/>
    </row>
    <row r="6" spans="1:6" ht="14.4">
      <c r="A6">
        <v>1344</v>
      </c>
      <c r="B6" t="s">
        <v>16581</v>
      </c>
      <c r="C6" t="s">
        <v>2269</v>
      </c>
      <c r="D6" t="s">
        <v>1857</v>
      </c>
      <c r="E6" s="527" t="s">
        <v>16455</v>
      </c>
      <c r="F6" s="220"/>
    </row>
    <row r="7" spans="1:6" ht="14.4">
      <c r="A7">
        <v>1342</v>
      </c>
      <c r="B7" t="s">
        <v>16582</v>
      </c>
      <c r="C7" t="s">
        <v>2269</v>
      </c>
      <c r="D7" t="s">
        <v>1857</v>
      </c>
      <c r="E7" s="527" t="s">
        <v>16273</v>
      </c>
      <c r="F7" s="219"/>
    </row>
    <row r="8" spans="1:6" ht="14.4">
      <c r="A8">
        <v>1349</v>
      </c>
      <c r="B8" t="s">
        <v>16583</v>
      </c>
      <c r="C8" t="s">
        <v>2269</v>
      </c>
      <c r="D8" t="s">
        <v>1857</v>
      </c>
      <c r="E8" s="527" t="s">
        <v>16584</v>
      </c>
      <c r="F8" s="220"/>
    </row>
    <row r="9" spans="1:6" ht="14.4">
      <c r="A9">
        <v>1350</v>
      </c>
      <c r="B9" t="s">
        <v>16585</v>
      </c>
      <c r="C9" t="s">
        <v>2269</v>
      </c>
      <c r="D9" t="s">
        <v>2268</v>
      </c>
      <c r="E9" s="527" t="s">
        <v>9505</v>
      </c>
      <c r="F9" s="219"/>
    </row>
    <row r="10" spans="1:6" ht="14.4">
      <c r="A10">
        <v>1359</v>
      </c>
      <c r="B10" t="s">
        <v>16586</v>
      </c>
      <c r="C10" t="s">
        <v>2269</v>
      </c>
      <c r="D10" t="s">
        <v>1857</v>
      </c>
      <c r="E10" s="527" t="s">
        <v>10667</v>
      </c>
      <c r="F10" s="220"/>
    </row>
    <row r="11" spans="1:6" ht="14.4">
      <c r="A11">
        <v>1351</v>
      </c>
      <c r="B11" t="s">
        <v>16587</v>
      </c>
      <c r="C11" t="s">
        <v>2269</v>
      </c>
      <c r="D11" t="s">
        <v>1857</v>
      </c>
      <c r="E11" s="527" t="s">
        <v>15132</v>
      </c>
      <c r="F11" s="219"/>
    </row>
    <row r="12" spans="1:6" ht="14.4">
      <c r="A12">
        <v>2418</v>
      </c>
      <c r="B12" t="s">
        <v>16588</v>
      </c>
      <c r="C12" t="s">
        <v>2269</v>
      </c>
      <c r="D12" t="s">
        <v>2268</v>
      </c>
      <c r="E12" s="527" t="s">
        <v>7271</v>
      </c>
      <c r="F12" s="220"/>
    </row>
    <row r="13" spans="1:6" ht="14.4">
      <c r="A13">
        <v>6086</v>
      </c>
      <c r="B13" t="s">
        <v>16589</v>
      </c>
      <c r="C13" t="s">
        <v>2286</v>
      </c>
      <c r="D13" t="s">
        <v>1857</v>
      </c>
      <c r="E13" s="527" t="s">
        <v>16590</v>
      </c>
      <c r="F13" s="219"/>
    </row>
    <row r="14" spans="1:6" ht="14.4">
      <c r="A14">
        <v>3378</v>
      </c>
      <c r="B14" t="s">
        <v>16591</v>
      </c>
      <c r="C14" t="s">
        <v>2269</v>
      </c>
      <c r="D14" t="s">
        <v>1857</v>
      </c>
      <c r="E14" s="527" t="s">
        <v>16592</v>
      </c>
      <c r="F14" s="220"/>
    </row>
    <row r="15" spans="1:6" ht="14.4">
      <c r="A15">
        <v>3380</v>
      </c>
      <c r="B15" t="s">
        <v>16593</v>
      </c>
      <c r="C15" t="s">
        <v>2269</v>
      </c>
      <c r="D15" t="s">
        <v>2268</v>
      </c>
      <c r="E15" s="527" t="s">
        <v>9772</v>
      </c>
      <c r="F15" s="219"/>
    </row>
    <row r="16" spans="1:6" ht="14.4">
      <c r="A16">
        <v>3379</v>
      </c>
      <c r="B16" t="s">
        <v>16594</v>
      </c>
      <c r="C16" t="s">
        <v>2269</v>
      </c>
      <c r="D16" t="s">
        <v>1857</v>
      </c>
      <c r="E16" s="527" t="s">
        <v>16595</v>
      </c>
      <c r="F16" s="220"/>
    </row>
    <row r="17" spans="1:6" ht="14.4">
      <c r="A17">
        <v>615</v>
      </c>
      <c r="B17" t="s">
        <v>16596</v>
      </c>
      <c r="C17" t="s">
        <v>2270</v>
      </c>
      <c r="D17" t="s">
        <v>2271</v>
      </c>
      <c r="E17" s="527" t="s">
        <v>16597</v>
      </c>
      <c r="F17" s="219"/>
    </row>
    <row r="18" spans="1:6" ht="14.4">
      <c r="A18">
        <v>606</v>
      </c>
      <c r="B18" t="s">
        <v>16598</v>
      </c>
      <c r="C18" t="s">
        <v>2270</v>
      </c>
      <c r="D18" t="s">
        <v>2271</v>
      </c>
      <c r="E18" s="527" t="s">
        <v>16599</v>
      </c>
      <c r="F18" s="220"/>
    </row>
    <row r="19" spans="1:6" ht="14.4">
      <c r="A19">
        <v>13382</v>
      </c>
      <c r="B19" t="s">
        <v>16600</v>
      </c>
      <c r="C19" t="s">
        <v>2269</v>
      </c>
      <c r="D19" t="s">
        <v>2271</v>
      </c>
      <c r="E19" s="527" t="s">
        <v>16601</v>
      </c>
      <c r="F19" s="219"/>
    </row>
    <row r="20" spans="1:6" ht="14.4">
      <c r="A20">
        <v>4047</v>
      </c>
      <c r="B20" t="s">
        <v>16602</v>
      </c>
      <c r="C20" t="s">
        <v>2286</v>
      </c>
      <c r="D20" t="s">
        <v>2268</v>
      </c>
      <c r="E20" s="527" t="s">
        <v>16427</v>
      </c>
      <c r="F20" s="220"/>
    </row>
    <row r="21" spans="1:6" ht="14.4">
      <c r="A21">
        <v>7344</v>
      </c>
      <c r="B21" t="s">
        <v>16603</v>
      </c>
      <c r="C21" t="s">
        <v>2286</v>
      </c>
      <c r="D21" t="s">
        <v>2268</v>
      </c>
      <c r="E21" s="527" t="s">
        <v>16445</v>
      </c>
      <c r="F21" s="219"/>
    </row>
    <row r="22" spans="1:6" ht="14.4">
      <c r="A22">
        <v>40514</v>
      </c>
      <c r="B22" t="s">
        <v>16604</v>
      </c>
      <c r="C22" t="s">
        <v>2275</v>
      </c>
      <c r="D22" t="s">
        <v>2268</v>
      </c>
      <c r="E22" s="527" t="s">
        <v>16605</v>
      </c>
      <c r="F22" s="220"/>
    </row>
    <row r="23" spans="1:6" ht="14.4">
      <c r="A23">
        <v>11199</v>
      </c>
      <c r="B23" t="s">
        <v>16606</v>
      </c>
      <c r="C23" t="s">
        <v>2269</v>
      </c>
      <c r="D23" t="s">
        <v>2271</v>
      </c>
      <c r="E23" s="527" t="s">
        <v>16607</v>
      </c>
      <c r="F23" s="219"/>
    </row>
    <row r="24" spans="1:6" ht="14.4">
      <c r="A24">
        <v>4053</v>
      </c>
      <c r="B24" t="s">
        <v>16608</v>
      </c>
      <c r="C24" t="s">
        <v>2286</v>
      </c>
      <c r="D24" t="s">
        <v>1857</v>
      </c>
      <c r="E24" s="527" t="s">
        <v>16609</v>
      </c>
      <c r="F24" s="220"/>
    </row>
    <row r="25" spans="1:6" ht="14.4">
      <c r="A25">
        <v>4056</v>
      </c>
      <c r="B25" t="s">
        <v>16610</v>
      </c>
      <c r="C25" t="s">
        <v>2286</v>
      </c>
      <c r="D25" t="s">
        <v>1857</v>
      </c>
      <c r="E25" s="527" t="s">
        <v>16611</v>
      </c>
      <c r="F25" s="219"/>
    </row>
    <row r="26" spans="1:6" ht="14.4">
      <c r="A26">
        <v>21136</v>
      </c>
      <c r="B26" t="s">
        <v>16612</v>
      </c>
      <c r="C26" t="s">
        <v>2273</v>
      </c>
      <c r="D26" t="s">
        <v>2271</v>
      </c>
      <c r="E26" s="527" t="s">
        <v>11168</v>
      </c>
      <c r="F26" s="220"/>
    </row>
    <row r="27" spans="1:6" ht="14.4">
      <c r="A27">
        <v>21128</v>
      </c>
      <c r="B27" t="s">
        <v>16613</v>
      </c>
      <c r="C27" t="s">
        <v>2273</v>
      </c>
      <c r="D27" t="s">
        <v>2271</v>
      </c>
      <c r="E27" s="527" t="s">
        <v>4802</v>
      </c>
      <c r="F27" s="219"/>
    </row>
    <row r="28" spans="1:6" ht="14.4">
      <c r="A28">
        <v>21130</v>
      </c>
      <c r="B28" t="s">
        <v>16614</v>
      </c>
      <c r="C28" t="s">
        <v>2273</v>
      </c>
      <c r="D28" t="s">
        <v>2271</v>
      </c>
      <c r="E28" s="527" t="s">
        <v>16615</v>
      </c>
      <c r="F28" s="220"/>
    </row>
    <row r="29" spans="1:6" ht="14.4">
      <c r="A29">
        <v>21135</v>
      </c>
      <c r="B29" t="s">
        <v>16616</v>
      </c>
      <c r="C29" t="s">
        <v>2273</v>
      </c>
      <c r="D29" t="s">
        <v>2271</v>
      </c>
      <c r="E29" s="527" t="s">
        <v>9778</v>
      </c>
      <c r="F29" s="219"/>
    </row>
    <row r="30" spans="1:6" ht="14.4">
      <c r="A30">
        <v>38605</v>
      </c>
      <c r="B30" t="s">
        <v>16617</v>
      </c>
      <c r="C30" t="s">
        <v>2269</v>
      </c>
      <c r="D30" t="s">
        <v>1857</v>
      </c>
      <c r="E30" s="527" t="s">
        <v>10270</v>
      </c>
      <c r="F30" s="220"/>
    </row>
    <row r="31" spans="1:6" ht="14.4">
      <c r="A31">
        <v>11270</v>
      </c>
      <c r="B31" t="s">
        <v>16618</v>
      </c>
      <c r="C31" t="s">
        <v>2269</v>
      </c>
      <c r="D31" t="s">
        <v>2271</v>
      </c>
      <c r="E31" s="527" t="s">
        <v>7924</v>
      </c>
      <c r="F31" s="219"/>
    </row>
    <row r="32" spans="1:6" ht="14.4">
      <c r="A32">
        <v>412</v>
      </c>
      <c r="B32" t="s">
        <v>16619</v>
      </c>
      <c r="C32" t="s">
        <v>2269</v>
      </c>
      <c r="D32" t="s">
        <v>1857</v>
      </c>
      <c r="E32" s="527" t="s">
        <v>4017</v>
      </c>
      <c r="F32" s="220"/>
    </row>
    <row r="33" spans="1:6" ht="14.4">
      <c r="A33">
        <v>414</v>
      </c>
      <c r="B33" t="s">
        <v>16620</v>
      </c>
      <c r="C33" t="s">
        <v>2269</v>
      </c>
      <c r="D33" t="s">
        <v>1857</v>
      </c>
      <c r="E33" s="527" t="s">
        <v>3368</v>
      </c>
      <c r="F33" s="219"/>
    </row>
    <row r="34" spans="1:6" ht="14.4">
      <c r="A34">
        <v>410</v>
      </c>
      <c r="B34" t="s">
        <v>16621</v>
      </c>
      <c r="C34" t="s">
        <v>2269</v>
      </c>
      <c r="D34" t="s">
        <v>1857</v>
      </c>
      <c r="E34" s="527" t="s">
        <v>3964</v>
      </c>
      <c r="F34" s="220"/>
    </row>
    <row r="35" spans="1:6" ht="14.4">
      <c r="A35">
        <v>411</v>
      </c>
      <c r="B35" t="s">
        <v>16622</v>
      </c>
      <c r="C35" t="s">
        <v>2269</v>
      </c>
      <c r="D35" t="s">
        <v>2268</v>
      </c>
      <c r="E35" s="527" t="s">
        <v>3469</v>
      </c>
      <c r="F35" s="219"/>
    </row>
    <row r="36" spans="1:6" ht="14.4">
      <c r="A36">
        <v>408</v>
      </c>
      <c r="B36" t="s">
        <v>16623</v>
      </c>
      <c r="C36" t="s">
        <v>2269</v>
      </c>
      <c r="D36" t="s">
        <v>1857</v>
      </c>
      <c r="E36" s="527" t="s">
        <v>3160</v>
      </c>
      <c r="F36" s="220"/>
    </row>
    <row r="37" spans="1:6" ht="14.4">
      <c r="A37">
        <v>39131</v>
      </c>
      <c r="B37" t="s">
        <v>16624</v>
      </c>
      <c r="C37" t="s">
        <v>2269</v>
      </c>
      <c r="D37" t="s">
        <v>1857</v>
      </c>
      <c r="E37" s="527" t="s">
        <v>3931</v>
      </c>
      <c r="F37" s="219"/>
    </row>
    <row r="38" spans="1:6" ht="14.4">
      <c r="A38">
        <v>394</v>
      </c>
      <c r="B38" t="s">
        <v>16625</v>
      </c>
      <c r="C38" t="s">
        <v>2269</v>
      </c>
      <c r="D38" t="s">
        <v>1857</v>
      </c>
      <c r="E38" s="527" t="s">
        <v>7234</v>
      </c>
      <c r="F38" s="220"/>
    </row>
    <row r="39" spans="1:6" ht="14.4">
      <c r="A39">
        <v>39130</v>
      </c>
      <c r="B39" t="s">
        <v>16626</v>
      </c>
      <c r="C39" t="s">
        <v>2269</v>
      </c>
      <c r="D39" t="s">
        <v>1857</v>
      </c>
      <c r="E39" s="527" t="s">
        <v>3798</v>
      </c>
      <c r="F39" s="219"/>
    </row>
    <row r="40" spans="1:6" ht="14.4">
      <c r="A40">
        <v>395</v>
      </c>
      <c r="B40" t="s">
        <v>16627</v>
      </c>
      <c r="C40" t="s">
        <v>2269</v>
      </c>
      <c r="D40" t="s">
        <v>1857</v>
      </c>
      <c r="E40" s="527" t="s">
        <v>14347</v>
      </c>
      <c r="F40" s="220"/>
    </row>
    <row r="41" spans="1:6" ht="14.4">
      <c r="A41">
        <v>39127</v>
      </c>
      <c r="B41" t="s">
        <v>16628</v>
      </c>
      <c r="C41" t="s">
        <v>2269</v>
      </c>
      <c r="D41" t="s">
        <v>1857</v>
      </c>
      <c r="E41" s="527" t="s">
        <v>7306</v>
      </c>
      <c r="F41" s="219"/>
    </row>
    <row r="42" spans="1:6" ht="14.4">
      <c r="A42">
        <v>392</v>
      </c>
      <c r="B42" t="s">
        <v>16629</v>
      </c>
      <c r="C42" t="s">
        <v>2269</v>
      </c>
      <c r="D42" t="s">
        <v>1857</v>
      </c>
      <c r="E42" s="527" t="s">
        <v>3639</v>
      </c>
      <c r="F42" s="220"/>
    </row>
    <row r="43" spans="1:6" ht="14.4">
      <c r="A43">
        <v>39129</v>
      </c>
      <c r="B43" t="s">
        <v>16630</v>
      </c>
      <c r="C43" t="s">
        <v>2269</v>
      </c>
      <c r="D43" t="s">
        <v>1857</v>
      </c>
      <c r="E43" s="527" t="s">
        <v>7924</v>
      </c>
      <c r="F43" s="219"/>
    </row>
    <row r="44" spans="1:6" ht="14.4">
      <c r="A44">
        <v>393</v>
      </c>
      <c r="B44" t="s">
        <v>16631</v>
      </c>
      <c r="C44" t="s">
        <v>2269</v>
      </c>
      <c r="D44" t="s">
        <v>2268</v>
      </c>
      <c r="E44" s="527" t="s">
        <v>3155</v>
      </c>
      <c r="F44" s="220"/>
    </row>
    <row r="45" spans="1:6" ht="14.4">
      <c r="A45">
        <v>39133</v>
      </c>
      <c r="B45" t="s">
        <v>16632</v>
      </c>
      <c r="C45" t="s">
        <v>2269</v>
      </c>
      <c r="D45" t="s">
        <v>1857</v>
      </c>
      <c r="E45" s="527" t="s">
        <v>10689</v>
      </c>
      <c r="F45" s="219"/>
    </row>
    <row r="46" spans="1:6" ht="14.4">
      <c r="A46">
        <v>397</v>
      </c>
      <c r="B46" t="s">
        <v>16633</v>
      </c>
      <c r="C46" t="s">
        <v>2269</v>
      </c>
      <c r="D46" t="s">
        <v>1857</v>
      </c>
      <c r="E46" s="527" t="s">
        <v>10066</v>
      </c>
      <c r="F46" s="220"/>
    </row>
    <row r="47" spans="1:6" ht="14.4">
      <c r="A47">
        <v>39132</v>
      </c>
      <c r="B47" t="s">
        <v>16634</v>
      </c>
      <c r="C47" t="s">
        <v>2269</v>
      </c>
      <c r="D47" t="s">
        <v>1857</v>
      </c>
      <c r="E47" s="527" t="s">
        <v>3632</v>
      </c>
      <c r="F47" s="219"/>
    </row>
    <row r="48" spans="1:6" ht="14.4">
      <c r="A48">
        <v>396</v>
      </c>
      <c r="B48" t="s">
        <v>16635</v>
      </c>
      <c r="C48" t="s">
        <v>2269</v>
      </c>
      <c r="D48" t="s">
        <v>1857</v>
      </c>
      <c r="E48" s="527" t="s">
        <v>9903</v>
      </c>
      <c r="F48" s="220"/>
    </row>
    <row r="49" spans="1:6" ht="14.4">
      <c r="A49">
        <v>39135</v>
      </c>
      <c r="B49" t="s">
        <v>16636</v>
      </c>
      <c r="C49" t="s">
        <v>2269</v>
      </c>
      <c r="D49" t="s">
        <v>1857</v>
      </c>
      <c r="E49" s="527" t="s">
        <v>16553</v>
      </c>
      <c r="F49" s="219"/>
    </row>
    <row r="50" spans="1:6" ht="14.4">
      <c r="A50">
        <v>39128</v>
      </c>
      <c r="B50" t="s">
        <v>16637</v>
      </c>
      <c r="C50" t="s">
        <v>2269</v>
      </c>
      <c r="D50" t="s">
        <v>1857</v>
      </c>
      <c r="E50" s="527" t="s">
        <v>6910</v>
      </c>
      <c r="F50" s="220"/>
    </row>
    <row r="51" spans="1:6" ht="14.4">
      <c r="A51">
        <v>400</v>
      </c>
      <c r="B51" t="s">
        <v>16638</v>
      </c>
      <c r="C51" t="s">
        <v>2269</v>
      </c>
      <c r="D51" t="s">
        <v>1857</v>
      </c>
      <c r="E51" s="527" t="s">
        <v>4111</v>
      </c>
      <c r="F51" s="219"/>
    </row>
    <row r="52" spans="1:6" ht="14.4">
      <c r="A52">
        <v>39125</v>
      </c>
      <c r="B52" t="s">
        <v>16639</v>
      </c>
      <c r="C52" t="s">
        <v>2269</v>
      </c>
      <c r="D52" t="s">
        <v>1857</v>
      </c>
      <c r="E52" s="527" t="s">
        <v>6910</v>
      </c>
      <c r="F52" s="220"/>
    </row>
    <row r="53" spans="1:6" ht="14.4">
      <c r="A53">
        <v>39134</v>
      </c>
      <c r="B53" t="s">
        <v>16640</v>
      </c>
      <c r="C53" t="s">
        <v>2269</v>
      </c>
      <c r="D53" t="s">
        <v>1857</v>
      </c>
      <c r="E53" s="527" t="s">
        <v>11447</v>
      </c>
      <c r="F53" s="219"/>
    </row>
    <row r="54" spans="1:6" ht="14.4">
      <c r="A54">
        <v>398</v>
      </c>
      <c r="B54" t="s">
        <v>16641</v>
      </c>
      <c r="C54" t="s">
        <v>2269</v>
      </c>
      <c r="D54" t="s">
        <v>1857</v>
      </c>
      <c r="E54" s="527" t="s">
        <v>4560</v>
      </c>
      <c r="F54" s="220"/>
    </row>
    <row r="55" spans="1:6" ht="14.4">
      <c r="A55">
        <v>39126</v>
      </c>
      <c r="B55" t="s">
        <v>16642</v>
      </c>
      <c r="C55" t="s">
        <v>2269</v>
      </c>
      <c r="D55" t="s">
        <v>1857</v>
      </c>
      <c r="E55" s="527" t="s">
        <v>3657</v>
      </c>
      <c r="F55" s="219"/>
    </row>
    <row r="56" spans="1:6" ht="14.4">
      <c r="A56">
        <v>399</v>
      </c>
      <c r="B56" t="s">
        <v>16643</v>
      </c>
      <c r="C56" t="s">
        <v>2269</v>
      </c>
      <c r="D56" t="s">
        <v>1857</v>
      </c>
      <c r="E56" s="527" t="s">
        <v>7310</v>
      </c>
      <c r="F56" s="220"/>
    </row>
    <row r="57" spans="1:6" ht="14.4">
      <c r="A57">
        <v>39158</v>
      </c>
      <c r="B57" t="s">
        <v>16644</v>
      </c>
      <c r="C57" t="s">
        <v>2269</v>
      </c>
      <c r="D57" t="s">
        <v>1857</v>
      </c>
      <c r="E57" s="527" t="s">
        <v>6001</v>
      </c>
      <c r="F57" s="219"/>
    </row>
    <row r="58" spans="1:6" ht="14.4">
      <c r="A58">
        <v>39141</v>
      </c>
      <c r="B58" t="s">
        <v>16645</v>
      </c>
      <c r="C58" t="s">
        <v>2269</v>
      </c>
      <c r="D58" t="s">
        <v>1857</v>
      </c>
      <c r="E58" s="527" t="s">
        <v>6909</v>
      </c>
      <c r="F58" s="220"/>
    </row>
    <row r="59" spans="1:6" ht="14.4">
      <c r="A59">
        <v>39140</v>
      </c>
      <c r="B59" t="s">
        <v>16646</v>
      </c>
      <c r="C59" t="s">
        <v>2269</v>
      </c>
      <c r="D59" t="s">
        <v>1857</v>
      </c>
      <c r="E59" s="527" t="s">
        <v>3701</v>
      </c>
      <c r="F59" s="219"/>
    </row>
    <row r="60" spans="1:6" ht="14.4">
      <c r="A60">
        <v>39137</v>
      </c>
      <c r="B60" t="s">
        <v>16647</v>
      </c>
      <c r="C60" t="s">
        <v>2269</v>
      </c>
      <c r="D60" t="s">
        <v>1857</v>
      </c>
      <c r="E60" s="527" t="s">
        <v>3009</v>
      </c>
      <c r="F60" s="220"/>
    </row>
    <row r="61" spans="1:6" ht="14.4">
      <c r="A61">
        <v>39139</v>
      </c>
      <c r="B61" t="s">
        <v>16648</v>
      </c>
      <c r="C61" t="s">
        <v>2269</v>
      </c>
      <c r="D61" t="s">
        <v>1857</v>
      </c>
      <c r="E61" s="527" t="s">
        <v>10763</v>
      </c>
      <c r="F61" s="219"/>
    </row>
    <row r="62" spans="1:6" ht="14.4">
      <c r="A62">
        <v>39143</v>
      </c>
      <c r="B62" t="s">
        <v>16649</v>
      </c>
      <c r="C62" t="s">
        <v>2269</v>
      </c>
      <c r="D62" t="s">
        <v>1857</v>
      </c>
      <c r="E62" s="527" t="s">
        <v>10415</v>
      </c>
      <c r="F62" s="220"/>
    </row>
    <row r="63" spans="1:6" ht="14.4">
      <c r="A63">
        <v>39142</v>
      </c>
      <c r="B63" t="s">
        <v>16650</v>
      </c>
      <c r="C63" t="s">
        <v>2269</v>
      </c>
      <c r="D63" t="s">
        <v>1857</v>
      </c>
      <c r="E63" s="527" t="s">
        <v>6524</v>
      </c>
      <c r="F63" s="219"/>
    </row>
    <row r="64" spans="1:6" ht="14.4">
      <c r="A64">
        <v>39138</v>
      </c>
      <c r="B64" t="s">
        <v>16651</v>
      </c>
      <c r="C64" t="s">
        <v>2269</v>
      </c>
      <c r="D64" t="s">
        <v>1857</v>
      </c>
      <c r="E64" s="527" t="s">
        <v>3630</v>
      </c>
      <c r="F64" s="220"/>
    </row>
    <row r="65" spans="1:6" ht="14.4">
      <c r="A65">
        <v>39136</v>
      </c>
      <c r="B65" t="s">
        <v>16652</v>
      </c>
      <c r="C65" t="s">
        <v>2269</v>
      </c>
      <c r="D65" t="s">
        <v>1857</v>
      </c>
      <c r="E65" s="527" t="s">
        <v>3399</v>
      </c>
      <c r="F65" s="219"/>
    </row>
    <row r="66" spans="1:6" ht="14.4">
      <c r="A66">
        <v>39144</v>
      </c>
      <c r="B66" t="s">
        <v>16653</v>
      </c>
      <c r="C66" t="s">
        <v>2269</v>
      </c>
      <c r="D66" t="s">
        <v>1857</v>
      </c>
      <c r="E66" s="527" t="s">
        <v>14347</v>
      </c>
      <c r="F66" s="220"/>
    </row>
    <row r="67" spans="1:6" ht="14.4">
      <c r="A67">
        <v>39145</v>
      </c>
      <c r="B67" t="s">
        <v>16654</v>
      </c>
      <c r="C67" t="s">
        <v>2269</v>
      </c>
      <c r="D67" t="s">
        <v>1857</v>
      </c>
      <c r="E67" s="527" t="s">
        <v>7637</v>
      </c>
      <c r="F67" s="219"/>
    </row>
    <row r="68" spans="1:6" ht="14.4">
      <c r="A68">
        <v>12615</v>
      </c>
      <c r="B68" t="s">
        <v>16655</v>
      </c>
      <c r="C68" t="s">
        <v>2269</v>
      </c>
      <c r="D68" t="s">
        <v>2271</v>
      </c>
      <c r="E68" s="527" t="s">
        <v>9784</v>
      </c>
      <c r="F68" s="220"/>
    </row>
    <row r="69" spans="1:6" ht="14.4">
      <c r="A69">
        <v>11927</v>
      </c>
      <c r="B69" t="s">
        <v>16656</v>
      </c>
      <c r="C69" t="s">
        <v>2269</v>
      </c>
      <c r="D69" t="s">
        <v>2271</v>
      </c>
      <c r="E69" s="527" t="s">
        <v>16552</v>
      </c>
      <c r="F69" s="219"/>
    </row>
    <row r="70" spans="1:6" ht="14.4">
      <c r="A70">
        <v>11928</v>
      </c>
      <c r="B70" t="s">
        <v>16657</v>
      </c>
      <c r="C70" t="s">
        <v>2269</v>
      </c>
      <c r="D70" t="s">
        <v>2271</v>
      </c>
      <c r="E70" s="527" t="s">
        <v>4676</v>
      </c>
      <c r="F70" s="220"/>
    </row>
    <row r="71" spans="1:6" ht="14.4">
      <c r="A71">
        <v>11929</v>
      </c>
      <c r="B71" t="s">
        <v>16658</v>
      </c>
      <c r="C71" t="s">
        <v>2269</v>
      </c>
      <c r="D71" t="s">
        <v>2271</v>
      </c>
      <c r="E71" s="527" t="s">
        <v>16659</v>
      </c>
      <c r="F71" s="219"/>
    </row>
    <row r="72" spans="1:6" ht="14.4">
      <c r="A72">
        <v>36801</v>
      </c>
      <c r="B72" t="s">
        <v>16660</v>
      </c>
      <c r="C72" t="s">
        <v>2269</v>
      </c>
      <c r="D72" t="s">
        <v>1857</v>
      </c>
      <c r="E72" s="527" t="s">
        <v>16138</v>
      </c>
      <c r="F72" s="220"/>
    </row>
    <row r="73" spans="1:6" ht="14.4">
      <c r="A73">
        <v>36246</v>
      </c>
      <c r="B73" t="s">
        <v>16661</v>
      </c>
      <c r="C73" t="s">
        <v>2273</v>
      </c>
      <c r="D73" t="s">
        <v>1857</v>
      </c>
      <c r="E73" s="527" t="s">
        <v>7307</v>
      </c>
      <c r="F73" s="219"/>
    </row>
    <row r="74" spans="1:6" ht="14.4">
      <c r="A74">
        <v>37600</v>
      </c>
      <c r="B74" t="s">
        <v>16662</v>
      </c>
      <c r="C74" t="s">
        <v>2269</v>
      </c>
      <c r="D74" t="s">
        <v>2271</v>
      </c>
      <c r="E74" s="527" t="s">
        <v>15133</v>
      </c>
      <c r="F74" s="220"/>
    </row>
    <row r="75" spans="1:6" ht="14.4">
      <c r="A75">
        <v>37599</v>
      </c>
      <c r="B75" t="s">
        <v>16663</v>
      </c>
      <c r="C75" t="s">
        <v>2269</v>
      </c>
      <c r="D75" t="s">
        <v>2271</v>
      </c>
      <c r="E75" s="527" t="s">
        <v>15134</v>
      </c>
      <c r="F75" s="219"/>
    </row>
    <row r="76" spans="1:6" ht="14.4">
      <c r="A76">
        <v>1</v>
      </c>
      <c r="B76" t="s">
        <v>16664</v>
      </c>
      <c r="C76" t="s">
        <v>2274</v>
      </c>
      <c r="D76" t="s">
        <v>2268</v>
      </c>
      <c r="E76" s="527" t="s">
        <v>15474</v>
      </c>
      <c r="F76" s="220"/>
    </row>
    <row r="77" spans="1:6" ht="14.4">
      <c r="A77">
        <v>3</v>
      </c>
      <c r="B77" t="s">
        <v>16665</v>
      </c>
      <c r="C77" t="s">
        <v>2275</v>
      </c>
      <c r="D77" t="s">
        <v>1857</v>
      </c>
      <c r="E77" s="527" t="s">
        <v>5162</v>
      </c>
      <c r="F77" s="219"/>
    </row>
    <row r="78" spans="1:6" ht="14.4">
      <c r="A78">
        <v>43054</v>
      </c>
      <c r="B78" t="s">
        <v>16666</v>
      </c>
      <c r="C78" t="s">
        <v>2274</v>
      </c>
      <c r="D78" t="s">
        <v>1857</v>
      </c>
      <c r="E78" s="527" t="s">
        <v>3185</v>
      </c>
      <c r="F78" s="220"/>
    </row>
    <row r="79" spans="1:6" ht="14.4">
      <c r="A79">
        <v>42402</v>
      </c>
      <c r="B79" t="s">
        <v>16667</v>
      </c>
      <c r="C79" t="s">
        <v>2274</v>
      </c>
      <c r="D79" t="s">
        <v>1857</v>
      </c>
      <c r="E79" s="527" t="s">
        <v>10385</v>
      </c>
      <c r="F79" s="219"/>
    </row>
    <row r="80" spans="1:6" ht="14.4">
      <c r="A80">
        <v>42403</v>
      </c>
      <c r="B80" t="s">
        <v>16668</v>
      </c>
      <c r="C80" t="s">
        <v>2274</v>
      </c>
      <c r="D80" t="s">
        <v>1857</v>
      </c>
      <c r="E80" s="527" t="s">
        <v>4306</v>
      </c>
      <c r="F80" s="220"/>
    </row>
    <row r="81" spans="1:6" ht="14.4">
      <c r="A81">
        <v>42404</v>
      </c>
      <c r="B81" t="s">
        <v>16669</v>
      </c>
      <c r="C81" t="s">
        <v>2274</v>
      </c>
      <c r="D81" t="s">
        <v>1857</v>
      </c>
      <c r="E81" s="527" t="s">
        <v>4501</v>
      </c>
      <c r="F81" s="219"/>
    </row>
    <row r="82" spans="1:6" ht="14.4">
      <c r="A82">
        <v>42405</v>
      </c>
      <c r="B82" t="s">
        <v>16670</v>
      </c>
      <c r="C82" t="s">
        <v>2274</v>
      </c>
      <c r="D82" t="s">
        <v>1857</v>
      </c>
      <c r="E82" s="527" t="s">
        <v>15487</v>
      </c>
      <c r="F82" s="220"/>
    </row>
    <row r="83" spans="1:6" ht="14.4">
      <c r="A83">
        <v>34341</v>
      </c>
      <c r="B83" t="s">
        <v>16671</v>
      </c>
      <c r="C83" t="s">
        <v>2274</v>
      </c>
      <c r="D83" t="s">
        <v>1857</v>
      </c>
      <c r="E83" s="527" t="s">
        <v>10044</v>
      </c>
      <c r="F83" s="219"/>
    </row>
    <row r="84" spans="1:6" ht="14.4">
      <c r="A84">
        <v>43053</v>
      </c>
      <c r="B84" t="s">
        <v>16672</v>
      </c>
      <c r="C84" t="s">
        <v>2274</v>
      </c>
      <c r="D84" t="s">
        <v>1857</v>
      </c>
      <c r="E84" s="527" t="s">
        <v>9971</v>
      </c>
      <c r="F84" s="220"/>
    </row>
    <row r="85" spans="1:6" ht="14.4">
      <c r="A85">
        <v>43058</v>
      </c>
      <c r="B85" t="s">
        <v>16673</v>
      </c>
      <c r="C85" t="s">
        <v>2274</v>
      </c>
      <c r="D85" t="s">
        <v>1857</v>
      </c>
      <c r="E85" s="527" t="s">
        <v>10759</v>
      </c>
      <c r="F85" s="219"/>
    </row>
    <row r="86" spans="1:6" ht="14.4">
      <c r="A86">
        <v>34</v>
      </c>
      <c r="B86" t="s">
        <v>16674</v>
      </c>
      <c r="C86" t="s">
        <v>2274</v>
      </c>
      <c r="D86" t="s">
        <v>1857</v>
      </c>
      <c r="E86" s="527" t="s">
        <v>3847</v>
      </c>
      <c r="F86" s="220"/>
    </row>
    <row r="87" spans="1:6" ht="14.4">
      <c r="A87">
        <v>43055</v>
      </c>
      <c r="B87" t="s">
        <v>16675</v>
      </c>
      <c r="C87" t="s">
        <v>2274</v>
      </c>
      <c r="D87" t="s">
        <v>2268</v>
      </c>
      <c r="E87" s="527" t="s">
        <v>16676</v>
      </c>
      <c r="F87" s="219"/>
    </row>
    <row r="88" spans="1:6" ht="14.4">
      <c r="A88">
        <v>43056</v>
      </c>
      <c r="B88" t="s">
        <v>16677</v>
      </c>
      <c r="C88" t="s">
        <v>2274</v>
      </c>
      <c r="D88" t="s">
        <v>1857</v>
      </c>
      <c r="E88" s="527" t="s">
        <v>16678</v>
      </c>
      <c r="F88" s="220"/>
    </row>
    <row r="89" spans="1:6" ht="14.4">
      <c r="A89">
        <v>43057</v>
      </c>
      <c r="B89" t="s">
        <v>16679</v>
      </c>
      <c r="C89" t="s">
        <v>2274</v>
      </c>
      <c r="D89" t="s">
        <v>1857</v>
      </c>
      <c r="E89" s="527" t="s">
        <v>4092</v>
      </c>
      <c r="F89" s="219"/>
    </row>
    <row r="90" spans="1:6" ht="14.4">
      <c r="A90">
        <v>34449</v>
      </c>
      <c r="B90" t="s">
        <v>16680</v>
      </c>
      <c r="C90" t="s">
        <v>2274</v>
      </c>
      <c r="D90" t="s">
        <v>1857</v>
      </c>
      <c r="E90" s="527" t="s">
        <v>10149</v>
      </c>
      <c r="F90" s="220"/>
    </row>
    <row r="91" spans="1:6" ht="14.4">
      <c r="A91">
        <v>32</v>
      </c>
      <c r="B91" t="s">
        <v>16681</v>
      </c>
      <c r="C91" t="s">
        <v>2274</v>
      </c>
      <c r="D91" t="s">
        <v>1857</v>
      </c>
      <c r="E91" s="527" t="s">
        <v>16174</v>
      </c>
      <c r="F91" s="219"/>
    </row>
    <row r="92" spans="1:6" ht="14.4">
      <c r="A92">
        <v>33</v>
      </c>
      <c r="B92" t="s">
        <v>16682</v>
      </c>
      <c r="C92" t="s">
        <v>2274</v>
      </c>
      <c r="D92" t="s">
        <v>1857</v>
      </c>
      <c r="E92" s="527" t="s">
        <v>11168</v>
      </c>
      <c r="F92" s="220"/>
    </row>
    <row r="93" spans="1:6" ht="14.4">
      <c r="A93">
        <v>43061</v>
      </c>
      <c r="B93" t="s">
        <v>16683</v>
      </c>
      <c r="C93" t="s">
        <v>2274</v>
      </c>
      <c r="D93" t="s">
        <v>1857</v>
      </c>
      <c r="E93" s="527" t="s">
        <v>4848</v>
      </c>
      <c r="F93" s="219"/>
    </row>
    <row r="94" spans="1:6" ht="14.4">
      <c r="A94">
        <v>43059</v>
      </c>
      <c r="B94" t="s">
        <v>16684</v>
      </c>
      <c r="C94" t="s">
        <v>2274</v>
      </c>
      <c r="D94" t="s">
        <v>1857</v>
      </c>
      <c r="E94" s="527" t="s">
        <v>10679</v>
      </c>
      <c r="F94" s="220"/>
    </row>
    <row r="95" spans="1:6" ht="14.4">
      <c r="A95">
        <v>43062</v>
      </c>
      <c r="B95" t="s">
        <v>16685</v>
      </c>
      <c r="C95" t="s">
        <v>2274</v>
      </c>
      <c r="D95" t="s">
        <v>1857</v>
      </c>
      <c r="E95" s="527" t="s">
        <v>7484</v>
      </c>
      <c r="F95" s="219"/>
    </row>
    <row r="96" spans="1:6" ht="14.4">
      <c r="A96">
        <v>43060</v>
      </c>
      <c r="B96" t="s">
        <v>16686</v>
      </c>
      <c r="C96" t="s">
        <v>2274</v>
      </c>
      <c r="D96" t="s">
        <v>1857</v>
      </c>
      <c r="E96" s="527" t="s">
        <v>5968</v>
      </c>
      <c r="F96" s="220"/>
    </row>
    <row r="97" spans="1:6" ht="14.4">
      <c r="A97">
        <v>20063</v>
      </c>
      <c r="B97" t="s">
        <v>16687</v>
      </c>
      <c r="C97" t="s">
        <v>2269</v>
      </c>
      <c r="D97" t="s">
        <v>2271</v>
      </c>
      <c r="E97" s="527" t="s">
        <v>4665</v>
      </c>
      <c r="F97" s="219"/>
    </row>
    <row r="98" spans="1:6" ht="14.4">
      <c r="A98">
        <v>40410</v>
      </c>
      <c r="B98" t="s">
        <v>16688</v>
      </c>
      <c r="C98" t="s">
        <v>2269</v>
      </c>
      <c r="D98" t="s">
        <v>2271</v>
      </c>
      <c r="E98" s="527" t="s">
        <v>10293</v>
      </c>
      <c r="F98" s="220"/>
    </row>
    <row r="99" spans="1:6" ht="14.4">
      <c r="A99">
        <v>40411</v>
      </c>
      <c r="B99" t="s">
        <v>16689</v>
      </c>
      <c r="C99" t="s">
        <v>2269</v>
      </c>
      <c r="D99" t="s">
        <v>2271</v>
      </c>
      <c r="E99" s="527" t="s">
        <v>11615</v>
      </c>
      <c r="F99" s="219"/>
    </row>
    <row r="100" spans="1:6" ht="14.4">
      <c r="A100">
        <v>40412</v>
      </c>
      <c r="B100" t="s">
        <v>16690</v>
      </c>
      <c r="C100" t="s">
        <v>2269</v>
      </c>
      <c r="D100" t="s">
        <v>2271</v>
      </c>
      <c r="E100" s="527" t="s">
        <v>10159</v>
      </c>
      <c r="F100" s="220"/>
    </row>
    <row r="101" spans="1:6" ht="14.4">
      <c r="A101">
        <v>38838</v>
      </c>
      <c r="B101" t="s">
        <v>16691</v>
      </c>
      <c r="C101" t="s">
        <v>2269</v>
      </c>
      <c r="D101" t="s">
        <v>2271</v>
      </c>
      <c r="E101" s="527" t="s">
        <v>3847</v>
      </c>
      <c r="F101" s="219"/>
    </row>
    <row r="102" spans="1:6" ht="14.4">
      <c r="A102">
        <v>38839</v>
      </c>
      <c r="B102" t="s">
        <v>16692</v>
      </c>
      <c r="C102" t="s">
        <v>2269</v>
      </c>
      <c r="D102" t="s">
        <v>2271</v>
      </c>
      <c r="E102" s="527" t="s">
        <v>4103</v>
      </c>
      <c r="F102" s="220"/>
    </row>
    <row r="103" spans="1:6" ht="14.4">
      <c r="A103">
        <v>55</v>
      </c>
      <c r="B103" t="s">
        <v>16693</v>
      </c>
      <c r="C103" t="s">
        <v>2269</v>
      </c>
      <c r="D103" t="s">
        <v>2271</v>
      </c>
      <c r="E103" s="527" t="s">
        <v>5472</v>
      </c>
      <c r="F103" s="219"/>
    </row>
    <row r="104" spans="1:6" ht="14.4">
      <c r="A104">
        <v>61</v>
      </c>
      <c r="B104" t="s">
        <v>16694</v>
      </c>
      <c r="C104" t="s">
        <v>2269</v>
      </c>
      <c r="D104" t="s">
        <v>2271</v>
      </c>
      <c r="E104" s="527" t="s">
        <v>2972</v>
      </c>
      <c r="F104" s="220"/>
    </row>
    <row r="105" spans="1:6" ht="14.4">
      <c r="A105">
        <v>62</v>
      </c>
      <c r="B105" t="s">
        <v>16695</v>
      </c>
      <c r="C105" t="s">
        <v>2269</v>
      </c>
      <c r="D105" t="s">
        <v>2271</v>
      </c>
      <c r="E105" s="527" t="s">
        <v>7951</v>
      </c>
      <c r="F105" s="219"/>
    </row>
    <row r="106" spans="1:6" ht="14.4">
      <c r="A106">
        <v>77</v>
      </c>
      <c r="B106" t="s">
        <v>16696</v>
      </c>
      <c r="C106" t="s">
        <v>2269</v>
      </c>
      <c r="D106" t="s">
        <v>1857</v>
      </c>
      <c r="E106" s="527" t="s">
        <v>4153</v>
      </c>
      <c r="F106" s="220"/>
    </row>
    <row r="107" spans="1:6" ht="14.4">
      <c r="A107">
        <v>76</v>
      </c>
      <c r="B107" t="s">
        <v>16697</v>
      </c>
      <c r="C107" t="s">
        <v>2269</v>
      </c>
      <c r="D107" t="s">
        <v>1857</v>
      </c>
      <c r="E107" s="527" t="s">
        <v>3719</v>
      </c>
      <c r="F107" s="219"/>
    </row>
    <row r="108" spans="1:6" ht="14.4">
      <c r="A108">
        <v>67</v>
      </c>
      <c r="B108" t="s">
        <v>16698</v>
      </c>
      <c r="C108" t="s">
        <v>2269</v>
      </c>
      <c r="D108" t="s">
        <v>1857</v>
      </c>
      <c r="E108" s="527" t="s">
        <v>3430</v>
      </c>
      <c r="F108" s="220"/>
    </row>
    <row r="109" spans="1:6" ht="14.4">
      <c r="A109">
        <v>71</v>
      </c>
      <c r="B109" t="s">
        <v>16699</v>
      </c>
      <c r="C109" t="s">
        <v>2269</v>
      </c>
      <c r="D109" t="s">
        <v>1857</v>
      </c>
      <c r="E109" s="527" t="s">
        <v>16700</v>
      </c>
      <c r="F109" s="219"/>
    </row>
    <row r="110" spans="1:6" ht="14.4">
      <c r="A110">
        <v>73</v>
      </c>
      <c r="B110" t="s">
        <v>16701</v>
      </c>
      <c r="C110" t="s">
        <v>2269</v>
      </c>
      <c r="D110" t="s">
        <v>1857</v>
      </c>
      <c r="E110" s="527" t="s">
        <v>9778</v>
      </c>
      <c r="F110" s="220"/>
    </row>
    <row r="111" spans="1:6" ht="14.4">
      <c r="A111">
        <v>103</v>
      </c>
      <c r="B111" t="s">
        <v>16702</v>
      </c>
      <c r="C111" t="s">
        <v>2269</v>
      </c>
      <c r="D111" t="s">
        <v>1857</v>
      </c>
      <c r="E111" s="527" t="s">
        <v>16703</v>
      </c>
      <c r="F111" s="219"/>
    </row>
    <row r="112" spans="1:6" ht="14.4">
      <c r="A112">
        <v>107</v>
      </c>
      <c r="B112" t="s">
        <v>16704</v>
      </c>
      <c r="C112" t="s">
        <v>2269</v>
      </c>
      <c r="D112" t="s">
        <v>1857</v>
      </c>
      <c r="E112" s="527" t="s">
        <v>7335</v>
      </c>
      <c r="F112" s="220"/>
    </row>
    <row r="113" spans="1:6" ht="14.4">
      <c r="A113">
        <v>65</v>
      </c>
      <c r="B113" t="s">
        <v>16705</v>
      </c>
      <c r="C113" t="s">
        <v>2269</v>
      </c>
      <c r="D113" t="s">
        <v>1857</v>
      </c>
      <c r="E113" s="527" t="s">
        <v>6413</v>
      </c>
      <c r="F113" s="219"/>
    </row>
    <row r="114" spans="1:6" ht="14.4">
      <c r="A114">
        <v>108</v>
      </c>
      <c r="B114" t="s">
        <v>16706</v>
      </c>
      <c r="C114" t="s">
        <v>2269</v>
      </c>
      <c r="D114" t="s">
        <v>1857</v>
      </c>
      <c r="E114" s="527" t="s">
        <v>3007</v>
      </c>
      <c r="F114" s="220"/>
    </row>
    <row r="115" spans="1:6" ht="14.4">
      <c r="A115">
        <v>110</v>
      </c>
      <c r="B115" t="s">
        <v>16707</v>
      </c>
      <c r="C115" t="s">
        <v>2269</v>
      </c>
      <c r="D115" t="s">
        <v>1857</v>
      </c>
      <c r="E115" s="527" t="s">
        <v>16442</v>
      </c>
      <c r="F115" s="219"/>
    </row>
    <row r="116" spans="1:6" ht="14.4">
      <c r="A116">
        <v>109</v>
      </c>
      <c r="B116" t="s">
        <v>16708</v>
      </c>
      <c r="C116" t="s">
        <v>2269</v>
      </c>
      <c r="D116" t="s">
        <v>1857</v>
      </c>
      <c r="E116" s="527" t="s">
        <v>4549</v>
      </c>
      <c r="F116" s="220"/>
    </row>
    <row r="117" spans="1:6" ht="14.4">
      <c r="A117">
        <v>111</v>
      </c>
      <c r="B117" t="s">
        <v>16709</v>
      </c>
      <c r="C117" t="s">
        <v>2269</v>
      </c>
      <c r="D117" t="s">
        <v>1857</v>
      </c>
      <c r="E117" s="527" t="s">
        <v>9780</v>
      </c>
      <c r="F117" s="219"/>
    </row>
    <row r="118" spans="1:6" ht="14.4">
      <c r="A118">
        <v>112</v>
      </c>
      <c r="B118" t="s">
        <v>16710</v>
      </c>
      <c r="C118" t="s">
        <v>2269</v>
      </c>
      <c r="D118" t="s">
        <v>1857</v>
      </c>
      <c r="E118" s="527" t="s">
        <v>7310</v>
      </c>
      <c r="F118" s="220"/>
    </row>
    <row r="119" spans="1:6" ht="14.4">
      <c r="A119">
        <v>113</v>
      </c>
      <c r="B119" t="s">
        <v>16711</v>
      </c>
      <c r="C119" t="s">
        <v>2269</v>
      </c>
      <c r="D119" t="s">
        <v>1857</v>
      </c>
      <c r="E119" s="527" t="s">
        <v>16148</v>
      </c>
      <c r="F119" s="219"/>
    </row>
    <row r="120" spans="1:6" ht="14.4">
      <c r="A120">
        <v>104</v>
      </c>
      <c r="B120" t="s">
        <v>16712</v>
      </c>
      <c r="C120" t="s">
        <v>2269</v>
      </c>
      <c r="D120" t="s">
        <v>1857</v>
      </c>
      <c r="E120" s="527" t="s">
        <v>9986</v>
      </c>
      <c r="F120" s="220"/>
    </row>
    <row r="121" spans="1:6" ht="14.4">
      <c r="A121">
        <v>102</v>
      </c>
      <c r="B121" t="s">
        <v>16713</v>
      </c>
      <c r="C121" t="s">
        <v>2269</v>
      </c>
      <c r="D121" t="s">
        <v>1857</v>
      </c>
      <c r="E121" s="527" t="s">
        <v>16714</v>
      </c>
      <c r="F121" s="219"/>
    </row>
    <row r="122" spans="1:6" ht="14.4">
      <c r="A122">
        <v>95</v>
      </c>
      <c r="B122" t="s">
        <v>16715</v>
      </c>
      <c r="C122" t="s">
        <v>2269</v>
      </c>
      <c r="D122" t="s">
        <v>1857</v>
      </c>
      <c r="E122" s="527" t="s">
        <v>9985</v>
      </c>
      <c r="F122" s="220"/>
    </row>
    <row r="123" spans="1:6" ht="14.4">
      <c r="A123">
        <v>96</v>
      </c>
      <c r="B123" t="s">
        <v>16716</v>
      </c>
      <c r="C123" t="s">
        <v>2269</v>
      </c>
      <c r="D123" t="s">
        <v>1857</v>
      </c>
      <c r="E123" s="527" t="s">
        <v>7044</v>
      </c>
      <c r="F123" s="219"/>
    </row>
    <row r="124" spans="1:6" ht="14.4">
      <c r="A124">
        <v>97</v>
      </c>
      <c r="B124" t="s">
        <v>16717</v>
      </c>
      <c r="C124" t="s">
        <v>2269</v>
      </c>
      <c r="D124" t="s">
        <v>1857</v>
      </c>
      <c r="E124" s="527" t="s">
        <v>9993</v>
      </c>
      <c r="F124" s="220"/>
    </row>
    <row r="125" spans="1:6" ht="14.4">
      <c r="A125">
        <v>98</v>
      </c>
      <c r="B125" t="s">
        <v>16718</v>
      </c>
      <c r="C125" t="s">
        <v>2269</v>
      </c>
      <c r="D125" t="s">
        <v>1857</v>
      </c>
      <c r="E125" s="527" t="s">
        <v>10491</v>
      </c>
      <c r="F125" s="219"/>
    </row>
    <row r="126" spans="1:6" ht="14.4">
      <c r="A126">
        <v>99</v>
      </c>
      <c r="B126" t="s">
        <v>16719</v>
      </c>
      <c r="C126" t="s">
        <v>2269</v>
      </c>
      <c r="D126" t="s">
        <v>1857</v>
      </c>
      <c r="E126" s="527" t="s">
        <v>10728</v>
      </c>
      <c r="F126" s="220"/>
    </row>
    <row r="127" spans="1:6" ht="14.4">
      <c r="A127">
        <v>100</v>
      </c>
      <c r="B127" t="s">
        <v>16720</v>
      </c>
      <c r="C127" t="s">
        <v>2269</v>
      </c>
      <c r="D127" t="s">
        <v>1857</v>
      </c>
      <c r="E127" s="527" t="s">
        <v>10285</v>
      </c>
      <c r="F127" s="219"/>
    </row>
    <row r="128" spans="1:6" ht="28.8">
      <c r="A128">
        <v>75</v>
      </c>
      <c r="B128" s="56" t="s">
        <v>16721</v>
      </c>
      <c r="C128" t="s">
        <v>2269</v>
      </c>
      <c r="D128" t="s">
        <v>1857</v>
      </c>
      <c r="E128" s="527" t="s">
        <v>16722</v>
      </c>
      <c r="F128" s="220"/>
    </row>
    <row r="129" spans="1:6" ht="14.4">
      <c r="A129">
        <v>114</v>
      </c>
      <c r="B129" t="s">
        <v>16723</v>
      </c>
      <c r="C129" t="s">
        <v>2269</v>
      </c>
      <c r="D129" t="s">
        <v>1857</v>
      </c>
      <c r="E129" s="527" t="s">
        <v>16724</v>
      </c>
      <c r="F129" s="219"/>
    </row>
    <row r="130" spans="1:6" ht="14.4">
      <c r="A130">
        <v>68</v>
      </c>
      <c r="B130" t="s">
        <v>16725</v>
      </c>
      <c r="C130" t="s">
        <v>2269</v>
      </c>
      <c r="D130" t="s">
        <v>1857</v>
      </c>
      <c r="E130" s="527" t="s">
        <v>10294</v>
      </c>
      <c r="F130" s="220"/>
    </row>
    <row r="131" spans="1:6" ht="14.4">
      <c r="A131">
        <v>86</v>
      </c>
      <c r="B131" t="s">
        <v>16726</v>
      </c>
      <c r="C131" t="s">
        <v>2269</v>
      </c>
      <c r="D131" t="s">
        <v>1857</v>
      </c>
      <c r="E131" s="527" t="s">
        <v>15513</v>
      </c>
      <c r="F131" s="219"/>
    </row>
    <row r="132" spans="1:6" ht="14.4">
      <c r="A132">
        <v>66</v>
      </c>
      <c r="B132" t="s">
        <v>16727</v>
      </c>
      <c r="C132" t="s">
        <v>2269</v>
      </c>
      <c r="D132" t="s">
        <v>1857</v>
      </c>
      <c r="E132" s="527" t="s">
        <v>11988</v>
      </c>
      <c r="F132" s="220"/>
    </row>
    <row r="133" spans="1:6" ht="14.4">
      <c r="A133">
        <v>69</v>
      </c>
      <c r="B133" t="s">
        <v>16728</v>
      </c>
      <c r="C133" t="s">
        <v>2269</v>
      </c>
      <c r="D133" t="s">
        <v>1857</v>
      </c>
      <c r="E133" s="527" t="s">
        <v>16729</v>
      </c>
      <c r="F133" s="219"/>
    </row>
    <row r="134" spans="1:6" ht="14.4">
      <c r="A134">
        <v>83</v>
      </c>
      <c r="B134" t="s">
        <v>16730</v>
      </c>
      <c r="C134" t="s">
        <v>2269</v>
      </c>
      <c r="D134" t="s">
        <v>1857</v>
      </c>
      <c r="E134" s="527" t="s">
        <v>15142</v>
      </c>
      <c r="F134" s="220"/>
    </row>
    <row r="135" spans="1:6" ht="14.4">
      <c r="A135">
        <v>74</v>
      </c>
      <c r="B135" t="s">
        <v>16731</v>
      </c>
      <c r="C135" t="s">
        <v>2269</v>
      </c>
      <c r="D135" t="s">
        <v>1857</v>
      </c>
      <c r="E135" s="527" t="s">
        <v>16732</v>
      </c>
      <c r="F135" s="219"/>
    </row>
    <row r="136" spans="1:6" ht="14.4">
      <c r="A136">
        <v>106</v>
      </c>
      <c r="B136" t="s">
        <v>16733</v>
      </c>
      <c r="C136" t="s">
        <v>2269</v>
      </c>
      <c r="D136" t="s">
        <v>1857</v>
      </c>
      <c r="E136" s="527" t="s">
        <v>16734</v>
      </c>
      <c r="F136" s="220"/>
    </row>
    <row r="137" spans="1:6" ht="14.4">
      <c r="A137">
        <v>87</v>
      </c>
      <c r="B137" t="s">
        <v>16735</v>
      </c>
      <c r="C137" t="s">
        <v>2269</v>
      </c>
      <c r="D137" t="s">
        <v>1857</v>
      </c>
      <c r="E137" s="527" t="s">
        <v>16736</v>
      </c>
      <c r="F137" s="219"/>
    </row>
    <row r="138" spans="1:6" ht="14.4">
      <c r="A138">
        <v>88</v>
      </c>
      <c r="B138" t="s">
        <v>16737</v>
      </c>
      <c r="C138" t="s">
        <v>2269</v>
      </c>
      <c r="D138" t="s">
        <v>1857</v>
      </c>
      <c r="E138" s="527" t="s">
        <v>10296</v>
      </c>
      <c r="F138" s="220"/>
    </row>
    <row r="139" spans="1:6" ht="14.4">
      <c r="A139">
        <v>89</v>
      </c>
      <c r="B139" t="s">
        <v>16738</v>
      </c>
      <c r="C139" t="s">
        <v>2269</v>
      </c>
      <c r="D139" t="s">
        <v>1857</v>
      </c>
      <c r="E139" s="527" t="s">
        <v>10715</v>
      </c>
      <c r="F139" s="219"/>
    </row>
    <row r="140" spans="1:6" ht="14.4">
      <c r="A140">
        <v>90</v>
      </c>
      <c r="B140" t="s">
        <v>16739</v>
      </c>
      <c r="C140" t="s">
        <v>2269</v>
      </c>
      <c r="D140" t="s">
        <v>1857</v>
      </c>
      <c r="E140" s="527" t="s">
        <v>16740</v>
      </c>
      <c r="F140" s="220"/>
    </row>
    <row r="141" spans="1:6" ht="14.4">
      <c r="A141">
        <v>81</v>
      </c>
      <c r="B141" t="s">
        <v>16741</v>
      </c>
      <c r="C141" t="s">
        <v>2269</v>
      </c>
      <c r="D141" t="s">
        <v>1857</v>
      </c>
      <c r="E141" s="527" t="s">
        <v>16742</v>
      </c>
      <c r="F141" s="219"/>
    </row>
    <row r="142" spans="1:6" ht="14.4">
      <c r="A142">
        <v>82</v>
      </c>
      <c r="B142" t="s">
        <v>16743</v>
      </c>
      <c r="C142" t="s">
        <v>2269</v>
      </c>
      <c r="D142" t="s">
        <v>1857</v>
      </c>
      <c r="E142" s="527" t="s">
        <v>16744</v>
      </c>
      <c r="F142" s="220"/>
    </row>
    <row r="143" spans="1:6" ht="14.4">
      <c r="A143">
        <v>105</v>
      </c>
      <c r="B143" t="s">
        <v>16745</v>
      </c>
      <c r="C143" t="s">
        <v>2269</v>
      </c>
      <c r="D143" t="s">
        <v>1857</v>
      </c>
      <c r="E143" s="527" t="s">
        <v>16746</v>
      </c>
      <c r="F143" s="219"/>
    </row>
    <row r="144" spans="1:6" ht="14.4">
      <c r="A144">
        <v>60</v>
      </c>
      <c r="B144" t="s">
        <v>16747</v>
      </c>
      <c r="C144" t="s">
        <v>2269</v>
      </c>
      <c r="D144" t="s">
        <v>2271</v>
      </c>
      <c r="E144" s="527" t="s">
        <v>10061</v>
      </c>
      <c r="F144" s="220"/>
    </row>
    <row r="145" spans="1:6" ht="14.4">
      <c r="A145">
        <v>72</v>
      </c>
      <c r="B145" t="s">
        <v>16748</v>
      </c>
      <c r="C145" t="s">
        <v>2269</v>
      </c>
      <c r="D145" t="s">
        <v>1857</v>
      </c>
      <c r="E145" s="527" t="s">
        <v>16749</v>
      </c>
      <c r="F145" s="219"/>
    </row>
    <row r="146" spans="1:6" ht="14.4">
      <c r="A146">
        <v>70</v>
      </c>
      <c r="B146" t="s">
        <v>16750</v>
      </c>
      <c r="C146" t="s">
        <v>2269</v>
      </c>
      <c r="D146" t="s">
        <v>1857</v>
      </c>
      <c r="E146" s="527" t="s">
        <v>13156</v>
      </c>
      <c r="F146" s="220"/>
    </row>
    <row r="147" spans="1:6" ht="14.4">
      <c r="A147">
        <v>85</v>
      </c>
      <c r="B147" t="s">
        <v>16751</v>
      </c>
      <c r="C147" t="s">
        <v>2269</v>
      </c>
      <c r="D147" t="s">
        <v>1857</v>
      </c>
      <c r="E147" s="527" t="s">
        <v>16752</v>
      </c>
      <c r="F147" s="219"/>
    </row>
    <row r="148" spans="1:6" ht="14.4">
      <c r="A148">
        <v>84</v>
      </c>
      <c r="B148" t="s">
        <v>16753</v>
      </c>
      <c r="C148" t="s">
        <v>2269</v>
      </c>
      <c r="D148" t="s">
        <v>1857</v>
      </c>
      <c r="E148" s="527" t="s">
        <v>7277</v>
      </c>
      <c r="F148" s="220"/>
    </row>
    <row r="149" spans="1:6" ht="14.4">
      <c r="A149">
        <v>37997</v>
      </c>
      <c r="B149" t="s">
        <v>16754</v>
      </c>
      <c r="C149" t="s">
        <v>2269</v>
      </c>
      <c r="D149" t="s">
        <v>1857</v>
      </c>
      <c r="E149" s="527" t="s">
        <v>11416</v>
      </c>
      <c r="F149" s="219"/>
    </row>
    <row r="150" spans="1:6" ht="14.4">
      <c r="A150">
        <v>37998</v>
      </c>
      <c r="B150" t="s">
        <v>16755</v>
      </c>
      <c r="C150" t="s">
        <v>2269</v>
      </c>
      <c r="D150" t="s">
        <v>1857</v>
      </c>
      <c r="E150" s="527" t="s">
        <v>16756</v>
      </c>
      <c r="F150" s="220"/>
    </row>
    <row r="151" spans="1:6" ht="14.4">
      <c r="A151">
        <v>10899</v>
      </c>
      <c r="B151" t="s">
        <v>16757</v>
      </c>
      <c r="C151" t="s">
        <v>2269</v>
      </c>
      <c r="D151" t="s">
        <v>1857</v>
      </c>
      <c r="E151" s="527" t="s">
        <v>16758</v>
      </c>
      <c r="F151" s="219"/>
    </row>
    <row r="152" spans="1:6" ht="14.4">
      <c r="A152">
        <v>10900</v>
      </c>
      <c r="B152" t="s">
        <v>16759</v>
      </c>
      <c r="C152" t="s">
        <v>2269</v>
      </c>
      <c r="D152" t="s">
        <v>1857</v>
      </c>
      <c r="E152" s="527" t="s">
        <v>16760</v>
      </c>
      <c r="F152" s="220"/>
    </row>
    <row r="153" spans="1:6" ht="14.4">
      <c r="A153">
        <v>46</v>
      </c>
      <c r="B153" t="s">
        <v>16761</v>
      </c>
      <c r="C153" t="s">
        <v>2269</v>
      </c>
      <c r="D153" t="s">
        <v>2271</v>
      </c>
      <c r="E153" s="527" t="s">
        <v>15529</v>
      </c>
      <c r="F153" s="219"/>
    </row>
    <row r="154" spans="1:6" ht="14.4">
      <c r="A154">
        <v>51</v>
      </c>
      <c r="B154" t="s">
        <v>16762</v>
      </c>
      <c r="C154" t="s">
        <v>2269</v>
      </c>
      <c r="D154" t="s">
        <v>2271</v>
      </c>
      <c r="E154" s="527" t="s">
        <v>16763</v>
      </c>
      <c r="F154" s="220"/>
    </row>
    <row r="155" spans="1:6" ht="14.4">
      <c r="A155">
        <v>12863</v>
      </c>
      <c r="B155" t="s">
        <v>16764</v>
      </c>
      <c r="C155" t="s">
        <v>2269</v>
      </c>
      <c r="D155" t="s">
        <v>2271</v>
      </c>
      <c r="E155" s="527" t="s">
        <v>16765</v>
      </c>
      <c r="F155" s="219"/>
    </row>
    <row r="156" spans="1:6" ht="14.4">
      <c r="A156">
        <v>50</v>
      </c>
      <c r="B156" t="s">
        <v>16766</v>
      </c>
      <c r="C156" t="s">
        <v>2269</v>
      </c>
      <c r="D156" t="s">
        <v>2271</v>
      </c>
      <c r="E156" s="527" t="s">
        <v>16767</v>
      </c>
      <c r="F156" s="220"/>
    </row>
    <row r="157" spans="1:6" ht="14.4">
      <c r="A157">
        <v>47</v>
      </c>
      <c r="B157" t="s">
        <v>16768</v>
      </c>
      <c r="C157" t="s">
        <v>2269</v>
      </c>
      <c r="D157" t="s">
        <v>2271</v>
      </c>
      <c r="E157" s="527" t="s">
        <v>16769</v>
      </c>
      <c r="F157" s="219"/>
    </row>
    <row r="158" spans="1:6" ht="14.4">
      <c r="A158">
        <v>48</v>
      </c>
      <c r="B158" t="s">
        <v>16770</v>
      </c>
      <c r="C158" t="s">
        <v>2269</v>
      </c>
      <c r="D158" t="s">
        <v>2271</v>
      </c>
      <c r="E158" s="527" t="s">
        <v>16283</v>
      </c>
      <c r="F158" s="220"/>
    </row>
    <row r="159" spans="1:6" ht="14.4">
      <c r="A159">
        <v>52</v>
      </c>
      <c r="B159" t="s">
        <v>16771</v>
      </c>
      <c r="C159" t="s">
        <v>2269</v>
      </c>
      <c r="D159" t="s">
        <v>2271</v>
      </c>
      <c r="E159" s="527" t="s">
        <v>10096</v>
      </c>
      <c r="F159" s="219"/>
    </row>
    <row r="160" spans="1:6" ht="14.4">
      <c r="A160">
        <v>43</v>
      </c>
      <c r="B160" t="s">
        <v>16772</v>
      </c>
      <c r="C160" t="s">
        <v>2269</v>
      </c>
      <c r="D160" t="s">
        <v>2271</v>
      </c>
      <c r="E160" s="527" t="s">
        <v>16773</v>
      </c>
      <c r="F160" s="220"/>
    </row>
    <row r="161" spans="1:6" ht="14.4">
      <c r="A161">
        <v>39719</v>
      </c>
      <c r="B161" t="s">
        <v>16774</v>
      </c>
      <c r="C161" t="s">
        <v>2275</v>
      </c>
      <c r="D161" t="s">
        <v>1857</v>
      </c>
      <c r="E161" s="527" t="s">
        <v>16775</v>
      </c>
      <c r="F161" s="219"/>
    </row>
    <row r="162" spans="1:6" ht="14.4">
      <c r="A162">
        <v>3410</v>
      </c>
      <c r="B162" t="s">
        <v>16776</v>
      </c>
      <c r="C162" t="s">
        <v>2274</v>
      </c>
      <c r="D162" t="s">
        <v>1857</v>
      </c>
      <c r="E162" s="527" t="s">
        <v>16777</v>
      </c>
      <c r="F162" s="220"/>
    </row>
    <row r="163" spans="1:6" ht="14.4">
      <c r="A163">
        <v>4791</v>
      </c>
      <c r="B163" t="s">
        <v>16778</v>
      </c>
      <c r="C163" t="s">
        <v>2274</v>
      </c>
      <c r="D163" t="s">
        <v>1857</v>
      </c>
      <c r="E163" s="527" t="s">
        <v>16779</v>
      </c>
      <c r="F163" s="219"/>
    </row>
    <row r="164" spans="1:6" ht="14.4">
      <c r="A164">
        <v>157</v>
      </c>
      <c r="B164" t="s">
        <v>16780</v>
      </c>
      <c r="C164" t="s">
        <v>2274</v>
      </c>
      <c r="D164" t="s">
        <v>1857</v>
      </c>
      <c r="E164" s="527" t="s">
        <v>16781</v>
      </c>
      <c r="F164" s="220"/>
    </row>
    <row r="165" spans="1:6" ht="14.4">
      <c r="A165">
        <v>156</v>
      </c>
      <c r="B165" t="s">
        <v>16782</v>
      </c>
      <c r="C165" t="s">
        <v>2274</v>
      </c>
      <c r="D165" t="s">
        <v>1857</v>
      </c>
      <c r="E165" s="527" t="s">
        <v>11452</v>
      </c>
      <c r="F165" s="219"/>
    </row>
    <row r="166" spans="1:6" ht="14.4">
      <c r="A166">
        <v>131</v>
      </c>
      <c r="B166" t="s">
        <v>16783</v>
      </c>
      <c r="C166" t="s">
        <v>2274</v>
      </c>
      <c r="D166" t="s">
        <v>1857</v>
      </c>
      <c r="E166" s="527" t="s">
        <v>12453</v>
      </c>
      <c r="F166" s="220"/>
    </row>
    <row r="167" spans="1:6" ht="14.4">
      <c r="A167">
        <v>21114</v>
      </c>
      <c r="B167" t="s">
        <v>16784</v>
      </c>
      <c r="C167" t="s">
        <v>2269</v>
      </c>
      <c r="D167" t="s">
        <v>1857</v>
      </c>
      <c r="E167" s="527" t="s">
        <v>16785</v>
      </c>
      <c r="F167" s="219"/>
    </row>
    <row r="168" spans="1:6" ht="14.4">
      <c r="A168">
        <v>119</v>
      </c>
      <c r="B168" t="s">
        <v>16786</v>
      </c>
      <c r="C168" t="s">
        <v>2269</v>
      </c>
      <c r="D168" t="s">
        <v>2268</v>
      </c>
      <c r="E168" s="527" t="s">
        <v>16787</v>
      </c>
      <c r="F168" s="220"/>
    </row>
    <row r="169" spans="1:6" ht="14.4">
      <c r="A169">
        <v>122</v>
      </c>
      <c r="B169" t="s">
        <v>16788</v>
      </c>
      <c r="C169" t="s">
        <v>2269</v>
      </c>
      <c r="D169" t="s">
        <v>1857</v>
      </c>
      <c r="E169" s="527" t="s">
        <v>16451</v>
      </c>
      <c r="F169" s="219"/>
    </row>
    <row r="170" spans="1:6" ht="14.4">
      <c r="A170">
        <v>20080</v>
      </c>
      <c r="B170" t="s">
        <v>16789</v>
      </c>
      <c r="C170" t="s">
        <v>2269</v>
      </c>
      <c r="D170" t="s">
        <v>1857</v>
      </c>
      <c r="E170" s="527" t="s">
        <v>6569</v>
      </c>
      <c r="F170" s="220"/>
    </row>
    <row r="171" spans="1:6" ht="14.4">
      <c r="A171">
        <v>124</v>
      </c>
      <c r="B171" t="s">
        <v>16790</v>
      </c>
      <c r="C171" t="s">
        <v>2275</v>
      </c>
      <c r="D171" t="s">
        <v>1857</v>
      </c>
      <c r="E171" s="527" t="s">
        <v>16231</v>
      </c>
      <c r="F171" s="219"/>
    </row>
    <row r="172" spans="1:6" ht="14.4">
      <c r="A172">
        <v>7334</v>
      </c>
      <c r="B172" t="s">
        <v>16791</v>
      </c>
      <c r="C172" t="s">
        <v>2275</v>
      </c>
      <c r="D172" t="s">
        <v>1857</v>
      </c>
      <c r="E172" s="527" t="s">
        <v>7457</v>
      </c>
      <c r="F172" s="220"/>
    </row>
    <row r="173" spans="1:6" ht="14.4">
      <c r="A173">
        <v>123</v>
      </c>
      <c r="B173" t="s">
        <v>16792</v>
      </c>
      <c r="C173" t="s">
        <v>2275</v>
      </c>
      <c r="D173" t="s">
        <v>2268</v>
      </c>
      <c r="E173" s="527" t="s">
        <v>10313</v>
      </c>
      <c r="F173" s="219"/>
    </row>
    <row r="174" spans="1:6" ht="14.4">
      <c r="A174">
        <v>127</v>
      </c>
      <c r="B174" t="s">
        <v>16793</v>
      </c>
      <c r="C174" t="s">
        <v>2275</v>
      </c>
      <c r="D174" t="s">
        <v>1857</v>
      </c>
      <c r="E174" s="527" t="s">
        <v>16794</v>
      </c>
      <c r="F174" s="220"/>
    </row>
    <row r="175" spans="1:6" ht="14.4">
      <c r="A175">
        <v>41373</v>
      </c>
      <c r="B175" t="s">
        <v>16795</v>
      </c>
      <c r="C175" t="s">
        <v>2275</v>
      </c>
      <c r="D175" t="s">
        <v>1857</v>
      </c>
      <c r="E175" s="527" t="s">
        <v>7318</v>
      </c>
      <c r="F175" s="219"/>
    </row>
    <row r="176" spans="1:6" ht="14.4">
      <c r="A176">
        <v>133</v>
      </c>
      <c r="B176" t="s">
        <v>16796</v>
      </c>
      <c r="C176" t="s">
        <v>2275</v>
      </c>
      <c r="D176" t="s">
        <v>1857</v>
      </c>
      <c r="E176" s="527" t="s">
        <v>5405</v>
      </c>
      <c r="F176" s="220"/>
    </row>
    <row r="177" spans="1:6" ht="14.4">
      <c r="A177">
        <v>43617</v>
      </c>
      <c r="B177" t="s">
        <v>16797</v>
      </c>
      <c r="C177" t="s">
        <v>2275</v>
      </c>
      <c r="D177" t="s">
        <v>1857</v>
      </c>
      <c r="E177" s="527" t="s">
        <v>4611</v>
      </c>
      <c r="F177" s="219"/>
    </row>
    <row r="178" spans="1:6" ht="14.4">
      <c r="A178">
        <v>132</v>
      </c>
      <c r="B178" t="s">
        <v>16798</v>
      </c>
      <c r="C178" t="s">
        <v>2275</v>
      </c>
      <c r="D178" t="s">
        <v>1857</v>
      </c>
      <c r="E178" s="527" t="s">
        <v>9486</v>
      </c>
      <c r="F178" s="220"/>
    </row>
    <row r="179" spans="1:6" ht="14.4">
      <c r="A179">
        <v>43618</v>
      </c>
      <c r="B179" t="s">
        <v>16799</v>
      </c>
      <c r="C179" t="s">
        <v>2274</v>
      </c>
      <c r="D179" t="s">
        <v>1857</v>
      </c>
      <c r="E179" s="527" t="s">
        <v>10774</v>
      </c>
      <c r="F179" s="219"/>
    </row>
    <row r="180" spans="1:6" ht="14.4">
      <c r="A180">
        <v>37476</v>
      </c>
      <c r="B180" t="s">
        <v>16800</v>
      </c>
      <c r="C180" t="s">
        <v>2269</v>
      </c>
      <c r="D180" t="s">
        <v>1857</v>
      </c>
      <c r="E180" s="527" t="s">
        <v>16801</v>
      </c>
      <c r="F180" s="220"/>
    </row>
    <row r="181" spans="1:6" ht="14.4">
      <c r="A181">
        <v>37478</v>
      </c>
      <c r="B181" t="s">
        <v>16802</v>
      </c>
      <c r="C181" t="s">
        <v>2269</v>
      </c>
      <c r="D181" t="s">
        <v>1857</v>
      </c>
      <c r="E181" s="527" t="s">
        <v>16803</v>
      </c>
      <c r="F181" s="219"/>
    </row>
    <row r="182" spans="1:6" ht="14.4">
      <c r="A182">
        <v>37477</v>
      </c>
      <c r="B182" t="s">
        <v>16804</v>
      </c>
      <c r="C182" t="s">
        <v>2269</v>
      </c>
      <c r="D182" t="s">
        <v>1857</v>
      </c>
      <c r="E182" s="527" t="s">
        <v>16805</v>
      </c>
      <c r="F182" s="220"/>
    </row>
    <row r="183" spans="1:6" ht="14.4">
      <c r="A183">
        <v>37479</v>
      </c>
      <c r="B183" t="s">
        <v>16806</v>
      </c>
      <c r="C183" t="s">
        <v>2269</v>
      </c>
      <c r="D183" t="s">
        <v>1857</v>
      </c>
      <c r="E183" s="527" t="s">
        <v>16807</v>
      </c>
      <c r="F183" s="219"/>
    </row>
    <row r="184" spans="1:6" ht="14.4">
      <c r="A184">
        <v>4319</v>
      </c>
      <c r="B184" t="s">
        <v>16808</v>
      </c>
      <c r="C184" t="s">
        <v>2269</v>
      </c>
      <c r="D184" t="s">
        <v>1857</v>
      </c>
      <c r="E184" s="527" t="s">
        <v>2965</v>
      </c>
      <c r="F184" s="220"/>
    </row>
    <row r="185" spans="1:6" ht="14.4">
      <c r="A185">
        <v>42409</v>
      </c>
      <c r="B185" t="s">
        <v>16809</v>
      </c>
      <c r="C185" t="s">
        <v>2274</v>
      </c>
      <c r="D185" t="s">
        <v>1857</v>
      </c>
      <c r="E185" s="527" t="s">
        <v>10414</v>
      </c>
      <c r="F185" s="219"/>
    </row>
    <row r="186" spans="1:6" ht="14.4">
      <c r="A186">
        <v>40553</v>
      </c>
      <c r="B186" t="s">
        <v>16810</v>
      </c>
      <c r="C186" t="s">
        <v>2272</v>
      </c>
      <c r="D186" t="s">
        <v>2271</v>
      </c>
      <c r="E186" s="527" t="s">
        <v>15136</v>
      </c>
      <c r="F186" s="220"/>
    </row>
    <row r="187" spans="1:6" ht="14.4">
      <c r="A187">
        <v>6114</v>
      </c>
      <c r="B187" t="s">
        <v>16811</v>
      </c>
      <c r="C187" t="s">
        <v>2267</v>
      </c>
      <c r="D187" t="s">
        <v>1857</v>
      </c>
      <c r="E187" s="527" t="s">
        <v>7286</v>
      </c>
      <c r="F187" s="219"/>
    </row>
    <row r="188" spans="1:6" ht="14.4">
      <c r="A188">
        <v>40912</v>
      </c>
      <c r="B188" t="s">
        <v>16812</v>
      </c>
      <c r="C188" t="s">
        <v>2276</v>
      </c>
      <c r="D188" t="s">
        <v>1857</v>
      </c>
      <c r="E188" s="527" t="s">
        <v>16813</v>
      </c>
      <c r="F188" s="220"/>
    </row>
    <row r="189" spans="1:6" ht="14.4">
      <c r="A189">
        <v>247</v>
      </c>
      <c r="B189" t="s">
        <v>16814</v>
      </c>
      <c r="C189" t="s">
        <v>2267</v>
      </c>
      <c r="D189" t="s">
        <v>1857</v>
      </c>
      <c r="E189" s="527" t="s">
        <v>5392</v>
      </c>
      <c r="F189" s="219"/>
    </row>
    <row r="190" spans="1:6" ht="14.4">
      <c r="A190">
        <v>40919</v>
      </c>
      <c r="B190" t="s">
        <v>16815</v>
      </c>
      <c r="C190" t="s">
        <v>2276</v>
      </c>
      <c r="D190" t="s">
        <v>1857</v>
      </c>
      <c r="E190" s="527" t="s">
        <v>16816</v>
      </c>
      <c r="F190" s="220"/>
    </row>
    <row r="191" spans="1:6" ht="14.4">
      <c r="A191">
        <v>25958</v>
      </c>
      <c r="B191" t="s">
        <v>16817</v>
      </c>
      <c r="C191" t="s">
        <v>2267</v>
      </c>
      <c r="D191" t="s">
        <v>1857</v>
      </c>
      <c r="E191" s="527" t="s">
        <v>10386</v>
      </c>
      <c r="F191" s="219"/>
    </row>
    <row r="192" spans="1:6" ht="14.4">
      <c r="A192">
        <v>40984</v>
      </c>
      <c r="B192" t="s">
        <v>16818</v>
      </c>
      <c r="C192" t="s">
        <v>2276</v>
      </c>
      <c r="D192" t="s">
        <v>1857</v>
      </c>
      <c r="E192" s="527" t="s">
        <v>16819</v>
      </c>
      <c r="F192" s="220"/>
    </row>
    <row r="193" spans="1:6" ht="14.4">
      <c r="A193">
        <v>248</v>
      </c>
      <c r="B193" t="s">
        <v>16820</v>
      </c>
      <c r="C193" t="s">
        <v>2267</v>
      </c>
      <c r="D193" t="s">
        <v>1857</v>
      </c>
      <c r="E193" s="527" t="s">
        <v>9906</v>
      </c>
      <c r="F193" s="219"/>
    </row>
    <row r="194" spans="1:6" ht="14.4">
      <c r="A194">
        <v>41086</v>
      </c>
      <c r="B194" t="s">
        <v>16821</v>
      </c>
      <c r="C194" t="s">
        <v>2276</v>
      </c>
      <c r="D194" t="s">
        <v>1857</v>
      </c>
      <c r="E194" s="527" t="s">
        <v>16822</v>
      </c>
      <c r="F194" s="220"/>
    </row>
    <row r="195" spans="1:6" ht="14.4">
      <c r="A195">
        <v>34466</v>
      </c>
      <c r="B195" t="s">
        <v>16823</v>
      </c>
      <c r="C195" t="s">
        <v>2267</v>
      </c>
      <c r="D195" t="s">
        <v>1857</v>
      </c>
      <c r="E195" s="527" t="s">
        <v>9906</v>
      </c>
      <c r="F195" s="219"/>
    </row>
    <row r="196" spans="1:6" ht="14.4">
      <c r="A196">
        <v>41083</v>
      </c>
      <c r="B196" t="s">
        <v>16824</v>
      </c>
      <c r="C196" t="s">
        <v>2276</v>
      </c>
      <c r="D196" t="s">
        <v>1857</v>
      </c>
      <c r="E196" s="527" t="s">
        <v>16822</v>
      </c>
      <c r="F196" s="220"/>
    </row>
    <row r="197" spans="1:6" ht="14.4">
      <c r="A197">
        <v>252</v>
      </c>
      <c r="B197" t="s">
        <v>16825</v>
      </c>
      <c r="C197" t="s">
        <v>2267</v>
      </c>
      <c r="D197" t="s">
        <v>1857</v>
      </c>
      <c r="E197" s="527" t="s">
        <v>5392</v>
      </c>
      <c r="F197" s="219"/>
    </row>
    <row r="198" spans="1:6" ht="14.4">
      <c r="A198">
        <v>40909</v>
      </c>
      <c r="B198" t="s">
        <v>16826</v>
      </c>
      <c r="C198" t="s">
        <v>2276</v>
      </c>
      <c r="D198" t="s">
        <v>1857</v>
      </c>
      <c r="E198" s="527" t="s">
        <v>16827</v>
      </c>
      <c r="F198" s="220"/>
    </row>
    <row r="199" spans="1:6" ht="14.4">
      <c r="A199">
        <v>242</v>
      </c>
      <c r="B199" t="s">
        <v>16828</v>
      </c>
      <c r="C199" t="s">
        <v>2267</v>
      </c>
      <c r="D199" t="s">
        <v>1857</v>
      </c>
      <c r="E199" s="527" t="s">
        <v>9979</v>
      </c>
      <c r="F199" s="219"/>
    </row>
    <row r="200" spans="1:6" ht="14.4">
      <c r="A200">
        <v>41085</v>
      </c>
      <c r="B200" t="s">
        <v>16829</v>
      </c>
      <c r="C200" t="s">
        <v>2276</v>
      </c>
      <c r="D200" t="s">
        <v>1857</v>
      </c>
      <c r="E200" s="527" t="s">
        <v>16830</v>
      </c>
      <c r="F200" s="220"/>
    </row>
    <row r="201" spans="1:6" ht="14.4">
      <c r="A201">
        <v>427</v>
      </c>
      <c r="B201" t="s">
        <v>16831</v>
      </c>
      <c r="C201" t="s">
        <v>2269</v>
      </c>
      <c r="D201" t="s">
        <v>1857</v>
      </c>
      <c r="E201" s="527" t="s">
        <v>11687</v>
      </c>
      <c r="F201" s="219"/>
    </row>
    <row r="202" spans="1:6" ht="14.4">
      <c r="A202">
        <v>417</v>
      </c>
      <c r="B202" t="s">
        <v>16832</v>
      </c>
      <c r="C202" t="s">
        <v>2269</v>
      </c>
      <c r="D202" t="s">
        <v>1857</v>
      </c>
      <c r="E202" s="527" t="s">
        <v>7365</v>
      </c>
      <c r="F202" s="220"/>
    </row>
    <row r="203" spans="1:6" ht="14.4">
      <c r="A203">
        <v>11273</v>
      </c>
      <c r="B203" t="s">
        <v>16833</v>
      </c>
      <c r="C203" t="s">
        <v>2269</v>
      </c>
      <c r="D203" t="s">
        <v>1857</v>
      </c>
      <c r="E203" s="527" t="s">
        <v>11614</v>
      </c>
      <c r="F203" s="219"/>
    </row>
    <row r="204" spans="1:6" ht="14.4">
      <c r="A204">
        <v>11272</v>
      </c>
      <c r="B204" t="s">
        <v>16834</v>
      </c>
      <c r="C204" t="s">
        <v>2269</v>
      </c>
      <c r="D204" t="s">
        <v>1857</v>
      </c>
      <c r="E204" s="527" t="s">
        <v>7300</v>
      </c>
      <c r="F204" s="220"/>
    </row>
    <row r="205" spans="1:6" ht="14.4">
      <c r="A205">
        <v>11275</v>
      </c>
      <c r="B205" t="s">
        <v>16835</v>
      </c>
      <c r="C205" t="s">
        <v>2269</v>
      </c>
      <c r="D205" t="s">
        <v>1857</v>
      </c>
      <c r="E205" s="527" t="s">
        <v>7232</v>
      </c>
      <c r="F205" s="219"/>
    </row>
    <row r="206" spans="1:6" ht="14.4">
      <c r="A206">
        <v>11274</v>
      </c>
      <c r="B206" t="s">
        <v>16836</v>
      </c>
      <c r="C206" t="s">
        <v>2269</v>
      </c>
      <c r="D206" t="s">
        <v>1857</v>
      </c>
      <c r="E206" s="527" t="s">
        <v>3622</v>
      </c>
      <c r="F206" s="220"/>
    </row>
    <row r="207" spans="1:6" ht="14.4">
      <c r="A207">
        <v>38470</v>
      </c>
      <c r="B207" t="s">
        <v>16837</v>
      </c>
      <c r="C207" t="s">
        <v>2269</v>
      </c>
      <c r="D207" t="s">
        <v>2268</v>
      </c>
      <c r="E207" s="527" t="s">
        <v>16838</v>
      </c>
      <c r="F207" s="219"/>
    </row>
    <row r="208" spans="1:6" ht="14.4">
      <c r="A208">
        <v>38547</v>
      </c>
      <c r="B208" t="s">
        <v>16839</v>
      </c>
      <c r="C208" t="s">
        <v>2269</v>
      </c>
      <c r="D208" t="s">
        <v>1857</v>
      </c>
      <c r="E208" s="527" t="s">
        <v>16840</v>
      </c>
      <c r="F208" s="220"/>
    </row>
    <row r="209" spans="1:6" ht="14.4">
      <c r="A209">
        <v>38469</v>
      </c>
      <c r="B209" t="s">
        <v>16841</v>
      </c>
      <c r="C209" t="s">
        <v>2269</v>
      </c>
      <c r="D209" t="s">
        <v>1857</v>
      </c>
      <c r="E209" s="527" t="s">
        <v>16842</v>
      </c>
      <c r="F209" s="219"/>
    </row>
    <row r="210" spans="1:6" ht="14.4">
      <c r="A210">
        <v>38467</v>
      </c>
      <c r="B210" t="s">
        <v>16843</v>
      </c>
      <c r="C210" t="s">
        <v>2269</v>
      </c>
      <c r="D210" t="s">
        <v>1857</v>
      </c>
      <c r="E210" s="527" t="s">
        <v>16242</v>
      </c>
      <c r="F210" s="220"/>
    </row>
    <row r="211" spans="1:6" ht="14.4">
      <c r="A211">
        <v>38468</v>
      </c>
      <c r="B211" t="s">
        <v>16844</v>
      </c>
      <c r="C211" t="s">
        <v>2269</v>
      </c>
      <c r="D211" t="s">
        <v>1857</v>
      </c>
      <c r="E211" s="527" t="s">
        <v>16845</v>
      </c>
      <c r="F211" s="219"/>
    </row>
    <row r="212" spans="1:6" ht="14.4">
      <c r="A212">
        <v>38471</v>
      </c>
      <c r="B212" t="s">
        <v>16846</v>
      </c>
      <c r="C212" t="s">
        <v>2269</v>
      </c>
      <c r="D212" t="s">
        <v>1857</v>
      </c>
      <c r="E212" s="527" t="s">
        <v>13404</v>
      </c>
      <c r="F212" s="220"/>
    </row>
    <row r="213" spans="1:6" ht="14.4">
      <c r="A213">
        <v>37370</v>
      </c>
      <c r="B213" t="s">
        <v>16847</v>
      </c>
      <c r="C213" t="s">
        <v>2267</v>
      </c>
      <c r="D213" t="s">
        <v>2268</v>
      </c>
      <c r="E213" s="527" t="s">
        <v>7242</v>
      </c>
      <c r="F213" s="219"/>
    </row>
    <row r="214" spans="1:6" ht="14.4">
      <c r="A214">
        <v>40862</v>
      </c>
      <c r="B214" t="s">
        <v>16848</v>
      </c>
      <c r="C214" t="s">
        <v>2276</v>
      </c>
      <c r="D214" t="s">
        <v>2268</v>
      </c>
      <c r="E214" s="527" t="s">
        <v>15138</v>
      </c>
      <c r="F214" s="220"/>
    </row>
    <row r="215" spans="1:6" ht="14.4">
      <c r="A215">
        <v>10658</v>
      </c>
      <c r="B215" t="s">
        <v>16849</v>
      </c>
      <c r="C215" t="s">
        <v>2269</v>
      </c>
      <c r="D215" t="s">
        <v>2271</v>
      </c>
      <c r="E215" s="527" t="s">
        <v>15139</v>
      </c>
      <c r="F215" s="219"/>
    </row>
    <row r="216" spans="1:6" ht="14.4">
      <c r="A216">
        <v>253</v>
      </c>
      <c r="B216" t="s">
        <v>16850</v>
      </c>
      <c r="C216" t="s">
        <v>2267</v>
      </c>
      <c r="D216" t="s">
        <v>2268</v>
      </c>
      <c r="E216" s="527" t="s">
        <v>16851</v>
      </c>
      <c r="F216" s="220"/>
    </row>
    <row r="217" spans="1:6" ht="14.4">
      <c r="A217">
        <v>40809</v>
      </c>
      <c r="B217" t="s">
        <v>16852</v>
      </c>
      <c r="C217" t="s">
        <v>2276</v>
      </c>
      <c r="D217" t="s">
        <v>1857</v>
      </c>
      <c r="E217" s="527" t="s">
        <v>16853</v>
      </c>
      <c r="F217" s="219"/>
    </row>
    <row r="218" spans="1:6" ht="14.4">
      <c r="A218">
        <v>42428</v>
      </c>
      <c r="B218" t="s">
        <v>16854</v>
      </c>
      <c r="C218" t="s">
        <v>2269</v>
      </c>
      <c r="D218" t="s">
        <v>2271</v>
      </c>
      <c r="E218" s="527" t="s">
        <v>16855</v>
      </c>
      <c r="F218" s="220"/>
    </row>
    <row r="219" spans="1:6" ht="14.4">
      <c r="A219">
        <v>583</v>
      </c>
      <c r="B219" t="s">
        <v>16856</v>
      </c>
      <c r="C219" t="s">
        <v>2274</v>
      </c>
      <c r="D219" t="s">
        <v>2271</v>
      </c>
      <c r="E219" s="527" t="s">
        <v>16278</v>
      </c>
      <c r="F219" s="219"/>
    </row>
    <row r="220" spans="1:6" ht="14.4">
      <c r="A220">
        <v>299</v>
      </c>
      <c r="B220" t="s">
        <v>16857</v>
      </c>
      <c r="C220" t="s">
        <v>2269</v>
      </c>
      <c r="D220" t="s">
        <v>1857</v>
      </c>
      <c r="E220" s="527" t="s">
        <v>3575</v>
      </c>
      <c r="F220" s="220"/>
    </row>
    <row r="221" spans="1:6" ht="14.4">
      <c r="A221">
        <v>298</v>
      </c>
      <c r="B221" t="s">
        <v>16858</v>
      </c>
      <c r="C221" t="s">
        <v>2269</v>
      </c>
      <c r="D221" t="s">
        <v>1857</v>
      </c>
      <c r="E221" s="527" t="s">
        <v>15837</v>
      </c>
      <c r="F221" s="219"/>
    </row>
    <row r="222" spans="1:6" ht="14.4">
      <c r="A222">
        <v>295</v>
      </c>
      <c r="B222" t="s">
        <v>16859</v>
      </c>
      <c r="C222" t="s">
        <v>2269</v>
      </c>
      <c r="D222" t="s">
        <v>1857</v>
      </c>
      <c r="E222" s="527" t="s">
        <v>3971</v>
      </c>
      <c r="F222" s="220"/>
    </row>
    <row r="223" spans="1:6" ht="14.4">
      <c r="A223">
        <v>296</v>
      </c>
      <c r="B223" t="s">
        <v>16860</v>
      </c>
      <c r="C223" t="s">
        <v>2269</v>
      </c>
      <c r="D223" t="s">
        <v>1857</v>
      </c>
      <c r="E223" s="527" t="s">
        <v>3719</v>
      </c>
      <c r="F223" s="219"/>
    </row>
    <row r="224" spans="1:6" ht="14.4">
      <c r="A224">
        <v>297</v>
      </c>
      <c r="B224" t="s">
        <v>16861</v>
      </c>
      <c r="C224" t="s">
        <v>2269</v>
      </c>
      <c r="D224" t="s">
        <v>1857</v>
      </c>
      <c r="E224" s="527" t="s">
        <v>3775</v>
      </c>
      <c r="F224" s="220"/>
    </row>
    <row r="225" spans="1:6" ht="14.4">
      <c r="A225">
        <v>301</v>
      </c>
      <c r="B225" t="s">
        <v>16862</v>
      </c>
      <c r="C225" t="s">
        <v>2269</v>
      </c>
      <c r="D225" t="s">
        <v>2268</v>
      </c>
      <c r="E225" s="527" t="s">
        <v>3779</v>
      </c>
      <c r="F225" s="219"/>
    </row>
    <row r="226" spans="1:6" ht="14.4">
      <c r="A226">
        <v>300</v>
      </c>
      <c r="B226" t="s">
        <v>16863</v>
      </c>
      <c r="C226" t="s">
        <v>2269</v>
      </c>
      <c r="D226" t="s">
        <v>1857</v>
      </c>
      <c r="E226" s="527" t="s">
        <v>7299</v>
      </c>
      <c r="F226" s="220"/>
    </row>
    <row r="227" spans="1:6" ht="14.4">
      <c r="A227">
        <v>20084</v>
      </c>
      <c r="B227" t="s">
        <v>16864</v>
      </c>
      <c r="C227" t="s">
        <v>2269</v>
      </c>
      <c r="D227" t="s">
        <v>1857</v>
      </c>
      <c r="E227" s="527" t="s">
        <v>3971</v>
      </c>
      <c r="F227" s="219"/>
    </row>
    <row r="228" spans="1:6" ht="14.4">
      <c r="A228">
        <v>20085</v>
      </c>
      <c r="B228" t="s">
        <v>16865</v>
      </c>
      <c r="C228" t="s">
        <v>2269</v>
      </c>
      <c r="D228" t="s">
        <v>1857</v>
      </c>
      <c r="E228" s="527" t="s">
        <v>9611</v>
      </c>
      <c r="F228" s="220"/>
    </row>
    <row r="229" spans="1:6" ht="14.4">
      <c r="A229">
        <v>311</v>
      </c>
      <c r="B229" t="s">
        <v>16866</v>
      </c>
      <c r="C229" t="s">
        <v>2269</v>
      </c>
      <c r="D229" t="s">
        <v>1857</v>
      </c>
      <c r="E229" s="527" t="s">
        <v>7344</v>
      </c>
      <c r="F229" s="219"/>
    </row>
    <row r="230" spans="1:6" ht="14.4">
      <c r="A230">
        <v>318</v>
      </c>
      <c r="B230" t="s">
        <v>16867</v>
      </c>
      <c r="C230" t="s">
        <v>2269</v>
      </c>
      <c r="D230" t="s">
        <v>1857</v>
      </c>
      <c r="E230" s="527" t="s">
        <v>5896</v>
      </c>
      <c r="F230" s="220"/>
    </row>
    <row r="231" spans="1:6" ht="14.4">
      <c r="A231">
        <v>319</v>
      </c>
      <c r="B231" t="s">
        <v>16868</v>
      </c>
      <c r="C231" t="s">
        <v>2269</v>
      </c>
      <c r="D231" t="s">
        <v>1857</v>
      </c>
      <c r="E231" s="527" t="s">
        <v>16869</v>
      </c>
      <c r="F231" s="219"/>
    </row>
    <row r="232" spans="1:6" ht="14.4">
      <c r="A232">
        <v>320</v>
      </c>
      <c r="B232" t="s">
        <v>16870</v>
      </c>
      <c r="C232" t="s">
        <v>2269</v>
      </c>
      <c r="D232" t="s">
        <v>1857</v>
      </c>
      <c r="E232" s="527" t="s">
        <v>16871</v>
      </c>
      <c r="F232" s="220"/>
    </row>
    <row r="233" spans="1:6" ht="14.4">
      <c r="A233">
        <v>314</v>
      </c>
      <c r="B233" t="s">
        <v>16872</v>
      </c>
      <c r="C233" t="s">
        <v>2269</v>
      </c>
      <c r="D233" t="s">
        <v>1857</v>
      </c>
      <c r="E233" s="527" t="s">
        <v>16873</v>
      </c>
      <c r="F233" s="219"/>
    </row>
    <row r="234" spans="1:6" ht="14.4">
      <c r="A234">
        <v>303</v>
      </c>
      <c r="B234" t="s">
        <v>16874</v>
      </c>
      <c r="C234" t="s">
        <v>2269</v>
      </c>
      <c r="D234" t="s">
        <v>1857</v>
      </c>
      <c r="E234" s="527" t="s">
        <v>6423</v>
      </c>
      <c r="F234" s="220"/>
    </row>
    <row r="235" spans="1:6" ht="14.4">
      <c r="A235">
        <v>305</v>
      </c>
      <c r="B235" t="s">
        <v>16875</v>
      </c>
      <c r="C235" t="s">
        <v>2269</v>
      </c>
      <c r="D235" t="s">
        <v>1857</v>
      </c>
      <c r="E235" s="527" t="s">
        <v>16876</v>
      </c>
      <c r="F235" s="219"/>
    </row>
    <row r="236" spans="1:6" ht="14.4">
      <c r="A236">
        <v>306</v>
      </c>
      <c r="B236" t="s">
        <v>16877</v>
      </c>
      <c r="C236" t="s">
        <v>2269</v>
      </c>
      <c r="D236" t="s">
        <v>1857</v>
      </c>
      <c r="E236" s="527" t="s">
        <v>7452</v>
      </c>
      <c r="F236" s="220"/>
    </row>
    <row r="237" spans="1:6" ht="14.4">
      <c r="A237">
        <v>307</v>
      </c>
      <c r="B237" t="s">
        <v>16878</v>
      </c>
      <c r="C237" t="s">
        <v>2269</v>
      </c>
      <c r="D237" t="s">
        <v>1857</v>
      </c>
      <c r="E237" s="527" t="s">
        <v>10259</v>
      </c>
      <c r="F237" s="219"/>
    </row>
    <row r="238" spans="1:6" ht="14.4">
      <c r="A238">
        <v>309</v>
      </c>
      <c r="B238" t="s">
        <v>16879</v>
      </c>
      <c r="C238" t="s">
        <v>2269</v>
      </c>
      <c r="D238" t="s">
        <v>1857</v>
      </c>
      <c r="E238" s="527" t="s">
        <v>9503</v>
      </c>
      <c r="F238" s="220"/>
    </row>
    <row r="239" spans="1:6" ht="14.4">
      <c r="A239">
        <v>310</v>
      </c>
      <c r="B239" t="s">
        <v>16880</v>
      </c>
      <c r="C239" t="s">
        <v>2269</v>
      </c>
      <c r="D239" t="s">
        <v>1857</v>
      </c>
      <c r="E239" s="527" t="s">
        <v>16881</v>
      </c>
      <c r="F239" s="219"/>
    </row>
    <row r="240" spans="1:6" ht="14.4">
      <c r="A240">
        <v>328</v>
      </c>
      <c r="B240" t="s">
        <v>16882</v>
      </c>
      <c r="C240" t="s">
        <v>2269</v>
      </c>
      <c r="D240" t="s">
        <v>1857</v>
      </c>
      <c r="E240" s="527" t="s">
        <v>16883</v>
      </c>
      <c r="F240" s="220"/>
    </row>
    <row r="241" spans="1:6" ht="14.4">
      <c r="A241">
        <v>325</v>
      </c>
      <c r="B241" t="s">
        <v>16884</v>
      </c>
      <c r="C241" t="s">
        <v>2269</v>
      </c>
      <c r="D241" t="s">
        <v>1857</v>
      </c>
      <c r="E241" s="527" t="s">
        <v>3820</v>
      </c>
      <c r="F241" s="219"/>
    </row>
    <row r="242" spans="1:6" ht="14.4">
      <c r="A242">
        <v>20326</v>
      </c>
      <c r="B242" t="s">
        <v>16885</v>
      </c>
      <c r="C242" t="s">
        <v>2269</v>
      </c>
      <c r="D242" t="s">
        <v>1857</v>
      </c>
      <c r="E242" s="527" t="s">
        <v>7537</v>
      </c>
      <c r="F242" s="220"/>
    </row>
    <row r="243" spans="1:6" ht="14.4">
      <c r="A243">
        <v>329</v>
      </c>
      <c r="B243" t="s">
        <v>16886</v>
      </c>
      <c r="C243" t="s">
        <v>2269</v>
      </c>
      <c r="D243" t="s">
        <v>1857</v>
      </c>
      <c r="E243" s="527" t="s">
        <v>10039</v>
      </c>
      <c r="F243" s="219"/>
    </row>
    <row r="244" spans="1:6" ht="14.4">
      <c r="A244">
        <v>308</v>
      </c>
      <c r="B244" t="s">
        <v>16887</v>
      </c>
      <c r="C244" t="s">
        <v>2269</v>
      </c>
      <c r="D244" t="s">
        <v>1857</v>
      </c>
      <c r="E244" s="527" t="s">
        <v>10648</v>
      </c>
      <c r="F244" s="220"/>
    </row>
    <row r="245" spans="1:6" ht="14.4">
      <c r="A245">
        <v>39642</v>
      </c>
      <c r="B245" t="s">
        <v>16888</v>
      </c>
      <c r="C245" t="s">
        <v>2269</v>
      </c>
      <c r="D245" t="s">
        <v>1857</v>
      </c>
      <c r="E245" s="527" t="s">
        <v>10320</v>
      </c>
      <c r="F245" s="219"/>
    </row>
    <row r="246" spans="1:6" ht="14.4">
      <c r="A246">
        <v>39641</v>
      </c>
      <c r="B246" t="s">
        <v>16889</v>
      </c>
      <c r="C246" t="s">
        <v>2269</v>
      </c>
      <c r="D246" t="s">
        <v>1857</v>
      </c>
      <c r="E246" s="527" t="s">
        <v>4994</v>
      </c>
      <c r="F246" s="220"/>
    </row>
    <row r="247" spans="1:6" ht="14.4">
      <c r="A247">
        <v>39643</v>
      </c>
      <c r="B247" t="s">
        <v>16890</v>
      </c>
      <c r="C247" t="s">
        <v>2269</v>
      </c>
      <c r="D247" t="s">
        <v>1857</v>
      </c>
      <c r="E247" s="527" t="s">
        <v>4585</v>
      </c>
      <c r="F247" s="219"/>
    </row>
    <row r="248" spans="1:6" ht="14.4">
      <c r="A248">
        <v>39644</v>
      </c>
      <c r="B248" t="s">
        <v>16891</v>
      </c>
      <c r="C248" t="s">
        <v>2269</v>
      </c>
      <c r="D248" t="s">
        <v>1857</v>
      </c>
      <c r="E248" s="527" t="s">
        <v>7900</v>
      </c>
      <c r="F248" s="220"/>
    </row>
    <row r="249" spans="1:6" ht="14.4">
      <c r="A249">
        <v>39645</v>
      </c>
      <c r="B249" t="s">
        <v>16892</v>
      </c>
      <c r="C249" t="s">
        <v>2269</v>
      </c>
      <c r="D249" t="s">
        <v>1857</v>
      </c>
      <c r="E249" s="527" t="s">
        <v>10143</v>
      </c>
      <c r="F249" s="219"/>
    </row>
    <row r="250" spans="1:6" ht="14.4">
      <c r="A250">
        <v>41610</v>
      </c>
      <c r="B250" t="s">
        <v>16893</v>
      </c>
      <c r="C250" t="s">
        <v>2269</v>
      </c>
      <c r="D250" t="s">
        <v>1857</v>
      </c>
      <c r="E250" s="527" t="s">
        <v>16894</v>
      </c>
      <c r="F250" s="220"/>
    </row>
    <row r="251" spans="1:6" ht="14.4">
      <c r="A251">
        <v>41611</v>
      </c>
      <c r="B251" t="s">
        <v>16895</v>
      </c>
      <c r="C251" t="s">
        <v>2269</v>
      </c>
      <c r="D251" t="s">
        <v>1857</v>
      </c>
      <c r="E251" s="527" t="s">
        <v>16896</v>
      </c>
      <c r="F251" s="219"/>
    </row>
    <row r="252" spans="1:6" ht="14.4">
      <c r="A252">
        <v>41612</v>
      </c>
      <c r="B252" t="s">
        <v>16897</v>
      </c>
      <c r="C252" t="s">
        <v>2269</v>
      </c>
      <c r="D252" t="s">
        <v>1857</v>
      </c>
      <c r="E252" s="527" t="s">
        <v>16898</v>
      </c>
      <c r="F252" s="220"/>
    </row>
    <row r="253" spans="1:6" ht="14.4">
      <c r="A253">
        <v>41637</v>
      </c>
      <c r="B253" t="s">
        <v>16899</v>
      </c>
      <c r="C253" t="s">
        <v>2269</v>
      </c>
      <c r="D253" t="s">
        <v>1857</v>
      </c>
      <c r="E253" s="527" t="s">
        <v>16900</v>
      </c>
      <c r="F253" s="219"/>
    </row>
    <row r="254" spans="1:6" ht="14.4">
      <c r="A254">
        <v>41638</v>
      </c>
      <c r="B254" t="s">
        <v>16901</v>
      </c>
      <c r="C254" t="s">
        <v>2269</v>
      </c>
      <c r="D254" t="s">
        <v>1857</v>
      </c>
      <c r="E254" s="527" t="s">
        <v>16902</v>
      </c>
      <c r="F254" s="220"/>
    </row>
    <row r="255" spans="1:6" ht="14.4">
      <c r="A255">
        <v>41639</v>
      </c>
      <c r="B255" t="s">
        <v>16903</v>
      </c>
      <c r="C255" t="s">
        <v>2269</v>
      </c>
      <c r="D255" t="s">
        <v>1857</v>
      </c>
      <c r="E255" s="527" t="s">
        <v>16904</v>
      </c>
      <c r="F255" s="219"/>
    </row>
    <row r="256" spans="1:6" ht="14.4">
      <c r="A256">
        <v>11789</v>
      </c>
      <c r="B256" t="s">
        <v>16905</v>
      </c>
      <c r="C256" t="s">
        <v>2269</v>
      </c>
      <c r="D256" t="s">
        <v>1857</v>
      </c>
      <c r="E256" s="527" t="s">
        <v>15846</v>
      </c>
      <c r="F256" s="220"/>
    </row>
    <row r="257" spans="1:6" ht="14.4">
      <c r="A257">
        <v>20975</v>
      </c>
      <c r="B257" t="s">
        <v>16906</v>
      </c>
      <c r="C257" t="s">
        <v>2269</v>
      </c>
      <c r="D257" t="s">
        <v>1857</v>
      </c>
      <c r="E257" s="527" t="s">
        <v>3185</v>
      </c>
      <c r="F257" s="219"/>
    </row>
    <row r="258" spans="1:6" ht="14.4">
      <c r="A258">
        <v>20976</v>
      </c>
      <c r="B258" t="s">
        <v>16907</v>
      </c>
      <c r="C258" t="s">
        <v>2269</v>
      </c>
      <c r="D258" t="s">
        <v>1857</v>
      </c>
      <c r="E258" s="527" t="s">
        <v>10215</v>
      </c>
      <c r="F258" s="220"/>
    </row>
    <row r="259" spans="1:6" ht="14.4">
      <c r="A259">
        <v>40340</v>
      </c>
      <c r="B259" t="s">
        <v>16908</v>
      </c>
      <c r="C259" t="s">
        <v>2269</v>
      </c>
      <c r="D259" t="s">
        <v>1857</v>
      </c>
      <c r="E259" s="527" t="s">
        <v>16133</v>
      </c>
      <c r="F259" s="219"/>
    </row>
    <row r="260" spans="1:6" ht="14.4">
      <c r="A260">
        <v>40341</v>
      </c>
      <c r="B260" t="s">
        <v>16909</v>
      </c>
      <c r="C260" t="s">
        <v>2269</v>
      </c>
      <c r="D260" t="s">
        <v>1857</v>
      </c>
      <c r="E260" s="527" t="s">
        <v>15397</v>
      </c>
      <c r="F260" s="220"/>
    </row>
    <row r="261" spans="1:6" ht="14.4">
      <c r="A261">
        <v>40342</v>
      </c>
      <c r="B261" t="s">
        <v>16910</v>
      </c>
      <c r="C261" t="s">
        <v>2269</v>
      </c>
      <c r="D261" t="s">
        <v>1857</v>
      </c>
      <c r="E261" s="527" t="s">
        <v>16911</v>
      </c>
      <c r="F261" s="219"/>
    </row>
    <row r="262" spans="1:6" ht="14.4">
      <c r="A262">
        <v>40343</v>
      </c>
      <c r="B262" t="s">
        <v>16912</v>
      </c>
      <c r="C262" t="s">
        <v>2269</v>
      </c>
      <c r="D262" t="s">
        <v>1857</v>
      </c>
      <c r="E262" s="527" t="s">
        <v>16913</v>
      </c>
      <c r="F262" s="220"/>
    </row>
    <row r="263" spans="1:6" ht="14.4">
      <c r="A263">
        <v>40344</v>
      </c>
      <c r="B263" t="s">
        <v>16914</v>
      </c>
      <c r="C263" t="s">
        <v>2269</v>
      </c>
      <c r="D263" t="s">
        <v>1857</v>
      </c>
      <c r="E263" s="527" t="s">
        <v>16915</v>
      </c>
      <c r="F263" s="219"/>
    </row>
    <row r="264" spans="1:6" ht="14.4">
      <c r="A264">
        <v>40345</v>
      </c>
      <c r="B264" t="s">
        <v>16916</v>
      </c>
      <c r="C264" t="s">
        <v>2269</v>
      </c>
      <c r="D264" t="s">
        <v>1857</v>
      </c>
      <c r="E264" s="527" t="s">
        <v>16917</v>
      </c>
      <c r="F264" s="220"/>
    </row>
    <row r="265" spans="1:6" ht="14.4">
      <c r="A265">
        <v>40346</v>
      </c>
      <c r="B265" t="s">
        <v>16918</v>
      </c>
      <c r="C265" t="s">
        <v>2269</v>
      </c>
      <c r="D265" t="s">
        <v>1857</v>
      </c>
      <c r="E265" s="527" t="s">
        <v>16919</v>
      </c>
      <c r="F265" s="219"/>
    </row>
    <row r="266" spans="1:6" ht="14.4">
      <c r="A266">
        <v>40347</v>
      </c>
      <c r="B266" t="s">
        <v>16920</v>
      </c>
      <c r="C266" t="s">
        <v>2269</v>
      </c>
      <c r="D266" t="s">
        <v>1857</v>
      </c>
      <c r="E266" s="527" t="s">
        <v>16921</v>
      </c>
      <c r="F266" s="220"/>
    </row>
    <row r="267" spans="1:6" ht="14.4">
      <c r="A267">
        <v>6138</v>
      </c>
      <c r="B267" t="s">
        <v>16922</v>
      </c>
      <c r="C267" t="s">
        <v>2269</v>
      </c>
      <c r="D267" t="s">
        <v>1857</v>
      </c>
      <c r="E267" s="527" t="s">
        <v>3608</v>
      </c>
      <c r="F267" s="219"/>
    </row>
    <row r="268" spans="1:6" ht="14.4">
      <c r="A268">
        <v>38840</v>
      </c>
      <c r="B268" t="s">
        <v>16923</v>
      </c>
      <c r="C268" t="s">
        <v>2269</v>
      </c>
      <c r="D268" t="s">
        <v>2271</v>
      </c>
      <c r="E268" s="527" t="s">
        <v>9473</v>
      </c>
      <c r="F268" s="220"/>
    </row>
    <row r="269" spans="1:6" ht="14.4">
      <c r="A269">
        <v>38841</v>
      </c>
      <c r="B269" t="s">
        <v>16924</v>
      </c>
      <c r="C269" t="s">
        <v>2269</v>
      </c>
      <c r="D269" t="s">
        <v>2271</v>
      </c>
      <c r="E269" s="527" t="s">
        <v>9508</v>
      </c>
      <c r="F269" s="219"/>
    </row>
    <row r="270" spans="1:6" ht="14.4">
      <c r="A270">
        <v>38842</v>
      </c>
      <c r="B270" t="s">
        <v>16925</v>
      </c>
      <c r="C270" t="s">
        <v>2269</v>
      </c>
      <c r="D270" t="s">
        <v>2271</v>
      </c>
      <c r="E270" s="527" t="s">
        <v>4992</v>
      </c>
      <c r="F270" s="220"/>
    </row>
    <row r="271" spans="1:6" ht="14.4">
      <c r="A271">
        <v>38843</v>
      </c>
      <c r="B271" t="s">
        <v>16926</v>
      </c>
      <c r="C271" t="s">
        <v>2269</v>
      </c>
      <c r="D271" t="s">
        <v>2271</v>
      </c>
      <c r="E271" s="527" t="s">
        <v>10189</v>
      </c>
      <c r="F271" s="219"/>
    </row>
    <row r="272" spans="1:6" ht="14.4">
      <c r="A272">
        <v>43424</v>
      </c>
      <c r="B272" t="s">
        <v>16927</v>
      </c>
      <c r="C272" t="s">
        <v>2269</v>
      </c>
      <c r="D272" t="s">
        <v>1857</v>
      </c>
      <c r="E272" s="527" t="s">
        <v>16928</v>
      </c>
      <c r="F272" s="220"/>
    </row>
    <row r="273" spans="1:6" ht="14.4">
      <c r="A273">
        <v>43426</v>
      </c>
      <c r="B273" t="s">
        <v>16929</v>
      </c>
      <c r="C273" t="s">
        <v>2269</v>
      </c>
      <c r="D273" t="s">
        <v>1857</v>
      </c>
      <c r="E273" s="527" t="s">
        <v>16930</v>
      </c>
      <c r="F273" s="219"/>
    </row>
    <row r="274" spans="1:6" ht="14.4">
      <c r="A274">
        <v>12565</v>
      </c>
      <c r="B274" t="s">
        <v>16931</v>
      </c>
      <c r="C274" t="s">
        <v>2269</v>
      </c>
      <c r="D274" t="s">
        <v>1857</v>
      </c>
      <c r="E274" s="527" t="s">
        <v>16355</v>
      </c>
      <c r="F274" s="220"/>
    </row>
    <row r="275" spans="1:6" ht="14.4">
      <c r="A275">
        <v>12567</v>
      </c>
      <c r="B275" t="s">
        <v>16932</v>
      </c>
      <c r="C275" t="s">
        <v>2269</v>
      </c>
      <c r="D275" t="s">
        <v>1857</v>
      </c>
      <c r="E275" s="527" t="s">
        <v>16933</v>
      </c>
      <c r="F275" s="219"/>
    </row>
    <row r="276" spans="1:6" ht="14.4">
      <c r="A276">
        <v>12568</v>
      </c>
      <c r="B276" t="s">
        <v>16934</v>
      </c>
      <c r="C276" t="s">
        <v>2269</v>
      </c>
      <c r="D276" t="s">
        <v>1857</v>
      </c>
      <c r="E276" s="527" t="s">
        <v>16935</v>
      </c>
      <c r="F276" s="220"/>
    </row>
    <row r="277" spans="1:6" ht="14.4">
      <c r="A277">
        <v>43441</v>
      </c>
      <c r="B277" t="s">
        <v>16936</v>
      </c>
      <c r="C277" t="s">
        <v>2269</v>
      </c>
      <c r="D277" t="s">
        <v>1857</v>
      </c>
      <c r="E277" s="527" t="s">
        <v>16937</v>
      </c>
      <c r="F277" s="219"/>
    </row>
    <row r="278" spans="1:6" ht="14.4">
      <c r="A278">
        <v>43423</v>
      </c>
      <c r="B278" t="s">
        <v>16938</v>
      </c>
      <c r="C278" t="s">
        <v>2269</v>
      </c>
      <c r="D278" t="s">
        <v>1857</v>
      </c>
      <c r="E278" s="527" t="s">
        <v>16939</v>
      </c>
      <c r="F278" s="220"/>
    </row>
    <row r="279" spans="1:6" ht="14.4">
      <c r="A279">
        <v>12532</v>
      </c>
      <c r="B279" t="s">
        <v>16940</v>
      </c>
      <c r="C279" t="s">
        <v>2269</v>
      </c>
      <c r="D279" t="s">
        <v>1857</v>
      </c>
      <c r="E279" s="527" t="s">
        <v>16941</v>
      </c>
      <c r="F279" s="219"/>
    </row>
    <row r="280" spans="1:6" ht="14.4">
      <c r="A280">
        <v>43444</v>
      </c>
      <c r="B280" t="s">
        <v>16942</v>
      </c>
      <c r="C280" t="s">
        <v>2269</v>
      </c>
      <c r="D280" t="s">
        <v>1857</v>
      </c>
      <c r="E280" s="527" t="s">
        <v>16943</v>
      </c>
      <c r="F280" s="220"/>
    </row>
    <row r="281" spans="1:6" ht="14.4">
      <c r="A281">
        <v>12551</v>
      </c>
      <c r="B281" t="s">
        <v>16944</v>
      </c>
      <c r="C281" t="s">
        <v>2269</v>
      </c>
      <c r="D281" t="s">
        <v>1857</v>
      </c>
      <c r="E281" s="527" t="s">
        <v>16945</v>
      </c>
      <c r="F281" s="219"/>
    </row>
    <row r="282" spans="1:6" ht="14.4">
      <c r="A282">
        <v>43442</v>
      </c>
      <c r="B282" t="s">
        <v>16946</v>
      </c>
      <c r="C282" t="s">
        <v>2269</v>
      </c>
      <c r="D282" t="s">
        <v>1857</v>
      </c>
      <c r="E282" s="527" t="s">
        <v>16430</v>
      </c>
      <c r="F282" s="220"/>
    </row>
    <row r="283" spans="1:6" ht="14.4">
      <c r="A283">
        <v>43443</v>
      </c>
      <c r="B283" t="s">
        <v>16947</v>
      </c>
      <c r="C283" t="s">
        <v>2269</v>
      </c>
      <c r="D283" t="s">
        <v>1857</v>
      </c>
      <c r="E283" s="527" t="s">
        <v>16948</v>
      </c>
      <c r="F283" s="219"/>
    </row>
    <row r="284" spans="1:6" ht="14.4">
      <c r="A284">
        <v>12544</v>
      </c>
      <c r="B284" t="s">
        <v>16949</v>
      </c>
      <c r="C284" t="s">
        <v>2269</v>
      </c>
      <c r="D284" t="s">
        <v>1857</v>
      </c>
      <c r="E284" s="527" t="s">
        <v>16950</v>
      </c>
      <c r="F284" s="220"/>
    </row>
    <row r="285" spans="1:6" ht="14.4">
      <c r="A285">
        <v>12547</v>
      </c>
      <c r="B285" t="s">
        <v>16951</v>
      </c>
      <c r="C285" t="s">
        <v>2269</v>
      </c>
      <c r="D285" t="s">
        <v>1857</v>
      </c>
      <c r="E285" s="527" t="s">
        <v>16952</v>
      </c>
      <c r="F285" s="219"/>
    </row>
    <row r="286" spans="1:6" ht="14.4">
      <c r="A286">
        <v>43445</v>
      </c>
      <c r="B286" t="s">
        <v>16953</v>
      </c>
      <c r="C286" t="s">
        <v>2269</v>
      </c>
      <c r="D286" t="s">
        <v>1857</v>
      </c>
      <c r="E286" s="527" t="s">
        <v>16954</v>
      </c>
      <c r="F286" s="220"/>
    </row>
    <row r="287" spans="1:6" ht="14.4">
      <c r="A287">
        <v>12563</v>
      </c>
      <c r="B287" t="s">
        <v>16955</v>
      </c>
      <c r="C287" t="s">
        <v>2269</v>
      </c>
      <c r="D287" t="s">
        <v>1857</v>
      </c>
      <c r="E287" s="527" t="s">
        <v>16956</v>
      </c>
      <c r="F287" s="219"/>
    </row>
    <row r="288" spans="1:6" ht="14.4">
      <c r="A288">
        <v>43425</v>
      </c>
      <c r="B288" t="s">
        <v>16957</v>
      </c>
      <c r="C288" t="s">
        <v>2269</v>
      </c>
      <c r="D288" t="s">
        <v>1857</v>
      </c>
      <c r="E288" s="527" t="s">
        <v>16958</v>
      </c>
      <c r="F288" s="220"/>
    </row>
    <row r="289" spans="1:6" ht="14.4">
      <c r="A289">
        <v>43446</v>
      </c>
      <c r="B289" t="s">
        <v>16959</v>
      </c>
      <c r="C289" t="s">
        <v>2269</v>
      </c>
      <c r="D289" t="s">
        <v>1857</v>
      </c>
      <c r="E289" s="527" t="s">
        <v>16960</v>
      </c>
      <c r="F289" s="219"/>
    </row>
    <row r="290" spans="1:6" ht="14.4">
      <c r="A290">
        <v>43447</v>
      </c>
      <c r="B290" t="s">
        <v>16961</v>
      </c>
      <c r="C290" t="s">
        <v>2269</v>
      </c>
      <c r="D290" t="s">
        <v>1857</v>
      </c>
      <c r="E290" s="527" t="s">
        <v>16962</v>
      </c>
      <c r="F290" s="220"/>
    </row>
    <row r="291" spans="1:6" ht="14.4">
      <c r="A291">
        <v>43448</v>
      </c>
      <c r="B291" t="s">
        <v>16963</v>
      </c>
      <c r="C291" t="s">
        <v>2269</v>
      </c>
      <c r="D291" t="s">
        <v>1857</v>
      </c>
      <c r="E291" s="527" t="s">
        <v>16964</v>
      </c>
      <c r="F291" s="219"/>
    </row>
    <row r="292" spans="1:6" ht="14.4">
      <c r="A292">
        <v>13761</v>
      </c>
      <c r="B292" t="s">
        <v>16965</v>
      </c>
      <c r="C292" t="s">
        <v>2269</v>
      </c>
      <c r="D292" t="s">
        <v>1857</v>
      </c>
      <c r="E292" s="527" t="s">
        <v>16966</v>
      </c>
      <c r="F292" s="220"/>
    </row>
    <row r="293" spans="1:6" ht="14.4">
      <c r="A293">
        <v>12888</v>
      </c>
      <c r="B293" t="s">
        <v>16967</v>
      </c>
      <c r="C293" t="s">
        <v>2277</v>
      </c>
      <c r="D293" t="s">
        <v>2271</v>
      </c>
      <c r="E293" s="527" t="s">
        <v>10649</v>
      </c>
      <c r="F293" s="219"/>
    </row>
    <row r="294" spans="1:6" ht="14.4">
      <c r="A294">
        <v>12889</v>
      </c>
      <c r="B294" t="s">
        <v>16968</v>
      </c>
      <c r="C294" t="s">
        <v>2277</v>
      </c>
      <c r="D294" t="s">
        <v>2271</v>
      </c>
      <c r="E294" s="527" t="s">
        <v>15147</v>
      </c>
      <c r="F294" s="220"/>
    </row>
    <row r="295" spans="1:6" ht="14.4">
      <c r="A295">
        <v>4814</v>
      </c>
      <c r="B295" t="s">
        <v>16969</v>
      </c>
      <c r="C295" t="s">
        <v>2269</v>
      </c>
      <c r="D295" t="s">
        <v>1857</v>
      </c>
      <c r="E295" s="527" t="s">
        <v>16970</v>
      </c>
      <c r="F295" s="219"/>
    </row>
    <row r="296" spans="1:6" ht="14.4">
      <c r="A296">
        <v>25967</v>
      </c>
      <c r="B296" t="s">
        <v>16971</v>
      </c>
      <c r="C296" t="s">
        <v>2269</v>
      </c>
      <c r="D296" t="s">
        <v>2271</v>
      </c>
      <c r="E296" s="527" t="s">
        <v>16972</v>
      </c>
      <c r="F296" s="220"/>
    </row>
    <row r="297" spans="1:6" ht="14.4">
      <c r="A297">
        <v>6122</v>
      </c>
      <c r="B297" t="s">
        <v>16973</v>
      </c>
      <c r="C297" t="s">
        <v>2267</v>
      </c>
      <c r="D297" t="s">
        <v>1857</v>
      </c>
      <c r="E297" s="527" t="s">
        <v>4048</v>
      </c>
      <c r="F297" s="219"/>
    </row>
    <row r="298" spans="1:6" ht="14.4">
      <c r="A298">
        <v>40810</v>
      </c>
      <c r="B298" t="s">
        <v>16974</v>
      </c>
      <c r="C298" t="s">
        <v>2276</v>
      </c>
      <c r="D298" t="s">
        <v>1857</v>
      </c>
      <c r="E298" s="527" t="s">
        <v>16975</v>
      </c>
      <c r="F298" s="220"/>
    </row>
    <row r="299" spans="1:6" ht="14.4">
      <c r="A299">
        <v>21100</v>
      </c>
      <c r="B299" t="s">
        <v>16976</v>
      </c>
      <c r="C299" t="s">
        <v>2269</v>
      </c>
      <c r="D299" t="s">
        <v>2271</v>
      </c>
      <c r="E299" s="527" t="s">
        <v>15148</v>
      </c>
      <c r="F299" s="219"/>
    </row>
    <row r="300" spans="1:6" ht="14.4">
      <c r="A300">
        <v>11816</v>
      </c>
      <c r="B300" t="s">
        <v>16977</v>
      </c>
      <c r="C300" t="s">
        <v>2269</v>
      </c>
      <c r="D300" t="s">
        <v>2271</v>
      </c>
      <c r="E300" s="527" t="s">
        <v>15149</v>
      </c>
      <c r="F300" s="220"/>
    </row>
    <row r="301" spans="1:6" ht="14.4">
      <c r="A301">
        <v>11814</v>
      </c>
      <c r="B301" t="s">
        <v>16978</v>
      </c>
      <c r="C301" t="s">
        <v>2269</v>
      </c>
      <c r="D301" t="s">
        <v>2271</v>
      </c>
      <c r="E301" s="527" t="s">
        <v>15150</v>
      </c>
      <c r="F301" s="219"/>
    </row>
    <row r="302" spans="1:6" ht="14.4">
      <c r="A302">
        <v>14186</v>
      </c>
      <c r="B302" t="s">
        <v>16979</v>
      </c>
      <c r="C302" t="s">
        <v>2269</v>
      </c>
      <c r="D302" t="s">
        <v>2271</v>
      </c>
      <c r="E302" s="527" t="s">
        <v>15151</v>
      </c>
      <c r="F302" s="220"/>
    </row>
    <row r="303" spans="1:6" ht="14.4">
      <c r="A303">
        <v>14185</v>
      </c>
      <c r="B303" t="s">
        <v>16980</v>
      </c>
      <c r="C303" t="s">
        <v>2269</v>
      </c>
      <c r="D303" t="s">
        <v>2271</v>
      </c>
      <c r="E303" s="527" t="s">
        <v>15152</v>
      </c>
      <c r="F303" s="219"/>
    </row>
    <row r="304" spans="1:6" ht="14.4">
      <c r="A304">
        <v>11811</v>
      </c>
      <c r="B304" t="s">
        <v>16981</v>
      </c>
      <c r="C304" t="s">
        <v>2269</v>
      </c>
      <c r="D304" t="s">
        <v>2271</v>
      </c>
      <c r="E304" s="527" t="s">
        <v>15153</v>
      </c>
      <c r="F304" s="220"/>
    </row>
    <row r="305" spans="1:6" ht="14.4">
      <c r="A305">
        <v>26038</v>
      </c>
      <c r="B305" t="s">
        <v>16982</v>
      </c>
      <c r="C305" t="s">
        <v>2269</v>
      </c>
      <c r="D305" t="s">
        <v>2271</v>
      </c>
      <c r="E305" s="527" t="s">
        <v>16983</v>
      </c>
      <c r="F305" s="219"/>
    </row>
    <row r="306" spans="1:6" ht="14.4">
      <c r="A306">
        <v>34482</v>
      </c>
      <c r="B306" t="s">
        <v>16984</v>
      </c>
      <c r="C306" t="s">
        <v>2269</v>
      </c>
      <c r="D306" t="s">
        <v>2271</v>
      </c>
      <c r="E306" s="527" t="s">
        <v>15154</v>
      </c>
      <c r="F306" s="220"/>
    </row>
    <row r="307" spans="1:6" ht="14.4">
      <c r="A307">
        <v>34469</v>
      </c>
      <c r="B307" t="s">
        <v>16985</v>
      </c>
      <c r="C307" t="s">
        <v>2269</v>
      </c>
      <c r="D307" t="s">
        <v>2271</v>
      </c>
      <c r="E307" s="527" t="s">
        <v>15155</v>
      </c>
      <c r="F307" s="219"/>
    </row>
    <row r="308" spans="1:6" ht="14.4">
      <c r="A308">
        <v>34472</v>
      </c>
      <c r="B308" t="s">
        <v>16986</v>
      </c>
      <c r="C308" t="s">
        <v>2269</v>
      </c>
      <c r="D308" t="s">
        <v>2271</v>
      </c>
      <c r="E308" s="527" t="s">
        <v>15156</v>
      </c>
      <c r="F308" s="220"/>
    </row>
    <row r="309" spans="1:6" ht="14.4">
      <c r="A309">
        <v>34476</v>
      </c>
      <c r="B309" t="s">
        <v>16987</v>
      </c>
      <c r="C309" t="s">
        <v>2269</v>
      </c>
      <c r="D309" t="s">
        <v>2271</v>
      </c>
      <c r="E309" s="527" t="s">
        <v>15157</v>
      </c>
      <c r="F309" s="219"/>
    </row>
    <row r="310" spans="1:6" ht="14.4">
      <c r="A310">
        <v>34477</v>
      </c>
      <c r="B310" t="s">
        <v>16988</v>
      </c>
      <c r="C310" t="s">
        <v>2269</v>
      </c>
      <c r="D310" t="s">
        <v>2271</v>
      </c>
      <c r="E310" s="527" t="s">
        <v>15158</v>
      </c>
      <c r="F310" s="220"/>
    </row>
    <row r="311" spans="1:6" ht="14.4">
      <c r="A311">
        <v>42425</v>
      </c>
      <c r="B311" t="s">
        <v>16989</v>
      </c>
      <c r="C311" t="s">
        <v>2269</v>
      </c>
      <c r="D311" t="s">
        <v>1857</v>
      </c>
      <c r="E311" s="527" t="s">
        <v>16990</v>
      </c>
      <c r="F311" s="219"/>
    </row>
    <row r="312" spans="1:6" ht="14.4">
      <c r="A312">
        <v>42422</v>
      </c>
      <c r="B312" t="s">
        <v>16991</v>
      </c>
      <c r="C312" t="s">
        <v>2269</v>
      </c>
      <c r="D312" t="s">
        <v>2268</v>
      </c>
      <c r="E312" s="527" t="s">
        <v>16992</v>
      </c>
      <c r="F312" s="220"/>
    </row>
    <row r="313" spans="1:6" ht="14.4">
      <c r="A313">
        <v>43184</v>
      </c>
      <c r="B313" t="s">
        <v>16993</v>
      </c>
      <c r="C313" t="s">
        <v>2269</v>
      </c>
      <c r="D313" t="s">
        <v>1857</v>
      </c>
      <c r="E313" s="527" t="s">
        <v>16994</v>
      </c>
      <c r="F313" s="219"/>
    </row>
    <row r="314" spans="1:6" ht="14.4">
      <c r="A314">
        <v>42424</v>
      </c>
      <c r="B314" t="s">
        <v>16995</v>
      </c>
      <c r="C314" t="s">
        <v>2269</v>
      </c>
      <c r="D314" t="s">
        <v>1857</v>
      </c>
      <c r="E314" s="527" t="s">
        <v>16996</v>
      </c>
      <c r="F314" s="220"/>
    </row>
    <row r="315" spans="1:6" ht="14.4">
      <c r="A315">
        <v>42421</v>
      </c>
      <c r="B315" t="s">
        <v>16997</v>
      </c>
      <c r="C315" t="s">
        <v>2269</v>
      </c>
      <c r="D315" t="s">
        <v>1857</v>
      </c>
      <c r="E315" s="527" t="s">
        <v>16998</v>
      </c>
      <c r="F315" s="219"/>
    </row>
    <row r="316" spans="1:6" ht="14.4">
      <c r="A316">
        <v>42416</v>
      </c>
      <c r="B316" t="s">
        <v>16999</v>
      </c>
      <c r="C316" t="s">
        <v>2269</v>
      </c>
      <c r="D316" t="s">
        <v>1857</v>
      </c>
      <c r="E316" s="527" t="s">
        <v>17000</v>
      </c>
      <c r="F316" s="220"/>
    </row>
    <row r="317" spans="1:6" ht="14.4">
      <c r="A317">
        <v>42417</v>
      </c>
      <c r="B317" t="s">
        <v>17001</v>
      </c>
      <c r="C317" t="s">
        <v>2269</v>
      </c>
      <c r="D317" t="s">
        <v>1857</v>
      </c>
      <c r="E317" s="527" t="s">
        <v>17002</v>
      </c>
      <c r="F317" s="219"/>
    </row>
    <row r="318" spans="1:6" ht="14.4">
      <c r="A318">
        <v>42419</v>
      </c>
      <c r="B318" t="s">
        <v>17003</v>
      </c>
      <c r="C318" t="s">
        <v>2269</v>
      </c>
      <c r="D318" t="s">
        <v>1857</v>
      </c>
      <c r="E318" s="527" t="s">
        <v>17004</v>
      </c>
      <c r="F318" s="220"/>
    </row>
    <row r="319" spans="1:6" ht="14.4">
      <c r="A319">
        <v>42420</v>
      </c>
      <c r="B319" t="s">
        <v>17005</v>
      </c>
      <c r="C319" t="s">
        <v>2269</v>
      </c>
      <c r="D319" t="s">
        <v>1857</v>
      </c>
      <c r="E319" s="527" t="s">
        <v>17006</v>
      </c>
      <c r="F319" s="219"/>
    </row>
    <row r="320" spans="1:6" ht="14.4">
      <c r="A320">
        <v>43195</v>
      </c>
      <c r="B320" t="s">
        <v>17007</v>
      </c>
      <c r="C320" t="s">
        <v>2269</v>
      </c>
      <c r="D320" t="s">
        <v>1857</v>
      </c>
      <c r="E320" s="527" t="s">
        <v>17008</v>
      </c>
      <c r="F320" s="220"/>
    </row>
    <row r="321" spans="1:6" ht="14.4">
      <c r="A321">
        <v>43196</v>
      </c>
      <c r="B321" t="s">
        <v>17009</v>
      </c>
      <c r="C321" t="s">
        <v>2269</v>
      </c>
      <c r="D321" t="s">
        <v>1857</v>
      </c>
      <c r="E321" s="527" t="s">
        <v>17010</v>
      </c>
      <c r="F321" s="219"/>
    </row>
    <row r="322" spans="1:6" ht="14.4">
      <c r="A322">
        <v>43198</v>
      </c>
      <c r="B322" t="s">
        <v>17011</v>
      </c>
      <c r="C322" t="s">
        <v>2269</v>
      </c>
      <c r="D322" t="s">
        <v>1857</v>
      </c>
      <c r="E322" s="527" t="s">
        <v>17012</v>
      </c>
      <c r="F322" s="220"/>
    </row>
    <row r="323" spans="1:6" ht="14.4">
      <c r="A323">
        <v>43199</v>
      </c>
      <c r="B323" t="s">
        <v>17013</v>
      </c>
      <c r="C323" t="s">
        <v>2269</v>
      </c>
      <c r="D323" t="s">
        <v>1857</v>
      </c>
      <c r="E323" s="527" t="s">
        <v>17014</v>
      </c>
      <c r="F323" s="219"/>
    </row>
    <row r="324" spans="1:6" ht="14.4">
      <c r="A324">
        <v>43200</v>
      </c>
      <c r="B324" t="s">
        <v>17015</v>
      </c>
      <c r="C324" t="s">
        <v>2269</v>
      </c>
      <c r="D324" t="s">
        <v>1857</v>
      </c>
      <c r="E324" s="527" t="s">
        <v>17016</v>
      </c>
      <c r="F324" s="220"/>
    </row>
    <row r="325" spans="1:6" ht="14.4">
      <c r="A325">
        <v>39556</v>
      </c>
      <c r="B325" t="s">
        <v>17017</v>
      </c>
      <c r="C325" t="s">
        <v>2269</v>
      </c>
      <c r="D325" t="s">
        <v>1857</v>
      </c>
      <c r="E325" s="527" t="s">
        <v>17018</v>
      </c>
      <c r="F325" s="219"/>
    </row>
    <row r="326" spans="1:6" ht="14.4">
      <c r="A326">
        <v>39557</v>
      </c>
      <c r="B326" t="s">
        <v>17019</v>
      </c>
      <c r="C326" t="s">
        <v>2269</v>
      </c>
      <c r="D326" t="s">
        <v>1857</v>
      </c>
      <c r="E326" s="527" t="s">
        <v>17020</v>
      </c>
      <c r="F326" s="220"/>
    </row>
    <row r="327" spans="1:6" ht="14.4">
      <c r="A327">
        <v>39559</v>
      </c>
      <c r="B327" t="s">
        <v>17021</v>
      </c>
      <c r="C327" t="s">
        <v>2269</v>
      </c>
      <c r="D327" t="s">
        <v>1857</v>
      </c>
      <c r="E327" s="527" t="s">
        <v>17022</v>
      </c>
      <c r="F327" s="219"/>
    </row>
    <row r="328" spans="1:6" ht="14.4">
      <c r="A328">
        <v>39560</v>
      </c>
      <c r="B328" t="s">
        <v>17023</v>
      </c>
      <c r="C328" t="s">
        <v>2269</v>
      </c>
      <c r="D328" t="s">
        <v>1857</v>
      </c>
      <c r="E328" s="527" t="s">
        <v>17024</v>
      </c>
      <c r="F328" s="220"/>
    </row>
    <row r="329" spans="1:6" ht="14.4">
      <c r="A329">
        <v>39561</v>
      </c>
      <c r="B329" t="s">
        <v>17025</v>
      </c>
      <c r="C329" t="s">
        <v>2269</v>
      </c>
      <c r="D329" t="s">
        <v>1857</v>
      </c>
      <c r="E329" s="527" t="s">
        <v>17026</v>
      </c>
      <c r="F329" s="219"/>
    </row>
    <row r="330" spans="1:6" ht="14.4">
      <c r="A330">
        <v>43190</v>
      </c>
      <c r="B330" t="s">
        <v>17027</v>
      </c>
      <c r="C330" t="s">
        <v>2269</v>
      </c>
      <c r="D330" t="s">
        <v>1857</v>
      </c>
      <c r="E330" s="527" t="s">
        <v>17028</v>
      </c>
      <c r="F330" s="220"/>
    </row>
    <row r="331" spans="1:6" ht="14.4">
      <c r="A331">
        <v>39555</v>
      </c>
      <c r="B331" t="s">
        <v>17029</v>
      </c>
      <c r="C331" t="s">
        <v>2269</v>
      </c>
      <c r="D331" t="s">
        <v>1857</v>
      </c>
      <c r="E331" s="527" t="s">
        <v>17030</v>
      </c>
      <c r="F331" s="219"/>
    </row>
    <row r="332" spans="1:6" ht="14.4">
      <c r="A332">
        <v>43191</v>
      </c>
      <c r="B332" t="s">
        <v>17031</v>
      </c>
      <c r="C332" t="s">
        <v>2269</v>
      </c>
      <c r="D332" t="s">
        <v>1857</v>
      </c>
      <c r="E332" s="527" t="s">
        <v>17032</v>
      </c>
      <c r="F332" s="220"/>
    </row>
    <row r="333" spans="1:6" ht="14.4">
      <c r="A333">
        <v>39548</v>
      </c>
      <c r="B333" t="s">
        <v>17033</v>
      </c>
      <c r="C333" t="s">
        <v>2269</v>
      </c>
      <c r="D333" t="s">
        <v>1857</v>
      </c>
      <c r="E333" s="527" t="s">
        <v>17034</v>
      </c>
      <c r="F333" s="219"/>
    </row>
    <row r="334" spans="1:6" ht="14.4">
      <c r="A334">
        <v>43192</v>
      </c>
      <c r="B334" t="s">
        <v>17035</v>
      </c>
      <c r="C334" t="s">
        <v>2269</v>
      </c>
      <c r="D334" t="s">
        <v>1857</v>
      </c>
      <c r="E334" s="527" t="s">
        <v>17036</v>
      </c>
      <c r="F334" s="220"/>
    </row>
    <row r="335" spans="1:6" ht="14.4">
      <c r="A335">
        <v>39554</v>
      </c>
      <c r="B335" t="s">
        <v>17037</v>
      </c>
      <c r="C335" t="s">
        <v>2269</v>
      </c>
      <c r="D335" t="s">
        <v>1857</v>
      </c>
      <c r="E335" s="527" t="s">
        <v>17038</v>
      </c>
      <c r="F335" s="219"/>
    </row>
    <row r="336" spans="1:6" ht="14.4">
      <c r="A336">
        <v>43194</v>
      </c>
      <c r="B336" t="s">
        <v>17039</v>
      </c>
      <c r="C336" t="s">
        <v>2269</v>
      </c>
      <c r="D336" t="s">
        <v>1857</v>
      </c>
      <c r="E336" s="527" t="s">
        <v>17040</v>
      </c>
      <c r="F336" s="220"/>
    </row>
    <row r="337" spans="1:6" ht="14.4">
      <c r="A337">
        <v>39551</v>
      </c>
      <c r="B337" t="s">
        <v>17041</v>
      </c>
      <c r="C337" t="s">
        <v>2269</v>
      </c>
      <c r="D337" t="s">
        <v>1857</v>
      </c>
      <c r="E337" s="527" t="s">
        <v>17042</v>
      </c>
      <c r="F337" s="219"/>
    </row>
    <row r="338" spans="1:6" ht="14.4">
      <c r="A338">
        <v>43185</v>
      </c>
      <c r="B338" t="s">
        <v>17043</v>
      </c>
      <c r="C338" t="s">
        <v>2269</v>
      </c>
      <c r="D338" t="s">
        <v>1857</v>
      </c>
      <c r="E338" s="527" t="s">
        <v>17044</v>
      </c>
      <c r="F338" s="220"/>
    </row>
    <row r="339" spans="1:6" ht="14.4">
      <c r="A339">
        <v>43186</v>
      </c>
      <c r="B339" t="s">
        <v>17045</v>
      </c>
      <c r="C339" t="s">
        <v>2269</v>
      </c>
      <c r="D339" t="s">
        <v>1857</v>
      </c>
      <c r="E339" s="527" t="s">
        <v>17046</v>
      </c>
      <c r="F339" s="219"/>
    </row>
    <row r="340" spans="1:6" ht="14.4">
      <c r="A340">
        <v>43187</v>
      </c>
      <c r="B340" t="s">
        <v>17047</v>
      </c>
      <c r="C340" t="s">
        <v>2269</v>
      </c>
      <c r="D340" t="s">
        <v>1857</v>
      </c>
      <c r="E340" s="527" t="s">
        <v>17048</v>
      </c>
      <c r="F340" s="220"/>
    </row>
    <row r="341" spans="1:6" ht="14.4">
      <c r="A341">
        <v>43188</v>
      </c>
      <c r="B341" t="s">
        <v>17049</v>
      </c>
      <c r="C341" t="s">
        <v>2269</v>
      </c>
      <c r="D341" t="s">
        <v>1857</v>
      </c>
      <c r="E341" s="527" t="s">
        <v>17050</v>
      </c>
      <c r="F341" s="219"/>
    </row>
    <row r="342" spans="1:6" ht="14.4">
      <c r="A342">
        <v>43189</v>
      </c>
      <c r="B342" t="s">
        <v>17051</v>
      </c>
      <c r="C342" t="s">
        <v>2269</v>
      </c>
      <c r="D342" t="s">
        <v>1857</v>
      </c>
      <c r="E342" s="527" t="s">
        <v>17052</v>
      </c>
      <c r="F342" s="220"/>
    </row>
    <row r="343" spans="1:6" ht="14.4">
      <c r="A343">
        <v>39580</v>
      </c>
      <c r="B343" t="s">
        <v>17053</v>
      </c>
      <c r="C343" t="s">
        <v>2269</v>
      </c>
      <c r="D343" t="s">
        <v>1857</v>
      </c>
      <c r="E343" s="527" t="s">
        <v>17054</v>
      </c>
      <c r="F343" s="219"/>
    </row>
    <row r="344" spans="1:6" ht="14.4">
      <c r="A344">
        <v>39577</v>
      </c>
      <c r="B344" t="s">
        <v>17055</v>
      </c>
      <c r="C344" t="s">
        <v>2269</v>
      </c>
      <c r="D344" t="s">
        <v>1857</v>
      </c>
      <c r="E344" s="527" t="s">
        <v>17056</v>
      </c>
      <c r="F344" s="220"/>
    </row>
    <row r="345" spans="1:6" ht="14.4">
      <c r="A345">
        <v>39578</v>
      </c>
      <c r="B345" t="s">
        <v>17057</v>
      </c>
      <c r="C345" t="s">
        <v>2269</v>
      </c>
      <c r="D345" t="s">
        <v>1857</v>
      </c>
      <c r="E345" s="527" t="s">
        <v>17058</v>
      </c>
      <c r="F345" s="219"/>
    </row>
    <row r="346" spans="1:6" ht="14.4">
      <c r="A346">
        <v>39579</v>
      </c>
      <c r="B346" t="s">
        <v>17059</v>
      </c>
      <c r="C346" t="s">
        <v>2269</v>
      </c>
      <c r="D346" t="s">
        <v>1857</v>
      </c>
      <c r="E346" s="527" t="s">
        <v>17060</v>
      </c>
      <c r="F346" s="220"/>
    </row>
    <row r="347" spans="1:6" ht="14.4">
      <c r="A347">
        <v>39826</v>
      </c>
      <c r="B347" t="s">
        <v>17061</v>
      </c>
      <c r="C347" t="s">
        <v>2269</v>
      </c>
      <c r="D347" t="s">
        <v>1857</v>
      </c>
      <c r="E347" s="527" t="s">
        <v>17062</v>
      </c>
      <c r="F347" s="219"/>
    </row>
    <row r="348" spans="1:6" ht="14.4">
      <c r="A348">
        <v>10700</v>
      </c>
      <c r="B348" t="s">
        <v>17063</v>
      </c>
      <c r="C348" t="s">
        <v>2269</v>
      </c>
      <c r="D348" t="s">
        <v>2271</v>
      </c>
      <c r="E348" s="527" t="s">
        <v>17064</v>
      </c>
      <c r="F348" s="220"/>
    </row>
    <row r="349" spans="1:6" ht="14.4">
      <c r="A349">
        <v>346</v>
      </c>
      <c r="B349" t="s">
        <v>17065</v>
      </c>
      <c r="C349" t="s">
        <v>2274</v>
      </c>
      <c r="D349" t="s">
        <v>1857</v>
      </c>
      <c r="E349" s="527" t="s">
        <v>16869</v>
      </c>
      <c r="F349" s="219"/>
    </row>
    <row r="350" spans="1:6" ht="14.4">
      <c r="A350">
        <v>3312</v>
      </c>
      <c r="B350" t="s">
        <v>17066</v>
      </c>
      <c r="C350" t="s">
        <v>2274</v>
      </c>
      <c r="D350" t="s">
        <v>2271</v>
      </c>
      <c r="E350" s="527" t="s">
        <v>9923</v>
      </c>
      <c r="F350" s="220"/>
    </row>
    <row r="351" spans="1:6" ht="14.4">
      <c r="A351">
        <v>339</v>
      </c>
      <c r="B351" t="s">
        <v>17067</v>
      </c>
      <c r="C351" t="s">
        <v>2273</v>
      </c>
      <c r="D351" t="s">
        <v>1857</v>
      </c>
      <c r="E351" s="527" t="s">
        <v>4153</v>
      </c>
      <c r="F351" s="219"/>
    </row>
    <row r="352" spans="1:6" ht="14.4">
      <c r="A352">
        <v>340</v>
      </c>
      <c r="B352" t="s">
        <v>17068</v>
      </c>
      <c r="C352" t="s">
        <v>2273</v>
      </c>
      <c r="D352" t="s">
        <v>1857</v>
      </c>
      <c r="E352" s="527" t="s">
        <v>3004</v>
      </c>
      <c r="F352" s="220"/>
    </row>
    <row r="353" spans="1:6" ht="14.4">
      <c r="A353">
        <v>43130</v>
      </c>
      <c r="B353" t="s">
        <v>17069</v>
      </c>
      <c r="C353" t="s">
        <v>2274</v>
      </c>
      <c r="D353" t="s">
        <v>2268</v>
      </c>
      <c r="E353" s="527" t="s">
        <v>7482</v>
      </c>
      <c r="F353" s="219"/>
    </row>
    <row r="354" spans="1:6" ht="14.4">
      <c r="A354">
        <v>344</v>
      </c>
      <c r="B354" t="s">
        <v>17070</v>
      </c>
      <c r="C354" t="s">
        <v>2274</v>
      </c>
      <c r="D354" t="s">
        <v>1857</v>
      </c>
      <c r="E354" s="527" t="s">
        <v>9574</v>
      </c>
      <c r="F354" s="220"/>
    </row>
    <row r="355" spans="1:6" ht="14.4">
      <c r="A355">
        <v>345</v>
      </c>
      <c r="B355" t="s">
        <v>17071</v>
      </c>
      <c r="C355" t="s">
        <v>2274</v>
      </c>
      <c r="D355" t="s">
        <v>1857</v>
      </c>
      <c r="E355" s="527" t="s">
        <v>16228</v>
      </c>
      <c r="F355" s="219"/>
    </row>
    <row r="356" spans="1:6" ht="14.4">
      <c r="A356">
        <v>43131</v>
      </c>
      <c r="B356" t="s">
        <v>17072</v>
      </c>
      <c r="C356" t="s">
        <v>2274</v>
      </c>
      <c r="D356" t="s">
        <v>1857</v>
      </c>
      <c r="E356" s="527" t="s">
        <v>9924</v>
      </c>
      <c r="F356" s="220"/>
    </row>
    <row r="357" spans="1:6" ht="14.4">
      <c r="A357">
        <v>3313</v>
      </c>
      <c r="B357" t="s">
        <v>17073</v>
      </c>
      <c r="C357" t="s">
        <v>2274</v>
      </c>
      <c r="D357" t="s">
        <v>2271</v>
      </c>
      <c r="E357" s="527" t="s">
        <v>15160</v>
      </c>
      <c r="F357" s="219"/>
    </row>
    <row r="358" spans="1:6" ht="14.4">
      <c r="A358">
        <v>43132</v>
      </c>
      <c r="B358" t="s">
        <v>17074</v>
      </c>
      <c r="C358" t="s">
        <v>2274</v>
      </c>
      <c r="D358" t="s">
        <v>1857</v>
      </c>
      <c r="E358" s="527" t="s">
        <v>7482</v>
      </c>
      <c r="F358" s="220"/>
    </row>
    <row r="359" spans="1:6" ht="14.4">
      <c r="A359">
        <v>366</v>
      </c>
      <c r="B359" t="s">
        <v>17075</v>
      </c>
      <c r="C359" t="s">
        <v>2272</v>
      </c>
      <c r="D359" t="s">
        <v>2268</v>
      </c>
      <c r="E359" s="527" t="s">
        <v>11693</v>
      </c>
      <c r="F359" s="219"/>
    </row>
    <row r="360" spans="1:6" ht="14.4">
      <c r="A360">
        <v>367</v>
      </c>
      <c r="B360" t="s">
        <v>17076</v>
      </c>
      <c r="C360" t="s">
        <v>2272</v>
      </c>
      <c r="D360" t="s">
        <v>2268</v>
      </c>
      <c r="E360" s="527" t="s">
        <v>11635</v>
      </c>
      <c r="F360" s="220"/>
    </row>
    <row r="361" spans="1:6" ht="14.4">
      <c r="A361">
        <v>370</v>
      </c>
      <c r="B361" t="s">
        <v>17077</v>
      </c>
      <c r="C361" t="s">
        <v>2272</v>
      </c>
      <c r="D361" t="s">
        <v>2268</v>
      </c>
      <c r="E361" s="527" t="s">
        <v>15161</v>
      </c>
      <c r="F361" s="219"/>
    </row>
    <row r="362" spans="1:6" ht="14.4">
      <c r="A362">
        <v>368</v>
      </c>
      <c r="B362" t="s">
        <v>17078</v>
      </c>
      <c r="C362" t="s">
        <v>2272</v>
      </c>
      <c r="D362" t="s">
        <v>1857</v>
      </c>
      <c r="E362" s="527" t="s">
        <v>15161</v>
      </c>
      <c r="F362" s="220"/>
    </row>
    <row r="363" spans="1:6" ht="14.4">
      <c r="A363">
        <v>11075</v>
      </c>
      <c r="B363" t="s">
        <v>17079</v>
      </c>
      <c r="C363" t="s">
        <v>2272</v>
      </c>
      <c r="D363" t="s">
        <v>1857</v>
      </c>
      <c r="E363" s="527" t="s">
        <v>17080</v>
      </c>
      <c r="F363" s="219"/>
    </row>
    <row r="364" spans="1:6" ht="14.4">
      <c r="A364">
        <v>1381</v>
      </c>
      <c r="B364" t="s">
        <v>17081</v>
      </c>
      <c r="C364" t="s">
        <v>2274</v>
      </c>
      <c r="D364" t="s">
        <v>2268</v>
      </c>
      <c r="E364" s="527" t="s">
        <v>3571</v>
      </c>
      <c r="F364" s="220"/>
    </row>
    <row r="365" spans="1:6" ht="14.4">
      <c r="A365">
        <v>34353</v>
      </c>
      <c r="B365" t="s">
        <v>17082</v>
      </c>
      <c r="C365" t="s">
        <v>2274</v>
      </c>
      <c r="D365" t="s">
        <v>1857</v>
      </c>
      <c r="E365" s="527" t="s">
        <v>7334</v>
      </c>
      <c r="F365" s="219"/>
    </row>
    <row r="366" spans="1:6" ht="14.4">
      <c r="A366">
        <v>37595</v>
      </c>
      <c r="B366" t="s">
        <v>17083</v>
      </c>
      <c r="C366" t="s">
        <v>2274</v>
      </c>
      <c r="D366" t="s">
        <v>1857</v>
      </c>
      <c r="E366" s="527" t="s">
        <v>3461</v>
      </c>
      <c r="F366" s="220"/>
    </row>
    <row r="367" spans="1:6" ht="14.4">
      <c r="A367">
        <v>37596</v>
      </c>
      <c r="B367" t="s">
        <v>17084</v>
      </c>
      <c r="C367" t="s">
        <v>2274</v>
      </c>
      <c r="D367" t="s">
        <v>1857</v>
      </c>
      <c r="E367" s="527" t="s">
        <v>7264</v>
      </c>
      <c r="F367" s="219"/>
    </row>
    <row r="368" spans="1:6" ht="14.4">
      <c r="A368">
        <v>371</v>
      </c>
      <c r="B368" t="s">
        <v>17085</v>
      </c>
      <c r="C368" t="s">
        <v>2274</v>
      </c>
      <c r="D368" t="s">
        <v>1857</v>
      </c>
      <c r="E368" s="527" t="s">
        <v>3817</v>
      </c>
      <c r="F368" s="220"/>
    </row>
    <row r="369" spans="1:6" ht="14.4">
      <c r="A369">
        <v>37553</v>
      </c>
      <c r="B369" t="s">
        <v>17086</v>
      </c>
      <c r="C369" t="s">
        <v>2274</v>
      </c>
      <c r="D369" t="s">
        <v>1857</v>
      </c>
      <c r="E369" s="527" t="s">
        <v>3918</v>
      </c>
      <c r="F369" s="219"/>
    </row>
    <row r="370" spans="1:6" ht="14.4">
      <c r="A370">
        <v>37552</v>
      </c>
      <c r="B370" t="s">
        <v>17087</v>
      </c>
      <c r="C370" t="s">
        <v>2274</v>
      </c>
      <c r="D370" t="s">
        <v>1857</v>
      </c>
      <c r="E370" s="527" t="s">
        <v>7226</v>
      </c>
      <c r="F370" s="220"/>
    </row>
    <row r="371" spans="1:6" ht="14.4">
      <c r="A371">
        <v>36880</v>
      </c>
      <c r="B371" t="s">
        <v>17088</v>
      </c>
      <c r="C371" t="s">
        <v>2274</v>
      </c>
      <c r="D371" t="s">
        <v>1857</v>
      </c>
      <c r="E371" s="527" t="s">
        <v>3098</v>
      </c>
      <c r="F371" s="219"/>
    </row>
    <row r="372" spans="1:6" ht="14.4">
      <c r="A372">
        <v>34355</v>
      </c>
      <c r="B372" t="s">
        <v>17089</v>
      </c>
      <c r="C372" t="s">
        <v>2274</v>
      </c>
      <c r="D372" t="s">
        <v>1857</v>
      </c>
      <c r="E372" s="527" t="s">
        <v>7246</v>
      </c>
      <c r="F372" s="220"/>
    </row>
    <row r="373" spans="1:6" ht="14.4">
      <c r="A373">
        <v>130</v>
      </c>
      <c r="B373" t="s">
        <v>17090</v>
      </c>
      <c r="C373" t="s">
        <v>2274</v>
      </c>
      <c r="D373" t="s">
        <v>1857</v>
      </c>
      <c r="E373" s="527" t="s">
        <v>7953</v>
      </c>
      <c r="F373" s="219"/>
    </row>
    <row r="374" spans="1:6" ht="14.4">
      <c r="A374">
        <v>135</v>
      </c>
      <c r="B374" t="s">
        <v>17091</v>
      </c>
      <c r="C374" t="s">
        <v>2274</v>
      </c>
      <c r="D374" t="s">
        <v>1857</v>
      </c>
      <c r="E374" s="527" t="s">
        <v>16558</v>
      </c>
      <c r="F374" s="220"/>
    </row>
    <row r="375" spans="1:6" ht="14.4">
      <c r="A375">
        <v>36886</v>
      </c>
      <c r="B375" t="s">
        <v>17092</v>
      </c>
      <c r="C375" t="s">
        <v>2274</v>
      </c>
      <c r="D375" t="s">
        <v>1857</v>
      </c>
      <c r="E375" s="527" t="s">
        <v>3305</v>
      </c>
      <c r="F375" s="219"/>
    </row>
    <row r="376" spans="1:6" ht="14.4">
      <c r="A376">
        <v>38546</v>
      </c>
      <c r="B376" t="s">
        <v>17093</v>
      </c>
      <c r="C376" t="s">
        <v>2272</v>
      </c>
      <c r="D376" t="s">
        <v>1857</v>
      </c>
      <c r="E376" s="527" t="s">
        <v>17094</v>
      </c>
      <c r="F376" s="220"/>
    </row>
    <row r="377" spans="1:6" ht="14.4">
      <c r="A377">
        <v>34549</v>
      </c>
      <c r="B377" t="s">
        <v>17095</v>
      </c>
      <c r="C377" t="s">
        <v>2272</v>
      </c>
      <c r="D377" t="s">
        <v>1857</v>
      </c>
      <c r="E377" s="527" t="s">
        <v>15260</v>
      </c>
      <c r="F377" s="219"/>
    </row>
    <row r="378" spans="1:6" ht="14.4">
      <c r="A378">
        <v>6081</v>
      </c>
      <c r="B378" t="s">
        <v>17096</v>
      </c>
      <c r="C378" t="s">
        <v>2272</v>
      </c>
      <c r="D378" t="s">
        <v>1857</v>
      </c>
      <c r="E378" s="527" t="s">
        <v>16544</v>
      </c>
      <c r="F378" s="220"/>
    </row>
    <row r="379" spans="1:6" ht="14.4">
      <c r="A379">
        <v>6077</v>
      </c>
      <c r="B379" t="s">
        <v>17097</v>
      </c>
      <c r="C379" t="s">
        <v>2272</v>
      </c>
      <c r="D379" t="s">
        <v>1857</v>
      </c>
      <c r="E379" s="527" t="s">
        <v>16575</v>
      </c>
      <c r="F379" s="219"/>
    </row>
    <row r="380" spans="1:6" ht="14.4">
      <c r="A380">
        <v>6079</v>
      </c>
      <c r="B380" t="s">
        <v>17098</v>
      </c>
      <c r="C380" t="s">
        <v>2272</v>
      </c>
      <c r="D380" t="s">
        <v>1857</v>
      </c>
      <c r="E380" s="527" t="s">
        <v>5173</v>
      </c>
      <c r="F380" s="220"/>
    </row>
    <row r="381" spans="1:6" ht="14.4">
      <c r="A381">
        <v>1091</v>
      </c>
      <c r="B381" t="s">
        <v>17099</v>
      </c>
      <c r="C381" t="s">
        <v>2269</v>
      </c>
      <c r="D381" t="s">
        <v>1857</v>
      </c>
      <c r="E381" s="527" t="s">
        <v>16267</v>
      </c>
      <c r="F381" s="219"/>
    </row>
    <row r="382" spans="1:6" ht="14.4">
      <c r="A382">
        <v>1094</v>
      </c>
      <c r="B382" t="s">
        <v>17100</v>
      </c>
      <c r="C382" t="s">
        <v>2269</v>
      </c>
      <c r="D382" t="s">
        <v>1857</v>
      </c>
      <c r="E382" s="527" t="s">
        <v>6667</v>
      </c>
      <c r="F382" s="220"/>
    </row>
    <row r="383" spans="1:6" ht="14.4">
      <c r="A383">
        <v>1095</v>
      </c>
      <c r="B383" t="s">
        <v>17101</v>
      </c>
      <c r="C383" t="s">
        <v>2269</v>
      </c>
      <c r="D383" t="s">
        <v>1857</v>
      </c>
      <c r="E383" s="527" t="s">
        <v>16262</v>
      </c>
      <c r="F383" s="219"/>
    </row>
    <row r="384" spans="1:6" ht="14.4">
      <c r="A384">
        <v>1092</v>
      </c>
      <c r="B384" t="s">
        <v>17102</v>
      </c>
      <c r="C384" t="s">
        <v>2269</v>
      </c>
      <c r="D384" t="s">
        <v>2268</v>
      </c>
      <c r="E384" s="527" t="s">
        <v>16265</v>
      </c>
      <c r="F384" s="220"/>
    </row>
    <row r="385" spans="1:6" ht="14.4">
      <c r="A385">
        <v>1093</v>
      </c>
      <c r="B385" t="s">
        <v>17103</v>
      </c>
      <c r="C385" t="s">
        <v>2269</v>
      </c>
      <c r="D385" t="s">
        <v>1857</v>
      </c>
      <c r="E385" s="527" t="s">
        <v>17104</v>
      </c>
      <c r="F385" s="219"/>
    </row>
    <row r="386" spans="1:6" ht="14.4">
      <c r="A386">
        <v>1090</v>
      </c>
      <c r="B386" t="s">
        <v>17105</v>
      </c>
      <c r="C386" t="s">
        <v>2269</v>
      </c>
      <c r="D386" t="s">
        <v>1857</v>
      </c>
      <c r="E386" s="527" t="s">
        <v>17106</v>
      </c>
      <c r="F386" s="220"/>
    </row>
    <row r="387" spans="1:6" ht="14.4">
      <c r="A387">
        <v>1096</v>
      </c>
      <c r="B387" t="s">
        <v>17107</v>
      </c>
      <c r="C387" t="s">
        <v>2269</v>
      </c>
      <c r="D387" t="s">
        <v>1857</v>
      </c>
      <c r="E387" s="527" t="s">
        <v>17108</v>
      </c>
      <c r="F387" s="219"/>
    </row>
    <row r="388" spans="1:6" ht="14.4">
      <c r="A388">
        <v>1097</v>
      </c>
      <c r="B388" t="s">
        <v>17109</v>
      </c>
      <c r="C388" t="s">
        <v>2269</v>
      </c>
      <c r="D388" t="s">
        <v>1857</v>
      </c>
      <c r="E388" s="527" t="s">
        <v>17110</v>
      </c>
      <c r="F388" s="220"/>
    </row>
    <row r="389" spans="1:6" ht="14.4">
      <c r="A389">
        <v>378</v>
      </c>
      <c r="B389" t="s">
        <v>17111</v>
      </c>
      <c r="C389" t="s">
        <v>2267</v>
      </c>
      <c r="D389" t="s">
        <v>1857</v>
      </c>
      <c r="E389" s="527" t="s">
        <v>10101</v>
      </c>
      <c r="F389" s="219"/>
    </row>
    <row r="390" spans="1:6" ht="14.4">
      <c r="A390">
        <v>40911</v>
      </c>
      <c r="B390" t="s">
        <v>17112</v>
      </c>
      <c r="C390" t="s">
        <v>2276</v>
      </c>
      <c r="D390" t="s">
        <v>1857</v>
      </c>
      <c r="E390" s="527" t="s">
        <v>17113</v>
      </c>
      <c r="F390" s="220"/>
    </row>
    <row r="391" spans="1:6" ht="14.4">
      <c r="A391">
        <v>33939</v>
      </c>
      <c r="B391" t="s">
        <v>17114</v>
      </c>
      <c r="C391" t="s">
        <v>2267</v>
      </c>
      <c r="D391" t="s">
        <v>1857</v>
      </c>
      <c r="E391" s="527" t="s">
        <v>17115</v>
      </c>
      <c r="F391" s="219"/>
    </row>
    <row r="392" spans="1:6" ht="14.4">
      <c r="A392">
        <v>40815</v>
      </c>
      <c r="B392" t="s">
        <v>17116</v>
      </c>
      <c r="C392" t="s">
        <v>2276</v>
      </c>
      <c r="D392" t="s">
        <v>1857</v>
      </c>
      <c r="E392" s="527" t="s">
        <v>17117</v>
      </c>
      <c r="F392" s="220"/>
    </row>
    <row r="393" spans="1:6" ht="14.4">
      <c r="A393">
        <v>34760</v>
      </c>
      <c r="B393" t="s">
        <v>17118</v>
      </c>
      <c r="C393" t="s">
        <v>2267</v>
      </c>
      <c r="D393" t="s">
        <v>1857</v>
      </c>
      <c r="E393" s="527" t="s">
        <v>17119</v>
      </c>
      <c r="F393" s="219"/>
    </row>
    <row r="394" spans="1:6" ht="14.4">
      <c r="A394">
        <v>40935</v>
      </c>
      <c r="B394" t="s">
        <v>17120</v>
      </c>
      <c r="C394" t="s">
        <v>2276</v>
      </c>
      <c r="D394" t="s">
        <v>1857</v>
      </c>
      <c r="E394" s="527" t="s">
        <v>17121</v>
      </c>
      <c r="F394" s="220"/>
    </row>
    <row r="395" spans="1:6" ht="14.4">
      <c r="A395">
        <v>33952</v>
      </c>
      <c r="B395" t="s">
        <v>17122</v>
      </c>
      <c r="C395" t="s">
        <v>2267</v>
      </c>
      <c r="D395" t="s">
        <v>1857</v>
      </c>
      <c r="E395" s="527" t="s">
        <v>17123</v>
      </c>
      <c r="F395" s="219"/>
    </row>
    <row r="396" spans="1:6" ht="14.4">
      <c r="A396">
        <v>40816</v>
      </c>
      <c r="B396" t="s">
        <v>17124</v>
      </c>
      <c r="C396" t="s">
        <v>2276</v>
      </c>
      <c r="D396" t="s">
        <v>1857</v>
      </c>
      <c r="E396" s="527" t="s">
        <v>17125</v>
      </c>
      <c r="F396" s="220"/>
    </row>
    <row r="397" spans="1:6" ht="14.4">
      <c r="A397">
        <v>33953</v>
      </c>
      <c r="B397" t="s">
        <v>17126</v>
      </c>
      <c r="C397" t="s">
        <v>2267</v>
      </c>
      <c r="D397" t="s">
        <v>1857</v>
      </c>
      <c r="E397" s="527" t="s">
        <v>17127</v>
      </c>
      <c r="F397" s="219"/>
    </row>
    <row r="398" spans="1:6" ht="14.4">
      <c r="A398">
        <v>40817</v>
      </c>
      <c r="B398" t="s">
        <v>17128</v>
      </c>
      <c r="C398" t="s">
        <v>2276</v>
      </c>
      <c r="D398" t="s">
        <v>1857</v>
      </c>
      <c r="E398" s="527" t="s">
        <v>17129</v>
      </c>
      <c r="F398" s="220"/>
    </row>
    <row r="399" spans="1:6" ht="14.4">
      <c r="A399">
        <v>13348</v>
      </c>
      <c r="B399" t="s">
        <v>17130</v>
      </c>
      <c r="C399" t="s">
        <v>2269</v>
      </c>
      <c r="D399" t="s">
        <v>2271</v>
      </c>
      <c r="E399" s="527" t="s">
        <v>3180</v>
      </c>
      <c r="F399" s="219"/>
    </row>
    <row r="400" spans="1:6" ht="14.4">
      <c r="A400">
        <v>39211</v>
      </c>
      <c r="B400" t="s">
        <v>17131</v>
      </c>
      <c r="C400" t="s">
        <v>2269</v>
      </c>
      <c r="D400" t="s">
        <v>1857</v>
      </c>
      <c r="E400" s="527" t="s">
        <v>7272</v>
      </c>
      <c r="F400" s="220"/>
    </row>
    <row r="401" spans="1:6" ht="14.4">
      <c r="A401">
        <v>39212</v>
      </c>
      <c r="B401" t="s">
        <v>17132</v>
      </c>
      <c r="C401" t="s">
        <v>2269</v>
      </c>
      <c r="D401" t="s">
        <v>1857</v>
      </c>
      <c r="E401" s="527" t="s">
        <v>7924</v>
      </c>
      <c r="F401" s="219"/>
    </row>
    <row r="402" spans="1:6" ht="14.4">
      <c r="A402">
        <v>39208</v>
      </c>
      <c r="B402" t="s">
        <v>17133</v>
      </c>
      <c r="C402" t="s">
        <v>2269</v>
      </c>
      <c r="D402" t="s">
        <v>1857</v>
      </c>
      <c r="E402" s="527" t="s">
        <v>3737</v>
      </c>
      <c r="F402" s="220"/>
    </row>
    <row r="403" spans="1:6" ht="14.4">
      <c r="A403">
        <v>39210</v>
      </c>
      <c r="B403" t="s">
        <v>17134</v>
      </c>
      <c r="C403" t="s">
        <v>2269</v>
      </c>
      <c r="D403" t="s">
        <v>1857</v>
      </c>
      <c r="E403" s="527" t="s">
        <v>9763</v>
      </c>
      <c r="F403" s="219"/>
    </row>
    <row r="404" spans="1:6" ht="14.4">
      <c r="A404">
        <v>39214</v>
      </c>
      <c r="B404" t="s">
        <v>17135</v>
      </c>
      <c r="C404" t="s">
        <v>2269</v>
      </c>
      <c r="D404" t="s">
        <v>1857</v>
      </c>
      <c r="E404" s="527" t="s">
        <v>7361</v>
      </c>
      <c r="F404" s="220"/>
    </row>
    <row r="405" spans="1:6" ht="14.4">
      <c r="A405">
        <v>39213</v>
      </c>
      <c r="B405" t="s">
        <v>17136</v>
      </c>
      <c r="C405" t="s">
        <v>2269</v>
      </c>
      <c r="D405" t="s">
        <v>1857</v>
      </c>
      <c r="E405" s="527" t="s">
        <v>17137</v>
      </c>
      <c r="F405" s="219"/>
    </row>
    <row r="406" spans="1:6" ht="14.4">
      <c r="A406">
        <v>39209</v>
      </c>
      <c r="B406" t="s">
        <v>17138</v>
      </c>
      <c r="C406" t="s">
        <v>2269</v>
      </c>
      <c r="D406" t="s">
        <v>1857</v>
      </c>
      <c r="E406" s="527" t="s">
        <v>3817</v>
      </c>
      <c r="F406" s="220"/>
    </row>
    <row r="407" spans="1:6" ht="14.4">
      <c r="A407">
        <v>39207</v>
      </c>
      <c r="B407" t="s">
        <v>17139</v>
      </c>
      <c r="C407" t="s">
        <v>2269</v>
      </c>
      <c r="D407" t="s">
        <v>1857</v>
      </c>
      <c r="E407" s="527" t="s">
        <v>9763</v>
      </c>
      <c r="F407" s="219"/>
    </row>
    <row r="408" spans="1:6" ht="14.4">
      <c r="A408">
        <v>39215</v>
      </c>
      <c r="B408" t="s">
        <v>17140</v>
      </c>
      <c r="C408" t="s">
        <v>2269</v>
      </c>
      <c r="D408" t="s">
        <v>1857</v>
      </c>
      <c r="E408" s="527" t="s">
        <v>7354</v>
      </c>
      <c r="F408" s="220"/>
    </row>
    <row r="409" spans="1:6" ht="14.4">
      <c r="A409">
        <v>39216</v>
      </c>
      <c r="B409" t="s">
        <v>17141</v>
      </c>
      <c r="C409" t="s">
        <v>2269</v>
      </c>
      <c r="D409" t="s">
        <v>1857</v>
      </c>
      <c r="E409" s="527" t="s">
        <v>7401</v>
      </c>
      <c r="F409" s="219"/>
    </row>
    <row r="410" spans="1:6" ht="14.4">
      <c r="A410">
        <v>11267</v>
      </c>
      <c r="B410" t="s">
        <v>17142</v>
      </c>
      <c r="C410" t="s">
        <v>2269</v>
      </c>
      <c r="D410" t="s">
        <v>2271</v>
      </c>
      <c r="E410" s="527" t="s">
        <v>7275</v>
      </c>
      <c r="F410" s="220"/>
    </row>
    <row r="411" spans="1:6" ht="14.4">
      <c r="A411">
        <v>379</v>
      </c>
      <c r="B411" t="s">
        <v>17143</v>
      </c>
      <c r="C411" t="s">
        <v>2269</v>
      </c>
      <c r="D411" t="s">
        <v>2271</v>
      </c>
      <c r="E411" s="527" t="s">
        <v>7275</v>
      </c>
      <c r="F411" s="219"/>
    </row>
    <row r="412" spans="1:6" ht="14.4">
      <c r="A412">
        <v>510</v>
      </c>
      <c r="B412" t="s">
        <v>17144</v>
      </c>
      <c r="C412" t="s">
        <v>2274</v>
      </c>
      <c r="D412" t="s">
        <v>1857</v>
      </c>
      <c r="E412" s="527" t="s">
        <v>7961</v>
      </c>
      <c r="F412" s="220"/>
    </row>
    <row r="413" spans="1:6" ht="14.4">
      <c r="A413">
        <v>516</v>
      </c>
      <c r="B413" t="s">
        <v>17145</v>
      </c>
      <c r="C413" t="s">
        <v>2274</v>
      </c>
      <c r="D413" t="s">
        <v>1857</v>
      </c>
      <c r="E413" s="527" t="s">
        <v>7337</v>
      </c>
      <c r="F413" s="219"/>
    </row>
    <row r="414" spans="1:6" ht="14.4">
      <c r="A414">
        <v>509</v>
      </c>
      <c r="B414" t="s">
        <v>17146</v>
      </c>
      <c r="C414" t="s">
        <v>2274</v>
      </c>
      <c r="D414" t="s">
        <v>1857</v>
      </c>
      <c r="E414" s="527" t="s">
        <v>10189</v>
      </c>
      <c r="F414" s="220"/>
    </row>
    <row r="415" spans="1:6" ht="14.4">
      <c r="A415">
        <v>40331</v>
      </c>
      <c r="B415" t="s">
        <v>17147</v>
      </c>
      <c r="C415" t="s">
        <v>2267</v>
      </c>
      <c r="D415" t="s">
        <v>1857</v>
      </c>
      <c r="E415" s="527" t="s">
        <v>17148</v>
      </c>
      <c r="F415" s="219"/>
    </row>
    <row r="416" spans="1:6" ht="14.4">
      <c r="A416">
        <v>40930</v>
      </c>
      <c r="B416" t="s">
        <v>17149</v>
      </c>
      <c r="C416" t="s">
        <v>2276</v>
      </c>
      <c r="D416" t="s">
        <v>1857</v>
      </c>
      <c r="E416" s="527" t="s">
        <v>17150</v>
      </c>
      <c r="F416" s="220"/>
    </row>
    <row r="417" spans="1:6" ht="14.4">
      <c r="A417">
        <v>11761</v>
      </c>
      <c r="B417" t="s">
        <v>17151</v>
      </c>
      <c r="C417" t="s">
        <v>2269</v>
      </c>
      <c r="D417" t="s">
        <v>1857</v>
      </c>
      <c r="E417" s="527" t="s">
        <v>14344</v>
      </c>
      <c r="F417" s="219"/>
    </row>
    <row r="418" spans="1:6" ht="14.4">
      <c r="A418">
        <v>377</v>
      </c>
      <c r="B418" t="s">
        <v>17152</v>
      </c>
      <c r="C418" t="s">
        <v>2269</v>
      </c>
      <c r="D418" t="s">
        <v>2268</v>
      </c>
      <c r="E418" s="527" t="s">
        <v>11654</v>
      </c>
      <c r="F418" s="220"/>
    </row>
    <row r="419" spans="1:6" ht="14.4">
      <c r="A419">
        <v>7588</v>
      </c>
      <c r="B419" t="s">
        <v>17153</v>
      </c>
      <c r="C419" t="s">
        <v>2269</v>
      </c>
      <c r="D419" t="s">
        <v>2268</v>
      </c>
      <c r="E419" s="527" t="s">
        <v>17154</v>
      </c>
      <c r="F419" s="219"/>
    </row>
    <row r="420" spans="1:6" ht="14.4">
      <c r="A420">
        <v>34392</v>
      </c>
      <c r="B420" t="s">
        <v>17155</v>
      </c>
      <c r="C420" t="s">
        <v>2267</v>
      </c>
      <c r="D420" t="s">
        <v>1857</v>
      </c>
      <c r="E420" s="527" t="s">
        <v>10163</v>
      </c>
      <c r="F420" s="220"/>
    </row>
    <row r="421" spans="1:6" ht="14.4">
      <c r="A421">
        <v>40908</v>
      </c>
      <c r="B421" t="s">
        <v>17156</v>
      </c>
      <c r="C421" t="s">
        <v>2276</v>
      </c>
      <c r="D421" t="s">
        <v>1857</v>
      </c>
      <c r="E421" s="527" t="s">
        <v>17157</v>
      </c>
      <c r="F421" s="219"/>
    </row>
    <row r="422" spans="1:6" ht="14.4">
      <c r="A422">
        <v>34551</v>
      </c>
      <c r="B422" t="s">
        <v>17158</v>
      </c>
      <c r="C422" t="s">
        <v>2267</v>
      </c>
      <c r="D422" t="s">
        <v>1857</v>
      </c>
      <c r="E422" s="527" t="s">
        <v>7236</v>
      </c>
      <c r="F422" s="220"/>
    </row>
    <row r="423" spans="1:6" ht="14.4">
      <c r="A423">
        <v>41078</v>
      </c>
      <c r="B423" t="s">
        <v>17159</v>
      </c>
      <c r="C423" t="s">
        <v>2276</v>
      </c>
      <c r="D423" t="s">
        <v>1857</v>
      </c>
      <c r="E423" s="527" t="s">
        <v>17160</v>
      </c>
      <c r="F423" s="219"/>
    </row>
    <row r="424" spans="1:6" ht="14.4">
      <c r="A424">
        <v>246</v>
      </c>
      <c r="B424" t="s">
        <v>17161</v>
      </c>
      <c r="C424" t="s">
        <v>2267</v>
      </c>
      <c r="D424" t="s">
        <v>1857</v>
      </c>
      <c r="E424" s="527" t="s">
        <v>9552</v>
      </c>
      <c r="F424" s="220"/>
    </row>
    <row r="425" spans="1:6" ht="14.4">
      <c r="A425">
        <v>40927</v>
      </c>
      <c r="B425" t="s">
        <v>17162</v>
      </c>
      <c r="C425" t="s">
        <v>2276</v>
      </c>
      <c r="D425" t="s">
        <v>1857</v>
      </c>
      <c r="E425" s="527" t="s">
        <v>17163</v>
      </c>
      <c r="F425" s="219"/>
    </row>
    <row r="426" spans="1:6" ht="14.4">
      <c r="A426">
        <v>2350</v>
      </c>
      <c r="B426" t="s">
        <v>17164</v>
      </c>
      <c r="C426" t="s">
        <v>2267</v>
      </c>
      <c r="D426" t="s">
        <v>1857</v>
      </c>
      <c r="E426" s="527" t="s">
        <v>11822</v>
      </c>
      <c r="F426" s="220"/>
    </row>
    <row r="427" spans="1:6" ht="14.4">
      <c r="A427">
        <v>40812</v>
      </c>
      <c r="B427" t="s">
        <v>17165</v>
      </c>
      <c r="C427" t="s">
        <v>2276</v>
      </c>
      <c r="D427" t="s">
        <v>1857</v>
      </c>
      <c r="E427" s="527" t="s">
        <v>17166</v>
      </c>
      <c r="F427" s="219"/>
    </row>
    <row r="428" spans="1:6" ht="14.4">
      <c r="A428">
        <v>245</v>
      </c>
      <c r="B428" t="s">
        <v>17167</v>
      </c>
      <c r="C428" t="s">
        <v>2267</v>
      </c>
      <c r="D428" t="s">
        <v>1857</v>
      </c>
      <c r="E428" s="527" t="s">
        <v>9536</v>
      </c>
      <c r="F428" s="220"/>
    </row>
    <row r="429" spans="1:6" ht="14.4">
      <c r="A429">
        <v>41090</v>
      </c>
      <c r="B429" t="s">
        <v>17168</v>
      </c>
      <c r="C429" t="s">
        <v>2276</v>
      </c>
      <c r="D429" t="s">
        <v>1857</v>
      </c>
      <c r="E429" s="527" t="s">
        <v>17169</v>
      </c>
      <c r="F429" s="219"/>
    </row>
    <row r="430" spans="1:6" ht="14.4">
      <c r="A430">
        <v>251</v>
      </c>
      <c r="B430" t="s">
        <v>17170</v>
      </c>
      <c r="C430" t="s">
        <v>2267</v>
      </c>
      <c r="D430" t="s">
        <v>1857</v>
      </c>
      <c r="E430" s="527" t="s">
        <v>16145</v>
      </c>
      <c r="F430" s="220"/>
    </row>
    <row r="431" spans="1:6" ht="14.4">
      <c r="A431">
        <v>40975</v>
      </c>
      <c r="B431" t="s">
        <v>17171</v>
      </c>
      <c r="C431" t="s">
        <v>2276</v>
      </c>
      <c r="D431" t="s">
        <v>1857</v>
      </c>
      <c r="E431" s="527" t="s">
        <v>17172</v>
      </c>
      <c r="F431" s="219"/>
    </row>
    <row r="432" spans="1:6" ht="14.4">
      <c r="A432">
        <v>6127</v>
      </c>
      <c r="B432" t="s">
        <v>17173</v>
      </c>
      <c r="C432" t="s">
        <v>2267</v>
      </c>
      <c r="D432" t="s">
        <v>1857</v>
      </c>
      <c r="E432" s="527" t="s">
        <v>7355</v>
      </c>
      <c r="F432" s="220"/>
    </row>
    <row r="433" spans="1:6" ht="14.4">
      <c r="A433">
        <v>41072</v>
      </c>
      <c r="B433" t="s">
        <v>17174</v>
      </c>
      <c r="C433" t="s">
        <v>2276</v>
      </c>
      <c r="D433" t="s">
        <v>1857</v>
      </c>
      <c r="E433" s="527" t="s">
        <v>17175</v>
      </c>
      <c r="F433" s="219"/>
    </row>
    <row r="434" spans="1:6" ht="14.4">
      <c r="A434">
        <v>6121</v>
      </c>
      <c r="B434" t="s">
        <v>17176</v>
      </c>
      <c r="C434" t="s">
        <v>2267</v>
      </c>
      <c r="D434" t="s">
        <v>1857</v>
      </c>
      <c r="E434" s="527" t="s">
        <v>9780</v>
      </c>
      <c r="F434" s="220"/>
    </row>
    <row r="435" spans="1:6" ht="14.4">
      <c r="A435">
        <v>41071</v>
      </c>
      <c r="B435" t="s">
        <v>17177</v>
      </c>
      <c r="C435" t="s">
        <v>2276</v>
      </c>
      <c r="D435" t="s">
        <v>1857</v>
      </c>
      <c r="E435" s="527" t="s">
        <v>17178</v>
      </c>
      <c r="F435" s="219"/>
    </row>
    <row r="436" spans="1:6" ht="14.4">
      <c r="A436">
        <v>244</v>
      </c>
      <c r="B436" t="s">
        <v>17179</v>
      </c>
      <c r="C436" t="s">
        <v>2267</v>
      </c>
      <c r="D436" t="s">
        <v>1857</v>
      </c>
      <c r="E436" s="527" t="s">
        <v>10380</v>
      </c>
      <c r="F436" s="220"/>
    </row>
    <row r="437" spans="1:6" ht="14.4">
      <c r="A437">
        <v>41093</v>
      </c>
      <c r="B437" t="s">
        <v>17180</v>
      </c>
      <c r="C437" t="s">
        <v>2276</v>
      </c>
      <c r="D437" t="s">
        <v>1857</v>
      </c>
      <c r="E437" s="527" t="s">
        <v>17181</v>
      </c>
      <c r="F437" s="219"/>
    </row>
    <row r="438" spans="1:6" ht="14.4">
      <c r="A438">
        <v>532</v>
      </c>
      <c r="B438" t="s">
        <v>17182</v>
      </c>
      <c r="C438" t="s">
        <v>2267</v>
      </c>
      <c r="D438" t="s">
        <v>1857</v>
      </c>
      <c r="E438" s="527" t="s">
        <v>10684</v>
      </c>
      <c r="F438" s="220"/>
    </row>
    <row r="439" spans="1:6" ht="14.4">
      <c r="A439">
        <v>40931</v>
      </c>
      <c r="B439" t="s">
        <v>17183</v>
      </c>
      <c r="C439" t="s">
        <v>2276</v>
      </c>
      <c r="D439" t="s">
        <v>1857</v>
      </c>
      <c r="E439" s="527" t="s">
        <v>17184</v>
      </c>
      <c r="F439" s="219"/>
    </row>
    <row r="440" spans="1:6" ht="14.4">
      <c r="A440">
        <v>36150</v>
      </c>
      <c r="B440" t="s">
        <v>17185</v>
      </c>
      <c r="C440" t="s">
        <v>2269</v>
      </c>
      <c r="D440" t="s">
        <v>1857</v>
      </c>
      <c r="E440" s="527" t="s">
        <v>16256</v>
      </c>
      <c r="F440" s="220"/>
    </row>
    <row r="441" spans="1:6" ht="14.4">
      <c r="A441">
        <v>4760</v>
      </c>
      <c r="B441" t="s">
        <v>17186</v>
      </c>
      <c r="C441" t="s">
        <v>2267</v>
      </c>
      <c r="D441" t="s">
        <v>1857</v>
      </c>
      <c r="E441" s="527" t="s">
        <v>16567</v>
      </c>
      <c r="F441" s="219"/>
    </row>
    <row r="442" spans="1:6" ht="14.4">
      <c r="A442">
        <v>41069</v>
      </c>
      <c r="B442" t="s">
        <v>17187</v>
      </c>
      <c r="C442" t="s">
        <v>2276</v>
      </c>
      <c r="D442" t="s">
        <v>1857</v>
      </c>
      <c r="E442" s="527" t="s">
        <v>17188</v>
      </c>
      <c r="F442" s="220"/>
    </row>
    <row r="443" spans="1:6" ht="14.4">
      <c r="A443">
        <v>10422</v>
      </c>
      <c r="B443" t="s">
        <v>17189</v>
      </c>
      <c r="C443" t="s">
        <v>2269</v>
      </c>
      <c r="D443" t="s">
        <v>1857</v>
      </c>
      <c r="E443" s="527" t="s">
        <v>17190</v>
      </c>
      <c r="F443" s="219"/>
    </row>
    <row r="444" spans="1:6" ht="14.4">
      <c r="A444">
        <v>44019</v>
      </c>
      <c r="B444" t="s">
        <v>17191</v>
      </c>
      <c r="C444" t="s">
        <v>2269</v>
      </c>
      <c r="D444" t="s">
        <v>1857</v>
      </c>
      <c r="E444" s="527" t="s">
        <v>11976</v>
      </c>
      <c r="F444" s="220"/>
    </row>
    <row r="445" spans="1:6" ht="14.4">
      <c r="A445">
        <v>36520</v>
      </c>
      <c r="B445" t="s">
        <v>17192</v>
      </c>
      <c r="C445" t="s">
        <v>2269</v>
      </c>
      <c r="D445" t="s">
        <v>1857</v>
      </c>
      <c r="E445" s="527" t="s">
        <v>17193</v>
      </c>
      <c r="F445" s="219"/>
    </row>
    <row r="446" spans="1:6" ht="14.4">
      <c r="A446">
        <v>42319</v>
      </c>
      <c r="B446" t="s">
        <v>17194</v>
      </c>
      <c r="C446" t="s">
        <v>2269</v>
      </c>
      <c r="D446" t="s">
        <v>1857</v>
      </c>
      <c r="E446" s="527" t="s">
        <v>17195</v>
      </c>
      <c r="F446" s="220"/>
    </row>
    <row r="447" spans="1:6" ht="14.4">
      <c r="A447">
        <v>10420</v>
      </c>
      <c r="B447" t="s">
        <v>17196</v>
      </c>
      <c r="C447" t="s">
        <v>2269</v>
      </c>
      <c r="D447" t="s">
        <v>2268</v>
      </c>
      <c r="E447" s="527" t="s">
        <v>17197</v>
      </c>
      <c r="F447" s="219"/>
    </row>
    <row r="448" spans="1:6" ht="14.4">
      <c r="A448">
        <v>10421</v>
      </c>
      <c r="B448" t="s">
        <v>17198</v>
      </c>
      <c r="C448" t="s">
        <v>2269</v>
      </c>
      <c r="D448" t="s">
        <v>1857</v>
      </c>
      <c r="E448" s="527" t="s">
        <v>15812</v>
      </c>
      <c r="F448" s="220"/>
    </row>
    <row r="449" spans="1:6" ht="14.4">
      <c r="A449">
        <v>11786</v>
      </c>
      <c r="B449" t="s">
        <v>17199</v>
      </c>
      <c r="C449" t="s">
        <v>2269</v>
      </c>
      <c r="D449" t="s">
        <v>1857</v>
      </c>
      <c r="E449" s="527" t="s">
        <v>17200</v>
      </c>
      <c r="F449" s="219"/>
    </row>
    <row r="450" spans="1:6" ht="14.4">
      <c r="A450">
        <v>10</v>
      </c>
      <c r="B450" t="s">
        <v>17201</v>
      </c>
      <c r="C450" t="s">
        <v>2269</v>
      </c>
      <c r="D450" t="s">
        <v>1857</v>
      </c>
      <c r="E450" s="527" t="s">
        <v>7211</v>
      </c>
      <c r="F450" s="220"/>
    </row>
    <row r="451" spans="1:6" ht="14.4">
      <c r="A451">
        <v>4815</v>
      </c>
      <c r="B451" t="s">
        <v>17202</v>
      </c>
      <c r="C451" t="s">
        <v>2269</v>
      </c>
      <c r="D451" t="s">
        <v>1857</v>
      </c>
      <c r="E451" s="527" t="s">
        <v>3409</v>
      </c>
      <c r="F451" s="219"/>
    </row>
    <row r="452" spans="1:6" ht="14.4">
      <c r="A452">
        <v>541</v>
      </c>
      <c r="B452" t="s">
        <v>17203</v>
      </c>
      <c r="C452" t="s">
        <v>2269</v>
      </c>
      <c r="D452" t="s">
        <v>2268</v>
      </c>
      <c r="E452" s="527" t="s">
        <v>10086</v>
      </c>
      <c r="F452" s="220"/>
    </row>
    <row r="453" spans="1:6" ht="14.4">
      <c r="A453">
        <v>542</v>
      </c>
      <c r="B453" t="s">
        <v>17204</v>
      </c>
      <c r="C453" t="s">
        <v>2269</v>
      </c>
      <c r="D453" t="s">
        <v>1857</v>
      </c>
      <c r="E453" s="527" t="s">
        <v>10389</v>
      </c>
      <c r="F453" s="219"/>
    </row>
    <row r="454" spans="1:6" ht="14.4">
      <c r="A454">
        <v>540</v>
      </c>
      <c r="B454" t="s">
        <v>17205</v>
      </c>
      <c r="C454" t="s">
        <v>2269</v>
      </c>
      <c r="D454" t="s">
        <v>1857</v>
      </c>
      <c r="E454" s="527" t="s">
        <v>15162</v>
      </c>
      <c r="F454" s="220"/>
    </row>
    <row r="455" spans="1:6" ht="14.4">
      <c r="A455">
        <v>38364</v>
      </c>
      <c r="B455" t="s">
        <v>17206</v>
      </c>
      <c r="C455" t="s">
        <v>2269</v>
      </c>
      <c r="D455" t="s">
        <v>1857</v>
      </c>
      <c r="E455" s="527" t="s">
        <v>15163</v>
      </c>
      <c r="F455" s="219"/>
    </row>
    <row r="456" spans="1:6" ht="14.4">
      <c r="A456">
        <v>11692</v>
      </c>
      <c r="B456" t="s">
        <v>17207</v>
      </c>
      <c r="C456" t="s">
        <v>2270</v>
      </c>
      <c r="D456" t="s">
        <v>1857</v>
      </c>
      <c r="E456" s="527" t="s">
        <v>10273</v>
      </c>
      <c r="F456" s="220"/>
    </row>
    <row r="457" spans="1:6" ht="14.4">
      <c r="A457">
        <v>1746</v>
      </c>
      <c r="B457" t="s">
        <v>17208</v>
      </c>
      <c r="C457" t="s">
        <v>2269</v>
      </c>
      <c r="D457" t="s">
        <v>2268</v>
      </c>
      <c r="E457" s="527" t="s">
        <v>11657</v>
      </c>
      <c r="F457" s="219"/>
    </row>
    <row r="458" spans="1:6" ht="14.4">
      <c r="A458">
        <v>1748</v>
      </c>
      <c r="B458" t="s">
        <v>17209</v>
      </c>
      <c r="C458" t="s">
        <v>2269</v>
      </c>
      <c r="D458" t="s">
        <v>1857</v>
      </c>
      <c r="E458" s="527" t="s">
        <v>17210</v>
      </c>
      <c r="F458" s="220"/>
    </row>
    <row r="459" spans="1:6" ht="14.4">
      <c r="A459">
        <v>1749</v>
      </c>
      <c r="B459" t="s">
        <v>17211</v>
      </c>
      <c r="C459" t="s">
        <v>2269</v>
      </c>
      <c r="D459" t="s">
        <v>1857</v>
      </c>
      <c r="E459" s="527" t="s">
        <v>17212</v>
      </c>
      <c r="F459" s="219"/>
    </row>
    <row r="460" spans="1:6" ht="14.4">
      <c r="A460">
        <v>37412</v>
      </c>
      <c r="B460" t="s">
        <v>17213</v>
      </c>
      <c r="C460" t="s">
        <v>2269</v>
      </c>
      <c r="D460" t="s">
        <v>1857</v>
      </c>
      <c r="E460" s="527" t="s">
        <v>17214</v>
      </c>
      <c r="F460" s="220"/>
    </row>
    <row r="461" spans="1:6" ht="14.4">
      <c r="A461">
        <v>1745</v>
      </c>
      <c r="B461" t="s">
        <v>17215</v>
      </c>
      <c r="C461" t="s">
        <v>2269</v>
      </c>
      <c r="D461" t="s">
        <v>1857</v>
      </c>
      <c r="E461" s="527" t="s">
        <v>17216</v>
      </c>
      <c r="F461" s="219"/>
    </row>
    <row r="462" spans="1:6" ht="14.4">
      <c r="A462">
        <v>1750</v>
      </c>
      <c r="B462" t="s">
        <v>17217</v>
      </c>
      <c r="C462" t="s">
        <v>2269</v>
      </c>
      <c r="D462" t="s">
        <v>1857</v>
      </c>
      <c r="E462" s="527" t="s">
        <v>17218</v>
      </c>
      <c r="F462" s="220"/>
    </row>
    <row r="463" spans="1:6" ht="14.4">
      <c r="A463">
        <v>11687</v>
      </c>
      <c r="B463" t="s">
        <v>17219</v>
      </c>
      <c r="C463" t="s">
        <v>2273</v>
      </c>
      <c r="D463" t="s">
        <v>1857</v>
      </c>
      <c r="E463" s="527" t="s">
        <v>17220</v>
      </c>
      <c r="F463" s="219"/>
    </row>
    <row r="464" spans="1:6" ht="14.4">
      <c r="A464">
        <v>11689</v>
      </c>
      <c r="B464" t="s">
        <v>17221</v>
      </c>
      <c r="C464" t="s">
        <v>2273</v>
      </c>
      <c r="D464" t="s">
        <v>1857</v>
      </c>
      <c r="E464" s="527" t="s">
        <v>17222</v>
      </c>
      <c r="F464" s="220"/>
    </row>
    <row r="465" spans="1:8" ht="14.4">
      <c r="A465">
        <v>11693</v>
      </c>
      <c r="B465" t="s">
        <v>17223</v>
      </c>
      <c r="C465" t="s">
        <v>2270</v>
      </c>
      <c r="D465" t="s">
        <v>1857</v>
      </c>
      <c r="E465" s="527" t="s">
        <v>15164</v>
      </c>
      <c r="F465" s="219"/>
    </row>
    <row r="466" spans="1:8" ht="14.4">
      <c r="A466">
        <v>36215</v>
      </c>
      <c r="B466" t="s">
        <v>17224</v>
      </c>
      <c r="C466" t="s">
        <v>2269</v>
      </c>
      <c r="D466" t="s">
        <v>2271</v>
      </c>
      <c r="E466" s="527" t="s">
        <v>17225</v>
      </c>
      <c r="F466" s="220"/>
    </row>
    <row r="467" spans="1:8" ht="14.4">
      <c r="A467">
        <v>42439</v>
      </c>
      <c r="B467" t="s">
        <v>17226</v>
      </c>
      <c r="C467" t="s">
        <v>2269</v>
      </c>
      <c r="D467" t="s">
        <v>2271</v>
      </c>
      <c r="E467" s="527" t="s">
        <v>17227</v>
      </c>
      <c r="F467" s="219"/>
    </row>
    <row r="468" spans="1:8" ht="14.4">
      <c r="A468">
        <v>38381</v>
      </c>
      <c r="B468" t="s">
        <v>17228</v>
      </c>
      <c r="C468" t="s">
        <v>2269</v>
      </c>
      <c r="D468" t="s">
        <v>1857</v>
      </c>
      <c r="E468" s="527" t="s">
        <v>3616</v>
      </c>
      <c r="F468" s="220"/>
      <c r="H468">
        <f>E468*1.2764</f>
        <v>11.500363999999999</v>
      </c>
    </row>
    <row r="469" spans="1:8" ht="14.4">
      <c r="A469">
        <v>39621</v>
      </c>
      <c r="B469" t="s">
        <v>17229</v>
      </c>
      <c r="C469" t="s">
        <v>2278</v>
      </c>
      <c r="D469" t="s">
        <v>1857</v>
      </c>
      <c r="E469" s="527" t="s">
        <v>17230</v>
      </c>
      <c r="F469" s="219"/>
    </row>
    <row r="470" spans="1:8" ht="14.4">
      <c r="A470">
        <v>39624</v>
      </c>
      <c r="B470" t="s">
        <v>17231</v>
      </c>
      <c r="C470" t="s">
        <v>2278</v>
      </c>
      <c r="D470" t="s">
        <v>1857</v>
      </c>
      <c r="E470" s="527" t="s">
        <v>17232</v>
      </c>
      <c r="F470" s="220"/>
    </row>
    <row r="471" spans="1:8" ht="14.4">
      <c r="A471">
        <v>39615</v>
      </c>
      <c r="B471" t="s">
        <v>17233</v>
      </c>
      <c r="C471" t="s">
        <v>2269</v>
      </c>
      <c r="D471" t="s">
        <v>1857</v>
      </c>
      <c r="E471" s="527" t="s">
        <v>17234</v>
      </c>
      <c r="F471" s="219"/>
    </row>
    <row r="472" spans="1:8" ht="14.4">
      <c r="A472">
        <v>39620</v>
      </c>
      <c r="B472" t="s">
        <v>17235</v>
      </c>
      <c r="C472" t="s">
        <v>2269</v>
      </c>
      <c r="D472" t="s">
        <v>1857</v>
      </c>
      <c r="E472" s="527" t="s">
        <v>17236</v>
      </c>
      <c r="F472" s="220"/>
    </row>
    <row r="473" spans="1:8" ht="14.4">
      <c r="A473">
        <v>39623</v>
      </c>
      <c r="B473" t="s">
        <v>17237</v>
      </c>
      <c r="C473" t="s">
        <v>2269</v>
      </c>
      <c r="D473" t="s">
        <v>1857</v>
      </c>
      <c r="E473" s="527" t="s">
        <v>17238</v>
      </c>
      <c r="F473" s="219"/>
    </row>
    <row r="474" spans="1:8" ht="14.4">
      <c r="A474">
        <v>36207</v>
      </c>
      <c r="B474" t="s">
        <v>17239</v>
      </c>
      <c r="C474" t="s">
        <v>2269</v>
      </c>
      <c r="D474" t="s">
        <v>2271</v>
      </c>
      <c r="E474" s="527" t="s">
        <v>17240</v>
      </c>
      <c r="F474" s="220"/>
    </row>
    <row r="475" spans="1:8" ht="14.4">
      <c r="A475">
        <v>36209</v>
      </c>
      <c r="B475" t="s">
        <v>17241</v>
      </c>
      <c r="C475" t="s">
        <v>2269</v>
      </c>
      <c r="D475" t="s">
        <v>2271</v>
      </c>
      <c r="E475" s="527" t="s">
        <v>17242</v>
      </c>
      <c r="F475" s="219"/>
    </row>
    <row r="476" spans="1:8" ht="14.4">
      <c r="A476">
        <v>36210</v>
      </c>
      <c r="B476" t="s">
        <v>17243</v>
      </c>
      <c r="C476" t="s">
        <v>2269</v>
      </c>
      <c r="D476" t="s">
        <v>2271</v>
      </c>
      <c r="E476" s="527" t="s">
        <v>17244</v>
      </c>
      <c r="F476" s="220"/>
    </row>
    <row r="477" spans="1:8" ht="14.4">
      <c r="A477">
        <v>36204</v>
      </c>
      <c r="B477" t="s">
        <v>17245</v>
      </c>
      <c r="C477" t="s">
        <v>2269</v>
      </c>
      <c r="D477" t="s">
        <v>2271</v>
      </c>
      <c r="E477" s="527" t="s">
        <v>17246</v>
      </c>
      <c r="F477" s="219"/>
    </row>
    <row r="478" spans="1:8" ht="14.4">
      <c r="A478">
        <v>36205</v>
      </c>
      <c r="B478" t="s">
        <v>17247</v>
      </c>
      <c r="C478" t="s">
        <v>2269</v>
      </c>
      <c r="D478" t="s">
        <v>2271</v>
      </c>
      <c r="E478" s="527" t="s">
        <v>17248</v>
      </c>
      <c r="F478" s="220"/>
    </row>
    <row r="479" spans="1:8" ht="14.4">
      <c r="A479">
        <v>36081</v>
      </c>
      <c r="B479" t="s">
        <v>17249</v>
      </c>
      <c r="C479" t="s">
        <v>2269</v>
      </c>
      <c r="D479" t="s">
        <v>2271</v>
      </c>
      <c r="E479" s="527" t="s">
        <v>17250</v>
      </c>
      <c r="F479" s="219"/>
    </row>
    <row r="480" spans="1:8" ht="14.4">
      <c r="A480">
        <v>36206</v>
      </c>
      <c r="B480" t="s">
        <v>17251</v>
      </c>
      <c r="C480" t="s">
        <v>2269</v>
      </c>
      <c r="D480" t="s">
        <v>2271</v>
      </c>
      <c r="E480" s="527" t="s">
        <v>17252</v>
      </c>
      <c r="F480" s="220"/>
    </row>
    <row r="481" spans="1:6" ht="14.4">
      <c r="A481">
        <v>36218</v>
      </c>
      <c r="B481" t="s">
        <v>17253</v>
      </c>
      <c r="C481" t="s">
        <v>2269</v>
      </c>
      <c r="D481" t="s">
        <v>2271</v>
      </c>
      <c r="E481" s="527" t="s">
        <v>11637</v>
      </c>
      <c r="F481" s="219"/>
    </row>
    <row r="482" spans="1:6" ht="14.4">
      <c r="A482">
        <v>36220</v>
      </c>
      <c r="B482" t="s">
        <v>17254</v>
      </c>
      <c r="C482" t="s">
        <v>2269</v>
      </c>
      <c r="D482" t="s">
        <v>2271</v>
      </c>
      <c r="E482" s="527" t="s">
        <v>10086</v>
      </c>
      <c r="F482" s="220"/>
    </row>
    <row r="483" spans="1:6" ht="14.4">
      <c r="A483">
        <v>36080</v>
      </c>
      <c r="B483" t="s">
        <v>17255</v>
      </c>
      <c r="C483" t="s">
        <v>2269</v>
      </c>
      <c r="D483" t="s">
        <v>2271</v>
      </c>
      <c r="E483" s="527" t="s">
        <v>11852</v>
      </c>
      <c r="F483" s="219"/>
    </row>
    <row r="484" spans="1:6" ht="14.4">
      <c r="A484">
        <v>36223</v>
      </c>
      <c r="B484" t="s">
        <v>17256</v>
      </c>
      <c r="C484" t="s">
        <v>2269</v>
      </c>
      <c r="D484" t="s">
        <v>2271</v>
      </c>
      <c r="E484" s="527" t="s">
        <v>15165</v>
      </c>
      <c r="F484" s="220"/>
    </row>
    <row r="485" spans="1:6" ht="14.4">
      <c r="A485">
        <v>546</v>
      </c>
      <c r="B485" t="s">
        <v>17257</v>
      </c>
      <c r="C485" t="s">
        <v>2274</v>
      </c>
      <c r="D485" t="s">
        <v>2268</v>
      </c>
      <c r="E485" s="527" t="s">
        <v>7339</v>
      </c>
      <c r="F485" s="219"/>
    </row>
    <row r="486" spans="1:6" ht="14.4">
      <c r="A486">
        <v>566</v>
      </c>
      <c r="B486" t="s">
        <v>17258</v>
      </c>
      <c r="C486" t="s">
        <v>2273</v>
      </c>
      <c r="D486" t="s">
        <v>1857</v>
      </c>
      <c r="E486" s="527" t="s">
        <v>10707</v>
      </c>
      <c r="F486" s="220"/>
    </row>
    <row r="487" spans="1:6" ht="14.4">
      <c r="A487">
        <v>565</v>
      </c>
      <c r="B487" t="s">
        <v>17259</v>
      </c>
      <c r="C487" t="s">
        <v>2273</v>
      </c>
      <c r="D487" t="s">
        <v>1857</v>
      </c>
      <c r="E487" s="527" t="s">
        <v>10077</v>
      </c>
      <c r="F487" s="219"/>
    </row>
    <row r="488" spans="1:6" ht="14.4">
      <c r="A488">
        <v>555</v>
      </c>
      <c r="B488" t="s">
        <v>17260</v>
      </c>
      <c r="C488" t="s">
        <v>2273</v>
      </c>
      <c r="D488" t="s">
        <v>1857</v>
      </c>
      <c r="E488" s="527" t="s">
        <v>13165</v>
      </c>
      <c r="F488" s="220"/>
    </row>
    <row r="489" spans="1:6" ht="14.4">
      <c r="A489">
        <v>557</v>
      </c>
      <c r="B489" t="s">
        <v>17261</v>
      </c>
      <c r="C489" t="s">
        <v>2273</v>
      </c>
      <c r="D489" t="s">
        <v>1857</v>
      </c>
      <c r="E489" s="527" t="s">
        <v>15166</v>
      </c>
      <c r="F489" s="219"/>
    </row>
    <row r="490" spans="1:6" ht="14.4">
      <c r="A490">
        <v>552</v>
      </c>
      <c r="B490" t="s">
        <v>17262</v>
      </c>
      <c r="C490" t="s">
        <v>2273</v>
      </c>
      <c r="D490" t="s">
        <v>1857</v>
      </c>
      <c r="E490" s="527" t="s">
        <v>10117</v>
      </c>
      <c r="F490" s="220"/>
    </row>
    <row r="491" spans="1:6" ht="14.4">
      <c r="A491">
        <v>563</v>
      </c>
      <c r="B491" t="s">
        <v>17263</v>
      </c>
      <c r="C491" t="s">
        <v>2273</v>
      </c>
      <c r="D491" t="s">
        <v>1857</v>
      </c>
      <c r="E491" s="527" t="s">
        <v>11665</v>
      </c>
      <c r="F491" s="219"/>
    </row>
    <row r="492" spans="1:6" ht="14.4">
      <c r="A492">
        <v>549</v>
      </c>
      <c r="B492" t="s">
        <v>17264</v>
      </c>
      <c r="C492" t="s">
        <v>2273</v>
      </c>
      <c r="D492" t="s">
        <v>1857</v>
      </c>
      <c r="E492" s="527" t="s">
        <v>10027</v>
      </c>
      <c r="F492" s="220"/>
    </row>
    <row r="493" spans="1:6" ht="14.4">
      <c r="A493">
        <v>551</v>
      </c>
      <c r="B493" t="s">
        <v>17265</v>
      </c>
      <c r="C493" t="s">
        <v>2273</v>
      </c>
      <c r="D493" t="s">
        <v>1857</v>
      </c>
      <c r="E493" s="527" t="s">
        <v>15167</v>
      </c>
      <c r="F493" s="219"/>
    </row>
    <row r="494" spans="1:6" ht="14.4">
      <c r="A494">
        <v>559</v>
      </c>
      <c r="B494" t="s">
        <v>17266</v>
      </c>
      <c r="C494" t="s">
        <v>2273</v>
      </c>
      <c r="D494" t="s">
        <v>1857</v>
      </c>
      <c r="E494" s="527" t="s">
        <v>9999</v>
      </c>
      <c r="F494" s="220"/>
    </row>
    <row r="495" spans="1:6" ht="14.4">
      <c r="A495">
        <v>560</v>
      </c>
      <c r="B495" t="s">
        <v>17267</v>
      </c>
      <c r="C495" t="s">
        <v>2273</v>
      </c>
      <c r="D495" t="s">
        <v>1857</v>
      </c>
      <c r="E495" s="527" t="s">
        <v>10255</v>
      </c>
      <c r="F495" s="219"/>
    </row>
    <row r="496" spans="1:6" ht="14.4">
      <c r="A496">
        <v>547</v>
      </c>
      <c r="B496" t="s">
        <v>17268</v>
      </c>
      <c r="C496" t="s">
        <v>2273</v>
      </c>
      <c r="D496" t="s">
        <v>1857</v>
      </c>
      <c r="E496" s="527" t="s">
        <v>9503</v>
      </c>
      <c r="F496" s="220"/>
    </row>
    <row r="497" spans="1:6" ht="14.4">
      <c r="A497">
        <v>38127</v>
      </c>
      <c r="B497" t="s">
        <v>17269</v>
      </c>
      <c r="C497" t="s">
        <v>2269</v>
      </c>
      <c r="D497" t="s">
        <v>1857</v>
      </c>
      <c r="E497" s="527" t="s">
        <v>17270</v>
      </c>
      <c r="F497" s="219"/>
    </row>
    <row r="498" spans="1:6" ht="14.4">
      <c r="A498">
        <v>38060</v>
      </c>
      <c r="B498" t="s">
        <v>17271</v>
      </c>
      <c r="C498" t="s">
        <v>2269</v>
      </c>
      <c r="D498" t="s">
        <v>1857</v>
      </c>
      <c r="E498" s="527" t="s">
        <v>10175</v>
      </c>
      <c r="F498" s="220"/>
    </row>
    <row r="499" spans="1:6" ht="14.4">
      <c r="A499">
        <v>10956</v>
      </c>
      <c r="B499" t="s">
        <v>17272</v>
      </c>
      <c r="C499" t="s">
        <v>2269</v>
      </c>
      <c r="D499" t="s">
        <v>1857</v>
      </c>
      <c r="E499" s="527" t="s">
        <v>17273</v>
      </c>
      <c r="F499" s="219"/>
    </row>
    <row r="500" spans="1:6" ht="14.4">
      <c r="A500">
        <v>39380</v>
      </c>
      <c r="B500" t="s">
        <v>17274</v>
      </c>
      <c r="C500" t="s">
        <v>2269</v>
      </c>
      <c r="D500" t="s">
        <v>2271</v>
      </c>
      <c r="E500" s="527" t="s">
        <v>11177</v>
      </c>
      <c r="F500" s="220"/>
    </row>
    <row r="501" spans="1:6" ht="14.4">
      <c r="A501">
        <v>13374</v>
      </c>
      <c r="B501" t="s">
        <v>17275</v>
      </c>
      <c r="C501" t="s">
        <v>2269</v>
      </c>
      <c r="D501" t="s">
        <v>2271</v>
      </c>
      <c r="E501" s="527" t="s">
        <v>17276</v>
      </c>
      <c r="F501" s="219"/>
    </row>
    <row r="502" spans="1:6" ht="14.4">
      <c r="A502">
        <v>37597</v>
      </c>
      <c r="B502" t="s">
        <v>17277</v>
      </c>
      <c r="C502" t="s">
        <v>2269</v>
      </c>
      <c r="D502" t="s">
        <v>2271</v>
      </c>
      <c r="E502" s="527" t="s">
        <v>17278</v>
      </c>
      <c r="F502" s="220"/>
    </row>
    <row r="503" spans="1:6" ht="14.4">
      <c r="A503">
        <v>183</v>
      </c>
      <c r="B503" t="s">
        <v>17279</v>
      </c>
      <c r="C503" t="s">
        <v>2279</v>
      </c>
      <c r="D503" t="s">
        <v>2268</v>
      </c>
      <c r="E503" s="527" t="s">
        <v>15619</v>
      </c>
      <c r="F503" s="219"/>
    </row>
    <row r="504" spans="1:6" ht="14.4">
      <c r="A504">
        <v>184</v>
      </c>
      <c r="B504" t="s">
        <v>17280</v>
      </c>
      <c r="C504" t="s">
        <v>2279</v>
      </c>
      <c r="D504" t="s">
        <v>1857</v>
      </c>
      <c r="E504" s="527" t="s">
        <v>17281</v>
      </c>
      <c r="F504" s="220"/>
    </row>
    <row r="505" spans="1:6" ht="14.4">
      <c r="A505">
        <v>181</v>
      </c>
      <c r="B505" t="s">
        <v>17282</v>
      </c>
      <c r="C505" t="s">
        <v>2279</v>
      </c>
      <c r="D505" t="s">
        <v>1857</v>
      </c>
      <c r="E505" s="527" t="s">
        <v>17283</v>
      </c>
      <c r="F505" s="219"/>
    </row>
    <row r="506" spans="1:6" ht="14.4">
      <c r="A506">
        <v>20001</v>
      </c>
      <c r="B506" t="s">
        <v>17284</v>
      </c>
      <c r="C506" t="s">
        <v>2279</v>
      </c>
      <c r="D506" t="s">
        <v>1857</v>
      </c>
      <c r="E506" s="527" t="s">
        <v>17285</v>
      </c>
      <c r="F506" s="220"/>
    </row>
    <row r="507" spans="1:6" ht="14.4">
      <c r="A507">
        <v>39837</v>
      </c>
      <c r="B507" t="s">
        <v>17286</v>
      </c>
      <c r="C507" t="s">
        <v>2279</v>
      </c>
      <c r="D507" t="s">
        <v>2271</v>
      </c>
      <c r="E507" s="527" t="s">
        <v>15169</v>
      </c>
      <c r="F507" s="219"/>
    </row>
    <row r="508" spans="1:6" ht="14.4">
      <c r="A508">
        <v>10535</v>
      </c>
      <c r="B508" t="s">
        <v>17287</v>
      </c>
      <c r="C508" t="s">
        <v>2269</v>
      </c>
      <c r="D508" t="s">
        <v>2271</v>
      </c>
      <c r="E508" s="527" t="s">
        <v>17288</v>
      </c>
      <c r="F508" s="220"/>
    </row>
    <row r="509" spans="1:6" ht="14.4">
      <c r="A509">
        <v>10537</v>
      </c>
      <c r="B509" t="s">
        <v>17289</v>
      </c>
      <c r="C509" t="s">
        <v>2269</v>
      </c>
      <c r="D509" t="s">
        <v>2271</v>
      </c>
      <c r="E509" s="527" t="s">
        <v>17290</v>
      </c>
      <c r="F509" s="219"/>
    </row>
    <row r="510" spans="1:6" ht="14.4">
      <c r="A510">
        <v>13891</v>
      </c>
      <c r="B510" t="s">
        <v>17291</v>
      </c>
      <c r="C510" t="s">
        <v>2269</v>
      </c>
      <c r="D510" t="s">
        <v>2271</v>
      </c>
      <c r="E510" s="527" t="s">
        <v>17292</v>
      </c>
      <c r="F510" s="220"/>
    </row>
    <row r="511" spans="1:6" ht="14.4">
      <c r="A511">
        <v>25975</v>
      </c>
      <c r="B511" t="s">
        <v>17293</v>
      </c>
      <c r="C511" t="s">
        <v>2269</v>
      </c>
      <c r="D511" t="s">
        <v>2271</v>
      </c>
      <c r="E511" s="527" t="s">
        <v>17294</v>
      </c>
      <c r="F511" s="219"/>
    </row>
    <row r="512" spans="1:6" ht="14.4">
      <c r="A512">
        <v>36396</v>
      </c>
      <c r="B512" t="s">
        <v>17295</v>
      </c>
      <c r="C512" t="s">
        <v>2269</v>
      </c>
      <c r="D512" t="s">
        <v>2271</v>
      </c>
      <c r="E512" s="527" t="s">
        <v>17296</v>
      </c>
      <c r="F512" s="220"/>
    </row>
    <row r="513" spans="1:6" ht="14.4">
      <c r="A513">
        <v>36397</v>
      </c>
      <c r="B513" t="s">
        <v>17297</v>
      </c>
      <c r="C513" t="s">
        <v>2269</v>
      </c>
      <c r="D513" t="s">
        <v>2271</v>
      </c>
      <c r="E513" s="527" t="s">
        <v>17298</v>
      </c>
      <c r="F513" s="219"/>
    </row>
    <row r="514" spans="1:6" ht="14.4">
      <c r="A514">
        <v>36398</v>
      </c>
      <c r="B514" t="s">
        <v>17299</v>
      </c>
      <c r="C514" t="s">
        <v>2269</v>
      </c>
      <c r="D514" t="s">
        <v>2271</v>
      </c>
      <c r="E514" s="527" t="s">
        <v>17300</v>
      </c>
      <c r="F514" s="220"/>
    </row>
    <row r="515" spans="1:6" ht="14.4">
      <c r="A515">
        <v>647</v>
      </c>
      <c r="B515" t="s">
        <v>17301</v>
      </c>
      <c r="C515" t="s">
        <v>2267</v>
      </c>
      <c r="D515" t="s">
        <v>1857</v>
      </c>
      <c r="E515" s="527" t="s">
        <v>9612</v>
      </c>
      <c r="F515" s="219"/>
    </row>
    <row r="516" spans="1:6" ht="14.4">
      <c r="A516">
        <v>40920</v>
      </c>
      <c r="B516" t="s">
        <v>17302</v>
      </c>
      <c r="C516" t="s">
        <v>2276</v>
      </c>
      <c r="D516" t="s">
        <v>1857</v>
      </c>
      <c r="E516" s="527" t="s">
        <v>17303</v>
      </c>
      <c r="F516" s="220"/>
    </row>
    <row r="517" spans="1:6" ht="14.4">
      <c r="A517">
        <v>715</v>
      </c>
      <c r="B517" t="s">
        <v>17304</v>
      </c>
      <c r="C517" t="s">
        <v>2269</v>
      </c>
      <c r="D517" t="s">
        <v>2268</v>
      </c>
      <c r="E517" s="527" t="s">
        <v>7332</v>
      </c>
      <c r="F517" s="219"/>
    </row>
    <row r="518" spans="1:6" ht="14.4">
      <c r="A518">
        <v>716</v>
      </c>
      <c r="B518" t="s">
        <v>17305</v>
      </c>
      <c r="C518" t="s">
        <v>2269</v>
      </c>
      <c r="D518" t="s">
        <v>1857</v>
      </c>
      <c r="E518" s="527" t="s">
        <v>10045</v>
      </c>
      <c r="F518" s="220"/>
    </row>
    <row r="519" spans="1:6" ht="14.4">
      <c r="A519">
        <v>38783</v>
      </c>
      <c r="B519" t="s">
        <v>17306</v>
      </c>
      <c r="C519" t="s">
        <v>2269</v>
      </c>
      <c r="D519" t="s">
        <v>1857</v>
      </c>
      <c r="E519" s="527" t="s">
        <v>3777</v>
      </c>
      <c r="F519" s="219"/>
    </row>
    <row r="520" spans="1:6" ht="14.4">
      <c r="A520">
        <v>37593</v>
      </c>
      <c r="B520" t="s">
        <v>17307</v>
      </c>
      <c r="C520" t="s">
        <v>2269</v>
      </c>
      <c r="D520" t="s">
        <v>1857</v>
      </c>
      <c r="E520" s="527" t="s">
        <v>7283</v>
      </c>
      <c r="F520" s="220"/>
    </row>
    <row r="521" spans="1:6" ht="14.4">
      <c r="A521">
        <v>37594</v>
      </c>
      <c r="B521" t="s">
        <v>17308</v>
      </c>
      <c r="C521" t="s">
        <v>2269</v>
      </c>
      <c r="D521" t="s">
        <v>1857</v>
      </c>
      <c r="E521" s="527" t="s">
        <v>6912</v>
      </c>
      <c r="F521" s="219"/>
    </row>
    <row r="522" spans="1:6" ht="14.4">
      <c r="A522">
        <v>37592</v>
      </c>
      <c r="B522" t="s">
        <v>17309</v>
      </c>
      <c r="C522" t="s">
        <v>2269</v>
      </c>
      <c r="D522" t="s">
        <v>1857</v>
      </c>
      <c r="E522" s="527" t="s">
        <v>3164</v>
      </c>
      <c r="F522" s="220"/>
    </row>
    <row r="523" spans="1:6" ht="14.4">
      <c r="A523">
        <v>7266</v>
      </c>
      <c r="B523" t="s">
        <v>17310</v>
      </c>
      <c r="C523" t="s">
        <v>2280</v>
      </c>
      <c r="D523" t="s">
        <v>2268</v>
      </c>
      <c r="E523" s="527" t="s">
        <v>15170</v>
      </c>
      <c r="F523" s="219"/>
    </row>
    <row r="524" spans="1:6" ht="14.4">
      <c r="A524">
        <v>7270</v>
      </c>
      <c r="B524" t="s">
        <v>17311</v>
      </c>
      <c r="C524" t="s">
        <v>2269</v>
      </c>
      <c r="D524" t="s">
        <v>1857</v>
      </c>
      <c r="E524" s="527" t="s">
        <v>3305</v>
      </c>
      <c r="F524" s="220"/>
    </row>
    <row r="525" spans="1:6" ht="14.4">
      <c r="A525">
        <v>7267</v>
      </c>
      <c r="B525" t="s">
        <v>17312</v>
      </c>
      <c r="C525" t="s">
        <v>2269</v>
      </c>
      <c r="D525" t="s">
        <v>1857</v>
      </c>
      <c r="E525" s="527" t="s">
        <v>3892</v>
      </c>
      <c r="F525" s="219"/>
    </row>
    <row r="526" spans="1:6" ht="14.4">
      <c r="A526">
        <v>7269</v>
      </c>
      <c r="B526" t="s">
        <v>17313</v>
      </c>
      <c r="C526" t="s">
        <v>2269</v>
      </c>
      <c r="D526" t="s">
        <v>1857</v>
      </c>
      <c r="E526" s="527" t="s">
        <v>6908</v>
      </c>
      <c r="F526" s="220"/>
    </row>
    <row r="527" spans="1:6" ht="14.4">
      <c r="A527">
        <v>7271</v>
      </c>
      <c r="B527" t="s">
        <v>17314</v>
      </c>
      <c r="C527" t="s">
        <v>2269</v>
      </c>
      <c r="D527" t="s">
        <v>1857</v>
      </c>
      <c r="E527" s="527" t="s">
        <v>3728</v>
      </c>
      <c r="F527" s="219"/>
    </row>
    <row r="528" spans="1:6" ht="14.4">
      <c r="A528">
        <v>7268</v>
      </c>
      <c r="B528" t="s">
        <v>17315</v>
      </c>
      <c r="C528" t="s">
        <v>2269</v>
      </c>
      <c r="D528" t="s">
        <v>1857</v>
      </c>
      <c r="E528" s="527" t="s">
        <v>3088</v>
      </c>
      <c r="F528" s="220"/>
    </row>
    <row r="529" spans="1:6" ht="14.4">
      <c r="A529">
        <v>34556</v>
      </c>
      <c r="B529" t="s">
        <v>17316</v>
      </c>
      <c r="C529" t="s">
        <v>2269</v>
      </c>
      <c r="D529" t="s">
        <v>1857</v>
      </c>
      <c r="E529" s="527" t="s">
        <v>15814</v>
      </c>
      <c r="F529" s="219"/>
    </row>
    <row r="530" spans="1:6" ht="14.4">
      <c r="A530">
        <v>37873</v>
      </c>
      <c r="B530" t="s">
        <v>17317</v>
      </c>
      <c r="C530" t="s">
        <v>2269</v>
      </c>
      <c r="D530" t="s">
        <v>1857</v>
      </c>
      <c r="E530" s="527" t="s">
        <v>17318</v>
      </c>
      <c r="F530" s="220"/>
    </row>
    <row r="531" spans="1:6" ht="14.4">
      <c r="A531">
        <v>34564</v>
      </c>
      <c r="B531" t="s">
        <v>17319</v>
      </c>
      <c r="C531" t="s">
        <v>2269</v>
      </c>
      <c r="D531" t="s">
        <v>1857</v>
      </c>
      <c r="E531" s="527" t="s">
        <v>7257</v>
      </c>
      <c r="F531" s="219"/>
    </row>
    <row r="532" spans="1:6" ht="14.4">
      <c r="A532">
        <v>34565</v>
      </c>
      <c r="B532" t="s">
        <v>17320</v>
      </c>
      <c r="C532" t="s">
        <v>2269</v>
      </c>
      <c r="D532" t="s">
        <v>1857</v>
      </c>
      <c r="E532" s="527" t="s">
        <v>17321</v>
      </c>
      <c r="F532" s="220"/>
    </row>
    <row r="533" spans="1:6" ht="14.4">
      <c r="A533">
        <v>38590</v>
      </c>
      <c r="B533" t="s">
        <v>17322</v>
      </c>
      <c r="C533" t="s">
        <v>2269</v>
      </c>
      <c r="D533" t="s">
        <v>1857</v>
      </c>
      <c r="E533" s="527" t="s">
        <v>10415</v>
      </c>
      <c r="F533" s="219"/>
    </row>
    <row r="534" spans="1:6" ht="14.4">
      <c r="A534">
        <v>34566</v>
      </c>
      <c r="B534" t="s">
        <v>17323</v>
      </c>
      <c r="C534" t="s">
        <v>2269</v>
      </c>
      <c r="D534" t="s">
        <v>1857</v>
      </c>
      <c r="E534" s="527" t="s">
        <v>3575</v>
      </c>
      <c r="F534" s="220"/>
    </row>
    <row r="535" spans="1:6" ht="14.4">
      <c r="A535">
        <v>34567</v>
      </c>
      <c r="B535" t="s">
        <v>17324</v>
      </c>
      <c r="C535" t="s">
        <v>2269</v>
      </c>
      <c r="D535" t="s">
        <v>1857</v>
      </c>
      <c r="E535" s="527" t="s">
        <v>15848</v>
      </c>
      <c r="F535" s="219"/>
    </row>
    <row r="536" spans="1:6" ht="14.4">
      <c r="A536">
        <v>38591</v>
      </c>
      <c r="B536" t="s">
        <v>17325</v>
      </c>
      <c r="C536" t="s">
        <v>2269</v>
      </c>
      <c r="D536" t="s">
        <v>1857</v>
      </c>
      <c r="E536" s="527" t="s">
        <v>15810</v>
      </c>
      <c r="F536" s="220"/>
    </row>
    <row r="537" spans="1:6" ht="14.4">
      <c r="A537">
        <v>34568</v>
      </c>
      <c r="B537" t="s">
        <v>17326</v>
      </c>
      <c r="C537" t="s">
        <v>2269</v>
      </c>
      <c r="D537" t="s">
        <v>1857</v>
      </c>
      <c r="E537" s="527" t="s">
        <v>3734</v>
      </c>
      <c r="F537" s="219"/>
    </row>
    <row r="538" spans="1:6" ht="14.4">
      <c r="A538">
        <v>34569</v>
      </c>
      <c r="B538" t="s">
        <v>17327</v>
      </c>
      <c r="C538" t="s">
        <v>2269</v>
      </c>
      <c r="D538" t="s">
        <v>1857</v>
      </c>
      <c r="E538" s="527" t="s">
        <v>17321</v>
      </c>
      <c r="F538" s="220"/>
    </row>
    <row r="539" spans="1:6" ht="14.4">
      <c r="A539">
        <v>34570</v>
      </c>
      <c r="B539" t="s">
        <v>17328</v>
      </c>
      <c r="C539" t="s">
        <v>2269</v>
      </c>
      <c r="D539" t="s">
        <v>1857</v>
      </c>
      <c r="E539" s="527" t="s">
        <v>3832</v>
      </c>
      <c r="F539" s="219"/>
    </row>
    <row r="540" spans="1:6" ht="14.4">
      <c r="A540">
        <v>25070</v>
      </c>
      <c r="B540" t="s">
        <v>17329</v>
      </c>
      <c r="C540" t="s">
        <v>2269</v>
      </c>
      <c r="D540" t="s">
        <v>1857</v>
      </c>
      <c r="E540" s="527" t="s">
        <v>10014</v>
      </c>
      <c r="F540" s="220"/>
    </row>
    <row r="541" spans="1:6" ht="14.4">
      <c r="A541">
        <v>34571</v>
      </c>
      <c r="B541" t="s">
        <v>17330</v>
      </c>
      <c r="C541" t="s">
        <v>2269</v>
      </c>
      <c r="D541" t="s">
        <v>1857</v>
      </c>
      <c r="E541" s="527" t="s">
        <v>11761</v>
      </c>
      <c r="F541" s="219"/>
    </row>
    <row r="542" spans="1:6" ht="14.4">
      <c r="A542">
        <v>34573</v>
      </c>
      <c r="B542" t="s">
        <v>17331</v>
      </c>
      <c r="C542" t="s">
        <v>2269</v>
      </c>
      <c r="D542" t="s">
        <v>1857</v>
      </c>
      <c r="E542" s="527" t="s">
        <v>5226</v>
      </c>
      <c r="F542" s="220"/>
    </row>
    <row r="543" spans="1:6" ht="14.4">
      <c r="A543">
        <v>37107</v>
      </c>
      <c r="B543" t="s">
        <v>17332</v>
      </c>
      <c r="C543" t="s">
        <v>2269</v>
      </c>
      <c r="D543" t="s">
        <v>1857</v>
      </c>
      <c r="E543" s="527" t="s">
        <v>3941</v>
      </c>
      <c r="F543" s="219"/>
    </row>
    <row r="544" spans="1:6" ht="14.4">
      <c r="A544">
        <v>34576</v>
      </c>
      <c r="B544" t="s">
        <v>17333</v>
      </c>
      <c r="C544" t="s">
        <v>2269</v>
      </c>
      <c r="D544" t="s">
        <v>1857</v>
      </c>
      <c r="E544" s="527" t="s">
        <v>7636</v>
      </c>
      <c r="F544" s="220"/>
    </row>
    <row r="545" spans="1:6" ht="14.4">
      <c r="A545">
        <v>34577</v>
      </c>
      <c r="B545" t="s">
        <v>17334</v>
      </c>
      <c r="C545" t="s">
        <v>2269</v>
      </c>
      <c r="D545" t="s">
        <v>1857</v>
      </c>
      <c r="E545" s="527" t="s">
        <v>4218</v>
      </c>
      <c r="F545" s="219"/>
    </row>
    <row r="546" spans="1:6" ht="14.4">
      <c r="A546">
        <v>34578</v>
      </c>
      <c r="B546" t="s">
        <v>17335</v>
      </c>
      <c r="C546" t="s">
        <v>2269</v>
      </c>
      <c r="D546" t="s">
        <v>1857</v>
      </c>
      <c r="E546" s="527" t="s">
        <v>4612</v>
      </c>
      <c r="F546" s="220"/>
    </row>
    <row r="547" spans="1:6" ht="14.4">
      <c r="A547">
        <v>34579</v>
      </c>
      <c r="B547" t="s">
        <v>17336</v>
      </c>
      <c r="C547" t="s">
        <v>2269</v>
      </c>
      <c r="D547" t="s">
        <v>1857</v>
      </c>
      <c r="E547" s="527" t="s">
        <v>4607</v>
      </c>
      <c r="F547" s="219"/>
    </row>
    <row r="548" spans="1:6" ht="14.4">
      <c r="A548">
        <v>25067</v>
      </c>
      <c r="B548" t="s">
        <v>17337</v>
      </c>
      <c r="C548" t="s">
        <v>2269</v>
      </c>
      <c r="D548" t="s">
        <v>1857</v>
      </c>
      <c r="E548" s="527" t="s">
        <v>11810</v>
      </c>
      <c r="F548" s="220"/>
    </row>
    <row r="549" spans="1:6" ht="14.4">
      <c r="A549">
        <v>34580</v>
      </c>
      <c r="B549" t="s">
        <v>17338</v>
      </c>
      <c r="C549" t="s">
        <v>2269</v>
      </c>
      <c r="D549" t="s">
        <v>1857</v>
      </c>
      <c r="E549" s="527" t="s">
        <v>10211</v>
      </c>
      <c r="F549" s="219"/>
    </row>
    <row r="550" spans="1:6" ht="14.4">
      <c r="A550">
        <v>25071</v>
      </c>
      <c r="B550" t="s">
        <v>17339</v>
      </c>
      <c r="C550" t="s">
        <v>2269</v>
      </c>
      <c r="D550" t="s">
        <v>1857</v>
      </c>
      <c r="E550" s="527" t="s">
        <v>9768</v>
      </c>
      <c r="F550" s="220"/>
    </row>
    <row r="551" spans="1:6" ht="14.4">
      <c r="A551">
        <v>38395</v>
      </c>
      <c r="B551" t="s">
        <v>17340</v>
      </c>
      <c r="C551" t="s">
        <v>2269</v>
      </c>
      <c r="D551" t="s">
        <v>1857</v>
      </c>
      <c r="E551" s="527" t="s">
        <v>4692</v>
      </c>
      <c r="F551" s="219"/>
    </row>
    <row r="552" spans="1:6" ht="14.4">
      <c r="A552">
        <v>34583</v>
      </c>
      <c r="B552" t="s">
        <v>17341</v>
      </c>
      <c r="C552" t="s">
        <v>2270</v>
      </c>
      <c r="D552" t="s">
        <v>1857</v>
      </c>
      <c r="E552" s="527" t="s">
        <v>15851</v>
      </c>
      <c r="F552" s="220"/>
    </row>
    <row r="553" spans="1:6" ht="14.4">
      <c r="A553">
        <v>34584</v>
      </c>
      <c r="B553" t="s">
        <v>17342</v>
      </c>
      <c r="C553" t="s">
        <v>2270</v>
      </c>
      <c r="D553" t="s">
        <v>1857</v>
      </c>
      <c r="E553" s="527" t="s">
        <v>17343</v>
      </c>
      <c r="F553" s="219"/>
    </row>
    <row r="554" spans="1:6" ht="14.4">
      <c r="A554">
        <v>709</v>
      </c>
      <c r="B554" t="s">
        <v>17344</v>
      </c>
      <c r="C554" t="s">
        <v>2270</v>
      </c>
      <c r="D554" t="s">
        <v>2271</v>
      </c>
      <c r="E554" s="527" t="s">
        <v>17345</v>
      </c>
      <c r="F554" s="220"/>
    </row>
    <row r="555" spans="1:6" ht="14.4">
      <c r="A555">
        <v>34599</v>
      </c>
      <c r="B555" t="s">
        <v>17346</v>
      </c>
      <c r="C555" t="s">
        <v>2269</v>
      </c>
      <c r="D555" t="s">
        <v>1857</v>
      </c>
      <c r="E555" s="527" t="s">
        <v>10320</v>
      </c>
      <c r="F555" s="219"/>
    </row>
    <row r="556" spans="1:6" ht="14.4">
      <c r="A556">
        <v>34592</v>
      </c>
      <c r="B556" t="s">
        <v>17347</v>
      </c>
      <c r="C556" t="s">
        <v>2269</v>
      </c>
      <c r="D556" t="s">
        <v>1857</v>
      </c>
      <c r="E556" s="527" t="s">
        <v>9472</v>
      </c>
      <c r="F556" s="220"/>
    </row>
    <row r="557" spans="1:6" ht="14.4">
      <c r="A557">
        <v>37103</v>
      </c>
      <c r="B557" t="s">
        <v>17348</v>
      </c>
      <c r="C557" t="s">
        <v>2269</v>
      </c>
      <c r="D557" t="s">
        <v>1857</v>
      </c>
      <c r="E557" s="527" t="s">
        <v>3534</v>
      </c>
      <c r="F557" s="219"/>
    </row>
    <row r="558" spans="1:6" ht="14.4">
      <c r="A558">
        <v>34555</v>
      </c>
      <c r="B558" t="s">
        <v>17349</v>
      </c>
      <c r="C558" t="s">
        <v>2269</v>
      </c>
      <c r="D558" t="s">
        <v>1857</v>
      </c>
      <c r="E558" s="527" t="s">
        <v>4709</v>
      </c>
      <c r="F558" s="220"/>
    </row>
    <row r="559" spans="1:6" ht="14.4">
      <c r="A559">
        <v>674</v>
      </c>
      <c r="B559" t="s">
        <v>17350</v>
      </c>
      <c r="C559" t="s">
        <v>2270</v>
      </c>
      <c r="D559" t="s">
        <v>2271</v>
      </c>
      <c r="E559" s="527" t="s">
        <v>15171</v>
      </c>
      <c r="F559" s="219"/>
    </row>
    <row r="560" spans="1:6" ht="14.4">
      <c r="A560">
        <v>34600</v>
      </c>
      <c r="B560" t="s">
        <v>17351</v>
      </c>
      <c r="C560" t="s">
        <v>2270</v>
      </c>
      <c r="D560" t="s">
        <v>2271</v>
      </c>
      <c r="E560" s="527" t="s">
        <v>9530</v>
      </c>
      <c r="F560" s="220"/>
    </row>
    <row r="561" spans="1:6" ht="14.4">
      <c r="A561">
        <v>652</v>
      </c>
      <c r="B561" t="s">
        <v>17352</v>
      </c>
      <c r="C561" t="s">
        <v>2270</v>
      </c>
      <c r="D561" t="s">
        <v>2271</v>
      </c>
      <c r="E561" s="527" t="s">
        <v>15172</v>
      </c>
      <c r="F561" s="219"/>
    </row>
    <row r="562" spans="1:6" ht="14.4">
      <c r="A562">
        <v>651</v>
      </c>
      <c r="B562" t="s">
        <v>17353</v>
      </c>
      <c r="C562" t="s">
        <v>2269</v>
      </c>
      <c r="D562" t="s">
        <v>1857</v>
      </c>
      <c r="E562" s="527" t="s">
        <v>6521</v>
      </c>
      <c r="F562" s="220"/>
    </row>
    <row r="563" spans="1:6" ht="14.4">
      <c r="A563">
        <v>654</v>
      </c>
      <c r="B563" t="s">
        <v>17354</v>
      </c>
      <c r="C563" t="s">
        <v>2269</v>
      </c>
      <c r="D563" t="s">
        <v>1857</v>
      </c>
      <c r="E563" s="527" t="s">
        <v>15814</v>
      </c>
      <c r="F563" s="219"/>
    </row>
    <row r="564" spans="1:6" ht="14.4">
      <c r="A564">
        <v>650</v>
      </c>
      <c r="B564" t="s">
        <v>17355</v>
      </c>
      <c r="C564" t="s">
        <v>2269</v>
      </c>
      <c r="D564" t="s">
        <v>2268</v>
      </c>
      <c r="E564" s="527" t="s">
        <v>17356</v>
      </c>
      <c r="F564" s="220"/>
    </row>
    <row r="565" spans="1:6" ht="14.4">
      <c r="A565">
        <v>718</v>
      </c>
      <c r="B565" t="s">
        <v>17357</v>
      </c>
      <c r="C565" t="s">
        <v>2269</v>
      </c>
      <c r="D565" t="s">
        <v>1857</v>
      </c>
      <c r="E565" s="527" t="s">
        <v>7399</v>
      </c>
      <c r="F565" s="219"/>
    </row>
    <row r="566" spans="1:6" ht="14.4">
      <c r="A566">
        <v>11981</v>
      </c>
      <c r="B566" t="s">
        <v>17358</v>
      </c>
      <c r="C566" t="s">
        <v>2269</v>
      </c>
      <c r="D566" t="s">
        <v>1857</v>
      </c>
      <c r="E566" s="527" t="s">
        <v>10224</v>
      </c>
      <c r="F566" s="220"/>
    </row>
    <row r="567" spans="1:6" ht="14.4">
      <c r="A567">
        <v>34586</v>
      </c>
      <c r="B567" t="s">
        <v>17359</v>
      </c>
      <c r="C567" t="s">
        <v>2269</v>
      </c>
      <c r="D567" t="s">
        <v>1857</v>
      </c>
      <c r="E567" s="527" t="s">
        <v>3922</v>
      </c>
      <c r="F567" s="219"/>
    </row>
    <row r="568" spans="1:6" ht="14.4">
      <c r="A568">
        <v>38603</v>
      </c>
      <c r="B568" t="s">
        <v>17360</v>
      </c>
      <c r="C568" t="s">
        <v>2269</v>
      </c>
      <c r="D568" t="s">
        <v>1857</v>
      </c>
      <c r="E568" s="527" t="s">
        <v>4111</v>
      </c>
      <c r="F568" s="220"/>
    </row>
    <row r="569" spans="1:6" ht="14.4">
      <c r="A569">
        <v>34588</v>
      </c>
      <c r="B569" t="s">
        <v>17361</v>
      </c>
      <c r="C569" t="s">
        <v>2269</v>
      </c>
      <c r="D569" t="s">
        <v>1857</v>
      </c>
      <c r="E569" s="527" t="s">
        <v>3098</v>
      </c>
      <c r="F569" s="219"/>
    </row>
    <row r="570" spans="1:6" ht="14.4">
      <c r="A570">
        <v>34590</v>
      </c>
      <c r="B570" t="s">
        <v>17362</v>
      </c>
      <c r="C570" t="s">
        <v>2269</v>
      </c>
      <c r="D570" t="s">
        <v>1857</v>
      </c>
      <c r="E570" s="527" t="s">
        <v>7272</v>
      </c>
      <c r="F570" s="220"/>
    </row>
    <row r="571" spans="1:6" ht="14.4">
      <c r="A571">
        <v>34591</v>
      </c>
      <c r="B571" t="s">
        <v>17363</v>
      </c>
      <c r="C571" t="s">
        <v>2269</v>
      </c>
      <c r="D571" t="s">
        <v>1857</v>
      </c>
      <c r="E571" s="527" t="s">
        <v>7232</v>
      </c>
      <c r="F571" s="219"/>
    </row>
    <row r="572" spans="1:6" ht="14.4">
      <c r="A572">
        <v>41372</v>
      </c>
      <c r="B572" t="s">
        <v>17364</v>
      </c>
      <c r="C572" t="s">
        <v>2270</v>
      </c>
      <c r="D572" t="s">
        <v>2271</v>
      </c>
      <c r="E572" s="527" t="s">
        <v>15173</v>
      </c>
      <c r="F572" s="220"/>
    </row>
    <row r="573" spans="1:6" ht="14.4">
      <c r="A573">
        <v>41371</v>
      </c>
      <c r="B573" t="s">
        <v>17365</v>
      </c>
      <c r="C573" t="s">
        <v>2270</v>
      </c>
      <c r="D573" t="s">
        <v>2271</v>
      </c>
      <c r="E573" s="527" t="s">
        <v>15174</v>
      </c>
      <c r="F573" s="219"/>
    </row>
    <row r="574" spans="1:6" ht="14.4">
      <c r="A574">
        <v>40517</v>
      </c>
      <c r="B574" t="s">
        <v>17366</v>
      </c>
      <c r="C574" t="s">
        <v>2270</v>
      </c>
      <c r="D574" t="s">
        <v>1857</v>
      </c>
      <c r="E574" s="527" t="s">
        <v>17367</v>
      </c>
      <c r="F574" s="220"/>
    </row>
    <row r="575" spans="1:6" ht="14.4">
      <c r="A575">
        <v>40515</v>
      </c>
      <c r="B575" t="s">
        <v>17368</v>
      </c>
      <c r="C575" t="s">
        <v>2270</v>
      </c>
      <c r="D575" t="s">
        <v>1857</v>
      </c>
      <c r="E575" s="527" t="s">
        <v>17369</v>
      </c>
      <c r="F575" s="219"/>
    </row>
    <row r="576" spans="1:6" ht="14.4">
      <c r="A576">
        <v>40529</v>
      </c>
      <c r="B576" t="s">
        <v>17370</v>
      </c>
      <c r="C576" t="s">
        <v>2270</v>
      </c>
      <c r="D576" t="s">
        <v>1857</v>
      </c>
      <c r="E576" s="527" t="s">
        <v>15971</v>
      </c>
      <c r="F576" s="220"/>
    </row>
    <row r="577" spans="1:6" ht="14.4">
      <c r="A577">
        <v>36170</v>
      </c>
      <c r="B577" t="s">
        <v>17371</v>
      </c>
      <c r="C577" t="s">
        <v>2270</v>
      </c>
      <c r="D577" t="s">
        <v>2268</v>
      </c>
      <c r="E577" s="527" t="s">
        <v>9865</v>
      </c>
      <c r="F577" s="219"/>
    </row>
    <row r="578" spans="1:6" ht="14.4">
      <c r="A578">
        <v>40524</v>
      </c>
      <c r="B578" t="s">
        <v>17372</v>
      </c>
      <c r="C578" t="s">
        <v>2270</v>
      </c>
      <c r="D578" t="s">
        <v>1857</v>
      </c>
      <c r="E578" s="527" t="s">
        <v>17373</v>
      </c>
      <c r="F578" s="220"/>
    </row>
    <row r="579" spans="1:6" ht="14.4">
      <c r="A579">
        <v>36156</v>
      </c>
      <c r="B579" t="s">
        <v>17374</v>
      </c>
      <c r="C579" t="s">
        <v>2270</v>
      </c>
      <c r="D579" t="s">
        <v>1857</v>
      </c>
      <c r="E579" s="527" t="s">
        <v>16208</v>
      </c>
      <c r="F579" s="219"/>
    </row>
    <row r="580" spans="1:6" ht="14.4">
      <c r="A580">
        <v>36155</v>
      </c>
      <c r="B580" t="s">
        <v>17375</v>
      </c>
      <c r="C580" t="s">
        <v>2270</v>
      </c>
      <c r="D580" t="s">
        <v>1857</v>
      </c>
      <c r="E580" s="527" t="s">
        <v>17376</v>
      </c>
      <c r="F580" s="220"/>
    </row>
    <row r="581" spans="1:6" ht="14.4">
      <c r="A581">
        <v>36154</v>
      </c>
      <c r="B581" t="s">
        <v>17377</v>
      </c>
      <c r="C581" t="s">
        <v>2270</v>
      </c>
      <c r="D581" t="s">
        <v>1857</v>
      </c>
      <c r="E581" s="527" t="s">
        <v>11641</v>
      </c>
      <c r="F581" s="219"/>
    </row>
    <row r="582" spans="1:6" ht="14.4">
      <c r="A582">
        <v>695</v>
      </c>
      <c r="B582" t="s">
        <v>17378</v>
      </c>
      <c r="C582" t="s">
        <v>2270</v>
      </c>
      <c r="D582" t="s">
        <v>1857</v>
      </c>
      <c r="E582" s="527" t="s">
        <v>15694</v>
      </c>
      <c r="F582" s="220"/>
    </row>
    <row r="583" spans="1:6" ht="14.4">
      <c r="A583">
        <v>679</v>
      </c>
      <c r="B583" t="s">
        <v>17379</v>
      </c>
      <c r="C583" t="s">
        <v>2270</v>
      </c>
      <c r="D583" t="s">
        <v>1857</v>
      </c>
      <c r="E583" s="527" t="s">
        <v>15971</v>
      </c>
      <c r="F583" s="219"/>
    </row>
    <row r="584" spans="1:6" ht="14.4">
      <c r="A584">
        <v>711</v>
      </c>
      <c r="B584" t="s">
        <v>17380</v>
      </c>
      <c r="C584" t="s">
        <v>2270</v>
      </c>
      <c r="D584" t="s">
        <v>1857</v>
      </c>
      <c r="E584" s="527" t="s">
        <v>17381</v>
      </c>
      <c r="F584" s="220"/>
    </row>
    <row r="585" spans="1:6" ht="14.4">
      <c r="A585">
        <v>712</v>
      </c>
      <c r="B585" t="s">
        <v>17382</v>
      </c>
      <c r="C585" t="s">
        <v>2270</v>
      </c>
      <c r="D585" t="s">
        <v>1857</v>
      </c>
      <c r="E585" s="527" t="s">
        <v>17383</v>
      </c>
      <c r="F585" s="219"/>
    </row>
    <row r="586" spans="1:6" ht="14.4">
      <c r="A586">
        <v>12614</v>
      </c>
      <c r="B586" t="s">
        <v>17384</v>
      </c>
      <c r="C586" t="s">
        <v>2269</v>
      </c>
      <c r="D586" t="s">
        <v>2271</v>
      </c>
      <c r="E586" s="527" t="s">
        <v>9497</v>
      </c>
      <c r="F586" s="220"/>
    </row>
    <row r="587" spans="1:6" ht="14.4">
      <c r="A587">
        <v>6140</v>
      </c>
      <c r="B587" t="s">
        <v>17385</v>
      </c>
      <c r="C587" t="s">
        <v>2269</v>
      </c>
      <c r="D587" t="s">
        <v>1857</v>
      </c>
      <c r="E587" s="527" t="s">
        <v>6368</v>
      </c>
      <c r="F587" s="219"/>
    </row>
    <row r="588" spans="1:6" ht="14.4">
      <c r="A588">
        <v>38399</v>
      </c>
      <c r="B588" t="s">
        <v>17386</v>
      </c>
      <c r="C588" t="s">
        <v>2269</v>
      </c>
      <c r="D588" t="s">
        <v>1857</v>
      </c>
      <c r="E588" s="527" t="s">
        <v>15175</v>
      </c>
      <c r="F588" s="220"/>
    </row>
    <row r="589" spans="1:6" ht="14.4">
      <c r="A589">
        <v>735</v>
      </c>
      <c r="B589" t="s">
        <v>17387</v>
      </c>
      <c r="C589" t="s">
        <v>2269</v>
      </c>
      <c r="D589" t="s">
        <v>1857</v>
      </c>
      <c r="E589" s="527" t="s">
        <v>15176</v>
      </c>
      <c r="F589" s="219"/>
    </row>
    <row r="590" spans="1:6" ht="14.4">
      <c r="A590">
        <v>736</v>
      </c>
      <c r="B590" t="s">
        <v>17388</v>
      </c>
      <c r="C590" t="s">
        <v>2269</v>
      </c>
      <c r="D590" t="s">
        <v>1857</v>
      </c>
      <c r="E590" s="527" t="s">
        <v>15177</v>
      </c>
      <c r="F590" s="220"/>
    </row>
    <row r="591" spans="1:6" ht="14.4">
      <c r="A591">
        <v>729</v>
      </c>
      <c r="B591" t="s">
        <v>17389</v>
      </c>
      <c r="C591" t="s">
        <v>2269</v>
      </c>
      <c r="D591" t="s">
        <v>2268</v>
      </c>
      <c r="E591" s="527" t="s">
        <v>15178</v>
      </c>
      <c r="F591" s="219"/>
    </row>
    <row r="592" spans="1:6" ht="14.4">
      <c r="A592">
        <v>39925</v>
      </c>
      <c r="B592" t="s">
        <v>17390</v>
      </c>
      <c r="C592" t="s">
        <v>2269</v>
      </c>
      <c r="D592" t="s">
        <v>1857</v>
      </c>
      <c r="E592" s="527" t="s">
        <v>15179</v>
      </c>
      <c r="F592" s="220"/>
    </row>
    <row r="593" spans="1:6" ht="14.4">
      <c r="A593">
        <v>731</v>
      </c>
      <c r="B593" t="s">
        <v>17391</v>
      </c>
      <c r="C593" t="s">
        <v>2269</v>
      </c>
      <c r="D593" t="s">
        <v>1857</v>
      </c>
      <c r="E593" s="527" t="s">
        <v>15180</v>
      </c>
      <c r="F593" s="219"/>
    </row>
    <row r="594" spans="1:6" ht="14.4">
      <c r="A594">
        <v>10575</v>
      </c>
      <c r="B594" t="s">
        <v>17392</v>
      </c>
      <c r="C594" t="s">
        <v>2269</v>
      </c>
      <c r="D594" t="s">
        <v>1857</v>
      </c>
      <c r="E594" s="527" t="s">
        <v>15181</v>
      </c>
      <c r="F594" s="220"/>
    </row>
    <row r="595" spans="1:6" ht="14.4">
      <c r="A595">
        <v>733</v>
      </c>
      <c r="B595" t="s">
        <v>17393</v>
      </c>
      <c r="C595" t="s">
        <v>2269</v>
      </c>
      <c r="D595" t="s">
        <v>1857</v>
      </c>
      <c r="E595" s="527" t="s">
        <v>15182</v>
      </c>
      <c r="F595" s="219"/>
    </row>
    <row r="596" spans="1:6" ht="14.4">
      <c r="A596">
        <v>732</v>
      </c>
      <c r="B596" t="s">
        <v>17394</v>
      </c>
      <c r="C596" t="s">
        <v>2269</v>
      </c>
      <c r="D596" t="s">
        <v>1857</v>
      </c>
      <c r="E596" s="527" t="s">
        <v>15183</v>
      </c>
      <c r="F596" s="220"/>
    </row>
    <row r="597" spans="1:6" ht="14.4">
      <c r="A597">
        <v>737</v>
      </c>
      <c r="B597" t="s">
        <v>17395</v>
      </c>
      <c r="C597" t="s">
        <v>2269</v>
      </c>
      <c r="D597" t="s">
        <v>1857</v>
      </c>
      <c r="E597" s="527" t="s">
        <v>15184</v>
      </c>
      <c r="F597" s="219"/>
    </row>
    <row r="598" spans="1:6" ht="14.4">
      <c r="A598">
        <v>738</v>
      </c>
      <c r="B598" t="s">
        <v>17396</v>
      </c>
      <c r="C598" t="s">
        <v>2269</v>
      </c>
      <c r="D598" t="s">
        <v>1857</v>
      </c>
      <c r="E598" s="527" t="s">
        <v>15185</v>
      </c>
      <c r="F598" s="220"/>
    </row>
    <row r="599" spans="1:6" ht="14.4">
      <c r="A599">
        <v>740</v>
      </c>
      <c r="B599" t="s">
        <v>17397</v>
      </c>
      <c r="C599" t="s">
        <v>2269</v>
      </c>
      <c r="D599" t="s">
        <v>1857</v>
      </c>
      <c r="E599" s="527" t="s">
        <v>15186</v>
      </c>
      <c r="F599" s="219"/>
    </row>
    <row r="600" spans="1:6" ht="14.4">
      <c r="A600">
        <v>734</v>
      </c>
      <c r="B600" t="s">
        <v>17398</v>
      </c>
      <c r="C600" t="s">
        <v>2269</v>
      </c>
      <c r="D600" t="s">
        <v>1857</v>
      </c>
      <c r="E600" s="527" t="s">
        <v>15187</v>
      </c>
      <c r="F600" s="220"/>
    </row>
    <row r="601" spans="1:6" ht="14.4">
      <c r="A601">
        <v>39008</v>
      </c>
      <c r="B601" t="s">
        <v>17399</v>
      </c>
      <c r="C601" t="s">
        <v>2269</v>
      </c>
      <c r="D601" t="s">
        <v>2271</v>
      </c>
      <c r="E601" s="527" t="s">
        <v>17400</v>
      </c>
      <c r="F601" s="219"/>
    </row>
    <row r="602" spans="1:6" ht="14.4">
      <c r="A602">
        <v>39009</v>
      </c>
      <c r="B602" t="s">
        <v>17401</v>
      </c>
      <c r="C602" t="s">
        <v>2269</v>
      </c>
      <c r="D602" t="s">
        <v>2271</v>
      </c>
      <c r="E602" s="527" t="s">
        <v>17402</v>
      </c>
      <c r="F602" s="220"/>
    </row>
    <row r="603" spans="1:6" ht="14.4">
      <c r="A603">
        <v>10587</v>
      </c>
      <c r="B603" t="s">
        <v>17403</v>
      </c>
      <c r="C603" t="s">
        <v>2269</v>
      </c>
      <c r="D603" t="s">
        <v>2271</v>
      </c>
      <c r="E603" s="527" t="s">
        <v>17404</v>
      </c>
      <c r="F603" s="219"/>
    </row>
    <row r="604" spans="1:6" ht="14.4">
      <c r="A604">
        <v>759</v>
      </c>
      <c r="B604" t="s">
        <v>17405</v>
      </c>
      <c r="C604" t="s">
        <v>2269</v>
      </c>
      <c r="D604" t="s">
        <v>2271</v>
      </c>
      <c r="E604" s="527" t="s">
        <v>17406</v>
      </c>
      <c r="F604" s="220"/>
    </row>
    <row r="605" spans="1:6" ht="14.4">
      <c r="A605">
        <v>761</v>
      </c>
      <c r="B605" t="s">
        <v>17407</v>
      </c>
      <c r="C605" t="s">
        <v>2269</v>
      </c>
      <c r="D605" t="s">
        <v>2271</v>
      </c>
      <c r="E605" s="527" t="s">
        <v>17408</v>
      </c>
      <c r="F605" s="219"/>
    </row>
    <row r="606" spans="1:6" ht="14.4">
      <c r="A606">
        <v>750</v>
      </c>
      <c r="B606" t="s">
        <v>17409</v>
      </c>
      <c r="C606" t="s">
        <v>2269</v>
      </c>
      <c r="D606" t="s">
        <v>2271</v>
      </c>
      <c r="E606" s="527" t="s">
        <v>17410</v>
      </c>
      <c r="F606" s="220"/>
    </row>
    <row r="607" spans="1:6" ht="14.4">
      <c r="A607">
        <v>755</v>
      </c>
      <c r="B607" t="s">
        <v>17411</v>
      </c>
      <c r="C607" t="s">
        <v>2269</v>
      </c>
      <c r="D607" t="s">
        <v>2271</v>
      </c>
      <c r="E607" s="527" t="s">
        <v>17412</v>
      </c>
      <c r="F607" s="219"/>
    </row>
    <row r="608" spans="1:6" ht="14.4">
      <c r="A608">
        <v>749</v>
      </c>
      <c r="B608" t="s">
        <v>17413</v>
      </c>
      <c r="C608" t="s">
        <v>2269</v>
      </c>
      <c r="D608" t="s">
        <v>2271</v>
      </c>
      <c r="E608" s="527" t="s">
        <v>17414</v>
      </c>
      <c r="F608" s="220"/>
    </row>
    <row r="609" spans="1:6" ht="14.4">
      <c r="A609">
        <v>756</v>
      </c>
      <c r="B609" t="s">
        <v>17415</v>
      </c>
      <c r="C609" t="s">
        <v>2269</v>
      </c>
      <c r="D609" t="s">
        <v>2271</v>
      </c>
      <c r="E609" s="527" t="s">
        <v>17416</v>
      </c>
      <c r="F609" s="219"/>
    </row>
    <row r="610" spans="1:6" ht="14.4">
      <c r="A610">
        <v>757</v>
      </c>
      <c r="B610" t="s">
        <v>17417</v>
      </c>
      <c r="C610" t="s">
        <v>2269</v>
      </c>
      <c r="D610" t="s">
        <v>2271</v>
      </c>
      <c r="E610" s="527" t="s">
        <v>17418</v>
      </c>
      <c r="F610" s="220"/>
    </row>
    <row r="611" spans="1:6" ht="14.4">
      <c r="A611">
        <v>10588</v>
      </c>
      <c r="B611" t="s">
        <v>17419</v>
      </c>
      <c r="C611" t="s">
        <v>2269</v>
      </c>
      <c r="D611" t="s">
        <v>2271</v>
      </c>
      <c r="E611" s="527" t="s">
        <v>17420</v>
      </c>
      <c r="F611" s="219"/>
    </row>
    <row r="612" spans="1:6" ht="14.4">
      <c r="A612">
        <v>10592</v>
      </c>
      <c r="B612" t="s">
        <v>17421</v>
      </c>
      <c r="C612" t="s">
        <v>2269</v>
      </c>
      <c r="D612" t="s">
        <v>2271</v>
      </c>
      <c r="E612" s="527" t="s">
        <v>17422</v>
      </c>
      <c r="F612" s="220"/>
    </row>
    <row r="613" spans="1:6" ht="14.4">
      <c r="A613">
        <v>10589</v>
      </c>
      <c r="B613" t="s">
        <v>17423</v>
      </c>
      <c r="C613" t="s">
        <v>2269</v>
      </c>
      <c r="D613" t="s">
        <v>2271</v>
      </c>
      <c r="E613" s="527" t="s">
        <v>17424</v>
      </c>
      <c r="F613" s="219"/>
    </row>
    <row r="614" spans="1:6" ht="14.4">
      <c r="A614">
        <v>760</v>
      </c>
      <c r="B614" t="s">
        <v>17425</v>
      </c>
      <c r="C614" t="s">
        <v>2269</v>
      </c>
      <c r="D614" t="s">
        <v>2271</v>
      </c>
      <c r="E614" s="527" t="s">
        <v>17426</v>
      </c>
      <c r="F614" s="220"/>
    </row>
    <row r="615" spans="1:6" ht="14.4">
      <c r="A615">
        <v>751</v>
      </c>
      <c r="B615" t="s">
        <v>17427</v>
      </c>
      <c r="C615" t="s">
        <v>2269</v>
      </c>
      <c r="D615" t="s">
        <v>2271</v>
      </c>
      <c r="E615" s="527" t="s">
        <v>17428</v>
      </c>
      <c r="F615" s="219"/>
    </row>
    <row r="616" spans="1:6" ht="14.4">
      <c r="A616">
        <v>754</v>
      </c>
      <c r="B616" t="s">
        <v>17429</v>
      </c>
      <c r="C616" t="s">
        <v>2269</v>
      </c>
      <c r="D616" t="s">
        <v>2271</v>
      </c>
      <c r="E616" s="527" t="s">
        <v>17430</v>
      </c>
      <c r="F616" s="220"/>
    </row>
    <row r="617" spans="1:6" ht="14.4">
      <c r="A617">
        <v>14013</v>
      </c>
      <c r="B617" t="s">
        <v>17431</v>
      </c>
      <c r="C617" t="s">
        <v>2269</v>
      </c>
      <c r="D617" t="s">
        <v>1857</v>
      </c>
      <c r="E617" s="527" t="s">
        <v>15188</v>
      </c>
      <c r="F617" s="219"/>
    </row>
    <row r="618" spans="1:6" ht="14.4">
      <c r="A618">
        <v>39917</v>
      </c>
      <c r="B618" t="s">
        <v>17432</v>
      </c>
      <c r="C618" t="s">
        <v>2269</v>
      </c>
      <c r="D618" t="s">
        <v>2271</v>
      </c>
      <c r="E618" s="527" t="s">
        <v>17433</v>
      </c>
      <c r="F618" s="220"/>
    </row>
    <row r="619" spans="1:6" ht="14.4">
      <c r="A619">
        <v>38167</v>
      </c>
      <c r="B619" t="s">
        <v>17434</v>
      </c>
      <c r="C619" t="s">
        <v>2278</v>
      </c>
      <c r="D619" t="s">
        <v>1857</v>
      </c>
      <c r="E619" s="527" t="s">
        <v>9897</v>
      </c>
      <c r="F619" s="219"/>
    </row>
    <row r="620" spans="1:6" ht="14.4">
      <c r="A620">
        <v>36145</v>
      </c>
      <c r="B620" t="s">
        <v>17435</v>
      </c>
      <c r="C620" t="s">
        <v>2278</v>
      </c>
      <c r="D620" t="s">
        <v>1857</v>
      </c>
      <c r="E620" s="527" t="s">
        <v>10223</v>
      </c>
      <c r="F620" s="220"/>
    </row>
    <row r="621" spans="1:6" ht="14.4">
      <c r="A621">
        <v>12893</v>
      </c>
      <c r="B621" t="s">
        <v>17436</v>
      </c>
      <c r="C621" t="s">
        <v>2278</v>
      </c>
      <c r="D621" t="s">
        <v>1857</v>
      </c>
      <c r="E621" s="527" t="s">
        <v>15840</v>
      </c>
      <c r="F621" s="219"/>
    </row>
    <row r="622" spans="1:6" ht="14.4">
      <c r="A622">
        <v>11685</v>
      </c>
      <c r="B622" t="s">
        <v>17437</v>
      </c>
      <c r="C622" t="s">
        <v>2269</v>
      </c>
      <c r="D622" t="s">
        <v>1857</v>
      </c>
      <c r="E622" s="527" t="s">
        <v>9926</v>
      </c>
      <c r="F622" s="220"/>
    </row>
    <row r="623" spans="1:6" ht="14.4">
      <c r="A623">
        <v>11680</v>
      </c>
      <c r="B623" t="s">
        <v>17438</v>
      </c>
      <c r="C623" t="s">
        <v>2269</v>
      </c>
      <c r="D623" t="s">
        <v>1857</v>
      </c>
      <c r="E623" s="527" t="s">
        <v>17439</v>
      </c>
      <c r="F623" s="219"/>
    </row>
    <row r="624" spans="1:6" ht="14.4">
      <c r="A624">
        <v>11679</v>
      </c>
      <c r="B624" t="s">
        <v>17440</v>
      </c>
      <c r="C624" t="s">
        <v>2269</v>
      </c>
      <c r="D624" t="s">
        <v>1857</v>
      </c>
      <c r="E624" s="527" t="s">
        <v>16298</v>
      </c>
      <c r="F624" s="220"/>
    </row>
    <row r="625" spans="1:6" ht="14.4">
      <c r="A625">
        <v>2512</v>
      </c>
      <c r="B625" t="s">
        <v>17441</v>
      </c>
      <c r="C625" t="s">
        <v>2269</v>
      </c>
      <c r="D625" t="s">
        <v>2271</v>
      </c>
      <c r="E625" s="527" t="s">
        <v>17442</v>
      </c>
      <c r="F625" s="219"/>
    </row>
    <row r="626" spans="1:6" ht="14.4">
      <c r="A626">
        <v>4374</v>
      </c>
      <c r="B626" t="s">
        <v>17443</v>
      </c>
      <c r="C626" t="s">
        <v>2269</v>
      </c>
      <c r="D626" t="s">
        <v>1857</v>
      </c>
      <c r="E626" s="527" t="s">
        <v>6906</v>
      </c>
      <c r="F626" s="220"/>
    </row>
    <row r="627" spans="1:6" ht="14.4">
      <c r="A627">
        <v>7568</v>
      </c>
      <c r="B627" t="s">
        <v>17444</v>
      </c>
      <c r="C627" t="s">
        <v>2269</v>
      </c>
      <c r="D627" t="s">
        <v>1857</v>
      </c>
      <c r="E627" s="527" t="s">
        <v>3571</v>
      </c>
      <c r="F627" s="219"/>
    </row>
    <row r="628" spans="1:6" ht="14.4">
      <c r="A628">
        <v>7584</v>
      </c>
      <c r="B628" t="s">
        <v>17445</v>
      </c>
      <c r="C628" t="s">
        <v>2269</v>
      </c>
      <c r="D628" t="s">
        <v>1857</v>
      </c>
      <c r="E628" s="527" t="s">
        <v>3834</v>
      </c>
      <c r="F628" s="220"/>
    </row>
    <row r="629" spans="1:6" ht="14.4">
      <c r="A629">
        <v>11945</v>
      </c>
      <c r="B629" t="s">
        <v>17446</v>
      </c>
      <c r="C629" t="s">
        <v>2269</v>
      </c>
      <c r="D629" t="s">
        <v>1857</v>
      </c>
      <c r="E629" s="527" t="s">
        <v>3552</v>
      </c>
      <c r="F629" s="219"/>
    </row>
    <row r="630" spans="1:6" ht="14.4">
      <c r="A630">
        <v>11946</v>
      </c>
      <c r="B630" t="s">
        <v>17447</v>
      </c>
      <c r="C630" t="s">
        <v>2269</v>
      </c>
      <c r="D630" t="s">
        <v>1857</v>
      </c>
      <c r="E630" s="527" t="s">
        <v>3368</v>
      </c>
      <c r="F630" s="220"/>
    </row>
    <row r="631" spans="1:6" ht="14.4">
      <c r="A631">
        <v>4375</v>
      </c>
      <c r="B631" t="s">
        <v>17448</v>
      </c>
      <c r="C631" t="s">
        <v>2269</v>
      </c>
      <c r="D631" t="s">
        <v>2268</v>
      </c>
      <c r="E631" s="527" t="s">
        <v>4032</v>
      </c>
      <c r="F631" s="219"/>
    </row>
    <row r="632" spans="1:6" ht="14.4">
      <c r="A632">
        <v>11950</v>
      </c>
      <c r="B632" t="s">
        <v>17449</v>
      </c>
      <c r="C632" t="s">
        <v>2269</v>
      </c>
      <c r="D632" t="s">
        <v>1857</v>
      </c>
      <c r="E632" s="527" t="s">
        <v>3481</v>
      </c>
      <c r="F632" s="220"/>
    </row>
    <row r="633" spans="1:6" ht="14.4">
      <c r="A633">
        <v>4376</v>
      </c>
      <c r="B633" t="s">
        <v>17450</v>
      </c>
      <c r="C633" t="s">
        <v>2269</v>
      </c>
      <c r="D633" t="s">
        <v>1857</v>
      </c>
      <c r="E633" s="527" t="s">
        <v>3264</v>
      </c>
      <c r="F633" s="219"/>
    </row>
    <row r="634" spans="1:6" ht="14.4">
      <c r="A634">
        <v>7583</v>
      </c>
      <c r="B634" t="s">
        <v>17451</v>
      </c>
      <c r="C634" t="s">
        <v>2269</v>
      </c>
      <c r="D634" t="s">
        <v>1857</v>
      </c>
      <c r="E634" s="527" t="s">
        <v>6902</v>
      </c>
      <c r="F634" s="220"/>
    </row>
    <row r="635" spans="1:6" ht="14.4">
      <c r="A635">
        <v>4350</v>
      </c>
      <c r="B635" t="s">
        <v>17452</v>
      </c>
      <c r="C635" t="s">
        <v>2269</v>
      </c>
      <c r="D635" t="s">
        <v>2271</v>
      </c>
      <c r="E635" s="527" t="s">
        <v>3892</v>
      </c>
      <c r="F635" s="219"/>
    </row>
    <row r="636" spans="1:6" ht="14.4">
      <c r="A636">
        <v>39886</v>
      </c>
      <c r="B636" t="s">
        <v>17453</v>
      </c>
      <c r="C636" t="s">
        <v>2269</v>
      </c>
      <c r="D636" t="s">
        <v>2271</v>
      </c>
      <c r="E636" s="527" t="s">
        <v>5383</v>
      </c>
      <c r="F636" s="220"/>
    </row>
    <row r="637" spans="1:6" ht="14.4">
      <c r="A637">
        <v>39887</v>
      </c>
      <c r="B637" t="s">
        <v>17454</v>
      </c>
      <c r="C637" t="s">
        <v>2269</v>
      </c>
      <c r="D637" t="s">
        <v>2271</v>
      </c>
      <c r="E637" s="527" t="s">
        <v>10282</v>
      </c>
      <c r="F637" s="219"/>
    </row>
    <row r="638" spans="1:6" ht="14.4">
      <c r="A638">
        <v>39888</v>
      </c>
      <c r="B638" t="s">
        <v>17455</v>
      </c>
      <c r="C638" t="s">
        <v>2269</v>
      </c>
      <c r="D638" t="s">
        <v>2271</v>
      </c>
      <c r="E638" s="527" t="s">
        <v>4314</v>
      </c>
      <c r="F638" s="220"/>
    </row>
    <row r="639" spans="1:6" ht="14.4">
      <c r="A639">
        <v>39890</v>
      </c>
      <c r="B639" t="s">
        <v>17456</v>
      </c>
      <c r="C639" t="s">
        <v>2269</v>
      </c>
      <c r="D639" t="s">
        <v>2271</v>
      </c>
      <c r="E639" s="527" t="s">
        <v>17457</v>
      </c>
      <c r="F639" s="219"/>
    </row>
    <row r="640" spans="1:6" ht="14.4">
      <c r="A640">
        <v>39891</v>
      </c>
      <c r="B640" t="s">
        <v>17458</v>
      </c>
      <c r="C640" t="s">
        <v>2269</v>
      </c>
      <c r="D640" t="s">
        <v>2271</v>
      </c>
      <c r="E640" s="527" t="s">
        <v>17459</v>
      </c>
      <c r="F640" s="220"/>
    </row>
    <row r="641" spans="1:6" ht="14.4">
      <c r="A641">
        <v>39892</v>
      </c>
      <c r="B641" t="s">
        <v>17460</v>
      </c>
      <c r="C641" t="s">
        <v>2269</v>
      </c>
      <c r="D641" t="s">
        <v>2271</v>
      </c>
      <c r="E641" s="527" t="s">
        <v>15247</v>
      </c>
      <c r="F641" s="219"/>
    </row>
    <row r="642" spans="1:6" ht="14.4">
      <c r="A642">
        <v>790</v>
      </c>
      <c r="B642" t="s">
        <v>17461</v>
      </c>
      <c r="C642" t="s">
        <v>2269</v>
      </c>
      <c r="D642" t="s">
        <v>1857</v>
      </c>
      <c r="E642" s="527" t="s">
        <v>14629</v>
      </c>
      <c r="F642" s="220"/>
    </row>
    <row r="643" spans="1:6" ht="14.4">
      <c r="A643">
        <v>766</v>
      </c>
      <c r="B643" t="s">
        <v>17462</v>
      </c>
      <c r="C643" t="s">
        <v>2269</v>
      </c>
      <c r="D643" t="s">
        <v>1857</v>
      </c>
      <c r="E643" s="527" t="s">
        <v>14629</v>
      </c>
      <c r="F643" s="219"/>
    </row>
    <row r="644" spans="1:6" ht="14.4">
      <c r="A644">
        <v>791</v>
      </c>
      <c r="B644" t="s">
        <v>17463</v>
      </c>
      <c r="C644" t="s">
        <v>2269</v>
      </c>
      <c r="D644" t="s">
        <v>1857</v>
      </c>
      <c r="E644" s="527" t="s">
        <v>14629</v>
      </c>
      <c r="F644" s="220"/>
    </row>
    <row r="645" spans="1:6" ht="14.4">
      <c r="A645">
        <v>767</v>
      </c>
      <c r="B645" t="s">
        <v>17464</v>
      </c>
      <c r="C645" t="s">
        <v>2269</v>
      </c>
      <c r="D645" t="s">
        <v>1857</v>
      </c>
      <c r="E645" s="527" t="s">
        <v>14629</v>
      </c>
      <c r="F645" s="219"/>
    </row>
    <row r="646" spans="1:6" ht="14.4">
      <c r="A646">
        <v>768</v>
      </c>
      <c r="B646" t="s">
        <v>17465</v>
      </c>
      <c r="C646" t="s">
        <v>2269</v>
      </c>
      <c r="D646" t="s">
        <v>1857</v>
      </c>
      <c r="E646" s="527" t="s">
        <v>13155</v>
      </c>
      <c r="F646" s="220"/>
    </row>
    <row r="647" spans="1:6" ht="14.4">
      <c r="A647">
        <v>789</v>
      </c>
      <c r="B647" t="s">
        <v>17466</v>
      </c>
      <c r="C647" t="s">
        <v>2269</v>
      </c>
      <c r="D647" t="s">
        <v>1857</v>
      </c>
      <c r="E647" s="527" t="s">
        <v>10007</v>
      </c>
      <c r="F647" s="219"/>
    </row>
    <row r="648" spans="1:6" ht="14.4">
      <c r="A648">
        <v>769</v>
      </c>
      <c r="B648" t="s">
        <v>17467</v>
      </c>
      <c r="C648" t="s">
        <v>2269</v>
      </c>
      <c r="D648" t="s">
        <v>1857</v>
      </c>
      <c r="E648" s="527" t="s">
        <v>13155</v>
      </c>
      <c r="F648" s="220"/>
    </row>
    <row r="649" spans="1:6" ht="14.4">
      <c r="A649">
        <v>770</v>
      </c>
      <c r="B649" t="s">
        <v>17468</v>
      </c>
      <c r="C649" t="s">
        <v>2269</v>
      </c>
      <c r="D649" t="s">
        <v>1857</v>
      </c>
      <c r="E649" s="527" t="s">
        <v>7278</v>
      </c>
      <c r="F649" s="219"/>
    </row>
    <row r="650" spans="1:6" ht="14.4">
      <c r="A650">
        <v>12394</v>
      </c>
      <c r="B650" t="s">
        <v>17469</v>
      </c>
      <c r="C650" t="s">
        <v>2269</v>
      </c>
      <c r="D650" t="s">
        <v>1857</v>
      </c>
      <c r="E650" s="527" t="s">
        <v>7278</v>
      </c>
      <c r="F650" s="220"/>
    </row>
    <row r="651" spans="1:6" ht="14.4">
      <c r="A651">
        <v>764</v>
      </c>
      <c r="B651" t="s">
        <v>17470</v>
      </c>
      <c r="C651" t="s">
        <v>2269</v>
      </c>
      <c r="D651" t="s">
        <v>2268</v>
      </c>
      <c r="E651" s="527" t="s">
        <v>3686</v>
      </c>
      <c r="F651" s="219"/>
    </row>
    <row r="652" spans="1:6" ht="14.4">
      <c r="A652">
        <v>765</v>
      </c>
      <c r="B652" t="s">
        <v>17471</v>
      </c>
      <c r="C652" t="s">
        <v>2269</v>
      </c>
      <c r="D652" t="s">
        <v>1857</v>
      </c>
      <c r="E652" s="527" t="s">
        <v>3686</v>
      </c>
      <c r="F652" s="220"/>
    </row>
    <row r="653" spans="1:6" ht="14.4">
      <c r="A653">
        <v>787</v>
      </c>
      <c r="B653" t="s">
        <v>17472</v>
      </c>
      <c r="C653" t="s">
        <v>2269</v>
      </c>
      <c r="D653" t="s">
        <v>1857</v>
      </c>
      <c r="E653" s="527" t="s">
        <v>15190</v>
      </c>
      <c r="F653" s="219"/>
    </row>
    <row r="654" spans="1:6" ht="14.4">
      <c r="A654">
        <v>774</v>
      </c>
      <c r="B654" t="s">
        <v>17473</v>
      </c>
      <c r="C654" t="s">
        <v>2269</v>
      </c>
      <c r="D654" t="s">
        <v>1857</v>
      </c>
      <c r="E654" s="527" t="s">
        <v>15190</v>
      </c>
      <c r="F654" s="220"/>
    </row>
    <row r="655" spans="1:6" ht="14.4">
      <c r="A655">
        <v>773</v>
      </c>
      <c r="B655" t="s">
        <v>17474</v>
      </c>
      <c r="C655" t="s">
        <v>2269</v>
      </c>
      <c r="D655" t="s">
        <v>1857</v>
      </c>
      <c r="E655" s="527" t="s">
        <v>15190</v>
      </c>
      <c r="F655" s="219"/>
    </row>
    <row r="656" spans="1:6" ht="14.4">
      <c r="A656">
        <v>775</v>
      </c>
      <c r="B656" t="s">
        <v>17475</v>
      </c>
      <c r="C656" t="s">
        <v>2269</v>
      </c>
      <c r="D656" t="s">
        <v>1857</v>
      </c>
      <c r="E656" s="527" t="s">
        <v>15190</v>
      </c>
      <c r="F656" s="220"/>
    </row>
    <row r="657" spans="1:6" ht="14.4">
      <c r="A657">
        <v>788</v>
      </c>
      <c r="B657" t="s">
        <v>17476</v>
      </c>
      <c r="C657" t="s">
        <v>2269</v>
      </c>
      <c r="D657" t="s">
        <v>1857</v>
      </c>
      <c r="E657" s="527" t="s">
        <v>10325</v>
      </c>
      <c r="F657" s="219"/>
    </row>
    <row r="658" spans="1:6" ht="14.4">
      <c r="A658">
        <v>772</v>
      </c>
      <c r="B658" t="s">
        <v>17477</v>
      </c>
      <c r="C658" t="s">
        <v>2269</v>
      </c>
      <c r="D658" t="s">
        <v>1857</v>
      </c>
      <c r="E658" s="527" t="s">
        <v>10325</v>
      </c>
      <c r="F658" s="220"/>
    </row>
    <row r="659" spans="1:6" ht="14.4">
      <c r="A659">
        <v>771</v>
      </c>
      <c r="B659" t="s">
        <v>17478</v>
      </c>
      <c r="C659" t="s">
        <v>2269</v>
      </c>
      <c r="D659" t="s">
        <v>1857</v>
      </c>
      <c r="E659" s="527" t="s">
        <v>10325</v>
      </c>
      <c r="F659" s="219"/>
    </row>
    <row r="660" spans="1:6" ht="14.4">
      <c r="A660">
        <v>779</v>
      </c>
      <c r="B660" t="s">
        <v>17479</v>
      </c>
      <c r="C660" t="s">
        <v>2269</v>
      </c>
      <c r="D660" t="s">
        <v>1857</v>
      </c>
      <c r="E660" s="527" t="s">
        <v>6982</v>
      </c>
      <c r="F660" s="220"/>
    </row>
    <row r="661" spans="1:6" ht="14.4">
      <c r="A661">
        <v>776</v>
      </c>
      <c r="B661" t="s">
        <v>17480</v>
      </c>
      <c r="C661" t="s">
        <v>2269</v>
      </c>
      <c r="D661" t="s">
        <v>1857</v>
      </c>
      <c r="E661" s="527" t="s">
        <v>10786</v>
      </c>
      <c r="F661" s="219"/>
    </row>
    <row r="662" spans="1:6" ht="14.4">
      <c r="A662">
        <v>777</v>
      </c>
      <c r="B662" t="s">
        <v>17481</v>
      </c>
      <c r="C662" t="s">
        <v>2269</v>
      </c>
      <c r="D662" t="s">
        <v>1857</v>
      </c>
      <c r="E662" s="527" t="s">
        <v>10256</v>
      </c>
      <c r="F662" s="220"/>
    </row>
    <row r="663" spans="1:6" ht="14.4">
      <c r="A663">
        <v>780</v>
      </c>
      <c r="B663" t="s">
        <v>17482</v>
      </c>
      <c r="C663" t="s">
        <v>2269</v>
      </c>
      <c r="D663" t="s">
        <v>1857</v>
      </c>
      <c r="E663" s="527" t="s">
        <v>11799</v>
      </c>
      <c r="F663" s="219"/>
    </row>
    <row r="664" spans="1:6" ht="14.4">
      <c r="A664">
        <v>778</v>
      </c>
      <c r="B664" t="s">
        <v>17483</v>
      </c>
      <c r="C664" t="s">
        <v>2269</v>
      </c>
      <c r="D664" t="s">
        <v>1857</v>
      </c>
      <c r="E664" s="527" t="s">
        <v>10786</v>
      </c>
      <c r="F664" s="220"/>
    </row>
    <row r="665" spans="1:6" ht="14.4">
      <c r="A665">
        <v>781</v>
      </c>
      <c r="B665" t="s">
        <v>17484</v>
      </c>
      <c r="C665" t="s">
        <v>2269</v>
      </c>
      <c r="D665" t="s">
        <v>1857</v>
      </c>
      <c r="E665" s="527" t="s">
        <v>15191</v>
      </c>
      <c r="F665" s="219"/>
    </row>
    <row r="666" spans="1:6" ht="14.4">
      <c r="A666">
        <v>786</v>
      </c>
      <c r="B666" t="s">
        <v>17485</v>
      </c>
      <c r="C666" t="s">
        <v>2269</v>
      </c>
      <c r="D666" t="s">
        <v>1857</v>
      </c>
      <c r="E666" s="527" t="s">
        <v>15191</v>
      </c>
      <c r="F666" s="220"/>
    </row>
    <row r="667" spans="1:6" ht="14.4">
      <c r="A667">
        <v>782</v>
      </c>
      <c r="B667" t="s">
        <v>17486</v>
      </c>
      <c r="C667" t="s">
        <v>2269</v>
      </c>
      <c r="D667" t="s">
        <v>1857</v>
      </c>
      <c r="E667" s="527" t="s">
        <v>15191</v>
      </c>
      <c r="F667" s="219"/>
    </row>
    <row r="668" spans="1:6" ht="14.4">
      <c r="A668">
        <v>783</v>
      </c>
      <c r="B668" t="s">
        <v>17487</v>
      </c>
      <c r="C668" t="s">
        <v>2269</v>
      </c>
      <c r="D668" t="s">
        <v>1857</v>
      </c>
      <c r="E668" s="527" t="s">
        <v>15192</v>
      </c>
      <c r="F668" s="220"/>
    </row>
    <row r="669" spans="1:6" ht="14.4">
      <c r="A669">
        <v>785</v>
      </c>
      <c r="B669" t="s">
        <v>17488</v>
      </c>
      <c r="C669" t="s">
        <v>2269</v>
      </c>
      <c r="D669" t="s">
        <v>1857</v>
      </c>
      <c r="E669" s="527" t="s">
        <v>15193</v>
      </c>
      <c r="F669" s="219"/>
    </row>
    <row r="670" spans="1:6" ht="14.4">
      <c r="A670">
        <v>784</v>
      </c>
      <c r="B670" t="s">
        <v>17489</v>
      </c>
      <c r="C670" t="s">
        <v>2269</v>
      </c>
      <c r="D670" t="s">
        <v>1857</v>
      </c>
      <c r="E670" s="527" t="s">
        <v>15194</v>
      </c>
      <c r="F670" s="220"/>
    </row>
    <row r="671" spans="1:6" ht="14.4">
      <c r="A671">
        <v>831</v>
      </c>
      <c r="B671" t="s">
        <v>17490</v>
      </c>
      <c r="C671" t="s">
        <v>2269</v>
      </c>
      <c r="D671" t="s">
        <v>1857</v>
      </c>
      <c r="E671" s="527" t="s">
        <v>15805</v>
      </c>
      <c r="F671" s="219"/>
    </row>
    <row r="672" spans="1:6" ht="14.4">
      <c r="A672">
        <v>828</v>
      </c>
      <c r="B672" t="s">
        <v>17491</v>
      </c>
      <c r="C672" t="s">
        <v>2269</v>
      </c>
      <c r="D672" t="s">
        <v>1857</v>
      </c>
      <c r="E672" s="527" t="s">
        <v>3777</v>
      </c>
      <c r="F672" s="220"/>
    </row>
    <row r="673" spans="1:6" ht="14.4">
      <c r="A673">
        <v>829</v>
      </c>
      <c r="B673" t="s">
        <v>17492</v>
      </c>
      <c r="C673" t="s">
        <v>2269</v>
      </c>
      <c r="D673" t="s">
        <v>1857</v>
      </c>
      <c r="E673" s="527" t="s">
        <v>6347</v>
      </c>
      <c r="F673" s="219"/>
    </row>
    <row r="674" spans="1:6" ht="14.4">
      <c r="A674">
        <v>812</v>
      </c>
      <c r="B674" t="s">
        <v>17493</v>
      </c>
      <c r="C674" t="s">
        <v>2269</v>
      </c>
      <c r="D674" t="s">
        <v>1857</v>
      </c>
      <c r="E674" s="527" t="s">
        <v>6309</v>
      </c>
      <c r="F674" s="220"/>
    </row>
    <row r="675" spans="1:6" ht="14.4">
      <c r="A675">
        <v>819</v>
      </c>
      <c r="B675" t="s">
        <v>17494</v>
      </c>
      <c r="C675" t="s">
        <v>2269</v>
      </c>
      <c r="D675" t="s">
        <v>1857</v>
      </c>
      <c r="E675" s="527" t="s">
        <v>9474</v>
      </c>
      <c r="F675" s="219"/>
    </row>
    <row r="676" spans="1:6" ht="14.4">
      <c r="A676">
        <v>818</v>
      </c>
      <c r="B676" t="s">
        <v>17495</v>
      </c>
      <c r="C676" t="s">
        <v>2269</v>
      </c>
      <c r="D676" t="s">
        <v>1857</v>
      </c>
      <c r="E676" s="527" t="s">
        <v>7961</v>
      </c>
      <c r="F676" s="220"/>
    </row>
    <row r="677" spans="1:6" ht="14.4">
      <c r="A677">
        <v>823</v>
      </c>
      <c r="B677" t="s">
        <v>17496</v>
      </c>
      <c r="C677" t="s">
        <v>2269</v>
      </c>
      <c r="D677" t="s">
        <v>1857</v>
      </c>
      <c r="E677" s="527" t="s">
        <v>16267</v>
      </c>
      <c r="F677" s="219"/>
    </row>
    <row r="678" spans="1:6" ht="14.4">
      <c r="A678">
        <v>830</v>
      </c>
      <c r="B678" t="s">
        <v>17497</v>
      </c>
      <c r="C678" t="s">
        <v>2269</v>
      </c>
      <c r="D678" t="s">
        <v>1857</v>
      </c>
      <c r="E678" s="527" t="s">
        <v>10624</v>
      </c>
      <c r="F678" s="220"/>
    </row>
    <row r="679" spans="1:6" ht="14.4">
      <c r="A679">
        <v>826</v>
      </c>
      <c r="B679" t="s">
        <v>17498</v>
      </c>
      <c r="C679" t="s">
        <v>2269</v>
      </c>
      <c r="D679" t="s">
        <v>1857</v>
      </c>
      <c r="E679" s="527" t="s">
        <v>17499</v>
      </c>
      <c r="F679" s="219"/>
    </row>
    <row r="680" spans="1:6" ht="14.4">
      <c r="A680">
        <v>827</v>
      </c>
      <c r="B680" t="s">
        <v>17500</v>
      </c>
      <c r="C680" t="s">
        <v>2269</v>
      </c>
      <c r="D680" t="s">
        <v>1857</v>
      </c>
      <c r="E680" s="527" t="s">
        <v>15813</v>
      </c>
      <c r="F680" s="220"/>
    </row>
    <row r="681" spans="1:6" ht="14.4">
      <c r="A681">
        <v>832</v>
      </c>
      <c r="B681" t="s">
        <v>17501</v>
      </c>
      <c r="C681" t="s">
        <v>2269</v>
      </c>
      <c r="D681" t="s">
        <v>1857</v>
      </c>
      <c r="E681" s="527" t="s">
        <v>3795</v>
      </c>
      <c r="F681" s="219"/>
    </row>
    <row r="682" spans="1:6" ht="14.4">
      <c r="A682">
        <v>833</v>
      </c>
      <c r="B682" t="s">
        <v>17502</v>
      </c>
      <c r="C682" t="s">
        <v>2269</v>
      </c>
      <c r="D682" t="s">
        <v>1857</v>
      </c>
      <c r="E682" s="527" t="s">
        <v>16284</v>
      </c>
      <c r="F682" s="220"/>
    </row>
    <row r="683" spans="1:6" ht="14.4">
      <c r="A683">
        <v>834</v>
      </c>
      <c r="B683" t="s">
        <v>17503</v>
      </c>
      <c r="C683" t="s">
        <v>2269</v>
      </c>
      <c r="D683" t="s">
        <v>1857</v>
      </c>
      <c r="E683" s="527" t="s">
        <v>6062</v>
      </c>
      <c r="F683" s="219"/>
    </row>
    <row r="684" spans="1:6" ht="14.4">
      <c r="A684">
        <v>825</v>
      </c>
      <c r="B684" t="s">
        <v>17504</v>
      </c>
      <c r="C684" t="s">
        <v>2269</v>
      </c>
      <c r="D684" t="s">
        <v>1857</v>
      </c>
      <c r="E684" s="527" t="s">
        <v>10067</v>
      </c>
      <c r="F684" s="220"/>
    </row>
    <row r="685" spans="1:6" ht="14.4">
      <c r="A685">
        <v>813</v>
      </c>
      <c r="B685" t="s">
        <v>17505</v>
      </c>
      <c r="C685" t="s">
        <v>2269</v>
      </c>
      <c r="D685" t="s">
        <v>1857</v>
      </c>
      <c r="E685" s="527" t="s">
        <v>4680</v>
      </c>
      <c r="F685" s="219"/>
    </row>
    <row r="686" spans="1:6" ht="14.4">
      <c r="A686">
        <v>820</v>
      </c>
      <c r="B686" t="s">
        <v>17506</v>
      </c>
      <c r="C686" t="s">
        <v>2269</v>
      </c>
      <c r="D686" t="s">
        <v>1857</v>
      </c>
      <c r="E686" s="527" t="s">
        <v>9966</v>
      </c>
      <c r="F686" s="220"/>
    </row>
    <row r="687" spans="1:6" ht="14.4">
      <c r="A687">
        <v>816</v>
      </c>
      <c r="B687" t="s">
        <v>17507</v>
      </c>
      <c r="C687" t="s">
        <v>2269</v>
      </c>
      <c r="D687" t="s">
        <v>1857</v>
      </c>
      <c r="E687" s="527" t="s">
        <v>10400</v>
      </c>
      <c r="F687" s="219"/>
    </row>
    <row r="688" spans="1:6" ht="14.4">
      <c r="A688">
        <v>814</v>
      </c>
      <c r="B688" t="s">
        <v>17508</v>
      </c>
      <c r="C688" t="s">
        <v>2269</v>
      </c>
      <c r="D688" t="s">
        <v>1857</v>
      </c>
      <c r="E688" s="527" t="s">
        <v>10411</v>
      </c>
      <c r="F688" s="220"/>
    </row>
    <row r="689" spans="1:6" ht="14.4">
      <c r="A689">
        <v>815</v>
      </c>
      <c r="B689" t="s">
        <v>17509</v>
      </c>
      <c r="C689" t="s">
        <v>2269</v>
      </c>
      <c r="D689" t="s">
        <v>1857</v>
      </c>
      <c r="E689" s="527" t="s">
        <v>11822</v>
      </c>
      <c r="F689" s="219"/>
    </row>
    <row r="690" spans="1:6" ht="14.4">
      <c r="A690">
        <v>822</v>
      </c>
      <c r="B690" t="s">
        <v>17510</v>
      </c>
      <c r="C690" t="s">
        <v>2269</v>
      </c>
      <c r="D690" t="s">
        <v>1857</v>
      </c>
      <c r="E690" s="527" t="s">
        <v>10343</v>
      </c>
      <c r="F690" s="220"/>
    </row>
    <row r="691" spans="1:6" ht="14.4">
      <c r="A691">
        <v>821</v>
      </c>
      <c r="B691" t="s">
        <v>17511</v>
      </c>
      <c r="C691" t="s">
        <v>2269</v>
      </c>
      <c r="D691" t="s">
        <v>1857</v>
      </c>
      <c r="E691" s="527" t="s">
        <v>9529</v>
      </c>
      <c r="F691" s="219"/>
    </row>
    <row r="692" spans="1:6" ht="14.4">
      <c r="A692">
        <v>817</v>
      </c>
      <c r="B692" t="s">
        <v>17512</v>
      </c>
      <c r="C692" t="s">
        <v>2269</v>
      </c>
      <c r="D692" t="s">
        <v>1857</v>
      </c>
      <c r="E692" s="527" t="s">
        <v>17513</v>
      </c>
      <c r="F692" s="220"/>
    </row>
    <row r="693" spans="1:6" ht="14.4">
      <c r="A693">
        <v>20086</v>
      </c>
      <c r="B693" t="s">
        <v>17514</v>
      </c>
      <c r="C693" t="s">
        <v>2269</v>
      </c>
      <c r="D693" t="s">
        <v>1857</v>
      </c>
      <c r="E693" s="527" t="s">
        <v>7304</v>
      </c>
      <c r="F693" s="219"/>
    </row>
    <row r="694" spans="1:6" ht="14.4">
      <c r="A694">
        <v>39191</v>
      </c>
      <c r="B694" t="s">
        <v>17515</v>
      </c>
      <c r="C694" t="s">
        <v>2269</v>
      </c>
      <c r="D694" t="s">
        <v>1857</v>
      </c>
      <c r="E694" s="527" t="s">
        <v>5627</v>
      </c>
      <c r="F694" s="220"/>
    </row>
    <row r="695" spans="1:6" ht="14.4">
      <c r="A695">
        <v>39190</v>
      </c>
      <c r="B695" t="s">
        <v>17516</v>
      </c>
      <c r="C695" t="s">
        <v>2269</v>
      </c>
      <c r="D695" t="s">
        <v>1857</v>
      </c>
      <c r="E695" s="527" t="s">
        <v>7325</v>
      </c>
      <c r="F695" s="219"/>
    </row>
    <row r="696" spans="1:6" ht="14.4">
      <c r="A696">
        <v>39189</v>
      </c>
      <c r="B696" t="s">
        <v>17517</v>
      </c>
      <c r="C696" t="s">
        <v>2269</v>
      </c>
      <c r="D696" t="s">
        <v>1857</v>
      </c>
      <c r="E696" s="527" t="s">
        <v>7265</v>
      </c>
      <c r="F696" s="220"/>
    </row>
    <row r="697" spans="1:6" ht="14.4">
      <c r="A697">
        <v>39186</v>
      </c>
      <c r="B697" t="s">
        <v>17518</v>
      </c>
      <c r="C697" t="s">
        <v>2269</v>
      </c>
      <c r="D697" t="s">
        <v>1857</v>
      </c>
      <c r="E697" s="527" t="s">
        <v>9911</v>
      </c>
      <c r="F697" s="219"/>
    </row>
    <row r="698" spans="1:6" ht="14.4">
      <c r="A698">
        <v>39188</v>
      </c>
      <c r="B698" t="s">
        <v>17519</v>
      </c>
      <c r="C698" t="s">
        <v>2269</v>
      </c>
      <c r="D698" t="s">
        <v>1857</v>
      </c>
      <c r="E698" s="527" t="s">
        <v>7471</v>
      </c>
      <c r="F698" s="220"/>
    </row>
    <row r="699" spans="1:6" ht="14.4">
      <c r="A699">
        <v>39187</v>
      </c>
      <c r="B699" t="s">
        <v>17520</v>
      </c>
      <c r="C699" t="s">
        <v>2269</v>
      </c>
      <c r="D699" t="s">
        <v>1857</v>
      </c>
      <c r="E699" s="527" t="s">
        <v>9479</v>
      </c>
      <c r="F699" s="219"/>
    </row>
    <row r="700" spans="1:6" ht="14.4">
      <c r="A700">
        <v>39184</v>
      </c>
      <c r="B700" t="s">
        <v>17521</v>
      </c>
      <c r="C700" t="s">
        <v>2269</v>
      </c>
      <c r="D700" t="s">
        <v>1857</v>
      </c>
      <c r="E700" s="527" t="s">
        <v>7354</v>
      </c>
      <c r="F700" s="220"/>
    </row>
    <row r="701" spans="1:6" ht="14.4">
      <c r="A701">
        <v>39185</v>
      </c>
      <c r="B701" t="s">
        <v>17522</v>
      </c>
      <c r="C701" t="s">
        <v>2269</v>
      </c>
      <c r="D701" t="s">
        <v>1857</v>
      </c>
      <c r="E701" s="527" t="s">
        <v>3478</v>
      </c>
      <c r="F701" s="219"/>
    </row>
    <row r="702" spans="1:6" ht="14.4">
      <c r="A702">
        <v>39198</v>
      </c>
      <c r="B702" t="s">
        <v>17523</v>
      </c>
      <c r="C702" t="s">
        <v>2269</v>
      </c>
      <c r="D702" t="s">
        <v>1857</v>
      </c>
      <c r="E702" s="527" t="s">
        <v>17524</v>
      </c>
      <c r="F702" s="220"/>
    </row>
    <row r="703" spans="1:6" ht="14.4">
      <c r="A703">
        <v>39197</v>
      </c>
      <c r="B703" t="s">
        <v>17525</v>
      </c>
      <c r="C703" t="s">
        <v>2269</v>
      </c>
      <c r="D703" t="s">
        <v>1857</v>
      </c>
      <c r="E703" s="527" t="s">
        <v>15790</v>
      </c>
      <c r="F703" s="219"/>
    </row>
    <row r="704" spans="1:6" ht="14.4">
      <c r="A704">
        <v>39196</v>
      </c>
      <c r="B704" t="s">
        <v>17526</v>
      </c>
      <c r="C704" t="s">
        <v>2269</v>
      </c>
      <c r="D704" t="s">
        <v>1857</v>
      </c>
      <c r="E704" s="527" t="s">
        <v>17527</v>
      </c>
      <c r="F704" s="220"/>
    </row>
    <row r="705" spans="1:6" ht="14.4">
      <c r="A705">
        <v>39199</v>
      </c>
      <c r="B705" t="s">
        <v>17528</v>
      </c>
      <c r="C705" t="s">
        <v>2269</v>
      </c>
      <c r="D705" t="s">
        <v>1857</v>
      </c>
      <c r="E705" s="527" t="s">
        <v>15137</v>
      </c>
      <c r="F705" s="219"/>
    </row>
    <row r="706" spans="1:6" ht="14.4">
      <c r="A706">
        <v>39195</v>
      </c>
      <c r="B706" t="s">
        <v>17529</v>
      </c>
      <c r="C706" t="s">
        <v>2269</v>
      </c>
      <c r="D706" t="s">
        <v>1857</v>
      </c>
      <c r="E706" s="527" t="s">
        <v>17530</v>
      </c>
      <c r="F706" s="220"/>
    </row>
    <row r="707" spans="1:6" ht="14.4">
      <c r="A707">
        <v>39194</v>
      </c>
      <c r="B707" t="s">
        <v>17531</v>
      </c>
      <c r="C707" t="s">
        <v>2269</v>
      </c>
      <c r="D707" t="s">
        <v>1857</v>
      </c>
      <c r="E707" s="527" t="s">
        <v>16577</v>
      </c>
      <c r="F707" s="219"/>
    </row>
    <row r="708" spans="1:6" ht="14.4">
      <c r="A708">
        <v>39193</v>
      </c>
      <c r="B708" t="s">
        <v>17532</v>
      </c>
      <c r="C708" t="s">
        <v>2269</v>
      </c>
      <c r="D708" t="s">
        <v>1857</v>
      </c>
      <c r="E708" s="527" t="s">
        <v>16260</v>
      </c>
      <c r="F708" s="220"/>
    </row>
    <row r="709" spans="1:6" ht="14.4">
      <c r="A709">
        <v>39192</v>
      </c>
      <c r="B709" t="s">
        <v>17533</v>
      </c>
      <c r="C709" t="s">
        <v>2269</v>
      </c>
      <c r="D709" t="s">
        <v>1857</v>
      </c>
      <c r="E709" s="527" t="s">
        <v>10350</v>
      </c>
      <c r="F709" s="219"/>
    </row>
    <row r="710" spans="1:6" ht="14.4">
      <c r="A710">
        <v>39920</v>
      </c>
      <c r="B710" t="s">
        <v>17534</v>
      </c>
      <c r="C710" t="s">
        <v>2269</v>
      </c>
      <c r="D710" t="s">
        <v>1857</v>
      </c>
      <c r="E710" s="527" t="s">
        <v>7353</v>
      </c>
      <c r="F710" s="220"/>
    </row>
    <row r="711" spans="1:6" ht="14.4">
      <c r="A711">
        <v>39201</v>
      </c>
      <c r="B711" t="s">
        <v>17535</v>
      </c>
      <c r="C711" t="s">
        <v>2269</v>
      </c>
      <c r="D711" t="s">
        <v>1857</v>
      </c>
      <c r="E711" s="527" t="s">
        <v>17536</v>
      </c>
      <c r="F711" s="219"/>
    </row>
    <row r="712" spans="1:6" ht="14.4">
      <c r="A712">
        <v>39200</v>
      </c>
      <c r="B712" t="s">
        <v>17537</v>
      </c>
      <c r="C712" t="s">
        <v>2269</v>
      </c>
      <c r="D712" t="s">
        <v>1857</v>
      </c>
      <c r="E712" s="527" t="s">
        <v>16223</v>
      </c>
      <c r="F712" s="220"/>
    </row>
    <row r="713" spans="1:6" ht="14.4">
      <c r="A713">
        <v>39203</v>
      </c>
      <c r="B713" t="s">
        <v>17538</v>
      </c>
      <c r="C713" t="s">
        <v>2269</v>
      </c>
      <c r="D713" t="s">
        <v>1857</v>
      </c>
      <c r="E713" s="527" t="s">
        <v>17539</v>
      </c>
      <c r="F713" s="219"/>
    </row>
    <row r="714" spans="1:6" ht="14.4">
      <c r="A714">
        <v>39202</v>
      </c>
      <c r="B714" t="s">
        <v>17540</v>
      </c>
      <c r="C714" t="s">
        <v>2269</v>
      </c>
      <c r="D714" t="s">
        <v>1857</v>
      </c>
      <c r="E714" s="527" t="s">
        <v>17541</v>
      </c>
      <c r="F714" s="220"/>
    </row>
    <row r="715" spans="1:6" ht="14.4">
      <c r="A715">
        <v>39205</v>
      </c>
      <c r="B715" t="s">
        <v>17542</v>
      </c>
      <c r="C715" t="s">
        <v>2269</v>
      </c>
      <c r="D715" t="s">
        <v>1857</v>
      </c>
      <c r="E715" s="527" t="s">
        <v>10295</v>
      </c>
      <c r="F715" s="219"/>
    </row>
    <row r="716" spans="1:6" ht="14.4">
      <c r="A716">
        <v>39204</v>
      </c>
      <c r="B716" t="s">
        <v>17543</v>
      </c>
      <c r="C716" t="s">
        <v>2269</v>
      </c>
      <c r="D716" t="s">
        <v>1857</v>
      </c>
      <c r="E716" s="527" t="s">
        <v>17544</v>
      </c>
      <c r="F716" s="220"/>
    </row>
    <row r="717" spans="1:6" ht="14.4">
      <c r="A717">
        <v>39206</v>
      </c>
      <c r="B717" t="s">
        <v>17545</v>
      </c>
      <c r="C717" t="s">
        <v>2269</v>
      </c>
      <c r="D717" t="s">
        <v>1857</v>
      </c>
      <c r="E717" s="527" t="s">
        <v>17546</v>
      </c>
      <c r="F717" s="219"/>
    </row>
    <row r="718" spans="1:6" ht="14.4">
      <c r="A718">
        <v>797</v>
      </c>
      <c r="B718" t="s">
        <v>17547</v>
      </c>
      <c r="C718" t="s">
        <v>2269</v>
      </c>
      <c r="D718" t="s">
        <v>1857</v>
      </c>
      <c r="E718" s="527" t="s">
        <v>17548</v>
      </c>
      <c r="F718" s="220"/>
    </row>
    <row r="719" spans="1:6" ht="14.4">
      <c r="A719">
        <v>798</v>
      </c>
      <c r="B719" t="s">
        <v>17549</v>
      </c>
      <c r="C719" t="s">
        <v>2269</v>
      </c>
      <c r="D719" t="s">
        <v>1857</v>
      </c>
      <c r="E719" s="527" t="s">
        <v>7272</v>
      </c>
      <c r="F719" s="219"/>
    </row>
    <row r="720" spans="1:6" ht="14.4">
      <c r="A720">
        <v>796</v>
      </c>
      <c r="B720" t="s">
        <v>17550</v>
      </c>
      <c r="C720" t="s">
        <v>2269</v>
      </c>
      <c r="D720" t="s">
        <v>1857</v>
      </c>
      <c r="E720" s="527" t="s">
        <v>7355</v>
      </c>
      <c r="F720" s="220"/>
    </row>
    <row r="721" spans="1:6" ht="14.4">
      <c r="A721">
        <v>799</v>
      </c>
      <c r="B721" t="s">
        <v>17551</v>
      </c>
      <c r="C721" t="s">
        <v>2269</v>
      </c>
      <c r="D721" t="s">
        <v>1857</v>
      </c>
      <c r="E721" s="527" t="s">
        <v>4046</v>
      </c>
      <c r="F721" s="219"/>
    </row>
    <row r="722" spans="1:6" ht="14.4">
      <c r="A722">
        <v>792</v>
      </c>
      <c r="B722" t="s">
        <v>17552</v>
      </c>
      <c r="C722" t="s">
        <v>2269</v>
      </c>
      <c r="D722" t="s">
        <v>1857</v>
      </c>
      <c r="E722" s="527" t="s">
        <v>4597</v>
      </c>
      <c r="F722" s="220"/>
    </row>
    <row r="723" spans="1:6" ht="14.4">
      <c r="A723">
        <v>804</v>
      </c>
      <c r="B723" t="s">
        <v>17553</v>
      </c>
      <c r="C723" t="s">
        <v>2269</v>
      </c>
      <c r="D723" t="s">
        <v>1857</v>
      </c>
      <c r="E723" s="527" t="s">
        <v>15818</v>
      </c>
      <c r="F723" s="219"/>
    </row>
    <row r="724" spans="1:6" ht="14.4">
      <c r="A724">
        <v>793</v>
      </c>
      <c r="B724" t="s">
        <v>17554</v>
      </c>
      <c r="C724" t="s">
        <v>2269</v>
      </c>
      <c r="D724" t="s">
        <v>1857</v>
      </c>
      <c r="E724" s="527" t="s">
        <v>17555</v>
      </c>
      <c r="F724" s="220"/>
    </row>
    <row r="725" spans="1:6" ht="14.4">
      <c r="A725">
        <v>801</v>
      </c>
      <c r="B725" t="s">
        <v>17556</v>
      </c>
      <c r="C725" t="s">
        <v>2269</v>
      </c>
      <c r="D725" t="s">
        <v>1857</v>
      </c>
      <c r="E725" s="527" t="s">
        <v>7961</v>
      </c>
      <c r="F725" s="219"/>
    </row>
    <row r="726" spans="1:6" ht="14.4">
      <c r="A726">
        <v>794</v>
      </c>
      <c r="B726" t="s">
        <v>17557</v>
      </c>
      <c r="C726" t="s">
        <v>2269</v>
      </c>
      <c r="D726" t="s">
        <v>1857</v>
      </c>
      <c r="E726" s="527" t="s">
        <v>5455</v>
      </c>
      <c r="F726" s="220"/>
    </row>
    <row r="727" spans="1:6" ht="14.4">
      <c r="A727">
        <v>802</v>
      </c>
      <c r="B727" t="s">
        <v>17558</v>
      </c>
      <c r="C727" t="s">
        <v>2269</v>
      </c>
      <c r="D727" t="s">
        <v>1857</v>
      </c>
      <c r="E727" s="527" t="s">
        <v>4669</v>
      </c>
      <c r="F727" s="219"/>
    </row>
    <row r="728" spans="1:6" ht="14.4">
      <c r="A728">
        <v>803</v>
      </c>
      <c r="B728" t="s">
        <v>17559</v>
      </c>
      <c r="C728" t="s">
        <v>2269</v>
      </c>
      <c r="D728" t="s">
        <v>1857</v>
      </c>
      <c r="E728" s="527" t="s">
        <v>10097</v>
      </c>
      <c r="F728" s="220"/>
    </row>
    <row r="729" spans="1:6" ht="14.4">
      <c r="A729">
        <v>38001</v>
      </c>
      <c r="B729" t="s">
        <v>17560</v>
      </c>
      <c r="C729" t="s">
        <v>2269</v>
      </c>
      <c r="D729" t="s">
        <v>1857</v>
      </c>
      <c r="E729" s="527" t="s">
        <v>6983</v>
      </c>
      <c r="F729" s="219"/>
    </row>
    <row r="730" spans="1:6" ht="14.4">
      <c r="A730">
        <v>38002</v>
      </c>
      <c r="B730" t="s">
        <v>17561</v>
      </c>
      <c r="C730" t="s">
        <v>2269</v>
      </c>
      <c r="D730" t="s">
        <v>1857</v>
      </c>
      <c r="E730" s="527" t="s">
        <v>15842</v>
      </c>
      <c r="F730" s="220"/>
    </row>
    <row r="731" spans="1:6" ht="14.4">
      <c r="A731">
        <v>38003</v>
      </c>
      <c r="B731" t="s">
        <v>17562</v>
      </c>
      <c r="C731" t="s">
        <v>2269</v>
      </c>
      <c r="D731" t="s">
        <v>1857</v>
      </c>
      <c r="E731" s="527" t="s">
        <v>10731</v>
      </c>
      <c r="F731" s="219"/>
    </row>
    <row r="732" spans="1:6" ht="14.4">
      <c r="A732">
        <v>38004</v>
      </c>
      <c r="B732" t="s">
        <v>17563</v>
      </c>
      <c r="C732" t="s">
        <v>2269</v>
      </c>
      <c r="D732" t="s">
        <v>1857</v>
      </c>
      <c r="E732" s="527" t="s">
        <v>17564</v>
      </c>
      <c r="F732" s="220"/>
    </row>
    <row r="733" spans="1:6" ht="14.4">
      <c r="A733">
        <v>36327</v>
      </c>
      <c r="B733" t="s">
        <v>17565</v>
      </c>
      <c r="C733" t="s">
        <v>2269</v>
      </c>
      <c r="D733" t="s">
        <v>2271</v>
      </c>
      <c r="E733" s="527" t="s">
        <v>10263</v>
      </c>
      <c r="F733" s="219"/>
    </row>
    <row r="734" spans="1:6" ht="14.4">
      <c r="A734">
        <v>38992</v>
      </c>
      <c r="B734" t="s">
        <v>17566</v>
      </c>
      <c r="C734" t="s">
        <v>2269</v>
      </c>
      <c r="D734" t="s">
        <v>2271</v>
      </c>
      <c r="E734" s="527" t="s">
        <v>16229</v>
      </c>
      <c r="F734" s="220"/>
    </row>
    <row r="735" spans="1:6" ht="14.4">
      <c r="A735">
        <v>38993</v>
      </c>
      <c r="B735" t="s">
        <v>17567</v>
      </c>
      <c r="C735" t="s">
        <v>2269</v>
      </c>
      <c r="D735" t="s">
        <v>2271</v>
      </c>
      <c r="E735" s="527" t="s">
        <v>4760</v>
      </c>
      <c r="F735" s="219"/>
    </row>
    <row r="736" spans="1:6" ht="14.4">
      <c r="A736">
        <v>38418</v>
      </c>
      <c r="B736" t="s">
        <v>17568</v>
      </c>
      <c r="C736" t="s">
        <v>2269</v>
      </c>
      <c r="D736" t="s">
        <v>1857</v>
      </c>
      <c r="E736" s="527" t="s">
        <v>15849</v>
      </c>
      <c r="F736" s="220"/>
    </row>
    <row r="737" spans="1:6" ht="14.4">
      <c r="A737">
        <v>39178</v>
      </c>
      <c r="B737" t="s">
        <v>17569</v>
      </c>
      <c r="C737" t="s">
        <v>2269</v>
      </c>
      <c r="D737" t="s">
        <v>1857</v>
      </c>
      <c r="E737" s="527" t="s">
        <v>7360</v>
      </c>
      <c r="F737" s="219"/>
    </row>
    <row r="738" spans="1:6" ht="14.4">
      <c r="A738">
        <v>39177</v>
      </c>
      <c r="B738" t="s">
        <v>17570</v>
      </c>
      <c r="C738" t="s">
        <v>2269</v>
      </c>
      <c r="D738" t="s">
        <v>1857</v>
      </c>
      <c r="E738" s="527" t="s">
        <v>6957</v>
      </c>
      <c r="F738" s="220"/>
    </row>
    <row r="739" spans="1:6" ht="14.4">
      <c r="A739">
        <v>39174</v>
      </c>
      <c r="B739" t="s">
        <v>17571</v>
      </c>
      <c r="C739" t="s">
        <v>2269</v>
      </c>
      <c r="D739" t="s">
        <v>1857</v>
      </c>
      <c r="E739" s="527" t="s">
        <v>3976</v>
      </c>
      <c r="F739" s="219"/>
    </row>
    <row r="740" spans="1:6" ht="14.4">
      <c r="A740">
        <v>39176</v>
      </c>
      <c r="B740" t="s">
        <v>17572</v>
      </c>
      <c r="C740" t="s">
        <v>2269</v>
      </c>
      <c r="D740" t="s">
        <v>1857</v>
      </c>
      <c r="E740" s="527" t="s">
        <v>7224</v>
      </c>
      <c r="F740" s="220"/>
    </row>
    <row r="741" spans="1:6" ht="14.4">
      <c r="A741">
        <v>39180</v>
      </c>
      <c r="B741" t="s">
        <v>17573</v>
      </c>
      <c r="C741" t="s">
        <v>2269</v>
      </c>
      <c r="D741" t="s">
        <v>1857</v>
      </c>
      <c r="E741" s="527" t="s">
        <v>3590</v>
      </c>
      <c r="F741" s="219"/>
    </row>
    <row r="742" spans="1:6" ht="14.4">
      <c r="A742">
        <v>39179</v>
      </c>
      <c r="B742" t="s">
        <v>17574</v>
      </c>
      <c r="C742" t="s">
        <v>2269</v>
      </c>
      <c r="D742" t="s">
        <v>1857</v>
      </c>
      <c r="E742" s="527" t="s">
        <v>4599</v>
      </c>
      <c r="F742" s="220"/>
    </row>
    <row r="743" spans="1:6" ht="14.4">
      <c r="A743">
        <v>39175</v>
      </c>
      <c r="B743" t="s">
        <v>17575</v>
      </c>
      <c r="C743" t="s">
        <v>2269</v>
      </c>
      <c r="D743" t="s">
        <v>1857</v>
      </c>
      <c r="E743" s="527" t="s">
        <v>17576</v>
      </c>
      <c r="F743" s="219"/>
    </row>
    <row r="744" spans="1:6" ht="14.4">
      <c r="A744">
        <v>39217</v>
      </c>
      <c r="B744" t="s">
        <v>17577</v>
      </c>
      <c r="C744" t="s">
        <v>2269</v>
      </c>
      <c r="D744" t="s">
        <v>1857</v>
      </c>
      <c r="E744" s="527" t="s">
        <v>7275</v>
      </c>
      <c r="F744" s="220"/>
    </row>
    <row r="745" spans="1:6" ht="14.4">
      <c r="A745">
        <v>39181</v>
      </c>
      <c r="B745" t="s">
        <v>17578</v>
      </c>
      <c r="C745" t="s">
        <v>2269</v>
      </c>
      <c r="D745" t="s">
        <v>1857</v>
      </c>
      <c r="E745" s="527" t="s">
        <v>6499</v>
      </c>
      <c r="F745" s="219"/>
    </row>
    <row r="746" spans="1:6" ht="14.4">
      <c r="A746">
        <v>39182</v>
      </c>
      <c r="B746" t="s">
        <v>17579</v>
      </c>
      <c r="C746" t="s">
        <v>2269</v>
      </c>
      <c r="D746" t="s">
        <v>1857</v>
      </c>
      <c r="E746" s="527" t="s">
        <v>11620</v>
      </c>
      <c r="F746" s="220"/>
    </row>
    <row r="747" spans="1:6" ht="14.4">
      <c r="A747">
        <v>12616</v>
      </c>
      <c r="B747" t="s">
        <v>17580</v>
      </c>
      <c r="C747" t="s">
        <v>2269</v>
      </c>
      <c r="D747" t="s">
        <v>2271</v>
      </c>
      <c r="E747" s="527" t="s">
        <v>10042</v>
      </c>
      <c r="F747" s="219"/>
    </row>
    <row r="748" spans="1:6" ht="14.4">
      <c r="A748">
        <v>1049</v>
      </c>
      <c r="B748" t="s">
        <v>17581</v>
      </c>
      <c r="C748" t="s">
        <v>2269</v>
      </c>
      <c r="D748" t="s">
        <v>1857</v>
      </c>
      <c r="E748" s="527" t="s">
        <v>9551</v>
      </c>
      <c r="F748" s="220"/>
    </row>
    <row r="749" spans="1:6" ht="14.4">
      <c r="A749">
        <v>1099</v>
      </c>
      <c r="B749" t="s">
        <v>17582</v>
      </c>
      <c r="C749" t="s">
        <v>2269</v>
      </c>
      <c r="D749" t="s">
        <v>1857</v>
      </c>
      <c r="E749" s="527" t="s">
        <v>7271</v>
      </c>
      <c r="F749" s="219"/>
    </row>
    <row r="750" spans="1:6" ht="14.4">
      <c r="A750">
        <v>39678</v>
      </c>
      <c r="B750" t="s">
        <v>17583</v>
      </c>
      <c r="C750" t="s">
        <v>2269</v>
      </c>
      <c r="D750" t="s">
        <v>1857</v>
      </c>
      <c r="E750" s="527" t="s">
        <v>15810</v>
      </c>
      <c r="F750" s="220"/>
    </row>
    <row r="751" spans="1:6" ht="14.4">
      <c r="A751">
        <v>1050</v>
      </c>
      <c r="B751" t="s">
        <v>17584</v>
      </c>
      <c r="C751" t="s">
        <v>2269</v>
      </c>
      <c r="D751" t="s">
        <v>1857</v>
      </c>
      <c r="E751" s="527" t="s">
        <v>17585</v>
      </c>
      <c r="F751" s="219"/>
    </row>
    <row r="752" spans="1:6" ht="14.4">
      <c r="A752">
        <v>1101</v>
      </c>
      <c r="B752" t="s">
        <v>17586</v>
      </c>
      <c r="C752" t="s">
        <v>2269</v>
      </c>
      <c r="D752" t="s">
        <v>1857</v>
      </c>
      <c r="E752" s="527" t="s">
        <v>17587</v>
      </c>
      <c r="F752" s="220"/>
    </row>
    <row r="753" spans="1:6" ht="14.4">
      <c r="A753">
        <v>1100</v>
      </c>
      <c r="B753" t="s">
        <v>17588</v>
      </c>
      <c r="C753" t="s">
        <v>2269</v>
      </c>
      <c r="D753" t="s">
        <v>1857</v>
      </c>
      <c r="E753" s="527" t="s">
        <v>7316</v>
      </c>
      <c r="F753" s="219"/>
    </row>
    <row r="754" spans="1:6" ht="14.4">
      <c r="A754">
        <v>39679</v>
      </c>
      <c r="B754" t="s">
        <v>17589</v>
      </c>
      <c r="C754" t="s">
        <v>2269</v>
      </c>
      <c r="D754" t="s">
        <v>1857</v>
      </c>
      <c r="E754" s="527" t="s">
        <v>17590</v>
      </c>
      <c r="F754" s="220"/>
    </row>
    <row r="755" spans="1:6" ht="14.4">
      <c r="A755">
        <v>1098</v>
      </c>
      <c r="B755" t="s">
        <v>17591</v>
      </c>
      <c r="C755" t="s">
        <v>2269</v>
      </c>
      <c r="D755" t="s">
        <v>1857</v>
      </c>
      <c r="E755" s="527" t="s">
        <v>6410</v>
      </c>
      <c r="F755" s="219"/>
    </row>
    <row r="756" spans="1:6" ht="14.4">
      <c r="A756">
        <v>1102</v>
      </c>
      <c r="B756" t="s">
        <v>17592</v>
      </c>
      <c r="C756" t="s">
        <v>2269</v>
      </c>
      <c r="D756" t="s">
        <v>1857</v>
      </c>
      <c r="E756" s="527" t="s">
        <v>16253</v>
      </c>
      <c r="F756" s="220"/>
    </row>
    <row r="757" spans="1:6" ht="14.4">
      <c r="A757">
        <v>1051</v>
      </c>
      <c r="B757" t="s">
        <v>17593</v>
      </c>
      <c r="C757" t="s">
        <v>2269</v>
      </c>
      <c r="D757" t="s">
        <v>1857</v>
      </c>
      <c r="E757" s="527" t="s">
        <v>17594</v>
      </c>
      <c r="F757" s="219"/>
    </row>
    <row r="758" spans="1:6" ht="14.4">
      <c r="A758">
        <v>37399</v>
      </c>
      <c r="B758" t="s">
        <v>17595</v>
      </c>
      <c r="C758" t="s">
        <v>2269</v>
      </c>
      <c r="D758" t="s">
        <v>1857</v>
      </c>
      <c r="E758" s="527" t="s">
        <v>17596</v>
      </c>
      <c r="F758" s="220"/>
    </row>
    <row r="759" spans="1:6" ht="14.4">
      <c r="A759">
        <v>41955</v>
      </c>
      <c r="B759" t="s">
        <v>17597</v>
      </c>
      <c r="C759" t="s">
        <v>2274</v>
      </c>
      <c r="D759" t="s">
        <v>1857</v>
      </c>
      <c r="E759" s="527" t="s">
        <v>17598</v>
      </c>
      <c r="F759" s="219"/>
    </row>
    <row r="760" spans="1:6" ht="14.4">
      <c r="A760">
        <v>41953</v>
      </c>
      <c r="B760" t="s">
        <v>17599</v>
      </c>
      <c r="C760" t="s">
        <v>2274</v>
      </c>
      <c r="D760" t="s">
        <v>1857</v>
      </c>
      <c r="E760" s="527" t="s">
        <v>9555</v>
      </c>
      <c r="F760" s="220"/>
    </row>
    <row r="761" spans="1:6" ht="14.4">
      <c r="A761">
        <v>41954</v>
      </c>
      <c r="B761" t="s">
        <v>17600</v>
      </c>
      <c r="C761" t="s">
        <v>2274</v>
      </c>
      <c r="D761" t="s">
        <v>1857</v>
      </c>
      <c r="E761" s="527" t="s">
        <v>17601</v>
      </c>
      <c r="F761" s="219"/>
    </row>
    <row r="762" spans="1:6" ht="14.4">
      <c r="A762">
        <v>25004</v>
      </c>
      <c r="B762" t="s">
        <v>17602</v>
      </c>
      <c r="C762" t="s">
        <v>2274</v>
      </c>
      <c r="D762" t="s">
        <v>1857</v>
      </c>
      <c r="E762" s="527" t="s">
        <v>17603</v>
      </c>
      <c r="F762" s="220"/>
    </row>
    <row r="763" spans="1:6" ht="14.4">
      <c r="A763">
        <v>25002</v>
      </c>
      <c r="B763" t="s">
        <v>17604</v>
      </c>
      <c r="C763" t="s">
        <v>2274</v>
      </c>
      <c r="D763" t="s">
        <v>1857</v>
      </c>
      <c r="E763" s="527" t="s">
        <v>10053</v>
      </c>
      <c r="F763" s="219"/>
    </row>
    <row r="764" spans="1:6" ht="14.4">
      <c r="A764">
        <v>37409</v>
      </c>
      <c r="B764" t="s">
        <v>17605</v>
      </c>
      <c r="C764" t="s">
        <v>2274</v>
      </c>
      <c r="D764" t="s">
        <v>1857</v>
      </c>
      <c r="E764" s="527" t="s">
        <v>15789</v>
      </c>
      <c r="F764" s="220"/>
    </row>
    <row r="765" spans="1:6" ht="14.4">
      <c r="A765">
        <v>841</v>
      </c>
      <c r="B765" t="s">
        <v>17606</v>
      </c>
      <c r="C765" t="s">
        <v>2274</v>
      </c>
      <c r="D765" t="s">
        <v>2268</v>
      </c>
      <c r="E765" s="527" t="s">
        <v>16295</v>
      </c>
      <c r="F765" s="219"/>
    </row>
    <row r="766" spans="1:6" ht="14.4">
      <c r="A766">
        <v>25005</v>
      </c>
      <c r="B766" t="s">
        <v>17607</v>
      </c>
      <c r="C766" t="s">
        <v>2274</v>
      </c>
      <c r="D766" t="s">
        <v>1857</v>
      </c>
      <c r="E766" s="527" t="s">
        <v>17608</v>
      </c>
      <c r="F766" s="220"/>
    </row>
    <row r="767" spans="1:6" ht="14.4">
      <c r="A767">
        <v>25003</v>
      </c>
      <c r="B767" t="s">
        <v>17609</v>
      </c>
      <c r="C767" t="s">
        <v>2274</v>
      </c>
      <c r="D767" t="s">
        <v>1857</v>
      </c>
      <c r="E767" s="527" t="s">
        <v>15681</v>
      </c>
      <c r="F767" s="219"/>
    </row>
    <row r="768" spans="1:6" ht="14.4">
      <c r="A768">
        <v>37410</v>
      </c>
      <c r="B768" t="s">
        <v>17610</v>
      </c>
      <c r="C768" t="s">
        <v>2274</v>
      </c>
      <c r="D768" t="s">
        <v>1857</v>
      </c>
      <c r="E768" s="527" t="s">
        <v>17608</v>
      </c>
      <c r="F768" s="220"/>
    </row>
    <row r="769" spans="1:6" ht="14.4">
      <c r="A769">
        <v>842</v>
      </c>
      <c r="B769" t="s">
        <v>17611</v>
      </c>
      <c r="C769" t="s">
        <v>2274</v>
      </c>
      <c r="D769" t="s">
        <v>1857</v>
      </c>
      <c r="E769" s="527" t="s">
        <v>15462</v>
      </c>
      <c r="F769" s="219"/>
    </row>
    <row r="770" spans="1:6" ht="14.4">
      <c r="A770">
        <v>862</v>
      </c>
      <c r="B770" t="s">
        <v>17612</v>
      </c>
      <c r="C770" t="s">
        <v>2273</v>
      </c>
      <c r="D770" t="s">
        <v>1857</v>
      </c>
      <c r="E770" s="527" t="s">
        <v>10282</v>
      </c>
      <c r="F770" s="220"/>
    </row>
    <row r="771" spans="1:6" ht="14.4">
      <c r="A771">
        <v>866</v>
      </c>
      <c r="B771" t="s">
        <v>17613</v>
      </c>
      <c r="C771" t="s">
        <v>2273</v>
      </c>
      <c r="D771" t="s">
        <v>1857</v>
      </c>
      <c r="E771" s="527" t="s">
        <v>15197</v>
      </c>
      <c r="F771" s="219"/>
    </row>
    <row r="772" spans="1:6" ht="14.4">
      <c r="A772">
        <v>892</v>
      </c>
      <c r="B772" t="s">
        <v>17614</v>
      </c>
      <c r="C772" t="s">
        <v>2273</v>
      </c>
      <c r="D772" t="s">
        <v>1857</v>
      </c>
      <c r="E772" s="527" t="s">
        <v>15198</v>
      </c>
      <c r="F772" s="220"/>
    </row>
    <row r="773" spans="1:6" ht="14.4">
      <c r="A773">
        <v>857</v>
      </c>
      <c r="B773" t="s">
        <v>17615</v>
      </c>
      <c r="C773" t="s">
        <v>2273</v>
      </c>
      <c r="D773" t="s">
        <v>2268</v>
      </c>
      <c r="E773" s="527" t="s">
        <v>10250</v>
      </c>
      <c r="F773" s="219"/>
    </row>
    <row r="774" spans="1:6" ht="14.4">
      <c r="A774">
        <v>37404</v>
      </c>
      <c r="B774" t="s">
        <v>17616</v>
      </c>
      <c r="C774" t="s">
        <v>2273</v>
      </c>
      <c r="D774" t="s">
        <v>1857</v>
      </c>
      <c r="E774" s="527" t="s">
        <v>11170</v>
      </c>
      <c r="F774" s="220"/>
    </row>
    <row r="775" spans="1:6" ht="14.4">
      <c r="A775">
        <v>868</v>
      </c>
      <c r="B775" t="s">
        <v>17617</v>
      </c>
      <c r="C775" t="s">
        <v>2273</v>
      </c>
      <c r="D775" t="s">
        <v>1857</v>
      </c>
      <c r="E775" s="527" t="s">
        <v>10178</v>
      </c>
      <c r="F775" s="219"/>
    </row>
    <row r="776" spans="1:6" ht="14.4">
      <c r="A776">
        <v>870</v>
      </c>
      <c r="B776" t="s">
        <v>17618</v>
      </c>
      <c r="C776" t="s">
        <v>2273</v>
      </c>
      <c r="D776" t="s">
        <v>1857</v>
      </c>
      <c r="E776" s="527" t="s">
        <v>15199</v>
      </c>
      <c r="F776" s="220"/>
    </row>
    <row r="777" spans="1:6" ht="14.4">
      <c r="A777">
        <v>863</v>
      </c>
      <c r="B777" t="s">
        <v>17619</v>
      </c>
      <c r="C777" t="s">
        <v>2273</v>
      </c>
      <c r="D777" t="s">
        <v>1857</v>
      </c>
      <c r="E777" s="527" t="s">
        <v>9921</v>
      </c>
      <c r="F777" s="219"/>
    </row>
    <row r="778" spans="1:6" ht="14.4">
      <c r="A778">
        <v>867</v>
      </c>
      <c r="B778" t="s">
        <v>17620</v>
      </c>
      <c r="C778" t="s">
        <v>2273</v>
      </c>
      <c r="D778" t="s">
        <v>1857</v>
      </c>
      <c r="E778" s="527" t="s">
        <v>15200</v>
      </c>
      <c r="F778" s="220"/>
    </row>
    <row r="779" spans="1:6" ht="14.4">
      <c r="A779">
        <v>891</v>
      </c>
      <c r="B779" t="s">
        <v>17621</v>
      </c>
      <c r="C779" t="s">
        <v>2273</v>
      </c>
      <c r="D779" t="s">
        <v>1857</v>
      </c>
      <c r="E779" s="527" t="s">
        <v>15201</v>
      </c>
      <c r="F779" s="219"/>
    </row>
    <row r="780" spans="1:6" ht="14.4">
      <c r="A780">
        <v>864</v>
      </c>
      <c r="B780" t="s">
        <v>17622</v>
      </c>
      <c r="C780" t="s">
        <v>2273</v>
      </c>
      <c r="D780" t="s">
        <v>1857</v>
      </c>
      <c r="E780" s="527" t="s">
        <v>13326</v>
      </c>
      <c r="F780" s="220"/>
    </row>
    <row r="781" spans="1:6" ht="14.4">
      <c r="A781">
        <v>865</v>
      </c>
      <c r="B781" t="s">
        <v>17623</v>
      </c>
      <c r="C781" t="s">
        <v>2273</v>
      </c>
      <c r="D781" t="s">
        <v>1857</v>
      </c>
      <c r="E781" s="527" t="s">
        <v>15202</v>
      </c>
      <c r="F781" s="219"/>
    </row>
    <row r="782" spans="1:6" ht="14.4">
      <c r="A782">
        <v>1006</v>
      </c>
      <c r="B782" t="s">
        <v>17624</v>
      </c>
      <c r="C782" t="s">
        <v>2273</v>
      </c>
      <c r="D782" t="s">
        <v>1857</v>
      </c>
      <c r="E782" s="527" t="s">
        <v>15203</v>
      </c>
      <c r="F782" s="220"/>
    </row>
    <row r="783" spans="1:6" ht="14.4">
      <c r="A783">
        <v>948</v>
      </c>
      <c r="B783" t="s">
        <v>17625</v>
      </c>
      <c r="C783" t="s">
        <v>2273</v>
      </c>
      <c r="D783" t="s">
        <v>1857</v>
      </c>
      <c r="E783" s="527" t="s">
        <v>10680</v>
      </c>
      <c r="F783" s="219"/>
    </row>
    <row r="784" spans="1:6" ht="14.4">
      <c r="A784">
        <v>947</v>
      </c>
      <c r="B784" t="s">
        <v>17626</v>
      </c>
      <c r="C784" t="s">
        <v>2273</v>
      </c>
      <c r="D784" t="s">
        <v>1857</v>
      </c>
      <c r="E784" s="527" t="s">
        <v>7388</v>
      </c>
      <c r="F784" s="220"/>
    </row>
    <row r="785" spans="1:6" ht="14.4">
      <c r="A785">
        <v>911</v>
      </c>
      <c r="B785" t="s">
        <v>17627</v>
      </c>
      <c r="C785" t="s">
        <v>2273</v>
      </c>
      <c r="D785" t="s">
        <v>1857</v>
      </c>
      <c r="E785" s="527" t="s">
        <v>15204</v>
      </c>
      <c r="F785" s="219"/>
    </row>
    <row r="786" spans="1:6" ht="14.4">
      <c r="A786">
        <v>925</v>
      </c>
      <c r="B786" t="s">
        <v>17628</v>
      </c>
      <c r="C786" t="s">
        <v>2273</v>
      </c>
      <c r="D786" t="s">
        <v>1857</v>
      </c>
      <c r="E786" s="527" t="s">
        <v>10693</v>
      </c>
      <c r="F786" s="220"/>
    </row>
    <row r="787" spans="1:6" ht="14.4">
      <c r="A787">
        <v>954</v>
      </c>
      <c r="B787" t="s">
        <v>17629</v>
      </c>
      <c r="C787" t="s">
        <v>2273</v>
      </c>
      <c r="D787" t="s">
        <v>1857</v>
      </c>
      <c r="E787" s="527" t="s">
        <v>15205</v>
      </c>
      <c r="F787" s="219"/>
    </row>
    <row r="788" spans="1:6" ht="14.4">
      <c r="A788">
        <v>901</v>
      </c>
      <c r="B788" t="s">
        <v>17630</v>
      </c>
      <c r="C788" t="s">
        <v>2273</v>
      </c>
      <c r="D788" t="s">
        <v>1857</v>
      </c>
      <c r="E788" s="527" t="s">
        <v>15206</v>
      </c>
      <c r="F788" s="220"/>
    </row>
    <row r="789" spans="1:6" ht="14.4">
      <c r="A789">
        <v>926</v>
      </c>
      <c r="B789" t="s">
        <v>17631</v>
      </c>
      <c r="C789" t="s">
        <v>2273</v>
      </c>
      <c r="D789" t="s">
        <v>1857</v>
      </c>
      <c r="E789" s="527" t="s">
        <v>10083</v>
      </c>
      <c r="F789" s="219"/>
    </row>
    <row r="790" spans="1:6" ht="14.4">
      <c r="A790">
        <v>912</v>
      </c>
      <c r="B790" t="s">
        <v>17632</v>
      </c>
      <c r="C790" t="s">
        <v>2273</v>
      </c>
      <c r="D790" t="s">
        <v>1857</v>
      </c>
      <c r="E790" s="527" t="s">
        <v>15207</v>
      </c>
      <c r="F790" s="220"/>
    </row>
    <row r="791" spans="1:6" ht="14.4">
      <c r="A791">
        <v>955</v>
      </c>
      <c r="B791" t="s">
        <v>17633</v>
      </c>
      <c r="C791" t="s">
        <v>2273</v>
      </c>
      <c r="D791" t="s">
        <v>1857</v>
      </c>
      <c r="E791" s="527" t="s">
        <v>15208</v>
      </c>
      <c r="F791" s="219"/>
    </row>
    <row r="792" spans="1:6" ht="14.4">
      <c r="A792">
        <v>946</v>
      </c>
      <c r="B792" t="s">
        <v>17634</v>
      </c>
      <c r="C792" t="s">
        <v>2273</v>
      </c>
      <c r="D792" t="s">
        <v>1857</v>
      </c>
      <c r="E792" s="527" t="s">
        <v>11647</v>
      </c>
      <c r="F792" s="220"/>
    </row>
    <row r="793" spans="1:6" ht="14.4">
      <c r="A793">
        <v>953</v>
      </c>
      <c r="B793" t="s">
        <v>17635</v>
      </c>
      <c r="C793" t="s">
        <v>2273</v>
      </c>
      <c r="D793" t="s">
        <v>1857</v>
      </c>
      <c r="E793" s="527" t="s">
        <v>15209</v>
      </c>
      <c r="F793" s="219"/>
    </row>
    <row r="794" spans="1:6" ht="14.4">
      <c r="A794">
        <v>902</v>
      </c>
      <c r="B794" t="s">
        <v>17636</v>
      </c>
      <c r="C794" t="s">
        <v>2273</v>
      </c>
      <c r="D794" t="s">
        <v>1857</v>
      </c>
      <c r="E794" s="527" t="s">
        <v>15210</v>
      </c>
      <c r="F794" s="220"/>
    </row>
    <row r="795" spans="1:6" ht="14.4">
      <c r="A795">
        <v>927</v>
      </c>
      <c r="B795" t="s">
        <v>17637</v>
      </c>
      <c r="C795" t="s">
        <v>2273</v>
      </c>
      <c r="D795" t="s">
        <v>1857</v>
      </c>
      <c r="E795" s="527" t="s">
        <v>15211</v>
      </c>
      <c r="F795" s="219"/>
    </row>
    <row r="796" spans="1:6" ht="14.4">
      <c r="A796">
        <v>913</v>
      </c>
      <c r="B796" t="s">
        <v>17638</v>
      </c>
      <c r="C796" t="s">
        <v>2273</v>
      </c>
      <c r="D796" t="s">
        <v>1857</v>
      </c>
      <c r="E796" s="527" t="s">
        <v>13157</v>
      </c>
      <c r="F796" s="220"/>
    </row>
    <row r="797" spans="1:6" ht="14.4">
      <c r="A797">
        <v>903</v>
      </c>
      <c r="B797" t="s">
        <v>17639</v>
      </c>
      <c r="C797" t="s">
        <v>2273</v>
      </c>
      <c r="D797" t="s">
        <v>1857</v>
      </c>
      <c r="E797" s="527" t="s">
        <v>15212</v>
      </c>
      <c r="F797" s="219"/>
    </row>
    <row r="798" spans="1:6" ht="14.4">
      <c r="A798">
        <v>945</v>
      </c>
      <c r="B798" t="s">
        <v>17640</v>
      </c>
      <c r="C798" t="s">
        <v>2273</v>
      </c>
      <c r="D798" t="s">
        <v>1857</v>
      </c>
      <c r="E798" s="527" t="s">
        <v>15213</v>
      </c>
      <c r="F798" s="220"/>
    </row>
    <row r="799" spans="1:6" ht="14.4">
      <c r="A799">
        <v>914</v>
      </c>
      <c r="B799" t="s">
        <v>17641</v>
      </c>
      <c r="C799" t="s">
        <v>2273</v>
      </c>
      <c r="D799" t="s">
        <v>1857</v>
      </c>
      <c r="E799" s="527" t="s">
        <v>15214</v>
      </c>
      <c r="F799" s="219"/>
    </row>
    <row r="800" spans="1:6" ht="14.4">
      <c r="A800">
        <v>993</v>
      </c>
      <c r="B800" t="s">
        <v>17642</v>
      </c>
      <c r="C800" t="s">
        <v>2273</v>
      </c>
      <c r="D800" t="s">
        <v>1857</v>
      </c>
      <c r="E800" s="527" t="s">
        <v>6507</v>
      </c>
      <c r="F800" s="220"/>
    </row>
    <row r="801" spans="1:6" ht="14.4">
      <c r="A801">
        <v>1020</v>
      </c>
      <c r="B801" t="s">
        <v>17643</v>
      </c>
      <c r="C801" t="s">
        <v>2273</v>
      </c>
      <c r="D801" t="s">
        <v>1857</v>
      </c>
      <c r="E801" s="527" t="s">
        <v>3491</v>
      </c>
      <c r="F801" s="219"/>
    </row>
    <row r="802" spans="1:6" ht="14.4">
      <c r="A802">
        <v>1017</v>
      </c>
      <c r="B802" t="s">
        <v>17644</v>
      </c>
      <c r="C802" t="s">
        <v>2273</v>
      </c>
      <c r="D802" t="s">
        <v>1857</v>
      </c>
      <c r="E802" s="527" t="s">
        <v>15215</v>
      </c>
      <c r="F802" s="220"/>
    </row>
    <row r="803" spans="1:6" ht="14.4">
      <c r="A803">
        <v>999</v>
      </c>
      <c r="B803" t="s">
        <v>17645</v>
      </c>
      <c r="C803" t="s">
        <v>2273</v>
      </c>
      <c r="D803" t="s">
        <v>1857</v>
      </c>
      <c r="E803" s="527" t="s">
        <v>15216</v>
      </c>
      <c r="F803" s="219"/>
    </row>
    <row r="804" spans="1:6" ht="14.4">
      <c r="A804">
        <v>995</v>
      </c>
      <c r="B804" t="s">
        <v>17646</v>
      </c>
      <c r="C804" t="s">
        <v>2273</v>
      </c>
      <c r="D804" t="s">
        <v>1857</v>
      </c>
      <c r="E804" s="527" t="s">
        <v>9608</v>
      </c>
      <c r="F804" s="220"/>
    </row>
    <row r="805" spans="1:6" ht="14.4">
      <c r="A805">
        <v>1000</v>
      </c>
      <c r="B805" t="s">
        <v>17647</v>
      </c>
      <c r="C805" t="s">
        <v>2273</v>
      </c>
      <c r="D805" t="s">
        <v>1857</v>
      </c>
      <c r="E805" s="527" t="s">
        <v>15217</v>
      </c>
      <c r="F805" s="219"/>
    </row>
    <row r="806" spans="1:6" ht="14.4">
      <c r="A806">
        <v>1022</v>
      </c>
      <c r="B806" t="s">
        <v>17648</v>
      </c>
      <c r="C806" t="s">
        <v>2273</v>
      </c>
      <c r="D806" t="s">
        <v>1857</v>
      </c>
      <c r="E806" s="527" t="s">
        <v>7013</v>
      </c>
      <c r="F806" s="220"/>
    </row>
    <row r="807" spans="1:6" ht="14.4">
      <c r="A807">
        <v>1015</v>
      </c>
      <c r="B807" t="s">
        <v>17649</v>
      </c>
      <c r="C807" t="s">
        <v>2273</v>
      </c>
      <c r="D807" t="s">
        <v>1857</v>
      </c>
      <c r="E807" s="527" t="s">
        <v>15218</v>
      </c>
      <c r="F807" s="219"/>
    </row>
    <row r="808" spans="1:6" ht="14.4">
      <c r="A808">
        <v>996</v>
      </c>
      <c r="B808" t="s">
        <v>17650</v>
      </c>
      <c r="C808" t="s">
        <v>2273</v>
      </c>
      <c r="D808" t="s">
        <v>1857</v>
      </c>
      <c r="E808" s="527" t="s">
        <v>7963</v>
      </c>
      <c r="F808" s="220"/>
    </row>
    <row r="809" spans="1:6" ht="14.4">
      <c r="A809">
        <v>1001</v>
      </c>
      <c r="B809" t="s">
        <v>17651</v>
      </c>
      <c r="C809" t="s">
        <v>2273</v>
      </c>
      <c r="D809" t="s">
        <v>1857</v>
      </c>
      <c r="E809" s="527" t="s">
        <v>15219</v>
      </c>
      <c r="F809" s="219"/>
    </row>
    <row r="810" spans="1:6" ht="14.4">
      <c r="A810">
        <v>1019</v>
      </c>
      <c r="B810" t="s">
        <v>17652</v>
      </c>
      <c r="C810" t="s">
        <v>2273</v>
      </c>
      <c r="D810" t="s">
        <v>1857</v>
      </c>
      <c r="E810" s="527" t="s">
        <v>10020</v>
      </c>
      <c r="F810" s="220"/>
    </row>
    <row r="811" spans="1:6" ht="14.4">
      <c r="A811">
        <v>1021</v>
      </c>
      <c r="B811" t="s">
        <v>17653</v>
      </c>
      <c r="C811" t="s">
        <v>2273</v>
      </c>
      <c r="D811" t="s">
        <v>1857</v>
      </c>
      <c r="E811" s="527" t="s">
        <v>3961</v>
      </c>
      <c r="F811" s="219"/>
    </row>
    <row r="812" spans="1:6" ht="14.4">
      <c r="A812">
        <v>39249</v>
      </c>
      <c r="B812" t="s">
        <v>17654</v>
      </c>
      <c r="C812" t="s">
        <v>2273</v>
      </c>
      <c r="D812" t="s">
        <v>1857</v>
      </c>
      <c r="E812" s="527" t="s">
        <v>15220</v>
      </c>
      <c r="F812" s="220"/>
    </row>
    <row r="813" spans="1:6" ht="14.4">
      <c r="A813">
        <v>1018</v>
      </c>
      <c r="B813" t="s">
        <v>17655</v>
      </c>
      <c r="C813" t="s">
        <v>2273</v>
      </c>
      <c r="D813" t="s">
        <v>1857</v>
      </c>
      <c r="E813" s="527" t="s">
        <v>10704</v>
      </c>
      <c r="F813" s="219"/>
    </row>
    <row r="814" spans="1:6" ht="14.4">
      <c r="A814">
        <v>39250</v>
      </c>
      <c r="B814" t="s">
        <v>17656</v>
      </c>
      <c r="C814" t="s">
        <v>2273</v>
      </c>
      <c r="D814" t="s">
        <v>1857</v>
      </c>
      <c r="E814" s="527" t="s">
        <v>15221</v>
      </c>
      <c r="F814" s="220"/>
    </row>
    <row r="815" spans="1:6" ht="14.4">
      <c r="A815">
        <v>994</v>
      </c>
      <c r="B815" t="s">
        <v>17657</v>
      </c>
      <c r="C815" t="s">
        <v>2273</v>
      </c>
      <c r="D815" t="s">
        <v>1857</v>
      </c>
      <c r="E815" s="527" t="s">
        <v>10113</v>
      </c>
      <c r="F815" s="219"/>
    </row>
    <row r="816" spans="1:6" ht="14.4">
      <c r="A816">
        <v>977</v>
      </c>
      <c r="B816" t="s">
        <v>17658</v>
      </c>
      <c r="C816" t="s">
        <v>2273</v>
      </c>
      <c r="D816" t="s">
        <v>1857</v>
      </c>
      <c r="E816" s="527" t="s">
        <v>9974</v>
      </c>
      <c r="F816" s="220"/>
    </row>
    <row r="817" spans="1:6" ht="14.4">
      <c r="A817">
        <v>998</v>
      </c>
      <c r="B817" t="s">
        <v>17659</v>
      </c>
      <c r="C817" t="s">
        <v>2273</v>
      </c>
      <c r="D817" t="s">
        <v>1857</v>
      </c>
      <c r="E817" s="527" t="s">
        <v>10733</v>
      </c>
      <c r="F817" s="219"/>
    </row>
    <row r="818" spans="1:6" ht="14.4">
      <c r="A818">
        <v>39251</v>
      </c>
      <c r="B818" t="s">
        <v>17660</v>
      </c>
      <c r="C818" t="s">
        <v>2273</v>
      </c>
      <c r="D818" t="s">
        <v>1857</v>
      </c>
      <c r="E818" s="527" t="s">
        <v>3817</v>
      </c>
      <c r="F818" s="220"/>
    </row>
    <row r="819" spans="1:6" ht="14.4">
      <c r="A819">
        <v>1011</v>
      </c>
      <c r="B819" t="s">
        <v>17661</v>
      </c>
      <c r="C819" t="s">
        <v>2273</v>
      </c>
      <c r="D819" t="s">
        <v>1857</v>
      </c>
      <c r="E819" s="527" t="s">
        <v>3834</v>
      </c>
      <c r="F819" s="219"/>
    </row>
    <row r="820" spans="1:6" ht="14.4">
      <c r="A820">
        <v>39252</v>
      </c>
      <c r="B820" t="s">
        <v>17662</v>
      </c>
      <c r="C820" t="s">
        <v>2273</v>
      </c>
      <c r="D820" t="s">
        <v>1857</v>
      </c>
      <c r="E820" s="527" t="s">
        <v>3011</v>
      </c>
      <c r="F820" s="220"/>
    </row>
    <row r="821" spans="1:6" ht="14.4">
      <c r="A821">
        <v>1013</v>
      </c>
      <c r="B821" t="s">
        <v>17663</v>
      </c>
      <c r="C821" t="s">
        <v>2273</v>
      </c>
      <c r="D821" t="s">
        <v>1857</v>
      </c>
      <c r="E821" s="527" t="s">
        <v>7252</v>
      </c>
      <c r="F821" s="219"/>
    </row>
    <row r="822" spans="1:6" ht="14.4">
      <c r="A822">
        <v>980</v>
      </c>
      <c r="B822" t="s">
        <v>17664</v>
      </c>
      <c r="C822" t="s">
        <v>2273</v>
      </c>
      <c r="D822" t="s">
        <v>1857</v>
      </c>
      <c r="E822" s="527" t="s">
        <v>9788</v>
      </c>
      <c r="F822" s="220"/>
    </row>
    <row r="823" spans="1:6" ht="14.4">
      <c r="A823">
        <v>39237</v>
      </c>
      <c r="B823" t="s">
        <v>17665</v>
      </c>
      <c r="C823" t="s">
        <v>2273</v>
      </c>
      <c r="D823" t="s">
        <v>1857</v>
      </c>
      <c r="E823" s="527" t="s">
        <v>15222</v>
      </c>
      <c r="F823" s="219"/>
    </row>
    <row r="824" spans="1:6" ht="14.4">
      <c r="A824">
        <v>39238</v>
      </c>
      <c r="B824" t="s">
        <v>17666</v>
      </c>
      <c r="C824" t="s">
        <v>2273</v>
      </c>
      <c r="D824" t="s">
        <v>1857</v>
      </c>
      <c r="E824" s="527" t="s">
        <v>15223</v>
      </c>
      <c r="F824" s="220"/>
    </row>
    <row r="825" spans="1:6" ht="14.4">
      <c r="A825">
        <v>979</v>
      </c>
      <c r="B825" t="s">
        <v>17667</v>
      </c>
      <c r="C825" t="s">
        <v>2273</v>
      </c>
      <c r="D825" t="s">
        <v>1857</v>
      </c>
      <c r="E825" s="527" t="s">
        <v>7483</v>
      </c>
      <c r="F825" s="219"/>
    </row>
    <row r="826" spans="1:6" ht="14.4">
      <c r="A826">
        <v>39239</v>
      </c>
      <c r="B826" t="s">
        <v>17668</v>
      </c>
      <c r="C826" t="s">
        <v>2273</v>
      </c>
      <c r="D826" t="s">
        <v>1857</v>
      </c>
      <c r="E826" s="527" t="s">
        <v>15224</v>
      </c>
      <c r="F826" s="220"/>
    </row>
    <row r="827" spans="1:6" ht="14.4">
      <c r="A827">
        <v>1014</v>
      </c>
      <c r="B827" t="s">
        <v>17669</v>
      </c>
      <c r="C827" t="s">
        <v>2273</v>
      </c>
      <c r="D827" t="s">
        <v>1857</v>
      </c>
      <c r="E827" s="527" t="s">
        <v>6502</v>
      </c>
      <c r="F827" s="219"/>
    </row>
    <row r="828" spans="1:6" ht="14.4">
      <c r="A828">
        <v>39240</v>
      </c>
      <c r="B828" t="s">
        <v>17670</v>
      </c>
      <c r="C828" t="s">
        <v>2273</v>
      </c>
      <c r="D828" t="s">
        <v>1857</v>
      </c>
      <c r="E828" s="527" t="s">
        <v>15225</v>
      </c>
      <c r="F828" s="220"/>
    </row>
    <row r="829" spans="1:6" ht="14.4">
      <c r="A829">
        <v>39232</v>
      </c>
      <c r="B829" t="s">
        <v>17671</v>
      </c>
      <c r="C829" t="s">
        <v>2273</v>
      </c>
      <c r="D829" t="s">
        <v>1857</v>
      </c>
      <c r="E829" s="527" t="s">
        <v>10100</v>
      </c>
      <c r="F829" s="219"/>
    </row>
    <row r="830" spans="1:6" ht="14.4">
      <c r="A830">
        <v>39233</v>
      </c>
      <c r="B830" t="s">
        <v>17672</v>
      </c>
      <c r="C830" t="s">
        <v>2273</v>
      </c>
      <c r="D830" t="s">
        <v>1857</v>
      </c>
      <c r="E830" s="527" t="s">
        <v>15226</v>
      </c>
      <c r="F830" s="220"/>
    </row>
    <row r="831" spans="1:6" ht="14.4">
      <c r="A831">
        <v>981</v>
      </c>
      <c r="B831" t="s">
        <v>17673</v>
      </c>
      <c r="C831" t="s">
        <v>2273</v>
      </c>
      <c r="D831" t="s">
        <v>2268</v>
      </c>
      <c r="E831" s="527" t="s">
        <v>3538</v>
      </c>
      <c r="F831" s="219"/>
    </row>
    <row r="832" spans="1:6" ht="14.4">
      <c r="A832">
        <v>39234</v>
      </c>
      <c r="B832" t="s">
        <v>17674</v>
      </c>
      <c r="C832" t="s">
        <v>2273</v>
      </c>
      <c r="D832" t="s">
        <v>1857</v>
      </c>
      <c r="E832" s="527" t="s">
        <v>9543</v>
      </c>
      <c r="F832" s="220"/>
    </row>
    <row r="833" spans="1:6" ht="14.4">
      <c r="A833">
        <v>982</v>
      </c>
      <c r="B833" t="s">
        <v>17675</v>
      </c>
      <c r="C833" t="s">
        <v>2273</v>
      </c>
      <c r="D833" t="s">
        <v>1857</v>
      </c>
      <c r="E833" s="527" t="s">
        <v>9542</v>
      </c>
      <c r="F833" s="219"/>
    </row>
    <row r="834" spans="1:6" ht="14.4">
      <c r="A834">
        <v>39235</v>
      </c>
      <c r="B834" t="s">
        <v>17676</v>
      </c>
      <c r="C834" t="s">
        <v>2273</v>
      </c>
      <c r="D834" t="s">
        <v>1857</v>
      </c>
      <c r="E834" s="527" t="s">
        <v>10210</v>
      </c>
      <c r="F834" s="220"/>
    </row>
    <row r="835" spans="1:6" ht="14.4">
      <c r="A835">
        <v>39236</v>
      </c>
      <c r="B835" t="s">
        <v>17677</v>
      </c>
      <c r="C835" t="s">
        <v>2273</v>
      </c>
      <c r="D835" t="s">
        <v>1857</v>
      </c>
      <c r="E835" s="527" t="s">
        <v>12702</v>
      </c>
      <c r="F835" s="219"/>
    </row>
    <row r="836" spans="1:6" ht="14.4">
      <c r="A836">
        <v>876</v>
      </c>
      <c r="B836" t="s">
        <v>17678</v>
      </c>
      <c r="C836" t="s">
        <v>2273</v>
      </c>
      <c r="D836" t="s">
        <v>1857</v>
      </c>
      <c r="E836" s="527" t="s">
        <v>15227</v>
      </c>
      <c r="F836" s="220"/>
    </row>
    <row r="837" spans="1:6" ht="14.4">
      <c r="A837">
        <v>877</v>
      </c>
      <c r="B837" t="s">
        <v>17679</v>
      </c>
      <c r="C837" t="s">
        <v>2273</v>
      </c>
      <c r="D837" t="s">
        <v>1857</v>
      </c>
      <c r="E837" s="527" t="s">
        <v>15228</v>
      </c>
      <c r="F837" s="219"/>
    </row>
    <row r="838" spans="1:6" ht="14.4">
      <c r="A838">
        <v>882</v>
      </c>
      <c r="B838" t="s">
        <v>17680</v>
      </c>
      <c r="C838" t="s">
        <v>2273</v>
      </c>
      <c r="D838" t="s">
        <v>1857</v>
      </c>
      <c r="E838" s="527" t="s">
        <v>15229</v>
      </c>
      <c r="F838" s="220"/>
    </row>
    <row r="839" spans="1:6" ht="14.4">
      <c r="A839">
        <v>878</v>
      </c>
      <c r="B839" t="s">
        <v>17681</v>
      </c>
      <c r="C839" t="s">
        <v>2273</v>
      </c>
      <c r="D839" t="s">
        <v>1857</v>
      </c>
      <c r="E839" s="527" t="s">
        <v>15230</v>
      </c>
      <c r="F839" s="219"/>
    </row>
    <row r="840" spans="1:6" ht="14.4">
      <c r="A840">
        <v>879</v>
      </c>
      <c r="B840" t="s">
        <v>17682</v>
      </c>
      <c r="C840" t="s">
        <v>2273</v>
      </c>
      <c r="D840" t="s">
        <v>1857</v>
      </c>
      <c r="E840" s="527" t="s">
        <v>15231</v>
      </c>
      <c r="F840" s="220"/>
    </row>
    <row r="841" spans="1:6" ht="14.4">
      <c r="A841">
        <v>880</v>
      </c>
      <c r="B841" t="s">
        <v>17683</v>
      </c>
      <c r="C841" t="s">
        <v>2273</v>
      </c>
      <c r="D841" t="s">
        <v>1857</v>
      </c>
      <c r="E841" s="527" t="s">
        <v>15232</v>
      </c>
      <c r="F841" s="219"/>
    </row>
    <row r="842" spans="1:6" ht="14.4">
      <c r="A842">
        <v>873</v>
      </c>
      <c r="B842" t="s">
        <v>17684</v>
      </c>
      <c r="C842" t="s">
        <v>2273</v>
      </c>
      <c r="D842" t="s">
        <v>1857</v>
      </c>
      <c r="E842" s="527" t="s">
        <v>15233</v>
      </c>
      <c r="F842" s="220"/>
    </row>
    <row r="843" spans="1:6" ht="14.4">
      <c r="A843">
        <v>881</v>
      </c>
      <c r="B843" t="s">
        <v>17685</v>
      </c>
      <c r="C843" t="s">
        <v>2273</v>
      </c>
      <c r="D843" t="s">
        <v>1857</v>
      </c>
      <c r="E843" s="527" t="s">
        <v>15234</v>
      </c>
      <c r="F843" s="219"/>
    </row>
    <row r="844" spans="1:6" ht="14.4">
      <c r="A844">
        <v>874</v>
      </c>
      <c r="B844" t="s">
        <v>17686</v>
      </c>
      <c r="C844" t="s">
        <v>2273</v>
      </c>
      <c r="D844" t="s">
        <v>1857</v>
      </c>
      <c r="E844" s="527" t="s">
        <v>15235</v>
      </c>
      <c r="F844" s="220"/>
    </row>
    <row r="845" spans="1:6" ht="14.4">
      <c r="A845">
        <v>875</v>
      </c>
      <c r="B845" t="s">
        <v>17687</v>
      </c>
      <c r="C845" t="s">
        <v>2273</v>
      </c>
      <c r="D845" t="s">
        <v>1857</v>
      </c>
      <c r="E845" s="527" t="s">
        <v>15236</v>
      </c>
      <c r="F845" s="219"/>
    </row>
    <row r="846" spans="1:6" ht="14.4">
      <c r="A846">
        <v>983</v>
      </c>
      <c r="B846" t="s">
        <v>17688</v>
      </c>
      <c r="C846" t="s">
        <v>2273</v>
      </c>
      <c r="D846" t="s">
        <v>1857</v>
      </c>
      <c r="E846" s="527" t="s">
        <v>7336</v>
      </c>
      <c r="F846" s="220"/>
    </row>
    <row r="847" spans="1:6" ht="14.4">
      <c r="A847">
        <v>985</v>
      </c>
      <c r="B847" t="s">
        <v>17689</v>
      </c>
      <c r="C847" t="s">
        <v>2273</v>
      </c>
      <c r="D847" t="s">
        <v>1857</v>
      </c>
      <c r="E847" s="527" t="s">
        <v>4802</v>
      </c>
      <c r="F847" s="219"/>
    </row>
    <row r="848" spans="1:6" ht="14.4">
      <c r="A848">
        <v>990</v>
      </c>
      <c r="B848" t="s">
        <v>17690</v>
      </c>
      <c r="C848" t="s">
        <v>2273</v>
      </c>
      <c r="D848" t="s">
        <v>1857</v>
      </c>
      <c r="E848" s="527" t="s">
        <v>11417</v>
      </c>
      <c r="F848" s="220"/>
    </row>
    <row r="849" spans="1:6" ht="14.4">
      <c r="A849">
        <v>39241</v>
      </c>
      <c r="B849" t="s">
        <v>17691</v>
      </c>
      <c r="C849" t="s">
        <v>2273</v>
      </c>
      <c r="D849" t="s">
        <v>1857</v>
      </c>
      <c r="E849" s="527" t="s">
        <v>7363</v>
      </c>
      <c r="F849" s="219"/>
    </row>
    <row r="850" spans="1:6" ht="14.4">
      <c r="A850">
        <v>1005</v>
      </c>
      <c r="B850" t="s">
        <v>17692</v>
      </c>
      <c r="C850" t="s">
        <v>2273</v>
      </c>
      <c r="D850" t="s">
        <v>1857</v>
      </c>
      <c r="E850" s="527" t="s">
        <v>11423</v>
      </c>
      <c r="F850" s="220"/>
    </row>
    <row r="851" spans="1:6" ht="14.4">
      <c r="A851">
        <v>984</v>
      </c>
      <c r="B851" t="s">
        <v>17693</v>
      </c>
      <c r="C851" t="s">
        <v>2273</v>
      </c>
      <c r="D851" t="s">
        <v>1857</v>
      </c>
      <c r="E851" s="527" t="s">
        <v>3606</v>
      </c>
      <c r="F851" s="219"/>
    </row>
    <row r="852" spans="1:6" ht="14.4">
      <c r="A852">
        <v>991</v>
      </c>
      <c r="B852" t="s">
        <v>17694</v>
      </c>
      <c r="C852" t="s">
        <v>2273</v>
      </c>
      <c r="D852" t="s">
        <v>1857</v>
      </c>
      <c r="E852" s="527" t="s">
        <v>15237</v>
      </c>
      <c r="F852" s="220"/>
    </row>
    <row r="853" spans="1:6" ht="14.4">
      <c r="A853">
        <v>986</v>
      </c>
      <c r="B853" t="s">
        <v>17695</v>
      </c>
      <c r="C853" t="s">
        <v>2273</v>
      </c>
      <c r="D853" t="s">
        <v>1857</v>
      </c>
      <c r="E853" s="527" t="s">
        <v>9539</v>
      </c>
      <c r="F853" s="219"/>
    </row>
    <row r="854" spans="1:6" ht="14.4">
      <c r="A854">
        <v>1024</v>
      </c>
      <c r="B854" t="s">
        <v>17696</v>
      </c>
      <c r="C854" t="s">
        <v>2273</v>
      </c>
      <c r="D854" t="s">
        <v>1857</v>
      </c>
      <c r="E854" s="527" t="s">
        <v>15238</v>
      </c>
      <c r="F854" s="220"/>
    </row>
    <row r="855" spans="1:6" ht="14.4">
      <c r="A855">
        <v>987</v>
      </c>
      <c r="B855" t="s">
        <v>17697</v>
      </c>
      <c r="C855" t="s">
        <v>2273</v>
      </c>
      <c r="D855" t="s">
        <v>1857</v>
      </c>
      <c r="E855" s="527" t="s">
        <v>10629</v>
      </c>
      <c r="F855" s="219"/>
    </row>
    <row r="856" spans="1:6" ht="14.4">
      <c r="A856">
        <v>1003</v>
      </c>
      <c r="B856" t="s">
        <v>17698</v>
      </c>
      <c r="C856" t="s">
        <v>2273</v>
      </c>
      <c r="D856" t="s">
        <v>1857</v>
      </c>
      <c r="E856" s="527" t="s">
        <v>2984</v>
      </c>
      <c r="F856" s="220"/>
    </row>
    <row r="857" spans="1:6" ht="14.4">
      <c r="A857">
        <v>992</v>
      </c>
      <c r="B857" t="s">
        <v>17699</v>
      </c>
      <c r="C857" t="s">
        <v>2273</v>
      </c>
      <c r="D857" t="s">
        <v>1857</v>
      </c>
      <c r="E857" s="527" t="s">
        <v>15239</v>
      </c>
      <c r="F857" s="219"/>
    </row>
    <row r="858" spans="1:6" ht="14.4">
      <c r="A858">
        <v>1007</v>
      </c>
      <c r="B858" t="s">
        <v>17700</v>
      </c>
      <c r="C858" t="s">
        <v>2273</v>
      </c>
      <c r="D858" t="s">
        <v>1857</v>
      </c>
      <c r="E858" s="527" t="s">
        <v>10240</v>
      </c>
      <c r="F858" s="220"/>
    </row>
    <row r="859" spans="1:6" ht="14.4">
      <c r="A859">
        <v>39242</v>
      </c>
      <c r="B859" t="s">
        <v>17701</v>
      </c>
      <c r="C859" t="s">
        <v>2273</v>
      </c>
      <c r="D859" t="s">
        <v>1857</v>
      </c>
      <c r="E859" s="527" t="s">
        <v>15240</v>
      </c>
      <c r="F859" s="219"/>
    </row>
    <row r="860" spans="1:6" ht="14.4">
      <c r="A860">
        <v>1008</v>
      </c>
      <c r="B860" t="s">
        <v>17702</v>
      </c>
      <c r="C860" t="s">
        <v>2273</v>
      </c>
      <c r="D860" t="s">
        <v>1857</v>
      </c>
      <c r="E860" s="527" t="s">
        <v>4388</v>
      </c>
      <c r="F860" s="220"/>
    </row>
    <row r="861" spans="1:6" ht="14.4">
      <c r="A861">
        <v>988</v>
      </c>
      <c r="B861" t="s">
        <v>17703</v>
      </c>
      <c r="C861" t="s">
        <v>2273</v>
      </c>
      <c r="D861" t="s">
        <v>1857</v>
      </c>
      <c r="E861" s="527" t="s">
        <v>10306</v>
      </c>
      <c r="F861" s="219"/>
    </row>
    <row r="862" spans="1:6" ht="14.4">
      <c r="A862">
        <v>989</v>
      </c>
      <c r="B862" t="s">
        <v>17704</v>
      </c>
      <c r="C862" t="s">
        <v>2273</v>
      </c>
      <c r="D862" t="s">
        <v>1857</v>
      </c>
      <c r="E862" s="527" t="s">
        <v>15241</v>
      </c>
      <c r="F862" s="220"/>
    </row>
    <row r="863" spans="1:6" ht="14.4">
      <c r="A863">
        <v>39598</v>
      </c>
      <c r="B863" t="s">
        <v>17705</v>
      </c>
      <c r="C863" t="s">
        <v>2273</v>
      </c>
      <c r="D863" t="s">
        <v>1857</v>
      </c>
      <c r="E863" s="527" t="s">
        <v>7268</v>
      </c>
      <c r="F863" s="219"/>
    </row>
    <row r="864" spans="1:6" ht="14.4">
      <c r="A864">
        <v>39599</v>
      </c>
      <c r="B864" t="s">
        <v>17706</v>
      </c>
      <c r="C864" t="s">
        <v>2273</v>
      </c>
      <c r="D864" t="s">
        <v>1857</v>
      </c>
      <c r="E864" s="527" t="s">
        <v>6368</v>
      </c>
      <c r="F864" s="220"/>
    </row>
    <row r="865" spans="1:6" ht="14.4">
      <c r="A865">
        <v>34602</v>
      </c>
      <c r="B865" t="s">
        <v>17707</v>
      </c>
      <c r="C865" t="s">
        <v>2273</v>
      </c>
      <c r="D865" t="s">
        <v>1857</v>
      </c>
      <c r="E865" s="527" t="s">
        <v>5193</v>
      </c>
      <c r="F865" s="219"/>
    </row>
    <row r="866" spans="1:6" ht="14.4">
      <c r="A866">
        <v>34603</v>
      </c>
      <c r="B866" t="s">
        <v>17708</v>
      </c>
      <c r="C866" t="s">
        <v>2273</v>
      </c>
      <c r="D866" t="s">
        <v>1857</v>
      </c>
      <c r="E866" s="527" t="s">
        <v>10261</v>
      </c>
      <c r="F866" s="220"/>
    </row>
    <row r="867" spans="1:6" ht="14.4">
      <c r="A867">
        <v>34607</v>
      </c>
      <c r="B867" t="s">
        <v>17709</v>
      </c>
      <c r="C867" t="s">
        <v>2273</v>
      </c>
      <c r="D867" t="s">
        <v>1857</v>
      </c>
      <c r="E867" s="527" t="s">
        <v>10286</v>
      </c>
      <c r="F867" s="219"/>
    </row>
    <row r="868" spans="1:6" ht="14.4">
      <c r="A868">
        <v>34609</v>
      </c>
      <c r="B868" t="s">
        <v>17710</v>
      </c>
      <c r="C868" t="s">
        <v>2273</v>
      </c>
      <c r="D868" t="s">
        <v>1857</v>
      </c>
      <c r="E868" s="527" t="s">
        <v>7632</v>
      </c>
      <c r="F868" s="220"/>
    </row>
    <row r="869" spans="1:6" ht="14.4">
      <c r="A869">
        <v>34618</v>
      </c>
      <c r="B869" t="s">
        <v>17711</v>
      </c>
      <c r="C869" t="s">
        <v>2273</v>
      </c>
      <c r="D869" t="s">
        <v>1857</v>
      </c>
      <c r="E869" s="527" t="s">
        <v>10707</v>
      </c>
      <c r="F869" s="219"/>
    </row>
    <row r="870" spans="1:6" ht="14.4">
      <c r="A870">
        <v>34620</v>
      </c>
      <c r="B870" t="s">
        <v>17712</v>
      </c>
      <c r="C870" t="s">
        <v>2273</v>
      </c>
      <c r="D870" t="s">
        <v>1857</v>
      </c>
      <c r="E870" s="527" t="s">
        <v>9764</v>
      </c>
      <c r="F870" s="220"/>
    </row>
    <row r="871" spans="1:6" ht="14.4">
      <c r="A871">
        <v>34621</v>
      </c>
      <c r="B871" t="s">
        <v>17713</v>
      </c>
      <c r="C871" t="s">
        <v>2273</v>
      </c>
      <c r="D871" t="s">
        <v>1857</v>
      </c>
      <c r="E871" s="527" t="s">
        <v>10774</v>
      </c>
      <c r="F871" s="219"/>
    </row>
    <row r="872" spans="1:6" ht="14.4">
      <c r="A872">
        <v>34622</v>
      </c>
      <c r="B872" t="s">
        <v>17714</v>
      </c>
      <c r="C872" t="s">
        <v>2273</v>
      </c>
      <c r="D872" t="s">
        <v>1857</v>
      </c>
      <c r="E872" s="527" t="s">
        <v>9993</v>
      </c>
      <c r="F872" s="220"/>
    </row>
    <row r="873" spans="1:6" ht="14.4">
      <c r="A873">
        <v>34624</v>
      </c>
      <c r="B873" t="s">
        <v>17715</v>
      </c>
      <c r="C873" t="s">
        <v>2273</v>
      </c>
      <c r="D873" t="s">
        <v>1857</v>
      </c>
      <c r="E873" s="527" t="s">
        <v>4592</v>
      </c>
      <c r="F873" s="219"/>
    </row>
    <row r="874" spans="1:6" ht="14.4">
      <c r="A874">
        <v>34626</v>
      </c>
      <c r="B874" t="s">
        <v>17716</v>
      </c>
      <c r="C874" t="s">
        <v>2273</v>
      </c>
      <c r="D874" t="s">
        <v>1857</v>
      </c>
      <c r="E874" s="527" t="s">
        <v>10004</v>
      </c>
      <c r="F874" s="220"/>
    </row>
    <row r="875" spans="1:6" ht="14.4">
      <c r="A875">
        <v>34627</v>
      </c>
      <c r="B875" t="s">
        <v>17717</v>
      </c>
      <c r="C875" t="s">
        <v>2273</v>
      </c>
      <c r="D875" t="s">
        <v>1857</v>
      </c>
      <c r="E875" s="527" t="s">
        <v>7960</v>
      </c>
      <c r="F875" s="219"/>
    </row>
    <row r="876" spans="1:6" ht="14.4">
      <c r="A876">
        <v>34629</v>
      </c>
      <c r="B876" t="s">
        <v>17718</v>
      </c>
      <c r="C876" t="s">
        <v>2273</v>
      </c>
      <c r="D876" t="s">
        <v>1857</v>
      </c>
      <c r="E876" s="527" t="s">
        <v>7728</v>
      </c>
      <c r="F876" s="220"/>
    </row>
    <row r="877" spans="1:6" ht="14.4">
      <c r="A877">
        <v>39257</v>
      </c>
      <c r="B877" t="s">
        <v>17719</v>
      </c>
      <c r="C877" t="s">
        <v>2273</v>
      </c>
      <c r="D877" t="s">
        <v>1857</v>
      </c>
      <c r="E877" s="527" t="s">
        <v>11447</v>
      </c>
      <c r="F877" s="219"/>
    </row>
    <row r="878" spans="1:6" ht="14.4">
      <c r="A878">
        <v>39261</v>
      </c>
      <c r="B878" t="s">
        <v>17720</v>
      </c>
      <c r="C878" t="s">
        <v>2273</v>
      </c>
      <c r="D878" t="s">
        <v>1857</v>
      </c>
      <c r="E878" s="527" t="s">
        <v>10082</v>
      </c>
      <c r="F878" s="220"/>
    </row>
    <row r="879" spans="1:6" ht="14.4">
      <c r="A879">
        <v>39268</v>
      </c>
      <c r="B879" t="s">
        <v>17721</v>
      </c>
      <c r="C879" t="s">
        <v>2273</v>
      </c>
      <c r="D879" t="s">
        <v>1857</v>
      </c>
      <c r="E879" s="527" t="s">
        <v>15242</v>
      </c>
      <c r="F879" s="219"/>
    </row>
    <row r="880" spans="1:6" ht="14.4">
      <c r="A880">
        <v>39262</v>
      </c>
      <c r="B880" t="s">
        <v>17722</v>
      </c>
      <c r="C880" t="s">
        <v>2273</v>
      </c>
      <c r="D880" t="s">
        <v>1857</v>
      </c>
      <c r="E880" s="527" t="s">
        <v>10334</v>
      </c>
      <c r="F880" s="220"/>
    </row>
    <row r="881" spans="1:6" ht="14.4">
      <c r="A881">
        <v>39258</v>
      </c>
      <c r="B881" t="s">
        <v>17723</v>
      </c>
      <c r="C881" t="s">
        <v>2273</v>
      </c>
      <c r="D881" t="s">
        <v>1857</v>
      </c>
      <c r="E881" s="527" t="s">
        <v>2909</v>
      </c>
      <c r="F881" s="219"/>
    </row>
    <row r="882" spans="1:6" ht="14.4">
      <c r="A882">
        <v>39263</v>
      </c>
      <c r="B882" t="s">
        <v>17724</v>
      </c>
      <c r="C882" t="s">
        <v>2273</v>
      </c>
      <c r="D882" t="s">
        <v>1857</v>
      </c>
      <c r="E882" s="527" t="s">
        <v>13941</v>
      </c>
      <c r="F882" s="220"/>
    </row>
    <row r="883" spans="1:6" ht="14.4">
      <c r="A883">
        <v>39264</v>
      </c>
      <c r="B883" t="s">
        <v>17725</v>
      </c>
      <c r="C883" t="s">
        <v>2273</v>
      </c>
      <c r="D883" t="s">
        <v>1857</v>
      </c>
      <c r="E883" s="527" t="s">
        <v>10346</v>
      </c>
      <c r="F883" s="219"/>
    </row>
    <row r="884" spans="1:6" ht="14.4">
      <c r="A884">
        <v>39259</v>
      </c>
      <c r="B884" t="s">
        <v>17726</v>
      </c>
      <c r="C884" t="s">
        <v>2273</v>
      </c>
      <c r="D884" t="s">
        <v>1857</v>
      </c>
      <c r="E884" s="527" t="s">
        <v>9766</v>
      </c>
      <c r="F884" s="220"/>
    </row>
    <row r="885" spans="1:6" ht="14.4">
      <c r="A885">
        <v>39265</v>
      </c>
      <c r="B885" t="s">
        <v>17727</v>
      </c>
      <c r="C885" t="s">
        <v>2273</v>
      </c>
      <c r="D885" t="s">
        <v>1857</v>
      </c>
      <c r="E885" s="527" t="s">
        <v>15243</v>
      </c>
      <c r="F885" s="219"/>
    </row>
    <row r="886" spans="1:6" ht="14.4">
      <c r="A886">
        <v>39260</v>
      </c>
      <c r="B886" t="s">
        <v>17728</v>
      </c>
      <c r="C886" t="s">
        <v>2273</v>
      </c>
      <c r="D886" t="s">
        <v>1857</v>
      </c>
      <c r="E886" s="527" t="s">
        <v>10621</v>
      </c>
      <c r="F886" s="220"/>
    </row>
    <row r="887" spans="1:6" ht="14.4">
      <c r="A887">
        <v>39266</v>
      </c>
      <c r="B887" t="s">
        <v>17729</v>
      </c>
      <c r="C887" t="s">
        <v>2273</v>
      </c>
      <c r="D887" t="s">
        <v>1857</v>
      </c>
      <c r="E887" s="527" t="s">
        <v>15244</v>
      </c>
      <c r="F887" s="219"/>
    </row>
    <row r="888" spans="1:6" ht="14.4">
      <c r="A888">
        <v>39267</v>
      </c>
      <c r="B888" t="s">
        <v>17730</v>
      </c>
      <c r="C888" t="s">
        <v>2273</v>
      </c>
      <c r="D888" t="s">
        <v>1857</v>
      </c>
      <c r="E888" s="527" t="s">
        <v>15245</v>
      </c>
      <c r="F888" s="220"/>
    </row>
    <row r="889" spans="1:6" ht="14.4">
      <c r="A889">
        <v>11901</v>
      </c>
      <c r="B889" t="s">
        <v>17731</v>
      </c>
      <c r="C889" t="s">
        <v>2273</v>
      </c>
      <c r="D889" t="s">
        <v>2268</v>
      </c>
      <c r="E889" s="527" t="s">
        <v>3817</v>
      </c>
      <c r="F889" s="219"/>
    </row>
    <row r="890" spans="1:6" ht="14.4">
      <c r="A890">
        <v>11902</v>
      </c>
      <c r="B890" t="s">
        <v>17732</v>
      </c>
      <c r="C890" t="s">
        <v>2273</v>
      </c>
      <c r="D890" t="s">
        <v>1857</v>
      </c>
      <c r="E890" s="527" t="s">
        <v>9787</v>
      </c>
      <c r="F890" s="220"/>
    </row>
    <row r="891" spans="1:6" ht="14.4">
      <c r="A891">
        <v>11903</v>
      </c>
      <c r="B891" t="s">
        <v>17733</v>
      </c>
      <c r="C891" t="s">
        <v>2273</v>
      </c>
      <c r="D891" t="s">
        <v>1857</v>
      </c>
      <c r="E891" s="527" t="s">
        <v>3004</v>
      </c>
      <c r="F891" s="219"/>
    </row>
    <row r="892" spans="1:6" ht="14.4">
      <c r="A892">
        <v>11904</v>
      </c>
      <c r="B892" t="s">
        <v>17734</v>
      </c>
      <c r="C892" t="s">
        <v>2273</v>
      </c>
      <c r="D892" t="s">
        <v>1857</v>
      </c>
      <c r="E892" s="527" t="s">
        <v>7281</v>
      </c>
      <c r="F892" s="220"/>
    </row>
    <row r="893" spans="1:6" ht="14.4">
      <c r="A893">
        <v>11905</v>
      </c>
      <c r="B893" t="s">
        <v>17735</v>
      </c>
      <c r="C893" t="s">
        <v>2273</v>
      </c>
      <c r="D893" t="s">
        <v>1857</v>
      </c>
      <c r="E893" s="527" t="s">
        <v>10415</v>
      </c>
      <c r="F893" s="219"/>
    </row>
    <row r="894" spans="1:6" ht="14.4">
      <c r="A894">
        <v>11906</v>
      </c>
      <c r="B894" t="s">
        <v>17736</v>
      </c>
      <c r="C894" t="s">
        <v>2273</v>
      </c>
      <c r="D894" t="s">
        <v>1857</v>
      </c>
      <c r="E894" s="527" t="s">
        <v>10379</v>
      </c>
      <c r="F894" s="220"/>
    </row>
    <row r="895" spans="1:6" ht="14.4">
      <c r="A895">
        <v>11919</v>
      </c>
      <c r="B895" t="s">
        <v>17737</v>
      </c>
      <c r="C895" t="s">
        <v>2273</v>
      </c>
      <c r="D895" t="s">
        <v>1857</v>
      </c>
      <c r="E895" s="527" t="s">
        <v>3723</v>
      </c>
      <c r="F895" s="219"/>
    </row>
    <row r="896" spans="1:6" ht="14.4">
      <c r="A896">
        <v>11920</v>
      </c>
      <c r="B896" t="s">
        <v>17738</v>
      </c>
      <c r="C896" t="s">
        <v>2273</v>
      </c>
      <c r="D896" t="s">
        <v>1857</v>
      </c>
      <c r="E896" s="527" t="s">
        <v>9568</v>
      </c>
      <c r="F896" s="220"/>
    </row>
    <row r="897" spans="1:6" ht="14.4">
      <c r="A897">
        <v>11924</v>
      </c>
      <c r="B897" t="s">
        <v>17739</v>
      </c>
      <c r="C897" t="s">
        <v>2273</v>
      </c>
      <c r="D897" t="s">
        <v>1857</v>
      </c>
      <c r="E897" s="527" t="s">
        <v>11414</v>
      </c>
      <c r="F897" s="219"/>
    </row>
    <row r="898" spans="1:6" ht="14.4">
      <c r="A898">
        <v>11921</v>
      </c>
      <c r="B898" t="s">
        <v>17740</v>
      </c>
      <c r="C898" t="s">
        <v>2273</v>
      </c>
      <c r="D898" t="s">
        <v>1857</v>
      </c>
      <c r="E898" s="527" t="s">
        <v>5928</v>
      </c>
      <c r="F898" s="220"/>
    </row>
    <row r="899" spans="1:6" ht="14.4">
      <c r="A899">
        <v>11922</v>
      </c>
      <c r="B899" t="s">
        <v>17741</v>
      </c>
      <c r="C899" t="s">
        <v>2273</v>
      </c>
      <c r="D899" t="s">
        <v>1857</v>
      </c>
      <c r="E899" s="527" t="s">
        <v>12842</v>
      </c>
      <c r="F899" s="219"/>
    </row>
    <row r="900" spans="1:6" ht="14.4">
      <c r="A900">
        <v>11923</v>
      </c>
      <c r="B900" t="s">
        <v>17742</v>
      </c>
      <c r="C900" t="s">
        <v>2273</v>
      </c>
      <c r="D900" t="s">
        <v>1857</v>
      </c>
      <c r="E900" s="527" t="s">
        <v>15246</v>
      </c>
      <c r="F900" s="220"/>
    </row>
    <row r="901" spans="1:6" ht="14.4">
      <c r="A901">
        <v>11916</v>
      </c>
      <c r="B901" t="s">
        <v>17743</v>
      </c>
      <c r="C901" t="s">
        <v>2273</v>
      </c>
      <c r="D901" t="s">
        <v>1857</v>
      </c>
      <c r="E901" s="527" t="s">
        <v>6901</v>
      </c>
      <c r="F901" s="219"/>
    </row>
    <row r="902" spans="1:6" ht="14.4">
      <c r="A902">
        <v>11914</v>
      </c>
      <c r="B902" t="s">
        <v>17744</v>
      </c>
      <c r="C902" t="s">
        <v>2273</v>
      </c>
      <c r="D902" t="s">
        <v>1857</v>
      </c>
      <c r="E902" s="527" t="s">
        <v>10006</v>
      </c>
      <c r="F902" s="220"/>
    </row>
    <row r="903" spans="1:6" ht="14.4">
      <c r="A903">
        <v>11917</v>
      </c>
      <c r="B903" t="s">
        <v>17745</v>
      </c>
      <c r="C903" t="s">
        <v>2273</v>
      </c>
      <c r="D903" t="s">
        <v>1857</v>
      </c>
      <c r="E903" s="527" t="s">
        <v>7631</v>
      </c>
      <c r="F903" s="219"/>
    </row>
    <row r="904" spans="1:6" ht="14.4">
      <c r="A904">
        <v>11918</v>
      </c>
      <c r="B904" t="s">
        <v>17746</v>
      </c>
      <c r="C904" t="s">
        <v>2273</v>
      </c>
      <c r="D904" t="s">
        <v>1857</v>
      </c>
      <c r="E904" s="527" t="s">
        <v>7343</v>
      </c>
      <c r="F904" s="220"/>
    </row>
    <row r="905" spans="1:6" ht="14.4">
      <c r="A905">
        <v>37734</v>
      </c>
      <c r="B905" t="s">
        <v>17747</v>
      </c>
      <c r="C905" t="s">
        <v>2269</v>
      </c>
      <c r="D905" t="s">
        <v>2271</v>
      </c>
      <c r="E905" s="527" t="s">
        <v>17748</v>
      </c>
      <c r="F905" s="219"/>
    </row>
    <row r="906" spans="1:6" ht="14.4">
      <c r="A906">
        <v>42251</v>
      </c>
      <c r="B906" t="s">
        <v>17749</v>
      </c>
      <c r="C906" t="s">
        <v>2269</v>
      </c>
      <c r="D906" t="s">
        <v>2271</v>
      </c>
      <c r="E906" s="527" t="s">
        <v>17750</v>
      </c>
      <c r="F906" s="220"/>
    </row>
    <row r="907" spans="1:6" ht="14.4">
      <c r="A907">
        <v>37733</v>
      </c>
      <c r="B907" t="s">
        <v>17751</v>
      </c>
      <c r="C907" t="s">
        <v>2269</v>
      </c>
      <c r="D907" t="s">
        <v>2271</v>
      </c>
      <c r="E907" s="527" t="s">
        <v>17752</v>
      </c>
      <c r="F907" s="219"/>
    </row>
    <row r="908" spans="1:6" ht="14.4">
      <c r="A908">
        <v>37735</v>
      </c>
      <c r="B908" t="s">
        <v>17753</v>
      </c>
      <c r="C908" t="s">
        <v>2269</v>
      </c>
      <c r="D908" t="s">
        <v>2271</v>
      </c>
      <c r="E908" s="527" t="s">
        <v>17754</v>
      </c>
      <c r="F908" s="220"/>
    </row>
    <row r="909" spans="1:6" ht="14.4">
      <c r="A909">
        <v>5090</v>
      </c>
      <c r="B909" t="s">
        <v>17755</v>
      </c>
      <c r="C909" t="s">
        <v>2269</v>
      </c>
      <c r="D909" t="s">
        <v>2268</v>
      </c>
      <c r="E909" s="527" t="s">
        <v>10373</v>
      </c>
      <c r="F909" s="219"/>
    </row>
    <row r="910" spans="1:6" ht="14.4">
      <c r="A910">
        <v>5085</v>
      </c>
      <c r="B910" t="s">
        <v>17756</v>
      </c>
      <c r="C910" t="s">
        <v>2269</v>
      </c>
      <c r="D910" t="s">
        <v>1857</v>
      </c>
      <c r="E910" s="527" t="s">
        <v>9572</v>
      </c>
      <c r="F910" s="220"/>
    </row>
    <row r="911" spans="1:6" ht="14.4">
      <c r="A911">
        <v>43603</v>
      </c>
      <c r="B911" t="s">
        <v>17757</v>
      </c>
      <c r="C911" t="s">
        <v>2269</v>
      </c>
      <c r="D911" t="s">
        <v>1857</v>
      </c>
      <c r="E911" s="527" t="s">
        <v>10728</v>
      </c>
      <c r="F911" s="219"/>
    </row>
    <row r="912" spans="1:6" ht="14.4">
      <c r="A912">
        <v>38374</v>
      </c>
      <c r="B912" t="s">
        <v>17758</v>
      </c>
      <c r="C912" t="s">
        <v>2269</v>
      </c>
      <c r="D912" t="s">
        <v>1857</v>
      </c>
      <c r="E912" s="527" t="s">
        <v>17759</v>
      </c>
      <c r="F912" s="220"/>
    </row>
    <row r="913" spans="1:6" ht="14.4">
      <c r="A913">
        <v>20209</v>
      </c>
      <c r="B913" t="s">
        <v>17760</v>
      </c>
      <c r="C913" t="s">
        <v>2273</v>
      </c>
      <c r="D913" t="s">
        <v>1857</v>
      </c>
      <c r="E913" s="527" t="s">
        <v>17761</v>
      </c>
      <c r="F913" s="219"/>
    </row>
    <row r="914" spans="1:6" ht="14.4">
      <c r="A914">
        <v>20212</v>
      </c>
      <c r="B914" t="s">
        <v>17762</v>
      </c>
      <c r="C914" t="s">
        <v>2273</v>
      </c>
      <c r="D914" t="s">
        <v>1857</v>
      </c>
      <c r="E914" s="527" t="s">
        <v>12732</v>
      </c>
      <c r="F914" s="220"/>
    </row>
    <row r="915" spans="1:6" ht="14.4">
      <c r="A915">
        <v>4433</v>
      </c>
      <c r="B915" t="s">
        <v>17763</v>
      </c>
      <c r="C915" t="s">
        <v>2273</v>
      </c>
      <c r="D915" t="s">
        <v>1857</v>
      </c>
      <c r="E915" s="527" t="s">
        <v>11700</v>
      </c>
      <c r="F915" s="219"/>
    </row>
    <row r="916" spans="1:6" ht="14.4">
      <c r="A916">
        <v>4430</v>
      </c>
      <c r="B916" t="s">
        <v>17764</v>
      </c>
      <c r="C916" t="s">
        <v>2273</v>
      </c>
      <c r="D916" t="s">
        <v>2268</v>
      </c>
      <c r="E916" s="527" t="s">
        <v>5314</v>
      </c>
      <c r="F916" s="220"/>
    </row>
    <row r="917" spans="1:6" ht="14.4">
      <c r="A917">
        <v>4400</v>
      </c>
      <c r="B917" t="s">
        <v>17765</v>
      </c>
      <c r="C917" t="s">
        <v>2273</v>
      </c>
      <c r="D917" t="s">
        <v>1857</v>
      </c>
      <c r="E917" s="527" t="s">
        <v>9930</v>
      </c>
      <c r="F917" s="219"/>
    </row>
    <row r="918" spans="1:6" ht="14.4">
      <c r="A918">
        <v>2729</v>
      </c>
      <c r="B918" t="s">
        <v>17766</v>
      </c>
      <c r="C918" t="s">
        <v>2269</v>
      </c>
      <c r="D918" t="s">
        <v>2271</v>
      </c>
      <c r="E918" s="527" t="s">
        <v>7898</v>
      </c>
      <c r="F918" s="220"/>
    </row>
    <row r="919" spans="1:6" ht="14.4">
      <c r="A919">
        <v>4513</v>
      </c>
      <c r="B919" t="s">
        <v>17767</v>
      </c>
      <c r="C919" t="s">
        <v>2273</v>
      </c>
      <c r="D919" t="s">
        <v>1857</v>
      </c>
      <c r="E919" s="527" t="s">
        <v>10066</v>
      </c>
      <c r="F919" s="219"/>
    </row>
    <row r="920" spans="1:6" ht="14.4">
      <c r="A920">
        <v>11871</v>
      </c>
      <c r="B920" t="s">
        <v>17768</v>
      </c>
      <c r="C920" t="s">
        <v>2269</v>
      </c>
      <c r="D920" t="s">
        <v>2271</v>
      </c>
      <c r="E920" s="527" t="s">
        <v>17769</v>
      </c>
      <c r="F920" s="220"/>
    </row>
    <row r="921" spans="1:6" ht="14.4">
      <c r="A921">
        <v>34636</v>
      </c>
      <c r="B921" t="s">
        <v>17770</v>
      </c>
      <c r="C921" t="s">
        <v>2269</v>
      </c>
      <c r="D921" t="s">
        <v>2268</v>
      </c>
      <c r="E921" s="527" t="s">
        <v>17771</v>
      </c>
      <c r="F921" s="219"/>
    </row>
    <row r="922" spans="1:6" ht="14.4">
      <c r="A922">
        <v>34639</v>
      </c>
      <c r="B922" t="s">
        <v>17772</v>
      </c>
      <c r="C922" t="s">
        <v>2269</v>
      </c>
      <c r="D922" t="s">
        <v>1857</v>
      </c>
      <c r="E922" s="527" t="s">
        <v>17773</v>
      </c>
      <c r="F922" s="220"/>
    </row>
    <row r="923" spans="1:6" ht="14.4">
      <c r="A923">
        <v>34640</v>
      </c>
      <c r="B923" t="s">
        <v>17774</v>
      </c>
      <c r="C923" t="s">
        <v>2269</v>
      </c>
      <c r="D923" t="s">
        <v>1857</v>
      </c>
      <c r="E923" s="527" t="s">
        <v>17775</v>
      </c>
      <c r="F923" s="219"/>
    </row>
    <row r="924" spans="1:6" ht="14.4">
      <c r="A924">
        <v>34637</v>
      </c>
      <c r="B924" t="s">
        <v>17776</v>
      </c>
      <c r="C924" t="s">
        <v>2269</v>
      </c>
      <c r="D924" t="s">
        <v>1857</v>
      </c>
      <c r="E924" s="527" t="s">
        <v>17777</v>
      </c>
      <c r="F924" s="220"/>
    </row>
    <row r="925" spans="1:6" ht="14.4">
      <c r="A925">
        <v>34638</v>
      </c>
      <c r="B925" t="s">
        <v>17778</v>
      </c>
      <c r="C925" t="s">
        <v>2269</v>
      </c>
      <c r="D925" t="s">
        <v>1857</v>
      </c>
      <c r="E925" s="527" t="s">
        <v>17779</v>
      </c>
      <c r="F925" s="219"/>
    </row>
    <row r="926" spans="1:6" ht="14.4">
      <c r="A926">
        <v>11868</v>
      </c>
      <c r="B926" t="s">
        <v>17780</v>
      </c>
      <c r="C926" t="s">
        <v>2269</v>
      </c>
      <c r="D926" t="s">
        <v>2271</v>
      </c>
      <c r="E926" s="527" t="s">
        <v>17781</v>
      </c>
      <c r="F926" s="220"/>
    </row>
    <row r="927" spans="1:6" ht="14.4">
      <c r="A927">
        <v>37106</v>
      </c>
      <c r="B927" t="s">
        <v>17782</v>
      </c>
      <c r="C927" t="s">
        <v>2269</v>
      </c>
      <c r="D927" t="s">
        <v>2271</v>
      </c>
      <c r="E927" s="527" t="s">
        <v>17783</v>
      </c>
      <c r="F927" s="219"/>
    </row>
    <row r="928" spans="1:6" ht="14.4">
      <c r="A928">
        <v>11869</v>
      </c>
      <c r="B928" t="s">
        <v>17784</v>
      </c>
      <c r="C928" t="s">
        <v>2269</v>
      </c>
      <c r="D928" t="s">
        <v>2271</v>
      </c>
      <c r="E928" s="527" t="s">
        <v>17785</v>
      </c>
      <c r="F928" s="220"/>
    </row>
    <row r="929" spans="1:6" ht="14.4">
      <c r="A929">
        <v>37104</v>
      </c>
      <c r="B929" t="s">
        <v>17786</v>
      </c>
      <c r="C929" t="s">
        <v>2269</v>
      </c>
      <c r="D929" t="s">
        <v>2271</v>
      </c>
      <c r="E929" s="527" t="s">
        <v>17787</v>
      </c>
      <c r="F929" s="219"/>
    </row>
    <row r="930" spans="1:6" ht="14.4">
      <c r="A930">
        <v>37105</v>
      </c>
      <c r="B930" t="s">
        <v>17788</v>
      </c>
      <c r="C930" t="s">
        <v>2269</v>
      </c>
      <c r="D930" t="s">
        <v>2271</v>
      </c>
      <c r="E930" s="527" t="s">
        <v>17789</v>
      </c>
      <c r="F930" s="220"/>
    </row>
    <row r="931" spans="1:6" ht="14.4">
      <c r="A931">
        <v>34641</v>
      </c>
      <c r="B931" t="s">
        <v>17790</v>
      </c>
      <c r="C931" t="s">
        <v>2269</v>
      </c>
      <c r="D931" t="s">
        <v>1857</v>
      </c>
      <c r="E931" s="527" t="s">
        <v>15135</v>
      </c>
      <c r="F931" s="219"/>
    </row>
    <row r="932" spans="1:6" ht="14.4">
      <c r="A932">
        <v>43434</v>
      </c>
      <c r="B932" t="s">
        <v>17791</v>
      </c>
      <c r="C932" t="s">
        <v>2269</v>
      </c>
      <c r="D932" t="s">
        <v>1857</v>
      </c>
      <c r="E932" s="527" t="s">
        <v>13270</v>
      </c>
      <c r="F932" s="220"/>
    </row>
    <row r="933" spans="1:6" ht="14.4">
      <c r="A933">
        <v>43435</v>
      </c>
      <c r="B933" t="s">
        <v>17792</v>
      </c>
      <c r="C933" t="s">
        <v>2269</v>
      </c>
      <c r="D933" t="s">
        <v>1857</v>
      </c>
      <c r="E933" s="527" t="s">
        <v>17793</v>
      </c>
      <c r="F933" s="219"/>
    </row>
    <row r="934" spans="1:6" ht="14.4">
      <c r="A934">
        <v>43436</v>
      </c>
      <c r="B934" t="s">
        <v>17794</v>
      </c>
      <c r="C934" t="s">
        <v>2269</v>
      </c>
      <c r="D934" t="s">
        <v>1857</v>
      </c>
      <c r="E934" s="527" t="s">
        <v>17795</v>
      </c>
      <c r="F934" s="220"/>
    </row>
    <row r="935" spans="1:6" ht="14.4">
      <c r="A935">
        <v>43437</v>
      </c>
      <c r="B935" t="s">
        <v>17796</v>
      </c>
      <c r="C935" t="s">
        <v>2269</v>
      </c>
      <c r="D935" t="s">
        <v>1857</v>
      </c>
      <c r="E935" s="527" t="s">
        <v>17797</v>
      </c>
      <c r="F935" s="219"/>
    </row>
    <row r="936" spans="1:6" ht="14.4">
      <c r="A936">
        <v>43438</v>
      </c>
      <c r="B936" t="s">
        <v>17798</v>
      </c>
      <c r="C936" t="s">
        <v>2269</v>
      </c>
      <c r="D936" t="s">
        <v>1857</v>
      </c>
      <c r="E936" s="527" t="s">
        <v>17799</v>
      </c>
      <c r="F936" s="220"/>
    </row>
    <row r="937" spans="1:6" ht="14.4">
      <c r="A937">
        <v>41627</v>
      </c>
      <c r="B937" t="s">
        <v>17800</v>
      </c>
      <c r="C937" t="s">
        <v>2269</v>
      </c>
      <c r="D937" t="s">
        <v>1857</v>
      </c>
      <c r="E937" s="527" t="s">
        <v>17801</v>
      </c>
      <c r="F937" s="219"/>
    </row>
    <row r="938" spans="1:6" ht="14.4">
      <c r="A938">
        <v>41628</v>
      </c>
      <c r="B938" t="s">
        <v>17802</v>
      </c>
      <c r="C938" t="s">
        <v>2269</v>
      </c>
      <c r="D938" t="s">
        <v>1857</v>
      </c>
      <c r="E938" s="527" t="s">
        <v>17803</v>
      </c>
      <c r="F938" s="220"/>
    </row>
    <row r="939" spans="1:6" ht="14.4">
      <c r="A939">
        <v>41629</v>
      </c>
      <c r="B939" t="s">
        <v>17804</v>
      </c>
      <c r="C939" t="s">
        <v>2269</v>
      </c>
      <c r="D939" t="s">
        <v>1857</v>
      </c>
      <c r="E939" s="527" t="s">
        <v>17805</v>
      </c>
      <c r="F939" s="219"/>
    </row>
    <row r="940" spans="1:6" ht="14.4">
      <c r="A940">
        <v>43429</v>
      </c>
      <c r="B940" t="s">
        <v>17806</v>
      </c>
      <c r="C940" t="s">
        <v>2269</v>
      </c>
      <c r="D940" t="s">
        <v>1857</v>
      </c>
      <c r="E940" s="527" t="s">
        <v>15601</v>
      </c>
      <c r="F940" s="220"/>
    </row>
    <row r="941" spans="1:6" ht="14.4">
      <c r="A941">
        <v>43430</v>
      </c>
      <c r="B941" t="s">
        <v>17807</v>
      </c>
      <c r="C941" t="s">
        <v>2269</v>
      </c>
      <c r="D941" t="s">
        <v>1857</v>
      </c>
      <c r="E941" s="527" t="s">
        <v>17808</v>
      </c>
      <c r="F941" s="219"/>
    </row>
    <row r="942" spans="1:6" ht="14.4">
      <c r="A942">
        <v>43431</v>
      </c>
      <c r="B942" t="s">
        <v>17809</v>
      </c>
      <c r="C942" t="s">
        <v>2269</v>
      </c>
      <c r="D942" t="s">
        <v>1857</v>
      </c>
      <c r="E942" s="527" t="s">
        <v>17810</v>
      </c>
      <c r="F942" s="220"/>
    </row>
    <row r="943" spans="1:6" ht="14.4">
      <c r="A943">
        <v>43432</v>
      </c>
      <c r="B943" t="s">
        <v>17811</v>
      </c>
      <c r="C943" t="s">
        <v>2269</v>
      </c>
      <c r="D943" t="s">
        <v>1857</v>
      </c>
      <c r="E943" s="527" t="s">
        <v>17812</v>
      </c>
      <c r="F943" s="219"/>
    </row>
    <row r="944" spans="1:6" ht="14.4">
      <c r="A944">
        <v>43433</v>
      </c>
      <c r="B944" t="s">
        <v>17813</v>
      </c>
      <c r="C944" t="s">
        <v>2269</v>
      </c>
      <c r="D944" t="s">
        <v>1857</v>
      </c>
      <c r="E944" s="527" t="s">
        <v>17814</v>
      </c>
      <c r="F944" s="220"/>
    </row>
    <row r="945" spans="1:6" ht="14.4">
      <c r="A945">
        <v>43094</v>
      </c>
      <c r="B945" t="s">
        <v>17815</v>
      </c>
      <c r="C945" t="s">
        <v>2269</v>
      </c>
      <c r="D945" t="s">
        <v>1857</v>
      </c>
      <c r="E945" s="527" t="s">
        <v>17816</v>
      </c>
      <c r="F945" s="219"/>
    </row>
    <row r="946" spans="1:6" ht="14.4">
      <c r="A946">
        <v>43093</v>
      </c>
      <c r="B946" t="s">
        <v>17817</v>
      </c>
      <c r="C946" t="s">
        <v>2269</v>
      </c>
      <c r="D946" t="s">
        <v>1857</v>
      </c>
      <c r="E946" s="527" t="s">
        <v>16139</v>
      </c>
      <c r="F946" s="220"/>
    </row>
    <row r="947" spans="1:6" ht="14.4">
      <c r="A947">
        <v>1030</v>
      </c>
      <c r="B947" t="s">
        <v>17818</v>
      </c>
      <c r="C947" t="s">
        <v>2269</v>
      </c>
      <c r="D947" t="s">
        <v>2268</v>
      </c>
      <c r="E947" s="527" t="s">
        <v>15144</v>
      </c>
      <c r="F947" s="219"/>
    </row>
    <row r="948" spans="1:6" ht="14.4">
      <c r="A948">
        <v>11694</v>
      </c>
      <c r="B948" t="s">
        <v>17819</v>
      </c>
      <c r="C948" t="s">
        <v>2269</v>
      </c>
      <c r="D948" t="s">
        <v>1857</v>
      </c>
      <c r="E948" s="527" t="s">
        <v>17820</v>
      </c>
      <c r="F948" s="220"/>
    </row>
    <row r="949" spans="1:6" ht="14.4">
      <c r="A949">
        <v>11881</v>
      </c>
      <c r="B949" t="s">
        <v>17821</v>
      </c>
      <c r="C949" t="s">
        <v>2269</v>
      </c>
      <c r="D949" t="s">
        <v>1857</v>
      </c>
      <c r="E949" s="527" t="s">
        <v>16950</v>
      </c>
      <c r="F949" s="219"/>
    </row>
    <row r="950" spans="1:6" ht="14.4">
      <c r="A950">
        <v>35277</v>
      </c>
      <c r="B950" t="s">
        <v>17822</v>
      </c>
      <c r="C950" t="s">
        <v>2269</v>
      </c>
      <c r="D950" t="s">
        <v>1857</v>
      </c>
      <c r="E950" s="527" t="s">
        <v>17823</v>
      </c>
      <c r="F950" s="220"/>
    </row>
    <row r="951" spans="1:6" ht="14.4">
      <c r="A951">
        <v>10521</v>
      </c>
      <c r="B951" t="s">
        <v>17824</v>
      </c>
      <c r="C951" t="s">
        <v>2269</v>
      </c>
      <c r="D951" t="s">
        <v>1857</v>
      </c>
      <c r="E951" s="527" t="s">
        <v>17825</v>
      </c>
      <c r="F951" s="219"/>
    </row>
    <row r="952" spans="1:6" ht="14.4">
      <c r="A952">
        <v>10885</v>
      </c>
      <c r="B952" t="s">
        <v>17826</v>
      </c>
      <c r="C952" t="s">
        <v>2269</v>
      </c>
      <c r="D952" t="s">
        <v>1857</v>
      </c>
      <c r="E952" s="527" t="s">
        <v>17827</v>
      </c>
      <c r="F952" s="220"/>
    </row>
    <row r="953" spans="1:6" ht="14.4">
      <c r="A953">
        <v>20962</v>
      </c>
      <c r="B953" t="s">
        <v>17828</v>
      </c>
      <c r="C953" t="s">
        <v>2269</v>
      </c>
      <c r="D953" t="s">
        <v>2268</v>
      </c>
      <c r="E953" s="527" t="s">
        <v>17829</v>
      </c>
      <c r="F953" s="219"/>
    </row>
    <row r="954" spans="1:6" ht="14.4">
      <c r="A954">
        <v>20963</v>
      </c>
      <c r="B954" t="s">
        <v>17830</v>
      </c>
      <c r="C954" t="s">
        <v>2269</v>
      </c>
      <c r="D954" t="s">
        <v>1857</v>
      </c>
      <c r="E954" s="527" t="s">
        <v>17831</v>
      </c>
      <c r="F954" s="220"/>
    </row>
    <row r="955" spans="1:6" ht="14.4">
      <c r="A955">
        <v>34643</v>
      </c>
      <c r="B955" t="s">
        <v>17832</v>
      </c>
      <c r="C955" t="s">
        <v>2269</v>
      </c>
      <c r="D955" t="s">
        <v>1857</v>
      </c>
      <c r="E955" s="527" t="s">
        <v>15459</v>
      </c>
      <c r="F955" s="219"/>
    </row>
    <row r="956" spans="1:6" ht="14.4">
      <c r="A956">
        <v>41480</v>
      </c>
      <c r="B956" t="s">
        <v>17833</v>
      </c>
      <c r="C956" t="s">
        <v>2269</v>
      </c>
      <c r="D956" t="s">
        <v>1857</v>
      </c>
      <c r="E956" s="527" t="s">
        <v>17834</v>
      </c>
      <c r="F956" s="220"/>
    </row>
    <row r="957" spans="1:6" ht="14.4">
      <c r="A957">
        <v>41474</v>
      </c>
      <c r="B957" t="s">
        <v>17835</v>
      </c>
      <c r="C957" t="s">
        <v>2269</v>
      </c>
      <c r="D957" t="s">
        <v>1857</v>
      </c>
      <c r="E957" s="527" t="s">
        <v>15582</v>
      </c>
      <c r="F957" s="219"/>
    </row>
    <row r="958" spans="1:6" ht="14.4">
      <c r="A958">
        <v>41475</v>
      </c>
      <c r="B958" t="s">
        <v>17836</v>
      </c>
      <c r="C958" t="s">
        <v>2269</v>
      </c>
      <c r="D958" t="s">
        <v>1857</v>
      </c>
      <c r="E958" s="527" t="s">
        <v>17837</v>
      </c>
      <c r="F958" s="220"/>
    </row>
    <row r="959" spans="1:6" ht="14.4">
      <c r="A959">
        <v>41476</v>
      </c>
      <c r="B959" t="s">
        <v>17838</v>
      </c>
      <c r="C959" t="s">
        <v>2269</v>
      </c>
      <c r="D959" t="s">
        <v>1857</v>
      </c>
      <c r="E959" s="527" t="s">
        <v>17839</v>
      </c>
      <c r="F959" s="219"/>
    </row>
    <row r="960" spans="1:6" ht="14.4">
      <c r="A960">
        <v>2555</v>
      </c>
      <c r="B960" t="s">
        <v>17840</v>
      </c>
      <c r="C960" t="s">
        <v>2269</v>
      </c>
      <c r="D960" t="s">
        <v>1857</v>
      </c>
      <c r="E960" s="527" t="s">
        <v>7390</v>
      </c>
      <c r="F960" s="220"/>
    </row>
    <row r="961" spans="1:6" ht="14.4">
      <c r="A961">
        <v>2556</v>
      </c>
      <c r="B961" t="s">
        <v>17841</v>
      </c>
      <c r="C961" t="s">
        <v>2269</v>
      </c>
      <c r="D961" t="s">
        <v>1857</v>
      </c>
      <c r="E961" s="527" t="s">
        <v>6026</v>
      </c>
      <c r="F961" s="219"/>
    </row>
    <row r="962" spans="1:6" ht="14.4">
      <c r="A962">
        <v>2557</v>
      </c>
      <c r="B962" t="s">
        <v>17842</v>
      </c>
      <c r="C962" t="s">
        <v>2269</v>
      </c>
      <c r="D962" t="s">
        <v>1857</v>
      </c>
      <c r="E962" s="527" t="s">
        <v>9873</v>
      </c>
      <c r="F962" s="220"/>
    </row>
    <row r="963" spans="1:6" ht="14.4">
      <c r="A963">
        <v>10569</v>
      </c>
      <c r="B963" t="s">
        <v>17843</v>
      </c>
      <c r="C963" t="s">
        <v>2269</v>
      </c>
      <c r="D963" t="s">
        <v>1857</v>
      </c>
      <c r="E963" s="527" t="s">
        <v>9873</v>
      </c>
      <c r="F963" s="219"/>
    </row>
    <row r="964" spans="1:6" ht="14.4">
      <c r="A964">
        <v>39810</v>
      </c>
      <c r="B964" t="s">
        <v>17844</v>
      </c>
      <c r="C964" t="s">
        <v>2269</v>
      </c>
      <c r="D964" t="s">
        <v>1857</v>
      </c>
      <c r="E964" s="527" t="s">
        <v>16238</v>
      </c>
      <c r="F964" s="220"/>
    </row>
    <row r="965" spans="1:6" ht="14.4">
      <c r="A965">
        <v>39811</v>
      </c>
      <c r="B965" t="s">
        <v>17845</v>
      </c>
      <c r="C965" t="s">
        <v>2269</v>
      </c>
      <c r="D965" t="s">
        <v>1857</v>
      </c>
      <c r="E965" s="527" t="s">
        <v>17846</v>
      </c>
      <c r="F965" s="219"/>
    </row>
    <row r="966" spans="1:6" ht="14.4">
      <c r="A966">
        <v>39812</v>
      </c>
      <c r="B966" t="s">
        <v>17847</v>
      </c>
      <c r="C966" t="s">
        <v>2269</v>
      </c>
      <c r="D966" t="s">
        <v>1857</v>
      </c>
      <c r="E966" s="527" t="s">
        <v>17848</v>
      </c>
      <c r="F966" s="220"/>
    </row>
    <row r="967" spans="1:6" ht="14.4">
      <c r="A967">
        <v>43096</v>
      </c>
      <c r="B967" t="s">
        <v>17849</v>
      </c>
      <c r="C967" t="s">
        <v>2269</v>
      </c>
      <c r="D967" t="s">
        <v>1857</v>
      </c>
      <c r="E967" s="527" t="s">
        <v>17850</v>
      </c>
      <c r="F967" s="219"/>
    </row>
    <row r="968" spans="1:6" ht="14.4">
      <c r="A968">
        <v>43102</v>
      </c>
      <c r="B968" t="s">
        <v>17851</v>
      </c>
      <c r="C968" t="s">
        <v>2269</v>
      </c>
      <c r="D968" t="s">
        <v>1857</v>
      </c>
      <c r="E968" s="527" t="s">
        <v>11820</v>
      </c>
      <c r="F968" s="220"/>
    </row>
    <row r="969" spans="1:6" ht="14.4">
      <c r="A969">
        <v>43103</v>
      </c>
      <c r="B969" t="s">
        <v>17852</v>
      </c>
      <c r="C969" t="s">
        <v>2269</v>
      </c>
      <c r="D969" t="s">
        <v>1857</v>
      </c>
      <c r="E969" s="527" t="s">
        <v>17853</v>
      </c>
      <c r="F969" s="219"/>
    </row>
    <row r="970" spans="1:6" ht="14.4">
      <c r="A970">
        <v>43098</v>
      </c>
      <c r="B970" t="s">
        <v>17854</v>
      </c>
      <c r="C970" t="s">
        <v>2269</v>
      </c>
      <c r="D970" t="s">
        <v>1857</v>
      </c>
      <c r="E970" s="527" t="s">
        <v>17855</v>
      </c>
      <c r="F970" s="220"/>
    </row>
    <row r="971" spans="1:6" ht="14.4">
      <c r="A971">
        <v>43097</v>
      </c>
      <c r="B971" t="s">
        <v>17856</v>
      </c>
      <c r="C971" t="s">
        <v>2269</v>
      </c>
      <c r="D971" t="s">
        <v>1857</v>
      </c>
      <c r="E971" s="527" t="s">
        <v>17857</v>
      </c>
      <c r="F971" s="219"/>
    </row>
    <row r="972" spans="1:6" ht="14.4">
      <c r="A972">
        <v>43104</v>
      </c>
      <c r="B972" t="s">
        <v>17858</v>
      </c>
      <c r="C972" t="s">
        <v>2269</v>
      </c>
      <c r="D972" t="s">
        <v>1857</v>
      </c>
      <c r="E972" s="527" t="s">
        <v>17859</v>
      </c>
      <c r="F972" s="220"/>
    </row>
    <row r="973" spans="1:6" ht="14.4">
      <c r="A973">
        <v>39771</v>
      </c>
      <c r="B973" t="s">
        <v>17860</v>
      </c>
      <c r="C973" t="s">
        <v>2269</v>
      </c>
      <c r="D973" t="s">
        <v>1857</v>
      </c>
      <c r="E973" s="527" t="s">
        <v>17861</v>
      </c>
      <c r="F973" s="219"/>
    </row>
    <row r="974" spans="1:6" ht="14.4">
      <c r="A974">
        <v>39772</v>
      </c>
      <c r="B974" t="s">
        <v>17862</v>
      </c>
      <c r="C974" t="s">
        <v>2269</v>
      </c>
      <c r="D974" t="s">
        <v>1857</v>
      </c>
      <c r="E974" s="527" t="s">
        <v>17863</v>
      </c>
      <c r="F974" s="220"/>
    </row>
    <row r="975" spans="1:6" ht="14.4">
      <c r="A975">
        <v>39773</v>
      </c>
      <c r="B975" t="s">
        <v>17864</v>
      </c>
      <c r="C975" t="s">
        <v>2269</v>
      </c>
      <c r="D975" t="s">
        <v>1857</v>
      </c>
      <c r="E975" s="527" t="s">
        <v>17865</v>
      </c>
      <c r="F975" s="219"/>
    </row>
    <row r="976" spans="1:6" ht="14.4">
      <c r="A976">
        <v>39774</v>
      </c>
      <c r="B976" t="s">
        <v>17866</v>
      </c>
      <c r="C976" t="s">
        <v>2269</v>
      </c>
      <c r="D976" t="s">
        <v>1857</v>
      </c>
      <c r="E976" s="527" t="s">
        <v>17867</v>
      </c>
      <c r="F976" s="220"/>
    </row>
    <row r="977" spans="1:6" ht="14.4">
      <c r="A977">
        <v>39775</v>
      </c>
      <c r="B977" t="s">
        <v>17868</v>
      </c>
      <c r="C977" t="s">
        <v>2269</v>
      </c>
      <c r="D977" t="s">
        <v>1857</v>
      </c>
      <c r="E977" s="527" t="s">
        <v>17869</v>
      </c>
      <c r="F977" s="219"/>
    </row>
    <row r="978" spans="1:6" ht="14.4">
      <c r="A978">
        <v>39776</v>
      </c>
      <c r="B978" t="s">
        <v>17870</v>
      </c>
      <c r="C978" t="s">
        <v>2269</v>
      </c>
      <c r="D978" t="s">
        <v>1857</v>
      </c>
      <c r="E978" s="527" t="s">
        <v>17871</v>
      </c>
      <c r="F978" s="220"/>
    </row>
    <row r="979" spans="1:6" ht="14.4">
      <c r="A979">
        <v>39777</v>
      </c>
      <c r="B979" t="s">
        <v>17872</v>
      </c>
      <c r="C979" t="s">
        <v>2269</v>
      </c>
      <c r="D979" t="s">
        <v>1857</v>
      </c>
      <c r="E979" s="527" t="s">
        <v>17873</v>
      </c>
      <c r="F979" s="219"/>
    </row>
    <row r="980" spans="1:6" ht="14.4">
      <c r="A980">
        <v>20254</v>
      </c>
      <c r="B980" t="s">
        <v>17874</v>
      </c>
      <c r="C980" t="s">
        <v>2269</v>
      </c>
      <c r="D980" t="s">
        <v>1857</v>
      </c>
      <c r="E980" s="527" t="s">
        <v>10954</v>
      </c>
      <c r="F980" s="220"/>
    </row>
    <row r="981" spans="1:6" ht="14.4">
      <c r="A981">
        <v>20253</v>
      </c>
      <c r="B981" t="s">
        <v>17875</v>
      </c>
      <c r="C981" t="s">
        <v>2269</v>
      </c>
      <c r="D981" t="s">
        <v>1857</v>
      </c>
      <c r="E981" s="527" t="s">
        <v>17876</v>
      </c>
      <c r="F981" s="219"/>
    </row>
    <row r="982" spans="1:6" ht="14.4">
      <c r="A982">
        <v>11247</v>
      </c>
      <c r="B982" t="s">
        <v>17877</v>
      </c>
      <c r="C982" t="s">
        <v>2269</v>
      </c>
      <c r="D982" t="s">
        <v>1857</v>
      </c>
      <c r="E982" s="527" t="s">
        <v>17878</v>
      </c>
      <c r="F982" s="220"/>
    </row>
    <row r="983" spans="1:6" ht="14.4">
      <c r="A983">
        <v>11250</v>
      </c>
      <c r="B983" t="s">
        <v>17879</v>
      </c>
      <c r="C983" t="s">
        <v>2269</v>
      </c>
      <c r="D983" t="s">
        <v>1857</v>
      </c>
      <c r="E983" s="527" t="s">
        <v>17880</v>
      </c>
      <c r="F983" s="219"/>
    </row>
    <row r="984" spans="1:6" ht="14.4">
      <c r="A984">
        <v>11249</v>
      </c>
      <c r="B984" t="s">
        <v>17881</v>
      </c>
      <c r="C984" t="s">
        <v>2269</v>
      </c>
      <c r="D984" t="s">
        <v>1857</v>
      </c>
      <c r="E984" s="527" t="s">
        <v>17882</v>
      </c>
      <c r="F984" s="220"/>
    </row>
    <row r="985" spans="1:6" ht="14.4">
      <c r="A985">
        <v>11251</v>
      </c>
      <c r="B985" t="s">
        <v>17883</v>
      </c>
      <c r="C985" t="s">
        <v>2269</v>
      </c>
      <c r="D985" t="s">
        <v>1857</v>
      </c>
      <c r="E985" s="527" t="s">
        <v>17884</v>
      </c>
      <c r="F985" s="219"/>
    </row>
    <row r="986" spans="1:6" ht="14.4">
      <c r="A986">
        <v>11253</v>
      </c>
      <c r="B986" t="s">
        <v>17885</v>
      </c>
      <c r="C986" t="s">
        <v>2269</v>
      </c>
      <c r="D986" t="s">
        <v>1857</v>
      </c>
      <c r="E986" s="527" t="s">
        <v>17886</v>
      </c>
      <c r="F986" s="220"/>
    </row>
    <row r="987" spans="1:6" ht="14.4">
      <c r="A987">
        <v>11255</v>
      </c>
      <c r="B987" t="s">
        <v>17887</v>
      </c>
      <c r="C987" t="s">
        <v>2269</v>
      </c>
      <c r="D987" t="s">
        <v>1857</v>
      </c>
      <c r="E987" s="527" t="s">
        <v>17888</v>
      </c>
      <c r="F987" s="219"/>
    </row>
    <row r="988" spans="1:6" ht="14.4">
      <c r="A988">
        <v>14055</v>
      </c>
      <c r="B988" t="s">
        <v>17889</v>
      </c>
      <c r="C988" t="s">
        <v>2269</v>
      </c>
      <c r="D988" t="s">
        <v>1857</v>
      </c>
      <c r="E988" s="527" t="s">
        <v>17890</v>
      </c>
      <c r="F988" s="220"/>
    </row>
    <row r="989" spans="1:6" ht="14.4">
      <c r="A989">
        <v>11256</v>
      </c>
      <c r="B989" t="s">
        <v>17891</v>
      </c>
      <c r="C989" t="s">
        <v>2269</v>
      </c>
      <c r="D989" t="s">
        <v>1857</v>
      </c>
      <c r="E989" s="527" t="s">
        <v>17892</v>
      </c>
      <c r="F989" s="219"/>
    </row>
    <row r="990" spans="1:6" ht="14.4">
      <c r="A990">
        <v>1872</v>
      </c>
      <c r="B990" t="s">
        <v>17893</v>
      </c>
      <c r="C990" t="s">
        <v>2269</v>
      </c>
      <c r="D990" t="s">
        <v>1857</v>
      </c>
      <c r="E990" s="527" t="s">
        <v>3336</v>
      </c>
      <c r="F990" s="220"/>
    </row>
    <row r="991" spans="1:6" ht="14.4">
      <c r="A991">
        <v>1873</v>
      </c>
      <c r="B991" t="s">
        <v>17894</v>
      </c>
      <c r="C991" t="s">
        <v>2269</v>
      </c>
      <c r="D991" t="s">
        <v>1857</v>
      </c>
      <c r="E991" s="527" t="s">
        <v>4549</v>
      </c>
      <c r="F991" s="219"/>
    </row>
    <row r="992" spans="1:6" ht="14.4">
      <c r="A992">
        <v>39693</v>
      </c>
      <c r="B992" t="s">
        <v>17895</v>
      </c>
      <c r="C992" t="s">
        <v>2269</v>
      </c>
      <c r="D992" t="s">
        <v>1857</v>
      </c>
      <c r="E992" s="527" t="s">
        <v>17896</v>
      </c>
      <c r="F992" s="220"/>
    </row>
    <row r="993" spans="1:6" ht="14.4">
      <c r="A993">
        <v>39692</v>
      </c>
      <c r="B993" t="s">
        <v>17897</v>
      </c>
      <c r="C993" t="s">
        <v>2269</v>
      </c>
      <c r="D993" t="s">
        <v>1857</v>
      </c>
      <c r="E993" s="527" t="s">
        <v>17898</v>
      </c>
      <c r="F993" s="219"/>
    </row>
    <row r="994" spans="1:6" ht="14.4">
      <c r="A994">
        <v>1062</v>
      </c>
      <c r="B994" t="s">
        <v>17899</v>
      </c>
      <c r="C994" t="s">
        <v>2269</v>
      </c>
      <c r="D994" t="s">
        <v>1857</v>
      </c>
      <c r="E994" s="527" t="s">
        <v>17900</v>
      </c>
      <c r="F994" s="220"/>
    </row>
    <row r="995" spans="1:6" ht="14.4">
      <c r="A995">
        <v>39686</v>
      </c>
      <c r="B995" t="s">
        <v>17901</v>
      </c>
      <c r="C995" t="s">
        <v>2269</v>
      </c>
      <c r="D995" t="s">
        <v>1857</v>
      </c>
      <c r="E995" s="527" t="s">
        <v>17902</v>
      </c>
      <c r="F995" s="219"/>
    </row>
    <row r="996" spans="1:6" ht="14.4">
      <c r="A996">
        <v>43095</v>
      </c>
      <c r="B996" t="s">
        <v>17903</v>
      </c>
      <c r="C996" t="s">
        <v>2269</v>
      </c>
      <c r="D996" t="s">
        <v>1857</v>
      </c>
      <c r="E996" s="527" t="s">
        <v>11819</v>
      </c>
      <c r="F996" s="220"/>
    </row>
    <row r="997" spans="1:6" ht="14.4">
      <c r="A997">
        <v>1871</v>
      </c>
      <c r="B997" t="s">
        <v>17904</v>
      </c>
      <c r="C997" t="s">
        <v>2269</v>
      </c>
      <c r="D997" t="s">
        <v>1857</v>
      </c>
      <c r="E997" s="527" t="s">
        <v>5472</v>
      </c>
      <c r="F997" s="219"/>
    </row>
    <row r="998" spans="1:6" ht="14.4">
      <c r="A998">
        <v>12001</v>
      </c>
      <c r="B998" t="s">
        <v>17905</v>
      </c>
      <c r="C998" t="s">
        <v>2269</v>
      </c>
      <c r="D998" t="s">
        <v>1857</v>
      </c>
      <c r="E998" s="527" t="s">
        <v>4058</v>
      </c>
      <c r="F998" s="220"/>
    </row>
    <row r="999" spans="1:6" ht="14.4">
      <c r="A999">
        <v>11882</v>
      </c>
      <c r="B999" t="s">
        <v>17906</v>
      </c>
      <c r="C999" t="s">
        <v>2269</v>
      </c>
      <c r="D999" t="s">
        <v>1857</v>
      </c>
      <c r="E999" s="527" t="s">
        <v>17907</v>
      </c>
      <c r="F999" s="219"/>
    </row>
    <row r="1000" spans="1:6" ht="14.4">
      <c r="A1000">
        <v>1068</v>
      </c>
      <c r="B1000" t="s">
        <v>17908</v>
      </c>
      <c r="C1000" t="s">
        <v>2269</v>
      </c>
      <c r="D1000" t="s">
        <v>1857</v>
      </c>
      <c r="E1000" s="527" t="s">
        <v>17909</v>
      </c>
      <c r="F1000" s="220"/>
    </row>
    <row r="1001" spans="1:6" ht="14.4">
      <c r="A1001">
        <v>39690</v>
      </c>
      <c r="B1001" t="s">
        <v>17910</v>
      </c>
      <c r="C1001" t="s">
        <v>2269</v>
      </c>
      <c r="D1001" t="s">
        <v>1857</v>
      </c>
      <c r="E1001" s="527" t="s">
        <v>17911</v>
      </c>
      <c r="F1001" s="219"/>
    </row>
    <row r="1002" spans="1:6" ht="14.4">
      <c r="A1002">
        <v>39691</v>
      </c>
      <c r="B1002" t="s">
        <v>17912</v>
      </c>
      <c r="C1002" t="s">
        <v>2269</v>
      </c>
      <c r="D1002" t="s">
        <v>1857</v>
      </c>
      <c r="E1002" s="527" t="s">
        <v>17913</v>
      </c>
      <c r="F1002" s="220"/>
    </row>
    <row r="1003" spans="1:6" ht="14.4">
      <c r="A1003">
        <v>39808</v>
      </c>
      <c r="B1003" t="s">
        <v>17914</v>
      </c>
      <c r="C1003" t="s">
        <v>2269</v>
      </c>
      <c r="D1003" t="s">
        <v>1857</v>
      </c>
      <c r="E1003" s="527" t="s">
        <v>17915</v>
      </c>
      <c r="F1003" s="219"/>
    </row>
    <row r="1004" spans="1:6" ht="14.4">
      <c r="A1004">
        <v>39809</v>
      </c>
      <c r="B1004" t="s">
        <v>17916</v>
      </c>
      <c r="C1004" t="s">
        <v>2269</v>
      </c>
      <c r="D1004" t="s">
        <v>1857</v>
      </c>
      <c r="E1004" s="527" t="s">
        <v>17917</v>
      </c>
      <c r="F1004" s="220"/>
    </row>
    <row r="1005" spans="1:6" ht="14.4">
      <c r="A1005">
        <v>43439</v>
      </c>
      <c r="B1005" t="s">
        <v>17918</v>
      </c>
      <c r="C1005" t="s">
        <v>2269</v>
      </c>
      <c r="D1005" t="s">
        <v>1857</v>
      </c>
      <c r="E1005" s="527" t="s">
        <v>17919</v>
      </c>
      <c r="F1005" s="219"/>
    </row>
    <row r="1006" spans="1:6" ht="14.4">
      <c r="A1006">
        <v>5103</v>
      </c>
      <c r="B1006" t="s">
        <v>17920</v>
      </c>
      <c r="C1006" t="s">
        <v>2269</v>
      </c>
      <c r="D1006" t="s">
        <v>1857</v>
      </c>
      <c r="E1006" s="527" t="s">
        <v>16220</v>
      </c>
      <c r="F1006" s="220"/>
    </row>
    <row r="1007" spans="1:6" ht="14.4">
      <c r="A1007">
        <v>11880</v>
      </c>
      <c r="B1007" t="s">
        <v>17921</v>
      </c>
      <c r="C1007" t="s">
        <v>2269</v>
      </c>
      <c r="D1007" t="s">
        <v>1857</v>
      </c>
      <c r="E1007" s="527" t="s">
        <v>17922</v>
      </c>
      <c r="F1007" s="219"/>
    </row>
    <row r="1008" spans="1:6" ht="14.4">
      <c r="A1008">
        <v>11714</v>
      </c>
      <c r="B1008" t="s">
        <v>17923</v>
      </c>
      <c r="C1008" t="s">
        <v>2269</v>
      </c>
      <c r="D1008" t="s">
        <v>1857</v>
      </c>
      <c r="E1008" s="527" t="s">
        <v>16570</v>
      </c>
      <c r="F1008" s="220"/>
    </row>
    <row r="1009" spans="1:6" ht="14.4">
      <c r="A1009">
        <v>11712</v>
      </c>
      <c r="B1009" t="s">
        <v>17924</v>
      </c>
      <c r="C1009" t="s">
        <v>2269</v>
      </c>
      <c r="D1009" t="s">
        <v>2268</v>
      </c>
      <c r="E1009" s="527" t="s">
        <v>17925</v>
      </c>
      <c r="F1009" s="219"/>
    </row>
    <row r="1010" spans="1:6" ht="14.4">
      <c r="A1010">
        <v>11717</v>
      </c>
      <c r="B1010" t="s">
        <v>17926</v>
      </c>
      <c r="C1010" t="s">
        <v>2269</v>
      </c>
      <c r="D1010" t="s">
        <v>1857</v>
      </c>
      <c r="E1010" s="527" t="s">
        <v>16573</v>
      </c>
      <c r="F1010" s="220"/>
    </row>
    <row r="1011" spans="1:6" ht="14.4">
      <c r="A1011">
        <v>1106</v>
      </c>
      <c r="B1011" t="s">
        <v>17927</v>
      </c>
      <c r="C1011" t="s">
        <v>2274</v>
      </c>
      <c r="D1011" t="s">
        <v>2268</v>
      </c>
      <c r="E1011" s="527" t="s">
        <v>3976</v>
      </c>
      <c r="F1011" s="219"/>
    </row>
    <row r="1012" spans="1:6" ht="14.4">
      <c r="A1012">
        <v>11161</v>
      </c>
      <c r="B1012" t="s">
        <v>17928</v>
      </c>
      <c r="C1012" t="s">
        <v>2274</v>
      </c>
      <c r="D1012" t="s">
        <v>1857</v>
      </c>
      <c r="E1012" s="527" t="s">
        <v>7246</v>
      </c>
      <c r="F1012" s="220"/>
    </row>
    <row r="1013" spans="1:6" ht="14.4">
      <c r="A1013">
        <v>1107</v>
      </c>
      <c r="B1013" t="s">
        <v>17929</v>
      </c>
      <c r="C1013" t="s">
        <v>2274</v>
      </c>
      <c r="D1013" t="s">
        <v>1857</v>
      </c>
      <c r="E1013" s="527" t="s">
        <v>3520</v>
      </c>
      <c r="F1013" s="219"/>
    </row>
    <row r="1014" spans="1:6" ht="14.4">
      <c r="A1014">
        <v>25963</v>
      </c>
      <c r="B1014" t="s">
        <v>17930</v>
      </c>
      <c r="C1014" t="s">
        <v>2274</v>
      </c>
      <c r="D1014" t="s">
        <v>1857</v>
      </c>
      <c r="E1014" s="527" t="s">
        <v>3564</v>
      </c>
      <c r="F1014" s="220"/>
    </row>
    <row r="1015" spans="1:6" ht="14.4">
      <c r="A1015">
        <v>4759</v>
      </c>
      <c r="B1015" t="s">
        <v>17931</v>
      </c>
      <c r="C1015" t="s">
        <v>2267</v>
      </c>
      <c r="D1015" t="s">
        <v>1857</v>
      </c>
      <c r="E1015" s="527" t="s">
        <v>16175</v>
      </c>
      <c r="F1015" s="219"/>
    </row>
    <row r="1016" spans="1:6" ht="14.4">
      <c r="A1016">
        <v>41068</v>
      </c>
      <c r="B1016" t="s">
        <v>17932</v>
      </c>
      <c r="C1016" t="s">
        <v>2276</v>
      </c>
      <c r="D1016" t="s">
        <v>1857</v>
      </c>
      <c r="E1016" s="527" t="s">
        <v>17933</v>
      </c>
      <c r="F1016" s="220"/>
    </row>
    <row r="1017" spans="1:6" ht="14.4">
      <c r="A1017">
        <v>1108</v>
      </c>
      <c r="B1017" t="s">
        <v>17934</v>
      </c>
      <c r="C1017" t="s">
        <v>2273</v>
      </c>
      <c r="D1017" t="s">
        <v>1857</v>
      </c>
      <c r="E1017" s="527" t="s">
        <v>10729</v>
      </c>
      <c r="F1017" s="219"/>
    </row>
    <row r="1018" spans="1:6" ht="14.4">
      <c r="A1018">
        <v>1117</v>
      </c>
      <c r="B1018" t="s">
        <v>17935</v>
      </c>
      <c r="C1018" t="s">
        <v>2273</v>
      </c>
      <c r="D1018" t="s">
        <v>1857</v>
      </c>
      <c r="E1018" s="527" t="s">
        <v>11815</v>
      </c>
      <c r="F1018" s="220"/>
    </row>
    <row r="1019" spans="1:6" ht="14.4">
      <c r="A1019">
        <v>1118</v>
      </c>
      <c r="B1019" t="s">
        <v>17936</v>
      </c>
      <c r="C1019" t="s">
        <v>2273</v>
      </c>
      <c r="D1019" t="s">
        <v>1857</v>
      </c>
      <c r="E1019" s="527" t="s">
        <v>17937</v>
      </c>
      <c r="F1019" s="219"/>
    </row>
    <row r="1020" spans="1:6" ht="14.4">
      <c r="A1020">
        <v>1110</v>
      </c>
      <c r="B1020" t="s">
        <v>17938</v>
      </c>
      <c r="C1020" t="s">
        <v>2273</v>
      </c>
      <c r="D1020" t="s">
        <v>1857</v>
      </c>
      <c r="E1020" s="527" t="s">
        <v>17937</v>
      </c>
      <c r="F1020" s="220"/>
    </row>
    <row r="1021" spans="1:6" ht="14.4">
      <c r="A1021">
        <v>12618</v>
      </c>
      <c r="B1021" t="s">
        <v>17939</v>
      </c>
      <c r="C1021" t="s">
        <v>2269</v>
      </c>
      <c r="D1021" t="s">
        <v>2271</v>
      </c>
      <c r="E1021" s="527" t="s">
        <v>12958</v>
      </c>
      <c r="F1021" s="219"/>
    </row>
    <row r="1022" spans="1:6" ht="14.4">
      <c r="A1022">
        <v>40784</v>
      </c>
      <c r="B1022" t="s">
        <v>17940</v>
      </c>
      <c r="C1022" t="s">
        <v>2273</v>
      </c>
      <c r="D1022" t="s">
        <v>1857</v>
      </c>
      <c r="E1022" s="527" t="s">
        <v>17941</v>
      </c>
      <c r="F1022" s="220"/>
    </row>
    <row r="1023" spans="1:6" ht="14.4">
      <c r="A1023">
        <v>40782</v>
      </c>
      <c r="B1023" t="s">
        <v>17942</v>
      </c>
      <c r="C1023" t="s">
        <v>2273</v>
      </c>
      <c r="D1023" t="s">
        <v>1857</v>
      </c>
      <c r="E1023" s="527" t="s">
        <v>16456</v>
      </c>
      <c r="F1023" s="219"/>
    </row>
    <row r="1024" spans="1:6" ht="14.4">
      <c r="A1024">
        <v>40783</v>
      </c>
      <c r="B1024" t="s">
        <v>17943</v>
      </c>
      <c r="C1024" t="s">
        <v>2273</v>
      </c>
      <c r="D1024" t="s">
        <v>1857</v>
      </c>
      <c r="E1024" s="527" t="s">
        <v>17944</v>
      </c>
      <c r="F1024" s="220"/>
    </row>
    <row r="1025" spans="1:6" ht="14.4">
      <c r="A1025">
        <v>1109</v>
      </c>
      <c r="B1025" t="s">
        <v>17945</v>
      </c>
      <c r="C1025" t="s">
        <v>2273</v>
      </c>
      <c r="D1025" t="s">
        <v>1857</v>
      </c>
      <c r="E1025" s="527" t="s">
        <v>10729</v>
      </c>
      <c r="F1025" s="219"/>
    </row>
    <row r="1026" spans="1:6" ht="14.4">
      <c r="A1026">
        <v>1119</v>
      </c>
      <c r="B1026" t="s">
        <v>17946</v>
      </c>
      <c r="C1026" t="s">
        <v>2273</v>
      </c>
      <c r="D1026" t="s">
        <v>1857</v>
      </c>
      <c r="E1026" s="527" t="s">
        <v>11809</v>
      </c>
      <c r="F1026" s="220"/>
    </row>
    <row r="1027" spans="1:6" ht="14.4">
      <c r="A1027">
        <v>13115</v>
      </c>
      <c r="B1027" t="s">
        <v>17947</v>
      </c>
      <c r="C1027" t="s">
        <v>2273</v>
      </c>
      <c r="D1027" t="s">
        <v>2271</v>
      </c>
      <c r="E1027" s="527" t="s">
        <v>16173</v>
      </c>
      <c r="F1027" s="219"/>
    </row>
    <row r="1028" spans="1:6" ht="14.4">
      <c r="A1028">
        <v>10541</v>
      </c>
      <c r="B1028" t="s">
        <v>17948</v>
      </c>
      <c r="C1028" t="s">
        <v>2273</v>
      </c>
      <c r="D1028" t="s">
        <v>2271</v>
      </c>
      <c r="E1028" s="527" t="s">
        <v>10249</v>
      </c>
      <c r="F1028" s="220"/>
    </row>
    <row r="1029" spans="1:6" ht="14.4">
      <c r="A1029">
        <v>10542</v>
      </c>
      <c r="B1029" t="s">
        <v>17949</v>
      </c>
      <c r="C1029" t="s">
        <v>2273</v>
      </c>
      <c r="D1029" t="s">
        <v>2271</v>
      </c>
      <c r="E1029" s="527" t="s">
        <v>15628</v>
      </c>
      <c r="F1029" s="219"/>
    </row>
    <row r="1030" spans="1:6" ht="14.4">
      <c r="A1030">
        <v>10543</v>
      </c>
      <c r="B1030" t="s">
        <v>17950</v>
      </c>
      <c r="C1030" t="s">
        <v>2273</v>
      </c>
      <c r="D1030" t="s">
        <v>2271</v>
      </c>
      <c r="E1030" s="527" t="s">
        <v>17951</v>
      </c>
      <c r="F1030" s="220"/>
    </row>
    <row r="1031" spans="1:6" ht="14.4">
      <c r="A1031">
        <v>10544</v>
      </c>
      <c r="B1031" t="s">
        <v>17952</v>
      </c>
      <c r="C1031" t="s">
        <v>2273</v>
      </c>
      <c r="D1031" t="s">
        <v>2271</v>
      </c>
      <c r="E1031" s="527" t="s">
        <v>17953</v>
      </c>
      <c r="F1031" s="219"/>
    </row>
    <row r="1032" spans="1:6" ht="14.4">
      <c r="A1032">
        <v>10545</v>
      </c>
      <c r="B1032" t="s">
        <v>17954</v>
      </c>
      <c r="C1032" t="s">
        <v>2273</v>
      </c>
      <c r="D1032" t="s">
        <v>2271</v>
      </c>
      <c r="E1032" s="527" t="s">
        <v>17955</v>
      </c>
      <c r="F1032" s="220"/>
    </row>
    <row r="1033" spans="1:6" ht="14.4">
      <c r="A1033">
        <v>38365</v>
      </c>
      <c r="B1033" t="s">
        <v>17956</v>
      </c>
      <c r="C1033" t="s">
        <v>2270</v>
      </c>
      <c r="D1033" t="s">
        <v>1857</v>
      </c>
      <c r="E1033" s="527" t="s">
        <v>10407</v>
      </c>
      <c r="F1033" s="219"/>
    </row>
    <row r="1034" spans="1:6" ht="14.4">
      <c r="A1034">
        <v>37745</v>
      </c>
      <c r="B1034" t="s">
        <v>17957</v>
      </c>
      <c r="C1034" t="s">
        <v>2269</v>
      </c>
      <c r="D1034" t="s">
        <v>2271</v>
      </c>
      <c r="E1034" s="527" t="s">
        <v>17958</v>
      </c>
      <c r="F1034" s="220"/>
    </row>
    <row r="1035" spans="1:6" ht="14.4">
      <c r="A1035">
        <v>37754</v>
      </c>
      <c r="B1035" t="s">
        <v>17959</v>
      </c>
      <c r="C1035" t="s">
        <v>2269</v>
      </c>
      <c r="D1035" t="s">
        <v>2271</v>
      </c>
      <c r="E1035" s="527" t="s">
        <v>17960</v>
      </c>
      <c r="F1035" s="219"/>
    </row>
    <row r="1036" spans="1:6" ht="14.4">
      <c r="A1036">
        <v>37748</v>
      </c>
      <c r="B1036" t="s">
        <v>17961</v>
      </c>
      <c r="C1036" t="s">
        <v>2269</v>
      </c>
      <c r="D1036" t="s">
        <v>2271</v>
      </c>
      <c r="E1036" s="527" t="s">
        <v>17962</v>
      </c>
      <c r="F1036" s="220"/>
    </row>
    <row r="1037" spans="1:6" ht="14.4">
      <c r="A1037">
        <v>37761</v>
      </c>
      <c r="B1037" t="s">
        <v>17963</v>
      </c>
      <c r="C1037" t="s">
        <v>2269</v>
      </c>
      <c r="D1037" t="s">
        <v>2271</v>
      </c>
      <c r="E1037" s="527" t="s">
        <v>17964</v>
      </c>
      <c r="F1037" s="219"/>
    </row>
    <row r="1038" spans="1:6" ht="14.4">
      <c r="A1038">
        <v>37757</v>
      </c>
      <c r="B1038" t="s">
        <v>17965</v>
      </c>
      <c r="C1038" t="s">
        <v>2269</v>
      </c>
      <c r="D1038" t="s">
        <v>2271</v>
      </c>
      <c r="E1038" s="527" t="s">
        <v>17966</v>
      </c>
      <c r="F1038" s="220"/>
    </row>
    <row r="1039" spans="1:6" ht="14.4">
      <c r="A1039">
        <v>37759</v>
      </c>
      <c r="B1039" t="s">
        <v>17967</v>
      </c>
      <c r="C1039" t="s">
        <v>2269</v>
      </c>
      <c r="D1039" t="s">
        <v>2271</v>
      </c>
      <c r="E1039" s="527" t="s">
        <v>17968</v>
      </c>
      <c r="F1039" s="219"/>
    </row>
    <row r="1040" spans="1:6" ht="14.4">
      <c r="A1040">
        <v>37766</v>
      </c>
      <c r="B1040" t="s">
        <v>17969</v>
      </c>
      <c r="C1040" t="s">
        <v>2269</v>
      </c>
      <c r="D1040" t="s">
        <v>2271</v>
      </c>
      <c r="E1040" s="527" t="s">
        <v>17970</v>
      </c>
      <c r="F1040" s="220"/>
    </row>
    <row r="1041" spans="1:6" ht="14.4">
      <c r="A1041">
        <v>37752</v>
      </c>
      <c r="B1041" t="s">
        <v>17971</v>
      </c>
      <c r="C1041" t="s">
        <v>2269</v>
      </c>
      <c r="D1041" t="s">
        <v>2271</v>
      </c>
      <c r="E1041" s="527" t="s">
        <v>17972</v>
      </c>
      <c r="F1041" s="219"/>
    </row>
    <row r="1042" spans="1:6" ht="14.4">
      <c r="A1042">
        <v>37760</v>
      </c>
      <c r="B1042" t="s">
        <v>17973</v>
      </c>
      <c r="C1042" t="s">
        <v>2269</v>
      </c>
      <c r="D1042" t="s">
        <v>2271</v>
      </c>
      <c r="E1042" s="527" t="s">
        <v>17974</v>
      </c>
      <c r="F1042" s="220"/>
    </row>
    <row r="1043" spans="1:6" ht="14.4">
      <c r="A1043">
        <v>37765</v>
      </c>
      <c r="B1043" t="s">
        <v>17975</v>
      </c>
      <c r="C1043" t="s">
        <v>2269</v>
      </c>
      <c r="D1043" t="s">
        <v>2271</v>
      </c>
      <c r="E1043" s="527" t="s">
        <v>17976</v>
      </c>
      <c r="F1043" s="219"/>
    </row>
    <row r="1044" spans="1:6" ht="14.4">
      <c r="A1044">
        <v>37746</v>
      </c>
      <c r="B1044" t="s">
        <v>17977</v>
      </c>
      <c r="C1044" t="s">
        <v>2269</v>
      </c>
      <c r="D1044" t="s">
        <v>2271</v>
      </c>
      <c r="E1044" s="527" t="s">
        <v>17978</v>
      </c>
      <c r="F1044" s="220"/>
    </row>
    <row r="1045" spans="1:6" ht="14.4">
      <c r="A1045">
        <v>37750</v>
      </c>
      <c r="B1045" t="s">
        <v>17979</v>
      </c>
      <c r="C1045" t="s">
        <v>2269</v>
      </c>
      <c r="D1045" t="s">
        <v>2271</v>
      </c>
      <c r="E1045" s="527" t="s">
        <v>17980</v>
      </c>
      <c r="F1045" s="219"/>
    </row>
    <row r="1046" spans="1:6" ht="14.4">
      <c r="A1046">
        <v>37753</v>
      </c>
      <c r="B1046" t="s">
        <v>17981</v>
      </c>
      <c r="C1046" t="s">
        <v>2269</v>
      </c>
      <c r="D1046" t="s">
        <v>2271</v>
      </c>
      <c r="E1046" s="527" t="s">
        <v>17982</v>
      </c>
      <c r="F1046" s="220"/>
    </row>
    <row r="1047" spans="1:6" ht="14.4">
      <c r="A1047">
        <v>37756</v>
      </c>
      <c r="B1047" t="s">
        <v>17983</v>
      </c>
      <c r="C1047" t="s">
        <v>2269</v>
      </c>
      <c r="D1047" t="s">
        <v>2271</v>
      </c>
      <c r="E1047" s="527" t="s">
        <v>17964</v>
      </c>
      <c r="F1047" s="219"/>
    </row>
    <row r="1048" spans="1:6" ht="14.4">
      <c r="A1048">
        <v>37755</v>
      </c>
      <c r="B1048" t="s">
        <v>17984</v>
      </c>
      <c r="C1048" t="s">
        <v>2269</v>
      </c>
      <c r="D1048" t="s">
        <v>2271</v>
      </c>
      <c r="E1048" s="527" t="s">
        <v>17985</v>
      </c>
      <c r="F1048" s="220"/>
    </row>
    <row r="1049" spans="1:6" ht="14.4">
      <c r="A1049">
        <v>37758</v>
      </c>
      <c r="B1049" t="s">
        <v>17986</v>
      </c>
      <c r="C1049" t="s">
        <v>2269</v>
      </c>
      <c r="D1049" t="s">
        <v>2271</v>
      </c>
      <c r="E1049" s="527" t="s">
        <v>17987</v>
      </c>
      <c r="F1049" s="219"/>
    </row>
    <row r="1050" spans="1:6" ht="14.4">
      <c r="A1050">
        <v>37747</v>
      </c>
      <c r="B1050" t="s">
        <v>17988</v>
      </c>
      <c r="C1050" t="s">
        <v>2269</v>
      </c>
      <c r="D1050" t="s">
        <v>2271</v>
      </c>
      <c r="E1050" s="527" t="s">
        <v>17989</v>
      </c>
      <c r="F1050" s="220"/>
    </row>
    <row r="1051" spans="1:6" ht="14.4">
      <c r="A1051">
        <v>37767</v>
      </c>
      <c r="B1051" t="s">
        <v>17990</v>
      </c>
      <c r="C1051" t="s">
        <v>2269</v>
      </c>
      <c r="D1051" t="s">
        <v>2271</v>
      </c>
      <c r="E1051" s="527" t="s">
        <v>17991</v>
      </c>
      <c r="F1051" s="219"/>
    </row>
    <row r="1052" spans="1:6" ht="14.4">
      <c r="A1052">
        <v>37751</v>
      </c>
      <c r="B1052" t="s">
        <v>17992</v>
      </c>
      <c r="C1052" t="s">
        <v>2269</v>
      </c>
      <c r="D1052" t="s">
        <v>2271</v>
      </c>
      <c r="E1052" s="527" t="s">
        <v>17991</v>
      </c>
      <c r="F1052" s="220"/>
    </row>
    <row r="1053" spans="1:6" ht="14.4">
      <c r="A1053">
        <v>37749</v>
      </c>
      <c r="B1053" t="s">
        <v>17993</v>
      </c>
      <c r="C1053" t="s">
        <v>2269</v>
      </c>
      <c r="D1053" t="s">
        <v>2271</v>
      </c>
      <c r="E1053" s="527" t="s">
        <v>17994</v>
      </c>
      <c r="F1053" s="219"/>
    </row>
    <row r="1054" spans="1:6" ht="14.4">
      <c r="A1054">
        <v>1159</v>
      </c>
      <c r="B1054" t="s">
        <v>17995</v>
      </c>
      <c r="C1054" t="s">
        <v>2269</v>
      </c>
      <c r="D1054" t="s">
        <v>2268</v>
      </c>
      <c r="E1054" s="527" t="s">
        <v>17996</v>
      </c>
      <c r="F1054" s="220"/>
    </row>
    <row r="1055" spans="1:6" ht="14.4">
      <c r="A1055">
        <v>12114</v>
      </c>
      <c r="B1055" t="s">
        <v>17997</v>
      </c>
      <c r="C1055" t="s">
        <v>2269</v>
      </c>
      <c r="D1055" t="s">
        <v>1857</v>
      </c>
      <c r="E1055" s="527" t="s">
        <v>17998</v>
      </c>
      <c r="F1055" s="219"/>
    </row>
    <row r="1056" spans="1:6" ht="14.4">
      <c r="A1056">
        <v>38106</v>
      </c>
      <c r="B1056" t="s">
        <v>17999</v>
      </c>
      <c r="C1056" t="s">
        <v>2269</v>
      </c>
      <c r="D1056" t="s">
        <v>1857</v>
      </c>
      <c r="E1056" s="527" t="s">
        <v>7327</v>
      </c>
      <c r="F1056" s="220"/>
    </row>
    <row r="1057" spans="1:6" ht="14.4">
      <c r="A1057">
        <v>38085</v>
      </c>
      <c r="B1057" t="s">
        <v>18000</v>
      </c>
      <c r="C1057" t="s">
        <v>2269</v>
      </c>
      <c r="D1057" t="s">
        <v>1857</v>
      </c>
      <c r="E1057" s="527" t="s">
        <v>18001</v>
      </c>
      <c r="F1057" s="219"/>
    </row>
    <row r="1058" spans="1:6" ht="14.4">
      <c r="A1058">
        <v>38599</v>
      </c>
      <c r="B1058" t="s">
        <v>18002</v>
      </c>
      <c r="C1058" t="s">
        <v>2269</v>
      </c>
      <c r="D1058" t="s">
        <v>1857</v>
      </c>
      <c r="E1058" s="527" t="s">
        <v>7248</v>
      </c>
      <c r="F1058" s="220"/>
    </row>
    <row r="1059" spans="1:6" ht="14.4">
      <c r="A1059">
        <v>38596</v>
      </c>
      <c r="B1059" t="s">
        <v>18003</v>
      </c>
      <c r="C1059" t="s">
        <v>2269</v>
      </c>
      <c r="D1059" t="s">
        <v>1857</v>
      </c>
      <c r="E1059" s="527" t="s">
        <v>6031</v>
      </c>
      <c r="F1059" s="219"/>
    </row>
    <row r="1060" spans="1:6" ht="14.4">
      <c r="A1060">
        <v>38600</v>
      </c>
      <c r="B1060" t="s">
        <v>18004</v>
      </c>
      <c r="C1060" t="s">
        <v>2269</v>
      </c>
      <c r="D1060" t="s">
        <v>1857</v>
      </c>
      <c r="E1060" s="527" t="s">
        <v>9488</v>
      </c>
      <c r="F1060" s="220"/>
    </row>
    <row r="1061" spans="1:6" ht="14.4">
      <c r="A1061">
        <v>38597</v>
      </c>
      <c r="B1061" t="s">
        <v>18005</v>
      </c>
      <c r="C1061" t="s">
        <v>2269</v>
      </c>
      <c r="D1061" t="s">
        <v>1857</v>
      </c>
      <c r="E1061" s="527" t="s">
        <v>7356</v>
      </c>
      <c r="F1061" s="219"/>
    </row>
    <row r="1062" spans="1:6" ht="14.4">
      <c r="A1062">
        <v>659</v>
      </c>
      <c r="B1062" t="s">
        <v>18006</v>
      </c>
      <c r="C1062" t="s">
        <v>2269</v>
      </c>
      <c r="D1062" t="s">
        <v>1857</v>
      </c>
      <c r="E1062" s="527" t="s">
        <v>18007</v>
      </c>
      <c r="F1062" s="220"/>
    </row>
    <row r="1063" spans="1:6" ht="14.4">
      <c r="A1063">
        <v>660</v>
      </c>
      <c r="B1063" t="s">
        <v>18008</v>
      </c>
      <c r="C1063" t="s">
        <v>2269</v>
      </c>
      <c r="D1063" t="s">
        <v>1857</v>
      </c>
      <c r="E1063" s="527" t="s">
        <v>3744</v>
      </c>
      <c r="F1063" s="219"/>
    </row>
    <row r="1064" spans="1:6" ht="14.4">
      <c r="A1064">
        <v>658</v>
      </c>
      <c r="B1064" t="s">
        <v>18009</v>
      </c>
      <c r="C1064" t="s">
        <v>2269</v>
      </c>
      <c r="D1064" t="s">
        <v>1857</v>
      </c>
      <c r="E1064" s="527" t="s">
        <v>6909</v>
      </c>
      <c r="F1064" s="220"/>
    </row>
    <row r="1065" spans="1:6" ht="14.4">
      <c r="A1065">
        <v>38548</v>
      </c>
      <c r="B1065" t="s">
        <v>18010</v>
      </c>
      <c r="C1065" t="s">
        <v>2269</v>
      </c>
      <c r="D1065" t="s">
        <v>1857</v>
      </c>
      <c r="E1065" s="527" t="s">
        <v>3701</v>
      </c>
      <c r="F1065" s="219"/>
    </row>
    <row r="1066" spans="1:6" ht="14.4">
      <c r="A1066">
        <v>34649</v>
      </c>
      <c r="B1066" t="s">
        <v>18011</v>
      </c>
      <c r="C1066" t="s">
        <v>2269</v>
      </c>
      <c r="D1066" t="s">
        <v>1857</v>
      </c>
      <c r="E1066" s="527" t="s">
        <v>7283</v>
      </c>
      <c r="F1066" s="220"/>
    </row>
    <row r="1067" spans="1:6" ht="14.4">
      <c r="A1067">
        <v>34655</v>
      </c>
      <c r="B1067" t="s">
        <v>18012</v>
      </c>
      <c r="C1067" t="s">
        <v>2269</v>
      </c>
      <c r="D1067" t="s">
        <v>1857</v>
      </c>
      <c r="E1067" s="527" t="s">
        <v>2965</v>
      </c>
      <c r="F1067" s="219"/>
    </row>
    <row r="1068" spans="1:6" ht="14.4">
      <c r="A1068">
        <v>40607</v>
      </c>
      <c r="B1068" t="s">
        <v>18013</v>
      </c>
      <c r="C1068" t="s">
        <v>2269</v>
      </c>
      <c r="D1068" t="s">
        <v>1857</v>
      </c>
      <c r="E1068" s="527" t="s">
        <v>3680</v>
      </c>
      <c r="F1068" s="220"/>
    </row>
    <row r="1069" spans="1:6" ht="14.4">
      <c r="A1069">
        <v>567</v>
      </c>
      <c r="B1069" t="s">
        <v>18014</v>
      </c>
      <c r="C1069" t="s">
        <v>2273</v>
      </c>
      <c r="D1069" t="s">
        <v>1857</v>
      </c>
      <c r="E1069" s="527" t="s">
        <v>10740</v>
      </c>
      <c r="F1069" s="219"/>
    </row>
    <row r="1070" spans="1:6" ht="14.4">
      <c r="A1070">
        <v>574</v>
      </c>
      <c r="B1070" t="s">
        <v>18015</v>
      </c>
      <c r="C1070" t="s">
        <v>2273</v>
      </c>
      <c r="D1070" t="s">
        <v>1857</v>
      </c>
      <c r="E1070" s="527" t="s">
        <v>11634</v>
      </c>
      <c r="F1070" s="220"/>
    </row>
    <row r="1071" spans="1:6" ht="14.4">
      <c r="A1071">
        <v>568</v>
      </c>
      <c r="B1071" t="s">
        <v>18016</v>
      </c>
      <c r="C1071" t="s">
        <v>2273</v>
      </c>
      <c r="D1071" t="s">
        <v>1857</v>
      </c>
      <c r="E1071" s="527" t="s">
        <v>10394</v>
      </c>
      <c r="F1071" s="219"/>
    </row>
    <row r="1072" spans="1:6" ht="14.4">
      <c r="A1072">
        <v>585</v>
      </c>
      <c r="B1072" t="s">
        <v>18017</v>
      </c>
      <c r="C1072" t="s">
        <v>2274</v>
      </c>
      <c r="D1072" t="s">
        <v>2271</v>
      </c>
      <c r="E1072" s="527" t="s">
        <v>18018</v>
      </c>
      <c r="F1072" s="220"/>
    </row>
    <row r="1073" spans="1:6" ht="14.4">
      <c r="A1073">
        <v>4777</v>
      </c>
      <c r="B1073" t="s">
        <v>18019</v>
      </c>
      <c r="C1073" t="s">
        <v>2274</v>
      </c>
      <c r="D1073" t="s">
        <v>1857</v>
      </c>
      <c r="E1073" s="527" t="s">
        <v>7516</v>
      </c>
      <c r="F1073" s="219"/>
    </row>
    <row r="1074" spans="1:6" ht="14.4">
      <c r="A1074">
        <v>587</v>
      </c>
      <c r="B1074" t="s">
        <v>18020</v>
      </c>
      <c r="C1074" t="s">
        <v>2274</v>
      </c>
      <c r="D1074" t="s">
        <v>2271</v>
      </c>
      <c r="E1074" s="527" t="s">
        <v>16500</v>
      </c>
      <c r="F1074" s="220"/>
    </row>
    <row r="1075" spans="1:6" ht="14.4">
      <c r="A1075">
        <v>590</v>
      </c>
      <c r="B1075" t="s">
        <v>18021</v>
      </c>
      <c r="C1075" t="s">
        <v>2274</v>
      </c>
      <c r="D1075" t="s">
        <v>2271</v>
      </c>
      <c r="E1075" s="527" t="s">
        <v>16241</v>
      </c>
      <c r="F1075" s="219"/>
    </row>
    <row r="1076" spans="1:6" ht="14.4">
      <c r="A1076">
        <v>592</v>
      </c>
      <c r="B1076" t="s">
        <v>18022</v>
      </c>
      <c r="C1076" t="s">
        <v>2274</v>
      </c>
      <c r="D1076" t="s">
        <v>2271</v>
      </c>
      <c r="E1076" s="527" t="s">
        <v>16500</v>
      </c>
      <c r="F1076" s="220"/>
    </row>
    <row r="1077" spans="1:6" ht="14.4">
      <c r="A1077">
        <v>586</v>
      </c>
      <c r="B1077" t="s">
        <v>18023</v>
      </c>
      <c r="C1077" t="s">
        <v>2273</v>
      </c>
      <c r="D1077" t="s">
        <v>2271</v>
      </c>
      <c r="E1077" s="527" t="s">
        <v>11649</v>
      </c>
      <c r="F1077" s="219"/>
    </row>
    <row r="1078" spans="1:6" ht="14.4">
      <c r="A1078">
        <v>591</v>
      </c>
      <c r="B1078" t="s">
        <v>18024</v>
      </c>
      <c r="C1078" t="s">
        <v>2274</v>
      </c>
      <c r="D1078" t="s">
        <v>2271</v>
      </c>
      <c r="E1078" s="527" t="s">
        <v>18018</v>
      </c>
      <c r="F1078" s="220"/>
    </row>
    <row r="1079" spans="1:6" ht="14.4">
      <c r="A1079">
        <v>588</v>
      </c>
      <c r="B1079" t="s">
        <v>18025</v>
      </c>
      <c r="C1079" t="s">
        <v>2273</v>
      </c>
      <c r="D1079" t="s">
        <v>2271</v>
      </c>
      <c r="E1079" s="527" t="s">
        <v>18026</v>
      </c>
      <c r="F1079" s="219"/>
    </row>
    <row r="1080" spans="1:6" ht="14.4">
      <c r="A1080">
        <v>589</v>
      </c>
      <c r="B1080" t="s">
        <v>18027</v>
      </c>
      <c r="C1080" t="s">
        <v>2273</v>
      </c>
      <c r="D1080" t="s">
        <v>2271</v>
      </c>
      <c r="E1080" s="527" t="s">
        <v>14601</v>
      </c>
      <c r="F1080" s="220"/>
    </row>
    <row r="1081" spans="1:6" ht="14.4">
      <c r="A1081">
        <v>584</v>
      </c>
      <c r="B1081" t="s">
        <v>18028</v>
      </c>
      <c r="C1081" t="s">
        <v>2273</v>
      </c>
      <c r="D1081" t="s">
        <v>2271</v>
      </c>
      <c r="E1081" s="527" t="s">
        <v>12840</v>
      </c>
      <c r="F1081" s="219"/>
    </row>
    <row r="1082" spans="1:6" ht="14.4">
      <c r="A1082">
        <v>1165</v>
      </c>
      <c r="B1082" t="s">
        <v>18029</v>
      </c>
      <c r="C1082" t="s">
        <v>2269</v>
      </c>
      <c r="D1082" t="s">
        <v>1857</v>
      </c>
      <c r="E1082" s="527" t="s">
        <v>10028</v>
      </c>
      <c r="F1082" s="220"/>
    </row>
    <row r="1083" spans="1:6" ht="14.4">
      <c r="A1083">
        <v>1164</v>
      </c>
      <c r="B1083" t="s">
        <v>18030</v>
      </c>
      <c r="C1083" t="s">
        <v>2269</v>
      </c>
      <c r="D1083" t="s">
        <v>1857</v>
      </c>
      <c r="E1083" s="527" t="s">
        <v>7629</v>
      </c>
      <c r="F1083" s="219"/>
    </row>
    <row r="1084" spans="1:6" ht="14.4">
      <c r="A1084">
        <v>1162</v>
      </c>
      <c r="B1084" t="s">
        <v>18031</v>
      </c>
      <c r="C1084" t="s">
        <v>2269</v>
      </c>
      <c r="D1084" t="s">
        <v>1857</v>
      </c>
      <c r="E1084" s="527" t="s">
        <v>9784</v>
      </c>
      <c r="F1084" s="220"/>
    </row>
    <row r="1085" spans="1:6" ht="14.4">
      <c r="A1085">
        <v>12395</v>
      </c>
      <c r="B1085" t="s">
        <v>18032</v>
      </c>
      <c r="C1085" t="s">
        <v>2269</v>
      </c>
      <c r="D1085" t="s">
        <v>1857</v>
      </c>
      <c r="E1085" s="527" t="s">
        <v>4758</v>
      </c>
      <c r="F1085" s="219"/>
    </row>
    <row r="1086" spans="1:6" ht="14.4">
      <c r="A1086">
        <v>1170</v>
      </c>
      <c r="B1086" t="s">
        <v>18033</v>
      </c>
      <c r="C1086" t="s">
        <v>2269</v>
      </c>
      <c r="D1086" t="s">
        <v>1857</v>
      </c>
      <c r="E1086" s="527" t="s">
        <v>2986</v>
      </c>
      <c r="F1086" s="220"/>
    </row>
    <row r="1087" spans="1:6" ht="14.4">
      <c r="A1087">
        <v>1169</v>
      </c>
      <c r="B1087" t="s">
        <v>18034</v>
      </c>
      <c r="C1087" t="s">
        <v>2269</v>
      </c>
      <c r="D1087" t="s">
        <v>1857</v>
      </c>
      <c r="E1087" s="527" t="s">
        <v>14333</v>
      </c>
      <c r="F1087" s="219"/>
    </row>
    <row r="1088" spans="1:6" ht="14.4">
      <c r="A1088">
        <v>1166</v>
      </c>
      <c r="B1088" t="s">
        <v>18035</v>
      </c>
      <c r="C1088" t="s">
        <v>2269</v>
      </c>
      <c r="D1088" t="s">
        <v>1857</v>
      </c>
      <c r="E1088" s="527" t="s">
        <v>7350</v>
      </c>
      <c r="F1088" s="220"/>
    </row>
    <row r="1089" spans="1:6" ht="14.4">
      <c r="A1089">
        <v>1163</v>
      </c>
      <c r="B1089" t="s">
        <v>18036</v>
      </c>
      <c r="C1089" t="s">
        <v>2269</v>
      </c>
      <c r="D1089" t="s">
        <v>1857</v>
      </c>
      <c r="E1089" s="527" t="s">
        <v>9494</v>
      </c>
      <c r="F1089" s="219"/>
    </row>
    <row r="1090" spans="1:6" ht="14.4">
      <c r="A1090">
        <v>12396</v>
      </c>
      <c r="B1090" t="s">
        <v>18037</v>
      </c>
      <c r="C1090" t="s">
        <v>2269</v>
      </c>
      <c r="D1090" t="s">
        <v>1857</v>
      </c>
      <c r="E1090" s="527" t="s">
        <v>4758</v>
      </c>
      <c r="F1090" s="220"/>
    </row>
    <row r="1091" spans="1:6" ht="14.4">
      <c r="A1091">
        <v>1168</v>
      </c>
      <c r="B1091" t="s">
        <v>18038</v>
      </c>
      <c r="C1091" t="s">
        <v>2269</v>
      </c>
      <c r="D1091" t="s">
        <v>1857</v>
      </c>
      <c r="E1091" s="527" t="s">
        <v>15253</v>
      </c>
      <c r="F1091" s="219"/>
    </row>
    <row r="1092" spans="1:6" ht="14.4">
      <c r="A1092">
        <v>1167</v>
      </c>
      <c r="B1092" t="s">
        <v>18039</v>
      </c>
      <c r="C1092" t="s">
        <v>2269</v>
      </c>
      <c r="D1092" t="s">
        <v>1857</v>
      </c>
      <c r="E1092" s="527" t="s">
        <v>15254</v>
      </c>
      <c r="F1092" s="220"/>
    </row>
    <row r="1093" spans="1:6" ht="14.4">
      <c r="A1093">
        <v>36331</v>
      </c>
      <c r="B1093" t="s">
        <v>18040</v>
      </c>
      <c r="C1093" t="s">
        <v>2269</v>
      </c>
      <c r="D1093" t="s">
        <v>2271</v>
      </c>
      <c r="E1093" s="527" t="s">
        <v>7241</v>
      </c>
      <c r="F1093" s="219"/>
    </row>
    <row r="1094" spans="1:6" ht="14.4">
      <c r="A1094">
        <v>36346</v>
      </c>
      <c r="B1094" t="s">
        <v>18041</v>
      </c>
      <c r="C1094" t="s">
        <v>2269</v>
      </c>
      <c r="D1094" t="s">
        <v>2271</v>
      </c>
      <c r="E1094" s="527" t="s">
        <v>7304</v>
      </c>
      <c r="F1094" s="220"/>
    </row>
    <row r="1095" spans="1:6" ht="14.4">
      <c r="A1095">
        <v>1210</v>
      </c>
      <c r="B1095" t="s">
        <v>18042</v>
      </c>
      <c r="C1095" t="s">
        <v>2269</v>
      </c>
      <c r="D1095" t="s">
        <v>1857</v>
      </c>
      <c r="E1095" s="527" t="s">
        <v>10783</v>
      </c>
      <c r="F1095" s="219"/>
    </row>
    <row r="1096" spans="1:6" ht="14.4">
      <c r="A1096">
        <v>1203</v>
      </c>
      <c r="B1096" t="s">
        <v>18043</v>
      </c>
      <c r="C1096" t="s">
        <v>2269</v>
      </c>
      <c r="D1096" t="s">
        <v>1857</v>
      </c>
      <c r="E1096" s="527" t="s">
        <v>18044</v>
      </c>
      <c r="F1096" s="220"/>
    </row>
    <row r="1097" spans="1:6" ht="14.4">
      <c r="A1097">
        <v>1197</v>
      </c>
      <c r="B1097" t="s">
        <v>18045</v>
      </c>
      <c r="C1097" t="s">
        <v>2269</v>
      </c>
      <c r="D1097" t="s">
        <v>1857</v>
      </c>
      <c r="E1097" s="527" t="s">
        <v>3747</v>
      </c>
      <c r="F1097" s="219"/>
    </row>
    <row r="1098" spans="1:6" ht="14.4">
      <c r="A1098">
        <v>1202</v>
      </c>
      <c r="B1098" t="s">
        <v>18046</v>
      </c>
      <c r="C1098" t="s">
        <v>2269</v>
      </c>
      <c r="D1098" t="s">
        <v>1857</v>
      </c>
      <c r="E1098" s="527" t="s">
        <v>7354</v>
      </c>
      <c r="F1098" s="220"/>
    </row>
    <row r="1099" spans="1:6" ht="14.4">
      <c r="A1099">
        <v>1188</v>
      </c>
      <c r="B1099" t="s">
        <v>18047</v>
      </c>
      <c r="C1099" t="s">
        <v>2269</v>
      </c>
      <c r="D1099" t="s">
        <v>1857</v>
      </c>
      <c r="E1099" s="527" t="s">
        <v>15488</v>
      </c>
      <c r="F1099" s="219"/>
    </row>
    <row r="1100" spans="1:6" ht="14.4">
      <c r="A1100">
        <v>1211</v>
      </c>
      <c r="B1100" t="s">
        <v>18048</v>
      </c>
      <c r="C1100" t="s">
        <v>2269</v>
      </c>
      <c r="D1100" t="s">
        <v>1857</v>
      </c>
      <c r="E1100" s="527" t="s">
        <v>7343</v>
      </c>
      <c r="F1100" s="220"/>
    </row>
    <row r="1101" spans="1:6" ht="14.4">
      <c r="A1101">
        <v>1198</v>
      </c>
      <c r="B1101" t="s">
        <v>18049</v>
      </c>
      <c r="C1101" t="s">
        <v>2269</v>
      </c>
      <c r="D1101" t="s">
        <v>1857</v>
      </c>
      <c r="E1101" s="527" t="s">
        <v>7356</v>
      </c>
      <c r="F1101" s="219"/>
    </row>
    <row r="1102" spans="1:6" ht="14.4">
      <c r="A1102">
        <v>1199</v>
      </c>
      <c r="B1102" t="s">
        <v>18050</v>
      </c>
      <c r="C1102" t="s">
        <v>2269</v>
      </c>
      <c r="D1102" t="s">
        <v>1857</v>
      </c>
      <c r="E1102" s="527" t="s">
        <v>15843</v>
      </c>
      <c r="F1102" s="220"/>
    </row>
    <row r="1103" spans="1:6" ht="14.4">
      <c r="A1103">
        <v>20088</v>
      </c>
      <c r="B1103" t="s">
        <v>18051</v>
      </c>
      <c r="C1103" t="s">
        <v>2269</v>
      </c>
      <c r="D1103" t="s">
        <v>1857</v>
      </c>
      <c r="E1103" s="527" t="s">
        <v>5113</v>
      </c>
      <c r="F1103" s="219"/>
    </row>
    <row r="1104" spans="1:6" ht="14.4">
      <c r="A1104">
        <v>20089</v>
      </c>
      <c r="B1104" t="s">
        <v>18052</v>
      </c>
      <c r="C1104" t="s">
        <v>2269</v>
      </c>
      <c r="D1104" t="s">
        <v>1857</v>
      </c>
      <c r="E1104" s="527" t="s">
        <v>18053</v>
      </c>
      <c r="F1104" s="220"/>
    </row>
    <row r="1105" spans="1:6" ht="14.4">
      <c r="A1105">
        <v>20087</v>
      </c>
      <c r="B1105" t="s">
        <v>18054</v>
      </c>
      <c r="C1105" t="s">
        <v>2269</v>
      </c>
      <c r="D1105" t="s">
        <v>1857</v>
      </c>
      <c r="E1105" s="527" t="s">
        <v>9537</v>
      </c>
      <c r="F1105" s="219"/>
    </row>
    <row r="1106" spans="1:6" ht="14.4">
      <c r="A1106">
        <v>1200</v>
      </c>
      <c r="B1106" t="s">
        <v>18055</v>
      </c>
      <c r="C1106" t="s">
        <v>2269</v>
      </c>
      <c r="D1106" t="s">
        <v>1857</v>
      </c>
      <c r="E1106" s="527" t="s">
        <v>16166</v>
      </c>
      <c r="F1106" s="220"/>
    </row>
    <row r="1107" spans="1:6" ht="14.4">
      <c r="A1107">
        <v>12909</v>
      </c>
      <c r="B1107" t="s">
        <v>18056</v>
      </c>
      <c r="C1107" t="s">
        <v>2269</v>
      </c>
      <c r="D1107" t="s">
        <v>1857</v>
      </c>
      <c r="E1107" s="527" t="s">
        <v>5159</v>
      </c>
      <c r="F1107" s="219"/>
    </row>
    <row r="1108" spans="1:6" ht="14.4">
      <c r="A1108">
        <v>12910</v>
      </c>
      <c r="B1108" t="s">
        <v>18057</v>
      </c>
      <c r="C1108" t="s">
        <v>2269</v>
      </c>
      <c r="D1108" t="s">
        <v>1857</v>
      </c>
      <c r="E1108" s="527" t="s">
        <v>10234</v>
      </c>
      <c r="F1108" s="220"/>
    </row>
    <row r="1109" spans="1:6" ht="14.4">
      <c r="A1109">
        <v>1184</v>
      </c>
      <c r="B1109" t="s">
        <v>18058</v>
      </c>
      <c r="C1109" t="s">
        <v>2269</v>
      </c>
      <c r="D1109" t="s">
        <v>1857</v>
      </c>
      <c r="E1109" s="527" t="s">
        <v>18059</v>
      </c>
      <c r="F1109" s="219"/>
    </row>
    <row r="1110" spans="1:6" ht="14.4">
      <c r="A1110">
        <v>1191</v>
      </c>
      <c r="B1110" t="s">
        <v>18060</v>
      </c>
      <c r="C1110" t="s">
        <v>2269</v>
      </c>
      <c r="D1110" t="s">
        <v>1857</v>
      </c>
      <c r="E1110" s="527" t="s">
        <v>3461</v>
      </c>
      <c r="F1110" s="220"/>
    </row>
    <row r="1111" spans="1:6" ht="14.4">
      <c r="A1111">
        <v>1185</v>
      </c>
      <c r="B1111" t="s">
        <v>18061</v>
      </c>
      <c r="C1111" t="s">
        <v>2269</v>
      </c>
      <c r="D1111" t="s">
        <v>1857</v>
      </c>
      <c r="E1111" s="527" t="s">
        <v>9483</v>
      </c>
      <c r="F1111" s="219"/>
    </row>
    <row r="1112" spans="1:6" ht="14.4">
      <c r="A1112">
        <v>1189</v>
      </c>
      <c r="B1112" t="s">
        <v>18062</v>
      </c>
      <c r="C1112" t="s">
        <v>2269</v>
      </c>
      <c r="D1112" t="s">
        <v>1857</v>
      </c>
      <c r="E1112" s="527" t="s">
        <v>18063</v>
      </c>
      <c r="F1112" s="220"/>
    </row>
    <row r="1113" spans="1:6" ht="14.4">
      <c r="A1113">
        <v>1193</v>
      </c>
      <c r="B1113" t="s">
        <v>18064</v>
      </c>
      <c r="C1113" t="s">
        <v>2269</v>
      </c>
      <c r="D1113" t="s">
        <v>1857</v>
      </c>
      <c r="E1113" s="527" t="s">
        <v>7453</v>
      </c>
      <c r="F1113" s="219"/>
    </row>
    <row r="1114" spans="1:6" ht="14.4">
      <c r="A1114">
        <v>1194</v>
      </c>
      <c r="B1114" t="s">
        <v>18065</v>
      </c>
      <c r="C1114" t="s">
        <v>2269</v>
      </c>
      <c r="D1114" t="s">
        <v>1857</v>
      </c>
      <c r="E1114" s="527" t="s">
        <v>16234</v>
      </c>
      <c r="F1114" s="220"/>
    </row>
    <row r="1115" spans="1:6" ht="14.4">
      <c r="A1115">
        <v>1195</v>
      </c>
      <c r="B1115" t="s">
        <v>18066</v>
      </c>
      <c r="C1115" t="s">
        <v>2269</v>
      </c>
      <c r="D1115" t="s">
        <v>1857</v>
      </c>
      <c r="E1115" s="527" t="s">
        <v>11822</v>
      </c>
      <c r="F1115" s="219"/>
    </row>
    <row r="1116" spans="1:6" ht="14.4">
      <c r="A1116">
        <v>1204</v>
      </c>
      <c r="B1116" t="s">
        <v>18067</v>
      </c>
      <c r="C1116" t="s">
        <v>2269</v>
      </c>
      <c r="D1116" t="s">
        <v>1857</v>
      </c>
      <c r="E1116" s="527" t="s">
        <v>15252</v>
      </c>
      <c r="F1116" s="220"/>
    </row>
    <row r="1117" spans="1:6" ht="14.4">
      <c r="A1117">
        <v>1205</v>
      </c>
      <c r="B1117" t="s">
        <v>18068</v>
      </c>
      <c r="C1117" t="s">
        <v>2269</v>
      </c>
      <c r="D1117" t="s">
        <v>1857</v>
      </c>
      <c r="E1117" s="527" t="s">
        <v>18069</v>
      </c>
      <c r="F1117" s="219"/>
    </row>
    <row r="1118" spans="1:6" ht="14.4">
      <c r="A1118">
        <v>1207</v>
      </c>
      <c r="B1118" t="s">
        <v>18070</v>
      </c>
      <c r="C1118" t="s">
        <v>2269</v>
      </c>
      <c r="D1118" t="s">
        <v>2271</v>
      </c>
      <c r="E1118" s="527" t="s">
        <v>18071</v>
      </c>
      <c r="F1118" s="220"/>
    </row>
    <row r="1119" spans="1:6" ht="14.4">
      <c r="A1119">
        <v>1206</v>
      </c>
      <c r="B1119" t="s">
        <v>18072</v>
      </c>
      <c r="C1119" t="s">
        <v>2269</v>
      </c>
      <c r="D1119" t="s">
        <v>2271</v>
      </c>
      <c r="E1119" s="527" t="s">
        <v>7402</v>
      </c>
      <c r="F1119" s="219"/>
    </row>
    <row r="1120" spans="1:6" ht="14.4">
      <c r="A1120">
        <v>1183</v>
      </c>
      <c r="B1120" t="s">
        <v>18073</v>
      </c>
      <c r="C1120" t="s">
        <v>2269</v>
      </c>
      <c r="D1120" t="s">
        <v>2271</v>
      </c>
      <c r="E1120" s="527" t="s">
        <v>12735</v>
      </c>
      <c r="F1120" s="220"/>
    </row>
    <row r="1121" spans="1:6" ht="14.4">
      <c r="A1121">
        <v>42685</v>
      </c>
      <c r="B1121" t="s">
        <v>18074</v>
      </c>
      <c r="C1121" t="s">
        <v>2269</v>
      </c>
      <c r="D1121" t="s">
        <v>2271</v>
      </c>
      <c r="E1121" s="527" t="s">
        <v>10087</v>
      </c>
      <c r="F1121" s="219"/>
    </row>
    <row r="1122" spans="1:6" ht="14.4">
      <c r="A1122">
        <v>42686</v>
      </c>
      <c r="B1122" t="s">
        <v>18075</v>
      </c>
      <c r="C1122" t="s">
        <v>2269</v>
      </c>
      <c r="D1122" t="s">
        <v>2271</v>
      </c>
      <c r="E1122" s="527" t="s">
        <v>15255</v>
      </c>
      <c r="F1122" s="220"/>
    </row>
    <row r="1123" spans="1:6" ht="14.4">
      <c r="A1123">
        <v>12894</v>
      </c>
      <c r="B1123" t="s">
        <v>18076</v>
      </c>
      <c r="C1123" t="s">
        <v>2269</v>
      </c>
      <c r="D1123" t="s">
        <v>1857</v>
      </c>
      <c r="E1123" s="527" t="s">
        <v>16579</v>
      </c>
      <c r="F1123" s="219"/>
    </row>
    <row r="1124" spans="1:6" ht="14.4">
      <c r="A1124">
        <v>12895</v>
      </c>
      <c r="B1124" t="s">
        <v>18077</v>
      </c>
      <c r="C1124" t="s">
        <v>2269</v>
      </c>
      <c r="D1124" t="s">
        <v>2268</v>
      </c>
      <c r="E1124" s="527" t="s">
        <v>4761</v>
      </c>
      <c r="F1124" s="220"/>
    </row>
    <row r="1125" spans="1:6" ht="14.4">
      <c r="A1125">
        <v>1631</v>
      </c>
      <c r="B1125" t="s">
        <v>18078</v>
      </c>
      <c r="C1125" t="s">
        <v>2269</v>
      </c>
      <c r="D1125" t="s">
        <v>1857</v>
      </c>
      <c r="E1125" s="527" t="s">
        <v>18079</v>
      </c>
      <c r="F1125" s="219"/>
    </row>
    <row r="1126" spans="1:6" ht="14.4">
      <c r="A1126">
        <v>1633</v>
      </c>
      <c r="B1126" t="s">
        <v>18080</v>
      </c>
      <c r="C1126" t="s">
        <v>2269</v>
      </c>
      <c r="D1126" t="s">
        <v>1857</v>
      </c>
      <c r="E1126" s="527" t="s">
        <v>18081</v>
      </c>
      <c r="F1126" s="220"/>
    </row>
    <row r="1127" spans="1:6" ht="14.4">
      <c r="A1127">
        <v>10818</v>
      </c>
      <c r="B1127" t="s">
        <v>18082</v>
      </c>
      <c r="C1127" t="s">
        <v>2274</v>
      </c>
      <c r="D1127" t="s">
        <v>1857</v>
      </c>
      <c r="E1127" s="527" t="s">
        <v>18083</v>
      </c>
      <c r="F1127" s="219"/>
    </row>
    <row r="1128" spans="1:6" ht="14.4">
      <c r="A1128">
        <v>41410</v>
      </c>
      <c r="B1128" t="s">
        <v>18084</v>
      </c>
      <c r="C1128" t="s">
        <v>2269</v>
      </c>
      <c r="D1128" t="s">
        <v>1857</v>
      </c>
      <c r="E1128" s="527" t="s">
        <v>18085</v>
      </c>
      <c r="F1128" s="220"/>
    </row>
    <row r="1129" spans="1:6" ht="14.4">
      <c r="A1129">
        <v>41411</v>
      </c>
      <c r="B1129" t="s">
        <v>18086</v>
      </c>
      <c r="C1129" t="s">
        <v>2269</v>
      </c>
      <c r="D1129" t="s">
        <v>1857</v>
      </c>
      <c r="E1129" s="527" t="s">
        <v>11813</v>
      </c>
      <c r="F1129" s="219"/>
    </row>
    <row r="1130" spans="1:6" ht="14.4">
      <c r="A1130">
        <v>41412</v>
      </c>
      <c r="B1130" t="s">
        <v>18087</v>
      </c>
      <c r="C1130" t="s">
        <v>2269</v>
      </c>
      <c r="D1130" t="s">
        <v>1857</v>
      </c>
      <c r="E1130" s="527" t="s">
        <v>10750</v>
      </c>
      <c r="F1130" s="220"/>
    </row>
    <row r="1131" spans="1:6" ht="14.4">
      <c r="A1131">
        <v>41413</v>
      </c>
      <c r="B1131" t="s">
        <v>18088</v>
      </c>
      <c r="C1131" t="s">
        <v>2269</v>
      </c>
      <c r="D1131" t="s">
        <v>1857</v>
      </c>
      <c r="E1131" s="527" t="s">
        <v>18089</v>
      </c>
      <c r="F1131" s="219"/>
    </row>
    <row r="1132" spans="1:6" ht="14.4">
      <c r="A1132">
        <v>39359</v>
      </c>
      <c r="B1132" t="s">
        <v>18090</v>
      </c>
      <c r="C1132" t="s">
        <v>2269</v>
      </c>
      <c r="D1132" t="s">
        <v>2271</v>
      </c>
      <c r="E1132" s="527" t="s">
        <v>11645</v>
      </c>
      <c r="F1132" s="220"/>
    </row>
    <row r="1133" spans="1:6" ht="14.4">
      <c r="A1133">
        <v>39360</v>
      </c>
      <c r="B1133" t="s">
        <v>18091</v>
      </c>
      <c r="C1133" t="s">
        <v>2269</v>
      </c>
      <c r="D1133" t="s">
        <v>2271</v>
      </c>
      <c r="E1133" s="527" t="s">
        <v>15256</v>
      </c>
      <c r="F1133" s="219"/>
    </row>
    <row r="1134" spans="1:6" ht="14.4">
      <c r="A1134">
        <v>10710</v>
      </c>
      <c r="B1134" t="s">
        <v>18092</v>
      </c>
      <c r="C1134" t="s">
        <v>2270</v>
      </c>
      <c r="D1134" t="s">
        <v>2271</v>
      </c>
      <c r="E1134" s="527" t="s">
        <v>16480</v>
      </c>
      <c r="F1134" s="220"/>
    </row>
    <row r="1135" spans="1:6" ht="14.4">
      <c r="A1135">
        <v>10709</v>
      </c>
      <c r="B1135" t="s">
        <v>18093</v>
      </c>
      <c r="C1135" t="s">
        <v>2270</v>
      </c>
      <c r="D1135" t="s">
        <v>2271</v>
      </c>
      <c r="E1135" s="527" t="s">
        <v>16481</v>
      </c>
      <c r="F1135" s="219"/>
    </row>
    <row r="1136" spans="1:6" ht="14.4">
      <c r="A1136">
        <v>39636</v>
      </c>
      <c r="B1136" t="s">
        <v>18094</v>
      </c>
      <c r="C1136" t="s">
        <v>2270</v>
      </c>
      <c r="D1136" t="s">
        <v>2271</v>
      </c>
      <c r="E1136" s="527" t="s">
        <v>16200</v>
      </c>
      <c r="F1136" s="220"/>
    </row>
    <row r="1137" spans="1:6" ht="14.4">
      <c r="A1137">
        <v>10708</v>
      </c>
      <c r="B1137" t="s">
        <v>18095</v>
      </c>
      <c r="C1137" t="s">
        <v>2270</v>
      </c>
      <c r="D1137" t="s">
        <v>2271</v>
      </c>
      <c r="E1137" s="527" t="s">
        <v>18096</v>
      </c>
      <c r="F1137" s="219"/>
    </row>
    <row r="1138" spans="1:6" ht="14.4">
      <c r="A1138">
        <v>39635</v>
      </c>
      <c r="B1138" t="s">
        <v>18097</v>
      </c>
      <c r="C1138" t="s">
        <v>2270</v>
      </c>
      <c r="D1138" t="s">
        <v>2271</v>
      </c>
      <c r="E1138" s="527" t="s">
        <v>18098</v>
      </c>
      <c r="F1138" s="220"/>
    </row>
    <row r="1139" spans="1:6" ht="14.4">
      <c r="A1139">
        <v>6117</v>
      </c>
      <c r="B1139" t="s">
        <v>18099</v>
      </c>
      <c r="C1139" t="s">
        <v>2267</v>
      </c>
      <c r="D1139" t="s">
        <v>1857</v>
      </c>
      <c r="E1139" s="527" t="s">
        <v>10008</v>
      </c>
      <c r="F1139" s="219"/>
    </row>
    <row r="1140" spans="1:6" ht="14.4">
      <c r="A1140">
        <v>40913</v>
      </c>
      <c r="B1140" t="s">
        <v>18100</v>
      </c>
      <c r="C1140" t="s">
        <v>2276</v>
      </c>
      <c r="D1140" t="s">
        <v>1857</v>
      </c>
      <c r="E1140" s="527" t="s">
        <v>18101</v>
      </c>
      <c r="F1140" s="220"/>
    </row>
    <row r="1141" spans="1:6" ht="14.4">
      <c r="A1141">
        <v>1214</v>
      </c>
      <c r="B1141" t="s">
        <v>18102</v>
      </c>
      <c r="C1141" t="s">
        <v>2267</v>
      </c>
      <c r="D1141" t="s">
        <v>1857</v>
      </c>
      <c r="E1141" s="527" t="s">
        <v>10720</v>
      </c>
      <c r="F1141" s="219"/>
    </row>
    <row r="1142" spans="1:6" ht="14.4">
      <c r="A1142">
        <v>40915</v>
      </c>
      <c r="B1142" t="s">
        <v>18103</v>
      </c>
      <c r="C1142" t="s">
        <v>2276</v>
      </c>
      <c r="D1142" t="s">
        <v>1857</v>
      </c>
      <c r="E1142" s="527" t="s">
        <v>18104</v>
      </c>
      <c r="F1142" s="220"/>
    </row>
    <row r="1143" spans="1:6" ht="14.4">
      <c r="A1143">
        <v>1213</v>
      </c>
      <c r="B1143" t="s">
        <v>18105</v>
      </c>
      <c r="C1143" t="s">
        <v>2267</v>
      </c>
      <c r="D1143" t="s">
        <v>2268</v>
      </c>
      <c r="E1143" s="527" t="s">
        <v>4975</v>
      </c>
      <c r="F1143" s="219"/>
    </row>
    <row r="1144" spans="1:6" ht="14.4">
      <c r="A1144">
        <v>40914</v>
      </c>
      <c r="B1144" t="s">
        <v>18106</v>
      </c>
      <c r="C1144" t="s">
        <v>2276</v>
      </c>
      <c r="D1144" t="s">
        <v>1857</v>
      </c>
      <c r="E1144" s="527" t="s">
        <v>18107</v>
      </c>
      <c r="F1144" s="220"/>
    </row>
    <row r="1145" spans="1:6" ht="14.4">
      <c r="A1145">
        <v>5091</v>
      </c>
      <c r="B1145" t="s">
        <v>18108</v>
      </c>
      <c r="C1145" t="s">
        <v>2269</v>
      </c>
      <c r="D1145" t="s">
        <v>1857</v>
      </c>
      <c r="E1145" s="527" t="s">
        <v>10246</v>
      </c>
      <c r="F1145" s="219"/>
    </row>
    <row r="1146" spans="1:6" ht="14.4">
      <c r="A1146">
        <v>14615</v>
      </c>
      <c r="B1146" t="s">
        <v>18109</v>
      </c>
      <c r="C1146" t="s">
        <v>2269</v>
      </c>
      <c r="D1146" t="s">
        <v>2271</v>
      </c>
      <c r="E1146" s="527" t="s">
        <v>18110</v>
      </c>
      <c r="F1146" s="220"/>
    </row>
    <row r="1147" spans="1:6" ht="14.4">
      <c r="A1147">
        <v>2711</v>
      </c>
      <c r="B1147" t="s">
        <v>18111</v>
      </c>
      <c r="C1147" t="s">
        <v>2269</v>
      </c>
      <c r="D1147" t="s">
        <v>2268</v>
      </c>
      <c r="E1147" s="527" t="s">
        <v>15257</v>
      </c>
      <c r="F1147" s="219"/>
    </row>
    <row r="1148" spans="1:6" ht="14.4">
      <c r="A1148">
        <v>37727</v>
      </c>
      <c r="B1148" t="s">
        <v>18112</v>
      </c>
      <c r="C1148" t="s">
        <v>2269</v>
      </c>
      <c r="D1148" t="s">
        <v>2271</v>
      </c>
      <c r="E1148" s="527" t="s">
        <v>18113</v>
      </c>
      <c r="F1148" s="220"/>
    </row>
    <row r="1149" spans="1:6" ht="14.4">
      <c r="A1149">
        <v>37728</v>
      </c>
      <c r="B1149" t="s">
        <v>18114</v>
      </c>
      <c r="C1149" t="s">
        <v>2269</v>
      </c>
      <c r="D1149" t="s">
        <v>2271</v>
      </c>
      <c r="E1149" s="527" t="s">
        <v>18115</v>
      </c>
      <c r="F1149" s="219"/>
    </row>
    <row r="1150" spans="1:6" ht="14.4">
      <c r="A1150">
        <v>37729</v>
      </c>
      <c r="B1150" t="s">
        <v>18116</v>
      </c>
      <c r="C1150" t="s">
        <v>2269</v>
      </c>
      <c r="D1150" t="s">
        <v>2271</v>
      </c>
      <c r="E1150" s="527" t="s">
        <v>18117</v>
      </c>
      <c r="F1150" s="220"/>
    </row>
    <row r="1151" spans="1:6" ht="14.4">
      <c r="A1151">
        <v>37730</v>
      </c>
      <c r="B1151" t="s">
        <v>18118</v>
      </c>
      <c r="C1151" t="s">
        <v>2269</v>
      </c>
      <c r="D1151" t="s">
        <v>2271</v>
      </c>
      <c r="E1151" s="527" t="s">
        <v>18119</v>
      </c>
      <c r="F1151" s="219"/>
    </row>
    <row r="1152" spans="1:6" ht="14.4">
      <c r="A1152">
        <v>37731</v>
      </c>
      <c r="B1152" t="s">
        <v>18120</v>
      </c>
      <c r="C1152" t="s">
        <v>2269</v>
      </c>
      <c r="D1152" t="s">
        <v>2271</v>
      </c>
      <c r="E1152" s="527" t="s">
        <v>18121</v>
      </c>
      <c r="F1152" s="220"/>
    </row>
    <row r="1153" spans="1:6" ht="14.4">
      <c r="A1153">
        <v>37732</v>
      </c>
      <c r="B1153" t="s">
        <v>18122</v>
      </c>
      <c r="C1153" t="s">
        <v>2269</v>
      </c>
      <c r="D1153" t="s">
        <v>2271</v>
      </c>
      <c r="E1153" s="527" t="s">
        <v>18123</v>
      </c>
      <c r="F1153" s="219"/>
    </row>
    <row r="1154" spans="1:6" ht="14.4">
      <c r="A1154">
        <v>42250</v>
      </c>
      <c r="B1154" t="s">
        <v>18124</v>
      </c>
      <c r="C1154" t="s">
        <v>2281</v>
      </c>
      <c r="D1154" t="s">
        <v>1857</v>
      </c>
      <c r="E1154" s="527" t="s">
        <v>18125</v>
      </c>
      <c r="F1154" s="220"/>
    </row>
    <row r="1155" spans="1:6" ht="14.4">
      <c r="A1155">
        <v>42256</v>
      </c>
      <c r="B1155" t="s">
        <v>18126</v>
      </c>
      <c r="C1155" t="s">
        <v>2274</v>
      </c>
      <c r="D1155" t="s">
        <v>1857</v>
      </c>
      <c r="E1155" s="527" t="s">
        <v>7397</v>
      </c>
      <c r="F1155" s="219"/>
    </row>
    <row r="1156" spans="1:6" ht="14.4">
      <c r="A1156">
        <v>4743</v>
      </c>
      <c r="B1156" t="s">
        <v>18127</v>
      </c>
      <c r="C1156" t="s">
        <v>2272</v>
      </c>
      <c r="D1156" t="s">
        <v>1857</v>
      </c>
      <c r="E1156" s="527" t="s">
        <v>18128</v>
      </c>
      <c r="F1156" s="220"/>
    </row>
    <row r="1157" spans="1:6" ht="14.4">
      <c r="A1157">
        <v>4744</v>
      </c>
      <c r="B1157" t="s">
        <v>18129</v>
      </c>
      <c r="C1157" t="s">
        <v>2272</v>
      </c>
      <c r="D1157" t="s">
        <v>1857</v>
      </c>
      <c r="E1157" s="527" t="s">
        <v>18130</v>
      </c>
      <c r="F1157" s="219"/>
    </row>
    <row r="1158" spans="1:6" ht="14.4">
      <c r="A1158">
        <v>4745</v>
      </c>
      <c r="B1158" t="s">
        <v>18131</v>
      </c>
      <c r="C1158" t="s">
        <v>2272</v>
      </c>
      <c r="D1158" t="s">
        <v>1857</v>
      </c>
      <c r="E1158" s="527" t="s">
        <v>18132</v>
      </c>
      <c r="F1158" s="220"/>
    </row>
    <row r="1159" spans="1:6" ht="14.4">
      <c r="A1159">
        <v>36496</v>
      </c>
      <c r="B1159" t="s">
        <v>18133</v>
      </c>
      <c r="C1159" t="s">
        <v>2269</v>
      </c>
      <c r="D1159" t="s">
        <v>2271</v>
      </c>
      <c r="E1159" s="527" t="s">
        <v>18134</v>
      </c>
      <c r="F1159" s="219"/>
    </row>
    <row r="1160" spans="1:6" ht="14.4">
      <c r="A1160">
        <v>10630</v>
      </c>
      <c r="B1160" t="s">
        <v>18135</v>
      </c>
      <c r="C1160" t="s">
        <v>2269</v>
      </c>
      <c r="D1160" t="s">
        <v>2271</v>
      </c>
      <c r="E1160" s="527" t="s">
        <v>18136</v>
      </c>
      <c r="F1160" s="220"/>
    </row>
    <row r="1161" spans="1:6" ht="14.4">
      <c r="A1161">
        <v>37762</v>
      </c>
      <c r="B1161" t="s">
        <v>18137</v>
      </c>
      <c r="C1161" t="s">
        <v>2269</v>
      </c>
      <c r="D1161" t="s">
        <v>2271</v>
      </c>
      <c r="E1161" s="527" t="s">
        <v>18138</v>
      </c>
      <c r="F1161" s="219"/>
    </row>
    <row r="1162" spans="1:6" ht="14.4">
      <c r="A1162">
        <v>37763</v>
      </c>
      <c r="B1162" t="s">
        <v>18139</v>
      </c>
      <c r="C1162" t="s">
        <v>2269</v>
      </c>
      <c r="D1162" t="s">
        <v>2271</v>
      </c>
      <c r="E1162" s="527" t="s">
        <v>18140</v>
      </c>
      <c r="F1162" s="220"/>
    </row>
    <row r="1163" spans="1:6" ht="14.4">
      <c r="A1163">
        <v>41992</v>
      </c>
      <c r="B1163" t="s">
        <v>18141</v>
      </c>
      <c r="C1163" t="s">
        <v>2269</v>
      </c>
      <c r="D1163" t="s">
        <v>2271</v>
      </c>
      <c r="E1163" s="527" t="s">
        <v>18142</v>
      </c>
      <c r="F1163" s="219"/>
    </row>
    <row r="1164" spans="1:6" ht="14.4">
      <c r="A1164">
        <v>13215</v>
      </c>
      <c r="B1164" t="s">
        <v>18143</v>
      </c>
      <c r="C1164" t="s">
        <v>2269</v>
      </c>
      <c r="D1164" t="s">
        <v>2271</v>
      </c>
      <c r="E1164" s="527" t="s">
        <v>18144</v>
      </c>
      <c r="F1164" s="220"/>
    </row>
    <row r="1165" spans="1:6" ht="14.4">
      <c r="A1165">
        <v>4235</v>
      </c>
      <c r="B1165" t="s">
        <v>18145</v>
      </c>
      <c r="C1165" t="s">
        <v>2267</v>
      </c>
      <c r="D1165" t="s">
        <v>1857</v>
      </c>
      <c r="E1165" s="527" t="s">
        <v>10382</v>
      </c>
      <c r="F1165" s="219"/>
    </row>
    <row r="1166" spans="1:6" ht="14.4">
      <c r="A1166">
        <v>40976</v>
      </c>
      <c r="B1166" t="s">
        <v>18146</v>
      </c>
      <c r="C1166" t="s">
        <v>2276</v>
      </c>
      <c r="D1166" t="s">
        <v>1857</v>
      </c>
      <c r="E1166" s="527" t="s">
        <v>18147</v>
      </c>
      <c r="F1166" s="220"/>
    </row>
    <row r="1167" spans="1:6" ht="14.4">
      <c r="A1167">
        <v>39013</v>
      </c>
      <c r="B1167" t="s">
        <v>18148</v>
      </c>
      <c r="C1167" t="s">
        <v>2269</v>
      </c>
      <c r="D1167" t="s">
        <v>1857</v>
      </c>
      <c r="E1167" s="527" t="s">
        <v>6909</v>
      </c>
      <c r="F1167" s="219"/>
    </row>
    <row r="1168" spans="1:6" ht="14.4">
      <c r="A1168">
        <v>43091</v>
      </c>
      <c r="B1168" t="s">
        <v>18149</v>
      </c>
      <c r="C1168" t="s">
        <v>2269</v>
      </c>
      <c r="D1168" t="s">
        <v>1857</v>
      </c>
      <c r="E1168" s="527" t="s">
        <v>18150</v>
      </c>
      <c r="F1168" s="220"/>
    </row>
    <row r="1169" spans="1:6" ht="14.4">
      <c r="A1169">
        <v>43092</v>
      </c>
      <c r="B1169" t="s">
        <v>18151</v>
      </c>
      <c r="C1169" t="s">
        <v>2269</v>
      </c>
      <c r="D1169" t="s">
        <v>1857</v>
      </c>
      <c r="E1169" s="527" t="s">
        <v>18152</v>
      </c>
      <c r="F1169" s="219"/>
    </row>
    <row r="1170" spans="1:6" ht="14.4">
      <c r="A1170">
        <v>43089</v>
      </c>
      <c r="B1170" t="s">
        <v>18153</v>
      </c>
      <c r="C1170" t="s">
        <v>2269</v>
      </c>
      <c r="D1170" t="s">
        <v>1857</v>
      </c>
      <c r="E1170" s="527" t="s">
        <v>18154</v>
      </c>
      <c r="F1170" s="220"/>
    </row>
    <row r="1171" spans="1:6" ht="14.4">
      <c r="A1171">
        <v>43090</v>
      </c>
      <c r="B1171" t="s">
        <v>18155</v>
      </c>
      <c r="C1171" t="s">
        <v>2269</v>
      </c>
      <c r="D1171" t="s">
        <v>1857</v>
      </c>
      <c r="E1171" s="527" t="s">
        <v>18156</v>
      </c>
      <c r="F1171" s="219"/>
    </row>
    <row r="1172" spans="1:6" ht="14.4">
      <c r="A1172">
        <v>41967</v>
      </c>
      <c r="B1172" t="s">
        <v>18157</v>
      </c>
      <c r="C1172" t="s">
        <v>2275</v>
      </c>
      <c r="D1172" t="s">
        <v>1857</v>
      </c>
      <c r="E1172" s="527" t="s">
        <v>9788</v>
      </c>
      <c r="F1172" s="220"/>
    </row>
    <row r="1173" spans="1:6" ht="14.4">
      <c r="A1173">
        <v>12760</v>
      </c>
      <c r="B1173" t="s">
        <v>18158</v>
      </c>
      <c r="C1173" t="s">
        <v>2270</v>
      </c>
      <c r="D1173" t="s">
        <v>1857</v>
      </c>
      <c r="E1173" s="527" t="s">
        <v>18159</v>
      </c>
      <c r="F1173" s="219"/>
    </row>
    <row r="1174" spans="1:6" ht="14.4">
      <c r="A1174">
        <v>12759</v>
      </c>
      <c r="B1174" t="s">
        <v>18160</v>
      </c>
      <c r="C1174" t="s">
        <v>2270</v>
      </c>
      <c r="D1174" t="s">
        <v>1857</v>
      </c>
      <c r="E1174" s="527" t="s">
        <v>18161</v>
      </c>
      <c r="F1174" s="220"/>
    </row>
    <row r="1175" spans="1:6" ht="14.4">
      <c r="A1175">
        <v>43105</v>
      </c>
      <c r="B1175" t="s">
        <v>18162</v>
      </c>
      <c r="C1175" t="s">
        <v>2274</v>
      </c>
      <c r="D1175" t="s">
        <v>1857</v>
      </c>
      <c r="E1175" s="527" t="s">
        <v>10262</v>
      </c>
      <c r="F1175" s="219"/>
    </row>
    <row r="1176" spans="1:6" ht="14.4">
      <c r="A1176">
        <v>40424</v>
      </c>
      <c r="B1176" t="s">
        <v>18163</v>
      </c>
      <c r="C1176" t="s">
        <v>2274</v>
      </c>
      <c r="D1176" t="s">
        <v>1857</v>
      </c>
      <c r="E1176" s="527" t="s">
        <v>10085</v>
      </c>
      <c r="F1176" s="220"/>
    </row>
    <row r="1177" spans="1:6" ht="14.4">
      <c r="A1177">
        <v>1325</v>
      </c>
      <c r="B1177" t="s">
        <v>18164</v>
      </c>
      <c r="C1177" t="s">
        <v>2274</v>
      </c>
      <c r="D1177" t="s">
        <v>1857</v>
      </c>
      <c r="E1177" s="527" t="s">
        <v>9485</v>
      </c>
      <c r="F1177" s="219"/>
    </row>
    <row r="1178" spans="1:6" ht="14.4">
      <c r="A1178">
        <v>1327</v>
      </c>
      <c r="B1178" t="s">
        <v>18165</v>
      </c>
      <c r="C1178" t="s">
        <v>2274</v>
      </c>
      <c r="D1178" t="s">
        <v>1857</v>
      </c>
      <c r="E1178" s="527" t="s">
        <v>16439</v>
      </c>
      <c r="F1178" s="220"/>
    </row>
    <row r="1179" spans="1:6" ht="14.4">
      <c r="A1179">
        <v>1328</v>
      </c>
      <c r="B1179" t="s">
        <v>18166</v>
      </c>
      <c r="C1179" t="s">
        <v>2274</v>
      </c>
      <c r="D1179" t="s">
        <v>1857</v>
      </c>
      <c r="E1179" s="527" t="s">
        <v>4738</v>
      </c>
      <c r="F1179" s="219"/>
    </row>
    <row r="1180" spans="1:6" ht="14.4">
      <c r="A1180">
        <v>1321</v>
      </c>
      <c r="B1180" t="s">
        <v>18167</v>
      </c>
      <c r="C1180" t="s">
        <v>2274</v>
      </c>
      <c r="D1180" t="s">
        <v>1857</v>
      </c>
      <c r="E1180" s="527" t="s">
        <v>9614</v>
      </c>
      <c r="F1180" s="220"/>
    </row>
    <row r="1181" spans="1:6" ht="14.4">
      <c r="A1181">
        <v>1318</v>
      </c>
      <c r="B1181" t="s">
        <v>18168</v>
      </c>
      <c r="C1181" t="s">
        <v>2274</v>
      </c>
      <c r="D1181" t="s">
        <v>1857</v>
      </c>
      <c r="E1181" s="527" t="s">
        <v>6529</v>
      </c>
      <c r="F1181" s="219"/>
    </row>
    <row r="1182" spans="1:6" ht="14.4">
      <c r="A1182">
        <v>1322</v>
      </c>
      <c r="B1182" t="s">
        <v>18169</v>
      </c>
      <c r="C1182" t="s">
        <v>2274</v>
      </c>
      <c r="D1182" t="s">
        <v>1857</v>
      </c>
      <c r="E1182" s="527" t="s">
        <v>9892</v>
      </c>
      <c r="F1182" s="220"/>
    </row>
    <row r="1183" spans="1:6" ht="14.4">
      <c r="A1183">
        <v>1323</v>
      </c>
      <c r="B1183" t="s">
        <v>18170</v>
      </c>
      <c r="C1183" t="s">
        <v>2274</v>
      </c>
      <c r="D1183" t="s">
        <v>1857</v>
      </c>
      <c r="E1183" s="527" t="s">
        <v>9892</v>
      </c>
      <c r="F1183" s="219"/>
    </row>
    <row r="1184" spans="1:6" ht="14.4">
      <c r="A1184">
        <v>1319</v>
      </c>
      <c r="B1184" t="s">
        <v>18171</v>
      </c>
      <c r="C1184" t="s">
        <v>2274</v>
      </c>
      <c r="D1184" t="s">
        <v>1857</v>
      </c>
      <c r="E1184" s="527" t="s">
        <v>7286</v>
      </c>
      <c r="F1184" s="220"/>
    </row>
    <row r="1185" spans="1:6" ht="14.4">
      <c r="A1185">
        <v>11026</v>
      </c>
      <c r="B1185" t="s">
        <v>18172</v>
      </c>
      <c r="C1185" t="s">
        <v>2274</v>
      </c>
      <c r="D1185" t="s">
        <v>1857</v>
      </c>
      <c r="E1185" s="527" t="s">
        <v>14101</v>
      </c>
      <c r="F1185" s="219"/>
    </row>
    <row r="1186" spans="1:6" ht="14.4">
      <c r="A1186">
        <v>11027</v>
      </c>
      <c r="B1186" t="s">
        <v>18173</v>
      </c>
      <c r="C1186" t="s">
        <v>2274</v>
      </c>
      <c r="D1186" t="s">
        <v>1857</v>
      </c>
      <c r="E1186" s="527" t="s">
        <v>16254</v>
      </c>
      <c r="F1186" s="220"/>
    </row>
    <row r="1187" spans="1:6" ht="14.4">
      <c r="A1187">
        <v>11046</v>
      </c>
      <c r="B1187" t="s">
        <v>18174</v>
      </c>
      <c r="C1187" t="s">
        <v>2274</v>
      </c>
      <c r="D1187" t="s">
        <v>1857</v>
      </c>
      <c r="E1187" s="527" t="s">
        <v>7332</v>
      </c>
      <c r="F1187" s="219"/>
    </row>
    <row r="1188" spans="1:6" ht="14.4">
      <c r="A1188">
        <v>11047</v>
      </c>
      <c r="B1188" t="s">
        <v>18175</v>
      </c>
      <c r="C1188" t="s">
        <v>2274</v>
      </c>
      <c r="D1188" t="s">
        <v>1857</v>
      </c>
      <c r="E1188" s="527" t="s">
        <v>5317</v>
      </c>
      <c r="F1188" s="220"/>
    </row>
    <row r="1189" spans="1:6" ht="14.4">
      <c r="A1189">
        <v>43668</v>
      </c>
      <c r="B1189" t="s">
        <v>18176</v>
      </c>
      <c r="C1189" t="s">
        <v>2274</v>
      </c>
      <c r="D1189" t="s">
        <v>1857</v>
      </c>
      <c r="E1189" s="527" t="s">
        <v>10305</v>
      </c>
      <c r="F1189" s="219"/>
    </row>
    <row r="1190" spans="1:6" ht="14.4">
      <c r="A1190">
        <v>11049</v>
      </c>
      <c r="B1190" t="s">
        <v>18177</v>
      </c>
      <c r="C1190" t="s">
        <v>2274</v>
      </c>
      <c r="D1190" t="s">
        <v>2268</v>
      </c>
      <c r="E1190" s="527" t="s">
        <v>10621</v>
      </c>
      <c r="F1190" s="220"/>
    </row>
    <row r="1191" spans="1:6" ht="14.4">
      <c r="A1191">
        <v>43106</v>
      </c>
      <c r="B1191" t="s">
        <v>18178</v>
      </c>
      <c r="C1191" t="s">
        <v>2274</v>
      </c>
      <c r="D1191" t="s">
        <v>1857</v>
      </c>
      <c r="E1191" s="527" t="s">
        <v>4706</v>
      </c>
      <c r="F1191" s="219"/>
    </row>
    <row r="1192" spans="1:6" ht="14.4">
      <c r="A1192">
        <v>11051</v>
      </c>
      <c r="B1192" t="s">
        <v>18179</v>
      </c>
      <c r="C1192" t="s">
        <v>2274</v>
      </c>
      <c r="D1192" t="s">
        <v>1857</v>
      </c>
      <c r="E1192" s="527" t="s">
        <v>16724</v>
      </c>
      <c r="F1192" s="220"/>
    </row>
    <row r="1193" spans="1:6" ht="14.4">
      <c r="A1193">
        <v>11061</v>
      </c>
      <c r="B1193" t="s">
        <v>18180</v>
      </c>
      <c r="C1193" t="s">
        <v>2274</v>
      </c>
      <c r="D1193" t="s">
        <v>1857</v>
      </c>
      <c r="E1193" s="527" t="s">
        <v>18181</v>
      </c>
      <c r="F1193" s="219"/>
    </row>
    <row r="1194" spans="1:6" ht="14.4">
      <c r="A1194">
        <v>43667</v>
      </c>
      <c r="B1194" t="s">
        <v>18182</v>
      </c>
      <c r="C1194" t="s">
        <v>2274</v>
      </c>
      <c r="D1194" t="s">
        <v>1857</v>
      </c>
      <c r="E1194" s="527" t="s">
        <v>9541</v>
      </c>
      <c r="F1194" s="220"/>
    </row>
    <row r="1195" spans="1:6" ht="14.4">
      <c r="A1195">
        <v>1333</v>
      </c>
      <c r="B1195" t="s">
        <v>18183</v>
      </c>
      <c r="C1195" t="s">
        <v>2274</v>
      </c>
      <c r="D1195" t="s">
        <v>1857</v>
      </c>
      <c r="E1195" s="527" t="s">
        <v>4761</v>
      </c>
      <c r="F1195" s="219"/>
    </row>
    <row r="1196" spans="1:6" ht="14.4">
      <c r="A1196">
        <v>1330</v>
      </c>
      <c r="B1196" t="s">
        <v>18184</v>
      </c>
      <c r="C1196" t="s">
        <v>2274</v>
      </c>
      <c r="D1196" t="s">
        <v>1857</v>
      </c>
      <c r="E1196" s="527" t="s">
        <v>12806</v>
      </c>
      <c r="F1196" s="220"/>
    </row>
    <row r="1197" spans="1:6" ht="14.4">
      <c r="A1197">
        <v>10957</v>
      </c>
      <c r="B1197" t="s">
        <v>18185</v>
      </c>
      <c r="C1197" t="s">
        <v>2274</v>
      </c>
      <c r="D1197" t="s">
        <v>1857</v>
      </c>
      <c r="E1197" s="527" t="s">
        <v>15553</v>
      </c>
      <c r="F1197" s="219"/>
    </row>
    <row r="1198" spans="1:6" ht="14.4">
      <c r="A1198">
        <v>1332</v>
      </c>
      <c r="B1198" t="s">
        <v>18186</v>
      </c>
      <c r="C1198" t="s">
        <v>2274</v>
      </c>
      <c r="D1198" t="s">
        <v>1857</v>
      </c>
      <c r="E1198" s="527" t="s">
        <v>10724</v>
      </c>
      <c r="F1198" s="220"/>
    </row>
    <row r="1199" spans="1:6" ht="14.4">
      <c r="A1199">
        <v>1334</v>
      </c>
      <c r="B1199" t="s">
        <v>18187</v>
      </c>
      <c r="C1199" t="s">
        <v>2274</v>
      </c>
      <c r="D1199" t="s">
        <v>1857</v>
      </c>
      <c r="E1199" s="527" t="s">
        <v>6094</v>
      </c>
      <c r="F1199" s="219"/>
    </row>
    <row r="1200" spans="1:6" ht="14.4">
      <c r="A1200">
        <v>1335</v>
      </c>
      <c r="B1200" t="s">
        <v>18188</v>
      </c>
      <c r="C1200" t="s">
        <v>2274</v>
      </c>
      <c r="D1200" t="s">
        <v>1857</v>
      </c>
      <c r="E1200" s="527" t="s">
        <v>10312</v>
      </c>
      <c r="F1200" s="220"/>
    </row>
    <row r="1201" spans="1:6" ht="14.4">
      <c r="A1201">
        <v>40425</v>
      </c>
      <c r="B1201" t="s">
        <v>18189</v>
      </c>
      <c r="C1201" t="s">
        <v>2274</v>
      </c>
      <c r="D1201" t="s">
        <v>1857</v>
      </c>
      <c r="E1201" s="527" t="s">
        <v>9932</v>
      </c>
      <c r="F1201" s="219"/>
    </row>
    <row r="1202" spans="1:6" ht="14.4">
      <c r="A1202">
        <v>1337</v>
      </c>
      <c r="B1202" t="s">
        <v>18190</v>
      </c>
      <c r="C1202" t="s">
        <v>2274</v>
      </c>
      <c r="D1202" t="s">
        <v>1857</v>
      </c>
      <c r="E1202" s="527" t="s">
        <v>15553</v>
      </c>
      <c r="F1202" s="220"/>
    </row>
    <row r="1203" spans="1:6" ht="14.4">
      <c r="A1203">
        <v>1338</v>
      </c>
      <c r="B1203" t="s">
        <v>18191</v>
      </c>
      <c r="C1203" t="s">
        <v>2270</v>
      </c>
      <c r="D1203" t="s">
        <v>2268</v>
      </c>
      <c r="E1203" s="527" t="s">
        <v>16257</v>
      </c>
      <c r="F1203" s="219"/>
    </row>
    <row r="1204" spans="1:6" ht="14.4">
      <c r="A1204">
        <v>1340</v>
      </c>
      <c r="B1204" t="s">
        <v>18192</v>
      </c>
      <c r="C1204" t="s">
        <v>2270</v>
      </c>
      <c r="D1204" t="s">
        <v>1857</v>
      </c>
      <c r="E1204" s="527" t="s">
        <v>11794</v>
      </c>
      <c r="F1204" s="220"/>
    </row>
    <row r="1205" spans="1:6" ht="14.4">
      <c r="A1205">
        <v>1341</v>
      </c>
      <c r="B1205" t="s">
        <v>18193</v>
      </c>
      <c r="C1205" t="s">
        <v>2270</v>
      </c>
      <c r="D1205" t="s">
        <v>1857</v>
      </c>
      <c r="E1205" s="527" t="s">
        <v>18194</v>
      </c>
      <c r="F1205" s="219"/>
    </row>
    <row r="1206" spans="1:6" ht="14.4">
      <c r="A1206">
        <v>11134</v>
      </c>
      <c r="B1206" t="s">
        <v>18195</v>
      </c>
      <c r="C1206" t="s">
        <v>2270</v>
      </c>
      <c r="D1206" t="s">
        <v>2268</v>
      </c>
      <c r="E1206" s="527" t="s">
        <v>16551</v>
      </c>
      <c r="F1206" s="220"/>
    </row>
    <row r="1207" spans="1:6" ht="14.4">
      <c r="A1207">
        <v>11135</v>
      </c>
      <c r="B1207" t="s">
        <v>18196</v>
      </c>
      <c r="C1207" t="s">
        <v>2270</v>
      </c>
      <c r="D1207" t="s">
        <v>1857</v>
      </c>
      <c r="E1207" s="527" t="s">
        <v>10188</v>
      </c>
      <c r="F1207" s="219"/>
    </row>
    <row r="1208" spans="1:6" ht="14.4">
      <c r="A1208">
        <v>11136</v>
      </c>
      <c r="B1208" t="s">
        <v>18197</v>
      </c>
      <c r="C1208" t="s">
        <v>2270</v>
      </c>
      <c r="D1208" t="s">
        <v>1857</v>
      </c>
      <c r="E1208" s="527" t="s">
        <v>18198</v>
      </c>
      <c r="F1208" s="220"/>
    </row>
    <row r="1209" spans="1:6" ht="14.4">
      <c r="A1209">
        <v>34743</v>
      </c>
      <c r="B1209" t="s">
        <v>18199</v>
      </c>
      <c r="C1209" t="s">
        <v>2270</v>
      </c>
      <c r="D1209" t="s">
        <v>1857</v>
      </c>
      <c r="E1209" s="527" t="s">
        <v>13938</v>
      </c>
      <c r="F1209" s="219"/>
    </row>
    <row r="1210" spans="1:6" ht="14.4">
      <c r="A1210">
        <v>11137</v>
      </c>
      <c r="B1210" t="s">
        <v>18200</v>
      </c>
      <c r="C1210" t="s">
        <v>2270</v>
      </c>
      <c r="D1210" t="s">
        <v>1857</v>
      </c>
      <c r="E1210" s="527" t="s">
        <v>16941</v>
      </c>
      <c r="F1210" s="220"/>
    </row>
    <row r="1211" spans="1:6" ht="14.4">
      <c r="A1211">
        <v>34745</v>
      </c>
      <c r="B1211" t="s">
        <v>18201</v>
      </c>
      <c r="C1211" t="s">
        <v>2270</v>
      </c>
      <c r="D1211" t="s">
        <v>1857</v>
      </c>
      <c r="E1211" s="527" t="s">
        <v>18202</v>
      </c>
      <c r="F1211" s="219"/>
    </row>
    <row r="1212" spans="1:6" ht="14.4">
      <c r="A1212">
        <v>34746</v>
      </c>
      <c r="B1212" t="s">
        <v>18203</v>
      </c>
      <c r="C1212" t="s">
        <v>2270</v>
      </c>
      <c r="D1212" t="s">
        <v>1857</v>
      </c>
      <c r="E1212" s="527" t="s">
        <v>11622</v>
      </c>
      <c r="F1212" s="220"/>
    </row>
    <row r="1213" spans="1:6" ht="14.4">
      <c r="A1213">
        <v>1360</v>
      </c>
      <c r="B1213" t="s">
        <v>18204</v>
      </c>
      <c r="C1213" t="s">
        <v>2270</v>
      </c>
      <c r="D1213" t="s">
        <v>1857</v>
      </c>
      <c r="E1213" s="527" t="s">
        <v>11699</v>
      </c>
      <c r="F1213" s="219"/>
    </row>
    <row r="1214" spans="1:6" ht="14.4">
      <c r="A1214">
        <v>1346</v>
      </c>
      <c r="B1214" t="s">
        <v>18205</v>
      </c>
      <c r="C1214" t="s">
        <v>2270</v>
      </c>
      <c r="D1214" t="s">
        <v>1857</v>
      </c>
      <c r="E1214" s="527" t="s">
        <v>15800</v>
      </c>
      <c r="F1214" s="220"/>
    </row>
    <row r="1215" spans="1:6" ht="14.4">
      <c r="A1215">
        <v>1345</v>
      </c>
      <c r="B1215" t="s">
        <v>18206</v>
      </c>
      <c r="C1215" t="s">
        <v>2270</v>
      </c>
      <c r="D1215" t="s">
        <v>1857</v>
      </c>
      <c r="E1215" s="527" t="s">
        <v>18207</v>
      </c>
      <c r="F1215" s="219"/>
    </row>
    <row r="1216" spans="1:6" ht="14.4">
      <c r="A1216">
        <v>1347</v>
      </c>
      <c r="B1216" t="s">
        <v>18208</v>
      </c>
      <c r="C1216" t="s">
        <v>2270</v>
      </c>
      <c r="D1216" t="s">
        <v>2268</v>
      </c>
      <c r="E1216" s="527" t="s">
        <v>10023</v>
      </c>
      <c r="F1216" s="220"/>
    </row>
    <row r="1217" spans="1:6" ht="14.4">
      <c r="A1217">
        <v>1355</v>
      </c>
      <c r="B1217" t="s">
        <v>18209</v>
      </c>
      <c r="C1217" t="s">
        <v>2270</v>
      </c>
      <c r="D1217" t="s">
        <v>1857</v>
      </c>
      <c r="E1217" s="527" t="s">
        <v>10060</v>
      </c>
      <c r="F1217" s="219"/>
    </row>
    <row r="1218" spans="1:6" ht="14.4">
      <c r="A1218">
        <v>1358</v>
      </c>
      <c r="B1218" t="s">
        <v>18210</v>
      </c>
      <c r="C1218" t="s">
        <v>2270</v>
      </c>
      <c r="D1218" t="s">
        <v>1857</v>
      </c>
      <c r="E1218" s="527" t="s">
        <v>3266</v>
      </c>
      <c r="F1218" s="220"/>
    </row>
    <row r="1219" spans="1:6" ht="14.4">
      <c r="A1219">
        <v>34659</v>
      </c>
      <c r="B1219" t="s">
        <v>18211</v>
      </c>
      <c r="C1219" t="s">
        <v>2270</v>
      </c>
      <c r="D1219" t="s">
        <v>2271</v>
      </c>
      <c r="E1219" s="527" t="s">
        <v>14670</v>
      </c>
      <c r="F1219" s="219"/>
    </row>
    <row r="1220" spans="1:6" ht="14.4">
      <c r="A1220">
        <v>34514</v>
      </c>
      <c r="B1220" t="s">
        <v>18212</v>
      </c>
      <c r="C1220" t="s">
        <v>2270</v>
      </c>
      <c r="D1220" t="s">
        <v>2271</v>
      </c>
      <c r="E1220" s="527" t="s">
        <v>18213</v>
      </c>
      <c r="F1220" s="220"/>
    </row>
    <row r="1221" spans="1:6" ht="14.4">
      <c r="A1221">
        <v>34660</v>
      </c>
      <c r="B1221" t="s">
        <v>18214</v>
      </c>
      <c r="C1221" t="s">
        <v>2270</v>
      </c>
      <c r="D1221" t="s">
        <v>2271</v>
      </c>
      <c r="E1221" s="527" t="s">
        <v>14343</v>
      </c>
      <c r="F1221" s="219"/>
    </row>
    <row r="1222" spans="1:6" ht="14.4">
      <c r="A1222">
        <v>34661</v>
      </c>
      <c r="B1222" t="s">
        <v>18215</v>
      </c>
      <c r="C1222" t="s">
        <v>2270</v>
      </c>
      <c r="D1222" t="s">
        <v>2271</v>
      </c>
      <c r="E1222" s="527" t="s">
        <v>18216</v>
      </c>
      <c r="F1222" s="220"/>
    </row>
    <row r="1223" spans="1:6" ht="14.4">
      <c r="A1223">
        <v>34667</v>
      </c>
      <c r="B1223" t="s">
        <v>18217</v>
      </c>
      <c r="C1223" t="s">
        <v>2270</v>
      </c>
      <c r="D1223" t="s">
        <v>2271</v>
      </c>
      <c r="E1223" s="527" t="s">
        <v>16264</v>
      </c>
      <c r="F1223" s="219"/>
    </row>
    <row r="1224" spans="1:6" ht="14.4">
      <c r="A1224">
        <v>34668</v>
      </c>
      <c r="B1224" t="s">
        <v>18218</v>
      </c>
      <c r="C1224" t="s">
        <v>2270</v>
      </c>
      <c r="D1224" t="s">
        <v>2271</v>
      </c>
      <c r="E1224" s="527" t="s">
        <v>18219</v>
      </c>
      <c r="F1224" s="220"/>
    </row>
    <row r="1225" spans="1:6" ht="14.4">
      <c r="A1225">
        <v>34741</v>
      </c>
      <c r="B1225" t="s">
        <v>18220</v>
      </c>
      <c r="C1225" t="s">
        <v>2270</v>
      </c>
      <c r="D1225" t="s">
        <v>2271</v>
      </c>
      <c r="E1225" s="527" t="s">
        <v>9484</v>
      </c>
      <c r="F1225" s="219"/>
    </row>
    <row r="1226" spans="1:6" ht="14.4">
      <c r="A1226">
        <v>34664</v>
      </c>
      <c r="B1226" t="s">
        <v>18221</v>
      </c>
      <c r="C1226" t="s">
        <v>2270</v>
      </c>
      <c r="D1226" t="s">
        <v>2271</v>
      </c>
      <c r="E1226" s="527" t="s">
        <v>18222</v>
      </c>
      <c r="F1226" s="220"/>
    </row>
    <row r="1227" spans="1:6" ht="14.4">
      <c r="A1227">
        <v>34665</v>
      </c>
      <c r="B1227" t="s">
        <v>18223</v>
      </c>
      <c r="C1227" t="s">
        <v>2270</v>
      </c>
      <c r="D1227" t="s">
        <v>2271</v>
      </c>
      <c r="E1227" s="527" t="s">
        <v>15833</v>
      </c>
      <c r="F1227" s="219"/>
    </row>
    <row r="1228" spans="1:6" ht="14.4">
      <c r="A1228">
        <v>34666</v>
      </c>
      <c r="B1228" t="s">
        <v>18224</v>
      </c>
      <c r="C1228" t="s">
        <v>2270</v>
      </c>
      <c r="D1228" t="s">
        <v>2271</v>
      </c>
      <c r="E1228" s="527" t="s">
        <v>15823</v>
      </c>
      <c r="F1228" s="220"/>
    </row>
    <row r="1229" spans="1:6" ht="14.4">
      <c r="A1229">
        <v>34669</v>
      </c>
      <c r="B1229" t="s">
        <v>18225</v>
      </c>
      <c r="C1229" t="s">
        <v>2270</v>
      </c>
      <c r="D1229" t="s">
        <v>2271</v>
      </c>
      <c r="E1229" s="527" t="s">
        <v>18226</v>
      </c>
      <c r="F1229" s="219"/>
    </row>
    <row r="1230" spans="1:6" ht="14.4">
      <c r="A1230">
        <v>34670</v>
      </c>
      <c r="B1230" t="s">
        <v>18227</v>
      </c>
      <c r="C1230" t="s">
        <v>2270</v>
      </c>
      <c r="D1230" t="s">
        <v>2271</v>
      </c>
      <c r="E1230" s="527" t="s">
        <v>18228</v>
      </c>
      <c r="F1230" s="220"/>
    </row>
    <row r="1231" spans="1:6" ht="14.4">
      <c r="A1231">
        <v>34671</v>
      </c>
      <c r="B1231" t="s">
        <v>18229</v>
      </c>
      <c r="C1231" t="s">
        <v>2270</v>
      </c>
      <c r="D1231" t="s">
        <v>2271</v>
      </c>
      <c r="E1231" s="527" t="s">
        <v>10227</v>
      </c>
      <c r="F1231" s="219"/>
    </row>
    <row r="1232" spans="1:6" ht="14.4">
      <c r="A1232">
        <v>34672</v>
      </c>
      <c r="B1232" t="s">
        <v>18230</v>
      </c>
      <c r="C1232" t="s">
        <v>2270</v>
      </c>
      <c r="D1232" t="s">
        <v>2271</v>
      </c>
      <c r="E1232" s="527" t="s">
        <v>14333</v>
      </c>
      <c r="F1232" s="220"/>
    </row>
    <row r="1233" spans="1:6" ht="14.4">
      <c r="A1233">
        <v>34673</v>
      </c>
      <c r="B1233" t="s">
        <v>18231</v>
      </c>
      <c r="C1233" t="s">
        <v>2270</v>
      </c>
      <c r="D1233" t="s">
        <v>2271</v>
      </c>
      <c r="E1233" s="527" t="s">
        <v>14335</v>
      </c>
      <c r="F1233" s="219"/>
    </row>
    <row r="1234" spans="1:6" ht="14.4">
      <c r="A1234">
        <v>34674</v>
      </c>
      <c r="B1234" t="s">
        <v>18232</v>
      </c>
      <c r="C1234" t="s">
        <v>2270</v>
      </c>
      <c r="D1234" t="s">
        <v>2271</v>
      </c>
      <c r="E1234" s="527" t="s">
        <v>18233</v>
      </c>
      <c r="F1234" s="220"/>
    </row>
    <row r="1235" spans="1:6" ht="14.4">
      <c r="A1235">
        <v>34675</v>
      </c>
      <c r="B1235" t="s">
        <v>18234</v>
      </c>
      <c r="C1235" t="s">
        <v>2270</v>
      </c>
      <c r="D1235" t="s">
        <v>2271</v>
      </c>
      <c r="E1235" s="527" t="s">
        <v>16453</v>
      </c>
      <c r="F1235" s="219"/>
    </row>
    <row r="1236" spans="1:6" ht="14.4">
      <c r="A1236">
        <v>34676</v>
      </c>
      <c r="B1236" t="s">
        <v>18235</v>
      </c>
      <c r="C1236" t="s">
        <v>2270</v>
      </c>
      <c r="D1236" t="s">
        <v>2271</v>
      </c>
      <c r="E1236" s="527" t="s">
        <v>10170</v>
      </c>
      <c r="F1236" s="220"/>
    </row>
    <row r="1237" spans="1:6" ht="14.4">
      <c r="A1237">
        <v>34677</v>
      </c>
      <c r="B1237" t="s">
        <v>18236</v>
      </c>
      <c r="C1237" t="s">
        <v>2270</v>
      </c>
      <c r="D1237" t="s">
        <v>2271</v>
      </c>
      <c r="E1237" s="527" t="s">
        <v>18237</v>
      </c>
      <c r="F1237" s="219"/>
    </row>
    <row r="1238" spans="1:6" ht="14.4">
      <c r="A1238">
        <v>43126</v>
      </c>
      <c r="B1238" t="s">
        <v>18238</v>
      </c>
      <c r="C1238" t="s">
        <v>2270</v>
      </c>
      <c r="D1238" t="s">
        <v>2271</v>
      </c>
      <c r="E1238" s="527" t="s">
        <v>15631</v>
      </c>
      <c r="F1238" s="220"/>
    </row>
    <row r="1239" spans="1:6" ht="14.4">
      <c r="A1239">
        <v>43124</v>
      </c>
      <c r="B1239" t="s">
        <v>18239</v>
      </c>
      <c r="C1239" t="s">
        <v>2270</v>
      </c>
      <c r="D1239" t="s">
        <v>2271</v>
      </c>
      <c r="E1239" s="527" t="s">
        <v>16142</v>
      </c>
      <c r="F1239" s="219"/>
    </row>
    <row r="1240" spans="1:6" ht="14.4">
      <c r="A1240">
        <v>43125</v>
      </c>
      <c r="B1240" t="s">
        <v>18240</v>
      </c>
      <c r="C1240" t="s">
        <v>2270</v>
      </c>
      <c r="D1240" t="s">
        <v>2271</v>
      </c>
      <c r="E1240" s="527" t="s">
        <v>18241</v>
      </c>
      <c r="F1240" s="220"/>
    </row>
    <row r="1241" spans="1:6" ht="14.4">
      <c r="A1241">
        <v>40623</v>
      </c>
      <c r="B1241" t="s">
        <v>18242</v>
      </c>
      <c r="C1241" t="s">
        <v>2278</v>
      </c>
      <c r="D1241" t="s">
        <v>1857</v>
      </c>
      <c r="E1241" s="527" t="s">
        <v>18243</v>
      </c>
      <c r="F1241" s="219"/>
    </row>
    <row r="1242" spans="1:6" ht="14.4">
      <c r="A1242">
        <v>43701</v>
      </c>
      <c r="B1242" t="s">
        <v>18244</v>
      </c>
      <c r="C1242" t="s">
        <v>2274</v>
      </c>
      <c r="D1242" t="s">
        <v>2271</v>
      </c>
      <c r="E1242" s="527" t="s">
        <v>10160</v>
      </c>
      <c r="F1242" s="220"/>
    </row>
    <row r="1243" spans="1:6" ht="14.4">
      <c r="A1243">
        <v>12083</v>
      </c>
      <c r="B1243" t="s">
        <v>18245</v>
      </c>
      <c r="C1243" t="s">
        <v>2269</v>
      </c>
      <c r="D1243" t="s">
        <v>2271</v>
      </c>
      <c r="E1243" s="527" t="s">
        <v>18246</v>
      </c>
      <c r="F1243" s="219"/>
    </row>
    <row r="1244" spans="1:6" ht="14.4">
      <c r="A1244">
        <v>12081</v>
      </c>
      <c r="B1244" t="s">
        <v>18247</v>
      </c>
      <c r="C1244" t="s">
        <v>2269</v>
      </c>
      <c r="D1244" t="s">
        <v>2271</v>
      </c>
      <c r="E1244" s="527" t="s">
        <v>18248</v>
      </c>
      <c r="F1244" s="220"/>
    </row>
    <row r="1245" spans="1:6" ht="14.4">
      <c r="A1245">
        <v>12082</v>
      </c>
      <c r="B1245" t="s">
        <v>18249</v>
      </c>
      <c r="C1245" t="s">
        <v>2269</v>
      </c>
      <c r="D1245" t="s">
        <v>2271</v>
      </c>
      <c r="E1245" s="527" t="s">
        <v>18250</v>
      </c>
      <c r="F1245" s="219"/>
    </row>
    <row r="1246" spans="1:6" ht="14.4">
      <c r="A1246">
        <v>13354</v>
      </c>
      <c r="B1246" t="s">
        <v>18251</v>
      </c>
      <c r="C1246" t="s">
        <v>2269</v>
      </c>
      <c r="D1246" t="s">
        <v>2271</v>
      </c>
      <c r="E1246" s="527" t="s">
        <v>18252</v>
      </c>
      <c r="F1246" s="220"/>
    </row>
    <row r="1247" spans="1:6" ht="14.4">
      <c r="A1247">
        <v>14057</v>
      </c>
      <c r="B1247" t="s">
        <v>18253</v>
      </c>
      <c r="C1247" t="s">
        <v>2269</v>
      </c>
      <c r="D1247" t="s">
        <v>2271</v>
      </c>
      <c r="E1247" s="527" t="s">
        <v>15718</v>
      </c>
      <c r="F1247" s="219"/>
    </row>
    <row r="1248" spans="1:6" ht="14.4">
      <c r="A1248">
        <v>14058</v>
      </c>
      <c r="B1248" t="s">
        <v>18254</v>
      </c>
      <c r="C1248" t="s">
        <v>2269</v>
      </c>
      <c r="D1248" t="s">
        <v>2271</v>
      </c>
      <c r="E1248" s="527" t="s">
        <v>18255</v>
      </c>
      <c r="F1248" s="220"/>
    </row>
    <row r="1249" spans="1:6" ht="14.4">
      <c r="A1249">
        <v>20971</v>
      </c>
      <c r="B1249" t="s">
        <v>18256</v>
      </c>
      <c r="C1249" t="s">
        <v>2269</v>
      </c>
      <c r="D1249" t="s">
        <v>1857</v>
      </c>
      <c r="E1249" s="527" t="s">
        <v>18257</v>
      </c>
      <c r="F1249" s="219"/>
    </row>
    <row r="1250" spans="1:6" ht="14.4">
      <c r="A1250">
        <v>5047</v>
      </c>
      <c r="B1250" t="s">
        <v>18258</v>
      </c>
      <c r="C1250" t="s">
        <v>2269</v>
      </c>
      <c r="D1250" t="s">
        <v>2271</v>
      </c>
      <c r="E1250" s="527" t="s">
        <v>18259</v>
      </c>
      <c r="F1250" s="220"/>
    </row>
    <row r="1251" spans="1:6" ht="14.4">
      <c r="A1251">
        <v>13369</v>
      </c>
      <c r="B1251" t="s">
        <v>18260</v>
      </c>
      <c r="C1251" t="s">
        <v>2269</v>
      </c>
      <c r="D1251" t="s">
        <v>2271</v>
      </c>
      <c r="E1251" s="527" t="s">
        <v>18261</v>
      </c>
      <c r="F1251" s="219"/>
    </row>
    <row r="1252" spans="1:6" ht="14.4">
      <c r="A1252">
        <v>13370</v>
      </c>
      <c r="B1252" t="s">
        <v>18262</v>
      </c>
      <c r="C1252" t="s">
        <v>2269</v>
      </c>
      <c r="D1252" t="s">
        <v>2271</v>
      </c>
      <c r="E1252" s="527" t="s">
        <v>18263</v>
      </c>
      <c r="F1252" s="220"/>
    </row>
    <row r="1253" spans="1:6" ht="14.4">
      <c r="A1253">
        <v>13279</v>
      </c>
      <c r="B1253" t="s">
        <v>18264</v>
      </c>
      <c r="C1253" t="s">
        <v>2274</v>
      </c>
      <c r="D1253" t="s">
        <v>2271</v>
      </c>
      <c r="E1253" s="527" t="s">
        <v>10297</v>
      </c>
      <c r="F1253" s="219"/>
    </row>
    <row r="1254" spans="1:6" ht="14.4">
      <c r="A1254">
        <v>11977</v>
      </c>
      <c r="B1254" t="s">
        <v>18265</v>
      </c>
      <c r="C1254" t="s">
        <v>2269</v>
      </c>
      <c r="D1254" t="s">
        <v>2271</v>
      </c>
      <c r="E1254" s="527" t="s">
        <v>4732</v>
      </c>
      <c r="F1254" s="220"/>
    </row>
    <row r="1255" spans="1:6" ht="14.4">
      <c r="A1255">
        <v>11975</v>
      </c>
      <c r="B1255" t="s">
        <v>18266</v>
      </c>
      <c r="C1255" t="s">
        <v>2269</v>
      </c>
      <c r="D1255" t="s">
        <v>2271</v>
      </c>
      <c r="E1255" s="527" t="s">
        <v>13251</v>
      </c>
      <c r="F1255" s="219"/>
    </row>
    <row r="1256" spans="1:6" ht="14.4">
      <c r="A1256">
        <v>39746</v>
      </c>
      <c r="B1256" t="s">
        <v>18267</v>
      </c>
      <c r="C1256" t="s">
        <v>2269</v>
      </c>
      <c r="D1256" t="s">
        <v>2271</v>
      </c>
      <c r="E1256" s="527" t="s">
        <v>15806</v>
      </c>
      <c r="F1256" s="220"/>
    </row>
    <row r="1257" spans="1:6" ht="14.4">
      <c r="A1257">
        <v>11976</v>
      </c>
      <c r="B1257" t="s">
        <v>18268</v>
      </c>
      <c r="C1257" t="s">
        <v>2269</v>
      </c>
      <c r="D1257" t="s">
        <v>2271</v>
      </c>
      <c r="E1257" s="527" t="s">
        <v>3573</v>
      </c>
      <c r="F1257" s="219"/>
    </row>
    <row r="1258" spans="1:6" ht="14.4">
      <c r="A1258">
        <v>1368</v>
      </c>
      <c r="B1258" t="s">
        <v>18269</v>
      </c>
      <c r="C1258" t="s">
        <v>2269</v>
      </c>
      <c r="D1258" t="s">
        <v>2268</v>
      </c>
      <c r="E1258" s="527" t="s">
        <v>18270</v>
      </c>
      <c r="F1258" s="220"/>
    </row>
    <row r="1259" spans="1:6" ht="14.4">
      <c r="A1259">
        <v>1367</v>
      </c>
      <c r="B1259" t="s">
        <v>18271</v>
      </c>
      <c r="C1259" t="s">
        <v>2269</v>
      </c>
      <c r="D1259" t="s">
        <v>1857</v>
      </c>
      <c r="E1259" s="527" t="s">
        <v>16309</v>
      </c>
      <c r="F1259" s="219"/>
    </row>
    <row r="1260" spans="1:6" ht="14.4">
      <c r="A1260">
        <v>41899</v>
      </c>
      <c r="B1260" t="s">
        <v>18272</v>
      </c>
      <c r="C1260" t="s">
        <v>2281</v>
      </c>
      <c r="D1260" t="s">
        <v>2271</v>
      </c>
      <c r="E1260" s="527" t="s">
        <v>18273</v>
      </c>
      <c r="F1260" s="220"/>
    </row>
    <row r="1261" spans="1:6" ht="14.4">
      <c r="A1261">
        <v>1380</v>
      </c>
      <c r="B1261" t="s">
        <v>18274</v>
      </c>
      <c r="C1261" t="s">
        <v>2274</v>
      </c>
      <c r="D1261" t="s">
        <v>1857</v>
      </c>
      <c r="E1261" s="527" t="s">
        <v>3622</v>
      </c>
      <c r="F1261" s="219"/>
    </row>
    <row r="1262" spans="1:6" ht="14.4">
      <c r="A1262">
        <v>1375</v>
      </c>
      <c r="B1262" t="s">
        <v>18275</v>
      </c>
      <c r="C1262" t="s">
        <v>2274</v>
      </c>
      <c r="D1262" t="s">
        <v>1857</v>
      </c>
      <c r="E1262" s="527" t="s">
        <v>10025</v>
      </c>
      <c r="F1262" s="220"/>
    </row>
    <row r="1263" spans="1:6" ht="14.4">
      <c r="A1263">
        <v>1379</v>
      </c>
      <c r="B1263" t="s">
        <v>18276</v>
      </c>
      <c r="C1263" t="s">
        <v>2274</v>
      </c>
      <c r="D1263" t="s">
        <v>2268</v>
      </c>
      <c r="E1263" s="527" t="s">
        <v>3571</v>
      </c>
      <c r="F1263" s="219"/>
    </row>
    <row r="1264" spans="1:6" ht="14.4">
      <c r="A1264">
        <v>13284</v>
      </c>
      <c r="B1264" t="s">
        <v>18277</v>
      </c>
      <c r="C1264" t="s">
        <v>2274</v>
      </c>
      <c r="D1264" t="s">
        <v>1857</v>
      </c>
      <c r="E1264" s="527" t="s">
        <v>3571</v>
      </c>
      <c r="F1264" s="220"/>
    </row>
    <row r="1265" spans="1:6" ht="14.4">
      <c r="A1265">
        <v>25974</v>
      </c>
      <c r="B1265" t="s">
        <v>18278</v>
      </c>
      <c r="C1265" t="s">
        <v>2274</v>
      </c>
      <c r="D1265" t="s">
        <v>1857</v>
      </c>
      <c r="E1265" s="527" t="s">
        <v>7280</v>
      </c>
      <c r="F1265" s="219"/>
    </row>
    <row r="1266" spans="1:6" ht="14.4">
      <c r="A1266">
        <v>34753</v>
      </c>
      <c r="B1266" t="s">
        <v>18279</v>
      </c>
      <c r="C1266" t="s">
        <v>2274</v>
      </c>
      <c r="D1266" t="s">
        <v>1857</v>
      </c>
      <c r="E1266" s="527" t="s">
        <v>3817</v>
      </c>
      <c r="F1266" s="220"/>
    </row>
    <row r="1267" spans="1:6" ht="14.4">
      <c r="A1267">
        <v>420</v>
      </c>
      <c r="B1267" t="s">
        <v>18280</v>
      </c>
      <c r="C1267" t="s">
        <v>2269</v>
      </c>
      <c r="D1267" t="s">
        <v>1857</v>
      </c>
      <c r="E1267" s="527" t="s">
        <v>9767</v>
      </c>
      <c r="F1267" s="219"/>
    </row>
    <row r="1268" spans="1:6" ht="14.4">
      <c r="A1268">
        <v>12327</v>
      </c>
      <c r="B1268" t="s">
        <v>18281</v>
      </c>
      <c r="C1268" t="s">
        <v>2269</v>
      </c>
      <c r="D1268" t="s">
        <v>1857</v>
      </c>
      <c r="E1268" s="527" t="s">
        <v>16217</v>
      </c>
      <c r="F1268" s="220"/>
    </row>
    <row r="1269" spans="1:6" ht="14.4">
      <c r="A1269">
        <v>36148</v>
      </c>
      <c r="B1269" t="s">
        <v>18282</v>
      </c>
      <c r="C1269" t="s">
        <v>2269</v>
      </c>
      <c r="D1269" t="s">
        <v>1857</v>
      </c>
      <c r="E1269" s="527" t="s">
        <v>15840</v>
      </c>
      <c r="F1269" s="219"/>
    </row>
    <row r="1270" spans="1:6" ht="14.4">
      <c r="A1270">
        <v>12329</v>
      </c>
      <c r="B1270" t="s">
        <v>18283</v>
      </c>
      <c r="C1270" t="s">
        <v>2274</v>
      </c>
      <c r="D1270" t="s">
        <v>1857</v>
      </c>
      <c r="E1270" s="527" t="s">
        <v>15258</v>
      </c>
      <c r="F1270" s="220"/>
    </row>
    <row r="1271" spans="1:6" ht="14.4">
      <c r="A1271">
        <v>1339</v>
      </c>
      <c r="B1271" t="s">
        <v>18284</v>
      </c>
      <c r="C1271" t="s">
        <v>2274</v>
      </c>
      <c r="D1271" t="s">
        <v>1857</v>
      </c>
      <c r="E1271" s="527" t="s">
        <v>15836</v>
      </c>
      <c r="F1271" s="219"/>
    </row>
    <row r="1272" spans="1:6" ht="14.4">
      <c r="A1272">
        <v>44396</v>
      </c>
      <c r="B1272" t="s">
        <v>18285</v>
      </c>
      <c r="C1272" t="s">
        <v>2274</v>
      </c>
      <c r="D1272" t="s">
        <v>1857</v>
      </c>
      <c r="E1272" s="527" t="s">
        <v>18286</v>
      </c>
      <c r="F1272" s="220"/>
    </row>
    <row r="1273" spans="1:6" ht="14.4">
      <c r="A1273">
        <v>11849</v>
      </c>
      <c r="B1273" t="s">
        <v>18285</v>
      </c>
      <c r="C1273" t="s">
        <v>2275</v>
      </c>
      <c r="D1273" t="s">
        <v>1857</v>
      </c>
      <c r="E1273" s="527" t="s">
        <v>11175</v>
      </c>
      <c r="F1273" s="219"/>
    </row>
    <row r="1274" spans="1:6" ht="14.4">
      <c r="A1274">
        <v>44327</v>
      </c>
      <c r="B1274" t="s">
        <v>18287</v>
      </c>
      <c r="C1274" t="s">
        <v>2275</v>
      </c>
      <c r="D1274" t="s">
        <v>1857</v>
      </c>
      <c r="E1274" s="527" t="s">
        <v>18288</v>
      </c>
      <c r="F1274" s="220"/>
    </row>
    <row r="1275" spans="1:6" ht="14.4">
      <c r="A1275">
        <v>37418</v>
      </c>
      <c r="B1275" t="s">
        <v>18289</v>
      </c>
      <c r="C1275" t="s">
        <v>2269</v>
      </c>
      <c r="D1275" t="s">
        <v>2271</v>
      </c>
      <c r="E1275" s="527" t="s">
        <v>16571</v>
      </c>
      <c r="F1275" s="219"/>
    </row>
    <row r="1276" spans="1:6" ht="14.4">
      <c r="A1276">
        <v>37419</v>
      </c>
      <c r="B1276" t="s">
        <v>18290</v>
      </c>
      <c r="C1276" t="s">
        <v>2269</v>
      </c>
      <c r="D1276" t="s">
        <v>2271</v>
      </c>
      <c r="E1276" s="527" t="s">
        <v>10726</v>
      </c>
      <c r="F1276" s="220"/>
    </row>
    <row r="1277" spans="1:6" ht="14.4">
      <c r="A1277">
        <v>1427</v>
      </c>
      <c r="B1277" t="s">
        <v>18291</v>
      </c>
      <c r="C1277" t="s">
        <v>2269</v>
      </c>
      <c r="D1277" t="s">
        <v>2271</v>
      </c>
      <c r="E1277" s="527" t="s">
        <v>9613</v>
      </c>
      <c r="F1277" s="219"/>
    </row>
    <row r="1278" spans="1:6" ht="14.4">
      <c r="A1278">
        <v>1402</v>
      </c>
      <c r="B1278" t="s">
        <v>18292</v>
      </c>
      <c r="C1278" t="s">
        <v>2269</v>
      </c>
      <c r="D1278" t="s">
        <v>2271</v>
      </c>
      <c r="E1278" s="527" t="s">
        <v>4812</v>
      </c>
      <c r="F1278" s="220"/>
    </row>
    <row r="1279" spans="1:6" ht="14.4">
      <c r="A1279">
        <v>1420</v>
      </c>
      <c r="B1279" t="s">
        <v>18293</v>
      </c>
      <c r="C1279" t="s">
        <v>2269</v>
      </c>
      <c r="D1279" t="s">
        <v>2271</v>
      </c>
      <c r="E1279" s="527" t="s">
        <v>16240</v>
      </c>
      <c r="F1279" s="219"/>
    </row>
    <row r="1280" spans="1:6" ht="14.4">
      <c r="A1280">
        <v>1419</v>
      </c>
      <c r="B1280" t="s">
        <v>18294</v>
      </c>
      <c r="C1280" t="s">
        <v>2269</v>
      </c>
      <c r="D1280" t="s">
        <v>2271</v>
      </c>
      <c r="E1280" s="527" t="s">
        <v>9997</v>
      </c>
      <c r="F1280" s="220"/>
    </row>
    <row r="1281" spans="1:6" ht="14.4">
      <c r="A1281">
        <v>1414</v>
      </c>
      <c r="B1281" t="s">
        <v>18295</v>
      </c>
      <c r="C1281" t="s">
        <v>2269</v>
      </c>
      <c r="D1281" t="s">
        <v>2271</v>
      </c>
      <c r="E1281" s="527" t="s">
        <v>16429</v>
      </c>
      <c r="F1281" s="219"/>
    </row>
    <row r="1282" spans="1:6" ht="14.4">
      <c r="A1282">
        <v>1413</v>
      </c>
      <c r="B1282" t="s">
        <v>18296</v>
      </c>
      <c r="C1282" t="s">
        <v>2269</v>
      </c>
      <c r="D1282" t="s">
        <v>2271</v>
      </c>
      <c r="E1282" s="527" t="s">
        <v>4007</v>
      </c>
      <c r="F1282" s="220"/>
    </row>
    <row r="1283" spans="1:6" ht="14.4">
      <c r="A1283">
        <v>1412</v>
      </c>
      <c r="B1283" t="s">
        <v>18297</v>
      </c>
      <c r="C1283" t="s">
        <v>2269</v>
      </c>
      <c r="D1283" t="s">
        <v>2271</v>
      </c>
      <c r="E1283" s="527" t="s">
        <v>5373</v>
      </c>
      <c r="F1283" s="219"/>
    </row>
    <row r="1284" spans="1:6" ht="14.4">
      <c r="A1284">
        <v>1411</v>
      </c>
      <c r="B1284" t="s">
        <v>18298</v>
      </c>
      <c r="C1284" t="s">
        <v>2269</v>
      </c>
      <c r="D1284" t="s">
        <v>2271</v>
      </c>
      <c r="E1284" s="527" t="s">
        <v>18299</v>
      </c>
      <c r="F1284" s="220"/>
    </row>
    <row r="1285" spans="1:6" ht="14.4">
      <c r="A1285">
        <v>1406</v>
      </c>
      <c r="B1285" t="s">
        <v>18300</v>
      </c>
      <c r="C1285" t="s">
        <v>2269</v>
      </c>
      <c r="D1285" t="s">
        <v>2271</v>
      </c>
      <c r="E1285" s="527" t="s">
        <v>9573</v>
      </c>
      <c r="F1285" s="219"/>
    </row>
    <row r="1286" spans="1:6" ht="14.4">
      <c r="A1286">
        <v>1407</v>
      </c>
      <c r="B1286" t="s">
        <v>18301</v>
      </c>
      <c r="C1286" t="s">
        <v>2269</v>
      </c>
      <c r="D1286" t="s">
        <v>2271</v>
      </c>
      <c r="E1286" s="527" t="s">
        <v>10283</v>
      </c>
      <c r="F1286" s="220"/>
    </row>
    <row r="1287" spans="1:6" ht="14.4">
      <c r="A1287">
        <v>1404</v>
      </c>
      <c r="B1287" t="s">
        <v>18302</v>
      </c>
      <c r="C1287" t="s">
        <v>2269</v>
      </c>
      <c r="D1287" t="s">
        <v>2271</v>
      </c>
      <c r="E1287" s="527" t="s">
        <v>11696</v>
      </c>
      <c r="F1287" s="219"/>
    </row>
    <row r="1288" spans="1:6" ht="14.4">
      <c r="A1288">
        <v>11281</v>
      </c>
      <c r="B1288" t="s">
        <v>18303</v>
      </c>
      <c r="C1288" t="s">
        <v>2269</v>
      </c>
      <c r="D1288" t="s">
        <v>2271</v>
      </c>
      <c r="E1288" s="527" t="s">
        <v>18304</v>
      </c>
      <c r="F1288" s="220"/>
    </row>
    <row r="1289" spans="1:6" ht="14.4">
      <c r="A1289">
        <v>1442</v>
      </c>
      <c r="B1289" t="s">
        <v>18305</v>
      </c>
      <c r="C1289" t="s">
        <v>2269</v>
      </c>
      <c r="D1289" t="s">
        <v>2271</v>
      </c>
      <c r="E1289" s="527" t="s">
        <v>18306</v>
      </c>
      <c r="F1289" s="219"/>
    </row>
    <row r="1290" spans="1:6" ht="14.4">
      <c r="A1290">
        <v>13457</v>
      </c>
      <c r="B1290" t="s">
        <v>18307</v>
      </c>
      <c r="C1290" t="s">
        <v>2269</v>
      </c>
      <c r="D1290" t="s">
        <v>2271</v>
      </c>
      <c r="E1290" s="527" t="s">
        <v>18308</v>
      </c>
      <c r="F1290" s="220"/>
    </row>
    <row r="1291" spans="1:6" ht="14.4">
      <c r="A1291">
        <v>40699</v>
      </c>
      <c r="B1291" t="s">
        <v>18309</v>
      </c>
      <c r="C1291" t="s">
        <v>2269</v>
      </c>
      <c r="D1291" t="s">
        <v>2271</v>
      </c>
      <c r="E1291" s="527" t="s">
        <v>18310</v>
      </c>
      <c r="F1291" s="219"/>
    </row>
    <row r="1292" spans="1:6" ht="14.4">
      <c r="A1292">
        <v>40701</v>
      </c>
      <c r="B1292" t="s">
        <v>18311</v>
      </c>
      <c r="C1292" t="s">
        <v>2269</v>
      </c>
      <c r="D1292" t="s">
        <v>2271</v>
      </c>
      <c r="E1292" s="527" t="s">
        <v>18312</v>
      </c>
      <c r="F1292" s="220"/>
    </row>
    <row r="1293" spans="1:6" ht="14.4">
      <c r="A1293">
        <v>40700</v>
      </c>
      <c r="B1293" t="s">
        <v>18313</v>
      </c>
      <c r="C1293" t="s">
        <v>2269</v>
      </c>
      <c r="D1293" t="s">
        <v>2271</v>
      </c>
      <c r="E1293" s="527" t="s">
        <v>18314</v>
      </c>
      <c r="F1293" s="219"/>
    </row>
    <row r="1294" spans="1:6" ht="14.4">
      <c r="A1294">
        <v>13458</v>
      </c>
      <c r="B1294" t="s">
        <v>18315</v>
      </c>
      <c r="C1294" t="s">
        <v>2269</v>
      </c>
      <c r="D1294" t="s">
        <v>2271</v>
      </c>
      <c r="E1294" s="527" t="s">
        <v>18316</v>
      </c>
      <c r="F1294" s="220"/>
    </row>
    <row r="1295" spans="1:6" ht="14.4">
      <c r="A1295">
        <v>36524</v>
      </c>
      <c r="B1295" t="s">
        <v>18317</v>
      </c>
      <c r="C1295" t="s">
        <v>2269</v>
      </c>
      <c r="D1295" t="s">
        <v>2271</v>
      </c>
      <c r="E1295" s="527" t="s">
        <v>18318</v>
      </c>
      <c r="F1295" s="219"/>
    </row>
    <row r="1296" spans="1:6" ht="14.4">
      <c r="A1296">
        <v>36526</v>
      </c>
      <c r="B1296" t="s">
        <v>18319</v>
      </c>
      <c r="C1296" t="s">
        <v>2269</v>
      </c>
      <c r="D1296" t="s">
        <v>2271</v>
      </c>
      <c r="E1296" s="527" t="s">
        <v>18320</v>
      </c>
      <c r="F1296" s="220"/>
    </row>
    <row r="1297" spans="1:6" ht="14.4">
      <c r="A1297">
        <v>36523</v>
      </c>
      <c r="B1297" t="s">
        <v>18321</v>
      </c>
      <c r="C1297" t="s">
        <v>2269</v>
      </c>
      <c r="D1297" t="s">
        <v>2271</v>
      </c>
      <c r="E1297" s="527" t="s">
        <v>18322</v>
      </c>
      <c r="F1297" s="219"/>
    </row>
    <row r="1298" spans="1:6" ht="14.4">
      <c r="A1298">
        <v>36527</v>
      </c>
      <c r="B1298" t="s">
        <v>18323</v>
      </c>
      <c r="C1298" t="s">
        <v>2269</v>
      </c>
      <c r="D1298" t="s">
        <v>2271</v>
      </c>
      <c r="E1298" s="527" t="s">
        <v>18324</v>
      </c>
      <c r="F1298" s="220"/>
    </row>
    <row r="1299" spans="1:6" ht="14.4">
      <c r="A1299">
        <v>13803</v>
      </c>
      <c r="B1299" t="s">
        <v>18325</v>
      </c>
      <c r="C1299" t="s">
        <v>2269</v>
      </c>
      <c r="D1299" t="s">
        <v>2271</v>
      </c>
      <c r="E1299" s="527" t="s">
        <v>18326</v>
      </c>
      <c r="F1299" s="219"/>
    </row>
    <row r="1300" spans="1:6" ht="14.4">
      <c r="A1300">
        <v>38642</v>
      </c>
      <c r="B1300" t="s">
        <v>18327</v>
      </c>
      <c r="C1300" t="s">
        <v>2269</v>
      </c>
      <c r="D1300" t="s">
        <v>2271</v>
      </c>
      <c r="E1300" s="527" t="s">
        <v>18328</v>
      </c>
      <c r="F1300" s="220"/>
    </row>
    <row r="1301" spans="1:6" ht="14.4">
      <c r="A1301">
        <v>36522</v>
      </c>
      <c r="B1301" t="s">
        <v>18329</v>
      </c>
      <c r="C1301" t="s">
        <v>2269</v>
      </c>
      <c r="D1301" t="s">
        <v>2271</v>
      </c>
      <c r="E1301" s="527" t="s">
        <v>18330</v>
      </c>
      <c r="F1301" s="219"/>
    </row>
    <row r="1302" spans="1:6" ht="14.4">
      <c r="A1302">
        <v>36525</v>
      </c>
      <c r="B1302" t="s">
        <v>18331</v>
      </c>
      <c r="C1302" t="s">
        <v>2269</v>
      </c>
      <c r="D1302" t="s">
        <v>2271</v>
      </c>
      <c r="E1302" s="527" t="s">
        <v>18332</v>
      </c>
      <c r="F1302" s="220"/>
    </row>
    <row r="1303" spans="1:6" ht="14.4">
      <c r="A1303">
        <v>34348</v>
      </c>
      <c r="B1303" t="s">
        <v>18333</v>
      </c>
      <c r="C1303" t="s">
        <v>2273</v>
      </c>
      <c r="D1303" t="s">
        <v>1857</v>
      </c>
      <c r="E1303" s="527" t="s">
        <v>16293</v>
      </c>
      <c r="F1303" s="219"/>
    </row>
    <row r="1304" spans="1:6" ht="14.4">
      <c r="A1304">
        <v>34347</v>
      </c>
      <c r="B1304" t="s">
        <v>18334</v>
      </c>
      <c r="C1304" t="s">
        <v>2273</v>
      </c>
      <c r="D1304" t="s">
        <v>1857</v>
      </c>
      <c r="E1304" s="527" t="s">
        <v>10024</v>
      </c>
      <c r="F1304" s="220"/>
    </row>
    <row r="1305" spans="1:6" ht="14.4">
      <c r="A1305">
        <v>11146</v>
      </c>
      <c r="B1305" t="s">
        <v>18335</v>
      </c>
      <c r="C1305" t="s">
        <v>2272</v>
      </c>
      <c r="D1305" t="s">
        <v>1857</v>
      </c>
      <c r="E1305" s="527" t="s">
        <v>18336</v>
      </c>
      <c r="F1305" s="219"/>
    </row>
    <row r="1306" spans="1:6" ht="14.4">
      <c r="A1306">
        <v>11147</v>
      </c>
      <c r="B1306" t="s">
        <v>18337</v>
      </c>
      <c r="C1306" t="s">
        <v>2272</v>
      </c>
      <c r="D1306" t="s">
        <v>1857</v>
      </c>
      <c r="E1306" s="527" t="s">
        <v>18338</v>
      </c>
      <c r="F1306" s="220"/>
    </row>
    <row r="1307" spans="1:6" ht="14.4">
      <c r="A1307">
        <v>34872</v>
      </c>
      <c r="B1307" t="s">
        <v>18339</v>
      </c>
      <c r="C1307" t="s">
        <v>2272</v>
      </c>
      <c r="D1307" t="s">
        <v>1857</v>
      </c>
      <c r="E1307" s="527" t="s">
        <v>18340</v>
      </c>
      <c r="F1307" s="219"/>
    </row>
    <row r="1308" spans="1:6" ht="14.4">
      <c r="A1308">
        <v>34491</v>
      </c>
      <c r="B1308" t="s">
        <v>18341</v>
      </c>
      <c r="C1308" t="s">
        <v>2272</v>
      </c>
      <c r="D1308" t="s">
        <v>1857</v>
      </c>
      <c r="E1308" s="527" t="s">
        <v>18342</v>
      </c>
      <c r="F1308" s="220"/>
    </row>
    <row r="1309" spans="1:6" ht="14.4">
      <c r="A1309">
        <v>34770</v>
      </c>
      <c r="B1309" t="s">
        <v>18343</v>
      </c>
      <c r="C1309" t="s">
        <v>2281</v>
      </c>
      <c r="D1309" t="s">
        <v>1857</v>
      </c>
      <c r="E1309" s="527" t="s">
        <v>18344</v>
      </c>
      <c r="F1309" s="219"/>
    </row>
    <row r="1310" spans="1:6" ht="14.4">
      <c r="A1310">
        <v>1518</v>
      </c>
      <c r="B1310" t="s">
        <v>18345</v>
      </c>
      <c r="C1310" t="s">
        <v>2281</v>
      </c>
      <c r="D1310" t="s">
        <v>2268</v>
      </c>
      <c r="E1310" s="527" t="s">
        <v>18346</v>
      </c>
      <c r="F1310" s="220"/>
    </row>
    <row r="1311" spans="1:6" ht="14.4">
      <c r="A1311">
        <v>41965</v>
      </c>
      <c r="B1311" t="s">
        <v>18347</v>
      </c>
      <c r="C1311" t="s">
        <v>2281</v>
      </c>
      <c r="D1311" t="s">
        <v>1857</v>
      </c>
      <c r="E1311" s="527" t="s">
        <v>18348</v>
      </c>
      <c r="F1311" s="219"/>
    </row>
    <row r="1312" spans="1:6" ht="14.4">
      <c r="A1312">
        <v>34492</v>
      </c>
      <c r="B1312" t="s">
        <v>18349</v>
      </c>
      <c r="C1312" t="s">
        <v>2272</v>
      </c>
      <c r="D1312" t="s">
        <v>2268</v>
      </c>
      <c r="E1312" s="527" t="s">
        <v>15248</v>
      </c>
      <c r="F1312" s="220"/>
    </row>
    <row r="1313" spans="1:6" ht="14.4">
      <c r="A1313">
        <v>1524</v>
      </c>
      <c r="B1313" t="s">
        <v>18350</v>
      </c>
      <c r="C1313" t="s">
        <v>2272</v>
      </c>
      <c r="D1313" t="s">
        <v>1857</v>
      </c>
      <c r="E1313" s="527" t="s">
        <v>18351</v>
      </c>
      <c r="F1313" s="219"/>
    </row>
    <row r="1314" spans="1:6" ht="14.4">
      <c r="A1314">
        <v>38404</v>
      </c>
      <c r="B1314" t="s">
        <v>18352</v>
      </c>
      <c r="C1314" t="s">
        <v>2272</v>
      </c>
      <c r="D1314" t="s">
        <v>1857</v>
      </c>
      <c r="E1314" s="527" t="s">
        <v>18353</v>
      </c>
      <c r="F1314" s="220"/>
    </row>
    <row r="1315" spans="1:6" ht="14.4">
      <c r="A1315">
        <v>39849</v>
      </c>
      <c r="B1315" t="s">
        <v>18354</v>
      </c>
      <c r="C1315" t="s">
        <v>2272</v>
      </c>
      <c r="D1315" t="s">
        <v>1857</v>
      </c>
      <c r="E1315" s="527" t="s">
        <v>18355</v>
      </c>
      <c r="F1315" s="219"/>
    </row>
    <row r="1316" spans="1:6" ht="14.4">
      <c r="A1316">
        <v>38464</v>
      </c>
      <c r="B1316" t="s">
        <v>18356</v>
      </c>
      <c r="C1316" t="s">
        <v>2272</v>
      </c>
      <c r="D1316" t="s">
        <v>1857</v>
      </c>
      <c r="E1316" s="527" t="s">
        <v>18357</v>
      </c>
      <c r="F1316" s="220"/>
    </row>
    <row r="1317" spans="1:6" ht="14.4">
      <c r="A1317">
        <v>34493</v>
      </c>
      <c r="B1317" t="s">
        <v>18358</v>
      </c>
      <c r="C1317" t="s">
        <v>2272</v>
      </c>
      <c r="D1317" t="s">
        <v>1857</v>
      </c>
      <c r="E1317" s="527" t="s">
        <v>18359</v>
      </c>
      <c r="F1317" s="219"/>
    </row>
    <row r="1318" spans="1:6" ht="14.4">
      <c r="A1318">
        <v>1527</v>
      </c>
      <c r="B1318" t="s">
        <v>18360</v>
      </c>
      <c r="C1318" t="s">
        <v>2272</v>
      </c>
      <c r="D1318" t="s">
        <v>1857</v>
      </c>
      <c r="E1318" s="527" t="s">
        <v>18361</v>
      </c>
      <c r="F1318" s="220"/>
    </row>
    <row r="1319" spans="1:6" ht="14.4">
      <c r="A1319">
        <v>38405</v>
      </c>
      <c r="B1319" t="s">
        <v>18362</v>
      </c>
      <c r="C1319" t="s">
        <v>2272</v>
      </c>
      <c r="D1319" t="s">
        <v>1857</v>
      </c>
      <c r="E1319" s="527" t="s">
        <v>18363</v>
      </c>
      <c r="F1319" s="219"/>
    </row>
    <row r="1320" spans="1:6" ht="14.4">
      <c r="A1320">
        <v>38408</v>
      </c>
      <c r="B1320" t="s">
        <v>18364</v>
      </c>
      <c r="C1320" t="s">
        <v>2272</v>
      </c>
      <c r="D1320" t="s">
        <v>1857</v>
      </c>
      <c r="E1320" s="527" t="s">
        <v>18365</v>
      </c>
      <c r="F1320" s="220"/>
    </row>
    <row r="1321" spans="1:6" ht="14.4">
      <c r="A1321">
        <v>34494</v>
      </c>
      <c r="B1321" t="s">
        <v>18366</v>
      </c>
      <c r="C1321" t="s">
        <v>2272</v>
      </c>
      <c r="D1321" t="s">
        <v>1857</v>
      </c>
      <c r="E1321" s="527" t="s">
        <v>18367</v>
      </c>
      <c r="F1321" s="219"/>
    </row>
    <row r="1322" spans="1:6" ht="14.4">
      <c r="A1322">
        <v>1525</v>
      </c>
      <c r="B1322" t="s">
        <v>18368</v>
      </c>
      <c r="C1322" t="s">
        <v>2272</v>
      </c>
      <c r="D1322" t="s">
        <v>1857</v>
      </c>
      <c r="E1322" s="527" t="s">
        <v>18369</v>
      </c>
      <c r="F1322" s="220"/>
    </row>
    <row r="1323" spans="1:6" ht="14.4">
      <c r="A1323">
        <v>38406</v>
      </c>
      <c r="B1323" t="s">
        <v>18370</v>
      </c>
      <c r="C1323" t="s">
        <v>2272</v>
      </c>
      <c r="D1323" t="s">
        <v>1857</v>
      </c>
      <c r="E1323" s="527" t="s">
        <v>18371</v>
      </c>
      <c r="F1323" s="219"/>
    </row>
    <row r="1324" spans="1:6" ht="14.4">
      <c r="A1324">
        <v>38409</v>
      </c>
      <c r="B1324" t="s">
        <v>18372</v>
      </c>
      <c r="C1324" t="s">
        <v>2272</v>
      </c>
      <c r="D1324" t="s">
        <v>1857</v>
      </c>
      <c r="E1324" s="527" t="s">
        <v>18373</v>
      </c>
      <c r="F1324" s="220"/>
    </row>
    <row r="1325" spans="1:6" ht="14.4">
      <c r="A1325">
        <v>43360</v>
      </c>
      <c r="B1325" t="s">
        <v>18374</v>
      </c>
      <c r="C1325" t="s">
        <v>2272</v>
      </c>
      <c r="D1325" t="s">
        <v>1857</v>
      </c>
      <c r="E1325" s="527" t="s">
        <v>14346</v>
      </c>
      <c r="F1325" s="219"/>
    </row>
    <row r="1326" spans="1:6" ht="14.4">
      <c r="A1326">
        <v>34495</v>
      </c>
      <c r="B1326" t="s">
        <v>18375</v>
      </c>
      <c r="C1326" t="s">
        <v>2272</v>
      </c>
      <c r="D1326" t="s">
        <v>1857</v>
      </c>
      <c r="E1326" s="527" t="s">
        <v>18376</v>
      </c>
      <c r="F1326" s="220"/>
    </row>
    <row r="1327" spans="1:6" ht="14.4">
      <c r="A1327">
        <v>11145</v>
      </c>
      <c r="B1327" t="s">
        <v>18377</v>
      </c>
      <c r="C1327" t="s">
        <v>2272</v>
      </c>
      <c r="D1327" t="s">
        <v>1857</v>
      </c>
      <c r="E1327" s="527" t="s">
        <v>18340</v>
      </c>
      <c r="F1327" s="219"/>
    </row>
    <row r="1328" spans="1:6" ht="14.4">
      <c r="A1328">
        <v>34496</v>
      </c>
      <c r="B1328" t="s">
        <v>18378</v>
      </c>
      <c r="C1328" t="s">
        <v>2272</v>
      </c>
      <c r="D1328" t="s">
        <v>1857</v>
      </c>
      <c r="E1328" s="527" t="s">
        <v>18379</v>
      </c>
      <c r="F1328" s="220"/>
    </row>
    <row r="1329" spans="1:6" ht="14.4">
      <c r="A1329">
        <v>34479</v>
      </c>
      <c r="B1329" t="s">
        <v>18380</v>
      </c>
      <c r="C1329" t="s">
        <v>2272</v>
      </c>
      <c r="D1329" t="s">
        <v>1857</v>
      </c>
      <c r="E1329" s="527" t="s">
        <v>18342</v>
      </c>
      <c r="F1329" s="219"/>
    </row>
    <row r="1330" spans="1:6" ht="14.4">
      <c r="A1330">
        <v>34481</v>
      </c>
      <c r="B1330" t="s">
        <v>18381</v>
      </c>
      <c r="C1330" t="s">
        <v>2272</v>
      </c>
      <c r="D1330" t="s">
        <v>1857</v>
      </c>
      <c r="E1330" s="527" t="s">
        <v>18382</v>
      </c>
      <c r="F1330" s="220"/>
    </row>
    <row r="1331" spans="1:6" ht="14.4">
      <c r="A1331">
        <v>34483</v>
      </c>
      <c r="B1331" t="s">
        <v>18383</v>
      </c>
      <c r="C1331" t="s">
        <v>2272</v>
      </c>
      <c r="D1331" t="s">
        <v>1857</v>
      </c>
      <c r="E1331" s="527" t="s">
        <v>18384</v>
      </c>
      <c r="F1331" s="219"/>
    </row>
    <row r="1332" spans="1:6" ht="14.4">
      <c r="A1332">
        <v>34485</v>
      </c>
      <c r="B1332" t="s">
        <v>18385</v>
      </c>
      <c r="C1332" t="s">
        <v>2272</v>
      </c>
      <c r="D1332" t="s">
        <v>1857</v>
      </c>
      <c r="E1332" s="527" t="s">
        <v>18386</v>
      </c>
      <c r="F1332" s="220"/>
    </row>
    <row r="1333" spans="1:6" ht="14.4">
      <c r="A1333">
        <v>14041</v>
      </c>
      <c r="B1333" t="s">
        <v>18387</v>
      </c>
      <c r="C1333" t="s">
        <v>2272</v>
      </c>
      <c r="D1333" t="s">
        <v>1857</v>
      </c>
      <c r="E1333" s="527" t="s">
        <v>18388</v>
      </c>
      <c r="F1333" s="219"/>
    </row>
    <row r="1334" spans="1:6" ht="14.4">
      <c r="A1334">
        <v>1523</v>
      </c>
      <c r="B1334" t="s">
        <v>18389</v>
      </c>
      <c r="C1334" t="s">
        <v>2272</v>
      </c>
      <c r="D1334" t="s">
        <v>1857</v>
      </c>
      <c r="E1334" s="527" t="s">
        <v>18390</v>
      </c>
      <c r="F1334" s="220"/>
    </row>
    <row r="1335" spans="1:6" ht="14.4">
      <c r="A1335">
        <v>14052</v>
      </c>
      <c r="B1335" t="s">
        <v>18391</v>
      </c>
      <c r="C1335" t="s">
        <v>2269</v>
      </c>
      <c r="D1335" t="s">
        <v>1857</v>
      </c>
      <c r="E1335" s="527" t="s">
        <v>9477</v>
      </c>
      <c r="F1335" s="219"/>
    </row>
    <row r="1336" spans="1:6" ht="14.4">
      <c r="A1336">
        <v>14054</v>
      </c>
      <c r="B1336" t="s">
        <v>18392</v>
      </c>
      <c r="C1336" t="s">
        <v>2269</v>
      </c>
      <c r="D1336" t="s">
        <v>1857</v>
      </c>
      <c r="E1336" s="527" t="s">
        <v>10166</v>
      </c>
      <c r="F1336" s="220"/>
    </row>
    <row r="1337" spans="1:6" ht="14.4">
      <c r="A1337">
        <v>14053</v>
      </c>
      <c r="B1337" t="s">
        <v>18393</v>
      </c>
      <c r="C1337" t="s">
        <v>2269</v>
      </c>
      <c r="D1337" t="s">
        <v>1857</v>
      </c>
      <c r="E1337" s="527" t="s">
        <v>7918</v>
      </c>
      <c r="F1337" s="219"/>
    </row>
    <row r="1338" spans="1:6" ht="14.4">
      <c r="A1338">
        <v>2558</v>
      </c>
      <c r="B1338" t="s">
        <v>18394</v>
      </c>
      <c r="C1338" t="s">
        <v>2269</v>
      </c>
      <c r="D1338" t="s">
        <v>1857</v>
      </c>
      <c r="E1338" s="527" t="s">
        <v>9916</v>
      </c>
      <c r="F1338" s="220"/>
    </row>
    <row r="1339" spans="1:6" ht="14.4">
      <c r="A1339">
        <v>2560</v>
      </c>
      <c r="B1339" t="s">
        <v>18395</v>
      </c>
      <c r="C1339" t="s">
        <v>2269</v>
      </c>
      <c r="D1339" t="s">
        <v>1857</v>
      </c>
      <c r="E1339" s="527" t="s">
        <v>15802</v>
      </c>
      <c r="F1339" s="219"/>
    </row>
    <row r="1340" spans="1:6" ht="14.4">
      <c r="A1340">
        <v>2559</v>
      </c>
      <c r="B1340" t="s">
        <v>18396</v>
      </c>
      <c r="C1340" t="s">
        <v>2269</v>
      </c>
      <c r="D1340" t="s">
        <v>2268</v>
      </c>
      <c r="E1340" s="527" t="s">
        <v>7299</v>
      </c>
      <c r="F1340" s="220"/>
    </row>
    <row r="1341" spans="1:6" ht="14.4">
      <c r="A1341">
        <v>2592</v>
      </c>
      <c r="B1341" t="s">
        <v>18397</v>
      </c>
      <c r="C1341" t="s">
        <v>2269</v>
      </c>
      <c r="D1341" t="s">
        <v>1857</v>
      </c>
      <c r="E1341" s="527" t="s">
        <v>18398</v>
      </c>
      <c r="F1341" s="219"/>
    </row>
    <row r="1342" spans="1:6" ht="14.4">
      <c r="A1342">
        <v>2566</v>
      </c>
      <c r="B1342" t="s">
        <v>18399</v>
      </c>
      <c r="C1342" t="s">
        <v>2269</v>
      </c>
      <c r="D1342" t="s">
        <v>1857</v>
      </c>
      <c r="E1342" s="527" t="s">
        <v>9501</v>
      </c>
      <c r="F1342" s="220"/>
    </row>
    <row r="1343" spans="1:6" ht="14.4">
      <c r="A1343">
        <v>2589</v>
      </c>
      <c r="B1343" t="s">
        <v>18400</v>
      </c>
      <c r="C1343" t="s">
        <v>2269</v>
      </c>
      <c r="D1343" t="s">
        <v>1857</v>
      </c>
      <c r="E1343" s="527" t="s">
        <v>16462</v>
      </c>
      <c r="F1343" s="219"/>
    </row>
    <row r="1344" spans="1:6" ht="14.4">
      <c r="A1344">
        <v>2591</v>
      </c>
      <c r="B1344" t="s">
        <v>18401</v>
      </c>
      <c r="C1344" t="s">
        <v>2269</v>
      </c>
      <c r="D1344" t="s">
        <v>1857</v>
      </c>
      <c r="E1344" s="527" t="s">
        <v>16471</v>
      </c>
      <c r="F1344" s="220"/>
    </row>
    <row r="1345" spans="1:6" ht="14.4">
      <c r="A1345">
        <v>2590</v>
      </c>
      <c r="B1345" t="s">
        <v>18402</v>
      </c>
      <c r="C1345" t="s">
        <v>2269</v>
      </c>
      <c r="D1345" t="s">
        <v>1857</v>
      </c>
      <c r="E1345" s="527" t="s">
        <v>18403</v>
      </c>
      <c r="F1345" s="219"/>
    </row>
    <row r="1346" spans="1:6" ht="14.4">
      <c r="A1346">
        <v>2567</v>
      </c>
      <c r="B1346" t="s">
        <v>18404</v>
      </c>
      <c r="C1346" t="s">
        <v>2269</v>
      </c>
      <c r="D1346" t="s">
        <v>1857</v>
      </c>
      <c r="E1346" s="527" t="s">
        <v>9870</v>
      </c>
      <c r="F1346" s="220"/>
    </row>
    <row r="1347" spans="1:6" ht="14.4">
      <c r="A1347">
        <v>2565</v>
      </c>
      <c r="B1347" t="s">
        <v>18405</v>
      </c>
      <c r="C1347" t="s">
        <v>2269</v>
      </c>
      <c r="D1347" t="s">
        <v>1857</v>
      </c>
      <c r="E1347" s="527" t="s">
        <v>5170</v>
      </c>
      <c r="F1347" s="219"/>
    </row>
    <row r="1348" spans="1:6" ht="14.4">
      <c r="A1348">
        <v>2568</v>
      </c>
      <c r="B1348" t="s">
        <v>18406</v>
      </c>
      <c r="C1348" t="s">
        <v>2269</v>
      </c>
      <c r="D1348" t="s">
        <v>1857</v>
      </c>
      <c r="E1348" s="527" t="s">
        <v>18407</v>
      </c>
      <c r="F1348" s="220"/>
    </row>
    <row r="1349" spans="1:6" ht="14.4">
      <c r="A1349">
        <v>2594</v>
      </c>
      <c r="B1349" t="s">
        <v>18408</v>
      </c>
      <c r="C1349" t="s">
        <v>2269</v>
      </c>
      <c r="D1349" t="s">
        <v>1857</v>
      </c>
      <c r="E1349" s="527" t="s">
        <v>18409</v>
      </c>
      <c r="F1349" s="219"/>
    </row>
    <row r="1350" spans="1:6" ht="14.4">
      <c r="A1350">
        <v>2587</v>
      </c>
      <c r="B1350" t="s">
        <v>18410</v>
      </c>
      <c r="C1350" t="s">
        <v>2269</v>
      </c>
      <c r="D1350" t="s">
        <v>1857</v>
      </c>
      <c r="E1350" s="527" t="s">
        <v>18411</v>
      </c>
      <c r="F1350" s="220"/>
    </row>
    <row r="1351" spans="1:6" ht="14.4">
      <c r="A1351">
        <v>2588</v>
      </c>
      <c r="B1351" t="s">
        <v>18412</v>
      </c>
      <c r="C1351" t="s">
        <v>2269</v>
      </c>
      <c r="D1351" t="s">
        <v>1857</v>
      </c>
      <c r="E1351" s="527" t="s">
        <v>10770</v>
      </c>
      <c r="F1351" s="219"/>
    </row>
    <row r="1352" spans="1:6" ht="14.4">
      <c r="A1352">
        <v>2569</v>
      </c>
      <c r="B1352" t="s">
        <v>18413</v>
      </c>
      <c r="C1352" t="s">
        <v>2269</v>
      </c>
      <c r="D1352" t="s">
        <v>1857</v>
      </c>
      <c r="E1352" s="527" t="s">
        <v>10055</v>
      </c>
      <c r="F1352" s="220"/>
    </row>
    <row r="1353" spans="1:6" ht="14.4">
      <c r="A1353">
        <v>2570</v>
      </c>
      <c r="B1353" t="s">
        <v>18414</v>
      </c>
      <c r="C1353" t="s">
        <v>2269</v>
      </c>
      <c r="D1353" t="s">
        <v>1857</v>
      </c>
      <c r="E1353" s="527" t="s">
        <v>13076</v>
      </c>
      <c r="F1353" s="219"/>
    </row>
    <row r="1354" spans="1:6" ht="14.4">
      <c r="A1354">
        <v>2571</v>
      </c>
      <c r="B1354" t="s">
        <v>18415</v>
      </c>
      <c r="C1354" t="s">
        <v>2269</v>
      </c>
      <c r="D1354" t="s">
        <v>1857</v>
      </c>
      <c r="E1354" s="527" t="s">
        <v>16308</v>
      </c>
      <c r="F1354" s="220"/>
    </row>
    <row r="1355" spans="1:6" ht="14.4">
      <c r="A1355">
        <v>2593</v>
      </c>
      <c r="B1355" t="s">
        <v>18416</v>
      </c>
      <c r="C1355" t="s">
        <v>2269</v>
      </c>
      <c r="D1355" t="s">
        <v>1857</v>
      </c>
      <c r="E1355" s="527" t="s">
        <v>7545</v>
      </c>
      <c r="F1355" s="219"/>
    </row>
    <row r="1356" spans="1:6" ht="14.4">
      <c r="A1356">
        <v>2572</v>
      </c>
      <c r="B1356" t="s">
        <v>18417</v>
      </c>
      <c r="C1356" t="s">
        <v>2269</v>
      </c>
      <c r="D1356" t="s">
        <v>1857</v>
      </c>
      <c r="E1356" s="527" t="s">
        <v>18418</v>
      </c>
      <c r="F1356" s="220"/>
    </row>
    <row r="1357" spans="1:6" ht="14.4">
      <c r="A1357">
        <v>2595</v>
      </c>
      <c r="B1357" t="s">
        <v>18419</v>
      </c>
      <c r="C1357" t="s">
        <v>2269</v>
      </c>
      <c r="D1357" t="s">
        <v>1857</v>
      </c>
      <c r="E1357" s="527" t="s">
        <v>18420</v>
      </c>
      <c r="F1357" s="219"/>
    </row>
    <row r="1358" spans="1:6" ht="14.4">
      <c r="A1358">
        <v>2576</v>
      </c>
      <c r="B1358" t="s">
        <v>18421</v>
      </c>
      <c r="C1358" t="s">
        <v>2269</v>
      </c>
      <c r="D1358" t="s">
        <v>1857</v>
      </c>
      <c r="E1358" s="527" t="s">
        <v>11793</v>
      </c>
      <c r="F1358" s="220"/>
    </row>
    <row r="1359" spans="1:6" ht="14.4">
      <c r="A1359">
        <v>2575</v>
      </c>
      <c r="B1359" t="s">
        <v>18422</v>
      </c>
      <c r="C1359" t="s">
        <v>2269</v>
      </c>
      <c r="D1359" t="s">
        <v>1857</v>
      </c>
      <c r="E1359" s="527" t="s">
        <v>5610</v>
      </c>
      <c r="F1359" s="219"/>
    </row>
    <row r="1360" spans="1:6" ht="14.4">
      <c r="A1360">
        <v>2573</v>
      </c>
      <c r="B1360" t="s">
        <v>18423</v>
      </c>
      <c r="C1360" t="s">
        <v>2269</v>
      </c>
      <c r="D1360" t="s">
        <v>1857</v>
      </c>
      <c r="E1360" s="527" t="s">
        <v>6952</v>
      </c>
      <c r="F1360" s="220"/>
    </row>
    <row r="1361" spans="1:6" ht="14.4">
      <c r="A1361">
        <v>2586</v>
      </c>
      <c r="B1361" t="s">
        <v>18424</v>
      </c>
      <c r="C1361" t="s">
        <v>2269</v>
      </c>
      <c r="D1361" t="s">
        <v>1857</v>
      </c>
      <c r="E1361" s="527" t="s">
        <v>10098</v>
      </c>
      <c r="F1361" s="219"/>
    </row>
    <row r="1362" spans="1:6" ht="14.4">
      <c r="A1362">
        <v>2577</v>
      </c>
      <c r="B1362" t="s">
        <v>18425</v>
      </c>
      <c r="C1362" t="s">
        <v>2269</v>
      </c>
      <c r="D1362" t="s">
        <v>1857</v>
      </c>
      <c r="E1362" s="527" t="s">
        <v>18426</v>
      </c>
      <c r="F1362" s="220"/>
    </row>
    <row r="1363" spans="1:6" ht="14.4">
      <c r="A1363">
        <v>2574</v>
      </c>
      <c r="B1363" t="s">
        <v>18427</v>
      </c>
      <c r="C1363" t="s">
        <v>2269</v>
      </c>
      <c r="D1363" t="s">
        <v>1857</v>
      </c>
      <c r="E1363" s="527" t="s">
        <v>9910</v>
      </c>
      <c r="F1363" s="219"/>
    </row>
    <row r="1364" spans="1:6" ht="14.4">
      <c r="A1364">
        <v>2578</v>
      </c>
      <c r="B1364" t="s">
        <v>18428</v>
      </c>
      <c r="C1364" t="s">
        <v>2269</v>
      </c>
      <c r="D1364" t="s">
        <v>1857</v>
      </c>
      <c r="E1364" s="527" t="s">
        <v>18429</v>
      </c>
      <c r="F1364" s="220"/>
    </row>
    <row r="1365" spans="1:6" ht="14.4">
      <c r="A1365">
        <v>2585</v>
      </c>
      <c r="B1365" t="s">
        <v>18430</v>
      </c>
      <c r="C1365" t="s">
        <v>2269</v>
      </c>
      <c r="D1365" t="s">
        <v>1857</v>
      </c>
      <c r="E1365" s="527" t="s">
        <v>18431</v>
      </c>
      <c r="F1365" s="219"/>
    </row>
    <row r="1366" spans="1:6" ht="14.4">
      <c r="A1366">
        <v>12008</v>
      </c>
      <c r="B1366" t="s">
        <v>18432</v>
      </c>
      <c r="C1366" t="s">
        <v>2269</v>
      </c>
      <c r="D1366" t="s">
        <v>1857</v>
      </c>
      <c r="E1366" s="527" t="s">
        <v>18433</v>
      </c>
      <c r="F1366" s="220"/>
    </row>
    <row r="1367" spans="1:6" ht="14.4">
      <c r="A1367">
        <v>2582</v>
      </c>
      <c r="B1367" t="s">
        <v>18434</v>
      </c>
      <c r="C1367" t="s">
        <v>2269</v>
      </c>
      <c r="D1367" t="s">
        <v>1857</v>
      </c>
      <c r="E1367" s="527" t="s">
        <v>18435</v>
      </c>
      <c r="F1367" s="219"/>
    </row>
    <row r="1368" spans="1:6" ht="14.4">
      <c r="A1368">
        <v>2597</v>
      </c>
      <c r="B1368" t="s">
        <v>18436</v>
      </c>
      <c r="C1368" t="s">
        <v>2269</v>
      </c>
      <c r="D1368" t="s">
        <v>1857</v>
      </c>
      <c r="E1368" s="527" t="s">
        <v>16227</v>
      </c>
      <c r="F1368" s="220"/>
    </row>
    <row r="1369" spans="1:6" ht="14.4">
      <c r="A1369">
        <v>2579</v>
      </c>
      <c r="B1369" t="s">
        <v>18437</v>
      </c>
      <c r="C1369" t="s">
        <v>2269</v>
      </c>
      <c r="D1369" t="s">
        <v>1857</v>
      </c>
      <c r="E1369" s="527" t="s">
        <v>9527</v>
      </c>
      <c r="F1369" s="219"/>
    </row>
    <row r="1370" spans="1:6" ht="14.4">
      <c r="A1370">
        <v>2581</v>
      </c>
      <c r="B1370" t="s">
        <v>18438</v>
      </c>
      <c r="C1370" t="s">
        <v>2269</v>
      </c>
      <c r="D1370" t="s">
        <v>1857</v>
      </c>
      <c r="E1370" s="527" t="s">
        <v>7305</v>
      </c>
      <c r="F1370" s="220"/>
    </row>
    <row r="1371" spans="1:6" ht="14.4">
      <c r="A1371">
        <v>2596</v>
      </c>
      <c r="B1371" t="s">
        <v>18439</v>
      </c>
      <c r="C1371" t="s">
        <v>2269</v>
      </c>
      <c r="D1371" t="s">
        <v>1857</v>
      </c>
      <c r="E1371" s="527" t="s">
        <v>18440</v>
      </c>
      <c r="F1371" s="219"/>
    </row>
    <row r="1372" spans="1:6" ht="14.4">
      <c r="A1372">
        <v>2580</v>
      </c>
      <c r="B1372" t="s">
        <v>18441</v>
      </c>
      <c r="C1372" t="s">
        <v>2269</v>
      </c>
      <c r="D1372" t="s">
        <v>1857</v>
      </c>
      <c r="E1372" s="527" t="s">
        <v>10224</v>
      </c>
      <c r="F1372" s="220"/>
    </row>
    <row r="1373" spans="1:6" ht="14.4">
      <c r="A1373">
        <v>2583</v>
      </c>
      <c r="B1373" t="s">
        <v>18442</v>
      </c>
      <c r="C1373" t="s">
        <v>2269</v>
      </c>
      <c r="D1373" t="s">
        <v>1857</v>
      </c>
      <c r="E1373" s="527" t="s">
        <v>18443</v>
      </c>
      <c r="F1373" s="219"/>
    </row>
    <row r="1374" spans="1:6" ht="14.4">
      <c r="A1374">
        <v>2584</v>
      </c>
      <c r="B1374" t="s">
        <v>18444</v>
      </c>
      <c r="C1374" t="s">
        <v>2269</v>
      </c>
      <c r="D1374" t="s">
        <v>1857</v>
      </c>
      <c r="E1374" s="527" t="s">
        <v>18445</v>
      </c>
      <c r="F1374" s="220"/>
    </row>
    <row r="1375" spans="1:6" ht="14.4">
      <c r="A1375">
        <v>12010</v>
      </c>
      <c r="B1375" t="s">
        <v>18446</v>
      </c>
      <c r="C1375" t="s">
        <v>2269</v>
      </c>
      <c r="D1375" t="s">
        <v>1857</v>
      </c>
      <c r="E1375" s="527" t="s">
        <v>18447</v>
      </c>
      <c r="F1375" s="219"/>
    </row>
    <row r="1376" spans="1:6" ht="14.4">
      <c r="A1376">
        <v>39329</v>
      </c>
      <c r="B1376" t="s">
        <v>18448</v>
      </c>
      <c r="C1376" t="s">
        <v>2269</v>
      </c>
      <c r="D1376" t="s">
        <v>1857</v>
      </c>
      <c r="E1376" s="527" t="s">
        <v>18449</v>
      </c>
      <c r="F1376" s="220"/>
    </row>
    <row r="1377" spans="1:6" ht="14.4">
      <c r="A1377">
        <v>39330</v>
      </c>
      <c r="B1377" t="s">
        <v>18450</v>
      </c>
      <c r="C1377" t="s">
        <v>2269</v>
      </c>
      <c r="D1377" t="s">
        <v>1857</v>
      </c>
      <c r="E1377" s="527" t="s">
        <v>18451</v>
      </c>
      <c r="F1377" s="219"/>
    </row>
    <row r="1378" spans="1:6" ht="14.4">
      <c r="A1378">
        <v>39332</v>
      </c>
      <c r="B1378" t="s">
        <v>18452</v>
      </c>
      <c r="C1378" t="s">
        <v>2269</v>
      </c>
      <c r="D1378" t="s">
        <v>1857</v>
      </c>
      <c r="E1378" s="527" t="s">
        <v>12806</v>
      </c>
      <c r="F1378" s="220"/>
    </row>
    <row r="1379" spans="1:6" ht="14.4">
      <c r="A1379">
        <v>39331</v>
      </c>
      <c r="B1379" t="s">
        <v>18453</v>
      </c>
      <c r="C1379" t="s">
        <v>2269</v>
      </c>
      <c r="D1379" t="s">
        <v>1857</v>
      </c>
      <c r="E1379" s="527" t="s">
        <v>18454</v>
      </c>
      <c r="F1379" s="219"/>
    </row>
    <row r="1380" spans="1:6" ht="14.4">
      <c r="A1380">
        <v>39333</v>
      </c>
      <c r="B1380" t="s">
        <v>18455</v>
      </c>
      <c r="C1380" t="s">
        <v>2269</v>
      </c>
      <c r="D1380" t="s">
        <v>1857</v>
      </c>
      <c r="E1380" s="527" t="s">
        <v>10674</v>
      </c>
      <c r="F1380" s="220"/>
    </row>
    <row r="1381" spans="1:6" ht="14.4">
      <c r="A1381">
        <v>39335</v>
      </c>
      <c r="B1381" t="s">
        <v>18456</v>
      </c>
      <c r="C1381" t="s">
        <v>2269</v>
      </c>
      <c r="D1381" t="s">
        <v>1857</v>
      </c>
      <c r="E1381" s="527" t="s">
        <v>10276</v>
      </c>
      <c r="F1381" s="219"/>
    </row>
    <row r="1382" spans="1:6" ht="14.4">
      <c r="A1382">
        <v>39334</v>
      </c>
      <c r="B1382" t="s">
        <v>18457</v>
      </c>
      <c r="C1382" t="s">
        <v>2269</v>
      </c>
      <c r="D1382" t="s">
        <v>1857</v>
      </c>
      <c r="E1382" s="527" t="s">
        <v>7208</v>
      </c>
      <c r="F1382" s="220"/>
    </row>
    <row r="1383" spans="1:6" ht="14.4">
      <c r="A1383">
        <v>12016</v>
      </c>
      <c r="B1383" t="s">
        <v>18458</v>
      </c>
      <c r="C1383" t="s">
        <v>2269</v>
      </c>
      <c r="D1383" t="s">
        <v>1857</v>
      </c>
      <c r="E1383" s="527" t="s">
        <v>9874</v>
      </c>
      <c r="F1383" s="219"/>
    </row>
    <row r="1384" spans="1:6" ht="14.4">
      <c r="A1384">
        <v>12015</v>
      </c>
      <c r="B1384" t="s">
        <v>18459</v>
      </c>
      <c r="C1384" t="s">
        <v>2269</v>
      </c>
      <c r="D1384" t="s">
        <v>1857</v>
      </c>
      <c r="E1384" s="527" t="s">
        <v>10758</v>
      </c>
      <c r="F1384" s="220"/>
    </row>
    <row r="1385" spans="1:6" ht="14.4">
      <c r="A1385">
        <v>12020</v>
      </c>
      <c r="B1385" t="s">
        <v>18460</v>
      </c>
      <c r="C1385" t="s">
        <v>2269</v>
      </c>
      <c r="D1385" t="s">
        <v>1857</v>
      </c>
      <c r="E1385" s="527" t="s">
        <v>9874</v>
      </c>
      <c r="F1385" s="219"/>
    </row>
    <row r="1386" spans="1:6" ht="14.4">
      <c r="A1386">
        <v>12019</v>
      </c>
      <c r="B1386" t="s">
        <v>18461</v>
      </c>
      <c r="C1386" t="s">
        <v>2269</v>
      </c>
      <c r="D1386" t="s">
        <v>1857</v>
      </c>
      <c r="E1386" s="527" t="s">
        <v>10758</v>
      </c>
      <c r="F1386" s="220"/>
    </row>
    <row r="1387" spans="1:6" ht="14.4">
      <c r="A1387">
        <v>39336</v>
      </c>
      <c r="B1387" t="s">
        <v>18462</v>
      </c>
      <c r="C1387" t="s">
        <v>2269</v>
      </c>
      <c r="D1387" t="s">
        <v>1857</v>
      </c>
      <c r="E1387" s="527" t="s">
        <v>18451</v>
      </c>
      <c r="F1387" s="219"/>
    </row>
    <row r="1388" spans="1:6" ht="14.4">
      <c r="A1388">
        <v>39338</v>
      </c>
      <c r="B1388" t="s">
        <v>18463</v>
      </c>
      <c r="C1388" t="s">
        <v>2269</v>
      </c>
      <c r="D1388" t="s">
        <v>1857</v>
      </c>
      <c r="E1388" s="527" t="s">
        <v>12806</v>
      </c>
      <c r="F1388" s="220"/>
    </row>
    <row r="1389" spans="1:6" ht="14.4">
      <c r="A1389">
        <v>39337</v>
      </c>
      <c r="B1389" t="s">
        <v>18464</v>
      </c>
      <c r="C1389" t="s">
        <v>2269</v>
      </c>
      <c r="D1389" t="s">
        <v>1857</v>
      </c>
      <c r="E1389" s="527" t="s">
        <v>18454</v>
      </c>
      <c r="F1389" s="219"/>
    </row>
    <row r="1390" spans="1:6" ht="14.4">
      <c r="A1390">
        <v>39341</v>
      </c>
      <c r="B1390" t="s">
        <v>18465</v>
      </c>
      <c r="C1390" t="s">
        <v>2269</v>
      </c>
      <c r="D1390" t="s">
        <v>1857</v>
      </c>
      <c r="E1390" s="527" t="s">
        <v>11822</v>
      </c>
      <c r="F1390" s="220"/>
    </row>
    <row r="1391" spans="1:6" ht="14.4">
      <c r="A1391">
        <v>39340</v>
      </c>
      <c r="B1391" t="s">
        <v>18466</v>
      </c>
      <c r="C1391" t="s">
        <v>2269</v>
      </c>
      <c r="D1391" t="s">
        <v>1857</v>
      </c>
      <c r="E1391" s="527" t="s">
        <v>10716</v>
      </c>
      <c r="F1391" s="219"/>
    </row>
    <row r="1392" spans="1:6" ht="14.4">
      <c r="A1392">
        <v>12025</v>
      </c>
      <c r="B1392" t="s">
        <v>18467</v>
      </c>
      <c r="C1392" t="s">
        <v>2269</v>
      </c>
      <c r="D1392" t="s">
        <v>1857</v>
      </c>
      <c r="E1392" s="527" t="s">
        <v>7276</v>
      </c>
      <c r="F1392" s="220"/>
    </row>
    <row r="1393" spans="1:6" ht="14.4">
      <c r="A1393">
        <v>39342</v>
      </c>
      <c r="B1393" t="s">
        <v>18468</v>
      </c>
      <c r="C1393" t="s">
        <v>2269</v>
      </c>
      <c r="D1393" t="s">
        <v>1857</v>
      </c>
      <c r="E1393" s="527" t="s">
        <v>11822</v>
      </c>
      <c r="F1393" s="219"/>
    </row>
    <row r="1394" spans="1:6" ht="14.4">
      <c r="A1394">
        <v>39343</v>
      </c>
      <c r="B1394" t="s">
        <v>18469</v>
      </c>
      <c r="C1394" t="s">
        <v>2269</v>
      </c>
      <c r="D1394" t="s">
        <v>1857</v>
      </c>
      <c r="E1394" s="527" t="s">
        <v>5549</v>
      </c>
      <c r="F1394" s="220"/>
    </row>
    <row r="1395" spans="1:6" ht="14.4">
      <c r="A1395">
        <v>39345</v>
      </c>
      <c r="B1395" t="s">
        <v>18470</v>
      </c>
      <c r="C1395" t="s">
        <v>2269</v>
      </c>
      <c r="D1395" t="s">
        <v>1857</v>
      </c>
      <c r="E1395" s="527" t="s">
        <v>16474</v>
      </c>
      <c r="F1395" s="219"/>
    </row>
    <row r="1396" spans="1:6" ht="14.4">
      <c r="A1396">
        <v>39344</v>
      </c>
      <c r="B1396" t="s">
        <v>18471</v>
      </c>
      <c r="C1396" t="s">
        <v>2269</v>
      </c>
      <c r="D1396" t="s">
        <v>1857</v>
      </c>
      <c r="E1396" s="527" t="s">
        <v>10384</v>
      </c>
      <c r="F1396" s="220"/>
    </row>
    <row r="1397" spans="1:6" ht="14.4">
      <c r="A1397">
        <v>12623</v>
      </c>
      <c r="B1397" t="s">
        <v>18472</v>
      </c>
      <c r="C1397" t="s">
        <v>2273</v>
      </c>
      <c r="D1397" t="s">
        <v>2271</v>
      </c>
      <c r="E1397" s="527" t="s">
        <v>7328</v>
      </c>
      <c r="F1397" s="219"/>
    </row>
    <row r="1398" spans="1:6" ht="14.4">
      <c r="A1398">
        <v>34498</v>
      </c>
      <c r="B1398" t="s">
        <v>18473</v>
      </c>
      <c r="C1398" t="s">
        <v>2269</v>
      </c>
      <c r="D1398" t="s">
        <v>1857</v>
      </c>
      <c r="E1398" s="527" t="s">
        <v>15261</v>
      </c>
      <c r="F1398" s="220"/>
    </row>
    <row r="1399" spans="1:6" ht="14.4">
      <c r="A1399">
        <v>13244</v>
      </c>
      <c r="B1399" t="s">
        <v>18474</v>
      </c>
      <c r="C1399" t="s">
        <v>2269</v>
      </c>
      <c r="D1399" t="s">
        <v>2268</v>
      </c>
      <c r="E1399" s="527" t="s">
        <v>15262</v>
      </c>
      <c r="F1399" s="219"/>
    </row>
    <row r="1400" spans="1:6" ht="14.4">
      <c r="A1400">
        <v>38998</v>
      </c>
      <c r="B1400" t="s">
        <v>18475</v>
      </c>
      <c r="C1400" t="s">
        <v>2269</v>
      </c>
      <c r="D1400" t="s">
        <v>2271</v>
      </c>
      <c r="E1400" s="527" t="s">
        <v>7460</v>
      </c>
      <c r="F1400" s="220"/>
    </row>
    <row r="1401" spans="1:6" ht="14.4">
      <c r="A1401">
        <v>38999</v>
      </c>
      <c r="B1401" t="s">
        <v>18476</v>
      </c>
      <c r="C1401" t="s">
        <v>2269</v>
      </c>
      <c r="D1401" t="s">
        <v>2271</v>
      </c>
      <c r="E1401" s="527" t="s">
        <v>9516</v>
      </c>
      <c r="F1401" s="219"/>
    </row>
    <row r="1402" spans="1:6" ht="14.4">
      <c r="A1402">
        <v>38996</v>
      </c>
      <c r="B1402" t="s">
        <v>18477</v>
      </c>
      <c r="C1402" t="s">
        <v>2269</v>
      </c>
      <c r="D1402" t="s">
        <v>2271</v>
      </c>
      <c r="E1402" s="527" t="s">
        <v>10783</v>
      </c>
      <c r="F1402" s="220"/>
    </row>
    <row r="1403" spans="1:6" ht="14.4">
      <c r="A1403">
        <v>38997</v>
      </c>
      <c r="B1403" t="s">
        <v>18478</v>
      </c>
      <c r="C1403" t="s">
        <v>2269</v>
      </c>
      <c r="D1403" t="s">
        <v>2271</v>
      </c>
      <c r="E1403" s="527" t="s">
        <v>18479</v>
      </c>
      <c r="F1403" s="219"/>
    </row>
    <row r="1404" spans="1:6" ht="14.4">
      <c r="A1404">
        <v>39862</v>
      </c>
      <c r="B1404" t="s">
        <v>18480</v>
      </c>
      <c r="C1404" t="s">
        <v>2269</v>
      </c>
      <c r="D1404" t="s">
        <v>2271</v>
      </c>
      <c r="E1404" s="527" t="s">
        <v>7901</v>
      </c>
      <c r="F1404" s="220"/>
    </row>
    <row r="1405" spans="1:6" ht="14.4">
      <c r="A1405">
        <v>39863</v>
      </c>
      <c r="B1405" t="s">
        <v>18481</v>
      </c>
      <c r="C1405" t="s">
        <v>2269</v>
      </c>
      <c r="D1405" t="s">
        <v>2271</v>
      </c>
      <c r="E1405" s="527" t="s">
        <v>16434</v>
      </c>
      <c r="F1405" s="219"/>
    </row>
    <row r="1406" spans="1:6" ht="14.4">
      <c r="A1406">
        <v>39864</v>
      </c>
      <c r="B1406" t="s">
        <v>18482</v>
      </c>
      <c r="C1406" t="s">
        <v>2269</v>
      </c>
      <c r="D1406" t="s">
        <v>2271</v>
      </c>
      <c r="E1406" s="527" t="s">
        <v>10265</v>
      </c>
      <c r="F1406" s="220"/>
    </row>
    <row r="1407" spans="1:6" ht="14.4">
      <c r="A1407">
        <v>39865</v>
      </c>
      <c r="B1407" t="s">
        <v>18483</v>
      </c>
      <c r="C1407" t="s">
        <v>2269</v>
      </c>
      <c r="D1407" t="s">
        <v>2271</v>
      </c>
      <c r="E1407" s="527" t="s">
        <v>18484</v>
      </c>
      <c r="F1407" s="219"/>
    </row>
    <row r="1408" spans="1:6" ht="14.4">
      <c r="A1408">
        <v>2517</v>
      </c>
      <c r="B1408" t="s">
        <v>18485</v>
      </c>
      <c r="C1408" t="s">
        <v>2269</v>
      </c>
      <c r="D1408" t="s">
        <v>1857</v>
      </c>
      <c r="E1408" s="527" t="s">
        <v>7638</v>
      </c>
      <c r="F1408" s="220"/>
    </row>
    <row r="1409" spans="1:6" ht="14.4">
      <c r="A1409">
        <v>2522</v>
      </c>
      <c r="B1409" t="s">
        <v>18486</v>
      </c>
      <c r="C1409" t="s">
        <v>2269</v>
      </c>
      <c r="D1409" t="s">
        <v>1857</v>
      </c>
      <c r="E1409" s="527" t="s">
        <v>5394</v>
      </c>
      <c r="F1409" s="219"/>
    </row>
    <row r="1410" spans="1:6" ht="14.4">
      <c r="A1410">
        <v>2548</v>
      </c>
      <c r="B1410" t="s">
        <v>18487</v>
      </c>
      <c r="C1410" t="s">
        <v>2269</v>
      </c>
      <c r="D1410" t="s">
        <v>1857</v>
      </c>
      <c r="E1410" s="527" t="s">
        <v>9925</v>
      </c>
      <c r="F1410" s="220"/>
    </row>
    <row r="1411" spans="1:6" ht="14.4">
      <c r="A1411">
        <v>2516</v>
      </c>
      <c r="B1411" t="s">
        <v>18488</v>
      </c>
      <c r="C1411" t="s">
        <v>2269</v>
      </c>
      <c r="D1411" t="s">
        <v>1857</v>
      </c>
      <c r="E1411" s="527" t="s">
        <v>4993</v>
      </c>
      <c r="F1411" s="219"/>
    </row>
    <row r="1412" spans="1:6" ht="14.4">
      <c r="A1412">
        <v>2518</v>
      </c>
      <c r="B1412" t="s">
        <v>18489</v>
      </c>
      <c r="C1412" t="s">
        <v>2269</v>
      </c>
      <c r="D1412" t="s">
        <v>1857</v>
      </c>
      <c r="E1412" s="527" t="s">
        <v>13033</v>
      </c>
      <c r="F1412" s="220"/>
    </row>
    <row r="1413" spans="1:6" ht="14.4">
      <c r="A1413">
        <v>2521</v>
      </c>
      <c r="B1413" t="s">
        <v>18490</v>
      </c>
      <c r="C1413" t="s">
        <v>2269</v>
      </c>
      <c r="D1413" t="s">
        <v>1857</v>
      </c>
      <c r="E1413" s="527" t="s">
        <v>18491</v>
      </c>
      <c r="F1413" s="219"/>
    </row>
    <row r="1414" spans="1:6" ht="14.4">
      <c r="A1414">
        <v>2515</v>
      </c>
      <c r="B1414" t="s">
        <v>18492</v>
      </c>
      <c r="C1414" t="s">
        <v>2269</v>
      </c>
      <c r="D1414" t="s">
        <v>1857</v>
      </c>
      <c r="E1414" s="527" t="s">
        <v>16443</v>
      </c>
      <c r="F1414" s="220"/>
    </row>
    <row r="1415" spans="1:6" ht="14.4">
      <c r="A1415">
        <v>2519</v>
      </c>
      <c r="B1415" t="s">
        <v>18493</v>
      </c>
      <c r="C1415" t="s">
        <v>2269</v>
      </c>
      <c r="D1415" t="s">
        <v>1857</v>
      </c>
      <c r="E1415" s="527" t="s">
        <v>18494</v>
      </c>
      <c r="F1415" s="219"/>
    </row>
    <row r="1416" spans="1:6" ht="14.4">
      <c r="A1416">
        <v>2520</v>
      </c>
      <c r="B1416" t="s">
        <v>18495</v>
      </c>
      <c r="C1416" t="s">
        <v>2269</v>
      </c>
      <c r="D1416" t="s">
        <v>1857</v>
      </c>
      <c r="E1416" s="527" t="s">
        <v>18496</v>
      </c>
      <c r="F1416" s="220"/>
    </row>
    <row r="1417" spans="1:6" ht="14.4">
      <c r="A1417">
        <v>1602</v>
      </c>
      <c r="B1417" t="s">
        <v>18497</v>
      </c>
      <c r="C1417" t="s">
        <v>2269</v>
      </c>
      <c r="D1417" t="s">
        <v>1857</v>
      </c>
      <c r="E1417" s="527" t="s">
        <v>18498</v>
      </c>
      <c r="F1417" s="219"/>
    </row>
    <row r="1418" spans="1:6" ht="14.4">
      <c r="A1418">
        <v>1601</v>
      </c>
      <c r="B1418" t="s">
        <v>18499</v>
      </c>
      <c r="C1418" t="s">
        <v>2269</v>
      </c>
      <c r="D1418" t="s">
        <v>1857</v>
      </c>
      <c r="E1418" s="527" t="s">
        <v>11424</v>
      </c>
      <c r="F1418" s="220"/>
    </row>
    <row r="1419" spans="1:6" ht="14.4">
      <c r="A1419">
        <v>1598</v>
      </c>
      <c r="B1419" t="s">
        <v>18500</v>
      </c>
      <c r="C1419" t="s">
        <v>2269</v>
      </c>
      <c r="D1419" t="s">
        <v>1857</v>
      </c>
      <c r="E1419" s="527" t="s">
        <v>7725</v>
      </c>
      <c r="F1419" s="219"/>
    </row>
    <row r="1420" spans="1:6" ht="14.4">
      <c r="A1420">
        <v>1600</v>
      </c>
      <c r="B1420" t="s">
        <v>18501</v>
      </c>
      <c r="C1420" t="s">
        <v>2269</v>
      </c>
      <c r="D1420" t="s">
        <v>1857</v>
      </c>
      <c r="E1420" s="527" t="s">
        <v>9929</v>
      </c>
      <c r="F1420" s="220"/>
    </row>
    <row r="1421" spans="1:6" ht="14.4">
      <c r="A1421">
        <v>1603</v>
      </c>
      <c r="B1421" t="s">
        <v>18502</v>
      </c>
      <c r="C1421" t="s">
        <v>2269</v>
      </c>
      <c r="D1421" t="s">
        <v>1857</v>
      </c>
      <c r="E1421" s="527" t="s">
        <v>10099</v>
      </c>
      <c r="F1421" s="219"/>
    </row>
    <row r="1422" spans="1:6" ht="14.4">
      <c r="A1422">
        <v>1599</v>
      </c>
      <c r="B1422" t="s">
        <v>18503</v>
      </c>
      <c r="C1422" t="s">
        <v>2269</v>
      </c>
      <c r="D1422" t="s">
        <v>1857</v>
      </c>
      <c r="E1422" s="527" t="s">
        <v>9915</v>
      </c>
      <c r="F1422" s="220"/>
    </row>
    <row r="1423" spans="1:6" ht="14.4">
      <c r="A1423">
        <v>1597</v>
      </c>
      <c r="B1423" t="s">
        <v>18504</v>
      </c>
      <c r="C1423" t="s">
        <v>2269</v>
      </c>
      <c r="D1423" t="s">
        <v>1857</v>
      </c>
      <c r="E1423" s="527" t="s">
        <v>10672</v>
      </c>
      <c r="F1423" s="219"/>
    </row>
    <row r="1424" spans="1:6" ht="14.4">
      <c r="A1424">
        <v>39600</v>
      </c>
      <c r="B1424" t="s">
        <v>18505</v>
      </c>
      <c r="C1424" t="s">
        <v>2269</v>
      </c>
      <c r="D1424" t="s">
        <v>1857</v>
      </c>
      <c r="E1424" s="527" t="s">
        <v>10158</v>
      </c>
      <c r="F1424" s="220"/>
    </row>
    <row r="1425" spans="1:6" ht="14.4">
      <c r="A1425">
        <v>39601</v>
      </c>
      <c r="B1425" t="s">
        <v>18506</v>
      </c>
      <c r="C1425" t="s">
        <v>2269</v>
      </c>
      <c r="D1425" t="s">
        <v>1857</v>
      </c>
      <c r="E1425" s="527" t="s">
        <v>16426</v>
      </c>
      <c r="F1425" s="219"/>
    </row>
    <row r="1426" spans="1:6" ht="14.4">
      <c r="A1426">
        <v>39602</v>
      </c>
      <c r="B1426" t="s">
        <v>18507</v>
      </c>
      <c r="C1426" t="s">
        <v>2269</v>
      </c>
      <c r="D1426" t="s">
        <v>1857</v>
      </c>
      <c r="E1426" s="527" t="s">
        <v>6521</v>
      </c>
      <c r="F1426" s="220"/>
    </row>
    <row r="1427" spans="1:6" ht="14.4">
      <c r="A1427">
        <v>39603</v>
      </c>
      <c r="B1427" t="s">
        <v>18508</v>
      </c>
      <c r="C1427" t="s">
        <v>2269</v>
      </c>
      <c r="D1427" t="s">
        <v>1857</v>
      </c>
      <c r="E1427" s="527" t="s">
        <v>2972</v>
      </c>
      <c r="F1427" s="219"/>
    </row>
    <row r="1428" spans="1:6" ht="14.4">
      <c r="A1428">
        <v>11821</v>
      </c>
      <c r="B1428" t="s">
        <v>18509</v>
      </c>
      <c r="C1428" t="s">
        <v>2269</v>
      </c>
      <c r="D1428" t="s">
        <v>1857</v>
      </c>
      <c r="E1428" s="527" t="s">
        <v>7954</v>
      </c>
      <c r="F1428" s="220"/>
    </row>
    <row r="1429" spans="1:6" ht="14.4">
      <c r="A1429">
        <v>1562</v>
      </c>
      <c r="B1429" t="s">
        <v>18510</v>
      </c>
      <c r="C1429" t="s">
        <v>2269</v>
      </c>
      <c r="D1429" t="s">
        <v>1857</v>
      </c>
      <c r="E1429" s="527" t="s">
        <v>7071</v>
      </c>
      <c r="F1429" s="219"/>
    </row>
    <row r="1430" spans="1:6" ht="14.4">
      <c r="A1430">
        <v>1563</v>
      </c>
      <c r="B1430" t="s">
        <v>18511</v>
      </c>
      <c r="C1430" t="s">
        <v>2269</v>
      </c>
      <c r="D1430" t="s">
        <v>1857</v>
      </c>
      <c r="E1430" s="527" t="s">
        <v>9497</v>
      </c>
      <c r="F1430" s="220"/>
    </row>
    <row r="1431" spans="1:6" ht="14.4">
      <c r="A1431">
        <v>11856</v>
      </c>
      <c r="B1431" t="s">
        <v>18512</v>
      </c>
      <c r="C1431" t="s">
        <v>2269</v>
      </c>
      <c r="D1431" t="s">
        <v>2268</v>
      </c>
      <c r="E1431" s="527" t="s">
        <v>5218</v>
      </c>
      <c r="F1431" s="219"/>
    </row>
    <row r="1432" spans="1:6" ht="14.4">
      <c r="A1432">
        <v>11857</v>
      </c>
      <c r="B1432" t="s">
        <v>18513</v>
      </c>
      <c r="C1432" t="s">
        <v>2269</v>
      </c>
      <c r="D1432" t="s">
        <v>1857</v>
      </c>
      <c r="E1432" s="527" t="s">
        <v>18514</v>
      </c>
      <c r="F1432" s="220"/>
    </row>
    <row r="1433" spans="1:6" ht="14.4">
      <c r="A1433">
        <v>11858</v>
      </c>
      <c r="B1433" t="s">
        <v>18515</v>
      </c>
      <c r="C1433" t="s">
        <v>2269</v>
      </c>
      <c r="D1433" t="s">
        <v>1857</v>
      </c>
      <c r="E1433" s="527" t="s">
        <v>17273</v>
      </c>
      <c r="F1433" s="219"/>
    </row>
    <row r="1434" spans="1:6" ht="14.4">
      <c r="A1434">
        <v>1539</v>
      </c>
      <c r="B1434" t="s">
        <v>18516</v>
      </c>
      <c r="C1434" t="s">
        <v>2269</v>
      </c>
      <c r="D1434" t="s">
        <v>1857</v>
      </c>
      <c r="E1434" s="527" t="s">
        <v>7297</v>
      </c>
      <c r="F1434" s="220"/>
    </row>
    <row r="1435" spans="1:6" ht="14.4">
      <c r="A1435">
        <v>11859</v>
      </c>
      <c r="B1435" t="s">
        <v>18517</v>
      </c>
      <c r="C1435" t="s">
        <v>2269</v>
      </c>
      <c r="D1435" t="s">
        <v>1857</v>
      </c>
      <c r="E1435" s="527" t="s">
        <v>18518</v>
      </c>
      <c r="F1435" s="219"/>
    </row>
    <row r="1436" spans="1:6" ht="14.4">
      <c r="A1436">
        <v>1550</v>
      </c>
      <c r="B1436" t="s">
        <v>18519</v>
      </c>
      <c r="C1436" t="s">
        <v>2269</v>
      </c>
      <c r="D1436" t="s">
        <v>1857</v>
      </c>
      <c r="E1436" s="527" t="s">
        <v>15803</v>
      </c>
      <c r="F1436" s="220"/>
    </row>
    <row r="1437" spans="1:6" ht="14.4">
      <c r="A1437">
        <v>11854</v>
      </c>
      <c r="B1437" t="s">
        <v>18520</v>
      </c>
      <c r="C1437" t="s">
        <v>2269</v>
      </c>
      <c r="D1437" t="s">
        <v>1857</v>
      </c>
      <c r="E1437" s="527" t="s">
        <v>9515</v>
      </c>
      <c r="F1437" s="219"/>
    </row>
    <row r="1438" spans="1:6" ht="14.4">
      <c r="A1438">
        <v>11862</v>
      </c>
      <c r="B1438" t="s">
        <v>18521</v>
      </c>
      <c r="C1438" t="s">
        <v>2269</v>
      </c>
      <c r="D1438" t="s">
        <v>1857</v>
      </c>
      <c r="E1438" s="527" t="s">
        <v>16150</v>
      </c>
      <c r="F1438" s="220"/>
    </row>
    <row r="1439" spans="1:6" ht="14.4">
      <c r="A1439">
        <v>11863</v>
      </c>
      <c r="B1439" t="s">
        <v>18522</v>
      </c>
      <c r="C1439" t="s">
        <v>2269</v>
      </c>
      <c r="D1439" t="s">
        <v>1857</v>
      </c>
      <c r="E1439" s="527" t="s">
        <v>16177</v>
      </c>
      <c r="F1439" s="219"/>
    </row>
    <row r="1440" spans="1:6" ht="14.4">
      <c r="A1440">
        <v>11855</v>
      </c>
      <c r="B1440" t="s">
        <v>18523</v>
      </c>
      <c r="C1440" t="s">
        <v>2269</v>
      </c>
      <c r="D1440" t="s">
        <v>1857</v>
      </c>
      <c r="E1440" s="527" t="s">
        <v>7898</v>
      </c>
      <c r="F1440" s="220"/>
    </row>
    <row r="1441" spans="1:6" ht="14.4">
      <c r="A1441">
        <v>11864</v>
      </c>
      <c r="B1441" t="s">
        <v>18524</v>
      </c>
      <c r="C1441" t="s">
        <v>2269</v>
      </c>
      <c r="D1441" t="s">
        <v>1857</v>
      </c>
      <c r="E1441" s="527" t="s">
        <v>15807</v>
      </c>
      <c r="F1441" s="219"/>
    </row>
    <row r="1442" spans="1:6" ht="14.4">
      <c r="A1442">
        <v>2527</v>
      </c>
      <c r="B1442" t="s">
        <v>18525</v>
      </c>
      <c r="C1442" t="s">
        <v>2269</v>
      </c>
      <c r="D1442" t="s">
        <v>1857</v>
      </c>
      <c r="E1442" s="527" t="s">
        <v>10110</v>
      </c>
      <c r="F1442" s="220"/>
    </row>
    <row r="1443" spans="1:6" ht="14.4">
      <c r="A1443">
        <v>2526</v>
      </c>
      <c r="B1443" t="s">
        <v>18526</v>
      </c>
      <c r="C1443" t="s">
        <v>2269</v>
      </c>
      <c r="D1443" t="s">
        <v>1857</v>
      </c>
      <c r="E1443" s="527" t="s">
        <v>6551</v>
      </c>
      <c r="F1443" s="219"/>
    </row>
    <row r="1444" spans="1:6" ht="14.4">
      <c r="A1444">
        <v>2487</v>
      </c>
      <c r="B1444" t="s">
        <v>18527</v>
      </c>
      <c r="C1444" t="s">
        <v>2269</v>
      </c>
      <c r="D1444" t="s">
        <v>1857</v>
      </c>
      <c r="E1444" s="527" t="s">
        <v>7255</v>
      </c>
      <c r="F1444" s="220"/>
    </row>
    <row r="1445" spans="1:6" ht="14.4">
      <c r="A1445">
        <v>2483</v>
      </c>
      <c r="B1445" t="s">
        <v>18528</v>
      </c>
      <c r="C1445" t="s">
        <v>2269</v>
      </c>
      <c r="D1445" t="s">
        <v>1857</v>
      </c>
      <c r="E1445" s="527" t="s">
        <v>7391</v>
      </c>
      <c r="F1445" s="219"/>
    </row>
    <row r="1446" spans="1:6" ht="14.4">
      <c r="A1446">
        <v>2528</v>
      </c>
      <c r="B1446" t="s">
        <v>18529</v>
      </c>
      <c r="C1446" t="s">
        <v>2269</v>
      </c>
      <c r="D1446" t="s">
        <v>1857</v>
      </c>
      <c r="E1446" s="527" t="s">
        <v>18530</v>
      </c>
      <c r="F1446" s="220"/>
    </row>
    <row r="1447" spans="1:6" ht="14.4">
      <c r="A1447">
        <v>2489</v>
      </c>
      <c r="B1447" t="s">
        <v>18531</v>
      </c>
      <c r="C1447" t="s">
        <v>2269</v>
      </c>
      <c r="D1447" t="s">
        <v>1857</v>
      </c>
      <c r="E1447" s="527" t="s">
        <v>5959</v>
      </c>
      <c r="F1447" s="219"/>
    </row>
    <row r="1448" spans="1:6" ht="14.4">
      <c r="A1448">
        <v>2488</v>
      </c>
      <c r="B1448" t="s">
        <v>18532</v>
      </c>
      <c r="C1448" t="s">
        <v>2269</v>
      </c>
      <c r="D1448" t="s">
        <v>1857</v>
      </c>
      <c r="E1448" s="527" t="s">
        <v>10320</v>
      </c>
      <c r="F1448" s="220"/>
    </row>
    <row r="1449" spans="1:6" ht="14.4">
      <c r="A1449">
        <v>2484</v>
      </c>
      <c r="B1449" t="s">
        <v>18533</v>
      </c>
      <c r="C1449" t="s">
        <v>2269</v>
      </c>
      <c r="D1449" t="s">
        <v>1857</v>
      </c>
      <c r="E1449" s="527" t="s">
        <v>11449</v>
      </c>
      <c r="F1449" s="219"/>
    </row>
    <row r="1450" spans="1:6" ht="14.4">
      <c r="A1450">
        <v>2485</v>
      </c>
      <c r="B1450" t="s">
        <v>18534</v>
      </c>
      <c r="C1450" t="s">
        <v>2269</v>
      </c>
      <c r="D1450" t="s">
        <v>1857</v>
      </c>
      <c r="E1450" s="527" t="s">
        <v>18535</v>
      </c>
      <c r="F1450" s="220"/>
    </row>
    <row r="1451" spans="1:6" ht="14.4">
      <c r="A1451">
        <v>38005</v>
      </c>
      <c r="B1451" t="s">
        <v>18536</v>
      </c>
      <c r="C1451" t="s">
        <v>2269</v>
      </c>
      <c r="D1451" t="s">
        <v>1857</v>
      </c>
      <c r="E1451" s="527" t="s">
        <v>16566</v>
      </c>
      <c r="F1451" s="219"/>
    </row>
    <row r="1452" spans="1:6" ht="14.4">
      <c r="A1452">
        <v>38006</v>
      </c>
      <c r="B1452" t="s">
        <v>18537</v>
      </c>
      <c r="C1452" t="s">
        <v>2269</v>
      </c>
      <c r="D1452" t="s">
        <v>1857</v>
      </c>
      <c r="E1452" s="527" t="s">
        <v>11850</v>
      </c>
      <c r="F1452" s="220"/>
    </row>
    <row r="1453" spans="1:6" ht="14.4">
      <c r="A1453">
        <v>38428</v>
      </c>
      <c r="B1453" t="s">
        <v>18538</v>
      </c>
      <c r="C1453" t="s">
        <v>2269</v>
      </c>
      <c r="D1453" t="s">
        <v>1857</v>
      </c>
      <c r="E1453" s="527" t="s">
        <v>10164</v>
      </c>
      <c r="F1453" s="219"/>
    </row>
    <row r="1454" spans="1:6" ht="14.4">
      <c r="A1454">
        <v>38007</v>
      </c>
      <c r="B1454" t="s">
        <v>18539</v>
      </c>
      <c r="C1454" t="s">
        <v>2269</v>
      </c>
      <c r="D1454" t="s">
        <v>1857</v>
      </c>
      <c r="E1454" s="527" t="s">
        <v>10685</v>
      </c>
      <c r="F1454" s="220"/>
    </row>
    <row r="1455" spans="1:6" ht="14.4">
      <c r="A1455">
        <v>38008</v>
      </c>
      <c r="B1455" t="s">
        <v>18540</v>
      </c>
      <c r="C1455" t="s">
        <v>2269</v>
      </c>
      <c r="D1455" t="s">
        <v>1857</v>
      </c>
      <c r="E1455" s="527" t="s">
        <v>18541</v>
      </c>
      <c r="F1455" s="219"/>
    </row>
    <row r="1456" spans="1:6" ht="14.4">
      <c r="A1456">
        <v>38009</v>
      </c>
      <c r="B1456" t="s">
        <v>18542</v>
      </c>
      <c r="C1456" t="s">
        <v>2269</v>
      </c>
      <c r="D1456" t="s">
        <v>1857</v>
      </c>
      <c r="E1456" s="527" t="s">
        <v>18543</v>
      </c>
      <c r="F1456" s="220"/>
    </row>
    <row r="1457" spans="1:6" ht="14.4">
      <c r="A1457">
        <v>39279</v>
      </c>
      <c r="B1457" t="s">
        <v>18544</v>
      </c>
      <c r="C1457" t="s">
        <v>2269</v>
      </c>
      <c r="D1457" t="s">
        <v>2271</v>
      </c>
      <c r="E1457" s="527" t="s">
        <v>11814</v>
      </c>
      <c r="F1457" s="219"/>
    </row>
    <row r="1458" spans="1:6" ht="14.4">
      <c r="A1458">
        <v>38845</v>
      </c>
      <c r="B1458" t="s">
        <v>18545</v>
      </c>
      <c r="C1458" t="s">
        <v>2269</v>
      </c>
      <c r="D1458" t="s">
        <v>2271</v>
      </c>
      <c r="E1458" s="527" t="s">
        <v>14693</v>
      </c>
      <c r="F1458" s="220"/>
    </row>
    <row r="1459" spans="1:6" ht="14.4">
      <c r="A1459">
        <v>39280</v>
      </c>
      <c r="B1459" t="s">
        <v>18546</v>
      </c>
      <c r="C1459" t="s">
        <v>2269</v>
      </c>
      <c r="D1459" t="s">
        <v>2271</v>
      </c>
      <c r="E1459" s="527" t="s">
        <v>7703</v>
      </c>
      <c r="F1459" s="219"/>
    </row>
    <row r="1460" spans="1:6" ht="14.4">
      <c r="A1460">
        <v>39281</v>
      </c>
      <c r="B1460" t="s">
        <v>18547</v>
      </c>
      <c r="C1460" t="s">
        <v>2269</v>
      </c>
      <c r="D1460" t="s">
        <v>2271</v>
      </c>
      <c r="E1460" s="527" t="s">
        <v>15266</v>
      </c>
      <c r="F1460" s="220"/>
    </row>
    <row r="1461" spans="1:6" ht="14.4">
      <c r="A1461">
        <v>38849</v>
      </c>
      <c r="B1461" t="s">
        <v>18548</v>
      </c>
      <c r="C1461" t="s">
        <v>2269</v>
      </c>
      <c r="D1461" t="s">
        <v>2271</v>
      </c>
      <c r="E1461" s="527" t="s">
        <v>11849</v>
      </c>
      <c r="F1461" s="219"/>
    </row>
    <row r="1462" spans="1:6" ht="14.4">
      <c r="A1462">
        <v>39282</v>
      </c>
      <c r="B1462" t="s">
        <v>18549</v>
      </c>
      <c r="C1462" t="s">
        <v>2269</v>
      </c>
      <c r="D1462" t="s">
        <v>2271</v>
      </c>
      <c r="E1462" s="527" t="s">
        <v>9779</v>
      </c>
      <c r="F1462" s="220"/>
    </row>
    <row r="1463" spans="1:6" ht="14.4">
      <c r="A1463">
        <v>38852</v>
      </c>
      <c r="B1463" t="s">
        <v>18550</v>
      </c>
      <c r="C1463" t="s">
        <v>2269</v>
      </c>
      <c r="D1463" t="s">
        <v>2271</v>
      </c>
      <c r="E1463" s="527" t="s">
        <v>10183</v>
      </c>
      <c r="F1463" s="219"/>
    </row>
    <row r="1464" spans="1:6" ht="14.4">
      <c r="A1464">
        <v>38844</v>
      </c>
      <c r="B1464" t="s">
        <v>18551</v>
      </c>
      <c r="C1464" t="s">
        <v>2269</v>
      </c>
      <c r="D1464" t="s">
        <v>2271</v>
      </c>
      <c r="E1464" s="527" t="s">
        <v>7479</v>
      </c>
      <c r="F1464" s="220"/>
    </row>
    <row r="1465" spans="1:6" ht="14.4">
      <c r="A1465">
        <v>38846</v>
      </c>
      <c r="B1465" t="s">
        <v>18552</v>
      </c>
      <c r="C1465" t="s">
        <v>2269</v>
      </c>
      <c r="D1465" t="s">
        <v>2271</v>
      </c>
      <c r="E1465" s="527" t="s">
        <v>7359</v>
      </c>
      <c r="F1465" s="219"/>
    </row>
    <row r="1466" spans="1:6" ht="14.4">
      <c r="A1466">
        <v>38847</v>
      </c>
      <c r="B1466" t="s">
        <v>18553</v>
      </c>
      <c r="C1466" t="s">
        <v>2269</v>
      </c>
      <c r="D1466" t="s">
        <v>2271</v>
      </c>
      <c r="E1466" s="527" t="s">
        <v>10264</v>
      </c>
      <c r="F1466" s="220"/>
    </row>
    <row r="1467" spans="1:6" ht="14.4">
      <c r="A1467">
        <v>38850</v>
      </c>
      <c r="B1467" t="s">
        <v>18554</v>
      </c>
      <c r="C1467" t="s">
        <v>2269</v>
      </c>
      <c r="D1467" t="s">
        <v>2271</v>
      </c>
      <c r="E1467" s="527" t="s">
        <v>9900</v>
      </c>
      <c r="F1467" s="219"/>
    </row>
    <row r="1468" spans="1:6" ht="14.4">
      <c r="A1468">
        <v>38848</v>
      </c>
      <c r="B1468" t="s">
        <v>18555</v>
      </c>
      <c r="C1468" t="s">
        <v>2269</v>
      </c>
      <c r="D1468" t="s">
        <v>2271</v>
      </c>
      <c r="E1468" s="527" t="s">
        <v>10388</v>
      </c>
      <c r="F1468" s="220"/>
    </row>
    <row r="1469" spans="1:6" ht="14.4">
      <c r="A1469">
        <v>38851</v>
      </c>
      <c r="B1469" t="s">
        <v>18556</v>
      </c>
      <c r="C1469" t="s">
        <v>2269</v>
      </c>
      <c r="D1469" t="s">
        <v>2271</v>
      </c>
      <c r="E1469" s="527" t="s">
        <v>15267</v>
      </c>
      <c r="F1469" s="219"/>
    </row>
    <row r="1470" spans="1:6" ht="14.4">
      <c r="A1470">
        <v>38860</v>
      </c>
      <c r="B1470" t="s">
        <v>18557</v>
      </c>
      <c r="C1470" t="s">
        <v>2269</v>
      </c>
      <c r="D1470" t="s">
        <v>2271</v>
      </c>
      <c r="E1470" s="527" t="s">
        <v>4685</v>
      </c>
      <c r="F1470" s="220"/>
    </row>
    <row r="1471" spans="1:6" ht="14.4">
      <c r="A1471">
        <v>38861</v>
      </c>
      <c r="B1471" t="s">
        <v>18558</v>
      </c>
      <c r="C1471" t="s">
        <v>2269</v>
      </c>
      <c r="D1471" t="s">
        <v>2271</v>
      </c>
      <c r="E1471" s="527" t="s">
        <v>7460</v>
      </c>
      <c r="F1471" s="219"/>
    </row>
    <row r="1472" spans="1:6" ht="14.4">
      <c r="A1472">
        <v>38862</v>
      </c>
      <c r="B1472" t="s">
        <v>18559</v>
      </c>
      <c r="C1472" t="s">
        <v>2269</v>
      </c>
      <c r="D1472" t="s">
        <v>2271</v>
      </c>
      <c r="E1472" s="527" t="s">
        <v>10013</v>
      </c>
      <c r="F1472" s="220"/>
    </row>
    <row r="1473" spans="1:6" ht="14.4">
      <c r="A1473">
        <v>38863</v>
      </c>
      <c r="B1473" t="s">
        <v>18560</v>
      </c>
      <c r="C1473" t="s">
        <v>2269</v>
      </c>
      <c r="D1473" t="s">
        <v>2271</v>
      </c>
      <c r="E1473" s="527" t="s">
        <v>9874</v>
      </c>
      <c r="F1473" s="219"/>
    </row>
    <row r="1474" spans="1:6" ht="14.4">
      <c r="A1474">
        <v>38865</v>
      </c>
      <c r="B1474" t="s">
        <v>18561</v>
      </c>
      <c r="C1474" t="s">
        <v>2269</v>
      </c>
      <c r="D1474" t="s">
        <v>2271</v>
      </c>
      <c r="E1474" s="527" t="s">
        <v>10681</v>
      </c>
      <c r="F1474" s="220"/>
    </row>
    <row r="1475" spans="1:6" ht="14.4">
      <c r="A1475">
        <v>38864</v>
      </c>
      <c r="B1475" t="s">
        <v>18562</v>
      </c>
      <c r="C1475" t="s">
        <v>2269</v>
      </c>
      <c r="D1475" t="s">
        <v>2271</v>
      </c>
      <c r="E1475" s="527" t="s">
        <v>9532</v>
      </c>
      <c r="F1475" s="219"/>
    </row>
    <row r="1476" spans="1:6" ht="14.4">
      <c r="A1476">
        <v>38866</v>
      </c>
      <c r="B1476" t="s">
        <v>18563</v>
      </c>
      <c r="C1476" t="s">
        <v>2269</v>
      </c>
      <c r="D1476" t="s">
        <v>2271</v>
      </c>
      <c r="E1476" s="527" t="s">
        <v>7461</v>
      </c>
      <c r="F1476" s="220"/>
    </row>
    <row r="1477" spans="1:6" ht="14.4">
      <c r="A1477">
        <v>38868</v>
      </c>
      <c r="B1477" t="s">
        <v>18564</v>
      </c>
      <c r="C1477" t="s">
        <v>2269</v>
      </c>
      <c r="D1477" t="s">
        <v>2271</v>
      </c>
      <c r="E1477" s="527" t="s">
        <v>10755</v>
      </c>
      <c r="F1477" s="219"/>
    </row>
    <row r="1478" spans="1:6" ht="14.4">
      <c r="A1478">
        <v>38853</v>
      </c>
      <c r="B1478" t="s">
        <v>18565</v>
      </c>
      <c r="C1478" t="s">
        <v>2269</v>
      </c>
      <c r="D1478" t="s">
        <v>2271</v>
      </c>
      <c r="E1478" s="527" t="s">
        <v>7352</v>
      </c>
      <c r="F1478" s="220"/>
    </row>
    <row r="1479" spans="1:6" ht="14.4">
      <c r="A1479">
        <v>38854</v>
      </c>
      <c r="B1479" t="s">
        <v>18566</v>
      </c>
      <c r="C1479" t="s">
        <v>2269</v>
      </c>
      <c r="D1479" t="s">
        <v>2271</v>
      </c>
      <c r="E1479" s="527" t="s">
        <v>10035</v>
      </c>
      <c r="F1479" s="219"/>
    </row>
    <row r="1480" spans="1:6" ht="14.4">
      <c r="A1480">
        <v>38855</v>
      </c>
      <c r="B1480" t="s">
        <v>18567</v>
      </c>
      <c r="C1480" t="s">
        <v>2269</v>
      </c>
      <c r="D1480" t="s">
        <v>2271</v>
      </c>
      <c r="E1480" s="527" t="s">
        <v>10688</v>
      </c>
      <c r="F1480" s="220"/>
    </row>
    <row r="1481" spans="1:6" ht="14.4">
      <c r="A1481">
        <v>38856</v>
      </c>
      <c r="B1481" t="s">
        <v>18568</v>
      </c>
      <c r="C1481" t="s">
        <v>2269</v>
      </c>
      <c r="D1481" t="s">
        <v>2271</v>
      </c>
      <c r="E1481" s="527" t="s">
        <v>7541</v>
      </c>
      <c r="F1481" s="219"/>
    </row>
    <row r="1482" spans="1:6" ht="14.4">
      <c r="A1482">
        <v>38857</v>
      </c>
      <c r="B1482" t="s">
        <v>18569</v>
      </c>
      <c r="C1482" t="s">
        <v>2269</v>
      </c>
      <c r="D1482" t="s">
        <v>2271</v>
      </c>
      <c r="E1482" s="527" t="s">
        <v>14049</v>
      </c>
      <c r="F1482" s="220"/>
    </row>
    <row r="1483" spans="1:6" ht="14.4">
      <c r="A1483">
        <v>38858</v>
      </c>
      <c r="B1483" t="s">
        <v>18570</v>
      </c>
      <c r="C1483" t="s">
        <v>2269</v>
      </c>
      <c r="D1483" t="s">
        <v>2271</v>
      </c>
      <c r="E1483" s="527" t="s">
        <v>7957</v>
      </c>
      <c r="F1483" s="219"/>
    </row>
    <row r="1484" spans="1:6" ht="14.4">
      <c r="A1484">
        <v>38859</v>
      </c>
      <c r="B1484" t="s">
        <v>18571</v>
      </c>
      <c r="C1484" t="s">
        <v>2269</v>
      </c>
      <c r="D1484" t="s">
        <v>2271</v>
      </c>
      <c r="E1484" s="527" t="s">
        <v>15268</v>
      </c>
      <c r="F1484" s="220"/>
    </row>
    <row r="1485" spans="1:6" ht="14.4">
      <c r="A1485">
        <v>3104</v>
      </c>
      <c r="B1485" t="s">
        <v>18572</v>
      </c>
      <c r="C1485" t="s">
        <v>2282</v>
      </c>
      <c r="D1485" t="s">
        <v>1857</v>
      </c>
      <c r="E1485" s="527" t="s">
        <v>18573</v>
      </c>
      <c r="F1485" s="219"/>
    </row>
    <row r="1486" spans="1:6" ht="14.4">
      <c r="A1486">
        <v>1607</v>
      </c>
      <c r="B1486" t="s">
        <v>18574</v>
      </c>
      <c r="C1486" t="s">
        <v>2282</v>
      </c>
      <c r="D1486" t="s">
        <v>1857</v>
      </c>
      <c r="E1486" s="527" t="s">
        <v>3717</v>
      </c>
      <c r="F1486" s="220"/>
    </row>
    <row r="1487" spans="1:6" ht="14.4">
      <c r="A1487">
        <v>38169</v>
      </c>
      <c r="B1487" t="s">
        <v>18575</v>
      </c>
      <c r="C1487" t="s">
        <v>2282</v>
      </c>
      <c r="D1487" t="s">
        <v>1857</v>
      </c>
      <c r="E1487" s="527" t="s">
        <v>18576</v>
      </c>
      <c r="F1487" s="219"/>
    </row>
    <row r="1488" spans="1:6" ht="14.4">
      <c r="A1488">
        <v>6142</v>
      </c>
      <c r="B1488" t="s">
        <v>18577</v>
      </c>
      <c r="C1488" t="s">
        <v>2269</v>
      </c>
      <c r="D1488" t="s">
        <v>1857</v>
      </c>
      <c r="E1488" s="527" t="s">
        <v>7322</v>
      </c>
      <c r="F1488" s="220"/>
    </row>
    <row r="1489" spans="1:6" ht="14.4">
      <c r="A1489">
        <v>11686</v>
      </c>
      <c r="B1489" t="s">
        <v>18578</v>
      </c>
      <c r="C1489" t="s">
        <v>2269</v>
      </c>
      <c r="D1489" t="s">
        <v>1857</v>
      </c>
      <c r="E1489" s="527" t="s">
        <v>10179</v>
      </c>
      <c r="F1489" s="219"/>
    </row>
    <row r="1490" spans="1:6" ht="14.4">
      <c r="A1490">
        <v>37598</v>
      </c>
      <c r="B1490" t="s">
        <v>18579</v>
      </c>
      <c r="C1490" t="s">
        <v>2269</v>
      </c>
      <c r="D1490" t="s">
        <v>2271</v>
      </c>
      <c r="E1490" s="527" t="s">
        <v>9924</v>
      </c>
      <c r="F1490" s="220"/>
    </row>
    <row r="1491" spans="1:6" ht="14.4">
      <c r="A1491">
        <v>25398</v>
      </c>
      <c r="B1491" t="s">
        <v>18580</v>
      </c>
      <c r="C1491" t="s">
        <v>2269</v>
      </c>
      <c r="D1491" t="s">
        <v>2271</v>
      </c>
      <c r="E1491" s="527" t="s">
        <v>18581</v>
      </c>
      <c r="F1491" s="219"/>
    </row>
    <row r="1492" spans="1:6" ht="14.4">
      <c r="A1492">
        <v>25399</v>
      </c>
      <c r="B1492" t="s">
        <v>18582</v>
      </c>
      <c r="C1492" t="s">
        <v>2269</v>
      </c>
      <c r="D1492" t="s">
        <v>2271</v>
      </c>
      <c r="E1492" s="527" t="s">
        <v>18583</v>
      </c>
      <c r="F1492" s="220"/>
    </row>
    <row r="1493" spans="1:6" ht="14.4">
      <c r="A1493">
        <v>43440</v>
      </c>
      <c r="B1493" t="s">
        <v>18584</v>
      </c>
      <c r="C1493" t="s">
        <v>2269</v>
      </c>
      <c r="D1493" t="s">
        <v>1857</v>
      </c>
      <c r="E1493" s="527" t="s">
        <v>18585</v>
      </c>
      <c r="F1493" s="219"/>
    </row>
    <row r="1494" spans="1:6" ht="14.4">
      <c r="A1494">
        <v>10667</v>
      </c>
      <c r="B1494" t="s">
        <v>18586</v>
      </c>
      <c r="C1494" t="s">
        <v>2269</v>
      </c>
      <c r="D1494" t="s">
        <v>2271</v>
      </c>
      <c r="E1494" s="527" t="s">
        <v>15269</v>
      </c>
      <c r="F1494" s="220"/>
    </row>
    <row r="1495" spans="1:6" ht="14.4">
      <c r="A1495">
        <v>1613</v>
      </c>
      <c r="B1495" t="s">
        <v>18587</v>
      </c>
      <c r="C1495" t="s">
        <v>2269</v>
      </c>
      <c r="D1495" t="s">
        <v>1857</v>
      </c>
      <c r="E1495" s="527" t="s">
        <v>18588</v>
      </c>
      <c r="F1495" s="219"/>
    </row>
    <row r="1496" spans="1:6" ht="14.4">
      <c r="A1496">
        <v>1626</v>
      </c>
      <c r="B1496" t="s">
        <v>18589</v>
      </c>
      <c r="C1496" t="s">
        <v>2269</v>
      </c>
      <c r="D1496" t="s">
        <v>1857</v>
      </c>
      <c r="E1496" s="527" t="s">
        <v>18590</v>
      </c>
      <c r="F1496" s="220"/>
    </row>
    <row r="1497" spans="1:6" ht="14.4">
      <c r="A1497">
        <v>1625</v>
      </c>
      <c r="B1497" t="s">
        <v>18591</v>
      </c>
      <c r="C1497" t="s">
        <v>2269</v>
      </c>
      <c r="D1497" t="s">
        <v>1857</v>
      </c>
      <c r="E1497" s="527" t="s">
        <v>18592</v>
      </c>
      <c r="F1497" s="219"/>
    </row>
    <row r="1498" spans="1:6" ht="14.4">
      <c r="A1498">
        <v>1622</v>
      </c>
      <c r="B1498" t="s">
        <v>18593</v>
      </c>
      <c r="C1498" t="s">
        <v>2269</v>
      </c>
      <c r="D1498" t="s">
        <v>1857</v>
      </c>
      <c r="E1498" s="527" t="s">
        <v>18594</v>
      </c>
      <c r="F1498" s="220"/>
    </row>
    <row r="1499" spans="1:6" ht="14.4">
      <c r="A1499">
        <v>1620</v>
      </c>
      <c r="B1499" t="s">
        <v>18595</v>
      </c>
      <c r="C1499" t="s">
        <v>2269</v>
      </c>
      <c r="D1499" t="s">
        <v>1857</v>
      </c>
      <c r="E1499" s="527" t="s">
        <v>18596</v>
      </c>
      <c r="F1499" s="219"/>
    </row>
    <row r="1500" spans="1:6" ht="14.4">
      <c r="A1500">
        <v>1629</v>
      </c>
      <c r="B1500" t="s">
        <v>18597</v>
      </c>
      <c r="C1500" t="s">
        <v>2269</v>
      </c>
      <c r="D1500" t="s">
        <v>1857</v>
      </c>
      <c r="E1500" s="527" t="s">
        <v>18598</v>
      </c>
      <c r="F1500" s="220"/>
    </row>
    <row r="1501" spans="1:6" ht="14.4">
      <c r="A1501">
        <v>1627</v>
      </c>
      <c r="B1501" t="s">
        <v>18599</v>
      </c>
      <c r="C1501" t="s">
        <v>2269</v>
      </c>
      <c r="D1501" t="s">
        <v>1857</v>
      </c>
      <c r="E1501" s="527" t="s">
        <v>18600</v>
      </c>
      <c r="F1501" s="219"/>
    </row>
    <row r="1502" spans="1:6" ht="14.4">
      <c r="A1502">
        <v>1623</v>
      </c>
      <c r="B1502" t="s">
        <v>18601</v>
      </c>
      <c r="C1502" t="s">
        <v>2269</v>
      </c>
      <c r="D1502" t="s">
        <v>1857</v>
      </c>
      <c r="E1502" s="527" t="s">
        <v>18602</v>
      </c>
      <c r="F1502" s="220"/>
    </row>
    <row r="1503" spans="1:6" ht="14.4">
      <c r="A1503">
        <v>1619</v>
      </c>
      <c r="B1503" t="s">
        <v>18603</v>
      </c>
      <c r="C1503" t="s">
        <v>2269</v>
      </c>
      <c r="D1503" t="s">
        <v>1857</v>
      </c>
      <c r="E1503" s="527" t="s">
        <v>18604</v>
      </c>
      <c r="F1503" s="219"/>
    </row>
    <row r="1504" spans="1:6" ht="14.4">
      <c r="A1504">
        <v>1630</v>
      </c>
      <c r="B1504" t="s">
        <v>18605</v>
      </c>
      <c r="C1504" t="s">
        <v>2269</v>
      </c>
      <c r="D1504" t="s">
        <v>1857</v>
      </c>
      <c r="E1504" s="527" t="s">
        <v>18606</v>
      </c>
      <c r="F1504" s="220"/>
    </row>
    <row r="1505" spans="1:6" ht="14.4">
      <c r="A1505">
        <v>1616</v>
      </c>
      <c r="B1505" t="s">
        <v>18607</v>
      </c>
      <c r="C1505" t="s">
        <v>2269</v>
      </c>
      <c r="D1505" t="s">
        <v>1857</v>
      </c>
      <c r="E1505" s="527" t="s">
        <v>18608</v>
      </c>
      <c r="F1505" s="219"/>
    </row>
    <row r="1506" spans="1:6" ht="14.4">
      <c r="A1506">
        <v>1614</v>
      </c>
      <c r="B1506" t="s">
        <v>18609</v>
      </c>
      <c r="C1506" t="s">
        <v>2269</v>
      </c>
      <c r="D1506" t="s">
        <v>1857</v>
      </c>
      <c r="E1506" s="527" t="s">
        <v>18610</v>
      </c>
      <c r="F1506" s="220"/>
    </row>
    <row r="1507" spans="1:6" ht="14.4">
      <c r="A1507">
        <v>1617</v>
      </c>
      <c r="B1507" t="s">
        <v>18611</v>
      </c>
      <c r="C1507" t="s">
        <v>2269</v>
      </c>
      <c r="D1507" t="s">
        <v>1857</v>
      </c>
      <c r="E1507" s="527" t="s">
        <v>18612</v>
      </c>
      <c r="F1507" s="219"/>
    </row>
    <row r="1508" spans="1:6" ht="14.4">
      <c r="A1508">
        <v>1621</v>
      </c>
      <c r="B1508" t="s">
        <v>18613</v>
      </c>
      <c r="C1508" t="s">
        <v>2269</v>
      </c>
      <c r="D1508" t="s">
        <v>1857</v>
      </c>
      <c r="E1508" s="527" t="s">
        <v>18614</v>
      </c>
      <c r="F1508" s="220"/>
    </row>
    <row r="1509" spans="1:6" ht="14.4">
      <c r="A1509">
        <v>1624</v>
      </c>
      <c r="B1509" t="s">
        <v>18615</v>
      </c>
      <c r="C1509" t="s">
        <v>2269</v>
      </c>
      <c r="D1509" t="s">
        <v>1857</v>
      </c>
      <c r="E1509" s="527" t="s">
        <v>18616</v>
      </c>
      <c r="F1509" s="219"/>
    </row>
    <row r="1510" spans="1:6" ht="14.4">
      <c r="A1510">
        <v>1615</v>
      </c>
      <c r="B1510" t="s">
        <v>18617</v>
      </c>
      <c r="C1510" t="s">
        <v>2269</v>
      </c>
      <c r="D1510" t="s">
        <v>1857</v>
      </c>
      <c r="E1510" s="527" t="s">
        <v>18618</v>
      </c>
      <c r="F1510" s="220"/>
    </row>
    <row r="1511" spans="1:6" ht="14.4">
      <c r="A1511">
        <v>1612</v>
      </c>
      <c r="B1511" t="s">
        <v>18619</v>
      </c>
      <c r="C1511" t="s">
        <v>2269</v>
      </c>
      <c r="D1511" t="s">
        <v>2268</v>
      </c>
      <c r="E1511" s="527" t="s">
        <v>15265</v>
      </c>
      <c r="F1511" s="219"/>
    </row>
    <row r="1512" spans="1:6" ht="14.4">
      <c r="A1512">
        <v>1618</v>
      </c>
      <c r="B1512" t="s">
        <v>18620</v>
      </c>
      <c r="C1512" t="s">
        <v>2269</v>
      </c>
      <c r="D1512" t="s">
        <v>1857</v>
      </c>
      <c r="E1512" s="527" t="s">
        <v>18621</v>
      </c>
      <c r="F1512" s="220"/>
    </row>
    <row r="1513" spans="1:6" ht="14.4">
      <c r="A1513">
        <v>14211</v>
      </c>
      <c r="B1513" t="s">
        <v>18622</v>
      </c>
      <c r="C1513" t="s">
        <v>2269</v>
      </c>
      <c r="D1513" t="s">
        <v>2271</v>
      </c>
      <c r="E1513" s="527" t="s">
        <v>16700</v>
      </c>
      <c r="F1513" s="219"/>
    </row>
    <row r="1514" spans="1:6" ht="14.4">
      <c r="A1514">
        <v>34500</v>
      </c>
      <c r="B1514" t="s">
        <v>18623</v>
      </c>
      <c r="C1514" t="s">
        <v>2267</v>
      </c>
      <c r="D1514" t="s">
        <v>1857</v>
      </c>
      <c r="E1514" s="527" t="s">
        <v>18624</v>
      </c>
      <c r="F1514" s="220"/>
    </row>
    <row r="1515" spans="1:6" ht="14.4">
      <c r="A1515">
        <v>40934</v>
      </c>
      <c r="B1515" t="s">
        <v>18625</v>
      </c>
      <c r="C1515" t="s">
        <v>2276</v>
      </c>
      <c r="D1515" t="s">
        <v>1857</v>
      </c>
      <c r="E1515" s="527" t="s">
        <v>18626</v>
      </c>
      <c r="F1515" s="219"/>
    </row>
    <row r="1516" spans="1:6" ht="14.4">
      <c r="A1516">
        <v>38200</v>
      </c>
      <c r="B1516" t="s">
        <v>18627</v>
      </c>
      <c r="C1516" t="s">
        <v>2283</v>
      </c>
      <c r="D1516" t="s">
        <v>1857</v>
      </c>
      <c r="E1516" s="527" t="s">
        <v>18628</v>
      </c>
      <c r="F1516" s="220"/>
    </row>
    <row r="1517" spans="1:6" ht="14.4">
      <c r="A1517">
        <v>39269</v>
      </c>
      <c r="B1517" t="s">
        <v>18629</v>
      </c>
      <c r="C1517" t="s">
        <v>2273</v>
      </c>
      <c r="D1517" t="s">
        <v>1857</v>
      </c>
      <c r="E1517" s="527" t="s">
        <v>7336</v>
      </c>
      <c r="F1517" s="219"/>
    </row>
    <row r="1518" spans="1:6" ht="14.4">
      <c r="A1518">
        <v>11889</v>
      </c>
      <c r="B1518" t="s">
        <v>18630</v>
      </c>
      <c r="C1518" t="s">
        <v>2273</v>
      </c>
      <c r="D1518" t="s">
        <v>1857</v>
      </c>
      <c r="E1518" s="527" t="s">
        <v>4153</v>
      </c>
      <c r="F1518" s="220"/>
    </row>
    <row r="1519" spans="1:6" ht="14.4">
      <c r="A1519">
        <v>39270</v>
      </c>
      <c r="B1519" t="s">
        <v>18631</v>
      </c>
      <c r="C1519" t="s">
        <v>2273</v>
      </c>
      <c r="D1519" t="s">
        <v>1857</v>
      </c>
      <c r="E1519" s="527" t="s">
        <v>6502</v>
      </c>
      <c r="F1519" s="219"/>
    </row>
    <row r="1520" spans="1:6" ht="14.4">
      <c r="A1520">
        <v>11890</v>
      </c>
      <c r="B1520" t="s">
        <v>18632</v>
      </c>
      <c r="C1520" t="s">
        <v>2273</v>
      </c>
      <c r="D1520" t="s">
        <v>1857</v>
      </c>
      <c r="E1520" s="527" t="s">
        <v>7268</v>
      </c>
      <c r="F1520" s="220"/>
    </row>
    <row r="1521" spans="1:6" ht="14.4">
      <c r="A1521">
        <v>11891</v>
      </c>
      <c r="B1521" t="s">
        <v>18633</v>
      </c>
      <c r="C1521" t="s">
        <v>2273</v>
      </c>
      <c r="D1521" t="s">
        <v>1857</v>
      </c>
      <c r="E1521" s="527" t="s">
        <v>7635</v>
      </c>
      <c r="F1521" s="219"/>
    </row>
    <row r="1522" spans="1:6" ht="14.4">
      <c r="A1522">
        <v>11892</v>
      </c>
      <c r="B1522" t="s">
        <v>18634</v>
      </c>
      <c r="C1522" t="s">
        <v>2273</v>
      </c>
      <c r="D1522" t="s">
        <v>1857</v>
      </c>
      <c r="E1522" s="527" t="s">
        <v>9489</v>
      </c>
      <c r="F1522" s="220"/>
    </row>
    <row r="1523" spans="1:6" ht="14.4">
      <c r="A1523">
        <v>37601</v>
      </c>
      <c r="B1523" t="s">
        <v>18635</v>
      </c>
      <c r="C1523" t="s">
        <v>2273</v>
      </c>
      <c r="D1523" t="s">
        <v>2271</v>
      </c>
      <c r="E1523" s="527" t="s">
        <v>4692</v>
      </c>
      <c r="F1523" s="219"/>
    </row>
    <row r="1524" spans="1:6" ht="14.4">
      <c r="A1524">
        <v>1634</v>
      </c>
      <c r="B1524" t="s">
        <v>18636</v>
      </c>
      <c r="C1524" t="s">
        <v>2273</v>
      </c>
      <c r="D1524" t="s">
        <v>2271</v>
      </c>
      <c r="E1524" s="527" t="s">
        <v>9500</v>
      </c>
      <c r="F1524" s="220"/>
    </row>
    <row r="1525" spans="1:6" ht="14.4">
      <c r="A1525">
        <v>5086</v>
      </c>
      <c r="B1525" t="s">
        <v>18637</v>
      </c>
      <c r="C1525" t="s">
        <v>2274</v>
      </c>
      <c r="D1525" t="s">
        <v>1857</v>
      </c>
      <c r="E1525" s="527" t="s">
        <v>18638</v>
      </c>
      <c r="F1525" s="219"/>
    </row>
    <row r="1526" spans="1:6" ht="14.4">
      <c r="A1526">
        <v>11280</v>
      </c>
      <c r="B1526" t="s">
        <v>18639</v>
      </c>
      <c r="C1526" t="s">
        <v>2269</v>
      </c>
      <c r="D1526" t="s">
        <v>1857</v>
      </c>
      <c r="E1526" s="527" t="s">
        <v>18640</v>
      </c>
      <c r="F1526" s="220"/>
    </row>
    <row r="1527" spans="1:6" ht="14.4">
      <c r="A1527">
        <v>40519</v>
      </c>
      <c r="B1527" t="s">
        <v>18641</v>
      </c>
      <c r="C1527" t="s">
        <v>2269</v>
      </c>
      <c r="D1527" t="s">
        <v>1857</v>
      </c>
      <c r="E1527" s="527" t="s">
        <v>18642</v>
      </c>
      <c r="F1527" s="219"/>
    </row>
    <row r="1528" spans="1:6" ht="14.4">
      <c r="A1528">
        <v>39869</v>
      </c>
      <c r="B1528" t="s">
        <v>18643</v>
      </c>
      <c r="C1528" t="s">
        <v>2269</v>
      </c>
      <c r="D1528" t="s">
        <v>2271</v>
      </c>
      <c r="E1528" s="527" t="s">
        <v>10697</v>
      </c>
      <c r="F1528" s="220"/>
    </row>
    <row r="1529" spans="1:6" ht="14.4">
      <c r="A1529">
        <v>39870</v>
      </c>
      <c r="B1529" t="s">
        <v>18644</v>
      </c>
      <c r="C1529" t="s">
        <v>2269</v>
      </c>
      <c r="D1529" t="s">
        <v>2271</v>
      </c>
      <c r="E1529" s="527" t="s">
        <v>10299</v>
      </c>
      <c r="F1529" s="219"/>
    </row>
    <row r="1530" spans="1:6" ht="14.4">
      <c r="A1530">
        <v>39871</v>
      </c>
      <c r="B1530" t="s">
        <v>18645</v>
      </c>
      <c r="C1530" t="s">
        <v>2269</v>
      </c>
      <c r="D1530" t="s">
        <v>2271</v>
      </c>
      <c r="E1530" s="527" t="s">
        <v>9529</v>
      </c>
      <c r="F1530" s="220"/>
    </row>
    <row r="1531" spans="1:6" ht="14.4">
      <c r="A1531">
        <v>12722</v>
      </c>
      <c r="B1531" t="s">
        <v>18646</v>
      </c>
      <c r="C1531" t="s">
        <v>2269</v>
      </c>
      <c r="D1531" t="s">
        <v>2271</v>
      </c>
      <c r="E1531" s="527" t="s">
        <v>18647</v>
      </c>
      <c r="F1531" s="219"/>
    </row>
    <row r="1532" spans="1:6" ht="14.4">
      <c r="A1532">
        <v>12714</v>
      </c>
      <c r="B1532" t="s">
        <v>18648</v>
      </c>
      <c r="C1532" t="s">
        <v>2269</v>
      </c>
      <c r="D1532" t="s">
        <v>2271</v>
      </c>
      <c r="E1532" s="527" t="s">
        <v>7292</v>
      </c>
      <c r="F1532" s="220"/>
    </row>
    <row r="1533" spans="1:6" ht="14.4">
      <c r="A1533">
        <v>12715</v>
      </c>
      <c r="B1533" t="s">
        <v>18649</v>
      </c>
      <c r="C1533" t="s">
        <v>2269</v>
      </c>
      <c r="D1533" t="s">
        <v>2271</v>
      </c>
      <c r="E1533" s="527" t="s">
        <v>18650</v>
      </c>
      <c r="F1533" s="219"/>
    </row>
    <row r="1534" spans="1:6" ht="14.4">
      <c r="A1534">
        <v>12716</v>
      </c>
      <c r="B1534" t="s">
        <v>18651</v>
      </c>
      <c r="C1534" t="s">
        <v>2269</v>
      </c>
      <c r="D1534" t="s">
        <v>2271</v>
      </c>
      <c r="E1534" s="527" t="s">
        <v>16136</v>
      </c>
      <c r="F1534" s="220"/>
    </row>
    <row r="1535" spans="1:6" ht="14.4">
      <c r="A1535">
        <v>12717</v>
      </c>
      <c r="B1535" t="s">
        <v>18652</v>
      </c>
      <c r="C1535" t="s">
        <v>2269</v>
      </c>
      <c r="D1535" t="s">
        <v>2271</v>
      </c>
      <c r="E1535" s="527" t="s">
        <v>18653</v>
      </c>
      <c r="F1535" s="219"/>
    </row>
    <row r="1536" spans="1:6" ht="14.4">
      <c r="A1536">
        <v>12718</v>
      </c>
      <c r="B1536" t="s">
        <v>18654</v>
      </c>
      <c r="C1536" t="s">
        <v>2269</v>
      </c>
      <c r="D1536" t="s">
        <v>2271</v>
      </c>
      <c r="E1536" s="527" t="s">
        <v>18655</v>
      </c>
      <c r="F1536" s="220"/>
    </row>
    <row r="1537" spans="1:6" ht="14.4">
      <c r="A1537">
        <v>12719</v>
      </c>
      <c r="B1537" t="s">
        <v>18656</v>
      </c>
      <c r="C1537" t="s">
        <v>2269</v>
      </c>
      <c r="D1537" t="s">
        <v>2271</v>
      </c>
      <c r="E1537" s="527" t="s">
        <v>18657</v>
      </c>
      <c r="F1537" s="219"/>
    </row>
    <row r="1538" spans="1:6" ht="14.4">
      <c r="A1538">
        <v>12720</v>
      </c>
      <c r="B1538" t="s">
        <v>18658</v>
      </c>
      <c r="C1538" t="s">
        <v>2269</v>
      </c>
      <c r="D1538" t="s">
        <v>2271</v>
      </c>
      <c r="E1538" s="527" t="s">
        <v>18659</v>
      </c>
      <c r="F1538" s="220"/>
    </row>
    <row r="1539" spans="1:6" ht="14.4">
      <c r="A1539">
        <v>12721</v>
      </c>
      <c r="B1539" t="s">
        <v>18660</v>
      </c>
      <c r="C1539" t="s">
        <v>2269</v>
      </c>
      <c r="D1539" t="s">
        <v>2271</v>
      </c>
      <c r="E1539" s="527" t="s">
        <v>18661</v>
      </c>
      <c r="F1539" s="219"/>
    </row>
    <row r="1540" spans="1:6" ht="14.4">
      <c r="A1540">
        <v>3468</v>
      </c>
      <c r="B1540" t="s">
        <v>18662</v>
      </c>
      <c r="C1540" t="s">
        <v>2269</v>
      </c>
      <c r="D1540" t="s">
        <v>1857</v>
      </c>
      <c r="E1540" s="527" t="s">
        <v>10788</v>
      </c>
      <c r="F1540" s="220"/>
    </row>
    <row r="1541" spans="1:6" ht="14.4">
      <c r="A1541">
        <v>3465</v>
      </c>
      <c r="B1541" t="s">
        <v>18663</v>
      </c>
      <c r="C1541" t="s">
        <v>2269</v>
      </c>
      <c r="D1541" t="s">
        <v>1857</v>
      </c>
      <c r="E1541" s="527" t="s">
        <v>9921</v>
      </c>
      <c r="F1541" s="219"/>
    </row>
    <row r="1542" spans="1:6" ht="14.4">
      <c r="A1542">
        <v>12403</v>
      </c>
      <c r="B1542" t="s">
        <v>18664</v>
      </c>
      <c r="C1542" t="s">
        <v>2269</v>
      </c>
      <c r="D1542" t="s">
        <v>1857</v>
      </c>
      <c r="E1542" s="527" t="s">
        <v>14693</v>
      </c>
      <c r="F1542" s="220"/>
    </row>
    <row r="1543" spans="1:6" ht="14.4">
      <c r="A1543">
        <v>3463</v>
      </c>
      <c r="B1543" t="s">
        <v>18665</v>
      </c>
      <c r="C1543" t="s">
        <v>2269</v>
      </c>
      <c r="D1543" t="s">
        <v>1857</v>
      </c>
      <c r="E1543" s="527" t="s">
        <v>5324</v>
      </c>
      <c r="F1543" s="219"/>
    </row>
    <row r="1544" spans="1:6" ht="14.4">
      <c r="A1544">
        <v>3464</v>
      </c>
      <c r="B1544" t="s">
        <v>18666</v>
      </c>
      <c r="C1544" t="s">
        <v>2269</v>
      </c>
      <c r="D1544" t="s">
        <v>1857</v>
      </c>
      <c r="E1544" s="527" t="s">
        <v>5324</v>
      </c>
      <c r="F1544" s="220"/>
    </row>
    <row r="1545" spans="1:6" ht="14.4">
      <c r="A1545">
        <v>3466</v>
      </c>
      <c r="B1545" t="s">
        <v>18667</v>
      </c>
      <c r="C1545" t="s">
        <v>2269</v>
      </c>
      <c r="D1545" t="s">
        <v>1857</v>
      </c>
      <c r="E1545" s="527" t="s">
        <v>10348</v>
      </c>
      <c r="F1545" s="219"/>
    </row>
    <row r="1546" spans="1:6" ht="14.4">
      <c r="A1546">
        <v>3467</v>
      </c>
      <c r="B1546" t="s">
        <v>18668</v>
      </c>
      <c r="C1546" t="s">
        <v>2269</v>
      </c>
      <c r="D1546" t="s">
        <v>1857</v>
      </c>
      <c r="E1546" s="527" t="s">
        <v>15272</v>
      </c>
      <c r="F1546" s="220"/>
    </row>
    <row r="1547" spans="1:6" ht="14.4">
      <c r="A1547">
        <v>3462</v>
      </c>
      <c r="B1547" t="s">
        <v>18669</v>
      </c>
      <c r="C1547" t="s">
        <v>2269</v>
      </c>
      <c r="D1547" t="s">
        <v>1857</v>
      </c>
      <c r="E1547" s="527" t="s">
        <v>5910</v>
      </c>
      <c r="F1547" s="219"/>
    </row>
    <row r="1548" spans="1:6" ht="14.4">
      <c r="A1548">
        <v>3446</v>
      </c>
      <c r="B1548" t="s">
        <v>18670</v>
      </c>
      <c r="C1548" t="s">
        <v>2269</v>
      </c>
      <c r="D1548" t="s">
        <v>1857</v>
      </c>
      <c r="E1548" s="527" t="s">
        <v>10274</v>
      </c>
      <c r="F1548" s="220"/>
    </row>
    <row r="1549" spans="1:6" ht="14.4">
      <c r="A1549">
        <v>3445</v>
      </c>
      <c r="B1549" t="s">
        <v>18671</v>
      </c>
      <c r="C1549" t="s">
        <v>2269</v>
      </c>
      <c r="D1549" t="s">
        <v>1857</v>
      </c>
      <c r="E1549" s="527" t="s">
        <v>7963</v>
      </c>
      <c r="F1549" s="219"/>
    </row>
    <row r="1550" spans="1:6" ht="14.4">
      <c r="A1550">
        <v>3441</v>
      </c>
      <c r="B1550" t="s">
        <v>18672</v>
      </c>
      <c r="C1550" t="s">
        <v>2269</v>
      </c>
      <c r="D1550" t="s">
        <v>1857</v>
      </c>
      <c r="E1550" s="527" t="s">
        <v>3680</v>
      </c>
      <c r="F1550" s="220"/>
    </row>
    <row r="1551" spans="1:6" ht="14.4">
      <c r="A1551">
        <v>3444</v>
      </c>
      <c r="B1551" t="s">
        <v>18673</v>
      </c>
      <c r="C1551" t="s">
        <v>2269</v>
      </c>
      <c r="D1551" t="s">
        <v>1857</v>
      </c>
      <c r="E1551" s="527" t="s">
        <v>9526</v>
      </c>
      <c r="F1551" s="219"/>
    </row>
    <row r="1552" spans="1:6" ht="14.4">
      <c r="A1552">
        <v>12402</v>
      </c>
      <c r="B1552" t="s">
        <v>18674</v>
      </c>
      <c r="C1552" t="s">
        <v>2269</v>
      </c>
      <c r="D1552" t="s">
        <v>1857</v>
      </c>
      <c r="E1552" s="527" t="s">
        <v>15273</v>
      </c>
      <c r="F1552" s="220"/>
    </row>
    <row r="1553" spans="1:6" ht="14.4">
      <c r="A1553">
        <v>3447</v>
      </c>
      <c r="B1553" t="s">
        <v>18675</v>
      </c>
      <c r="C1553" t="s">
        <v>2269</v>
      </c>
      <c r="D1553" t="s">
        <v>1857</v>
      </c>
      <c r="E1553" s="527" t="s">
        <v>10754</v>
      </c>
      <c r="F1553" s="219"/>
    </row>
    <row r="1554" spans="1:6" ht="14.4">
      <c r="A1554">
        <v>3442</v>
      </c>
      <c r="B1554" t="s">
        <v>18676</v>
      </c>
      <c r="C1554" t="s">
        <v>2269</v>
      </c>
      <c r="D1554" t="s">
        <v>1857</v>
      </c>
      <c r="E1554" s="527" t="s">
        <v>7338</v>
      </c>
      <c r="F1554" s="220"/>
    </row>
    <row r="1555" spans="1:6" ht="14.4">
      <c r="A1555">
        <v>3448</v>
      </c>
      <c r="B1555" t="s">
        <v>18677</v>
      </c>
      <c r="C1555" t="s">
        <v>2269</v>
      </c>
      <c r="D1555" t="s">
        <v>1857</v>
      </c>
      <c r="E1555" s="527" t="s">
        <v>15274</v>
      </c>
      <c r="F1555" s="219"/>
    </row>
    <row r="1556" spans="1:6" ht="14.4">
      <c r="A1556">
        <v>3449</v>
      </c>
      <c r="B1556" t="s">
        <v>18678</v>
      </c>
      <c r="C1556" t="s">
        <v>2269</v>
      </c>
      <c r="D1556" t="s">
        <v>1857</v>
      </c>
      <c r="E1556" s="527" t="s">
        <v>15275</v>
      </c>
      <c r="F1556" s="220"/>
    </row>
    <row r="1557" spans="1:6" ht="14.4">
      <c r="A1557">
        <v>37438</v>
      </c>
      <c r="B1557" t="s">
        <v>18679</v>
      </c>
      <c r="C1557" t="s">
        <v>2269</v>
      </c>
      <c r="D1557" t="s">
        <v>2271</v>
      </c>
      <c r="E1557" s="527" t="s">
        <v>18680</v>
      </c>
      <c r="F1557" s="219"/>
    </row>
    <row r="1558" spans="1:6" ht="14.4">
      <c r="A1558">
        <v>37439</v>
      </c>
      <c r="B1558" t="s">
        <v>18681</v>
      </c>
      <c r="C1558" t="s">
        <v>2269</v>
      </c>
      <c r="D1558" t="s">
        <v>2271</v>
      </c>
      <c r="E1558" s="527" t="s">
        <v>18682</v>
      </c>
      <c r="F1558" s="220"/>
    </row>
    <row r="1559" spans="1:6" ht="14.4">
      <c r="A1559">
        <v>37435</v>
      </c>
      <c r="B1559" t="s">
        <v>18683</v>
      </c>
      <c r="C1559" t="s">
        <v>2269</v>
      </c>
      <c r="D1559" t="s">
        <v>2271</v>
      </c>
      <c r="E1559" s="527" t="s">
        <v>18684</v>
      </c>
      <c r="F1559" s="219"/>
    </row>
    <row r="1560" spans="1:6" ht="14.4">
      <c r="A1560">
        <v>37436</v>
      </c>
      <c r="B1560" t="s">
        <v>18685</v>
      </c>
      <c r="C1560" t="s">
        <v>2269</v>
      </c>
      <c r="D1560" t="s">
        <v>2271</v>
      </c>
      <c r="E1560" s="527" t="s">
        <v>10676</v>
      </c>
      <c r="F1560" s="220"/>
    </row>
    <row r="1561" spans="1:6" ht="14.4">
      <c r="A1561">
        <v>37437</v>
      </c>
      <c r="B1561" t="s">
        <v>18686</v>
      </c>
      <c r="C1561" t="s">
        <v>2269</v>
      </c>
      <c r="D1561" t="s">
        <v>2271</v>
      </c>
      <c r="E1561" s="527" t="s">
        <v>18687</v>
      </c>
      <c r="F1561" s="219"/>
    </row>
    <row r="1562" spans="1:6" ht="14.4">
      <c r="A1562">
        <v>3473</v>
      </c>
      <c r="B1562" t="s">
        <v>18688</v>
      </c>
      <c r="C1562" t="s">
        <v>2269</v>
      </c>
      <c r="D1562" t="s">
        <v>1857</v>
      </c>
      <c r="E1562" s="527" t="s">
        <v>9868</v>
      </c>
      <c r="F1562" s="220"/>
    </row>
    <row r="1563" spans="1:6" ht="14.4">
      <c r="A1563">
        <v>3474</v>
      </c>
      <c r="B1563" t="s">
        <v>18689</v>
      </c>
      <c r="C1563" t="s">
        <v>2269</v>
      </c>
      <c r="D1563" t="s">
        <v>1857</v>
      </c>
      <c r="E1563" s="527" t="s">
        <v>10266</v>
      </c>
      <c r="F1563" s="219"/>
    </row>
    <row r="1564" spans="1:6" ht="14.4">
      <c r="A1564">
        <v>3450</v>
      </c>
      <c r="B1564" t="s">
        <v>18690</v>
      </c>
      <c r="C1564" t="s">
        <v>2269</v>
      </c>
      <c r="D1564" t="s">
        <v>1857</v>
      </c>
      <c r="E1564" s="527" t="s">
        <v>5152</v>
      </c>
      <c r="F1564" s="220"/>
    </row>
    <row r="1565" spans="1:6" ht="14.4">
      <c r="A1565">
        <v>3443</v>
      </c>
      <c r="B1565" t="s">
        <v>18691</v>
      </c>
      <c r="C1565" t="s">
        <v>2269</v>
      </c>
      <c r="D1565" t="s">
        <v>1857</v>
      </c>
      <c r="E1565" s="527" t="s">
        <v>11446</v>
      </c>
      <c r="F1565" s="219"/>
    </row>
    <row r="1566" spans="1:6" ht="14.4">
      <c r="A1566">
        <v>3453</v>
      </c>
      <c r="B1566" t="s">
        <v>18692</v>
      </c>
      <c r="C1566" t="s">
        <v>2269</v>
      </c>
      <c r="D1566" t="s">
        <v>1857</v>
      </c>
      <c r="E1566" s="527" t="s">
        <v>15277</v>
      </c>
      <c r="F1566" s="220"/>
    </row>
    <row r="1567" spans="1:6" ht="14.4">
      <c r="A1567">
        <v>3452</v>
      </c>
      <c r="B1567" t="s">
        <v>18693</v>
      </c>
      <c r="C1567" t="s">
        <v>2269</v>
      </c>
      <c r="D1567" t="s">
        <v>1857</v>
      </c>
      <c r="E1567" s="527" t="s">
        <v>10317</v>
      </c>
      <c r="F1567" s="219"/>
    </row>
    <row r="1568" spans="1:6" ht="14.4">
      <c r="A1568">
        <v>3451</v>
      </c>
      <c r="B1568" t="s">
        <v>18694</v>
      </c>
      <c r="C1568" t="s">
        <v>2269</v>
      </c>
      <c r="D1568" t="s">
        <v>1857</v>
      </c>
      <c r="E1568" s="527" t="s">
        <v>9907</v>
      </c>
      <c r="F1568" s="220"/>
    </row>
    <row r="1569" spans="1:6" ht="14.4">
      <c r="A1569">
        <v>3454</v>
      </c>
      <c r="B1569" t="s">
        <v>18695</v>
      </c>
      <c r="C1569" t="s">
        <v>2269</v>
      </c>
      <c r="D1569" t="s">
        <v>1857</v>
      </c>
      <c r="E1569" s="527" t="s">
        <v>11785</v>
      </c>
      <c r="F1569" s="219"/>
    </row>
    <row r="1570" spans="1:6" ht="14.4">
      <c r="A1570">
        <v>3458</v>
      </c>
      <c r="B1570" t="s">
        <v>18696</v>
      </c>
      <c r="C1570" t="s">
        <v>2269</v>
      </c>
      <c r="D1570" t="s">
        <v>1857</v>
      </c>
      <c r="E1570" s="527" t="s">
        <v>4088</v>
      </c>
      <c r="F1570" s="220"/>
    </row>
    <row r="1571" spans="1:6" ht="14.4">
      <c r="A1571">
        <v>3457</v>
      </c>
      <c r="B1571" t="s">
        <v>18697</v>
      </c>
      <c r="C1571" t="s">
        <v>2269</v>
      </c>
      <c r="D1571" t="s">
        <v>1857</v>
      </c>
      <c r="E1571" s="527" t="s">
        <v>11434</v>
      </c>
      <c r="F1571" s="219"/>
    </row>
    <row r="1572" spans="1:6" ht="14.4">
      <c r="A1572">
        <v>3455</v>
      </c>
      <c r="B1572" t="s">
        <v>18698</v>
      </c>
      <c r="C1572" t="s">
        <v>2269</v>
      </c>
      <c r="D1572" t="s">
        <v>1857</v>
      </c>
      <c r="E1572" s="527" t="s">
        <v>9502</v>
      </c>
      <c r="F1572" s="220"/>
    </row>
    <row r="1573" spans="1:6" ht="14.4">
      <c r="A1573">
        <v>3472</v>
      </c>
      <c r="B1573" t="s">
        <v>18699</v>
      </c>
      <c r="C1573" t="s">
        <v>2269</v>
      </c>
      <c r="D1573" t="s">
        <v>1857</v>
      </c>
      <c r="E1573" s="527" t="s">
        <v>7484</v>
      </c>
      <c r="F1573" s="219"/>
    </row>
    <row r="1574" spans="1:6" ht="14.4">
      <c r="A1574">
        <v>3470</v>
      </c>
      <c r="B1574" t="s">
        <v>18700</v>
      </c>
      <c r="C1574" t="s">
        <v>2269</v>
      </c>
      <c r="D1574" t="s">
        <v>1857</v>
      </c>
      <c r="E1574" s="527" t="s">
        <v>15278</v>
      </c>
      <c r="F1574" s="220"/>
    </row>
    <row r="1575" spans="1:6" ht="14.4">
      <c r="A1575">
        <v>3471</v>
      </c>
      <c r="B1575" t="s">
        <v>18701</v>
      </c>
      <c r="C1575" t="s">
        <v>2269</v>
      </c>
      <c r="D1575" t="s">
        <v>1857</v>
      </c>
      <c r="E1575" s="527" t="s">
        <v>10401</v>
      </c>
      <c r="F1575" s="219"/>
    </row>
    <row r="1576" spans="1:6" ht="14.4">
      <c r="A1576">
        <v>3456</v>
      </c>
      <c r="B1576" t="s">
        <v>18702</v>
      </c>
      <c r="C1576" t="s">
        <v>2269</v>
      </c>
      <c r="D1576" t="s">
        <v>1857</v>
      </c>
      <c r="E1576" s="527" t="s">
        <v>7323</v>
      </c>
      <c r="F1576" s="220"/>
    </row>
    <row r="1577" spans="1:6" ht="14.4">
      <c r="A1577">
        <v>3459</v>
      </c>
      <c r="B1577" t="s">
        <v>18703</v>
      </c>
      <c r="C1577" t="s">
        <v>2269</v>
      </c>
      <c r="D1577" t="s">
        <v>1857</v>
      </c>
      <c r="E1577" s="527" t="s">
        <v>15279</v>
      </c>
      <c r="F1577" s="219"/>
    </row>
    <row r="1578" spans="1:6" ht="14.4">
      <c r="A1578">
        <v>3469</v>
      </c>
      <c r="B1578" t="s">
        <v>18704</v>
      </c>
      <c r="C1578" t="s">
        <v>2269</v>
      </c>
      <c r="D1578" t="s">
        <v>1857</v>
      </c>
      <c r="E1578" s="527" t="s">
        <v>15280</v>
      </c>
      <c r="F1578" s="220"/>
    </row>
    <row r="1579" spans="1:6" ht="14.4">
      <c r="A1579">
        <v>3460</v>
      </c>
      <c r="B1579" t="s">
        <v>18705</v>
      </c>
      <c r="C1579" t="s">
        <v>2269</v>
      </c>
      <c r="D1579" t="s">
        <v>1857</v>
      </c>
      <c r="E1579" s="527" t="s">
        <v>15281</v>
      </c>
      <c r="F1579" s="219"/>
    </row>
    <row r="1580" spans="1:6" ht="14.4">
      <c r="A1580">
        <v>3461</v>
      </c>
      <c r="B1580" t="s">
        <v>18706</v>
      </c>
      <c r="C1580" t="s">
        <v>2269</v>
      </c>
      <c r="D1580" t="s">
        <v>1857</v>
      </c>
      <c r="E1580" s="527" t="s">
        <v>15282</v>
      </c>
      <c r="F1580" s="220"/>
    </row>
    <row r="1581" spans="1:6" ht="14.4">
      <c r="A1581">
        <v>37433</v>
      </c>
      <c r="B1581" t="s">
        <v>18707</v>
      </c>
      <c r="C1581" t="s">
        <v>2269</v>
      </c>
      <c r="D1581" t="s">
        <v>2271</v>
      </c>
      <c r="E1581" s="527" t="s">
        <v>18680</v>
      </c>
      <c r="F1581" s="219"/>
    </row>
    <row r="1582" spans="1:6" ht="14.4">
      <c r="A1582">
        <v>37430</v>
      </c>
      <c r="B1582" t="s">
        <v>18708</v>
      </c>
      <c r="C1582" t="s">
        <v>2269</v>
      </c>
      <c r="D1582" t="s">
        <v>2271</v>
      </c>
      <c r="E1582" s="527" t="s">
        <v>18709</v>
      </c>
      <c r="F1582" s="220"/>
    </row>
    <row r="1583" spans="1:6" ht="14.4">
      <c r="A1583">
        <v>37434</v>
      </c>
      <c r="B1583" t="s">
        <v>18710</v>
      </c>
      <c r="C1583" t="s">
        <v>2269</v>
      </c>
      <c r="D1583" t="s">
        <v>2271</v>
      </c>
      <c r="E1583" s="527" t="s">
        <v>18711</v>
      </c>
      <c r="F1583" s="219"/>
    </row>
    <row r="1584" spans="1:6" ht="14.4">
      <c r="A1584">
        <v>37431</v>
      </c>
      <c r="B1584" t="s">
        <v>18712</v>
      </c>
      <c r="C1584" t="s">
        <v>2269</v>
      </c>
      <c r="D1584" t="s">
        <v>2271</v>
      </c>
      <c r="E1584" s="527" t="s">
        <v>18713</v>
      </c>
      <c r="F1584" s="220"/>
    </row>
    <row r="1585" spans="1:6" ht="14.4">
      <c r="A1585">
        <v>37432</v>
      </c>
      <c r="B1585" t="s">
        <v>18714</v>
      </c>
      <c r="C1585" t="s">
        <v>2269</v>
      </c>
      <c r="D1585" t="s">
        <v>2271</v>
      </c>
      <c r="E1585" s="527" t="s">
        <v>18715</v>
      </c>
      <c r="F1585" s="219"/>
    </row>
    <row r="1586" spans="1:6" ht="14.4">
      <c r="A1586">
        <v>37413</v>
      </c>
      <c r="B1586" t="s">
        <v>18716</v>
      </c>
      <c r="C1586" t="s">
        <v>2269</v>
      </c>
      <c r="D1586" t="s">
        <v>2271</v>
      </c>
      <c r="E1586" s="527" t="s">
        <v>4067</v>
      </c>
      <c r="F1586" s="220"/>
    </row>
    <row r="1587" spans="1:6" ht="14.4">
      <c r="A1587">
        <v>37414</v>
      </c>
      <c r="B1587" t="s">
        <v>18717</v>
      </c>
      <c r="C1587" t="s">
        <v>2269</v>
      </c>
      <c r="D1587" t="s">
        <v>2271</v>
      </c>
      <c r="E1587" s="527" t="s">
        <v>16440</v>
      </c>
      <c r="F1587" s="219"/>
    </row>
    <row r="1588" spans="1:6" ht="14.4">
      <c r="A1588">
        <v>37415</v>
      </c>
      <c r="B1588" t="s">
        <v>18718</v>
      </c>
      <c r="C1588" t="s">
        <v>2269</v>
      </c>
      <c r="D1588" t="s">
        <v>2271</v>
      </c>
      <c r="E1588" s="527" t="s">
        <v>16280</v>
      </c>
      <c r="F1588" s="220"/>
    </row>
    <row r="1589" spans="1:6" ht="14.4">
      <c r="A1589">
        <v>37416</v>
      </c>
      <c r="B1589" t="s">
        <v>18719</v>
      </c>
      <c r="C1589" t="s">
        <v>2269</v>
      </c>
      <c r="D1589" t="s">
        <v>2271</v>
      </c>
      <c r="E1589" s="527" t="s">
        <v>6368</v>
      </c>
      <c r="F1589" s="219"/>
    </row>
    <row r="1590" spans="1:6" ht="14.4">
      <c r="A1590">
        <v>37417</v>
      </c>
      <c r="B1590" t="s">
        <v>18720</v>
      </c>
      <c r="C1590" t="s">
        <v>2269</v>
      </c>
      <c r="D1590" t="s">
        <v>2271</v>
      </c>
      <c r="E1590" s="527" t="s">
        <v>4521</v>
      </c>
      <c r="F1590" s="220"/>
    </row>
    <row r="1591" spans="1:6" ht="14.4">
      <c r="A1591">
        <v>43590</v>
      </c>
      <c r="B1591" t="s">
        <v>18721</v>
      </c>
      <c r="C1591" t="s">
        <v>2269</v>
      </c>
      <c r="D1591" t="s">
        <v>1857</v>
      </c>
      <c r="E1591" s="527" t="s">
        <v>18722</v>
      </c>
      <c r="F1591" s="219"/>
    </row>
    <row r="1592" spans="1:6" ht="14.4">
      <c r="A1592">
        <v>43589</v>
      </c>
      <c r="B1592" t="s">
        <v>18723</v>
      </c>
      <c r="C1592" t="s">
        <v>2269</v>
      </c>
      <c r="D1592" t="s">
        <v>1857</v>
      </c>
      <c r="E1592" s="527" t="s">
        <v>10339</v>
      </c>
      <c r="F1592" s="220"/>
    </row>
    <row r="1593" spans="1:6" ht="14.4">
      <c r="A1593">
        <v>34519</v>
      </c>
      <c r="B1593" t="s">
        <v>18724</v>
      </c>
      <c r="C1593" t="s">
        <v>2269</v>
      </c>
      <c r="D1593" t="s">
        <v>2271</v>
      </c>
      <c r="E1593" s="527" t="s">
        <v>18725</v>
      </c>
      <c r="F1593" s="219"/>
    </row>
    <row r="1594" spans="1:6" ht="14.4">
      <c r="A1594">
        <v>1649</v>
      </c>
      <c r="B1594" t="s">
        <v>18726</v>
      </c>
      <c r="C1594" t="s">
        <v>2269</v>
      </c>
      <c r="D1594" t="s">
        <v>1857</v>
      </c>
      <c r="E1594" s="527" t="s">
        <v>10244</v>
      </c>
      <c r="F1594" s="220"/>
    </row>
    <row r="1595" spans="1:6" ht="14.4">
      <c r="A1595">
        <v>1653</v>
      </c>
      <c r="B1595" t="s">
        <v>18727</v>
      </c>
      <c r="C1595" t="s">
        <v>2269</v>
      </c>
      <c r="D1595" t="s">
        <v>1857</v>
      </c>
      <c r="E1595" s="527" t="s">
        <v>10703</v>
      </c>
      <c r="F1595" s="219"/>
    </row>
    <row r="1596" spans="1:6" ht="14.4">
      <c r="A1596">
        <v>1647</v>
      </c>
      <c r="B1596" t="s">
        <v>18728</v>
      </c>
      <c r="C1596" t="s">
        <v>2269</v>
      </c>
      <c r="D1596" t="s">
        <v>1857</v>
      </c>
      <c r="E1596" s="527" t="s">
        <v>4007</v>
      </c>
      <c r="F1596" s="220"/>
    </row>
    <row r="1597" spans="1:6" ht="14.4">
      <c r="A1597">
        <v>1648</v>
      </c>
      <c r="B1597" t="s">
        <v>18729</v>
      </c>
      <c r="C1597" t="s">
        <v>2269</v>
      </c>
      <c r="D1597" t="s">
        <v>1857</v>
      </c>
      <c r="E1597" s="527" t="s">
        <v>15283</v>
      </c>
      <c r="F1597" s="219"/>
    </row>
    <row r="1598" spans="1:6" ht="14.4">
      <c r="A1598">
        <v>1651</v>
      </c>
      <c r="B1598" t="s">
        <v>18730</v>
      </c>
      <c r="C1598" t="s">
        <v>2269</v>
      </c>
      <c r="D1598" t="s">
        <v>1857</v>
      </c>
      <c r="E1598" s="527" t="s">
        <v>15284</v>
      </c>
      <c r="F1598" s="220"/>
    </row>
    <row r="1599" spans="1:6" ht="14.4">
      <c r="A1599">
        <v>1650</v>
      </c>
      <c r="B1599" t="s">
        <v>18731</v>
      </c>
      <c r="C1599" t="s">
        <v>2269</v>
      </c>
      <c r="D1599" t="s">
        <v>1857</v>
      </c>
      <c r="E1599" s="527" t="s">
        <v>10733</v>
      </c>
      <c r="F1599" s="219"/>
    </row>
    <row r="1600" spans="1:6" ht="14.4">
      <c r="A1600">
        <v>1654</v>
      </c>
      <c r="B1600" t="s">
        <v>18732</v>
      </c>
      <c r="C1600" t="s">
        <v>2269</v>
      </c>
      <c r="D1600" t="s">
        <v>1857</v>
      </c>
      <c r="E1600" s="527" t="s">
        <v>15285</v>
      </c>
      <c r="F1600" s="220"/>
    </row>
    <row r="1601" spans="1:6" ht="14.4">
      <c r="A1601">
        <v>1652</v>
      </c>
      <c r="B1601" t="s">
        <v>18733</v>
      </c>
      <c r="C1601" t="s">
        <v>2269</v>
      </c>
      <c r="D1601" t="s">
        <v>1857</v>
      </c>
      <c r="E1601" s="527" t="s">
        <v>15286</v>
      </c>
      <c r="F1601" s="219"/>
    </row>
    <row r="1602" spans="1:6" ht="14.4">
      <c r="A1602">
        <v>10510</v>
      </c>
      <c r="B1602" t="s">
        <v>18734</v>
      </c>
      <c r="C1602" t="s">
        <v>2269</v>
      </c>
      <c r="D1602" t="s">
        <v>2271</v>
      </c>
      <c r="E1602" s="527" t="s">
        <v>18735</v>
      </c>
      <c r="F1602" s="220"/>
    </row>
    <row r="1603" spans="1:6" ht="14.4">
      <c r="A1603">
        <v>1747</v>
      </c>
      <c r="B1603" t="s">
        <v>18736</v>
      </c>
      <c r="C1603" t="s">
        <v>2269</v>
      </c>
      <c r="D1603" t="s">
        <v>1857</v>
      </c>
      <c r="E1603" s="527" t="s">
        <v>18737</v>
      </c>
      <c r="F1603" s="219"/>
    </row>
    <row r="1604" spans="1:6" ht="14.4">
      <c r="A1604">
        <v>1744</v>
      </c>
      <c r="B1604" t="s">
        <v>18738</v>
      </c>
      <c r="C1604" t="s">
        <v>2269</v>
      </c>
      <c r="D1604" t="s">
        <v>1857</v>
      </c>
      <c r="E1604" s="527" t="s">
        <v>18739</v>
      </c>
      <c r="F1604" s="220"/>
    </row>
    <row r="1605" spans="1:6" ht="14.4">
      <c r="A1605">
        <v>1743</v>
      </c>
      <c r="B1605" t="s">
        <v>18740</v>
      </c>
      <c r="C1605" t="s">
        <v>2269</v>
      </c>
      <c r="D1605" t="s">
        <v>1857</v>
      </c>
      <c r="E1605" s="527" t="s">
        <v>15804</v>
      </c>
      <c r="F1605" s="219"/>
    </row>
    <row r="1606" spans="1:6" ht="14.4">
      <c r="A1606">
        <v>39640</v>
      </c>
      <c r="B1606" t="s">
        <v>18741</v>
      </c>
      <c r="C1606" t="s">
        <v>2269</v>
      </c>
      <c r="D1606" t="s">
        <v>1857</v>
      </c>
      <c r="E1606" s="527" t="s">
        <v>15838</v>
      </c>
      <c r="F1606" s="220"/>
    </row>
    <row r="1607" spans="1:6" ht="14.4">
      <c r="A1607">
        <v>11013</v>
      </c>
      <c r="B1607" t="s">
        <v>18742</v>
      </c>
      <c r="C1607" t="s">
        <v>2269</v>
      </c>
      <c r="D1607" t="s">
        <v>1857</v>
      </c>
      <c r="E1607" s="527" t="s">
        <v>11421</v>
      </c>
      <c r="F1607" s="219"/>
    </row>
    <row r="1608" spans="1:6" ht="14.4">
      <c r="A1608">
        <v>11017</v>
      </c>
      <c r="B1608" t="s">
        <v>18743</v>
      </c>
      <c r="C1608" t="s">
        <v>2269</v>
      </c>
      <c r="D1608" t="s">
        <v>1857</v>
      </c>
      <c r="E1608" s="527" t="s">
        <v>7348</v>
      </c>
      <c r="F1608" s="220"/>
    </row>
    <row r="1609" spans="1:6" ht="14.4">
      <c r="A1609">
        <v>20236</v>
      </c>
      <c r="B1609" t="s">
        <v>18744</v>
      </c>
      <c r="C1609" t="s">
        <v>2269</v>
      </c>
      <c r="D1609" t="s">
        <v>1857</v>
      </c>
      <c r="E1609" s="527" t="s">
        <v>18745</v>
      </c>
      <c r="F1609" s="219"/>
    </row>
    <row r="1610" spans="1:6" ht="14.4">
      <c r="A1610">
        <v>7215</v>
      </c>
      <c r="B1610" t="s">
        <v>18746</v>
      </c>
      <c r="C1610" t="s">
        <v>2269</v>
      </c>
      <c r="D1610" t="s">
        <v>1857</v>
      </c>
      <c r="E1610" s="527" t="s">
        <v>9590</v>
      </c>
      <c r="F1610" s="220"/>
    </row>
    <row r="1611" spans="1:6" ht="14.4">
      <c r="A1611">
        <v>7216</v>
      </c>
      <c r="B1611" t="s">
        <v>18747</v>
      </c>
      <c r="C1611" t="s">
        <v>2269</v>
      </c>
      <c r="D1611" t="s">
        <v>1857</v>
      </c>
      <c r="E1611" s="527" t="s">
        <v>16548</v>
      </c>
      <c r="F1611" s="219"/>
    </row>
    <row r="1612" spans="1:6" ht="14.4">
      <c r="A1612">
        <v>20235</v>
      </c>
      <c r="B1612" t="s">
        <v>18748</v>
      </c>
      <c r="C1612" t="s">
        <v>2269</v>
      </c>
      <c r="D1612" t="s">
        <v>1857</v>
      </c>
      <c r="E1612" s="527" t="s">
        <v>16550</v>
      </c>
      <c r="F1612" s="220"/>
    </row>
    <row r="1613" spans="1:6" ht="14.4">
      <c r="A1613">
        <v>7181</v>
      </c>
      <c r="B1613" t="s">
        <v>18749</v>
      </c>
      <c r="C1613" t="s">
        <v>2269</v>
      </c>
      <c r="D1613" t="s">
        <v>1857</v>
      </c>
      <c r="E1613" s="527" t="s">
        <v>18007</v>
      </c>
      <c r="F1613" s="219"/>
    </row>
    <row r="1614" spans="1:6" ht="14.4">
      <c r="A1614">
        <v>40742</v>
      </c>
      <c r="B1614" t="s">
        <v>18750</v>
      </c>
      <c r="C1614" t="s">
        <v>2269</v>
      </c>
      <c r="D1614" t="s">
        <v>1857</v>
      </c>
      <c r="E1614" s="527" t="s">
        <v>2986</v>
      </c>
      <c r="F1614" s="220"/>
    </row>
    <row r="1615" spans="1:6" ht="14.4">
      <c r="A1615">
        <v>7214</v>
      </c>
      <c r="B1615" t="s">
        <v>18751</v>
      </c>
      <c r="C1615" t="s">
        <v>2269</v>
      </c>
      <c r="D1615" t="s">
        <v>1857</v>
      </c>
      <c r="E1615" s="527" t="s">
        <v>7464</v>
      </c>
      <c r="F1615" s="219"/>
    </row>
    <row r="1616" spans="1:6" ht="14.4">
      <c r="A1616">
        <v>7219</v>
      </c>
      <c r="B1616" t="s">
        <v>18752</v>
      </c>
      <c r="C1616" t="s">
        <v>2269</v>
      </c>
      <c r="D1616" t="s">
        <v>1857</v>
      </c>
      <c r="E1616" s="527" t="s">
        <v>7540</v>
      </c>
      <c r="F1616" s="220"/>
    </row>
    <row r="1617" spans="1:6" ht="14.4">
      <c r="A1617">
        <v>37972</v>
      </c>
      <c r="B1617" t="s">
        <v>18753</v>
      </c>
      <c r="C1617" t="s">
        <v>2269</v>
      </c>
      <c r="D1617" t="s">
        <v>1857</v>
      </c>
      <c r="E1617" s="527" t="s">
        <v>15850</v>
      </c>
      <c r="F1617" s="219"/>
    </row>
    <row r="1618" spans="1:6" ht="14.4">
      <c r="A1618">
        <v>37973</v>
      </c>
      <c r="B1618" t="s">
        <v>18754</v>
      </c>
      <c r="C1618" t="s">
        <v>2269</v>
      </c>
      <c r="D1618" t="s">
        <v>1857</v>
      </c>
      <c r="E1618" s="527" t="s">
        <v>10002</v>
      </c>
      <c r="F1618" s="220"/>
    </row>
    <row r="1619" spans="1:6" ht="14.4">
      <c r="A1619">
        <v>37971</v>
      </c>
      <c r="B1619" t="s">
        <v>18755</v>
      </c>
      <c r="C1619" t="s">
        <v>2269</v>
      </c>
      <c r="D1619" t="s">
        <v>1857</v>
      </c>
      <c r="E1619" s="527" t="s">
        <v>5472</v>
      </c>
      <c r="F1619" s="219"/>
    </row>
    <row r="1620" spans="1:6" ht="14.4">
      <c r="A1620">
        <v>20094</v>
      </c>
      <c r="B1620" t="s">
        <v>18756</v>
      </c>
      <c r="C1620" t="s">
        <v>2269</v>
      </c>
      <c r="D1620" t="s">
        <v>2271</v>
      </c>
      <c r="E1620" s="527" t="s">
        <v>12721</v>
      </c>
      <c r="F1620" s="220"/>
    </row>
    <row r="1621" spans="1:6" ht="14.4">
      <c r="A1621">
        <v>20095</v>
      </c>
      <c r="B1621" t="s">
        <v>18757</v>
      </c>
      <c r="C1621" t="s">
        <v>2269</v>
      </c>
      <c r="D1621" t="s">
        <v>2271</v>
      </c>
      <c r="E1621" s="527" t="s">
        <v>9777</v>
      </c>
      <c r="F1621" s="219"/>
    </row>
    <row r="1622" spans="1:6" ht="14.4">
      <c r="A1622">
        <v>1954</v>
      </c>
      <c r="B1622" t="s">
        <v>18758</v>
      </c>
      <c r="C1622" t="s">
        <v>2269</v>
      </c>
      <c r="D1622" t="s">
        <v>1857</v>
      </c>
      <c r="E1622" s="527" t="s">
        <v>18759</v>
      </c>
      <c r="F1622" s="220"/>
    </row>
    <row r="1623" spans="1:6" ht="14.4">
      <c r="A1623">
        <v>1926</v>
      </c>
      <c r="B1623" t="s">
        <v>18760</v>
      </c>
      <c r="C1623" t="s">
        <v>2269</v>
      </c>
      <c r="D1623" t="s">
        <v>1857</v>
      </c>
      <c r="E1623" s="527" t="s">
        <v>6491</v>
      </c>
      <c r="F1623" s="219"/>
    </row>
    <row r="1624" spans="1:6" ht="14.4">
      <c r="A1624">
        <v>1927</v>
      </c>
      <c r="B1624" t="s">
        <v>18761</v>
      </c>
      <c r="C1624" t="s">
        <v>2269</v>
      </c>
      <c r="D1624" t="s">
        <v>1857</v>
      </c>
      <c r="E1624" s="527" t="s">
        <v>6410</v>
      </c>
      <c r="F1624" s="220"/>
    </row>
    <row r="1625" spans="1:6" ht="14.4">
      <c r="A1625">
        <v>1923</v>
      </c>
      <c r="B1625" t="s">
        <v>18762</v>
      </c>
      <c r="C1625" t="s">
        <v>2269</v>
      </c>
      <c r="D1625" t="s">
        <v>1857</v>
      </c>
      <c r="E1625" s="527" t="s">
        <v>11445</v>
      </c>
      <c r="F1625" s="219"/>
    </row>
    <row r="1626" spans="1:6" ht="14.4">
      <c r="A1626">
        <v>1929</v>
      </c>
      <c r="B1626" t="s">
        <v>18763</v>
      </c>
      <c r="C1626" t="s">
        <v>2269</v>
      </c>
      <c r="D1626" t="s">
        <v>1857</v>
      </c>
      <c r="E1626" s="527" t="s">
        <v>18764</v>
      </c>
      <c r="F1626" s="220"/>
    </row>
    <row r="1627" spans="1:6" ht="14.4">
      <c r="A1627">
        <v>1930</v>
      </c>
      <c r="B1627" t="s">
        <v>18765</v>
      </c>
      <c r="C1627" t="s">
        <v>2269</v>
      </c>
      <c r="D1627" t="s">
        <v>1857</v>
      </c>
      <c r="E1627" s="527" t="s">
        <v>9570</v>
      </c>
      <c r="F1627" s="219"/>
    </row>
    <row r="1628" spans="1:6" ht="14.4">
      <c r="A1628">
        <v>1924</v>
      </c>
      <c r="B1628" t="s">
        <v>18766</v>
      </c>
      <c r="C1628" t="s">
        <v>2269</v>
      </c>
      <c r="D1628" t="s">
        <v>1857</v>
      </c>
      <c r="E1628" s="527" t="s">
        <v>10187</v>
      </c>
      <c r="F1628" s="220"/>
    </row>
    <row r="1629" spans="1:6" ht="14.4">
      <c r="A1629">
        <v>1922</v>
      </c>
      <c r="B1629" t="s">
        <v>18767</v>
      </c>
      <c r="C1629" t="s">
        <v>2269</v>
      </c>
      <c r="D1629" t="s">
        <v>1857</v>
      </c>
      <c r="E1629" s="527" t="s">
        <v>15681</v>
      </c>
      <c r="F1629" s="219"/>
    </row>
    <row r="1630" spans="1:6" ht="14.4">
      <c r="A1630">
        <v>1953</v>
      </c>
      <c r="B1630" t="s">
        <v>18768</v>
      </c>
      <c r="C1630" t="s">
        <v>2269</v>
      </c>
      <c r="D1630" t="s">
        <v>1857</v>
      </c>
      <c r="E1630" s="527" t="s">
        <v>18769</v>
      </c>
      <c r="F1630" s="220"/>
    </row>
    <row r="1631" spans="1:6" ht="14.4">
      <c r="A1631">
        <v>1962</v>
      </c>
      <c r="B1631" t="s">
        <v>18770</v>
      </c>
      <c r="C1631" t="s">
        <v>2269</v>
      </c>
      <c r="D1631" t="s">
        <v>1857</v>
      </c>
      <c r="E1631" s="527" t="s">
        <v>18771</v>
      </c>
      <c r="F1631" s="219"/>
    </row>
    <row r="1632" spans="1:6" ht="14.4">
      <c r="A1632">
        <v>1955</v>
      </c>
      <c r="B1632" t="s">
        <v>18772</v>
      </c>
      <c r="C1632" t="s">
        <v>2269</v>
      </c>
      <c r="D1632" t="s">
        <v>1857</v>
      </c>
      <c r="E1632" s="527" t="s">
        <v>16229</v>
      </c>
      <c r="F1632" s="220"/>
    </row>
    <row r="1633" spans="1:6" ht="14.4">
      <c r="A1633">
        <v>1956</v>
      </c>
      <c r="B1633" t="s">
        <v>18773</v>
      </c>
      <c r="C1633" t="s">
        <v>2269</v>
      </c>
      <c r="D1633" t="s">
        <v>1857</v>
      </c>
      <c r="E1633" s="527" t="s">
        <v>16557</v>
      </c>
      <c r="F1633" s="219"/>
    </row>
    <row r="1634" spans="1:6" ht="14.4">
      <c r="A1634">
        <v>1957</v>
      </c>
      <c r="B1634" t="s">
        <v>18774</v>
      </c>
      <c r="C1634" t="s">
        <v>2269</v>
      </c>
      <c r="D1634" t="s">
        <v>1857</v>
      </c>
      <c r="E1634" s="527" t="s">
        <v>5143</v>
      </c>
      <c r="F1634" s="220"/>
    </row>
    <row r="1635" spans="1:6" ht="14.4">
      <c r="A1635">
        <v>1958</v>
      </c>
      <c r="B1635" t="s">
        <v>18775</v>
      </c>
      <c r="C1635" t="s">
        <v>2269</v>
      </c>
      <c r="D1635" t="s">
        <v>1857</v>
      </c>
      <c r="E1635" s="527" t="s">
        <v>11655</v>
      </c>
      <c r="F1635" s="219"/>
    </row>
    <row r="1636" spans="1:6" ht="14.4">
      <c r="A1636">
        <v>1959</v>
      </c>
      <c r="B1636" t="s">
        <v>18776</v>
      </c>
      <c r="C1636" t="s">
        <v>2269</v>
      </c>
      <c r="D1636" t="s">
        <v>1857</v>
      </c>
      <c r="E1636" s="527" t="s">
        <v>9902</v>
      </c>
      <c r="F1636" s="220"/>
    </row>
    <row r="1637" spans="1:6" ht="14.4">
      <c r="A1637">
        <v>1925</v>
      </c>
      <c r="B1637" t="s">
        <v>18777</v>
      </c>
      <c r="C1637" t="s">
        <v>2269</v>
      </c>
      <c r="D1637" t="s">
        <v>1857</v>
      </c>
      <c r="E1637" s="527" t="s">
        <v>18778</v>
      </c>
      <c r="F1637" s="219"/>
    </row>
    <row r="1638" spans="1:6" ht="14.4">
      <c r="A1638">
        <v>1960</v>
      </c>
      <c r="B1638" t="s">
        <v>18779</v>
      </c>
      <c r="C1638" t="s">
        <v>2269</v>
      </c>
      <c r="D1638" t="s">
        <v>1857</v>
      </c>
      <c r="E1638" s="527" t="s">
        <v>18780</v>
      </c>
      <c r="F1638" s="220"/>
    </row>
    <row r="1639" spans="1:6" ht="14.4">
      <c r="A1639">
        <v>1961</v>
      </c>
      <c r="B1639" t="s">
        <v>18781</v>
      </c>
      <c r="C1639" t="s">
        <v>2269</v>
      </c>
      <c r="D1639" t="s">
        <v>1857</v>
      </c>
      <c r="E1639" s="527" t="s">
        <v>18782</v>
      </c>
      <c r="F1639" s="219"/>
    </row>
    <row r="1640" spans="1:6" ht="14.4">
      <c r="A1640">
        <v>38426</v>
      </c>
      <c r="B1640" t="s">
        <v>18783</v>
      </c>
      <c r="C1640" t="s">
        <v>2269</v>
      </c>
      <c r="D1640" t="s">
        <v>1857</v>
      </c>
      <c r="E1640" s="527" t="s">
        <v>14330</v>
      </c>
      <c r="F1640" s="220"/>
    </row>
    <row r="1641" spans="1:6" ht="14.4">
      <c r="A1641">
        <v>38423</v>
      </c>
      <c r="B1641" t="s">
        <v>18784</v>
      </c>
      <c r="C1641" t="s">
        <v>2269</v>
      </c>
      <c r="D1641" t="s">
        <v>1857</v>
      </c>
      <c r="E1641" s="527" t="s">
        <v>18785</v>
      </c>
      <c r="F1641" s="219"/>
    </row>
    <row r="1642" spans="1:6" ht="14.4">
      <c r="A1642">
        <v>38421</v>
      </c>
      <c r="B1642" t="s">
        <v>18786</v>
      </c>
      <c r="C1642" t="s">
        <v>2269</v>
      </c>
      <c r="D1642" t="s">
        <v>1857</v>
      </c>
      <c r="E1642" s="527" t="s">
        <v>18787</v>
      </c>
      <c r="F1642" s="220"/>
    </row>
    <row r="1643" spans="1:6" ht="14.4">
      <c r="A1643">
        <v>38422</v>
      </c>
      <c r="B1643" t="s">
        <v>18788</v>
      </c>
      <c r="C1643" t="s">
        <v>2269</v>
      </c>
      <c r="D1643" t="s">
        <v>1857</v>
      </c>
      <c r="E1643" s="527" t="s">
        <v>18789</v>
      </c>
      <c r="F1643" s="219"/>
    </row>
    <row r="1644" spans="1:6" ht="14.4">
      <c r="A1644">
        <v>39866</v>
      </c>
      <c r="B1644" t="s">
        <v>18790</v>
      </c>
      <c r="C1644" t="s">
        <v>2269</v>
      </c>
      <c r="D1644" t="s">
        <v>2271</v>
      </c>
      <c r="E1644" s="527" t="s">
        <v>11623</v>
      </c>
      <c r="F1644" s="220"/>
    </row>
    <row r="1645" spans="1:6" ht="14.4">
      <c r="A1645">
        <v>39867</v>
      </c>
      <c r="B1645" t="s">
        <v>18791</v>
      </c>
      <c r="C1645" t="s">
        <v>2269</v>
      </c>
      <c r="D1645" t="s">
        <v>2271</v>
      </c>
      <c r="E1645" s="527" t="s">
        <v>11851</v>
      </c>
      <c r="F1645" s="219"/>
    </row>
    <row r="1646" spans="1:6" ht="14.4">
      <c r="A1646">
        <v>39868</v>
      </c>
      <c r="B1646" t="s">
        <v>18792</v>
      </c>
      <c r="C1646" t="s">
        <v>2269</v>
      </c>
      <c r="D1646" t="s">
        <v>2271</v>
      </c>
      <c r="E1646" s="527" t="s">
        <v>18793</v>
      </c>
      <c r="F1646" s="220"/>
    </row>
    <row r="1647" spans="1:6" ht="14.4">
      <c r="A1647">
        <v>37999</v>
      </c>
      <c r="B1647" t="s">
        <v>18794</v>
      </c>
      <c r="C1647" t="s">
        <v>2269</v>
      </c>
      <c r="D1647" t="s">
        <v>1857</v>
      </c>
      <c r="E1647" s="527" t="s">
        <v>10709</v>
      </c>
      <c r="F1647" s="219"/>
    </row>
    <row r="1648" spans="1:6" ht="14.4">
      <c r="A1648">
        <v>38000</v>
      </c>
      <c r="B1648" t="s">
        <v>18795</v>
      </c>
      <c r="C1648" t="s">
        <v>2269</v>
      </c>
      <c r="D1648" t="s">
        <v>1857</v>
      </c>
      <c r="E1648" s="527" t="s">
        <v>10723</v>
      </c>
      <c r="F1648" s="220"/>
    </row>
    <row r="1649" spans="1:6" ht="14.4">
      <c r="A1649">
        <v>38129</v>
      </c>
      <c r="B1649" t="s">
        <v>18796</v>
      </c>
      <c r="C1649" t="s">
        <v>2269</v>
      </c>
      <c r="D1649" t="s">
        <v>1857</v>
      </c>
      <c r="E1649" s="527" t="s">
        <v>7453</v>
      </c>
      <c r="F1649" s="219"/>
    </row>
    <row r="1650" spans="1:6" ht="14.4">
      <c r="A1650">
        <v>38025</v>
      </c>
      <c r="B1650" t="s">
        <v>18797</v>
      </c>
      <c r="C1650" t="s">
        <v>2269</v>
      </c>
      <c r="D1650" t="s">
        <v>1857</v>
      </c>
      <c r="E1650" s="527" t="s">
        <v>13160</v>
      </c>
      <c r="F1650" s="220"/>
    </row>
    <row r="1651" spans="1:6" ht="14.4">
      <c r="A1651">
        <v>38026</v>
      </c>
      <c r="B1651" t="s">
        <v>18798</v>
      </c>
      <c r="C1651" t="s">
        <v>2269</v>
      </c>
      <c r="D1651" t="s">
        <v>1857</v>
      </c>
      <c r="E1651" s="527" t="s">
        <v>10735</v>
      </c>
      <c r="F1651" s="219"/>
    </row>
    <row r="1652" spans="1:6" ht="14.4">
      <c r="A1652">
        <v>1858</v>
      </c>
      <c r="B1652" t="s">
        <v>18799</v>
      </c>
      <c r="C1652" t="s">
        <v>2269</v>
      </c>
      <c r="D1652" t="s">
        <v>2271</v>
      </c>
      <c r="E1652" s="527" t="s">
        <v>15288</v>
      </c>
      <c r="F1652" s="220"/>
    </row>
    <row r="1653" spans="1:6" ht="14.4">
      <c r="A1653">
        <v>1844</v>
      </c>
      <c r="B1653" t="s">
        <v>18800</v>
      </c>
      <c r="C1653" t="s">
        <v>2269</v>
      </c>
      <c r="D1653" t="s">
        <v>2271</v>
      </c>
      <c r="E1653" s="527" t="s">
        <v>10771</v>
      </c>
      <c r="F1653" s="219"/>
    </row>
    <row r="1654" spans="1:6" ht="14.4">
      <c r="A1654">
        <v>1863</v>
      </c>
      <c r="B1654" t="s">
        <v>18801</v>
      </c>
      <c r="C1654" t="s">
        <v>2269</v>
      </c>
      <c r="D1654" t="s">
        <v>2271</v>
      </c>
      <c r="E1654" s="527" t="s">
        <v>15289</v>
      </c>
      <c r="F1654" s="220"/>
    </row>
    <row r="1655" spans="1:6" ht="14.4">
      <c r="A1655">
        <v>1865</v>
      </c>
      <c r="B1655" t="s">
        <v>18802</v>
      </c>
      <c r="C1655" t="s">
        <v>2269</v>
      </c>
      <c r="D1655" t="s">
        <v>2271</v>
      </c>
      <c r="E1655" s="527" t="s">
        <v>15290</v>
      </c>
      <c r="F1655" s="219"/>
    </row>
    <row r="1656" spans="1:6" ht="14.4">
      <c r="A1656">
        <v>36355</v>
      </c>
      <c r="B1656" t="s">
        <v>18803</v>
      </c>
      <c r="C1656" t="s">
        <v>2269</v>
      </c>
      <c r="D1656" t="s">
        <v>2271</v>
      </c>
      <c r="E1656" s="527" t="s">
        <v>18804</v>
      </c>
      <c r="F1656" s="220"/>
    </row>
    <row r="1657" spans="1:6" ht="14.4">
      <c r="A1657">
        <v>36356</v>
      </c>
      <c r="B1657" t="s">
        <v>18805</v>
      </c>
      <c r="C1657" t="s">
        <v>2269</v>
      </c>
      <c r="D1657" t="s">
        <v>2271</v>
      </c>
      <c r="E1657" s="527" t="s">
        <v>5007</v>
      </c>
      <c r="F1657" s="219"/>
    </row>
    <row r="1658" spans="1:6" ht="14.4">
      <c r="A1658">
        <v>1932</v>
      </c>
      <c r="B1658" t="s">
        <v>18806</v>
      </c>
      <c r="C1658" t="s">
        <v>2269</v>
      </c>
      <c r="D1658" t="s">
        <v>1857</v>
      </c>
      <c r="E1658" s="527" t="s">
        <v>9535</v>
      </c>
      <c r="F1658" s="220"/>
    </row>
    <row r="1659" spans="1:6" ht="14.4">
      <c r="A1659">
        <v>1933</v>
      </c>
      <c r="B1659" t="s">
        <v>18807</v>
      </c>
      <c r="C1659" t="s">
        <v>2269</v>
      </c>
      <c r="D1659" t="s">
        <v>1857</v>
      </c>
      <c r="E1659" s="527" t="s">
        <v>4607</v>
      </c>
      <c r="F1659" s="219"/>
    </row>
    <row r="1660" spans="1:6" ht="14.4">
      <c r="A1660">
        <v>1951</v>
      </c>
      <c r="B1660" t="s">
        <v>18808</v>
      </c>
      <c r="C1660" t="s">
        <v>2269</v>
      </c>
      <c r="D1660" t="s">
        <v>1857</v>
      </c>
      <c r="E1660" s="527" t="s">
        <v>16267</v>
      </c>
      <c r="F1660" s="220"/>
    </row>
    <row r="1661" spans="1:6" ht="14.4">
      <c r="A1661">
        <v>1966</v>
      </c>
      <c r="B1661" t="s">
        <v>18809</v>
      </c>
      <c r="C1661" t="s">
        <v>2269</v>
      </c>
      <c r="D1661" t="s">
        <v>1857</v>
      </c>
      <c r="E1661" s="527" t="s">
        <v>16265</v>
      </c>
      <c r="F1661" s="219"/>
    </row>
    <row r="1662" spans="1:6" ht="14.4">
      <c r="A1662">
        <v>1952</v>
      </c>
      <c r="B1662" t="s">
        <v>18810</v>
      </c>
      <c r="C1662" t="s">
        <v>2269</v>
      </c>
      <c r="D1662" t="s">
        <v>1857</v>
      </c>
      <c r="E1662" s="527" t="s">
        <v>18811</v>
      </c>
      <c r="F1662" s="220"/>
    </row>
    <row r="1663" spans="1:6" ht="14.4">
      <c r="A1663">
        <v>20104</v>
      </c>
      <c r="B1663" t="s">
        <v>18812</v>
      </c>
      <c r="C1663" t="s">
        <v>2269</v>
      </c>
      <c r="D1663" t="s">
        <v>1857</v>
      </c>
      <c r="E1663" s="527" t="s">
        <v>18813</v>
      </c>
      <c r="F1663" s="219"/>
    </row>
    <row r="1664" spans="1:6" ht="14.4">
      <c r="A1664">
        <v>20105</v>
      </c>
      <c r="B1664" t="s">
        <v>18814</v>
      </c>
      <c r="C1664" t="s">
        <v>2269</v>
      </c>
      <c r="D1664" t="s">
        <v>1857</v>
      </c>
      <c r="E1664" s="527" t="s">
        <v>18815</v>
      </c>
      <c r="F1664" s="220"/>
    </row>
    <row r="1665" spans="1:6" ht="14.4">
      <c r="A1665">
        <v>1965</v>
      </c>
      <c r="B1665" t="s">
        <v>18816</v>
      </c>
      <c r="C1665" t="s">
        <v>2269</v>
      </c>
      <c r="D1665" t="s">
        <v>1857</v>
      </c>
      <c r="E1665" s="527" t="s">
        <v>18817</v>
      </c>
      <c r="F1665" s="219"/>
    </row>
    <row r="1666" spans="1:6" ht="14.4">
      <c r="A1666">
        <v>10765</v>
      </c>
      <c r="B1666" t="s">
        <v>18818</v>
      </c>
      <c r="C1666" t="s">
        <v>2269</v>
      </c>
      <c r="D1666" t="s">
        <v>1857</v>
      </c>
      <c r="E1666" s="527" t="s">
        <v>18819</v>
      </c>
      <c r="F1666" s="220"/>
    </row>
    <row r="1667" spans="1:6" ht="14.4">
      <c r="A1667">
        <v>10767</v>
      </c>
      <c r="B1667" t="s">
        <v>18820</v>
      </c>
      <c r="C1667" t="s">
        <v>2269</v>
      </c>
      <c r="D1667" t="s">
        <v>1857</v>
      </c>
      <c r="E1667" s="527" t="s">
        <v>11454</v>
      </c>
      <c r="F1667" s="219"/>
    </row>
    <row r="1668" spans="1:6" ht="14.4">
      <c r="A1668">
        <v>1970</v>
      </c>
      <c r="B1668" t="s">
        <v>18821</v>
      </c>
      <c r="C1668" t="s">
        <v>2269</v>
      </c>
      <c r="D1668" t="s">
        <v>1857</v>
      </c>
      <c r="E1668" s="527" t="s">
        <v>18822</v>
      </c>
      <c r="F1668" s="220"/>
    </row>
    <row r="1669" spans="1:6" ht="14.4">
      <c r="A1669">
        <v>1967</v>
      </c>
      <c r="B1669" t="s">
        <v>18823</v>
      </c>
      <c r="C1669" t="s">
        <v>2269</v>
      </c>
      <c r="D1669" t="s">
        <v>1857</v>
      </c>
      <c r="E1669" s="527" t="s">
        <v>10707</v>
      </c>
      <c r="F1669" s="219"/>
    </row>
    <row r="1670" spans="1:6" ht="14.4">
      <c r="A1670">
        <v>1968</v>
      </c>
      <c r="B1670" t="s">
        <v>18824</v>
      </c>
      <c r="C1670" t="s">
        <v>2269</v>
      </c>
      <c r="D1670" t="s">
        <v>1857</v>
      </c>
      <c r="E1670" s="527" t="s">
        <v>5373</v>
      </c>
      <c r="F1670" s="220"/>
    </row>
    <row r="1671" spans="1:6" ht="14.4">
      <c r="A1671">
        <v>1969</v>
      </c>
      <c r="B1671" t="s">
        <v>18825</v>
      </c>
      <c r="C1671" t="s">
        <v>2269</v>
      </c>
      <c r="D1671" t="s">
        <v>1857</v>
      </c>
      <c r="E1671" s="527" t="s">
        <v>10172</v>
      </c>
      <c r="F1671" s="219"/>
    </row>
    <row r="1672" spans="1:6" ht="14.4">
      <c r="A1672">
        <v>1839</v>
      </c>
      <c r="B1672" t="s">
        <v>18826</v>
      </c>
      <c r="C1672" t="s">
        <v>2269</v>
      </c>
      <c r="D1672" t="s">
        <v>2271</v>
      </c>
      <c r="E1672" s="527" t="s">
        <v>18827</v>
      </c>
      <c r="F1672" s="220"/>
    </row>
    <row r="1673" spans="1:6" ht="14.4">
      <c r="A1673">
        <v>1835</v>
      </c>
      <c r="B1673" t="s">
        <v>18828</v>
      </c>
      <c r="C1673" t="s">
        <v>2269</v>
      </c>
      <c r="D1673" t="s">
        <v>2271</v>
      </c>
      <c r="E1673" s="527" t="s">
        <v>16249</v>
      </c>
      <c r="F1673" s="219"/>
    </row>
    <row r="1674" spans="1:6" ht="14.4">
      <c r="A1674">
        <v>1823</v>
      </c>
      <c r="B1674" t="s">
        <v>18829</v>
      </c>
      <c r="C1674" t="s">
        <v>2269</v>
      </c>
      <c r="D1674" t="s">
        <v>2271</v>
      </c>
      <c r="E1674" s="527" t="s">
        <v>18830</v>
      </c>
      <c r="F1674" s="220"/>
    </row>
    <row r="1675" spans="1:6" ht="14.4">
      <c r="A1675">
        <v>1827</v>
      </c>
      <c r="B1675" t="s">
        <v>18831</v>
      </c>
      <c r="C1675" t="s">
        <v>2269</v>
      </c>
      <c r="D1675" t="s">
        <v>2271</v>
      </c>
      <c r="E1675" s="527" t="s">
        <v>16140</v>
      </c>
      <c r="F1675" s="219"/>
    </row>
    <row r="1676" spans="1:6" ht="14.4">
      <c r="A1676">
        <v>1831</v>
      </c>
      <c r="B1676" t="s">
        <v>18832</v>
      </c>
      <c r="C1676" t="s">
        <v>2269</v>
      </c>
      <c r="D1676" t="s">
        <v>2271</v>
      </c>
      <c r="E1676" s="527" t="s">
        <v>16294</v>
      </c>
      <c r="F1676" s="220"/>
    </row>
    <row r="1677" spans="1:6" ht="14.4">
      <c r="A1677">
        <v>1825</v>
      </c>
      <c r="B1677" t="s">
        <v>18833</v>
      </c>
      <c r="C1677" t="s">
        <v>2269</v>
      </c>
      <c r="D1677" t="s">
        <v>2271</v>
      </c>
      <c r="E1677" s="527" t="s">
        <v>16459</v>
      </c>
      <c r="F1677" s="219"/>
    </row>
    <row r="1678" spans="1:6" ht="14.4">
      <c r="A1678">
        <v>1828</v>
      </c>
      <c r="B1678" t="s">
        <v>18834</v>
      </c>
      <c r="C1678" t="s">
        <v>2269</v>
      </c>
      <c r="D1678" t="s">
        <v>2271</v>
      </c>
      <c r="E1678" s="527" t="s">
        <v>18835</v>
      </c>
      <c r="F1678" s="220"/>
    </row>
    <row r="1679" spans="1:6" ht="14.4">
      <c r="A1679">
        <v>1845</v>
      </c>
      <c r="B1679" t="s">
        <v>18836</v>
      </c>
      <c r="C1679" t="s">
        <v>2269</v>
      </c>
      <c r="D1679" t="s">
        <v>2271</v>
      </c>
      <c r="E1679" s="527" t="s">
        <v>15827</v>
      </c>
      <c r="F1679" s="219"/>
    </row>
    <row r="1680" spans="1:6" ht="14.4">
      <c r="A1680">
        <v>1824</v>
      </c>
      <c r="B1680" t="s">
        <v>18837</v>
      </c>
      <c r="C1680" t="s">
        <v>2269</v>
      </c>
      <c r="D1680" t="s">
        <v>2271</v>
      </c>
      <c r="E1680" s="527" t="s">
        <v>18838</v>
      </c>
      <c r="F1680" s="220"/>
    </row>
    <row r="1681" spans="1:6" ht="14.4">
      <c r="A1681">
        <v>1941</v>
      </c>
      <c r="B1681" t="s">
        <v>18839</v>
      </c>
      <c r="C1681" t="s">
        <v>2269</v>
      </c>
      <c r="D1681" t="s">
        <v>1857</v>
      </c>
      <c r="E1681" s="527" t="s">
        <v>14342</v>
      </c>
      <c r="F1681" s="219"/>
    </row>
    <row r="1682" spans="1:6" ht="14.4">
      <c r="A1682">
        <v>1940</v>
      </c>
      <c r="B1682" t="s">
        <v>18840</v>
      </c>
      <c r="C1682" t="s">
        <v>2269</v>
      </c>
      <c r="D1682" t="s">
        <v>1857</v>
      </c>
      <c r="E1682" s="527" t="s">
        <v>10779</v>
      </c>
      <c r="F1682" s="220"/>
    </row>
    <row r="1683" spans="1:6" ht="14.4">
      <c r="A1683">
        <v>1937</v>
      </c>
      <c r="B1683" t="s">
        <v>18841</v>
      </c>
      <c r="C1683" t="s">
        <v>2269</v>
      </c>
      <c r="D1683" t="s">
        <v>1857</v>
      </c>
      <c r="E1683" s="527" t="s">
        <v>3680</v>
      </c>
      <c r="F1683" s="219"/>
    </row>
    <row r="1684" spans="1:6" ht="14.4">
      <c r="A1684">
        <v>1939</v>
      </c>
      <c r="B1684" t="s">
        <v>18842</v>
      </c>
      <c r="C1684" t="s">
        <v>2269</v>
      </c>
      <c r="D1684" t="s">
        <v>1857</v>
      </c>
      <c r="E1684" s="527" t="s">
        <v>6952</v>
      </c>
      <c r="F1684" s="220"/>
    </row>
    <row r="1685" spans="1:6" ht="14.4">
      <c r="A1685">
        <v>1942</v>
      </c>
      <c r="B1685" t="s">
        <v>18843</v>
      </c>
      <c r="C1685" t="s">
        <v>2269</v>
      </c>
      <c r="D1685" t="s">
        <v>1857</v>
      </c>
      <c r="E1685" s="527" t="s">
        <v>11638</v>
      </c>
      <c r="F1685" s="219"/>
    </row>
    <row r="1686" spans="1:6" ht="14.4">
      <c r="A1686">
        <v>1938</v>
      </c>
      <c r="B1686" t="s">
        <v>18844</v>
      </c>
      <c r="C1686" t="s">
        <v>2269</v>
      </c>
      <c r="D1686" t="s">
        <v>1857</v>
      </c>
      <c r="E1686" s="527" t="s">
        <v>9966</v>
      </c>
      <c r="F1686" s="220"/>
    </row>
    <row r="1687" spans="1:6" ht="14.4">
      <c r="A1687">
        <v>42692</v>
      </c>
      <c r="B1687" t="s">
        <v>18845</v>
      </c>
      <c r="C1687" t="s">
        <v>2269</v>
      </c>
      <c r="D1687" t="s">
        <v>2271</v>
      </c>
      <c r="E1687" s="527" t="s">
        <v>15292</v>
      </c>
      <c r="F1687" s="219"/>
    </row>
    <row r="1688" spans="1:6" ht="14.4">
      <c r="A1688">
        <v>42693</v>
      </c>
      <c r="B1688" t="s">
        <v>18846</v>
      </c>
      <c r="C1688" t="s">
        <v>2269</v>
      </c>
      <c r="D1688" t="s">
        <v>2271</v>
      </c>
      <c r="E1688" s="527" t="s">
        <v>15293</v>
      </c>
      <c r="F1688" s="220"/>
    </row>
    <row r="1689" spans="1:6" ht="14.4">
      <c r="A1689">
        <v>42695</v>
      </c>
      <c r="B1689" t="s">
        <v>18847</v>
      </c>
      <c r="C1689" t="s">
        <v>2269</v>
      </c>
      <c r="D1689" t="s">
        <v>2271</v>
      </c>
      <c r="E1689" s="527" t="s">
        <v>15294</v>
      </c>
      <c r="F1689" s="219"/>
    </row>
    <row r="1690" spans="1:6" ht="14.4">
      <c r="A1690">
        <v>42694</v>
      </c>
      <c r="B1690" t="s">
        <v>18848</v>
      </c>
      <c r="C1690" t="s">
        <v>2269</v>
      </c>
      <c r="D1690" t="s">
        <v>2271</v>
      </c>
      <c r="E1690" s="527" t="s">
        <v>15295</v>
      </c>
      <c r="F1690" s="220"/>
    </row>
    <row r="1691" spans="1:6" ht="14.4">
      <c r="A1691">
        <v>20097</v>
      </c>
      <c r="B1691" t="s">
        <v>18849</v>
      </c>
      <c r="C1691" t="s">
        <v>2269</v>
      </c>
      <c r="D1691" t="s">
        <v>1857</v>
      </c>
      <c r="E1691" s="527" t="s">
        <v>18850</v>
      </c>
      <c r="F1691" s="219"/>
    </row>
    <row r="1692" spans="1:6" ht="14.4">
      <c r="A1692">
        <v>20098</v>
      </c>
      <c r="B1692" t="s">
        <v>18851</v>
      </c>
      <c r="C1692" t="s">
        <v>2269</v>
      </c>
      <c r="D1692" t="s">
        <v>1857</v>
      </c>
      <c r="E1692" s="527" t="s">
        <v>18852</v>
      </c>
      <c r="F1692" s="220"/>
    </row>
    <row r="1693" spans="1:6" ht="14.4">
      <c r="A1693">
        <v>20096</v>
      </c>
      <c r="B1693" t="s">
        <v>18853</v>
      </c>
      <c r="C1693" t="s">
        <v>2269</v>
      </c>
      <c r="D1693" t="s">
        <v>1857</v>
      </c>
      <c r="E1693" s="527" t="s">
        <v>16251</v>
      </c>
      <c r="F1693" s="219"/>
    </row>
    <row r="1694" spans="1:6" ht="14.4">
      <c r="A1694">
        <v>1964</v>
      </c>
      <c r="B1694" t="s">
        <v>18854</v>
      </c>
      <c r="C1694" t="s">
        <v>2269</v>
      </c>
      <c r="D1694" t="s">
        <v>1857</v>
      </c>
      <c r="E1694" s="527" t="s">
        <v>15432</v>
      </c>
      <c r="F1694" s="220"/>
    </row>
    <row r="1695" spans="1:6" ht="14.4">
      <c r="A1695">
        <v>1880</v>
      </c>
      <c r="B1695" t="s">
        <v>18855</v>
      </c>
      <c r="C1695" t="s">
        <v>2269</v>
      </c>
      <c r="D1695" t="s">
        <v>1857</v>
      </c>
      <c r="E1695" s="527" t="s">
        <v>17321</v>
      </c>
      <c r="F1695" s="219"/>
    </row>
    <row r="1696" spans="1:6" ht="14.4">
      <c r="A1696">
        <v>39274</v>
      </c>
      <c r="B1696" t="s">
        <v>18856</v>
      </c>
      <c r="C1696" t="s">
        <v>2269</v>
      </c>
      <c r="D1696" t="s">
        <v>1857</v>
      </c>
      <c r="E1696" s="527" t="s">
        <v>3575</v>
      </c>
      <c r="F1696" s="220"/>
    </row>
    <row r="1697" spans="1:6" ht="14.4">
      <c r="A1697">
        <v>2628</v>
      </c>
      <c r="B1697" t="s">
        <v>18857</v>
      </c>
      <c r="C1697" t="s">
        <v>2269</v>
      </c>
      <c r="D1697" t="s">
        <v>2271</v>
      </c>
      <c r="E1697" s="527" t="s">
        <v>18858</v>
      </c>
      <c r="F1697" s="219"/>
    </row>
    <row r="1698" spans="1:6" ht="14.4">
      <c r="A1698">
        <v>2622</v>
      </c>
      <c r="B1698" t="s">
        <v>18859</v>
      </c>
      <c r="C1698" t="s">
        <v>2269</v>
      </c>
      <c r="D1698" t="s">
        <v>2271</v>
      </c>
      <c r="E1698" s="527" t="s">
        <v>7362</v>
      </c>
      <c r="F1698" s="220"/>
    </row>
    <row r="1699" spans="1:6" ht="14.4">
      <c r="A1699">
        <v>2623</v>
      </c>
      <c r="B1699" t="s">
        <v>18860</v>
      </c>
      <c r="C1699" t="s">
        <v>2269</v>
      </c>
      <c r="D1699" t="s">
        <v>2271</v>
      </c>
      <c r="E1699" s="527" t="s">
        <v>6062</v>
      </c>
      <c r="F1699" s="219"/>
    </row>
    <row r="1700" spans="1:6" ht="14.4">
      <c r="A1700">
        <v>2624</v>
      </c>
      <c r="B1700" t="s">
        <v>18861</v>
      </c>
      <c r="C1700" t="s">
        <v>2269</v>
      </c>
      <c r="D1700" t="s">
        <v>2271</v>
      </c>
      <c r="E1700" s="527" t="s">
        <v>3092</v>
      </c>
      <c r="F1700" s="220"/>
    </row>
    <row r="1701" spans="1:6" ht="14.4">
      <c r="A1701">
        <v>2625</v>
      </c>
      <c r="B1701" t="s">
        <v>18862</v>
      </c>
      <c r="C1701" t="s">
        <v>2269</v>
      </c>
      <c r="D1701" t="s">
        <v>2271</v>
      </c>
      <c r="E1701" s="527" t="s">
        <v>7555</v>
      </c>
      <c r="F1701" s="219"/>
    </row>
    <row r="1702" spans="1:6" ht="14.4">
      <c r="A1702">
        <v>2626</v>
      </c>
      <c r="B1702" t="s">
        <v>18863</v>
      </c>
      <c r="C1702" t="s">
        <v>2269</v>
      </c>
      <c r="D1702" t="s">
        <v>2271</v>
      </c>
      <c r="E1702" s="527" t="s">
        <v>10252</v>
      </c>
      <c r="F1702" s="220"/>
    </row>
    <row r="1703" spans="1:6" ht="14.4">
      <c r="A1703">
        <v>2630</v>
      </c>
      <c r="B1703" t="s">
        <v>18864</v>
      </c>
      <c r="C1703" t="s">
        <v>2269</v>
      </c>
      <c r="D1703" t="s">
        <v>2271</v>
      </c>
      <c r="E1703" s="527" t="s">
        <v>18865</v>
      </c>
      <c r="F1703" s="219"/>
    </row>
    <row r="1704" spans="1:6" ht="14.4">
      <c r="A1704">
        <v>2627</v>
      </c>
      <c r="B1704" t="s">
        <v>18866</v>
      </c>
      <c r="C1704" t="s">
        <v>2269</v>
      </c>
      <c r="D1704" t="s">
        <v>2271</v>
      </c>
      <c r="E1704" s="527" t="s">
        <v>11653</v>
      </c>
      <c r="F1704" s="220"/>
    </row>
    <row r="1705" spans="1:6" ht="14.4">
      <c r="A1705">
        <v>2629</v>
      </c>
      <c r="B1705" t="s">
        <v>18867</v>
      </c>
      <c r="C1705" t="s">
        <v>2269</v>
      </c>
      <c r="D1705" t="s">
        <v>2271</v>
      </c>
      <c r="E1705" s="527" t="s">
        <v>18868</v>
      </c>
      <c r="F1705" s="219"/>
    </row>
    <row r="1706" spans="1:6" ht="14.4">
      <c r="A1706">
        <v>12033</v>
      </c>
      <c r="B1706" t="s">
        <v>18869</v>
      </c>
      <c r="C1706" t="s">
        <v>2269</v>
      </c>
      <c r="D1706" t="s">
        <v>1857</v>
      </c>
      <c r="E1706" s="527" t="s">
        <v>2913</v>
      </c>
      <c r="F1706" s="220"/>
    </row>
    <row r="1707" spans="1:6" ht="14.4">
      <c r="A1707">
        <v>40408</v>
      </c>
      <c r="B1707" t="s">
        <v>18870</v>
      </c>
      <c r="C1707" t="s">
        <v>2269</v>
      </c>
      <c r="D1707" t="s">
        <v>1857</v>
      </c>
      <c r="E1707" s="527" t="s">
        <v>7340</v>
      </c>
      <c r="F1707" s="219"/>
    </row>
    <row r="1708" spans="1:6" ht="14.4">
      <c r="A1708">
        <v>40409</v>
      </c>
      <c r="B1708" t="s">
        <v>18871</v>
      </c>
      <c r="C1708" t="s">
        <v>2269</v>
      </c>
      <c r="D1708" t="s">
        <v>1857</v>
      </c>
      <c r="E1708" s="527" t="s">
        <v>3974</v>
      </c>
      <c r="F1708" s="220"/>
    </row>
    <row r="1709" spans="1:6" ht="14.4">
      <c r="A1709">
        <v>39276</v>
      </c>
      <c r="B1709" t="s">
        <v>18872</v>
      </c>
      <c r="C1709" t="s">
        <v>2269</v>
      </c>
      <c r="D1709" t="s">
        <v>1857</v>
      </c>
      <c r="E1709" s="527" t="s">
        <v>5906</v>
      </c>
      <c r="F1709" s="219"/>
    </row>
    <row r="1710" spans="1:6" ht="14.4">
      <c r="A1710">
        <v>39277</v>
      </c>
      <c r="B1710" t="s">
        <v>18873</v>
      </c>
      <c r="C1710" t="s">
        <v>2269</v>
      </c>
      <c r="D1710" t="s">
        <v>1857</v>
      </c>
      <c r="E1710" s="527" t="s">
        <v>7706</v>
      </c>
      <c r="F1710" s="220"/>
    </row>
    <row r="1711" spans="1:6" ht="14.4">
      <c r="A1711">
        <v>12034</v>
      </c>
      <c r="B1711" t="s">
        <v>18874</v>
      </c>
      <c r="C1711" t="s">
        <v>2269</v>
      </c>
      <c r="D1711" t="s">
        <v>1857</v>
      </c>
      <c r="E1711" s="527" t="s">
        <v>4549</v>
      </c>
      <c r="F1711" s="219"/>
    </row>
    <row r="1712" spans="1:6" ht="14.4">
      <c r="A1712">
        <v>39879</v>
      </c>
      <c r="B1712" t="s">
        <v>18875</v>
      </c>
      <c r="C1712" t="s">
        <v>2269</v>
      </c>
      <c r="D1712" t="s">
        <v>2271</v>
      </c>
      <c r="E1712" s="527" t="s">
        <v>4565</v>
      </c>
      <c r="F1712" s="220"/>
    </row>
    <row r="1713" spans="1:6" ht="14.4">
      <c r="A1713">
        <v>39880</v>
      </c>
      <c r="B1713" t="s">
        <v>18876</v>
      </c>
      <c r="C1713" t="s">
        <v>2269</v>
      </c>
      <c r="D1713" t="s">
        <v>2271</v>
      </c>
      <c r="E1713" s="527" t="s">
        <v>11648</v>
      </c>
      <c r="F1713" s="219"/>
    </row>
    <row r="1714" spans="1:6" ht="14.4">
      <c r="A1714">
        <v>39881</v>
      </c>
      <c r="B1714" t="s">
        <v>18877</v>
      </c>
      <c r="C1714" t="s">
        <v>2269</v>
      </c>
      <c r="D1714" t="s">
        <v>2271</v>
      </c>
      <c r="E1714" s="527" t="s">
        <v>10079</v>
      </c>
      <c r="F1714" s="220"/>
    </row>
    <row r="1715" spans="1:6" ht="14.4">
      <c r="A1715">
        <v>39882</v>
      </c>
      <c r="B1715" t="s">
        <v>18878</v>
      </c>
      <c r="C1715" t="s">
        <v>2269</v>
      </c>
      <c r="D1715" t="s">
        <v>2271</v>
      </c>
      <c r="E1715" s="527" t="s">
        <v>18879</v>
      </c>
      <c r="F1715" s="219"/>
    </row>
    <row r="1716" spans="1:6" ht="14.4">
      <c r="A1716">
        <v>39883</v>
      </c>
      <c r="B1716" t="s">
        <v>18880</v>
      </c>
      <c r="C1716" t="s">
        <v>2269</v>
      </c>
      <c r="D1716" t="s">
        <v>2271</v>
      </c>
      <c r="E1716" s="527" t="s">
        <v>11658</v>
      </c>
      <c r="F1716" s="220"/>
    </row>
    <row r="1717" spans="1:6" ht="14.4">
      <c r="A1717">
        <v>39884</v>
      </c>
      <c r="B1717" t="s">
        <v>18881</v>
      </c>
      <c r="C1717" t="s">
        <v>2269</v>
      </c>
      <c r="D1717" t="s">
        <v>2271</v>
      </c>
      <c r="E1717" s="527" t="s">
        <v>15796</v>
      </c>
      <c r="F1717" s="219"/>
    </row>
    <row r="1718" spans="1:6" ht="14.4">
      <c r="A1718">
        <v>39885</v>
      </c>
      <c r="B1718" t="s">
        <v>18882</v>
      </c>
      <c r="C1718" t="s">
        <v>2269</v>
      </c>
      <c r="D1718" t="s">
        <v>2271</v>
      </c>
      <c r="E1718" s="527" t="s">
        <v>18883</v>
      </c>
      <c r="F1718" s="220"/>
    </row>
    <row r="1719" spans="1:6" ht="14.4">
      <c r="A1719">
        <v>1777</v>
      </c>
      <c r="B1719" t="s">
        <v>18884</v>
      </c>
      <c r="C1719" t="s">
        <v>2269</v>
      </c>
      <c r="D1719" t="s">
        <v>1857</v>
      </c>
      <c r="E1719" s="527" t="s">
        <v>10378</v>
      </c>
      <c r="F1719" s="219"/>
    </row>
    <row r="1720" spans="1:6" ht="14.4">
      <c r="A1720">
        <v>1819</v>
      </c>
      <c r="B1720" t="s">
        <v>18885</v>
      </c>
      <c r="C1720" t="s">
        <v>2269</v>
      </c>
      <c r="D1720" t="s">
        <v>1857</v>
      </c>
      <c r="E1720" s="527" t="s">
        <v>15296</v>
      </c>
      <c r="F1720" s="220"/>
    </row>
    <row r="1721" spans="1:6" ht="14.4">
      <c r="A1721">
        <v>1775</v>
      </c>
      <c r="B1721" t="s">
        <v>18886</v>
      </c>
      <c r="C1721" t="s">
        <v>2269</v>
      </c>
      <c r="D1721" t="s">
        <v>1857</v>
      </c>
      <c r="E1721" s="527" t="s">
        <v>10044</v>
      </c>
      <c r="F1721" s="219"/>
    </row>
    <row r="1722" spans="1:6" ht="14.4">
      <c r="A1722">
        <v>1776</v>
      </c>
      <c r="B1722" t="s">
        <v>18887</v>
      </c>
      <c r="C1722" t="s">
        <v>2269</v>
      </c>
      <c r="D1722" t="s">
        <v>1857</v>
      </c>
      <c r="E1722" s="527" t="s">
        <v>10533</v>
      </c>
      <c r="F1722" s="220"/>
    </row>
    <row r="1723" spans="1:6" ht="14.4">
      <c r="A1723">
        <v>1778</v>
      </c>
      <c r="B1723" t="s">
        <v>18888</v>
      </c>
      <c r="C1723" t="s">
        <v>2269</v>
      </c>
      <c r="D1723" t="s">
        <v>1857</v>
      </c>
      <c r="E1723" s="527" t="s">
        <v>11644</v>
      </c>
      <c r="F1723" s="219"/>
    </row>
    <row r="1724" spans="1:6" ht="14.4">
      <c r="A1724">
        <v>1818</v>
      </c>
      <c r="B1724" t="s">
        <v>18889</v>
      </c>
      <c r="C1724" t="s">
        <v>2269</v>
      </c>
      <c r="D1724" t="s">
        <v>1857</v>
      </c>
      <c r="E1724" s="527" t="s">
        <v>15297</v>
      </c>
      <c r="F1724" s="220"/>
    </row>
    <row r="1725" spans="1:6" ht="14.4">
      <c r="A1725">
        <v>1820</v>
      </c>
      <c r="B1725" t="s">
        <v>18890</v>
      </c>
      <c r="C1725" t="s">
        <v>2269</v>
      </c>
      <c r="D1725" t="s">
        <v>1857</v>
      </c>
      <c r="E1725" s="527" t="s">
        <v>10257</v>
      </c>
      <c r="F1725" s="219"/>
    </row>
    <row r="1726" spans="1:6" ht="14.4">
      <c r="A1726">
        <v>1779</v>
      </c>
      <c r="B1726" t="s">
        <v>18891</v>
      </c>
      <c r="C1726" t="s">
        <v>2269</v>
      </c>
      <c r="D1726" t="s">
        <v>1857</v>
      </c>
      <c r="E1726" s="527" t="s">
        <v>15298</v>
      </c>
      <c r="F1726" s="220"/>
    </row>
    <row r="1727" spans="1:6" ht="14.4">
      <c r="A1727">
        <v>1780</v>
      </c>
      <c r="B1727" t="s">
        <v>18892</v>
      </c>
      <c r="C1727" t="s">
        <v>2269</v>
      </c>
      <c r="D1727" t="s">
        <v>1857</v>
      </c>
      <c r="E1727" s="527" t="s">
        <v>15299</v>
      </c>
      <c r="F1727" s="219"/>
    </row>
    <row r="1728" spans="1:6" ht="14.4">
      <c r="A1728">
        <v>1783</v>
      </c>
      <c r="B1728" t="s">
        <v>18893</v>
      </c>
      <c r="C1728" t="s">
        <v>2269</v>
      </c>
      <c r="D1728" t="s">
        <v>1857</v>
      </c>
      <c r="E1728" s="527" t="s">
        <v>15300</v>
      </c>
      <c r="F1728" s="220"/>
    </row>
    <row r="1729" spans="1:6" ht="14.4">
      <c r="A1729">
        <v>1782</v>
      </c>
      <c r="B1729" t="s">
        <v>18894</v>
      </c>
      <c r="C1729" t="s">
        <v>2269</v>
      </c>
      <c r="D1729" t="s">
        <v>1857</v>
      </c>
      <c r="E1729" s="527" t="s">
        <v>15301</v>
      </c>
      <c r="F1729" s="219"/>
    </row>
    <row r="1730" spans="1:6" ht="14.4">
      <c r="A1730">
        <v>1817</v>
      </c>
      <c r="B1730" t="s">
        <v>18895</v>
      </c>
      <c r="C1730" t="s">
        <v>2269</v>
      </c>
      <c r="D1730" t="s">
        <v>1857</v>
      </c>
      <c r="E1730" s="527" t="s">
        <v>5206</v>
      </c>
      <c r="F1730" s="220"/>
    </row>
    <row r="1731" spans="1:6" ht="14.4">
      <c r="A1731">
        <v>1781</v>
      </c>
      <c r="B1731" t="s">
        <v>18896</v>
      </c>
      <c r="C1731" t="s">
        <v>2269</v>
      </c>
      <c r="D1731" t="s">
        <v>1857</v>
      </c>
      <c r="E1731" s="527" t="s">
        <v>9887</v>
      </c>
      <c r="F1731" s="219"/>
    </row>
    <row r="1732" spans="1:6" ht="14.4">
      <c r="A1732">
        <v>1784</v>
      </c>
      <c r="B1732" t="s">
        <v>18897</v>
      </c>
      <c r="C1732" t="s">
        <v>2269</v>
      </c>
      <c r="D1732" t="s">
        <v>1857</v>
      </c>
      <c r="E1732" s="527" t="s">
        <v>10393</v>
      </c>
      <c r="F1732" s="220"/>
    </row>
    <row r="1733" spans="1:6" ht="14.4">
      <c r="A1733">
        <v>1810</v>
      </c>
      <c r="B1733" t="s">
        <v>18898</v>
      </c>
      <c r="C1733" t="s">
        <v>2269</v>
      </c>
      <c r="D1733" t="s">
        <v>1857</v>
      </c>
      <c r="E1733" s="527" t="s">
        <v>10165</v>
      </c>
      <c r="F1733" s="219"/>
    </row>
    <row r="1734" spans="1:6" ht="14.4">
      <c r="A1734">
        <v>1811</v>
      </c>
      <c r="B1734" t="s">
        <v>18899</v>
      </c>
      <c r="C1734" t="s">
        <v>2269</v>
      </c>
      <c r="D1734" t="s">
        <v>1857</v>
      </c>
      <c r="E1734" s="527" t="s">
        <v>10246</v>
      </c>
      <c r="F1734" s="220"/>
    </row>
    <row r="1735" spans="1:6" ht="14.4">
      <c r="A1735">
        <v>1812</v>
      </c>
      <c r="B1735" t="s">
        <v>18900</v>
      </c>
      <c r="C1735" t="s">
        <v>2269</v>
      </c>
      <c r="D1735" t="s">
        <v>1857</v>
      </c>
      <c r="E1735" s="527" t="s">
        <v>15302</v>
      </c>
      <c r="F1735" s="219"/>
    </row>
    <row r="1736" spans="1:6" ht="14.4">
      <c r="A1736">
        <v>40386</v>
      </c>
      <c r="B1736" t="s">
        <v>18901</v>
      </c>
      <c r="C1736" t="s">
        <v>2269</v>
      </c>
      <c r="D1736" t="s">
        <v>1857</v>
      </c>
      <c r="E1736" s="527" t="s">
        <v>18902</v>
      </c>
      <c r="F1736" s="220"/>
    </row>
    <row r="1737" spans="1:6" ht="14.4">
      <c r="A1737">
        <v>40384</v>
      </c>
      <c r="B1737" t="s">
        <v>18903</v>
      </c>
      <c r="C1737" t="s">
        <v>2269</v>
      </c>
      <c r="D1737" t="s">
        <v>1857</v>
      </c>
      <c r="E1737" s="527" t="s">
        <v>10682</v>
      </c>
      <c r="F1737" s="219"/>
    </row>
    <row r="1738" spans="1:6" ht="14.4">
      <c r="A1738">
        <v>40379</v>
      </c>
      <c r="B1738" t="s">
        <v>18904</v>
      </c>
      <c r="C1738" t="s">
        <v>2269</v>
      </c>
      <c r="D1738" t="s">
        <v>1857</v>
      </c>
      <c r="E1738" s="527" t="s">
        <v>16576</v>
      </c>
      <c r="F1738" s="220"/>
    </row>
    <row r="1739" spans="1:6" ht="14.4">
      <c r="A1739">
        <v>40423</v>
      </c>
      <c r="B1739" t="s">
        <v>18905</v>
      </c>
      <c r="C1739" t="s">
        <v>2269</v>
      </c>
      <c r="D1739" t="s">
        <v>1857</v>
      </c>
      <c r="E1739" s="527" t="s">
        <v>16291</v>
      </c>
      <c r="F1739" s="219"/>
    </row>
    <row r="1740" spans="1:6" ht="14.4">
      <c r="A1740">
        <v>40389</v>
      </c>
      <c r="B1740" t="s">
        <v>18906</v>
      </c>
      <c r="C1740" t="s">
        <v>2269</v>
      </c>
      <c r="D1740" t="s">
        <v>1857</v>
      </c>
      <c r="E1740" s="527" t="s">
        <v>18907</v>
      </c>
      <c r="F1740" s="220"/>
    </row>
    <row r="1741" spans="1:6" ht="14.4">
      <c r="A1741">
        <v>40388</v>
      </c>
      <c r="B1741" t="s">
        <v>18908</v>
      </c>
      <c r="C1741" t="s">
        <v>2269</v>
      </c>
      <c r="D1741" t="s">
        <v>1857</v>
      </c>
      <c r="E1741" s="527" t="s">
        <v>18909</v>
      </c>
      <c r="F1741" s="219"/>
    </row>
    <row r="1742" spans="1:6" ht="14.4">
      <c r="A1742">
        <v>40381</v>
      </c>
      <c r="B1742" t="s">
        <v>18910</v>
      </c>
      <c r="C1742" t="s">
        <v>2269</v>
      </c>
      <c r="D1742" t="s">
        <v>1857</v>
      </c>
      <c r="E1742" s="527" t="s">
        <v>13654</v>
      </c>
      <c r="F1742" s="220"/>
    </row>
    <row r="1743" spans="1:6" ht="14.4">
      <c r="A1743">
        <v>40391</v>
      </c>
      <c r="B1743" t="s">
        <v>18911</v>
      </c>
      <c r="C1743" t="s">
        <v>2269</v>
      </c>
      <c r="D1743" t="s">
        <v>1857</v>
      </c>
      <c r="E1743" s="527" t="s">
        <v>18912</v>
      </c>
      <c r="F1743" s="219"/>
    </row>
    <row r="1744" spans="1:6" ht="14.4">
      <c r="A1744">
        <v>40414</v>
      </c>
      <c r="B1744" t="s">
        <v>18913</v>
      </c>
      <c r="C1744" t="s">
        <v>2269</v>
      </c>
      <c r="D1744" t="s">
        <v>2271</v>
      </c>
      <c r="E1744" s="527" t="s">
        <v>10195</v>
      </c>
      <c r="F1744" s="220"/>
    </row>
    <row r="1745" spans="1:6" ht="14.4">
      <c r="A1745">
        <v>40416</v>
      </c>
      <c r="B1745" t="s">
        <v>18914</v>
      </c>
      <c r="C1745" t="s">
        <v>2269</v>
      </c>
      <c r="D1745" t="s">
        <v>2271</v>
      </c>
      <c r="E1745" s="527" t="s">
        <v>10345</v>
      </c>
      <c r="F1745" s="219"/>
    </row>
    <row r="1746" spans="1:6" ht="14.4">
      <c r="A1746">
        <v>40418</v>
      </c>
      <c r="B1746" t="s">
        <v>18915</v>
      </c>
      <c r="C1746" t="s">
        <v>2269</v>
      </c>
      <c r="D1746" t="s">
        <v>2271</v>
      </c>
      <c r="E1746" s="527" t="s">
        <v>15303</v>
      </c>
      <c r="F1746" s="220"/>
    </row>
    <row r="1747" spans="1:6" ht="14.4">
      <c r="A1747">
        <v>2609</v>
      </c>
      <c r="B1747" t="s">
        <v>18916</v>
      </c>
      <c r="C1747" t="s">
        <v>2269</v>
      </c>
      <c r="D1747" t="s">
        <v>2271</v>
      </c>
      <c r="E1747" s="527" t="s">
        <v>6650</v>
      </c>
      <c r="F1747" s="219"/>
    </row>
    <row r="1748" spans="1:6" ht="14.4">
      <c r="A1748">
        <v>2634</v>
      </c>
      <c r="B1748" t="s">
        <v>18917</v>
      </c>
      <c r="C1748" t="s">
        <v>2269</v>
      </c>
      <c r="D1748" t="s">
        <v>2271</v>
      </c>
      <c r="E1748" s="527" t="s">
        <v>4585</v>
      </c>
      <c r="F1748" s="220"/>
    </row>
    <row r="1749" spans="1:6" ht="14.4">
      <c r="A1749">
        <v>2611</v>
      </c>
      <c r="B1749" t="s">
        <v>18918</v>
      </c>
      <c r="C1749" t="s">
        <v>2269</v>
      </c>
      <c r="D1749" t="s">
        <v>2271</v>
      </c>
      <c r="E1749" s="527" t="s">
        <v>10224</v>
      </c>
      <c r="F1749" s="219"/>
    </row>
    <row r="1750" spans="1:6" ht="14.4">
      <c r="A1750">
        <v>34359</v>
      </c>
      <c r="B1750" t="s">
        <v>18919</v>
      </c>
      <c r="C1750" t="s">
        <v>2269</v>
      </c>
      <c r="D1750" t="s">
        <v>2271</v>
      </c>
      <c r="E1750" s="527" t="s">
        <v>7358</v>
      </c>
      <c r="F1750" s="220"/>
    </row>
    <row r="1751" spans="1:6" ht="14.4">
      <c r="A1751">
        <v>1789</v>
      </c>
      <c r="B1751" t="s">
        <v>18920</v>
      </c>
      <c r="C1751" t="s">
        <v>2269</v>
      </c>
      <c r="D1751" t="s">
        <v>1857</v>
      </c>
      <c r="E1751" s="527" t="s">
        <v>15304</v>
      </c>
      <c r="F1751" s="219"/>
    </row>
    <row r="1752" spans="1:6" ht="14.4">
      <c r="A1752">
        <v>1788</v>
      </c>
      <c r="B1752" t="s">
        <v>18921</v>
      </c>
      <c r="C1752" t="s">
        <v>2269</v>
      </c>
      <c r="D1752" t="s">
        <v>1857</v>
      </c>
      <c r="E1752" s="527" t="s">
        <v>11427</v>
      </c>
      <c r="F1752" s="220"/>
    </row>
    <row r="1753" spans="1:6" ht="14.4">
      <c r="A1753">
        <v>1786</v>
      </c>
      <c r="B1753" t="s">
        <v>18922</v>
      </c>
      <c r="C1753" t="s">
        <v>2269</v>
      </c>
      <c r="D1753" t="s">
        <v>1857</v>
      </c>
      <c r="E1753" s="527" t="s">
        <v>9521</v>
      </c>
      <c r="F1753" s="219"/>
    </row>
    <row r="1754" spans="1:6" ht="14.4">
      <c r="A1754">
        <v>1787</v>
      </c>
      <c r="B1754" t="s">
        <v>18923</v>
      </c>
      <c r="C1754" t="s">
        <v>2269</v>
      </c>
      <c r="D1754" t="s">
        <v>1857</v>
      </c>
      <c r="E1754" s="527" t="s">
        <v>10254</v>
      </c>
      <c r="F1754" s="220"/>
    </row>
    <row r="1755" spans="1:6" ht="14.4">
      <c r="A1755">
        <v>1791</v>
      </c>
      <c r="B1755" t="s">
        <v>18924</v>
      </c>
      <c r="C1755" t="s">
        <v>2269</v>
      </c>
      <c r="D1755" t="s">
        <v>1857</v>
      </c>
      <c r="E1755" s="527" t="s">
        <v>15305</v>
      </c>
      <c r="F1755" s="219"/>
    </row>
    <row r="1756" spans="1:6" ht="14.4">
      <c r="A1756">
        <v>1790</v>
      </c>
      <c r="B1756" t="s">
        <v>18925</v>
      </c>
      <c r="C1756" t="s">
        <v>2269</v>
      </c>
      <c r="D1756" t="s">
        <v>1857</v>
      </c>
      <c r="E1756" s="527" t="s">
        <v>15306</v>
      </c>
      <c r="F1756" s="220"/>
    </row>
    <row r="1757" spans="1:6" ht="14.4">
      <c r="A1757">
        <v>1813</v>
      </c>
      <c r="B1757" t="s">
        <v>18926</v>
      </c>
      <c r="C1757" t="s">
        <v>2269</v>
      </c>
      <c r="D1757" t="s">
        <v>1857</v>
      </c>
      <c r="E1757" s="527" t="s">
        <v>9497</v>
      </c>
      <c r="F1757" s="219"/>
    </row>
    <row r="1758" spans="1:6" ht="14.4">
      <c r="A1758">
        <v>1792</v>
      </c>
      <c r="B1758" t="s">
        <v>18927</v>
      </c>
      <c r="C1758" t="s">
        <v>2269</v>
      </c>
      <c r="D1758" t="s">
        <v>1857</v>
      </c>
      <c r="E1758" s="527" t="s">
        <v>10752</v>
      </c>
      <c r="F1758" s="220"/>
    </row>
    <row r="1759" spans="1:6" ht="14.4">
      <c r="A1759">
        <v>1793</v>
      </c>
      <c r="B1759" t="s">
        <v>18928</v>
      </c>
      <c r="C1759" t="s">
        <v>2269</v>
      </c>
      <c r="D1759" t="s">
        <v>1857</v>
      </c>
      <c r="E1759" s="527" t="s">
        <v>15307</v>
      </c>
      <c r="F1759" s="219"/>
    </row>
    <row r="1760" spans="1:6" ht="14.4">
      <c r="A1760">
        <v>1809</v>
      </c>
      <c r="B1760" t="s">
        <v>18929</v>
      </c>
      <c r="C1760" t="s">
        <v>2269</v>
      </c>
      <c r="D1760" t="s">
        <v>1857</v>
      </c>
      <c r="E1760" s="527" t="s">
        <v>15291</v>
      </c>
      <c r="F1760" s="220"/>
    </row>
    <row r="1761" spans="1:6" ht="14.4">
      <c r="A1761">
        <v>1814</v>
      </c>
      <c r="B1761" t="s">
        <v>18930</v>
      </c>
      <c r="C1761" t="s">
        <v>2269</v>
      </c>
      <c r="D1761" t="s">
        <v>1857</v>
      </c>
      <c r="E1761" s="527" t="s">
        <v>11695</v>
      </c>
      <c r="F1761" s="219"/>
    </row>
    <row r="1762" spans="1:6" ht="14.4">
      <c r="A1762">
        <v>1803</v>
      </c>
      <c r="B1762" t="s">
        <v>18931</v>
      </c>
      <c r="C1762" t="s">
        <v>2269</v>
      </c>
      <c r="D1762" t="s">
        <v>1857</v>
      </c>
      <c r="E1762" s="527" t="s">
        <v>7289</v>
      </c>
      <c r="F1762" s="220"/>
    </row>
    <row r="1763" spans="1:6" ht="14.4">
      <c r="A1763">
        <v>1805</v>
      </c>
      <c r="B1763" t="s">
        <v>18932</v>
      </c>
      <c r="C1763" t="s">
        <v>2269</v>
      </c>
      <c r="D1763" t="s">
        <v>1857</v>
      </c>
      <c r="E1763" s="527" t="s">
        <v>10602</v>
      </c>
      <c r="F1763" s="219"/>
    </row>
    <row r="1764" spans="1:6" ht="14.4">
      <c r="A1764">
        <v>1821</v>
      </c>
      <c r="B1764" t="s">
        <v>18933</v>
      </c>
      <c r="C1764" t="s">
        <v>2269</v>
      </c>
      <c r="D1764" t="s">
        <v>1857</v>
      </c>
      <c r="E1764" s="527" t="s">
        <v>15308</v>
      </c>
      <c r="F1764" s="220"/>
    </row>
    <row r="1765" spans="1:6" ht="14.4">
      <c r="A1765">
        <v>1806</v>
      </c>
      <c r="B1765" t="s">
        <v>18934</v>
      </c>
      <c r="C1765" t="s">
        <v>2269</v>
      </c>
      <c r="D1765" t="s">
        <v>1857</v>
      </c>
      <c r="E1765" s="527" t="s">
        <v>10075</v>
      </c>
      <c r="F1765" s="219"/>
    </row>
    <row r="1766" spans="1:6" ht="14.4">
      <c r="A1766">
        <v>1804</v>
      </c>
      <c r="B1766" t="s">
        <v>18935</v>
      </c>
      <c r="C1766" t="s">
        <v>2269</v>
      </c>
      <c r="D1766" t="s">
        <v>1857</v>
      </c>
      <c r="E1766" s="527" t="s">
        <v>9573</v>
      </c>
      <c r="F1766" s="220"/>
    </row>
    <row r="1767" spans="1:6" ht="14.4">
      <c r="A1767">
        <v>1807</v>
      </c>
      <c r="B1767" t="s">
        <v>18936</v>
      </c>
      <c r="C1767" t="s">
        <v>2269</v>
      </c>
      <c r="D1767" t="s">
        <v>1857</v>
      </c>
      <c r="E1767" s="527" t="s">
        <v>15309</v>
      </c>
      <c r="F1767" s="219"/>
    </row>
    <row r="1768" spans="1:6" ht="14.4">
      <c r="A1768">
        <v>1808</v>
      </c>
      <c r="B1768" t="s">
        <v>18937</v>
      </c>
      <c r="C1768" t="s">
        <v>2269</v>
      </c>
      <c r="D1768" t="s">
        <v>1857</v>
      </c>
      <c r="E1768" s="527" t="s">
        <v>15310</v>
      </c>
      <c r="F1768" s="220"/>
    </row>
    <row r="1769" spans="1:6" ht="14.4">
      <c r="A1769">
        <v>1797</v>
      </c>
      <c r="B1769" t="s">
        <v>18938</v>
      </c>
      <c r="C1769" t="s">
        <v>2269</v>
      </c>
      <c r="D1769" t="s">
        <v>1857</v>
      </c>
      <c r="E1769" s="527" t="s">
        <v>15311</v>
      </c>
      <c r="F1769" s="219"/>
    </row>
    <row r="1770" spans="1:6" ht="14.4">
      <c r="A1770">
        <v>1796</v>
      </c>
      <c r="B1770" t="s">
        <v>18939</v>
      </c>
      <c r="C1770" t="s">
        <v>2269</v>
      </c>
      <c r="D1770" t="s">
        <v>1857</v>
      </c>
      <c r="E1770" s="527" t="s">
        <v>10105</v>
      </c>
      <c r="F1770" s="220"/>
    </row>
    <row r="1771" spans="1:6" ht="14.4">
      <c r="A1771">
        <v>1794</v>
      </c>
      <c r="B1771" t="s">
        <v>18940</v>
      </c>
      <c r="C1771" t="s">
        <v>2269</v>
      </c>
      <c r="D1771" t="s">
        <v>1857</v>
      </c>
      <c r="E1771" s="527" t="s">
        <v>9535</v>
      </c>
      <c r="F1771" s="219"/>
    </row>
    <row r="1772" spans="1:6" ht="14.4">
      <c r="A1772">
        <v>1816</v>
      </c>
      <c r="B1772" t="s">
        <v>18941</v>
      </c>
      <c r="C1772" t="s">
        <v>2269</v>
      </c>
      <c r="D1772" t="s">
        <v>1857</v>
      </c>
      <c r="E1772" s="527" t="s">
        <v>10056</v>
      </c>
      <c r="F1772" s="220"/>
    </row>
    <row r="1773" spans="1:6" ht="14.4">
      <c r="A1773">
        <v>1815</v>
      </c>
      <c r="B1773" t="s">
        <v>18942</v>
      </c>
      <c r="C1773" t="s">
        <v>2269</v>
      </c>
      <c r="D1773" t="s">
        <v>1857</v>
      </c>
      <c r="E1773" s="527" t="s">
        <v>15312</v>
      </c>
      <c r="F1773" s="219"/>
    </row>
    <row r="1774" spans="1:6" ht="14.4">
      <c r="A1774">
        <v>1798</v>
      </c>
      <c r="B1774" t="s">
        <v>18943</v>
      </c>
      <c r="C1774" t="s">
        <v>2269</v>
      </c>
      <c r="D1774" t="s">
        <v>1857</v>
      </c>
      <c r="E1774" s="527" t="s">
        <v>15313</v>
      </c>
      <c r="F1774" s="220"/>
    </row>
    <row r="1775" spans="1:6" ht="14.4">
      <c r="A1775">
        <v>1795</v>
      </c>
      <c r="B1775" t="s">
        <v>18944</v>
      </c>
      <c r="C1775" t="s">
        <v>2269</v>
      </c>
      <c r="D1775" t="s">
        <v>1857</v>
      </c>
      <c r="E1775" s="527" t="s">
        <v>4658</v>
      </c>
      <c r="F1775" s="219"/>
    </row>
    <row r="1776" spans="1:6" ht="14.4">
      <c r="A1776">
        <v>1799</v>
      </c>
      <c r="B1776" t="s">
        <v>18945</v>
      </c>
      <c r="C1776" t="s">
        <v>2269</v>
      </c>
      <c r="D1776" t="s">
        <v>1857</v>
      </c>
      <c r="E1776" s="527" t="s">
        <v>15314</v>
      </c>
      <c r="F1776" s="220"/>
    </row>
    <row r="1777" spans="1:6" ht="14.4">
      <c r="A1777">
        <v>1800</v>
      </c>
      <c r="B1777" t="s">
        <v>18946</v>
      </c>
      <c r="C1777" t="s">
        <v>2269</v>
      </c>
      <c r="D1777" t="s">
        <v>1857</v>
      </c>
      <c r="E1777" s="527" t="s">
        <v>15315</v>
      </c>
      <c r="F1777" s="219"/>
    </row>
    <row r="1778" spans="1:6" ht="14.4">
      <c r="A1778">
        <v>1802</v>
      </c>
      <c r="B1778" t="s">
        <v>18947</v>
      </c>
      <c r="C1778" t="s">
        <v>2269</v>
      </c>
      <c r="D1778" t="s">
        <v>1857</v>
      </c>
      <c r="E1778" s="527" t="s">
        <v>15316</v>
      </c>
      <c r="F1778" s="220"/>
    </row>
    <row r="1779" spans="1:6" ht="14.4">
      <c r="A1779">
        <v>40385</v>
      </c>
      <c r="B1779" t="s">
        <v>18948</v>
      </c>
      <c r="C1779" t="s">
        <v>2269</v>
      </c>
      <c r="D1779" t="s">
        <v>1857</v>
      </c>
      <c r="E1779" s="527" t="s">
        <v>18902</v>
      </c>
      <c r="F1779" s="219"/>
    </row>
    <row r="1780" spans="1:6" ht="14.4">
      <c r="A1780">
        <v>40383</v>
      </c>
      <c r="B1780" t="s">
        <v>18949</v>
      </c>
      <c r="C1780" t="s">
        <v>2269</v>
      </c>
      <c r="D1780" t="s">
        <v>1857</v>
      </c>
      <c r="E1780" s="527" t="s">
        <v>10682</v>
      </c>
      <c r="F1780" s="220"/>
    </row>
    <row r="1781" spans="1:6" ht="14.4">
      <c r="A1781">
        <v>40378</v>
      </c>
      <c r="B1781" t="s">
        <v>18950</v>
      </c>
      <c r="C1781" t="s">
        <v>2269</v>
      </c>
      <c r="D1781" t="s">
        <v>1857</v>
      </c>
      <c r="E1781" s="527" t="s">
        <v>16576</v>
      </c>
      <c r="F1781" s="219"/>
    </row>
    <row r="1782" spans="1:6" ht="14.4">
      <c r="A1782">
        <v>40382</v>
      </c>
      <c r="B1782" t="s">
        <v>18951</v>
      </c>
      <c r="C1782" t="s">
        <v>2269</v>
      </c>
      <c r="D1782" t="s">
        <v>1857</v>
      </c>
      <c r="E1782" s="527" t="s">
        <v>16291</v>
      </c>
      <c r="F1782" s="220"/>
    </row>
    <row r="1783" spans="1:6" ht="14.4">
      <c r="A1783">
        <v>40422</v>
      </c>
      <c r="B1783" t="s">
        <v>18952</v>
      </c>
      <c r="C1783" t="s">
        <v>2269</v>
      </c>
      <c r="D1783" t="s">
        <v>1857</v>
      </c>
      <c r="E1783" s="527" t="s">
        <v>18953</v>
      </c>
      <c r="F1783" s="219"/>
    </row>
    <row r="1784" spans="1:6" ht="14.4">
      <c r="A1784">
        <v>40387</v>
      </c>
      <c r="B1784" t="s">
        <v>18954</v>
      </c>
      <c r="C1784" t="s">
        <v>2269</v>
      </c>
      <c r="D1784" t="s">
        <v>1857</v>
      </c>
      <c r="E1784" s="527" t="s">
        <v>10069</v>
      </c>
      <c r="F1784" s="220"/>
    </row>
    <row r="1785" spans="1:6" ht="14.4">
      <c r="A1785">
        <v>40380</v>
      </c>
      <c r="B1785" t="s">
        <v>18955</v>
      </c>
      <c r="C1785" t="s">
        <v>2269</v>
      </c>
      <c r="D1785" t="s">
        <v>1857</v>
      </c>
      <c r="E1785" s="527" t="s">
        <v>13654</v>
      </c>
      <c r="F1785" s="219"/>
    </row>
    <row r="1786" spans="1:6" ht="14.4">
      <c r="A1786">
        <v>40390</v>
      </c>
      <c r="B1786" t="s">
        <v>18956</v>
      </c>
      <c r="C1786" t="s">
        <v>2269</v>
      </c>
      <c r="D1786" t="s">
        <v>1857</v>
      </c>
      <c r="E1786" s="527" t="s">
        <v>18957</v>
      </c>
      <c r="F1786" s="220"/>
    </row>
    <row r="1787" spans="1:6" ht="14.4">
      <c r="A1787">
        <v>40413</v>
      </c>
      <c r="B1787" t="s">
        <v>18958</v>
      </c>
      <c r="C1787" t="s">
        <v>2269</v>
      </c>
      <c r="D1787" t="s">
        <v>2271</v>
      </c>
      <c r="E1787" s="527" t="s">
        <v>10292</v>
      </c>
      <c r="F1787" s="219"/>
    </row>
    <row r="1788" spans="1:6" ht="14.4">
      <c r="A1788">
        <v>40415</v>
      </c>
      <c r="B1788" t="s">
        <v>18959</v>
      </c>
      <c r="C1788" t="s">
        <v>2269</v>
      </c>
      <c r="D1788" t="s">
        <v>2271</v>
      </c>
      <c r="E1788" s="527" t="s">
        <v>10010</v>
      </c>
      <c r="F1788" s="220"/>
    </row>
    <row r="1789" spans="1:6" ht="14.4">
      <c r="A1789">
        <v>40417</v>
      </c>
      <c r="B1789" t="s">
        <v>18960</v>
      </c>
      <c r="C1789" t="s">
        <v>2269</v>
      </c>
      <c r="D1789" t="s">
        <v>2271</v>
      </c>
      <c r="E1789" s="527" t="s">
        <v>15317</v>
      </c>
      <c r="F1789" s="219"/>
    </row>
    <row r="1790" spans="1:6" ht="14.4">
      <c r="A1790">
        <v>39271</v>
      </c>
      <c r="B1790" t="s">
        <v>18961</v>
      </c>
      <c r="C1790" t="s">
        <v>2269</v>
      </c>
      <c r="D1790" t="s">
        <v>1857</v>
      </c>
      <c r="E1790" s="527" t="s">
        <v>7228</v>
      </c>
      <c r="F1790" s="220"/>
    </row>
    <row r="1791" spans="1:6" ht="14.4">
      <c r="A1791">
        <v>39273</v>
      </c>
      <c r="B1791" t="s">
        <v>18962</v>
      </c>
      <c r="C1791" t="s">
        <v>2269</v>
      </c>
      <c r="D1791" t="s">
        <v>1857</v>
      </c>
      <c r="E1791" s="527" t="s">
        <v>3338</v>
      </c>
      <c r="F1791" s="219"/>
    </row>
    <row r="1792" spans="1:6" ht="14.4">
      <c r="A1792">
        <v>39272</v>
      </c>
      <c r="B1792" t="s">
        <v>18963</v>
      </c>
      <c r="C1792" t="s">
        <v>2269</v>
      </c>
      <c r="D1792" t="s">
        <v>1857</v>
      </c>
      <c r="E1792" s="527" t="s">
        <v>10237</v>
      </c>
      <c r="F1792" s="220"/>
    </row>
    <row r="1793" spans="1:6" ht="14.4">
      <c r="A1793">
        <v>1875</v>
      </c>
      <c r="B1793" t="s">
        <v>18964</v>
      </c>
      <c r="C1793" t="s">
        <v>2269</v>
      </c>
      <c r="D1793" t="s">
        <v>1857</v>
      </c>
      <c r="E1793" s="527" t="s">
        <v>3787</v>
      </c>
      <c r="F1793" s="219"/>
    </row>
    <row r="1794" spans="1:6" ht="14.4">
      <c r="A1794">
        <v>1874</v>
      </c>
      <c r="B1794" t="s">
        <v>18965</v>
      </c>
      <c r="C1794" t="s">
        <v>2269</v>
      </c>
      <c r="D1794" t="s">
        <v>1857</v>
      </c>
      <c r="E1794" s="527" t="s">
        <v>10381</v>
      </c>
      <c r="F1794" s="220"/>
    </row>
    <row r="1795" spans="1:6" ht="14.4">
      <c r="A1795">
        <v>1870</v>
      </c>
      <c r="B1795" t="s">
        <v>18966</v>
      </c>
      <c r="C1795" t="s">
        <v>2269</v>
      </c>
      <c r="D1795" t="s">
        <v>2268</v>
      </c>
      <c r="E1795" s="527" t="s">
        <v>3532</v>
      </c>
      <c r="F1795" s="219"/>
    </row>
    <row r="1796" spans="1:6" ht="14.4">
      <c r="A1796">
        <v>1884</v>
      </c>
      <c r="B1796" t="s">
        <v>18967</v>
      </c>
      <c r="C1796" t="s">
        <v>2269</v>
      </c>
      <c r="D1796" t="s">
        <v>1857</v>
      </c>
      <c r="E1796" s="527" t="s">
        <v>4704</v>
      </c>
      <c r="F1796" s="220"/>
    </row>
    <row r="1797" spans="1:6" ht="14.4">
      <c r="A1797">
        <v>1887</v>
      </c>
      <c r="B1797" t="s">
        <v>18968</v>
      </c>
      <c r="C1797" t="s">
        <v>2269</v>
      </c>
      <c r="D1797" t="s">
        <v>1857</v>
      </c>
      <c r="E1797" s="527" t="s">
        <v>13168</v>
      </c>
      <c r="F1797" s="219"/>
    </row>
    <row r="1798" spans="1:6" ht="14.4">
      <c r="A1798">
        <v>1876</v>
      </c>
      <c r="B1798" t="s">
        <v>18969</v>
      </c>
      <c r="C1798" t="s">
        <v>2269</v>
      </c>
      <c r="D1798" t="s">
        <v>1857</v>
      </c>
      <c r="E1798" s="527" t="s">
        <v>4609</v>
      </c>
      <c r="F1798" s="220"/>
    </row>
    <row r="1799" spans="1:6" ht="14.4">
      <c r="A1799">
        <v>1879</v>
      </c>
      <c r="B1799" t="s">
        <v>18970</v>
      </c>
      <c r="C1799" t="s">
        <v>2269</v>
      </c>
      <c r="D1799" t="s">
        <v>1857</v>
      </c>
      <c r="E1799" s="527" t="s">
        <v>7013</v>
      </c>
      <c r="F1799" s="219"/>
    </row>
    <row r="1800" spans="1:6" ht="14.4">
      <c r="A1800">
        <v>1877</v>
      </c>
      <c r="B1800" t="s">
        <v>18971</v>
      </c>
      <c r="C1800" t="s">
        <v>2269</v>
      </c>
      <c r="D1800" t="s">
        <v>1857</v>
      </c>
      <c r="E1800" s="527" t="s">
        <v>14348</v>
      </c>
      <c r="F1800" s="220"/>
    </row>
    <row r="1801" spans="1:6" ht="14.4">
      <c r="A1801">
        <v>1878</v>
      </c>
      <c r="B1801" t="s">
        <v>18972</v>
      </c>
      <c r="C1801" t="s">
        <v>2269</v>
      </c>
      <c r="D1801" t="s">
        <v>1857</v>
      </c>
      <c r="E1801" s="527" t="s">
        <v>10105</v>
      </c>
      <c r="F1801" s="219"/>
    </row>
    <row r="1802" spans="1:6" ht="14.4">
      <c r="A1802">
        <v>2621</v>
      </c>
      <c r="B1802" t="s">
        <v>18973</v>
      </c>
      <c r="C1802" t="s">
        <v>2269</v>
      </c>
      <c r="D1802" t="s">
        <v>2271</v>
      </c>
      <c r="E1802" s="527" t="s">
        <v>18974</v>
      </c>
      <c r="F1802" s="220"/>
    </row>
    <row r="1803" spans="1:6" ht="14.4">
      <c r="A1803">
        <v>2616</v>
      </c>
      <c r="B1803" t="s">
        <v>18975</v>
      </c>
      <c r="C1803" t="s">
        <v>2269</v>
      </c>
      <c r="D1803" t="s">
        <v>2271</v>
      </c>
      <c r="E1803" s="527" t="s">
        <v>6368</v>
      </c>
      <c r="F1803" s="219"/>
    </row>
    <row r="1804" spans="1:6" ht="14.4">
      <c r="A1804">
        <v>2633</v>
      </c>
      <c r="B1804" t="s">
        <v>18976</v>
      </c>
      <c r="C1804" t="s">
        <v>2269</v>
      </c>
      <c r="D1804" t="s">
        <v>2271</v>
      </c>
      <c r="E1804" s="527" t="s">
        <v>7724</v>
      </c>
      <c r="F1804" s="220"/>
    </row>
    <row r="1805" spans="1:6" ht="14.4">
      <c r="A1805">
        <v>2617</v>
      </c>
      <c r="B1805" t="s">
        <v>18977</v>
      </c>
      <c r="C1805" t="s">
        <v>2269</v>
      </c>
      <c r="D1805" t="s">
        <v>2271</v>
      </c>
      <c r="E1805" s="527" t="s">
        <v>4722</v>
      </c>
      <c r="F1805" s="219"/>
    </row>
    <row r="1806" spans="1:6" ht="14.4">
      <c r="A1806">
        <v>2618</v>
      </c>
      <c r="B1806" t="s">
        <v>18978</v>
      </c>
      <c r="C1806" t="s">
        <v>2269</v>
      </c>
      <c r="D1806" t="s">
        <v>2271</v>
      </c>
      <c r="E1806" s="527" t="s">
        <v>9785</v>
      </c>
      <c r="F1806" s="220"/>
    </row>
    <row r="1807" spans="1:6" ht="14.4">
      <c r="A1807">
        <v>2632</v>
      </c>
      <c r="B1807" t="s">
        <v>18979</v>
      </c>
      <c r="C1807" t="s">
        <v>2269</v>
      </c>
      <c r="D1807" t="s">
        <v>2271</v>
      </c>
      <c r="E1807" s="527" t="s">
        <v>18980</v>
      </c>
      <c r="F1807" s="219"/>
    </row>
    <row r="1808" spans="1:6" ht="14.4">
      <c r="A1808">
        <v>2631</v>
      </c>
      <c r="B1808" t="s">
        <v>18981</v>
      </c>
      <c r="C1808" t="s">
        <v>2269</v>
      </c>
      <c r="D1808" t="s">
        <v>2271</v>
      </c>
      <c r="E1808" s="527" t="s">
        <v>18982</v>
      </c>
      <c r="F1808" s="220"/>
    </row>
    <row r="1809" spans="1:6" ht="14.4">
      <c r="A1809">
        <v>2619</v>
      </c>
      <c r="B1809" t="s">
        <v>18983</v>
      </c>
      <c r="C1809" t="s">
        <v>2269</v>
      </c>
      <c r="D1809" t="s">
        <v>2271</v>
      </c>
      <c r="E1809" s="527" t="s">
        <v>16203</v>
      </c>
      <c r="F1809" s="219"/>
    </row>
    <row r="1810" spans="1:6" ht="14.4">
      <c r="A1810">
        <v>2620</v>
      </c>
      <c r="B1810" t="s">
        <v>18984</v>
      </c>
      <c r="C1810" t="s">
        <v>2269</v>
      </c>
      <c r="D1810" t="s">
        <v>2271</v>
      </c>
      <c r="E1810" s="527" t="s">
        <v>18985</v>
      </c>
      <c r="F1810" s="220"/>
    </row>
    <row r="1811" spans="1:6" ht="14.4">
      <c r="A1811">
        <v>25968</v>
      </c>
      <c r="B1811" t="s">
        <v>18986</v>
      </c>
      <c r="C1811" t="s">
        <v>2269</v>
      </c>
      <c r="D1811" t="s">
        <v>2271</v>
      </c>
      <c r="E1811" s="527" t="s">
        <v>18987</v>
      </c>
      <c r="F1811" s="219"/>
    </row>
    <row r="1812" spans="1:6" ht="14.4">
      <c r="A1812">
        <v>38369</v>
      </c>
      <c r="B1812" t="s">
        <v>18988</v>
      </c>
      <c r="C1812" t="s">
        <v>2269</v>
      </c>
      <c r="D1812" t="s">
        <v>1857</v>
      </c>
      <c r="E1812" s="527" t="s">
        <v>5317</v>
      </c>
      <c r="F1812" s="220"/>
    </row>
    <row r="1813" spans="1:6" ht="14.4">
      <c r="A1813">
        <v>38370</v>
      </c>
      <c r="B1813" t="s">
        <v>18989</v>
      </c>
      <c r="C1813" t="s">
        <v>2269</v>
      </c>
      <c r="D1813" t="s">
        <v>1857</v>
      </c>
      <c r="E1813" s="527" t="s">
        <v>5317</v>
      </c>
      <c r="F1813" s="219"/>
    </row>
    <row r="1814" spans="1:6" ht="14.4">
      <c r="A1814">
        <v>38372</v>
      </c>
      <c r="B1814" t="s">
        <v>18990</v>
      </c>
      <c r="C1814" t="s">
        <v>2269</v>
      </c>
      <c r="D1814" t="s">
        <v>1857</v>
      </c>
      <c r="E1814" s="527" t="s">
        <v>18044</v>
      </c>
      <c r="F1814" s="220"/>
    </row>
    <row r="1815" spans="1:6" ht="14.4">
      <c r="A1815">
        <v>2357</v>
      </c>
      <c r="B1815" t="s">
        <v>18991</v>
      </c>
      <c r="C1815" t="s">
        <v>2267</v>
      </c>
      <c r="D1815" t="s">
        <v>1857</v>
      </c>
      <c r="E1815" s="527" t="s">
        <v>17761</v>
      </c>
      <c r="F1815" s="219"/>
    </row>
    <row r="1816" spans="1:6" ht="14.4">
      <c r="A1816">
        <v>40806</v>
      </c>
      <c r="B1816" t="s">
        <v>18992</v>
      </c>
      <c r="C1816" t="s">
        <v>2276</v>
      </c>
      <c r="D1816" t="s">
        <v>1857</v>
      </c>
      <c r="E1816" s="527" t="s">
        <v>18993</v>
      </c>
      <c r="F1816" s="220"/>
    </row>
    <row r="1817" spans="1:6" ht="14.4">
      <c r="A1817">
        <v>2355</v>
      </c>
      <c r="B1817" t="s">
        <v>18994</v>
      </c>
      <c r="C1817" t="s">
        <v>2267</v>
      </c>
      <c r="D1817" t="s">
        <v>1857</v>
      </c>
      <c r="E1817" s="527" t="s">
        <v>16243</v>
      </c>
      <c r="F1817" s="219"/>
    </row>
    <row r="1818" spans="1:6" ht="14.4">
      <c r="A1818">
        <v>40805</v>
      </c>
      <c r="B1818" t="s">
        <v>18995</v>
      </c>
      <c r="C1818" t="s">
        <v>2276</v>
      </c>
      <c r="D1818" t="s">
        <v>1857</v>
      </c>
      <c r="E1818" s="527" t="s">
        <v>18996</v>
      </c>
      <c r="F1818" s="220"/>
    </row>
    <row r="1819" spans="1:6" ht="14.4">
      <c r="A1819">
        <v>2358</v>
      </c>
      <c r="B1819" t="s">
        <v>18997</v>
      </c>
      <c r="C1819" t="s">
        <v>2267</v>
      </c>
      <c r="D1819" t="s">
        <v>1857</v>
      </c>
      <c r="E1819" s="527" t="s">
        <v>18998</v>
      </c>
      <c r="F1819" s="219"/>
    </row>
    <row r="1820" spans="1:6" ht="14.4">
      <c r="A1820">
        <v>40807</v>
      </c>
      <c r="B1820" t="s">
        <v>18999</v>
      </c>
      <c r="C1820" t="s">
        <v>2276</v>
      </c>
      <c r="D1820" t="s">
        <v>1857</v>
      </c>
      <c r="E1820" s="527" t="s">
        <v>19000</v>
      </c>
      <c r="F1820" s="220"/>
    </row>
    <row r="1821" spans="1:6" ht="14.4">
      <c r="A1821">
        <v>2359</v>
      </c>
      <c r="B1821" t="s">
        <v>19001</v>
      </c>
      <c r="C1821" t="s">
        <v>2267</v>
      </c>
      <c r="D1821" t="s">
        <v>1857</v>
      </c>
      <c r="E1821" s="527" t="s">
        <v>15141</v>
      </c>
      <c r="F1821" s="219"/>
    </row>
    <row r="1822" spans="1:6" ht="14.4">
      <c r="A1822">
        <v>40808</v>
      </c>
      <c r="B1822" t="s">
        <v>19002</v>
      </c>
      <c r="C1822" t="s">
        <v>2276</v>
      </c>
      <c r="D1822" t="s">
        <v>1857</v>
      </c>
      <c r="E1822" s="527" t="s">
        <v>19003</v>
      </c>
      <c r="F1822" s="220"/>
    </row>
    <row r="1823" spans="1:6" ht="14.4">
      <c r="A1823">
        <v>43144</v>
      </c>
      <c r="B1823" t="s">
        <v>19004</v>
      </c>
      <c r="C1823" t="s">
        <v>2274</v>
      </c>
      <c r="D1823" t="s">
        <v>1857</v>
      </c>
      <c r="E1823" s="527" t="s">
        <v>19005</v>
      </c>
      <c r="F1823" s="219"/>
    </row>
    <row r="1824" spans="1:6" ht="14.4">
      <c r="A1824">
        <v>39397</v>
      </c>
      <c r="B1824" t="s">
        <v>19006</v>
      </c>
      <c r="C1824" t="s">
        <v>2275</v>
      </c>
      <c r="D1824" t="s">
        <v>1857</v>
      </c>
      <c r="E1824" s="527" t="s">
        <v>10319</v>
      </c>
      <c r="F1824" s="220"/>
    </row>
    <row r="1825" spans="1:6" ht="14.4">
      <c r="A1825">
        <v>2692</v>
      </c>
      <c r="B1825" t="s">
        <v>19007</v>
      </c>
      <c r="C1825" t="s">
        <v>2275</v>
      </c>
      <c r="D1825" t="s">
        <v>1857</v>
      </c>
      <c r="E1825" s="527" t="s">
        <v>3699</v>
      </c>
      <c r="F1825" s="219"/>
    </row>
    <row r="1826" spans="1:6" ht="14.4">
      <c r="A1826">
        <v>5330</v>
      </c>
      <c r="B1826" t="s">
        <v>19008</v>
      </c>
      <c r="C1826" t="s">
        <v>2275</v>
      </c>
      <c r="D1826" t="s">
        <v>1857</v>
      </c>
      <c r="E1826" s="527" t="s">
        <v>10173</v>
      </c>
      <c r="F1826" s="220"/>
    </row>
    <row r="1827" spans="1:6" ht="14.4">
      <c r="A1827">
        <v>26017</v>
      </c>
      <c r="B1827" t="s">
        <v>19009</v>
      </c>
      <c r="C1827" t="s">
        <v>2269</v>
      </c>
      <c r="D1827" t="s">
        <v>1857</v>
      </c>
      <c r="E1827" s="527" t="s">
        <v>7956</v>
      </c>
      <c r="F1827" s="219"/>
    </row>
    <row r="1828" spans="1:6" ht="14.4">
      <c r="A1828">
        <v>25931</v>
      </c>
      <c r="B1828" t="s">
        <v>19010</v>
      </c>
      <c r="C1828" t="s">
        <v>2269</v>
      </c>
      <c r="D1828" t="s">
        <v>1857</v>
      </c>
      <c r="E1828" s="527" t="s">
        <v>11429</v>
      </c>
      <c r="F1828" s="220"/>
    </row>
    <row r="1829" spans="1:6" ht="14.4">
      <c r="A1829">
        <v>38140</v>
      </c>
      <c r="B1829" t="s">
        <v>19011</v>
      </c>
      <c r="C1829" t="s">
        <v>2269</v>
      </c>
      <c r="D1829" t="s">
        <v>2268</v>
      </c>
      <c r="E1829" s="527" t="s">
        <v>10785</v>
      </c>
      <c r="F1829" s="219"/>
    </row>
    <row r="1830" spans="1:6" ht="14.4">
      <c r="A1830">
        <v>13887</v>
      </c>
      <c r="B1830" t="s">
        <v>19012</v>
      </c>
      <c r="C1830" t="s">
        <v>2269</v>
      </c>
      <c r="D1830" t="s">
        <v>1857</v>
      </c>
      <c r="E1830" s="527" t="s">
        <v>15320</v>
      </c>
      <c r="F1830" s="220"/>
    </row>
    <row r="1831" spans="1:6" ht="14.4">
      <c r="A1831">
        <v>26018</v>
      </c>
      <c r="B1831" t="s">
        <v>19013</v>
      </c>
      <c r="C1831" t="s">
        <v>2269</v>
      </c>
      <c r="D1831" t="s">
        <v>1857</v>
      </c>
      <c r="E1831" s="527" t="s">
        <v>3430</v>
      </c>
      <c r="F1831" s="219"/>
    </row>
    <row r="1832" spans="1:6" ht="14.4">
      <c r="A1832">
        <v>26019</v>
      </c>
      <c r="B1832" t="s">
        <v>19014</v>
      </c>
      <c r="C1832" t="s">
        <v>2269</v>
      </c>
      <c r="D1832" t="s">
        <v>1857</v>
      </c>
      <c r="E1832" s="527" t="s">
        <v>5928</v>
      </c>
      <c r="F1832" s="220"/>
    </row>
    <row r="1833" spans="1:6" ht="14.4">
      <c r="A1833">
        <v>26020</v>
      </c>
      <c r="B1833" t="s">
        <v>19015</v>
      </c>
      <c r="C1833" t="s">
        <v>2269</v>
      </c>
      <c r="D1833" t="s">
        <v>1857</v>
      </c>
      <c r="E1833" s="527" t="s">
        <v>4574</v>
      </c>
      <c r="F1833" s="219"/>
    </row>
    <row r="1834" spans="1:6" ht="14.4">
      <c r="A1834">
        <v>34544</v>
      </c>
      <c r="B1834" t="s">
        <v>19016</v>
      </c>
      <c r="C1834" t="s">
        <v>2269</v>
      </c>
      <c r="D1834" t="s">
        <v>1857</v>
      </c>
      <c r="E1834" s="527" t="s">
        <v>15321</v>
      </c>
      <c r="F1834" s="220"/>
    </row>
    <row r="1835" spans="1:6" ht="14.4">
      <c r="A1835">
        <v>34729</v>
      </c>
      <c r="B1835" t="s">
        <v>19017</v>
      </c>
      <c r="C1835" t="s">
        <v>2269</v>
      </c>
      <c r="D1835" t="s">
        <v>1857</v>
      </c>
      <c r="E1835" s="527" t="s">
        <v>15322</v>
      </c>
      <c r="F1835" s="219"/>
    </row>
    <row r="1836" spans="1:6" ht="14.4">
      <c r="A1836">
        <v>34734</v>
      </c>
      <c r="B1836" t="s">
        <v>19018</v>
      </c>
      <c r="C1836" t="s">
        <v>2269</v>
      </c>
      <c r="D1836" t="s">
        <v>1857</v>
      </c>
      <c r="E1836" s="527" t="s">
        <v>15323</v>
      </c>
      <c r="F1836" s="220"/>
    </row>
    <row r="1837" spans="1:6" ht="14.4">
      <c r="A1837">
        <v>34738</v>
      </c>
      <c r="B1837" t="s">
        <v>19019</v>
      </c>
      <c r="C1837" t="s">
        <v>2269</v>
      </c>
      <c r="D1837" t="s">
        <v>1857</v>
      </c>
      <c r="E1837" s="527" t="s">
        <v>15324</v>
      </c>
      <c r="F1837" s="219"/>
    </row>
    <row r="1838" spans="1:6" ht="14.4">
      <c r="A1838">
        <v>2391</v>
      </c>
      <c r="B1838" t="s">
        <v>19020</v>
      </c>
      <c r="C1838" t="s">
        <v>2269</v>
      </c>
      <c r="D1838" t="s">
        <v>1857</v>
      </c>
      <c r="E1838" s="527" t="s">
        <v>15325</v>
      </c>
      <c r="F1838" s="220"/>
    </row>
    <row r="1839" spans="1:6" ht="14.4">
      <c r="A1839">
        <v>2374</v>
      </c>
      <c r="B1839" t="s">
        <v>19021</v>
      </c>
      <c r="C1839" t="s">
        <v>2269</v>
      </c>
      <c r="D1839" t="s">
        <v>1857</v>
      </c>
      <c r="E1839" s="527" t="s">
        <v>15146</v>
      </c>
      <c r="F1839" s="219"/>
    </row>
    <row r="1840" spans="1:6" ht="14.4">
      <c r="A1840">
        <v>2377</v>
      </c>
      <c r="B1840" t="s">
        <v>19022</v>
      </c>
      <c r="C1840" t="s">
        <v>2269</v>
      </c>
      <c r="D1840" t="s">
        <v>1857</v>
      </c>
      <c r="E1840" s="527" t="s">
        <v>15326</v>
      </c>
      <c r="F1840" s="220"/>
    </row>
    <row r="1841" spans="1:6" ht="14.4">
      <c r="A1841">
        <v>2393</v>
      </c>
      <c r="B1841" t="s">
        <v>19023</v>
      </c>
      <c r="C1841" t="s">
        <v>2269</v>
      </c>
      <c r="D1841" t="s">
        <v>1857</v>
      </c>
      <c r="E1841" s="527" t="s">
        <v>15327</v>
      </c>
      <c r="F1841" s="219"/>
    </row>
    <row r="1842" spans="1:6" ht="14.4">
      <c r="A1842">
        <v>34705</v>
      </c>
      <c r="B1842" t="s">
        <v>19024</v>
      </c>
      <c r="C1842" t="s">
        <v>2269</v>
      </c>
      <c r="D1842" t="s">
        <v>1857</v>
      </c>
      <c r="E1842" s="527" t="s">
        <v>15328</v>
      </c>
      <c r="F1842" s="220"/>
    </row>
    <row r="1843" spans="1:6" ht="14.4">
      <c r="A1843">
        <v>34707</v>
      </c>
      <c r="B1843" t="s">
        <v>19025</v>
      </c>
      <c r="C1843" t="s">
        <v>2269</v>
      </c>
      <c r="D1843" t="s">
        <v>1857</v>
      </c>
      <c r="E1843" s="527" t="s">
        <v>15329</v>
      </c>
      <c r="F1843" s="219"/>
    </row>
    <row r="1844" spans="1:6" ht="14.4">
      <c r="A1844">
        <v>2378</v>
      </c>
      <c r="B1844" t="s">
        <v>19026</v>
      </c>
      <c r="C1844" t="s">
        <v>2269</v>
      </c>
      <c r="D1844" t="s">
        <v>1857</v>
      </c>
      <c r="E1844" s="527" t="s">
        <v>15330</v>
      </c>
      <c r="F1844" s="220"/>
    </row>
    <row r="1845" spans="1:6" ht="14.4">
      <c r="A1845">
        <v>2379</v>
      </c>
      <c r="B1845" t="s">
        <v>19027</v>
      </c>
      <c r="C1845" t="s">
        <v>2269</v>
      </c>
      <c r="D1845" t="s">
        <v>1857</v>
      </c>
      <c r="E1845" s="527" t="s">
        <v>15330</v>
      </c>
      <c r="F1845" s="219"/>
    </row>
    <row r="1846" spans="1:6" ht="14.4">
      <c r="A1846">
        <v>2376</v>
      </c>
      <c r="B1846" t="s">
        <v>19028</v>
      </c>
      <c r="C1846" t="s">
        <v>2269</v>
      </c>
      <c r="D1846" t="s">
        <v>1857</v>
      </c>
      <c r="E1846" s="527" t="s">
        <v>15331</v>
      </c>
      <c r="F1846" s="220"/>
    </row>
    <row r="1847" spans="1:6" ht="14.4">
      <c r="A1847">
        <v>2394</v>
      </c>
      <c r="B1847" t="s">
        <v>19029</v>
      </c>
      <c r="C1847" t="s">
        <v>2269</v>
      </c>
      <c r="D1847" t="s">
        <v>1857</v>
      </c>
      <c r="E1847" s="527" t="s">
        <v>15332</v>
      </c>
      <c r="F1847" s="219"/>
    </row>
    <row r="1848" spans="1:6" ht="14.4">
      <c r="A1848">
        <v>34686</v>
      </c>
      <c r="B1848" t="s">
        <v>19030</v>
      </c>
      <c r="C1848" t="s">
        <v>2269</v>
      </c>
      <c r="D1848" t="s">
        <v>1857</v>
      </c>
      <c r="E1848" s="527" t="s">
        <v>7355</v>
      </c>
      <c r="F1848" s="220"/>
    </row>
    <row r="1849" spans="1:6" ht="14.4">
      <c r="A1849">
        <v>34616</v>
      </c>
      <c r="B1849" t="s">
        <v>19031</v>
      </c>
      <c r="C1849" t="s">
        <v>2269</v>
      </c>
      <c r="D1849" t="s">
        <v>1857</v>
      </c>
      <c r="E1849" s="527" t="s">
        <v>15333</v>
      </c>
      <c r="F1849" s="219"/>
    </row>
    <row r="1850" spans="1:6" ht="14.4">
      <c r="A1850">
        <v>34623</v>
      </c>
      <c r="B1850" t="s">
        <v>19032</v>
      </c>
      <c r="C1850" t="s">
        <v>2269</v>
      </c>
      <c r="D1850" t="s">
        <v>1857</v>
      </c>
      <c r="E1850" s="527" t="s">
        <v>15319</v>
      </c>
      <c r="F1850" s="220"/>
    </row>
    <row r="1851" spans="1:6" ht="14.4">
      <c r="A1851">
        <v>34628</v>
      </c>
      <c r="B1851" t="s">
        <v>19033</v>
      </c>
      <c r="C1851" t="s">
        <v>2269</v>
      </c>
      <c r="D1851" t="s">
        <v>1857</v>
      </c>
      <c r="E1851" s="527" t="s">
        <v>10377</v>
      </c>
      <c r="F1851" s="219"/>
    </row>
    <row r="1852" spans="1:6" ht="14.4">
      <c r="A1852">
        <v>34653</v>
      </c>
      <c r="B1852" t="s">
        <v>19034</v>
      </c>
      <c r="C1852" t="s">
        <v>2269</v>
      </c>
      <c r="D1852" t="s">
        <v>1857</v>
      </c>
      <c r="E1852" s="527" t="s">
        <v>7340</v>
      </c>
      <c r="F1852" s="220"/>
    </row>
    <row r="1853" spans="1:6" ht="14.4">
      <c r="A1853">
        <v>34688</v>
      </c>
      <c r="B1853" t="s">
        <v>19035</v>
      </c>
      <c r="C1853" t="s">
        <v>2269</v>
      </c>
      <c r="D1853" t="s">
        <v>1857</v>
      </c>
      <c r="E1853" s="527" t="s">
        <v>6395</v>
      </c>
      <c r="F1853" s="219"/>
    </row>
    <row r="1854" spans="1:6" ht="14.4">
      <c r="A1854">
        <v>34709</v>
      </c>
      <c r="B1854" t="s">
        <v>19036</v>
      </c>
      <c r="C1854" t="s">
        <v>2269</v>
      </c>
      <c r="D1854" t="s">
        <v>1857</v>
      </c>
      <c r="E1854" s="527" t="s">
        <v>11437</v>
      </c>
      <c r="F1854" s="220"/>
    </row>
    <row r="1855" spans="1:6" ht="14.4">
      <c r="A1855">
        <v>34714</v>
      </c>
      <c r="B1855" t="s">
        <v>19037</v>
      </c>
      <c r="C1855" t="s">
        <v>2269</v>
      </c>
      <c r="D1855" t="s">
        <v>1857</v>
      </c>
      <c r="E1855" s="527" t="s">
        <v>10300</v>
      </c>
      <c r="F1855" s="219"/>
    </row>
    <row r="1856" spans="1:6" ht="14.4">
      <c r="A1856">
        <v>2388</v>
      </c>
      <c r="B1856" t="s">
        <v>19038</v>
      </c>
      <c r="C1856" t="s">
        <v>2269</v>
      </c>
      <c r="D1856" t="s">
        <v>1857</v>
      </c>
      <c r="E1856" s="527" t="s">
        <v>15334</v>
      </c>
      <c r="F1856" s="220"/>
    </row>
    <row r="1857" spans="1:6" ht="14.4">
      <c r="A1857">
        <v>34606</v>
      </c>
      <c r="B1857" t="s">
        <v>19039</v>
      </c>
      <c r="C1857" t="s">
        <v>2269</v>
      </c>
      <c r="D1857" t="s">
        <v>1857</v>
      </c>
      <c r="E1857" s="527" t="s">
        <v>15335</v>
      </c>
      <c r="F1857" s="219"/>
    </row>
    <row r="1858" spans="1:6" ht="14.4">
      <c r="A1858">
        <v>34689</v>
      </c>
      <c r="B1858" t="s">
        <v>19040</v>
      </c>
      <c r="C1858" t="s">
        <v>2269</v>
      </c>
      <c r="D1858" t="s">
        <v>1857</v>
      </c>
      <c r="E1858" s="527" t="s">
        <v>15336</v>
      </c>
      <c r="F1858" s="220"/>
    </row>
    <row r="1859" spans="1:6" ht="14.4">
      <c r="A1859">
        <v>2370</v>
      </c>
      <c r="B1859" t="s">
        <v>19041</v>
      </c>
      <c r="C1859" t="s">
        <v>2269</v>
      </c>
      <c r="D1859" t="s">
        <v>2268</v>
      </c>
      <c r="E1859" s="527" t="s">
        <v>11626</v>
      </c>
      <c r="F1859" s="219"/>
    </row>
    <row r="1860" spans="1:6" ht="14.4">
      <c r="A1860">
        <v>2386</v>
      </c>
      <c r="B1860" t="s">
        <v>19042</v>
      </c>
      <c r="C1860" t="s">
        <v>2269</v>
      </c>
      <c r="D1860" t="s">
        <v>1857</v>
      </c>
      <c r="E1860" s="527" t="s">
        <v>9541</v>
      </c>
      <c r="F1860" s="220"/>
    </row>
    <row r="1861" spans="1:6" ht="14.4">
      <c r="A1861">
        <v>2392</v>
      </c>
      <c r="B1861" t="s">
        <v>19043</v>
      </c>
      <c r="C1861" t="s">
        <v>2269</v>
      </c>
      <c r="D1861" t="s">
        <v>1857</v>
      </c>
      <c r="E1861" s="527" t="s">
        <v>15337</v>
      </c>
      <c r="F1861" s="219"/>
    </row>
    <row r="1862" spans="1:6" ht="14.4">
      <c r="A1862">
        <v>2373</v>
      </c>
      <c r="B1862" t="s">
        <v>19044</v>
      </c>
      <c r="C1862" t="s">
        <v>2269</v>
      </c>
      <c r="D1862" t="s">
        <v>1857</v>
      </c>
      <c r="E1862" s="527" t="s">
        <v>15338</v>
      </c>
      <c r="F1862" s="220"/>
    </row>
    <row r="1863" spans="1:6" ht="14.4">
      <c r="A1863">
        <v>39465</v>
      </c>
      <c r="B1863" t="s">
        <v>19045</v>
      </c>
      <c r="C1863" t="s">
        <v>2269</v>
      </c>
      <c r="D1863" t="s">
        <v>1857</v>
      </c>
      <c r="E1863" s="527" t="s">
        <v>7894</v>
      </c>
      <c r="F1863" s="219"/>
    </row>
    <row r="1864" spans="1:6" ht="14.4">
      <c r="A1864">
        <v>39466</v>
      </c>
      <c r="B1864" t="s">
        <v>19046</v>
      </c>
      <c r="C1864" t="s">
        <v>2269</v>
      </c>
      <c r="D1864" t="s">
        <v>1857</v>
      </c>
      <c r="E1864" s="527" t="s">
        <v>11792</v>
      </c>
      <c r="F1864" s="220"/>
    </row>
    <row r="1865" spans="1:6" ht="14.4">
      <c r="A1865">
        <v>39467</v>
      </c>
      <c r="B1865" t="s">
        <v>19047</v>
      </c>
      <c r="C1865" t="s">
        <v>2269</v>
      </c>
      <c r="D1865" t="s">
        <v>1857</v>
      </c>
      <c r="E1865" s="527" t="s">
        <v>10344</v>
      </c>
      <c r="F1865" s="219"/>
    </row>
    <row r="1866" spans="1:6" ht="14.4">
      <c r="A1866">
        <v>39468</v>
      </c>
      <c r="B1866" t="s">
        <v>19048</v>
      </c>
      <c r="C1866" t="s">
        <v>2269</v>
      </c>
      <c r="D1866" t="s">
        <v>1857</v>
      </c>
      <c r="E1866" s="527" t="s">
        <v>15339</v>
      </c>
      <c r="F1866" s="220"/>
    </row>
    <row r="1867" spans="1:6" ht="14.4">
      <c r="A1867">
        <v>39469</v>
      </c>
      <c r="B1867" t="s">
        <v>19049</v>
      </c>
      <c r="C1867" t="s">
        <v>2269</v>
      </c>
      <c r="D1867" t="s">
        <v>1857</v>
      </c>
      <c r="E1867" s="527" t="s">
        <v>11629</v>
      </c>
      <c r="F1867" s="219"/>
    </row>
    <row r="1868" spans="1:6" ht="14.4">
      <c r="A1868">
        <v>39470</v>
      </c>
      <c r="B1868" t="s">
        <v>19050</v>
      </c>
      <c r="C1868" t="s">
        <v>2269</v>
      </c>
      <c r="D1868" t="s">
        <v>1857</v>
      </c>
      <c r="E1868" s="527" t="s">
        <v>15340</v>
      </c>
      <c r="F1868" s="220"/>
    </row>
    <row r="1869" spans="1:6" ht="14.4">
      <c r="A1869">
        <v>39471</v>
      </c>
      <c r="B1869" t="s">
        <v>19051</v>
      </c>
      <c r="C1869" t="s">
        <v>2269</v>
      </c>
      <c r="D1869" t="s">
        <v>1857</v>
      </c>
      <c r="E1869" s="527" t="s">
        <v>11666</v>
      </c>
      <c r="F1869" s="219"/>
    </row>
    <row r="1870" spans="1:6" ht="14.4">
      <c r="A1870">
        <v>39472</v>
      </c>
      <c r="B1870" t="s">
        <v>19052</v>
      </c>
      <c r="C1870" t="s">
        <v>2269</v>
      </c>
      <c r="D1870" t="s">
        <v>1857</v>
      </c>
      <c r="E1870" s="527" t="s">
        <v>13653</v>
      </c>
      <c r="F1870" s="220"/>
    </row>
    <row r="1871" spans="1:6" ht="14.4">
      <c r="A1871">
        <v>39473</v>
      </c>
      <c r="B1871" t="s">
        <v>19053</v>
      </c>
      <c r="C1871" t="s">
        <v>2269</v>
      </c>
      <c r="D1871" t="s">
        <v>1857</v>
      </c>
      <c r="E1871" s="527" t="s">
        <v>15341</v>
      </c>
      <c r="F1871" s="219"/>
    </row>
    <row r="1872" spans="1:6" ht="14.4">
      <c r="A1872">
        <v>39474</v>
      </c>
      <c r="B1872" t="s">
        <v>19054</v>
      </c>
      <c r="C1872" t="s">
        <v>2269</v>
      </c>
      <c r="D1872" t="s">
        <v>1857</v>
      </c>
      <c r="E1872" s="527" t="s">
        <v>10691</v>
      </c>
      <c r="F1872" s="220"/>
    </row>
    <row r="1873" spans="1:6" ht="14.4">
      <c r="A1873">
        <v>39475</v>
      </c>
      <c r="B1873" t="s">
        <v>19055</v>
      </c>
      <c r="C1873" t="s">
        <v>2269</v>
      </c>
      <c r="D1873" t="s">
        <v>1857</v>
      </c>
      <c r="E1873" s="527" t="s">
        <v>15342</v>
      </c>
      <c r="F1873" s="219"/>
    </row>
    <row r="1874" spans="1:6" ht="14.4">
      <c r="A1874">
        <v>39476</v>
      </c>
      <c r="B1874" t="s">
        <v>19056</v>
      </c>
      <c r="C1874" t="s">
        <v>2269</v>
      </c>
      <c r="D1874" t="s">
        <v>1857</v>
      </c>
      <c r="E1874" s="527" t="s">
        <v>15343</v>
      </c>
      <c r="F1874" s="220"/>
    </row>
    <row r="1875" spans="1:6" ht="14.4">
      <c r="A1875">
        <v>39477</v>
      </c>
      <c r="B1875" t="s">
        <v>19057</v>
      </c>
      <c r="C1875" t="s">
        <v>2269</v>
      </c>
      <c r="D1875" t="s">
        <v>1857</v>
      </c>
      <c r="E1875" s="527" t="s">
        <v>10102</v>
      </c>
      <c r="F1875" s="219"/>
    </row>
    <row r="1876" spans="1:6" ht="14.4">
      <c r="A1876">
        <v>39478</v>
      </c>
      <c r="B1876" t="s">
        <v>19058</v>
      </c>
      <c r="C1876" t="s">
        <v>2269</v>
      </c>
      <c r="D1876" t="s">
        <v>1857</v>
      </c>
      <c r="E1876" s="527" t="s">
        <v>15344</v>
      </c>
      <c r="F1876" s="220"/>
    </row>
    <row r="1877" spans="1:6" ht="14.4">
      <c r="A1877">
        <v>39479</v>
      </c>
      <c r="B1877" t="s">
        <v>19059</v>
      </c>
      <c r="C1877" t="s">
        <v>2269</v>
      </c>
      <c r="D1877" t="s">
        <v>1857</v>
      </c>
      <c r="E1877" s="527" t="s">
        <v>15345</v>
      </c>
      <c r="F1877" s="219"/>
    </row>
    <row r="1878" spans="1:6" ht="14.4">
      <c r="A1878">
        <v>39480</v>
      </c>
      <c r="B1878" t="s">
        <v>19060</v>
      </c>
      <c r="C1878" t="s">
        <v>2269</v>
      </c>
      <c r="D1878" t="s">
        <v>1857</v>
      </c>
      <c r="E1878" s="527" t="s">
        <v>15346</v>
      </c>
      <c r="F1878" s="220"/>
    </row>
    <row r="1879" spans="1:6" ht="14.4">
      <c r="A1879">
        <v>39459</v>
      </c>
      <c r="B1879" t="s">
        <v>19061</v>
      </c>
      <c r="C1879" t="s">
        <v>2269</v>
      </c>
      <c r="D1879" t="s">
        <v>1857</v>
      </c>
      <c r="E1879" s="527" t="s">
        <v>15347</v>
      </c>
      <c r="F1879" s="219"/>
    </row>
    <row r="1880" spans="1:6" ht="14.4">
      <c r="A1880">
        <v>39445</v>
      </c>
      <c r="B1880" t="s">
        <v>19062</v>
      </c>
      <c r="C1880" t="s">
        <v>2269</v>
      </c>
      <c r="D1880" t="s">
        <v>1857</v>
      </c>
      <c r="E1880" s="527" t="s">
        <v>15348</v>
      </c>
      <c r="F1880" s="220"/>
    </row>
    <row r="1881" spans="1:6" ht="14.4">
      <c r="A1881">
        <v>39446</v>
      </c>
      <c r="B1881" t="s">
        <v>19063</v>
      </c>
      <c r="C1881" t="s">
        <v>2269</v>
      </c>
      <c r="D1881" t="s">
        <v>1857</v>
      </c>
      <c r="E1881" s="527" t="s">
        <v>15349</v>
      </c>
      <c r="F1881" s="219"/>
    </row>
    <row r="1882" spans="1:6" ht="14.4">
      <c r="A1882">
        <v>39447</v>
      </c>
      <c r="B1882" t="s">
        <v>19064</v>
      </c>
      <c r="C1882" t="s">
        <v>2269</v>
      </c>
      <c r="D1882" t="s">
        <v>1857</v>
      </c>
      <c r="E1882" s="527" t="s">
        <v>15350</v>
      </c>
      <c r="F1882" s="220"/>
    </row>
    <row r="1883" spans="1:6" ht="14.4">
      <c r="A1883">
        <v>39448</v>
      </c>
      <c r="B1883" t="s">
        <v>19065</v>
      </c>
      <c r="C1883" t="s">
        <v>2269</v>
      </c>
      <c r="D1883" t="s">
        <v>1857</v>
      </c>
      <c r="E1883" s="527" t="s">
        <v>15351</v>
      </c>
      <c r="F1883" s="219"/>
    </row>
    <row r="1884" spans="1:6" ht="14.4">
      <c r="A1884">
        <v>39450</v>
      </c>
      <c r="B1884" t="s">
        <v>19066</v>
      </c>
      <c r="C1884" t="s">
        <v>2269</v>
      </c>
      <c r="D1884" t="s">
        <v>1857</v>
      </c>
      <c r="E1884" s="527" t="s">
        <v>15352</v>
      </c>
      <c r="F1884" s="220"/>
    </row>
    <row r="1885" spans="1:6" ht="14.4">
      <c r="A1885">
        <v>39451</v>
      </c>
      <c r="B1885" t="s">
        <v>19067</v>
      </c>
      <c r="C1885" t="s">
        <v>2269</v>
      </c>
      <c r="D1885" t="s">
        <v>1857</v>
      </c>
      <c r="E1885" s="527" t="s">
        <v>10328</v>
      </c>
      <c r="F1885" s="219"/>
    </row>
    <row r="1886" spans="1:6" ht="14.4">
      <c r="A1886">
        <v>39452</v>
      </c>
      <c r="B1886" t="s">
        <v>19068</v>
      </c>
      <c r="C1886" t="s">
        <v>2269</v>
      </c>
      <c r="D1886" t="s">
        <v>1857</v>
      </c>
      <c r="E1886" s="527" t="s">
        <v>15353</v>
      </c>
      <c r="F1886" s="220"/>
    </row>
    <row r="1887" spans="1:6" ht="14.4">
      <c r="A1887">
        <v>39523</v>
      </c>
      <c r="B1887" t="s">
        <v>19069</v>
      </c>
      <c r="C1887" t="s">
        <v>2269</v>
      </c>
      <c r="D1887" t="s">
        <v>1857</v>
      </c>
      <c r="E1887" s="527" t="s">
        <v>15354</v>
      </c>
      <c r="F1887" s="219"/>
    </row>
    <row r="1888" spans="1:6" ht="14.4">
      <c r="A1888">
        <v>39449</v>
      </c>
      <c r="B1888" t="s">
        <v>19070</v>
      </c>
      <c r="C1888" t="s">
        <v>2269</v>
      </c>
      <c r="D1888" t="s">
        <v>1857</v>
      </c>
      <c r="E1888" s="527" t="s">
        <v>15355</v>
      </c>
      <c r="F1888" s="220"/>
    </row>
    <row r="1889" spans="1:6" ht="14.4">
      <c r="A1889">
        <v>39455</v>
      </c>
      <c r="B1889" t="s">
        <v>19071</v>
      </c>
      <c r="C1889" t="s">
        <v>2269</v>
      </c>
      <c r="D1889" t="s">
        <v>1857</v>
      </c>
      <c r="E1889" s="527" t="s">
        <v>15356</v>
      </c>
      <c r="F1889" s="219"/>
    </row>
    <row r="1890" spans="1:6" ht="14.4">
      <c r="A1890">
        <v>39456</v>
      </c>
      <c r="B1890" t="s">
        <v>19072</v>
      </c>
      <c r="C1890" t="s">
        <v>2269</v>
      </c>
      <c r="D1890" t="s">
        <v>1857</v>
      </c>
      <c r="E1890" s="527" t="s">
        <v>11782</v>
      </c>
      <c r="F1890" s="220"/>
    </row>
    <row r="1891" spans="1:6" ht="14.4">
      <c r="A1891">
        <v>39457</v>
      </c>
      <c r="B1891" t="s">
        <v>19073</v>
      </c>
      <c r="C1891" t="s">
        <v>2269</v>
      </c>
      <c r="D1891" t="s">
        <v>1857</v>
      </c>
      <c r="E1891" s="527" t="s">
        <v>15357</v>
      </c>
      <c r="F1891" s="219"/>
    </row>
    <row r="1892" spans="1:6" ht="14.4">
      <c r="A1892">
        <v>39458</v>
      </c>
      <c r="B1892" t="s">
        <v>19074</v>
      </c>
      <c r="C1892" t="s">
        <v>2269</v>
      </c>
      <c r="D1892" t="s">
        <v>1857</v>
      </c>
      <c r="E1892" s="527" t="s">
        <v>15358</v>
      </c>
      <c r="F1892" s="220"/>
    </row>
    <row r="1893" spans="1:6" ht="14.4">
      <c r="A1893">
        <v>39464</v>
      </c>
      <c r="B1893" t="s">
        <v>19075</v>
      </c>
      <c r="C1893" t="s">
        <v>2269</v>
      </c>
      <c r="D1893" t="s">
        <v>1857</v>
      </c>
      <c r="E1893" s="527" t="s">
        <v>15359</v>
      </c>
      <c r="F1893" s="219"/>
    </row>
    <row r="1894" spans="1:6" ht="14.4">
      <c r="A1894">
        <v>39460</v>
      </c>
      <c r="B1894" t="s">
        <v>19076</v>
      </c>
      <c r="C1894" t="s">
        <v>2269</v>
      </c>
      <c r="D1894" t="s">
        <v>1857</v>
      </c>
      <c r="E1894" s="527" t="s">
        <v>15360</v>
      </c>
      <c r="F1894" s="220"/>
    </row>
    <row r="1895" spans="1:6" ht="14.4">
      <c r="A1895">
        <v>39461</v>
      </c>
      <c r="B1895" t="s">
        <v>19077</v>
      </c>
      <c r="C1895" t="s">
        <v>2269</v>
      </c>
      <c r="D1895" t="s">
        <v>1857</v>
      </c>
      <c r="E1895" s="527" t="s">
        <v>15361</v>
      </c>
      <c r="F1895" s="219"/>
    </row>
    <row r="1896" spans="1:6" ht="14.4">
      <c r="A1896">
        <v>39462</v>
      </c>
      <c r="B1896" t="s">
        <v>19078</v>
      </c>
      <c r="C1896" t="s">
        <v>2269</v>
      </c>
      <c r="D1896" t="s">
        <v>1857</v>
      </c>
      <c r="E1896" s="527" t="s">
        <v>15362</v>
      </c>
      <c r="F1896" s="220"/>
    </row>
    <row r="1897" spans="1:6" ht="14.4">
      <c r="A1897">
        <v>39463</v>
      </c>
      <c r="B1897" t="s">
        <v>19079</v>
      </c>
      <c r="C1897" t="s">
        <v>2269</v>
      </c>
      <c r="D1897" t="s">
        <v>1857</v>
      </c>
      <c r="E1897" s="527" t="s">
        <v>15363</v>
      </c>
      <c r="F1897" s="219"/>
    </row>
    <row r="1898" spans="1:6" ht="14.4">
      <c r="A1898">
        <v>26039</v>
      </c>
      <c r="B1898" t="s">
        <v>19080</v>
      </c>
      <c r="C1898" t="s">
        <v>2269</v>
      </c>
      <c r="D1898" t="s">
        <v>2271</v>
      </c>
      <c r="E1898" s="527" t="s">
        <v>19081</v>
      </c>
      <c r="F1898" s="220"/>
    </row>
    <row r="1899" spans="1:6" ht="14.4">
      <c r="A1899">
        <v>2401</v>
      </c>
      <c r="B1899" t="s">
        <v>19082</v>
      </c>
      <c r="C1899" t="s">
        <v>2269</v>
      </c>
      <c r="D1899" t="s">
        <v>2271</v>
      </c>
      <c r="E1899" s="527" t="s">
        <v>19083</v>
      </c>
      <c r="F1899" s="219"/>
    </row>
    <row r="1900" spans="1:6" ht="14.4">
      <c r="A1900">
        <v>38870</v>
      </c>
      <c r="B1900" t="s">
        <v>19084</v>
      </c>
      <c r="C1900" t="s">
        <v>2269</v>
      </c>
      <c r="D1900" t="s">
        <v>2271</v>
      </c>
      <c r="E1900" s="527" t="s">
        <v>10239</v>
      </c>
      <c r="F1900" s="220"/>
    </row>
    <row r="1901" spans="1:6" ht="14.4">
      <c r="A1901">
        <v>38869</v>
      </c>
      <c r="B1901" t="s">
        <v>19085</v>
      </c>
      <c r="C1901" t="s">
        <v>2269</v>
      </c>
      <c r="D1901" t="s">
        <v>2271</v>
      </c>
      <c r="E1901" s="527" t="s">
        <v>6433</v>
      </c>
      <c r="F1901" s="219"/>
    </row>
    <row r="1902" spans="1:6" ht="14.4">
      <c r="A1902">
        <v>38872</v>
      </c>
      <c r="B1902" t="s">
        <v>19086</v>
      </c>
      <c r="C1902" t="s">
        <v>2269</v>
      </c>
      <c r="D1902" t="s">
        <v>2271</v>
      </c>
      <c r="E1902" s="527" t="s">
        <v>14075</v>
      </c>
      <c r="F1902" s="220"/>
    </row>
    <row r="1903" spans="1:6" ht="14.4">
      <c r="A1903">
        <v>38871</v>
      </c>
      <c r="B1903" t="s">
        <v>19087</v>
      </c>
      <c r="C1903" t="s">
        <v>2269</v>
      </c>
      <c r="D1903" t="s">
        <v>2271</v>
      </c>
      <c r="E1903" s="527" t="s">
        <v>15364</v>
      </c>
      <c r="F1903" s="219"/>
    </row>
    <row r="1904" spans="1:6" ht="14.4">
      <c r="A1904">
        <v>39283</v>
      </c>
      <c r="B1904" t="s">
        <v>19088</v>
      </c>
      <c r="C1904" t="s">
        <v>2269</v>
      </c>
      <c r="D1904" t="s">
        <v>2271</v>
      </c>
      <c r="E1904" s="527" t="s">
        <v>15143</v>
      </c>
      <c r="F1904" s="220"/>
    </row>
    <row r="1905" spans="1:6" ht="14.4">
      <c r="A1905">
        <v>39284</v>
      </c>
      <c r="B1905" t="s">
        <v>19089</v>
      </c>
      <c r="C1905" t="s">
        <v>2269</v>
      </c>
      <c r="D1905" t="s">
        <v>2271</v>
      </c>
      <c r="E1905" s="527" t="s">
        <v>15244</v>
      </c>
      <c r="F1905" s="219"/>
    </row>
    <row r="1906" spans="1:6" ht="14.4">
      <c r="A1906">
        <v>39285</v>
      </c>
      <c r="B1906" t="s">
        <v>19090</v>
      </c>
      <c r="C1906" t="s">
        <v>2269</v>
      </c>
      <c r="D1906" t="s">
        <v>2271</v>
      </c>
      <c r="E1906" s="527" t="s">
        <v>15365</v>
      </c>
      <c r="F1906" s="220"/>
    </row>
    <row r="1907" spans="1:6" ht="14.4">
      <c r="A1907">
        <v>39286</v>
      </c>
      <c r="B1907" t="s">
        <v>19091</v>
      </c>
      <c r="C1907" t="s">
        <v>2269</v>
      </c>
      <c r="D1907" t="s">
        <v>2271</v>
      </c>
      <c r="E1907" s="527" t="s">
        <v>15366</v>
      </c>
      <c r="F1907" s="219"/>
    </row>
    <row r="1908" spans="1:6" ht="14.4">
      <c r="A1908">
        <v>39287</v>
      </c>
      <c r="B1908" t="s">
        <v>19092</v>
      </c>
      <c r="C1908" t="s">
        <v>2269</v>
      </c>
      <c r="D1908" t="s">
        <v>2271</v>
      </c>
      <c r="E1908" s="527" t="s">
        <v>15367</v>
      </c>
      <c r="F1908" s="220"/>
    </row>
    <row r="1909" spans="1:6" ht="14.4">
      <c r="A1909">
        <v>39288</v>
      </c>
      <c r="B1909" t="s">
        <v>19093</v>
      </c>
      <c r="C1909" t="s">
        <v>2269</v>
      </c>
      <c r="D1909" t="s">
        <v>2271</v>
      </c>
      <c r="E1909" s="527" t="s">
        <v>15368</v>
      </c>
      <c r="F1909" s="219"/>
    </row>
    <row r="1910" spans="1:6" ht="14.4">
      <c r="A1910">
        <v>25976</v>
      </c>
      <c r="B1910" t="s">
        <v>19094</v>
      </c>
      <c r="C1910" t="s">
        <v>2270</v>
      </c>
      <c r="D1910" t="s">
        <v>1857</v>
      </c>
      <c r="E1910" s="527" t="s">
        <v>15369</v>
      </c>
      <c r="F1910" s="220"/>
    </row>
    <row r="1911" spans="1:6" ht="14.4">
      <c r="A1911">
        <v>10629</v>
      </c>
      <c r="B1911" t="s">
        <v>19095</v>
      </c>
      <c r="C1911" t="s">
        <v>2270</v>
      </c>
      <c r="D1911" t="s">
        <v>1857</v>
      </c>
      <c r="E1911" s="527" t="s">
        <v>10302</v>
      </c>
      <c r="F1911" s="219"/>
    </row>
    <row r="1912" spans="1:6" ht="14.4">
      <c r="A1912">
        <v>10698</v>
      </c>
      <c r="B1912" t="s">
        <v>19096</v>
      </c>
      <c r="C1912" t="s">
        <v>2270</v>
      </c>
      <c r="D1912" t="s">
        <v>2271</v>
      </c>
      <c r="E1912" s="527" t="s">
        <v>15370</v>
      </c>
      <c r="F1912" s="220"/>
    </row>
    <row r="1913" spans="1:6" ht="14.4">
      <c r="A1913">
        <v>40521</v>
      </c>
      <c r="B1913" t="s">
        <v>19097</v>
      </c>
      <c r="C1913" t="s">
        <v>2269</v>
      </c>
      <c r="D1913" t="s">
        <v>1857</v>
      </c>
      <c r="E1913" s="527" t="s">
        <v>19098</v>
      </c>
      <c r="F1913" s="219"/>
    </row>
    <row r="1914" spans="1:6" ht="14.4">
      <c r="A1914">
        <v>2432</v>
      </c>
      <c r="B1914" t="s">
        <v>19099</v>
      </c>
      <c r="C1914" t="s">
        <v>2269</v>
      </c>
      <c r="D1914" t="s">
        <v>1857</v>
      </c>
      <c r="E1914" s="527" t="s">
        <v>7959</v>
      </c>
      <c r="F1914" s="220"/>
    </row>
    <row r="1915" spans="1:6" ht="14.4">
      <c r="A1915">
        <v>2433</v>
      </c>
      <c r="B1915" t="s">
        <v>19100</v>
      </c>
      <c r="C1915" t="s">
        <v>2269</v>
      </c>
      <c r="D1915" t="s">
        <v>1857</v>
      </c>
      <c r="E1915" s="527" t="s">
        <v>9873</v>
      </c>
      <c r="F1915" s="219"/>
    </row>
    <row r="1916" spans="1:6" ht="14.4">
      <c r="A1916">
        <v>2420</v>
      </c>
      <c r="B1916" t="s">
        <v>19101</v>
      </c>
      <c r="C1916" t="s">
        <v>2269</v>
      </c>
      <c r="D1916" t="s">
        <v>1857</v>
      </c>
      <c r="E1916" s="527" t="s">
        <v>7330</v>
      </c>
      <c r="F1916" s="220"/>
    </row>
    <row r="1917" spans="1:6" ht="14.4">
      <c r="A1917">
        <v>11447</v>
      </c>
      <c r="B1917" t="s">
        <v>19102</v>
      </c>
      <c r="C1917" t="s">
        <v>2269</v>
      </c>
      <c r="D1917" t="s">
        <v>1857</v>
      </c>
      <c r="E1917" s="527" t="s">
        <v>16281</v>
      </c>
      <c r="F1917" s="219"/>
    </row>
    <row r="1918" spans="1:6" ht="14.4">
      <c r="A1918">
        <v>11451</v>
      </c>
      <c r="B1918" t="s">
        <v>19103</v>
      </c>
      <c r="C1918" t="s">
        <v>2269</v>
      </c>
      <c r="D1918" t="s">
        <v>1857</v>
      </c>
      <c r="E1918" s="527" t="s">
        <v>9771</v>
      </c>
      <c r="F1918" s="220"/>
    </row>
    <row r="1919" spans="1:6" ht="14.4">
      <c r="A1919">
        <v>11116</v>
      </c>
      <c r="B1919" t="s">
        <v>19104</v>
      </c>
      <c r="C1919" t="s">
        <v>2269</v>
      </c>
      <c r="D1919" t="s">
        <v>2271</v>
      </c>
      <c r="E1919" s="527" t="s">
        <v>15371</v>
      </c>
      <c r="F1919" s="219"/>
    </row>
    <row r="1920" spans="1:6" ht="14.4">
      <c r="A1920">
        <v>38411</v>
      </c>
      <c r="B1920" t="s">
        <v>19105</v>
      </c>
      <c r="C1920" t="s">
        <v>2269</v>
      </c>
      <c r="D1920" t="s">
        <v>2271</v>
      </c>
      <c r="E1920" s="527" t="s">
        <v>19106</v>
      </c>
      <c r="F1920" s="220"/>
    </row>
    <row r="1921" spans="1:6" ht="14.4">
      <c r="A1921">
        <v>7608</v>
      </c>
      <c r="B1921" t="s">
        <v>19107</v>
      </c>
      <c r="C1921" t="s">
        <v>2269</v>
      </c>
      <c r="D1921" t="s">
        <v>1857</v>
      </c>
      <c r="E1921" s="527" t="s">
        <v>16237</v>
      </c>
      <c r="F1921" s="219"/>
    </row>
    <row r="1922" spans="1:6" ht="14.4">
      <c r="A1922">
        <v>1370</v>
      </c>
      <c r="B1922" t="s">
        <v>19108</v>
      </c>
      <c r="C1922" t="s">
        <v>2269</v>
      </c>
      <c r="D1922" t="s">
        <v>1857</v>
      </c>
      <c r="E1922" s="527" t="s">
        <v>19109</v>
      </c>
      <c r="F1922" s="220"/>
    </row>
    <row r="1923" spans="1:6" ht="14.4">
      <c r="A1923">
        <v>38189</v>
      </c>
      <c r="B1923" t="s">
        <v>19110</v>
      </c>
      <c r="C1923" t="s">
        <v>2269</v>
      </c>
      <c r="D1923" t="s">
        <v>1857</v>
      </c>
      <c r="E1923" s="527" t="s">
        <v>19111</v>
      </c>
      <c r="F1923" s="219"/>
    </row>
    <row r="1924" spans="1:6" ht="14.4">
      <c r="A1924">
        <v>38190</v>
      </c>
      <c r="B1924" t="s">
        <v>19112</v>
      </c>
      <c r="C1924" t="s">
        <v>2269</v>
      </c>
      <c r="D1924" t="s">
        <v>1857</v>
      </c>
      <c r="E1924" s="527" t="s">
        <v>19113</v>
      </c>
      <c r="F1924" s="220"/>
    </row>
    <row r="1925" spans="1:6" ht="14.4">
      <c r="A1925">
        <v>36516</v>
      </c>
      <c r="B1925" t="s">
        <v>19114</v>
      </c>
      <c r="C1925" t="s">
        <v>2269</v>
      </c>
      <c r="D1925" t="s">
        <v>2271</v>
      </c>
      <c r="E1925" s="527" t="s">
        <v>19115</v>
      </c>
      <c r="F1925" s="219"/>
    </row>
    <row r="1926" spans="1:6" ht="14.4">
      <c r="A1926">
        <v>34777</v>
      </c>
      <c r="B1926" t="s">
        <v>19116</v>
      </c>
      <c r="C1926" t="s">
        <v>2269</v>
      </c>
      <c r="D1926" t="s">
        <v>1857</v>
      </c>
      <c r="E1926" s="527" t="s">
        <v>7924</v>
      </c>
      <c r="F1926" s="220"/>
    </row>
    <row r="1927" spans="1:6" ht="14.4">
      <c r="A1927">
        <v>7272</v>
      </c>
      <c r="B1927" t="s">
        <v>19117</v>
      </c>
      <c r="C1927" t="s">
        <v>2269</v>
      </c>
      <c r="D1927" t="s">
        <v>1857</v>
      </c>
      <c r="E1927" s="527" t="s">
        <v>7303</v>
      </c>
      <c r="F1927" s="219"/>
    </row>
    <row r="1928" spans="1:6" ht="14.4">
      <c r="A1928">
        <v>10605</v>
      </c>
      <c r="B1928" t="s">
        <v>19118</v>
      </c>
      <c r="C1928" t="s">
        <v>2269</v>
      </c>
      <c r="D1928" t="s">
        <v>1857</v>
      </c>
      <c r="E1928" s="527" t="s">
        <v>10181</v>
      </c>
      <c r="F1928" s="220"/>
    </row>
    <row r="1929" spans="1:6" ht="14.4">
      <c r="A1929">
        <v>10604</v>
      </c>
      <c r="B1929" t="s">
        <v>19119</v>
      </c>
      <c r="C1929" t="s">
        <v>2269</v>
      </c>
      <c r="D1929" t="s">
        <v>1857</v>
      </c>
      <c r="E1929" s="527" t="s">
        <v>7288</v>
      </c>
      <c r="F1929" s="219"/>
    </row>
    <row r="1930" spans="1:6" ht="14.4">
      <c r="A1930">
        <v>672</v>
      </c>
      <c r="B1930" t="s">
        <v>19120</v>
      </c>
      <c r="C1930" t="s">
        <v>2269</v>
      </c>
      <c r="D1930" t="s">
        <v>1857</v>
      </c>
      <c r="E1930" s="527" t="s">
        <v>7479</v>
      </c>
      <c r="F1930" s="220"/>
    </row>
    <row r="1931" spans="1:6" ht="14.4">
      <c r="A1931">
        <v>668</v>
      </c>
      <c r="B1931" t="s">
        <v>19121</v>
      </c>
      <c r="C1931" t="s">
        <v>2269</v>
      </c>
      <c r="D1931" t="s">
        <v>1857</v>
      </c>
      <c r="E1931" s="527" t="s">
        <v>9785</v>
      </c>
      <c r="F1931" s="219"/>
    </row>
    <row r="1932" spans="1:6" ht="14.4">
      <c r="A1932">
        <v>10578</v>
      </c>
      <c r="B1932" t="s">
        <v>19122</v>
      </c>
      <c r="C1932" t="s">
        <v>2269</v>
      </c>
      <c r="D1932" t="s">
        <v>1857</v>
      </c>
      <c r="E1932" s="527" t="s">
        <v>13024</v>
      </c>
      <c r="F1932" s="220"/>
    </row>
    <row r="1933" spans="1:6" ht="14.4">
      <c r="A1933">
        <v>666</v>
      </c>
      <c r="B1933" t="s">
        <v>19123</v>
      </c>
      <c r="C1933" t="s">
        <v>2269</v>
      </c>
      <c r="D1933" t="s">
        <v>1857</v>
      </c>
      <c r="E1933" s="527" t="s">
        <v>10191</v>
      </c>
      <c r="F1933" s="219"/>
    </row>
    <row r="1934" spans="1:6" ht="14.4">
      <c r="A1934">
        <v>665</v>
      </c>
      <c r="B1934" t="s">
        <v>19124</v>
      </c>
      <c r="C1934" t="s">
        <v>2269</v>
      </c>
      <c r="D1934" t="s">
        <v>1857</v>
      </c>
      <c r="E1934" s="527" t="s">
        <v>10787</v>
      </c>
      <c r="F1934" s="220"/>
    </row>
    <row r="1935" spans="1:6" ht="14.4">
      <c r="A1935">
        <v>10577</v>
      </c>
      <c r="B1935" t="s">
        <v>19125</v>
      </c>
      <c r="C1935" t="s">
        <v>2269</v>
      </c>
      <c r="D1935" t="s">
        <v>1857</v>
      </c>
      <c r="E1935" s="527" t="s">
        <v>19126</v>
      </c>
      <c r="F1935" s="219"/>
    </row>
    <row r="1936" spans="1:6" ht="14.4">
      <c r="A1936">
        <v>10583</v>
      </c>
      <c r="B1936" t="s">
        <v>19127</v>
      </c>
      <c r="C1936" t="s">
        <v>2269</v>
      </c>
      <c r="D1936" t="s">
        <v>1857</v>
      </c>
      <c r="E1936" s="527" t="s">
        <v>4407</v>
      </c>
      <c r="F1936" s="220"/>
    </row>
    <row r="1937" spans="1:6" ht="14.4">
      <c r="A1937">
        <v>10579</v>
      </c>
      <c r="B1937" t="s">
        <v>19128</v>
      </c>
      <c r="C1937" t="s">
        <v>2269</v>
      </c>
      <c r="D1937" t="s">
        <v>1857</v>
      </c>
      <c r="E1937" s="527" t="s">
        <v>16246</v>
      </c>
      <c r="F1937" s="219"/>
    </row>
    <row r="1938" spans="1:6" ht="14.4">
      <c r="A1938">
        <v>10582</v>
      </c>
      <c r="B1938" t="s">
        <v>19129</v>
      </c>
      <c r="C1938" t="s">
        <v>2269</v>
      </c>
      <c r="D1938" t="s">
        <v>1857</v>
      </c>
      <c r="E1938" s="527" t="s">
        <v>13907</v>
      </c>
      <c r="F1938" s="220"/>
    </row>
    <row r="1939" spans="1:6" ht="14.4">
      <c r="A1939">
        <v>2436</v>
      </c>
      <c r="B1939" t="s">
        <v>19130</v>
      </c>
      <c r="C1939" t="s">
        <v>2267</v>
      </c>
      <c r="D1939" t="s">
        <v>2268</v>
      </c>
      <c r="E1939" s="527" t="s">
        <v>5106</v>
      </c>
      <c r="F1939" s="219"/>
    </row>
    <row r="1940" spans="1:6" ht="14.4">
      <c r="A1940">
        <v>40918</v>
      </c>
      <c r="B1940" t="s">
        <v>19131</v>
      </c>
      <c r="C1940" t="s">
        <v>2276</v>
      </c>
      <c r="D1940" t="s">
        <v>1857</v>
      </c>
      <c r="E1940" s="527" t="s">
        <v>19132</v>
      </c>
      <c r="F1940" s="220"/>
    </row>
    <row r="1941" spans="1:6" ht="14.4">
      <c r="A1941">
        <v>2439</v>
      </c>
      <c r="B1941" t="s">
        <v>19133</v>
      </c>
      <c r="C1941" t="s">
        <v>2267</v>
      </c>
      <c r="D1941" t="s">
        <v>1857</v>
      </c>
      <c r="E1941" s="527" t="s">
        <v>16137</v>
      </c>
      <c r="F1941" s="219"/>
    </row>
    <row r="1942" spans="1:6" ht="14.4">
      <c r="A1942">
        <v>40923</v>
      </c>
      <c r="B1942" t="s">
        <v>19134</v>
      </c>
      <c r="C1942" t="s">
        <v>2276</v>
      </c>
      <c r="D1942" t="s">
        <v>1857</v>
      </c>
      <c r="E1942" s="527" t="s">
        <v>19135</v>
      </c>
      <c r="F1942" s="220"/>
    </row>
    <row r="1943" spans="1:6" ht="14.4">
      <c r="A1943">
        <v>10998</v>
      </c>
      <c r="B1943" t="s">
        <v>19136</v>
      </c>
      <c r="C1943" t="s">
        <v>2274</v>
      </c>
      <c r="D1943" t="s">
        <v>1857</v>
      </c>
      <c r="E1943" s="527" t="s">
        <v>7482</v>
      </c>
      <c r="F1943" s="219"/>
    </row>
    <row r="1944" spans="1:6" ht="14.4">
      <c r="A1944">
        <v>11002</v>
      </c>
      <c r="B1944" t="s">
        <v>19137</v>
      </c>
      <c r="C1944" t="s">
        <v>2274</v>
      </c>
      <c r="D1944" t="s">
        <v>1857</v>
      </c>
      <c r="E1944" s="527" t="s">
        <v>19138</v>
      </c>
      <c r="F1944" s="220"/>
    </row>
    <row r="1945" spans="1:6" ht="14.4">
      <c r="A1945">
        <v>10999</v>
      </c>
      <c r="B1945" t="s">
        <v>19139</v>
      </c>
      <c r="C1945" t="s">
        <v>2274</v>
      </c>
      <c r="D1945" t="s">
        <v>1857</v>
      </c>
      <c r="E1945" s="527" t="s">
        <v>19140</v>
      </c>
      <c r="F1945" s="219"/>
    </row>
    <row r="1946" spans="1:6" ht="14.4">
      <c r="A1946">
        <v>10997</v>
      </c>
      <c r="B1946" t="s">
        <v>19141</v>
      </c>
      <c r="C1946" t="s">
        <v>2274</v>
      </c>
      <c r="D1946" t="s">
        <v>2268</v>
      </c>
      <c r="E1946" s="527" t="s">
        <v>19142</v>
      </c>
      <c r="F1946" s="220"/>
    </row>
    <row r="1947" spans="1:6" ht="14.4">
      <c r="A1947">
        <v>2685</v>
      </c>
      <c r="B1947" t="s">
        <v>19143</v>
      </c>
      <c r="C1947" t="s">
        <v>2273</v>
      </c>
      <c r="D1947" t="s">
        <v>1857</v>
      </c>
      <c r="E1947" s="527" t="s">
        <v>5383</v>
      </c>
      <c r="F1947" s="219"/>
    </row>
    <row r="1948" spans="1:6" ht="14.4">
      <c r="A1948">
        <v>2680</v>
      </c>
      <c r="B1948" t="s">
        <v>19144</v>
      </c>
      <c r="C1948" t="s">
        <v>2273</v>
      </c>
      <c r="D1948" t="s">
        <v>1857</v>
      </c>
      <c r="E1948" s="527" t="s">
        <v>11631</v>
      </c>
      <c r="F1948" s="220"/>
    </row>
    <row r="1949" spans="1:6" ht="14.4">
      <c r="A1949">
        <v>2684</v>
      </c>
      <c r="B1949" t="s">
        <v>19145</v>
      </c>
      <c r="C1949" t="s">
        <v>2273</v>
      </c>
      <c r="D1949" t="s">
        <v>1857</v>
      </c>
      <c r="E1949" s="527" t="s">
        <v>4707</v>
      </c>
      <c r="F1949" s="219"/>
    </row>
    <row r="1950" spans="1:6" ht="14.4">
      <c r="A1950">
        <v>2673</v>
      </c>
      <c r="B1950" t="s">
        <v>19146</v>
      </c>
      <c r="C1950" t="s">
        <v>2273</v>
      </c>
      <c r="D1950" t="s">
        <v>2268</v>
      </c>
      <c r="E1950" s="527" t="s">
        <v>10780</v>
      </c>
      <c r="F1950" s="220"/>
    </row>
    <row r="1951" spans="1:6" ht="14.4">
      <c r="A1951">
        <v>2681</v>
      </c>
      <c r="B1951" t="s">
        <v>19147</v>
      </c>
      <c r="C1951" t="s">
        <v>2273</v>
      </c>
      <c r="D1951" t="s">
        <v>1857</v>
      </c>
      <c r="E1951" s="527" t="s">
        <v>11421</v>
      </c>
      <c r="F1951" s="219"/>
    </row>
    <row r="1952" spans="1:6" ht="14.4">
      <c r="A1952">
        <v>2682</v>
      </c>
      <c r="B1952" t="s">
        <v>19148</v>
      </c>
      <c r="C1952" t="s">
        <v>2273</v>
      </c>
      <c r="D1952" t="s">
        <v>1857</v>
      </c>
      <c r="E1952" s="527" t="s">
        <v>9782</v>
      </c>
      <c r="F1952" s="220"/>
    </row>
    <row r="1953" spans="1:6" ht="14.4">
      <c r="A1953">
        <v>2686</v>
      </c>
      <c r="B1953" t="s">
        <v>19149</v>
      </c>
      <c r="C1953" t="s">
        <v>2273</v>
      </c>
      <c r="D1953" t="s">
        <v>1857</v>
      </c>
      <c r="E1953" s="527" t="s">
        <v>10192</v>
      </c>
      <c r="F1953" s="219"/>
    </row>
    <row r="1954" spans="1:6" ht="14.4">
      <c r="A1954">
        <v>2674</v>
      </c>
      <c r="B1954" t="s">
        <v>19150</v>
      </c>
      <c r="C1954" t="s">
        <v>2273</v>
      </c>
      <c r="D1954" t="s">
        <v>1857</v>
      </c>
      <c r="E1954" s="527" t="s">
        <v>3514</v>
      </c>
      <c r="F1954" s="220"/>
    </row>
    <row r="1955" spans="1:6" ht="14.4">
      <c r="A1955">
        <v>2683</v>
      </c>
      <c r="B1955" t="s">
        <v>19151</v>
      </c>
      <c r="C1955" t="s">
        <v>2273</v>
      </c>
      <c r="D1955" t="s">
        <v>1857</v>
      </c>
      <c r="E1955" s="527" t="s">
        <v>13162</v>
      </c>
      <c r="F1955" s="219"/>
    </row>
    <row r="1956" spans="1:6" ht="14.4">
      <c r="A1956">
        <v>2676</v>
      </c>
      <c r="B1956" t="s">
        <v>19152</v>
      </c>
      <c r="C1956" t="s">
        <v>2273</v>
      </c>
      <c r="D1956" t="s">
        <v>1857</v>
      </c>
      <c r="E1956" s="527" t="s">
        <v>3241</v>
      </c>
      <c r="F1956" s="220"/>
    </row>
    <row r="1957" spans="1:6" ht="14.4">
      <c r="A1957">
        <v>2678</v>
      </c>
      <c r="B1957" t="s">
        <v>19153</v>
      </c>
      <c r="C1957" t="s">
        <v>2273</v>
      </c>
      <c r="D1957" t="s">
        <v>1857</v>
      </c>
      <c r="E1957" s="527" t="s">
        <v>6407</v>
      </c>
      <c r="F1957" s="219"/>
    </row>
    <row r="1958" spans="1:6" ht="14.4">
      <c r="A1958">
        <v>2679</v>
      </c>
      <c r="B1958" t="s">
        <v>19154</v>
      </c>
      <c r="C1958" t="s">
        <v>2273</v>
      </c>
      <c r="D1958" t="s">
        <v>1857</v>
      </c>
      <c r="E1958" s="527" t="s">
        <v>15844</v>
      </c>
      <c r="F1958" s="220"/>
    </row>
    <row r="1959" spans="1:6" ht="14.4">
      <c r="A1959">
        <v>12070</v>
      </c>
      <c r="B1959" t="s">
        <v>19155</v>
      </c>
      <c r="C1959" t="s">
        <v>2273</v>
      </c>
      <c r="D1959" t="s">
        <v>1857</v>
      </c>
      <c r="E1959" s="527" t="s">
        <v>15385</v>
      </c>
      <c r="F1959" s="219"/>
    </row>
    <row r="1960" spans="1:6" ht="14.4">
      <c r="A1960">
        <v>2675</v>
      </c>
      <c r="B1960" t="s">
        <v>19156</v>
      </c>
      <c r="C1960" t="s">
        <v>2273</v>
      </c>
      <c r="D1960" t="s">
        <v>1857</v>
      </c>
      <c r="E1960" s="527" t="s">
        <v>10692</v>
      </c>
      <c r="F1960" s="220"/>
    </row>
    <row r="1961" spans="1:6" ht="14.4">
      <c r="A1961">
        <v>12067</v>
      </c>
      <c r="B1961" t="s">
        <v>19157</v>
      </c>
      <c r="C1961" t="s">
        <v>2273</v>
      </c>
      <c r="D1961" t="s">
        <v>1857</v>
      </c>
      <c r="E1961" s="527" t="s">
        <v>10408</v>
      </c>
      <c r="F1961" s="219"/>
    </row>
    <row r="1962" spans="1:6" ht="14.4">
      <c r="A1962">
        <v>40401</v>
      </c>
      <c r="B1962" t="s">
        <v>19158</v>
      </c>
      <c r="C1962" t="s">
        <v>2273</v>
      </c>
      <c r="D1962" t="s">
        <v>1857</v>
      </c>
      <c r="E1962" s="527" t="s">
        <v>6470</v>
      </c>
      <c r="F1962" s="220"/>
    </row>
    <row r="1963" spans="1:6" ht="14.4">
      <c r="A1963">
        <v>40402</v>
      </c>
      <c r="B1963" t="s">
        <v>19159</v>
      </c>
      <c r="C1963" t="s">
        <v>2273</v>
      </c>
      <c r="D1963" t="s">
        <v>1857</v>
      </c>
      <c r="E1963" s="527" t="s">
        <v>3779</v>
      </c>
      <c r="F1963" s="219"/>
    </row>
    <row r="1964" spans="1:6" ht="14.4">
      <c r="A1964">
        <v>40400</v>
      </c>
      <c r="B1964" t="s">
        <v>19160</v>
      </c>
      <c r="C1964" t="s">
        <v>2273</v>
      </c>
      <c r="D1964" t="s">
        <v>1857</v>
      </c>
      <c r="E1964" s="527" t="s">
        <v>4111</v>
      </c>
      <c r="F1964" s="220"/>
    </row>
    <row r="1965" spans="1:6" ht="14.4">
      <c r="A1965">
        <v>2504</v>
      </c>
      <c r="B1965" t="s">
        <v>19161</v>
      </c>
      <c r="C1965" t="s">
        <v>2273</v>
      </c>
      <c r="D1965" t="s">
        <v>2271</v>
      </c>
      <c r="E1965" s="527" t="s">
        <v>5002</v>
      </c>
      <c r="F1965" s="219"/>
    </row>
    <row r="1966" spans="1:6" ht="14.4">
      <c r="A1966">
        <v>2501</v>
      </c>
      <c r="B1966" t="s">
        <v>19162</v>
      </c>
      <c r="C1966" t="s">
        <v>2273</v>
      </c>
      <c r="D1966" t="s">
        <v>2271</v>
      </c>
      <c r="E1966" s="527" t="s">
        <v>7341</v>
      </c>
      <c r="F1966" s="220"/>
    </row>
    <row r="1967" spans="1:6" ht="14.4">
      <c r="A1967">
        <v>2502</v>
      </c>
      <c r="B1967" t="s">
        <v>19163</v>
      </c>
      <c r="C1967" t="s">
        <v>2273</v>
      </c>
      <c r="D1967" t="s">
        <v>2271</v>
      </c>
      <c r="E1967" s="527" t="s">
        <v>16233</v>
      </c>
      <c r="F1967" s="219"/>
    </row>
    <row r="1968" spans="1:6" ht="14.4">
      <c r="A1968">
        <v>2503</v>
      </c>
      <c r="B1968" t="s">
        <v>19164</v>
      </c>
      <c r="C1968" t="s">
        <v>2273</v>
      </c>
      <c r="D1968" t="s">
        <v>2271</v>
      </c>
      <c r="E1968" s="527" t="s">
        <v>13254</v>
      </c>
      <c r="F1968" s="220"/>
    </row>
    <row r="1969" spans="1:6" ht="14.4">
      <c r="A1969">
        <v>2500</v>
      </c>
      <c r="B1969" t="s">
        <v>19165</v>
      </c>
      <c r="C1969" t="s">
        <v>2273</v>
      </c>
      <c r="D1969" t="s">
        <v>2271</v>
      </c>
      <c r="E1969" s="527" t="s">
        <v>10063</v>
      </c>
      <c r="F1969" s="219"/>
    </row>
    <row r="1970" spans="1:6" ht="14.4">
      <c r="A1970">
        <v>2505</v>
      </c>
      <c r="B1970" t="s">
        <v>19166</v>
      </c>
      <c r="C1970" t="s">
        <v>2273</v>
      </c>
      <c r="D1970" t="s">
        <v>2271</v>
      </c>
      <c r="E1970" s="527" t="s">
        <v>19167</v>
      </c>
      <c r="F1970" s="220"/>
    </row>
    <row r="1971" spans="1:6" ht="14.4">
      <c r="A1971">
        <v>12056</v>
      </c>
      <c r="B1971" t="s">
        <v>19168</v>
      </c>
      <c r="C1971" t="s">
        <v>2273</v>
      </c>
      <c r="D1971" t="s">
        <v>2271</v>
      </c>
      <c r="E1971" s="527" t="s">
        <v>15809</v>
      </c>
      <c r="F1971" s="219"/>
    </row>
    <row r="1972" spans="1:6" ht="14.4">
      <c r="A1972">
        <v>12057</v>
      </c>
      <c r="B1972" t="s">
        <v>19169</v>
      </c>
      <c r="C1972" t="s">
        <v>2273</v>
      </c>
      <c r="D1972" t="s">
        <v>2271</v>
      </c>
      <c r="E1972" s="527" t="s">
        <v>16143</v>
      </c>
      <c r="F1972" s="220"/>
    </row>
    <row r="1973" spans="1:6" ht="14.4">
      <c r="A1973">
        <v>12059</v>
      </c>
      <c r="B1973" t="s">
        <v>19170</v>
      </c>
      <c r="C1973" t="s">
        <v>2273</v>
      </c>
      <c r="D1973" t="s">
        <v>2271</v>
      </c>
      <c r="E1973" s="527" t="s">
        <v>7727</v>
      </c>
      <c r="F1973" s="219"/>
    </row>
    <row r="1974" spans="1:6" ht="14.4">
      <c r="A1974">
        <v>12058</v>
      </c>
      <c r="B1974" t="s">
        <v>19171</v>
      </c>
      <c r="C1974" t="s">
        <v>2273</v>
      </c>
      <c r="D1974" t="s">
        <v>2271</v>
      </c>
      <c r="E1974" s="527" t="s">
        <v>11621</v>
      </c>
      <c r="F1974" s="220"/>
    </row>
    <row r="1975" spans="1:6" ht="14.4">
      <c r="A1975">
        <v>12060</v>
      </c>
      <c r="B1975" t="s">
        <v>19172</v>
      </c>
      <c r="C1975" t="s">
        <v>2273</v>
      </c>
      <c r="D1975" t="s">
        <v>2271</v>
      </c>
      <c r="E1975" s="527" t="s">
        <v>16135</v>
      </c>
      <c r="F1975" s="219"/>
    </row>
    <row r="1976" spans="1:6" ht="14.4">
      <c r="A1976">
        <v>12061</v>
      </c>
      <c r="B1976" t="s">
        <v>19173</v>
      </c>
      <c r="C1976" t="s">
        <v>2273</v>
      </c>
      <c r="D1976" t="s">
        <v>2271</v>
      </c>
      <c r="E1976" s="527" t="s">
        <v>19174</v>
      </c>
      <c r="F1976" s="220"/>
    </row>
    <row r="1977" spans="1:6" ht="14.4">
      <c r="A1977">
        <v>12062</v>
      </c>
      <c r="B1977" t="s">
        <v>19175</v>
      </c>
      <c r="C1977" t="s">
        <v>2273</v>
      </c>
      <c r="D1977" t="s">
        <v>2271</v>
      </c>
      <c r="E1977" s="527" t="s">
        <v>10262</v>
      </c>
      <c r="F1977" s="219"/>
    </row>
    <row r="1978" spans="1:6" ht="14.4">
      <c r="A1978">
        <v>21137</v>
      </c>
      <c r="B1978" t="s">
        <v>19176</v>
      </c>
      <c r="C1978" t="s">
        <v>2273</v>
      </c>
      <c r="D1978" t="s">
        <v>2271</v>
      </c>
      <c r="E1978" s="527" t="s">
        <v>10282</v>
      </c>
      <c r="F1978" s="220"/>
    </row>
    <row r="1979" spans="1:6" ht="14.4">
      <c r="A1979">
        <v>2687</v>
      </c>
      <c r="B1979" t="s">
        <v>19177</v>
      </c>
      <c r="C1979" t="s">
        <v>2273</v>
      </c>
      <c r="D1979" t="s">
        <v>1857</v>
      </c>
      <c r="E1979" s="527" t="s">
        <v>3789</v>
      </c>
      <c r="F1979" s="219"/>
    </row>
    <row r="1980" spans="1:6" ht="14.4">
      <c r="A1980">
        <v>2689</v>
      </c>
      <c r="B1980" t="s">
        <v>19178</v>
      </c>
      <c r="C1980" t="s">
        <v>2273</v>
      </c>
      <c r="D1980" t="s">
        <v>1857</v>
      </c>
      <c r="E1980" s="527" t="s">
        <v>6912</v>
      </c>
      <c r="F1980" s="220"/>
    </row>
    <row r="1981" spans="1:6" ht="14.4">
      <c r="A1981">
        <v>2688</v>
      </c>
      <c r="B1981" t="s">
        <v>19179</v>
      </c>
      <c r="C1981" t="s">
        <v>2273</v>
      </c>
      <c r="D1981" t="s">
        <v>1857</v>
      </c>
      <c r="E1981" s="527" t="s">
        <v>7206</v>
      </c>
      <c r="F1981" s="219"/>
    </row>
    <row r="1982" spans="1:6" ht="14.4">
      <c r="A1982">
        <v>2690</v>
      </c>
      <c r="B1982" t="s">
        <v>19180</v>
      </c>
      <c r="C1982" t="s">
        <v>2273</v>
      </c>
      <c r="D1982" t="s">
        <v>1857</v>
      </c>
      <c r="E1982" s="527" t="s">
        <v>9605</v>
      </c>
      <c r="F1982" s="220"/>
    </row>
    <row r="1983" spans="1:6" ht="14.4">
      <c r="A1983">
        <v>39243</v>
      </c>
      <c r="B1983" t="s">
        <v>19181</v>
      </c>
      <c r="C1983" t="s">
        <v>2273</v>
      </c>
      <c r="D1983" t="s">
        <v>1857</v>
      </c>
      <c r="E1983" s="527" t="s">
        <v>7295</v>
      </c>
      <c r="F1983" s="219"/>
    </row>
    <row r="1984" spans="1:6" ht="14.4">
      <c r="A1984">
        <v>39244</v>
      </c>
      <c r="B1984" t="s">
        <v>19182</v>
      </c>
      <c r="C1984" t="s">
        <v>2273</v>
      </c>
      <c r="D1984" t="s">
        <v>1857</v>
      </c>
      <c r="E1984" s="527" t="s">
        <v>9996</v>
      </c>
      <c r="F1984" s="220"/>
    </row>
    <row r="1985" spans="1:6" ht="14.4">
      <c r="A1985">
        <v>39245</v>
      </c>
      <c r="B1985" t="s">
        <v>19183</v>
      </c>
      <c r="C1985" t="s">
        <v>2273</v>
      </c>
      <c r="D1985" t="s">
        <v>1857</v>
      </c>
      <c r="E1985" s="527" t="s">
        <v>3987</v>
      </c>
      <c r="F1985" s="219"/>
    </row>
    <row r="1986" spans="1:6" ht="14.4">
      <c r="A1986">
        <v>39254</v>
      </c>
      <c r="B1986" t="s">
        <v>19184</v>
      </c>
      <c r="C1986" t="s">
        <v>2273</v>
      </c>
      <c r="D1986" t="s">
        <v>1857</v>
      </c>
      <c r="E1986" s="527" t="s">
        <v>7466</v>
      </c>
      <c r="F1986" s="220"/>
    </row>
    <row r="1987" spans="1:6" ht="14.4">
      <c r="A1987">
        <v>39255</v>
      </c>
      <c r="B1987" t="s">
        <v>19185</v>
      </c>
      <c r="C1987" t="s">
        <v>2273</v>
      </c>
      <c r="D1987" t="s">
        <v>1857</v>
      </c>
      <c r="E1987" s="527" t="s">
        <v>10267</v>
      </c>
      <c r="F1987" s="219"/>
    </row>
    <row r="1988" spans="1:6" ht="14.4">
      <c r="A1988">
        <v>39253</v>
      </c>
      <c r="B1988" t="s">
        <v>19186</v>
      </c>
      <c r="C1988" t="s">
        <v>2273</v>
      </c>
      <c r="D1988" t="s">
        <v>1857</v>
      </c>
      <c r="E1988" s="527" t="s">
        <v>16174</v>
      </c>
      <c r="F1988" s="220"/>
    </row>
    <row r="1989" spans="1:6" ht="14.4">
      <c r="A1989">
        <v>2446</v>
      </c>
      <c r="B1989" t="s">
        <v>19187</v>
      </c>
      <c r="C1989" t="s">
        <v>2273</v>
      </c>
      <c r="D1989" t="s">
        <v>2268</v>
      </c>
      <c r="E1989" s="527" t="s">
        <v>3723</v>
      </c>
      <c r="F1989" s="219"/>
    </row>
    <row r="1990" spans="1:6" ht="14.4">
      <c r="A1990">
        <v>2442</v>
      </c>
      <c r="B1990" t="s">
        <v>19188</v>
      </c>
      <c r="C1990" t="s">
        <v>2273</v>
      </c>
      <c r="D1990" t="s">
        <v>1857</v>
      </c>
      <c r="E1990" s="527" t="s">
        <v>4707</v>
      </c>
      <c r="F1990" s="220"/>
    </row>
    <row r="1991" spans="1:6" ht="14.4">
      <c r="A1991">
        <v>39246</v>
      </c>
      <c r="B1991" t="s">
        <v>19189</v>
      </c>
      <c r="C1991" t="s">
        <v>2273</v>
      </c>
      <c r="D1991" t="s">
        <v>1857</v>
      </c>
      <c r="E1991" s="527" t="s">
        <v>10689</v>
      </c>
      <c r="F1991" s="219"/>
    </row>
    <row r="1992" spans="1:6" ht="14.4">
      <c r="A1992">
        <v>39247</v>
      </c>
      <c r="B1992" t="s">
        <v>19190</v>
      </c>
      <c r="C1992" t="s">
        <v>2273</v>
      </c>
      <c r="D1992" t="s">
        <v>1857</v>
      </c>
      <c r="E1992" s="527" t="s">
        <v>15844</v>
      </c>
      <c r="F1992" s="220"/>
    </row>
    <row r="1993" spans="1:6" ht="14.4">
      <c r="A1993">
        <v>39248</v>
      </c>
      <c r="B1993" t="s">
        <v>19191</v>
      </c>
      <c r="C1993" t="s">
        <v>2273</v>
      </c>
      <c r="D1993" t="s">
        <v>1857</v>
      </c>
      <c r="E1993" s="527" t="s">
        <v>7259</v>
      </c>
      <c r="F1993" s="219"/>
    </row>
    <row r="1994" spans="1:6" ht="14.4">
      <c r="A1994">
        <v>2438</v>
      </c>
      <c r="B1994" t="s">
        <v>19192</v>
      </c>
      <c r="C1994" t="s">
        <v>2267</v>
      </c>
      <c r="D1994" t="s">
        <v>1857</v>
      </c>
      <c r="E1994" s="527" t="s">
        <v>14693</v>
      </c>
      <c r="F1994" s="220"/>
    </row>
    <row r="1995" spans="1:6" ht="14.4">
      <c r="A1995">
        <v>40922</v>
      </c>
      <c r="B1995" t="s">
        <v>19193</v>
      </c>
      <c r="C1995" t="s">
        <v>2276</v>
      </c>
      <c r="D1995" t="s">
        <v>1857</v>
      </c>
      <c r="E1995" s="527" t="s">
        <v>19194</v>
      </c>
      <c r="F1995" s="219"/>
    </row>
    <row r="1996" spans="1:6" ht="14.4">
      <c r="A1996">
        <v>36486</v>
      </c>
      <c r="B1996" t="s">
        <v>19195</v>
      </c>
      <c r="C1996" t="s">
        <v>2269</v>
      </c>
      <c r="D1996" t="s">
        <v>2271</v>
      </c>
      <c r="E1996" s="527" t="s">
        <v>19196</v>
      </c>
      <c r="F1996" s="220"/>
    </row>
    <row r="1997" spans="1:6" ht="14.4">
      <c r="A1997">
        <v>37777</v>
      </c>
      <c r="B1997" t="s">
        <v>19197</v>
      </c>
      <c r="C1997" t="s">
        <v>2269</v>
      </c>
      <c r="D1997" t="s">
        <v>2271</v>
      </c>
      <c r="E1997" s="527" t="s">
        <v>19198</v>
      </c>
      <c r="F1997" s="219"/>
    </row>
    <row r="1998" spans="1:6" ht="14.4">
      <c r="A1998">
        <v>12624</v>
      </c>
      <c r="B1998" t="s">
        <v>19199</v>
      </c>
      <c r="C1998" t="s">
        <v>2269</v>
      </c>
      <c r="D1998" t="s">
        <v>2271</v>
      </c>
      <c r="E1998" s="527" t="s">
        <v>7726</v>
      </c>
      <c r="F1998" s="220"/>
    </row>
    <row r="1999" spans="1:6" ht="14.4">
      <c r="A1999">
        <v>517</v>
      </c>
      <c r="B1999" t="s">
        <v>19200</v>
      </c>
      <c r="C1999" t="s">
        <v>2275</v>
      </c>
      <c r="D1999" t="s">
        <v>1857</v>
      </c>
      <c r="E1999" s="527" t="s">
        <v>4759</v>
      </c>
      <c r="F1999" s="219"/>
    </row>
    <row r="2000" spans="1:6" ht="14.4">
      <c r="A2000">
        <v>41904</v>
      </c>
      <c r="B2000" t="s">
        <v>19201</v>
      </c>
      <c r="C2000" t="s">
        <v>2281</v>
      </c>
      <c r="D2000" t="s">
        <v>2271</v>
      </c>
      <c r="E2000" s="527" t="s">
        <v>19202</v>
      </c>
      <c r="F2000" s="220"/>
    </row>
    <row r="2001" spans="1:6" ht="14.4">
      <c r="A2001">
        <v>41903</v>
      </c>
      <c r="B2001" t="s">
        <v>19203</v>
      </c>
      <c r="C2001" t="s">
        <v>2274</v>
      </c>
      <c r="D2001" t="s">
        <v>2271</v>
      </c>
      <c r="E2001" s="527" t="s">
        <v>10287</v>
      </c>
      <c r="F2001" s="219"/>
    </row>
    <row r="2002" spans="1:6" ht="14.4">
      <c r="A2002">
        <v>37534</v>
      </c>
      <c r="B2002" t="s">
        <v>19204</v>
      </c>
      <c r="C2002" t="s">
        <v>2274</v>
      </c>
      <c r="D2002" t="s">
        <v>2271</v>
      </c>
      <c r="E2002" s="527" t="s">
        <v>10743</v>
      </c>
      <c r="F2002" s="220"/>
    </row>
    <row r="2003" spans="1:6" ht="14.4">
      <c r="A2003">
        <v>37535</v>
      </c>
      <c r="B2003" t="s">
        <v>19205</v>
      </c>
      <c r="C2003" t="s">
        <v>2274</v>
      </c>
      <c r="D2003" t="s">
        <v>2271</v>
      </c>
      <c r="E2003" s="527" t="s">
        <v>10743</v>
      </c>
      <c r="F2003" s="219"/>
    </row>
    <row r="2004" spans="1:6" ht="14.4">
      <c r="A2004">
        <v>37533</v>
      </c>
      <c r="B2004" t="s">
        <v>19206</v>
      </c>
      <c r="C2004" t="s">
        <v>2274</v>
      </c>
      <c r="D2004" t="s">
        <v>2271</v>
      </c>
      <c r="E2004" s="527" t="s">
        <v>10743</v>
      </c>
      <c r="F2004" s="220"/>
    </row>
    <row r="2005" spans="1:6" ht="14.4">
      <c r="A2005">
        <v>37537</v>
      </c>
      <c r="B2005" t="s">
        <v>19207</v>
      </c>
      <c r="C2005" t="s">
        <v>2274</v>
      </c>
      <c r="D2005" t="s">
        <v>2271</v>
      </c>
      <c r="E2005" s="527" t="s">
        <v>10697</v>
      </c>
      <c r="F2005" s="219"/>
    </row>
    <row r="2006" spans="1:6" ht="14.4">
      <c r="A2006">
        <v>37536</v>
      </c>
      <c r="B2006" t="s">
        <v>19208</v>
      </c>
      <c r="C2006" t="s">
        <v>2274</v>
      </c>
      <c r="D2006" t="s">
        <v>2271</v>
      </c>
      <c r="E2006" s="527" t="s">
        <v>10697</v>
      </c>
      <c r="F2006" s="220"/>
    </row>
    <row r="2007" spans="1:6" ht="14.4">
      <c r="A2007">
        <v>37532</v>
      </c>
      <c r="B2007" t="s">
        <v>19209</v>
      </c>
      <c r="C2007" t="s">
        <v>2274</v>
      </c>
      <c r="D2007" t="s">
        <v>2271</v>
      </c>
      <c r="E2007" s="527" t="s">
        <v>10697</v>
      </c>
      <c r="F2007" s="219"/>
    </row>
    <row r="2008" spans="1:6" ht="14.4">
      <c r="A2008">
        <v>2696</v>
      </c>
      <c r="B2008" t="s">
        <v>19210</v>
      </c>
      <c r="C2008" t="s">
        <v>2267</v>
      </c>
      <c r="D2008" t="s">
        <v>2268</v>
      </c>
      <c r="E2008" s="527" t="s">
        <v>10620</v>
      </c>
      <c r="F2008" s="220"/>
    </row>
    <row r="2009" spans="1:6" ht="14.4">
      <c r="A2009">
        <v>40928</v>
      </c>
      <c r="B2009" t="s">
        <v>19211</v>
      </c>
      <c r="C2009" t="s">
        <v>2276</v>
      </c>
      <c r="D2009" t="s">
        <v>1857</v>
      </c>
      <c r="E2009" s="527" t="s">
        <v>19212</v>
      </c>
      <c r="F2009" s="219"/>
    </row>
    <row r="2010" spans="1:6" ht="14.4">
      <c r="A2010">
        <v>4083</v>
      </c>
      <c r="B2010" t="s">
        <v>19213</v>
      </c>
      <c r="C2010" t="s">
        <v>2267</v>
      </c>
      <c r="D2010" t="s">
        <v>2268</v>
      </c>
      <c r="E2010" s="527" t="s">
        <v>9491</v>
      </c>
      <c r="F2010" s="220"/>
    </row>
    <row r="2011" spans="1:6" ht="14.4">
      <c r="A2011">
        <v>40818</v>
      </c>
      <c r="B2011" t="s">
        <v>19214</v>
      </c>
      <c r="C2011" t="s">
        <v>2276</v>
      </c>
      <c r="D2011" t="s">
        <v>1857</v>
      </c>
      <c r="E2011" s="527" t="s">
        <v>19215</v>
      </c>
      <c r="F2011" s="219"/>
    </row>
    <row r="2012" spans="1:6" ht="14.4">
      <c r="A2012">
        <v>43146</v>
      </c>
      <c r="B2012" t="s">
        <v>19216</v>
      </c>
      <c r="C2012" t="s">
        <v>2274</v>
      </c>
      <c r="D2012" t="s">
        <v>1857</v>
      </c>
      <c r="E2012" s="527" t="s">
        <v>6348</v>
      </c>
      <c r="F2012" s="220"/>
    </row>
    <row r="2013" spans="1:6" ht="14.4">
      <c r="A2013">
        <v>2705</v>
      </c>
      <c r="B2013" t="s">
        <v>19217</v>
      </c>
      <c r="C2013" t="s">
        <v>2284</v>
      </c>
      <c r="D2013" t="s">
        <v>1857</v>
      </c>
      <c r="E2013" s="527" t="s">
        <v>7538</v>
      </c>
      <c r="F2013" s="219"/>
    </row>
    <row r="2014" spans="1:6" ht="14.4">
      <c r="A2014">
        <v>14250</v>
      </c>
      <c r="B2014" t="s">
        <v>19218</v>
      </c>
      <c r="C2014" t="s">
        <v>2284</v>
      </c>
      <c r="D2014" t="s">
        <v>2268</v>
      </c>
      <c r="E2014" s="527" t="s">
        <v>9763</v>
      </c>
      <c r="F2014" s="220"/>
    </row>
    <row r="2015" spans="1:6" ht="14.4">
      <c r="A2015">
        <v>11683</v>
      </c>
      <c r="B2015" t="s">
        <v>19219</v>
      </c>
      <c r="C2015" t="s">
        <v>2269</v>
      </c>
      <c r="D2015" t="s">
        <v>1857</v>
      </c>
      <c r="E2015" s="527" t="s">
        <v>19220</v>
      </c>
      <c r="F2015" s="219"/>
    </row>
    <row r="2016" spans="1:6" ht="14.4">
      <c r="A2016">
        <v>11684</v>
      </c>
      <c r="B2016" t="s">
        <v>19221</v>
      </c>
      <c r="C2016" t="s">
        <v>2269</v>
      </c>
      <c r="D2016" t="s">
        <v>1857</v>
      </c>
      <c r="E2016" s="527" t="s">
        <v>10314</v>
      </c>
      <c r="F2016" s="220"/>
    </row>
    <row r="2017" spans="1:6" ht="14.4">
      <c r="A2017">
        <v>6141</v>
      </c>
      <c r="B2017" t="s">
        <v>19222</v>
      </c>
      <c r="C2017" t="s">
        <v>2269</v>
      </c>
      <c r="D2017" t="s">
        <v>1857</v>
      </c>
      <c r="E2017" s="527" t="s">
        <v>10780</v>
      </c>
      <c r="F2017" s="219"/>
    </row>
    <row r="2018" spans="1:6" ht="14.4">
      <c r="A2018">
        <v>11681</v>
      </c>
      <c r="B2018" t="s">
        <v>19223</v>
      </c>
      <c r="C2018" t="s">
        <v>2269</v>
      </c>
      <c r="D2018" t="s">
        <v>1857</v>
      </c>
      <c r="E2018" s="527" t="s">
        <v>9486</v>
      </c>
      <c r="F2018" s="220"/>
    </row>
    <row r="2019" spans="1:6" ht="14.4">
      <c r="A2019">
        <v>2706</v>
      </c>
      <c r="B2019" t="s">
        <v>19224</v>
      </c>
      <c r="C2019" t="s">
        <v>2267</v>
      </c>
      <c r="D2019" t="s">
        <v>2268</v>
      </c>
      <c r="E2019" s="527" t="s">
        <v>19225</v>
      </c>
      <c r="F2019" s="219"/>
    </row>
    <row r="2020" spans="1:6" ht="14.4">
      <c r="A2020">
        <v>40811</v>
      </c>
      <c r="B2020" t="s">
        <v>19226</v>
      </c>
      <c r="C2020" t="s">
        <v>2276</v>
      </c>
      <c r="D2020" t="s">
        <v>1857</v>
      </c>
      <c r="E2020" s="527" t="s">
        <v>19227</v>
      </c>
      <c r="F2020" s="220"/>
    </row>
    <row r="2021" spans="1:6" ht="14.4">
      <c r="A2021">
        <v>2707</v>
      </c>
      <c r="B2021" t="s">
        <v>19228</v>
      </c>
      <c r="C2021" t="s">
        <v>2267</v>
      </c>
      <c r="D2021" t="s">
        <v>1857</v>
      </c>
      <c r="E2021" s="527" t="s">
        <v>13330</v>
      </c>
      <c r="F2021" s="219"/>
    </row>
    <row r="2022" spans="1:6" ht="14.4">
      <c r="A2022">
        <v>40813</v>
      </c>
      <c r="B2022" t="s">
        <v>19229</v>
      </c>
      <c r="C2022" t="s">
        <v>2276</v>
      </c>
      <c r="D2022" t="s">
        <v>1857</v>
      </c>
      <c r="E2022" s="527" t="s">
        <v>19230</v>
      </c>
      <c r="F2022" s="220"/>
    </row>
    <row r="2023" spans="1:6" ht="14.4">
      <c r="A2023">
        <v>2708</v>
      </c>
      <c r="B2023" t="s">
        <v>19231</v>
      </c>
      <c r="C2023" t="s">
        <v>2267</v>
      </c>
      <c r="D2023" t="s">
        <v>1857</v>
      </c>
      <c r="E2023" s="527" t="s">
        <v>19232</v>
      </c>
      <c r="F2023" s="219"/>
    </row>
    <row r="2024" spans="1:6" ht="14.4">
      <c r="A2024">
        <v>40814</v>
      </c>
      <c r="B2024" t="s">
        <v>19233</v>
      </c>
      <c r="C2024" t="s">
        <v>2276</v>
      </c>
      <c r="D2024" t="s">
        <v>1857</v>
      </c>
      <c r="E2024" s="527" t="s">
        <v>19234</v>
      </c>
      <c r="F2024" s="220"/>
    </row>
    <row r="2025" spans="1:6" ht="14.4">
      <c r="A2025">
        <v>34779</v>
      </c>
      <c r="B2025" t="s">
        <v>19235</v>
      </c>
      <c r="C2025" t="s">
        <v>2267</v>
      </c>
      <c r="D2025" t="s">
        <v>1857</v>
      </c>
      <c r="E2025" s="527" t="s">
        <v>16268</v>
      </c>
      <c r="F2025" s="219"/>
    </row>
    <row r="2026" spans="1:6" ht="14.4">
      <c r="A2026">
        <v>40936</v>
      </c>
      <c r="B2026" t="s">
        <v>19236</v>
      </c>
      <c r="C2026" t="s">
        <v>2276</v>
      </c>
      <c r="D2026" t="s">
        <v>1857</v>
      </c>
      <c r="E2026" s="527" t="s">
        <v>19237</v>
      </c>
      <c r="F2026" s="220"/>
    </row>
    <row r="2027" spans="1:6" ht="14.4">
      <c r="A2027">
        <v>34780</v>
      </c>
      <c r="B2027" t="s">
        <v>19238</v>
      </c>
      <c r="C2027" t="s">
        <v>2267</v>
      </c>
      <c r="D2027" t="s">
        <v>1857</v>
      </c>
      <c r="E2027" s="527" t="s">
        <v>16547</v>
      </c>
      <c r="F2027" s="219"/>
    </row>
    <row r="2028" spans="1:6" ht="14.4">
      <c r="A2028">
        <v>40937</v>
      </c>
      <c r="B2028" t="s">
        <v>19239</v>
      </c>
      <c r="C2028" t="s">
        <v>2276</v>
      </c>
      <c r="D2028" t="s">
        <v>1857</v>
      </c>
      <c r="E2028" s="527" t="s">
        <v>19240</v>
      </c>
      <c r="F2028" s="220"/>
    </row>
    <row r="2029" spans="1:6" ht="14.4">
      <c r="A2029">
        <v>34782</v>
      </c>
      <c r="B2029" t="s">
        <v>19241</v>
      </c>
      <c r="C2029" t="s">
        <v>2267</v>
      </c>
      <c r="D2029" t="s">
        <v>1857</v>
      </c>
      <c r="E2029" s="527" t="s">
        <v>19242</v>
      </c>
      <c r="F2029" s="219"/>
    </row>
    <row r="2030" spans="1:6" ht="14.4">
      <c r="A2030">
        <v>40938</v>
      </c>
      <c r="B2030" t="s">
        <v>19243</v>
      </c>
      <c r="C2030" t="s">
        <v>2276</v>
      </c>
      <c r="D2030" t="s">
        <v>1857</v>
      </c>
      <c r="E2030" s="527" t="s">
        <v>19244</v>
      </c>
      <c r="F2030" s="220"/>
    </row>
    <row r="2031" spans="1:6" ht="14.4">
      <c r="A2031">
        <v>34783</v>
      </c>
      <c r="B2031" t="s">
        <v>19245</v>
      </c>
      <c r="C2031" t="s">
        <v>2267</v>
      </c>
      <c r="D2031" t="s">
        <v>1857</v>
      </c>
      <c r="E2031" s="527" t="s">
        <v>19246</v>
      </c>
      <c r="F2031" s="219"/>
    </row>
    <row r="2032" spans="1:6" ht="14.4">
      <c r="A2032">
        <v>40939</v>
      </c>
      <c r="B2032" t="s">
        <v>19247</v>
      </c>
      <c r="C2032" t="s">
        <v>2276</v>
      </c>
      <c r="D2032" t="s">
        <v>1857</v>
      </c>
      <c r="E2032" s="527" t="s">
        <v>19248</v>
      </c>
      <c r="F2032" s="220"/>
    </row>
    <row r="2033" spans="1:6" ht="14.4">
      <c r="A2033">
        <v>34785</v>
      </c>
      <c r="B2033" t="s">
        <v>19249</v>
      </c>
      <c r="C2033" t="s">
        <v>2267</v>
      </c>
      <c r="D2033" t="s">
        <v>1857</v>
      </c>
      <c r="E2033" s="527" t="s">
        <v>19250</v>
      </c>
      <c r="F2033" s="219"/>
    </row>
    <row r="2034" spans="1:6" ht="14.4">
      <c r="A2034">
        <v>40940</v>
      </c>
      <c r="B2034" t="s">
        <v>19251</v>
      </c>
      <c r="C2034" t="s">
        <v>2276</v>
      </c>
      <c r="D2034" t="s">
        <v>1857</v>
      </c>
      <c r="E2034" s="527" t="s">
        <v>19252</v>
      </c>
      <c r="F2034" s="220"/>
    </row>
    <row r="2035" spans="1:6" ht="14.4">
      <c r="A2035">
        <v>38403</v>
      </c>
      <c r="B2035" t="s">
        <v>19253</v>
      </c>
      <c r="C2035" t="s">
        <v>2269</v>
      </c>
      <c r="D2035" t="s">
        <v>1857</v>
      </c>
      <c r="E2035" s="527" t="s">
        <v>11634</v>
      </c>
      <c r="F2035" s="219"/>
    </row>
    <row r="2036" spans="1:6" ht="14.4">
      <c r="A2036">
        <v>43482</v>
      </c>
      <c r="B2036" t="s">
        <v>19254</v>
      </c>
      <c r="C2036" t="s">
        <v>2267</v>
      </c>
      <c r="D2036" t="s">
        <v>2268</v>
      </c>
      <c r="E2036" s="527" t="s">
        <v>3812</v>
      </c>
      <c r="F2036" s="220"/>
    </row>
    <row r="2037" spans="1:6" ht="14.4">
      <c r="A2037">
        <v>43494</v>
      </c>
      <c r="B2037" t="s">
        <v>19255</v>
      </c>
      <c r="C2037" t="s">
        <v>2276</v>
      </c>
      <c r="D2037" t="s">
        <v>2268</v>
      </c>
      <c r="E2037" s="527" t="s">
        <v>15374</v>
      </c>
      <c r="F2037" s="219"/>
    </row>
    <row r="2038" spans="1:6" ht="14.4">
      <c r="A2038">
        <v>43483</v>
      </c>
      <c r="B2038" t="s">
        <v>19256</v>
      </c>
      <c r="C2038" t="s">
        <v>2267</v>
      </c>
      <c r="D2038" t="s">
        <v>2268</v>
      </c>
      <c r="E2038" s="527" t="s">
        <v>7366</v>
      </c>
      <c r="F2038" s="220"/>
    </row>
    <row r="2039" spans="1:6" ht="14.4">
      <c r="A2039">
        <v>43495</v>
      </c>
      <c r="B2039" t="s">
        <v>19257</v>
      </c>
      <c r="C2039" t="s">
        <v>2276</v>
      </c>
      <c r="D2039" t="s">
        <v>2268</v>
      </c>
      <c r="E2039" s="527" t="s">
        <v>15168</v>
      </c>
      <c r="F2039" s="219"/>
    </row>
    <row r="2040" spans="1:6" ht="14.4">
      <c r="A2040">
        <v>43484</v>
      </c>
      <c r="B2040" t="s">
        <v>19258</v>
      </c>
      <c r="C2040" t="s">
        <v>2267</v>
      </c>
      <c r="D2040" t="s">
        <v>2268</v>
      </c>
      <c r="E2040" s="527" t="s">
        <v>7538</v>
      </c>
      <c r="F2040" s="220"/>
    </row>
    <row r="2041" spans="1:6" ht="14.4">
      <c r="A2041">
        <v>43496</v>
      </c>
      <c r="B2041" t="s">
        <v>19259</v>
      </c>
      <c r="C2041" t="s">
        <v>2276</v>
      </c>
      <c r="D2041" t="s">
        <v>2268</v>
      </c>
      <c r="E2041" s="527" t="s">
        <v>15375</v>
      </c>
      <c r="F2041" s="219"/>
    </row>
    <row r="2042" spans="1:6" ht="14.4">
      <c r="A2042">
        <v>43485</v>
      </c>
      <c r="B2042" t="s">
        <v>19260</v>
      </c>
      <c r="C2042" t="s">
        <v>2267</v>
      </c>
      <c r="D2042" t="s">
        <v>2268</v>
      </c>
      <c r="E2042" s="527" t="s">
        <v>3256</v>
      </c>
      <c r="F2042" s="220"/>
    </row>
    <row r="2043" spans="1:6" ht="14.4">
      <c r="A2043">
        <v>43497</v>
      </c>
      <c r="B2043" t="s">
        <v>19261</v>
      </c>
      <c r="C2043" t="s">
        <v>2276</v>
      </c>
      <c r="D2043" t="s">
        <v>2268</v>
      </c>
      <c r="E2043" s="527" t="s">
        <v>15376</v>
      </c>
      <c r="F2043" s="219"/>
    </row>
    <row r="2044" spans="1:6" ht="14.4">
      <c r="A2044">
        <v>43487</v>
      </c>
      <c r="B2044" t="s">
        <v>19262</v>
      </c>
      <c r="C2044" t="s">
        <v>2267</v>
      </c>
      <c r="D2044" t="s">
        <v>2268</v>
      </c>
      <c r="E2044" s="527" t="s">
        <v>3160</v>
      </c>
      <c r="F2044" s="220"/>
    </row>
    <row r="2045" spans="1:6" ht="14.4">
      <c r="A2045">
        <v>43499</v>
      </c>
      <c r="B2045" t="s">
        <v>19263</v>
      </c>
      <c r="C2045" t="s">
        <v>2276</v>
      </c>
      <c r="D2045" t="s">
        <v>2268</v>
      </c>
      <c r="E2045" s="527" t="s">
        <v>15377</v>
      </c>
      <c r="F2045" s="219"/>
    </row>
    <row r="2046" spans="1:6" ht="14.4">
      <c r="A2046">
        <v>43486</v>
      </c>
      <c r="B2046" t="s">
        <v>19264</v>
      </c>
      <c r="C2046" t="s">
        <v>2267</v>
      </c>
      <c r="D2046" t="s">
        <v>2268</v>
      </c>
      <c r="E2046" s="527" t="s">
        <v>3571</v>
      </c>
      <c r="F2046" s="220"/>
    </row>
    <row r="2047" spans="1:6" ht="14.4">
      <c r="A2047">
        <v>43498</v>
      </c>
      <c r="B2047" t="s">
        <v>19265</v>
      </c>
      <c r="C2047" t="s">
        <v>2276</v>
      </c>
      <c r="D2047" t="s">
        <v>2268</v>
      </c>
      <c r="E2047" s="527" t="s">
        <v>15378</v>
      </c>
      <c r="F2047" s="219"/>
    </row>
    <row r="2048" spans="1:6" ht="14.4">
      <c r="A2048">
        <v>43488</v>
      </c>
      <c r="B2048" t="s">
        <v>19266</v>
      </c>
      <c r="C2048" t="s">
        <v>2267</v>
      </c>
      <c r="D2048" t="s">
        <v>2268</v>
      </c>
      <c r="E2048" s="527" t="s">
        <v>3366</v>
      </c>
      <c r="F2048" s="220"/>
    </row>
    <row r="2049" spans="1:6" ht="14.4">
      <c r="A2049">
        <v>43500</v>
      </c>
      <c r="B2049" t="s">
        <v>19267</v>
      </c>
      <c r="C2049" t="s">
        <v>2276</v>
      </c>
      <c r="D2049" t="s">
        <v>2268</v>
      </c>
      <c r="E2049" s="527" t="s">
        <v>15379</v>
      </c>
      <c r="F2049" s="219"/>
    </row>
    <row r="2050" spans="1:6" ht="14.4">
      <c r="A2050">
        <v>43489</v>
      </c>
      <c r="B2050" t="s">
        <v>19268</v>
      </c>
      <c r="C2050" t="s">
        <v>2267</v>
      </c>
      <c r="D2050" t="s">
        <v>2268</v>
      </c>
      <c r="E2050" s="527" t="s">
        <v>3976</v>
      </c>
      <c r="F2050" s="220"/>
    </row>
    <row r="2051" spans="1:6" ht="14.4">
      <c r="A2051">
        <v>43501</v>
      </c>
      <c r="B2051" t="s">
        <v>19269</v>
      </c>
      <c r="C2051" t="s">
        <v>2276</v>
      </c>
      <c r="D2051" t="s">
        <v>2268</v>
      </c>
      <c r="E2051" s="527" t="s">
        <v>12242</v>
      </c>
      <c r="F2051" s="219"/>
    </row>
    <row r="2052" spans="1:6" ht="14.4">
      <c r="A2052">
        <v>43490</v>
      </c>
      <c r="B2052" t="s">
        <v>19270</v>
      </c>
      <c r="C2052" t="s">
        <v>2267</v>
      </c>
      <c r="D2052" t="s">
        <v>2268</v>
      </c>
      <c r="E2052" s="527" t="s">
        <v>7252</v>
      </c>
      <c r="F2052" s="220"/>
    </row>
    <row r="2053" spans="1:6" ht="14.4">
      <c r="A2053">
        <v>43502</v>
      </c>
      <c r="B2053" t="s">
        <v>19271</v>
      </c>
      <c r="C2053" t="s">
        <v>2276</v>
      </c>
      <c r="D2053" t="s">
        <v>2268</v>
      </c>
      <c r="E2053" s="527" t="s">
        <v>15380</v>
      </c>
      <c r="F2053" s="219"/>
    </row>
    <row r="2054" spans="1:6" ht="14.4">
      <c r="A2054">
        <v>43491</v>
      </c>
      <c r="B2054" t="s">
        <v>19272</v>
      </c>
      <c r="C2054" t="s">
        <v>2267</v>
      </c>
      <c r="D2054" t="s">
        <v>2268</v>
      </c>
      <c r="E2054" s="527" t="s">
        <v>10763</v>
      </c>
      <c r="F2054" s="220"/>
    </row>
    <row r="2055" spans="1:6" ht="14.4">
      <c r="A2055">
        <v>43503</v>
      </c>
      <c r="B2055" t="s">
        <v>19273</v>
      </c>
      <c r="C2055" t="s">
        <v>2276</v>
      </c>
      <c r="D2055" t="s">
        <v>2268</v>
      </c>
      <c r="E2055" s="527" t="s">
        <v>15381</v>
      </c>
      <c r="F2055" s="219"/>
    </row>
    <row r="2056" spans="1:6" ht="14.4">
      <c r="A2056">
        <v>43492</v>
      </c>
      <c r="B2056" t="s">
        <v>19274</v>
      </c>
      <c r="C2056" t="s">
        <v>2267</v>
      </c>
      <c r="D2056" t="s">
        <v>2268</v>
      </c>
      <c r="E2056" s="527" t="s">
        <v>6990</v>
      </c>
      <c r="F2056" s="220"/>
    </row>
    <row r="2057" spans="1:6" ht="14.4">
      <c r="A2057">
        <v>43504</v>
      </c>
      <c r="B2057" t="s">
        <v>19275</v>
      </c>
      <c r="C2057" t="s">
        <v>2276</v>
      </c>
      <c r="D2057" t="s">
        <v>2268</v>
      </c>
      <c r="E2057" s="527" t="s">
        <v>15382</v>
      </c>
      <c r="F2057" s="219"/>
    </row>
    <row r="2058" spans="1:6" ht="14.4">
      <c r="A2058">
        <v>43493</v>
      </c>
      <c r="B2058" t="s">
        <v>19276</v>
      </c>
      <c r="C2058" t="s">
        <v>2267</v>
      </c>
      <c r="D2058" t="s">
        <v>2268</v>
      </c>
      <c r="E2058" s="527" t="s">
        <v>3683</v>
      </c>
      <c r="F2058" s="220"/>
    </row>
    <row r="2059" spans="1:6" ht="14.4">
      <c r="A2059">
        <v>43505</v>
      </c>
      <c r="B2059" t="s">
        <v>19277</v>
      </c>
      <c r="C2059" t="s">
        <v>2276</v>
      </c>
      <c r="D2059" t="s">
        <v>2268</v>
      </c>
      <c r="E2059" s="527" t="s">
        <v>15263</v>
      </c>
      <c r="F2059" s="219"/>
    </row>
    <row r="2060" spans="1:6" ht="14.4">
      <c r="A2060">
        <v>37774</v>
      </c>
      <c r="B2060" t="s">
        <v>19278</v>
      </c>
      <c r="C2060" t="s">
        <v>2269</v>
      </c>
      <c r="D2060" t="s">
        <v>2271</v>
      </c>
      <c r="E2060" s="527" t="s">
        <v>19279</v>
      </c>
      <c r="F2060" s="220"/>
    </row>
    <row r="2061" spans="1:6" ht="14.4">
      <c r="A2061">
        <v>38630</v>
      </c>
      <c r="B2061" t="s">
        <v>19280</v>
      </c>
      <c r="C2061" t="s">
        <v>2269</v>
      </c>
      <c r="D2061" t="s">
        <v>2271</v>
      </c>
      <c r="E2061" s="527" t="s">
        <v>19281</v>
      </c>
      <c r="F2061" s="219"/>
    </row>
    <row r="2062" spans="1:6" ht="14.4">
      <c r="A2062">
        <v>38629</v>
      </c>
      <c r="B2062" t="s">
        <v>19282</v>
      </c>
      <c r="C2062" t="s">
        <v>2269</v>
      </c>
      <c r="D2062" t="s">
        <v>2271</v>
      </c>
      <c r="E2062" s="527" t="s">
        <v>19283</v>
      </c>
      <c r="F2062" s="220"/>
    </row>
    <row r="2063" spans="1:6" ht="14.4">
      <c r="A2063">
        <v>38476</v>
      </c>
      <c r="B2063" t="s">
        <v>19284</v>
      </c>
      <c r="C2063" t="s">
        <v>2269</v>
      </c>
      <c r="D2063" t="s">
        <v>1857</v>
      </c>
      <c r="E2063" s="527" t="s">
        <v>15383</v>
      </c>
      <c r="F2063" s="219"/>
    </row>
    <row r="2064" spans="1:6" ht="14.4">
      <c r="A2064">
        <v>38477</v>
      </c>
      <c r="B2064" t="s">
        <v>19285</v>
      </c>
      <c r="C2064" t="s">
        <v>2269</v>
      </c>
      <c r="D2064" t="s">
        <v>1857</v>
      </c>
      <c r="E2064" s="527" t="s">
        <v>15384</v>
      </c>
      <c r="F2064" s="220"/>
    </row>
    <row r="2065" spans="1:6" ht="14.4">
      <c r="A2065">
        <v>40635</v>
      </c>
      <c r="B2065" t="s">
        <v>19286</v>
      </c>
      <c r="C2065" t="s">
        <v>2269</v>
      </c>
      <c r="D2065" t="s">
        <v>1857</v>
      </c>
      <c r="E2065" s="527" t="s">
        <v>19287</v>
      </c>
      <c r="F2065" s="219"/>
    </row>
    <row r="2066" spans="1:6" ht="14.4">
      <c r="A2066">
        <v>36483</v>
      </c>
      <c r="B2066" t="s">
        <v>19288</v>
      </c>
      <c r="C2066" t="s">
        <v>2269</v>
      </c>
      <c r="D2066" t="s">
        <v>1857</v>
      </c>
      <c r="E2066" s="527" t="s">
        <v>19289</v>
      </c>
      <c r="F2066" s="220"/>
    </row>
    <row r="2067" spans="1:6" ht="14.4">
      <c r="A2067">
        <v>14525</v>
      </c>
      <c r="B2067" t="s">
        <v>19290</v>
      </c>
      <c r="C2067" t="s">
        <v>2269</v>
      </c>
      <c r="D2067" t="s">
        <v>1857</v>
      </c>
      <c r="E2067" s="527" t="s">
        <v>19291</v>
      </c>
      <c r="F2067" s="219"/>
    </row>
    <row r="2068" spans="1:6" ht="14.4">
      <c r="A2068">
        <v>36482</v>
      </c>
      <c r="B2068" t="s">
        <v>19292</v>
      </c>
      <c r="C2068" t="s">
        <v>2269</v>
      </c>
      <c r="D2068" t="s">
        <v>1857</v>
      </c>
      <c r="E2068" s="527" t="s">
        <v>19293</v>
      </c>
      <c r="F2068" s="220"/>
    </row>
    <row r="2069" spans="1:6" ht="14.4">
      <c r="A2069">
        <v>36408</v>
      </c>
      <c r="B2069" t="s">
        <v>19294</v>
      </c>
      <c r="C2069" t="s">
        <v>2269</v>
      </c>
      <c r="D2069" t="s">
        <v>1857</v>
      </c>
      <c r="E2069" s="527" t="s">
        <v>19295</v>
      </c>
      <c r="F2069" s="219"/>
    </row>
    <row r="2070" spans="1:6" ht="14.4">
      <c r="A2070">
        <v>2723</v>
      </c>
      <c r="B2070" t="s">
        <v>19296</v>
      </c>
      <c r="C2070" t="s">
        <v>2269</v>
      </c>
      <c r="D2070" t="s">
        <v>1857</v>
      </c>
      <c r="E2070" s="527" t="s">
        <v>19297</v>
      </c>
      <c r="F2070" s="220"/>
    </row>
    <row r="2071" spans="1:6" ht="14.4">
      <c r="A2071">
        <v>36481</v>
      </c>
      <c r="B2071" t="s">
        <v>19298</v>
      </c>
      <c r="C2071" t="s">
        <v>2269</v>
      </c>
      <c r="D2071" t="s">
        <v>1857</v>
      </c>
      <c r="E2071" s="527" t="s">
        <v>19299</v>
      </c>
      <c r="F2071" s="219"/>
    </row>
    <row r="2072" spans="1:6" ht="14.4">
      <c r="A2072">
        <v>10685</v>
      </c>
      <c r="B2072" t="s">
        <v>19300</v>
      </c>
      <c r="C2072" t="s">
        <v>2269</v>
      </c>
      <c r="D2072" t="s">
        <v>2268</v>
      </c>
      <c r="E2072" s="527" t="s">
        <v>19301</v>
      </c>
      <c r="F2072" s="220"/>
    </row>
    <row r="2073" spans="1:6" ht="14.4">
      <c r="A2073">
        <v>40636</v>
      </c>
      <c r="B2073" t="s">
        <v>19302</v>
      </c>
      <c r="C2073" t="s">
        <v>2269</v>
      </c>
      <c r="D2073" t="s">
        <v>1857</v>
      </c>
      <c r="E2073" s="527" t="s">
        <v>19303</v>
      </c>
      <c r="F2073" s="219"/>
    </row>
    <row r="2074" spans="1:6" ht="14.4">
      <c r="A2074">
        <v>4111</v>
      </c>
      <c r="B2074" t="s">
        <v>19304</v>
      </c>
      <c r="C2074" t="s">
        <v>2269</v>
      </c>
      <c r="D2074" t="s">
        <v>1857</v>
      </c>
      <c r="E2074" s="527" t="s">
        <v>19305</v>
      </c>
      <c r="F2074" s="220"/>
    </row>
    <row r="2075" spans="1:6" ht="14.4">
      <c r="A2075">
        <v>26021</v>
      </c>
      <c r="B2075" t="s">
        <v>19306</v>
      </c>
      <c r="C2075" t="s">
        <v>2269</v>
      </c>
      <c r="D2075" t="s">
        <v>1857</v>
      </c>
      <c r="E2075" s="527" t="s">
        <v>10184</v>
      </c>
      <c r="F2075" s="219"/>
    </row>
    <row r="2076" spans="1:6" ht="14.4">
      <c r="A2076">
        <v>12</v>
      </c>
      <c r="B2076" t="s">
        <v>19307</v>
      </c>
      <c r="C2076" t="s">
        <v>2269</v>
      </c>
      <c r="D2076" t="s">
        <v>2268</v>
      </c>
      <c r="E2076" s="527" t="s">
        <v>6014</v>
      </c>
      <c r="F2076" s="220"/>
    </row>
    <row r="2077" spans="1:6" ht="14.4">
      <c r="A2077">
        <v>37554</v>
      </c>
      <c r="B2077" t="s">
        <v>19308</v>
      </c>
      <c r="C2077" t="s">
        <v>2269</v>
      </c>
      <c r="D2077" t="s">
        <v>1857</v>
      </c>
      <c r="E2077" s="527" t="s">
        <v>19309</v>
      </c>
      <c r="F2077" s="219"/>
    </row>
    <row r="2078" spans="1:6" ht="14.4">
      <c r="A2078">
        <v>37555</v>
      </c>
      <c r="B2078" t="s">
        <v>19310</v>
      </c>
      <c r="C2078" t="s">
        <v>2269</v>
      </c>
      <c r="D2078" t="s">
        <v>1857</v>
      </c>
      <c r="E2078" s="527" t="s">
        <v>19311</v>
      </c>
      <c r="F2078" s="220"/>
    </row>
    <row r="2079" spans="1:6" ht="14.4">
      <c r="A2079">
        <v>10902</v>
      </c>
      <c r="B2079" t="s">
        <v>19312</v>
      </c>
      <c r="C2079" t="s">
        <v>2269</v>
      </c>
      <c r="D2079" t="s">
        <v>1857</v>
      </c>
      <c r="E2079" s="527" t="s">
        <v>19313</v>
      </c>
      <c r="F2079" s="219"/>
    </row>
    <row r="2080" spans="1:6" ht="14.4">
      <c r="A2080">
        <v>20965</v>
      </c>
      <c r="B2080" t="s">
        <v>19314</v>
      </c>
      <c r="C2080" t="s">
        <v>2269</v>
      </c>
      <c r="D2080" t="s">
        <v>1857</v>
      </c>
      <c r="E2080" s="527" t="s">
        <v>19315</v>
      </c>
      <c r="F2080" s="220"/>
    </row>
    <row r="2081" spans="1:6" ht="14.4">
      <c r="A2081">
        <v>20966</v>
      </c>
      <c r="B2081" t="s">
        <v>19316</v>
      </c>
      <c r="C2081" t="s">
        <v>2269</v>
      </c>
      <c r="D2081" t="s">
        <v>1857</v>
      </c>
      <c r="E2081" s="527" t="s">
        <v>19317</v>
      </c>
      <c r="F2081" s="219"/>
    </row>
    <row r="2082" spans="1:6" ht="14.4">
      <c r="A2082">
        <v>10903</v>
      </c>
      <c r="B2082" t="s">
        <v>19318</v>
      </c>
      <c r="C2082" t="s">
        <v>2269</v>
      </c>
      <c r="D2082" t="s">
        <v>1857</v>
      </c>
      <c r="E2082" s="527" t="s">
        <v>19319</v>
      </c>
      <c r="F2082" s="220"/>
    </row>
    <row r="2083" spans="1:6" ht="14.4">
      <c r="A2083">
        <v>20967</v>
      </c>
      <c r="B2083" t="s">
        <v>19320</v>
      </c>
      <c r="C2083" t="s">
        <v>2269</v>
      </c>
      <c r="D2083" t="s">
        <v>1857</v>
      </c>
      <c r="E2083" s="527" t="s">
        <v>19319</v>
      </c>
      <c r="F2083" s="219"/>
    </row>
    <row r="2084" spans="1:6" ht="14.4">
      <c r="A2084">
        <v>20968</v>
      </c>
      <c r="B2084" t="s">
        <v>19321</v>
      </c>
      <c r="C2084" t="s">
        <v>2269</v>
      </c>
      <c r="D2084" t="s">
        <v>1857</v>
      </c>
      <c r="E2084" s="527" t="s">
        <v>16454</v>
      </c>
      <c r="F2084" s="220"/>
    </row>
    <row r="2085" spans="1:6" ht="14.4">
      <c r="A2085">
        <v>11359</v>
      </c>
      <c r="B2085" t="s">
        <v>19322</v>
      </c>
      <c r="C2085" t="s">
        <v>2269</v>
      </c>
      <c r="D2085" t="s">
        <v>2268</v>
      </c>
      <c r="E2085" s="527" t="s">
        <v>19323</v>
      </c>
      <c r="F2085" s="219"/>
    </row>
    <row r="2086" spans="1:6" ht="14.4">
      <c r="A2086">
        <v>39017</v>
      </c>
      <c r="B2086" t="s">
        <v>19324</v>
      </c>
      <c r="C2086" t="s">
        <v>2269</v>
      </c>
      <c r="D2086" t="s">
        <v>1857</v>
      </c>
      <c r="E2086" s="527" t="s">
        <v>3385</v>
      </c>
      <c r="F2086" s="220"/>
    </row>
    <row r="2087" spans="1:6" ht="14.4">
      <c r="A2087">
        <v>39315</v>
      </c>
      <c r="B2087" t="s">
        <v>19325</v>
      </c>
      <c r="C2087" t="s">
        <v>2269</v>
      </c>
      <c r="D2087" t="s">
        <v>1857</v>
      </c>
      <c r="E2087" s="527" t="s">
        <v>3717</v>
      </c>
      <c r="F2087" s="219"/>
    </row>
    <row r="2088" spans="1:6" ht="14.4">
      <c r="A2088">
        <v>39016</v>
      </c>
      <c r="B2088" t="s">
        <v>19326</v>
      </c>
      <c r="C2088" t="s">
        <v>2269</v>
      </c>
      <c r="D2088" t="s">
        <v>1857</v>
      </c>
      <c r="E2088" s="527" t="s">
        <v>3717</v>
      </c>
      <c r="F2088" s="220"/>
    </row>
    <row r="2089" spans="1:6" ht="14.4">
      <c r="A2089">
        <v>40432</v>
      </c>
      <c r="B2089" t="s">
        <v>19327</v>
      </c>
      <c r="C2089" t="s">
        <v>2269</v>
      </c>
      <c r="D2089" t="s">
        <v>1857</v>
      </c>
      <c r="E2089" s="527" t="s">
        <v>7285</v>
      </c>
      <c r="F2089" s="219"/>
    </row>
    <row r="2090" spans="1:6" ht="14.4">
      <c r="A2090">
        <v>39481</v>
      </c>
      <c r="B2090" t="s">
        <v>19328</v>
      </c>
      <c r="C2090" t="s">
        <v>2269</v>
      </c>
      <c r="D2090" t="s">
        <v>1857</v>
      </c>
      <c r="E2090" s="527" t="s">
        <v>7246</v>
      </c>
      <c r="F2090" s="220"/>
    </row>
    <row r="2091" spans="1:6" ht="14.4">
      <c r="A2091">
        <v>40433</v>
      </c>
      <c r="B2091" t="s">
        <v>19329</v>
      </c>
      <c r="C2091" t="s">
        <v>2269</v>
      </c>
      <c r="D2091" t="s">
        <v>1857</v>
      </c>
      <c r="E2091" s="527" t="s">
        <v>10406</v>
      </c>
      <c r="F2091" s="219"/>
    </row>
    <row r="2092" spans="1:6" ht="14.4">
      <c r="A2092">
        <v>20219</v>
      </c>
      <c r="B2092" t="s">
        <v>19330</v>
      </c>
      <c r="C2092" t="s">
        <v>2269</v>
      </c>
      <c r="D2092" t="s">
        <v>2271</v>
      </c>
      <c r="E2092" s="527" t="s">
        <v>19331</v>
      </c>
      <c r="F2092" s="220"/>
    </row>
    <row r="2093" spans="1:6" ht="14.4">
      <c r="A2093">
        <v>36484</v>
      </c>
      <c r="B2093" t="s">
        <v>19332</v>
      </c>
      <c r="C2093" t="s">
        <v>2269</v>
      </c>
      <c r="D2093" t="s">
        <v>2271</v>
      </c>
      <c r="E2093" s="527" t="s">
        <v>19333</v>
      </c>
      <c r="F2093" s="219"/>
    </row>
    <row r="2094" spans="1:6" ht="14.4">
      <c r="A2094">
        <v>38367</v>
      </c>
      <c r="B2094" t="s">
        <v>19334</v>
      </c>
      <c r="C2094" t="s">
        <v>2269</v>
      </c>
      <c r="D2094" t="s">
        <v>1857</v>
      </c>
      <c r="E2094" s="527" t="s">
        <v>7319</v>
      </c>
      <c r="F2094" s="220"/>
    </row>
    <row r="2095" spans="1:6" ht="14.4">
      <c r="A2095">
        <v>38368</v>
      </c>
      <c r="B2095" t="s">
        <v>19335</v>
      </c>
      <c r="C2095" t="s">
        <v>2269</v>
      </c>
      <c r="D2095" t="s">
        <v>1857</v>
      </c>
      <c r="E2095" s="527" t="s">
        <v>5906</v>
      </c>
      <c r="F2095" s="219"/>
    </row>
    <row r="2096" spans="1:6" ht="14.4">
      <c r="A2096">
        <v>38091</v>
      </c>
      <c r="B2096" t="s">
        <v>19336</v>
      </c>
      <c r="C2096" t="s">
        <v>2269</v>
      </c>
      <c r="D2096" t="s">
        <v>1857</v>
      </c>
      <c r="E2096" s="527" t="s">
        <v>7390</v>
      </c>
      <c r="F2096" s="220"/>
    </row>
    <row r="2097" spans="1:6" ht="14.4">
      <c r="A2097">
        <v>38095</v>
      </c>
      <c r="B2097" t="s">
        <v>19337</v>
      </c>
      <c r="C2097" t="s">
        <v>2269</v>
      </c>
      <c r="D2097" t="s">
        <v>1857</v>
      </c>
      <c r="E2097" s="527" t="s">
        <v>5472</v>
      </c>
      <c r="F2097" s="219"/>
    </row>
    <row r="2098" spans="1:6" ht="14.4">
      <c r="A2098">
        <v>38092</v>
      </c>
      <c r="B2098" t="s">
        <v>19338</v>
      </c>
      <c r="C2098" t="s">
        <v>2269</v>
      </c>
      <c r="D2098" t="s">
        <v>1857</v>
      </c>
      <c r="E2098" s="527" t="s">
        <v>10320</v>
      </c>
      <c r="F2098" s="220"/>
    </row>
    <row r="2099" spans="1:6" ht="14.4">
      <c r="A2099">
        <v>38093</v>
      </c>
      <c r="B2099" t="s">
        <v>19339</v>
      </c>
      <c r="C2099" t="s">
        <v>2269</v>
      </c>
      <c r="D2099" t="s">
        <v>1857</v>
      </c>
      <c r="E2099" s="527" t="s">
        <v>7232</v>
      </c>
      <c r="F2099" s="219"/>
    </row>
    <row r="2100" spans="1:6" ht="14.4">
      <c r="A2100">
        <v>38096</v>
      </c>
      <c r="B2100" t="s">
        <v>19340</v>
      </c>
      <c r="C2100" t="s">
        <v>2269</v>
      </c>
      <c r="D2100" t="s">
        <v>1857</v>
      </c>
      <c r="E2100" s="527" t="s">
        <v>11618</v>
      </c>
      <c r="F2100" s="220"/>
    </row>
    <row r="2101" spans="1:6" ht="14.4">
      <c r="A2101">
        <v>38094</v>
      </c>
      <c r="B2101" t="s">
        <v>19341</v>
      </c>
      <c r="C2101" t="s">
        <v>2269</v>
      </c>
      <c r="D2101" t="s">
        <v>1857</v>
      </c>
      <c r="E2101" s="527" t="s">
        <v>10415</v>
      </c>
      <c r="F2101" s="219"/>
    </row>
    <row r="2102" spans="1:6" ht="14.4">
      <c r="A2102">
        <v>38097</v>
      </c>
      <c r="B2102" t="s">
        <v>19342</v>
      </c>
      <c r="C2102" t="s">
        <v>2269</v>
      </c>
      <c r="D2102" t="s">
        <v>1857</v>
      </c>
      <c r="E2102" s="527" t="s">
        <v>19343</v>
      </c>
      <c r="F2102" s="220"/>
    </row>
    <row r="2103" spans="1:6" ht="14.4">
      <c r="A2103">
        <v>38098</v>
      </c>
      <c r="B2103" t="s">
        <v>19344</v>
      </c>
      <c r="C2103" t="s">
        <v>2269</v>
      </c>
      <c r="D2103" t="s">
        <v>1857</v>
      </c>
      <c r="E2103" s="527" t="s">
        <v>19343</v>
      </c>
      <c r="F2103" s="219"/>
    </row>
    <row r="2104" spans="1:6" ht="14.4">
      <c r="A2104">
        <v>11186</v>
      </c>
      <c r="B2104" t="s">
        <v>19345</v>
      </c>
      <c r="C2104" t="s">
        <v>2270</v>
      </c>
      <c r="D2104" t="s">
        <v>1857</v>
      </c>
      <c r="E2104" s="527" t="s">
        <v>19346</v>
      </c>
      <c r="F2104" s="220"/>
    </row>
    <row r="2105" spans="1:6" ht="14.4">
      <c r="A2105">
        <v>11558</v>
      </c>
      <c r="B2105" t="s">
        <v>19347</v>
      </c>
      <c r="C2105" t="s">
        <v>2278</v>
      </c>
      <c r="D2105" t="s">
        <v>1857</v>
      </c>
      <c r="E2105" s="527" t="s">
        <v>9913</v>
      </c>
      <c r="F2105" s="219"/>
    </row>
    <row r="2106" spans="1:6" ht="14.4">
      <c r="A2106">
        <v>11557</v>
      </c>
      <c r="B2106" t="s">
        <v>19348</v>
      </c>
      <c r="C2106" t="s">
        <v>2278</v>
      </c>
      <c r="D2106" t="s">
        <v>1857</v>
      </c>
      <c r="E2106" s="527" t="s">
        <v>10778</v>
      </c>
      <c r="F2106" s="220"/>
    </row>
    <row r="2107" spans="1:6" ht="14.4">
      <c r="A2107">
        <v>2759</v>
      </c>
      <c r="B2107" t="s">
        <v>19349</v>
      </c>
      <c r="C2107" t="s">
        <v>2269</v>
      </c>
      <c r="D2107" t="s">
        <v>2271</v>
      </c>
      <c r="E2107" s="527" t="s">
        <v>2909</v>
      </c>
      <c r="F2107" s="219"/>
    </row>
    <row r="2108" spans="1:6" ht="14.4">
      <c r="A2108">
        <v>38124</v>
      </c>
      <c r="B2108" t="s">
        <v>19350</v>
      </c>
      <c r="C2108" t="s">
        <v>2269</v>
      </c>
      <c r="D2108" t="s">
        <v>2268</v>
      </c>
      <c r="E2108" s="527" t="s">
        <v>10349</v>
      </c>
      <c r="F2108" s="220"/>
    </row>
    <row r="2109" spans="1:6" ht="14.4">
      <c r="A2109">
        <v>38380</v>
      </c>
      <c r="B2109" t="s">
        <v>19351</v>
      </c>
      <c r="C2109" t="s">
        <v>2269</v>
      </c>
      <c r="D2109" t="s">
        <v>1857</v>
      </c>
      <c r="E2109" s="527" t="s">
        <v>15386</v>
      </c>
      <c r="F2109" s="219"/>
    </row>
    <row r="2110" spans="1:6" ht="14.4">
      <c r="A2110">
        <v>20059</v>
      </c>
      <c r="B2110" t="s">
        <v>19352</v>
      </c>
      <c r="C2110" t="s">
        <v>2269</v>
      </c>
      <c r="D2110" t="s">
        <v>2271</v>
      </c>
      <c r="E2110" s="527" t="s">
        <v>11138</v>
      </c>
      <c r="F2110" s="220"/>
    </row>
    <row r="2111" spans="1:6" ht="14.4">
      <c r="A2111">
        <v>42429</v>
      </c>
      <c r="B2111" t="s">
        <v>19353</v>
      </c>
      <c r="C2111" t="s">
        <v>2269</v>
      </c>
      <c r="D2111" t="s">
        <v>2271</v>
      </c>
      <c r="E2111" s="527" t="s">
        <v>19354</v>
      </c>
      <c r="F2111" s="219"/>
    </row>
    <row r="2112" spans="1:6" ht="14.4">
      <c r="A2112">
        <v>39616</v>
      </c>
      <c r="B2112" t="s">
        <v>19355</v>
      </c>
      <c r="C2112" t="s">
        <v>2269</v>
      </c>
      <c r="D2112" t="s">
        <v>2271</v>
      </c>
      <c r="E2112" s="527" t="s">
        <v>19356</v>
      </c>
      <c r="F2112" s="220"/>
    </row>
    <row r="2113" spans="1:6" ht="14.4">
      <c r="A2113">
        <v>39618</v>
      </c>
      <c r="B2113" t="s">
        <v>19357</v>
      </c>
      <c r="C2113" t="s">
        <v>2269</v>
      </c>
      <c r="D2113" t="s">
        <v>2271</v>
      </c>
      <c r="E2113" s="527" t="s">
        <v>19358</v>
      </c>
      <c r="F2113" s="219"/>
    </row>
    <row r="2114" spans="1:6" ht="14.4">
      <c r="A2114">
        <v>39619</v>
      </c>
      <c r="B2114" t="s">
        <v>19359</v>
      </c>
      <c r="C2114" t="s">
        <v>2269</v>
      </c>
      <c r="D2114" t="s">
        <v>2271</v>
      </c>
      <c r="E2114" s="527" t="s">
        <v>19360</v>
      </c>
      <c r="F2114" s="220"/>
    </row>
    <row r="2115" spans="1:6" ht="14.4">
      <c r="A2115">
        <v>39613</v>
      </c>
      <c r="B2115" t="s">
        <v>19361</v>
      </c>
      <c r="C2115" t="s">
        <v>2269</v>
      </c>
      <c r="D2115" t="s">
        <v>2271</v>
      </c>
      <c r="E2115" s="527" t="s">
        <v>19362</v>
      </c>
      <c r="F2115" s="219"/>
    </row>
    <row r="2116" spans="1:6" ht="14.4">
      <c r="A2116">
        <v>39614</v>
      </c>
      <c r="B2116" t="s">
        <v>19363</v>
      </c>
      <c r="C2116" t="s">
        <v>2269</v>
      </c>
      <c r="D2116" t="s">
        <v>2271</v>
      </c>
      <c r="E2116" s="527" t="s">
        <v>19364</v>
      </c>
      <c r="F2116" s="220"/>
    </row>
    <row r="2117" spans="1:6" ht="14.4">
      <c r="A2117">
        <v>38538</v>
      </c>
      <c r="B2117" t="s">
        <v>19365</v>
      </c>
      <c r="C2117" t="s">
        <v>2273</v>
      </c>
      <c r="D2117" t="s">
        <v>2271</v>
      </c>
      <c r="E2117" s="527" t="s">
        <v>19366</v>
      </c>
      <c r="F2117" s="219"/>
    </row>
    <row r="2118" spans="1:6" ht="14.4">
      <c r="A2118">
        <v>38539</v>
      </c>
      <c r="B2118" t="s">
        <v>19367</v>
      </c>
      <c r="C2118" t="s">
        <v>2273</v>
      </c>
      <c r="D2118" t="s">
        <v>2271</v>
      </c>
      <c r="E2118" s="527" t="s">
        <v>19368</v>
      </c>
      <c r="F2118" s="220"/>
    </row>
    <row r="2119" spans="1:6" ht="14.4">
      <c r="A2119">
        <v>38540</v>
      </c>
      <c r="B2119" t="s">
        <v>19369</v>
      </c>
      <c r="C2119" t="s">
        <v>2273</v>
      </c>
      <c r="D2119" t="s">
        <v>2271</v>
      </c>
      <c r="E2119" s="527" t="s">
        <v>19370</v>
      </c>
      <c r="F2119" s="219"/>
    </row>
    <row r="2120" spans="1:6" ht="14.4">
      <c r="A2120">
        <v>38384</v>
      </c>
      <c r="B2120" t="s">
        <v>19371</v>
      </c>
      <c r="C2120" t="s">
        <v>2269</v>
      </c>
      <c r="D2120" t="s">
        <v>1857</v>
      </c>
      <c r="E2120" s="527" t="s">
        <v>12640</v>
      </c>
      <c r="F2120" s="220"/>
    </row>
    <row r="2121" spans="1:6" ht="14.4">
      <c r="A2121">
        <v>13</v>
      </c>
      <c r="B2121" t="s">
        <v>19372</v>
      </c>
      <c r="C2121" t="s">
        <v>2274</v>
      </c>
      <c r="D2121" t="s">
        <v>1857</v>
      </c>
      <c r="E2121" s="527" t="s">
        <v>7250</v>
      </c>
      <c r="F2121" s="219"/>
    </row>
    <row r="2122" spans="1:6" ht="14.4">
      <c r="A2122">
        <v>2762</v>
      </c>
      <c r="B2122" t="s">
        <v>19373</v>
      </c>
      <c r="C2122" t="s">
        <v>2273</v>
      </c>
      <c r="D2122" t="s">
        <v>2271</v>
      </c>
      <c r="E2122" s="527" t="s">
        <v>7400</v>
      </c>
      <c r="F2122" s="220"/>
    </row>
    <row r="2123" spans="1:6" ht="14.4">
      <c r="A2123">
        <v>21142</v>
      </c>
      <c r="B2123" t="s">
        <v>19374</v>
      </c>
      <c r="C2123" t="s">
        <v>2269</v>
      </c>
      <c r="D2123" t="s">
        <v>1857</v>
      </c>
      <c r="E2123" s="527" t="s">
        <v>19375</v>
      </c>
      <c r="F2123" s="219"/>
    </row>
    <row r="2124" spans="1:6" ht="14.4">
      <c r="A2124">
        <v>4223</v>
      </c>
      <c r="B2124" t="s">
        <v>19376</v>
      </c>
      <c r="C2124" t="s">
        <v>2275</v>
      </c>
      <c r="D2124" t="s">
        <v>2268</v>
      </c>
      <c r="E2124" s="527" t="s">
        <v>7634</v>
      </c>
      <c r="F2124" s="220"/>
    </row>
    <row r="2125" spans="1:6" ht="14.4">
      <c r="A2125">
        <v>37372</v>
      </c>
      <c r="B2125" t="s">
        <v>19377</v>
      </c>
      <c r="C2125" t="s">
        <v>2267</v>
      </c>
      <c r="D2125" t="s">
        <v>2268</v>
      </c>
      <c r="E2125" s="527" t="s">
        <v>3571</v>
      </c>
      <c r="F2125" s="219"/>
    </row>
    <row r="2126" spans="1:6" ht="14.4">
      <c r="A2126">
        <v>40863</v>
      </c>
      <c r="B2126" t="s">
        <v>19378</v>
      </c>
      <c r="C2126" t="s">
        <v>2276</v>
      </c>
      <c r="D2126" t="s">
        <v>2268</v>
      </c>
      <c r="E2126" s="527" t="s">
        <v>15387</v>
      </c>
      <c r="F2126" s="220"/>
    </row>
    <row r="2127" spans="1:6" ht="14.4">
      <c r="A2127">
        <v>38475</v>
      </c>
      <c r="B2127" t="s">
        <v>19379</v>
      </c>
      <c r="C2127" t="s">
        <v>2269</v>
      </c>
      <c r="D2127" t="s">
        <v>1857</v>
      </c>
      <c r="E2127" s="527" t="s">
        <v>16303</v>
      </c>
      <c r="F2127" s="219"/>
    </row>
    <row r="2128" spans="1:6" ht="14.4">
      <c r="A2128">
        <v>38474</v>
      </c>
      <c r="B2128" t="s">
        <v>19380</v>
      </c>
      <c r="C2128" t="s">
        <v>2269</v>
      </c>
      <c r="D2128" t="s">
        <v>1857</v>
      </c>
      <c r="E2128" s="527" t="s">
        <v>19381</v>
      </c>
      <c r="F2128" s="220"/>
    </row>
    <row r="2129" spans="1:6" ht="14.4">
      <c r="A2129">
        <v>10886</v>
      </c>
      <c r="B2129" t="s">
        <v>19382</v>
      </c>
      <c r="C2129" t="s">
        <v>2269</v>
      </c>
      <c r="D2129" t="s">
        <v>1857</v>
      </c>
      <c r="E2129" s="527" t="s">
        <v>19383</v>
      </c>
      <c r="F2129" s="219"/>
    </row>
    <row r="2130" spans="1:6" ht="14.4">
      <c r="A2130">
        <v>10888</v>
      </c>
      <c r="B2130" t="s">
        <v>19384</v>
      </c>
      <c r="C2130" t="s">
        <v>2269</v>
      </c>
      <c r="D2130" t="s">
        <v>1857</v>
      </c>
      <c r="E2130" s="527" t="s">
        <v>19385</v>
      </c>
      <c r="F2130" s="220"/>
    </row>
    <row r="2131" spans="1:6" ht="14.4">
      <c r="A2131">
        <v>10889</v>
      </c>
      <c r="B2131" t="s">
        <v>19386</v>
      </c>
      <c r="C2131" t="s">
        <v>2269</v>
      </c>
      <c r="D2131" t="s">
        <v>1857</v>
      </c>
      <c r="E2131" s="527" t="s">
        <v>19387</v>
      </c>
      <c r="F2131" s="219"/>
    </row>
    <row r="2132" spans="1:6" ht="14.4">
      <c r="A2132">
        <v>10890</v>
      </c>
      <c r="B2132" t="s">
        <v>19388</v>
      </c>
      <c r="C2132" t="s">
        <v>2269</v>
      </c>
      <c r="D2132" t="s">
        <v>1857</v>
      </c>
      <c r="E2132" s="527" t="s">
        <v>19389</v>
      </c>
      <c r="F2132" s="220"/>
    </row>
    <row r="2133" spans="1:6" ht="14.4">
      <c r="A2133">
        <v>10891</v>
      </c>
      <c r="B2133" t="s">
        <v>19390</v>
      </c>
      <c r="C2133" t="s">
        <v>2269</v>
      </c>
      <c r="D2133" t="s">
        <v>1857</v>
      </c>
      <c r="E2133" s="527" t="s">
        <v>19391</v>
      </c>
      <c r="F2133" s="219"/>
    </row>
    <row r="2134" spans="1:6" ht="14.4">
      <c r="A2134">
        <v>10892</v>
      </c>
      <c r="B2134" t="s">
        <v>19392</v>
      </c>
      <c r="C2134" t="s">
        <v>2269</v>
      </c>
      <c r="D2134" t="s">
        <v>2268</v>
      </c>
      <c r="E2134" s="527" t="s">
        <v>15930</v>
      </c>
      <c r="F2134" s="220"/>
    </row>
    <row r="2135" spans="1:6" ht="14.4">
      <c r="A2135">
        <v>20977</v>
      </c>
      <c r="B2135" t="s">
        <v>19393</v>
      </c>
      <c r="C2135" t="s">
        <v>2269</v>
      </c>
      <c r="D2135" t="s">
        <v>1857</v>
      </c>
      <c r="E2135" s="527" t="s">
        <v>19394</v>
      </c>
      <c r="F2135" s="219"/>
    </row>
    <row r="2136" spans="1:6" ht="14.4">
      <c r="A2136">
        <v>3073</v>
      </c>
      <c r="B2136" t="s">
        <v>19395</v>
      </c>
      <c r="C2136" t="s">
        <v>2269</v>
      </c>
      <c r="D2136" t="s">
        <v>2271</v>
      </c>
      <c r="E2136" s="527" t="s">
        <v>19396</v>
      </c>
      <c r="F2136" s="220"/>
    </row>
    <row r="2137" spans="1:6" ht="14.4">
      <c r="A2137">
        <v>3068</v>
      </c>
      <c r="B2137" t="s">
        <v>19397</v>
      </c>
      <c r="C2137" t="s">
        <v>2269</v>
      </c>
      <c r="D2137" t="s">
        <v>2271</v>
      </c>
      <c r="E2137" s="527" t="s">
        <v>10757</v>
      </c>
      <c r="F2137" s="219"/>
    </row>
    <row r="2138" spans="1:6" ht="14.4">
      <c r="A2138">
        <v>3074</v>
      </c>
      <c r="B2138" t="s">
        <v>19398</v>
      </c>
      <c r="C2138" t="s">
        <v>2269</v>
      </c>
      <c r="D2138" t="s">
        <v>2271</v>
      </c>
      <c r="E2138" s="527" t="s">
        <v>19399</v>
      </c>
      <c r="F2138" s="220"/>
    </row>
    <row r="2139" spans="1:6" ht="14.4">
      <c r="A2139">
        <v>3076</v>
      </c>
      <c r="B2139" t="s">
        <v>19400</v>
      </c>
      <c r="C2139" t="s">
        <v>2269</v>
      </c>
      <c r="D2139" t="s">
        <v>2271</v>
      </c>
      <c r="E2139" s="527" t="s">
        <v>19401</v>
      </c>
      <c r="F2139" s="219"/>
    </row>
    <row r="2140" spans="1:6" ht="14.4">
      <c r="A2140">
        <v>3072</v>
      </c>
      <c r="B2140" t="s">
        <v>19402</v>
      </c>
      <c r="C2140" t="s">
        <v>2269</v>
      </c>
      <c r="D2140" t="s">
        <v>2271</v>
      </c>
      <c r="E2140" s="527" t="s">
        <v>19403</v>
      </c>
      <c r="F2140" s="220"/>
    </row>
    <row r="2141" spans="1:6" ht="14.4">
      <c r="A2141">
        <v>3075</v>
      </c>
      <c r="B2141" t="s">
        <v>19404</v>
      </c>
      <c r="C2141" t="s">
        <v>2269</v>
      </c>
      <c r="D2141" t="s">
        <v>2271</v>
      </c>
      <c r="E2141" s="527" t="s">
        <v>19405</v>
      </c>
      <c r="F2141" s="219"/>
    </row>
    <row r="2142" spans="1:6" ht="14.4">
      <c r="A2142">
        <v>10780</v>
      </c>
      <c r="B2142" t="s">
        <v>19406</v>
      </c>
      <c r="C2142" t="s">
        <v>2269</v>
      </c>
      <c r="D2142" t="s">
        <v>2271</v>
      </c>
      <c r="E2142" s="527" t="s">
        <v>4073</v>
      </c>
      <c r="F2142" s="220"/>
    </row>
    <row r="2143" spans="1:6" ht="14.4">
      <c r="A2143">
        <v>10781</v>
      </c>
      <c r="B2143" t="s">
        <v>19407</v>
      </c>
      <c r="C2143" t="s">
        <v>2269</v>
      </c>
      <c r="D2143" t="s">
        <v>2271</v>
      </c>
      <c r="E2143" s="527" t="s">
        <v>10784</v>
      </c>
      <c r="F2143" s="219"/>
    </row>
    <row r="2144" spans="1:6" ht="14.4">
      <c r="A2144">
        <v>20106</v>
      </c>
      <c r="B2144" t="s">
        <v>19408</v>
      </c>
      <c r="C2144" t="s">
        <v>2269</v>
      </c>
      <c r="D2144" t="s">
        <v>2271</v>
      </c>
      <c r="E2144" s="527" t="s">
        <v>7333</v>
      </c>
      <c r="F2144" s="220"/>
    </row>
    <row r="2145" spans="1:6" ht="14.4">
      <c r="A2145">
        <v>20107</v>
      </c>
      <c r="B2145" t="s">
        <v>19409</v>
      </c>
      <c r="C2145" t="s">
        <v>2269</v>
      </c>
      <c r="D2145" t="s">
        <v>2271</v>
      </c>
      <c r="E2145" s="527" t="s">
        <v>10405</v>
      </c>
      <c r="F2145" s="219"/>
    </row>
    <row r="2146" spans="1:6" ht="14.4">
      <c r="A2146">
        <v>20108</v>
      </c>
      <c r="B2146" t="s">
        <v>19410</v>
      </c>
      <c r="C2146" t="s">
        <v>2269</v>
      </c>
      <c r="D2146" t="s">
        <v>2271</v>
      </c>
      <c r="E2146" s="527" t="s">
        <v>10409</v>
      </c>
      <c r="F2146" s="220"/>
    </row>
    <row r="2147" spans="1:6" ht="14.4">
      <c r="A2147">
        <v>20109</v>
      </c>
      <c r="B2147" t="s">
        <v>19411</v>
      </c>
      <c r="C2147" t="s">
        <v>2269</v>
      </c>
      <c r="D2147" t="s">
        <v>2271</v>
      </c>
      <c r="E2147" s="527" t="s">
        <v>4073</v>
      </c>
      <c r="F2147" s="219"/>
    </row>
    <row r="2148" spans="1:6" ht="14.4">
      <c r="A2148">
        <v>43612</v>
      </c>
      <c r="B2148" t="s">
        <v>19412</v>
      </c>
      <c r="C2148" t="s">
        <v>2282</v>
      </c>
      <c r="D2148" t="s">
        <v>1857</v>
      </c>
      <c r="E2148" s="527" t="s">
        <v>19413</v>
      </c>
      <c r="F2148" s="220"/>
    </row>
    <row r="2149" spans="1:6" ht="14.4">
      <c r="A2149">
        <v>43613</v>
      </c>
      <c r="B2149" t="s">
        <v>19414</v>
      </c>
      <c r="C2149" t="s">
        <v>2282</v>
      </c>
      <c r="D2149" t="s">
        <v>1857</v>
      </c>
      <c r="E2149" s="527" t="s">
        <v>15166</v>
      </c>
      <c r="F2149" s="219"/>
    </row>
    <row r="2150" spans="1:6" ht="14.4">
      <c r="A2150">
        <v>11480</v>
      </c>
      <c r="B2150" t="s">
        <v>19415</v>
      </c>
      <c r="C2150" t="s">
        <v>2282</v>
      </c>
      <c r="D2150" t="s">
        <v>1857</v>
      </c>
      <c r="E2150" s="527" t="s">
        <v>12979</v>
      </c>
      <c r="F2150" s="220"/>
    </row>
    <row r="2151" spans="1:6" ht="14.4">
      <c r="A2151">
        <v>11469</v>
      </c>
      <c r="B2151" t="s">
        <v>19416</v>
      </c>
      <c r="C2151" t="s">
        <v>2269</v>
      </c>
      <c r="D2151" t="s">
        <v>1857</v>
      </c>
      <c r="E2151" s="527" t="s">
        <v>15808</v>
      </c>
      <c r="F2151" s="219"/>
    </row>
    <row r="2152" spans="1:6" ht="14.4">
      <c r="A2152">
        <v>11468</v>
      </c>
      <c r="B2152" t="s">
        <v>19417</v>
      </c>
      <c r="C2152" t="s">
        <v>2269</v>
      </c>
      <c r="D2152" t="s">
        <v>1857</v>
      </c>
      <c r="E2152" s="527" t="s">
        <v>9515</v>
      </c>
      <c r="F2152" s="220"/>
    </row>
    <row r="2153" spans="1:6" ht="14.4">
      <c r="A2153">
        <v>11484</v>
      </c>
      <c r="B2153" t="s">
        <v>19418</v>
      </c>
      <c r="C2153" t="s">
        <v>2269</v>
      </c>
      <c r="D2153" t="s">
        <v>1857</v>
      </c>
      <c r="E2153" s="527" t="s">
        <v>16274</v>
      </c>
      <c r="F2153" s="219"/>
    </row>
    <row r="2154" spans="1:6" ht="14.4">
      <c r="A2154">
        <v>38155</v>
      </c>
      <c r="B2154" t="s">
        <v>19419</v>
      </c>
      <c r="C2154" t="s">
        <v>2269</v>
      </c>
      <c r="D2154" t="s">
        <v>1857</v>
      </c>
      <c r="E2154" s="527" t="s">
        <v>19420</v>
      </c>
      <c r="F2154" s="220"/>
    </row>
    <row r="2155" spans="1:6" ht="14.4">
      <c r="A2155">
        <v>11467</v>
      </c>
      <c r="B2155" t="s">
        <v>19421</v>
      </c>
      <c r="C2155" t="s">
        <v>2269</v>
      </c>
      <c r="D2155" t="s">
        <v>1857</v>
      </c>
      <c r="E2155" s="527" t="s">
        <v>6395</v>
      </c>
      <c r="F2155" s="219"/>
    </row>
    <row r="2156" spans="1:6" ht="14.4">
      <c r="A2156">
        <v>38153</v>
      </c>
      <c r="B2156" t="s">
        <v>19422</v>
      </c>
      <c r="C2156" t="s">
        <v>2282</v>
      </c>
      <c r="D2156" t="s">
        <v>1857</v>
      </c>
      <c r="E2156" s="527" t="s">
        <v>10182</v>
      </c>
      <c r="F2156" s="220"/>
    </row>
    <row r="2157" spans="1:6" ht="14.4">
      <c r="A2157">
        <v>43607</v>
      </c>
      <c r="B2157" t="s">
        <v>19423</v>
      </c>
      <c r="C2157" t="s">
        <v>2282</v>
      </c>
      <c r="D2157" t="s">
        <v>1857</v>
      </c>
      <c r="E2157" s="527" t="s">
        <v>19424</v>
      </c>
      <c r="F2157" s="219"/>
    </row>
    <row r="2158" spans="1:6" ht="14.4">
      <c r="A2158">
        <v>3080</v>
      </c>
      <c r="B2158" t="s">
        <v>19425</v>
      </c>
      <c r="C2158" t="s">
        <v>2282</v>
      </c>
      <c r="D2158" t="s">
        <v>2268</v>
      </c>
      <c r="E2158" s="527" t="s">
        <v>10392</v>
      </c>
      <c r="F2158" s="220"/>
    </row>
    <row r="2159" spans="1:6" ht="14.4">
      <c r="A2159">
        <v>3081</v>
      </c>
      <c r="B2159" t="s">
        <v>19426</v>
      </c>
      <c r="C2159" t="s">
        <v>2282</v>
      </c>
      <c r="D2159" t="s">
        <v>1857</v>
      </c>
      <c r="E2159" s="527" t="s">
        <v>19427</v>
      </c>
      <c r="F2159" s="219"/>
    </row>
    <row r="2160" spans="1:6" ht="14.4">
      <c r="A2160">
        <v>3090</v>
      </c>
      <c r="B2160" t="s">
        <v>19428</v>
      </c>
      <c r="C2160" t="s">
        <v>2282</v>
      </c>
      <c r="D2160" t="s">
        <v>1857</v>
      </c>
      <c r="E2160" s="527" t="s">
        <v>19429</v>
      </c>
      <c r="F2160" s="220"/>
    </row>
    <row r="2161" spans="1:6" ht="14.4">
      <c r="A2161">
        <v>43611</v>
      </c>
      <c r="B2161" t="s">
        <v>19430</v>
      </c>
      <c r="C2161" t="s">
        <v>2282</v>
      </c>
      <c r="D2161" t="s">
        <v>1857</v>
      </c>
      <c r="E2161" s="527" t="s">
        <v>16549</v>
      </c>
      <c r="F2161" s="219"/>
    </row>
    <row r="2162" spans="1:6" ht="14.4">
      <c r="A2162">
        <v>3103</v>
      </c>
      <c r="B2162" t="s">
        <v>19431</v>
      </c>
      <c r="C2162" t="s">
        <v>2269</v>
      </c>
      <c r="D2162" t="s">
        <v>1857</v>
      </c>
      <c r="E2162" s="527" t="s">
        <v>15630</v>
      </c>
      <c r="F2162" s="220"/>
    </row>
    <row r="2163" spans="1:6" ht="14.4">
      <c r="A2163">
        <v>3097</v>
      </c>
      <c r="B2163" t="s">
        <v>19432</v>
      </c>
      <c r="C2163" t="s">
        <v>2282</v>
      </c>
      <c r="D2163" t="s">
        <v>1857</v>
      </c>
      <c r="E2163" s="527" t="s">
        <v>11625</v>
      </c>
      <c r="F2163" s="219"/>
    </row>
    <row r="2164" spans="1:6" ht="14.4">
      <c r="A2164">
        <v>3099</v>
      </c>
      <c r="B2164" t="s">
        <v>19433</v>
      </c>
      <c r="C2164" t="s">
        <v>2282</v>
      </c>
      <c r="D2164" t="s">
        <v>1857</v>
      </c>
      <c r="E2164" s="527" t="s">
        <v>19434</v>
      </c>
      <c r="F2164" s="220"/>
    </row>
    <row r="2165" spans="1:6" ht="14.4">
      <c r="A2165">
        <v>38151</v>
      </c>
      <c r="B2165" t="s">
        <v>19435</v>
      </c>
      <c r="C2165" t="s">
        <v>2282</v>
      </c>
      <c r="D2165" t="s">
        <v>1857</v>
      </c>
      <c r="E2165" s="527" t="s">
        <v>19436</v>
      </c>
      <c r="F2165" s="219"/>
    </row>
    <row r="2166" spans="1:6" ht="14.4">
      <c r="A2166">
        <v>38152</v>
      </c>
      <c r="B2166" t="s">
        <v>19437</v>
      </c>
      <c r="C2166" t="s">
        <v>2282</v>
      </c>
      <c r="D2166" t="s">
        <v>1857</v>
      </c>
      <c r="E2166" s="527" t="s">
        <v>19438</v>
      </c>
      <c r="F2166" s="220"/>
    </row>
    <row r="2167" spans="1:6" ht="14.4">
      <c r="A2167">
        <v>43610</v>
      </c>
      <c r="B2167" t="s">
        <v>19439</v>
      </c>
      <c r="C2167" t="s">
        <v>2282</v>
      </c>
      <c r="D2167" t="s">
        <v>1857</v>
      </c>
      <c r="E2167" s="527" t="s">
        <v>10070</v>
      </c>
      <c r="F2167" s="219"/>
    </row>
    <row r="2168" spans="1:6" ht="14.4">
      <c r="A2168">
        <v>3093</v>
      </c>
      <c r="B2168" t="s">
        <v>19440</v>
      </c>
      <c r="C2168" t="s">
        <v>2282</v>
      </c>
      <c r="D2168" t="s">
        <v>1857</v>
      </c>
      <c r="E2168" s="527" t="s">
        <v>19434</v>
      </c>
      <c r="F2168" s="220"/>
    </row>
    <row r="2169" spans="1:6" ht="14.4">
      <c r="A2169">
        <v>38165</v>
      </c>
      <c r="B2169" t="s">
        <v>19441</v>
      </c>
      <c r="C2169" t="s">
        <v>2282</v>
      </c>
      <c r="D2169" t="s">
        <v>1857</v>
      </c>
      <c r="E2169" s="527" t="s">
        <v>15581</v>
      </c>
      <c r="F2169" s="219"/>
    </row>
    <row r="2170" spans="1:6" ht="14.4">
      <c r="A2170">
        <v>38177</v>
      </c>
      <c r="B2170" t="s">
        <v>19442</v>
      </c>
      <c r="C2170" t="s">
        <v>2269</v>
      </c>
      <c r="D2170" t="s">
        <v>1857</v>
      </c>
      <c r="E2170" s="527" t="s">
        <v>10074</v>
      </c>
      <c r="F2170" s="220"/>
    </row>
    <row r="2171" spans="1:6" ht="14.4">
      <c r="A2171">
        <v>11458</v>
      </c>
      <c r="B2171" t="s">
        <v>19443</v>
      </c>
      <c r="C2171" t="s">
        <v>2269</v>
      </c>
      <c r="D2171" t="s">
        <v>1857</v>
      </c>
      <c r="E2171" s="527" t="s">
        <v>19444</v>
      </c>
      <c r="F2171" s="219"/>
    </row>
    <row r="2172" spans="1:6" ht="14.4">
      <c r="A2172">
        <v>3108</v>
      </c>
      <c r="B2172" t="s">
        <v>19445</v>
      </c>
      <c r="C2172" t="s">
        <v>2269</v>
      </c>
      <c r="D2172" t="s">
        <v>1857</v>
      </c>
      <c r="E2172" s="527" t="s">
        <v>19446</v>
      </c>
      <c r="F2172" s="220"/>
    </row>
    <row r="2173" spans="1:6" ht="14.4">
      <c r="A2173">
        <v>3105</v>
      </c>
      <c r="B2173" t="s">
        <v>19447</v>
      </c>
      <c r="C2173" t="s">
        <v>2269</v>
      </c>
      <c r="D2173" t="s">
        <v>1857</v>
      </c>
      <c r="E2173" s="527" t="s">
        <v>19448</v>
      </c>
      <c r="F2173" s="219"/>
    </row>
    <row r="2174" spans="1:6" ht="14.4">
      <c r="A2174">
        <v>38178</v>
      </c>
      <c r="B2174" t="s">
        <v>19449</v>
      </c>
      <c r="C2174" t="s">
        <v>2269</v>
      </c>
      <c r="D2174" t="s">
        <v>1857</v>
      </c>
      <c r="E2174" s="527" t="s">
        <v>7294</v>
      </c>
      <c r="F2174" s="220"/>
    </row>
    <row r="2175" spans="1:6" ht="14.4">
      <c r="A2175">
        <v>43575</v>
      </c>
      <c r="B2175" t="s">
        <v>19450</v>
      </c>
      <c r="C2175" t="s">
        <v>2269</v>
      </c>
      <c r="D2175" t="s">
        <v>1857</v>
      </c>
      <c r="E2175" s="527" t="s">
        <v>15318</v>
      </c>
      <c r="F2175" s="219"/>
    </row>
    <row r="2176" spans="1:6" ht="14.4">
      <c r="A2176">
        <v>43577</v>
      </c>
      <c r="B2176" t="s">
        <v>19451</v>
      </c>
      <c r="C2176" t="s">
        <v>2269</v>
      </c>
      <c r="D2176" t="s">
        <v>1857</v>
      </c>
      <c r="E2176" s="527" t="s">
        <v>19452</v>
      </c>
      <c r="F2176" s="220"/>
    </row>
    <row r="2177" spans="1:6" ht="14.4">
      <c r="A2177">
        <v>43458</v>
      </c>
      <c r="B2177" t="s">
        <v>19453</v>
      </c>
      <c r="C2177" t="s">
        <v>2267</v>
      </c>
      <c r="D2177" t="s">
        <v>2268</v>
      </c>
      <c r="E2177" s="527" t="s">
        <v>3483</v>
      </c>
      <c r="F2177" s="219"/>
    </row>
    <row r="2178" spans="1:6" ht="14.4">
      <c r="A2178">
        <v>43470</v>
      </c>
      <c r="B2178" t="s">
        <v>19454</v>
      </c>
      <c r="C2178" t="s">
        <v>2276</v>
      </c>
      <c r="D2178" t="s">
        <v>2268</v>
      </c>
      <c r="E2178" s="527" t="s">
        <v>3686</v>
      </c>
      <c r="F2178" s="220"/>
    </row>
    <row r="2179" spans="1:6" ht="14.4">
      <c r="A2179">
        <v>43459</v>
      </c>
      <c r="B2179" t="s">
        <v>19455</v>
      </c>
      <c r="C2179" t="s">
        <v>2267</v>
      </c>
      <c r="D2179" t="s">
        <v>2268</v>
      </c>
      <c r="E2179" s="527" t="s">
        <v>7249</v>
      </c>
      <c r="F2179" s="219"/>
    </row>
    <row r="2180" spans="1:6" ht="14.4">
      <c r="A2180">
        <v>43471</v>
      </c>
      <c r="B2180" t="s">
        <v>19456</v>
      </c>
      <c r="C2180" t="s">
        <v>2276</v>
      </c>
      <c r="D2180" t="s">
        <v>2268</v>
      </c>
      <c r="E2180" s="527" t="s">
        <v>15390</v>
      </c>
      <c r="F2180" s="220"/>
    </row>
    <row r="2181" spans="1:6" ht="14.4">
      <c r="A2181">
        <v>43460</v>
      </c>
      <c r="B2181" t="s">
        <v>19457</v>
      </c>
      <c r="C2181" t="s">
        <v>2267</v>
      </c>
      <c r="D2181" t="s">
        <v>2268</v>
      </c>
      <c r="E2181" s="527" t="s">
        <v>3340</v>
      </c>
      <c r="F2181" s="219"/>
    </row>
    <row r="2182" spans="1:6" ht="14.4">
      <c r="A2182">
        <v>43472</v>
      </c>
      <c r="B2182" t="s">
        <v>19458</v>
      </c>
      <c r="C2182" t="s">
        <v>2276</v>
      </c>
      <c r="D2182" t="s">
        <v>2268</v>
      </c>
      <c r="E2182" s="527" t="s">
        <v>11426</v>
      </c>
      <c r="F2182" s="220"/>
    </row>
    <row r="2183" spans="1:6" ht="14.4">
      <c r="A2183">
        <v>43461</v>
      </c>
      <c r="B2183" t="s">
        <v>19459</v>
      </c>
      <c r="C2183" t="s">
        <v>2267</v>
      </c>
      <c r="D2183" t="s">
        <v>2268</v>
      </c>
      <c r="E2183" s="527" t="s">
        <v>3331</v>
      </c>
      <c r="F2183" s="219"/>
    </row>
    <row r="2184" spans="1:6" ht="14.4">
      <c r="A2184">
        <v>43473</v>
      </c>
      <c r="B2184" t="s">
        <v>19460</v>
      </c>
      <c r="C2184" t="s">
        <v>2276</v>
      </c>
      <c r="D2184" t="s">
        <v>2268</v>
      </c>
      <c r="E2184" s="527" t="s">
        <v>15391</v>
      </c>
      <c r="F2184" s="220"/>
    </row>
    <row r="2185" spans="1:6" ht="14.4">
      <c r="A2185">
        <v>43463</v>
      </c>
      <c r="B2185" t="s">
        <v>19461</v>
      </c>
      <c r="C2185" t="s">
        <v>2267</v>
      </c>
      <c r="D2185" t="s">
        <v>2268</v>
      </c>
      <c r="E2185" s="527" t="s">
        <v>4027</v>
      </c>
      <c r="F2185" s="219"/>
    </row>
    <row r="2186" spans="1:6" ht="14.4">
      <c r="A2186">
        <v>43475</v>
      </c>
      <c r="B2186" t="s">
        <v>19462</v>
      </c>
      <c r="C2186" t="s">
        <v>2276</v>
      </c>
      <c r="D2186" t="s">
        <v>2268</v>
      </c>
      <c r="E2186" s="527" t="s">
        <v>11627</v>
      </c>
      <c r="F2186" s="220"/>
    </row>
    <row r="2187" spans="1:6" ht="14.4">
      <c r="A2187">
        <v>43462</v>
      </c>
      <c r="B2187" t="s">
        <v>19463</v>
      </c>
      <c r="C2187" t="s">
        <v>2267</v>
      </c>
      <c r="D2187" t="s">
        <v>2268</v>
      </c>
      <c r="E2187" s="527" t="s">
        <v>3869</v>
      </c>
      <c r="F2187" s="219"/>
    </row>
    <row r="2188" spans="1:6" ht="14.4">
      <c r="A2188">
        <v>43474</v>
      </c>
      <c r="B2188" t="s">
        <v>19464</v>
      </c>
      <c r="C2188" t="s">
        <v>2276</v>
      </c>
      <c r="D2188" t="s">
        <v>2268</v>
      </c>
      <c r="E2188" s="527" t="s">
        <v>3002</v>
      </c>
      <c r="F2188" s="220"/>
    </row>
    <row r="2189" spans="1:6" ht="14.4">
      <c r="A2189">
        <v>43464</v>
      </c>
      <c r="B2189" t="s">
        <v>19465</v>
      </c>
      <c r="C2189" t="s">
        <v>2267</v>
      </c>
      <c r="D2189" t="s">
        <v>2268</v>
      </c>
      <c r="E2189" s="527" t="s">
        <v>3869</v>
      </c>
      <c r="F2189" s="219"/>
    </row>
    <row r="2190" spans="1:6" ht="14.4">
      <c r="A2190">
        <v>43476</v>
      </c>
      <c r="B2190" t="s">
        <v>19466</v>
      </c>
      <c r="C2190" t="s">
        <v>2276</v>
      </c>
      <c r="D2190" t="s">
        <v>2268</v>
      </c>
      <c r="E2190" s="527" t="s">
        <v>3869</v>
      </c>
      <c r="F2190" s="220"/>
    </row>
    <row r="2191" spans="1:6" ht="14.4">
      <c r="A2191">
        <v>43465</v>
      </c>
      <c r="B2191" t="s">
        <v>19467</v>
      </c>
      <c r="C2191" t="s">
        <v>2267</v>
      </c>
      <c r="D2191" t="s">
        <v>2268</v>
      </c>
      <c r="E2191" s="527" t="s">
        <v>3812</v>
      </c>
      <c r="F2191" s="219"/>
    </row>
    <row r="2192" spans="1:6" ht="14.4">
      <c r="A2192">
        <v>43477</v>
      </c>
      <c r="B2192" t="s">
        <v>19468</v>
      </c>
      <c r="C2192" t="s">
        <v>2276</v>
      </c>
      <c r="D2192" t="s">
        <v>2268</v>
      </c>
      <c r="E2192" s="527" t="s">
        <v>9490</v>
      </c>
      <c r="F2192" s="220"/>
    </row>
    <row r="2193" spans="1:6" ht="14.4">
      <c r="A2193">
        <v>43466</v>
      </c>
      <c r="B2193" t="s">
        <v>19469</v>
      </c>
      <c r="C2193" t="s">
        <v>2267</v>
      </c>
      <c r="D2193" t="s">
        <v>2268</v>
      </c>
      <c r="E2193" s="527" t="s">
        <v>3013</v>
      </c>
      <c r="F2193" s="219"/>
    </row>
    <row r="2194" spans="1:6" ht="14.4">
      <c r="A2194">
        <v>43478</v>
      </c>
      <c r="B2194" t="s">
        <v>19470</v>
      </c>
      <c r="C2194" t="s">
        <v>2276</v>
      </c>
      <c r="D2194" t="s">
        <v>2268</v>
      </c>
      <c r="E2194" s="527" t="s">
        <v>15392</v>
      </c>
      <c r="F2194" s="220"/>
    </row>
    <row r="2195" spans="1:6" ht="14.4">
      <c r="A2195">
        <v>43467</v>
      </c>
      <c r="B2195" t="s">
        <v>19471</v>
      </c>
      <c r="C2195" t="s">
        <v>2267</v>
      </c>
      <c r="D2195" t="s">
        <v>2268</v>
      </c>
      <c r="E2195" s="527" t="s">
        <v>4025</v>
      </c>
      <c r="F2195" s="219"/>
    </row>
    <row r="2196" spans="1:6" ht="14.4">
      <c r="A2196">
        <v>43479</v>
      </c>
      <c r="B2196" t="s">
        <v>19472</v>
      </c>
      <c r="C2196" t="s">
        <v>2276</v>
      </c>
      <c r="D2196" t="s">
        <v>2268</v>
      </c>
      <c r="E2196" s="527" t="s">
        <v>15393</v>
      </c>
      <c r="F2196" s="220"/>
    </row>
    <row r="2197" spans="1:6" ht="14.4">
      <c r="A2197">
        <v>43468</v>
      </c>
      <c r="B2197" t="s">
        <v>19473</v>
      </c>
      <c r="C2197" t="s">
        <v>2267</v>
      </c>
      <c r="D2197" t="s">
        <v>2268</v>
      </c>
      <c r="E2197" s="527" t="s">
        <v>7014</v>
      </c>
      <c r="F2197" s="219"/>
    </row>
    <row r="2198" spans="1:6" ht="14.4">
      <c r="A2198">
        <v>43480</v>
      </c>
      <c r="B2198" t="s">
        <v>19474</v>
      </c>
      <c r="C2198" t="s">
        <v>2276</v>
      </c>
      <c r="D2198" t="s">
        <v>2268</v>
      </c>
      <c r="E2198" s="527" t="s">
        <v>15394</v>
      </c>
      <c r="F2198" s="220"/>
    </row>
    <row r="2199" spans="1:6" ht="14.4">
      <c r="A2199">
        <v>43469</v>
      </c>
      <c r="B2199" t="s">
        <v>19475</v>
      </c>
      <c r="C2199" t="s">
        <v>2267</v>
      </c>
      <c r="D2199" t="s">
        <v>2268</v>
      </c>
      <c r="E2199" s="527" t="s">
        <v>3368</v>
      </c>
      <c r="F2199" s="219"/>
    </row>
    <row r="2200" spans="1:6" ht="14.4">
      <c r="A2200">
        <v>43481</v>
      </c>
      <c r="B2200" t="s">
        <v>19476</v>
      </c>
      <c r="C2200" t="s">
        <v>2276</v>
      </c>
      <c r="D2200" t="s">
        <v>2268</v>
      </c>
      <c r="E2200" s="527" t="s">
        <v>13160</v>
      </c>
      <c r="F2200" s="220"/>
    </row>
    <row r="2201" spans="1:6" ht="14.4">
      <c r="A2201">
        <v>3119</v>
      </c>
      <c r="B2201" t="s">
        <v>19477</v>
      </c>
      <c r="C2201" t="s">
        <v>2269</v>
      </c>
      <c r="D2201" t="s">
        <v>1857</v>
      </c>
      <c r="E2201" s="527" t="s">
        <v>15842</v>
      </c>
      <c r="F2201" s="219"/>
    </row>
    <row r="2202" spans="1:6" ht="14.4">
      <c r="A2202">
        <v>3122</v>
      </c>
      <c r="B2202" t="s">
        <v>19478</v>
      </c>
      <c r="C2202" t="s">
        <v>2269</v>
      </c>
      <c r="D2202" t="s">
        <v>1857</v>
      </c>
      <c r="E2202" s="527" t="s">
        <v>10761</v>
      </c>
      <c r="F2202" s="220"/>
    </row>
    <row r="2203" spans="1:6" ht="14.4">
      <c r="A2203">
        <v>3121</v>
      </c>
      <c r="B2203" t="s">
        <v>19479</v>
      </c>
      <c r="C2203" t="s">
        <v>2269</v>
      </c>
      <c r="D2203" t="s">
        <v>1857</v>
      </c>
      <c r="E2203" s="527" t="s">
        <v>9542</v>
      </c>
      <c r="F2203" s="219"/>
    </row>
    <row r="2204" spans="1:6" ht="14.4">
      <c r="A2204">
        <v>3120</v>
      </c>
      <c r="B2204" t="s">
        <v>19480</v>
      </c>
      <c r="C2204" t="s">
        <v>2269</v>
      </c>
      <c r="D2204" t="s">
        <v>1857</v>
      </c>
      <c r="E2204" s="527" t="s">
        <v>7208</v>
      </c>
      <c r="F2204" s="220"/>
    </row>
    <row r="2205" spans="1:6" ht="14.4">
      <c r="A2205">
        <v>11455</v>
      </c>
      <c r="B2205" t="s">
        <v>19481</v>
      </c>
      <c r="C2205" t="s">
        <v>2269</v>
      </c>
      <c r="D2205" t="s">
        <v>1857</v>
      </c>
      <c r="E2205" s="527" t="s">
        <v>7518</v>
      </c>
      <c r="F2205" s="219"/>
    </row>
    <row r="2206" spans="1:6" ht="14.4">
      <c r="A2206">
        <v>11456</v>
      </c>
      <c r="B2206" t="s">
        <v>19482</v>
      </c>
      <c r="C2206" t="s">
        <v>2269</v>
      </c>
      <c r="D2206" t="s">
        <v>1857</v>
      </c>
      <c r="E2206" s="527" t="s">
        <v>6690</v>
      </c>
      <c r="F2206" s="220"/>
    </row>
    <row r="2207" spans="1:6" ht="14.4">
      <c r="A2207">
        <v>3107</v>
      </c>
      <c r="B2207" t="s">
        <v>19483</v>
      </c>
      <c r="C2207" t="s">
        <v>2269</v>
      </c>
      <c r="D2207" t="s">
        <v>1857</v>
      </c>
      <c r="E2207" s="527" t="s">
        <v>4626</v>
      </c>
      <c r="F2207" s="219"/>
    </row>
    <row r="2208" spans="1:6" ht="14.4">
      <c r="A2208">
        <v>43583</v>
      </c>
      <c r="B2208" t="s">
        <v>19484</v>
      </c>
      <c r="C2208" t="s">
        <v>2269</v>
      </c>
      <c r="D2208" t="s">
        <v>1857</v>
      </c>
      <c r="E2208" s="527" t="s">
        <v>10391</v>
      </c>
      <c r="F2208" s="220"/>
    </row>
    <row r="2209" spans="1:6" ht="14.4">
      <c r="A2209">
        <v>43586</v>
      </c>
      <c r="B2209" t="s">
        <v>19485</v>
      </c>
      <c r="C2209" t="s">
        <v>2269</v>
      </c>
      <c r="D2209" t="s">
        <v>1857</v>
      </c>
      <c r="E2209" s="527" t="s">
        <v>16172</v>
      </c>
      <c r="F2209" s="219"/>
    </row>
    <row r="2210" spans="1:6" ht="14.4">
      <c r="A2210">
        <v>11461</v>
      </c>
      <c r="B2210" t="s">
        <v>19486</v>
      </c>
      <c r="C2210" t="s">
        <v>2269</v>
      </c>
      <c r="D2210" t="s">
        <v>1857</v>
      </c>
      <c r="E2210" s="527" t="s">
        <v>5040</v>
      </c>
      <c r="F2210" s="220"/>
    </row>
    <row r="2211" spans="1:6" ht="14.4">
      <c r="A2211">
        <v>43587</v>
      </c>
      <c r="B2211" t="s">
        <v>19487</v>
      </c>
      <c r="C2211" t="s">
        <v>2269</v>
      </c>
      <c r="D2211" t="s">
        <v>1857</v>
      </c>
      <c r="E2211" s="527" t="s">
        <v>5555</v>
      </c>
      <c r="F2211" s="219"/>
    </row>
    <row r="2212" spans="1:6" ht="14.4">
      <c r="A2212">
        <v>3106</v>
      </c>
      <c r="B2212" t="s">
        <v>19488</v>
      </c>
      <c r="C2212" t="s">
        <v>2269</v>
      </c>
      <c r="D2212" t="s">
        <v>1857</v>
      </c>
      <c r="E2212" s="527" t="s">
        <v>9915</v>
      </c>
      <c r="F2212" s="220"/>
    </row>
    <row r="2213" spans="1:6" ht="14.4">
      <c r="A2213">
        <v>25951</v>
      </c>
      <c r="B2213" t="s">
        <v>19489</v>
      </c>
      <c r="C2213" t="s">
        <v>2274</v>
      </c>
      <c r="D2213" t="s">
        <v>1857</v>
      </c>
      <c r="E2213" s="527" t="s">
        <v>7285</v>
      </c>
      <c r="F2213" s="219"/>
    </row>
    <row r="2214" spans="1:6" ht="14.4">
      <c r="A2214">
        <v>3123</v>
      </c>
      <c r="B2214" t="s">
        <v>19490</v>
      </c>
      <c r="C2214" t="s">
        <v>2274</v>
      </c>
      <c r="D2214" t="s">
        <v>2268</v>
      </c>
      <c r="E2214" s="527" t="s">
        <v>7326</v>
      </c>
      <c r="F2214" s="220"/>
    </row>
    <row r="2215" spans="1:6" ht="14.4">
      <c r="A2215">
        <v>38125</v>
      </c>
      <c r="B2215" t="s">
        <v>19491</v>
      </c>
      <c r="C2215" t="s">
        <v>2274</v>
      </c>
      <c r="D2215" t="s">
        <v>1857</v>
      </c>
      <c r="E2215" s="527" t="s">
        <v>3990</v>
      </c>
      <c r="F2215" s="219"/>
    </row>
    <row r="2216" spans="1:6" ht="14.4">
      <c r="A2216">
        <v>39014</v>
      </c>
      <c r="B2216" t="s">
        <v>19492</v>
      </c>
      <c r="C2216" t="s">
        <v>2274</v>
      </c>
      <c r="D2216" t="s">
        <v>2271</v>
      </c>
      <c r="E2216" s="527" t="s">
        <v>3497</v>
      </c>
      <c r="F2216" s="220"/>
    </row>
    <row r="2217" spans="1:6" ht="14.4">
      <c r="A2217">
        <v>39365</v>
      </c>
      <c r="B2217" t="s">
        <v>19493</v>
      </c>
      <c r="C2217" t="s">
        <v>2269</v>
      </c>
      <c r="D2217" t="s">
        <v>1857</v>
      </c>
      <c r="E2217" s="527" t="s">
        <v>19494</v>
      </c>
      <c r="F2217" s="219"/>
    </row>
    <row r="2218" spans="1:6" ht="14.4">
      <c r="A2218">
        <v>39366</v>
      </c>
      <c r="B2218" t="s">
        <v>19495</v>
      </c>
      <c r="C2218" t="s">
        <v>2269</v>
      </c>
      <c r="D2218" t="s">
        <v>1857</v>
      </c>
      <c r="E2218" s="527" t="s">
        <v>19496</v>
      </c>
      <c r="F2218" s="220"/>
    </row>
    <row r="2219" spans="1:6" ht="14.4">
      <c r="A2219">
        <v>39367</v>
      </c>
      <c r="B2219" t="s">
        <v>19497</v>
      </c>
      <c r="C2219" t="s">
        <v>2269</v>
      </c>
      <c r="D2219" t="s">
        <v>1857</v>
      </c>
      <c r="E2219" s="527" t="s">
        <v>19498</v>
      </c>
      <c r="F2219" s="219"/>
    </row>
    <row r="2220" spans="1:6" ht="14.4">
      <c r="A2220">
        <v>37394</v>
      </c>
      <c r="B2220" t="s">
        <v>19499</v>
      </c>
      <c r="C2220" t="s">
        <v>2285</v>
      </c>
      <c r="D2220" t="s">
        <v>2271</v>
      </c>
      <c r="E2220" s="527" t="s">
        <v>10172</v>
      </c>
      <c r="F2220" s="220"/>
    </row>
    <row r="2221" spans="1:6" ht="14.4">
      <c r="A2221">
        <v>14146</v>
      </c>
      <c r="B2221" t="s">
        <v>19500</v>
      </c>
      <c r="C2221" t="s">
        <v>2285</v>
      </c>
      <c r="D2221" t="s">
        <v>2271</v>
      </c>
      <c r="E2221" s="527" t="s">
        <v>10329</v>
      </c>
      <c r="F2221" s="219"/>
    </row>
    <row r="2222" spans="1:6" ht="14.4">
      <c r="A2222">
        <v>38134</v>
      </c>
      <c r="B2222" t="s">
        <v>19501</v>
      </c>
      <c r="C2222" t="s">
        <v>2274</v>
      </c>
      <c r="D2222" t="s">
        <v>1857</v>
      </c>
      <c r="E2222" s="527" t="s">
        <v>15395</v>
      </c>
      <c r="F2222" s="220"/>
    </row>
    <row r="2223" spans="1:6" ht="14.4">
      <c r="A2223">
        <v>38132</v>
      </c>
      <c r="B2223" t="s">
        <v>19502</v>
      </c>
      <c r="C2223" t="s">
        <v>2274</v>
      </c>
      <c r="D2223" t="s">
        <v>1857</v>
      </c>
      <c r="E2223" s="527" t="s">
        <v>15396</v>
      </c>
      <c r="F2223" s="219"/>
    </row>
    <row r="2224" spans="1:6" ht="14.4">
      <c r="A2224">
        <v>38133</v>
      </c>
      <c r="B2224" t="s">
        <v>19503</v>
      </c>
      <c r="C2224" t="s">
        <v>2274</v>
      </c>
      <c r="D2224" t="s">
        <v>1857</v>
      </c>
      <c r="E2224" s="527" t="s">
        <v>15397</v>
      </c>
      <c r="F2224" s="220"/>
    </row>
    <row r="2225" spans="1:6" ht="14.4">
      <c r="A2225">
        <v>938</v>
      </c>
      <c r="B2225" t="s">
        <v>19504</v>
      </c>
      <c r="C2225" t="s">
        <v>2273</v>
      </c>
      <c r="D2225" t="s">
        <v>1857</v>
      </c>
      <c r="E2225" s="527" t="s">
        <v>3526</v>
      </c>
      <c r="F2225" s="219"/>
    </row>
    <row r="2226" spans="1:6" ht="14.4">
      <c r="A2226">
        <v>937</v>
      </c>
      <c r="B2226" t="s">
        <v>19505</v>
      </c>
      <c r="C2226" t="s">
        <v>2273</v>
      </c>
      <c r="D2226" t="s">
        <v>1857</v>
      </c>
      <c r="E2226" s="527" t="s">
        <v>11436</v>
      </c>
      <c r="F2226" s="220"/>
    </row>
    <row r="2227" spans="1:6" ht="14.4">
      <c r="A2227">
        <v>939</v>
      </c>
      <c r="B2227" t="s">
        <v>19506</v>
      </c>
      <c r="C2227" t="s">
        <v>2273</v>
      </c>
      <c r="D2227" t="s">
        <v>1857</v>
      </c>
      <c r="E2227" s="527" t="s">
        <v>2965</v>
      </c>
      <c r="F2227" s="219"/>
    </row>
    <row r="2228" spans="1:6" ht="14.4">
      <c r="A2228">
        <v>944</v>
      </c>
      <c r="B2228" t="s">
        <v>19507</v>
      </c>
      <c r="C2228" t="s">
        <v>2273</v>
      </c>
      <c r="D2228" t="s">
        <v>1857</v>
      </c>
      <c r="E2228" s="527" t="s">
        <v>9903</v>
      </c>
      <c r="F2228" s="220"/>
    </row>
    <row r="2229" spans="1:6" ht="14.4">
      <c r="A2229">
        <v>940</v>
      </c>
      <c r="B2229" t="s">
        <v>19508</v>
      </c>
      <c r="C2229" t="s">
        <v>2273</v>
      </c>
      <c r="D2229" t="s">
        <v>1857</v>
      </c>
      <c r="E2229" s="527" t="s">
        <v>9970</v>
      </c>
      <c r="F2229" s="219"/>
    </row>
    <row r="2230" spans="1:6" ht="14.4">
      <c r="A2230">
        <v>936</v>
      </c>
      <c r="B2230" t="s">
        <v>19509</v>
      </c>
      <c r="C2230" t="s">
        <v>2273</v>
      </c>
      <c r="D2230" t="s">
        <v>1857</v>
      </c>
      <c r="E2230" s="527" t="s">
        <v>7336</v>
      </c>
      <c r="F2230" s="220"/>
    </row>
    <row r="2231" spans="1:6" ht="14.4">
      <c r="A2231">
        <v>935</v>
      </c>
      <c r="B2231" t="s">
        <v>19510</v>
      </c>
      <c r="C2231" t="s">
        <v>2273</v>
      </c>
      <c r="D2231" t="s">
        <v>1857</v>
      </c>
      <c r="E2231" s="527" t="s">
        <v>4086</v>
      </c>
      <c r="F2231" s="219"/>
    </row>
    <row r="2232" spans="1:6" ht="14.4">
      <c r="A2232">
        <v>44397</v>
      </c>
      <c r="B2232" t="s">
        <v>19511</v>
      </c>
      <c r="C2232" t="s">
        <v>2273</v>
      </c>
      <c r="D2232" t="s">
        <v>1857</v>
      </c>
      <c r="E2232" s="527" t="s">
        <v>14347</v>
      </c>
      <c r="F2232" s="220"/>
    </row>
    <row r="2233" spans="1:6" ht="14.4">
      <c r="A2233">
        <v>406</v>
      </c>
      <c r="B2233" t="s">
        <v>19512</v>
      </c>
      <c r="C2233" t="s">
        <v>2269</v>
      </c>
      <c r="D2233" t="s">
        <v>1857</v>
      </c>
      <c r="E2233" s="527" t="s">
        <v>14633</v>
      </c>
      <c r="F2233" s="219"/>
    </row>
    <row r="2234" spans="1:6" ht="14.4">
      <c r="A2234">
        <v>42529</v>
      </c>
      <c r="B2234" t="s">
        <v>19513</v>
      </c>
      <c r="C2234" t="s">
        <v>2273</v>
      </c>
      <c r="D2234" t="s">
        <v>1857</v>
      </c>
      <c r="E2234" s="527" t="s">
        <v>6471</v>
      </c>
      <c r="F2234" s="220"/>
    </row>
    <row r="2235" spans="1:6" ht="14.4">
      <c r="A2235">
        <v>39634</v>
      </c>
      <c r="B2235" t="s">
        <v>19514</v>
      </c>
      <c r="C2235" t="s">
        <v>2273</v>
      </c>
      <c r="D2235" t="s">
        <v>1857</v>
      </c>
      <c r="E2235" s="527" t="s">
        <v>7258</v>
      </c>
      <c r="F2235" s="219"/>
    </row>
    <row r="2236" spans="1:6" ht="14.4">
      <c r="A2236">
        <v>39701</v>
      </c>
      <c r="B2236" t="s">
        <v>19515</v>
      </c>
      <c r="C2236" t="s">
        <v>2269</v>
      </c>
      <c r="D2236" t="s">
        <v>1857</v>
      </c>
      <c r="E2236" s="527" t="s">
        <v>19516</v>
      </c>
      <c r="F2236" s="220"/>
    </row>
    <row r="2237" spans="1:6" ht="14.4">
      <c r="A2237">
        <v>12815</v>
      </c>
      <c r="B2237" t="s">
        <v>19517</v>
      </c>
      <c r="C2237" t="s">
        <v>2269</v>
      </c>
      <c r="D2237" t="s">
        <v>1857</v>
      </c>
      <c r="E2237" s="527" t="s">
        <v>4795</v>
      </c>
      <c r="F2237" s="219"/>
    </row>
    <row r="2238" spans="1:6" ht="14.4">
      <c r="A2238">
        <v>407</v>
      </c>
      <c r="B2238" t="s">
        <v>19518</v>
      </c>
      <c r="C2238" t="s">
        <v>2274</v>
      </c>
      <c r="D2238" t="s">
        <v>2271</v>
      </c>
      <c r="E2238" s="527" t="s">
        <v>11428</v>
      </c>
      <c r="F2238" s="220"/>
    </row>
    <row r="2239" spans="1:6" ht="14.4">
      <c r="A2239">
        <v>39431</v>
      </c>
      <c r="B2239" t="s">
        <v>19519</v>
      </c>
      <c r="C2239" t="s">
        <v>2273</v>
      </c>
      <c r="D2239" t="s">
        <v>1857</v>
      </c>
      <c r="E2239" s="527" t="s">
        <v>3264</v>
      </c>
      <c r="F2239" s="219"/>
    </row>
    <row r="2240" spans="1:6" ht="14.4">
      <c r="A2240">
        <v>39432</v>
      </c>
      <c r="B2240" t="s">
        <v>19520</v>
      </c>
      <c r="C2240" t="s">
        <v>2273</v>
      </c>
      <c r="D2240" t="s">
        <v>1857</v>
      </c>
      <c r="E2240" s="527" t="s">
        <v>3471</v>
      </c>
      <c r="F2240" s="220"/>
    </row>
    <row r="2241" spans="1:6" ht="14.4">
      <c r="A2241">
        <v>20111</v>
      </c>
      <c r="B2241" t="s">
        <v>19521</v>
      </c>
      <c r="C2241" t="s">
        <v>2269</v>
      </c>
      <c r="D2241" t="s">
        <v>2268</v>
      </c>
      <c r="E2241" s="527" t="s">
        <v>9975</v>
      </c>
      <c r="F2241" s="219"/>
    </row>
    <row r="2242" spans="1:6" ht="14.4">
      <c r="A2242">
        <v>21127</v>
      </c>
      <c r="B2242" t="s">
        <v>19522</v>
      </c>
      <c r="C2242" t="s">
        <v>2269</v>
      </c>
      <c r="D2242" t="s">
        <v>1857</v>
      </c>
      <c r="E2242" s="527" t="s">
        <v>19343</v>
      </c>
      <c r="F2242" s="220"/>
    </row>
    <row r="2243" spans="1:6" ht="14.4">
      <c r="A2243">
        <v>404</v>
      </c>
      <c r="B2243" t="s">
        <v>19523</v>
      </c>
      <c r="C2243" t="s">
        <v>2273</v>
      </c>
      <c r="D2243" t="s">
        <v>1857</v>
      </c>
      <c r="E2243" s="527" t="s">
        <v>15829</v>
      </c>
      <c r="F2243" s="219"/>
    </row>
    <row r="2244" spans="1:6" ht="14.4">
      <c r="A2244">
        <v>14151</v>
      </c>
      <c r="B2244" t="s">
        <v>19524</v>
      </c>
      <c r="C2244" t="s">
        <v>2269</v>
      </c>
      <c r="D2244" t="s">
        <v>2271</v>
      </c>
      <c r="E2244" s="527" t="s">
        <v>19525</v>
      </c>
      <c r="F2244" s="220"/>
    </row>
    <row r="2245" spans="1:6" ht="14.4">
      <c r="A2245">
        <v>14153</v>
      </c>
      <c r="B2245" t="s">
        <v>19526</v>
      </c>
      <c r="C2245" t="s">
        <v>2269</v>
      </c>
      <c r="D2245" t="s">
        <v>2271</v>
      </c>
      <c r="E2245" s="527" t="s">
        <v>15475</v>
      </c>
      <c r="F2245" s="219"/>
    </row>
    <row r="2246" spans="1:6" ht="14.4">
      <c r="A2246">
        <v>14152</v>
      </c>
      <c r="B2246" t="s">
        <v>19527</v>
      </c>
      <c r="C2246" t="s">
        <v>2269</v>
      </c>
      <c r="D2246" t="s">
        <v>2271</v>
      </c>
      <c r="E2246" s="527" t="s">
        <v>15476</v>
      </c>
      <c r="F2246" s="220"/>
    </row>
    <row r="2247" spans="1:6" ht="14.4">
      <c r="A2247">
        <v>14154</v>
      </c>
      <c r="B2247" t="s">
        <v>19528</v>
      </c>
      <c r="C2247" t="s">
        <v>2269</v>
      </c>
      <c r="D2247" t="s">
        <v>2271</v>
      </c>
      <c r="E2247" s="527" t="s">
        <v>19529</v>
      </c>
      <c r="F2247" s="219"/>
    </row>
    <row r="2248" spans="1:6" ht="14.4">
      <c r="A2248">
        <v>3146</v>
      </c>
      <c r="B2248" t="s">
        <v>19530</v>
      </c>
      <c r="C2248" t="s">
        <v>2269</v>
      </c>
      <c r="D2248" t="s">
        <v>2268</v>
      </c>
      <c r="E2248" s="527" t="s">
        <v>10194</v>
      </c>
      <c r="F2248" s="220"/>
    </row>
    <row r="2249" spans="1:6" ht="14.4">
      <c r="A2249">
        <v>3143</v>
      </c>
      <c r="B2249" t="s">
        <v>19531</v>
      </c>
      <c r="C2249" t="s">
        <v>2269</v>
      </c>
      <c r="D2249" t="s">
        <v>1857</v>
      </c>
      <c r="E2249" s="527" t="s">
        <v>7317</v>
      </c>
      <c r="F2249" s="219"/>
    </row>
    <row r="2250" spans="1:6" ht="14.4">
      <c r="A2250">
        <v>3148</v>
      </c>
      <c r="B2250" t="s">
        <v>19532</v>
      </c>
      <c r="C2250" t="s">
        <v>2269</v>
      </c>
      <c r="D2250" t="s">
        <v>1857</v>
      </c>
      <c r="E2250" s="527" t="s">
        <v>10219</v>
      </c>
      <c r="F2250" s="220"/>
    </row>
    <row r="2251" spans="1:6" ht="14.4">
      <c r="A2251">
        <v>4310</v>
      </c>
      <c r="B2251" t="s">
        <v>19533</v>
      </c>
      <c r="C2251" t="s">
        <v>2269</v>
      </c>
      <c r="D2251" t="s">
        <v>1857</v>
      </c>
      <c r="E2251" s="527" t="s">
        <v>11810</v>
      </c>
      <c r="F2251" s="219"/>
    </row>
    <row r="2252" spans="1:6" ht="14.4">
      <c r="A2252">
        <v>4311</v>
      </c>
      <c r="B2252" t="s">
        <v>19534</v>
      </c>
      <c r="C2252" t="s">
        <v>2269</v>
      </c>
      <c r="D2252" t="s">
        <v>1857</v>
      </c>
      <c r="E2252" s="527" t="s">
        <v>6521</v>
      </c>
      <c r="F2252" s="220"/>
    </row>
    <row r="2253" spans="1:6" ht="14.4">
      <c r="A2253">
        <v>4312</v>
      </c>
      <c r="B2253" t="s">
        <v>19535</v>
      </c>
      <c r="C2253" t="s">
        <v>2269</v>
      </c>
      <c r="D2253" t="s">
        <v>1857</v>
      </c>
      <c r="E2253" s="527" t="s">
        <v>7230</v>
      </c>
      <c r="F2253" s="219"/>
    </row>
    <row r="2254" spans="1:6" ht="14.4">
      <c r="A2254">
        <v>13261</v>
      </c>
      <c r="B2254" t="s">
        <v>19536</v>
      </c>
      <c r="C2254" t="s">
        <v>2269</v>
      </c>
      <c r="D2254" t="s">
        <v>1857</v>
      </c>
      <c r="E2254" s="527" t="s">
        <v>7470</v>
      </c>
      <c r="F2254" s="220"/>
    </row>
    <row r="2255" spans="1:6" ht="14.4">
      <c r="A2255">
        <v>3255</v>
      </c>
      <c r="B2255" t="s">
        <v>19537</v>
      </c>
      <c r="C2255" t="s">
        <v>2269</v>
      </c>
      <c r="D2255" t="s">
        <v>1857</v>
      </c>
      <c r="E2255" s="527" t="s">
        <v>10380</v>
      </c>
      <c r="F2255" s="219"/>
    </row>
    <row r="2256" spans="1:6" ht="14.4">
      <c r="A2256">
        <v>3254</v>
      </c>
      <c r="B2256" t="s">
        <v>19538</v>
      </c>
      <c r="C2256" t="s">
        <v>2269</v>
      </c>
      <c r="D2256" t="s">
        <v>1857</v>
      </c>
      <c r="E2256" s="527" t="s">
        <v>16297</v>
      </c>
      <c r="F2256" s="220"/>
    </row>
    <row r="2257" spans="1:6" ht="14.4">
      <c r="A2257">
        <v>3259</v>
      </c>
      <c r="B2257" t="s">
        <v>19539</v>
      </c>
      <c r="C2257" t="s">
        <v>2269</v>
      </c>
      <c r="D2257" t="s">
        <v>1857</v>
      </c>
      <c r="E2257" s="527" t="s">
        <v>16169</v>
      </c>
      <c r="F2257" s="219"/>
    </row>
    <row r="2258" spans="1:6" ht="14.4">
      <c r="A2258">
        <v>3258</v>
      </c>
      <c r="B2258" t="s">
        <v>19540</v>
      </c>
      <c r="C2258" t="s">
        <v>2269</v>
      </c>
      <c r="D2258" t="s">
        <v>1857</v>
      </c>
      <c r="E2258" s="527" t="s">
        <v>7483</v>
      </c>
      <c r="F2258" s="220"/>
    </row>
    <row r="2259" spans="1:6" ht="14.4">
      <c r="A2259">
        <v>3251</v>
      </c>
      <c r="B2259" t="s">
        <v>19541</v>
      </c>
      <c r="C2259" t="s">
        <v>2269</v>
      </c>
      <c r="D2259" t="s">
        <v>1857</v>
      </c>
      <c r="E2259" s="527" t="s">
        <v>7282</v>
      </c>
      <c r="F2259" s="219"/>
    </row>
    <row r="2260" spans="1:6" ht="14.4">
      <c r="A2260">
        <v>3256</v>
      </c>
      <c r="B2260" t="s">
        <v>19542</v>
      </c>
      <c r="C2260" t="s">
        <v>2269</v>
      </c>
      <c r="D2260" t="s">
        <v>1857</v>
      </c>
      <c r="E2260" s="527" t="s">
        <v>10403</v>
      </c>
      <c r="F2260" s="220"/>
    </row>
    <row r="2261" spans="1:6" ht="14.4">
      <c r="A2261">
        <v>3261</v>
      </c>
      <c r="B2261" t="s">
        <v>19543</v>
      </c>
      <c r="C2261" t="s">
        <v>2269</v>
      </c>
      <c r="D2261" t="s">
        <v>1857</v>
      </c>
      <c r="E2261" s="527" t="s">
        <v>19544</v>
      </c>
      <c r="F2261" s="219"/>
    </row>
    <row r="2262" spans="1:6" ht="14.4">
      <c r="A2262">
        <v>3260</v>
      </c>
      <c r="B2262" t="s">
        <v>19545</v>
      </c>
      <c r="C2262" t="s">
        <v>2269</v>
      </c>
      <c r="D2262" t="s">
        <v>1857</v>
      </c>
      <c r="E2262" s="527" t="s">
        <v>11699</v>
      </c>
      <c r="F2262" s="220"/>
    </row>
    <row r="2263" spans="1:6" ht="14.4">
      <c r="A2263">
        <v>3272</v>
      </c>
      <c r="B2263" t="s">
        <v>19546</v>
      </c>
      <c r="C2263" t="s">
        <v>2269</v>
      </c>
      <c r="D2263" t="s">
        <v>1857</v>
      </c>
      <c r="E2263" s="527" t="s">
        <v>10739</v>
      </c>
      <c r="F2263" s="219"/>
    </row>
    <row r="2264" spans="1:6" ht="14.4">
      <c r="A2264">
        <v>3265</v>
      </c>
      <c r="B2264" t="s">
        <v>19547</v>
      </c>
      <c r="C2264" t="s">
        <v>2269</v>
      </c>
      <c r="D2264" t="s">
        <v>1857</v>
      </c>
      <c r="E2264" s="527" t="s">
        <v>4982</v>
      </c>
      <c r="F2264" s="220"/>
    </row>
    <row r="2265" spans="1:6" ht="14.4">
      <c r="A2265">
        <v>3262</v>
      </c>
      <c r="B2265" t="s">
        <v>19548</v>
      </c>
      <c r="C2265" t="s">
        <v>2269</v>
      </c>
      <c r="D2265" t="s">
        <v>1857</v>
      </c>
      <c r="E2265" s="527" t="s">
        <v>10772</v>
      </c>
      <c r="F2265" s="219"/>
    </row>
    <row r="2266" spans="1:6" ht="14.4">
      <c r="A2266">
        <v>3264</v>
      </c>
      <c r="B2266" t="s">
        <v>19549</v>
      </c>
      <c r="C2266" t="s">
        <v>2269</v>
      </c>
      <c r="D2266" t="s">
        <v>1857</v>
      </c>
      <c r="E2266" s="527" t="s">
        <v>10315</v>
      </c>
      <c r="F2266" s="220"/>
    </row>
    <row r="2267" spans="1:6" ht="14.4">
      <c r="A2267">
        <v>3267</v>
      </c>
      <c r="B2267" t="s">
        <v>19550</v>
      </c>
      <c r="C2267" t="s">
        <v>2269</v>
      </c>
      <c r="D2267" t="s">
        <v>1857</v>
      </c>
      <c r="E2267" s="527" t="s">
        <v>11659</v>
      </c>
      <c r="F2267" s="219"/>
    </row>
    <row r="2268" spans="1:6" ht="14.4">
      <c r="A2268">
        <v>3266</v>
      </c>
      <c r="B2268" t="s">
        <v>19551</v>
      </c>
      <c r="C2268" t="s">
        <v>2269</v>
      </c>
      <c r="D2268" t="s">
        <v>1857</v>
      </c>
      <c r="E2268" s="527" t="s">
        <v>15399</v>
      </c>
      <c r="F2268" s="220"/>
    </row>
    <row r="2269" spans="1:6" ht="14.4">
      <c r="A2269">
        <v>3263</v>
      </c>
      <c r="B2269" t="s">
        <v>19552</v>
      </c>
      <c r="C2269" t="s">
        <v>2269</v>
      </c>
      <c r="D2269" t="s">
        <v>1857</v>
      </c>
      <c r="E2269" s="527" t="s">
        <v>10340</v>
      </c>
      <c r="F2269" s="219"/>
    </row>
    <row r="2270" spans="1:6" ht="14.4">
      <c r="A2270">
        <v>3268</v>
      </c>
      <c r="B2270" t="s">
        <v>19553</v>
      </c>
      <c r="C2270" t="s">
        <v>2269</v>
      </c>
      <c r="D2270" t="s">
        <v>1857</v>
      </c>
      <c r="E2270" s="527" t="s">
        <v>13072</v>
      </c>
      <c r="F2270" s="220"/>
    </row>
    <row r="2271" spans="1:6" ht="14.4">
      <c r="A2271">
        <v>3271</v>
      </c>
      <c r="B2271" t="s">
        <v>19554</v>
      </c>
      <c r="C2271" t="s">
        <v>2269</v>
      </c>
      <c r="D2271" t="s">
        <v>1857</v>
      </c>
      <c r="E2271" s="527" t="s">
        <v>15400</v>
      </c>
      <c r="F2271" s="219"/>
    </row>
    <row r="2272" spans="1:6" ht="14.4">
      <c r="A2272">
        <v>3270</v>
      </c>
      <c r="B2272" t="s">
        <v>19555</v>
      </c>
      <c r="C2272" t="s">
        <v>2269</v>
      </c>
      <c r="D2272" t="s">
        <v>1857</v>
      </c>
      <c r="E2272" s="527" t="s">
        <v>15401</v>
      </c>
      <c r="F2272" s="220"/>
    </row>
    <row r="2273" spans="1:6" ht="14.4">
      <c r="A2273">
        <v>3275</v>
      </c>
      <c r="B2273" t="s">
        <v>19556</v>
      </c>
      <c r="C2273" t="s">
        <v>2270</v>
      </c>
      <c r="D2273" t="s">
        <v>1857</v>
      </c>
      <c r="E2273" s="527" t="s">
        <v>19557</v>
      </c>
      <c r="F2273" s="219"/>
    </row>
    <row r="2274" spans="1:6" ht="14.4">
      <c r="A2274">
        <v>39512</v>
      </c>
      <c r="B2274" t="s">
        <v>19558</v>
      </c>
      <c r="C2274" t="s">
        <v>2270</v>
      </c>
      <c r="D2274" t="s">
        <v>1857</v>
      </c>
      <c r="E2274" s="527" t="s">
        <v>12844</v>
      </c>
      <c r="F2274" s="220"/>
    </row>
    <row r="2275" spans="1:6" ht="14.4">
      <c r="A2275">
        <v>39511</v>
      </c>
      <c r="B2275" t="s">
        <v>19559</v>
      </c>
      <c r="C2275" t="s">
        <v>2270</v>
      </c>
      <c r="D2275" t="s">
        <v>1857</v>
      </c>
      <c r="E2275" s="527" t="s">
        <v>19560</v>
      </c>
      <c r="F2275" s="219"/>
    </row>
    <row r="2276" spans="1:6" ht="14.4">
      <c r="A2276">
        <v>39513</v>
      </c>
      <c r="B2276" t="s">
        <v>19561</v>
      </c>
      <c r="C2276" t="s">
        <v>2270</v>
      </c>
      <c r="D2276" t="s">
        <v>1857</v>
      </c>
      <c r="E2276" s="527" t="s">
        <v>19562</v>
      </c>
      <c r="F2276" s="220"/>
    </row>
    <row r="2277" spans="1:6" ht="14.4">
      <c r="A2277">
        <v>3286</v>
      </c>
      <c r="B2277" t="s">
        <v>19563</v>
      </c>
      <c r="C2277" t="s">
        <v>2270</v>
      </c>
      <c r="D2277" t="s">
        <v>2271</v>
      </c>
      <c r="E2277" s="527" t="s">
        <v>15403</v>
      </c>
      <c r="F2277" s="219"/>
    </row>
    <row r="2278" spans="1:6" ht="14.4">
      <c r="A2278">
        <v>3287</v>
      </c>
      <c r="B2278" t="s">
        <v>19564</v>
      </c>
      <c r="C2278" t="s">
        <v>2270</v>
      </c>
      <c r="D2278" t="s">
        <v>2271</v>
      </c>
      <c r="E2278" s="527" t="s">
        <v>15404</v>
      </c>
      <c r="F2278" s="220"/>
    </row>
    <row r="2279" spans="1:6" ht="14.4">
      <c r="A2279">
        <v>3283</v>
      </c>
      <c r="B2279" t="s">
        <v>19565</v>
      </c>
      <c r="C2279" t="s">
        <v>2270</v>
      </c>
      <c r="D2279" t="s">
        <v>2271</v>
      </c>
      <c r="E2279" s="527" t="s">
        <v>9544</v>
      </c>
      <c r="F2279" s="219"/>
    </row>
    <row r="2280" spans="1:6" ht="14.4">
      <c r="A2280">
        <v>11587</v>
      </c>
      <c r="B2280" t="s">
        <v>19566</v>
      </c>
      <c r="C2280" t="s">
        <v>2270</v>
      </c>
      <c r="D2280" t="s">
        <v>1857</v>
      </c>
      <c r="E2280" s="527" t="s">
        <v>16213</v>
      </c>
      <c r="F2280" s="220"/>
    </row>
    <row r="2281" spans="1:6" ht="14.4">
      <c r="A2281">
        <v>36225</v>
      </c>
      <c r="B2281" t="s">
        <v>19567</v>
      </c>
      <c r="C2281" t="s">
        <v>2270</v>
      </c>
      <c r="D2281" t="s">
        <v>1857</v>
      </c>
      <c r="E2281" s="527" t="s">
        <v>11617</v>
      </c>
      <c r="F2281" s="219"/>
    </row>
    <row r="2282" spans="1:6" ht="14.4">
      <c r="A2282">
        <v>36230</v>
      </c>
      <c r="B2282" t="s">
        <v>19568</v>
      </c>
      <c r="C2282" t="s">
        <v>2270</v>
      </c>
      <c r="D2282" t="s">
        <v>2268</v>
      </c>
      <c r="E2282" s="527" t="s">
        <v>9767</v>
      </c>
      <c r="F2282" s="220"/>
    </row>
    <row r="2283" spans="1:6" ht="14.4">
      <c r="A2283">
        <v>36238</v>
      </c>
      <c r="B2283" t="s">
        <v>19569</v>
      </c>
      <c r="C2283" t="s">
        <v>2270</v>
      </c>
      <c r="D2283" t="s">
        <v>1857</v>
      </c>
      <c r="E2283" s="527" t="s">
        <v>19570</v>
      </c>
      <c r="F2283" s="219"/>
    </row>
    <row r="2284" spans="1:6" ht="14.4">
      <c r="A2284">
        <v>39363</v>
      </c>
      <c r="B2284" t="s">
        <v>19571</v>
      </c>
      <c r="C2284" t="s">
        <v>2269</v>
      </c>
      <c r="D2284" t="s">
        <v>1857</v>
      </c>
      <c r="E2284" s="527" t="s">
        <v>19572</v>
      </c>
      <c r="F2284" s="220"/>
    </row>
    <row r="2285" spans="1:6" ht="14.4">
      <c r="A2285">
        <v>39361</v>
      </c>
      <c r="B2285" t="s">
        <v>19573</v>
      </c>
      <c r="C2285" t="s">
        <v>2269</v>
      </c>
      <c r="D2285" t="s">
        <v>1857</v>
      </c>
      <c r="E2285" s="527" t="s">
        <v>19574</v>
      </c>
      <c r="F2285" s="219"/>
    </row>
    <row r="2286" spans="1:6" ht="14.4">
      <c r="A2286">
        <v>39362</v>
      </c>
      <c r="B2286" t="s">
        <v>19575</v>
      </c>
      <c r="C2286" t="s">
        <v>2269</v>
      </c>
      <c r="D2286" t="s">
        <v>1857</v>
      </c>
      <c r="E2286" s="527" t="s">
        <v>19576</v>
      </c>
      <c r="F2286" s="220"/>
    </row>
    <row r="2287" spans="1:6" ht="14.4">
      <c r="A2287">
        <v>39364</v>
      </c>
      <c r="B2287" t="s">
        <v>19577</v>
      </c>
      <c r="C2287" t="s">
        <v>2269</v>
      </c>
      <c r="D2287" t="s">
        <v>1857</v>
      </c>
      <c r="E2287" s="527" t="s">
        <v>19578</v>
      </c>
      <c r="F2287" s="219"/>
    </row>
    <row r="2288" spans="1:6" ht="14.4">
      <c r="A2288">
        <v>14576</v>
      </c>
      <c r="B2288" t="s">
        <v>19579</v>
      </c>
      <c r="C2288" t="s">
        <v>2269</v>
      </c>
      <c r="D2288" t="s">
        <v>2271</v>
      </c>
      <c r="E2288" s="527" t="s">
        <v>19580</v>
      </c>
      <c r="F2288" s="220"/>
    </row>
    <row r="2289" spans="1:6" ht="14.4">
      <c r="A2289">
        <v>13877</v>
      </c>
      <c r="B2289" t="s">
        <v>19581</v>
      </c>
      <c r="C2289" t="s">
        <v>2269</v>
      </c>
      <c r="D2289" t="s">
        <v>2271</v>
      </c>
      <c r="E2289" s="527" t="s">
        <v>19582</v>
      </c>
      <c r="F2289" s="219"/>
    </row>
    <row r="2290" spans="1:6" ht="14.4">
      <c r="A2290">
        <v>7307</v>
      </c>
      <c r="B2290" t="s">
        <v>19583</v>
      </c>
      <c r="C2290" t="s">
        <v>2275</v>
      </c>
      <c r="D2290" t="s">
        <v>1857</v>
      </c>
      <c r="E2290" s="527" t="s">
        <v>15141</v>
      </c>
      <c r="F2290" s="220"/>
    </row>
    <row r="2291" spans="1:6" ht="14.4">
      <c r="A2291">
        <v>38122</v>
      </c>
      <c r="B2291" t="s">
        <v>19584</v>
      </c>
      <c r="C2291" t="s">
        <v>2275</v>
      </c>
      <c r="D2291" t="s">
        <v>1857</v>
      </c>
      <c r="E2291" s="527" t="s">
        <v>10413</v>
      </c>
      <c r="F2291" s="219"/>
    </row>
    <row r="2292" spans="1:6" ht="14.4">
      <c r="A2292">
        <v>38633</v>
      </c>
      <c r="B2292" t="s">
        <v>19585</v>
      </c>
      <c r="C2292" t="s">
        <v>2269</v>
      </c>
      <c r="D2292" t="s">
        <v>1857</v>
      </c>
      <c r="E2292" s="527" t="s">
        <v>7438</v>
      </c>
      <c r="F2292" s="220"/>
    </row>
    <row r="2293" spans="1:6" ht="14.4">
      <c r="A2293">
        <v>12344</v>
      </c>
      <c r="B2293" t="s">
        <v>19586</v>
      </c>
      <c r="C2293" t="s">
        <v>2269</v>
      </c>
      <c r="D2293" t="s">
        <v>1857</v>
      </c>
      <c r="E2293" s="527" t="s">
        <v>9531</v>
      </c>
      <c r="F2293" s="219"/>
    </row>
    <row r="2294" spans="1:6" ht="14.4">
      <c r="A2294">
        <v>12343</v>
      </c>
      <c r="B2294" t="s">
        <v>19587</v>
      </c>
      <c r="C2294" t="s">
        <v>2269</v>
      </c>
      <c r="D2294" t="s">
        <v>1857</v>
      </c>
      <c r="E2294" s="527" t="s">
        <v>9786</v>
      </c>
      <c r="F2294" s="220"/>
    </row>
    <row r="2295" spans="1:6" ht="14.4">
      <c r="A2295">
        <v>3295</v>
      </c>
      <c r="B2295" t="s">
        <v>19588</v>
      </c>
      <c r="C2295" t="s">
        <v>2269</v>
      </c>
      <c r="D2295" t="s">
        <v>1857</v>
      </c>
      <c r="E2295" s="527" t="s">
        <v>11681</v>
      </c>
      <c r="F2295" s="219"/>
    </row>
    <row r="2296" spans="1:6" ht="14.4">
      <c r="A2296">
        <v>3302</v>
      </c>
      <c r="B2296" t="s">
        <v>19589</v>
      </c>
      <c r="C2296" t="s">
        <v>2269</v>
      </c>
      <c r="D2296" t="s">
        <v>1857</v>
      </c>
      <c r="E2296" s="527" t="s">
        <v>10683</v>
      </c>
      <c r="F2296" s="220"/>
    </row>
    <row r="2297" spans="1:6" ht="14.4">
      <c r="A2297">
        <v>3297</v>
      </c>
      <c r="B2297" t="s">
        <v>19590</v>
      </c>
      <c r="C2297" t="s">
        <v>2269</v>
      </c>
      <c r="D2297" t="s">
        <v>1857</v>
      </c>
      <c r="E2297" s="527" t="s">
        <v>16154</v>
      </c>
      <c r="F2297" s="219"/>
    </row>
    <row r="2298" spans="1:6" ht="14.4">
      <c r="A2298">
        <v>3294</v>
      </c>
      <c r="B2298" t="s">
        <v>19591</v>
      </c>
      <c r="C2298" t="s">
        <v>2269</v>
      </c>
      <c r="D2298" t="s">
        <v>1857</v>
      </c>
      <c r="E2298" s="527" t="s">
        <v>3132</v>
      </c>
      <c r="F2298" s="220"/>
    </row>
    <row r="2299" spans="1:6" ht="14.4">
      <c r="A2299">
        <v>3292</v>
      </c>
      <c r="B2299" t="s">
        <v>19592</v>
      </c>
      <c r="C2299" t="s">
        <v>2269</v>
      </c>
      <c r="D2299" t="s">
        <v>2268</v>
      </c>
      <c r="E2299" s="527" t="s">
        <v>16279</v>
      </c>
      <c r="F2299" s="219"/>
    </row>
    <row r="2300" spans="1:6" ht="14.4">
      <c r="A2300">
        <v>3298</v>
      </c>
      <c r="B2300" t="s">
        <v>19593</v>
      </c>
      <c r="C2300" t="s">
        <v>2269</v>
      </c>
      <c r="D2300" t="s">
        <v>1857</v>
      </c>
      <c r="E2300" s="527" t="s">
        <v>10240</v>
      </c>
      <c r="F2300" s="220"/>
    </row>
    <row r="2301" spans="1:6" ht="14.4">
      <c r="A2301">
        <v>11596</v>
      </c>
      <c r="B2301" t="s">
        <v>19594</v>
      </c>
      <c r="C2301" t="s">
        <v>2269</v>
      </c>
      <c r="D2301" t="s">
        <v>2271</v>
      </c>
      <c r="E2301" s="527" t="s">
        <v>15405</v>
      </c>
      <c r="F2301" s="219"/>
    </row>
    <row r="2302" spans="1:6" ht="14.4">
      <c r="A2302">
        <v>34802</v>
      </c>
      <c r="B2302" t="s">
        <v>19595</v>
      </c>
      <c r="C2302" t="s">
        <v>2269</v>
      </c>
      <c r="D2302" t="s">
        <v>2271</v>
      </c>
      <c r="E2302" s="527" t="s">
        <v>15406</v>
      </c>
      <c r="F2302" s="220"/>
    </row>
    <row r="2303" spans="1:6" ht="14.4">
      <c r="A2303">
        <v>11588</v>
      </c>
      <c r="B2303" t="s">
        <v>19596</v>
      </c>
      <c r="C2303" t="s">
        <v>2269</v>
      </c>
      <c r="D2303" t="s">
        <v>2271</v>
      </c>
      <c r="E2303" s="527" t="s">
        <v>15407</v>
      </c>
      <c r="F2303" s="219"/>
    </row>
    <row r="2304" spans="1:6" ht="14.4">
      <c r="A2304">
        <v>34383</v>
      </c>
      <c r="B2304" t="s">
        <v>19597</v>
      </c>
      <c r="C2304" t="s">
        <v>2269</v>
      </c>
      <c r="D2304" t="s">
        <v>2271</v>
      </c>
      <c r="E2304" s="527" t="s">
        <v>15408</v>
      </c>
      <c r="F2304" s="220"/>
    </row>
    <row r="2305" spans="1:6" ht="14.4">
      <c r="A2305">
        <v>40451</v>
      </c>
      <c r="B2305" t="s">
        <v>19598</v>
      </c>
      <c r="C2305" t="s">
        <v>2270</v>
      </c>
      <c r="D2305" t="s">
        <v>2271</v>
      </c>
      <c r="E2305" s="527" t="s">
        <v>15409</v>
      </c>
      <c r="F2305" s="219"/>
    </row>
    <row r="2306" spans="1:6" ht="14.4">
      <c r="A2306">
        <v>40453</v>
      </c>
      <c r="B2306" t="s">
        <v>19599</v>
      </c>
      <c r="C2306" t="s">
        <v>2270</v>
      </c>
      <c r="D2306" t="s">
        <v>2271</v>
      </c>
      <c r="E2306" s="527" t="s">
        <v>15410</v>
      </c>
      <c r="F2306" s="220"/>
    </row>
    <row r="2307" spans="1:6" ht="14.4">
      <c r="A2307">
        <v>40452</v>
      </c>
      <c r="B2307" t="s">
        <v>19600</v>
      </c>
      <c r="C2307" t="s">
        <v>2270</v>
      </c>
      <c r="D2307" t="s">
        <v>2271</v>
      </c>
      <c r="E2307" s="527" t="s">
        <v>10230</v>
      </c>
      <c r="F2307" s="219"/>
    </row>
    <row r="2308" spans="1:6" ht="14.4">
      <c r="A2308">
        <v>11594</v>
      </c>
      <c r="B2308" t="s">
        <v>19601</v>
      </c>
      <c r="C2308" t="s">
        <v>2269</v>
      </c>
      <c r="D2308" t="s">
        <v>2271</v>
      </c>
      <c r="E2308" s="527" t="s">
        <v>15411</v>
      </c>
      <c r="F2308" s="220"/>
    </row>
    <row r="2309" spans="1:6" ht="14.4">
      <c r="A2309">
        <v>3311</v>
      </c>
      <c r="B2309" t="s">
        <v>19602</v>
      </c>
      <c r="C2309" t="s">
        <v>2272</v>
      </c>
      <c r="D2309" t="s">
        <v>2271</v>
      </c>
      <c r="E2309" s="527" t="s">
        <v>15411</v>
      </c>
      <c r="F2309" s="219"/>
    </row>
    <row r="2310" spans="1:6" ht="14.4">
      <c r="A2310">
        <v>11599</v>
      </c>
      <c r="B2310" t="s">
        <v>19603</v>
      </c>
      <c r="C2310" t="s">
        <v>2269</v>
      </c>
      <c r="D2310" t="s">
        <v>2271</v>
      </c>
      <c r="E2310" s="527" t="s">
        <v>15412</v>
      </c>
      <c r="F2310" s="220"/>
    </row>
    <row r="2311" spans="1:6" ht="14.4">
      <c r="A2311">
        <v>11593</v>
      </c>
      <c r="B2311" t="s">
        <v>19604</v>
      </c>
      <c r="C2311" t="s">
        <v>2269</v>
      </c>
      <c r="D2311" t="s">
        <v>2271</v>
      </c>
      <c r="E2311" s="527" t="s">
        <v>15413</v>
      </c>
      <c r="F2311" s="219"/>
    </row>
    <row r="2312" spans="1:6" ht="14.4">
      <c r="A2312">
        <v>3314</v>
      </c>
      <c r="B2312" t="s">
        <v>19605</v>
      </c>
      <c r="C2312" t="s">
        <v>2272</v>
      </c>
      <c r="D2312" t="s">
        <v>2271</v>
      </c>
      <c r="E2312" s="527" t="s">
        <v>11778</v>
      </c>
      <c r="F2312" s="220"/>
    </row>
    <row r="2313" spans="1:6" ht="14.4">
      <c r="A2313">
        <v>11597</v>
      </c>
      <c r="B2313" t="s">
        <v>19606</v>
      </c>
      <c r="C2313" t="s">
        <v>2269</v>
      </c>
      <c r="D2313" t="s">
        <v>2271</v>
      </c>
      <c r="E2313" s="527" t="s">
        <v>15414</v>
      </c>
      <c r="F2313" s="219"/>
    </row>
    <row r="2314" spans="1:6" ht="14.4">
      <c r="A2314">
        <v>3309</v>
      </c>
      <c r="B2314" t="s">
        <v>19607</v>
      </c>
      <c r="C2314" t="s">
        <v>2272</v>
      </c>
      <c r="D2314" t="s">
        <v>2271</v>
      </c>
      <c r="E2314" s="527" t="s">
        <v>15405</v>
      </c>
      <c r="F2314" s="220"/>
    </row>
    <row r="2315" spans="1:6" ht="14.4">
      <c r="A2315">
        <v>34612</v>
      </c>
      <c r="B2315" t="s">
        <v>19608</v>
      </c>
      <c r="C2315" t="s">
        <v>2269</v>
      </c>
      <c r="D2315" t="s">
        <v>2271</v>
      </c>
      <c r="E2315" s="527" t="s">
        <v>15415</v>
      </c>
      <c r="F2315" s="219"/>
    </row>
    <row r="2316" spans="1:6" ht="14.4">
      <c r="A2316">
        <v>34635</v>
      </c>
      <c r="B2316" t="s">
        <v>19609</v>
      </c>
      <c r="C2316" t="s">
        <v>2269</v>
      </c>
      <c r="D2316" t="s">
        <v>2271</v>
      </c>
      <c r="E2316" s="527" t="s">
        <v>15416</v>
      </c>
      <c r="F2316" s="220"/>
    </row>
    <row r="2317" spans="1:6" ht="14.4">
      <c r="A2317">
        <v>34633</v>
      </c>
      <c r="B2317" t="s">
        <v>19610</v>
      </c>
      <c r="C2317" t="s">
        <v>2269</v>
      </c>
      <c r="D2317" t="s">
        <v>2271</v>
      </c>
      <c r="E2317" s="527" t="s">
        <v>15417</v>
      </c>
      <c r="F2317" s="219"/>
    </row>
    <row r="2318" spans="1:6" ht="14.4">
      <c r="A2318">
        <v>40440</v>
      </c>
      <c r="B2318" t="s">
        <v>19611</v>
      </c>
      <c r="C2318" t="s">
        <v>2272</v>
      </c>
      <c r="D2318" t="s">
        <v>2271</v>
      </c>
      <c r="E2318" s="527" t="s">
        <v>15418</v>
      </c>
      <c r="F2318" s="220"/>
    </row>
    <row r="2319" spans="1:6" ht="14.4">
      <c r="A2319">
        <v>40441</v>
      </c>
      <c r="B2319" t="s">
        <v>19612</v>
      </c>
      <c r="C2319" t="s">
        <v>2272</v>
      </c>
      <c r="D2319" t="s">
        <v>2271</v>
      </c>
      <c r="E2319" s="527" t="s">
        <v>10660</v>
      </c>
      <c r="F2319" s="219"/>
    </row>
    <row r="2320" spans="1:6" ht="14.4">
      <c r="A2320">
        <v>40449</v>
      </c>
      <c r="B2320" t="s">
        <v>19613</v>
      </c>
      <c r="C2320" t="s">
        <v>2272</v>
      </c>
      <c r="D2320" t="s">
        <v>2271</v>
      </c>
      <c r="E2320" s="527" t="s">
        <v>15419</v>
      </c>
      <c r="F2320" s="220"/>
    </row>
    <row r="2321" spans="1:6" ht="14.4">
      <c r="A2321">
        <v>34800</v>
      </c>
      <c r="B2321" t="s">
        <v>19614</v>
      </c>
      <c r="C2321" t="s">
        <v>2272</v>
      </c>
      <c r="D2321" t="s">
        <v>2271</v>
      </c>
      <c r="E2321" s="527" t="s">
        <v>15420</v>
      </c>
      <c r="F2321" s="219"/>
    </row>
    <row r="2322" spans="1:6" ht="14.4">
      <c r="A2322">
        <v>11592</v>
      </c>
      <c r="B2322" t="s">
        <v>19615</v>
      </c>
      <c r="C2322" t="s">
        <v>2269</v>
      </c>
      <c r="D2322" t="s">
        <v>2271</v>
      </c>
      <c r="E2322" s="527" t="s">
        <v>11778</v>
      </c>
      <c r="F2322" s="220"/>
    </row>
    <row r="2323" spans="1:6" ht="14.4">
      <c r="A2323">
        <v>40438</v>
      </c>
      <c r="B2323" t="s">
        <v>19616</v>
      </c>
      <c r="C2323" t="s">
        <v>2272</v>
      </c>
      <c r="D2323" t="s">
        <v>2271</v>
      </c>
      <c r="E2323" s="527" t="s">
        <v>15421</v>
      </c>
      <c r="F2323" s="219"/>
    </row>
    <row r="2324" spans="1:6" ht="14.4">
      <c r="A2324">
        <v>40436</v>
      </c>
      <c r="B2324" t="s">
        <v>19617</v>
      </c>
      <c r="C2324" t="s">
        <v>2272</v>
      </c>
      <c r="D2324" t="s">
        <v>2271</v>
      </c>
      <c r="E2324" s="527" t="s">
        <v>15422</v>
      </c>
      <c r="F2324" s="220"/>
    </row>
    <row r="2325" spans="1:6" ht="14.4">
      <c r="A2325">
        <v>4315</v>
      </c>
      <c r="B2325" t="s">
        <v>19618</v>
      </c>
      <c r="C2325" t="s">
        <v>2269</v>
      </c>
      <c r="D2325" t="s">
        <v>1857</v>
      </c>
      <c r="E2325" s="527" t="s">
        <v>10415</v>
      </c>
      <c r="F2325" s="219"/>
    </row>
    <row r="2326" spans="1:6" ht="14.4">
      <c r="A2326">
        <v>402</v>
      </c>
      <c r="B2326" t="s">
        <v>19619</v>
      </c>
      <c r="C2326" t="s">
        <v>2269</v>
      </c>
      <c r="D2326" t="s">
        <v>1857</v>
      </c>
      <c r="E2326" s="527" t="s">
        <v>9533</v>
      </c>
      <c r="F2326" s="220"/>
    </row>
    <row r="2327" spans="1:6" ht="14.4">
      <c r="A2327">
        <v>4226</v>
      </c>
      <c r="B2327" t="s">
        <v>19620</v>
      </c>
      <c r="C2327" t="s">
        <v>2274</v>
      </c>
      <c r="D2327" t="s">
        <v>2268</v>
      </c>
      <c r="E2327" s="527" t="s">
        <v>2985</v>
      </c>
      <c r="F2327" s="219"/>
    </row>
    <row r="2328" spans="1:6" ht="14.4">
      <c r="A2328">
        <v>4222</v>
      </c>
      <c r="B2328" t="s">
        <v>19621</v>
      </c>
      <c r="C2328" t="s">
        <v>2275</v>
      </c>
      <c r="D2328" t="s">
        <v>2268</v>
      </c>
      <c r="E2328" s="527" t="s">
        <v>2885</v>
      </c>
      <c r="F2328" s="220"/>
    </row>
    <row r="2329" spans="1:6" ht="14.4">
      <c r="A2329">
        <v>34804</v>
      </c>
      <c r="B2329" t="s">
        <v>19622</v>
      </c>
      <c r="C2329" t="s">
        <v>2270</v>
      </c>
      <c r="D2329" t="s">
        <v>2271</v>
      </c>
      <c r="E2329" s="527" t="s">
        <v>13091</v>
      </c>
      <c r="F2329" s="219"/>
    </row>
    <row r="2330" spans="1:6" ht="14.4">
      <c r="A2330">
        <v>4013</v>
      </c>
      <c r="B2330" t="s">
        <v>19623</v>
      </c>
      <c r="C2330" t="s">
        <v>2270</v>
      </c>
      <c r="D2330" t="s">
        <v>1857</v>
      </c>
      <c r="E2330" s="527" t="s">
        <v>3787</v>
      </c>
      <c r="F2330" s="220"/>
    </row>
    <row r="2331" spans="1:6" ht="14.4">
      <c r="A2331">
        <v>4011</v>
      </c>
      <c r="B2331" t="s">
        <v>19624</v>
      </c>
      <c r="C2331" t="s">
        <v>2270</v>
      </c>
      <c r="D2331" t="s">
        <v>1857</v>
      </c>
      <c r="E2331" s="527" t="s">
        <v>15803</v>
      </c>
      <c r="F2331" s="219"/>
    </row>
    <row r="2332" spans="1:6" ht="14.4">
      <c r="A2332">
        <v>4021</v>
      </c>
      <c r="B2332" t="s">
        <v>19625</v>
      </c>
      <c r="C2332" t="s">
        <v>2270</v>
      </c>
      <c r="D2332" t="s">
        <v>1857</v>
      </c>
      <c r="E2332" s="527" t="s">
        <v>10659</v>
      </c>
      <c r="F2332" s="220"/>
    </row>
    <row r="2333" spans="1:6" ht="14.4">
      <c r="A2333">
        <v>4019</v>
      </c>
      <c r="B2333" t="s">
        <v>19626</v>
      </c>
      <c r="C2333" t="s">
        <v>2270</v>
      </c>
      <c r="D2333" t="s">
        <v>1857</v>
      </c>
      <c r="E2333" s="527" t="s">
        <v>10674</v>
      </c>
      <c r="F2333" s="219"/>
    </row>
    <row r="2334" spans="1:6" ht="14.4">
      <c r="A2334">
        <v>4012</v>
      </c>
      <c r="B2334" t="s">
        <v>19627</v>
      </c>
      <c r="C2334" t="s">
        <v>2270</v>
      </c>
      <c r="D2334" t="s">
        <v>1857</v>
      </c>
      <c r="E2334" s="527" t="s">
        <v>6529</v>
      </c>
      <c r="F2334" s="220"/>
    </row>
    <row r="2335" spans="1:6" ht="14.4">
      <c r="A2335">
        <v>4020</v>
      </c>
      <c r="B2335" t="s">
        <v>19628</v>
      </c>
      <c r="C2335" t="s">
        <v>2270</v>
      </c>
      <c r="D2335" t="s">
        <v>1857</v>
      </c>
      <c r="E2335" s="527" t="s">
        <v>19629</v>
      </c>
      <c r="F2335" s="219"/>
    </row>
    <row r="2336" spans="1:6" ht="14.4">
      <c r="A2336">
        <v>4018</v>
      </c>
      <c r="B2336" t="s">
        <v>19630</v>
      </c>
      <c r="C2336" t="s">
        <v>2270</v>
      </c>
      <c r="D2336" t="s">
        <v>1857</v>
      </c>
      <c r="E2336" s="527" t="s">
        <v>10290</v>
      </c>
      <c r="F2336" s="220"/>
    </row>
    <row r="2337" spans="1:6" ht="14.4">
      <c r="A2337">
        <v>36498</v>
      </c>
      <c r="B2337" t="s">
        <v>19631</v>
      </c>
      <c r="C2337" t="s">
        <v>2269</v>
      </c>
      <c r="D2337" t="s">
        <v>2271</v>
      </c>
      <c r="E2337" s="527" t="s">
        <v>19632</v>
      </c>
      <c r="F2337" s="219"/>
    </row>
    <row r="2338" spans="1:6" ht="14.4">
      <c r="A2338">
        <v>12872</v>
      </c>
      <c r="B2338" t="s">
        <v>19633</v>
      </c>
      <c r="C2338" t="s">
        <v>2267</v>
      </c>
      <c r="D2338" t="s">
        <v>1857</v>
      </c>
      <c r="E2338" s="527" t="s">
        <v>4103</v>
      </c>
      <c r="F2338" s="220"/>
    </row>
    <row r="2339" spans="1:6" ht="14.4">
      <c r="A2339">
        <v>41075</v>
      </c>
      <c r="B2339" t="s">
        <v>19634</v>
      </c>
      <c r="C2339" t="s">
        <v>2276</v>
      </c>
      <c r="D2339" t="s">
        <v>1857</v>
      </c>
      <c r="E2339" s="527" t="s">
        <v>19635</v>
      </c>
      <c r="F2339" s="219"/>
    </row>
    <row r="2340" spans="1:6" ht="14.4">
      <c r="A2340">
        <v>3315</v>
      </c>
      <c r="B2340" t="s">
        <v>19636</v>
      </c>
      <c r="C2340" t="s">
        <v>2274</v>
      </c>
      <c r="D2340" t="s">
        <v>1857</v>
      </c>
      <c r="E2340" s="527" t="s">
        <v>3568</v>
      </c>
      <c r="F2340" s="220"/>
    </row>
    <row r="2341" spans="1:6" ht="14.4">
      <c r="A2341">
        <v>36870</v>
      </c>
      <c r="B2341" t="s">
        <v>19637</v>
      </c>
      <c r="C2341" t="s">
        <v>2274</v>
      </c>
      <c r="D2341" t="s">
        <v>1857</v>
      </c>
      <c r="E2341" s="527" t="s">
        <v>3577</v>
      </c>
      <c r="F2341" s="219"/>
    </row>
    <row r="2342" spans="1:6" ht="14.4">
      <c r="A2342">
        <v>5092</v>
      </c>
      <c r="B2342" t="s">
        <v>19638</v>
      </c>
      <c r="C2342" t="s">
        <v>2278</v>
      </c>
      <c r="D2342" t="s">
        <v>1857</v>
      </c>
      <c r="E2342" s="527" t="s">
        <v>7223</v>
      </c>
      <c r="F2342" s="220"/>
    </row>
    <row r="2343" spans="1:6" ht="14.4">
      <c r="A2343">
        <v>11462</v>
      </c>
      <c r="B2343" t="s">
        <v>19639</v>
      </c>
      <c r="C2343" t="s">
        <v>2278</v>
      </c>
      <c r="D2343" t="s">
        <v>1857</v>
      </c>
      <c r="E2343" s="527" t="s">
        <v>15531</v>
      </c>
      <c r="F2343" s="219"/>
    </row>
    <row r="2344" spans="1:6" ht="14.4">
      <c r="A2344">
        <v>36529</v>
      </c>
      <c r="B2344" t="s">
        <v>19640</v>
      </c>
      <c r="C2344" t="s">
        <v>2269</v>
      </c>
      <c r="D2344" t="s">
        <v>2271</v>
      </c>
      <c r="E2344" s="527" t="s">
        <v>19641</v>
      </c>
      <c r="F2344" s="220"/>
    </row>
    <row r="2345" spans="1:6" ht="14.4">
      <c r="A2345">
        <v>3318</v>
      </c>
      <c r="B2345" t="s">
        <v>19642</v>
      </c>
      <c r="C2345" t="s">
        <v>2269</v>
      </c>
      <c r="D2345" t="s">
        <v>2271</v>
      </c>
      <c r="E2345" s="527" t="s">
        <v>19643</v>
      </c>
      <c r="F2345" s="219"/>
    </row>
    <row r="2346" spans="1:6" ht="14.4">
      <c r="A2346">
        <v>3324</v>
      </c>
      <c r="B2346" t="s">
        <v>19644</v>
      </c>
      <c r="C2346" t="s">
        <v>2270</v>
      </c>
      <c r="D2346" t="s">
        <v>1857</v>
      </c>
      <c r="E2346" s="527" t="s">
        <v>9894</v>
      </c>
      <c r="F2346" s="220"/>
    </row>
    <row r="2347" spans="1:6" ht="14.4">
      <c r="A2347">
        <v>3322</v>
      </c>
      <c r="B2347" t="s">
        <v>19645</v>
      </c>
      <c r="C2347" t="s">
        <v>2270</v>
      </c>
      <c r="D2347" t="s">
        <v>2268</v>
      </c>
      <c r="E2347" s="527" t="s">
        <v>16471</v>
      </c>
      <c r="F2347" s="219"/>
    </row>
    <row r="2348" spans="1:6" ht="14.4">
      <c r="A2348">
        <v>5076</v>
      </c>
      <c r="B2348" t="s">
        <v>19646</v>
      </c>
      <c r="C2348" t="s">
        <v>2274</v>
      </c>
      <c r="D2348" t="s">
        <v>1857</v>
      </c>
      <c r="E2348" s="527" t="s">
        <v>11178</v>
      </c>
      <c r="F2348" s="220"/>
    </row>
    <row r="2349" spans="1:6" ht="14.4">
      <c r="A2349">
        <v>5077</v>
      </c>
      <c r="B2349" t="s">
        <v>19647</v>
      </c>
      <c r="C2349" t="s">
        <v>2274</v>
      </c>
      <c r="D2349" t="s">
        <v>1857</v>
      </c>
      <c r="E2349" s="527" t="s">
        <v>16195</v>
      </c>
      <c r="F2349" s="219"/>
    </row>
    <row r="2350" spans="1:6" ht="14.4">
      <c r="A2350">
        <v>11837</v>
      </c>
      <c r="B2350" t="s">
        <v>19648</v>
      </c>
      <c r="C2350" t="s">
        <v>2269</v>
      </c>
      <c r="D2350" t="s">
        <v>1857</v>
      </c>
      <c r="E2350" s="527" t="s">
        <v>19649</v>
      </c>
      <c r="F2350" s="220"/>
    </row>
    <row r="2351" spans="1:6" ht="14.4">
      <c r="A2351">
        <v>38055</v>
      </c>
      <c r="B2351" t="s">
        <v>19650</v>
      </c>
      <c r="C2351" t="s">
        <v>2269</v>
      </c>
      <c r="D2351" t="s">
        <v>1857</v>
      </c>
      <c r="E2351" s="527" t="s">
        <v>10761</v>
      </c>
      <c r="F2351" s="219"/>
    </row>
    <row r="2352" spans="1:6" ht="14.4">
      <c r="A2352">
        <v>415</v>
      </c>
      <c r="B2352" t="s">
        <v>19651</v>
      </c>
      <c r="C2352" t="s">
        <v>2269</v>
      </c>
      <c r="D2352" t="s">
        <v>1857</v>
      </c>
      <c r="E2352" s="527" t="s">
        <v>7952</v>
      </c>
      <c r="F2352" s="220"/>
    </row>
    <row r="2353" spans="1:6" ht="14.4">
      <c r="A2353">
        <v>416</v>
      </c>
      <c r="B2353" t="s">
        <v>19652</v>
      </c>
      <c r="C2353" t="s">
        <v>2269</v>
      </c>
      <c r="D2353" t="s">
        <v>1857</v>
      </c>
      <c r="E2353" s="527" t="s">
        <v>19653</v>
      </c>
      <c r="F2353" s="219"/>
    </row>
    <row r="2354" spans="1:6" ht="14.4">
      <c r="A2354">
        <v>425</v>
      </c>
      <c r="B2354" t="s">
        <v>19654</v>
      </c>
      <c r="C2354" t="s">
        <v>2269</v>
      </c>
      <c r="D2354" t="s">
        <v>1857</v>
      </c>
      <c r="E2354" s="527" t="s">
        <v>10066</v>
      </c>
      <c r="F2354" s="220"/>
    </row>
    <row r="2355" spans="1:6" ht="14.4">
      <c r="A2355">
        <v>426</v>
      </c>
      <c r="B2355" t="s">
        <v>19655</v>
      </c>
      <c r="C2355" t="s">
        <v>2269</v>
      </c>
      <c r="D2355" t="s">
        <v>1857</v>
      </c>
      <c r="E2355" s="527" t="s">
        <v>10663</v>
      </c>
      <c r="F2355" s="219"/>
    </row>
    <row r="2356" spans="1:6" ht="14.4">
      <c r="A2356">
        <v>38056</v>
      </c>
      <c r="B2356" t="s">
        <v>19656</v>
      </c>
      <c r="C2356" t="s">
        <v>2269</v>
      </c>
      <c r="D2356" t="s">
        <v>1857</v>
      </c>
      <c r="E2356" s="527" t="s">
        <v>11440</v>
      </c>
      <c r="F2356" s="220"/>
    </row>
    <row r="2357" spans="1:6" ht="14.4">
      <c r="A2357">
        <v>1564</v>
      </c>
      <c r="B2357" t="s">
        <v>19657</v>
      </c>
      <c r="C2357" t="s">
        <v>2269</v>
      </c>
      <c r="D2357" t="s">
        <v>1857</v>
      </c>
      <c r="E2357" s="527" t="s">
        <v>19658</v>
      </c>
      <c r="F2357" s="219"/>
    </row>
    <row r="2358" spans="1:6" ht="14.4">
      <c r="A2358">
        <v>11032</v>
      </c>
      <c r="B2358" t="s">
        <v>19659</v>
      </c>
      <c r="C2358" t="s">
        <v>2269</v>
      </c>
      <c r="D2358" t="s">
        <v>1857</v>
      </c>
      <c r="E2358" s="527" t="s">
        <v>10206</v>
      </c>
      <c r="F2358" s="220"/>
    </row>
    <row r="2359" spans="1:6" ht="14.4">
      <c r="A2359">
        <v>36786</v>
      </c>
      <c r="B2359" t="s">
        <v>19660</v>
      </c>
      <c r="C2359" t="s">
        <v>1715</v>
      </c>
      <c r="D2359" t="s">
        <v>2271</v>
      </c>
      <c r="E2359" s="527" t="s">
        <v>15423</v>
      </c>
      <c r="F2359" s="219"/>
    </row>
    <row r="2360" spans="1:6" ht="14.4">
      <c r="A2360">
        <v>36785</v>
      </c>
      <c r="B2360" t="s">
        <v>19661</v>
      </c>
      <c r="C2360" t="s">
        <v>1715</v>
      </c>
      <c r="D2360" t="s">
        <v>2271</v>
      </c>
      <c r="E2360" s="527" t="s">
        <v>15424</v>
      </c>
      <c r="F2360" s="220"/>
    </row>
    <row r="2361" spans="1:6" ht="14.4">
      <c r="A2361">
        <v>36782</v>
      </c>
      <c r="B2361" t="s">
        <v>19662</v>
      </c>
      <c r="C2361" t="s">
        <v>1715</v>
      </c>
      <c r="D2361" t="s">
        <v>2271</v>
      </c>
      <c r="E2361" s="527" t="s">
        <v>15425</v>
      </c>
      <c r="F2361" s="219"/>
    </row>
    <row r="2362" spans="1:6" ht="14.4">
      <c r="A2362">
        <v>25930</v>
      </c>
      <c r="B2362" t="s">
        <v>19663</v>
      </c>
      <c r="C2362" t="s">
        <v>1715</v>
      </c>
      <c r="D2362" t="s">
        <v>2271</v>
      </c>
      <c r="E2362" s="527" t="s">
        <v>15426</v>
      </c>
      <c r="F2362" s="220"/>
    </row>
    <row r="2363" spans="1:6" ht="14.4">
      <c r="A2363">
        <v>4824</v>
      </c>
      <c r="B2363" t="s">
        <v>19664</v>
      </c>
      <c r="C2363" t="s">
        <v>2274</v>
      </c>
      <c r="D2363" t="s">
        <v>1857</v>
      </c>
      <c r="E2363" s="527" t="s">
        <v>7229</v>
      </c>
      <c r="F2363" s="219"/>
    </row>
    <row r="2364" spans="1:6" ht="14.4">
      <c r="A2364">
        <v>11795</v>
      </c>
      <c r="B2364" t="s">
        <v>19665</v>
      </c>
      <c r="C2364" t="s">
        <v>2270</v>
      </c>
      <c r="D2364" t="s">
        <v>1857</v>
      </c>
      <c r="E2364" s="527" t="s">
        <v>15427</v>
      </c>
      <c r="F2364" s="220"/>
    </row>
    <row r="2365" spans="1:6" ht="14.4">
      <c r="A2365">
        <v>134</v>
      </c>
      <c r="B2365" t="s">
        <v>19666</v>
      </c>
      <c r="C2365" t="s">
        <v>2274</v>
      </c>
      <c r="D2365" t="s">
        <v>1857</v>
      </c>
      <c r="E2365" s="527" t="s">
        <v>3715</v>
      </c>
      <c r="F2365" s="219"/>
    </row>
    <row r="2366" spans="1:6" ht="14.4">
      <c r="A2366">
        <v>4229</v>
      </c>
      <c r="B2366" t="s">
        <v>19667</v>
      </c>
      <c r="C2366" t="s">
        <v>2274</v>
      </c>
      <c r="D2366" t="s">
        <v>1857</v>
      </c>
      <c r="E2366" s="527" t="s">
        <v>10162</v>
      </c>
      <c r="F2366" s="220"/>
    </row>
    <row r="2367" spans="1:6" ht="14.4">
      <c r="A2367">
        <v>11731</v>
      </c>
      <c r="B2367" t="s">
        <v>19668</v>
      </c>
      <c r="C2367" t="s">
        <v>2269</v>
      </c>
      <c r="D2367" t="s">
        <v>1857</v>
      </c>
      <c r="E2367" s="527" t="s">
        <v>10668</v>
      </c>
      <c r="F2367" s="219"/>
    </row>
    <row r="2368" spans="1:6" ht="14.4">
      <c r="A2368">
        <v>11732</v>
      </c>
      <c r="B2368" t="s">
        <v>19669</v>
      </c>
      <c r="C2368" t="s">
        <v>2269</v>
      </c>
      <c r="D2368" t="s">
        <v>1857</v>
      </c>
      <c r="E2368" s="527" t="s">
        <v>16605</v>
      </c>
      <c r="F2368" s="220"/>
    </row>
    <row r="2369" spans="1:6" ht="14.4">
      <c r="A2369">
        <v>11244</v>
      </c>
      <c r="B2369" t="s">
        <v>19670</v>
      </c>
      <c r="C2369" t="s">
        <v>2269</v>
      </c>
      <c r="D2369" t="s">
        <v>2271</v>
      </c>
      <c r="E2369" s="527" t="s">
        <v>19671</v>
      </c>
      <c r="F2369" s="219"/>
    </row>
    <row r="2370" spans="1:6" ht="14.4">
      <c r="A2370">
        <v>11245</v>
      </c>
      <c r="B2370" t="s">
        <v>19672</v>
      </c>
      <c r="C2370" t="s">
        <v>2269</v>
      </c>
      <c r="D2370" t="s">
        <v>2271</v>
      </c>
      <c r="E2370" s="527" t="s">
        <v>19673</v>
      </c>
      <c r="F2370" s="220"/>
    </row>
    <row r="2371" spans="1:6" ht="14.4">
      <c r="A2371">
        <v>11235</v>
      </c>
      <c r="B2371" t="s">
        <v>19674</v>
      </c>
      <c r="C2371" t="s">
        <v>2269</v>
      </c>
      <c r="D2371" t="s">
        <v>2271</v>
      </c>
      <c r="E2371" s="527" t="s">
        <v>19675</v>
      </c>
      <c r="F2371" s="219"/>
    </row>
    <row r="2372" spans="1:6" ht="14.4">
      <c r="A2372">
        <v>11236</v>
      </c>
      <c r="B2372" t="s">
        <v>19676</v>
      </c>
      <c r="C2372" t="s">
        <v>2269</v>
      </c>
      <c r="D2372" t="s">
        <v>2271</v>
      </c>
      <c r="E2372" s="527" t="s">
        <v>19677</v>
      </c>
      <c r="F2372" s="220"/>
    </row>
    <row r="2373" spans="1:6" ht="14.4">
      <c r="A2373">
        <v>36494</v>
      </c>
      <c r="B2373" t="s">
        <v>19678</v>
      </c>
      <c r="C2373" t="s">
        <v>2269</v>
      </c>
      <c r="D2373" t="s">
        <v>2271</v>
      </c>
      <c r="E2373" s="527" t="s">
        <v>19679</v>
      </c>
      <c r="F2373" s="219"/>
    </row>
    <row r="2374" spans="1:6" ht="14.4">
      <c r="A2374">
        <v>36493</v>
      </c>
      <c r="B2374" t="s">
        <v>19680</v>
      </c>
      <c r="C2374" t="s">
        <v>2269</v>
      </c>
      <c r="D2374" t="s">
        <v>2271</v>
      </c>
      <c r="E2374" s="527" t="s">
        <v>19681</v>
      </c>
      <c r="F2374" s="220"/>
    </row>
    <row r="2375" spans="1:6" ht="14.4">
      <c r="A2375">
        <v>36492</v>
      </c>
      <c r="B2375" t="s">
        <v>19682</v>
      </c>
      <c r="C2375" t="s">
        <v>2269</v>
      </c>
      <c r="D2375" t="s">
        <v>2271</v>
      </c>
      <c r="E2375" s="527" t="s">
        <v>19683</v>
      </c>
      <c r="F2375" s="219"/>
    </row>
    <row r="2376" spans="1:6" ht="14.4">
      <c r="A2376">
        <v>13333</v>
      </c>
      <c r="B2376" t="s">
        <v>19684</v>
      </c>
      <c r="C2376" t="s">
        <v>2269</v>
      </c>
      <c r="D2376" t="s">
        <v>2271</v>
      </c>
      <c r="E2376" s="527" t="s">
        <v>19685</v>
      </c>
      <c r="F2376" s="220"/>
    </row>
    <row r="2377" spans="1:6" ht="14.4">
      <c r="A2377">
        <v>13533</v>
      </c>
      <c r="B2377" t="s">
        <v>19686</v>
      </c>
      <c r="C2377" t="s">
        <v>2269</v>
      </c>
      <c r="D2377" t="s">
        <v>2271</v>
      </c>
      <c r="E2377" s="527" t="s">
        <v>19687</v>
      </c>
      <c r="F2377" s="219"/>
    </row>
    <row r="2378" spans="1:6" ht="14.4">
      <c r="A2378">
        <v>36499</v>
      </c>
      <c r="B2378" t="s">
        <v>19688</v>
      </c>
      <c r="C2378" t="s">
        <v>2269</v>
      </c>
      <c r="D2378" t="s">
        <v>2271</v>
      </c>
      <c r="E2378" s="527" t="s">
        <v>19689</v>
      </c>
      <c r="F2378" s="220"/>
    </row>
    <row r="2379" spans="1:6" ht="14.4">
      <c r="A2379">
        <v>39585</v>
      </c>
      <c r="B2379" t="s">
        <v>19690</v>
      </c>
      <c r="C2379" t="s">
        <v>2269</v>
      </c>
      <c r="D2379" t="s">
        <v>2271</v>
      </c>
      <c r="E2379" s="527" t="s">
        <v>19691</v>
      </c>
      <c r="F2379" s="219"/>
    </row>
    <row r="2380" spans="1:6" ht="14.4">
      <c r="A2380">
        <v>39586</v>
      </c>
      <c r="B2380" t="s">
        <v>19692</v>
      </c>
      <c r="C2380" t="s">
        <v>2269</v>
      </c>
      <c r="D2380" t="s">
        <v>2271</v>
      </c>
      <c r="E2380" s="527" t="s">
        <v>19693</v>
      </c>
      <c r="F2380" s="220"/>
    </row>
    <row r="2381" spans="1:6" ht="14.4">
      <c r="A2381">
        <v>39587</v>
      </c>
      <c r="B2381" t="s">
        <v>19694</v>
      </c>
      <c r="C2381" t="s">
        <v>2269</v>
      </c>
      <c r="D2381" t="s">
        <v>2271</v>
      </c>
      <c r="E2381" s="527" t="s">
        <v>19695</v>
      </c>
      <c r="F2381" s="219"/>
    </row>
    <row r="2382" spans="1:6" ht="14.4">
      <c r="A2382">
        <v>39588</v>
      </c>
      <c r="B2382" t="s">
        <v>19696</v>
      </c>
      <c r="C2382" t="s">
        <v>2269</v>
      </c>
      <c r="D2382" t="s">
        <v>2271</v>
      </c>
      <c r="E2382" s="527" t="s">
        <v>19697</v>
      </c>
      <c r="F2382" s="220"/>
    </row>
    <row r="2383" spans="1:6" ht="14.4">
      <c r="A2383">
        <v>39584</v>
      </c>
      <c r="B2383" t="s">
        <v>19698</v>
      </c>
      <c r="C2383" t="s">
        <v>2269</v>
      </c>
      <c r="D2383" t="s">
        <v>2271</v>
      </c>
      <c r="E2383" s="527" t="s">
        <v>19699</v>
      </c>
      <c r="F2383" s="219"/>
    </row>
    <row r="2384" spans="1:6" ht="14.4">
      <c r="A2384">
        <v>39590</v>
      </c>
      <c r="B2384" t="s">
        <v>19700</v>
      </c>
      <c r="C2384" t="s">
        <v>2269</v>
      </c>
      <c r="D2384" t="s">
        <v>2271</v>
      </c>
      <c r="E2384" s="527" t="s">
        <v>19701</v>
      </c>
      <c r="F2384" s="220"/>
    </row>
    <row r="2385" spans="1:6" ht="14.4">
      <c r="A2385">
        <v>39592</v>
      </c>
      <c r="B2385" t="s">
        <v>19702</v>
      </c>
      <c r="C2385" t="s">
        <v>2269</v>
      </c>
      <c r="D2385" t="s">
        <v>2271</v>
      </c>
      <c r="E2385" s="527" t="s">
        <v>19703</v>
      </c>
      <c r="F2385" s="219"/>
    </row>
    <row r="2386" spans="1:6" ht="14.4">
      <c r="A2386">
        <v>39593</v>
      </c>
      <c r="B2386" t="s">
        <v>19704</v>
      </c>
      <c r="C2386" t="s">
        <v>2269</v>
      </c>
      <c r="D2386" t="s">
        <v>2271</v>
      </c>
      <c r="E2386" s="527" t="s">
        <v>19695</v>
      </c>
      <c r="F2386" s="220"/>
    </row>
    <row r="2387" spans="1:6" ht="14.4">
      <c r="A2387">
        <v>14254</v>
      </c>
      <c r="B2387" t="s">
        <v>19705</v>
      </c>
      <c r="C2387" t="s">
        <v>2269</v>
      </c>
      <c r="D2387" t="s">
        <v>2271</v>
      </c>
      <c r="E2387" s="527" t="s">
        <v>19706</v>
      </c>
      <c r="F2387" s="219"/>
    </row>
    <row r="2388" spans="1:6" ht="14.4">
      <c r="A2388">
        <v>25987</v>
      </c>
      <c r="B2388" t="s">
        <v>19707</v>
      </c>
      <c r="C2388" t="s">
        <v>2269</v>
      </c>
      <c r="D2388" t="s">
        <v>2271</v>
      </c>
      <c r="E2388" s="527" t="s">
        <v>19708</v>
      </c>
      <c r="F2388" s="220"/>
    </row>
    <row r="2389" spans="1:6" ht="14.4">
      <c r="A2389">
        <v>25019</v>
      </c>
      <c r="B2389" t="s">
        <v>19709</v>
      </c>
      <c r="C2389" t="s">
        <v>2269</v>
      </c>
      <c r="D2389" t="s">
        <v>2271</v>
      </c>
      <c r="E2389" s="527" t="s">
        <v>19710</v>
      </c>
      <c r="F2389" s="219"/>
    </row>
    <row r="2390" spans="1:6" ht="14.4">
      <c r="A2390">
        <v>36501</v>
      </c>
      <c r="B2390" t="s">
        <v>19711</v>
      </c>
      <c r="C2390" t="s">
        <v>2269</v>
      </c>
      <c r="D2390" t="s">
        <v>2271</v>
      </c>
      <c r="E2390" s="527" t="s">
        <v>19712</v>
      </c>
      <c r="F2390" s="220"/>
    </row>
    <row r="2391" spans="1:6" ht="14.4">
      <c r="A2391">
        <v>25986</v>
      </c>
      <c r="B2391" t="s">
        <v>19713</v>
      </c>
      <c r="C2391" t="s">
        <v>2269</v>
      </c>
      <c r="D2391" t="s">
        <v>2271</v>
      </c>
      <c r="E2391" s="527" t="s">
        <v>19714</v>
      </c>
      <c r="F2391" s="219"/>
    </row>
    <row r="2392" spans="1:6" ht="14.4">
      <c r="A2392">
        <v>36500</v>
      </c>
      <c r="B2392" t="s">
        <v>19715</v>
      </c>
      <c r="C2392" t="s">
        <v>2269</v>
      </c>
      <c r="D2392" t="s">
        <v>2271</v>
      </c>
      <c r="E2392" s="527" t="s">
        <v>19716</v>
      </c>
      <c r="F2392" s="220"/>
    </row>
    <row r="2393" spans="1:6" ht="14.4">
      <c r="A2393">
        <v>20017</v>
      </c>
      <c r="B2393" t="s">
        <v>19717</v>
      </c>
      <c r="C2393" t="s">
        <v>2273</v>
      </c>
      <c r="D2393" t="s">
        <v>1857</v>
      </c>
      <c r="E2393" s="527" t="s">
        <v>19718</v>
      </c>
      <c r="F2393" s="219"/>
    </row>
    <row r="2394" spans="1:6" ht="14.4">
      <c r="A2394">
        <v>20007</v>
      </c>
      <c r="B2394" t="s">
        <v>19719</v>
      </c>
      <c r="C2394" t="s">
        <v>2273</v>
      </c>
      <c r="D2394" t="s">
        <v>1857</v>
      </c>
      <c r="E2394" s="527" t="s">
        <v>9919</v>
      </c>
      <c r="F2394" s="220"/>
    </row>
    <row r="2395" spans="1:6" ht="14.4">
      <c r="A2395">
        <v>39831</v>
      </c>
      <c r="B2395" t="s">
        <v>19720</v>
      </c>
      <c r="C2395" t="s">
        <v>2279</v>
      </c>
      <c r="D2395" t="s">
        <v>2271</v>
      </c>
      <c r="E2395" s="527" t="s">
        <v>15431</v>
      </c>
      <c r="F2395" s="219"/>
    </row>
    <row r="2396" spans="1:6" ht="14.4">
      <c r="A2396">
        <v>39836</v>
      </c>
      <c r="B2396" t="s">
        <v>19721</v>
      </c>
      <c r="C2396" t="s">
        <v>2279</v>
      </c>
      <c r="D2396" t="s">
        <v>2271</v>
      </c>
      <c r="E2396" s="527" t="s">
        <v>15429</v>
      </c>
      <c r="F2396" s="220"/>
    </row>
    <row r="2397" spans="1:6" ht="14.4">
      <c r="A2397">
        <v>39830</v>
      </c>
      <c r="B2397" t="s">
        <v>19722</v>
      </c>
      <c r="C2397" t="s">
        <v>2279</v>
      </c>
      <c r="D2397" t="s">
        <v>2271</v>
      </c>
      <c r="E2397" s="527" t="s">
        <v>15430</v>
      </c>
      <c r="F2397" s="219"/>
    </row>
    <row r="2398" spans="1:6" ht="14.4">
      <c r="A2398">
        <v>36888</v>
      </c>
      <c r="B2398" t="s">
        <v>19723</v>
      </c>
      <c r="C2398" t="s">
        <v>2273</v>
      </c>
      <c r="D2398" t="s">
        <v>1857</v>
      </c>
      <c r="E2398" s="527" t="s">
        <v>10459</v>
      </c>
      <c r="F2398" s="220"/>
    </row>
    <row r="2399" spans="1:6" ht="14.4">
      <c r="A2399">
        <v>40527</v>
      </c>
      <c r="B2399" t="s">
        <v>19724</v>
      </c>
      <c r="C2399" t="s">
        <v>2269</v>
      </c>
      <c r="D2399" t="s">
        <v>2271</v>
      </c>
      <c r="E2399" s="527" t="s">
        <v>19725</v>
      </c>
      <c r="F2399" s="219"/>
    </row>
    <row r="2400" spans="1:6" ht="14.4">
      <c r="A2400">
        <v>36497</v>
      </c>
      <c r="B2400" t="s">
        <v>19726</v>
      </c>
      <c r="C2400" t="s">
        <v>2269</v>
      </c>
      <c r="D2400" t="s">
        <v>2271</v>
      </c>
      <c r="E2400" s="527" t="s">
        <v>19727</v>
      </c>
      <c r="F2400" s="220"/>
    </row>
    <row r="2401" spans="1:6" ht="14.4">
      <c r="A2401">
        <v>36487</v>
      </c>
      <c r="B2401" t="s">
        <v>19728</v>
      </c>
      <c r="C2401" t="s">
        <v>2269</v>
      </c>
      <c r="D2401" t="s">
        <v>2271</v>
      </c>
      <c r="E2401" s="527" t="s">
        <v>19729</v>
      </c>
      <c r="F2401" s="219"/>
    </row>
    <row r="2402" spans="1:6" ht="14.4">
      <c r="A2402">
        <v>25952</v>
      </c>
      <c r="B2402" t="s">
        <v>19730</v>
      </c>
      <c r="C2402" t="s">
        <v>2269</v>
      </c>
      <c r="D2402" t="s">
        <v>2271</v>
      </c>
      <c r="E2402" s="527" t="s">
        <v>19731</v>
      </c>
      <c r="F2402" s="220"/>
    </row>
    <row r="2403" spans="1:6" ht="14.4">
      <c r="A2403">
        <v>25954</v>
      </c>
      <c r="B2403" t="s">
        <v>19732</v>
      </c>
      <c r="C2403" t="s">
        <v>2269</v>
      </c>
      <c r="D2403" t="s">
        <v>2271</v>
      </c>
      <c r="E2403" s="527" t="s">
        <v>19733</v>
      </c>
      <c r="F2403" s="219"/>
    </row>
    <row r="2404" spans="1:6" ht="14.4">
      <c r="A2404">
        <v>25953</v>
      </c>
      <c r="B2404" t="s">
        <v>19734</v>
      </c>
      <c r="C2404" t="s">
        <v>2269</v>
      </c>
      <c r="D2404" t="s">
        <v>2271</v>
      </c>
      <c r="E2404" s="527" t="s">
        <v>19735</v>
      </c>
      <c r="F2404" s="220"/>
    </row>
    <row r="2405" spans="1:6" ht="14.4">
      <c r="A2405">
        <v>37776</v>
      </c>
      <c r="B2405" t="s">
        <v>19736</v>
      </c>
      <c r="C2405" t="s">
        <v>2269</v>
      </c>
      <c r="D2405" t="s">
        <v>2271</v>
      </c>
      <c r="E2405" s="527" t="s">
        <v>19737</v>
      </c>
      <c r="F2405" s="219"/>
    </row>
    <row r="2406" spans="1:6" ht="14.4">
      <c r="A2406">
        <v>37775</v>
      </c>
      <c r="B2406" t="s">
        <v>19738</v>
      </c>
      <c r="C2406" t="s">
        <v>2269</v>
      </c>
      <c r="D2406" t="s">
        <v>2271</v>
      </c>
      <c r="E2406" s="527" t="s">
        <v>19739</v>
      </c>
      <c r="F2406" s="220"/>
    </row>
    <row r="2407" spans="1:6" ht="14.4">
      <c r="A2407">
        <v>36491</v>
      </c>
      <c r="B2407" t="s">
        <v>19740</v>
      </c>
      <c r="C2407" t="s">
        <v>2269</v>
      </c>
      <c r="D2407" t="s">
        <v>2271</v>
      </c>
      <c r="E2407" s="527" t="s">
        <v>19741</v>
      </c>
      <c r="F2407" s="219"/>
    </row>
    <row r="2408" spans="1:6" ht="14.4">
      <c r="A2408">
        <v>10712</v>
      </c>
      <c r="B2408" t="s">
        <v>19742</v>
      </c>
      <c r="C2408" t="s">
        <v>2269</v>
      </c>
      <c r="D2408" t="s">
        <v>2271</v>
      </c>
      <c r="E2408" s="527" t="s">
        <v>19743</v>
      </c>
      <c r="F2408" s="220"/>
    </row>
    <row r="2409" spans="1:6" ht="14.4">
      <c r="A2409">
        <v>3363</v>
      </c>
      <c r="B2409" t="s">
        <v>19744</v>
      </c>
      <c r="C2409" t="s">
        <v>2269</v>
      </c>
      <c r="D2409" t="s">
        <v>2271</v>
      </c>
      <c r="E2409" s="527" t="s">
        <v>19745</v>
      </c>
      <c r="F2409" s="219"/>
    </row>
    <row r="2410" spans="1:6" ht="14.4">
      <c r="A2410">
        <v>3365</v>
      </c>
      <c r="B2410" t="s">
        <v>19746</v>
      </c>
      <c r="C2410" t="s">
        <v>2269</v>
      </c>
      <c r="D2410" t="s">
        <v>2271</v>
      </c>
      <c r="E2410" s="527" t="s">
        <v>19747</v>
      </c>
      <c r="F2410" s="220"/>
    </row>
    <row r="2411" spans="1:6" ht="14.4">
      <c r="A2411">
        <v>7569</v>
      </c>
      <c r="B2411" t="s">
        <v>19748</v>
      </c>
      <c r="C2411" t="s">
        <v>2269</v>
      </c>
      <c r="D2411" t="s">
        <v>1857</v>
      </c>
      <c r="E2411" s="527" t="s">
        <v>15475</v>
      </c>
      <c r="F2411" s="219"/>
    </row>
    <row r="2412" spans="1:6" ht="14.4">
      <c r="A2412">
        <v>34349</v>
      </c>
      <c r="B2412" t="s">
        <v>19749</v>
      </c>
      <c r="C2412" t="s">
        <v>2269</v>
      </c>
      <c r="D2412" t="s">
        <v>1857</v>
      </c>
      <c r="E2412" s="527" t="s">
        <v>19750</v>
      </c>
      <c r="F2412" s="220"/>
    </row>
    <row r="2413" spans="1:6" ht="14.4">
      <c r="A2413">
        <v>11991</v>
      </c>
      <c r="B2413" t="s">
        <v>19751</v>
      </c>
      <c r="C2413" t="s">
        <v>2269</v>
      </c>
      <c r="D2413" t="s">
        <v>1857</v>
      </c>
      <c r="E2413" s="527" t="s">
        <v>10694</v>
      </c>
      <c r="F2413" s="219"/>
    </row>
    <row r="2414" spans="1:6" ht="14.4">
      <c r="A2414">
        <v>20062</v>
      </c>
      <c r="B2414" t="s">
        <v>19752</v>
      </c>
      <c r="C2414" t="s">
        <v>2269</v>
      </c>
      <c r="D2414" t="s">
        <v>2271</v>
      </c>
      <c r="E2414" s="527" t="s">
        <v>6529</v>
      </c>
      <c r="F2414" s="220"/>
    </row>
    <row r="2415" spans="1:6" ht="14.4">
      <c r="A2415">
        <v>11029</v>
      </c>
      <c r="B2415" t="s">
        <v>19753</v>
      </c>
      <c r="C2415" t="s">
        <v>2282</v>
      </c>
      <c r="D2415" t="s">
        <v>1857</v>
      </c>
      <c r="E2415" s="527" t="s">
        <v>3467</v>
      </c>
      <c r="F2415" s="219"/>
    </row>
    <row r="2416" spans="1:6" ht="14.4">
      <c r="A2416">
        <v>4316</v>
      </c>
      <c r="B2416" t="s">
        <v>19754</v>
      </c>
      <c r="C2416" t="s">
        <v>2269</v>
      </c>
      <c r="D2416" t="s">
        <v>1857</v>
      </c>
      <c r="E2416" s="527" t="s">
        <v>3291</v>
      </c>
      <c r="F2416" s="220"/>
    </row>
    <row r="2417" spans="1:6" ht="14.4">
      <c r="A2417">
        <v>4313</v>
      </c>
      <c r="B2417" t="s">
        <v>19755</v>
      </c>
      <c r="C2417" t="s">
        <v>2282</v>
      </c>
      <c r="D2417" t="s">
        <v>1857</v>
      </c>
      <c r="E2417" s="527" t="s">
        <v>3632</v>
      </c>
      <c r="F2417" s="219"/>
    </row>
    <row r="2418" spans="1:6" ht="14.4">
      <c r="A2418">
        <v>4317</v>
      </c>
      <c r="B2418" t="s">
        <v>19756</v>
      </c>
      <c r="C2418" t="s">
        <v>2269</v>
      </c>
      <c r="D2418" t="s">
        <v>1857</v>
      </c>
      <c r="E2418" s="527" t="s">
        <v>5312</v>
      </c>
      <c r="F2418" s="220"/>
    </row>
    <row r="2419" spans="1:6" ht="14.4">
      <c r="A2419">
        <v>4314</v>
      </c>
      <c r="B2419" t="s">
        <v>19757</v>
      </c>
      <c r="C2419" t="s">
        <v>2282</v>
      </c>
      <c r="D2419" t="s">
        <v>1857</v>
      </c>
      <c r="E2419" s="527" t="s">
        <v>6650</v>
      </c>
      <c r="F2419" s="219"/>
    </row>
    <row r="2420" spans="1:6" ht="14.4">
      <c r="A2420">
        <v>10921</v>
      </c>
      <c r="B2420" t="s">
        <v>19758</v>
      </c>
      <c r="C2420" t="s">
        <v>2269</v>
      </c>
      <c r="D2420" t="s">
        <v>2271</v>
      </c>
      <c r="E2420" s="527" t="s">
        <v>15433</v>
      </c>
      <c r="F2420" s="220"/>
    </row>
    <row r="2421" spans="1:6" ht="14.4">
      <c r="A2421">
        <v>10922</v>
      </c>
      <c r="B2421" t="s">
        <v>19759</v>
      </c>
      <c r="C2421" t="s">
        <v>2269</v>
      </c>
      <c r="D2421" t="s">
        <v>2271</v>
      </c>
      <c r="E2421" s="527" t="s">
        <v>15434</v>
      </c>
      <c r="F2421" s="219"/>
    </row>
    <row r="2422" spans="1:6" ht="14.4">
      <c r="A2422">
        <v>10923</v>
      </c>
      <c r="B2422" t="s">
        <v>19760</v>
      </c>
      <c r="C2422" t="s">
        <v>2269</v>
      </c>
      <c r="D2422" t="s">
        <v>2271</v>
      </c>
      <c r="E2422" s="527" t="s">
        <v>15435</v>
      </c>
      <c r="F2422" s="220"/>
    </row>
    <row r="2423" spans="1:6" ht="14.4">
      <c r="A2423">
        <v>10924</v>
      </c>
      <c r="B2423" t="s">
        <v>19761</v>
      </c>
      <c r="C2423" t="s">
        <v>2269</v>
      </c>
      <c r="D2423" t="s">
        <v>2271</v>
      </c>
      <c r="E2423" s="527" t="s">
        <v>15436</v>
      </c>
      <c r="F2423" s="219"/>
    </row>
    <row r="2424" spans="1:6" ht="14.4">
      <c r="A2424">
        <v>37772</v>
      </c>
      <c r="B2424" t="s">
        <v>19762</v>
      </c>
      <c r="C2424" t="s">
        <v>2269</v>
      </c>
      <c r="D2424" t="s">
        <v>2271</v>
      </c>
      <c r="E2424" s="527" t="s">
        <v>19763</v>
      </c>
      <c r="F2424" s="220"/>
    </row>
    <row r="2425" spans="1:6" ht="14.4">
      <c r="A2425">
        <v>37771</v>
      </c>
      <c r="B2425" t="s">
        <v>19764</v>
      </c>
      <c r="C2425" t="s">
        <v>2269</v>
      </c>
      <c r="D2425" t="s">
        <v>2271</v>
      </c>
      <c r="E2425" s="527" t="s">
        <v>19765</v>
      </c>
      <c r="F2425" s="219"/>
    </row>
    <row r="2426" spans="1:6" ht="14.4">
      <c r="A2426">
        <v>12772</v>
      </c>
      <c r="B2426" t="s">
        <v>19766</v>
      </c>
      <c r="C2426" t="s">
        <v>2269</v>
      </c>
      <c r="D2426" t="s">
        <v>2271</v>
      </c>
      <c r="E2426" s="527" t="s">
        <v>19767</v>
      </c>
      <c r="F2426" s="220"/>
    </row>
    <row r="2427" spans="1:6" ht="14.4">
      <c r="A2427">
        <v>12770</v>
      </c>
      <c r="B2427" t="s">
        <v>19768</v>
      </c>
      <c r="C2427" t="s">
        <v>2269</v>
      </c>
      <c r="D2427" t="s">
        <v>2271</v>
      </c>
      <c r="E2427" s="527" t="s">
        <v>19769</v>
      </c>
      <c r="F2427" s="219"/>
    </row>
    <row r="2428" spans="1:6" ht="14.4">
      <c r="A2428">
        <v>12775</v>
      </c>
      <c r="B2428" t="s">
        <v>19770</v>
      </c>
      <c r="C2428" t="s">
        <v>2269</v>
      </c>
      <c r="D2428" t="s">
        <v>2271</v>
      </c>
      <c r="E2428" s="527" t="s">
        <v>19771</v>
      </c>
      <c r="F2428" s="220"/>
    </row>
    <row r="2429" spans="1:6" ht="14.4">
      <c r="A2429">
        <v>12768</v>
      </c>
      <c r="B2429" t="s">
        <v>19772</v>
      </c>
      <c r="C2429" t="s">
        <v>2269</v>
      </c>
      <c r="D2429" t="s">
        <v>2271</v>
      </c>
      <c r="E2429" s="527" t="s">
        <v>19773</v>
      </c>
      <c r="F2429" s="219"/>
    </row>
    <row r="2430" spans="1:6" ht="14.4">
      <c r="A2430">
        <v>12769</v>
      </c>
      <c r="B2430" t="s">
        <v>19774</v>
      </c>
      <c r="C2430" t="s">
        <v>2269</v>
      </c>
      <c r="D2430" t="s">
        <v>2271</v>
      </c>
      <c r="E2430" s="527" t="s">
        <v>19775</v>
      </c>
      <c r="F2430" s="220"/>
    </row>
    <row r="2431" spans="1:6" ht="14.4">
      <c r="A2431">
        <v>12773</v>
      </c>
      <c r="B2431" t="s">
        <v>19776</v>
      </c>
      <c r="C2431" t="s">
        <v>2269</v>
      </c>
      <c r="D2431" t="s">
        <v>2271</v>
      </c>
      <c r="E2431" s="527" t="s">
        <v>19777</v>
      </c>
      <c r="F2431" s="219"/>
    </row>
    <row r="2432" spans="1:6" ht="14.4">
      <c r="A2432">
        <v>12774</v>
      </c>
      <c r="B2432" t="s">
        <v>19778</v>
      </c>
      <c r="C2432" t="s">
        <v>2269</v>
      </c>
      <c r="D2432" t="s">
        <v>2271</v>
      </c>
      <c r="E2432" s="527" t="s">
        <v>19779</v>
      </c>
      <c r="F2432" s="220"/>
    </row>
    <row r="2433" spans="1:6" ht="14.4">
      <c r="A2433">
        <v>12776</v>
      </c>
      <c r="B2433" t="s">
        <v>19780</v>
      </c>
      <c r="C2433" t="s">
        <v>2269</v>
      </c>
      <c r="D2433" t="s">
        <v>2271</v>
      </c>
      <c r="E2433" s="527" t="s">
        <v>19781</v>
      </c>
      <c r="F2433" s="219"/>
    </row>
    <row r="2434" spans="1:6" ht="14.4">
      <c r="A2434">
        <v>12777</v>
      </c>
      <c r="B2434" t="s">
        <v>19782</v>
      </c>
      <c r="C2434" t="s">
        <v>2269</v>
      </c>
      <c r="D2434" t="s">
        <v>2271</v>
      </c>
      <c r="E2434" s="527" t="s">
        <v>19783</v>
      </c>
      <c r="F2434" s="220"/>
    </row>
    <row r="2435" spans="1:6" ht="14.4">
      <c r="A2435">
        <v>3391</v>
      </c>
      <c r="B2435" t="s">
        <v>19784</v>
      </c>
      <c r="C2435" t="s">
        <v>2269</v>
      </c>
      <c r="D2435" t="s">
        <v>2271</v>
      </c>
      <c r="E2435" s="527" t="s">
        <v>15270</v>
      </c>
      <c r="F2435" s="219"/>
    </row>
    <row r="2436" spans="1:6" ht="14.4">
      <c r="A2436">
        <v>3389</v>
      </c>
      <c r="B2436" t="s">
        <v>19785</v>
      </c>
      <c r="C2436" t="s">
        <v>2269</v>
      </c>
      <c r="D2436" t="s">
        <v>2271</v>
      </c>
      <c r="E2436" s="527" t="s">
        <v>9889</v>
      </c>
      <c r="F2436" s="220"/>
    </row>
    <row r="2437" spans="1:6" ht="14.4">
      <c r="A2437">
        <v>3390</v>
      </c>
      <c r="B2437" t="s">
        <v>19786</v>
      </c>
      <c r="C2437" t="s">
        <v>2269</v>
      </c>
      <c r="D2437" t="s">
        <v>2271</v>
      </c>
      <c r="E2437" s="527" t="s">
        <v>10714</v>
      </c>
      <c r="F2437" s="219"/>
    </row>
    <row r="2438" spans="1:6" ht="14.4">
      <c r="A2438">
        <v>12873</v>
      </c>
      <c r="B2438" t="s">
        <v>19787</v>
      </c>
      <c r="C2438" t="s">
        <v>2267</v>
      </c>
      <c r="D2438" t="s">
        <v>1857</v>
      </c>
      <c r="E2438" s="527" t="s">
        <v>16447</v>
      </c>
      <c r="F2438" s="220"/>
    </row>
    <row r="2439" spans="1:6" ht="14.4">
      <c r="A2439">
        <v>41076</v>
      </c>
      <c r="B2439" t="s">
        <v>19788</v>
      </c>
      <c r="C2439" t="s">
        <v>2276</v>
      </c>
      <c r="D2439" t="s">
        <v>1857</v>
      </c>
      <c r="E2439" s="527" t="s">
        <v>19789</v>
      </c>
      <c r="F2439" s="219"/>
    </row>
    <row r="2440" spans="1:6" ht="14.4">
      <c r="A2440">
        <v>140</v>
      </c>
      <c r="B2440" t="s">
        <v>19790</v>
      </c>
      <c r="C2440" t="s">
        <v>2274</v>
      </c>
      <c r="D2440" t="s">
        <v>1857</v>
      </c>
      <c r="E2440" s="527" t="s">
        <v>10639</v>
      </c>
      <c r="F2440" s="220"/>
    </row>
    <row r="2441" spans="1:6" ht="14.4">
      <c r="A2441">
        <v>151</v>
      </c>
      <c r="B2441" t="s">
        <v>19791</v>
      </c>
      <c r="C2441" t="s">
        <v>2275</v>
      </c>
      <c r="D2441" t="s">
        <v>1857</v>
      </c>
      <c r="E2441" s="527" t="s">
        <v>9778</v>
      </c>
      <c r="F2441" s="219"/>
    </row>
    <row r="2442" spans="1:6" ht="14.4">
      <c r="A2442">
        <v>7340</v>
      </c>
      <c r="B2442" t="s">
        <v>19792</v>
      </c>
      <c r="C2442" t="s">
        <v>2275</v>
      </c>
      <c r="D2442" t="s">
        <v>1857</v>
      </c>
      <c r="E2442" s="527" t="s">
        <v>4044</v>
      </c>
      <c r="F2442" s="220"/>
    </row>
    <row r="2443" spans="1:6" ht="14.4">
      <c r="A2443">
        <v>2701</v>
      </c>
      <c r="B2443" t="s">
        <v>19793</v>
      </c>
      <c r="C2443" t="s">
        <v>2267</v>
      </c>
      <c r="D2443" t="s">
        <v>1857</v>
      </c>
      <c r="E2443" s="527" t="s">
        <v>12841</v>
      </c>
      <c r="F2443" s="219"/>
    </row>
    <row r="2444" spans="1:6" ht="14.4">
      <c r="A2444">
        <v>40929</v>
      </c>
      <c r="B2444" t="s">
        <v>19794</v>
      </c>
      <c r="C2444" t="s">
        <v>2276</v>
      </c>
      <c r="D2444" t="s">
        <v>1857</v>
      </c>
      <c r="E2444" s="527" t="s">
        <v>19795</v>
      </c>
      <c r="F2444" s="220"/>
    </row>
    <row r="2445" spans="1:6" ht="14.4">
      <c r="A2445">
        <v>38114</v>
      </c>
      <c r="B2445" t="s">
        <v>19796</v>
      </c>
      <c r="C2445" t="s">
        <v>2269</v>
      </c>
      <c r="D2445" t="s">
        <v>1857</v>
      </c>
      <c r="E2445" s="527" t="s">
        <v>10043</v>
      </c>
      <c r="F2445" s="219"/>
    </row>
    <row r="2446" spans="1:6" ht="14.4">
      <c r="A2446">
        <v>38064</v>
      </c>
      <c r="B2446" t="s">
        <v>19797</v>
      </c>
      <c r="C2446" t="s">
        <v>2269</v>
      </c>
      <c r="D2446" t="s">
        <v>1857</v>
      </c>
      <c r="E2446" s="527" t="s">
        <v>16279</v>
      </c>
      <c r="F2446" s="220"/>
    </row>
    <row r="2447" spans="1:6" ht="14.4">
      <c r="A2447">
        <v>38115</v>
      </c>
      <c r="B2447" t="s">
        <v>19798</v>
      </c>
      <c r="C2447" t="s">
        <v>2269</v>
      </c>
      <c r="D2447" t="s">
        <v>1857</v>
      </c>
      <c r="E2447" s="527" t="s">
        <v>10202</v>
      </c>
      <c r="F2447" s="219"/>
    </row>
    <row r="2448" spans="1:6" ht="14.4">
      <c r="A2448">
        <v>38065</v>
      </c>
      <c r="B2448" t="s">
        <v>19799</v>
      </c>
      <c r="C2448" t="s">
        <v>2269</v>
      </c>
      <c r="D2448" t="s">
        <v>1857</v>
      </c>
      <c r="E2448" s="527" t="s">
        <v>10232</v>
      </c>
      <c r="F2448" s="220"/>
    </row>
    <row r="2449" spans="1:6" ht="14.4">
      <c r="A2449">
        <v>38078</v>
      </c>
      <c r="B2449" t="s">
        <v>19800</v>
      </c>
      <c r="C2449" t="s">
        <v>2269</v>
      </c>
      <c r="D2449" t="s">
        <v>1857</v>
      </c>
      <c r="E2449" s="527" t="s">
        <v>11172</v>
      </c>
      <c r="F2449" s="219"/>
    </row>
    <row r="2450" spans="1:6" ht="14.4">
      <c r="A2450">
        <v>38113</v>
      </c>
      <c r="B2450" t="s">
        <v>19801</v>
      </c>
      <c r="C2450" t="s">
        <v>2269</v>
      </c>
      <c r="D2450" t="s">
        <v>1857</v>
      </c>
      <c r="E2450" s="527" t="s">
        <v>2987</v>
      </c>
      <c r="F2450" s="220"/>
    </row>
    <row r="2451" spans="1:6" ht="14.4">
      <c r="A2451">
        <v>38063</v>
      </c>
      <c r="B2451" t="s">
        <v>19802</v>
      </c>
      <c r="C2451" t="s">
        <v>2269</v>
      </c>
      <c r="D2451" t="s">
        <v>1857</v>
      </c>
      <c r="E2451" s="527" t="s">
        <v>9515</v>
      </c>
      <c r="F2451" s="219"/>
    </row>
    <row r="2452" spans="1:6" ht="14.4">
      <c r="A2452">
        <v>38080</v>
      </c>
      <c r="B2452" t="s">
        <v>19803</v>
      </c>
      <c r="C2452" t="s">
        <v>2269</v>
      </c>
      <c r="D2452" t="s">
        <v>1857</v>
      </c>
      <c r="E2452" s="527" t="s">
        <v>18484</v>
      </c>
      <c r="F2452" s="220"/>
    </row>
    <row r="2453" spans="1:6" ht="14.4">
      <c r="A2453">
        <v>38069</v>
      </c>
      <c r="B2453" t="s">
        <v>19804</v>
      </c>
      <c r="C2453" t="s">
        <v>2269</v>
      </c>
      <c r="D2453" t="s">
        <v>1857</v>
      </c>
      <c r="E2453" s="527" t="s">
        <v>9975</v>
      </c>
      <c r="F2453" s="219"/>
    </row>
    <row r="2454" spans="1:6" ht="14.4">
      <c r="A2454">
        <v>38077</v>
      </c>
      <c r="B2454" t="s">
        <v>19805</v>
      </c>
      <c r="C2454" t="s">
        <v>2269</v>
      </c>
      <c r="D2454" t="s">
        <v>1857</v>
      </c>
      <c r="E2454" s="527" t="s">
        <v>9785</v>
      </c>
      <c r="F2454" s="220"/>
    </row>
    <row r="2455" spans="1:6" ht="14.4">
      <c r="A2455">
        <v>38073</v>
      </c>
      <c r="B2455" t="s">
        <v>19806</v>
      </c>
      <c r="C2455" t="s">
        <v>2269</v>
      </c>
      <c r="D2455" t="s">
        <v>1857</v>
      </c>
      <c r="E2455" s="527" t="s">
        <v>6589</v>
      </c>
      <c r="F2455" s="219"/>
    </row>
    <row r="2456" spans="1:6" ht="14.4">
      <c r="A2456">
        <v>38112</v>
      </c>
      <c r="B2456" t="s">
        <v>19807</v>
      </c>
      <c r="C2456" t="s">
        <v>2269</v>
      </c>
      <c r="D2456" t="s">
        <v>1857</v>
      </c>
      <c r="E2456" s="527" t="s">
        <v>3787</v>
      </c>
      <c r="F2456" s="220"/>
    </row>
    <row r="2457" spans="1:6" ht="14.4">
      <c r="A2457">
        <v>38062</v>
      </c>
      <c r="B2457" t="s">
        <v>19808</v>
      </c>
      <c r="C2457" t="s">
        <v>2269</v>
      </c>
      <c r="D2457" t="s">
        <v>1857</v>
      </c>
      <c r="E2457" s="527" t="s">
        <v>7348</v>
      </c>
      <c r="F2457" s="219"/>
    </row>
    <row r="2458" spans="1:6" ht="14.4">
      <c r="A2458">
        <v>12128</v>
      </c>
      <c r="B2458" t="s">
        <v>19809</v>
      </c>
      <c r="C2458" t="s">
        <v>2269</v>
      </c>
      <c r="D2458" t="s">
        <v>1857</v>
      </c>
      <c r="E2458" s="527" t="s">
        <v>15852</v>
      </c>
      <c r="F2458" s="220"/>
    </row>
    <row r="2459" spans="1:6" ht="14.4">
      <c r="A2459">
        <v>12129</v>
      </c>
      <c r="B2459" t="s">
        <v>19810</v>
      </c>
      <c r="C2459" t="s">
        <v>2269</v>
      </c>
      <c r="D2459" t="s">
        <v>1857</v>
      </c>
      <c r="E2459" s="527" t="s">
        <v>17555</v>
      </c>
      <c r="F2459" s="219"/>
    </row>
    <row r="2460" spans="1:6" ht="14.4">
      <c r="A2460">
        <v>38081</v>
      </c>
      <c r="B2460" t="s">
        <v>19811</v>
      </c>
      <c r="C2460" t="s">
        <v>2269</v>
      </c>
      <c r="D2460" t="s">
        <v>1857</v>
      </c>
      <c r="E2460" s="527" t="s">
        <v>16204</v>
      </c>
      <c r="F2460" s="220"/>
    </row>
    <row r="2461" spans="1:6" ht="14.4">
      <c r="A2461">
        <v>38070</v>
      </c>
      <c r="B2461" t="s">
        <v>19812</v>
      </c>
      <c r="C2461" t="s">
        <v>2269</v>
      </c>
      <c r="D2461" t="s">
        <v>1857</v>
      </c>
      <c r="E2461" s="527" t="s">
        <v>7471</v>
      </c>
      <c r="F2461" s="219"/>
    </row>
    <row r="2462" spans="1:6" ht="14.4">
      <c r="A2462">
        <v>38074</v>
      </c>
      <c r="B2462" t="s">
        <v>19813</v>
      </c>
      <c r="C2462" t="s">
        <v>2269</v>
      </c>
      <c r="D2462" t="s">
        <v>1857</v>
      </c>
      <c r="E2462" s="527" t="s">
        <v>11702</v>
      </c>
      <c r="F2462" s="220"/>
    </row>
    <row r="2463" spans="1:6" ht="14.4">
      <c r="A2463">
        <v>38079</v>
      </c>
      <c r="B2463" t="s">
        <v>19814</v>
      </c>
      <c r="C2463" t="s">
        <v>2269</v>
      </c>
      <c r="D2463" t="s">
        <v>1857</v>
      </c>
      <c r="E2463" s="527" t="s">
        <v>16225</v>
      </c>
      <c r="F2463" s="219"/>
    </row>
    <row r="2464" spans="1:6" ht="14.4">
      <c r="A2464">
        <v>38072</v>
      </c>
      <c r="B2464" t="s">
        <v>19815</v>
      </c>
      <c r="C2464" t="s">
        <v>2269</v>
      </c>
      <c r="D2464" t="s">
        <v>1857</v>
      </c>
      <c r="E2464" s="527" t="s">
        <v>16299</v>
      </c>
      <c r="F2464" s="220"/>
    </row>
    <row r="2465" spans="1:6" ht="14.4">
      <c r="A2465">
        <v>38068</v>
      </c>
      <c r="B2465" t="s">
        <v>19816</v>
      </c>
      <c r="C2465" t="s">
        <v>2269</v>
      </c>
      <c r="D2465" t="s">
        <v>1857</v>
      </c>
      <c r="E2465" s="527" t="s">
        <v>7950</v>
      </c>
      <c r="F2465" s="219"/>
    </row>
    <row r="2466" spans="1:6" ht="14.4">
      <c r="A2466">
        <v>38071</v>
      </c>
      <c r="B2466" t="s">
        <v>19817</v>
      </c>
      <c r="C2466" t="s">
        <v>2269</v>
      </c>
      <c r="D2466" t="s">
        <v>1857</v>
      </c>
      <c r="E2466" s="527" t="s">
        <v>5928</v>
      </c>
      <c r="F2466" s="220"/>
    </row>
    <row r="2467" spans="1:6" ht="14.4">
      <c r="A2467">
        <v>38412</v>
      </c>
      <c r="B2467" t="s">
        <v>19818</v>
      </c>
      <c r="C2467" t="s">
        <v>2269</v>
      </c>
      <c r="D2467" t="s">
        <v>2268</v>
      </c>
      <c r="E2467" s="527" t="s">
        <v>19819</v>
      </c>
      <c r="F2467" s="219"/>
    </row>
    <row r="2468" spans="1:6" ht="14.4">
      <c r="A2468">
        <v>3405</v>
      </c>
      <c r="B2468" t="s">
        <v>19820</v>
      </c>
      <c r="C2468" t="s">
        <v>2269</v>
      </c>
      <c r="D2468" t="s">
        <v>1857</v>
      </c>
      <c r="E2468" s="527" t="s">
        <v>16461</v>
      </c>
      <c r="F2468" s="220"/>
    </row>
    <row r="2469" spans="1:6" ht="14.4">
      <c r="A2469">
        <v>3394</v>
      </c>
      <c r="B2469" t="s">
        <v>19821</v>
      </c>
      <c r="C2469" t="s">
        <v>2269</v>
      </c>
      <c r="D2469" t="s">
        <v>1857</v>
      </c>
      <c r="E2469" s="527" t="s">
        <v>19822</v>
      </c>
      <c r="F2469" s="219"/>
    </row>
    <row r="2470" spans="1:6" ht="14.4">
      <c r="A2470">
        <v>3393</v>
      </c>
      <c r="B2470" t="s">
        <v>19823</v>
      </c>
      <c r="C2470" t="s">
        <v>2269</v>
      </c>
      <c r="D2470" t="s">
        <v>1857</v>
      </c>
      <c r="E2470" s="527" t="s">
        <v>19824</v>
      </c>
      <c r="F2470" s="220"/>
    </row>
    <row r="2471" spans="1:6" ht="14.4">
      <c r="A2471">
        <v>3406</v>
      </c>
      <c r="B2471" t="s">
        <v>19825</v>
      </c>
      <c r="C2471" t="s">
        <v>2269</v>
      </c>
      <c r="D2471" t="s">
        <v>2268</v>
      </c>
      <c r="E2471" s="527" t="s">
        <v>16267</v>
      </c>
      <c r="F2471" s="219"/>
    </row>
    <row r="2472" spans="1:6" ht="14.4">
      <c r="A2472">
        <v>3395</v>
      </c>
      <c r="B2472" t="s">
        <v>19826</v>
      </c>
      <c r="C2472" t="s">
        <v>2269</v>
      </c>
      <c r="D2472" t="s">
        <v>1857</v>
      </c>
      <c r="E2472" s="527" t="s">
        <v>19827</v>
      </c>
      <c r="F2472" s="220"/>
    </row>
    <row r="2473" spans="1:6" ht="14.4">
      <c r="A2473">
        <v>3398</v>
      </c>
      <c r="B2473" t="s">
        <v>19828</v>
      </c>
      <c r="C2473" t="s">
        <v>2269</v>
      </c>
      <c r="D2473" t="s">
        <v>1857</v>
      </c>
      <c r="E2473" s="527" t="s">
        <v>7398</v>
      </c>
      <c r="F2473" s="219"/>
    </row>
    <row r="2474" spans="1:6" ht="14.4">
      <c r="A2474">
        <v>34377</v>
      </c>
      <c r="B2474" t="s">
        <v>19829</v>
      </c>
      <c r="C2474" t="s">
        <v>2269</v>
      </c>
      <c r="D2474" t="s">
        <v>1857</v>
      </c>
      <c r="E2474" s="527" t="s">
        <v>15437</v>
      </c>
      <c r="F2474" s="220"/>
    </row>
    <row r="2475" spans="1:6" ht="14.4">
      <c r="A2475">
        <v>40662</v>
      </c>
      <c r="B2475" t="s">
        <v>19830</v>
      </c>
      <c r="C2475" t="s">
        <v>2269</v>
      </c>
      <c r="D2475" t="s">
        <v>2271</v>
      </c>
      <c r="E2475" s="527" t="s">
        <v>13164</v>
      </c>
      <c r="F2475" s="219"/>
    </row>
    <row r="2476" spans="1:6" ht="14.4">
      <c r="A2476">
        <v>3437</v>
      </c>
      <c r="B2476" t="s">
        <v>19831</v>
      </c>
      <c r="C2476" t="s">
        <v>2270</v>
      </c>
      <c r="D2476" t="s">
        <v>2271</v>
      </c>
      <c r="E2476" s="527" t="s">
        <v>15438</v>
      </c>
      <c r="F2476" s="220"/>
    </row>
    <row r="2477" spans="1:6" ht="14.4">
      <c r="A2477">
        <v>11190</v>
      </c>
      <c r="B2477" t="s">
        <v>19832</v>
      </c>
      <c r="C2477" t="s">
        <v>2269</v>
      </c>
      <c r="D2477" t="s">
        <v>2271</v>
      </c>
      <c r="E2477" s="527" t="s">
        <v>19833</v>
      </c>
      <c r="F2477" s="219"/>
    </row>
    <row r="2478" spans="1:6" ht="14.4">
      <c r="A2478">
        <v>3428</v>
      </c>
      <c r="B2478" t="s">
        <v>19834</v>
      </c>
      <c r="C2478" t="s">
        <v>2270</v>
      </c>
      <c r="D2478" t="s">
        <v>2271</v>
      </c>
      <c r="E2478" s="527" t="s">
        <v>15439</v>
      </c>
      <c r="F2478" s="220"/>
    </row>
    <row r="2479" spans="1:6" ht="14.4">
      <c r="A2479">
        <v>3429</v>
      </c>
      <c r="B2479" t="s">
        <v>19835</v>
      </c>
      <c r="C2479" t="s">
        <v>2270</v>
      </c>
      <c r="D2479" t="s">
        <v>2271</v>
      </c>
      <c r="E2479" s="527" t="s">
        <v>15440</v>
      </c>
      <c r="F2479" s="219"/>
    </row>
    <row r="2480" spans="1:6" ht="14.4">
      <c r="A2480">
        <v>34370</v>
      </c>
      <c r="B2480" t="s">
        <v>19836</v>
      </c>
      <c r="C2480" t="s">
        <v>2269</v>
      </c>
      <c r="D2480" t="s">
        <v>1857</v>
      </c>
      <c r="E2480" s="527" t="s">
        <v>15441</v>
      </c>
      <c r="F2480" s="220"/>
    </row>
    <row r="2481" spans="1:6" ht="14.4">
      <c r="A2481">
        <v>34372</v>
      </c>
      <c r="B2481" t="s">
        <v>19837</v>
      </c>
      <c r="C2481" t="s">
        <v>2269</v>
      </c>
      <c r="D2481" t="s">
        <v>1857</v>
      </c>
      <c r="E2481" s="527" t="s">
        <v>15442</v>
      </c>
      <c r="F2481" s="219"/>
    </row>
    <row r="2482" spans="1:6" ht="14.4">
      <c r="A2482">
        <v>36896</v>
      </c>
      <c r="B2482" t="s">
        <v>19838</v>
      </c>
      <c r="C2482" t="s">
        <v>2269</v>
      </c>
      <c r="D2482" t="s">
        <v>2268</v>
      </c>
      <c r="E2482" s="527" t="s">
        <v>15443</v>
      </c>
      <c r="F2482" s="220"/>
    </row>
    <row r="2483" spans="1:6" ht="14.4">
      <c r="A2483">
        <v>34367</v>
      </c>
      <c r="B2483" t="s">
        <v>19839</v>
      </c>
      <c r="C2483" t="s">
        <v>2269</v>
      </c>
      <c r="D2483" t="s">
        <v>1857</v>
      </c>
      <c r="E2483" s="527" t="s">
        <v>15444</v>
      </c>
      <c r="F2483" s="219"/>
    </row>
    <row r="2484" spans="1:6" ht="14.4">
      <c r="A2484">
        <v>36897</v>
      </c>
      <c r="B2484" t="s">
        <v>19840</v>
      </c>
      <c r="C2484" t="s">
        <v>2269</v>
      </c>
      <c r="D2484" t="s">
        <v>1857</v>
      </c>
      <c r="E2484" s="527" t="s">
        <v>15445</v>
      </c>
      <c r="F2484" s="220"/>
    </row>
    <row r="2485" spans="1:6" ht="14.4">
      <c r="A2485">
        <v>34369</v>
      </c>
      <c r="B2485" t="s">
        <v>19841</v>
      </c>
      <c r="C2485" t="s">
        <v>2269</v>
      </c>
      <c r="D2485" t="s">
        <v>1857</v>
      </c>
      <c r="E2485" s="527" t="s">
        <v>15446</v>
      </c>
      <c r="F2485" s="219"/>
    </row>
    <row r="2486" spans="1:6" ht="14.4">
      <c r="A2486">
        <v>34364</v>
      </c>
      <c r="B2486" t="s">
        <v>19842</v>
      </c>
      <c r="C2486" t="s">
        <v>2269</v>
      </c>
      <c r="D2486" t="s">
        <v>1857</v>
      </c>
      <c r="E2486" s="527" t="s">
        <v>15447</v>
      </c>
      <c r="F2486" s="220"/>
    </row>
    <row r="2487" spans="1:6" ht="14.4">
      <c r="A2487">
        <v>40659</v>
      </c>
      <c r="B2487" t="s">
        <v>19843</v>
      </c>
      <c r="C2487" t="s">
        <v>2270</v>
      </c>
      <c r="D2487" t="s">
        <v>2271</v>
      </c>
      <c r="E2487" s="527" t="s">
        <v>15448</v>
      </c>
      <c r="F2487" s="219"/>
    </row>
    <row r="2488" spans="1:6" ht="14.4">
      <c r="A2488">
        <v>40660</v>
      </c>
      <c r="B2488" t="s">
        <v>19844</v>
      </c>
      <c r="C2488" t="s">
        <v>2270</v>
      </c>
      <c r="D2488" t="s">
        <v>2271</v>
      </c>
      <c r="E2488" s="527" t="s">
        <v>15449</v>
      </c>
      <c r="F2488" s="220"/>
    </row>
    <row r="2489" spans="1:6" ht="14.4">
      <c r="A2489">
        <v>40661</v>
      </c>
      <c r="B2489" t="s">
        <v>19845</v>
      </c>
      <c r="C2489" t="s">
        <v>2270</v>
      </c>
      <c r="D2489" t="s">
        <v>2271</v>
      </c>
      <c r="E2489" s="527" t="s">
        <v>15450</v>
      </c>
      <c r="F2489" s="219"/>
    </row>
    <row r="2490" spans="1:6" ht="14.4">
      <c r="A2490">
        <v>3421</v>
      </c>
      <c r="B2490" t="s">
        <v>19846</v>
      </c>
      <c r="C2490" t="s">
        <v>2270</v>
      </c>
      <c r="D2490" t="s">
        <v>2271</v>
      </c>
      <c r="E2490" s="527" t="s">
        <v>15451</v>
      </c>
      <c r="F2490" s="220"/>
    </row>
    <row r="2491" spans="1:6" ht="14.4">
      <c r="A2491">
        <v>599</v>
      </c>
      <c r="B2491" t="s">
        <v>19847</v>
      </c>
      <c r="C2491" t="s">
        <v>2270</v>
      </c>
      <c r="D2491" t="s">
        <v>1857</v>
      </c>
      <c r="E2491" s="527" t="s">
        <v>15452</v>
      </c>
      <c r="F2491" s="219"/>
    </row>
    <row r="2492" spans="1:6" ht="14.4">
      <c r="A2492">
        <v>34381</v>
      </c>
      <c r="B2492" t="s">
        <v>19848</v>
      </c>
      <c r="C2492" t="s">
        <v>2269</v>
      </c>
      <c r="D2492" t="s">
        <v>1857</v>
      </c>
      <c r="E2492" s="527" t="s">
        <v>15453</v>
      </c>
      <c r="F2492" s="220"/>
    </row>
    <row r="2493" spans="1:6" ht="14.4">
      <c r="A2493">
        <v>3423</v>
      </c>
      <c r="B2493" t="s">
        <v>19849</v>
      </c>
      <c r="C2493" t="s">
        <v>2270</v>
      </c>
      <c r="D2493" t="s">
        <v>2271</v>
      </c>
      <c r="E2493" s="527" t="s">
        <v>15454</v>
      </c>
      <c r="F2493" s="219"/>
    </row>
    <row r="2494" spans="1:6" ht="14.4">
      <c r="A2494">
        <v>34797</v>
      </c>
      <c r="B2494" t="s">
        <v>19850</v>
      </c>
      <c r="C2494" t="s">
        <v>2269</v>
      </c>
      <c r="D2494" t="s">
        <v>2271</v>
      </c>
      <c r="E2494" s="527" t="s">
        <v>19851</v>
      </c>
      <c r="F2494" s="220"/>
    </row>
    <row r="2495" spans="1:6" ht="14.4">
      <c r="A2495">
        <v>25964</v>
      </c>
      <c r="B2495" t="s">
        <v>19852</v>
      </c>
      <c r="C2495" t="s">
        <v>2267</v>
      </c>
      <c r="D2495" t="s">
        <v>1857</v>
      </c>
      <c r="E2495" s="527" t="s">
        <v>9980</v>
      </c>
      <c r="F2495" s="219"/>
    </row>
    <row r="2496" spans="1:6" ht="14.4">
      <c r="A2496">
        <v>41077</v>
      </c>
      <c r="B2496" t="s">
        <v>19853</v>
      </c>
      <c r="C2496" t="s">
        <v>2276</v>
      </c>
      <c r="D2496" t="s">
        <v>1857</v>
      </c>
      <c r="E2496" s="527" t="s">
        <v>19854</v>
      </c>
      <c r="F2496" s="220"/>
    </row>
    <row r="2497" spans="1:6" ht="14.4">
      <c r="A2497">
        <v>20159</v>
      </c>
      <c r="B2497" t="s">
        <v>19855</v>
      </c>
      <c r="C2497" t="s">
        <v>2269</v>
      </c>
      <c r="D2497" t="s">
        <v>1857</v>
      </c>
      <c r="E2497" s="527" t="s">
        <v>19856</v>
      </c>
      <c r="F2497" s="219"/>
    </row>
    <row r="2498" spans="1:6" ht="14.4">
      <c r="A2498">
        <v>37963</v>
      </c>
      <c r="B2498" t="s">
        <v>19857</v>
      </c>
      <c r="C2498" t="s">
        <v>2269</v>
      </c>
      <c r="D2498" t="s">
        <v>1857</v>
      </c>
      <c r="E2498" s="527" t="s">
        <v>3694</v>
      </c>
      <c r="F2498" s="220"/>
    </row>
    <row r="2499" spans="1:6" ht="14.4">
      <c r="A2499">
        <v>37964</v>
      </c>
      <c r="B2499" t="s">
        <v>19858</v>
      </c>
      <c r="C2499" t="s">
        <v>2269</v>
      </c>
      <c r="D2499" t="s">
        <v>1857</v>
      </c>
      <c r="E2499" s="527" t="s">
        <v>5180</v>
      </c>
      <c r="F2499" s="219"/>
    </row>
    <row r="2500" spans="1:6" ht="14.4">
      <c r="A2500">
        <v>37965</v>
      </c>
      <c r="B2500" t="s">
        <v>19859</v>
      </c>
      <c r="C2500" t="s">
        <v>2269</v>
      </c>
      <c r="D2500" t="s">
        <v>1857</v>
      </c>
      <c r="E2500" s="527" t="s">
        <v>7267</v>
      </c>
      <c r="F2500" s="220"/>
    </row>
    <row r="2501" spans="1:6" ht="14.4">
      <c r="A2501">
        <v>37966</v>
      </c>
      <c r="B2501" t="s">
        <v>19860</v>
      </c>
      <c r="C2501" t="s">
        <v>2269</v>
      </c>
      <c r="D2501" t="s">
        <v>1857</v>
      </c>
      <c r="E2501" s="527" t="s">
        <v>7891</v>
      </c>
      <c r="F2501" s="219"/>
    </row>
    <row r="2502" spans="1:6" ht="14.4">
      <c r="A2502">
        <v>37967</v>
      </c>
      <c r="B2502" t="s">
        <v>19861</v>
      </c>
      <c r="C2502" t="s">
        <v>2269</v>
      </c>
      <c r="D2502" t="s">
        <v>1857</v>
      </c>
      <c r="E2502" s="527" t="s">
        <v>11449</v>
      </c>
      <c r="F2502" s="220"/>
    </row>
    <row r="2503" spans="1:6" ht="14.4">
      <c r="A2503">
        <v>37968</v>
      </c>
      <c r="B2503" t="s">
        <v>19862</v>
      </c>
      <c r="C2503" t="s">
        <v>2269</v>
      </c>
      <c r="D2503" t="s">
        <v>1857</v>
      </c>
      <c r="E2503" s="527" t="s">
        <v>10741</v>
      </c>
      <c r="F2503" s="219"/>
    </row>
    <row r="2504" spans="1:6" ht="14.4">
      <c r="A2504">
        <v>37969</v>
      </c>
      <c r="B2504" t="s">
        <v>19863</v>
      </c>
      <c r="C2504" t="s">
        <v>2269</v>
      </c>
      <c r="D2504" t="s">
        <v>1857</v>
      </c>
      <c r="E2504" s="527" t="s">
        <v>19864</v>
      </c>
      <c r="F2504" s="220"/>
    </row>
    <row r="2505" spans="1:6" ht="14.4">
      <c r="A2505">
        <v>37970</v>
      </c>
      <c r="B2505" t="s">
        <v>19865</v>
      </c>
      <c r="C2505" t="s">
        <v>2269</v>
      </c>
      <c r="D2505" t="s">
        <v>1857</v>
      </c>
      <c r="E2505" s="527" t="s">
        <v>19866</v>
      </c>
      <c r="F2505" s="219"/>
    </row>
    <row r="2506" spans="1:6" ht="14.4">
      <c r="A2506">
        <v>21118</v>
      </c>
      <c r="B2506" t="s">
        <v>19867</v>
      </c>
      <c r="C2506" t="s">
        <v>2269</v>
      </c>
      <c r="D2506" t="s">
        <v>2268</v>
      </c>
      <c r="E2506" s="527" t="s">
        <v>9996</v>
      </c>
      <c r="F2506" s="220"/>
    </row>
    <row r="2507" spans="1:6" ht="14.4">
      <c r="A2507">
        <v>37956</v>
      </c>
      <c r="B2507" t="s">
        <v>19868</v>
      </c>
      <c r="C2507" t="s">
        <v>2269</v>
      </c>
      <c r="D2507" t="s">
        <v>1857</v>
      </c>
      <c r="E2507" s="527" t="s">
        <v>2977</v>
      </c>
      <c r="F2507" s="219"/>
    </row>
    <row r="2508" spans="1:6" ht="14.4">
      <c r="A2508">
        <v>37957</v>
      </c>
      <c r="B2508" t="s">
        <v>19869</v>
      </c>
      <c r="C2508" t="s">
        <v>2269</v>
      </c>
      <c r="D2508" t="s">
        <v>1857</v>
      </c>
      <c r="E2508" s="527" t="s">
        <v>9971</v>
      </c>
      <c r="F2508" s="220"/>
    </row>
    <row r="2509" spans="1:6" ht="14.4">
      <c r="A2509">
        <v>37958</v>
      </c>
      <c r="B2509" t="s">
        <v>19870</v>
      </c>
      <c r="C2509" t="s">
        <v>2269</v>
      </c>
      <c r="D2509" t="s">
        <v>1857</v>
      </c>
      <c r="E2509" s="527" t="s">
        <v>7891</v>
      </c>
      <c r="F2509" s="219"/>
    </row>
    <row r="2510" spans="1:6" ht="14.4">
      <c r="A2510">
        <v>37959</v>
      </c>
      <c r="B2510" t="s">
        <v>19871</v>
      </c>
      <c r="C2510" t="s">
        <v>2269</v>
      </c>
      <c r="D2510" t="s">
        <v>1857</v>
      </c>
      <c r="E2510" s="527" t="s">
        <v>11449</v>
      </c>
      <c r="F2510" s="220"/>
    </row>
    <row r="2511" spans="1:6" ht="14.4">
      <c r="A2511">
        <v>37960</v>
      </c>
      <c r="B2511" t="s">
        <v>19872</v>
      </c>
      <c r="C2511" t="s">
        <v>2269</v>
      </c>
      <c r="D2511" t="s">
        <v>1857</v>
      </c>
      <c r="E2511" s="527" t="s">
        <v>16198</v>
      </c>
      <c r="F2511" s="219"/>
    </row>
    <row r="2512" spans="1:6" ht="14.4">
      <c r="A2512">
        <v>37961</v>
      </c>
      <c r="B2512" t="s">
        <v>19873</v>
      </c>
      <c r="C2512" t="s">
        <v>2269</v>
      </c>
      <c r="D2512" t="s">
        <v>1857</v>
      </c>
      <c r="E2512" s="527" t="s">
        <v>16248</v>
      </c>
      <c r="F2512" s="220"/>
    </row>
    <row r="2513" spans="1:6" ht="14.4">
      <c r="A2513">
        <v>37962</v>
      </c>
      <c r="B2513" t="s">
        <v>19874</v>
      </c>
      <c r="C2513" t="s">
        <v>2269</v>
      </c>
      <c r="D2513" t="s">
        <v>1857</v>
      </c>
      <c r="E2513" s="527" t="s">
        <v>19875</v>
      </c>
      <c r="F2513" s="219"/>
    </row>
    <row r="2514" spans="1:6" ht="14.4">
      <c r="A2514">
        <v>3533</v>
      </c>
      <c r="B2514" t="s">
        <v>19876</v>
      </c>
      <c r="C2514" t="s">
        <v>2269</v>
      </c>
      <c r="D2514" t="s">
        <v>1857</v>
      </c>
      <c r="E2514" s="527" t="s">
        <v>3309</v>
      </c>
      <c r="F2514" s="220"/>
    </row>
    <row r="2515" spans="1:6" ht="14.4">
      <c r="A2515">
        <v>3538</v>
      </c>
      <c r="B2515" t="s">
        <v>19877</v>
      </c>
      <c r="C2515" t="s">
        <v>2269</v>
      </c>
      <c r="D2515" t="s">
        <v>1857</v>
      </c>
      <c r="E2515" s="527" t="s">
        <v>2885</v>
      </c>
      <c r="F2515" s="219"/>
    </row>
    <row r="2516" spans="1:6" ht="14.4">
      <c r="A2516">
        <v>3497</v>
      </c>
      <c r="B2516" t="s">
        <v>19878</v>
      </c>
      <c r="C2516" t="s">
        <v>2269</v>
      </c>
      <c r="D2516" t="s">
        <v>1857</v>
      </c>
      <c r="E2516" s="527" t="s">
        <v>10204</v>
      </c>
      <c r="F2516" s="220"/>
    </row>
    <row r="2517" spans="1:6" ht="14.4">
      <c r="A2517">
        <v>3498</v>
      </c>
      <c r="B2517" t="s">
        <v>19879</v>
      </c>
      <c r="C2517" t="s">
        <v>2269</v>
      </c>
      <c r="D2517" t="s">
        <v>1857</v>
      </c>
      <c r="E2517" s="527" t="s">
        <v>16252</v>
      </c>
      <c r="F2517" s="219"/>
    </row>
    <row r="2518" spans="1:6" ht="14.4">
      <c r="A2518">
        <v>3496</v>
      </c>
      <c r="B2518" t="s">
        <v>19880</v>
      </c>
      <c r="C2518" t="s">
        <v>2269</v>
      </c>
      <c r="D2518" t="s">
        <v>1857</v>
      </c>
      <c r="E2518" s="527" t="s">
        <v>4678</v>
      </c>
      <c r="F2518" s="220"/>
    </row>
    <row r="2519" spans="1:6" ht="14.4">
      <c r="A2519">
        <v>38429</v>
      </c>
      <c r="B2519" t="s">
        <v>19881</v>
      </c>
      <c r="C2519" t="s">
        <v>2269</v>
      </c>
      <c r="D2519" t="s">
        <v>1857</v>
      </c>
      <c r="E2519" s="527" t="s">
        <v>7393</v>
      </c>
      <c r="F2519" s="219"/>
    </row>
    <row r="2520" spans="1:6" ht="14.4">
      <c r="A2520">
        <v>38431</v>
      </c>
      <c r="B2520" t="s">
        <v>19882</v>
      </c>
      <c r="C2520" t="s">
        <v>2269</v>
      </c>
      <c r="D2520" t="s">
        <v>1857</v>
      </c>
      <c r="E2520" s="527" t="s">
        <v>9607</v>
      </c>
      <c r="F2520" s="220"/>
    </row>
    <row r="2521" spans="1:6" ht="14.4">
      <c r="A2521">
        <v>38430</v>
      </c>
      <c r="B2521" t="s">
        <v>19883</v>
      </c>
      <c r="C2521" t="s">
        <v>2269</v>
      </c>
      <c r="D2521" t="s">
        <v>1857</v>
      </c>
      <c r="E2521" s="527" t="s">
        <v>9539</v>
      </c>
      <c r="F2521" s="219"/>
    </row>
    <row r="2522" spans="1:6" ht="14.4">
      <c r="A2522">
        <v>36348</v>
      </c>
      <c r="B2522" t="s">
        <v>19884</v>
      </c>
      <c r="C2522" t="s">
        <v>2269</v>
      </c>
      <c r="D2522" t="s">
        <v>2271</v>
      </c>
      <c r="E2522" s="527" t="s">
        <v>15830</v>
      </c>
      <c r="F2522" s="220"/>
    </row>
    <row r="2523" spans="1:6" ht="14.4">
      <c r="A2523">
        <v>36349</v>
      </c>
      <c r="B2523" t="s">
        <v>19885</v>
      </c>
      <c r="C2523" t="s">
        <v>2269</v>
      </c>
      <c r="D2523" t="s">
        <v>2271</v>
      </c>
      <c r="E2523" s="527" t="s">
        <v>7263</v>
      </c>
      <c r="F2523" s="219"/>
    </row>
    <row r="2524" spans="1:6" ht="14.4">
      <c r="A2524">
        <v>38433</v>
      </c>
      <c r="B2524" t="s">
        <v>19886</v>
      </c>
      <c r="C2524" t="s">
        <v>2269</v>
      </c>
      <c r="D2524" t="s">
        <v>2271</v>
      </c>
      <c r="E2524" s="527" t="s">
        <v>4084</v>
      </c>
      <c r="F2524" s="220"/>
    </row>
    <row r="2525" spans="1:6" ht="14.4">
      <c r="A2525">
        <v>38440</v>
      </c>
      <c r="B2525" t="s">
        <v>19887</v>
      </c>
      <c r="C2525" t="s">
        <v>2269</v>
      </c>
      <c r="D2525" t="s">
        <v>2271</v>
      </c>
      <c r="E2525" s="527" t="s">
        <v>19888</v>
      </c>
      <c r="F2525" s="219"/>
    </row>
    <row r="2526" spans="1:6" ht="14.4">
      <c r="A2526">
        <v>36359</v>
      </c>
      <c r="B2526" t="s">
        <v>19889</v>
      </c>
      <c r="C2526" t="s">
        <v>2269</v>
      </c>
      <c r="D2526" t="s">
        <v>2271</v>
      </c>
      <c r="E2526" s="527" t="s">
        <v>7281</v>
      </c>
      <c r="F2526" s="220"/>
    </row>
    <row r="2527" spans="1:6" ht="14.4">
      <c r="A2527">
        <v>36360</v>
      </c>
      <c r="B2527" t="s">
        <v>19890</v>
      </c>
      <c r="C2527" t="s">
        <v>2269</v>
      </c>
      <c r="D2527" t="s">
        <v>2271</v>
      </c>
      <c r="E2527" s="527" t="s">
        <v>7013</v>
      </c>
      <c r="F2527" s="219"/>
    </row>
    <row r="2528" spans="1:6" ht="14.4">
      <c r="A2528">
        <v>38434</v>
      </c>
      <c r="B2528" t="s">
        <v>19891</v>
      </c>
      <c r="C2528" t="s">
        <v>2269</v>
      </c>
      <c r="D2528" t="s">
        <v>2271</v>
      </c>
      <c r="E2528" s="527" t="s">
        <v>4570</v>
      </c>
      <c r="F2528" s="220"/>
    </row>
    <row r="2529" spans="1:6" ht="14.4">
      <c r="A2529">
        <v>38435</v>
      </c>
      <c r="B2529" t="s">
        <v>19892</v>
      </c>
      <c r="C2529" t="s">
        <v>2269</v>
      </c>
      <c r="D2529" t="s">
        <v>2271</v>
      </c>
      <c r="E2529" s="527" t="s">
        <v>7730</v>
      </c>
      <c r="F2529" s="219"/>
    </row>
    <row r="2530" spans="1:6" ht="14.4">
      <c r="A2530">
        <v>38436</v>
      </c>
      <c r="B2530" t="s">
        <v>19893</v>
      </c>
      <c r="C2530" t="s">
        <v>2269</v>
      </c>
      <c r="D2530" t="s">
        <v>2271</v>
      </c>
      <c r="E2530" s="527" t="s">
        <v>9606</v>
      </c>
      <c r="F2530" s="220"/>
    </row>
    <row r="2531" spans="1:6" ht="14.4">
      <c r="A2531">
        <v>38437</v>
      </c>
      <c r="B2531" t="s">
        <v>19894</v>
      </c>
      <c r="C2531" t="s">
        <v>2269</v>
      </c>
      <c r="D2531" t="s">
        <v>2271</v>
      </c>
      <c r="E2531" s="527" t="s">
        <v>11624</v>
      </c>
      <c r="F2531" s="219"/>
    </row>
    <row r="2532" spans="1:6" ht="14.4">
      <c r="A2532">
        <v>38438</v>
      </c>
      <c r="B2532" t="s">
        <v>19895</v>
      </c>
      <c r="C2532" t="s">
        <v>2269</v>
      </c>
      <c r="D2532" t="s">
        <v>2271</v>
      </c>
      <c r="E2532" s="527" t="s">
        <v>19896</v>
      </c>
      <c r="F2532" s="220"/>
    </row>
    <row r="2533" spans="1:6" ht="14.4">
      <c r="A2533">
        <v>38439</v>
      </c>
      <c r="B2533" t="s">
        <v>19897</v>
      </c>
      <c r="C2533" t="s">
        <v>2269</v>
      </c>
      <c r="D2533" t="s">
        <v>2271</v>
      </c>
      <c r="E2533" s="527" t="s">
        <v>19898</v>
      </c>
      <c r="F2533" s="219"/>
    </row>
    <row r="2534" spans="1:6" ht="14.4">
      <c r="A2534">
        <v>10836</v>
      </c>
      <c r="B2534" t="s">
        <v>19899</v>
      </c>
      <c r="C2534" t="s">
        <v>2269</v>
      </c>
      <c r="D2534" t="s">
        <v>1857</v>
      </c>
      <c r="E2534" s="527" t="s">
        <v>10078</v>
      </c>
      <c r="F2534" s="220"/>
    </row>
    <row r="2535" spans="1:6" ht="14.4">
      <c r="A2535">
        <v>20128</v>
      </c>
      <c r="B2535" t="s">
        <v>19900</v>
      </c>
      <c r="C2535" t="s">
        <v>2269</v>
      </c>
      <c r="D2535" t="s">
        <v>1857</v>
      </c>
      <c r="E2535" s="527" t="s">
        <v>16124</v>
      </c>
      <c r="F2535" s="219"/>
    </row>
    <row r="2536" spans="1:6" ht="14.4">
      <c r="A2536">
        <v>20131</v>
      </c>
      <c r="B2536" t="s">
        <v>19901</v>
      </c>
      <c r="C2536" t="s">
        <v>2269</v>
      </c>
      <c r="D2536" t="s">
        <v>1857</v>
      </c>
      <c r="E2536" s="527" t="s">
        <v>19902</v>
      </c>
      <c r="F2536" s="220"/>
    </row>
    <row r="2537" spans="1:6" ht="14.4">
      <c r="A2537">
        <v>3521</v>
      </c>
      <c r="B2537" t="s">
        <v>19903</v>
      </c>
      <c r="C2537" t="s">
        <v>2269</v>
      </c>
      <c r="D2537" t="s">
        <v>1857</v>
      </c>
      <c r="E2537" s="527" t="s">
        <v>15848</v>
      </c>
      <c r="F2537" s="219"/>
    </row>
    <row r="2538" spans="1:6" ht="14.4">
      <c r="A2538">
        <v>3531</v>
      </c>
      <c r="B2538" t="s">
        <v>19904</v>
      </c>
      <c r="C2538" t="s">
        <v>2269</v>
      </c>
      <c r="D2538" t="s">
        <v>1857</v>
      </c>
      <c r="E2538" s="527" t="s">
        <v>16559</v>
      </c>
      <c r="F2538" s="220"/>
    </row>
    <row r="2539" spans="1:6" ht="14.4">
      <c r="A2539">
        <v>3522</v>
      </c>
      <c r="B2539" t="s">
        <v>19905</v>
      </c>
      <c r="C2539" t="s">
        <v>2269</v>
      </c>
      <c r="D2539" t="s">
        <v>1857</v>
      </c>
      <c r="E2539" s="527" t="s">
        <v>7634</v>
      </c>
      <c r="F2539" s="219"/>
    </row>
    <row r="2540" spans="1:6" ht="14.4">
      <c r="A2540">
        <v>3527</v>
      </c>
      <c r="B2540" t="s">
        <v>19906</v>
      </c>
      <c r="C2540" t="s">
        <v>2269</v>
      </c>
      <c r="D2540" t="s">
        <v>1857</v>
      </c>
      <c r="E2540" s="527" t="s">
        <v>7332</v>
      </c>
      <c r="F2540" s="220"/>
    </row>
    <row r="2541" spans="1:6" ht="14.4">
      <c r="A2541">
        <v>10835</v>
      </c>
      <c r="B2541" t="s">
        <v>19907</v>
      </c>
      <c r="C2541" t="s">
        <v>2269</v>
      </c>
      <c r="D2541" t="s">
        <v>1857</v>
      </c>
      <c r="E2541" s="527" t="s">
        <v>2977</v>
      </c>
      <c r="F2541" s="219"/>
    </row>
    <row r="2542" spans="1:6" ht="14.4">
      <c r="A2542">
        <v>3475</v>
      </c>
      <c r="B2542" t="s">
        <v>19908</v>
      </c>
      <c r="C2542" t="s">
        <v>2269</v>
      </c>
      <c r="D2542" t="s">
        <v>1857</v>
      </c>
      <c r="E2542" s="527" t="s">
        <v>7633</v>
      </c>
      <c r="F2542" s="220"/>
    </row>
    <row r="2543" spans="1:6" ht="14.4">
      <c r="A2543">
        <v>3485</v>
      </c>
      <c r="B2543" t="s">
        <v>19909</v>
      </c>
      <c r="C2543" t="s">
        <v>2269</v>
      </c>
      <c r="D2543" t="s">
        <v>1857</v>
      </c>
      <c r="E2543" s="527" t="s">
        <v>10623</v>
      </c>
      <c r="F2543" s="219"/>
    </row>
    <row r="2544" spans="1:6" ht="14.4">
      <c r="A2544">
        <v>3534</v>
      </c>
      <c r="B2544" t="s">
        <v>19910</v>
      </c>
      <c r="C2544" t="s">
        <v>2269</v>
      </c>
      <c r="D2544" t="s">
        <v>1857</v>
      </c>
      <c r="E2544" s="527" t="s">
        <v>5337</v>
      </c>
      <c r="F2544" s="220"/>
    </row>
    <row r="2545" spans="1:6" ht="14.4">
      <c r="A2545">
        <v>3543</v>
      </c>
      <c r="B2545" t="s">
        <v>19911</v>
      </c>
      <c r="C2545" t="s">
        <v>2269</v>
      </c>
      <c r="D2545" t="s">
        <v>1857</v>
      </c>
      <c r="E2545" s="527" t="s">
        <v>3795</v>
      </c>
      <c r="F2545" s="219"/>
    </row>
    <row r="2546" spans="1:6" ht="14.4">
      <c r="A2546">
        <v>3482</v>
      </c>
      <c r="B2546" t="s">
        <v>19912</v>
      </c>
      <c r="C2546" t="s">
        <v>2269</v>
      </c>
      <c r="D2546" t="s">
        <v>1857</v>
      </c>
      <c r="E2546" s="527" t="s">
        <v>7251</v>
      </c>
      <c r="F2546" s="220"/>
    </row>
    <row r="2547" spans="1:6" ht="14.4">
      <c r="A2547">
        <v>3505</v>
      </c>
      <c r="B2547" t="s">
        <v>19913</v>
      </c>
      <c r="C2547" t="s">
        <v>2269</v>
      </c>
      <c r="D2547" t="s">
        <v>1857</v>
      </c>
      <c r="E2547" s="527" t="s">
        <v>4046</v>
      </c>
      <c r="F2547" s="219"/>
    </row>
    <row r="2548" spans="1:6" ht="14.4">
      <c r="A2548">
        <v>3516</v>
      </c>
      <c r="B2548" t="s">
        <v>19914</v>
      </c>
      <c r="C2548" t="s">
        <v>2269</v>
      </c>
      <c r="D2548" t="s">
        <v>1857</v>
      </c>
      <c r="E2548" s="527" t="s">
        <v>3922</v>
      </c>
      <c r="F2548" s="220"/>
    </row>
    <row r="2549" spans="1:6" ht="14.4">
      <c r="A2549">
        <v>3517</v>
      </c>
      <c r="B2549" t="s">
        <v>19915</v>
      </c>
      <c r="C2549" t="s">
        <v>2269</v>
      </c>
      <c r="D2549" t="s">
        <v>1857</v>
      </c>
      <c r="E2549" s="527" t="s">
        <v>2984</v>
      </c>
      <c r="F2549" s="219"/>
    </row>
    <row r="2550" spans="1:6" ht="14.4">
      <c r="A2550">
        <v>3515</v>
      </c>
      <c r="B2550" t="s">
        <v>19916</v>
      </c>
      <c r="C2550" t="s">
        <v>2269</v>
      </c>
      <c r="D2550" t="s">
        <v>1857</v>
      </c>
      <c r="E2550" s="527" t="s">
        <v>9891</v>
      </c>
      <c r="F2550" s="220"/>
    </row>
    <row r="2551" spans="1:6" ht="14.4">
      <c r="A2551">
        <v>20147</v>
      </c>
      <c r="B2551" t="s">
        <v>19917</v>
      </c>
      <c r="C2551" t="s">
        <v>2269</v>
      </c>
      <c r="D2551" t="s">
        <v>1857</v>
      </c>
      <c r="E2551" s="527" t="s">
        <v>15545</v>
      </c>
      <c r="F2551" s="219"/>
    </row>
    <row r="2552" spans="1:6" ht="14.4">
      <c r="A2552">
        <v>3524</v>
      </c>
      <c r="B2552" t="s">
        <v>19918</v>
      </c>
      <c r="C2552" t="s">
        <v>2269</v>
      </c>
      <c r="D2552" t="s">
        <v>1857</v>
      </c>
      <c r="E2552" s="527" t="s">
        <v>9931</v>
      </c>
      <c r="F2552" s="220"/>
    </row>
    <row r="2553" spans="1:6" ht="14.4">
      <c r="A2553">
        <v>3532</v>
      </c>
      <c r="B2553" t="s">
        <v>19919</v>
      </c>
      <c r="C2553" t="s">
        <v>2269</v>
      </c>
      <c r="D2553" t="s">
        <v>1857</v>
      </c>
      <c r="E2553" s="527" t="s">
        <v>16235</v>
      </c>
      <c r="F2553" s="219"/>
    </row>
    <row r="2554" spans="1:6" ht="14.4">
      <c r="A2554">
        <v>3528</v>
      </c>
      <c r="B2554" t="s">
        <v>19920</v>
      </c>
      <c r="C2554" t="s">
        <v>2269</v>
      </c>
      <c r="D2554" t="s">
        <v>1857</v>
      </c>
      <c r="E2554" s="527" t="s">
        <v>4695</v>
      </c>
      <c r="F2554" s="220"/>
    </row>
    <row r="2555" spans="1:6" ht="14.4">
      <c r="A2555">
        <v>37952</v>
      </c>
      <c r="B2555" t="s">
        <v>19921</v>
      </c>
      <c r="C2555" t="s">
        <v>2269</v>
      </c>
      <c r="D2555" t="s">
        <v>1857</v>
      </c>
      <c r="E2555" s="527" t="s">
        <v>10603</v>
      </c>
      <c r="F2555" s="219"/>
    </row>
    <row r="2556" spans="1:6" ht="14.4">
      <c r="A2556">
        <v>37951</v>
      </c>
      <c r="B2556" t="s">
        <v>19922</v>
      </c>
      <c r="C2556" t="s">
        <v>2269</v>
      </c>
      <c r="D2556" t="s">
        <v>1857</v>
      </c>
      <c r="E2556" s="527" t="s">
        <v>3343</v>
      </c>
      <c r="F2556" s="220"/>
    </row>
    <row r="2557" spans="1:6" ht="14.4">
      <c r="A2557">
        <v>3518</v>
      </c>
      <c r="B2557" t="s">
        <v>19923</v>
      </c>
      <c r="C2557" t="s">
        <v>2269</v>
      </c>
      <c r="D2557" t="s">
        <v>1857</v>
      </c>
      <c r="E2557" s="527" t="s">
        <v>2904</v>
      </c>
      <c r="F2557" s="219"/>
    </row>
    <row r="2558" spans="1:6" ht="14.4">
      <c r="A2558">
        <v>3519</v>
      </c>
      <c r="B2558" t="s">
        <v>19924</v>
      </c>
      <c r="C2558" t="s">
        <v>2269</v>
      </c>
      <c r="D2558" t="s">
        <v>1857</v>
      </c>
      <c r="E2558" s="527" t="s">
        <v>7284</v>
      </c>
      <c r="F2558" s="220"/>
    </row>
    <row r="2559" spans="1:6" ht="14.4">
      <c r="A2559">
        <v>3520</v>
      </c>
      <c r="B2559" t="s">
        <v>19925</v>
      </c>
      <c r="C2559" t="s">
        <v>2269</v>
      </c>
      <c r="D2559" t="s">
        <v>1857</v>
      </c>
      <c r="E2559" s="527" t="s">
        <v>7723</v>
      </c>
      <c r="F2559" s="219"/>
    </row>
    <row r="2560" spans="1:6" ht="14.4">
      <c r="A2560">
        <v>37950</v>
      </c>
      <c r="B2560" t="s">
        <v>19926</v>
      </c>
      <c r="C2560" t="s">
        <v>2269</v>
      </c>
      <c r="D2560" t="s">
        <v>1857</v>
      </c>
      <c r="E2560" s="527" t="s">
        <v>19902</v>
      </c>
      <c r="F2560" s="220"/>
    </row>
    <row r="2561" spans="1:6" ht="14.4">
      <c r="A2561">
        <v>37949</v>
      </c>
      <c r="B2561" t="s">
        <v>19927</v>
      </c>
      <c r="C2561" t="s">
        <v>2269</v>
      </c>
      <c r="D2561" t="s">
        <v>1857</v>
      </c>
      <c r="E2561" s="527" t="s">
        <v>6470</v>
      </c>
      <c r="F2561" s="219"/>
    </row>
    <row r="2562" spans="1:6" ht="14.4">
      <c r="A2562">
        <v>3526</v>
      </c>
      <c r="B2562" t="s">
        <v>19928</v>
      </c>
      <c r="C2562" t="s">
        <v>2269</v>
      </c>
      <c r="D2562" t="s">
        <v>1857</v>
      </c>
      <c r="E2562" s="527" t="s">
        <v>18063</v>
      </c>
      <c r="F2562" s="220"/>
    </row>
    <row r="2563" spans="1:6" ht="14.4">
      <c r="A2563">
        <v>3509</v>
      </c>
      <c r="B2563" t="s">
        <v>19929</v>
      </c>
      <c r="C2563" t="s">
        <v>2269</v>
      </c>
      <c r="D2563" t="s">
        <v>1857</v>
      </c>
      <c r="E2563" s="527" t="s">
        <v>7537</v>
      </c>
      <c r="F2563" s="219"/>
    </row>
    <row r="2564" spans="1:6" ht="14.4">
      <c r="A2564">
        <v>3530</v>
      </c>
      <c r="B2564" t="s">
        <v>19930</v>
      </c>
      <c r="C2564" t="s">
        <v>2269</v>
      </c>
      <c r="D2564" t="s">
        <v>1857</v>
      </c>
      <c r="E2564" s="527" t="s">
        <v>19931</v>
      </c>
      <c r="F2564" s="220"/>
    </row>
    <row r="2565" spans="1:6" ht="14.4">
      <c r="A2565">
        <v>3542</v>
      </c>
      <c r="B2565" t="s">
        <v>19932</v>
      </c>
      <c r="C2565" t="s">
        <v>2269</v>
      </c>
      <c r="D2565" t="s">
        <v>1857</v>
      </c>
      <c r="E2565" s="527" t="s">
        <v>6406</v>
      </c>
      <c r="F2565" s="219"/>
    </row>
    <row r="2566" spans="1:6" ht="14.4">
      <c r="A2566">
        <v>3529</v>
      </c>
      <c r="B2566" t="s">
        <v>19933</v>
      </c>
      <c r="C2566" t="s">
        <v>2269</v>
      </c>
      <c r="D2566" t="s">
        <v>1857</v>
      </c>
      <c r="E2566" s="527" t="s">
        <v>16555</v>
      </c>
      <c r="F2566" s="220"/>
    </row>
    <row r="2567" spans="1:6" ht="14.4">
      <c r="A2567">
        <v>3536</v>
      </c>
      <c r="B2567" t="s">
        <v>19934</v>
      </c>
      <c r="C2567" t="s">
        <v>2269</v>
      </c>
      <c r="D2567" t="s">
        <v>1857</v>
      </c>
      <c r="E2567" s="527" t="s">
        <v>7480</v>
      </c>
      <c r="F2567" s="219"/>
    </row>
    <row r="2568" spans="1:6" ht="14.4">
      <c r="A2568">
        <v>3535</v>
      </c>
      <c r="B2568" t="s">
        <v>19935</v>
      </c>
      <c r="C2568" t="s">
        <v>2269</v>
      </c>
      <c r="D2568" t="s">
        <v>1857</v>
      </c>
      <c r="E2568" s="527" t="s">
        <v>4795</v>
      </c>
      <c r="F2568" s="220"/>
    </row>
    <row r="2569" spans="1:6" ht="14.4">
      <c r="A2569">
        <v>3540</v>
      </c>
      <c r="B2569" t="s">
        <v>19936</v>
      </c>
      <c r="C2569" t="s">
        <v>2269</v>
      </c>
      <c r="D2569" t="s">
        <v>1857</v>
      </c>
      <c r="E2569" s="527" t="s">
        <v>7288</v>
      </c>
      <c r="F2569" s="219"/>
    </row>
    <row r="2570" spans="1:6" ht="14.4">
      <c r="A2570">
        <v>3539</v>
      </c>
      <c r="B2570" t="s">
        <v>19937</v>
      </c>
      <c r="C2570" t="s">
        <v>2269</v>
      </c>
      <c r="D2570" t="s">
        <v>1857</v>
      </c>
      <c r="E2570" s="527" t="s">
        <v>19938</v>
      </c>
      <c r="F2570" s="220"/>
    </row>
    <row r="2571" spans="1:6" ht="14.4">
      <c r="A2571">
        <v>3513</v>
      </c>
      <c r="B2571" t="s">
        <v>19939</v>
      </c>
      <c r="C2571" t="s">
        <v>2269</v>
      </c>
      <c r="D2571" t="s">
        <v>1857</v>
      </c>
      <c r="E2571" s="527" t="s">
        <v>19940</v>
      </c>
      <c r="F2571" s="219"/>
    </row>
    <row r="2572" spans="1:6" ht="14.4">
      <c r="A2572">
        <v>3492</v>
      </c>
      <c r="B2572" t="s">
        <v>19941</v>
      </c>
      <c r="C2572" t="s">
        <v>2269</v>
      </c>
      <c r="D2572" t="s">
        <v>1857</v>
      </c>
      <c r="E2572" s="527" t="s">
        <v>19942</v>
      </c>
      <c r="F2572" s="220"/>
    </row>
    <row r="2573" spans="1:6" ht="14.4">
      <c r="A2573">
        <v>3491</v>
      </c>
      <c r="B2573" t="s">
        <v>19943</v>
      </c>
      <c r="C2573" t="s">
        <v>2269</v>
      </c>
      <c r="D2573" t="s">
        <v>1857</v>
      </c>
      <c r="E2573" s="527" t="s">
        <v>11646</v>
      </c>
      <c r="F2573" s="219"/>
    </row>
    <row r="2574" spans="1:6" ht="14.4">
      <c r="A2574">
        <v>3493</v>
      </c>
      <c r="B2574" t="s">
        <v>19944</v>
      </c>
      <c r="C2574" t="s">
        <v>2269</v>
      </c>
      <c r="D2574" t="s">
        <v>1857</v>
      </c>
      <c r="E2574" s="527" t="s">
        <v>18865</v>
      </c>
      <c r="F2574" s="220"/>
    </row>
    <row r="2575" spans="1:6" ht="14.4">
      <c r="A2575">
        <v>12628</v>
      </c>
      <c r="B2575" t="s">
        <v>19945</v>
      </c>
      <c r="C2575" t="s">
        <v>2269</v>
      </c>
      <c r="D2575" t="s">
        <v>2271</v>
      </c>
      <c r="E2575" s="527" t="s">
        <v>5180</v>
      </c>
      <c r="F2575" s="219"/>
    </row>
    <row r="2576" spans="1:6" ht="14.4">
      <c r="A2576">
        <v>12629</v>
      </c>
      <c r="B2576" t="s">
        <v>19946</v>
      </c>
      <c r="C2576" t="s">
        <v>2269</v>
      </c>
      <c r="D2576" t="s">
        <v>2271</v>
      </c>
      <c r="E2576" s="527" t="s">
        <v>5467</v>
      </c>
      <c r="F2576" s="220"/>
    </row>
    <row r="2577" spans="1:6" ht="14.4">
      <c r="A2577">
        <v>3481</v>
      </c>
      <c r="B2577" t="s">
        <v>19947</v>
      </c>
      <c r="C2577" t="s">
        <v>2269</v>
      </c>
      <c r="D2577" t="s">
        <v>1857</v>
      </c>
      <c r="E2577" s="527" t="s">
        <v>15398</v>
      </c>
      <c r="F2577" s="219"/>
    </row>
    <row r="2578" spans="1:6" ht="14.4">
      <c r="A2578">
        <v>3510</v>
      </c>
      <c r="B2578" t="s">
        <v>19948</v>
      </c>
      <c r="C2578" t="s">
        <v>2269</v>
      </c>
      <c r="D2578" t="s">
        <v>1857</v>
      </c>
      <c r="E2578" s="527" t="s">
        <v>9984</v>
      </c>
      <c r="F2578" s="220"/>
    </row>
    <row r="2579" spans="1:6" ht="14.4">
      <c r="A2579">
        <v>3508</v>
      </c>
      <c r="B2579" t="s">
        <v>19949</v>
      </c>
      <c r="C2579" t="s">
        <v>2269</v>
      </c>
      <c r="D2579" t="s">
        <v>1857</v>
      </c>
      <c r="E2579" s="527" t="s">
        <v>19950</v>
      </c>
      <c r="F2579" s="219"/>
    </row>
    <row r="2580" spans="1:6" ht="14.4">
      <c r="A2580">
        <v>38939</v>
      </c>
      <c r="B2580" t="s">
        <v>19951</v>
      </c>
      <c r="C2580" t="s">
        <v>2269</v>
      </c>
      <c r="D2580" t="s">
        <v>2271</v>
      </c>
      <c r="E2580" s="527" t="s">
        <v>6532</v>
      </c>
      <c r="F2580" s="220"/>
    </row>
    <row r="2581" spans="1:6" ht="14.4">
      <c r="A2581">
        <v>38940</v>
      </c>
      <c r="B2581" t="s">
        <v>19952</v>
      </c>
      <c r="C2581" t="s">
        <v>2269</v>
      </c>
      <c r="D2581" t="s">
        <v>2271</v>
      </c>
      <c r="E2581" s="527" t="s">
        <v>13335</v>
      </c>
      <c r="F2581" s="219"/>
    </row>
    <row r="2582" spans="1:6" ht="14.4">
      <c r="A2582">
        <v>38941</v>
      </c>
      <c r="B2582" t="s">
        <v>19953</v>
      </c>
      <c r="C2582" t="s">
        <v>2269</v>
      </c>
      <c r="D2582" t="s">
        <v>2271</v>
      </c>
      <c r="E2582" s="527" t="s">
        <v>10205</v>
      </c>
      <c r="F2582" s="220"/>
    </row>
    <row r="2583" spans="1:6" ht="14.4">
      <c r="A2583">
        <v>38942</v>
      </c>
      <c r="B2583" t="s">
        <v>19954</v>
      </c>
      <c r="C2583" t="s">
        <v>2269</v>
      </c>
      <c r="D2583" t="s">
        <v>2271</v>
      </c>
      <c r="E2583" s="527" t="s">
        <v>10640</v>
      </c>
      <c r="F2583" s="219"/>
    </row>
    <row r="2584" spans="1:6" ht="14.4">
      <c r="A2584">
        <v>38987</v>
      </c>
      <c r="B2584" t="s">
        <v>19955</v>
      </c>
      <c r="C2584" t="s">
        <v>2269</v>
      </c>
      <c r="D2584" t="s">
        <v>2271</v>
      </c>
      <c r="E2584" s="527" t="s">
        <v>7320</v>
      </c>
      <c r="F2584" s="220"/>
    </row>
    <row r="2585" spans="1:6" ht="14.4">
      <c r="A2585">
        <v>38988</v>
      </c>
      <c r="B2585" t="s">
        <v>19956</v>
      </c>
      <c r="C2585" t="s">
        <v>2269</v>
      </c>
      <c r="D2585" t="s">
        <v>2271</v>
      </c>
      <c r="E2585" s="527" t="s">
        <v>16154</v>
      </c>
      <c r="F2585" s="219"/>
    </row>
    <row r="2586" spans="1:6" ht="14.4">
      <c r="A2586">
        <v>38989</v>
      </c>
      <c r="B2586" t="s">
        <v>19957</v>
      </c>
      <c r="C2586" t="s">
        <v>2269</v>
      </c>
      <c r="D2586" t="s">
        <v>2271</v>
      </c>
      <c r="E2586" s="527" t="s">
        <v>19958</v>
      </c>
      <c r="F2586" s="220"/>
    </row>
    <row r="2587" spans="1:6" ht="14.4">
      <c r="A2587">
        <v>38990</v>
      </c>
      <c r="B2587" t="s">
        <v>19959</v>
      </c>
      <c r="C2587" t="s">
        <v>2269</v>
      </c>
      <c r="D2587" t="s">
        <v>2271</v>
      </c>
      <c r="E2587" s="527" t="s">
        <v>19960</v>
      </c>
      <c r="F2587" s="219"/>
    </row>
    <row r="2588" spans="1:6" ht="14.4">
      <c r="A2588">
        <v>38991</v>
      </c>
      <c r="B2588" t="s">
        <v>19961</v>
      </c>
      <c r="C2588" t="s">
        <v>2269</v>
      </c>
      <c r="D2588" t="s">
        <v>2271</v>
      </c>
      <c r="E2588" s="527" t="s">
        <v>19962</v>
      </c>
      <c r="F2588" s="220"/>
    </row>
    <row r="2589" spans="1:6" ht="14.4">
      <c r="A2589">
        <v>38913</v>
      </c>
      <c r="B2589" t="s">
        <v>19963</v>
      </c>
      <c r="C2589" t="s">
        <v>2269</v>
      </c>
      <c r="D2589" t="s">
        <v>2271</v>
      </c>
      <c r="E2589" s="527" t="s">
        <v>6001</v>
      </c>
      <c r="F2589" s="219"/>
    </row>
    <row r="2590" spans="1:6" ht="14.4">
      <c r="A2590">
        <v>38914</v>
      </c>
      <c r="B2590" t="s">
        <v>19964</v>
      </c>
      <c r="C2590" t="s">
        <v>2269</v>
      </c>
      <c r="D2590" t="s">
        <v>2271</v>
      </c>
      <c r="E2590" s="527" t="s">
        <v>4991</v>
      </c>
      <c r="F2590" s="220"/>
    </row>
    <row r="2591" spans="1:6" ht="14.4">
      <c r="A2591">
        <v>38915</v>
      </c>
      <c r="B2591" t="s">
        <v>19965</v>
      </c>
      <c r="C2591" t="s">
        <v>2269</v>
      </c>
      <c r="D2591" t="s">
        <v>2271</v>
      </c>
      <c r="E2591" s="527" t="s">
        <v>10669</v>
      </c>
      <c r="F2591" s="219"/>
    </row>
    <row r="2592" spans="1:6" ht="14.4">
      <c r="A2592">
        <v>38916</v>
      </c>
      <c r="B2592" t="s">
        <v>19966</v>
      </c>
      <c r="C2592" t="s">
        <v>2269</v>
      </c>
      <c r="D2592" t="s">
        <v>2271</v>
      </c>
      <c r="E2592" s="527" t="s">
        <v>15276</v>
      </c>
      <c r="F2592" s="220"/>
    </row>
    <row r="2593" spans="1:6" ht="14.4">
      <c r="A2593">
        <v>39300</v>
      </c>
      <c r="B2593" t="s">
        <v>19967</v>
      </c>
      <c r="C2593" t="s">
        <v>2269</v>
      </c>
      <c r="D2593" t="s">
        <v>2271</v>
      </c>
      <c r="E2593" s="527" t="s">
        <v>11138</v>
      </c>
      <c r="F2593" s="219"/>
    </row>
    <row r="2594" spans="1:6" ht="14.4">
      <c r="A2594">
        <v>39301</v>
      </c>
      <c r="B2594" t="s">
        <v>19968</v>
      </c>
      <c r="C2594" t="s">
        <v>2269</v>
      </c>
      <c r="D2594" t="s">
        <v>2271</v>
      </c>
      <c r="E2594" s="527" t="s">
        <v>10677</v>
      </c>
      <c r="F2594" s="220"/>
    </row>
    <row r="2595" spans="1:6" ht="14.4">
      <c r="A2595">
        <v>39302</v>
      </c>
      <c r="B2595" t="s">
        <v>19969</v>
      </c>
      <c r="C2595" t="s">
        <v>2269</v>
      </c>
      <c r="D2595" t="s">
        <v>2271</v>
      </c>
      <c r="E2595" s="527" t="s">
        <v>15455</v>
      </c>
      <c r="F2595" s="219"/>
    </row>
    <row r="2596" spans="1:6" ht="14.4">
      <c r="A2596">
        <v>39303</v>
      </c>
      <c r="B2596" t="s">
        <v>19970</v>
      </c>
      <c r="C2596" t="s">
        <v>2269</v>
      </c>
      <c r="D2596" t="s">
        <v>2271</v>
      </c>
      <c r="E2596" s="527" t="s">
        <v>15456</v>
      </c>
      <c r="F2596" s="220"/>
    </row>
    <row r="2597" spans="1:6" ht="14.4">
      <c r="A2597">
        <v>38923</v>
      </c>
      <c r="B2597" t="s">
        <v>19971</v>
      </c>
      <c r="C2597" t="s">
        <v>2269</v>
      </c>
      <c r="D2597" t="s">
        <v>2271</v>
      </c>
      <c r="E2597" s="527" t="s">
        <v>9550</v>
      </c>
      <c r="F2597" s="219"/>
    </row>
    <row r="2598" spans="1:6" ht="14.4">
      <c r="A2598">
        <v>38925</v>
      </c>
      <c r="B2598" t="s">
        <v>19972</v>
      </c>
      <c r="C2598" t="s">
        <v>2269</v>
      </c>
      <c r="D2598" t="s">
        <v>2271</v>
      </c>
      <c r="E2598" s="527" t="s">
        <v>7955</v>
      </c>
      <c r="F2598" s="220"/>
    </row>
    <row r="2599" spans="1:6" ht="14.4">
      <c r="A2599">
        <v>38926</v>
      </c>
      <c r="B2599" t="s">
        <v>19973</v>
      </c>
      <c r="C2599" t="s">
        <v>2269</v>
      </c>
      <c r="D2599" t="s">
        <v>2271</v>
      </c>
      <c r="E2599" s="527" t="s">
        <v>10106</v>
      </c>
      <c r="F2599" s="219"/>
    </row>
    <row r="2600" spans="1:6" ht="14.4">
      <c r="A2600">
        <v>38927</v>
      </c>
      <c r="B2600" t="s">
        <v>19974</v>
      </c>
      <c r="C2600" t="s">
        <v>2269</v>
      </c>
      <c r="D2600" t="s">
        <v>2271</v>
      </c>
      <c r="E2600" s="527" t="s">
        <v>11685</v>
      </c>
      <c r="F2600" s="220"/>
    </row>
    <row r="2601" spans="1:6" ht="14.4">
      <c r="A2601">
        <v>39304</v>
      </c>
      <c r="B2601" t="s">
        <v>19975</v>
      </c>
      <c r="C2601" t="s">
        <v>2269</v>
      </c>
      <c r="D2601" t="s">
        <v>2271</v>
      </c>
      <c r="E2601" s="527" t="s">
        <v>9935</v>
      </c>
      <c r="F2601" s="219"/>
    </row>
    <row r="2602" spans="1:6" ht="14.4">
      <c r="A2602">
        <v>38924</v>
      </c>
      <c r="B2602" t="s">
        <v>19976</v>
      </c>
      <c r="C2602" t="s">
        <v>2269</v>
      </c>
      <c r="D2602" t="s">
        <v>2271</v>
      </c>
      <c r="E2602" s="527" t="s">
        <v>15457</v>
      </c>
      <c r="F2602" s="220"/>
    </row>
    <row r="2603" spans="1:6" ht="14.4">
      <c r="A2603">
        <v>39305</v>
      </c>
      <c r="B2603" t="s">
        <v>19977</v>
      </c>
      <c r="C2603" t="s">
        <v>2269</v>
      </c>
      <c r="D2603" t="s">
        <v>2271</v>
      </c>
      <c r="E2603" s="527" t="s">
        <v>9928</v>
      </c>
      <c r="F2603" s="219"/>
    </row>
    <row r="2604" spans="1:6" ht="14.4">
      <c r="A2604">
        <v>39306</v>
      </c>
      <c r="B2604" t="s">
        <v>19978</v>
      </c>
      <c r="C2604" t="s">
        <v>2269</v>
      </c>
      <c r="D2604" t="s">
        <v>2271</v>
      </c>
      <c r="E2604" s="527" t="s">
        <v>9983</v>
      </c>
      <c r="F2604" s="220"/>
    </row>
    <row r="2605" spans="1:6" ht="14.4">
      <c r="A2605">
        <v>38928</v>
      </c>
      <c r="B2605" t="s">
        <v>19979</v>
      </c>
      <c r="C2605" t="s">
        <v>2269</v>
      </c>
      <c r="D2605" t="s">
        <v>2271</v>
      </c>
      <c r="E2605" s="527" t="s">
        <v>14331</v>
      </c>
      <c r="F2605" s="219"/>
    </row>
    <row r="2606" spans="1:6" ht="14.4">
      <c r="A2606">
        <v>38929</v>
      </c>
      <c r="B2606" t="s">
        <v>19980</v>
      </c>
      <c r="C2606" t="s">
        <v>2269</v>
      </c>
      <c r="D2606" t="s">
        <v>2271</v>
      </c>
      <c r="E2606" s="527" t="s">
        <v>11651</v>
      </c>
      <c r="F2606" s="220"/>
    </row>
    <row r="2607" spans="1:6" ht="14.4">
      <c r="A2607">
        <v>39307</v>
      </c>
      <c r="B2607" t="s">
        <v>19981</v>
      </c>
      <c r="C2607" t="s">
        <v>2269</v>
      </c>
      <c r="D2607" t="s">
        <v>2271</v>
      </c>
      <c r="E2607" s="527" t="s">
        <v>13329</v>
      </c>
      <c r="F2607" s="219"/>
    </row>
    <row r="2608" spans="1:6" ht="14.4">
      <c r="A2608">
        <v>38930</v>
      </c>
      <c r="B2608" t="s">
        <v>19982</v>
      </c>
      <c r="C2608" t="s">
        <v>2269</v>
      </c>
      <c r="D2608" t="s">
        <v>2271</v>
      </c>
      <c r="E2608" s="527" t="s">
        <v>15458</v>
      </c>
      <c r="F2608" s="220"/>
    </row>
    <row r="2609" spans="1:6" ht="14.4">
      <c r="A2609">
        <v>38931</v>
      </c>
      <c r="B2609" t="s">
        <v>19983</v>
      </c>
      <c r="C2609" t="s">
        <v>2269</v>
      </c>
      <c r="D2609" t="s">
        <v>2271</v>
      </c>
      <c r="E2609" s="527" t="s">
        <v>9479</v>
      </c>
      <c r="F2609" s="219"/>
    </row>
    <row r="2610" spans="1:6" ht="14.4">
      <c r="A2610">
        <v>38932</v>
      </c>
      <c r="B2610" t="s">
        <v>19984</v>
      </c>
      <c r="C2610" t="s">
        <v>2269</v>
      </c>
      <c r="D2610" t="s">
        <v>2271</v>
      </c>
      <c r="E2610" s="527" t="s">
        <v>10413</v>
      </c>
      <c r="F2610" s="220"/>
    </row>
    <row r="2611" spans="1:6" ht="14.4">
      <c r="A2611">
        <v>38934</v>
      </c>
      <c r="B2611" t="s">
        <v>19985</v>
      </c>
      <c r="C2611" t="s">
        <v>2269</v>
      </c>
      <c r="D2611" t="s">
        <v>2271</v>
      </c>
      <c r="E2611" s="527" t="s">
        <v>13323</v>
      </c>
      <c r="F2611" s="219"/>
    </row>
    <row r="2612" spans="1:6" ht="14.4">
      <c r="A2612">
        <v>38935</v>
      </c>
      <c r="B2612" t="s">
        <v>19986</v>
      </c>
      <c r="C2612" t="s">
        <v>2269</v>
      </c>
      <c r="D2612" t="s">
        <v>2271</v>
      </c>
      <c r="E2612" s="527" t="s">
        <v>11688</v>
      </c>
      <c r="F2612" s="220"/>
    </row>
    <row r="2613" spans="1:6" ht="14.4">
      <c r="A2613">
        <v>38936</v>
      </c>
      <c r="B2613" t="s">
        <v>19987</v>
      </c>
      <c r="C2613" t="s">
        <v>2269</v>
      </c>
      <c r="D2613" t="s">
        <v>2271</v>
      </c>
      <c r="E2613" s="527" t="s">
        <v>10661</v>
      </c>
      <c r="F2613" s="219"/>
    </row>
    <row r="2614" spans="1:6" ht="14.4">
      <c r="A2614">
        <v>38937</v>
      </c>
      <c r="B2614" t="s">
        <v>19988</v>
      </c>
      <c r="C2614" t="s">
        <v>2269</v>
      </c>
      <c r="D2614" t="s">
        <v>2271</v>
      </c>
      <c r="E2614" s="527" t="s">
        <v>10138</v>
      </c>
      <c r="F2614" s="220"/>
    </row>
    <row r="2615" spans="1:6" ht="14.4">
      <c r="A2615">
        <v>38938</v>
      </c>
      <c r="B2615" t="s">
        <v>19989</v>
      </c>
      <c r="C2615" t="s">
        <v>2269</v>
      </c>
      <c r="D2615" t="s">
        <v>2271</v>
      </c>
      <c r="E2615" s="527" t="s">
        <v>11171</v>
      </c>
      <c r="F2615" s="219"/>
    </row>
    <row r="2616" spans="1:6" ht="14.4">
      <c r="A2616">
        <v>3489</v>
      </c>
      <c r="B2616" t="s">
        <v>19990</v>
      </c>
      <c r="C2616" t="s">
        <v>2269</v>
      </c>
      <c r="D2616" t="s">
        <v>1857</v>
      </c>
      <c r="E2616" s="527" t="s">
        <v>15271</v>
      </c>
      <c r="F2616" s="220"/>
    </row>
    <row r="2617" spans="1:6" ht="14.4">
      <c r="A2617">
        <v>20151</v>
      </c>
      <c r="B2617" t="s">
        <v>19991</v>
      </c>
      <c r="C2617" t="s">
        <v>2269</v>
      </c>
      <c r="D2617" t="s">
        <v>1857</v>
      </c>
      <c r="E2617" s="527" t="s">
        <v>19992</v>
      </c>
      <c r="F2617" s="219"/>
    </row>
    <row r="2618" spans="1:6" ht="14.4">
      <c r="A2618">
        <v>20152</v>
      </c>
      <c r="B2618" t="s">
        <v>19993</v>
      </c>
      <c r="C2618" t="s">
        <v>2269</v>
      </c>
      <c r="D2618" t="s">
        <v>1857</v>
      </c>
      <c r="E2618" s="527" t="s">
        <v>19994</v>
      </c>
      <c r="F2618" s="220"/>
    </row>
    <row r="2619" spans="1:6" ht="14.4">
      <c r="A2619">
        <v>20148</v>
      </c>
      <c r="B2619" t="s">
        <v>19995</v>
      </c>
      <c r="C2619" t="s">
        <v>2269</v>
      </c>
      <c r="D2619" t="s">
        <v>1857</v>
      </c>
      <c r="E2619" s="527" t="s">
        <v>5405</v>
      </c>
      <c r="F2619" s="219"/>
    </row>
    <row r="2620" spans="1:6" ht="14.4">
      <c r="A2620">
        <v>20149</v>
      </c>
      <c r="B2620" t="s">
        <v>19996</v>
      </c>
      <c r="C2620" t="s">
        <v>2269</v>
      </c>
      <c r="D2620" t="s">
        <v>1857</v>
      </c>
      <c r="E2620" s="527" t="s">
        <v>10199</v>
      </c>
      <c r="F2620" s="220"/>
    </row>
    <row r="2621" spans="1:6" ht="14.4">
      <c r="A2621">
        <v>20150</v>
      </c>
      <c r="B2621" t="s">
        <v>19997</v>
      </c>
      <c r="C2621" t="s">
        <v>2269</v>
      </c>
      <c r="D2621" t="s">
        <v>1857</v>
      </c>
      <c r="E2621" s="527" t="s">
        <v>10054</v>
      </c>
      <c r="F2621" s="219"/>
    </row>
    <row r="2622" spans="1:6" ht="14.4">
      <c r="A2622">
        <v>20157</v>
      </c>
      <c r="B2622" t="s">
        <v>19998</v>
      </c>
      <c r="C2622" t="s">
        <v>2269</v>
      </c>
      <c r="D2622" t="s">
        <v>1857</v>
      </c>
      <c r="E2622" s="527" t="s">
        <v>19999</v>
      </c>
      <c r="F2622" s="220"/>
    </row>
    <row r="2623" spans="1:6" ht="14.4">
      <c r="A2623">
        <v>20158</v>
      </c>
      <c r="B2623" t="s">
        <v>20000</v>
      </c>
      <c r="C2623" t="s">
        <v>2269</v>
      </c>
      <c r="D2623" t="s">
        <v>1857</v>
      </c>
      <c r="E2623" s="527" t="s">
        <v>20001</v>
      </c>
      <c r="F2623" s="219"/>
    </row>
    <row r="2624" spans="1:6" ht="14.4">
      <c r="A2624">
        <v>20154</v>
      </c>
      <c r="B2624" t="s">
        <v>20002</v>
      </c>
      <c r="C2624" t="s">
        <v>2269</v>
      </c>
      <c r="D2624" t="s">
        <v>1857</v>
      </c>
      <c r="E2624" s="527" t="s">
        <v>7340</v>
      </c>
      <c r="F2624" s="220"/>
    </row>
    <row r="2625" spans="1:6" ht="14.4">
      <c r="A2625">
        <v>20155</v>
      </c>
      <c r="B2625" t="s">
        <v>20003</v>
      </c>
      <c r="C2625" t="s">
        <v>2269</v>
      </c>
      <c r="D2625" t="s">
        <v>1857</v>
      </c>
      <c r="E2625" s="527" t="s">
        <v>11817</v>
      </c>
      <c r="F2625" s="219"/>
    </row>
    <row r="2626" spans="1:6" ht="14.4">
      <c r="A2626">
        <v>20156</v>
      </c>
      <c r="B2626" t="s">
        <v>20004</v>
      </c>
      <c r="C2626" t="s">
        <v>2269</v>
      </c>
      <c r="D2626" t="s">
        <v>1857</v>
      </c>
      <c r="E2626" s="527" t="s">
        <v>10663</v>
      </c>
      <c r="F2626" s="220"/>
    </row>
    <row r="2627" spans="1:6" ht="14.4">
      <c r="A2627">
        <v>3512</v>
      </c>
      <c r="B2627" t="s">
        <v>20005</v>
      </c>
      <c r="C2627" t="s">
        <v>2269</v>
      </c>
      <c r="D2627" t="s">
        <v>1857</v>
      </c>
      <c r="E2627" s="527" t="s">
        <v>20006</v>
      </c>
      <c r="F2627" s="219"/>
    </row>
    <row r="2628" spans="1:6" ht="14.4">
      <c r="A2628">
        <v>3499</v>
      </c>
      <c r="B2628" t="s">
        <v>20007</v>
      </c>
      <c r="C2628" t="s">
        <v>2269</v>
      </c>
      <c r="D2628" t="s">
        <v>1857</v>
      </c>
      <c r="E2628" s="527" t="s">
        <v>10406</v>
      </c>
      <c r="F2628" s="220"/>
    </row>
    <row r="2629" spans="1:6" ht="14.4">
      <c r="A2629">
        <v>3500</v>
      </c>
      <c r="B2629" t="s">
        <v>20008</v>
      </c>
      <c r="C2629" t="s">
        <v>2269</v>
      </c>
      <c r="D2629" t="s">
        <v>1857</v>
      </c>
      <c r="E2629" s="527" t="s">
        <v>7326</v>
      </c>
      <c r="F2629" s="219"/>
    </row>
    <row r="2630" spans="1:6" ht="14.4">
      <c r="A2630">
        <v>3501</v>
      </c>
      <c r="B2630" t="s">
        <v>20009</v>
      </c>
      <c r="C2630" t="s">
        <v>2269</v>
      </c>
      <c r="D2630" t="s">
        <v>1857</v>
      </c>
      <c r="E2630" s="527" t="s">
        <v>6900</v>
      </c>
      <c r="F2630" s="220"/>
    </row>
    <row r="2631" spans="1:6" ht="14.4">
      <c r="A2631">
        <v>3502</v>
      </c>
      <c r="B2631" t="s">
        <v>20010</v>
      </c>
      <c r="C2631" t="s">
        <v>2269</v>
      </c>
      <c r="D2631" t="s">
        <v>1857</v>
      </c>
      <c r="E2631" s="527" t="s">
        <v>4802</v>
      </c>
      <c r="F2631" s="219"/>
    </row>
    <row r="2632" spans="1:6" ht="14.4">
      <c r="A2632">
        <v>3503</v>
      </c>
      <c r="B2632" t="s">
        <v>20011</v>
      </c>
      <c r="C2632" t="s">
        <v>2269</v>
      </c>
      <c r="D2632" t="s">
        <v>1857</v>
      </c>
      <c r="E2632" s="527" t="s">
        <v>10643</v>
      </c>
      <c r="F2632" s="220"/>
    </row>
    <row r="2633" spans="1:6" ht="14.4">
      <c r="A2633">
        <v>3477</v>
      </c>
      <c r="B2633" t="s">
        <v>20012</v>
      </c>
      <c r="C2633" t="s">
        <v>2269</v>
      </c>
      <c r="D2633" t="s">
        <v>1857</v>
      </c>
      <c r="E2633" s="527" t="s">
        <v>15532</v>
      </c>
      <c r="F2633" s="219"/>
    </row>
    <row r="2634" spans="1:6" ht="14.4">
      <c r="A2634">
        <v>3478</v>
      </c>
      <c r="B2634" t="s">
        <v>20013</v>
      </c>
      <c r="C2634" t="s">
        <v>2269</v>
      </c>
      <c r="D2634" t="s">
        <v>1857</v>
      </c>
      <c r="E2634" s="527" t="s">
        <v>20014</v>
      </c>
      <c r="F2634" s="220"/>
    </row>
    <row r="2635" spans="1:6" ht="14.4">
      <c r="A2635">
        <v>3525</v>
      </c>
      <c r="B2635" t="s">
        <v>20015</v>
      </c>
      <c r="C2635" t="s">
        <v>2269</v>
      </c>
      <c r="D2635" t="s">
        <v>1857</v>
      </c>
      <c r="E2635" s="527" t="s">
        <v>20016</v>
      </c>
      <c r="F2635" s="219"/>
    </row>
    <row r="2636" spans="1:6" ht="14.4">
      <c r="A2636">
        <v>3511</v>
      </c>
      <c r="B2636" t="s">
        <v>20017</v>
      </c>
      <c r="C2636" t="s">
        <v>2269</v>
      </c>
      <c r="D2636" t="s">
        <v>1857</v>
      </c>
      <c r="E2636" s="527" t="s">
        <v>12899</v>
      </c>
      <c r="F2636" s="220"/>
    </row>
    <row r="2637" spans="1:6" ht="14.4">
      <c r="A2637">
        <v>38917</v>
      </c>
      <c r="B2637" t="s">
        <v>20018</v>
      </c>
      <c r="C2637" t="s">
        <v>2269</v>
      </c>
      <c r="D2637" t="s">
        <v>2271</v>
      </c>
      <c r="E2637" s="527" t="s">
        <v>9482</v>
      </c>
      <c r="F2637" s="219"/>
    </row>
    <row r="2638" spans="1:6" ht="14.4">
      <c r="A2638">
        <v>38919</v>
      </c>
      <c r="B2638" t="s">
        <v>20019</v>
      </c>
      <c r="C2638" t="s">
        <v>2269</v>
      </c>
      <c r="D2638" t="s">
        <v>2271</v>
      </c>
      <c r="E2638" s="527" t="s">
        <v>11784</v>
      </c>
      <c r="F2638" s="220"/>
    </row>
    <row r="2639" spans="1:6" ht="14.4">
      <c r="A2639">
        <v>38922</v>
      </c>
      <c r="B2639" t="s">
        <v>20020</v>
      </c>
      <c r="C2639" t="s">
        <v>2269</v>
      </c>
      <c r="D2639" t="s">
        <v>2271</v>
      </c>
      <c r="E2639" s="527" t="s">
        <v>15460</v>
      </c>
      <c r="F2639" s="219"/>
    </row>
    <row r="2640" spans="1:6" ht="14.4">
      <c r="A2640">
        <v>38921</v>
      </c>
      <c r="B2640" t="s">
        <v>20021</v>
      </c>
      <c r="C2640" t="s">
        <v>2269</v>
      </c>
      <c r="D2640" t="s">
        <v>2271</v>
      </c>
      <c r="E2640" s="527" t="s">
        <v>11453</v>
      </c>
      <c r="F2640" s="220"/>
    </row>
    <row r="2641" spans="1:6" ht="14.4">
      <c r="A2641">
        <v>38918</v>
      </c>
      <c r="B2641" t="s">
        <v>20022</v>
      </c>
      <c r="C2641" t="s">
        <v>2269</v>
      </c>
      <c r="D2641" t="s">
        <v>2271</v>
      </c>
      <c r="E2641" s="527" t="s">
        <v>11650</v>
      </c>
      <c r="F2641" s="219"/>
    </row>
    <row r="2642" spans="1:6" ht="14.4">
      <c r="A2642">
        <v>38920</v>
      </c>
      <c r="B2642" t="s">
        <v>20023</v>
      </c>
      <c r="C2642" t="s">
        <v>2269</v>
      </c>
      <c r="D2642" t="s">
        <v>2271</v>
      </c>
      <c r="E2642" s="527" t="s">
        <v>10303</v>
      </c>
      <c r="F2642" s="220"/>
    </row>
    <row r="2643" spans="1:6" ht="14.4">
      <c r="A2643">
        <v>12032</v>
      </c>
      <c r="B2643" t="s">
        <v>20024</v>
      </c>
      <c r="C2643" t="s">
        <v>2279</v>
      </c>
      <c r="D2643" t="s">
        <v>1857</v>
      </c>
      <c r="E2643" s="527" t="s">
        <v>20025</v>
      </c>
      <c r="F2643" s="219"/>
    </row>
    <row r="2644" spans="1:6" ht="14.4">
      <c r="A2644">
        <v>12030</v>
      </c>
      <c r="B2644" t="s">
        <v>20026</v>
      </c>
      <c r="C2644" t="s">
        <v>2279</v>
      </c>
      <c r="D2644" t="s">
        <v>1857</v>
      </c>
      <c r="E2644" s="527" t="s">
        <v>13154</v>
      </c>
      <c r="F2644" s="220"/>
    </row>
    <row r="2645" spans="1:6" ht="14.4">
      <c r="A2645">
        <v>10908</v>
      </c>
      <c r="B2645" t="s">
        <v>20027</v>
      </c>
      <c r="C2645" t="s">
        <v>2269</v>
      </c>
      <c r="D2645" t="s">
        <v>1857</v>
      </c>
      <c r="E2645" s="527" t="s">
        <v>10197</v>
      </c>
      <c r="F2645" s="219"/>
    </row>
    <row r="2646" spans="1:6" ht="14.4">
      <c r="A2646">
        <v>10909</v>
      </c>
      <c r="B2646" t="s">
        <v>20028</v>
      </c>
      <c r="C2646" t="s">
        <v>2269</v>
      </c>
      <c r="D2646" t="s">
        <v>1857</v>
      </c>
      <c r="E2646" s="527" t="s">
        <v>10775</v>
      </c>
      <c r="F2646" s="220"/>
    </row>
    <row r="2647" spans="1:6" ht="14.4">
      <c r="A2647">
        <v>3669</v>
      </c>
      <c r="B2647" t="s">
        <v>20029</v>
      </c>
      <c r="C2647" t="s">
        <v>2269</v>
      </c>
      <c r="D2647" t="s">
        <v>1857</v>
      </c>
      <c r="E2647" s="527" t="s">
        <v>10168</v>
      </c>
      <c r="F2647" s="219"/>
    </row>
    <row r="2648" spans="1:6" ht="14.4">
      <c r="A2648">
        <v>20138</v>
      </c>
      <c r="B2648" t="s">
        <v>20030</v>
      </c>
      <c r="C2648" t="s">
        <v>2269</v>
      </c>
      <c r="D2648" t="s">
        <v>1857</v>
      </c>
      <c r="E2648" s="527" t="s">
        <v>20031</v>
      </c>
      <c r="F2648" s="220"/>
    </row>
    <row r="2649" spans="1:6" ht="14.4">
      <c r="A2649">
        <v>20139</v>
      </c>
      <c r="B2649" t="s">
        <v>20032</v>
      </c>
      <c r="C2649" t="s">
        <v>2269</v>
      </c>
      <c r="D2649" t="s">
        <v>1857</v>
      </c>
      <c r="E2649" s="527" t="s">
        <v>15665</v>
      </c>
      <c r="F2649" s="219"/>
    </row>
    <row r="2650" spans="1:6" ht="14.4">
      <c r="A2650">
        <v>3668</v>
      </c>
      <c r="B2650" t="s">
        <v>20033</v>
      </c>
      <c r="C2650" t="s">
        <v>2269</v>
      </c>
      <c r="D2650" t="s">
        <v>1857</v>
      </c>
      <c r="E2650" s="527" t="s">
        <v>20034</v>
      </c>
      <c r="F2650" s="220"/>
    </row>
    <row r="2651" spans="1:6" ht="14.4">
      <c r="A2651">
        <v>3656</v>
      </c>
      <c r="B2651" t="s">
        <v>20035</v>
      </c>
      <c r="C2651" t="s">
        <v>2269</v>
      </c>
      <c r="D2651" t="s">
        <v>1857</v>
      </c>
      <c r="E2651" s="527" t="s">
        <v>20036</v>
      </c>
      <c r="F2651" s="219"/>
    </row>
    <row r="2652" spans="1:6" ht="14.4">
      <c r="A2652">
        <v>10911</v>
      </c>
      <c r="B2652" t="s">
        <v>20037</v>
      </c>
      <c r="C2652" t="s">
        <v>2269</v>
      </c>
      <c r="D2652" t="s">
        <v>1857</v>
      </c>
      <c r="E2652" s="527" t="s">
        <v>9982</v>
      </c>
      <c r="F2652" s="220"/>
    </row>
    <row r="2653" spans="1:6" ht="14.4">
      <c r="A2653">
        <v>3654</v>
      </c>
      <c r="B2653" t="s">
        <v>20038</v>
      </c>
      <c r="C2653" t="s">
        <v>2269</v>
      </c>
      <c r="D2653" t="s">
        <v>1857</v>
      </c>
      <c r="E2653" s="527" t="s">
        <v>5089</v>
      </c>
      <c r="F2653" s="219"/>
    </row>
    <row r="2654" spans="1:6" ht="14.4">
      <c r="A2654">
        <v>3664</v>
      </c>
      <c r="B2654" t="s">
        <v>20039</v>
      </c>
      <c r="C2654" t="s">
        <v>2269</v>
      </c>
      <c r="D2654" t="s">
        <v>1857</v>
      </c>
      <c r="E2654" s="527" t="s">
        <v>5034</v>
      </c>
      <c r="F2654" s="220"/>
    </row>
    <row r="2655" spans="1:6" ht="14.4">
      <c r="A2655">
        <v>3657</v>
      </c>
      <c r="B2655" t="s">
        <v>20040</v>
      </c>
      <c r="C2655" t="s">
        <v>2269</v>
      </c>
      <c r="D2655" t="s">
        <v>1857</v>
      </c>
      <c r="E2655" s="527" t="s">
        <v>4685</v>
      </c>
      <c r="F2655" s="219"/>
    </row>
    <row r="2656" spans="1:6" ht="14.4">
      <c r="A2656">
        <v>12625</v>
      </c>
      <c r="B2656" t="s">
        <v>20041</v>
      </c>
      <c r="C2656" t="s">
        <v>2269</v>
      </c>
      <c r="D2656" t="s">
        <v>2271</v>
      </c>
      <c r="E2656" s="527" t="s">
        <v>10668</v>
      </c>
      <c r="F2656" s="220"/>
    </row>
    <row r="2657" spans="1:6" ht="14.4">
      <c r="A2657">
        <v>20136</v>
      </c>
      <c r="B2657" t="s">
        <v>20042</v>
      </c>
      <c r="C2657" t="s">
        <v>2269</v>
      </c>
      <c r="D2657" t="s">
        <v>1857</v>
      </c>
      <c r="E2657" s="527" t="s">
        <v>20043</v>
      </c>
      <c r="F2657" s="219"/>
    </row>
    <row r="2658" spans="1:6" ht="14.4">
      <c r="A2658">
        <v>20144</v>
      </c>
      <c r="B2658" t="s">
        <v>20044</v>
      </c>
      <c r="C2658" t="s">
        <v>2269</v>
      </c>
      <c r="D2658" t="s">
        <v>1857</v>
      </c>
      <c r="E2658" s="527" t="s">
        <v>12839</v>
      </c>
      <c r="F2658" s="220"/>
    </row>
    <row r="2659" spans="1:6" ht="14.4">
      <c r="A2659">
        <v>20143</v>
      </c>
      <c r="B2659" t="s">
        <v>20045</v>
      </c>
      <c r="C2659" t="s">
        <v>2269</v>
      </c>
      <c r="D2659" t="s">
        <v>1857</v>
      </c>
      <c r="E2659" s="527" t="s">
        <v>20046</v>
      </c>
      <c r="F2659" s="219"/>
    </row>
    <row r="2660" spans="1:6" ht="14.4">
      <c r="A2660">
        <v>20145</v>
      </c>
      <c r="B2660" t="s">
        <v>20047</v>
      </c>
      <c r="C2660" t="s">
        <v>2269</v>
      </c>
      <c r="D2660" t="s">
        <v>1857</v>
      </c>
      <c r="E2660" s="527" t="s">
        <v>20048</v>
      </c>
      <c r="F2660" s="220"/>
    </row>
    <row r="2661" spans="1:6" ht="14.4">
      <c r="A2661">
        <v>20146</v>
      </c>
      <c r="B2661" t="s">
        <v>20049</v>
      </c>
      <c r="C2661" t="s">
        <v>2269</v>
      </c>
      <c r="D2661" t="s">
        <v>1857</v>
      </c>
      <c r="E2661" s="527" t="s">
        <v>20050</v>
      </c>
      <c r="F2661" s="219"/>
    </row>
    <row r="2662" spans="1:6" ht="14.4">
      <c r="A2662">
        <v>20140</v>
      </c>
      <c r="B2662" t="s">
        <v>20051</v>
      </c>
      <c r="C2662" t="s">
        <v>2269</v>
      </c>
      <c r="D2662" t="s">
        <v>1857</v>
      </c>
      <c r="E2662" s="527" t="s">
        <v>5141</v>
      </c>
      <c r="F2662" s="220"/>
    </row>
    <row r="2663" spans="1:6" ht="14.4">
      <c r="A2663">
        <v>20141</v>
      </c>
      <c r="B2663" t="s">
        <v>20052</v>
      </c>
      <c r="C2663" t="s">
        <v>2269</v>
      </c>
      <c r="D2663" t="s">
        <v>1857</v>
      </c>
      <c r="E2663" s="527" t="s">
        <v>10748</v>
      </c>
      <c r="F2663" s="219"/>
    </row>
    <row r="2664" spans="1:6" ht="14.4">
      <c r="A2664">
        <v>20142</v>
      </c>
      <c r="B2664" t="s">
        <v>20053</v>
      </c>
      <c r="C2664" t="s">
        <v>2269</v>
      </c>
      <c r="D2664" t="s">
        <v>1857</v>
      </c>
      <c r="E2664" s="527" t="s">
        <v>10768</v>
      </c>
      <c r="F2664" s="220"/>
    </row>
    <row r="2665" spans="1:6" ht="14.4">
      <c r="A2665">
        <v>3659</v>
      </c>
      <c r="B2665" t="s">
        <v>20054</v>
      </c>
      <c r="C2665" t="s">
        <v>2269</v>
      </c>
      <c r="D2665" t="s">
        <v>1857</v>
      </c>
      <c r="E2665" s="527" t="s">
        <v>10289</v>
      </c>
      <c r="F2665" s="219"/>
    </row>
    <row r="2666" spans="1:6" ht="14.4">
      <c r="A2666">
        <v>3660</v>
      </c>
      <c r="B2666" t="s">
        <v>20055</v>
      </c>
      <c r="C2666" t="s">
        <v>2269</v>
      </c>
      <c r="D2666" t="s">
        <v>1857</v>
      </c>
      <c r="E2666" s="527" t="s">
        <v>20056</v>
      </c>
      <c r="F2666" s="220"/>
    </row>
    <row r="2667" spans="1:6" ht="14.4">
      <c r="A2667">
        <v>3662</v>
      </c>
      <c r="B2667" t="s">
        <v>20057</v>
      </c>
      <c r="C2667" t="s">
        <v>2269</v>
      </c>
      <c r="D2667" t="s">
        <v>1857</v>
      </c>
      <c r="E2667" s="527" t="s">
        <v>5206</v>
      </c>
      <c r="F2667" s="219"/>
    </row>
    <row r="2668" spans="1:6" ht="14.4">
      <c r="A2668">
        <v>3661</v>
      </c>
      <c r="B2668" t="s">
        <v>20058</v>
      </c>
      <c r="C2668" t="s">
        <v>2269</v>
      </c>
      <c r="D2668" t="s">
        <v>1857</v>
      </c>
      <c r="E2668" s="527" t="s">
        <v>9573</v>
      </c>
      <c r="F2668" s="220"/>
    </row>
    <row r="2669" spans="1:6" ht="14.4">
      <c r="A2669">
        <v>3658</v>
      </c>
      <c r="B2669" t="s">
        <v>20059</v>
      </c>
      <c r="C2669" t="s">
        <v>2269</v>
      </c>
      <c r="D2669" t="s">
        <v>1857</v>
      </c>
      <c r="E2669" s="527" t="s">
        <v>6516</v>
      </c>
      <c r="F2669" s="219"/>
    </row>
    <row r="2670" spans="1:6" ht="14.4">
      <c r="A2670">
        <v>3670</v>
      </c>
      <c r="B2670" t="s">
        <v>20060</v>
      </c>
      <c r="C2670" t="s">
        <v>2269</v>
      </c>
      <c r="D2670" t="s">
        <v>1857</v>
      </c>
      <c r="E2670" s="527" t="s">
        <v>16182</v>
      </c>
      <c r="F2670" s="220"/>
    </row>
    <row r="2671" spans="1:6" ht="14.4">
      <c r="A2671">
        <v>3666</v>
      </c>
      <c r="B2671" t="s">
        <v>20061</v>
      </c>
      <c r="C2671" t="s">
        <v>2269</v>
      </c>
      <c r="D2671" t="s">
        <v>1857</v>
      </c>
      <c r="E2671" s="527" t="s">
        <v>5472</v>
      </c>
      <c r="F2671" s="219"/>
    </row>
    <row r="2672" spans="1:6" ht="14.4">
      <c r="A2672">
        <v>14157</v>
      </c>
      <c r="B2672" t="s">
        <v>20062</v>
      </c>
      <c r="C2672" t="s">
        <v>2269</v>
      </c>
      <c r="D2672" t="s">
        <v>2271</v>
      </c>
      <c r="E2672" s="527" t="s">
        <v>2993</v>
      </c>
      <c r="F2672" s="220"/>
    </row>
    <row r="2673" spans="1:6" ht="14.4">
      <c r="A2673">
        <v>3653</v>
      </c>
      <c r="B2673" t="s">
        <v>20063</v>
      </c>
      <c r="C2673" t="s">
        <v>2269</v>
      </c>
      <c r="D2673" t="s">
        <v>2271</v>
      </c>
      <c r="E2673" s="527" t="s">
        <v>15463</v>
      </c>
      <c r="F2673" s="219"/>
    </row>
    <row r="2674" spans="1:6" ht="14.4">
      <c r="A2674">
        <v>3649</v>
      </c>
      <c r="B2674" t="s">
        <v>20064</v>
      </c>
      <c r="C2674" t="s">
        <v>2269</v>
      </c>
      <c r="D2674" t="s">
        <v>2271</v>
      </c>
      <c r="E2674" s="527" t="s">
        <v>15464</v>
      </c>
      <c r="F2674" s="220"/>
    </row>
    <row r="2675" spans="1:6" ht="14.4">
      <c r="A2675">
        <v>42696</v>
      </c>
      <c r="B2675" t="s">
        <v>20065</v>
      </c>
      <c r="C2675" t="s">
        <v>2269</v>
      </c>
      <c r="D2675" t="s">
        <v>2271</v>
      </c>
      <c r="E2675" s="527" t="s">
        <v>15465</v>
      </c>
      <c r="F2675" s="219"/>
    </row>
    <row r="2676" spans="1:6" ht="14.4">
      <c r="A2676">
        <v>42697</v>
      </c>
      <c r="B2676" t="s">
        <v>20066</v>
      </c>
      <c r="C2676" t="s">
        <v>2269</v>
      </c>
      <c r="D2676" t="s">
        <v>2271</v>
      </c>
      <c r="E2676" s="527" t="s">
        <v>15466</v>
      </c>
      <c r="F2676" s="220"/>
    </row>
    <row r="2677" spans="1:6" ht="14.4">
      <c r="A2677">
        <v>42698</v>
      </c>
      <c r="B2677" t="s">
        <v>20067</v>
      </c>
      <c r="C2677" t="s">
        <v>2269</v>
      </c>
      <c r="D2677" t="s">
        <v>2271</v>
      </c>
      <c r="E2677" s="527" t="s">
        <v>15467</v>
      </c>
      <c r="F2677" s="219"/>
    </row>
    <row r="2678" spans="1:6" ht="14.4">
      <c r="A2678">
        <v>39875</v>
      </c>
      <c r="B2678" t="s">
        <v>20068</v>
      </c>
      <c r="C2678" t="s">
        <v>2269</v>
      </c>
      <c r="D2678" t="s">
        <v>2271</v>
      </c>
      <c r="E2678" s="527" t="s">
        <v>20069</v>
      </c>
      <c r="F2678" s="220"/>
    </row>
    <row r="2679" spans="1:6" ht="14.4">
      <c r="A2679">
        <v>39876</v>
      </c>
      <c r="B2679" t="s">
        <v>20070</v>
      </c>
      <c r="C2679" t="s">
        <v>2269</v>
      </c>
      <c r="D2679" t="s">
        <v>2271</v>
      </c>
      <c r="E2679" s="527" t="s">
        <v>20071</v>
      </c>
      <c r="F2679" s="219"/>
    </row>
    <row r="2680" spans="1:6" ht="14.4">
      <c r="A2680">
        <v>39877</v>
      </c>
      <c r="B2680" t="s">
        <v>20072</v>
      </c>
      <c r="C2680" t="s">
        <v>2269</v>
      </c>
      <c r="D2680" t="s">
        <v>2271</v>
      </c>
      <c r="E2680" s="527" t="s">
        <v>20073</v>
      </c>
      <c r="F2680" s="220"/>
    </row>
    <row r="2681" spans="1:6" ht="14.4">
      <c r="A2681">
        <v>39878</v>
      </c>
      <c r="B2681" t="s">
        <v>20074</v>
      </c>
      <c r="C2681" t="s">
        <v>2269</v>
      </c>
      <c r="D2681" t="s">
        <v>2271</v>
      </c>
      <c r="E2681" s="527" t="s">
        <v>20075</v>
      </c>
      <c r="F2681" s="219"/>
    </row>
    <row r="2682" spans="1:6" ht="14.4">
      <c r="A2682">
        <v>39872</v>
      </c>
      <c r="B2682" t="s">
        <v>20076</v>
      </c>
      <c r="C2682" t="s">
        <v>2269</v>
      </c>
      <c r="D2682" t="s">
        <v>2271</v>
      </c>
      <c r="E2682" s="527" t="s">
        <v>20077</v>
      </c>
      <c r="F2682" s="220"/>
    </row>
    <row r="2683" spans="1:6" ht="14.4">
      <c r="A2683">
        <v>39873</v>
      </c>
      <c r="B2683" t="s">
        <v>20078</v>
      </c>
      <c r="C2683" t="s">
        <v>2269</v>
      </c>
      <c r="D2683" t="s">
        <v>2271</v>
      </c>
      <c r="E2683" s="527" t="s">
        <v>20079</v>
      </c>
      <c r="F2683" s="219"/>
    </row>
    <row r="2684" spans="1:6" ht="14.4">
      <c r="A2684">
        <v>39874</v>
      </c>
      <c r="B2684" t="s">
        <v>20080</v>
      </c>
      <c r="C2684" t="s">
        <v>2269</v>
      </c>
      <c r="D2684" t="s">
        <v>2271</v>
      </c>
      <c r="E2684" s="527" t="s">
        <v>20081</v>
      </c>
      <c r="F2684" s="220"/>
    </row>
    <row r="2685" spans="1:6" ht="14.4">
      <c r="A2685">
        <v>3674</v>
      </c>
      <c r="B2685" t="s">
        <v>20082</v>
      </c>
      <c r="C2685" t="s">
        <v>2273</v>
      </c>
      <c r="D2685" t="s">
        <v>2271</v>
      </c>
      <c r="E2685" s="527" t="s">
        <v>16449</v>
      </c>
      <c r="F2685" s="219"/>
    </row>
    <row r="2686" spans="1:6" ht="14.4">
      <c r="A2686">
        <v>3681</v>
      </c>
      <c r="B2686" t="s">
        <v>20083</v>
      </c>
      <c r="C2686" t="s">
        <v>2273</v>
      </c>
      <c r="D2686" t="s">
        <v>2271</v>
      </c>
      <c r="E2686" s="527" t="s">
        <v>20084</v>
      </c>
      <c r="F2686" s="220"/>
    </row>
    <row r="2687" spans="1:6" ht="14.4">
      <c r="A2687">
        <v>3676</v>
      </c>
      <c r="B2687" t="s">
        <v>20085</v>
      </c>
      <c r="C2687" t="s">
        <v>2273</v>
      </c>
      <c r="D2687" t="s">
        <v>2271</v>
      </c>
      <c r="E2687" s="527" t="s">
        <v>20086</v>
      </c>
      <c r="F2687" s="219"/>
    </row>
    <row r="2688" spans="1:6" ht="14.4">
      <c r="A2688">
        <v>3679</v>
      </c>
      <c r="B2688" t="s">
        <v>20087</v>
      </c>
      <c r="C2688" t="s">
        <v>2273</v>
      </c>
      <c r="D2688" t="s">
        <v>2271</v>
      </c>
      <c r="E2688" s="527" t="s">
        <v>20088</v>
      </c>
      <c r="F2688" s="220"/>
    </row>
    <row r="2689" spans="1:6" ht="14.4">
      <c r="A2689">
        <v>3672</v>
      </c>
      <c r="B2689" t="s">
        <v>20089</v>
      </c>
      <c r="C2689" t="s">
        <v>2273</v>
      </c>
      <c r="D2689" t="s">
        <v>2271</v>
      </c>
      <c r="E2689" s="527" t="s">
        <v>15832</v>
      </c>
      <c r="F2689" s="219"/>
    </row>
    <row r="2690" spans="1:6" ht="14.4">
      <c r="A2690">
        <v>3671</v>
      </c>
      <c r="B2690" t="s">
        <v>20090</v>
      </c>
      <c r="C2690" t="s">
        <v>2273</v>
      </c>
      <c r="D2690" t="s">
        <v>2271</v>
      </c>
      <c r="E2690" s="527" t="s">
        <v>10073</v>
      </c>
      <c r="F2690" s="220"/>
    </row>
    <row r="2691" spans="1:6" ht="14.4">
      <c r="A2691">
        <v>3673</v>
      </c>
      <c r="B2691" t="s">
        <v>20091</v>
      </c>
      <c r="C2691" t="s">
        <v>2273</v>
      </c>
      <c r="D2691" t="s">
        <v>2271</v>
      </c>
      <c r="E2691" s="527" t="s">
        <v>7012</v>
      </c>
      <c r="F2691" s="219"/>
    </row>
    <row r="2692" spans="1:6" ht="14.4">
      <c r="A2692">
        <v>38394</v>
      </c>
      <c r="B2692" t="s">
        <v>20092</v>
      </c>
      <c r="C2692" t="s">
        <v>2269</v>
      </c>
      <c r="D2692" t="s">
        <v>1857</v>
      </c>
      <c r="E2692" s="527" t="s">
        <v>20093</v>
      </c>
      <c r="F2692" s="220"/>
    </row>
    <row r="2693" spans="1:6" ht="14.4">
      <c r="A2693">
        <v>3729</v>
      </c>
      <c r="B2693" t="s">
        <v>20094</v>
      </c>
      <c r="C2693" t="s">
        <v>2269</v>
      </c>
      <c r="D2693" t="s">
        <v>1857</v>
      </c>
      <c r="E2693" s="527" t="s">
        <v>20095</v>
      </c>
      <c r="F2693" s="219"/>
    </row>
    <row r="2694" spans="1:6" ht="14.4">
      <c r="A2694">
        <v>39357</v>
      </c>
      <c r="B2694" t="s">
        <v>20096</v>
      </c>
      <c r="C2694" t="s">
        <v>2269</v>
      </c>
      <c r="D2694" t="s">
        <v>2271</v>
      </c>
      <c r="E2694" s="527" t="s">
        <v>15469</v>
      </c>
      <c r="F2694" s="220"/>
    </row>
    <row r="2695" spans="1:6" ht="14.4">
      <c r="A2695">
        <v>39358</v>
      </c>
      <c r="B2695" t="s">
        <v>20097</v>
      </c>
      <c r="C2695" t="s">
        <v>2269</v>
      </c>
      <c r="D2695" t="s">
        <v>2271</v>
      </c>
      <c r="E2695" s="527" t="s">
        <v>15470</v>
      </c>
      <c r="F2695" s="219"/>
    </row>
    <row r="2696" spans="1:6" ht="14.4">
      <c r="A2696">
        <v>39356</v>
      </c>
      <c r="B2696" t="s">
        <v>20098</v>
      </c>
      <c r="C2696" t="s">
        <v>2269</v>
      </c>
      <c r="D2696" t="s">
        <v>2271</v>
      </c>
      <c r="E2696" s="527" t="s">
        <v>15471</v>
      </c>
      <c r="F2696" s="220"/>
    </row>
    <row r="2697" spans="1:6" ht="14.4">
      <c r="A2697">
        <v>39355</v>
      </c>
      <c r="B2697" t="s">
        <v>20099</v>
      </c>
      <c r="C2697" t="s">
        <v>2269</v>
      </c>
      <c r="D2697" t="s">
        <v>2271</v>
      </c>
      <c r="E2697" s="527" t="s">
        <v>11643</v>
      </c>
      <c r="F2697" s="219"/>
    </row>
    <row r="2698" spans="1:6" ht="14.4">
      <c r="A2698">
        <v>39353</v>
      </c>
      <c r="B2698" t="s">
        <v>20100</v>
      </c>
      <c r="C2698" t="s">
        <v>2269</v>
      </c>
      <c r="D2698" t="s">
        <v>2271</v>
      </c>
      <c r="E2698" s="527" t="s">
        <v>15472</v>
      </c>
      <c r="F2698" s="220"/>
    </row>
    <row r="2699" spans="1:6" ht="14.4">
      <c r="A2699">
        <v>39354</v>
      </c>
      <c r="B2699" t="s">
        <v>20101</v>
      </c>
      <c r="C2699" t="s">
        <v>2269</v>
      </c>
      <c r="D2699" t="s">
        <v>2271</v>
      </c>
      <c r="E2699" s="527" t="s">
        <v>15473</v>
      </c>
      <c r="F2699" s="219"/>
    </row>
    <row r="2700" spans="1:6" ht="14.4">
      <c r="A2700">
        <v>39398</v>
      </c>
      <c r="B2700" t="s">
        <v>20102</v>
      </c>
      <c r="C2700" t="s">
        <v>2269</v>
      </c>
      <c r="D2700" t="s">
        <v>1857</v>
      </c>
      <c r="E2700" s="527" t="s">
        <v>11801</v>
      </c>
      <c r="F2700" s="220"/>
    </row>
    <row r="2701" spans="1:6" ht="14.4">
      <c r="A2701">
        <v>13343</v>
      </c>
      <c r="B2701" t="s">
        <v>20103</v>
      </c>
      <c r="C2701" t="s">
        <v>2269</v>
      </c>
      <c r="D2701" t="s">
        <v>2271</v>
      </c>
      <c r="E2701" s="527" t="s">
        <v>9506</v>
      </c>
      <c r="F2701" s="219"/>
    </row>
    <row r="2702" spans="1:6" ht="14.4">
      <c r="A2702">
        <v>12118</v>
      </c>
      <c r="B2702" t="s">
        <v>20104</v>
      </c>
      <c r="C2702" t="s">
        <v>2269</v>
      </c>
      <c r="D2702" t="s">
        <v>1857</v>
      </c>
      <c r="E2702" s="527" t="s">
        <v>10756</v>
      </c>
      <c r="F2702" s="220"/>
    </row>
    <row r="2703" spans="1:6" ht="14.4">
      <c r="A2703">
        <v>39482</v>
      </c>
      <c r="B2703" t="s">
        <v>20105</v>
      </c>
      <c r="C2703" t="s">
        <v>2269</v>
      </c>
      <c r="D2703" t="s">
        <v>1857</v>
      </c>
      <c r="E2703" s="527" t="s">
        <v>20106</v>
      </c>
      <c r="F2703" s="219"/>
    </row>
    <row r="2704" spans="1:6" ht="14.4">
      <c r="A2704">
        <v>39486</v>
      </c>
      <c r="B2704" t="s">
        <v>20107</v>
      </c>
      <c r="C2704" t="s">
        <v>2269</v>
      </c>
      <c r="D2704" t="s">
        <v>1857</v>
      </c>
      <c r="E2704" s="527" t="s">
        <v>14345</v>
      </c>
      <c r="F2704" s="220"/>
    </row>
    <row r="2705" spans="1:6" ht="14.4">
      <c r="A2705">
        <v>39484</v>
      </c>
      <c r="B2705" t="s">
        <v>20108</v>
      </c>
      <c r="C2705" t="s">
        <v>2269</v>
      </c>
      <c r="D2705" t="s">
        <v>1857</v>
      </c>
      <c r="E2705" s="527" t="s">
        <v>20106</v>
      </c>
      <c r="F2705" s="219"/>
    </row>
    <row r="2706" spans="1:6" ht="14.4">
      <c r="A2706">
        <v>39488</v>
      </c>
      <c r="B2706" t="s">
        <v>20109</v>
      </c>
      <c r="C2706" t="s">
        <v>2269</v>
      </c>
      <c r="D2706" t="s">
        <v>1857</v>
      </c>
      <c r="E2706" s="527" t="s">
        <v>20110</v>
      </c>
      <c r="F2706" s="220"/>
    </row>
    <row r="2707" spans="1:6" ht="14.4">
      <c r="A2707">
        <v>39485</v>
      </c>
      <c r="B2707" t="s">
        <v>20111</v>
      </c>
      <c r="C2707" t="s">
        <v>2269</v>
      </c>
      <c r="D2707" t="s">
        <v>1857</v>
      </c>
      <c r="E2707" s="527" t="s">
        <v>20106</v>
      </c>
      <c r="F2707" s="219"/>
    </row>
    <row r="2708" spans="1:6" ht="14.4">
      <c r="A2708">
        <v>39489</v>
      </c>
      <c r="B2708" t="s">
        <v>20112</v>
      </c>
      <c r="C2708" t="s">
        <v>2269</v>
      </c>
      <c r="D2708" t="s">
        <v>1857</v>
      </c>
      <c r="E2708" s="527" t="s">
        <v>20113</v>
      </c>
      <c r="F2708" s="220"/>
    </row>
    <row r="2709" spans="1:6" ht="14.4">
      <c r="A2709">
        <v>39490</v>
      </c>
      <c r="B2709" t="s">
        <v>20114</v>
      </c>
      <c r="C2709" t="s">
        <v>2269</v>
      </c>
      <c r="D2709" t="s">
        <v>1857</v>
      </c>
      <c r="E2709" s="527" t="s">
        <v>20115</v>
      </c>
      <c r="F2709" s="219"/>
    </row>
    <row r="2710" spans="1:6" ht="14.4">
      <c r="A2710">
        <v>39494</v>
      </c>
      <c r="B2710" t="s">
        <v>20116</v>
      </c>
      <c r="C2710" t="s">
        <v>2269</v>
      </c>
      <c r="D2710" t="s">
        <v>1857</v>
      </c>
      <c r="E2710" s="527" t="s">
        <v>20117</v>
      </c>
      <c r="F2710" s="220"/>
    </row>
    <row r="2711" spans="1:6" ht="14.4">
      <c r="A2711">
        <v>39495</v>
      </c>
      <c r="B2711" t="s">
        <v>20118</v>
      </c>
      <c r="C2711" t="s">
        <v>2269</v>
      </c>
      <c r="D2711" t="s">
        <v>1857</v>
      </c>
      <c r="E2711" s="527" t="s">
        <v>20119</v>
      </c>
      <c r="F2711" s="219"/>
    </row>
    <row r="2712" spans="1:6" ht="14.4">
      <c r="A2712">
        <v>39496</v>
      </c>
      <c r="B2712" t="s">
        <v>20120</v>
      </c>
      <c r="C2712" t="s">
        <v>2269</v>
      </c>
      <c r="D2712" t="s">
        <v>1857</v>
      </c>
      <c r="E2712" s="527" t="s">
        <v>20121</v>
      </c>
      <c r="F2712" s="220"/>
    </row>
    <row r="2713" spans="1:6" ht="14.4">
      <c r="A2713">
        <v>39492</v>
      </c>
      <c r="B2713" t="s">
        <v>20122</v>
      </c>
      <c r="C2713" t="s">
        <v>2269</v>
      </c>
      <c r="D2713" t="s">
        <v>1857</v>
      </c>
      <c r="E2713" s="527" t="s">
        <v>20123</v>
      </c>
      <c r="F2713" s="219"/>
    </row>
    <row r="2714" spans="1:6" ht="14.4">
      <c r="A2714">
        <v>39497</v>
      </c>
      <c r="B2714" t="s">
        <v>20124</v>
      </c>
      <c r="C2714" t="s">
        <v>2269</v>
      </c>
      <c r="D2714" t="s">
        <v>1857</v>
      </c>
      <c r="E2714" s="527" t="s">
        <v>20125</v>
      </c>
      <c r="F2714" s="220"/>
    </row>
    <row r="2715" spans="1:6" ht="14.4">
      <c r="A2715">
        <v>39493</v>
      </c>
      <c r="B2715" t="s">
        <v>20126</v>
      </c>
      <c r="C2715" t="s">
        <v>2269</v>
      </c>
      <c r="D2715" t="s">
        <v>1857</v>
      </c>
      <c r="E2715" s="527" t="s">
        <v>20127</v>
      </c>
      <c r="F2715" s="219"/>
    </row>
    <row r="2716" spans="1:6" ht="14.4">
      <c r="A2716">
        <v>39500</v>
      </c>
      <c r="B2716" t="s">
        <v>20128</v>
      </c>
      <c r="C2716" t="s">
        <v>2269</v>
      </c>
      <c r="D2716" t="s">
        <v>1857</v>
      </c>
      <c r="E2716" s="527" t="s">
        <v>20129</v>
      </c>
      <c r="F2716" s="220"/>
    </row>
    <row r="2717" spans="1:6" ht="14.4">
      <c r="A2717">
        <v>39498</v>
      </c>
      <c r="B2717" t="s">
        <v>20130</v>
      </c>
      <c r="C2717" t="s">
        <v>2269</v>
      </c>
      <c r="D2717" t="s">
        <v>1857</v>
      </c>
      <c r="E2717" s="527" t="s">
        <v>20131</v>
      </c>
      <c r="F2717" s="219"/>
    </row>
    <row r="2718" spans="1:6" ht="14.4">
      <c r="A2718">
        <v>43628</v>
      </c>
      <c r="B2718" t="s">
        <v>20132</v>
      </c>
      <c r="C2718" t="s">
        <v>2269</v>
      </c>
      <c r="D2718" t="s">
        <v>1857</v>
      </c>
      <c r="E2718" s="527" t="s">
        <v>20133</v>
      </c>
      <c r="F2718" s="220"/>
    </row>
    <row r="2719" spans="1:6" ht="14.4">
      <c r="A2719">
        <v>39501</v>
      </c>
      <c r="B2719" t="s">
        <v>20134</v>
      </c>
      <c r="C2719" t="s">
        <v>2269</v>
      </c>
      <c r="D2719" t="s">
        <v>1857</v>
      </c>
      <c r="E2719" s="527" t="s">
        <v>20135</v>
      </c>
      <c r="F2719" s="219"/>
    </row>
    <row r="2720" spans="1:6" ht="14.4">
      <c r="A2720">
        <v>39499</v>
      </c>
      <c r="B2720" t="s">
        <v>20136</v>
      </c>
      <c r="C2720" t="s">
        <v>2269</v>
      </c>
      <c r="D2720" t="s">
        <v>1857</v>
      </c>
      <c r="E2720" s="527" t="s">
        <v>20137</v>
      </c>
      <c r="F2720" s="220"/>
    </row>
    <row r="2721" spans="1:6" ht="14.4">
      <c r="A2721">
        <v>43621</v>
      </c>
      <c r="B2721" t="s">
        <v>20138</v>
      </c>
      <c r="C2721" t="s">
        <v>2269</v>
      </c>
      <c r="D2721" t="s">
        <v>1857</v>
      </c>
      <c r="E2721" s="527" t="s">
        <v>20139</v>
      </c>
      <c r="F2721" s="219"/>
    </row>
    <row r="2722" spans="1:6" ht="14.4">
      <c r="A2722">
        <v>3733</v>
      </c>
      <c r="B2722" t="s">
        <v>20140</v>
      </c>
      <c r="C2722" t="s">
        <v>2270</v>
      </c>
      <c r="D2722" t="s">
        <v>2271</v>
      </c>
      <c r="E2722" s="527" t="s">
        <v>20141</v>
      </c>
      <c r="F2722" s="220"/>
    </row>
    <row r="2723" spans="1:6" ht="14.4">
      <c r="A2723">
        <v>3731</v>
      </c>
      <c r="B2723" t="s">
        <v>20142</v>
      </c>
      <c r="C2723" t="s">
        <v>2270</v>
      </c>
      <c r="D2723" t="s">
        <v>2271</v>
      </c>
      <c r="E2723" s="527" t="s">
        <v>16206</v>
      </c>
      <c r="F2723" s="219"/>
    </row>
    <row r="2724" spans="1:6" ht="14.4">
      <c r="A2724">
        <v>38137</v>
      </c>
      <c r="B2724" t="s">
        <v>20143</v>
      </c>
      <c r="C2724" t="s">
        <v>2270</v>
      </c>
      <c r="D2724" t="s">
        <v>2271</v>
      </c>
      <c r="E2724" s="527" t="s">
        <v>20144</v>
      </c>
      <c r="F2724" s="220"/>
    </row>
    <row r="2725" spans="1:6" ht="14.4">
      <c r="A2725">
        <v>38135</v>
      </c>
      <c r="B2725" t="s">
        <v>20145</v>
      </c>
      <c r="C2725" t="s">
        <v>2270</v>
      </c>
      <c r="D2725" t="s">
        <v>2271</v>
      </c>
      <c r="E2725" s="527" t="s">
        <v>10064</v>
      </c>
      <c r="F2725" s="219"/>
    </row>
    <row r="2726" spans="1:6" ht="14.4">
      <c r="A2726">
        <v>38138</v>
      </c>
      <c r="B2726" t="s">
        <v>20146</v>
      </c>
      <c r="C2726" t="s">
        <v>2270</v>
      </c>
      <c r="D2726" t="s">
        <v>2271</v>
      </c>
      <c r="E2726" s="527" t="s">
        <v>20147</v>
      </c>
      <c r="F2726" s="220"/>
    </row>
    <row r="2727" spans="1:6" ht="14.4">
      <c r="A2727">
        <v>3736</v>
      </c>
      <c r="B2727" t="s">
        <v>20148</v>
      </c>
      <c r="C2727" t="s">
        <v>2270</v>
      </c>
      <c r="D2727" t="s">
        <v>2268</v>
      </c>
      <c r="E2727" s="527" t="s">
        <v>10647</v>
      </c>
      <c r="F2727" s="219"/>
    </row>
    <row r="2728" spans="1:6" ht="14.4">
      <c r="A2728">
        <v>3741</v>
      </c>
      <c r="B2728" t="s">
        <v>20149</v>
      </c>
      <c r="C2728" t="s">
        <v>2270</v>
      </c>
      <c r="D2728" t="s">
        <v>1857</v>
      </c>
      <c r="E2728" s="527" t="s">
        <v>20150</v>
      </c>
      <c r="F2728" s="220"/>
    </row>
    <row r="2729" spans="1:6" ht="14.4">
      <c r="A2729">
        <v>3745</v>
      </c>
      <c r="B2729" t="s">
        <v>20151</v>
      </c>
      <c r="C2729" t="s">
        <v>2270</v>
      </c>
      <c r="D2729" t="s">
        <v>1857</v>
      </c>
      <c r="E2729" s="527" t="s">
        <v>15498</v>
      </c>
      <c r="F2729" s="219"/>
    </row>
    <row r="2730" spans="1:6" ht="14.4">
      <c r="A2730">
        <v>3743</v>
      </c>
      <c r="B2730" t="s">
        <v>20152</v>
      </c>
      <c r="C2730" t="s">
        <v>2270</v>
      </c>
      <c r="D2730" t="s">
        <v>1857</v>
      </c>
      <c r="E2730" s="527" t="s">
        <v>20153</v>
      </c>
      <c r="F2730" s="220"/>
    </row>
    <row r="2731" spans="1:6" ht="14.4">
      <c r="A2731">
        <v>3744</v>
      </c>
      <c r="B2731" t="s">
        <v>20154</v>
      </c>
      <c r="C2731" t="s">
        <v>2270</v>
      </c>
      <c r="D2731" t="s">
        <v>1857</v>
      </c>
      <c r="E2731" s="527" t="s">
        <v>11450</v>
      </c>
      <c r="F2731" s="219"/>
    </row>
    <row r="2732" spans="1:6" ht="14.4">
      <c r="A2732">
        <v>3739</v>
      </c>
      <c r="B2732" t="s">
        <v>20155</v>
      </c>
      <c r="C2732" t="s">
        <v>2270</v>
      </c>
      <c r="D2732" t="s">
        <v>1857</v>
      </c>
      <c r="E2732" s="527" t="s">
        <v>20156</v>
      </c>
      <c r="F2732" s="220"/>
    </row>
    <row r="2733" spans="1:6" ht="14.4">
      <c r="A2733">
        <v>3737</v>
      </c>
      <c r="B2733" t="s">
        <v>20157</v>
      </c>
      <c r="C2733" t="s">
        <v>2270</v>
      </c>
      <c r="D2733" t="s">
        <v>1857</v>
      </c>
      <c r="E2733" s="527" t="s">
        <v>20158</v>
      </c>
      <c r="F2733" s="219"/>
    </row>
    <row r="2734" spans="1:6" ht="14.4">
      <c r="A2734">
        <v>3738</v>
      </c>
      <c r="B2734" t="s">
        <v>20159</v>
      </c>
      <c r="C2734" t="s">
        <v>2270</v>
      </c>
      <c r="D2734" t="s">
        <v>1857</v>
      </c>
      <c r="E2734" s="527" t="s">
        <v>10048</v>
      </c>
      <c r="F2734" s="220"/>
    </row>
    <row r="2735" spans="1:6" ht="14.4">
      <c r="A2735">
        <v>3747</v>
      </c>
      <c r="B2735" t="s">
        <v>20160</v>
      </c>
      <c r="C2735" t="s">
        <v>2270</v>
      </c>
      <c r="D2735" t="s">
        <v>1857</v>
      </c>
      <c r="E2735" s="527" t="s">
        <v>11450</v>
      </c>
      <c r="F2735" s="219"/>
    </row>
    <row r="2736" spans="1:6" ht="14.4">
      <c r="A2736">
        <v>11649</v>
      </c>
      <c r="B2736" t="s">
        <v>20161</v>
      </c>
      <c r="C2736" t="s">
        <v>2269</v>
      </c>
      <c r="D2736" t="s">
        <v>1857</v>
      </c>
      <c r="E2736" s="527" t="s">
        <v>20162</v>
      </c>
      <c r="F2736" s="220"/>
    </row>
    <row r="2737" spans="1:6" ht="14.4">
      <c r="A2737">
        <v>11650</v>
      </c>
      <c r="B2737" t="s">
        <v>20163</v>
      </c>
      <c r="C2737" t="s">
        <v>2269</v>
      </c>
      <c r="D2737" t="s">
        <v>1857</v>
      </c>
      <c r="E2737" s="527" t="s">
        <v>20164</v>
      </c>
      <c r="F2737" s="219"/>
    </row>
    <row r="2738" spans="1:6" ht="14.4">
      <c r="A2738">
        <v>3742</v>
      </c>
      <c r="B2738" t="s">
        <v>20165</v>
      </c>
      <c r="C2738" t="s">
        <v>2270</v>
      </c>
      <c r="D2738" t="s">
        <v>1857</v>
      </c>
      <c r="E2738" s="527" t="s">
        <v>20166</v>
      </c>
      <c r="F2738" s="220"/>
    </row>
    <row r="2739" spans="1:6" ht="14.4">
      <c r="A2739">
        <v>3746</v>
      </c>
      <c r="B2739" t="s">
        <v>20167</v>
      </c>
      <c r="C2739" t="s">
        <v>2270</v>
      </c>
      <c r="D2739" t="s">
        <v>1857</v>
      </c>
      <c r="E2739" s="527" t="s">
        <v>20168</v>
      </c>
      <c r="F2739" s="219"/>
    </row>
    <row r="2740" spans="1:6" ht="14.4">
      <c r="A2740">
        <v>21106</v>
      </c>
      <c r="B2740" t="s">
        <v>20169</v>
      </c>
      <c r="C2740" t="s">
        <v>2274</v>
      </c>
      <c r="D2740" t="s">
        <v>2271</v>
      </c>
      <c r="E2740" s="527" t="s">
        <v>20170</v>
      </c>
      <c r="F2740" s="220"/>
    </row>
    <row r="2741" spans="1:6" ht="14.4">
      <c r="A2741">
        <v>3755</v>
      </c>
      <c r="B2741" t="s">
        <v>20171</v>
      </c>
      <c r="C2741" t="s">
        <v>2269</v>
      </c>
      <c r="D2741" t="s">
        <v>2271</v>
      </c>
      <c r="E2741" s="527" t="s">
        <v>10049</v>
      </c>
      <c r="F2741" s="219"/>
    </row>
    <row r="2742" spans="1:6" ht="14.4">
      <c r="A2742">
        <v>3750</v>
      </c>
      <c r="B2742" t="s">
        <v>20172</v>
      </c>
      <c r="C2742" t="s">
        <v>2269</v>
      </c>
      <c r="D2742" t="s">
        <v>2271</v>
      </c>
      <c r="E2742" s="527" t="s">
        <v>13329</v>
      </c>
      <c r="F2742" s="220"/>
    </row>
    <row r="2743" spans="1:6" ht="14.4">
      <c r="A2743">
        <v>3756</v>
      </c>
      <c r="B2743" t="s">
        <v>20173</v>
      </c>
      <c r="C2743" t="s">
        <v>2269</v>
      </c>
      <c r="D2743" t="s">
        <v>2271</v>
      </c>
      <c r="E2743" s="527" t="s">
        <v>10767</v>
      </c>
      <c r="F2743" s="219"/>
    </row>
    <row r="2744" spans="1:6" ht="14.4">
      <c r="A2744">
        <v>39377</v>
      </c>
      <c r="B2744" t="s">
        <v>20174</v>
      </c>
      <c r="C2744" t="s">
        <v>2269</v>
      </c>
      <c r="D2744" t="s">
        <v>2271</v>
      </c>
      <c r="E2744" s="527" t="s">
        <v>15477</v>
      </c>
      <c r="F2744" s="220"/>
    </row>
    <row r="2745" spans="1:6" ht="14.4">
      <c r="A2745">
        <v>38191</v>
      </c>
      <c r="B2745" t="s">
        <v>20175</v>
      </c>
      <c r="C2745" t="s">
        <v>2269</v>
      </c>
      <c r="D2745" t="s">
        <v>2271</v>
      </c>
      <c r="E2745" s="527" t="s">
        <v>10784</v>
      </c>
      <c r="F2745" s="219"/>
    </row>
    <row r="2746" spans="1:6" ht="14.4">
      <c r="A2746">
        <v>39381</v>
      </c>
      <c r="B2746" t="s">
        <v>20176</v>
      </c>
      <c r="C2746" t="s">
        <v>2269</v>
      </c>
      <c r="D2746" t="s">
        <v>2271</v>
      </c>
      <c r="E2746" s="527" t="s">
        <v>9475</v>
      </c>
      <c r="F2746" s="220"/>
    </row>
    <row r="2747" spans="1:6" ht="14.4">
      <c r="A2747">
        <v>38780</v>
      </c>
      <c r="B2747" t="s">
        <v>20177</v>
      </c>
      <c r="C2747" t="s">
        <v>2269</v>
      </c>
      <c r="D2747" t="s">
        <v>2271</v>
      </c>
      <c r="E2747" s="527" t="s">
        <v>9517</v>
      </c>
      <c r="F2747" s="219"/>
    </row>
    <row r="2748" spans="1:6" ht="14.4">
      <c r="A2748">
        <v>38781</v>
      </c>
      <c r="B2748" t="s">
        <v>20178</v>
      </c>
      <c r="C2748" t="s">
        <v>2269</v>
      </c>
      <c r="D2748" t="s">
        <v>2271</v>
      </c>
      <c r="E2748" s="527" t="s">
        <v>10022</v>
      </c>
      <c r="F2748" s="220"/>
    </row>
    <row r="2749" spans="1:6" ht="14.4">
      <c r="A2749">
        <v>38192</v>
      </c>
      <c r="B2749" t="s">
        <v>20179</v>
      </c>
      <c r="C2749" t="s">
        <v>2269</v>
      </c>
      <c r="D2749" t="s">
        <v>2271</v>
      </c>
      <c r="E2749" s="527" t="s">
        <v>15478</v>
      </c>
      <c r="F2749" s="219"/>
    </row>
    <row r="2750" spans="1:6" ht="14.4">
      <c r="A2750">
        <v>3753</v>
      </c>
      <c r="B2750" t="s">
        <v>20180</v>
      </c>
      <c r="C2750" t="s">
        <v>2269</v>
      </c>
      <c r="D2750" t="s">
        <v>2271</v>
      </c>
      <c r="E2750" s="527" t="s">
        <v>9495</v>
      </c>
      <c r="F2750" s="220"/>
    </row>
    <row r="2751" spans="1:6" ht="14.4">
      <c r="A2751">
        <v>38782</v>
      </c>
      <c r="B2751" t="s">
        <v>20181</v>
      </c>
      <c r="C2751" t="s">
        <v>2269</v>
      </c>
      <c r="D2751" t="s">
        <v>2271</v>
      </c>
      <c r="E2751" s="527" t="s">
        <v>4776</v>
      </c>
      <c r="F2751" s="219"/>
    </row>
    <row r="2752" spans="1:6" ht="14.4">
      <c r="A2752">
        <v>38778</v>
      </c>
      <c r="B2752" t="s">
        <v>20182</v>
      </c>
      <c r="C2752" t="s">
        <v>2269</v>
      </c>
      <c r="D2752" t="s">
        <v>2271</v>
      </c>
      <c r="E2752" s="527" t="s">
        <v>7260</v>
      </c>
      <c r="F2752" s="220"/>
    </row>
    <row r="2753" spans="1:6" ht="14.4">
      <c r="A2753">
        <v>38779</v>
      </c>
      <c r="B2753" t="s">
        <v>20183</v>
      </c>
      <c r="C2753" t="s">
        <v>2269</v>
      </c>
      <c r="D2753" t="s">
        <v>2271</v>
      </c>
      <c r="E2753" s="527" t="s">
        <v>9968</v>
      </c>
      <c r="F2753" s="219"/>
    </row>
    <row r="2754" spans="1:6" ht="14.4">
      <c r="A2754">
        <v>39388</v>
      </c>
      <c r="B2754" t="s">
        <v>20184</v>
      </c>
      <c r="C2754" t="s">
        <v>2269</v>
      </c>
      <c r="D2754" t="s">
        <v>1857</v>
      </c>
      <c r="E2754" s="527" t="s">
        <v>4220</v>
      </c>
      <c r="F2754" s="220"/>
    </row>
    <row r="2755" spans="1:6" ht="14.4">
      <c r="A2755">
        <v>39387</v>
      </c>
      <c r="B2755" t="s">
        <v>20185</v>
      </c>
      <c r="C2755" t="s">
        <v>2269</v>
      </c>
      <c r="D2755" t="s">
        <v>1857</v>
      </c>
      <c r="E2755" s="527" t="s">
        <v>20186</v>
      </c>
      <c r="F2755" s="219"/>
    </row>
    <row r="2756" spans="1:6" ht="14.4">
      <c r="A2756">
        <v>39386</v>
      </c>
      <c r="B2756" t="s">
        <v>20187</v>
      </c>
      <c r="C2756" t="s">
        <v>2269</v>
      </c>
      <c r="D2756" t="s">
        <v>1857</v>
      </c>
      <c r="E2756" s="527" t="s">
        <v>7484</v>
      </c>
      <c r="F2756" s="220"/>
    </row>
    <row r="2757" spans="1:6" ht="14.4">
      <c r="A2757">
        <v>38194</v>
      </c>
      <c r="B2757" t="s">
        <v>20188</v>
      </c>
      <c r="C2757" t="s">
        <v>2269</v>
      </c>
      <c r="D2757" t="s">
        <v>2268</v>
      </c>
      <c r="E2757" s="527" t="s">
        <v>5910</v>
      </c>
      <c r="F2757" s="219"/>
    </row>
    <row r="2758" spans="1:6" ht="14.4">
      <c r="A2758">
        <v>38193</v>
      </c>
      <c r="B2758" t="s">
        <v>20189</v>
      </c>
      <c r="C2758" t="s">
        <v>2269</v>
      </c>
      <c r="D2758" t="s">
        <v>1857</v>
      </c>
      <c r="E2758" s="527" t="s">
        <v>4762</v>
      </c>
      <c r="F2758" s="220"/>
    </row>
    <row r="2759" spans="1:6" ht="14.4">
      <c r="A2759">
        <v>12216</v>
      </c>
      <c r="B2759" t="s">
        <v>20190</v>
      </c>
      <c r="C2759" t="s">
        <v>2269</v>
      </c>
      <c r="D2759" t="s">
        <v>2271</v>
      </c>
      <c r="E2759" s="527" t="s">
        <v>13400</v>
      </c>
      <c r="F2759" s="219"/>
    </row>
    <row r="2760" spans="1:6" ht="14.4">
      <c r="A2760">
        <v>3757</v>
      </c>
      <c r="B2760" t="s">
        <v>20191</v>
      </c>
      <c r="C2760" t="s">
        <v>2269</v>
      </c>
      <c r="D2760" t="s">
        <v>2271</v>
      </c>
      <c r="E2760" s="527" t="s">
        <v>15479</v>
      </c>
      <c r="F2760" s="220"/>
    </row>
    <row r="2761" spans="1:6" ht="14.4">
      <c r="A2761">
        <v>3758</v>
      </c>
      <c r="B2761" t="s">
        <v>20192</v>
      </c>
      <c r="C2761" t="s">
        <v>2269</v>
      </c>
      <c r="D2761" t="s">
        <v>2271</v>
      </c>
      <c r="E2761" s="527" t="s">
        <v>15480</v>
      </c>
      <c r="F2761" s="219"/>
    </row>
    <row r="2762" spans="1:6" ht="14.4">
      <c r="A2762">
        <v>12214</v>
      </c>
      <c r="B2762" t="s">
        <v>20193</v>
      </c>
      <c r="C2762" t="s">
        <v>2269</v>
      </c>
      <c r="D2762" t="s">
        <v>2271</v>
      </c>
      <c r="E2762" s="527" t="s">
        <v>11440</v>
      </c>
      <c r="F2762" s="220"/>
    </row>
    <row r="2763" spans="1:6" ht="14.4">
      <c r="A2763">
        <v>3749</v>
      </c>
      <c r="B2763" t="s">
        <v>20194</v>
      </c>
      <c r="C2763" t="s">
        <v>2269</v>
      </c>
      <c r="D2763" t="s">
        <v>2271</v>
      </c>
      <c r="E2763" s="527" t="s">
        <v>10765</v>
      </c>
      <c r="F2763" s="219"/>
    </row>
    <row r="2764" spans="1:6" ht="14.4">
      <c r="A2764">
        <v>3751</v>
      </c>
      <c r="B2764" t="s">
        <v>20195</v>
      </c>
      <c r="C2764" t="s">
        <v>2269</v>
      </c>
      <c r="D2764" t="s">
        <v>2271</v>
      </c>
      <c r="E2764" s="527" t="s">
        <v>11692</v>
      </c>
      <c r="F2764" s="220"/>
    </row>
    <row r="2765" spans="1:6" ht="14.4">
      <c r="A2765">
        <v>39376</v>
      </c>
      <c r="B2765" t="s">
        <v>20196</v>
      </c>
      <c r="C2765" t="s">
        <v>2269</v>
      </c>
      <c r="D2765" t="s">
        <v>2271</v>
      </c>
      <c r="E2765" s="527" t="s">
        <v>10243</v>
      </c>
      <c r="F2765" s="219"/>
    </row>
    <row r="2766" spans="1:6" ht="14.4">
      <c r="A2766">
        <v>3752</v>
      </c>
      <c r="B2766" t="s">
        <v>20197</v>
      </c>
      <c r="C2766" t="s">
        <v>2269</v>
      </c>
      <c r="D2766" t="s">
        <v>2271</v>
      </c>
      <c r="E2766" s="527" t="s">
        <v>15481</v>
      </c>
      <c r="F2766" s="220"/>
    </row>
    <row r="2767" spans="1:6" ht="14.4">
      <c r="A2767">
        <v>746</v>
      </c>
      <c r="B2767" t="s">
        <v>20198</v>
      </c>
      <c r="C2767" t="s">
        <v>2269</v>
      </c>
      <c r="D2767" t="s">
        <v>2268</v>
      </c>
      <c r="E2767" s="527" t="s">
        <v>20199</v>
      </c>
      <c r="F2767" s="219"/>
    </row>
    <row r="2768" spans="1:6" ht="14.4">
      <c r="A2768">
        <v>20269</v>
      </c>
      <c r="B2768" t="s">
        <v>20200</v>
      </c>
      <c r="C2768" t="s">
        <v>2269</v>
      </c>
      <c r="D2768" t="s">
        <v>1857</v>
      </c>
      <c r="E2768" s="527" t="s">
        <v>20201</v>
      </c>
      <c r="F2768" s="220"/>
    </row>
    <row r="2769" spans="1:6" ht="14.4">
      <c r="A2769">
        <v>20270</v>
      </c>
      <c r="B2769" t="s">
        <v>20202</v>
      </c>
      <c r="C2769" t="s">
        <v>2269</v>
      </c>
      <c r="D2769" t="s">
        <v>1857</v>
      </c>
      <c r="E2769" s="527" t="s">
        <v>11691</v>
      </c>
      <c r="F2769" s="219"/>
    </row>
    <row r="2770" spans="1:6" ht="14.4">
      <c r="A2770">
        <v>11696</v>
      </c>
      <c r="B2770" t="s">
        <v>20203</v>
      </c>
      <c r="C2770" t="s">
        <v>2269</v>
      </c>
      <c r="D2770" t="s">
        <v>1857</v>
      </c>
      <c r="E2770" s="527" t="s">
        <v>16448</v>
      </c>
      <c r="F2770" s="220"/>
    </row>
    <row r="2771" spans="1:6" ht="14.4">
      <c r="A2771">
        <v>10427</v>
      </c>
      <c r="B2771" t="s">
        <v>20204</v>
      </c>
      <c r="C2771" t="s">
        <v>2269</v>
      </c>
      <c r="D2771" t="s">
        <v>1857</v>
      </c>
      <c r="E2771" s="527" t="s">
        <v>20205</v>
      </c>
      <c r="F2771" s="219"/>
    </row>
    <row r="2772" spans="1:6" ht="14.4">
      <c r="A2772">
        <v>10428</v>
      </c>
      <c r="B2772" t="s">
        <v>20206</v>
      </c>
      <c r="C2772" t="s">
        <v>2269</v>
      </c>
      <c r="D2772" t="s">
        <v>1857</v>
      </c>
      <c r="E2772" s="527" t="s">
        <v>20207</v>
      </c>
      <c r="F2772" s="220"/>
    </row>
    <row r="2773" spans="1:6" ht="14.4">
      <c r="A2773">
        <v>36521</v>
      </c>
      <c r="B2773" t="s">
        <v>20208</v>
      </c>
      <c r="C2773" t="s">
        <v>2269</v>
      </c>
      <c r="D2773" t="s">
        <v>1857</v>
      </c>
      <c r="E2773" s="527" t="s">
        <v>20209</v>
      </c>
      <c r="F2773" s="219"/>
    </row>
    <row r="2774" spans="1:6" ht="14.4">
      <c r="A2774">
        <v>36794</v>
      </c>
      <c r="B2774" t="s">
        <v>20210</v>
      </c>
      <c r="C2774" t="s">
        <v>2269</v>
      </c>
      <c r="D2774" t="s">
        <v>1857</v>
      </c>
      <c r="E2774" s="527" t="s">
        <v>20211</v>
      </c>
      <c r="F2774" s="220"/>
    </row>
    <row r="2775" spans="1:6" ht="14.4">
      <c r="A2775">
        <v>10426</v>
      </c>
      <c r="B2775" t="s">
        <v>20212</v>
      </c>
      <c r="C2775" t="s">
        <v>2269</v>
      </c>
      <c r="D2775" t="s">
        <v>1857</v>
      </c>
      <c r="E2775" s="527" t="s">
        <v>20213</v>
      </c>
      <c r="F2775" s="219"/>
    </row>
    <row r="2776" spans="1:6" ht="14.4">
      <c r="A2776">
        <v>10425</v>
      </c>
      <c r="B2776" t="s">
        <v>20214</v>
      </c>
      <c r="C2776" t="s">
        <v>2269</v>
      </c>
      <c r="D2776" t="s">
        <v>1857</v>
      </c>
      <c r="E2776" s="527" t="s">
        <v>15664</v>
      </c>
      <c r="F2776" s="220"/>
    </row>
    <row r="2777" spans="1:6" ht="14.4">
      <c r="A2777">
        <v>10431</v>
      </c>
      <c r="B2777" t="s">
        <v>20215</v>
      </c>
      <c r="C2777" t="s">
        <v>2269</v>
      </c>
      <c r="D2777" t="s">
        <v>1857</v>
      </c>
      <c r="E2777" s="527" t="s">
        <v>20216</v>
      </c>
      <c r="F2777" s="219"/>
    </row>
    <row r="2778" spans="1:6" ht="14.4">
      <c r="A2778">
        <v>10429</v>
      </c>
      <c r="B2778" t="s">
        <v>20217</v>
      </c>
      <c r="C2778" t="s">
        <v>2269</v>
      </c>
      <c r="D2778" t="s">
        <v>1857</v>
      </c>
      <c r="E2778" s="527" t="s">
        <v>19994</v>
      </c>
      <c r="F2778" s="220"/>
    </row>
    <row r="2779" spans="1:6" ht="14.4">
      <c r="A2779">
        <v>2354</v>
      </c>
      <c r="B2779" t="s">
        <v>20218</v>
      </c>
      <c r="C2779" t="s">
        <v>2267</v>
      </c>
      <c r="D2779" t="s">
        <v>1857</v>
      </c>
      <c r="E2779" s="527" t="s">
        <v>10029</v>
      </c>
      <c r="F2779" s="219"/>
    </row>
    <row r="2780" spans="1:6" ht="14.4">
      <c r="A2780">
        <v>40932</v>
      </c>
      <c r="B2780" t="s">
        <v>20219</v>
      </c>
      <c r="C2780" t="s">
        <v>2276</v>
      </c>
      <c r="D2780" t="s">
        <v>1857</v>
      </c>
      <c r="E2780" s="527" t="s">
        <v>20220</v>
      </c>
      <c r="F2780" s="220"/>
    </row>
    <row r="2781" spans="1:6" ht="14.4">
      <c r="A2781">
        <v>10853</v>
      </c>
      <c r="B2781" t="s">
        <v>20221</v>
      </c>
      <c r="C2781" t="s">
        <v>2269</v>
      </c>
      <c r="D2781" t="s">
        <v>1857</v>
      </c>
      <c r="E2781" s="527" t="s">
        <v>20222</v>
      </c>
      <c r="F2781" s="219"/>
    </row>
    <row r="2782" spans="1:6" ht="14.4">
      <c r="A2782">
        <v>5093</v>
      </c>
      <c r="B2782" t="s">
        <v>20223</v>
      </c>
      <c r="C2782" t="s">
        <v>2278</v>
      </c>
      <c r="D2782" t="s">
        <v>1857</v>
      </c>
      <c r="E2782" s="527" t="s">
        <v>16231</v>
      </c>
      <c r="F2782" s="220"/>
    </row>
    <row r="2783" spans="1:6" ht="14.4">
      <c r="A2783">
        <v>37768</v>
      </c>
      <c r="B2783" t="s">
        <v>20224</v>
      </c>
      <c r="C2783" t="s">
        <v>2269</v>
      </c>
      <c r="D2783" t="s">
        <v>2271</v>
      </c>
      <c r="E2783" s="527" t="s">
        <v>20225</v>
      </c>
      <c r="F2783" s="219"/>
    </row>
    <row r="2784" spans="1:6" ht="14.4">
      <c r="A2784">
        <v>37773</v>
      </c>
      <c r="B2784" t="s">
        <v>20226</v>
      </c>
      <c r="C2784" t="s">
        <v>2269</v>
      </c>
      <c r="D2784" t="s">
        <v>2271</v>
      </c>
      <c r="E2784" s="527" t="s">
        <v>20227</v>
      </c>
      <c r="F2784" s="220"/>
    </row>
    <row r="2785" spans="1:6" ht="14.4">
      <c r="A2785">
        <v>37769</v>
      </c>
      <c r="B2785" t="s">
        <v>20228</v>
      </c>
      <c r="C2785" t="s">
        <v>2269</v>
      </c>
      <c r="D2785" t="s">
        <v>2271</v>
      </c>
      <c r="E2785" s="527" t="s">
        <v>20229</v>
      </c>
      <c r="F2785" s="219"/>
    </row>
    <row r="2786" spans="1:6" ht="14.4">
      <c r="A2786">
        <v>37770</v>
      </c>
      <c r="B2786" t="s">
        <v>20230</v>
      </c>
      <c r="C2786" t="s">
        <v>2269</v>
      </c>
      <c r="D2786" t="s">
        <v>2271</v>
      </c>
      <c r="E2786" s="527" t="s">
        <v>20231</v>
      </c>
      <c r="F2786" s="220"/>
    </row>
    <row r="2787" spans="1:6" ht="14.4">
      <c r="A2787">
        <v>38382</v>
      </c>
      <c r="B2787" t="s">
        <v>20232</v>
      </c>
      <c r="C2787" t="s">
        <v>2269</v>
      </c>
      <c r="D2787" t="s">
        <v>1857</v>
      </c>
      <c r="E2787" s="527" t="s">
        <v>11661</v>
      </c>
      <c r="F2787" s="219"/>
    </row>
    <row r="2788" spans="1:6" ht="14.4">
      <c r="A2788">
        <v>38383</v>
      </c>
      <c r="B2788" t="s">
        <v>20233</v>
      </c>
      <c r="C2788" t="s">
        <v>2269</v>
      </c>
      <c r="D2788" t="s">
        <v>1857</v>
      </c>
      <c r="E2788" s="527" t="s">
        <v>6299</v>
      </c>
      <c r="F2788" s="220"/>
    </row>
    <row r="2789" spans="1:6" ht="14.4">
      <c r="A2789">
        <v>3768</v>
      </c>
      <c r="B2789" t="s">
        <v>20234</v>
      </c>
      <c r="C2789" t="s">
        <v>2269</v>
      </c>
      <c r="D2789" t="s">
        <v>1857</v>
      </c>
      <c r="E2789" s="527" t="s">
        <v>20235</v>
      </c>
      <c r="F2789" s="219"/>
    </row>
    <row r="2790" spans="1:6" ht="14.4">
      <c r="A2790">
        <v>3767</v>
      </c>
      <c r="B2790" t="s">
        <v>20236</v>
      </c>
      <c r="C2790" t="s">
        <v>2269</v>
      </c>
      <c r="D2790" t="s">
        <v>1857</v>
      </c>
      <c r="E2790" s="527" t="s">
        <v>7538</v>
      </c>
      <c r="F2790" s="220"/>
    </row>
    <row r="2791" spans="1:6" ht="14.4">
      <c r="A2791">
        <v>13192</v>
      </c>
      <c r="B2791" t="s">
        <v>20237</v>
      </c>
      <c r="C2791" t="s">
        <v>2269</v>
      </c>
      <c r="D2791" t="s">
        <v>1857</v>
      </c>
      <c r="E2791" s="527" t="s">
        <v>20238</v>
      </c>
      <c r="F2791" s="219"/>
    </row>
    <row r="2792" spans="1:6" ht="14.4">
      <c r="A2792">
        <v>38413</v>
      </c>
      <c r="B2792" t="s">
        <v>20239</v>
      </c>
      <c r="C2792" t="s">
        <v>2269</v>
      </c>
      <c r="D2792" t="s">
        <v>1857</v>
      </c>
      <c r="E2792" s="527" t="s">
        <v>20240</v>
      </c>
      <c r="F2792" s="220"/>
    </row>
    <row r="2793" spans="1:6" ht="14.4">
      <c r="A2793">
        <v>42440</v>
      </c>
      <c r="B2793" t="s">
        <v>20241</v>
      </c>
      <c r="C2793" t="s">
        <v>2269</v>
      </c>
      <c r="D2793" t="s">
        <v>2271</v>
      </c>
      <c r="E2793" s="527" t="s">
        <v>20242</v>
      </c>
      <c r="F2793" s="219"/>
    </row>
    <row r="2794" spans="1:6" ht="14.4">
      <c r="A2794">
        <v>20193</v>
      </c>
      <c r="B2794" t="s">
        <v>20243</v>
      </c>
      <c r="C2794" t="s">
        <v>10032</v>
      </c>
      <c r="D2794" t="s">
        <v>1857</v>
      </c>
      <c r="E2794" s="527" t="s">
        <v>9972</v>
      </c>
      <c r="F2794" s="220"/>
    </row>
    <row r="2795" spans="1:6" ht="14.4">
      <c r="A2795">
        <v>10527</v>
      </c>
      <c r="B2795" t="s">
        <v>20244</v>
      </c>
      <c r="C2795" t="s">
        <v>10033</v>
      </c>
      <c r="D2795" t="s">
        <v>2268</v>
      </c>
      <c r="E2795" s="527" t="s">
        <v>10245</v>
      </c>
      <c r="F2795" s="219"/>
    </row>
    <row r="2796" spans="1:6" ht="14.4">
      <c r="A2796">
        <v>41805</v>
      </c>
      <c r="B2796" t="s">
        <v>20245</v>
      </c>
      <c r="C2796" t="s">
        <v>2276</v>
      </c>
      <c r="D2796" t="s">
        <v>2271</v>
      </c>
      <c r="E2796" s="527" t="s">
        <v>20246</v>
      </c>
      <c r="F2796" s="220"/>
    </row>
    <row r="2797" spans="1:6" ht="14.4">
      <c r="A2797">
        <v>40271</v>
      </c>
      <c r="B2797" t="s">
        <v>20247</v>
      </c>
      <c r="C2797" t="s">
        <v>2276</v>
      </c>
      <c r="D2797" t="s">
        <v>1857</v>
      </c>
      <c r="E2797" s="527" t="s">
        <v>10709</v>
      </c>
      <c r="F2797" s="219"/>
    </row>
    <row r="2798" spans="1:6" ht="14.4">
      <c r="A2798">
        <v>40287</v>
      </c>
      <c r="B2798" t="s">
        <v>20248</v>
      </c>
      <c r="C2798" t="s">
        <v>2276</v>
      </c>
      <c r="D2798" t="s">
        <v>1857</v>
      </c>
      <c r="E2798" s="527" t="s">
        <v>15140</v>
      </c>
      <c r="F2798" s="220"/>
    </row>
    <row r="2799" spans="1:6" ht="14.4">
      <c r="A2799">
        <v>40295</v>
      </c>
      <c r="B2799" t="s">
        <v>20249</v>
      </c>
      <c r="C2799" t="s">
        <v>2267</v>
      </c>
      <c r="D2799" t="s">
        <v>2271</v>
      </c>
      <c r="E2799" s="527" t="s">
        <v>3606</v>
      </c>
      <c r="F2799" s="219"/>
    </row>
    <row r="2800" spans="1:6" ht="14.4">
      <c r="A2800">
        <v>745</v>
      </c>
      <c r="B2800" t="s">
        <v>20250</v>
      </c>
      <c r="C2800" t="s">
        <v>2267</v>
      </c>
      <c r="D2800" t="s">
        <v>2271</v>
      </c>
      <c r="E2800" s="527" t="s">
        <v>7953</v>
      </c>
      <c r="F2800" s="220"/>
    </row>
    <row r="2801" spans="1:6" ht="14.4">
      <c r="A2801">
        <v>4084</v>
      </c>
      <c r="B2801" t="s">
        <v>20251</v>
      </c>
      <c r="C2801" t="s">
        <v>2267</v>
      </c>
      <c r="D2801" t="s">
        <v>2271</v>
      </c>
      <c r="E2801" s="527" t="s">
        <v>7303</v>
      </c>
      <c r="F2801" s="219"/>
    </row>
    <row r="2802" spans="1:6" ht="14.4">
      <c r="A2802">
        <v>743</v>
      </c>
      <c r="B2802" t="s">
        <v>20252</v>
      </c>
      <c r="C2802" t="s">
        <v>2267</v>
      </c>
      <c r="D2802" t="s">
        <v>2271</v>
      </c>
      <c r="E2802" s="527" t="s">
        <v>7303</v>
      </c>
      <c r="F2802" s="220"/>
    </row>
    <row r="2803" spans="1:6" ht="14.4">
      <c r="A2803">
        <v>40293</v>
      </c>
      <c r="B2803" t="s">
        <v>20253</v>
      </c>
      <c r="C2803" t="s">
        <v>2267</v>
      </c>
      <c r="D2803" t="s">
        <v>2271</v>
      </c>
      <c r="E2803" s="527" t="s">
        <v>7256</v>
      </c>
      <c r="F2803" s="219"/>
    </row>
    <row r="2804" spans="1:6" ht="14.4">
      <c r="A2804">
        <v>40294</v>
      </c>
      <c r="B2804" t="s">
        <v>20254</v>
      </c>
      <c r="C2804" t="s">
        <v>2267</v>
      </c>
      <c r="D2804" t="s">
        <v>2271</v>
      </c>
      <c r="E2804" s="527" t="s">
        <v>7303</v>
      </c>
      <c r="F2804" s="220"/>
    </row>
    <row r="2805" spans="1:6" ht="14.4">
      <c r="A2805">
        <v>4085</v>
      </c>
      <c r="B2805" t="s">
        <v>20255</v>
      </c>
      <c r="C2805" t="s">
        <v>2267</v>
      </c>
      <c r="D2805" t="s">
        <v>2271</v>
      </c>
      <c r="E2805" s="527" t="s">
        <v>10320</v>
      </c>
      <c r="F2805" s="219"/>
    </row>
    <row r="2806" spans="1:6" ht="14.4">
      <c r="A2806">
        <v>10775</v>
      </c>
      <c r="B2806" t="s">
        <v>20256</v>
      </c>
      <c r="C2806" t="s">
        <v>2276</v>
      </c>
      <c r="D2806" t="s">
        <v>2271</v>
      </c>
      <c r="E2806" s="527" t="s">
        <v>15482</v>
      </c>
      <c r="F2806" s="220"/>
    </row>
    <row r="2807" spans="1:6" ht="14.4">
      <c r="A2807">
        <v>10776</v>
      </c>
      <c r="B2807" t="s">
        <v>20257</v>
      </c>
      <c r="C2807" t="s">
        <v>2276</v>
      </c>
      <c r="D2807" t="s">
        <v>2271</v>
      </c>
      <c r="E2807" s="527" t="s">
        <v>15483</v>
      </c>
      <c r="F2807" s="219"/>
    </row>
    <row r="2808" spans="1:6" ht="14.4">
      <c r="A2808">
        <v>10779</v>
      </c>
      <c r="B2808" t="s">
        <v>20258</v>
      </c>
      <c r="C2808" t="s">
        <v>2276</v>
      </c>
      <c r="D2808" t="s">
        <v>2271</v>
      </c>
      <c r="E2808" s="527" t="s">
        <v>15484</v>
      </c>
      <c r="F2808" s="220"/>
    </row>
    <row r="2809" spans="1:6" ht="14.4">
      <c r="A2809">
        <v>10777</v>
      </c>
      <c r="B2809" t="s">
        <v>20259</v>
      </c>
      <c r="C2809" t="s">
        <v>2276</v>
      </c>
      <c r="D2809" t="s">
        <v>2271</v>
      </c>
      <c r="E2809" s="527" t="s">
        <v>15485</v>
      </c>
      <c r="F2809" s="219"/>
    </row>
    <row r="2810" spans="1:6" ht="14.4">
      <c r="A2810">
        <v>10778</v>
      </c>
      <c r="B2810" t="s">
        <v>20260</v>
      </c>
      <c r="C2810" t="s">
        <v>2276</v>
      </c>
      <c r="D2810" t="s">
        <v>2271</v>
      </c>
      <c r="E2810" s="527" t="s">
        <v>15484</v>
      </c>
      <c r="F2810" s="220"/>
    </row>
    <row r="2811" spans="1:6" ht="14.4">
      <c r="A2811">
        <v>40339</v>
      </c>
      <c r="B2811" t="s">
        <v>20261</v>
      </c>
      <c r="C2811" t="s">
        <v>2276</v>
      </c>
      <c r="D2811" t="s">
        <v>1857</v>
      </c>
      <c r="E2811" s="527" t="s">
        <v>15140</v>
      </c>
      <c r="F2811" s="219"/>
    </row>
    <row r="2812" spans="1:6" ht="14.4">
      <c r="A2812">
        <v>10749</v>
      </c>
      <c r="B2812" t="s">
        <v>20262</v>
      </c>
      <c r="C2812" t="s">
        <v>2276</v>
      </c>
      <c r="D2812" t="s">
        <v>1857</v>
      </c>
      <c r="E2812" s="527" t="s">
        <v>6551</v>
      </c>
      <c r="F2812" s="220"/>
    </row>
    <row r="2813" spans="1:6" ht="14.4">
      <c r="A2813">
        <v>40290</v>
      </c>
      <c r="B2813" t="s">
        <v>20263</v>
      </c>
      <c r="C2813" t="s">
        <v>2276</v>
      </c>
      <c r="D2813" t="s">
        <v>1857</v>
      </c>
      <c r="E2813" s="527" t="s">
        <v>4537</v>
      </c>
      <c r="F2813" s="219"/>
    </row>
    <row r="2814" spans="1:6" ht="14.4">
      <c r="A2814">
        <v>3346</v>
      </c>
      <c r="B2814" t="s">
        <v>20264</v>
      </c>
      <c r="C2814" t="s">
        <v>2267</v>
      </c>
      <c r="D2814" t="s">
        <v>2271</v>
      </c>
      <c r="E2814" s="527" t="s">
        <v>5373</v>
      </c>
      <c r="F2814" s="220"/>
    </row>
    <row r="2815" spans="1:6" ht="14.4">
      <c r="A2815">
        <v>3348</v>
      </c>
      <c r="B2815" t="s">
        <v>20265</v>
      </c>
      <c r="C2815" t="s">
        <v>2267</v>
      </c>
      <c r="D2815" t="s">
        <v>2271</v>
      </c>
      <c r="E2815" s="527" t="s">
        <v>9929</v>
      </c>
      <c r="F2815" s="219"/>
    </row>
    <row r="2816" spans="1:6" ht="14.4">
      <c r="A2816">
        <v>39833</v>
      </c>
      <c r="B2816" t="s">
        <v>20266</v>
      </c>
      <c r="C2816" t="s">
        <v>2267</v>
      </c>
      <c r="D2816" t="s">
        <v>2271</v>
      </c>
      <c r="E2816" s="527" t="s">
        <v>12732</v>
      </c>
      <c r="F2816" s="220"/>
    </row>
    <row r="2817" spans="1:6" ht="14.4">
      <c r="A2817">
        <v>7252</v>
      </c>
      <c r="B2817" t="s">
        <v>20267</v>
      </c>
      <c r="C2817" t="s">
        <v>2267</v>
      </c>
      <c r="D2817" t="s">
        <v>2271</v>
      </c>
      <c r="E2817" s="527" t="s">
        <v>7247</v>
      </c>
      <c r="F2817" s="219"/>
    </row>
    <row r="2818" spans="1:6" ht="14.4">
      <c r="A2818">
        <v>4778</v>
      </c>
      <c r="B2818" t="s">
        <v>20268</v>
      </c>
      <c r="C2818" t="s">
        <v>2267</v>
      </c>
      <c r="D2818" t="s">
        <v>2271</v>
      </c>
      <c r="E2818" s="527" t="s">
        <v>15837</v>
      </c>
      <c r="F2818" s="220"/>
    </row>
    <row r="2819" spans="1:6" ht="14.4">
      <c r="A2819">
        <v>4780</v>
      </c>
      <c r="B2819" t="s">
        <v>20269</v>
      </c>
      <c r="C2819" t="s">
        <v>2267</v>
      </c>
      <c r="D2819" t="s">
        <v>2271</v>
      </c>
      <c r="E2819" s="527" t="s">
        <v>6009</v>
      </c>
      <c r="F2819" s="219"/>
    </row>
    <row r="2820" spans="1:6" ht="14.4">
      <c r="A2820">
        <v>10809</v>
      </c>
      <c r="B2820" t="s">
        <v>20270</v>
      </c>
      <c r="C2820" t="s">
        <v>2267</v>
      </c>
      <c r="D2820" t="s">
        <v>1857</v>
      </c>
      <c r="E2820" s="527" t="s">
        <v>3011</v>
      </c>
      <c r="F2820" s="220"/>
    </row>
    <row r="2821" spans="1:6" ht="14.4">
      <c r="A2821">
        <v>10811</v>
      </c>
      <c r="B2821" t="s">
        <v>20271</v>
      </c>
      <c r="C2821" t="s">
        <v>2267</v>
      </c>
      <c r="D2821" t="s">
        <v>2268</v>
      </c>
      <c r="E2821" s="527" t="s">
        <v>3573</v>
      </c>
      <c r="F2821" s="219"/>
    </row>
    <row r="2822" spans="1:6" ht="14.4">
      <c r="A2822">
        <v>7247</v>
      </c>
      <c r="B2822" t="s">
        <v>20272</v>
      </c>
      <c r="C2822" t="s">
        <v>2267</v>
      </c>
      <c r="D2822" t="s">
        <v>2271</v>
      </c>
      <c r="E2822" s="527" t="s">
        <v>7247</v>
      </c>
      <c r="F2822" s="220"/>
    </row>
    <row r="2823" spans="1:6" ht="14.4">
      <c r="A2823">
        <v>40291</v>
      </c>
      <c r="B2823" t="s">
        <v>20273</v>
      </c>
      <c r="C2823" t="s">
        <v>2276</v>
      </c>
      <c r="D2823" t="s">
        <v>1857</v>
      </c>
      <c r="E2823" s="527" t="s">
        <v>15486</v>
      </c>
      <c r="F2823" s="219"/>
    </row>
    <row r="2824" spans="1:6" ht="14.4">
      <c r="A2824">
        <v>40275</v>
      </c>
      <c r="B2824" t="s">
        <v>20274</v>
      </c>
      <c r="C2824" t="s">
        <v>2276</v>
      </c>
      <c r="D2824" t="s">
        <v>1857</v>
      </c>
      <c r="E2824" s="527" t="s">
        <v>10245</v>
      </c>
      <c r="F2824" s="220"/>
    </row>
    <row r="2825" spans="1:6" ht="14.4">
      <c r="A2825">
        <v>42408</v>
      </c>
      <c r="B2825" t="s">
        <v>20275</v>
      </c>
      <c r="C2825" t="s">
        <v>2270</v>
      </c>
      <c r="D2825" t="s">
        <v>1857</v>
      </c>
      <c r="E2825" s="527" t="s">
        <v>7227</v>
      </c>
      <c r="F2825" s="219"/>
    </row>
    <row r="2826" spans="1:6" ht="14.4">
      <c r="A2826">
        <v>3777</v>
      </c>
      <c r="B2826" t="s">
        <v>20276</v>
      </c>
      <c r="C2826" t="s">
        <v>2270</v>
      </c>
      <c r="D2826" t="s">
        <v>2268</v>
      </c>
      <c r="E2826" s="527" t="s">
        <v>3918</v>
      </c>
      <c r="F2826" s="220"/>
    </row>
    <row r="2827" spans="1:6" ht="14.4">
      <c r="A2827">
        <v>3798</v>
      </c>
      <c r="B2827" t="s">
        <v>20277</v>
      </c>
      <c r="C2827" t="s">
        <v>2269</v>
      </c>
      <c r="D2827" t="s">
        <v>2271</v>
      </c>
      <c r="E2827" s="527" t="s">
        <v>15606</v>
      </c>
      <c r="F2827" s="219"/>
    </row>
    <row r="2828" spans="1:6" ht="14.4">
      <c r="A2828">
        <v>38769</v>
      </c>
      <c r="B2828" t="s">
        <v>20278</v>
      </c>
      <c r="C2828" t="s">
        <v>2269</v>
      </c>
      <c r="D2828" t="s">
        <v>2271</v>
      </c>
      <c r="E2828" s="527" t="s">
        <v>16450</v>
      </c>
      <c r="F2828" s="220"/>
    </row>
    <row r="2829" spans="1:6" ht="14.4">
      <c r="A2829">
        <v>39510</v>
      </c>
      <c r="B2829" t="s">
        <v>20279</v>
      </c>
      <c r="C2829" t="s">
        <v>2269</v>
      </c>
      <c r="D2829" t="s">
        <v>2271</v>
      </c>
      <c r="E2829" s="527" t="s">
        <v>20280</v>
      </c>
      <c r="F2829" s="219"/>
    </row>
    <row r="2830" spans="1:6" ht="14.4">
      <c r="A2830">
        <v>38776</v>
      </c>
      <c r="B2830" t="s">
        <v>20281</v>
      </c>
      <c r="C2830" t="s">
        <v>2269</v>
      </c>
      <c r="D2830" t="s">
        <v>2271</v>
      </c>
      <c r="E2830" s="527" t="s">
        <v>20282</v>
      </c>
      <c r="F2830" s="220"/>
    </row>
    <row r="2831" spans="1:6" ht="14.4">
      <c r="A2831">
        <v>38774</v>
      </c>
      <c r="B2831" t="s">
        <v>20283</v>
      </c>
      <c r="C2831" t="s">
        <v>2269</v>
      </c>
      <c r="D2831" t="s">
        <v>1857</v>
      </c>
      <c r="E2831" s="527" t="s">
        <v>16204</v>
      </c>
      <c r="F2831" s="219"/>
    </row>
    <row r="2832" spans="1:6" ht="14.4">
      <c r="A2832">
        <v>42247</v>
      </c>
      <c r="B2832" t="s">
        <v>20284</v>
      </c>
      <c r="C2832" t="s">
        <v>2269</v>
      </c>
      <c r="D2832" t="s">
        <v>1857</v>
      </c>
      <c r="E2832" s="527" t="s">
        <v>20285</v>
      </c>
      <c r="F2832" s="220"/>
    </row>
    <row r="2833" spans="1:6" ht="14.4">
      <c r="A2833">
        <v>42248</v>
      </c>
      <c r="B2833" t="s">
        <v>20286</v>
      </c>
      <c r="C2833" t="s">
        <v>2269</v>
      </c>
      <c r="D2833" t="s">
        <v>1857</v>
      </c>
      <c r="E2833" s="527" t="s">
        <v>20287</v>
      </c>
      <c r="F2833" s="219"/>
    </row>
    <row r="2834" spans="1:6" ht="14.4">
      <c r="A2834">
        <v>42249</v>
      </c>
      <c r="B2834" t="s">
        <v>20288</v>
      </c>
      <c r="C2834" t="s">
        <v>2269</v>
      </c>
      <c r="D2834" t="s">
        <v>1857</v>
      </c>
      <c r="E2834" s="527" t="s">
        <v>20289</v>
      </c>
      <c r="F2834" s="220"/>
    </row>
    <row r="2835" spans="1:6" ht="14.4">
      <c r="A2835">
        <v>42244</v>
      </c>
      <c r="B2835" t="s">
        <v>20290</v>
      </c>
      <c r="C2835" t="s">
        <v>2269</v>
      </c>
      <c r="D2835" t="s">
        <v>1857</v>
      </c>
      <c r="E2835" s="527" t="s">
        <v>20291</v>
      </c>
      <c r="F2835" s="219"/>
    </row>
    <row r="2836" spans="1:6" ht="14.4">
      <c r="A2836">
        <v>42245</v>
      </c>
      <c r="B2836" t="s">
        <v>20292</v>
      </c>
      <c r="C2836" t="s">
        <v>2269</v>
      </c>
      <c r="D2836" t="s">
        <v>1857</v>
      </c>
      <c r="E2836" s="527" t="s">
        <v>20293</v>
      </c>
      <c r="F2836" s="220"/>
    </row>
    <row r="2837" spans="1:6" ht="14.4">
      <c r="A2837">
        <v>42246</v>
      </c>
      <c r="B2837" t="s">
        <v>20294</v>
      </c>
      <c r="C2837" t="s">
        <v>2269</v>
      </c>
      <c r="D2837" t="s">
        <v>1857</v>
      </c>
      <c r="E2837" s="527" t="s">
        <v>20295</v>
      </c>
      <c r="F2837" s="219"/>
    </row>
    <row r="2838" spans="1:6" ht="14.4">
      <c r="A2838">
        <v>42243</v>
      </c>
      <c r="B2838" t="s">
        <v>20296</v>
      </c>
      <c r="C2838" t="s">
        <v>2269</v>
      </c>
      <c r="D2838" t="s">
        <v>1857</v>
      </c>
      <c r="E2838" s="527" t="s">
        <v>20297</v>
      </c>
      <c r="F2838" s="220"/>
    </row>
    <row r="2839" spans="1:6" ht="14.4">
      <c r="A2839">
        <v>38889</v>
      </c>
      <c r="B2839" t="s">
        <v>20298</v>
      </c>
      <c r="C2839" t="s">
        <v>2269</v>
      </c>
      <c r="D2839" t="s">
        <v>2271</v>
      </c>
      <c r="E2839" s="527" t="s">
        <v>10084</v>
      </c>
      <c r="F2839" s="219"/>
    </row>
    <row r="2840" spans="1:6" ht="14.4">
      <c r="A2840">
        <v>38784</v>
      </c>
      <c r="B2840" t="s">
        <v>20299</v>
      </c>
      <c r="C2840" t="s">
        <v>2269</v>
      </c>
      <c r="D2840" t="s">
        <v>2271</v>
      </c>
      <c r="E2840" s="527" t="s">
        <v>13935</v>
      </c>
      <c r="F2840" s="220"/>
    </row>
    <row r="2841" spans="1:6" ht="14.4">
      <c r="A2841">
        <v>3788</v>
      </c>
      <c r="B2841" t="s">
        <v>20300</v>
      </c>
      <c r="C2841" t="s">
        <v>2269</v>
      </c>
      <c r="D2841" t="s">
        <v>2271</v>
      </c>
      <c r="E2841" s="527" t="s">
        <v>20301</v>
      </c>
      <c r="F2841" s="219"/>
    </row>
    <row r="2842" spans="1:6" ht="14.4">
      <c r="A2842">
        <v>12230</v>
      </c>
      <c r="B2842" t="s">
        <v>20302</v>
      </c>
      <c r="C2842" t="s">
        <v>2269</v>
      </c>
      <c r="D2842" t="s">
        <v>2271</v>
      </c>
      <c r="E2842" s="527" t="s">
        <v>16281</v>
      </c>
      <c r="F2842" s="220"/>
    </row>
    <row r="2843" spans="1:6" ht="14.4">
      <c r="A2843">
        <v>3780</v>
      </c>
      <c r="B2843" t="s">
        <v>20303</v>
      </c>
      <c r="C2843" t="s">
        <v>2269</v>
      </c>
      <c r="D2843" t="s">
        <v>2271</v>
      </c>
      <c r="E2843" s="527" t="s">
        <v>20304</v>
      </c>
      <c r="F2843" s="219"/>
    </row>
    <row r="2844" spans="1:6" ht="14.4">
      <c r="A2844">
        <v>12231</v>
      </c>
      <c r="B2844" t="s">
        <v>20305</v>
      </c>
      <c r="C2844" t="s">
        <v>2269</v>
      </c>
      <c r="D2844" t="s">
        <v>2271</v>
      </c>
      <c r="E2844" s="527" t="s">
        <v>16289</v>
      </c>
      <c r="F2844" s="220"/>
    </row>
    <row r="2845" spans="1:6" ht="14.4">
      <c r="A2845">
        <v>3811</v>
      </c>
      <c r="B2845" t="s">
        <v>20306</v>
      </c>
      <c r="C2845" t="s">
        <v>2269</v>
      </c>
      <c r="D2845" t="s">
        <v>2271</v>
      </c>
      <c r="E2845" s="527" t="s">
        <v>11418</v>
      </c>
      <c r="F2845" s="219"/>
    </row>
    <row r="2846" spans="1:6" ht="14.4">
      <c r="A2846">
        <v>12232</v>
      </c>
      <c r="B2846" t="s">
        <v>20307</v>
      </c>
      <c r="C2846" t="s">
        <v>2269</v>
      </c>
      <c r="D2846" t="s">
        <v>2271</v>
      </c>
      <c r="E2846" s="527" t="s">
        <v>10235</v>
      </c>
      <c r="F2846" s="220"/>
    </row>
    <row r="2847" spans="1:6" ht="14.4">
      <c r="A2847">
        <v>3799</v>
      </c>
      <c r="B2847" t="s">
        <v>20308</v>
      </c>
      <c r="C2847" t="s">
        <v>2269</v>
      </c>
      <c r="D2847" t="s">
        <v>2271</v>
      </c>
      <c r="E2847" s="527" t="s">
        <v>20309</v>
      </c>
      <c r="F2847" s="219"/>
    </row>
    <row r="2848" spans="1:6" ht="14.4">
      <c r="A2848">
        <v>12239</v>
      </c>
      <c r="B2848" t="s">
        <v>20310</v>
      </c>
      <c r="C2848" t="s">
        <v>2269</v>
      </c>
      <c r="D2848" t="s">
        <v>2271</v>
      </c>
      <c r="E2848" s="527" t="s">
        <v>15159</v>
      </c>
      <c r="F2848" s="220"/>
    </row>
    <row r="2849" spans="1:6" ht="14.4">
      <c r="A2849">
        <v>38773</v>
      </c>
      <c r="B2849" t="s">
        <v>20311</v>
      </c>
      <c r="C2849" t="s">
        <v>2269</v>
      </c>
      <c r="D2849" t="s">
        <v>2271</v>
      </c>
      <c r="E2849" s="527" t="s">
        <v>16446</v>
      </c>
      <c r="F2849" s="219"/>
    </row>
    <row r="2850" spans="1:6" ht="14.4">
      <c r="A2850">
        <v>12271</v>
      </c>
      <c r="B2850" t="s">
        <v>20312</v>
      </c>
      <c r="C2850" t="s">
        <v>2269</v>
      </c>
      <c r="D2850" t="s">
        <v>2271</v>
      </c>
      <c r="E2850" s="527" t="s">
        <v>18376</v>
      </c>
      <c r="F2850" s="220"/>
    </row>
    <row r="2851" spans="1:6" ht="14.4">
      <c r="A2851">
        <v>38785</v>
      </c>
      <c r="B2851" t="s">
        <v>20313</v>
      </c>
      <c r="C2851" t="s">
        <v>2269</v>
      </c>
      <c r="D2851" t="s">
        <v>2271</v>
      </c>
      <c r="E2851" s="527" t="s">
        <v>20314</v>
      </c>
      <c r="F2851" s="219"/>
    </row>
    <row r="2852" spans="1:6" ht="14.4">
      <c r="A2852">
        <v>38786</v>
      </c>
      <c r="B2852" t="s">
        <v>20315</v>
      </c>
      <c r="C2852" t="s">
        <v>2269</v>
      </c>
      <c r="D2852" t="s">
        <v>2271</v>
      </c>
      <c r="E2852" s="527" t="s">
        <v>20316</v>
      </c>
      <c r="F2852" s="220"/>
    </row>
    <row r="2853" spans="1:6" ht="14.4">
      <c r="A2853">
        <v>39385</v>
      </c>
      <c r="B2853" t="s">
        <v>20317</v>
      </c>
      <c r="C2853" t="s">
        <v>2269</v>
      </c>
      <c r="D2853" t="s">
        <v>1857</v>
      </c>
      <c r="E2853" s="527" t="s">
        <v>16233</v>
      </c>
      <c r="F2853" s="219"/>
    </row>
    <row r="2854" spans="1:6" ht="14.4">
      <c r="A2854">
        <v>39389</v>
      </c>
      <c r="B2854" t="s">
        <v>20318</v>
      </c>
      <c r="C2854" t="s">
        <v>2269</v>
      </c>
      <c r="D2854" t="s">
        <v>1857</v>
      </c>
      <c r="E2854" s="527" t="s">
        <v>10204</v>
      </c>
      <c r="F2854" s="220"/>
    </row>
    <row r="2855" spans="1:6" ht="14.4">
      <c r="A2855">
        <v>39390</v>
      </c>
      <c r="B2855" t="s">
        <v>20319</v>
      </c>
      <c r="C2855" t="s">
        <v>2269</v>
      </c>
      <c r="D2855" t="s">
        <v>1857</v>
      </c>
      <c r="E2855" s="527" t="s">
        <v>20320</v>
      </c>
      <c r="F2855" s="219"/>
    </row>
    <row r="2856" spans="1:6" ht="14.4">
      <c r="A2856">
        <v>39391</v>
      </c>
      <c r="B2856" t="s">
        <v>20321</v>
      </c>
      <c r="C2856" t="s">
        <v>2269</v>
      </c>
      <c r="D2856" t="s">
        <v>1857</v>
      </c>
      <c r="E2856" s="527" t="s">
        <v>20322</v>
      </c>
      <c r="F2856" s="220"/>
    </row>
    <row r="2857" spans="1:6" ht="14.4">
      <c r="A2857">
        <v>3803</v>
      </c>
      <c r="B2857" t="s">
        <v>20323</v>
      </c>
      <c r="C2857" t="s">
        <v>2269</v>
      </c>
      <c r="D2857" t="s">
        <v>2271</v>
      </c>
      <c r="E2857" s="527" t="s">
        <v>16457</v>
      </c>
      <c r="F2857" s="219"/>
    </row>
    <row r="2858" spans="1:6" ht="14.4">
      <c r="A2858">
        <v>38770</v>
      </c>
      <c r="B2858" t="s">
        <v>20324</v>
      </c>
      <c r="C2858" t="s">
        <v>2269</v>
      </c>
      <c r="D2858" t="s">
        <v>2271</v>
      </c>
      <c r="E2858" s="527" t="s">
        <v>20325</v>
      </c>
      <c r="F2858" s="220"/>
    </row>
    <row r="2859" spans="1:6" ht="14.4">
      <c r="A2859">
        <v>12267</v>
      </c>
      <c r="B2859" t="s">
        <v>20326</v>
      </c>
      <c r="C2859" t="s">
        <v>2269</v>
      </c>
      <c r="D2859" t="s">
        <v>2271</v>
      </c>
      <c r="E2859" s="527" t="s">
        <v>20327</v>
      </c>
      <c r="F2859" s="219"/>
    </row>
    <row r="2860" spans="1:6" ht="14.4">
      <c r="A2860">
        <v>43265</v>
      </c>
      <c r="B2860" t="s">
        <v>20328</v>
      </c>
      <c r="C2860" t="s">
        <v>2269</v>
      </c>
      <c r="D2860" t="s">
        <v>1857</v>
      </c>
      <c r="E2860" s="527" t="s">
        <v>11798</v>
      </c>
      <c r="F2860" s="220"/>
    </row>
    <row r="2861" spans="1:6" ht="14.4">
      <c r="A2861">
        <v>12266</v>
      </c>
      <c r="B2861" t="s">
        <v>20329</v>
      </c>
      <c r="C2861" t="s">
        <v>2269</v>
      </c>
      <c r="D2861" t="s">
        <v>2271</v>
      </c>
      <c r="E2861" s="527" t="s">
        <v>16132</v>
      </c>
      <c r="F2861" s="219"/>
    </row>
    <row r="2862" spans="1:6" ht="14.4">
      <c r="A2862">
        <v>39378</v>
      </c>
      <c r="B2862" t="s">
        <v>20330</v>
      </c>
      <c r="C2862" t="s">
        <v>2269</v>
      </c>
      <c r="D2862" t="s">
        <v>2271</v>
      </c>
      <c r="E2862" s="527" t="s">
        <v>20331</v>
      </c>
      <c r="F2862" s="220"/>
    </row>
    <row r="2863" spans="1:6" ht="14.4">
      <c r="A2863">
        <v>43543</v>
      </c>
      <c r="B2863" t="s">
        <v>20332</v>
      </c>
      <c r="C2863" t="s">
        <v>2269</v>
      </c>
      <c r="D2863" t="s">
        <v>2271</v>
      </c>
      <c r="E2863" s="527" t="s">
        <v>20333</v>
      </c>
      <c r="F2863" s="219"/>
    </row>
    <row r="2864" spans="1:6" ht="14.4">
      <c r="A2864">
        <v>38775</v>
      </c>
      <c r="B2864" t="s">
        <v>20334</v>
      </c>
      <c r="C2864" t="s">
        <v>2269</v>
      </c>
      <c r="D2864" t="s">
        <v>2271</v>
      </c>
      <c r="E2864" s="527" t="s">
        <v>20335</v>
      </c>
      <c r="F2864" s="220"/>
    </row>
    <row r="2865" spans="1:6" ht="14.4">
      <c r="A2865">
        <v>21119</v>
      </c>
      <c r="B2865" t="s">
        <v>20336</v>
      </c>
      <c r="C2865" t="s">
        <v>2269</v>
      </c>
      <c r="D2865" t="s">
        <v>1857</v>
      </c>
      <c r="E2865" s="527" t="s">
        <v>10407</v>
      </c>
      <c r="F2865" s="219"/>
    </row>
    <row r="2866" spans="1:6" ht="14.4">
      <c r="A2866">
        <v>37974</v>
      </c>
      <c r="B2866" t="s">
        <v>20337</v>
      </c>
      <c r="C2866" t="s">
        <v>2269</v>
      </c>
      <c r="D2866" t="s">
        <v>1857</v>
      </c>
      <c r="E2866" s="527" t="s">
        <v>15839</v>
      </c>
      <c r="F2866" s="220"/>
    </row>
    <row r="2867" spans="1:6" ht="14.4">
      <c r="A2867">
        <v>37975</v>
      </c>
      <c r="B2867" t="s">
        <v>20338</v>
      </c>
      <c r="C2867" t="s">
        <v>2269</v>
      </c>
      <c r="D2867" t="s">
        <v>1857</v>
      </c>
      <c r="E2867" s="527" t="s">
        <v>4151</v>
      </c>
      <c r="F2867" s="219"/>
    </row>
    <row r="2868" spans="1:6" ht="14.4">
      <c r="A2868">
        <v>37976</v>
      </c>
      <c r="B2868" t="s">
        <v>20339</v>
      </c>
      <c r="C2868" t="s">
        <v>2269</v>
      </c>
      <c r="D2868" t="s">
        <v>1857</v>
      </c>
      <c r="E2868" s="527" t="s">
        <v>10052</v>
      </c>
      <c r="F2868" s="220"/>
    </row>
    <row r="2869" spans="1:6" ht="14.4">
      <c r="A2869">
        <v>37977</v>
      </c>
      <c r="B2869" t="s">
        <v>20340</v>
      </c>
      <c r="C2869" t="s">
        <v>2269</v>
      </c>
      <c r="D2869" t="s">
        <v>1857</v>
      </c>
      <c r="E2869" s="527" t="s">
        <v>10347</v>
      </c>
      <c r="F2869" s="219"/>
    </row>
    <row r="2870" spans="1:6" ht="14.4">
      <c r="A2870">
        <v>37978</v>
      </c>
      <c r="B2870" t="s">
        <v>20341</v>
      </c>
      <c r="C2870" t="s">
        <v>2269</v>
      </c>
      <c r="D2870" t="s">
        <v>1857</v>
      </c>
      <c r="E2870" s="527" t="s">
        <v>16199</v>
      </c>
      <c r="F2870" s="220"/>
    </row>
    <row r="2871" spans="1:6" ht="14.4">
      <c r="A2871">
        <v>37979</v>
      </c>
      <c r="B2871" t="s">
        <v>20342</v>
      </c>
      <c r="C2871" t="s">
        <v>2269</v>
      </c>
      <c r="D2871" t="s">
        <v>1857</v>
      </c>
      <c r="E2871" s="527" t="s">
        <v>20343</v>
      </c>
      <c r="F2871" s="219"/>
    </row>
    <row r="2872" spans="1:6" ht="14.4">
      <c r="A2872">
        <v>37980</v>
      </c>
      <c r="B2872" t="s">
        <v>20344</v>
      </c>
      <c r="C2872" t="s">
        <v>2269</v>
      </c>
      <c r="D2872" t="s">
        <v>1857</v>
      </c>
      <c r="E2872" s="527" t="s">
        <v>20345</v>
      </c>
      <c r="F2872" s="220"/>
    </row>
    <row r="2873" spans="1:6" ht="14.4">
      <c r="A2873">
        <v>36147</v>
      </c>
      <c r="B2873" t="s">
        <v>20346</v>
      </c>
      <c r="C2873" t="s">
        <v>2278</v>
      </c>
      <c r="D2873" t="s">
        <v>1857</v>
      </c>
      <c r="E2873" s="527" t="s">
        <v>20347</v>
      </c>
      <c r="F2873" s="219"/>
    </row>
    <row r="2874" spans="1:6" ht="14.4">
      <c r="A2874">
        <v>12731</v>
      </c>
      <c r="B2874" t="s">
        <v>20348</v>
      </c>
      <c r="C2874" t="s">
        <v>2269</v>
      </c>
      <c r="D2874" t="s">
        <v>2271</v>
      </c>
      <c r="E2874" s="527" t="s">
        <v>20349</v>
      </c>
      <c r="F2874" s="220"/>
    </row>
    <row r="2875" spans="1:6" ht="14.4">
      <c r="A2875">
        <v>12723</v>
      </c>
      <c r="B2875" t="s">
        <v>20350</v>
      </c>
      <c r="C2875" t="s">
        <v>2269</v>
      </c>
      <c r="D2875" t="s">
        <v>2271</v>
      </c>
      <c r="E2875" s="527" t="s">
        <v>10379</v>
      </c>
      <c r="F2875" s="219"/>
    </row>
    <row r="2876" spans="1:6" ht="14.4">
      <c r="A2876">
        <v>12724</v>
      </c>
      <c r="B2876" t="s">
        <v>20351</v>
      </c>
      <c r="C2876" t="s">
        <v>2269</v>
      </c>
      <c r="D2876" t="s">
        <v>2271</v>
      </c>
      <c r="E2876" s="527" t="s">
        <v>5405</v>
      </c>
      <c r="F2876" s="220"/>
    </row>
    <row r="2877" spans="1:6" ht="14.4">
      <c r="A2877">
        <v>12725</v>
      </c>
      <c r="B2877" t="s">
        <v>20352</v>
      </c>
      <c r="C2877" t="s">
        <v>2269</v>
      </c>
      <c r="D2877" t="s">
        <v>2271</v>
      </c>
      <c r="E2877" s="527" t="s">
        <v>5310</v>
      </c>
      <c r="F2877" s="219"/>
    </row>
    <row r="2878" spans="1:6" ht="14.4">
      <c r="A2878">
        <v>12726</v>
      </c>
      <c r="B2878" t="s">
        <v>20353</v>
      </c>
      <c r="C2878" t="s">
        <v>2269</v>
      </c>
      <c r="D2878" t="s">
        <v>2271</v>
      </c>
      <c r="E2878" s="527" t="s">
        <v>20354</v>
      </c>
      <c r="F2878" s="220"/>
    </row>
    <row r="2879" spans="1:6" ht="14.4">
      <c r="A2879">
        <v>12727</v>
      </c>
      <c r="B2879" t="s">
        <v>20355</v>
      </c>
      <c r="C2879" t="s">
        <v>2269</v>
      </c>
      <c r="D2879" t="s">
        <v>2271</v>
      </c>
      <c r="E2879" s="527" t="s">
        <v>20356</v>
      </c>
      <c r="F2879" s="219"/>
    </row>
    <row r="2880" spans="1:6" ht="14.4">
      <c r="A2880">
        <v>12728</v>
      </c>
      <c r="B2880" t="s">
        <v>20357</v>
      </c>
      <c r="C2880" t="s">
        <v>2269</v>
      </c>
      <c r="D2880" t="s">
        <v>2271</v>
      </c>
      <c r="E2880" s="527" t="s">
        <v>20358</v>
      </c>
      <c r="F2880" s="220"/>
    </row>
    <row r="2881" spans="1:6" ht="14.4">
      <c r="A2881">
        <v>12729</v>
      </c>
      <c r="B2881" t="s">
        <v>20359</v>
      </c>
      <c r="C2881" t="s">
        <v>2269</v>
      </c>
      <c r="D2881" t="s">
        <v>2271</v>
      </c>
      <c r="E2881" s="527" t="s">
        <v>20360</v>
      </c>
      <c r="F2881" s="219"/>
    </row>
    <row r="2882" spans="1:6" ht="14.4">
      <c r="A2882">
        <v>12730</v>
      </c>
      <c r="B2882" t="s">
        <v>20361</v>
      </c>
      <c r="C2882" t="s">
        <v>2269</v>
      </c>
      <c r="D2882" t="s">
        <v>2271</v>
      </c>
      <c r="E2882" s="527" t="s">
        <v>20362</v>
      </c>
      <c r="F2882" s="220"/>
    </row>
    <row r="2883" spans="1:6" ht="14.4">
      <c r="A2883">
        <v>3840</v>
      </c>
      <c r="B2883" t="s">
        <v>20363</v>
      </c>
      <c r="C2883" t="s">
        <v>2269</v>
      </c>
      <c r="D2883" t="s">
        <v>2271</v>
      </c>
      <c r="E2883" s="527" t="s">
        <v>15289</v>
      </c>
      <c r="F2883" s="219"/>
    </row>
    <row r="2884" spans="1:6" ht="14.4">
      <c r="A2884">
        <v>3838</v>
      </c>
      <c r="B2884" t="s">
        <v>20364</v>
      </c>
      <c r="C2884" t="s">
        <v>2269</v>
      </c>
      <c r="D2884" t="s">
        <v>2271</v>
      </c>
      <c r="E2884" s="527" t="s">
        <v>20365</v>
      </c>
      <c r="F2884" s="220"/>
    </row>
    <row r="2885" spans="1:6" ht="14.4">
      <c r="A2885">
        <v>3844</v>
      </c>
      <c r="B2885" t="s">
        <v>20366</v>
      </c>
      <c r="C2885" t="s">
        <v>2269</v>
      </c>
      <c r="D2885" t="s">
        <v>2271</v>
      </c>
      <c r="E2885" s="527" t="s">
        <v>20367</v>
      </c>
      <c r="F2885" s="219"/>
    </row>
    <row r="2886" spans="1:6" ht="14.4">
      <c r="A2886">
        <v>3839</v>
      </c>
      <c r="B2886" t="s">
        <v>20368</v>
      </c>
      <c r="C2886" t="s">
        <v>2269</v>
      </c>
      <c r="D2886" t="s">
        <v>2271</v>
      </c>
      <c r="E2886" s="527" t="s">
        <v>20369</v>
      </c>
      <c r="F2886" s="220"/>
    </row>
    <row r="2887" spans="1:6" ht="14.4">
      <c r="A2887">
        <v>3843</v>
      </c>
      <c r="B2887" t="s">
        <v>20370</v>
      </c>
      <c r="C2887" t="s">
        <v>2269</v>
      </c>
      <c r="D2887" t="s">
        <v>2271</v>
      </c>
      <c r="E2887" s="527" t="s">
        <v>20371</v>
      </c>
      <c r="F2887" s="219"/>
    </row>
    <row r="2888" spans="1:6" ht="14.4">
      <c r="A2888">
        <v>3900</v>
      </c>
      <c r="B2888" t="s">
        <v>20372</v>
      </c>
      <c r="C2888" t="s">
        <v>2269</v>
      </c>
      <c r="D2888" t="s">
        <v>1857</v>
      </c>
      <c r="E2888" s="527" t="s">
        <v>14343</v>
      </c>
      <c r="F2888" s="220"/>
    </row>
    <row r="2889" spans="1:6" ht="14.4">
      <c r="A2889">
        <v>3846</v>
      </c>
      <c r="B2889" t="s">
        <v>20373</v>
      </c>
      <c r="C2889" t="s">
        <v>2269</v>
      </c>
      <c r="D2889" t="s">
        <v>1857</v>
      </c>
      <c r="E2889" s="527" t="s">
        <v>9538</v>
      </c>
      <c r="F2889" s="219"/>
    </row>
    <row r="2890" spans="1:6" ht="14.4">
      <c r="A2890">
        <v>3886</v>
      </c>
      <c r="B2890" t="s">
        <v>20374</v>
      </c>
      <c r="C2890" t="s">
        <v>2269</v>
      </c>
      <c r="D2890" t="s">
        <v>1857</v>
      </c>
      <c r="E2890" s="527" t="s">
        <v>10485</v>
      </c>
      <c r="F2890" s="220"/>
    </row>
    <row r="2891" spans="1:6" ht="14.4">
      <c r="A2891">
        <v>3854</v>
      </c>
      <c r="B2891" t="s">
        <v>20375</v>
      </c>
      <c r="C2891" t="s">
        <v>2269</v>
      </c>
      <c r="D2891" t="s">
        <v>1857</v>
      </c>
      <c r="E2891" s="527" t="s">
        <v>16166</v>
      </c>
      <c r="F2891" s="219"/>
    </row>
    <row r="2892" spans="1:6" ht="14.4">
      <c r="A2892">
        <v>3873</v>
      </c>
      <c r="B2892" t="s">
        <v>20376</v>
      </c>
      <c r="C2892" t="s">
        <v>2269</v>
      </c>
      <c r="D2892" t="s">
        <v>1857</v>
      </c>
      <c r="E2892" s="527" t="s">
        <v>11173</v>
      </c>
      <c r="F2892" s="220"/>
    </row>
    <row r="2893" spans="1:6" ht="14.4">
      <c r="A2893">
        <v>38021</v>
      </c>
      <c r="B2893" t="s">
        <v>20377</v>
      </c>
      <c r="C2893" t="s">
        <v>2269</v>
      </c>
      <c r="D2893" t="s">
        <v>1857</v>
      </c>
      <c r="E2893" s="527" t="s">
        <v>16251</v>
      </c>
      <c r="F2893" s="219"/>
    </row>
    <row r="2894" spans="1:6" ht="14.4">
      <c r="A2894">
        <v>3847</v>
      </c>
      <c r="B2894" t="s">
        <v>20378</v>
      </c>
      <c r="C2894" t="s">
        <v>2269</v>
      </c>
      <c r="D2894" t="s">
        <v>1857</v>
      </c>
      <c r="E2894" s="527" t="s">
        <v>15618</v>
      </c>
      <c r="F2894" s="220"/>
    </row>
    <row r="2895" spans="1:6" ht="14.4">
      <c r="A2895">
        <v>38022</v>
      </c>
      <c r="B2895" t="s">
        <v>20379</v>
      </c>
      <c r="C2895" t="s">
        <v>2269</v>
      </c>
      <c r="D2895" t="s">
        <v>1857</v>
      </c>
      <c r="E2895" s="527" t="s">
        <v>20380</v>
      </c>
      <c r="F2895" s="219"/>
    </row>
    <row r="2896" spans="1:6" ht="14.4">
      <c r="A2896">
        <v>3833</v>
      </c>
      <c r="B2896" t="s">
        <v>20381</v>
      </c>
      <c r="C2896" t="s">
        <v>2269</v>
      </c>
      <c r="D2896" t="s">
        <v>2271</v>
      </c>
      <c r="E2896" s="527" t="s">
        <v>10037</v>
      </c>
      <c r="F2896" s="220"/>
    </row>
    <row r="2897" spans="1:6" ht="14.4">
      <c r="A2897">
        <v>3835</v>
      </c>
      <c r="B2897" t="s">
        <v>20382</v>
      </c>
      <c r="C2897" t="s">
        <v>2269</v>
      </c>
      <c r="D2897" t="s">
        <v>2271</v>
      </c>
      <c r="E2897" s="527" t="s">
        <v>15489</v>
      </c>
      <c r="F2897" s="219"/>
    </row>
    <row r="2898" spans="1:6" ht="14.4">
      <c r="A2898">
        <v>3836</v>
      </c>
      <c r="B2898" t="s">
        <v>20383</v>
      </c>
      <c r="C2898" t="s">
        <v>2269</v>
      </c>
      <c r="D2898" t="s">
        <v>2271</v>
      </c>
      <c r="E2898" s="527" t="s">
        <v>15490</v>
      </c>
      <c r="F2898" s="220"/>
    </row>
    <row r="2899" spans="1:6" ht="14.4">
      <c r="A2899">
        <v>3830</v>
      </c>
      <c r="B2899" t="s">
        <v>20384</v>
      </c>
      <c r="C2899" t="s">
        <v>2269</v>
      </c>
      <c r="D2899" t="s">
        <v>2271</v>
      </c>
      <c r="E2899" s="527" t="s">
        <v>15491</v>
      </c>
      <c r="F2899" s="219"/>
    </row>
    <row r="2900" spans="1:6" ht="14.4">
      <c r="A2900">
        <v>3831</v>
      </c>
      <c r="B2900" t="s">
        <v>20385</v>
      </c>
      <c r="C2900" t="s">
        <v>2269</v>
      </c>
      <c r="D2900" t="s">
        <v>2271</v>
      </c>
      <c r="E2900" s="527" t="s">
        <v>15492</v>
      </c>
      <c r="F2900" s="220"/>
    </row>
    <row r="2901" spans="1:6" ht="14.4">
      <c r="A2901">
        <v>37981</v>
      </c>
      <c r="B2901" t="s">
        <v>20386</v>
      </c>
      <c r="C2901" t="s">
        <v>2269</v>
      </c>
      <c r="D2901" t="s">
        <v>1857</v>
      </c>
      <c r="E2901" s="527" t="s">
        <v>7727</v>
      </c>
      <c r="F2901" s="219"/>
    </row>
    <row r="2902" spans="1:6" ht="14.4">
      <c r="A2902">
        <v>37982</v>
      </c>
      <c r="B2902" t="s">
        <v>20387</v>
      </c>
      <c r="C2902" t="s">
        <v>2269</v>
      </c>
      <c r="D2902" t="s">
        <v>1857</v>
      </c>
      <c r="E2902" s="527" t="s">
        <v>10723</v>
      </c>
      <c r="F2902" s="220"/>
    </row>
    <row r="2903" spans="1:6" ht="14.4">
      <c r="A2903">
        <v>37983</v>
      </c>
      <c r="B2903" t="s">
        <v>20388</v>
      </c>
      <c r="C2903" t="s">
        <v>2269</v>
      </c>
      <c r="D2903" t="s">
        <v>1857</v>
      </c>
      <c r="E2903" s="527" t="s">
        <v>10724</v>
      </c>
      <c r="F2903" s="219"/>
    </row>
    <row r="2904" spans="1:6" ht="14.4">
      <c r="A2904">
        <v>37984</v>
      </c>
      <c r="B2904" t="s">
        <v>20389</v>
      </c>
      <c r="C2904" t="s">
        <v>2269</v>
      </c>
      <c r="D2904" t="s">
        <v>1857</v>
      </c>
      <c r="E2904" s="527" t="s">
        <v>20390</v>
      </c>
      <c r="F2904" s="220"/>
    </row>
    <row r="2905" spans="1:6" ht="14.4">
      <c r="A2905">
        <v>37985</v>
      </c>
      <c r="B2905" t="s">
        <v>20391</v>
      </c>
      <c r="C2905" t="s">
        <v>2269</v>
      </c>
      <c r="D2905" t="s">
        <v>1857</v>
      </c>
      <c r="E2905" s="527" t="s">
        <v>16250</v>
      </c>
      <c r="F2905" s="219"/>
    </row>
    <row r="2906" spans="1:6" ht="14.4">
      <c r="A2906">
        <v>3826</v>
      </c>
      <c r="B2906" t="s">
        <v>20392</v>
      </c>
      <c r="C2906" t="s">
        <v>2269</v>
      </c>
      <c r="D2906" t="s">
        <v>2271</v>
      </c>
      <c r="E2906" s="527" t="s">
        <v>11420</v>
      </c>
      <c r="F2906" s="220"/>
    </row>
    <row r="2907" spans="1:6" ht="14.4">
      <c r="A2907">
        <v>3825</v>
      </c>
      <c r="B2907" t="s">
        <v>20393</v>
      </c>
      <c r="C2907" t="s">
        <v>2269</v>
      </c>
      <c r="D2907" t="s">
        <v>2271</v>
      </c>
      <c r="E2907" s="527" t="s">
        <v>9917</v>
      </c>
      <c r="F2907" s="219"/>
    </row>
    <row r="2908" spans="1:6" ht="14.4">
      <c r="A2908">
        <v>3827</v>
      </c>
      <c r="B2908" t="s">
        <v>20394</v>
      </c>
      <c r="C2908" t="s">
        <v>2269</v>
      </c>
      <c r="D2908" t="s">
        <v>2271</v>
      </c>
      <c r="E2908" s="527" t="s">
        <v>9513</v>
      </c>
      <c r="F2908" s="220"/>
    </row>
    <row r="2909" spans="1:6" ht="14.4">
      <c r="A2909">
        <v>20165</v>
      </c>
      <c r="B2909" t="s">
        <v>20395</v>
      </c>
      <c r="C2909" t="s">
        <v>2269</v>
      </c>
      <c r="D2909" t="s">
        <v>1857</v>
      </c>
      <c r="E2909" s="527" t="s">
        <v>20396</v>
      </c>
      <c r="F2909" s="219"/>
    </row>
    <row r="2910" spans="1:6" ht="14.4">
      <c r="A2910">
        <v>20166</v>
      </c>
      <c r="B2910" t="s">
        <v>20397</v>
      </c>
      <c r="C2910" t="s">
        <v>2269</v>
      </c>
      <c r="D2910" t="s">
        <v>1857</v>
      </c>
      <c r="E2910" s="527" t="s">
        <v>10753</v>
      </c>
      <c r="F2910" s="220"/>
    </row>
    <row r="2911" spans="1:6" ht="14.4">
      <c r="A2911">
        <v>20164</v>
      </c>
      <c r="B2911" t="s">
        <v>20398</v>
      </c>
      <c r="C2911" t="s">
        <v>2269</v>
      </c>
      <c r="D2911" t="s">
        <v>1857</v>
      </c>
      <c r="E2911" s="527" t="s">
        <v>7519</v>
      </c>
      <c r="F2911" s="219"/>
    </row>
    <row r="2912" spans="1:6" ht="14.4">
      <c r="A2912">
        <v>3893</v>
      </c>
      <c r="B2912" t="s">
        <v>20399</v>
      </c>
      <c r="C2912" t="s">
        <v>2269</v>
      </c>
      <c r="D2912" t="s">
        <v>1857</v>
      </c>
      <c r="E2912" s="527" t="s">
        <v>16138</v>
      </c>
      <c r="F2912" s="220"/>
    </row>
    <row r="2913" spans="1:6" ht="14.4">
      <c r="A2913">
        <v>3848</v>
      </c>
      <c r="B2913" t="s">
        <v>20400</v>
      </c>
      <c r="C2913" t="s">
        <v>2269</v>
      </c>
      <c r="D2913" t="s">
        <v>1857</v>
      </c>
      <c r="E2913" s="527" t="s">
        <v>6442</v>
      </c>
      <c r="F2913" s="219"/>
    </row>
    <row r="2914" spans="1:6" ht="14.4">
      <c r="A2914">
        <v>3895</v>
      </c>
      <c r="B2914" t="s">
        <v>20401</v>
      </c>
      <c r="C2914" t="s">
        <v>2269</v>
      </c>
      <c r="D2914" t="s">
        <v>1857</v>
      </c>
      <c r="E2914" s="527" t="s">
        <v>10008</v>
      </c>
      <c r="F2914" s="220"/>
    </row>
    <row r="2915" spans="1:6" ht="14.4">
      <c r="A2915">
        <v>12404</v>
      </c>
      <c r="B2915" t="s">
        <v>20402</v>
      </c>
      <c r="C2915" t="s">
        <v>2269</v>
      </c>
      <c r="D2915" t="s">
        <v>1857</v>
      </c>
      <c r="E2915" s="527" t="s">
        <v>9519</v>
      </c>
      <c r="F2915" s="219"/>
    </row>
    <row r="2916" spans="1:6" ht="14.4">
      <c r="A2916">
        <v>3939</v>
      </c>
      <c r="B2916" t="s">
        <v>20403</v>
      </c>
      <c r="C2916" t="s">
        <v>2269</v>
      </c>
      <c r="D2916" t="s">
        <v>1857</v>
      </c>
      <c r="E2916" s="527" t="s">
        <v>9980</v>
      </c>
      <c r="F2916" s="220"/>
    </row>
    <row r="2917" spans="1:6" ht="14.4">
      <c r="A2917">
        <v>3911</v>
      </c>
      <c r="B2917" t="s">
        <v>20404</v>
      </c>
      <c r="C2917" t="s">
        <v>2269</v>
      </c>
      <c r="D2917" t="s">
        <v>1857</v>
      </c>
      <c r="E2917" s="527" t="s">
        <v>10186</v>
      </c>
      <c r="F2917" s="219"/>
    </row>
    <row r="2918" spans="1:6" ht="14.4">
      <c r="A2918">
        <v>3908</v>
      </c>
      <c r="B2918" t="s">
        <v>20405</v>
      </c>
      <c r="C2918" t="s">
        <v>2269</v>
      </c>
      <c r="D2918" t="s">
        <v>1857</v>
      </c>
      <c r="E2918" s="527" t="s">
        <v>4084</v>
      </c>
      <c r="F2918" s="220"/>
    </row>
    <row r="2919" spans="1:6" ht="14.4">
      <c r="A2919">
        <v>3910</v>
      </c>
      <c r="B2919" t="s">
        <v>20406</v>
      </c>
      <c r="C2919" t="s">
        <v>2269</v>
      </c>
      <c r="D2919" t="s">
        <v>1857</v>
      </c>
      <c r="E2919" s="527" t="s">
        <v>10055</v>
      </c>
      <c r="F2919" s="219"/>
    </row>
    <row r="2920" spans="1:6" ht="14.4">
      <c r="A2920">
        <v>3913</v>
      </c>
      <c r="B2920" t="s">
        <v>20407</v>
      </c>
      <c r="C2920" t="s">
        <v>2269</v>
      </c>
      <c r="D2920" t="s">
        <v>1857</v>
      </c>
      <c r="E2920" s="527" t="s">
        <v>15493</v>
      </c>
      <c r="F2920" s="220"/>
    </row>
    <row r="2921" spans="1:6" ht="14.4">
      <c r="A2921">
        <v>3912</v>
      </c>
      <c r="B2921" t="s">
        <v>20408</v>
      </c>
      <c r="C2921" t="s">
        <v>2269</v>
      </c>
      <c r="D2921" t="s">
        <v>1857</v>
      </c>
      <c r="E2921" s="527" t="s">
        <v>11628</v>
      </c>
      <c r="F2921" s="219"/>
    </row>
    <row r="2922" spans="1:6" ht="14.4">
      <c r="A2922">
        <v>3909</v>
      </c>
      <c r="B2922" t="s">
        <v>20409</v>
      </c>
      <c r="C2922" t="s">
        <v>2269</v>
      </c>
      <c r="D2922" t="s">
        <v>1857</v>
      </c>
      <c r="E2922" s="527" t="s">
        <v>4680</v>
      </c>
      <c r="F2922" s="220"/>
    </row>
    <row r="2923" spans="1:6" ht="14.4">
      <c r="A2923">
        <v>3914</v>
      </c>
      <c r="B2923" t="s">
        <v>20410</v>
      </c>
      <c r="C2923" t="s">
        <v>2269</v>
      </c>
      <c r="D2923" t="s">
        <v>1857</v>
      </c>
      <c r="E2923" s="527" t="s">
        <v>15494</v>
      </c>
      <c r="F2923" s="219"/>
    </row>
    <row r="2924" spans="1:6" ht="14.4">
      <c r="A2924">
        <v>3915</v>
      </c>
      <c r="B2924" t="s">
        <v>20411</v>
      </c>
      <c r="C2924" t="s">
        <v>2269</v>
      </c>
      <c r="D2924" t="s">
        <v>1857</v>
      </c>
      <c r="E2924" s="527" t="s">
        <v>15495</v>
      </c>
      <c r="F2924" s="220"/>
    </row>
    <row r="2925" spans="1:6" ht="14.4">
      <c r="A2925">
        <v>3916</v>
      </c>
      <c r="B2925" t="s">
        <v>20412</v>
      </c>
      <c r="C2925" t="s">
        <v>2269</v>
      </c>
      <c r="D2925" t="s">
        <v>1857</v>
      </c>
      <c r="E2925" s="527" t="s">
        <v>15496</v>
      </c>
      <c r="F2925" s="219"/>
    </row>
    <row r="2926" spans="1:6" ht="14.4">
      <c r="A2926">
        <v>3917</v>
      </c>
      <c r="B2926" t="s">
        <v>20413</v>
      </c>
      <c r="C2926" t="s">
        <v>2269</v>
      </c>
      <c r="D2926" t="s">
        <v>1857</v>
      </c>
      <c r="E2926" s="527" t="s">
        <v>15497</v>
      </c>
      <c r="F2926" s="220"/>
    </row>
    <row r="2927" spans="1:6" ht="14.4">
      <c r="A2927">
        <v>1904</v>
      </c>
      <c r="B2927" t="s">
        <v>20414</v>
      </c>
      <c r="C2927" t="s">
        <v>2269</v>
      </c>
      <c r="D2927" t="s">
        <v>1857</v>
      </c>
      <c r="E2927" s="527" t="s">
        <v>6911</v>
      </c>
      <c r="F2927" s="219"/>
    </row>
    <row r="2928" spans="1:6" ht="14.4">
      <c r="A2928">
        <v>1899</v>
      </c>
      <c r="B2928" t="s">
        <v>20415</v>
      </c>
      <c r="C2928" t="s">
        <v>2269</v>
      </c>
      <c r="D2928" t="s">
        <v>1857</v>
      </c>
      <c r="E2928" s="527" t="s">
        <v>3701</v>
      </c>
      <c r="F2928" s="220"/>
    </row>
    <row r="2929" spans="1:6" ht="14.4">
      <c r="A2929">
        <v>1900</v>
      </c>
      <c r="B2929" t="s">
        <v>20416</v>
      </c>
      <c r="C2929" t="s">
        <v>2269</v>
      </c>
      <c r="D2929" t="s">
        <v>1857</v>
      </c>
      <c r="E2929" s="527" t="s">
        <v>18007</v>
      </c>
      <c r="F2929" s="219"/>
    </row>
    <row r="2930" spans="1:6" ht="14.4">
      <c r="A2930">
        <v>12407</v>
      </c>
      <c r="B2930" t="s">
        <v>20417</v>
      </c>
      <c r="C2930" t="s">
        <v>2269</v>
      </c>
      <c r="D2930" t="s">
        <v>1857</v>
      </c>
      <c r="E2930" s="527" t="s">
        <v>10335</v>
      </c>
      <c r="F2930" s="220"/>
    </row>
    <row r="2931" spans="1:6" ht="14.4">
      <c r="A2931">
        <v>12408</v>
      </c>
      <c r="B2931" t="s">
        <v>20418</v>
      </c>
      <c r="C2931" t="s">
        <v>2269</v>
      </c>
      <c r="D2931" t="s">
        <v>1857</v>
      </c>
      <c r="E2931" s="527" t="s">
        <v>4306</v>
      </c>
      <c r="F2931" s="219"/>
    </row>
    <row r="2932" spans="1:6" ht="14.4">
      <c r="A2932">
        <v>12409</v>
      </c>
      <c r="B2932" t="s">
        <v>20419</v>
      </c>
      <c r="C2932" t="s">
        <v>2269</v>
      </c>
      <c r="D2932" t="s">
        <v>1857</v>
      </c>
      <c r="E2932" s="527" t="s">
        <v>4306</v>
      </c>
      <c r="F2932" s="220"/>
    </row>
    <row r="2933" spans="1:6" ht="14.4">
      <c r="A2933">
        <v>12410</v>
      </c>
      <c r="B2933" t="s">
        <v>20420</v>
      </c>
      <c r="C2933" t="s">
        <v>2269</v>
      </c>
      <c r="D2933" t="s">
        <v>1857</v>
      </c>
      <c r="E2933" s="527" t="s">
        <v>7245</v>
      </c>
      <c r="F2933" s="219"/>
    </row>
    <row r="2934" spans="1:6" ht="14.4">
      <c r="A2934">
        <v>3936</v>
      </c>
      <c r="B2934" t="s">
        <v>20421</v>
      </c>
      <c r="C2934" t="s">
        <v>2269</v>
      </c>
      <c r="D2934" t="s">
        <v>1857</v>
      </c>
      <c r="E2934" s="527" t="s">
        <v>10003</v>
      </c>
      <c r="F2934" s="220"/>
    </row>
    <row r="2935" spans="1:6" ht="14.4">
      <c r="A2935">
        <v>3922</v>
      </c>
      <c r="B2935" t="s">
        <v>20422</v>
      </c>
      <c r="C2935" t="s">
        <v>2269</v>
      </c>
      <c r="D2935" t="s">
        <v>1857</v>
      </c>
      <c r="E2935" s="527" t="s">
        <v>7399</v>
      </c>
      <c r="F2935" s="219"/>
    </row>
    <row r="2936" spans="1:6" ht="14.4">
      <c r="A2936">
        <v>3924</v>
      </c>
      <c r="B2936" t="s">
        <v>20423</v>
      </c>
      <c r="C2936" t="s">
        <v>2269</v>
      </c>
      <c r="D2936" t="s">
        <v>1857</v>
      </c>
      <c r="E2936" s="527" t="s">
        <v>10003</v>
      </c>
      <c r="F2936" s="220"/>
    </row>
    <row r="2937" spans="1:6" ht="14.4">
      <c r="A2937">
        <v>3923</v>
      </c>
      <c r="B2937" t="s">
        <v>20424</v>
      </c>
      <c r="C2937" t="s">
        <v>2269</v>
      </c>
      <c r="D2937" t="s">
        <v>1857</v>
      </c>
      <c r="E2937" s="527" t="s">
        <v>10003</v>
      </c>
      <c r="F2937" s="219"/>
    </row>
    <row r="2938" spans="1:6" ht="14.4">
      <c r="A2938">
        <v>3937</v>
      </c>
      <c r="B2938" t="s">
        <v>20425</v>
      </c>
      <c r="C2938" t="s">
        <v>2269</v>
      </c>
      <c r="D2938" t="s">
        <v>1857</v>
      </c>
      <c r="E2938" s="527" t="s">
        <v>10168</v>
      </c>
      <c r="F2938" s="220"/>
    </row>
    <row r="2939" spans="1:6" ht="14.4">
      <c r="A2939">
        <v>3921</v>
      </c>
      <c r="B2939" t="s">
        <v>20426</v>
      </c>
      <c r="C2939" t="s">
        <v>2269</v>
      </c>
      <c r="D2939" t="s">
        <v>1857</v>
      </c>
      <c r="E2939" s="527" t="s">
        <v>7949</v>
      </c>
      <c r="F2939" s="219"/>
    </row>
    <row r="2940" spans="1:6" ht="14.4">
      <c r="A2940">
        <v>3920</v>
      </c>
      <c r="B2940" t="s">
        <v>20427</v>
      </c>
      <c r="C2940" t="s">
        <v>2269</v>
      </c>
      <c r="D2940" t="s">
        <v>1857</v>
      </c>
      <c r="E2940" s="527" t="s">
        <v>10168</v>
      </c>
      <c r="F2940" s="220"/>
    </row>
    <row r="2941" spans="1:6" ht="28.8">
      <c r="A2941">
        <v>3938</v>
      </c>
      <c r="B2941" s="56" t="s">
        <v>20428</v>
      </c>
      <c r="C2941" t="s">
        <v>2269</v>
      </c>
      <c r="D2941" t="s">
        <v>1857</v>
      </c>
      <c r="E2941" s="527" t="s">
        <v>5621</v>
      </c>
      <c r="F2941" s="219"/>
    </row>
    <row r="2942" spans="1:6" ht="14.4">
      <c r="A2942">
        <v>3919</v>
      </c>
      <c r="B2942" t="s">
        <v>20429</v>
      </c>
      <c r="C2942" t="s">
        <v>2269</v>
      </c>
      <c r="D2942" t="s">
        <v>1857</v>
      </c>
      <c r="E2942" s="527" t="s">
        <v>5555</v>
      </c>
      <c r="F2942" s="220"/>
    </row>
    <row r="2943" spans="1:6" ht="14.4">
      <c r="A2943">
        <v>3927</v>
      </c>
      <c r="B2943" t="s">
        <v>20430</v>
      </c>
      <c r="C2943" t="s">
        <v>2269</v>
      </c>
      <c r="D2943" t="s">
        <v>1857</v>
      </c>
      <c r="E2943" s="527" t="s">
        <v>10682</v>
      </c>
      <c r="F2943" s="219"/>
    </row>
    <row r="2944" spans="1:6" ht="14.4">
      <c r="A2944">
        <v>3928</v>
      </c>
      <c r="B2944" t="s">
        <v>20431</v>
      </c>
      <c r="C2944" t="s">
        <v>2269</v>
      </c>
      <c r="D2944" t="s">
        <v>1857</v>
      </c>
      <c r="E2944" s="527" t="s">
        <v>10682</v>
      </c>
      <c r="F2944" s="220"/>
    </row>
    <row r="2945" spans="1:6" ht="14.4">
      <c r="A2945">
        <v>3926</v>
      </c>
      <c r="B2945" t="s">
        <v>20432</v>
      </c>
      <c r="C2945" t="s">
        <v>2269</v>
      </c>
      <c r="D2945" t="s">
        <v>1857</v>
      </c>
      <c r="E2945" s="527" t="s">
        <v>9869</v>
      </c>
      <c r="F2945" s="219"/>
    </row>
    <row r="2946" spans="1:6" ht="14.4">
      <c r="A2946">
        <v>3935</v>
      </c>
      <c r="B2946" t="s">
        <v>20433</v>
      </c>
      <c r="C2946" t="s">
        <v>2269</v>
      </c>
      <c r="D2946" t="s">
        <v>1857</v>
      </c>
      <c r="E2946" s="527" t="s">
        <v>9869</v>
      </c>
      <c r="F2946" s="220"/>
    </row>
    <row r="2947" spans="1:6" ht="14.4">
      <c r="A2947">
        <v>3925</v>
      </c>
      <c r="B2947" t="s">
        <v>20434</v>
      </c>
      <c r="C2947" t="s">
        <v>2269</v>
      </c>
      <c r="D2947" t="s">
        <v>1857</v>
      </c>
      <c r="E2947" s="527" t="s">
        <v>9869</v>
      </c>
      <c r="F2947" s="219"/>
    </row>
    <row r="2948" spans="1:6" ht="14.4">
      <c r="A2948">
        <v>12406</v>
      </c>
      <c r="B2948" t="s">
        <v>20435</v>
      </c>
      <c r="C2948" t="s">
        <v>2269</v>
      </c>
      <c r="D2948" t="s">
        <v>1857</v>
      </c>
      <c r="E2948" s="527" t="s">
        <v>4812</v>
      </c>
      <c r="F2948" s="220"/>
    </row>
    <row r="2949" spans="1:6" ht="14.4">
      <c r="A2949">
        <v>3929</v>
      </c>
      <c r="B2949" t="s">
        <v>20436</v>
      </c>
      <c r="C2949" t="s">
        <v>2269</v>
      </c>
      <c r="D2949" t="s">
        <v>1857</v>
      </c>
      <c r="E2949" s="527" t="s">
        <v>10174</v>
      </c>
      <c r="F2949" s="219"/>
    </row>
    <row r="2950" spans="1:6" ht="14.4">
      <c r="A2950">
        <v>3931</v>
      </c>
      <c r="B2950" t="s">
        <v>20437</v>
      </c>
      <c r="C2950" t="s">
        <v>2269</v>
      </c>
      <c r="D2950" t="s">
        <v>1857</v>
      </c>
      <c r="E2950" s="527" t="s">
        <v>10174</v>
      </c>
      <c r="F2950" s="220"/>
    </row>
    <row r="2951" spans="1:6" ht="14.4">
      <c r="A2951">
        <v>3930</v>
      </c>
      <c r="B2951" t="s">
        <v>20438</v>
      </c>
      <c r="C2951" t="s">
        <v>2269</v>
      </c>
      <c r="D2951" t="s">
        <v>1857</v>
      </c>
      <c r="E2951" s="527" t="s">
        <v>10174</v>
      </c>
      <c r="F2951" s="219"/>
    </row>
    <row r="2952" spans="1:6" ht="14.4">
      <c r="A2952">
        <v>3932</v>
      </c>
      <c r="B2952" t="s">
        <v>20439</v>
      </c>
      <c r="C2952" t="s">
        <v>2269</v>
      </c>
      <c r="D2952" t="s">
        <v>1857</v>
      </c>
      <c r="E2952" s="527" t="s">
        <v>11689</v>
      </c>
      <c r="F2952" s="220"/>
    </row>
    <row r="2953" spans="1:6" ht="14.4">
      <c r="A2953">
        <v>3933</v>
      </c>
      <c r="B2953" t="s">
        <v>20440</v>
      </c>
      <c r="C2953" t="s">
        <v>2269</v>
      </c>
      <c r="D2953" t="s">
        <v>1857</v>
      </c>
      <c r="E2953" s="527" t="s">
        <v>11689</v>
      </c>
      <c r="F2953" s="219"/>
    </row>
    <row r="2954" spans="1:6" ht="14.4">
      <c r="A2954">
        <v>3934</v>
      </c>
      <c r="B2954" t="s">
        <v>20441</v>
      </c>
      <c r="C2954" t="s">
        <v>2269</v>
      </c>
      <c r="D2954" t="s">
        <v>1857</v>
      </c>
      <c r="E2954" s="527" t="s">
        <v>11689</v>
      </c>
      <c r="F2954" s="220"/>
    </row>
    <row r="2955" spans="1:6" ht="14.4">
      <c r="A2955">
        <v>40355</v>
      </c>
      <c r="B2955" t="s">
        <v>20442</v>
      </c>
      <c r="C2955" t="s">
        <v>2269</v>
      </c>
      <c r="D2955" t="s">
        <v>1857</v>
      </c>
      <c r="E2955" s="527" t="s">
        <v>16475</v>
      </c>
      <c r="F2955" s="219"/>
    </row>
    <row r="2956" spans="1:6" ht="14.4">
      <c r="A2956">
        <v>40364</v>
      </c>
      <c r="B2956" t="s">
        <v>20443</v>
      </c>
      <c r="C2956" t="s">
        <v>2269</v>
      </c>
      <c r="D2956" t="s">
        <v>1857</v>
      </c>
      <c r="E2956" s="527" t="s">
        <v>13328</v>
      </c>
      <c r="F2956" s="220"/>
    </row>
    <row r="2957" spans="1:6" ht="14.4">
      <c r="A2957">
        <v>40361</v>
      </c>
      <c r="B2957" t="s">
        <v>20444</v>
      </c>
      <c r="C2957" t="s">
        <v>2269</v>
      </c>
      <c r="D2957" t="s">
        <v>1857</v>
      </c>
      <c r="E2957" s="527" t="s">
        <v>20445</v>
      </c>
      <c r="F2957" s="219"/>
    </row>
    <row r="2958" spans="1:6" ht="14.4">
      <c r="A2958">
        <v>40358</v>
      </c>
      <c r="B2958" t="s">
        <v>20446</v>
      </c>
      <c r="C2958" t="s">
        <v>2269</v>
      </c>
      <c r="D2958" t="s">
        <v>1857</v>
      </c>
      <c r="E2958" s="527" t="s">
        <v>13334</v>
      </c>
      <c r="F2958" s="220"/>
    </row>
    <row r="2959" spans="1:6" ht="14.4">
      <c r="A2959">
        <v>40370</v>
      </c>
      <c r="B2959" t="s">
        <v>20447</v>
      </c>
      <c r="C2959" t="s">
        <v>2269</v>
      </c>
      <c r="D2959" t="s">
        <v>1857</v>
      </c>
      <c r="E2959" s="527" t="s">
        <v>20448</v>
      </c>
      <c r="F2959" s="219"/>
    </row>
    <row r="2960" spans="1:6" ht="14.4">
      <c r="A2960">
        <v>40367</v>
      </c>
      <c r="B2960" t="s">
        <v>20449</v>
      </c>
      <c r="C2960" t="s">
        <v>2269</v>
      </c>
      <c r="D2960" t="s">
        <v>1857</v>
      </c>
      <c r="E2960" s="527" t="s">
        <v>20450</v>
      </c>
      <c r="F2960" s="220"/>
    </row>
    <row r="2961" spans="1:6" ht="14.4">
      <c r="A2961">
        <v>40373</v>
      </c>
      <c r="B2961" t="s">
        <v>20451</v>
      </c>
      <c r="C2961" t="s">
        <v>2269</v>
      </c>
      <c r="D2961" t="s">
        <v>1857</v>
      </c>
      <c r="E2961" s="527" t="s">
        <v>20452</v>
      </c>
      <c r="F2961" s="219"/>
    </row>
    <row r="2962" spans="1:6" ht="14.4">
      <c r="A2962">
        <v>38947</v>
      </c>
      <c r="B2962" t="s">
        <v>20453</v>
      </c>
      <c r="C2962" t="s">
        <v>2269</v>
      </c>
      <c r="D2962" t="s">
        <v>2271</v>
      </c>
      <c r="E2962" s="527" t="s">
        <v>7966</v>
      </c>
      <c r="F2962" s="220"/>
    </row>
    <row r="2963" spans="1:6" ht="14.4">
      <c r="A2963">
        <v>38948</v>
      </c>
      <c r="B2963" t="s">
        <v>20454</v>
      </c>
      <c r="C2963" t="s">
        <v>2269</v>
      </c>
      <c r="D2963" t="s">
        <v>2271</v>
      </c>
      <c r="E2963" s="527" t="s">
        <v>9475</v>
      </c>
      <c r="F2963" s="219"/>
    </row>
    <row r="2964" spans="1:6" ht="14.4">
      <c r="A2964">
        <v>38949</v>
      </c>
      <c r="B2964" t="s">
        <v>20455</v>
      </c>
      <c r="C2964" t="s">
        <v>2269</v>
      </c>
      <c r="D2964" t="s">
        <v>2271</v>
      </c>
      <c r="E2964" s="527" t="s">
        <v>7290</v>
      </c>
      <c r="F2964" s="220"/>
    </row>
    <row r="2965" spans="1:6" ht="14.4">
      <c r="A2965">
        <v>38951</v>
      </c>
      <c r="B2965" t="s">
        <v>20456</v>
      </c>
      <c r="C2965" t="s">
        <v>2269</v>
      </c>
      <c r="D2965" t="s">
        <v>2271</v>
      </c>
      <c r="E2965" s="527" t="s">
        <v>10221</v>
      </c>
      <c r="F2965" s="219"/>
    </row>
    <row r="2966" spans="1:6" ht="14.4">
      <c r="A2966">
        <v>39312</v>
      </c>
      <c r="B2966" t="s">
        <v>20457</v>
      </c>
      <c r="C2966" t="s">
        <v>2269</v>
      </c>
      <c r="D2966" t="s">
        <v>2271</v>
      </c>
      <c r="E2966" s="527" t="s">
        <v>10777</v>
      </c>
      <c r="F2966" s="220"/>
    </row>
    <row r="2967" spans="1:6" ht="14.4">
      <c r="A2967">
        <v>39313</v>
      </c>
      <c r="B2967" t="s">
        <v>20458</v>
      </c>
      <c r="C2967" t="s">
        <v>2269</v>
      </c>
      <c r="D2967" t="s">
        <v>2271</v>
      </c>
      <c r="E2967" s="527" t="s">
        <v>7315</v>
      </c>
      <c r="F2967" s="219"/>
    </row>
    <row r="2968" spans="1:6" ht="14.4">
      <c r="A2968">
        <v>38950</v>
      </c>
      <c r="B2968" t="s">
        <v>20459</v>
      </c>
      <c r="C2968" t="s">
        <v>2269</v>
      </c>
      <c r="D2968" t="s">
        <v>2271</v>
      </c>
      <c r="E2968" s="527" t="s">
        <v>7475</v>
      </c>
      <c r="F2968" s="220"/>
    </row>
    <row r="2969" spans="1:6" ht="14.4">
      <c r="A2969">
        <v>39314</v>
      </c>
      <c r="B2969" t="s">
        <v>20460</v>
      </c>
      <c r="C2969" t="s">
        <v>2269</v>
      </c>
      <c r="D2969" t="s">
        <v>2271</v>
      </c>
      <c r="E2969" s="527" t="s">
        <v>9904</v>
      </c>
      <c r="F2969" s="219"/>
    </row>
    <row r="2970" spans="1:6" ht="14.4">
      <c r="A2970">
        <v>3907</v>
      </c>
      <c r="B2970" t="s">
        <v>20461</v>
      </c>
      <c r="C2970" t="s">
        <v>2269</v>
      </c>
      <c r="D2970" t="s">
        <v>1857</v>
      </c>
      <c r="E2970" s="527" t="s">
        <v>6900</v>
      </c>
      <c r="F2970" s="220"/>
    </row>
    <row r="2971" spans="1:6" ht="14.4">
      <c r="A2971">
        <v>3889</v>
      </c>
      <c r="B2971" t="s">
        <v>20462</v>
      </c>
      <c r="C2971" t="s">
        <v>2269</v>
      </c>
      <c r="D2971" t="s">
        <v>1857</v>
      </c>
      <c r="E2971" s="527" t="s">
        <v>16177</v>
      </c>
      <c r="F2971" s="219"/>
    </row>
    <row r="2972" spans="1:6" ht="14.4">
      <c r="A2972">
        <v>3868</v>
      </c>
      <c r="B2972" t="s">
        <v>20463</v>
      </c>
      <c r="C2972" t="s">
        <v>2269</v>
      </c>
      <c r="D2972" t="s">
        <v>1857</v>
      </c>
      <c r="E2972" s="527" t="s">
        <v>7478</v>
      </c>
      <c r="F2972" s="220"/>
    </row>
    <row r="2973" spans="1:6" ht="14.4">
      <c r="A2973">
        <v>3869</v>
      </c>
      <c r="B2973" t="s">
        <v>20464</v>
      </c>
      <c r="C2973" t="s">
        <v>2269</v>
      </c>
      <c r="D2973" t="s">
        <v>1857</v>
      </c>
      <c r="E2973" s="527" t="s">
        <v>6349</v>
      </c>
      <c r="F2973" s="219"/>
    </row>
    <row r="2974" spans="1:6" ht="14.4">
      <c r="A2974">
        <v>3872</v>
      </c>
      <c r="B2974" t="s">
        <v>20465</v>
      </c>
      <c r="C2974" t="s">
        <v>2269</v>
      </c>
      <c r="D2974" t="s">
        <v>1857</v>
      </c>
      <c r="E2974" s="527" t="s">
        <v>4527</v>
      </c>
      <c r="F2974" s="220"/>
    </row>
    <row r="2975" spans="1:6" ht="14.4">
      <c r="A2975">
        <v>3850</v>
      </c>
      <c r="B2975" t="s">
        <v>20466</v>
      </c>
      <c r="C2975" t="s">
        <v>2269</v>
      </c>
      <c r="D2975" t="s">
        <v>1857</v>
      </c>
      <c r="E2975" s="527" t="s">
        <v>10272</v>
      </c>
      <c r="F2975" s="219"/>
    </row>
    <row r="2976" spans="1:6" ht="14.4">
      <c r="A2976">
        <v>38023</v>
      </c>
      <c r="B2976" t="s">
        <v>20467</v>
      </c>
      <c r="C2976" t="s">
        <v>2269</v>
      </c>
      <c r="D2976" t="s">
        <v>1857</v>
      </c>
      <c r="E2976" s="527" t="s">
        <v>6348</v>
      </c>
      <c r="F2976" s="220"/>
    </row>
    <row r="2977" spans="1:6" ht="14.4">
      <c r="A2977">
        <v>37986</v>
      </c>
      <c r="B2977" t="s">
        <v>20468</v>
      </c>
      <c r="C2977" t="s">
        <v>2269</v>
      </c>
      <c r="D2977" t="s">
        <v>1857</v>
      </c>
      <c r="E2977" s="527" t="s">
        <v>3747</v>
      </c>
      <c r="F2977" s="219"/>
    </row>
    <row r="2978" spans="1:6" ht="14.4">
      <c r="A2978">
        <v>37987</v>
      </c>
      <c r="B2978" t="s">
        <v>20469</v>
      </c>
      <c r="C2978" t="s">
        <v>2269</v>
      </c>
      <c r="D2978" t="s">
        <v>1857</v>
      </c>
      <c r="E2978" s="527" t="s">
        <v>20470</v>
      </c>
      <c r="F2978" s="220"/>
    </row>
    <row r="2979" spans="1:6" ht="14.4">
      <c r="A2979">
        <v>37988</v>
      </c>
      <c r="B2979" t="s">
        <v>20471</v>
      </c>
      <c r="C2979" t="s">
        <v>2269</v>
      </c>
      <c r="D2979" t="s">
        <v>1857</v>
      </c>
      <c r="E2979" s="527" t="s">
        <v>20472</v>
      </c>
      <c r="F2979" s="219"/>
    </row>
    <row r="2980" spans="1:6" ht="14.4">
      <c r="A2980">
        <v>21120</v>
      </c>
      <c r="B2980" t="s">
        <v>20473</v>
      </c>
      <c r="C2980" t="s">
        <v>2269</v>
      </c>
      <c r="D2980" t="s">
        <v>1857</v>
      </c>
      <c r="E2980" s="527" t="s">
        <v>9932</v>
      </c>
      <c r="F2980" s="220"/>
    </row>
    <row r="2981" spans="1:6" ht="14.4">
      <c r="A2981">
        <v>39318</v>
      </c>
      <c r="B2981" t="s">
        <v>20474</v>
      </c>
      <c r="C2981" t="s">
        <v>2269</v>
      </c>
      <c r="D2981" t="s">
        <v>1857</v>
      </c>
      <c r="E2981" s="527" t="s">
        <v>9890</v>
      </c>
      <c r="F2981" s="219"/>
    </row>
    <row r="2982" spans="1:6" ht="14.4">
      <c r="A2982">
        <v>20162</v>
      </c>
      <c r="B2982" t="s">
        <v>20475</v>
      </c>
      <c r="C2982" t="s">
        <v>2269</v>
      </c>
      <c r="D2982" t="s">
        <v>1857</v>
      </c>
      <c r="E2982" s="527" t="s">
        <v>16464</v>
      </c>
      <c r="F2982" s="220"/>
    </row>
    <row r="2983" spans="1:6" ht="14.4">
      <c r="A2983">
        <v>40366</v>
      </c>
      <c r="B2983" t="s">
        <v>20476</v>
      </c>
      <c r="C2983" t="s">
        <v>2269</v>
      </c>
      <c r="D2983" t="s">
        <v>1857</v>
      </c>
      <c r="E2983" s="527" t="s">
        <v>10088</v>
      </c>
      <c r="F2983" s="219"/>
    </row>
    <row r="2984" spans="1:6" ht="14.4">
      <c r="A2984">
        <v>40363</v>
      </c>
      <c r="B2984" t="s">
        <v>20477</v>
      </c>
      <c r="C2984" t="s">
        <v>2269</v>
      </c>
      <c r="D2984" t="s">
        <v>1857</v>
      </c>
      <c r="E2984" s="527" t="s">
        <v>10341</v>
      </c>
      <c r="F2984" s="220"/>
    </row>
    <row r="2985" spans="1:6" ht="14.4">
      <c r="A2985">
        <v>40354</v>
      </c>
      <c r="B2985" t="s">
        <v>20478</v>
      </c>
      <c r="C2985" t="s">
        <v>2269</v>
      </c>
      <c r="D2985" t="s">
        <v>2268</v>
      </c>
      <c r="E2985" s="527" t="s">
        <v>9967</v>
      </c>
      <c r="F2985" s="219"/>
    </row>
    <row r="2986" spans="1:6" ht="14.4">
      <c r="A2986">
        <v>40360</v>
      </c>
      <c r="B2986" t="s">
        <v>20479</v>
      </c>
      <c r="C2986" t="s">
        <v>2269</v>
      </c>
      <c r="D2986" t="s">
        <v>1857</v>
      </c>
      <c r="E2986" s="527" t="s">
        <v>11779</v>
      </c>
      <c r="F2986" s="220"/>
    </row>
    <row r="2987" spans="1:6" ht="14.4">
      <c r="A2987">
        <v>40372</v>
      </c>
      <c r="B2987" t="s">
        <v>20480</v>
      </c>
      <c r="C2987" t="s">
        <v>2269</v>
      </c>
      <c r="D2987" t="s">
        <v>1857</v>
      </c>
      <c r="E2987" s="527" t="s">
        <v>11435</v>
      </c>
      <c r="F2987" s="219"/>
    </row>
    <row r="2988" spans="1:6" ht="14.4">
      <c r="A2988">
        <v>40369</v>
      </c>
      <c r="B2988" t="s">
        <v>20481</v>
      </c>
      <c r="C2988" t="s">
        <v>2269</v>
      </c>
      <c r="D2988" t="s">
        <v>1857</v>
      </c>
      <c r="E2988" s="527" t="s">
        <v>16261</v>
      </c>
      <c r="F2988" s="220"/>
    </row>
    <row r="2989" spans="1:6" ht="14.4">
      <c r="A2989">
        <v>40357</v>
      </c>
      <c r="B2989" t="s">
        <v>20482</v>
      </c>
      <c r="C2989" t="s">
        <v>2269</v>
      </c>
      <c r="D2989" t="s">
        <v>1857</v>
      </c>
      <c r="E2989" s="527" t="s">
        <v>13334</v>
      </c>
      <c r="F2989" s="219"/>
    </row>
    <row r="2990" spans="1:6" ht="14.4">
      <c r="A2990">
        <v>40375</v>
      </c>
      <c r="B2990" t="s">
        <v>20483</v>
      </c>
      <c r="C2990" t="s">
        <v>2269</v>
      </c>
      <c r="D2990" t="s">
        <v>1857</v>
      </c>
      <c r="E2990" s="527" t="s">
        <v>20484</v>
      </c>
      <c r="F2990" s="220"/>
    </row>
    <row r="2991" spans="1:6" ht="14.4">
      <c r="A2991">
        <v>1893</v>
      </c>
      <c r="B2991" t="s">
        <v>20485</v>
      </c>
      <c r="C2991" t="s">
        <v>2269</v>
      </c>
      <c r="D2991" t="s">
        <v>1857</v>
      </c>
      <c r="E2991" s="527" t="s">
        <v>3832</v>
      </c>
      <c r="F2991" s="219"/>
    </row>
    <row r="2992" spans="1:6" ht="14.4">
      <c r="A2992">
        <v>1902</v>
      </c>
      <c r="B2992" t="s">
        <v>20486</v>
      </c>
      <c r="C2992" t="s">
        <v>2269</v>
      </c>
      <c r="D2992" t="s">
        <v>1857</v>
      </c>
      <c r="E2992" s="527" t="s">
        <v>15839</v>
      </c>
      <c r="F2992" s="220"/>
    </row>
    <row r="2993" spans="1:6" ht="14.4">
      <c r="A2993">
        <v>1901</v>
      </c>
      <c r="B2993" t="s">
        <v>20487</v>
      </c>
      <c r="C2993" t="s">
        <v>2269</v>
      </c>
      <c r="D2993" t="s">
        <v>1857</v>
      </c>
      <c r="E2993" s="527" t="s">
        <v>9763</v>
      </c>
      <c r="F2993" s="219"/>
    </row>
    <row r="2994" spans="1:6" ht="14.4">
      <c r="A2994">
        <v>1892</v>
      </c>
      <c r="B2994" t="s">
        <v>20488</v>
      </c>
      <c r="C2994" t="s">
        <v>2269</v>
      </c>
      <c r="D2994" t="s">
        <v>1857</v>
      </c>
      <c r="E2994" s="527" t="s">
        <v>6957</v>
      </c>
      <c r="F2994" s="220"/>
    </row>
    <row r="2995" spans="1:6" ht="14.4">
      <c r="A2995">
        <v>1907</v>
      </c>
      <c r="B2995" t="s">
        <v>20489</v>
      </c>
      <c r="C2995" t="s">
        <v>2269</v>
      </c>
      <c r="D2995" t="s">
        <v>1857</v>
      </c>
      <c r="E2995" s="527" t="s">
        <v>9569</v>
      </c>
      <c r="F2995" s="219"/>
    </row>
    <row r="2996" spans="1:6" ht="14.4">
      <c r="A2996">
        <v>1894</v>
      </c>
      <c r="B2996" t="s">
        <v>20490</v>
      </c>
      <c r="C2996" t="s">
        <v>2269</v>
      </c>
      <c r="D2996" t="s">
        <v>1857</v>
      </c>
      <c r="E2996" s="527" t="s">
        <v>4670</v>
      </c>
      <c r="F2996" s="220"/>
    </row>
    <row r="2997" spans="1:6" ht="14.4">
      <c r="A2997">
        <v>1891</v>
      </c>
      <c r="B2997" t="s">
        <v>20491</v>
      </c>
      <c r="C2997" t="s">
        <v>2269</v>
      </c>
      <c r="D2997" t="s">
        <v>1857</v>
      </c>
      <c r="E2997" s="527" t="s">
        <v>6413</v>
      </c>
      <c r="F2997" s="219"/>
    </row>
    <row r="2998" spans="1:6" ht="14.4">
      <c r="A2998">
        <v>1896</v>
      </c>
      <c r="B2998" t="s">
        <v>20492</v>
      </c>
      <c r="C2998" t="s">
        <v>2269</v>
      </c>
      <c r="D2998" t="s">
        <v>1857</v>
      </c>
      <c r="E2998" s="527" t="s">
        <v>9610</v>
      </c>
      <c r="F2998" s="220"/>
    </row>
    <row r="2999" spans="1:6" ht="14.4">
      <c r="A2999">
        <v>1895</v>
      </c>
      <c r="B2999" t="s">
        <v>20493</v>
      </c>
      <c r="C2999" t="s">
        <v>2269</v>
      </c>
      <c r="D2999" t="s">
        <v>1857</v>
      </c>
      <c r="E2999" s="527" t="s">
        <v>20494</v>
      </c>
      <c r="F2999" s="219"/>
    </row>
    <row r="3000" spans="1:6" ht="14.4">
      <c r="A3000">
        <v>2641</v>
      </c>
      <c r="B3000" t="s">
        <v>20495</v>
      </c>
      <c r="C3000" t="s">
        <v>2269</v>
      </c>
      <c r="D3000" t="s">
        <v>2271</v>
      </c>
      <c r="E3000" s="527" t="s">
        <v>16288</v>
      </c>
      <c r="F3000" s="220"/>
    </row>
    <row r="3001" spans="1:6" ht="14.4">
      <c r="A3001">
        <v>2636</v>
      </c>
      <c r="B3001" t="s">
        <v>20496</v>
      </c>
      <c r="C3001" t="s">
        <v>2269</v>
      </c>
      <c r="D3001" t="s">
        <v>2271</v>
      </c>
      <c r="E3001" s="527" t="s">
        <v>7302</v>
      </c>
      <c r="F3001" s="219"/>
    </row>
    <row r="3002" spans="1:6" ht="14.4">
      <c r="A3002">
        <v>2637</v>
      </c>
      <c r="B3002" t="s">
        <v>20497</v>
      </c>
      <c r="C3002" t="s">
        <v>2269</v>
      </c>
      <c r="D3002" t="s">
        <v>2271</v>
      </c>
      <c r="E3002" s="527" t="s">
        <v>3333</v>
      </c>
      <c r="F3002" s="220"/>
    </row>
    <row r="3003" spans="1:6" ht="14.4">
      <c r="A3003">
        <v>2638</v>
      </c>
      <c r="B3003" t="s">
        <v>20498</v>
      </c>
      <c r="C3003" t="s">
        <v>2269</v>
      </c>
      <c r="D3003" t="s">
        <v>2271</v>
      </c>
      <c r="E3003" s="527" t="s">
        <v>3463</v>
      </c>
      <c r="F3003" s="219"/>
    </row>
    <row r="3004" spans="1:6" ht="14.4">
      <c r="A3004">
        <v>2639</v>
      </c>
      <c r="B3004" t="s">
        <v>20499</v>
      </c>
      <c r="C3004" t="s">
        <v>2269</v>
      </c>
      <c r="D3004" t="s">
        <v>2271</v>
      </c>
      <c r="E3004" s="527" t="s">
        <v>3734</v>
      </c>
      <c r="F3004" s="220"/>
    </row>
    <row r="3005" spans="1:6" ht="14.4">
      <c r="A3005">
        <v>2644</v>
      </c>
      <c r="B3005" t="s">
        <v>20500</v>
      </c>
      <c r="C3005" t="s">
        <v>2269</v>
      </c>
      <c r="D3005" t="s">
        <v>2271</v>
      </c>
      <c r="E3005" s="527" t="s">
        <v>9969</v>
      </c>
      <c r="F3005" s="219"/>
    </row>
    <row r="3006" spans="1:6" ht="14.4">
      <c r="A3006">
        <v>2643</v>
      </c>
      <c r="B3006" t="s">
        <v>20501</v>
      </c>
      <c r="C3006" t="s">
        <v>2269</v>
      </c>
      <c r="D3006" t="s">
        <v>2271</v>
      </c>
      <c r="E3006" s="527" t="s">
        <v>5168</v>
      </c>
      <c r="F3006" s="220"/>
    </row>
    <row r="3007" spans="1:6" ht="14.4">
      <c r="A3007">
        <v>2640</v>
      </c>
      <c r="B3007" t="s">
        <v>20502</v>
      </c>
      <c r="C3007" t="s">
        <v>2269</v>
      </c>
      <c r="D3007" t="s">
        <v>2271</v>
      </c>
      <c r="E3007" s="527" t="s">
        <v>7267</v>
      </c>
      <c r="F3007" s="219"/>
    </row>
    <row r="3008" spans="1:6" ht="14.4">
      <c r="A3008">
        <v>2642</v>
      </c>
      <c r="B3008" t="s">
        <v>20503</v>
      </c>
      <c r="C3008" t="s">
        <v>2269</v>
      </c>
      <c r="D3008" t="s">
        <v>2271</v>
      </c>
      <c r="E3008" s="527" t="s">
        <v>9977</v>
      </c>
      <c r="F3008" s="220"/>
    </row>
    <row r="3009" spans="1:6" ht="14.4">
      <c r="A3009">
        <v>38943</v>
      </c>
      <c r="B3009" t="s">
        <v>20504</v>
      </c>
      <c r="C3009" t="s">
        <v>2269</v>
      </c>
      <c r="D3009" t="s">
        <v>2271</v>
      </c>
      <c r="E3009" s="527" t="s">
        <v>7297</v>
      </c>
      <c r="F3009" s="219"/>
    </row>
    <row r="3010" spans="1:6" ht="14.4">
      <c r="A3010">
        <v>38944</v>
      </c>
      <c r="B3010" t="s">
        <v>20505</v>
      </c>
      <c r="C3010" t="s">
        <v>2269</v>
      </c>
      <c r="D3010" t="s">
        <v>2271</v>
      </c>
      <c r="E3010" s="527" t="s">
        <v>9478</v>
      </c>
      <c r="F3010" s="220"/>
    </row>
    <row r="3011" spans="1:6" ht="14.4">
      <c r="A3011">
        <v>38945</v>
      </c>
      <c r="B3011" t="s">
        <v>20506</v>
      </c>
      <c r="C3011" t="s">
        <v>2269</v>
      </c>
      <c r="D3011" t="s">
        <v>2271</v>
      </c>
      <c r="E3011" s="527" t="s">
        <v>7628</v>
      </c>
      <c r="F3011" s="219"/>
    </row>
    <row r="3012" spans="1:6" ht="14.4">
      <c r="A3012">
        <v>38946</v>
      </c>
      <c r="B3012" t="s">
        <v>20507</v>
      </c>
      <c r="C3012" t="s">
        <v>2269</v>
      </c>
      <c r="D3012" t="s">
        <v>2271</v>
      </c>
      <c r="E3012" s="527" t="s">
        <v>10717</v>
      </c>
      <c r="F3012" s="220"/>
    </row>
    <row r="3013" spans="1:6" ht="14.4">
      <c r="A3013">
        <v>39308</v>
      </c>
      <c r="B3013" t="s">
        <v>20508</v>
      </c>
      <c r="C3013" t="s">
        <v>2269</v>
      </c>
      <c r="D3013" t="s">
        <v>2271</v>
      </c>
      <c r="E3013" s="527" t="s">
        <v>10180</v>
      </c>
      <c r="F3013" s="219"/>
    </row>
    <row r="3014" spans="1:6" ht="14.4">
      <c r="A3014">
        <v>39309</v>
      </c>
      <c r="B3014" t="s">
        <v>20509</v>
      </c>
      <c r="C3014" t="s">
        <v>2269</v>
      </c>
      <c r="D3014" t="s">
        <v>2271</v>
      </c>
      <c r="E3014" s="527" t="s">
        <v>10089</v>
      </c>
      <c r="F3014" s="220"/>
    </row>
    <row r="3015" spans="1:6" ht="14.4">
      <c r="A3015">
        <v>39310</v>
      </c>
      <c r="B3015" t="s">
        <v>20510</v>
      </c>
      <c r="C3015" t="s">
        <v>2269</v>
      </c>
      <c r="D3015" t="s">
        <v>2271</v>
      </c>
      <c r="E3015" s="527" t="s">
        <v>10712</v>
      </c>
      <c r="F3015" s="219"/>
    </row>
    <row r="3016" spans="1:6" ht="14.4">
      <c r="A3016">
        <v>39311</v>
      </c>
      <c r="B3016" t="s">
        <v>20511</v>
      </c>
      <c r="C3016" t="s">
        <v>2269</v>
      </c>
      <c r="D3016" t="s">
        <v>2271</v>
      </c>
      <c r="E3016" s="527" t="s">
        <v>10374</v>
      </c>
      <c r="F3016" s="220"/>
    </row>
    <row r="3017" spans="1:6" ht="14.4">
      <c r="A3017">
        <v>39855</v>
      </c>
      <c r="B3017" t="s">
        <v>20512</v>
      </c>
      <c r="C3017" t="s">
        <v>2269</v>
      </c>
      <c r="D3017" t="s">
        <v>2271</v>
      </c>
      <c r="E3017" s="527" t="s">
        <v>3779</v>
      </c>
      <c r="F3017" s="219"/>
    </row>
    <row r="3018" spans="1:6" ht="14.4">
      <c r="A3018">
        <v>39856</v>
      </c>
      <c r="B3018" t="s">
        <v>20513</v>
      </c>
      <c r="C3018" t="s">
        <v>2269</v>
      </c>
      <c r="D3018" t="s">
        <v>2271</v>
      </c>
      <c r="E3018" s="527" t="s">
        <v>4675</v>
      </c>
      <c r="F3018" s="220"/>
    </row>
    <row r="3019" spans="1:6" ht="14.4">
      <c r="A3019">
        <v>39857</v>
      </c>
      <c r="B3019" t="s">
        <v>20514</v>
      </c>
      <c r="C3019" t="s">
        <v>2269</v>
      </c>
      <c r="D3019" t="s">
        <v>2271</v>
      </c>
      <c r="E3019" s="527" t="s">
        <v>5310</v>
      </c>
      <c r="F3019" s="219"/>
    </row>
    <row r="3020" spans="1:6" ht="14.4">
      <c r="A3020">
        <v>39858</v>
      </c>
      <c r="B3020" t="s">
        <v>20515</v>
      </c>
      <c r="C3020" t="s">
        <v>2269</v>
      </c>
      <c r="D3020" t="s">
        <v>2271</v>
      </c>
      <c r="E3020" s="527" t="s">
        <v>20516</v>
      </c>
      <c r="F3020" s="220"/>
    </row>
    <row r="3021" spans="1:6" ht="14.4">
      <c r="A3021">
        <v>39859</v>
      </c>
      <c r="B3021" t="s">
        <v>20517</v>
      </c>
      <c r="C3021" t="s">
        <v>2269</v>
      </c>
      <c r="D3021" t="s">
        <v>2271</v>
      </c>
      <c r="E3021" s="527" t="s">
        <v>11442</v>
      </c>
      <c r="F3021" s="219"/>
    </row>
    <row r="3022" spans="1:6" ht="14.4">
      <c r="A3022">
        <v>39860</v>
      </c>
      <c r="B3022" t="s">
        <v>20518</v>
      </c>
      <c r="C3022" t="s">
        <v>2269</v>
      </c>
      <c r="D3022" t="s">
        <v>2271</v>
      </c>
      <c r="E3022" s="527" t="s">
        <v>20519</v>
      </c>
      <c r="F3022" s="220"/>
    </row>
    <row r="3023" spans="1:6" ht="14.4">
      <c r="A3023">
        <v>39861</v>
      </c>
      <c r="B3023" t="s">
        <v>20520</v>
      </c>
      <c r="C3023" t="s">
        <v>2269</v>
      </c>
      <c r="D3023" t="s">
        <v>2271</v>
      </c>
      <c r="E3023" s="527" t="s">
        <v>20360</v>
      </c>
      <c r="F3023" s="219"/>
    </row>
    <row r="3024" spans="1:6" ht="14.4">
      <c r="A3024">
        <v>38447</v>
      </c>
      <c r="B3024" t="s">
        <v>20521</v>
      </c>
      <c r="C3024" t="s">
        <v>2269</v>
      </c>
      <c r="D3024" t="s">
        <v>2271</v>
      </c>
      <c r="E3024" s="527" t="s">
        <v>20522</v>
      </c>
      <c r="F3024" s="220"/>
    </row>
    <row r="3025" spans="1:6" ht="14.4">
      <c r="A3025">
        <v>36320</v>
      </c>
      <c r="B3025" t="s">
        <v>20523</v>
      </c>
      <c r="C3025" t="s">
        <v>2269</v>
      </c>
      <c r="D3025" t="s">
        <v>2271</v>
      </c>
      <c r="E3025" s="527" t="s">
        <v>15830</v>
      </c>
      <c r="F3025" s="219"/>
    </row>
    <row r="3026" spans="1:6" ht="14.4">
      <c r="A3026">
        <v>36324</v>
      </c>
      <c r="B3026" t="s">
        <v>20524</v>
      </c>
      <c r="C3026" t="s">
        <v>2269</v>
      </c>
      <c r="D3026" t="s">
        <v>2271</v>
      </c>
      <c r="E3026" s="527" t="s">
        <v>16158</v>
      </c>
      <c r="F3026" s="220"/>
    </row>
    <row r="3027" spans="1:6" ht="14.4">
      <c r="A3027">
        <v>38441</v>
      </c>
      <c r="B3027" t="s">
        <v>20525</v>
      </c>
      <c r="C3027" t="s">
        <v>2269</v>
      </c>
      <c r="D3027" t="s">
        <v>2271</v>
      </c>
      <c r="E3027" s="527" t="s">
        <v>5235</v>
      </c>
      <c r="F3027" s="219"/>
    </row>
    <row r="3028" spans="1:6" ht="14.4">
      <c r="A3028">
        <v>38442</v>
      </c>
      <c r="B3028" t="s">
        <v>20526</v>
      </c>
      <c r="C3028" t="s">
        <v>2269</v>
      </c>
      <c r="D3028" t="s">
        <v>2271</v>
      </c>
      <c r="E3028" s="527" t="s">
        <v>7330</v>
      </c>
      <c r="F3028" s="220"/>
    </row>
    <row r="3029" spans="1:6" ht="14.4">
      <c r="A3029">
        <v>38443</v>
      </c>
      <c r="B3029" t="s">
        <v>20527</v>
      </c>
      <c r="C3029" t="s">
        <v>2269</v>
      </c>
      <c r="D3029" t="s">
        <v>2271</v>
      </c>
      <c r="E3029" s="527" t="s">
        <v>9569</v>
      </c>
      <c r="F3029" s="219"/>
    </row>
    <row r="3030" spans="1:6" ht="14.4">
      <c r="A3030">
        <v>38444</v>
      </c>
      <c r="B3030" t="s">
        <v>20528</v>
      </c>
      <c r="C3030" t="s">
        <v>2269</v>
      </c>
      <c r="D3030" t="s">
        <v>2271</v>
      </c>
      <c r="E3030" s="527" t="s">
        <v>10216</v>
      </c>
      <c r="F3030" s="220"/>
    </row>
    <row r="3031" spans="1:6" ht="14.4">
      <c r="A3031">
        <v>38445</v>
      </c>
      <c r="B3031" t="s">
        <v>20529</v>
      </c>
      <c r="C3031" t="s">
        <v>2269</v>
      </c>
      <c r="D3031" t="s">
        <v>2271</v>
      </c>
      <c r="E3031" s="527" t="s">
        <v>16477</v>
      </c>
      <c r="F3031" s="219"/>
    </row>
    <row r="3032" spans="1:6" ht="14.4">
      <c r="A3032">
        <v>38446</v>
      </c>
      <c r="B3032" t="s">
        <v>20530</v>
      </c>
      <c r="C3032" t="s">
        <v>2269</v>
      </c>
      <c r="D3032" t="s">
        <v>2271</v>
      </c>
      <c r="E3032" s="527" t="s">
        <v>13438</v>
      </c>
      <c r="F3032" s="220"/>
    </row>
    <row r="3033" spans="1:6" ht="14.4">
      <c r="A3033">
        <v>3867</v>
      </c>
      <c r="B3033" t="s">
        <v>20531</v>
      </c>
      <c r="C3033" t="s">
        <v>2269</v>
      </c>
      <c r="D3033" t="s">
        <v>1857</v>
      </c>
      <c r="E3033" s="527" t="s">
        <v>20532</v>
      </c>
      <c r="F3033" s="219"/>
    </row>
    <row r="3034" spans="1:6" ht="14.4">
      <c r="A3034">
        <v>3861</v>
      </c>
      <c r="B3034" t="s">
        <v>20533</v>
      </c>
      <c r="C3034" t="s">
        <v>2269</v>
      </c>
      <c r="D3034" t="s">
        <v>1857</v>
      </c>
      <c r="E3034" s="527" t="s">
        <v>3011</v>
      </c>
      <c r="F3034" s="220"/>
    </row>
    <row r="3035" spans="1:6" ht="14.4">
      <c r="A3035">
        <v>3904</v>
      </c>
      <c r="B3035" t="s">
        <v>20534</v>
      </c>
      <c r="C3035" t="s">
        <v>2269</v>
      </c>
      <c r="D3035" t="s">
        <v>1857</v>
      </c>
      <c r="E3035" s="527" t="s">
        <v>6409</v>
      </c>
      <c r="F3035" s="219"/>
    </row>
    <row r="3036" spans="1:6" ht="14.4">
      <c r="A3036">
        <v>3903</v>
      </c>
      <c r="B3036" t="s">
        <v>20535</v>
      </c>
      <c r="C3036" t="s">
        <v>2269</v>
      </c>
      <c r="D3036" t="s">
        <v>1857</v>
      </c>
      <c r="E3036" s="527" t="s">
        <v>7365</v>
      </c>
      <c r="F3036" s="220"/>
    </row>
    <row r="3037" spans="1:6" ht="14.4">
      <c r="A3037">
        <v>3862</v>
      </c>
      <c r="B3037" t="s">
        <v>20536</v>
      </c>
      <c r="C3037" t="s">
        <v>2269</v>
      </c>
      <c r="D3037" t="s">
        <v>1857</v>
      </c>
      <c r="E3037" s="527" t="s">
        <v>6364</v>
      </c>
      <c r="F3037" s="219"/>
    </row>
    <row r="3038" spans="1:6" ht="14.4">
      <c r="A3038">
        <v>3863</v>
      </c>
      <c r="B3038" t="s">
        <v>20537</v>
      </c>
      <c r="C3038" t="s">
        <v>2269</v>
      </c>
      <c r="D3038" t="s">
        <v>1857</v>
      </c>
      <c r="E3038" s="527" t="s">
        <v>7704</v>
      </c>
      <c r="F3038" s="220"/>
    </row>
    <row r="3039" spans="1:6" ht="14.4">
      <c r="A3039">
        <v>3864</v>
      </c>
      <c r="B3039" t="s">
        <v>20538</v>
      </c>
      <c r="C3039" t="s">
        <v>2269</v>
      </c>
      <c r="D3039" t="s">
        <v>1857</v>
      </c>
      <c r="E3039" s="527" t="s">
        <v>10101</v>
      </c>
      <c r="F3039" s="219"/>
    </row>
    <row r="3040" spans="1:6" ht="14.4">
      <c r="A3040">
        <v>3865</v>
      </c>
      <c r="B3040" t="s">
        <v>20539</v>
      </c>
      <c r="C3040" t="s">
        <v>2269</v>
      </c>
      <c r="D3040" t="s">
        <v>1857</v>
      </c>
      <c r="E3040" s="527" t="s">
        <v>20540</v>
      </c>
      <c r="F3040" s="220"/>
    </row>
    <row r="3041" spans="1:6" ht="14.4">
      <c r="A3041">
        <v>3866</v>
      </c>
      <c r="B3041" t="s">
        <v>20541</v>
      </c>
      <c r="C3041" t="s">
        <v>2269</v>
      </c>
      <c r="D3041" t="s">
        <v>1857</v>
      </c>
      <c r="E3041" s="527" t="s">
        <v>10200</v>
      </c>
      <c r="F3041" s="219"/>
    </row>
    <row r="3042" spans="1:6" ht="14.4">
      <c r="A3042">
        <v>3902</v>
      </c>
      <c r="B3042" t="s">
        <v>20542</v>
      </c>
      <c r="C3042" t="s">
        <v>2269</v>
      </c>
      <c r="D3042" t="s">
        <v>1857</v>
      </c>
      <c r="E3042" s="527" t="s">
        <v>16568</v>
      </c>
      <c r="F3042" s="220"/>
    </row>
    <row r="3043" spans="1:6" ht="14.4">
      <c r="A3043">
        <v>3878</v>
      </c>
      <c r="B3043" t="s">
        <v>20543</v>
      </c>
      <c r="C3043" t="s">
        <v>2269</v>
      </c>
      <c r="D3043" t="s">
        <v>1857</v>
      </c>
      <c r="E3043" s="527" t="s">
        <v>10251</v>
      </c>
      <c r="F3043" s="219"/>
    </row>
    <row r="3044" spans="1:6" ht="14.4">
      <c r="A3044">
        <v>3877</v>
      </c>
      <c r="B3044" t="s">
        <v>20544</v>
      </c>
      <c r="C3044" t="s">
        <v>2269</v>
      </c>
      <c r="D3044" t="s">
        <v>1857</v>
      </c>
      <c r="E3044" s="527" t="s">
        <v>5621</v>
      </c>
      <c r="F3044" s="220"/>
    </row>
    <row r="3045" spans="1:6" ht="14.4">
      <c r="A3045">
        <v>3879</v>
      </c>
      <c r="B3045" t="s">
        <v>20545</v>
      </c>
      <c r="C3045" t="s">
        <v>2269</v>
      </c>
      <c r="D3045" t="s">
        <v>1857</v>
      </c>
      <c r="E3045" s="527" t="s">
        <v>11800</v>
      </c>
      <c r="F3045" s="219"/>
    </row>
    <row r="3046" spans="1:6" ht="14.4">
      <c r="A3046">
        <v>3880</v>
      </c>
      <c r="B3046" t="s">
        <v>20546</v>
      </c>
      <c r="C3046" t="s">
        <v>2269</v>
      </c>
      <c r="D3046" t="s">
        <v>1857</v>
      </c>
      <c r="E3046" s="527" t="s">
        <v>20547</v>
      </c>
      <c r="F3046" s="220"/>
    </row>
    <row r="3047" spans="1:6" ht="14.4">
      <c r="A3047">
        <v>12892</v>
      </c>
      <c r="B3047" t="s">
        <v>20548</v>
      </c>
      <c r="C3047" t="s">
        <v>2278</v>
      </c>
      <c r="D3047" t="s">
        <v>1857</v>
      </c>
      <c r="E3047" s="527" t="s">
        <v>16147</v>
      </c>
      <c r="F3047" s="219"/>
    </row>
    <row r="3048" spans="1:6" ht="14.4">
      <c r="A3048">
        <v>3883</v>
      </c>
      <c r="B3048" t="s">
        <v>20549</v>
      </c>
      <c r="C3048" t="s">
        <v>2269</v>
      </c>
      <c r="D3048" t="s">
        <v>1857</v>
      </c>
      <c r="E3048" s="527" t="s">
        <v>7228</v>
      </c>
      <c r="F3048" s="220"/>
    </row>
    <row r="3049" spans="1:6" ht="14.4">
      <c r="A3049">
        <v>3876</v>
      </c>
      <c r="B3049" t="s">
        <v>20550</v>
      </c>
      <c r="C3049" t="s">
        <v>2269</v>
      </c>
      <c r="D3049" t="s">
        <v>1857</v>
      </c>
      <c r="E3049" s="527" t="s">
        <v>5151</v>
      </c>
      <c r="F3049" s="219"/>
    </row>
    <row r="3050" spans="1:6" ht="14.4">
      <c r="A3050">
        <v>3884</v>
      </c>
      <c r="B3050" t="s">
        <v>20551</v>
      </c>
      <c r="C3050" t="s">
        <v>2269</v>
      </c>
      <c r="D3050" t="s">
        <v>1857</v>
      </c>
      <c r="E3050" s="527" t="s">
        <v>3958</v>
      </c>
      <c r="F3050" s="220"/>
    </row>
    <row r="3051" spans="1:6" ht="14.4">
      <c r="A3051">
        <v>3837</v>
      </c>
      <c r="B3051" t="s">
        <v>20552</v>
      </c>
      <c r="C3051" t="s">
        <v>2269</v>
      </c>
      <c r="D3051" t="s">
        <v>2271</v>
      </c>
      <c r="E3051" s="527" t="s">
        <v>19649</v>
      </c>
      <c r="F3051" s="219"/>
    </row>
    <row r="3052" spans="1:6" ht="14.4">
      <c r="A3052">
        <v>3845</v>
      </c>
      <c r="B3052" t="s">
        <v>20553</v>
      </c>
      <c r="C3052" t="s">
        <v>2269</v>
      </c>
      <c r="D3052" t="s">
        <v>2271</v>
      </c>
      <c r="E3052" s="527" t="s">
        <v>10388</v>
      </c>
      <c r="F3052" s="220"/>
    </row>
    <row r="3053" spans="1:6" ht="14.4">
      <c r="A3053">
        <v>11045</v>
      </c>
      <c r="B3053" t="s">
        <v>20554</v>
      </c>
      <c r="C3053" t="s">
        <v>2269</v>
      </c>
      <c r="D3053" t="s">
        <v>2271</v>
      </c>
      <c r="E3053" s="527" t="s">
        <v>11812</v>
      </c>
      <c r="F3053" s="219"/>
    </row>
    <row r="3054" spans="1:6" ht="14.4">
      <c r="A3054">
        <v>20170</v>
      </c>
      <c r="B3054" t="s">
        <v>20555</v>
      </c>
      <c r="C3054" t="s">
        <v>2269</v>
      </c>
      <c r="D3054" t="s">
        <v>1857</v>
      </c>
      <c r="E3054" s="527" t="s">
        <v>10265</v>
      </c>
      <c r="F3054" s="220"/>
    </row>
    <row r="3055" spans="1:6" ht="14.4">
      <c r="A3055">
        <v>20171</v>
      </c>
      <c r="B3055" t="s">
        <v>20556</v>
      </c>
      <c r="C3055" t="s">
        <v>2269</v>
      </c>
      <c r="D3055" t="s">
        <v>1857</v>
      </c>
      <c r="E3055" s="527" t="s">
        <v>10642</v>
      </c>
      <c r="F3055" s="219"/>
    </row>
    <row r="3056" spans="1:6" ht="14.4">
      <c r="A3056">
        <v>20167</v>
      </c>
      <c r="B3056" t="s">
        <v>20557</v>
      </c>
      <c r="C3056" t="s">
        <v>2269</v>
      </c>
      <c r="D3056" t="s">
        <v>1857</v>
      </c>
      <c r="E3056" s="527" t="s">
        <v>7704</v>
      </c>
      <c r="F3056" s="220"/>
    </row>
    <row r="3057" spans="1:6" ht="14.4">
      <c r="A3057">
        <v>20168</v>
      </c>
      <c r="B3057" t="s">
        <v>20558</v>
      </c>
      <c r="C3057" t="s">
        <v>2269</v>
      </c>
      <c r="D3057" t="s">
        <v>1857</v>
      </c>
      <c r="E3057" s="527" t="s">
        <v>10147</v>
      </c>
      <c r="F3057" s="219"/>
    </row>
    <row r="3058" spans="1:6" ht="14.4">
      <c r="A3058">
        <v>20169</v>
      </c>
      <c r="B3058" t="s">
        <v>20559</v>
      </c>
      <c r="C3058" t="s">
        <v>2269</v>
      </c>
      <c r="D3058" t="s">
        <v>1857</v>
      </c>
      <c r="E3058" s="527" t="s">
        <v>10774</v>
      </c>
      <c r="F3058" s="220"/>
    </row>
    <row r="3059" spans="1:6" ht="14.4">
      <c r="A3059">
        <v>3899</v>
      </c>
      <c r="B3059" t="s">
        <v>20560</v>
      </c>
      <c r="C3059" t="s">
        <v>2269</v>
      </c>
      <c r="D3059" t="s">
        <v>1857</v>
      </c>
      <c r="E3059" s="527" t="s">
        <v>15791</v>
      </c>
      <c r="F3059" s="219"/>
    </row>
    <row r="3060" spans="1:6" ht="14.4">
      <c r="A3060">
        <v>38676</v>
      </c>
      <c r="B3060" t="s">
        <v>20561</v>
      </c>
      <c r="C3060" t="s">
        <v>2269</v>
      </c>
      <c r="D3060" t="s">
        <v>1857</v>
      </c>
      <c r="E3060" s="527" t="s">
        <v>20562</v>
      </c>
      <c r="F3060" s="220"/>
    </row>
    <row r="3061" spans="1:6" ht="14.4">
      <c r="A3061">
        <v>3897</v>
      </c>
      <c r="B3061" t="s">
        <v>20563</v>
      </c>
      <c r="C3061" t="s">
        <v>2269</v>
      </c>
      <c r="D3061" t="s">
        <v>1857</v>
      </c>
      <c r="E3061" s="527" t="s">
        <v>4153</v>
      </c>
      <c r="F3061" s="219"/>
    </row>
    <row r="3062" spans="1:6" ht="14.4">
      <c r="A3062">
        <v>3875</v>
      </c>
      <c r="B3062" t="s">
        <v>20564</v>
      </c>
      <c r="C3062" t="s">
        <v>2269</v>
      </c>
      <c r="D3062" t="s">
        <v>1857</v>
      </c>
      <c r="E3062" s="527" t="s">
        <v>20235</v>
      </c>
      <c r="F3062" s="220"/>
    </row>
    <row r="3063" spans="1:6" ht="14.4">
      <c r="A3063">
        <v>3898</v>
      </c>
      <c r="B3063" t="s">
        <v>20565</v>
      </c>
      <c r="C3063" t="s">
        <v>2269</v>
      </c>
      <c r="D3063" t="s">
        <v>1857</v>
      </c>
      <c r="E3063" s="527" t="s">
        <v>16252</v>
      </c>
      <c r="F3063" s="219"/>
    </row>
    <row r="3064" spans="1:6" ht="14.4">
      <c r="A3064">
        <v>3855</v>
      </c>
      <c r="B3064" t="s">
        <v>20566</v>
      </c>
      <c r="C3064" t="s">
        <v>2269</v>
      </c>
      <c r="D3064" t="s">
        <v>1857</v>
      </c>
      <c r="E3064" s="527" t="s">
        <v>16787</v>
      </c>
      <c r="F3064" s="220"/>
    </row>
    <row r="3065" spans="1:6" ht="14.4">
      <c r="A3065">
        <v>3874</v>
      </c>
      <c r="B3065" t="s">
        <v>20567</v>
      </c>
      <c r="C3065" t="s">
        <v>2269</v>
      </c>
      <c r="D3065" t="s">
        <v>1857</v>
      </c>
      <c r="E3065" s="527" t="s">
        <v>4080</v>
      </c>
      <c r="F3065" s="219"/>
    </row>
    <row r="3066" spans="1:6" ht="14.4">
      <c r="A3066">
        <v>3870</v>
      </c>
      <c r="B3066" t="s">
        <v>20568</v>
      </c>
      <c r="C3066" t="s">
        <v>2269</v>
      </c>
      <c r="D3066" t="s">
        <v>1857</v>
      </c>
      <c r="E3066" s="527" t="s">
        <v>6359</v>
      </c>
      <c r="F3066" s="220"/>
    </row>
    <row r="3067" spans="1:6" ht="14.4">
      <c r="A3067">
        <v>38678</v>
      </c>
      <c r="B3067" t="s">
        <v>20569</v>
      </c>
      <c r="C3067" t="s">
        <v>2269</v>
      </c>
      <c r="D3067" t="s">
        <v>1857</v>
      </c>
      <c r="E3067" s="527" t="s">
        <v>10625</v>
      </c>
      <c r="F3067" s="219"/>
    </row>
    <row r="3068" spans="1:6" ht="14.4">
      <c r="A3068">
        <v>3859</v>
      </c>
      <c r="B3068" t="s">
        <v>20570</v>
      </c>
      <c r="C3068" t="s">
        <v>2269</v>
      </c>
      <c r="D3068" t="s">
        <v>1857</v>
      </c>
      <c r="E3068" s="527" t="s">
        <v>6502</v>
      </c>
      <c r="F3068" s="220"/>
    </row>
    <row r="3069" spans="1:6" ht="14.4">
      <c r="A3069">
        <v>3856</v>
      </c>
      <c r="B3069" t="s">
        <v>20571</v>
      </c>
      <c r="C3069" t="s">
        <v>2269</v>
      </c>
      <c r="D3069" t="s">
        <v>1857</v>
      </c>
      <c r="E3069" s="527" t="s">
        <v>4995</v>
      </c>
      <c r="F3069" s="219"/>
    </row>
    <row r="3070" spans="1:6" ht="14.4">
      <c r="A3070">
        <v>3906</v>
      </c>
      <c r="B3070" t="s">
        <v>20572</v>
      </c>
      <c r="C3070" t="s">
        <v>2269</v>
      </c>
      <c r="D3070" t="s">
        <v>1857</v>
      </c>
      <c r="E3070" s="527" t="s">
        <v>6638</v>
      </c>
      <c r="F3070" s="220"/>
    </row>
    <row r="3071" spans="1:6" ht="14.4">
      <c r="A3071">
        <v>3860</v>
      </c>
      <c r="B3071" t="s">
        <v>20573</v>
      </c>
      <c r="C3071" t="s">
        <v>2269</v>
      </c>
      <c r="D3071" t="s">
        <v>1857</v>
      </c>
      <c r="E3071" s="527" t="s">
        <v>3189</v>
      </c>
      <c r="F3071" s="219"/>
    </row>
    <row r="3072" spans="1:6" ht="14.4">
      <c r="A3072">
        <v>3905</v>
      </c>
      <c r="B3072" t="s">
        <v>20574</v>
      </c>
      <c r="C3072" t="s">
        <v>2269</v>
      </c>
      <c r="D3072" t="s">
        <v>1857</v>
      </c>
      <c r="E3072" s="527" t="s">
        <v>7630</v>
      </c>
      <c r="F3072" s="220"/>
    </row>
    <row r="3073" spans="1:6" ht="14.4">
      <c r="A3073">
        <v>3871</v>
      </c>
      <c r="B3073" t="s">
        <v>20575</v>
      </c>
      <c r="C3073" t="s">
        <v>2269</v>
      </c>
      <c r="D3073" t="s">
        <v>1857</v>
      </c>
      <c r="E3073" s="527" t="s">
        <v>20576</v>
      </c>
      <c r="F3073" s="219"/>
    </row>
    <row r="3074" spans="1:6" ht="14.4">
      <c r="A3074">
        <v>37429</v>
      </c>
      <c r="B3074" t="s">
        <v>20577</v>
      </c>
      <c r="C3074" t="s">
        <v>2269</v>
      </c>
      <c r="D3074" t="s">
        <v>2271</v>
      </c>
      <c r="E3074" s="527" t="s">
        <v>20578</v>
      </c>
      <c r="F3074" s="220"/>
    </row>
    <row r="3075" spans="1:6" ht="14.4">
      <c r="A3075">
        <v>37426</v>
      </c>
      <c r="B3075" t="s">
        <v>20579</v>
      </c>
      <c r="C3075" t="s">
        <v>2269</v>
      </c>
      <c r="D3075" t="s">
        <v>2271</v>
      </c>
      <c r="E3075" s="527" t="s">
        <v>13153</v>
      </c>
      <c r="F3075" s="219"/>
    </row>
    <row r="3076" spans="1:6" ht="14.4">
      <c r="A3076">
        <v>37427</v>
      </c>
      <c r="B3076" t="s">
        <v>20580</v>
      </c>
      <c r="C3076" t="s">
        <v>2269</v>
      </c>
      <c r="D3076" t="s">
        <v>2271</v>
      </c>
      <c r="E3076" s="527" t="s">
        <v>20581</v>
      </c>
      <c r="F3076" s="220"/>
    </row>
    <row r="3077" spans="1:6" ht="14.4">
      <c r="A3077">
        <v>37424</v>
      </c>
      <c r="B3077" t="s">
        <v>20582</v>
      </c>
      <c r="C3077" t="s">
        <v>2269</v>
      </c>
      <c r="D3077" t="s">
        <v>2271</v>
      </c>
      <c r="E3077" s="527" t="s">
        <v>15828</v>
      </c>
      <c r="F3077" s="219"/>
    </row>
    <row r="3078" spans="1:6" ht="14.4">
      <c r="A3078">
        <v>37428</v>
      </c>
      <c r="B3078" t="s">
        <v>20583</v>
      </c>
      <c r="C3078" t="s">
        <v>2269</v>
      </c>
      <c r="D3078" t="s">
        <v>2271</v>
      </c>
      <c r="E3078" s="527" t="s">
        <v>20584</v>
      </c>
      <c r="F3078" s="220"/>
    </row>
    <row r="3079" spans="1:6" ht="14.4">
      <c r="A3079">
        <v>37425</v>
      </c>
      <c r="B3079" t="s">
        <v>20585</v>
      </c>
      <c r="C3079" t="s">
        <v>2269</v>
      </c>
      <c r="D3079" t="s">
        <v>2271</v>
      </c>
      <c r="E3079" s="527" t="s">
        <v>16572</v>
      </c>
      <c r="F3079" s="219"/>
    </row>
    <row r="3080" spans="1:6" ht="14.4">
      <c r="A3080">
        <v>11519</v>
      </c>
      <c r="B3080" t="s">
        <v>20586</v>
      </c>
      <c r="C3080" t="s">
        <v>2278</v>
      </c>
      <c r="D3080" t="s">
        <v>1857</v>
      </c>
      <c r="E3080" s="527" t="s">
        <v>16287</v>
      </c>
      <c r="F3080" s="220"/>
    </row>
    <row r="3081" spans="1:6" ht="14.4">
      <c r="A3081">
        <v>11520</v>
      </c>
      <c r="B3081" t="s">
        <v>20587</v>
      </c>
      <c r="C3081" t="s">
        <v>2278</v>
      </c>
      <c r="D3081" t="s">
        <v>1857</v>
      </c>
      <c r="E3081" s="527" t="s">
        <v>9912</v>
      </c>
      <c r="F3081" s="219"/>
    </row>
    <row r="3082" spans="1:6" ht="14.4">
      <c r="A3082">
        <v>11518</v>
      </c>
      <c r="B3082" t="s">
        <v>20588</v>
      </c>
      <c r="C3082" t="s">
        <v>2278</v>
      </c>
      <c r="D3082" t="s">
        <v>1857</v>
      </c>
      <c r="E3082" s="527" t="s">
        <v>20589</v>
      </c>
      <c r="F3082" s="220"/>
    </row>
    <row r="3083" spans="1:6" ht="14.4">
      <c r="A3083">
        <v>38473</v>
      </c>
      <c r="B3083" t="s">
        <v>20590</v>
      </c>
      <c r="C3083" t="s">
        <v>2269</v>
      </c>
      <c r="D3083" t="s">
        <v>1857</v>
      </c>
      <c r="E3083" s="527" t="s">
        <v>20591</v>
      </c>
      <c r="F3083" s="219"/>
    </row>
    <row r="3084" spans="1:6" ht="14.4">
      <c r="A3084">
        <v>4244</v>
      </c>
      <c r="B3084" t="s">
        <v>20592</v>
      </c>
      <c r="C3084" t="s">
        <v>2267</v>
      </c>
      <c r="D3084" t="s">
        <v>1857</v>
      </c>
      <c r="E3084" s="527" t="s">
        <v>10074</v>
      </c>
      <c r="F3084" s="220"/>
    </row>
    <row r="3085" spans="1:6" ht="14.4">
      <c r="A3085">
        <v>40977</v>
      </c>
      <c r="B3085" t="s">
        <v>20593</v>
      </c>
      <c r="C3085" t="s">
        <v>2276</v>
      </c>
      <c r="D3085" t="s">
        <v>1857</v>
      </c>
      <c r="E3085" s="527" t="s">
        <v>20594</v>
      </c>
      <c r="F3085" s="219"/>
    </row>
    <row r="3086" spans="1:6" ht="14.4">
      <c r="A3086">
        <v>4115</v>
      </c>
      <c r="B3086" t="s">
        <v>20595</v>
      </c>
      <c r="C3086" t="s">
        <v>2273</v>
      </c>
      <c r="D3086" t="s">
        <v>2271</v>
      </c>
      <c r="E3086" s="527" t="s">
        <v>16148</v>
      </c>
      <c r="F3086" s="220"/>
    </row>
    <row r="3087" spans="1:6" ht="14.4">
      <c r="A3087">
        <v>4119</v>
      </c>
      <c r="B3087" t="s">
        <v>20596</v>
      </c>
      <c r="C3087" t="s">
        <v>2273</v>
      </c>
      <c r="D3087" t="s">
        <v>2271</v>
      </c>
      <c r="E3087" s="527" t="s">
        <v>11636</v>
      </c>
      <c r="F3087" s="219"/>
    </row>
    <row r="3088" spans="1:6" ht="14.4">
      <c r="A3088">
        <v>2794</v>
      </c>
      <c r="B3088" t="s">
        <v>20597</v>
      </c>
      <c r="C3088" t="s">
        <v>2273</v>
      </c>
      <c r="D3088" t="s">
        <v>2271</v>
      </c>
      <c r="E3088" s="527" t="s">
        <v>20598</v>
      </c>
      <c r="F3088" s="220"/>
    </row>
    <row r="3089" spans="1:6" ht="14.4">
      <c r="A3089">
        <v>2788</v>
      </c>
      <c r="B3089" t="s">
        <v>20599</v>
      </c>
      <c r="C3089" t="s">
        <v>2273</v>
      </c>
      <c r="D3089" t="s">
        <v>2271</v>
      </c>
      <c r="E3089" s="527" t="s">
        <v>20600</v>
      </c>
      <c r="F3089" s="219"/>
    </row>
    <row r="3090" spans="1:6" ht="14.4">
      <c r="A3090">
        <v>4006</v>
      </c>
      <c r="B3090" t="s">
        <v>20601</v>
      </c>
      <c r="C3090" t="s">
        <v>2272</v>
      </c>
      <c r="D3090" t="s">
        <v>1857</v>
      </c>
      <c r="E3090" s="527" t="s">
        <v>20602</v>
      </c>
      <c r="F3090" s="220"/>
    </row>
    <row r="3091" spans="1:6" ht="14.4">
      <c r="A3091">
        <v>36151</v>
      </c>
      <c r="B3091" t="s">
        <v>20603</v>
      </c>
      <c r="C3091" t="s">
        <v>2269</v>
      </c>
      <c r="D3091" t="s">
        <v>1857</v>
      </c>
      <c r="E3091" s="527" t="s">
        <v>10031</v>
      </c>
      <c r="F3091" s="219"/>
    </row>
    <row r="3092" spans="1:6" ht="14.4">
      <c r="A3092">
        <v>37457</v>
      </c>
      <c r="B3092" t="s">
        <v>20604</v>
      </c>
      <c r="C3092" t="s">
        <v>2273</v>
      </c>
      <c r="D3092" t="s">
        <v>1857</v>
      </c>
      <c r="E3092" s="527" t="s">
        <v>9473</v>
      </c>
      <c r="F3092" s="220"/>
    </row>
    <row r="3093" spans="1:6" ht="14.4">
      <c r="A3093">
        <v>37456</v>
      </c>
      <c r="B3093" t="s">
        <v>20605</v>
      </c>
      <c r="C3093" t="s">
        <v>2273</v>
      </c>
      <c r="D3093" t="s">
        <v>1857</v>
      </c>
      <c r="E3093" s="527" t="s">
        <v>6910</v>
      </c>
      <c r="F3093" s="219"/>
    </row>
    <row r="3094" spans="1:6" ht="14.4">
      <c r="A3094">
        <v>37461</v>
      </c>
      <c r="B3094" t="s">
        <v>20606</v>
      </c>
      <c r="C3094" t="s">
        <v>2273</v>
      </c>
      <c r="D3094" t="s">
        <v>1857</v>
      </c>
      <c r="E3094" s="527" t="s">
        <v>9534</v>
      </c>
      <c r="F3094" s="220"/>
    </row>
    <row r="3095" spans="1:6" ht="14.4">
      <c r="A3095">
        <v>37460</v>
      </c>
      <c r="B3095" t="s">
        <v>20607</v>
      </c>
      <c r="C3095" t="s">
        <v>2273</v>
      </c>
      <c r="D3095" t="s">
        <v>1857</v>
      </c>
      <c r="E3095" s="527" t="s">
        <v>16428</v>
      </c>
      <c r="F3095" s="219"/>
    </row>
    <row r="3096" spans="1:6" ht="14.4">
      <c r="A3096">
        <v>37458</v>
      </c>
      <c r="B3096" t="s">
        <v>20608</v>
      </c>
      <c r="C3096" t="s">
        <v>2273</v>
      </c>
      <c r="D3096" t="s">
        <v>2268</v>
      </c>
      <c r="E3096" s="527" t="s">
        <v>4622</v>
      </c>
      <c r="F3096" s="220"/>
    </row>
    <row r="3097" spans="1:6" ht="14.4">
      <c r="A3097">
        <v>37454</v>
      </c>
      <c r="B3097" t="s">
        <v>20609</v>
      </c>
      <c r="C3097" t="s">
        <v>2273</v>
      </c>
      <c r="D3097" t="s">
        <v>1857</v>
      </c>
      <c r="E3097" s="527" t="s">
        <v>7336</v>
      </c>
      <c r="F3097" s="219"/>
    </row>
    <row r="3098" spans="1:6" ht="14.4">
      <c r="A3098">
        <v>37455</v>
      </c>
      <c r="B3098" t="s">
        <v>20610</v>
      </c>
      <c r="C3098" t="s">
        <v>2273</v>
      </c>
      <c r="D3098" t="s">
        <v>1857</v>
      </c>
      <c r="E3098" s="527" t="s">
        <v>3508</v>
      </c>
      <c r="F3098" s="220"/>
    </row>
    <row r="3099" spans="1:6" ht="14.4">
      <c r="A3099">
        <v>37459</v>
      </c>
      <c r="B3099" t="s">
        <v>20611</v>
      </c>
      <c r="C3099" t="s">
        <v>2273</v>
      </c>
      <c r="D3099" t="s">
        <v>1857</v>
      </c>
      <c r="E3099" s="527" t="s">
        <v>4968</v>
      </c>
      <c r="F3099" s="219"/>
    </row>
    <row r="3100" spans="1:6" ht="14.4">
      <c r="A3100">
        <v>21029</v>
      </c>
      <c r="B3100" t="s">
        <v>20612</v>
      </c>
      <c r="C3100" t="s">
        <v>2269</v>
      </c>
      <c r="D3100" t="s">
        <v>2268</v>
      </c>
      <c r="E3100" s="527" t="s">
        <v>20613</v>
      </c>
      <c r="F3100" s="220"/>
    </row>
    <row r="3101" spans="1:6" ht="14.4">
      <c r="A3101">
        <v>21030</v>
      </c>
      <c r="B3101" t="s">
        <v>20614</v>
      </c>
      <c r="C3101" t="s">
        <v>2269</v>
      </c>
      <c r="D3101" t="s">
        <v>1857</v>
      </c>
      <c r="E3101" s="527" t="s">
        <v>20615</v>
      </c>
      <c r="F3101" s="219"/>
    </row>
    <row r="3102" spans="1:6" ht="14.4">
      <c r="A3102">
        <v>21031</v>
      </c>
      <c r="B3102" t="s">
        <v>20616</v>
      </c>
      <c r="C3102" t="s">
        <v>2269</v>
      </c>
      <c r="D3102" t="s">
        <v>1857</v>
      </c>
      <c r="E3102" s="527" t="s">
        <v>20617</v>
      </c>
      <c r="F3102" s="220"/>
    </row>
    <row r="3103" spans="1:6" ht="14.4">
      <c r="A3103">
        <v>21032</v>
      </c>
      <c r="B3103" t="s">
        <v>20618</v>
      </c>
      <c r="C3103" t="s">
        <v>2269</v>
      </c>
      <c r="D3103" t="s">
        <v>1857</v>
      </c>
      <c r="E3103" s="527" t="s">
        <v>20619</v>
      </c>
      <c r="F3103" s="219"/>
    </row>
    <row r="3104" spans="1:6" ht="14.4">
      <c r="A3104">
        <v>37527</v>
      </c>
      <c r="B3104" t="s">
        <v>20620</v>
      </c>
      <c r="C3104" t="s">
        <v>2269</v>
      </c>
      <c r="D3104" t="s">
        <v>1857</v>
      </c>
      <c r="E3104" s="527" t="s">
        <v>20621</v>
      </c>
      <c r="F3104" s="220"/>
    </row>
    <row r="3105" spans="1:6" ht="14.4">
      <c r="A3105">
        <v>37528</v>
      </c>
      <c r="B3105" t="s">
        <v>20622</v>
      </c>
      <c r="C3105" t="s">
        <v>2269</v>
      </c>
      <c r="D3105" t="s">
        <v>1857</v>
      </c>
      <c r="E3105" s="527" t="s">
        <v>20623</v>
      </c>
      <c r="F3105" s="219"/>
    </row>
    <row r="3106" spans="1:6" ht="14.4">
      <c r="A3106">
        <v>37529</v>
      </c>
      <c r="B3106" t="s">
        <v>20624</v>
      </c>
      <c r="C3106" t="s">
        <v>2269</v>
      </c>
      <c r="D3106" t="s">
        <v>1857</v>
      </c>
      <c r="E3106" s="527" t="s">
        <v>20625</v>
      </c>
      <c r="F3106" s="220"/>
    </row>
    <row r="3107" spans="1:6" ht="14.4">
      <c r="A3107">
        <v>37530</v>
      </c>
      <c r="B3107" t="s">
        <v>20626</v>
      </c>
      <c r="C3107" t="s">
        <v>2269</v>
      </c>
      <c r="D3107" t="s">
        <v>1857</v>
      </c>
      <c r="E3107" s="527" t="s">
        <v>20627</v>
      </c>
      <c r="F3107" s="219"/>
    </row>
    <row r="3108" spans="1:6" ht="14.4">
      <c r="A3108">
        <v>21034</v>
      </c>
      <c r="B3108" t="s">
        <v>20628</v>
      </c>
      <c r="C3108" t="s">
        <v>2269</v>
      </c>
      <c r="D3108" t="s">
        <v>1857</v>
      </c>
      <c r="E3108" s="527" t="s">
        <v>20629</v>
      </c>
      <c r="F3108" s="220"/>
    </row>
    <row r="3109" spans="1:6" ht="14.4">
      <c r="A3109">
        <v>37531</v>
      </c>
      <c r="B3109" t="s">
        <v>20630</v>
      </c>
      <c r="C3109" t="s">
        <v>2269</v>
      </c>
      <c r="D3109" t="s">
        <v>1857</v>
      </c>
      <c r="E3109" s="527" t="s">
        <v>20631</v>
      </c>
      <c r="F3109" s="219"/>
    </row>
    <row r="3110" spans="1:6" ht="14.4">
      <c r="A3110">
        <v>21036</v>
      </c>
      <c r="B3110" t="s">
        <v>20632</v>
      </c>
      <c r="C3110" t="s">
        <v>2269</v>
      </c>
      <c r="D3110" t="s">
        <v>1857</v>
      </c>
      <c r="E3110" s="527" t="s">
        <v>20633</v>
      </c>
      <c r="F3110" s="220"/>
    </row>
    <row r="3111" spans="1:6" ht="14.4">
      <c r="A3111">
        <v>21037</v>
      </c>
      <c r="B3111" t="s">
        <v>20634</v>
      </c>
      <c r="C3111" t="s">
        <v>2269</v>
      </c>
      <c r="D3111" t="s">
        <v>1857</v>
      </c>
      <c r="E3111" s="527" t="s">
        <v>20635</v>
      </c>
      <c r="F3111" s="219"/>
    </row>
    <row r="3112" spans="1:6" ht="14.4">
      <c r="A3112">
        <v>20185</v>
      </c>
      <c r="B3112" t="s">
        <v>20636</v>
      </c>
      <c r="C3112" t="s">
        <v>2273</v>
      </c>
      <c r="D3112" t="s">
        <v>1857</v>
      </c>
      <c r="E3112" s="527" t="s">
        <v>5106</v>
      </c>
      <c r="F3112" s="220"/>
    </row>
    <row r="3113" spans="1:6" ht="14.4">
      <c r="A3113">
        <v>20260</v>
      </c>
      <c r="B3113" t="s">
        <v>20637</v>
      </c>
      <c r="C3113" t="s">
        <v>2269</v>
      </c>
      <c r="D3113" t="s">
        <v>1857</v>
      </c>
      <c r="E3113" s="527" t="s">
        <v>9912</v>
      </c>
      <c r="F3113" s="219"/>
    </row>
    <row r="3114" spans="1:6" ht="14.4">
      <c r="A3114">
        <v>37523</v>
      </c>
      <c r="B3114" t="s">
        <v>20638</v>
      </c>
      <c r="C3114" t="s">
        <v>2269</v>
      </c>
      <c r="D3114" t="s">
        <v>2271</v>
      </c>
      <c r="E3114" s="527" t="s">
        <v>15500</v>
      </c>
      <c r="F3114" s="220"/>
    </row>
    <row r="3115" spans="1:6" ht="14.4">
      <c r="A3115">
        <v>37515</v>
      </c>
      <c r="B3115" t="s">
        <v>20639</v>
      </c>
      <c r="C3115" t="s">
        <v>2269</v>
      </c>
      <c r="D3115" t="s">
        <v>2271</v>
      </c>
      <c r="E3115" s="527" t="s">
        <v>15501</v>
      </c>
      <c r="F3115" s="219"/>
    </row>
    <row r="3116" spans="1:6" ht="14.4">
      <c r="A3116">
        <v>12899</v>
      </c>
      <c r="B3116" t="s">
        <v>20640</v>
      </c>
      <c r="C3116" t="s">
        <v>2269</v>
      </c>
      <c r="D3116" t="s">
        <v>2271</v>
      </c>
      <c r="E3116" s="527" t="s">
        <v>20641</v>
      </c>
      <c r="F3116" s="220"/>
    </row>
    <row r="3117" spans="1:6" ht="14.4">
      <c r="A3117">
        <v>12898</v>
      </c>
      <c r="B3117" t="s">
        <v>20642</v>
      </c>
      <c r="C3117" t="s">
        <v>2269</v>
      </c>
      <c r="D3117" t="s">
        <v>2271</v>
      </c>
      <c r="E3117" s="527" t="s">
        <v>20643</v>
      </c>
      <c r="F3117" s="219"/>
    </row>
    <row r="3118" spans="1:6" ht="14.4">
      <c r="A3118">
        <v>42528</v>
      </c>
      <c r="B3118" t="s">
        <v>20644</v>
      </c>
      <c r="C3118" t="s">
        <v>2270</v>
      </c>
      <c r="D3118" t="s">
        <v>1857</v>
      </c>
      <c r="E3118" s="527" t="s">
        <v>9518</v>
      </c>
      <c r="F3118" s="220"/>
    </row>
    <row r="3119" spans="1:6" ht="14.4">
      <c r="A3119">
        <v>39696</v>
      </c>
      <c r="B3119" t="s">
        <v>20645</v>
      </c>
      <c r="C3119" t="s">
        <v>2270</v>
      </c>
      <c r="D3119" t="s">
        <v>2268</v>
      </c>
      <c r="E3119" s="527" t="s">
        <v>10119</v>
      </c>
      <c r="F3119" s="219"/>
    </row>
    <row r="3120" spans="1:6" ht="14.4">
      <c r="A3120">
        <v>39700</v>
      </c>
      <c r="B3120" t="s">
        <v>20646</v>
      </c>
      <c r="C3120" t="s">
        <v>2270</v>
      </c>
      <c r="D3120" t="s">
        <v>1857</v>
      </c>
      <c r="E3120" s="527" t="s">
        <v>13167</v>
      </c>
      <c r="F3120" s="220"/>
    </row>
    <row r="3121" spans="1:6" ht="14.4">
      <c r="A3121">
        <v>11621</v>
      </c>
      <c r="B3121" t="s">
        <v>20647</v>
      </c>
      <c r="C3121" t="s">
        <v>2270</v>
      </c>
      <c r="D3121" t="s">
        <v>1857</v>
      </c>
      <c r="E3121" s="527" t="s">
        <v>15388</v>
      </c>
      <c r="F3121" s="219"/>
    </row>
    <row r="3122" spans="1:6" ht="14.4">
      <c r="A3122">
        <v>4014</v>
      </c>
      <c r="B3122" t="s">
        <v>20648</v>
      </c>
      <c r="C3122" t="s">
        <v>2270</v>
      </c>
      <c r="D3122" t="s">
        <v>1857</v>
      </c>
      <c r="E3122" s="527" t="s">
        <v>20649</v>
      </c>
      <c r="F3122" s="220"/>
    </row>
    <row r="3123" spans="1:6" ht="14.4">
      <c r="A3123">
        <v>4015</v>
      </c>
      <c r="B3123" t="s">
        <v>20650</v>
      </c>
      <c r="C3123" t="s">
        <v>2270</v>
      </c>
      <c r="D3123" t="s">
        <v>1857</v>
      </c>
      <c r="E3123" s="527" t="s">
        <v>10377</v>
      </c>
      <c r="F3123" s="219"/>
    </row>
    <row r="3124" spans="1:6" ht="14.4">
      <c r="A3124">
        <v>4017</v>
      </c>
      <c r="B3124" t="s">
        <v>20651</v>
      </c>
      <c r="C3124" t="s">
        <v>2270</v>
      </c>
      <c r="D3124" t="s">
        <v>1857</v>
      </c>
      <c r="E3124" s="527" t="s">
        <v>16222</v>
      </c>
      <c r="F3124" s="220"/>
    </row>
    <row r="3125" spans="1:6" ht="14.4">
      <c r="A3125">
        <v>4016</v>
      </c>
      <c r="B3125" t="s">
        <v>20652</v>
      </c>
      <c r="C3125" t="s">
        <v>2270</v>
      </c>
      <c r="D3125" t="s">
        <v>2268</v>
      </c>
      <c r="E3125" s="527" t="s">
        <v>15567</v>
      </c>
      <c r="F3125" s="219"/>
    </row>
    <row r="3126" spans="1:6" ht="14.4">
      <c r="A3126">
        <v>39699</v>
      </c>
      <c r="B3126" t="s">
        <v>20653</v>
      </c>
      <c r="C3126" t="s">
        <v>2270</v>
      </c>
      <c r="D3126" t="s">
        <v>1857</v>
      </c>
      <c r="E3126" s="527" t="s">
        <v>10382</v>
      </c>
      <c r="F3126" s="220"/>
    </row>
    <row r="3127" spans="1:6" ht="14.4">
      <c r="A3127">
        <v>38544</v>
      </c>
      <c r="B3127" t="s">
        <v>20654</v>
      </c>
      <c r="C3127" t="s">
        <v>2270</v>
      </c>
      <c r="D3127" t="s">
        <v>1857</v>
      </c>
      <c r="E3127" s="527" t="s">
        <v>4191</v>
      </c>
      <c r="F3127" s="219"/>
    </row>
    <row r="3128" spans="1:6" ht="14.4">
      <c r="A3128">
        <v>38545</v>
      </c>
      <c r="B3128" t="s">
        <v>20655</v>
      </c>
      <c r="C3128" t="s">
        <v>2270</v>
      </c>
      <c r="D3128" t="s">
        <v>1857</v>
      </c>
      <c r="E3128" s="527" t="s">
        <v>7633</v>
      </c>
      <c r="F3128" s="220"/>
    </row>
    <row r="3129" spans="1:6" ht="14.4">
      <c r="A3129">
        <v>42527</v>
      </c>
      <c r="B3129" t="s">
        <v>20656</v>
      </c>
      <c r="C3129" t="s">
        <v>2270</v>
      </c>
      <c r="D3129" t="s">
        <v>1857</v>
      </c>
      <c r="E3129" s="527" t="s">
        <v>10686</v>
      </c>
      <c r="F3129" s="219"/>
    </row>
    <row r="3130" spans="1:6" ht="14.4">
      <c r="A3130">
        <v>39323</v>
      </c>
      <c r="B3130" t="s">
        <v>20657</v>
      </c>
      <c r="C3130" t="s">
        <v>2270</v>
      </c>
      <c r="D3130" t="s">
        <v>1857</v>
      </c>
      <c r="E3130" s="527" t="s">
        <v>10745</v>
      </c>
      <c r="F3130" s="220"/>
    </row>
    <row r="3131" spans="1:6" ht="14.4">
      <c r="A3131">
        <v>626</v>
      </c>
      <c r="B3131" t="s">
        <v>20658</v>
      </c>
      <c r="C3131" t="s">
        <v>2274</v>
      </c>
      <c r="D3131" t="s">
        <v>2268</v>
      </c>
      <c r="E3131" s="527" t="s">
        <v>5314</v>
      </c>
      <c r="F3131" s="219"/>
    </row>
    <row r="3132" spans="1:6" ht="14.4">
      <c r="A3132">
        <v>25860</v>
      </c>
      <c r="B3132" t="s">
        <v>20659</v>
      </c>
      <c r="C3132" t="s">
        <v>2270</v>
      </c>
      <c r="D3132" t="s">
        <v>2271</v>
      </c>
      <c r="E3132" s="527" t="s">
        <v>9775</v>
      </c>
      <c r="F3132" s="220"/>
    </row>
    <row r="3133" spans="1:6" ht="14.4">
      <c r="A3133">
        <v>25861</v>
      </c>
      <c r="B3133" t="s">
        <v>20660</v>
      </c>
      <c r="C3133" t="s">
        <v>2270</v>
      </c>
      <c r="D3133" t="s">
        <v>2271</v>
      </c>
      <c r="E3133" s="527" t="s">
        <v>9514</v>
      </c>
      <c r="F3133" s="219"/>
    </row>
    <row r="3134" spans="1:6" ht="14.4">
      <c r="A3134">
        <v>25862</v>
      </c>
      <c r="B3134" t="s">
        <v>20661</v>
      </c>
      <c r="C3134" t="s">
        <v>2270</v>
      </c>
      <c r="D3134" t="s">
        <v>2271</v>
      </c>
      <c r="E3134" s="527" t="s">
        <v>3266</v>
      </c>
      <c r="F3134" s="220"/>
    </row>
    <row r="3135" spans="1:6" ht="14.4">
      <c r="A3135">
        <v>25863</v>
      </c>
      <c r="B3135" t="s">
        <v>20662</v>
      </c>
      <c r="C3135" t="s">
        <v>2270</v>
      </c>
      <c r="D3135" t="s">
        <v>2271</v>
      </c>
      <c r="E3135" s="527" t="s">
        <v>15428</v>
      </c>
      <c r="F3135" s="219"/>
    </row>
    <row r="3136" spans="1:6" ht="14.4">
      <c r="A3136">
        <v>25864</v>
      </c>
      <c r="B3136" t="s">
        <v>20663</v>
      </c>
      <c r="C3136" t="s">
        <v>2270</v>
      </c>
      <c r="D3136" t="s">
        <v>2271</v>
      </c>
      <c r="E3136" s="527" t="s">
        <v>15841</v>
      </c>
      <c r="F3136" s="220"/>
    </row>
    <row r="3137" spans="1:6" ht="14.4">
      <c r="A3137">
        <v>25865</v>
      </c>
      <c r="B3137" t="s">
        <v>20664</v>
      </c>
      <c r="C3137" t="s">
        <v>2270</v>
      </c>
      <c r="D3137" t="s">
        <v>2271</v>
      </c>
      <c r="E3137" s="527" t="s">
        <v>20665</v>
      </c>
      <c r="F3137" s="219"/>
    </row>
    <row r="3138" spans="1:6" ht="14.4">
      <c r="A3138">
        <v>25866</v>
      </c>
      <c r="B3138" t="s">
        <v>20666</v>
      </c>
      <c r="C3138" t="s">
        <v>2270</v>
      </c>
      <c r="D3138" t="s">
        <v>2271</v>
      </c>
      <c r="E3138" s="527" t="s">
        <v>15196</v>
      </c>
      <c r="F3138" s="220"/>
    </row>
    <row r="3139" spans="1:6" ht="14.4">
      <c r="A3139">
        <v>25868</v>
      </c>
      <c r="B3139" t="s">
        <v>20667</v>
      </c>
      <c r="C3139" t="s">
        <v>2270</v>
      </c>
      <c r="D3139" t="s">
        <v>2271</v>
      </c>
      <c r="E3139" s="527" t="s">
        <v>9893</v>
      </c>
      <c r="F3139" s="219"/>
    </row>
    <row r="3140" spans="1:6" ht="14.4">
      <c r="A3140">
        <v>25869</v>
      </c>
      <c r="B3140" t="s">
        <v>20668</v>
      </c>
      <c r="C3140" t="s">
        <v>2270</v>
      </c>
      <c r="D3140" t="s">
        <v>2271</v>
      </c>
      <c r="E3140" s="527" t="s">
        <v>20669</v>
      </c>
      <c r="F3140" s="220"/>
    </row>
    <row r="3141" spans="1:6" ht="14.4">
      <c r="A3141">
        <v>25870</v>
      </c>
      <c r="B3141" t="s">
        <v>20670</v>
      </c>
      <c r="C3141" t="s">
        <v>2270</v>
      </c>
      <c r="D3141" t="s">
        <v>2271</v>
      </c>
      <c r="E3141" s="527" t="s">
        <v>12367</v>
      </c>
      <c r="F3141" s="219"/>
    </row>
    <row r="3142" spans="1:6" ht="14.4">
      <c r="A3142">
        <v>25871</v>
      </c>
      <c r="B3142" t="s">
        <v>20671</v>
      </c>
      <c r="C3142" t="s">
        <v>2270</v>
      </c>
      <c r="D3142" t="s">
        <v>2271</v>
      </c>
      <c r="E3142" s="527" t="s">
        <v>20672</v>
      </c>
      <c r="F3142" s="220"/>
    </row>
    <row r="3143" spans="1:6" ht="14.4">
      <c r="A3143">
        <v>25867</v>
      </c>
      <c r="B3143" t="s">
        <v>20673</v>
      </c>
      <c r="C3143" t="s">
        <v>2270</v>
      </c>
      <c r="D3143" t="s">
        <v>2271</v>
      </c>
      <c r="E3143" s="527" t="s">
        <v>13077</v>
      </c>
      <c r="F3143" s="219"/>
    </row>
    <row r="3144" spans="1:6" ht="14.4">
      <c r="A3144">
        <v>25872</v>
      </c>
      <c r="B3144" t="s">
        <v>20674</v>
      </c>
      <c r="C3144" t="s">
        <v>2270</v>
      </c>
      <c r="D3144" t="s">
        <v>2271</v>
      </c>
      <c r="E3144" s="527" t="s">
        <v>14075</v>
      </c>
      <c r="F3144" s="220"/>
    </row>
    <row r="3145" spans="1:6" ht="14.4">
      <c r="A3145">
        <v>25873</v>
      </c>
      <c r="B3145" t="s">
        <v>20675</v>
      </c>
      <c r="C3145" t="s">
        <v>2270</v>
      </c>
      <c r="D3145" t="s">
        <v>2271</v>
      </c>
      <c r="E3145" s="527" t="s">
        <v>20676</v>
      </c>
      <c r="F3145" s="219"/>
    </row>
    <row r="3146" spans="1:6" ht="14.4">
      <c r="A3146">
        <v>11479</v>
      </c>
      <c r="B3146" t="s">
        <v>20677</v>
      </c>
      <c r="C3146" t="s">
        <v>2269</v>
      </c>
      <c r="D3146" t="s">
        <v>1857</v>
      </c>
      <c r="E3146" s="527" t="s">
        <v>16153</v>
      </c>
      <c r="F3146" s="220"/>
    </row>
    <row r="3147" spans="1:6" ht="14.4">
      <c r="A3147">
        <v>11481</v>
      </c>
      <c r="B3147" t="s">
        <v>20678</v>
      </c>
      <c r="C3147" t="s">
        <v>2269</v>
      </c>
      <c r="D3147" t="s">
        <v>1857</v>
      </c>
      <c r="E3147" s="527" t="s">
        <v>10290</v>
      </c>
      <c r="F3147" s="219"/>
    </row>
    <row r="3148" spans="1:6" ht="14.4">
      <c r="A3148">
        <v>43609</v>
      </c>
      <c r="B3148" t="s">
        <v>20679</v>
      </c>
      <c r="C3148" t="s">
        <v>2269</v>
      </c>
      <c r="D3148" t="s">
        <v>1857</v>
      </c>
      <c r="E3148" s="527" t="s">
        <v>10290</v>
      </c>
      <c r="F3148" s="220"/>
    </row>
    <row r="3149" spans="1:6" ht="14.4">
      <c r="A3149">
        <v>11478</v>
      </c>
      <c r="B3149" t="s">
        <v>20680</v>
      </c>
      <c r="C3149" t="s">
        <v>2269</v>
      </c>
      <c r="D3149" t="s">
        <v>1857</v>
      </c>
      <c r="E3149" s="527" t="s">
        <v>11821</v>
      </c>
      <c r="F3149" s="219"/>
    </row>
    <row r="3150" spans="1:6" ht="14.4">
      <c r="A3150">
        <v>43608</v>
      </c>
      <c r="B3150" t="s">
        <v>20681</v>
      </c>
      <c r="C3150" t="s">
        <v>2269</v>
      </c>
      <c r="D3150" t="s">
        <v>1857</v>
      </c>
      <c r="E3150" s="527" t="s">
        <v>13163</v>
      </c>
      <c r="F3150" s="220"/>
    </row>
    <row r="3151" spans="1:6" ht="14.4">
      <c r="A3151">
        <v>11476</v>
      </c>
      <c r="B3151" t="s">
        <v>20682</v>
      </c>
      <c r="C3151" t="s">
        <v>2269</v>
      </c>
      <c r="D3151" t="s">
        <v>1857</v>
      </c>
      <c r="E3151" s="527" t="s">
        <v>13163</v>
      </c>
      <c r="F3151" s="219"/>
    </row>
    <row r="3152" spans="1:6" ht="14.4">
      <c r="A3152">
        <v>40637</v>
      </c>
      <c r="B3152" t="s">
        <v>20683</v>
      </c>
      <c r="C3152" t="s">
        <v>2269</v>
      </c>
      <c r="D3152" t="s">
        <v>2271</v>
      </c>
      <c r="E3152" s="527" t="s">
        <v>20684</v>
      </c>
      <c r="F3152" s="220"/>
    </row>
    <row r="3153" spans="1:6" ht="14.4">
      <c r="A3153">
        <v>13836</v>
      </c>
      <c r="B3153" t="s">
        <v>20685</v>
      </c>
      <c r="C3153" t="s">
        <v>2269</v>
      </c>
      <c r="D3153" t="s">
        <v>2271</v>
      </c>
      <c r="E3153" s="527" t="s">
        <v>20686</v>
      </c>
      <c r="F3153" s="219"/>
    </row>
    <row r="3154" spans="1:6" ht="14.4">
      <c r="A3154">
        <v>14534</v>
      </c>
      <c r="B3154" t="s">
        <v>20687</v>
      </c>
      <c r="C3154" t="s">
        <v>2269</v>
      </c>
      <c r="D3154" t="s">
        <v>2271</v>
      </c>
      <c r="E3154" s="527" t="s">
        <v>20688</v>
      </c>
      <c r="F3154" s="220"/>
    </row>
    <row r="3155" spans="1:6" ht="14.4">
      <c r="A3155">
        <v>14619</v>
      </c>
      <c r="B3155" t="s">
        <v>20689</v>
      </c>
      <c r="C3155" t="s">
        <v>2269</v>
      </c>
      <c r="D3155" t="s">
        <v>1857</v>
      </c>
      <c r="E3155" s="527" t="s">
        <v>20690</v>
      </c>
      <c r="F3155" s="219"/>
    </row>
    <row r="3156" spans="1:6" ht="14.4">
      <c r="A3156">
        <v>14535</v>
      </c>
      <c r="B3156" t="s">
        <v>20691</v>
      </c>
      <c r="C3156" t="s">
        <v>2269</v>
      </c>
      <c r="D3156" t="s">
        <v>2271</v>
      </c>
      <c r="E3156" s="527" t="s">
        <v>20692</v>
      </c>
      <c r="F3156" s="220"/>
    </row>
    <row r="3157" spans="1:6" ht="14.4">
      <c r="A3157">
        <v>39813</v>
      </c>
      <c r="B3157" t="s">
        <v>20693</v>
      </c>
      <c r="C3157" t="s">
        <v>2269</v>
      </c>
      <c r="D3157" t="s">
        <v>2271</v>
      </c>
      <c r="E3157" s="527" t="s">
        <v>20694</v>
      </c>
      <c r="F3157" s="219"/>
    </row>
    <row r="3158" spans="1:6" ht="14.4">
      <c r="A3158">
        <v>40403</v>
      </c>
      <c r="B3158" t="s">
        <v>20695</v>
      </c>
      <c r="C3158" t="s">
        <v>2269</v>
      </c>
      <c r="D3158" t="s">
        <v>1857</v>
      </c>
      <c r="E3158" s="527" t="s">
        <v>20696</v>
      </c>
      <c r="F3158" s="220"/>
    </row>
    <row r="3159" spans="1:6" ht="14.4">
      <c r="A3159">
        <v>12868</v>
      </c>
      <c r="B3159" t="s">
        <v>20697</v>
      </c>
      <c r="C3159" t="s">
        <v>2267</v>
      </c>
      <c r="D3159" t="s">
        <v>1857</v>
      </c>
      <c r="E3159" s="527" t="s">
        <v>9896</v>
      </c>
      <c r="F3159" s="219"/>
    </row>
    <row r="3160" spans="1:6" ht="14.4">
      <c r="A3160">
        <v>40916</v>
      </c>
      <c r="B3160" t="s">
        <v>20698</v>
      </c>
      <c r="C3160" t="s">
        <v>2276</v>
      </c>
      <c r="D3160" t="s">
        <v>1857</v>
      </c>
      <c r="E3160" s="527" t="s">
        <v>20699</v>
      </c>
      <c r="F3160" s="220"/>
    </row>
    <row r="3161" spans="1:6" ht="14.4">
      <c r="A3161">
        <v>4755</v>
      </c>
      <c r="B3161" t="s">
        <v>20700</v>
      </c>
      <c r="C3161" t="s">
        <v>2267</v>
      </c>
      <c r="D3161" t="s">
        <v>1857</v>
      </c>
      <c r="E3161" s="527" t="s">
        <v>15788</v>
      </c>
      <c r="F3161" s="219"/>
    </row>
    <row r="3162" spans="1:6" ht="14.4">
      <c r="A3162">
        <v>41067</v>
      </c>
      <c r="B3162" t="s">
        <v>20701</v>
      </c>
      <c r="C3162" t="s">
        <v>2276</v>
      </c>
      <c r="D3162" t="s">
        <v>1857</v>
      </c>
      <c r="E3162" s="527" t="s">
        <v>20702</v>
      </c>
      <c r="F3162" s="220"/>
    </row>
    <row r="3163" spans="1:6" ht="14.4">
      <c r="A3163">
        <v>38463</v>
      </c>
      <c r="B3163" t="s">
        <v>20703</v>
      </c>
      <c r="C3163" t="s">
        <v>2269</v>
      </c>
      <c r="D3163" t="s">
        <v>1857</v>
      </c>
      <c r="E3163" s="527" t="s">
        <v>10662</v>
      </c>
      <c r="F3163" s="219"/>
    </row>
    <row r="3164" spans="1:6" ht="14.4">
      <c r="A3164">
        <v>40703</v>
      </c>
      <c r="B3164" t="s">
        <v>20704</v>
      </c>
      <c r="C3164" t="s">
        <v>2269</v>
      </c>
      <c r="D3164" t="s">
        <v>2271</v>
      </c>
      <c r="E3164" s="527" t="s">
        <v>20705</v>
      </c>
      <c r="F3164" s="220"/>
    </row>
    <row r="3165" spans="1:6" ht="14.4">
      <c r="A3165">
        <v>14531</v>
      </c>
      <c r="B3165" t="s">
        <v>20706</v>
      </c>
      <c r="C3165" t="s">
        <v>2269</v>
      </c>
      <c r="D3165" t="s">
        <v>2271</v>
      </c>
      <c r="E3165" s="527" t="s">
        <v>20707</v>
      </c>
      <c r="F3165" s="219"/>
    </row>
    <row r="3166" spans="1:6" ht="14.4">
      <c r="A3166">
        <v>36533</v>
      </c>
      <c r="B3166" t="s">
        <v>20708</v>
      </c>
      <c r="C3166" t="s">
        <v>2269</v>
      </c>
      <c r="D3166" t="s">
        <v>2271</v>
      </c>
      <c r="E3166" s="527" t="s">
        <v>20709</v>
      </c>
      <c r="F3166" s="220"/>
    </row>
    <row r="3167" spans="1:6" ht="14.4">
      <c r="A3167">
        <v>11616</v>
      </c>
      <c r="B3167" t="s">
        <v>20710</v>
      </c>
      <c r="C3167" t="s">
        <v>2269</v>
      </c>
      <c r="D3167" t="s">
        <v>2271</v>
      </c>
      <c r="E3167" s="527" t="s">
        <v>20711</v>
      </c>
      <c r="F3167" s="219"/>
    </row>
    <row r="3168" spans="1:6" ht="14.4">
      <c r="A3168">
        <v>41898</v>
      </c>
      <c r="B3168" t="s">
        <v>20712</v>
      </c>
      <c r="C3168" t="s">
        <v>2269</v>
      </c>
      <c r="D3168" t="s">
        <v>2271</v>
      </c>
      <c r="E3168" s="527" t="s">
        <v>20713</v>
      </c>
      <c r="F3168" s="220"/>
    </row>
    <row r="3169" spans="1:6" ht="14.4">
      <c r="A3169">
        <v>13447</v>
      </c>
      <c r="B3169" t="s">
        <v>20714</v>
      </c>
      <c r="C3169" t="s">
        <v>2269</v>
      </c>
      <c r="D3169" t="s">
        <v>2271</v>
      </c>
      <c r="E3169" s="527" t="s">
        <v>20715</v>
      </c>
      <c r="F3169" s="219"/>
    </row>
    <row r="3170" spans="1:6" ht="14.4">
      <c r="A3170">
        <v>14529</v>
      </c>
      <c r="B3170" t="s">
        <v>20716</v>
      </c>
      <c r="C3170" t="s">
        <v>2269</v>
      </c>
      <c r="D3170" t="s">
        <v>2271</v>
      </c>
      <c r="E3170" s="527" t="s">
        <v>20717</v>
      </c>
      <c r="F3170" s="220"/>
    </row>
    <row r="3171" spans="1:6" ht="14.4">
      <c r="A3171">
        <v>10747</v>
      </c>
      <c r="B3171" t="s">
        <v>20718</v>
      </c>
      <c r="C3171" t="s">
        <v>2269</v>
      </c>
      <c r="D3171" t="s">
        <v>2271</v>
      </c>
      <c r="E3171" s="527" t="s">
        <v>20719</v>
      </c>
      <c r="F3171" s="219"/>
    </row>
    <row r="3172" spans="1:6" ht="14.4">
      <c r="A3172">
        <v>36141</v>
      </c>
      <c r="B3172" t="s">
        <v>20720</v>
      </c>
      <c r="C3172" t="s">
        <v>2269</v>
      </c>
      <c r="D3172" t="s">
        <v>1857</v>
      </c>
      <c r="E3172" s="527" t="s">
        <v>10307</v>
      </c>
      <c r="F3172" s="220"/>
    </row>
    <row r="3173" spans="1:6" ht="14.4">
      <c r="A3173">
        <v>39434</v>
      </c>
      <c r="B3173" t="s">
        <v>20721</v>
      </c>
      <c r="C3173" t="s">
        <v>2274</v>
      </c>
      <c r="D3173" t="s">
        <v>1857</v>
      </c>
      <c r="E3173" s="527" t="s">
        <v>6309</v>
      </c>
      <c r="F3173" s="219"/>
    </row>
    <row r="3174" spans="1:6" ht="14.4">
      <c r="A3174">
        <v>39433</v>
      </c>
      <c r="B3174" t="s">
        <v>20722</v>
      </c>
      <c r="C3174" t="s">
        <v>2274</v>
      </c>
      <c r="D3174" t="s">
        <v>1857</v>
      </c>
      <c r="E3174" s="527" t="s">
        <v>10320</v>
      </c>
      <c r="F3174" s="220"/>
    </row>
    <row r="3175" spans="1:6" ht="14.4">
      <c r="A3175">
        <v>4049</v>
      </c>
      <c r="B3175" t="s">
        <v>20723</v>
      </c>
      <c r="C3175" t="s">
        <v>2275</v>
      </c>
      <c r="D3175" t="s">
        <v>1857</v>
      </c>
      <c r="E3175" s="527" t="s">
        <v>10176</v>
      </c>
      <c r="F3175" s="219"/>
    </row>
    <row r="3176" spans="1:6" ht="14.4">
      <c r="A3176">
        <v>38120</v>
      </c>
      <c r="B3176" t="s">
        <v>20724</v>
      </c>
      <c r="C3176" t="s">
        <v>2274</v>
      </c>
      <c r="D3176" t="s">
        <v>1857</v>
      </c>
      <c r="E3176" s="527" t="s">
        <v>15502</v>
      </c>
      <c r="F3176" s="220"/>
    </row>
    <row r="3177" spans="1:6" ht="14.4">
      <c r="A3177">
        <v>38877</v>
      </c>
      <c r="B3177" t="s">
        <v>20725</v>
      </c>
      <c r="C3177" t="s">
        <v>2274</v>
      </c>
      <c r="D3177" t="s">
        <v>1857</v>
      </c>
      <c r="E3177" s="527" t="s">
        <v>4692</v>
      </c>
      <c r="F3177" s="219"/>
    </row>
    <row r="3178" spans="1:6" ht="14.4">
      <c r="A3178">
        <v>34546</v>
      </c>
      <c r="B3178" t="s">
        <v>20726</v>
      </c>
      <c r="C3178" t="s">
        <v>2274</v>
      </c>
      <c r="D3178" t="s">
        <v>1857</v>
      </c>
      <c r="E3178" s="527" t="s">
        <v>20727</v>
      </c>
      <c r="F3178" s="220"/>
    </row>
    <row r="3179" spans="1:6" ht="14.4">
      <c r="A3179">
        <v>10498</v>
      </c>
      <c r="B3179" t="s">
        <v>20728</v>
      </c>
      <c r="C3179" t="s">
        <v>2274</v>
      </c>
      <c r="D3179" t="s">
        <v>1857</v>
      </c>
      <c r="E3179" s="527" t="s">
        <v>15389</v>
      </c>
      <c r="F3179" s="219"/>
    </row>
    <row r="3180" spans="1:6" ht="14.4">
      <c r="A3180">
        <v>4823</v>
      </c>
      <c r="B3180" t="s">
        <v>20729</v>
      </c>
      <c r="C3180" t="s">
        <v>2274</v>
      </c>
      <c r="D3180" t="s">
        <v>1857</v>
      </c>
      <c r="E3180" s="527" t="s">
        <v>16210</v>
      </c>
      <c r="F3180" s="220"/>
    </row>
    <row r="3181" spans="1:6" ht="14.4">
      <c r="A3181">
        <v>41387</v>
      </c>
      <c r="B3181" t="s">
        <v>20730</v>
      </c>
      <c r="C3181" t="s">
        <v>2273</v>
      </c>
      <c r="D3181" t="s">
        <v>1857</v>
      </c>
      <c r="E3181" s="527" t="s">
        <v>20731</v>
      </c>
      <c r="F3181" s="219"/>
    </row>
    <row r="3182" spans="1:6" ht="14.4">
      <c r="A3182">
        <v>12357</v>
      </c>
      <c r="B3182" t="s">
        <v>20732</v>
      </c>
      <c r="C3182" t="s">
        <v>2269</v>
      </c>
      <c r="D3182" t="s">
        <v>1857</v>
      </c>
      <c r="E3182" s="527" t="s">
        <v>20733</v>
      </c>
      <c r="F3182" s="220"/>
    </row>
    <row r="3183" spans="1:6" ht="14.4">
      <c r="A3183">
        <v>41388</v>
      </c>
      <c r="B3183" t="s">
        <v>20734</v>
      </c>
      <c r="C3183" t="s">
        <v>2273</v>
      </c>
      <c r="D3183" t="s">
        <v>1857</v>
      </c>
      <c r="E3183" s="527" t="s">
        <v>10618</v>
      </c>
      <c r="F3183" s="219"/>
    </row>
    <row r="3184" spans="1:6" ht="14.4">
      <c r="A3184">
        <v>12358</v>
      </c>
      <c r="B3184" t="s">
        <v>20735</v>
      </c>
      <c r="C3184" t="s">
        <v>2269</v>
      </c>
      <c r="D3184" t="s">
        <v>1857</v>
      </c>
      <c r="E3184" s="527" t="s">
        <v>20736</v>
      </c>
      <c r="F3184" s="220"/>
    </row>
    <row r="3185" spans="1:6" ht="14.4">
      <c r="A3185">
        <v>41380</v>
      </c>
      <c r="B3185" t="s">
        <v>20737</v>
      </c>
      <c r="C3185" t="s">
        <v>2269</v>
      </c>
      <c r="D3185" t="s">
        <v>1857</v>
      </c>
      <c r="E3185" s="527" t="s">
        <v>15229</v>
      </c>
      <c r="F3185" s="219"/>
    </row>
    <row r="3186" spans="1:6" ht="14.4">
      <c r="A3186">
        <v>41381</v>
      </c>
      <c r="B3186" t="s">
        <v>20738</v>
      </c>
      <c r="C3186" t="s">
        <v>2269</v>
      </c>
      <c r="D3186" t="s">
        <v>1857</v>
      </c>
      <c r="E3186" s="527" t="s">
        <v>20739</v>
      </c>
      <c r="F3186" s="220"/>
    </row>
    <row r="3187" spans="1:6" ht="14.4">
      <c r="A3187">
        <v>41382</v>
      </c>
      <c r="B3187" t="s">
        <v>20740</v>
      </c>
      <c r="C3187" t="s">
        <v>2269</v>
      </c>
      <c r="D3187" t="s">
        <v>1857</v>
      </c>
      <c r="E3187" s="527" t="s">
        <v>20741</v>
      </c>
      <c r="F3187" s="219"/>
    </row>
    <row r="3188" spans="1:6" ht="14.4">
      <c r="A3188">
        <v>41383</v>
      </c>
      <c r="B3188" t="s">
        <v>20742</v>
      </c>
      <c r="C3188" t="s">
        <v>2269</v>
      </c>
      <c r="D3188" t="s">
        <v>1857</v>
      </c>
      <c r="E3188" s="527" t="s">
        <v>20743</v>
      </c>
      <c r="F3188" s="220"/>
    </row>
    <row r="3189" spans="1:6" ht="14.4">
      <c r="A3189">
        <v>41385</v>
      </c>
      <c r="B3189" t="s">
        <v>20744</v>
      </c>
      <c r="C3189" t="s">
        <v>2269</v>
      </c>
      <c r="D3189" t="s">
        <v>1857</v>
      </c>
      <c r="E3189" s="527" t="s">
        <v>20745</v>
      </c>
      <c r="F3189" s="219"/>
    </row>
    <row r="3190" spans="1:6" ht="14.4">
      <c r="A3190">
        <v>11079</v>
      </c>
      <c r="B3190" t="s">
        <v>20746</v>
      </c>
      <c r="C3190" t="s">
        <v>2272</v>
      </c>
      <c r="D3190" t="s">
        <v>1857</v>
      </c>
      <c r="E3190" s="527" t="s">
        <v>20747</v>
      </c>
      <c r="F3190" s="220"/>
    </row>
    <row r="3191" spans="1:6" ht="14.4">
      <c r="A3191">
        <v>11082</v>
      </c>
      <c r="B3191" t="s">
        <v>20748</v>
      </c>
      <c r="C3191" t="s">
        <v>2272</v>
      </c>
      <c r="D3191" t="s">
        <v>1857</v>
      </c>
      <c r="E3191" s="527" t="s">
        <v>20747</v>
      </c>
      <c r="F3191" s="219"/>
    </row>
    <row r="3192" spans="1:6" ht="14.4">
      <c r="A3192">
        <v>4058</v>
      </c>
      <c r="B3192" t="s">
        <v>20749</v>
      </c>
      <c r="C3192" t="s">
        <v>2267</v>
      </c>
      <c r="D3192" t="s">
        <v>1857</v>
      </c>
      <c r="E3192" s="527" t="s">
        <v>9575</v>
      </c>
      <c r="F3192" s="220"/>
    </row>
    <row r="3193" spans="1:6" ht="14.4">
      <c r="A3193">
        <v>40974</v>
      </c>
      <c r="B3193" t="s">
        <v>20750</v>
      </c>
      <c r="C3193" t="s">
        <v>2276</v>
      </c>
      <c r="D3193" t="s">
        <v>1857</v>
      </c>
      <c r="E3193" s="527" t="s">
        <v>20751</v>
      </c>
      <c r="F3193" s="219"/>
    </row>
    <row r="3194" spans="1:6" ht="14.4">
      <c r="A3194">
        <v>34794</v>
      </c>
      <c r="B3194" t="s">
        <v>20752</v>
      </c>
      <c r="C3194" t="s">
        <v>2267</v>
      </c>
      <c r="D3194" t="s">
        <v>1857</v>
      </c>
      <c r="E3194" s="527" t="s">
        <v>10275</v>
      </c>
      <c r="F3194" s="220"/>
    </row>
    <row r="3195" spans="1:6" ht="14.4">
      <c r="A3195">
        <v>40925</v>
      </c>
      <c r="B3195" t="s">
        <v>20753</v>
      </c>
      <c r="C3195" t="s">
        <v>2276</v>
      </c>
      <c r="D3195" t="s">
        <v>1857</v>
      </c>
      <c r="E3195" s="527" t="s">
        <v>20754</v>
      </c>
      <c r="F3195" s="219"/>
    </row>
    <row r="3196" spans="1:6" ht="14.4">
      <c r="A3196">
        <v>13741</v>
      </c>
      <c r="B3196" t="s">
        <v>20755</v>
      </c>
      <c r="C3196" t="s">
        <v>2269</v>
      </c>
      <c r="D3196" t="s">
        <v>1857</v>
      </c>
      <c r="E3196" s="527" t="s">
        <v>20756</v>
      </c>
      <c r="F3196" s="220"/>
    </row>
    <row r="3197" spans="1:6" ht="14.4">
      <c r="A3197">
        <v>3288</v>
      </c>
      <c r="B3197" t="s">
        <v>20757</v>
      </c>
      <c r="C3197" t="s">
        <v>2273</v>
      </c>
      <c r="D3197" t="s">
        <v>2271</v>
      </c>
      <c r="E3197" s="527" t="s">
        <v>9481</v>
      </c>
      <c r="F3197" s="219"/>
    </row>
    <row r="3198" spans="1:6" ht="14.4">
      <c r="A3198">
        <v>13587</v>
      </c>
      <c r="B3198" t="s">
        <v>20758</v>
      </c>
      <c r="C3198" t="s">
        <v>2273</v>
      </c>
      <c r="D3198" t="s">
        <v>2271</v>
      </c>
      <c r="E3198" s="527" t="s">
        <v>3606</v>
      </c>
      <c r="F3198" s="220"/>
    </row>
    <row r="3199" spans="1:6" ht="14.4">
      <c r="A3199">
        <v>38598</v>
      </c>
      <c r="B3199" t="s">
        <v>20759</v>
      </c>
      <c r="C3199" t="s">
        <v>2269</v>
      </c>
      <c r="D3199" t="s">
        <v>1857</v>
      </c>
      <c r="E3199" s="527" t="s">
        <v>9472</v>
      </c>
      <c r="F3199" s="219"/>
    </row>
    <row r="3200" spans="1:6" ht="14.4">
      <c r="A3200">
        <v>38595</v>
      </c>
      <c r="B3200" t="s">
        <v>20760</v>
      </c>
      <c r="C3200" t="s">
        <v>2269</v>
      </c>
      <c r="D3200" t="s">
        <v>1857</v>
      </c>
      <c r="E3200" s="527" t="s">
        <v>3463</v>
      </c>
      <c r="F3200" s="220"/>
    </row>
    <row r="3201" spans="1:6" ht="14.4">
      <c r="A3201">
        <v>38592</v>
      </c>
      <c r="B3201" t="s">
        <v>20761</v>
      </c>
      <c r="C3201" t="s">
        <v>2269</v>
      </c>
      <c r="D3201" t="s">
        <v>1857</v>
      </c>
      <c r="E3201" s="527" t="s">
        <v>7253</v>
      </c>
      <c r="F3201" s="219"/>
    </row>
    <row r="3202" spans="1:6" ht="14.4">
      <c r="A3202">
        <v>38588</v>
      </c>
      <c r="B3202" t="s">
        <v>20762</v>
      </c>
      <c r="C3202" t="s">
        <v>2269</v>
      </c>
      <c r="D3202" t="s">
        <v>1857</v>
      </c>
      <c r="E3202" s="527" t="s">
        <v>7272</v>
      </c>
      <c r="F3202" s="220"/>
    </row>
    <row r="3203" spans="1:6" ht="14.4">
      <c r="A3203">
        <v>38593</v>
      </c>
      <c r="B3203" t="s">
        <v>20763</v>
      </c>
      <c r="C3203" t="s">
        <v>2269</v>
      </c>
      <c r="D3203" t="s">
        <v>1857</v>
      </c>
      <c r="E3203" s="527" t="s">
        <v>7390</v>
      </c>
      <c r="F3203" s="219"/>
    </row>
    <row r="3204" spans="1:6" ht="14.4">
      <c r="A3204">
        <v>38589</v>
      </c>
      <c r="B3204" t="s">
        <v>20764</v>
      </c>
      <c r="C3204" t="s">
        <v>2269</v>
      </c>
      <c r="D3204" t="s">
        <v>1857</v>
      </c>
      <c r="E3204" s="527" t="s">
        <v>3971</v>
      </c>
      <c r="F3204" s="220"/>
    </row>
    <row r="3205" spans="1:6" ht="14.4">
      <c r="A3205">
        <v>38594</v>
      </c>
      <c r="B3205" t="s">
        <v>20765</v>
      </c>
      <c r="C3205" t="s">
        <v>2269</v>
      </c>
      <c r="D3205" t="s">
        <v>1857</v>
      </c>
      <c r="E3205" s="527" t="s">
        <v>9508</v>
      </c>
      <c r="F3205" s="219"/>
    </row>
    <row r="3206" spans="1:6" ht="14.4">
      <c r="A3206">
        <v>34773</v>
      </c>
      <c r="B3206" t="s">
        <v>20766</v>
      </c>
      <c r="C3206" t="s">
        <v>2269</v>
      </c>
      <c r="D3206" t="s">
        <v>1857</v>
      </c>
      <c r="E3206" s="527" t="s">
        <v>15830</v>
      </c>
      <c r="F3206" s="220"/>
    </row>
    <row r="3207" spans="1:6" ht="14.4">
      <c r="A3207">
        <v>34769</v>
      </c>
      <c r="B3207" t="s">
        <v>20767</v>
      </c>
      <c r="C3207" t="s">
        <v>2269</v>
      </c>
      <c r="D3207" t="s">
        <v>1857</v>
      </c>
      <c r="E3207" s="527" t="s">
        <v>9768</v>
      </c>
      <c r="F3207" s="219"/>
    </row>
    <row r="3208" spans="1:6" ht="14.4">
      <c r="A3208">
        <v>34763</v>
      </c>
      <c r="B3208" t="s">
        <v>20768</v>
      </c>
      <c r="C3208" t="s">
        <v>2269</v>
      </c>
      <c r="D3208" t="s">
        <v>1857</v>
      </c>
      <c r="E3208" s="527" t="s">
        <v>7261</v>
      </c>
      <c r="F3208" s="220"/>
    </row>
    <row r="3209" spans="1:6" ht="14.4">
      <c r="A3209">
        <v>34774</v>
      </c>
      <c r="B3209" t="s">
        <v>20769</v>
      </c>
      <c r="C3209" t="s">
        <v>2269</v>
      </c>
      <c r="D3209" t="s">
        <v>1857</v>
      </c>
      <c r="E3209" s="527" t="s">
        <v>3639</v>
      </c>
      <c r="F3209" s="219"/>
    </row>
    <row r="3210" spans="1:6" ht="14.4">
      <c r="A3210">
        <v>34771</v>
      </c>
      <c r="B3210" t="s">
        <v>20770</v>
      </c>
      <c r="C3210" t="s">
        <v>2269</v>
      </c>
      <c r="D3210" t="s">
        <v>1857</v>
      </c>
      <c r="E3210" s="527" t="s">
        <v>6299</v>
      </c>
      <c r="F3210" s="220"/>
    </row>
    <row r="3211" spans="1:6" ht="14.4">
      <c r="A3211">
        <v>34764</v>
      </c>
      <c r="B3211" t="s">
        <v>20771</v>
      </c>
      <c r="C3211" t="s">
        <v>2269</v>
      </c>
      <c r="D3211" t="s">
        <v>1857</v>
      </c>
      <c r="E3211" s="527" t="s">
        <v>3164</v>
      </c>
      <c r="F3211" s="219"/>
    </row>
    <row r="3212" spans="1:6" ht="14.4">
      <c r="A3212">
        <v>34788</v>
      </c>
      <c r="B3212" t="s">
        <v>20772</v>
      </c>
      <c r="C3212" t="s">
        <v>2269</v>
      </c>
      <c r="D3212" t="s">
        <v>1857</v>
      </c>
      <c r="E3212" s="527" t="s">
        <v>7274</v>
      </c>
      <c r="F3212" s="220"/>
    </row>
    <row r="3213" spans="1:6" ht="14.4">
      <c r="A3213">
        <v>34781</v>
      </c>
      <c r="B3213" t="s">
        <v>20773</v>
      </c>
      <c r="C3213" t="s">
        <v>2269</v>
      </c>
      <c r="D3213" t="s">
        <v>1857</v>
      </c>
      <c r="E3213" s="527" t="s">
        <v>9787</v>
      </c>
      <c r="F3213" s="219"/>
    </row>
    <row r="3214" spans="1:6" ht="14.4">
      <c r="A3214">
        <v>41682</v>
      </c>
      <c r="B3214" t="s">
        <v>20774</v>
      </c>
      <c r="C3214" t="s">
        <v>2269</v>
      </c>
      <c r="D3214" t="s">
        <v>1857</v>
      </c>
      <c r="E3214" s="527" t="s">
        <v>9476</v>
      </c>
      <c r="F3214" s="220"/>
    </row>
    <row r="3215" spans="1:6" ht="14.4">
      <c r="A3215">
        <v>41683</v>
      </c>
      <c r="B3215" t="s">
        <v>20775</v>
      </c>
      <c r="C3215" t="s">
        <v>2269</v>
      </c>
      <c r="D3215" t="s">
        <v>1857</v>
      </c>
      <c r="E3215" s="527" t="s">
        <v>20776</v>
      </c>
      <c r="F3215" s="219"/>
    </row>
    <row r="3216" spans="1:6" ht="14.4">
      <c r="A3216">
        <v>41680</v>
      </c>
      <c r="B3216" t="s">
        <v>20777</v>
      </c>
      <c r="C3216" t="s">
        <v>2269</v>
      </c>
      <c r="D3216" t="s">
        <v>1857</v>
      </c>
      <c r="E3216" s="527" t="s">
        <v>16432</v>
      </c>
      <c r="F3216" s="220"/>
    </row>
    <row r="3217" spans="1:6" ht="14.4">
      <c r="A3217">
        <v>41679</v>
      </c>
      <c r="B3217" t="s">
        <v>20778</v>
      </c>
      <c r="C3217" t="s">
        <v>2269</v>
      </c>
      <c r="D3217" t="s">
        <v>1857</v>
      </c>
      <c r="E3217" s="527" t="s">
        <v>10513</v>
      </c>
      <c r="F3217" s="219"/>
    </row>
    <row r="3218" spans="1:6" ht="14.4">
      <c r="A3218">
        <v>41681</v>
      </c>
      <c r="B3218" t="s">
        <v>20779</v>
      </c>
      <c r="C3218" t="s">
        <v>2269</v>
      </c>
      <c r="D3218" t="s">
        <v>1857</v>
      </c>
      <c r="E3218" s="527" t="s">
        <v>10271</v>
      </c>
      <c r="F3218" s="220"/>
    </row>
    <row r="3219" spans="1:6" ht="14.4">
      <c r="A3219">
        <v>43386</v>
      </c>
      <c r="B3219" t="s">
        <v>20780</v>
      </c>
      <c r="C3219" t="s">
        <v>2269</v>
      </c>
      <c r="D3219" t="s">
        <v>1857</v>
      </c>
      <c r="E3219" s="527" t="s">
        <v>11439</v>
      </c>
      <c r="F3219" s="219"/>
    </row>
    <row r="3220" spans="1:6" ht="14.4">
      <c r="A3220">
        <v>4059</v>
      </c>
      <c r="B3220" t="s">
        <v>20781</v>
      </c>
      <c r="C3220" t="s">
        <v>2273</v>
      </c>
      <c r="D3220" t="s">
        <v>1857</v>
      </c>
      <c r="E3220" s="527" t="s">
        <v>9476</v>
      </c>
      <c r="F3220" s="220"/>
    </row>
    <row r="3221" spans="1:6" ht="14.4">
      <c r="A3221">
        <v>4062</v>
      </c>
      <c r="B3221" t="s">
        <v>20782</v>
      </c>
      <c r="C3221" t="s">
        <v>2269</v>
      </c>
      <c r="D3221" t="s">
        <v>1857</v>
      </c>
      <c r="E3221" s="527" t="s">
        <v>9476</v>
      </c>
      <c r="F3221" s="219"/>
    </row>
    <row r="3222" spans="1:6" ht="14.4">
      <c r="A3222">
        <v>4061</v>
      </c>
      <c r="B3222" t="s">
        <v>20783</v>
      </c>
      <c r="C3222" t="s">
        <v>2269</v>
      </c>
      <c r="D3222" t="s">
        <v>1857</v>
      </c>
      <c r="E3222" s="527" t="s">
        <v>15607</v>
      </c>
      <c r="F3222" s="220"/>
    </row>
    <row r="3223" spans="1:6" ht="14.4">
      <c r="A3223">
        <v>41315</v>
      </c>
      <c r="B3223" t="s">
        <v>20784</v>
      </c>
      <c r="C3223" t="s">
        <v>2274</v>
      </c>
      <c r="D3223" t="s">
        <v>1857</v>
      </c>
      <c r="E3223" s="527" t="s">
        <v>16127</v>
      </c>
      <c r="F3223" s="219"/>
    </row>
    <row r="3224" spans="1:6" ht="14.4">
      <c r="A3224">
        <v>43148</v>
      </c>
      <c r="B3224" t="s">
        <v>20785</v>
      </c>
      <c r="C3224" t="s">
        <v>2274</v>
      </c>
      <c r="D3224" t="s">
        <v>1857</v>
      </c>
      <c r="E3224" s="527" t="s">
        <v>13336</v>
      </c>
      <c r="F3224" s="220"/>
    </row>
    <row r="3225" spans="1:6" ht="14.4">
      <c r="A3225">
        <v>43147</v>
      </c>
      <c r="B3225" t="s">
        <v>20786</v>
      </c>
      <c r="C3225" t="s">
        <v>2274</v>
      </c>
      <c r="D3225" t="s">
        <v>1857</v>
      </c>
      <c r="E3225" s="527" t="s">
        <v>16154</v>
      </c>
      <c r="F3225" s="219"/>
    </row>
    <row r="3226" spans="1:6" ht="14.4">
      <c r="A3226">
        <v>10608</v>
      </c>
      <c r="B3226" t="s">
        <v>20787</v>
      </c>
      <c r="C3226" t="s">
        <v>2269</v>
      </c>
      <c r="D3226" t="s">
        <v>2271</v>
      </c>
      <c r="E3226" s="527" t="s">
        <v>20788</v>
      </c>
      <c r="F3226" s="220"/>
    </row>
    <row r="3227" spans="1:6" ht="14.4">
      <c r="A3227">
        <v>4069</v>
      </c>
      <c r="B3227" t="s">
        <v>20789</v>
      </c>
      <c r="C3227" t="s">
        <v>2267</v>
      </c>
      <c r="D3227" t="s">
        <v>1857</v>
      </c>
      <c r="E3227" s="527" t="s">
        <v>20790</v>
      </c>
      <c r="F3227" s="219"/>
    </row>
    <row r="3228" spans="1:6" ht="14.4">
      <c r="A3228">
        <v>40819</v>
      </c>
      <c r="B3228" t="s">
        <v>20791</v>
      </c>
      <c r="C3228" t="s">
        <v>2276</v>
      </c>
      <c r="D3228" t="s">
        <v>1857</v>
      </c>
      <c r="E3228" s="527" t="s">
        <v>20792</v>
      </c>
      <c r="F3228" s="220"/>
    </row>
    <row r="3229" spans="1:6" ht="14.4">
      <c r="A3229">
        <v>34361</v>
      </c>
      <c r="B3229" t="s">
        <v>20793</v>
      </c>
      <c r="C3229" t="s">
        <v>2274</v>
      </c>
      <c r="D3229" t="s">
        <v>1857</v>
      </c>
      <c r="E3229" s="527" t="s">
        <v>7964</v>
      </c>
      <c r="F3229" s="219"/>
    </row>
    <row r="3230" spans="1:6" ht="14.4">
      <c r="A3230">
        <v>36512</v>
      </c>
      <c r="B3230" t="s">
        <v>20794</v>
      </c>
      <c r="C3230" t="s">
        <v>2269</v>
      </c>
      <c r="D3230" t="s">
        <v>2271</v>
      </c>
      <c r="E3230" s="527" t="s">
        <v>20795</v>
      </c>
      <c r="F3230" s="220"/>
    </row>
    <row r="3231" spans="1:6" ht="14.4">
      <c r="A3231">
        <v>25972</v>
      </c>
      <c r="B3231" t="s">
        <v>20796</v>
      </c>
      <c r="C3231" t="s">
        <v>2274</v>
      </c>
      <c r="D3231" t="s">
        <v>1857</v>
      </c>
      <c r="E3231" s="527" t="s">
        <v>10746</v>
      </c>
      <c r="F3231" s="219"/>
    </row>
    <row r="3232" spans="1:6" ht="14.4">
      <c r="A3232">
        <v>25973</v>
      </c>
      <c r="B3232" t="s">
        <v>20797</v>
      </c>
      <c r="C3232" t="s">
        <v>2274</v>
      </c>
      <c r="D3232" t="s">
        <v>1857</v>
      </c>
      <c r="E3232" s="527" t="s">
        <v>10746</v>
      </c>
      <c r="F3232" s="220"/>
    </row>
    <row r="3233" spans="1:6" ht="14.4">
      <c r="A3233">
        <v>11697</v>
      </c>
      <c r="B3233" t="s">
        <v>20798</v>
      </c>
      <c r="C3233" t="s">
        <v>2269</v>
      </c>
      <c r="D3233" t="s">
        <v>1857</v>
      </c>
      <c r="E3233" s="527" t="s">
        <v>20799</v>
      </c>
      <c r="F3233" s="219"/>
    </row>
    <row r="3234" spans="1:6" ht="14.4">
      <c r="A3234">
        <v>11698</v>
      </c>
      <c r="B3234" t="s">
        <v>20800</v>
      </c>
      <c r="C3234" t="s">
        <v>2269</v>
      </c>
      <c r="D3234" t="s">
        <v>1857</v>
      </c>
      <c r="E3234" s="527" t="s">
        <v>20801</v>
      </c>
      <c r="F3234" s="220"/>
    </row>
    <row r="3235" spans="1:6" ht="14.4">
      <c r="A3235">
        <v>10432</v>
      </c>
      <c r="B3235" t="s">
        <v>20802</v>
      </c>
      <c r="C3235" t="s">
        <v>2269</v>
      </c>
      <c r="D3235" t="s">
        <v>1857</v>
      </c>
      <c r="E3235" s="527" t="s">
        <v>20803</v>
      </c>
      <c r="F3235" s="219"/>
    </row>
    <row r="3236" spans="1:6" ht="14.4">
      <c r="A3236">
        <v>11699</v>
      </c>
      <c r="B3236" t="s">
        <v>20804</v>
      </c>
      <c r="C3236" t="s">
        <v>2269</v>
      </c>
      <c r="D3236" t="s">
        <v>1857</v>
      </c>
      <c r="E3236" s="527" t="s">
        <v>20805</v>
      </c>
      <c r="F3236" s="220"/>
    </row>
    <row r="3237" spans="1:6" ht="14.4">
      <c r="A3237">
        <v>44020</v>
      </c>
      <c r="B3237" t="s">
        <v>20806</v>
      </c>
      <c r="C3237" t="s">
        <v>2269</v>
      </c>
      <c r="D3237" t="s">
        <v>1857</v>
      </c>
      <c r="E3237" s="527" t="s">
        <v>20807</v>
      </c>
      <c r="F3237" s="219"/>
    </row>
    <row r="3238" spans="1:6" ht="14.4">
      <c r="A3238">
        <v>41420</v>
      </c>
      <c r="B3238" t="s">
        <v>20808</v>
      </c>
      <c r="C3238" t="s">
        <v>2269</v>
      </c>
      <c r="D3238" t="s">
        <v>1857</v>
      </c>
      <c r="E3238" s="527" t="s">
        <v>7237</v>
      </c>
      <c r="F3238" s="220"/>
    </row>
    <row r="3239" spans="1:6" ht="14.4">
      <c r="A3239">
        <v>41422</v>
      </c>
      <c r="B3239" t="s">
        <v>20809</v>
      </c>
      <c r="C3239" t="s">
        <v>2269</v>
      </c>
      <c r="D3239" t="s">
        <v>1857</v>
      </c>
      <c r="E3239" s="527" t="s">
        <v>11631</v>
      </c>
      <c r="F3239" s="219"/>
    </row>
    <row r="3240" spans="1:6" ht="14.4">
      <c r="A3240">
        <v>41425</v>
      </c>
      <c r="B3240" t="s">
        <v>20810</v>
      </c>
      <c r="C3240" t="s">
        <v>2269</v>
      </c>
      <c r="D3240" t="s">
        <v>1857</v>
      </c>
      <c r="E3240" s="527" t="s">
        <v>4561</v>
      </c>
      <c r="F3240" s="220"/>
    </row>
    <row r="3241" spans="1:6" ht="14.4">
      <c r="A3241">
        <v>41426</v>
      </c>
      <c r="B3241" t="s">
        <v>20811</v>
      </c>
      <c r="C3241" t="s">
        <v>2269</v>
      </c>
      <c r="D3241" t="s">
        <v>1857</v>
      </c>
      <c r="E3241" s="527" t="s">
        <v>9891</v>
      </c>
      <c r="F3241" s="219"/>
    </row>
    <row r="3242" spans="1:6" ht="14.4">
      <c r="A3242">
        <v>41419</v>
      </c>
      <c r="B3242" t="s">
        <v>20812</v>
      </c>
      <c r="C3242" t="s">
        <v>2269</v>
      </c>
      <c r="D3242" t="s">
        <v>1857</v>
      </c>
      <c r="E3242" s="527" t="s">
        <v>5193</v>
      </c>
      <c r="F3242" s="220"/>
    </row>
    <row r="3243" spans="1:6" ht="14.4">
      <c r="A3243">
        <v>41421</v>
      </c>
      <c r="B3243" t="s">
        <v>20813</v>
      </c>
      <c r="C3243" t="s">
        <v>2269</v>
      </c>
      <c r="D3243" t="s">
        <v>1857</v>
      </c>
      <c r="E3243" s="527" t="s">
        <v>9489</v>
      </c>
      <c r="F3243" s="219"/>
    </row>
    <row r="3244" spans="1:6" ht="14.4">
      <c r="A3244">
        <v>41414</v>
      </c>
      <c r="B3244" t="s">
        <v>20814</v>
      </c>
      <c r="C3244" t="s">
        <v>2269</v>
      </c>
      <c r="D3244" t="s">
        <v>1857</v>
      </c>
      <c r="E3244" s="527" t="s">
        <v>10166</v>
      </c>
      <c r="F3244" s="220"/>
    </row>
    <row r="3245" spans="1:6" ht="14.4">
      <c r="A3245">
        <v>41415</v>
      </c>
      <c r="B3245" t="s">
        <v>20815</v>
      </c>
      <c r="C3245" t="s">
        <v>2269</v>
      </c>
      <c r="D3245" t="s">
        <v>1857</v>
      </c>
      <c r="E3245" s="527" t="s">
        <v>14204</v>
      </c>
      <c r="F3245" s="219"/>
    </row>
    <row r="3246" spans="1:6" ht="14.4">
      <c r="A3246">
        <v>37514</v>
      </c>
      <c r="B3246" t="s">
        <v>20816</v>
      </c>
      <c r="C3246" t="s">
        <v>2269</v>
      </c>
      <c r="D3246" t="s">
        <v>2271</v>
      </c>
      <c r="E3246" s="527" t="s">
        <v>15503</v>
      </c>
      <c r="F3246" s="220"/>
    </row>
    <row r="3247" spans="1:6" ht="14.4">
      <c r="A3247">
        <v>37519</v>
      </c>
      <c r="B3247" t="s">
        <v>20817</v>
      </c>
      <c r="C3247" t="s">
        <v>2269</v>
      </c>
      <c r="D3247" t="s">
        <v>2271</v>
      </c>
      <c r="E3247" s="527" t="s">
        <v>15504</v>
      </c>
      <c r="F3247" s="219"/>
    </row>
    <row r="3248" spans="1:6" ht="14.4">
      <c r="A3248">
        <v>37520</v>
      </c>
      <c r="B3248" t="s">
        <v>20818</v>
      </c>
      <c r="C3248" t="s">
        <v>2269</v>
      </c>
      <c r="D3248" t="s">
        <v>2271</v>
      </c>
      <c r="E3248" s="527" t="s">
        <v>15505</v>
      </c>
      <c r="F3248" s="220"/>
    </row>
    <row r="3249" spans="1:6" ht="14.4">
      <c r="A3249">
        <v>37521</v>
      </c>
      <c r="B3249" t="s">
        <v>20819</v>
      </c>
      <c r="C3249" t="s">
        <v>2269</v>
      </c>
      <c r="D3249" t="s">
        <v>2271</v>
      </c>
      <c r="E3249" s="527" t="s">
        <v>15506</v>
      </c>
      <c r="F3249" s="219"/>
    </row>
    <row r="3250" spans="1:6" ht="14.4">
      <c r="A3250">
        <v>37522</v>
      </c>
      <c r="B3250" t="s">
        <v>20820</v>
      </c>
      <c r="C3250" t="s">
        <v>2269</v>
      </c>
      <c r="D3250" t="s">
        <v>2271</v>
      </c>
      <c r="E3250" s="527" t="s">
        <v>15507</v>
      </c>
      <c r="F3250" s="220"/>
    </row>
    <row r="3251" spans="1:6" ht="14.4">
      <c r="A3251">
        <v>21109</v>
      </c>
      <c r="B3251" t="s">
        <v>20821</v>
      </c>
      <c r="C3251" t="s">
        <v>2269</v>
      </c>
      <c r="D3251" t="s">
        <v>2271</v>
      </c>
      <c r="E3251" s="527" t="s">
        <v>10316</v>
      </c>
      <c r="F3251" s="219"/>
    </row>
    <row r="3252" spans="1:6" ht="14.4">
      <c r="A3252">
        <v>36800</v>
      </c>
      <c r="B3252" t="s">
        <v>20822</v>
      </c>
      <c r="C3252" t="s">
        <v>2269</v>
      </c>
      <c r="D3252" t="s">
        <v>1857</v>
      </c>
      <c r="E3252" s="527" t="s">
        <v>16216</v>
      </c>
      <c r="F3252" s="220"/>
    </row>
    <row r="3253" spans="1:6" ht="14.4">
      <c r="A3253">
        <v>11769</v>
      </c>
      <c r="B3253" t="s">
        <v>20823</v>
      </c>
      <c r="C3253" t="s">
        <v>2269</v>
      </c>
      <c r="D3253" t="s">
        <v>1857</v>
      </c>
      <c r="E3253" s="527" t="s">
        <v>20824</v>
      </c>
      <c r="F3253" s="219"/>
    </row>
    <row r="3254" spans="1:6" ht="14.4">
      <c r="A3254">
        <v>36793</v>
      </c>
      <c r="B3254" t="s">
        <v>20825</v>
      </c>
      <c r="C3254" t="s">
        <v>2269</v>
      </c>
      <c r="D3254" t="s">
        <v>1857</v>
      </c>
      <c r="E3254" s="527" t="s">
        <v>20826</v>
      </c>
      <c r="F3254" s="220"/>
    </row>
    <row r="3255" spans="1:6" ht="14.4">
      <c r="A3255">
        <v>37546</v>
      </c>
      <c r="B3255" t="s">
        <v>20827</v>
      </c>
      <c r="C3255" t="s">
        <v>2269</v>
      </c>
      <c r="D3255" t="s">
        <v>2271</v>
      </c>
      <c r="E3255" s="527" t="s">
        <v>20828</v>
      </c>
      <c r="F3255" s="219"/>
    </row>
    <row r="3256" spans="1:6" ht="14.4">
      <c r="A3256">
        <v>37544</v>
      </c>
      <c r="B3256" t="s">
        <v>20829</v>
      </c>
      <c r="C3256" t="s">
        <v>2269</v>
      </c>
      <c r="D3256" t="s">
        <v>2271</v>
      </c>
      <c r="E3256" s="527" t="s">
        <v>20830</v>
      </c>
      <c r="F3256" s="220"/>
    </row>
    <row r="3257" spans="1:6" ht="14.4">
      <c r="A3257">
        <v>37545</v>
      </c>
      <c r="B3257" t="s">
        <v>20831</v>
      </c>
      <c r="C3257" t="s">
        <v>2269</v>
      </c>
      <c r="D3257" t="s">
        <v>2271</v>
      </c>
      <c r="E3257" s="527" t="s">
        <v>20832</v>
      </c>
      <c r="F3257" s="219"/>
    </row>
    <row r="3258" spans="1:6" ht="14.4">
      <c r="A3258">
        <v>11771</v>
      </c>
      <c r="B3258" t="s">
        <v>20833</v>
      </c>
      <c r="C3258" t="s">
        <v>2269</v>
      </c>
      <c r="D3258" t="s">
        <v>1857</v>
      </c>
      <c r="E3258" s="527" t="s">
        <v>20834</v>
      </c>
      <c r="F3258" s="220"/>
    </row>
    <row r="3259" spans="1:6" ht="14.4">
      <c r="A3259">
        <v>39919</v>
      </c>
      <c r="B3259" t="s">
        <v>20835</v>
      </c>
      <c r="C3259" t="s">
        <v>2269</v>
      </c>
      <c r="D3259" t="s">
        <v>2271</v>
      </c>
      <c r="E3259" s="527" t="s">
        <v>20836</v>
      </c>
      <c r="F3259" s="219"/>
    </row>
    <row r="3260" spans="1:6" ht="14.4">
      <c r="A3260">
        <v>38385</v>
      </c>
      <c r="B3260" t="s">
        <v>20837</v>
      </c>
      <c r="C3260" t="s">
        <v>2269</v>
      </c>
      <c r="D3260" t="s">
        <v>1857</v>
      </c>
      <c r="E3260" s="527" t="s">
        <v>20838</v>
      </c>
      <c r="F3260" s="220"/>
    </row>
    <row r="3261" spans="1:6" ht="14.4">
      <c r="A3261">
        <v>37587</v>
      </c>
      <c r="B3261" t="s">
        <v>20839</v>
      </c>
      <c r="C3261" t="s">
        <v>2269</v>
      </c>
      <c r="D3261" t="s">
        <v>1857</v>
      </c>
      <c r="E3261" s="527" t="s">
        <v>13337</v>
      </c>
      <c r="F3261" s="219"/>
    </row>
    <row r="3262" spans="1:6" ht="14.4">
      <c r="A3262">
        <v>11561</v>
      </c>
      <c r="B3262" t="s">
        <v>20840</v>
      </c>
      <c r="C3262" t="s">
        <v>2269</v>
      </c>
      <c r="D3262" t="s">
        <v>1857</v>
      </c>
      <c r="E3262" s="527" t="s">
        <v>16131</v>
      </c>
      <c r="F3262" s="220"/>
    </row>
    <row r="3263" spans="1:6" ht="14.4">
      <c r="A3263">
        <v>43604</v>
      </c>
      <c r="B3263" t="s">
        <v>20841</v>
      </c>
      <c r="C3263" t="s">
        <v>2269</v>
      </c>
      <c r="D3263" t="s">
        <v>1857</v>
      </c>
      <c r="E3263" s="527" t="s">
        <v>20842</v>
      </c>
      <c r="F3263" s="219"/>
    </row>
    <row r="3264" spans="1:6" ht="14.4">
      <c r="A3264">
        <v>11560</v>
      </c>
      <c r="B3264" t="s">
        <v>20843</v>
      </c>
      <c r="C3264" t="s">
        <v>2269</v>
      </c>
      <c r="D3264" t="s">
        <v>1857</v>
      </c>
      <c r="E3264" s="527" t="s">
        <v>20844</v>
      </c>
      <c r="F3264" s="220"/>
    </row>
    <row r="3265" spans="1:6" ht="14.4">
      <c r="A3265">
        <v>11499</v>
      </c>
      <c r="B3265" t="s">
        <v>20845</v>
      </c>
      <c r="C3265" t="s">
        <v>2269</v>
      </c>
      <c r="D3265" t="s">
        <v>1857</v>
      </c>
      <c r="E3265" s="527" t="s">
        <v>20846</v>
      </c>
      <c r="F3265" s="219"/>
    </row>
    <row r="3266" spans="1:6" ht="14.4">
      <c r="A3266">
        <v>34761</v>
      </c>
      <c r="B3266" t="s">
        <v>20847</v>
      </c>
      <c r="C3266" t="s">
        <v>2267</v>
      </c>
      <c r="D3266" t="s">
        <v>1857</v>
      </c>
      <c r="E3266" s="527" t="s">
        <v>9980</v>
      </c>
      <c r="F3266" s="220"/>
    </row>
    <row r="3267" spans="1:6" ht="14.4">
      <c r="A3267">
        <v>40924</v>
      </c>
      <c r="B3267" t="s">
        <v>20848</v>
      </c>
      <c r="C3267" t="s">
        <v>2276</v>
      </c>
      <c r="D3267" t="s">
        <v>1857</v>
      </c>
      <c r="E3267" s="527" t="s">
        <v>20849</v>
      </c>
      <c r="F3267" s="219"/>
    </row>
    <row r="3268" spans="1:6" ht="14.4">
      <c r="A3268">
        <v>25957</v>
      </c>
      <c r="B3268" t="s">
        <v>20850</v>
      </c>
      <c r="C3268" t="s">
        <v>2267</v>
      </c>
      <c r="D3268" t="s">
        <v>1857</v>
      </c>
      <c r="E3268" s="527" t="s">
        <v>20851</v>
      </c>
      <c r="F3268" s="220"/>
    </row>
    <row r="3269" spans="1:6" ht="14.4">
      <c r="A3269">
        <v>40983</v>
      </c>
      <c r="B3269" t="s">
        <v>20852</v>
      </c>
      <c r="C3269" t="s">
        <v>2276</v>
      </c>
      <c r="D3269" t="s">
        <v>1857</v>
      </c>
      <c r="E3269" s="527" t="s">
        <v>20853</v>
      </c>
      <c r="F3269" s="219"/>
    </row>
    <row r="3270" spans="1:6" ht="14.4">
      <c r="A3270">
        <v>2437</v>
      </c>
      <c r="B3270" t="s">
        <v>20854</v>
      </c>
      <c r="C3270" t="s">
        <v>2267</v>
      </c>
      <c r="D3270" t="s">
        <v>1857</v>
      </c>
      <c r="E3270" s="527" t="s">
        <v>15824</v>
      </c>
      <c r="F3270" s="220"/>
    </row>
    <row r="3271" spans="1:6" ht="14.4">
      <c r="A3271">
        <v>40921</v>
      </c>
      <c r="B3271" t="s">
        <v>20855</v>
      </c>
      <c r="C3271" t="s">
        <v>2276</v>
      </c>
      <c r="D3271" t="s">
        <v>1857</v>
      </c>
      <c r="E3271" s="527" t="s">
        <v>20856</v>
      </c>
      <c r="F3271" s="219"/>
    </row>
    <row r="3272" spans="1:6" ht="14.4">
      <c r="A3272">
        <v>14252</v>
      </c>
      <c r="B3272" t="s">
        <v>20857</v>
      </c>
      <c r="C3272" t="s">
        <v>2269</v>
      </c>
      <c r="D3272" t="s">
        <v>1857</v>
      </c>
      <c r="E3272" s="527" t="s">
        <v>15508</v>
      </c>
      <c r="F3272" s="220"/>
    </row>
    <row r="3273" spans="1:6" ht="14.4">
      <c r="A3273">
        <v>730</v>
      </c>
      <c r="B3273" t="s">
        <v>20858</v>
      </c>
      <c r="C3273" t="s">
        <v>2269</v>
      </c>
      <c r="D3273" t="s">
        <v>1857</v>
      </c>
      <c r="E3273" s="527" t="s">
        <v>15509</v>
      </c>
      <c r="F3273" s="219"/>
    </row>
    <row r="3274" spans="1:6" ht="14.4">
      <c r="A3274">
        <v>723</v>
      </c>
      <c r="B3274" t="s">
        <v>20859</v>
      </c>
      <c r="C3274" t="s">
        <v>2269</v>
      </c>
      <c r="D3274" t="s">
        <v>1857</v>
      </c>
      <c r="E3274" s="527" t="s">
        <v>15510</v>
      </c>
      <c r="F3274" s="220"/>
    </row>
    <row r="3275" spans="1:6" ht="14.4">
      <c r="A3275">
        <v>36502</v>
      </c>
      <c r="B3275" t="s">
        <v>20860</v>
      </c>
      <c r="C3275" t="s">
        <v>2269</v>
      </c>
      <c r="D3275" t="s">
        <v>1857</v>
      </c>
      <c r="E3275" s="527" t="s">
        <v>15511</v>
      </c>
      <c r="F3275" s="219"/>
    </row>
    <row r="3276" spans="1:6" ht="14.4">
      <c r="A3276">
        <v>36503</v>
      </c>
      <c r="B3276" t="s">
        <v>20861</v>
      </c>
      <c r="C3276" t="s">
        <v>2269</v>
      </c>
      <c r="D3276" t="s">
        <v>1857</v>
      </c>
      <c r="E3276" s="527" t="s">
        <v>15512</v>
      </c>
      <c r="F3276" s="220"/>
    </row>
    <row r="3277" spans="1:6" ht="14.4">
      <c r="A3277">
        <v>4090</v>
      </c>
      <c r="B3277" t="s">
        <v>20862</v>
      </c>
      <c r="C3277" t="s">
        <v>2269</v>
      </c>
      <c r="D3277" t="s">
        <v>2268</v>
      </c>
      <c r="E3277" s="527" t="s">
        <v>20863</v>
      </c>
      <c r="F3277" s="219"/>
    </row>
    <row r="3278" spans="1:6" ht="14.4">
      <c r="A3278">
        <v>13227</v>
      </c>
      <c r="B3278" t="s">
        <v>20864</v>
      </c>
      <c r="C3278" t="s">
        <v>2269</v>
      </c>
      <c r="D3278" t="s">
        <v>1857</v>
      </c>
      <c r="E3278" s="527" t="s">
        <v>20865</v>
      </c>
      <c r="F3278" s="220"/>
    </row>
    <row r="3279" spans="1:6" ht="14.4">
      <c r="A3279">
        <v>10597</v>
      </c>
      <c r="B3279" t="s">
        <v>20866</v>
      </c>
      <c r="C3279" t="s">
        <v>2269</v>
      </c>
      <c r="D3279" t="s">
        <v>1857</v>
      </c>
      <c r="E3279" s="527" t="s">
        <v>20867</v>
      </c>
      <c r="F3279" s="219"/>
    </row>
    <row r="3280" spans="1:6" ht="14.4">
      <c r="A3280">
        <v>39628</v>
      </c>
      <c r="B3280" t="s">
        <v>20868</v>
      </c>
      <c r="C3280" t="s">
        <v>2269</v>
      </c>
      <c r="D3280" t="s">
        <v>2271</v>
      </c>
      <c r="E3280" s="527" t="s">
        <v>20869</v>
      </c>
      <c r="F3280" s="220"/>
    </row>
    <row r="3281" spans="1:6" ht="14.4">
      <c r="A3281">
        <v>39404</v>
      </c>
      <c r="B3281" t="s">
        <v>20870</v>
      </c>
      <c r="C3281" t="s">
        <v>2269</v>
      </c>
      <c r="D3281" t="s">
        <v>2271</v>
      </c>
      <c r="E3281" s="527" t="s">
        <v>20871</v>
      </c>
      <c r="F3281" s="219"/>
    </row>
    <row r="3282" spans="1:6" ht="14.4">
      <c r="A3282">
        <v>39402</v>
      </c>
      <c r="B3282" t="s">
        <v>20872</v>
      </c>
      <c r="C3282" t="s">
        <v>2269</v>
      </c>
      <c r="D3282" t="s">
        <v>2271</v>
      </c>
      <c r="E3282" s="527" t="s">
        <v>20873</v>
      </c>
      <c r="F3282" s="220"/>
    </row>
    <row r="3283" spans="1:6" ht="14.4">
      <c r="A3283">
        <v>39403</v>
      </c>
      <c r="B3283" t="s">
        <v>20874</v>
      </c>
      <c r="C3283" t="s">
        <v>2269</v>
      </c>
      <c r="D3283" t="s">
        <v>2271</v>
      </c>
      <c r="E3283" s="527" t="s">
        <v>20875</v>
      </c>
      <c r="F3283" s="219"/>
    </row>
    <row r="3284" spans="1:6" ht="14.4">
      <c r="A3284">
        <v>4093</v>
      </c>
      <c r="B3284" t="s">
        <v>20876</v>
      </c>
      <c r="C3284" t="s">
        <v>2267</v>
      </c>
      <c r="D3284" t="s">
        <v>1857</v>
      </c>
      <c r="E3284" s="527" t="s">
        <v>20877</v>
      </c>
      <c r="F3284" s="220"/>
    </row>
    <row r="3285" spans="1:6" ht="14.4">
      <c r="A3285">
        <v>10512</v>
      </c>
      <c r="B3285" t="s">
        <v>20878</v>
      </c>
      <c r="C3285" t="s">
        <v>2276</v>
      </c>
      <c r="D3285" t="s">
        <v>1857</v>
      </c>
      <c r="E3285" s="527" t="s">
        <v>20879</v>
      </c>
      <c r="F3285" s="219"/>
    </row>
    <row r="3286" spans="1:6" ht="14.4">
      <c r="A3286">
        <v>20020</v>
      </c>
      <c r="B3286" t="s">
        <v>20880</v>
      </c>
      <c r="C3286" t="s">
        <v>2267</v>
      </c>
      <c r="D3286" t="s">
        <v>1857</v>
      </c>
      <c r="E3286" s="527" t="s">
        <v>10298</v>
      </c>
      <c r="F3286" s="220"/>
    </row>
    <row r="3287" spans="1:6" ht="14.4">
      <c r="A3287">
        <v>41038</v>
      </c>
      <c r="B3287" t="s">
        <v>20881</v>
      </c>
      <c r="C3287" t="s">
        <v>2276</v>
      </c>
      <c r="D3287" t="s">
        <v>1857</v>
      </c>
      <c r="E3287" s="527" t="s">
        <v>20882</v>
      </c>
      <c r="F3287" s="219"/>
    </row>
    <row r="3288" spans="1:6" ht="14.4">
      <c r="A3288">
        <v>4094</v>
      </c>
      <c r="B3288" t="s">
        <v>20883</v>
      </c>
      <c r="C3288" t="s">
        <v>2267</v>
      </c>
      <c r="D3288" t="s">
        <v>1857</v>
      </c>
      <c r="E3288" s="527" t="s">
        <v>16463</v>
      </c>
      <c r="F3288" s="220"/>
    </row>
    <row r="3289" spans="1:6" ht="14.4">
      <c r="A3289">
        <v>40988</v>
      </c>
      <c r="B3289" t="s">
        <v>20884</v>
      </c>
      <c r="C3289" t="s">
        <v>2276</v>
      </c>
      <c r="D3289" t="s">
        <v>1857</v>
      </c>
      <c r="E3289" s="527" t="s">
        <v>20885</v>
      </c>
      <c r="F3289" s="219"/>
    </row>
    <row r="3290" spans="1:6" ht="14.4">
      <c r="A3290">
        <v>4095</v>
      </c>
      <c r="B3290" t="s">
        <v>20886</v>
      </c>
      <c r="C3290" t="s">
        <v>2267</v>
      </c>
      <c r="D3290" t="s">
        <v>1857</v>
      </c>
      <c r="E3290" s="527" t="s">
        <v>20887</v>
      </c>
      <c r="F3290" s="220"/>
    </row>
    <row r="3291" spans="1:6" ht="14.4">
      <c r="A3291">
        <v>40990</v>
      </c>
      <c r="B3291" t="s">
        <v>20888</v>
      </c>
      <c r="C3291" t="s">
        <v>2276</v>
      </c>
      <c r="D3291" t="s">
        <v>1857</v>
      </c>
      <c r="E3291" s="527" t="s">
        <v>20889</v>
      </c>
      <c r="F3291" s="219"/>
    </row>
    <row r="3292" spans="1:6" ht="14.4">
      <c r="A3292">
        <v>4097</v>
      </c>
      <c r="B3292" t="s">
        <v>20890</v>
      </c>
      <c r="C3292" t="s">
        <v>2267</v>
      </c>
      <c r="D3292" t="s">
        <v>1857</v>
      </c>
      <c r="E3292" s="527" t="s">
        <v>17148</v>
      </c>
      <c r="F3292" s="220"/>
    </row>
    <row r="3293" spans="1:6" ht="14.4">
      <c r="A3293">
        <v>40994</v>
      </c>
      <c r="B3293" t="s">
        <v>20891</v>
      </c>
      <c r="C3293" t="s">
        <v>2276</v>
      </c>
      <c r="D3293" t="s">
        <v>1857</v>
      </c>
      <c r="E3293" s="527" t="s">
        <v>20892</v>
      </c>
      <c r="F3293" s="219"/>
    </row>
    <row r="3294" spans="1:6" ht="14.4">
      <c r="A3294">
        <v>4096</v>
      </c>
      <c r="B3294" t="s">
        <v>20893</v>
      </c>
      <c r="C3294" t="s">
        <v>2267</v>
      </c>
      <c r="D3294" t="s">
        <v>1857</v>
      </c>
      <c r="E3294" s="527" t="s">
        <v>4809</v>
      </c>
      <c r="F3294" s="220"/>
    </row>
    <row r="3295" spans="1:6" ht="14.4">
      <c r="A3295">
        <v>40992</v>
      </c>
      <c r="B3295" t="s">
        <v>20894</v>
      </c>
      <c r="C3295" t="s">
        <v>2276</v>
      </c>
      <c r="D3295" t="s">
        <v>1857</v>
      </c>
      <c r="E3295" s="527" t="s">
        <v>20895</v>
      </c>
      <c r="F3295" s="219"/>
    </row>
    <row r="3296" spans="1:6" ht="14.4">
      <c r="A3296">
        <v>13955</v>
      </c>
      <c r="B3296" t="s">
        <v>20896</v>
      </c>
      <c r="C3296" t="s">
        <v>2269</v>
      </c>
      <c r="D3296" t="s">
        <v>1857</v>
      </c>
      <c r="E3296" s="527" t="s">
        <v>20897</v>
      </c>
      <c r="F3296" s="220"/>
    </row>
    <row r="3297" spans="1:6" ht="14.4">
      <c r="A3297">
        <v>4114</v>
      </c>
      <c r="B3297" t="s">
        <v>20898</v>
      </c>
      <c r="C3297" t="s">
        <v>2269</v>
      </c>
      <c r="D3297" t="s">
        <v>1857</v>
      </c>
      <c r="E3297" s="527" t="s">
        <v>16191</v>
      </c>
      <c r="F3297" s="219"/>
    </row>
    <row r="3298" spans="1:6" ht="14.4">
      <c r="A3298">
        <v>36797</v>
      </c>
      <c r="B3298" t="s">
        <v>20899</v>
      </c>
      <c r="C3298" t="s">
        <v>2269</v>
      </c>
      <c r="D3298" t="s">
        <v>1857</v>
      </c>
      <c r="E3298" s="527" t="s">
        <v>20900</v>
      </c>
      <c r="F3298" s="220"/>
    </row>
    <row r="3299" spans="1:6" ht="14.4">
      <c r="A3299">
        <v>4107</v>
      </c>
      <c r="B3299" t="s">
        <v>20901</v>
      </c>
      <c r="C3299" t="s">
        <v>2269</v>
      </c>
      <c r="D3299" t="s">
        <v>1857</v>
      </c>
      <c r="E3299" s="527" t="s">
        <v>20902</v>
      </c>
      <c r="F3299" s="219"/>
    </row>
    <row r="3300" spans="1:6" ht="14.4">
      <c r="A3300">
        <v>4102</v>
      </c>
      <c r="B3300" t="s">
        <v>20903</v>
      </c>
      <c r="C3300" t="s">
        <v>2269</v>
      </c>
      <c r="D3300" t="s">
        <v>2268</v>
      </c>
      <c r="E3300" s="527" t="s">
        <v>20904</v>
      </c>
      <c r="F3300" s="220"/>
    </row>
    <row r="3301" spans="1:6" ht="14.4">
      <c r="A3301">
        <v>36799</v>
      </c>
      <c r="B3301" t="s">
        <v>20905</v>
      </c>
      <c r="C3301" t="s">
        <v>2269</v>
      </c>
      <c r="D3301" t="s">
        <v>1857</v>
      </c>
      <c r="E3301" s="527" t="s">
        <v>10713</v>
      </c>
      <c r="F3301" s="219"/>
    </row>
    <row r="3302" spans="1:6" ht="14.4">
      <c r="A3302">
        <v>2747</v>
      </c>
      <c r="B3302" t="s">
        <v>20906</v>
      </c>
      <c r="C3302" t="s">
        <v>2273</v>
      </c>
      <c r="D3302" t="s">
        <v>2271</v>
      </c>
      <c r="E3302" s="527" t="s">
        <v>7342</v>
      </c>
      <c r="F3302" s="220"/>
    </row>
    <row r="3303" spans="1:6" ht="14.4">
      <c r="A3303">
        <v>21138</v>
      </c>
      <c r="B3303" t="s">
        <v>20907</v>
      </c>
      <c r="C3303" t="s">
        <v>2273</v>
      </c>
      <c r="D3303" t="s">
        <v>2271</v>
      </c>
      <c r="E3303" s="527" t="s">
        <v>19718</v>
      </c>
      <c r="F3303" s="219"/>
    </row>
    <row r="3304" spans="1:6" ht="14.4">
      <c r="A3304">
        <v>10826</v>
      </c>
      <c r="B3304" t="s">
        <v>20908</v>
      </c>
      <c r="C3304" t="s">
        <v>2269</v>
      </c>
      <c r="D3304" t="s">
        <v>1857</v>
      </c>
      <c r="E3304" s="527" t="s">
        <v>10642</v>
      </c>
      <c r="F3304" s="220"/>
    </row>
    <row r="3305" spans="1:6" ht="14.4">
      <c r="A3305">
        <v>365</v>
      </c>
      <c r="B3305" t="s">
        <v>20909</v>
      </c>
      <c r="C3305" t="s">
        <v>2269</v>
      </c>
      <c r="D3305" t="s">
        <v>1857</v>
      </c>
      <c r="E3305" s="527" t="s">
        <v>9773</v>
      </c>
      <c r="F3305" s="219"/>
    </row>
    <row r="3306" spans="1:6" ht="14.4">
      <c r="A3306">
        <v>38639</v>
      </c>
      <c r="B3306" t="s">
        <v>20910</v>
      </c>
      <c r="C3306" t="s">
        <v>2269</v>
      </c>
      <c r="D3306" t="s">
        <v>1857</v>
      </c>
      <c r="E3306" s="527" t="s">
        <v>15514</v>
      </c>
      <c r="F3306" s="220"/>
    </row>
    <row r="3307" spans="1:6" ht="14.4">
      <c r="A3307">
        <v>38640</v>
      </c>
      <c r="B3307" t="s">
        <v>20911</v>
      </c>
      <c r="C3307" t="s">
        <v>2269</v>
      </c>
      <c r="D3307" t="s">
        <v>1857</v>
      </c>
      <c r="E3307" s="527" t="s">
        <v>3463</v>
      </c>
      <c r="F3307" s="219"/>
    </row>
    <row r="3308" spans="1:6" ht="14.4">
      <c r="A3308">
        <v>358</v>
      </c>
      <c r="B3308" t="s">
        <v>20912</v>
      </c>
      <c r="C3308" t="s">
        <v>2269</v>
      </c>
      <c r="D3308" t="s">
        <v>1857</v>
      </c>
      <c r="E3308" s="527" t="s">
        <v>15515</v>
      </c>
      <c r="F3308" s="220"/>
    </row>
    <row r="3309" spans="1:6" ht="14.4">
      <c r="A3309">
        <v>359</v>
      </c>
      <c r="B3309" t="s">
        <v>20913</v>
      </c>
      <c r="C3309" t="s">
        <v>2269</v>
      </c>
      <c r="D3309" t="s">
        <v>1857</v>
      </c>
      <c r="E3309" s="527" t="s">
        <v>15516</v>
      </c>
      <c r="F3309" s="219"/>
    </row>
    <row r="3310" spans="1:6" ht="14.4">
      <c r="A3310">
        <v>38641</v>
      </c>
      <c r="B3310" t="s">
        <v>20914</v>
      </c>
      <c r="C3310" t="s">
        <v>2269</v>
      </c>
      <c r="D3310" t="s">
        <v>1857</v>
      </c>
      <c r="E3310" s="527" t="s">
        <v>15517</v>
      </c>
      <c r="F3310" s="220"/>
    </row>
    <row r="3311" spans="1:6" ht="14.4">
      <c r="A3311">
        <v>360</v>
      </c>
      <c r="B3311" t="s">
        <v>20915</v>
      </c>
      <c r="C3311" t="s">
        <v>2269</v>
      </c>
      <c r="D3311" t="s">
        <v>2268</v>
      </c>
      <c r="E3311" s="527" t="s">
        <v>10407</v>
      </c>
      <c r="F3311" s="219"/>
    </row>
    <row r="3312" spans="1:6" ht="14.4">
      <c r="A3312">
        <v>42430</v>
      </c>
      <c r="B3312" t="s">
        <v>20916</v>
      </c>
      <c r="C3312" t="s">
        <v>2269</v>
      </c>
      <c r="D3312" t="s">
        <v>2271</v>
      </c>
      <c r="E3312" s="527" t="s">
        <v>20917</v>
      </c>
      <c r="F3312" s="220"/>
    </row>
    <row r="3313" spans="1:6" ht="14.4">
      <c r="A3313">
        <v>4214</v>
      </c>
      <c r="B3313" t="s">
        <v>20918</v>
      </c>
      <c r="C3313" t="s">
        <v>2269</v>
      </c>
      <c r="D3313" t="s">
        <v>1857</v>
      </c>
      <c r="E3313" s="527" t="s">
        <v>10034</v>
      </c>
      <c r="F3313" s="219"/>
    </row>
    <row r="3314" spans="1:6" ht="14.4">
      <c r="A3314">
        <v>4215</v>
      </c>
      <c r="B3314" t="s">
        <v>20919</v>
      </c>
      <c r="C3314" t="s">
        <v>2269</v>
      </c>
      <c r="D3314" t="s">
        <v>1857</v>
      </c>
      <c r="E3314" s="527" t="s">
        <v>4793</v>
      </c>
      <c r="F3314" s="220"/>
    </row>
    <row r="3315" spans="1:6" ht="14.4">
      <c r="A3315">
        <v>4210</v>
      </c>
      <c r="B3315" t="s">
        <v>20920</v>
      </c>
      <c r="C3315" t="s">
        <v>2269</v>
      </c>
      <c r="D3315" t="s">
        <v>1857</v>
      </c>
      <c r="E3315" s="527" t="s">
        <v>7246</v>
      </c>
      <c r="F3315" s="219"/>
    </row>
    <row r="3316" spans="1:6" ht="14.4">
      <c r="A3316">
        <v>4212</v>
      </c>
      <c r="B3316" t="s">
        <v>20921</v>
      </c>
      <c r="C3316" t="s">
        <v>2269</v>
      </c>
      <c r="D3316" t="s">
        <v>1857</v>
      </c>
      <c r="E3316" s="527" t="s">
        <v>7635</v>
      </c>
      <c r="F3316" s="220"/>
    </row>
    <row r="3317" spans="1:6" ht="14.4">
      <c r="A3317">
        <v>4213</v>
      </c>
      <c r="B3317" t="s">
        <v>20922</v>
      </c>
      <c r="C3317" t="s">
        <v>2269</v>
      </c>
      <c r="D3317" t="s">
        <v>1857</v>
      </c>
      <c r="E3317" s="527" t="s">
        <v>10749</v>
      </c>
      <c r="F3317" s="219"/>
    </row>
    <row r="3318" spans="1:6" ht="14.4">
      <c r="A3318">
        <v>4211</v>
      </c>
      <c r="B3318" t="s">
        <v>20923</v>
      </c>
      <c r="C3318" t="s">
        <v>2269</v>
      </c>
      <c r="D3318" t="s">
        <v>1857</v>
      </c>
      <c r="E3318" s="527" t="s">
        <v>3471</v>
      </c>
      <c r="F3318" s="220"/>
    </row>
    <row r="3319" spans="1:6" ht="14.4">
      <c r="A3319">
        <v>4209</v>
      </c>
      <c r="B3319" t="s">
        <v>20924</v>
      </c>
      <c r="C3319" t="s">
        <v>2269</v>
      </c>
      <c r="D3319" t="s">
        <v>1857</v>
      </c>
      <c r="E3319" s="527" t="s">
        <v>7731</v>
      </c>
      <c r="F3319" s="219"/>
    </row>
    <row r="3320" spans="1:6" ht="14.4">
      <c r="A3320">
        <v>4180</v>
      </c>
      <c r="B3320" t="s">
        <v>20925</v>
      </c>
      <c r="C3320" t="s">
        <v>2269</v>
      </c>
      <c r="D3320" t="s">
        <v>1857</v>
      </c>
      <c r="E3320" s="527" t="s">
        <v>10115</v>
      </c>
      <c r="F3320" s="220"/>
    </row>
    <row r="3321" spans="1:6" ht="14.4">
      <c r="A3321">
        <v>4177</v>
      </c>
      <c r="B3321" t="s">
        <v>20926</v>
      </c>
      <c r="C3321" t="s">
        <v>2269</v>
      </c>
      <c r="D3321" t="s">
        <v>1857</v>
      </c>
      <c r="E3321" s="527" t="s">
        <v>3694</v>
      </c>
      <c r="F3321" s="219"/>
    </row>
    <row r="3322" spans="1:6" ht="14.4">
      <c r="A3322">
        <v>4179</v>
      </c>
      <c r="B3322" t="s">
        <v>20927</v>
      </c>
      <c r="C3322" t="s">
        <v>2269</v>
      </c>
      <c r="D3322" t="s">
        <v>1857</v>
      </c>
      <c r="E3322" s="527" t="s">
        <v>10234</v>
      </c>
      <c r="F3322" s="220"/>
    </row>
    <row r="3323" spans="1:6" ht="14.4">
      <c r="A3323">
        <v>4208</v>
      </c>
      <c r="B3323" t="s">
        <v>20928</v>
      </c>
      <c r="C3323" t="s">
        <v>2269</v>
      </c>
      <c r="D3323" t="s">
        <v>1857</v>
      </c>
      <c r="E3323" s="527" t="s">
        <v>15518</v>
      </c>
      <c r="F3323" s="219"/>
    </row>
    <row r="3324" spans="1:6" ht="14.4">
      <c r="A3324">
        <v>4181</v>
      </c>
      <c r="B3324" t="s">
        <v>20929</v>
      </c>
      <c r="C3324" t="s">
        <v>2269</v>
      </c>
      <c r="D3324" t="s">
        <v>1857</v>
      </c>
      <c r="E3324" s="527" t="s">
        <v>10333</v>
      </c>
      <c r="F3324" s="220"/>
    </row>
    <row r="3325" spans="1:6" ht="14.4">
      <c r="A3325">
        <v>4178</v>
      </c>
      <c r="B3325" t="s">
        <v>20930</v>
      </c>
      <c r="C3325" t="s">
        <v>2269</v>
      </c>
      <c r="D3325" t="s">
        <v>1857</v>
      </c>
      <c r="E3325" s="527" t="s">
        <v>10113</v>
      </c>
      <c r="F3325" s="219"/>
    </row>
    <row r="3326" spans="1:6" ht="14.4">
      <c r="A3326">
        <v>4182</v>
      </c>
      <c r="B3326" t="s">
        <v>20931</v>
      </c>
      <c r="C3326" t="s">
        <v>2269</v>
      </c>
      <c r="D3326" t="s">
        <v>1857</v>
      </c>
      <c r="E3326" s="527" t="s">
        <v>15519</v>
      </c>
      <c r="F3326" s="220"/>
    </row>
    <row r="3327" spans="1:6" ht="14.4">
      <c r="A3327">
        <v>4183</v>
      </c>
      <c r="B3327" t="s">
        <v>20932</v>
      </c>
      <c r="C3327" t="s">
        <v>2269</v>
      </c>
      <c r="D3327" t="s">
        <v>1857</v>
      </c>
      <c r="E3327" s="527" t="s">
        <v>10607</v>
      </c>
      <c r="F3327" s="219"/>
    </row>
    <row r="3328" spans="1:6" ht="14.4">
      <c r="A3328">
        <v>4184</v>
      </c>
      <c r="B3328" t="s">
        <v>20933</v>
      </c>
      <c r="C3328" t="s">
        <v>2269</v>
      </c>
      <c r="D3328" t="s">
        <v>1857</v>
      </c>
      <c r="E3328" s="527" t="s">
        <v>15468</v>
      </c>
      <c r="F3328" s="220"/>
    </row>
    <row r="3329" spans="1:6" ht="14.4">
      <c r="A3329">
        <v>4185</v>
      </c>
      <c r="B3329" t="s">
        <v>20934</v>
      </c>
      <c r="C3329" t="s">
        <v>2269</v>
      </c>
      <c r="D3329" t="s">
        <v>1857</v>
      </c>
      <c r="E3329" s="527" t="s">
        <v>15520</v>
      </c>
      <c r="F3329" s="219"/>
    </row>
    <row r="3330" spans="1:6" ht="14.4">
      <c r="A3330">
        <v>4205</v>
      </c>
      <c r="B3330" t="s">
        <v>20935</v>
      </c>
      <c r="C3330" t="s">
        <v>2269</v>
      </c>
      <c r="D3330" t="s">
        <v>1857</v>
      </c>
      <c r="E3330" s="527" t="s">
        <v>9512</v>
      </c>
      <c r="F3330" s="220"/>
    </row>
    <row r="3331" spans="1:6" ht="14.4">
      <c r="A3331">
        <v>4192</v>
      </c>
      <c r="B3331" t="s">
        <v>20936</v>
      </c>
      <c r="C3331" t="s">
        <v>2269</v>
      </c>
      <c r="D3331" t="s">
        <v>1857</v>
      </c>
      <c r="E3331" s="527" t="s">
        <v>9512</v>
      </c>
      <c r="F3331" s="219"/>
    </row>
    <row r="3332" spans="1:6" ht="14.4">
      <c r="A3332">
        <v>4191</v>
      </c>
      <c r="B3332" t="s">
        <v>20937</v>
      </c>
      <c r="C3332" t="s">
        <v>2269</v>
      </c>
      <c r="D3332" t="s">
        <v>1857</v>
      </c>
      <c r="E3332" s="527" t="s">
        <v>9512</v>
      </c>
      <c r="F3332" s="220"/>
    </row>
    <row r="3333" spans="1:6" ht="14.4">
      <c r="A3333">
        <v>4207</v>
      </c>
      <c r="B3333" t="s">
        <v>20938</v>
      </c>
      <c r="C3333" t="s">
        <v>2269</v>
      </c>
      <c r="D3333" t="s">
        <v>1857</v>
      </c>
      <c r="E3333" s="527" t="s">
        <v>9863</v>
      </c>
      <c r="F3333" s="219"/>
    </row>
    <row r="3334" spans="1:6" ht="14.4">
      <c r="A3334">
        <v>4206</v>
      </c>
      <c r="B3334" t="s">
        <v>20939</v>
      </c>
      <c r="C3334" t="s">
        <v>2269</v>
      </c>
      <c r="D3334" t="s">
        <v>1857</v>
      </c>
      <c r="E3334" s="527" t="s">
        <v>11174</v>
      </c>
      <c r="F3334" s="220"/>
    </row>
    <row r="3335" spans="1:6" ht="14.4">
      <c r="A3335">
        <v>4190</v>
      </c>
      <c r="B3335" t="s">
        <v>20940</v>
      </c>
      <c r="C3335" t="s">
        <v>2269</v>
      </c>
      <c r="D3335" t="s">
        <v>1857</v>
      </c>
      <c r="E3335" s="527" t="s">
        <v>11174</v>
      </c>
      <c r="F3335" s="219"/>
    </row>
    <row r="3336" spans="1:6" ht="14.4">
      <c r="A3336">
        <v>4186</v>
      </c>
      <c r="B3336" t="s">
        <v>20941</v>
      </c>
      <c r="C3336" t="s">
        <v>2269</v>
      </c>
      <c r="D3336" t="s">
        <v>1857</v>
      </c>
      <c r="E3336" s="527" t="s">
        <v>6052</v>
      </c>
      <c r="F3336" s="220"/>
    </row>
    <row r="3337" spans="1:6" ht="14.4">
      <c r="A3337">
        <v>4188</v>
      </c>
      <c r="B3337" t="s">
        <v>20942</v>
      </c>
      <c r="C3337" t="s">
        <v>2269</v>
      </c>
      <c r="D3337" t="s">
        <v>1857</v>
      </c>
      <c r="E3337" s="527" t="s">
        <v>3158</v>
      </c>
      <c r="F3337" s="219"/>
    </row>
    <row r="3338" spans="1:6" ht="14.4">
      <c r="A3338">
        <v>4189</v>
      </c>
      <c r="B3338" t="s">
        <v>20943</v>
      </c>
      <c r="C3338" t="s">
        <v>2269</v>
      </c>
      <c r="D3338" t="s">
        <v>1857</v>
      </c>
      <c r="E3338" s="527" t="s">
        <v>3158</v>
      </c>
      <c r="F3338" s="220"/>
    </row>
    <row r="3339" spans="1:6" ht="14.4">
      <c r="A3339">
        <v>4197</v>
      </c>
      <c r="B3339" t="s">
        <v>20944</v>
      </c>
      <c r="C3339" t="s">
        <v>2269</v>
      </c>
      <c r="D3339" t="s">
        <v>1857</v>
      </c>
      <c r="E3339" s="527" t="s">
        <v>15521</v>
      </c>
      <c r="F3339" s="219"/>
    </row>
    <row r="3340" spans="1:6" ht="14.4">
      <c r="A3340">
        <v>4194</v>
      </c>
      <c r="B3340" t="s">
        <v>20945</v>
      </c>
      <c r="C3340" t="s">
        <v>2269</v>
      </c>
      <c r="D3340" t="s">
        <v>1857</v>
      </c>
      <c r="E3340" s="527" t="s">
        <v>15195</v>
      </c>
      <c r="F3340" s="220"/>
    </row>
    <row r="3341" spans="1:6" ht="14.4">
      <c r="A3341">
        <v>4193</v>
      </c>
      <c r="B3341" t="s">
        <v>20946</v>
      </c>
      <c r="C3341" t="s">
        <v>2269</v>
      </c>
      <c r="D3341" t="s">
        <v>1857</v>
      </c>
      <c r="E3341" s="527" t="s">
        <v>15195</v>
      </c>
      <c r="F3341" s="219"/>
    </row>
    <row r="3342" spans="1:6" ht="14.4">
      <c r="A3342">
        <v>4204</v>
      </c>
      <c r="B3342" t="s">
        <v>20947</v>
      </c>
      <c r="C3342" t="s">
        <v>2269</v>
      </c>
      <c r="D3342" t="s">
        <v>1857</v>
      </c>
      <c r="E3342" s="527" t="s">
        <v>15195</v>
      </c>
      <c r="F3342" s="220"/>
    </row>
    <row r="3343" spans="1:6" ht="14.4">
      <c r="A3343">
        <v>4187</v>
      </c>
      <c r="B3343" t="s">
        <v>20948</v>
      </c>
      <c r="C3343" t="s">
        <v>2269</v>
      </c>
      <c r="D3343" t="s">
        <v>1857</v>
      </c>
      <c r="E3343" s="527" t="s">
        <v>9781</v>
      </c>
      <c r="F3343" s="219"/>
    </row>
    <row r="3344" spans="1:6" ht="14.4">
      <c r="A3344">
        <v>4202</v>
      </c>
      <c r="B3344" t="s">
        <v>20949</v>
      </c>
      <c r="C3344" t="s">
        <v>2269</v>
      </c>
      <c r="D3344" t="s">
        <v>1857</v>
      </c>
      <c r="E3344" s="527" t="s">
        <v>15522</v>
      </c>
      <c r="F3344" s="220"/>
    </row>
    <row r="3345" spans="1:6" ht="14.4">
      <c r="A3345">
        <v>4203</v>
      </c>
      <c r="B3345" t="s">
        <v>20950</v>
      </c>
      <c r="C3345" t="s">
        <v>2269</v>
      </c>
      <c r="D3345" t="s">
        <v>1857</v>
      </c>
      <c r="E3345" s="527" t="s">
        <v>15523</v>
      </c>
      <c r="F3345" s="219"/>
    </row>
    <row r="3346" spans="1:6" ht="14.4">
      <c r="A3346">
        <v>40368</v>
      </c>
      <c r="B3346" t="s">
        <v>20951</v>
      </c>
      <c r="C3346" t="s">
        <v>2269</v>
      </c>
      <c r="D3346" t="s">
        <v>1857</v>
      </c>
      <c r="E3346" s="527" t="s">
        <v>16239</v>
      </c>
      <c r="F3346" s="220"/>
    </row>
    <row r="3347" spans="1:6" ht="14.4">
      <c r="A3347">
        <v>40365</v>
      </c>
      <c r="B3347" t="s">
        <v>20952</v>
      </c>
      <c r="C3347" t="s">
        <v>2269</v>
      </c>
      <c r="D3347" t="s">
        <v>1857</v>
      </c>
      <c r="E3347" s="527" t="s">
        <v>15825</v>
      </c>
      <c r="F3347" s="219"/>
    </row>
    <row r="3348" spans="1:6" ht="14.4">
      <c r="A3348">
        <v>40356</v>
      </c>
      <c r="B3348" t="s">
        <v>20953</v>
      </c>
      <c r="C3348" t="s">
        <v>2269</v>
      </c>
      <c r="D3348" t="s">
        <v>1857</v>
      </c>
      <c r="E3348" s="527" t="s">
        <v>9914</v>
      </c>
      <c r="F3348" s="220"/>
    </row>
    <row r="3349" spans="1:6" ht="14.4">
      <c r="A3349">
        <v>40362</v>
      </c>
      <c r="B3349" t="s">
        <v>20954</v>
      </c>
      <c r="C3349" t="s">
        <v>2269</v>
      </c>
      <c r="D3349" t="s">
        <v>1857</v>
      </c>
      <c r="E3349" s="527" t="s">
        <v>10343</v>
      </c>
      <c r="F3349" s="219"/>
    </row>
    <row r="3350" spans="1:6" ht="14.4">
      <c r="A3350">
        <v>40374</v>
      </c>
      <c r="B3350" t="s">
        <v>20955</v>
      </c>
      <c r="C3350" t="s">
        <v>2269</v>
      </c>
      <c r="D3350" t="s">
        <v>1857</v>
      </c>
      <c r="E3350" s="527" t="s">
        <v>20956</v>
      </c>
      <c r="F3350" s="220"/>
    </row>
    <row r="3351" spans="1:6" ht="14.4">
      <c r="A3351">
        <v>40371</v>
      </c>
      <c r="B3351" t="s">
        <v>20957</v>
      </c>
      <c r="C3351" t="s">
        <v>2269</v>
      </c>
      <c r="D3351" t="s">
        <v>1857</v>
      </c>
      <c r="E3351" s="527" t="s">
        <v>20958</v>
      </c>
      <c r="F3351" s="219"/>
    </row>
    <row r="3352" spans="1:6" ht="14.4">
      <c r="A3352">
        <v>40359</v>
      </c>
      <c r="B3352" t="s">
        <v>20959</v>
      </c>
      <c r="C3352" t="s">
        <v>2269</v>
      </c>
      <c r="D3352" t="s">
        <v>1857</v>
      </c>
      <c r="E3352" s="527" t="s">
        <v>20960</v>
      </c>
      <c r="F3352" s="220"/>
    </row>
    <row r="3353" spans="1:6" ht="14.4">
      <c r="A3353">
        <v>7595</v>
      </c>
      <c r="B3353" t="s">
        <v>20961</v>
      </c>
      <c r="C3353" t="s">
        <v>2267</v>
      </c>
      <c r="D3353" t="s">
        <v>1857</v>
      </c>
      <c r="E3353" s="527" t="s">
        <v>11627</v>
      </c>
      <c r="F3353" s="219"/>
    </row>
    <row r="3354" spans="1:6" ht="14.4">
      <c r="A3354">
        <v>41094</v>
      </c>
      <c r="B3354" t="s">
        <v>20962</v>
      </c>
      <c r="C3354" t="s">
        <v>2276</v>
      </c>
      <c r="D3354" t="s">
        <v>1857</v>
      </c>
      <c r="E3354" s="527" t="s">
        <v>20963</v>
      </c>
      <c r="F3354" s="220"/>
    </row>
    <row r="3355" spans="1:6" ht="14.4">
      <c r="A3355">
        <v>39609</v>
      </c>
      <c r="B3355" t="s">
        <v>20964</v>
      </c>
      <c r="C3355" t="s">
        <v>2269</v>
      </c>
      <c r="D3355" t="s">
        <v>2271</v>
      </c>
      <c r="E3355" s="527" t="s">
        <v>20965</v>
      </c>
      <c r="F3355" s="219"/>
    </row>
    <row r="3356" spans="1:6" ht="14.4">
      <c r="A3356">
        <v>39610</v>
      </c>
      <c r="B3356" t="s">
        <v>20966</v>
      </c>
      <c r="C3356" t="s">
        <v>2269</v>
      </c>
      <c r="D3356" t="s">
        <v>2271</v>
      </c>
      <c r="E3356" s="527" t="s">
        <v>20967</v>
      </c>
      <c r="F3356" s="220"/>
    </row>
    <row r="3357" spans="1:6" ht="14.4">
      <c r="A3357">
        <v>39611</v>
      </c>
      <c r="B3357" t="s">
        <v>20968</v>
      </c>
      <c r="C3357" t="s">
        <v>2269</v>
      </c>
      <c r="D3357" t="s">
        <v>2271</v>
      </c>
      <c r="E3357" s="527" t="s">
        <v>20969</v>
      </c>
      <c r="F3357" s="219"/>
    </row>
    <row r="3358" spans="1:6" ht="14.4">
      <c r="A3358">
        <v>39612</v>
      </c>
      <c r="B3358" t="s">
        <v>20970</v>
      </c>
      <c r="C3358" t="s">
        <v>2269</v>
      </c>
      <c r="D3358" t="s">
        <v>2271</v>
      </c>
      <c r="E3358" s="527" t="s">
        <v>20971</v>
      </c>
      <c r="F3358" s="220"/>
    </row>
    <row r="3359" spans="1:6" ht="14.4">
      <c r="A3359">
        <v>39608</v>
      </c>
      <c r="B3359" t="s">
        <v>20972</v>
      </c>
      <c r="C3359" t="s">
        <v>2269</v>
      </c>
      <c r="D3359" t="s">
        <v>2271</v>
      </c>
      <c r="E3359" s="527" t="s">
        <v>20973</v>
      </c>
      <c r="F3359" s="219"/>
    </row>
    <row r="3360" spans="1:6" ht="14.4">
      <c r="A3360">
        <v>38175</v>
      </c>
      <c r="B3360" t="s">
        <v>20974</v>
      </c>
      <c r="C3360" t="s">
        <v>2269</v>
      </c>
      <c r="D3360" t="s">
        <v>1857</v>
      </c>
      <c r="E3360" s="527" t="s">
        <v>20975</v>
      </c>
      <c r="F3360" s="220"/>
    </row>
    <row r="3361" spans="1:6" ht="14.4">
      <c r="A3361">
        <v>38176</v>
      </c>
      <c r="B3361" t="s">
        <v>20976</v>
      </c>
      <c r="C3361" t="s">
        <v>2269</v>
      </c>
      <c r="D3361" t="s">
        <v>1857</v>
      </c>
      <c r="E3361" s="527" t="s">
        <v>7291</v>
      </c>
      <c r="F3361" s="219"/>
    </row>
    <row r="3362" spans="1:6" ht="14.4">
      <c r="A3362">
        <v>36152</v>
      </c>
      <c r="B3362" t="s">
        <v>20977</v>
      </c>
      <c r="C3362" t="s">
        <v>2269</v>
      </c>
      <c r="D3362" t="s">
        <v>1857</v>
      </c>
      <c r="E3362" s="527" t="s">
        <v>7279</v>
      </c>
      <c r="F3362" s="220"/>
    </row>
    <row r="3363" spans="1:6" ht="14.4">
      <c r="A3363">
        <v>11138</v>
      </c>
      <c r="B3363" t="s">
        <v>20978</v>
      </c>
      <c r="C3363" t="s">
        <v>2275</v>
      </c>
      <c r="D3363" t="s">
        <v>1857</v>
      </c>
      <c r="E3363" s="527" t="s">
        <v>10383</v>
      </c>
      <c r="F3363" s="219"/>
    </row>
    <row r="3364" spans="1:6" ht="14.4">
      <c r="A3364">
        <v>4221</v>
      </c>
      <c r="B3364" t="s">
        <v>20979</v>
      </c>
      <c r="C3364" t="s">
        <v>2275</v>
      </c>
      <c r="D3364" t="s">
        <v>2268</v>
      </c>
      <c r="E3364" s="527" t="s">
        <v>9769</v>
      </c>
      <c r="F3364" s="220"/>
    </row>
    <row r="3365" spans="1:6" ht="14.4">
      <c r="A3365">
        <v>4227</v>
      </c>
      <c r="B3365" t="s">
        <v>20980</v>
      </c>
      <c r="C3365" t="s">
        <v>2275</v>
      </c>
      <c r="D3365" t="s">
        <v>2268</v>
      </c>
      <c r="E3365" s="527" t="s">
        <v>10198</v>
      </c>
      <c r="F3365" s="219"/>
    </row>
    <row r="3366" spans="1:6" ht="14.4">
      <c r="A3366">
        <v>38170</v>
      </c>
      <c r="B3366" t="s">
        <v>20981</v>
      </c>
      <c r="C3366" t="s">
        <v>2269</v>
      </c>
      <c r="D3366" t="s">
        <v>1857</v>
      </c>
      <c r="E3366" s="527" t="s">
        <v>20186</v>
      </c>
      <c r="F3366" s="220"/>
    </row>
    <row r="3367" spans="1:6" ht="14.4">
      <c r="A3367">
        <v>4252</v>
      </c>
      <c r="B3367" t="s">
        <v>20982</v>
      </c>
      <c r="C3367" t="s">
        <v>2267</v>
      </c>
      <c r="D3367" t="s">
        <v>1857</v>
      </c>
      <c r="E3367" s="527" t="s">
        <v>10201</v>
      </c>
      <c r="F3367" s="219"/>
    </row>
    <row r="3368" spans="1:6" ht="14.4">
      <c r="A3368">
        <v>40980</v>
      </c>
      <c r="B3368" t="s">
        <v>20983</v>
      </c>
      <c r="C3368" t="s">
        <v>2276</v>
      </c>
      <c r="D3368" t="s">
        <v>1857</v>
      </c>
      <c r="E3368" s="527" t="s">
        <v>20984</v>
      </c>
      <c r="F3368" s="220"/>
    </row>
    <row r="3369" spans="1:6" ht="14.4">
      <c r="A3369">
        <v>4243</v>
      </c>
      <c r="B3369" t="s">
        <v>20985</v>
      </c>
      <c r="C3369" t="s">
        <v>2267</v>
      </c>
      <c r="D3369" t="s">
        <v>1857</v>
      </c>
      <c r="E3369" s="527" t="s">
        <v>10046</v>
      </c>
      <c r="F3369" s="219"/>
    </row>
    <row r="3370" spans="1:6" ht="14.4">
      <c r="A3370">
        <v>41031</v>
      </c>
      <c r="B3370" t="s">
        <v>20986</v>
      </c>
      <c r="C3370" t="s">
        <v>2276</v>
      </c>
      <c r="D3370" t="s">
        <v>1857</v>
      </c>
      <c r="E3370" s="527" t="s">
        <v>20987</v>
      </c>
      <c r="F3370" s="220"/>
    </row>
    <row r="3371" spans="1:6" ht="14.4">
      <c r="A3371">
        <v>37666</v>
      </c>
      <c r="B3371" t="s">
        <v>20988</v>
      </c>
      <c r="C3371" t="s">
        <v>2267</v>
      </c>
      <c r="D3371" t="s">
        <v>1857</v>
      </c>
      <c r="E3371" s="527" t="s">
        <v>9523</v>
      </c>
      <c r="F3371" s="219"/>
    </row>
    <row r="3372" spans="1:6" ht="14.4">
      <c r="A3372">
        <v>40986</v>
      </c>
      <c r="B3372" t="s">
        <v>20989</v>
      </c>
      <c r="C3372" t="s">
        <v>2276</v>
      </c>
      <c r="D3372" t="s">
        <v>1857</v>
      </c>
      <c r="E3372" s="527" t="s">
        <v>20990</v>
      </c>
      <c r="F3372" s="220"/>
    </row>
    <row r="3373" spans="1:6" ht="14.4">
      <c r="A3373">
        <v>4250</v>
      </c>
      <c r="B3373" t="s">
        <v>20991</v>
      </c>
      <c r="C3373" t="s">
        <v>2267</v>
      </c>
      <c r="D3373" t="s">
        <v>1857</v>
      </c>
      <c r="E3373" s="527" t="s">
        <v>11176</v>
      </c>
      <c r="F3373" s="219"/>
    </row>
    <row r="3374" spans="1:6" ht="14.4">
      <c r="A3374">
        <v>40978</v>
      </c>
      <c r="B3374" t="s">
        <v>20992</v>
      </c>
      <c r="C3374" t="s">
        <v>2276</v>
      </c>
      <c r="D3374" t="s">
        <v>1857</v>
      </c>
      <c r="E3374" s="527" t="s">
        <v>20993</v>
      </c>
      <c r="F3374" s="220"/>
    </row>
    <row r="3375" spans="1:6" ht="14.4">
      <c r="A3375">
        <v>25960</v>
      </c>
      <c r="B3375" t="s">
        <v>20994</v>
      </c>
      <c r="C3375" t="s">
        <v>2267</v>
      </c>
      <c r="D3375" t="s">
        <v>1857</v>
      </c>
      <c r="E3375" s="527" t="s">
        <v>11448</v>
      </c>
      <c r="F3375" s="219"/>
    </row>
    <row r="3376" spans="1:6" ht="14.4">
      <c r="A3376">
        <v>41043</v>
      </c>
      <c r="B3376" t="s">
        <v>20995</v>
      </c>
      <c r="C3376" t="s">
        <v>2276</v>
      </c>
      <c r="D3376" t="s">
        <v>1857</v>
      </c>
      <c r="E3376" s="527" t="s">
        <v>20996</v>
      </c>
      <c r="F3376" s="220"/>
    </row>
    <row r="3377" spans="1:6" ht="14.4">
      <c r="A3377">
        <v>4234</v>
      </c>
      <c r="B3377" t="s">
        <v>20997</v>
      </c>
      <c r="C3377" t="s">
        <v>2267</v>
      </c>
      <c r="D3377" t="s">
        <v>2268</v>
      </c>
      <c r="E3377" s="527" t="s">
        <v>7368</v>
      </c>
      <c r="F3377" s="219"/>
    </row>
    <row r="3378" spans="1:6" ht="14.4">
      <c r="A3378">
        <v>40987</v>
      </c>
      <c r="B3378" t="s">
        <v>20998</v>
      </c>
      <c r="C3378" t="s">
        <v>2276</v>
      </c>
      <c r="D3378" t="s">
        <v>1857</v>
      </c>
      <c r="E3378" s="527" t="s">
        <v>20999</v>
      </c>
      <c r="F3378" s="220"/>
    </row>
    <row r="3379" spans="1:6" ht="14.4">
      <c r="A3379">
        <v>4253</v>
      </c>
      <c r="B3379" t="s">
        <v>21000</v>
      </c>
      <c r="C3379" t="s">
        <v>2267</v>
      </c>
      <c r="D3379" t="s">
        <v>1857</v>
      </c>
      <c r="E3379" s="527" t="s">
        <v>20887</v>
      </c>
      <c r="F3379" s="219"/>
    </row>
    <row r="3380" spans="1:6" ht="14.4">
      <c r="A3380">
        <v>40981</v>
      </c>
      <c r="B3380" t="s">
        <v>21001</v>
      </c>
      <c r="C3380" t="s">
        <v>2276</v>
      </c>
      <c r="D3380" t="s">
        <v>1857</v>
      </c>
      <c r="E3380" s="527" t="s">
        <v>20889</v>
      </c>
      <c r="F3380" s="220"/>
    </row>
    <row r="3381" spans="1:6" ht="14.4">
      <c r="A3381">
        <v>4254</v>
      </c>
      <c r="B3381" t="s">
        <v>21002</v>
      </c>
      <c r="C3381" t="s">
        <v>2267</v>
      </c>
      <c r="D3381" t="s">
        <v>1857</v>
      </c>
      <c r="E3381" s="527" t="s">
        <v>21003</v>
      </c>
      <c r="F3381" s="219"/>
    </row>
    <row r="3382" spans="1:6" ht="14.4">
      <c r="A3382">
        <v>41036</v>
      </c>
      <c r="B3382" t="s">
        <v>21004</v>
      </c>
      <c r="C3382" t="s">
        <v>2276</v>
      </c>
      <c r="D3382" t="s">
        <v>1857</v>
      </c>
      <c r="E3382" s="527" t="s">
        <v>21005</v>
      </c>
      <c r="F3382" s="220"/>
    </row>
    <row r="3383" spans="1:6" ht="14.4">
      <c r="A3383">
        <v>4251</v>
      </c>
      <c r="B3383" t="s">
        <v>21006</v>
      </c>
      <c r="C3383" t="s">
        <v>2267</v>
      </c>
      <c r="D3383" t="s">
        <v>1857</v>
      </c>
      <c r="E3383" s="527" t="s">
        <v>9516</v>
      </c>
      <c r="F3383" s="219"/>
    </row>
    <row r="3384" spans="1:6" ht="14.4">
      <c r="A3384">
        <v>40979</v>
      </c>
      <c r="B3384" t="s">
        <v>21007</v>
      </c>
      <c r="C3384" t="s">
        <v>2276</v>
      </c>
      <c r="D3384" t="s">
        <v>1857</v>
      </c>
      <c r="E3384" s="527" t="s">
        <v>21008</v>
      </c>
      <c r="F3384" s="220"/>
    </row>
    <row r="3385" spans="1:6" ht="14.4">
      <c r="A3385">
        <v>4230</v>
      </c>
      <c r="B3385" t="s">
        <v>21009</v>
      </c>
      <c r="C3385" t="s">
        <v>2267</v>
      </c>
      <c r="D3385" t="s">
        <v>1857</v>
      </c>
      <c r="E3385" s="527" t="s">
        <v>16160</v>
      </c>
      <c r="F3385" s="219"/>
    </row>
    <row r="3386" spans="1:6" ht="14.4">
      <c r="A3386">
        <v>40998</v>
      </c>
      <c r="B3386" t="s">
        <v>21010</v>
      </c>
      <c r="C3386" t="s">
        <v>2276</v>
      </c>
      <c r="D3386" t="s">
        <v>1857</v>
      </c>
      <c r="E3386" s="527" t="s">
        <v>21011</v>
      </c>
      <c r="F3386" s="220"/>
    </row>
    <row r="3387" spans="1:6" ht="14.4">
      <c r="A3387">
        <v>4257</v>
      </c>
      <c r="B3387" t="s">
        <v>21012</v>
      </c>
      <c r="C3387" t="s">
        <v>2267</v>
      </c>
      <c r="D3387" t="s">
        <v>1857</v>
      </c>
      <c r="E3387" s="527" t="s">
        <v>16276</v>
      </c>
      <c r="F3387" s="219"/>
    </row>
    <row r="3388" spans="1:6" ht="14.4">
      <c r="A3388">
        <v>40982</v>
      </c>
      <c r="B3388" t="s">
        <v>21013</v>
      </c>
      <c r="C3388" t="s">
        <v>2276</v>
      </c>
      <c r="D3388" t="s">
        <v>1857</v>
      </c>
      <c r="E3388" s="527" t="s">
        <v>21014</v>
      </c>
      <c r="F3388" s="220"/>
    </row>
    <row r="3389" spans="1:6" ht="14.4">
      <c r="A3389">
        <v>4240</v>
      </c>
      <c r="B3389" t="s">
        <v>21015</v>
      </c>
      <c r="C3389" t="s">
        <v>2267</v>
      </c>
      <c r="D3389" t="s">
        <v>1857</v>
      </c>
      <c r="E3389" s="527" t="s">
        <v>19126</v>
      </c>
      <c r="F3389" s="219"/>
    </row>
    <row r="3390" spans="1:6" ht="14.4">
      <c r="A3390">
        <v>41026</v>
      </c>
      <c r="B3390" t="s">
        <v>21016</v>
      </c>
      <c r="C3390" t="s">
        <v>2276</v>
      </c>
      <c r="D3390" t="s">
        <v>1857</v>
      </c>
      <c r="E3390" s="527" t="s">
        <v>21017</v>
      </c>
      <c r="F3390" s="220"/>
    </row>
    <row r="3391" spans="1:6" ht="14.4">
      <c r="A3391">
        <v>4239</v>
      </c>
      <c r="B3391" t="s">
        <v>21018</v>
      </c>
      <c r="C3391" t="s">
        <v>2267</v>
      </c>
      <c r="D3391" t="s">
        <v>1857</v>
      </c>
      <c r="E3391" s="527" t="s">
        <v>21019</v>
      </c>
      <c r="F3391" s="219"/>
    </row>
    <row r="3392" spans="1:6" ht="14.4">
      <c r="A3392">
        <v>41024</v>
      </c>
      <c r="B3392" t="s">
        <v>21020</v>
      </c>
      <c r="C3392" t="s">
        <v>2276</v>
      </c>
      <c r="D3392" t="s">
        <v>1857</v>
      </c>
      <c r="E3392" s="527" t="s">
        <v>21021</v>
      </c>
      <c r="F3392" s="220"/>
    </row>
    <row r="3393" spans="1:6" ht="14.4">
      <c r="A3393">
        <v>4248</v>
      </c>
      <c r="B3393" t="s">
        <v>21022</v>
      </c>
      <c r="C3393" t="s">
        <v>2267</v>
      </c>
      <c r="D3393" t="s">
        <v>1857</v>
      </c>
      <c r="E3393" s="527" t="s">
        <v>9516</v>
      </c>
      <c r="F3393" s="219"/>
    </row>
    <row r="3394" spans="1:6" ht="14.4">
      <c r="A3394">
        <v>41033</v>
      </c>
      <c r="B3394" t="s">
        <v>21023</v>
      </c>
      <c r="C3394" t="s">
        <v>2276</v>
      </c>
      <c r="D3394" t="s">
        <v>1857</v>
      </c>
      <c r="E3394" s="527" t="s">
        <v>21024</v>
      </c>
      <c r="F3394" s="220"/>
    </row>
    <row r="3395" spans="1:6" ht="14.4">
      <c r="A3395">
        <v>25959</v>
      </c>
      <c r="B3395" t="s">
        <v>21025</v>
      </c>
      <c r="C3395" t="s">
        <v>2267</v>
      </c>
      <c r="D3395" t="s">
        <v>1857</v>
      </c>
      <c r="E3395" s="527" t="s">
        <v>9886</v>
      </c>
      <c r="F3395" s="219"/>
    </row>
    <row r="3396" spans="1:6" ht="14.4">
      <c r="A3396">
        <v>41040</v>
      </c>
      <c r="B3396" t="s">
        <v>21026</v>
      </c>
      <c r="C3396" t="s">
        <v>2276</v>
      </c>
      <c r="D3396" t="s">
        <v>1857</v>
      </c>
      <c r="E3396" s="527" t="s">
        <v>21027</v>
      </c>
      <c r="F3396" s="220"/>
    </row>
    <row r="3397" spans="1:6" ht="14.4">
      <c r="A3397">
        <v>4238</v>
      </c>
      <c r="B3397" t="s">
        <v>21028</v>
      </c>
      <c r="C3397" t="s">
        <v>2267</v>
      </c>
      <c r="D3397" t="s">
        <v>1857</v>
      </c>
      <c r="E3397" s="527" t="s">
        <v>9790</v>
      </c>
      <c r="F3397" s="219"/>
    </row>
    <row r="3398" spans="1:6" ht="14.4">
      <c r="A3398">
        <v>41012</v>
      </c>
      <c r="B3398" t="s">
        <v>21029</v>
      </c>
      <c r="C3398" t="s">
        <v>2276</v>
      </c>
      <c r="D3398" t="s">
        <v>1857</v>
      </c>
      <c r="E3398" s="527" t="s">
        <v>21030</v>
      </c>
      <c r="F3398" s="220"/>
    </row>
    <row r="3399" spans="1:6" ht="14.4">
      <c r="A3399">
        <v>4237</v>
      </c>
      <c r="B3399" t="s">
        <v>21031</v>
      </c>
      <c r="C3399" t="s">
        <v>2267</v>
      </c>
      <c r="D3399" t="s">
        <v>1857</v>
      </c>
      <c r="E3399" s="527" t="s">
        <v>9871</v>
      </c>
      <c r="F3399" s="219"/>
    </row>
    <row r="3400" spans="1:6" ht="14.4">
      <c r="A3400">
        <v>41002</v>
      </c>
      <c r="B3400" t="s">
        <v>21032</v>
      </c>
      <c r="C3400" t="s">
        <v>2276</v>
      </c>
      <c r="D3400" t="s">
        <v>1857</v>
      </c>
      <c r="E3400" s="527" t="s">
        <v>21033</v>
      </c>
      <c r="F3400" s="220"/>
    </row>
    <row r="3401" spans="1:6" ht="14.4">
      <c r="A3401">
        <v>4233</v>
      </c>
      <c r="B3401" t="s">
        <v>21034</v>
      </c>
      <c r="C3401" t="s">
        <v>2267</v>
      </c>
      <c r="D3401" t="s">
        <v>1857</v>
      </c>
      <c r="E3401" s="527" t="s">
        <v>20877</v>
      </c>
      <c r="F3401" s="219"/>
    </row>
    <row r="3402" spans="1:6" ht="14.4">
      <c r="A3402">
        <v>41001</v>
      </c>
      <c r="B3402" t="s">
        <v>21035</v>
      </c>
      <c r="C3402" t="s">
        <v>2276</v>
      </c>
      <c r="D3402" t="s">
        <v>1857</v>
      </c>
      <c r="E3402" s="527" t="s">
        <v>21036</v>
      </c>
      <c r="F3402" s="220"/>
    </row>
    <row r="3403" spans="1:6" ht="14.4">
      <c r="A3403">
        <v>2</v>
      </c>
      <c r="B3403" t="s">
        <v>21037</v>
      </c>
      <c r="C3403" t="s">
        <v>2272</v>
      </c>
      <c r="D3403" t="s">
        <v>1857</v>
      </c>
      <c r="E3403" s="527" t="s">
        <v>16166</v>
      </c>
      <c r="F3403" s="219"/>
    </row>
    <row r="3404" spans="1:6" ht="14.4">
      <c r="A3404">
        <v>36517</v>
      </c>
      <c r="B3404" t="s">
        <v>21038</v>
      </c>
      <c r="C3404" t="s">
        <v>2269</v>
      </c>
      <c r="D3404" t="s">
        <v>1857</v>
      </c>
      <c r="E3404" s="527" t="s">
        <v>15524</v>
      </c>
      <c r="F3404" s="220"/>
    </row>
    <row r="3405" spans="1:6" ht="14.4">
      <c r="A3405">
        <v>4262</v>
      </c>
      <c r="B3405" t="s">
        <v>21039</v>
      </c>
      <c r="C3405" t="s">
        <v>2269</v>
      </c>
      <c r="D3405" t="s">
        <v>2268</v>
      </c>
      <c r="E3405" s="527" t="s">
        <v>10038</v>
      </c>
      <c r="F3405" s="219"/>
    </row>
    <row r="3406" spans="1:6" ht="14.4">
      <c r="A3406">
        <v>4263</v>
      </c>
      <c r="B3406" t="s">
        <v>21040</v>
      </c>
      <c r="C3406" t="s">
        <v>2269</v>
      </c>
      <c r="D3406" t="s">
        <v>1857</v>
      </c>
      <c r="E3406" s="527" t="s">
        <v>15525</v>
      </c>
      <c r="F3406" s="220"/>
    </row>
    <row r="3407" spans="1:6" ht="14.4">
      <c r="A3407">
        <v>36518</v>
      </c>
      <c r="B3407" t="s">
        <v>21041</v>
      </c>
      <c r="C3407" t="s">
        <v>2269</v>
      </c>
      <c r="D3407" t="s">
        <v>1857</v>
      </c>
      <c r="E3407" s="527" t="s">
        <v>15526</v>
      </c>
      <c r="F3407" s="219"/>
    </row>
    <row r="3408" spans="1:6" ht="14.4">
      <c r="A3408">
        <v>14221</v>
      </c>
      <c r="B3408" t="s">
        <v>21042</v>
      </c>
      <c r="C3408" t="s">
        <v>2269</v>
      </c>
      <c r="D3408" t="s">
        <v>1857</v>
      </c>
      <c r="E3408" s="527" t="s">
        <v>15527</v>
      </c>
      <c r="F3408" s="220"/>
    </row>
    <row r="3409" spans="1:6" ht="14.4">
      <c r="A3409">
        <v>38402</v>
      </c>
      <c r="B3409" t="s">
        <v>21043</v>
      </c>
      <c r="C3409" t="s">
        <v>2269</v>
      </c>
      <c r="D3409" t="s">
        <v>1857</v>
      </c>
      <c r="E3409" s="527" t="s">
        <v>4543</v>
      </c>
      <c r="F3409" s="219"/>
    </row>
    <row r="3410" spans="1:6" ht="14.4">
      <c r="A3410">
        <v>3412</v>
      </c>
      <c r="B3410" t="s">
        <v>21044</v>
      </c>
      <c r="C3410" t="s">
        <v>2270</v>
      </c>
      <c r="D3410" t="s">
        <v>1857</v>
      </c>
      <c r="E3410" s="527" t="s">
        <v>9511</v>
      </c>
      <c r="F3410" s="220"/>
    </row>
    <row r="3411" spans="1:6" ht="14.4">
      <c r="A3411">
        <v>3413</v>
      </c>
      <c r="B3411" t="s">
        <v>21045</v>
      </c>
      <c r="C3411" t="s">
        <v>2270</v>
      </c>
      <c r="D3411" t="s">
        <v>1857</v>
      </c>
      <c r="E3411" s="527" t="s">
        <v>7467</v>
      </c>
      <c r="F3411" s="219"/>
    </row>
    <row r="3412" spans="1:6" ht="14.4">
      <c r="A3412">
        <v>39744</v>
      </c>
      <c r="B3412" t="s">
        <v>21046</v>
      </c>
      <c r="C3412" t="s">
        <v>2270</v>
      </c>
      <c r="D3412" t="s">
        <v>1857</v>
      </c>
      <c r="E3412" s="527" t="s">
        <v>10280</v>
      </c>
      <c r="F3412" s="220"/>
    </row>
    <row r="3413" spans="1:6" ht="14.4">
      <c r="A3413">
        <v>39745</v>
      </c>
      <c r="B3413" t="s">
        <v>21047</v>
      </c>
      <c r="C3413" t="s">
        <v>2270</v>
      </c>
      <c r="D3413" t="s">
        <v>1857</v>
      </c>
      <c r="E3413" s="527" t="s">
        <v>9888</v>
      </c>
      <c r="F3413" s="219"/>
    </row>
    <row r="3414" spans="1:6" ht="14.4">
      <c r="A3414">
        <v>39637</v>
      </c>
      <c r="B3414" t="s">
        <v>21048</v>
      </c>
      <c r="C3414" t="s">
        <v>2270</v>
      </c>
      <c r="D3414" t="s">
        <v>1857</v>
      </c>
      <c r="E3414" s="527" t="s">
        <v>21049</v>
      </c>
      <c r="F3414" s="220"/>
    </row>
    <row r="3415" spans="1:6" ht="14.4">
      <c r="A3415">
        <v>39638</v>
      </c>
      <c r="B3415" t="s">
        <v>21050</v>
      </c>
      <c r="C3415" t="s">
        <v>2270</v>
      </c>
      <c r="D3415" t="s">
        <v>1857</v>
      </c>
      <c r="E3415" s="527" t="s">
        <v>21051</v>
      </c>
      <c r="F3415" s="219"/>
    </row>
    <row r="3416" spans="1:6" ht="14.4">
      <c r="A3416">
        <v>39639</v>
      </c>
      <c r="B3416" t="s">
        <v>21052</v>
      </c>
      <c r="C3416" t="s">
        <v>2270</v>
      </c>
      <c r="D3416" t="s">
        <v>1857</v>
      </c>
      <c r="E3416" s="527" t="s">
        <v>21053</v>
      </c>
      <c r="F3416" s="220"/>
    </row>
    <row r="3417" spans="1:6" ht="14.4">
      <c r="A3417">
        <v>39517</v>
      </c>
      <c r="B3417" t="s">
        <v>21054</v>
      </c>
      <c r="C3417" t="s">
        <v>2270</v>
      </c>
      <c r="D3417" t="s">
        <v>2271</v>
      </c>
      <c r="E3417" s="527" t="s">
        <v>21055</v>
      </c>
      <c r="F3417" s="219"/>
    </row>
    <row r="3418" spans="1:6" ht="14.4">
      <c r="A3418">
        <v>39518</v>
      </c>
      <c r="B3418" t="s">
        <v>21056</v>
      </c>
      <c r="C3418" t="s">
        <v>2270</v>
      </c>
      <c r="D3418" t="s">
        <v>2271</v>
      </c>
      <c r="E3418" s="527" t="s">
        <v>21057</v>
      </c>
      <c r="F3418" s="220"/>
    </row>
    <row r="3419" spans="1:6" ht="14.4">
      <c r="A3419">
        <v>38366</v>
      </c>
      <c r="B3419" t="s">
        <v>21058</v>
      </c>
      <c r="C3419" t="s">
        <v>2270</v>
      </c>
      <c r="D3419" t="s">
        <v>1857</v>
      </c>
      <c r="E3419" s="527" t="s">
        <v>9542</v>
      </c>
      <c r="F3419" s="219"/>
    </row>
    <row r="3420" spans="1:6" ht="14.4">
      <c r="A3420">
        <v>11703</v>
      </c>
      <c r="B3420" t="s">
        <v>21059</v>
      </c>
      <c r="C3420" t="s">
        <v>2269</v>
      </c>
      <c r="D3420" t="s">
        <v>1857</v>
      </c>
      <c r="E3420" s="527" t="s">
        <v>16851</v>
      </c>
      <c r="F3420" s="220"/>
    </row>
    <row r="3421" spans="1:6" ht="14.4">
      <c r="A3421">
        <v>37400</v>
      </c>
      <c r="B3421" t="s">
        <v>21060</v>
      </c>
      <c r="C3421" t="s">
        <v>2269</v>
      </c>
      <c r="D3421" t="s">
        <v>1857</v>
      </c>
      <c r="E3421" s="527" t="s">
        <v>21061</v>
      </c>
      <c r="F3421" s="219"/>
    </row>
    <row r="3422" spans="1:6" ht="14.4">
      <c r="A3422">
        <v>25400</v>
      </c>
      <c r="B3422" t="s">
        <v>21062</v>
      </c>
      <c r="C3422" t="s">
        <v>2269</v>
      </c>
      <c r="D3422" t="s">
        <v>1857</v>
      </c>
      <c r="E3422" s="527" t="s">
        <v>21063</v>
      </c>
      <c r="F3422" s="220"/>
    </row>
    <row r="3423" spans="1:6" ht="14.4">
      <c r="A3423">
        <v>4276</v>
      </c>
      <c r="B3423" t="s">
        <v>21064</v>
      </c>
      <c r="C3423" t="s">
        <v>2269</v>
      </c>
      <c r="D3423" t="s">
        <v>1857</v>
      </c>
      <c r="E3423" s="527" t="s">
        <v>21065</v>
      </c>
      <c r="F3423" s="219"/>
    </row>
    <row r="3424" spans="1:6" ht="14.4">
      <c r="A3424">
        <v>4273</v>
      </c>
      <c r="B3424" t="s">
        <v>21066</v>
      </c>
      <c r="C3424" t="s">
        <v>2269</v>
      </c>
      <c r="D3424" t="s">
        <v>1857</v>
      </c>
      <c r="E3424" s="527" t="s">
        <v>21067</v>
      </c>
      <c r="F3424" s="220"/>
    </row>
    <row r="3425" spans="1:6" ht="14.4">
      <c r="A3425">
        <v>4274</v>
      </c>
      <c r="B3425" t="s">
        <v>21068</v>
      </c>
      <c r="C3425" t="s">
        <v>2269</v>
      </c>
      <c r="D3425" t="s">
        <v>2268</v>
      </c>
      <c r="E3425" s="527" t="s">
        <v>10750</v>
      </c>
      <c r="F3425" s="219"/>
    </row>
    <row r="3426" spans="1:6" ht="14.4">
      <c r="A3426">
        <v>39438</v>
      </c>
      <c r="B3426" t="s">
        <v>21069</v>
      </c>
      <c r="C3426" t="s">
        <v>2269</v>
      </c>
      <c r="D3426" t="s">
        <v>2271</v>
      </c>
      <c r="E3426" s="527" t="s">
        <v>3481</v>
      </c>
      <c r="F3426" s="220"/>
    </row>
    <row r="3427" spans="1:6" ht="14.4">
      <c r="A3427">
        <v>11963</v>
      </c>
      <c r="B3427" t="s">
        <v>21070</v>
      </c>
      <c r="C3427" t="s">
        <v>2269</v>
      </c>
      <c r="D3427" t="s">
        <v>2271</v>
      </c>
      <c r="E3427" s="527" t="s">
        <v>7469</v>
      </c>
      <c r="F3427" s="219"/>
    </row>
    <row r="3428" spans="1:6" ht="14.4">
      <c r="A3428">
        <v>11964</v>
      </c>
      <c r="B3428" t="s">
        <v>21071</v>
      </c>
      <c r="C3428" t="s">
        <v>2269</v>
      </c>
      <c r="D3428" t="s">
        <v>2271</v>
      </c>
      <c r="E3428" s="527" t="s">
        <v>3789</v>
      </c>
      <c r="F3428" s="220"/>
    </row>
    <row r="3429" spans="1:6" ht="14.4">
      <c r="A3429">
        <v>4379</v>
      </c>
      <c r="B3429" t="s">
        <v>21072</v>
      </c>
      <c r="C3429" t="s">
        <v>2269</v>
      </c>
      <c r="D3429" t="s">
        <v>2271</v>
      </c>
      <c r="E3429" s="527" t="s">
        <v>3235</v>
      </c>
      <c r="F3429" s="219"/>
    </row>
    <row r="3430" spans="1:6" ht="14.4">
      <c r="A3430">
        <v>4377</v>
      </c>
      <c r="B3430" t="s">
        <v>21073</v>
      </c>
      <c r="C3430" t="s">
        <v>2269</v>
      </c>
      <c r="D3430" t="s">
        <v>2271</v>
      </c>
      <c r="E3430" s="527" t="s">
        <v>3211</v>
      </c>
      <c r="F3430" s="220"/>
    </row>
    <row r="3431" spans="1:6" ht="14.4">
      <c r="A3431">
        <v>4356</v>
      </c>
      <c r="B3431" t="s">
        <v>21074</v>
      </c>
      <c r="C3431" t="s">
        <v>2269</v>
      </c>
      <c r="D3431" t="s">
        <v>2271</v>
      </c>
      <c r="E3431" s="527" t="s">
        <v>3481</v>
      </c>
      <c r="F3431" s="219"/>
    </row>
    <row r="3432" spans="1:6" ht="14.4">
      <c r="A3432">
        <v>13246</v>
      </c>
      <c r="B3432" t="s">
        <v>21075</v>
      </c>
      <c r="C3432" t="s">
        <v>2269</v>
      </c>
      <c r="D3432" t="s">
        <v>2271</v>
      </c>
      <c r="E3432" s="527" t="s">
        <v>3717</v>
      </c>
      <c r="F3432" s="220"/>
    </row>
    <row r="3433" spans="1:6" ht="14.4">
      <c r="A3433">
        <v>4346</v>
      </c>
      <c r="B3433" t="s">
        <v>21076</v>
      </c>
      <c r="C3433" t="s">
        <v>2269</v>
      </c>
      <c r="D3433" t="s">
        <v>2271</v>
      </c>
      <c r="E3433" s="527" t="s">
        <v>4558</v>
      </c>
      <c r="F3433" s="219"/>
    </row>
    <row r="3434" spans="1:6" ht="14.4">
      <c r="A3434">
        <v>11955</v>
      </c>
      <c r="B3434" t="s">
        <v>21077</v>
      </c>
      <c r="C3434" t="s">
        <v>2269</v>
      </c>
      <c r="D3434" t="s">
        <v>2271</v>
      </c>
      <c r="E3434" s="527" t="s">
        <v>10379</v>
      </c>
      <c r="F3434" s="220"/>
    </row>
    <row r="3435" spans="1:6" ht="14.4">
      <c r="A3435">
        <v>11960</v>
      </c>
      <c r="B3435" t="s">
        <v>21078</v>
      </c>
      <c r="C3435" t="s">
        <v>2269</v>
      </c>
      <c r="D3435" t="s">
        <v>2271</v>
      </c>
      <c r="E3435" s="527" t="s">
        <v>3558</v>
      </c>
      <c r="F3435" s="219"/>
    </row>
    <row r="3436" spans="1:6" ht="14.4">
      <c r="A3436">
        <v>4333</v>
      </c>
      <c r="B3436" t="s">
        <v>21079</v>
      </c>
      <c r="C3436" t="s">
        <v>2269</v>
      </c>
      <c r="D3436" t="s">
        <v>2271</v>
      </c>
      <c r="E3436" s="527" t="s">
        <v>3481</v>
      </c>
      <c r="F3436" s="220"/>
    </row>
    <row r="3437" spans="1:6" ht="14.4">
      <c r="A3437">
        <v>4358</v>
      </c>
      <c r="B3437" t="s">
        <v>21080</v>
      </c>
      <c r="C3437" t="s">
        <v>2269</v>
      </c>
      <c r="D3437" t="s">
        <v>2271</v>
      </c>
      <c r="E3437" s="527" t="s">
        <v>3715</v>
      </c>
      <c r="F3437" s="219"/>
    </row>
    <row r="3438" spans="1:6" ht="14.4">
      <c r="A3438">
        <v>39435</v>
      </c>
      <c r="B3438" t="s">
        <v>21081</v>
      </c>
      <c r="C3438" t="s">
        <v>2269</v>
      </c>
      <c r="D3438" t="s">
        <v>2271</v>
      </c>
      <c r="E3438" s="527" t="s">
        <v>3888</v>
      </c>
      <c r="F3438" s="220"/>
    </row>
    <row r="3439" spans="1:6" ht="14.4">
      <c r="A3439">
        <v>39436</v>
      </c>
      <c r="B3439" t="s">
        <v>21082</v>
      </c>
      <c r="C3439" t="s">
        <v>2269</v>
      </c>
      <c r="D3439" t="s">
        <v>2271</v>
      </c>
      <c r="E3439" s="527" t="s">
        <v>3564</v>
      </c>
      <c r="F3439" s="219"/>
    </row>
    <row r="3440" spans="1:6" ht="14.4">
      <c r="A3440">
        <v>39437</v>
      </c>
      <c r="B3440" t="s">
        <v>21083</v>
      </c>
      <c r="C3440" t="s">
        <v>2269</v>
      </c>
      <c r="D3440" t="s">
        <v>2271</v>
      </c>
      <c r="E3440" s="527" t="s">
        <v>3432</v>
      </c>
      <c r="F3440" s="220"/>
    </row>
    <row r="3441" spans="1:6" ht="14.4">
      <c r="A3441">
        <v>39439</v>
      </c>
      <c r="B3441" t="s">
        <v>21084</v>
      </c>
      <c r="C3441" t="s">
        <v>2269</v>
      </c>
      <c r="D3441" t="s">
        <v>2271</v>
      </c>
      <c r="E3441" s="527" t="s">
        <v>3418</v>
      </c>
      <c r="F3441" s="219"/>
    </row>
    <row r="3442" spans="1:6" ht="14.4">
      <c r="A3442">
        <v>39440</v>
      </c>
      <c r="B3442" t="s">
        <v>21085</v>
      </c>
      <c r="C3442" t="s">
        <v>2269</v>
      </c>
      <c r="D3442" t="s">
        <v>2271</v>
      </c>
      <c r="E3442" s="527" t="s">
        <v>3599</v>
      </c>
      <c r="F3442" s="220"/>
    </row>
    <row r="3443" spans="1:6" ht="14.4">
      <c r="A3443">
        <v>39441</v>
      </c>
      <c r="B3443" t="s">
        <v>21086</v>
      </c>
      <c r="C3443" t="s">
        <v>2269</v>
      </c>
      <c r="D3443" t="s">
        <v>2271</v>
      </c>
      <c r="E3443" s="527" t="s">
        <v>3481</v>
      </c>
      <c r="F3443" s="219"/>
    </row>
    <row r="3444" spans="1:6" ht="14.4">
      <c r="A3444">
        <v>39442</v>
      </c>
      <c r="B3444" t="s">
        <v>21087</v>
      </c>
      <c r="C3444" t="s">
        <v>2269</v>
      </c>
      <c r="D3444" t="s">
        <v>2271</v>
      </c>
      <c r="E3444" s="527" t="s">
        <v>3211</v>
      </c>
      <c r="F3444" s="220"/>
    </row>
    <row r="3445" spans="1:6" ht="14.4">
      <c r="A3445">
        <v>39443</v>
      </c>
      <c r="B3445" t="s">
        <v>21088</v>
      </c>
      <c r="C3445" t="s">
        <v>2269</v>
      </c>
      <c r="D3445" t="s">
        <v>2271</v>
      </c>
      <c r="E3445" s="527" t="s">
        <v>3264</v>
      </c>
      <c r="F3445" s="219"/>
    </row>
    <row r="3446" spans="1:6" ht="14.4">
      <c r="A3446">
        <v>4329</v>
      </c>
      <c r="B3446" t="s">
        <v>21089</v>
      </c>
      <c r="C3446" t="s">
        <v>2269</v>
      </c>
      <c r="D3446" t="s">
        <v>2271</v>
      </c>
      <c r="E3446" s="527" t="s">
        <v>7227</v>
      </c>
      <c r="F3446" s="220"/>
    </row>
    <row r="3447" spans="1:6" ht="14.4">
      <c r="A3447">
        <v>4383</v>
      </c>
      <c r="B3447" t="s">
        <v>21090</v>
      </c>
      <c r="C3447" t="s">
        <v>2269</v>
      </c>
      <c r="D3447" t="s">
        <v>2271</v>
      </c>
      <c r="E3447" s="527" t="s">
        <v>7341</v>
      </c>
      <c r="F3447" s="219"/>
    </row>
    <row r="3448" spans="1:6" ht="14.4">
      <c r="A3448">
        <v>4344</v>
      </c>
      <c r="B3448" t="s">
        <v>21091</v>
      </c>
      <c r="C3448" t="s">
        <v>2269</v>
      </c>
      <c r="D3448" t="s">
        <v>2271</v>
      </c>
      <c r="E3448" s="527" t="s">
        <v>10319</v>
      </c>
      <c r="F3448" s="220"/>
    </row>
    <row r="3449" spans="1:6" ht="14.4">
      <c r="A3449">
        <v>436</v>
      </c>
      <c r="B3449" t="s">
        <v>21092</v>
      </c>
      <c r="C3449" t="s">
        <v>2269</v>
      </c>
      <c r="D3449" t="s">
        <v>2271</v>
      </c>
      <c r="E3449" s="527" t="s">
        <v>5152</v>
      </c>
      <c r="F3449" s="219"/>
    </row>
    <row r="3450" spans="1:6" ht="14.4">
      <c r="A3450">
        <v>442</v>
      </c>
      <c r="B3450" t="s">
        <v>21093</v>
      </c>
      <c r="C3450" t="s">
        <v>2269</v>
      </c>
      <c r="D3450" t="s">
        <v>2271</v>
      </c>
      <c r="E3450" s="527" t="s">
        <v>3961</v>
      </c>
      <c r="F3450" s="220"/>
    </row>
    <row r="3451" spans="1:6" ht="14.4">
      <c r="A3451">
        <v>11953</v>
      </c>
      <c r="B3451" t="s">
        <v>21094</v>
      </c>
      <c r="C3451" t="s">
        <v>2269</v>
      </c>
      <c r="D3451" t="s">
        <v>2271</v>
      </c>
      <c r="E3451" s="527" t="s">
        <v>3747</v>
      </c>
      <c r="F3451" s="219"/>
    </row>
    <row r="3452" spans="1:6" ht="14.4">
      <c r="A3452">
        <v>4335</v>
      </c>
      <c r="B3452" t="s">
        <v>21095</v>
      </c>
      <c r="C3452" t="s">
        <v>2269</v>
      </c>
      <c r="D3452" t="s">
        <v>2271</v>
      </c>
      <c r="E3452" s="527" t="s">
        <v>10282</v>
      </c>
      <c r="F3452" s="220"/>
    </row>
    <row r="3453" spans="1:6" ht="14.4">
      <c r="A3453">
        <v>4334</v>
      </c>
      <c r="B3453" t="s">
        <v>21096</v>
      </c>
      <c r="C3453" t="s">
        <v>2269</v>
      </c>
      <c r="D3453" t="s">
        <v>2271</v>
      </c>
      <c r="E3453" s="527" t="s">
        <v>9915</v>
      </c>
      <c r="F3453" s="219"/>
    </row>
    <row r="3454" spans="1:6" ht="14.4">
      <c r="A3454">
        <v>4343</v>
      </c>
      <c r="B3454" t="s">
        <v>21097</v>
      </c>
      <c r="C3454" t="s">
        <v>2269</v>
      </c>
      <c r="D3454" t="s">
        <v>2271</v>
      </c>
      <c r="E3454" s="527" t="s">
        <v>3606</v>
      </c>
      <c r="F3454" s="220"/>
    </row>
    <row r="3455" spans="1:6" ht="14.4">
      <c r="A3455">
        <v>430</v>
      </c>
      <c r="B3455" t="s">
        <v>21098</v>
      </c>
      <c r="C3455" t="s">
        <v>2269</v>
      </c>
      <c r="D3455" t="s">
        <v>2271</v>
      </c>
      <c r="E3455" s="527" t="s">
        <v>5241</v>
      </c>
      <c r="F3455" s="219"/>
    </row>
    <row r="3456" spans="1:6" ht="14.4">
      <c r="A3456">
        <v>441</v>
      </c>
      <c r="B3456" t="s">
        <v>21099</v>
      </c>
      <c r="C3456" t="s">
        <v>2269</v>
      </c>
      <c r="D3456" t="s">
        <v>2271</v>
      </c>
      <c r="E3456" s="527" t="s">
        <v>7270</v>
      </c>
      <c r="F3456" s="220"/>
    </row>
    <row r="3457" spans="1:6" ht="14.4">
      <c r="A3457">
        <v>431</v>
      </c>
      <c r="B3457" t="s">
        <v>21100</v>
      </c>
      <c r="C3457" t="s">
        <v>2269</v>
      </c>
      <c r="D3457" t="s">
        <v>2271</v>
      </c>
      <c r="E3457" s="527" t="s">
        <v>7456</v>
      </c>
      <c r="F3457" s="219"/>
    </row>
    <row r="3458" spans="1:6" ht="14.4">
      <c r="A3458">
        <v>432</v>
      </c>
      <c r="B3458" t="s">
        <v>21101</v>
      </c>
      <c r="C3458" t="s">
        <v>2269</v>
      </c>
      <c r="D3458" t="s">
        <v>2271</v>
      </c>
      <c r="E3458" s="527" t="s">
        <v>7239</v>
      </c>
      <c r="F3458" s="220"/>
    </row>
    <row r="3459" spans="1:6" ht="14.4">
      <c r="A3459">
        <v>429</v>
      </c>
      <c r="B3459" t="s">
        <v>21102</v>
      </c>
      <c r="C3459" t="s">
        <v>2269</v>
      </c>
      <c r="D3459" t="s">
        <v>2271</v>
      </c>
      <c r="E3459" s="527" t="s">
        <v>9509</v>
      </c>
      <c r="F3459" s="219"/>
    </row>
    <row r="3460" spans="1:6" ht="14.4">
      <c r="A3460">
        <v>439</v>
      </c>
      <c r="B3460" t="s">
        <v>21103</v>
      </c>
      <c r="C3460" t="s">
        <v>2269</v>
      </c>
      <c r="D3460" t="s">
        <v>2271</v>
      </c>
      <c r="E3460" s="527" t="s">
        <v>9914</v>
      </c>
      <c r="F3460" s="220"/>
    </row>
    <row r="3461" spans="1:6" ht="14.4">
      <c r="A3461">
        <v>433</v>
      </c>
      <c r="B3461" t="s">
        <v>21104</v>
      </c>
      <c r="C3461" t="s">
        <v>2269</v>
      </c>
      <c r="D3461" t="s">
        <v>2271</v>
      </c>
      <c r="E3461" s="527" t="s">
        <v>10076</v>
      </c>
      <c r="F3461" s="219"/>
    </row>
    <row r="3462" spans="1:6" ht="14.4">
      <c r="A3462">
        <v>437</v>
      </c>
      <c r="B3462" t="s">
        <v>21105</v>
      </c>
      <c r="C3462" t="s">
        <v>2269</v>
      </c>
      <c r="D3462" t="s">
        <v>2271</v>
      </c>
      <c r="E3462" s="527" t="s">
        <v>5375</v>
      </c>
      <c r="F3462" s="220"/>
    </row>
    <row r="3463" spans="1:6" ht="14.4">
      <c r="A3463">
        <v>11790</v>
      </c>
      <c r="B3463" t="s">
        <v>21106</v>
      </c>
      <c r="C3463" t="s">
        <v>2269</v>
      </c>
      <c r="D3463" t="s">
        <v>2271</v>
      </c>
      <c r="E3463" s="527" t="s">
        <v>10248</v>
      </c>
      <c r="F3463" s="219"/>
    </row>
    <row r="3464" spans="1:6" ht="14.4">
      <c r="A3464">
        <v>428</v>
      </c>
      <c r="B3464" t="s">
        <v>21107</v>
      </c>
      <c r="C3464" t="s">
        <v>2269</v>
      </c>
      <c r="D3464" t="s">
        <v>2271</v>
      </c>
      <c r="E3464" s="527" t="s">
        <v>10054</v>
      </c>
      <c r="F3464" s="220"/>
    </row>
    <row r="3465" spans="1:6" ht="14.4">
      <c r="A3465">
        <v>4384</v>
      </c>
      <c r="B3465" t="s">
        <v>21108</v>
      </c>
      <c r="C3465" t="s">
        <v>2269</v>
      </c>
      <c r="D3465" t="s">
        <v>2271</v>
      </c>
      <c r="E3465" s="527" t="s">
        <v>21109</v>
      </c>
      <c r="F3465" s="219"/>
    </row>
    <row r="3466" spans="1:6" ht="14.4">
      <c r="A3466">
        <v>4351</v>
      </c>
      <c r="B3466" t="s">
        <v>21110</v>
      </c>
      <c r="C3466" t="s">
        <v>2269</v>
      </c>
      <c r="D3466" t="s">
        <v>2271</v>
      </c>
      <c r="E3466" s="527" t="s">
        <v>13784</v>
      </c>
      <c r="F3466" s="220"/>
    </row>
    <row r="3467" spans="1:6" ht="14.4">
      <c r="A3467">
        <v>11054</v>
      </c>
      <c r="B3467" t="s">
        <v>21111</v>
      </c>
      <c r="C3467" t="s">
        <v>2269</v>
      </c>
      <c r="D3467" t="s">
        <v>1857</v>
      </c>
      <c r="E3467" s="527" t="s">
        <v>3368</v>
      </c>
      <c r="F3467" s="219"/>
    </row>
    <row r="3468" spans="1:6" ht="14.4">
      <c r="A3468">
        <v>11055</v>
      </c>
      <c r="B3468" t="s">
        <v>21112</v>
      </c>
      <c r="C3468" t="s">
        <v>2269</v>
      </c>
      <c r="D3468" t="s">
        <v>1857</v>
      </c>
      <c r="E3468" s="527" t="s">
        <v>4032</v>
      </c>
      <c r="F3468" s="220"/>
    </row>
    <row r="3469" spans="1:6" ht="14.4">
      <c r="A3469">
        <v>11056</v>
      </c>
      <c r="B3469" t="s">
        <v>21113</v>
      </c>
      <c r="C3469" t="s">
        <v>2269</v>
      </c>
      <c r="D3469" t="s">
        <v>1857</v>
      </c>
      <c r="E3469" s="527" t="s">
        <v>3558</v>
      </c>
      <c r="F3469" s="219"/>
    </row>
    <row r="3470" spans="1:6" ht="14.4">
      <c r="A3470">
        <v>11057</v>
      </c>
      <c r="B3470" t="s">
        <v>21114</v>
      </c>
      <c r="C3470" t="s">
        <v>2269</v>
      </c>
      <c r="D3470" t="s">
        <v>1857</v>
      </c>
      <c r="E3470" s="527" t="s">
        <v>3313</v>
      </c>
      <c r="F3470" s="220"/>
    </row>
    <row r="3471" spans="1:6" ht="14.4">
      <c r="A3471">
        <v>11059</v>
      </c>
      <c r="B3471" t="s">
        <v>21115</v>
      </c>
      <c r="C3471" t="s">
        <v>2269</v>
      </c>
      <c r="D3471" t="s">
        <v>1857</v>
      </c>
      <c r="E3471" s="527" t="s">
        <v>4025</v>
      </c>
      <c r="F3471" s="219"/>
    </row>
    <row r="3472" spans="1:6" ht="14.4">
      <c r="A3472">
        <v>11058</v>
      </c>
      <c r="B3472" t="s">
        <v>21116</v>
      </c>
      <c r="C3472" t="s">
        <v>2269</v>
      </c>
      <c r="D3472" t="s">
        <v>1857</v>
      </c>
      <c r="E3472" s="527" t="s">
        <v>3402</v>
      </c>
      <c r="F3472" s="220"/>
    </row>
    <row r="3473" spans="1:6" ht="14.4">
      <c r="A3473">
        <v>4380</v>
      </c>
      <c r="B3473" t="s">
        <v>21117</v>
      </c>
      <c r="C3473" t="s">
        <v>2269</v>
      </c>
      <c r="D3473" t="s">
        <v>1857</v>
      </c>
      <c r="E3473" s="527" t="s">
        <v>7226</v>
      </c>
      <c r="F3473" s="219"/>
    </row>
    <row r="3474" spans="1:6" ht="14.4">
      <c r="A3474">
        <v>4299</v>
      </c>
      <c r="B3474" t="s">
        <v>21118</v>
      </c>
      <c r="C3474" t="s">
        <v>2269</v>
      </c>
      <c r="D3474" t="s">
        <v>2268</v>
      </c>
      <c r="E3474" s="527" t="s">
        <v>4111</v>
      </c>
      <c r="F3474" s="220"/>
    </row>
    <row r="3475" spans="1:6" ht="14.4">
      <c r="A3475">
        <v>4304</v>
      </c>
      <c r="B3475" t="s">
        <v>21119</v>
      </c>
      <c r="C3475" t="s">
        <v>2269</v>
      </c>
      <c r="D3475" t="s">
        <v>1857</v>
      </c>
      <c r="E3475" s="527" t="s">
        <v>10263</v>
      </c>
      <c r="F3475" s="219"/>
    </row>
    <row r="3476" spans="1:6" ht="14.4">
      <c r="A3476">
        <v>4305</v>
      </c>
      <c r="B3476" t="s">
        <v>21120</v>
      </c>
      <c r="C3476" t="s">
        <v>2269</v>
      </c>
      <c r="D3476" t="s">
        <v>1857</v>
      </c>
      <c r="E3476" s="527" t="s">
        <v>6521</v>
      </c>
      <c r="F3476" s="220"/>
    </row>
    <row r="3477" spans="1:6" ht="14.4">
      <c r="A3477">
        <v>4306</v>
      </c>
      <c r="B3477" t="s">
        <v>21121</v>
      </c>
      <c r="C3477" t="s">
        <v>2269</v>
      </c>
      <c r="D3477" t="s">
        <v>1857</v>
      </c>
      <c r="E3477" s="527" t="s">
        <v>9499</v>
      </c>
      <c r="F3477" s="219"/>
    </row>
    <row r="3478" spans="1:6" ht="14.4">
      <c r="A3478">
        <v>4308</v>
      </c>
      <c r="B3478" t="s">
        <v>21122</v>
      </c>
      <c r="C3478" t="s">
        <v>2269</v>
      </c>
      <c r="D3478" t="s">
        <v>1857</v>
      </c>
      <c r="E3478" s="527" t="s">
        <v>6776</v>
      </c>
      <c r="F3478" s="220"/>
    </row>
    <row r="3479" spans="1:6" ht="14.4">
      <c r="A3479">
        <v>4302</v>
      </c>
      <c r="B3479" t="s">
        <v>21123</v>
      </c>
      <c r="C3479" t="s">
        <v>2269</v>
      </c>
      <c r="D3479" t="s">
        <v>1857</v>
      </c>
      <c r="E3479" s="527" t="s">
        <v>2975</v>
      </c>
      <c r="F3479" s="219"/>
    </row>
    <row r="3480" spans="1:6" ht="14.4">
      <c r="A3480">
        <v>4300</v>
      </c>
      <c r="B3480" t="s">
        <v>21124</v>
      </c>
      <c r="C3480" t="s">
        <v>2269</v>
      </c>
      <c r="D3480" t="s">
        <v>1857</v>
      </c>
      <c r="E3480" s="527" t="s">
        <v>10284</v>
      </c>
      <c r="F3480" s="220"/>
    </row>
    <row r="3481" spans="1:6" ht="14.4">
      <c r="A3481">
        <v>4301</v>
      </c>
      <c r="B3481" t="s">
        <v>21125</v>
      </c>
      <c r="C3481" t="s">
        <v>2269</v>
      </c>
      <c r="D3481" t="s">
        <v>1857</v>
      </c>
      <c r="E3481" s="527" t="s">
        <v>6347</v>
      </c>
      <c r="F3481" s="219"/>
    </row>
    <row r="3482" spans="1:6" ht="14.4">
      <c r="A3482">
        <v>4320</v>
      </c>
      <c r="B3482" t="s">
        <v>21126</v>
      </c>
      <c r="C3482" t="s">
        <v>2269</v>
      </c>
      <c r="D3482" t="s">
        <v>1857</v>
      </c>
      <c r="E3482" s="527" t="s">
        <v>4574</v>
      </c>
      <c r="F3482" s="220"/>
    </row>
    <row r="3483" spans="1:6" ht="14.4">
      <c r="A3483">
        <v>4318</v>
      </c>
      <c r="B3483" t="s">
        <v>21127</v>
      </c>
      <c r="C3483" t="s">
        <v>2269</v>
      </c>
      <c r="D3483" t="s">
        <v>1857</v>
      </c>
      <c r="E3483" s="527" t="s">
        <v>7253</v>
      </c>
      <c r="F3483" s="219"/>
    </row>
    <row r="3484" spans="1:6" ht="14.4">
      <c r="A3484">
        <v>40547</v>
      </c>
      <c r="B3484" t="s">
        <v>21128</v>
      </c>
      <c r="C3484" t="s">
        <v>2285</v>
      </c>
      <c r="D3484" t="s">
        <v>2271</v>
      </c>
      <c r="E3484" s="527" t="s">
        <v>5627</v>
      </c>
      <c r="F3484" s="220"/>
    </row>
    <row r="3485" spans="1:6" ht="14.4">
      <c r="A3485">
        <v>11962</v>
      </c>
      <c r="B3485" t="s">
        <v>21129</v>
      </c>
      <c r="C3485" t="s">
        <v>2269</v>
      </c>
      <c r="D3485" t="s">
        <v>2271</v>
      </c>
      <c r="E3485" s="527" t="s">
        <v>3432</v>
      </c>
      <c r="F3485" s="219"/>
    </row>
    <row r="3486" spans="1:6" ht="14.4">
      <c r="A3486">
        <v>4332</v>
      </c>
      <c r="B3486" t="s">
        <v>21130</v>
      </c>
      <c r="C3486" t="s">
        <v>2269</v>
      </c>
      <c r="D3486" t="s">
        <v>2271</v>
      </c>
      <c r="E3486" s="527" t="s">
        <v>7472</v>
      </c>
      <c r="F3486" s="220"/>
    </row>
    <row r="3487" spans="1:6" ht="14.4">
      <c r="A3487">
        <v>4331</v>
      </c>
      <c r="B3487" t="s">
        <v>21131</v>
      </c>
      <c r="C3487" t="s">
        <v>2269</v>
      </c>
      <c r="D3487" t="s">
        <v>2271</v>
      </c>
      <c r="E3487" s="527" t="s">
        <v>15837</v>
      </c>
      <c r="F3487" s="219"/>
    </row>
    <row r="3488" spans="1:6" ht="14.4">
      <c r="A3488">
        <v>4336</v>
      </c>
      <c r="B3488" t="s">
        <v>21132</v>
      </c>
      <c r="C3488" t="s">
        <v>2269</v>
      </c>
      <c r="D3488" t="s">
        <v>2271</v>
      </c>
      <c r="E3488" s="527" t="s">
        <v>10181</v>
      </c>
      <c r="F3488" s="220"/>
    </row>
    <row r="3489" spans="1:6" ht="14.4">
      <c r="A3489">
        <v>13294</v>
      </c>
      <c r="B3489" t="s">
        <v>21133</v>
      </c>
      <c r="C3489" t="s">
        <v>2269</v>
      </c>
      <c r="D3489" t="s">
        <v>2271</v>
      </c>
      <c r="E3489" s="527" t="s">
        <v>10073</v>
      </c>
      <c r="F3489" s="219"/>
    </row>
    <row r="3490" spans="1:6" ht="14.4">
      <c r="A3490">
        <v>11948</v>
      </c>
      <c r="B3490" t="s">
        <v>21134</v>
      </c>
      <c r="C3490" t="s">
        <v>2269</v>
      </c>
      <c r="D3490" t="s">
        <v>2271</v>
      </c>
      <c r="E3490" s="527" t="s">
        <v>15854</v>
      </c>
      <c r="F3490" s="220"/>
    </row>
    <row r="3491" spans="1:6" ht="14.4">
      <c r="A3491">
        <v>4382</v>
      </c>
      <c r="B3491" t="s">
        <v>21135</v>
      </c>
      <c r="C3491" t="s">
        <v>2269</v>
      </c>
      <c r="D3491" t="s">
        <v>2271</v>
      </c>
      <c r="E3491" s="527" t="s">
        <v>3256</v>
      </c>
      <c r="F3491" s="219"/>
    </row>
    <row r="3492" spans="1:6" ht="14.4">
      <c r="A3492">
        <v>4354</v>
      </c>
      <c r="B3492" t="s">
        <v>21136</v>
      </c>
      <c r="C3492" t="s">
        <v>2269</v>
      </c>
      <c r="D3492" t="s">
        <v>2271</v>
      </c>
      <c r="E3492" s="527" t="s">
        <v>9937</v>
      </c>
      <c r="F3492" s="220"/>
    </row>
    <row r="3493" spans="1:6" ht="14.4">
      <c r="A3493">
        <v>40839</v>
      </c>
      <c r="B3493" t="s">
        <v>21137</v>
      </c>
      <c r="C3493" t="s">
        <v>2285</v>
      </c>
      <c r="D3493" t="s">
        <v>2271</v>
      </c>
      <c r="E3493" s="527" t="s">
        <v>21138</v>
      </c>
      <c r="F3493" s="219"/>
    </row>
    <row r="3494" spans="1:6" ht="14.4">
      <c r="A3494">
        <v>40552</v>
      </c>
      <c r="B3494" t="s">
        <v>21139</v>
      </c>
      <c r="C3494" t="s">
        <v>2285</v>
      </c>
      <c r="D3494" t="s">
        <v>2271</v>
      </c>
      <c r="E3494" s="527" t="s">
        <v>16193</v>
      </c>
      <c r="F3494" s="220"/>
    </row>
    <row r="3495" spans="1:6" ht="14.4">
      <c r="A3495">
        <v>40549</v>
      </c>
      <c r="B3495" t="s">
        <v>21140</v>
      </c>
      <c r="C3495" t="s">
        <v>2285</v>
      </c>
      <c r="D3495" t="s">
        <v>2271</v>
      </c>
      <c r="E3495" s="527" t="s">
        <v>21141</v>
      </c>
      <c r="F3495" s="219"/>
    </row>
    <row r="3496" spans="1:6" ht="14.4">
      <c r="A3496">
        <v>4385</v>
      </c>
      <c r="B3496" t="s">
        <v>21142</v>
      </c>
      <c r="C3496" t="s">
        <v>2280</v>
      </c>
      <c r="D3496" t="s">
        <v>1857</v>
      </c>
      <c r="E3496" s="527" t="s">
        <v>21143</v>
      </c>
      <c r="F3496" s="220"/>
    </row>
    <row r="3497" spans="1:6" ht="14.4">
      <c r="A3497">
        <v>20078</v>
      </c>
      <c r="B3497" t="s">
        <v>21144</v>
      </c>
      <c r="C3497" t="s">
        <v>2269</v>
      </c>
      <c r="D3497" t="s">
        <v>1857</v>
      </c>
      <c r="E3497" s="527" t="s">
        <v>16134</v>
      </c>
      <c r="F3497" s="219"/>
    </row>
    <row r="3498" spans="1:6" ht="14.4">
      <c r="A3498">
        <v>39897</v>
      </c>
      <c r="B3498" t="s">
        <v>21145</v>
      </c>
      <c r="C3498" t="s">
        <v>2269</v>
      </c>
      <c r="D3498" t="s">
        <v>2271</v>
      </c>
      <c r="E3498" s="527" t="s">
        <v>11795</v>
      </c>
      <c r="F3498" s="220"/>
    </row>
    <row r="3499" spans="1:6" ht="14.4">
      <c r="A3499">
        <v>118</v>
      </c>
      <c r="B3499" t="s">
        <v>21146</v>
      </c>
      <c r="C3499" t="s">
        <v>2269</v>
      </c>
      <c r="D3499" t="s">
        <v>1857</v>
      </c>
      <c r="E3499" s="527" t="s">
        <v>16126</v>
      </c>
      <c r="F3499" s="219"/>
    </row>
    <row r="3500" spans="1:6" ht="14.4">
      <c r="A3500">
        <v>4396</v>
      </c>
      <c r="B3500" t="s">
        <v>21147</v>
      </c>
      <c r="C3500" t="s">
        <v>2270</v>
      </c>
      <c r="D3500" t="s">
        <v>1857</v>
      </c>
      <c r="E3500" s="527" t="s">
        <v>13073</v>
      </c>
      <c r="F3500" s="220"/>
    </row>
    <row r="3501" spans="1:6" ht="14.4">
      <c r="A3501">
        <v>36881</v>
      </c>
      <c r="B3501" t="s">
        <v>21148</v>
      </c>
      <c r="C3501" t="s">
        <v>2270</v>
      </c>
      <c r="D3501" t="s">
        <v>1857</v>
      </c>
      <c r="E3501" s="527" t="s">
        <v>21149</v>
      </c>
      <c r="F3501" s="219"/>
    </row>
    <row r="3502" spans="1:6" ht="14.4">
      <c r="A3502">
        <v>4397</v>
      </c>
      <c r="B3502" t="s">
        <v>21150</v>
      </c>
      <c r="C3502" t="s">
        <v>2270</v>
      </c>
      <c r="D3502" t="s">
        <v>1857</v>
      </c>
      <c r="E3502" s="527" t="s">
        <v>21151</v>
      </c>
      <c r="F3502" s="220"/>
    </row>
    <row r="3503" spans="1:6" ht="14.4">
      <c r="A3503">
        <v>36882</v>
      </c>
      <c r="B3503" t="s">
        <v>21152</v>
      </c>
      <c r="C3503" t="s">
        <v>2270</v>
      </c>
      <c r="D3503" t="s">
        <v>1857</v>
      </c>
      <c r="E3503" s="527" t="s">
        <v>21153</v>
      </c>
      <c r="F3503" s="219"/>
    </row>
    <row r="3504" spans="1:6" ht="14.4">
      <c r="A3504">
        <v>4751</v>
      </c>
      <c r="B3504" t="s">
        <v>21154</v>
      </c>
      <c r="C3504" t="s">
        <v>2267</v>
      </c>
      <c r="D3504" t="s">
        <v>1857</v>
      </c>
      <c r="E3504" s="527" t="s">
        <v>15788</v>
      </c>
      <c r="F3504" s="220"/>
    </row>
    <row r="3505" spans="1:6" ht="14.4">
      <c r="A3505">
        <v>41066</v>
      </c>
      <c r="B3505" t="s">
        <v>21155</v>
      </c>
      <c r="C3505" t="s">
        <v>2276</v>
      </c>
      <c r="D3505" t="s">
        <v>1857</v>
      </c>
      <c r="E3505" s="527" t="s">
        <v>21156</v>
      </c>
      <c r="F3505" s="219"/>
    </row>
    <row r="3506" spans="1:6" ht="14.4">
      <c r="A3506">
        <v>39604</v>
      </c>
      <c r="B3506" t="s">
        <v>21157</v>
      </c>
      <c r="C3506" t="s">
        <v>2269</v>
      </c>
      <c r="D3506" t="s">
        <v>1857</v>
      </c>
      <c r="E3506" s="527" t="s">
        <v>10050</v>
      </c>
      <c r="F3506" s="220"/>
    </row>
    <row r="3507" spans="1:6" ht="14.4">
      <c r="A3507">
        <v>39605</v>
      </c>
      <c r="B3507" t="s">
        <v>21158</v>
      </c>
      <c r="C3507" t="s">
        <v>2269</v>
      </c>
      <c r="D3507" t="s">
        <v>1857</v>
      </c>
      <c r="E3507" s="527" t="s">
        <v>10701</v>
      </c>
      <c r="F3507" s="219"/>
    </row>
    <row r="3508" spans="1:6" ht="14.4">
      <c r="A3508">
        <v>39606</v>
      </c>
      <c r="B3508" t="s">
        <v>21159</v>
      </c>
      <c r="C3508" t="s">
        <v>2269</v>
      </c>
      <c r="D3508" t="s">
        <v>1857</v>
      </c>
      <c r="E3508" s="527" t="s">
        <v>11457</v>
      </c>
      <c r="F3508" s="220"/>
    </row>
    <row r="3509" spans="1:6" ht="14.4">
      <c r="A3509">
        <v>39607</v>
      </c>
      <c r="B3509" t="s">
        <v>21160</v>
      </c>
      <c r="C3509" t="s">
        <v>2269</v>
      </c>
      <c r="D3509" t="s">
        <v>1857</v>
      </c>
      <c r="E3509" s="527" t="s">
        <v>21161</v>
      </c>
      <c r="F3509" s="219"/>
    </row>
    <row r="3510" spans="1:6" ht="14.4">
      <c r="A3510">
        <v>39594</v>
      </c>
      <c r="B3510" t="s">
        <v>21162</v>
      </c>
      <c r="C3510" t="s">
        <v>2269</v>
      </c>
      <c r="D3510" t="s">
        <v>2268</v>
      </c>
      <c r="E3510" s="527" t="s">
        <v>21163</v>
      </c>
      <c r="F3510" s="220"/>
    </row>
    <row r="3511" spans="1:6" ht="14.4">
      <c r="A3511">
        <v>39596</v>
      </c>
      <c r="B3511" t="s">
        <v>21164</v>
      </c>
      <c r="C3511" t="s">
        <v>2269</v>
      </c>
      <c r="D3511" t="s">
        <v>1857</v>
      </c>
      <c r="E3511" s="527" t="s">
        <v>21165</v>
      </c>
      <c r="F3511" s="219"/>
    </row>
    <row r="3512" spans="1:6" ht="14.4">
      <c r="A3512">
        <v>39595</v>
      </c>
      <c r="B3512" t="s">
        <v>21166</v>
      </c>
      <c r="C3512" t="s">
        <v>2269</v>
      </c>
      <c r="D3512" t="s">
        <v>1857</v>
      </c>
      <c r="E3512" s="527" t="s">
        <v>21167</v>
      </c>
      <c r="F3512" s="220"/>
    </row>
    <row r="3513" spans="1:6" ht="14.4">
      <c r="A3513">
        <v>39597</v>
      </c>
      <c r="B3513" t="s">
        <v>21168</v>
      </c>
      <c r="C3513" t="s">
        <v>2269</v>
      </c>
      <c r="D3513" t="s">
        <v>1857</v>
      </c>
      <c r="E3513" s="527" t="s">
        <v>21169</v>
      </c>
      <c r="F3513" s="219"/>
    </row>
    <row r="3514" spans="1:6" ht="14.4">
      <c r="A3514">
        <v>10731</v>
      </c>
      <c r="B3514" t="s">
        <v>21170</v>
      </c>
      <c r="C3514" t="s">
        <v>2270</v>
      </c>
      <c r="D3514" t="s">
        <v>2268</v>
      </c>
      <c r="E3514" s="527" t="s">
        <v>7514</v>
      </c>
      <c r="F3514" s="220"/>
    </row>
    <row r="3515" spans="1:6" ht="14.4">
      <c r="A3515">
        <v>4704</v>
      </c>
      <c r="B3515" t="s">
        <v>21171</v>
      </c>
      <c r="C3515" t="s">
        <v>2270</v>
      </c>
      <c r="D3515" t="s">
        <v>1857</v>
      </c>
      <c r="E3515" s="527" t="s">
        <v>15817</v>
      </c>
      <c r="F3515" s="219"/>
    </row>
    <row r="3516" spans="1:6" ht="14.4">
      <c r="A3516">
        <v>10730</v>
      </c>
      <c r="B3516" t="s">
        <v>21172</v>
      </c>
      <c r="C3516" t="s">
        <v>2270</v>
      </c>
      <c r="D3516" t="s">
        <v>1857</v>
      </c>
      <c r="E3516" s="527" t="s">
        <v>21173</v>
      </c>
      <c r="F3516" s="220"/>
    </row>
    <row r="3517" spans="1:6" ht="14.4">
      <c r="A3517">
        <v>4729</v>
      </c>
      <c r="B3517" t="s">
        <v>21174</v>
      </c>
      <c r="C3517" t="s">
        <v>2272</v>
      </c>
      <c r="D3517" t="s">
        <v>1857</v>
      </c>
      <c r="E3517" s="527" t="s">
        <v>21175</v>
      </c>
      <c r="F3517" s="219"/>
    </row>
    <row r="3518" spans="1:6" ht="14.4">
      <c r="A3518">
        <v>4720</v>
      </c>
      <c r="B3518" t="s">
        <v>21176</v>
      </c>
      <c r="C3518" t="s">
        <v>2272</v>
      </c>
      <c r="D3518" t="s">
        <v>1857</v>
      </c>
      <c r="E3518" s="527" t="s">
        <v>21177</v>
      </c>
      <c r="F3518" s="220"/>
    </row>
    <row r="3519" spans="1:6" ht="14.4">
      <c r="A3519">
        <v>4721</v>
      </c>
      <c r="B3519" t="s">
        <v>21178</v>
      </c>
      <c r="C3519" t="s">
        <v>2272</v>
      </c>
      <c r="D3519" t="s">
        <v>1857</v>
      </c>
      <c r="E3519" s="527" t="s">
        <v>21179</v>
      </c>
      <c r="F3519" s="219"/>
    </row>
    <row r="3520" spans="1:6" ht="14.4">
      <c r="A3520">
        <v>4718</v>
      </c>
      <c r="B3520" t="s">
        <v>21180</v>
      </c>
      <c r="C3520" t="s">
        <v>2272</v>
      </c>
      <c r="D3520" t="s">
        <v>2268</v>
      </c>
      <c r="E3520" s="527" t="s">
        <v>21181</v>
      </c>
      <c r="F3520" s="220"/>
    </row>
    <row r="3521" spans="1:6" ht="14.4">
      <c r="A3521">
        <v>4722</v>
      </c>
      <c r="B3521" t="s">
        <v>21182</v>
      </c>
      <c r="C3521" t="s">
        <v>2272</v>
      </c>
      <c r="D3521" t="s">
        <v>1857</v>
      </c>
      <c r="E3521" s="527" t="s">
        <v>15951</v>
      </c>
      <c r="F3521" s="219"/>
    </row>
    <row r="3522" spans="1:6" ht="14.4">
      <c r="A3522">
        <v>4723</v>
      </c>
      <c r="B3522" t="s">
        <v>21183</v>
      </c>
      <c r="C3522" t="s">
        <v>2272</v>
      </c>
      <c r="D3522" t="s">
        <v>1857</v>
      </c>
      <c r="E3522" s="527" t="s">
        <v>21184</v>
      </c>
      <c r="F3522" s="220"/>
    </row>
    <row r="3523" spans="1:6" ht="14.4">
      <c r="A3523">
        <v>4727</v>
      </c>
      <c r="B3523" t="s">
        <v>21185</v>
      </c>
      <c r="C3523" t="s">
        <v>2272</v>
      </c>
      <c r="D3523" t="s">
        <v>1857</v>
      </c>
      <c r="E3523" s="527" t="s">
        <v>10104</v>
      </c>
      <c r="F3523" s="219"/>
    </row>
    <row r="3524" spans="1:6" ht="14.4">
      <c r="A3524">
        <v>4748</v>
      </c>
      <c r="B3524" t="s">
        <v>21186</v>
      </c>
      <c r="C3524" t="s">
        <v>2272</v>
      </c>
      <c r="D3524" t="s">
        <v>1857</v>
      </c>
      <c r="E3524" s="527" t="s">
        <v>21187</v>
      </c>
      <c r="F3524" s="220"/>
    </row>
    <row r="3525" spans="1:6" ht="14.4">
      <c r="A3525">
        <v>4730</v>
      </c>
      <c r="B3525" t="s">
        <v>21188</v>
      </c>
      <c r="C3525" t="s">
        <v>2272</v>
      </c>
      <c r="D3525" t="s">
        <v>1857</v>
      </c>
      <c r="E3525" s="527" t="s">
        <v>12239</v>
      </c>
      <c r="F3525" s="219"/>
    </row>
    <row r="3526" spans="1:6" ht="14.4">
      <c r="A3526">
        <v>13186</v>
      </c>
      <c r="B3526" t="s">
        <v>21189</v>
      </c>
      <c r="C3526" t="s">
        <v>2272</v>
      </c>
      <c r="D3526" t="s">
        <v>1857</v>
      </c>
      <c r="E3526" s="527" t="s">
        <v>15853</v>
      </c>
      <c r="F3526" s="220"/>
    </row>
    <row r="3527" spans="1:6" ht="14.4">
      <c r="A3527">
        <v>10737</v>
      </c>
      <c r="B3527" t="s">
        <v>21190</v>
      </c>
      <c r="C3527" t="s">
        <v>2270</v>
      </c>
      <c r="D3527" t="s">
        <v>1857</v>
      </c>
      <c r="E3527" s="527" t="s">
        <v>21191</v>
      </c>
      <c r="F3527" s="219"/>
    </row>
    <row r="3528" spans="1:6" ht="14.4">
      <c r="A3528">
        <v>10734</v>
      </c>
      <c r="B3528" t="s">
        <v>21192</v>
      </c>
      <c r="C3528" t="s">
        <v>2270</v>
      </c>
      <c r="D3528" t="s">
        <v>1857</v>
      </c>
      <c r="E3528" s="527" t="s">
        <v>20158</v>
      </c>
      <c r="F3528" s="220"/>
    </row>
    <row r="3529" spans="1:6" ht="14.4">
      <c r="A3529">
        <v>4708</v>
      </c>
      <c r="B3529" t="s">
        <v>21193</v>
      </c>
      <c r="C3529" t="s">
        <v>2270</v>
      </c>
      <c r="D3529" t="s">
        <v>1857</v>
      </c>
      <c r="E3529" s="527" t="s">
        <v>21194</v>
      </c>
      <c r="F3529" s="219"/>
    </row>
    <row r="3530" spans="1:6" ht="14.4">
      <c r="A3530">
        <v>4712</v>
      </c>
      <c r="B3530" t="s">
        <v>21195</v>
      </c>
      <c r="C3530" t="s">
        <v>2270</v>
      </c>
      <c r="D3530" t="s">
        <v>1857</v>
      </c>
      <c r="E3530" s="527" t="s">
        <v>21196</v>
      </c>
      <c r="F3530" s="220"/>
    </row>
    <row r="3531" spans="1:6" ht="14.4">
      <c r="A3531">
        <v>4710</v>
      </c>
      <c r="B3531" t="s">
        <v>21197</v>
      </c>
      <c r="C3531" t="s">
        <v>2270</v>
      </c>
      <c r="D3531" t="s">
        <v>1857</v>
      </c>
      <c r="E3531" s="527" t="s">
        <v>21198</v>
      </c>
      <c r="F3531" s="219"/>
    </row>
    <row r="3532" spans="1:6" ht="14.4">
      <c r="A3532">
        <v>4746</v>
      </c>
      <c r="B3532" t="s">
        <v>21199</v>
      </c>
      <c r="C3532" t="s">
        <v>2272</v>
      </c>
      <c r="D3532" t="s">
        <v>1857</v>
      </c>
      <c r="E3532" s="527" t="s">
        <v>21200</v>
      </c>
      <c r="F3532" s="220"/>
    </row>
    <row r="3533" spans="1:6" ht="14.4">
      <c r="A3533">
        <v>4750</v>
      </c>
      <c r="B3533" t="s">
        <v>21201</v>
      </c>
      <c r="C3533" t="s">
        <v>2267</v>
      </c>
      <c r="D3533" t="s">
        <v>2268</v>
      </c>
      <c r="E3533" s="527" t="s">
        <v>10101</v>
      </c>
      <c r="F3533" s="219"/>
    </row>
    <row r="3534" spans="1:6" ht="14.4">
      <c r="A3534">
        <v>41065</v>
      </c>
      <c r="B3534" t="s">
        <v>21202</v>
      </c>
      <c r="C3534" t="s">
        <v>2276</v>
      </c>
      <c r="D3534" t="s">
        <v>1857</v>
      </c>
      <c r="E3534" s="527" t="s">
        <v>17113</v>
      </c>
      <c r="F3534" s="220"/>
    </row>
    <row r="3535" spans="1:6" ht="14.4">
      <c r="A3535">
        <v>34747</v>
      </c>
      <c r="B3535" t="s">
        <v>21203</v>
      </c>
      <c r="C3535" t="s">
        <v>2273</v>
      </c>
      <c r="D3535" t="s">
        <v>1857</v>
      </c>
      <c r="E3535" s="527" t="s">
        <v>10009</v>
      </c>
      <c r="F3535" s="219"/>
    </row>
    <row r="3536" spans="1:6" ht="14.4">
      <c r="A3536">
        <v>4826</v>
      </c>
      <c r="B3536" t="s">
        <v>21204</v>
      </c>
      <c r="C3536" t="s">
        <v>2273</v>
      </c>
      <c r="D3536" t="s">
        <v>1857</v>
      </c>
      <c r="E3536" s="527" t="s">
        <v>10323</v>
      </c>
      <c r="F3536" s="220"/>
    </row>
    <row r="3537" spans="1:6" ht="14.4">
      <c r="A3537">
        <v>41975</v>
      </c>
      <c r="B3537" t="s">
        <v>21205</v>
      </c>
      <c r="C3537" t="s">
        <v>2270</v>
      </c>
      <c r="D3537" t="s">
        <v>2271</v>
      </c>
      <c r="E3537" s="527" t="s">
        <v>15530</v>
      </c>
      <c r="F3537" s="219"/>
    </row>
    <row r="3538" spans="1:6" ht="14.4">
      <c r="A3538">
        <v>4825</v>
      </c>
      <c r="B3538" t="s">
        <v>21206</v>
      </c>
      <c r="C3538" t="s">
        <v>2273</v>
      </c>
      <c r="D3538" t="s">
        <v>1857</v>
      </c>
      <c r="E3538" s="527" t="s">
        <v>10324</v>
      </c>
      <c r="F3538" s="220"/>
    </row>
    <row r="3539" spans="1:6" ht="14.4">
      <c r="A3539">
        <v>34744</v>
      </c>
      <c r="B3539" t="s">
        <v>21207</v>
      </c>
      <c r="C3539" t="s">
        <v>2270</v>
      </c>
      <c r="D3539" t="s">
        <v>2271</v>
      </c>
      <c r="E3539" s="527" t="s">
        <v>7392</v>
      </c>
      <c r="F3539" s="219"/>
    </row>
    <row r="3540" spans="1:6" ht="14.4">
      <c r="A3540">
        <v>39430</v>
      </c>
      <c r="B3540" t="s">
        <v>21208</v>
      </c>
      <c r="C3540" t="s">
        <v>2269</v>
      </c>
      <c r="D3540" t="s">
        <v>1857</v>
      </c>
      <c r="E3540" s="527" t="s">
        <v>3775</v>
      </c>
      <c r="F3540" s="220"/>
    </row>
    <row r="3541" spans="1:6" ht="14.4">
      <c r="A3541">
        <v>39573</v>
      </c>
      <c r="B3541" t="s">
        <v>21209</v>
      </c>
      <c r="C3541" t="s">
        <v>2269</v>
      </c>
      <c r="D3541" t="s">
        <v>1857</v>
      </c>
      <c r="E3541" s="527" t="s">
        <v>7314</v>
      </c>
      <c r="F3541" s="219"/>
    </row>
    <row r="3542" spans="1:6" ht="14.4">
      <c r="A3542">
        <v>38410</v>
      </c>
      <c r="B3542" t="s">
        <v>21210</v>
      </c>
      <c r="C3542" t="s">
        <v>2269</v>
      </c>
      <c r="D3542" t="s">
        <v>2271</v>
      </c>
      <c r="E3542" s="527" t="s">
        <v>21211</v>
      </c>
      <c r="F3542" s="220"/>
    </row>
    <row r="3543" spans="1:6" ht="14.4">
      <c r="A3543">
        <v>41596</v>
      </c>
      <c r="B3543" t="s">
        <v>21212</v>
      </c>
      <c r="C3543" t="s">
        <v>2274</v>
      </c>
      <c r="D3543" t="s">
        <v>1857</v>
      </c>
      <c r="E3543" s="527" t="s">
        <v>10738</v>
      </c>
      <c r="F3543" s="219"/>
    </row>
    <row r="3544" spans="1:6" ht="14.4">
      <c r="A3544">
        <v>41598</v>
      </c>
      <c r="B3544" t="s">
        <v>21213</v>
      </c>
      <c r="C3544" t="s">
        <v>2274</v>
      </c>
      <c r="D3544" t="s">
        <v>1857</v>
      </c>
      <c r="E3544" s="527" t="s">
        <v>10738</v>
      </c>
      <c r="F3544" s="220"/>
    </row>
    <row r="3545" spans="1:6" ht="14.4">
      <c r="A3545">
        <v>41594</v>
      </c>
      <c r="B3545" t="s">
        <v>21214</v>
      </c>
      <c r="C3545" t="s">
        <v>2274</v>
      </c>
      <c r="D3545" t="s">
        <v>1857</v>
      </c>
      <c r="E3545" s="527" t="s">
        <v>10726</v>
      </c>
      <c r="F3545" s="219"/>
    </row>
    <row r="3546" spans="1:6" ht="14.4">
      <c r="A3546">
        <v>43663</v>
      </c>
      <c r="B3546" t="s">
        <v>21215</v>
      </c>
      <c r="C3546" t="s">
        <v>2274</v>
      </c>
      <c r="D3546" t="s">
        <v>1857</v>
      </c>
      <c r="E3546" s="527" t="s">
        <v>9524</v>
      </c>
      <c r="F3546" s="220"/>
    </row>
    <row r="3547" spans="1:6" ht="14.4">
      <c r="A3547">
        <v>4766</v>
      </c>
      <c r="B3547" t="s">
        <v>21216</v>
      </c>
      <c r="C3547" t="s">
        <v>2274</v>
      </c>
      <c r="D3547" t="s">
        <v>1857</v>
      </c>
      <c r="E3547" s="527" t="s">
        <v>7296</v>
      </c>
      <c r="F3547" s="219"/>
    </row>
    <row r="3548" spans="1:6" ht="14.4">
      <c r="A3548">
        <v>43664</v>
      </c>
      <c r="B3548" t="s">
        <v>21217</v>
      </c>
      <c r="C3548" t="s">
        <v>2274</v>
      </c>
      <c r="D3548" t="s">
        <v>1857</v>
      </c>
      <c r="E3548" s="527" t="s">
        <v>7455</v>
      </c>
      <c r="F3548" s="220"/>
    </row>
    <row r="3549" spans="1:6" ht="14.4">
      <c r="A3549">
        <v>43082</v>
      </c>
      <c r="B3549" t="s">
        <v>21218</v>
      </c>
      <c r="C3549" t="s">
        <v>2274</v>
      </c>
      <c r="D3549" t="s">
        <v>2268</v>
      </c>
      <c r="E3549" s="527" t="s">
        <v>10626</v>
      </c>
      <c r="F3549" s="219"/>
    </row>
    <row r="3550" spans="1:6" ht="14.4">
      <c r="A3550">
        <v>43665</v>
      </c>
      <c r="B3550" t="s">
        <v>21219</v>
      </c>
      <c r="C3550" t="s">
        <v>2274</v>
      </c>
      <c r="D3550" t="s">
        <v>1857</v>
      </c>
      <c r="E3550" s="527" t="s">
        <v>7296</v>
      </c>
      <c r="F3550" s="220"/>
    </row>
    <row r="3551" spans="1:6" ht="14.4">
      <c r="A3551">
        <v>10966</v>
      </c>
      <c r="B3551" t="s">
        <v>21220</v>
      </c>
      <c r="C3551" t="s">
        <v>2274</v>
      </c>
      <c r="D3551" t="s">
        <v>1857</v>
      </c>
      <c r="E3551" s="527" t="s">
        <v>9524</v>
      </c>
      <c r="F3551" s="219"/>
    </row>
    <row r="3552" spans="1:6" ht="14.4">
      <c r="A3552">
        <v>43692</v>
      </c>
      <c r="B3552" t="s">
        <v>21221</v>
      </c>
      <c r="C3552" t="s">
        <v>2274</v>
      </c>
      <c r="D3552" t="s">
        <v>1857</v>
      </c>
      <c r="E3552" s="527" t="s">
        <v>9524</v>
      </c>
      <c r="F3552" s="220"/>
    </row>
    <row r="3553" spans="1:6" ht="14.4">
      <c r="A3553">
        <v>43083</v>
      </c>
      <c r="B3553" t="s">
        <v>21222</v>
      </c>
      <c r="C3553" t="s">
        <v>2274</v>
      </c>
      <c r="D3553" t="s">
        <v>1857</v>
      </c>
      <c r="E3553" s="527" t="s">
        <v>15531</v>
      </c>
      <c r="F3553" s="219"/>
    </row>
    <row r="3554" spans="1:6" ht="14.4">
      <c r="A3554">
        <v>40535</v>
      </c>
      <c r="B3554" t="s">
        <v>21223</v>
      </c>
      <c r="C3554" t="s">
        <v>2274</v>
      </c>
      <c r="D3554" t="s">
        <v>1857</v>
      </c>
      <c r="E3554" s="527" t="s">
        <v>15531</v>
      </c>
      <c r="F3554" s="220"/>
    </row>
    <row r="3555" spans="1:6" ht="14.4">
      <c r="A3555">
        <v>39427</v>
      </c>
      <c r="B3555" t="s">
        <v>21224</v>
      </c>
      <c r="C3555" t="s">
        <v>2273</v>
      </c>
      <c r="D3555" t="s">
        <v>1857</v>
      </c>
      <c r="E3555" s="527" t="s">
        <v>7727</v>
      </c>
      <c r="F3555" s="219"/>
    </row>
    <row r="3556" spans="1:6" ht="14.4">
      <c r="A3556">
        <v>39424</v>
      </c>
      <c r="B3556" t="s">
        <v>21225</v>
      </c>
      <c r="C3556" t="s">
        <v>2273</v>
      </c>
      <c r="D3556" t="s">
        <v>1857</v>
      </c>
      <c r="E3556" s="527" t="s">
        <v>21226</v>
      </c>
      <c r="F3556" s="220"/>
    </row>
    <row r="3557" spans="1:6" ht="14.4">
      <c r="A3557">
        <v>39425</v>
      </c>
      <c r="B3557" t="s">
        <v>21227</v>
      </c>
      <c r="C3557" t="s">
        <v>2273</v>
      </c>
      <c r="D3557" t="s">
        <v>1857</v>
      </c>
      <c r="E3557" s="527" t="s">
        <v>9972</v>
      </c>
      <c r="F3557" s="219"/>
    </row>
    <row r="3558" spans="1:6" ht="14.4">
      <c r="A3558">
        <v>40664</v>
      </c>
      <c r="B3558" t="s">
        <v>21228</v>
      </c>
      <c r="C3558" t="s">
        <v>2274</v>
      </c>
      <c r="D3558" t="s">
        <v>1857</v>
      </c>
      <c r="E3558" s="527" t="s">
        <v>3993</v>
      </c>
      <c r="F3558" s="220"/>
    </row>
    <row r="3559" spans="1:6" ht="14.4">
      <c r="A3559">
        <v>34360</v>
      </c>
      <c r="B3559" t="s">
        <v>21229</v>
      </c>
      <c r="C3559" t="s">
        <v>2274</v>
      </c>
      <c r="D3559" t="s">
        <v>2271</v>
      </c>
      <c r="E3559" s="527" t="s">
        <v>10310</v>
      </c>
      <c r="F3559" s="219"/>
    </row>
    <row r="3560" spans="1:6" ht="14.4">
      <c r="A3560">
        <v>20259</v>
      </c>
      <c r="B3560" t="s">
        <v>21230</v>
      </c>
      <c r="C3560" t="s">
        <v>2273</v>
      </c>
      <c r="D3560" t="s">
        <v>2271</v>
      </c>
      <c r="E3560" s="527" t="s">
        <v>10114</v>
      </c>
      <c r="F3560" s="220"/>
    </row>
    <row r="3561" spans="1:6" ht="14.4">
      <c r="A3561">
        <v>14077</v>
      </c>
      <c r="B3561" t="s">
        <v>21231</v>
      </c>
      <c r="C3561" t="s">
        <v>2273</v>
      </c>
      <c r="D3561" t="s">
        <v>2271</v>
      </c>
      <c r="E3561" s="527" t="s">
        <v>21232</v>
      </c>
      <c r="F3561" s="219"/>
    </row>
    <row r="3562" spans="1:6" ht="14.4">
      <c r="A3562">
        <v>3678</v>
      </c>
      <c r="B3562" t="s">
        <v>21233</v>
      </c>
      <c r="C3562" t="s">
        <v>2273</v>
      </c>
      <c r="D3562" t="s">
        <v>2271</v>
      </c>
      <c r="E3562" s="527" t="s">
        <v>16479</v>
      </c>
      <c r="F3562" s="220"/>
    </row>
    <row r="3563" spans="1:6" ht="14.4">
      <c r="A3563">
        <v>39418</v>
      </c>
      <c r="B3563" t="s">
        <v>21234</v>
      </c>
      <c r="C3563" t="s">
        <v>2273</v>
      </c>
      <c r="D3563" t="s">
        <v>1857</v>
      </c>
      <c r="E3563" s="527" t="s">
        <v>20727</v>
      </c>
      <c r="F3563" s="219"/>
    </row>
    <row r="3564" spans="1:6" ht="14.4">
      <c r="A3564">
        <v>39419</v>
      </c>
      <c r="B3564" t="s">
        <v>21235</v>
      </c>
      <c r="C3564" t="s">
        <v>2273</v>
      </c>
      <c r="D3564" t="s">
        <v>1857</v>
      </c>
      <c r="E3564" s="527" t="s">
        <v>5040</v>
      </c>
      <c r="F3564" s="220"/>
    </row>
    <row r="3565" spans="1:6" ht="14.4">
      <c r="A3565">
        <v>39420</v>
      </c>
      <c r="B3565" t="s">
        <v>21236</v>
      </c>
      <c r="C3565" t="s">
        <v>2273</v>
      </c>
      <c r="D3565" t="s">
        <v>1857</v>
      </c>
      <c r="E3565" s="527" t="s">
        <v>16170</v>
      </c>
      <c r="F3565" s="219"/>
    </row>
    <row r="3566" spans="1:6" ht="14.4">
      <c r="A3566">
        <v>39571</v>
      </c>
      <c r="B3566" t="s">
        <v>21237</v>
      </c>
      <c r="C3566" t="s">
        <v>2273</v>
      </c>
      <c r="D3566" t="s">
        <v>1857</v>
      </c>
      <c r="E3566" s="527" t="s">
        <v>3916</v>
      </c>
      <c r="F3566" s="220"/>
    </row>
    <row r="3567" spans="1:6" ht="14.4">
      <c r="A3567">
        <v>39421</v>
      </c>
      <c r="B3567" t="s">
        <v>21238</v>
      </c>
      <c r="C3567" t="s">
        <v>2273</v>
      </c>
      <c r="D3567" t="s">
        <v>1857</v>
      </c>
      <c r="E3567" s="527" t="s">
        <v>15852</v>
      </c>
      <c r="F3567" s="219"/>
    </row>
    <row r="3568" spans="1:6" ht="14.4">
      <c r="A3568">
        <v>39422</v>
      </c>
      <c r="B3568" t="s">
        <v>21239</v>
      </c>
      <c r="C3568" t="s">
        <v>2273</v>
      </c>
      <c r="D3568" t="s">
        <v>2268</v>
      </c>
      <c r="E3568" s="527" t="s">
        <v>4394</v>
      </c>
      <c r="F3568" s="220"/>
    </row>
    <row r="3569" spans="1:6" ht="14.4">
      <c r="A3569">
        <v>39423</v>
      </c>
      <c r="B3569" t="s">
        <v>21240</v>
      </c>
      <c r="C3569" t="s">
        <v>2273</v>
      </c>
      <c r="D3569" t="s">
        <v>1857</v>
      </c>
      <c r="E3569" s="527" t="s">
        <v>7902</v>
      </c>
      <c r="F3569" s="219"/>
    </row>
    <row r="3570" spans="1:6" ht="14.4">
      <c r="A3570">
        <v>39426</v>
      </c>
      <c r="B3570" t="s">
        <v>21241</v>
      </c>
      <c r="C3570" t="s">
        <v>2273</v>
      </c>
      <c r="D3570" t="s">
        <v>1857</v>
      </c>
      <c r="E3570" s="527" t="s">
        <v>13158</v>
      </c>
      <c r="F3570" s="220"/>
    </row>
    <row r="3571" spans="1:6" ht="14.4">
      <c r="A3571">
        <v>39429</v>
      </c>
      <c r="B3571" t="s">
        <v>21242</v>
      </c>
      <c r="C3571" t="s">
        <v>2273</v>
      </c>
      <c r="D3571" t="s">
        <v>1857</v>
      </c>
      <c r="E3571" s="527" t="s">
        <v>4873</v>
      </c>
      <c r="F3571" s="219"/>
    </row>
    <row r="3572" spans="1:6" ht="14.4">
      <c r="A3572">
        <v>39428</v>
      </c>
      <c r="B3572" t="s">
        <v>21243</v>
      </c>
      <c r="C3572" t="s">
        <v>2273</v>
      </c>
      <c r="D3572" t="s">
        <v>1857</v>
      </c>
      <c r="E3572" s="527" t="s">
        <v>7962</v>
      </c>
      <c r="F3572" s="220"/>
    </row>
    <row r="3573" spans="1:6" ht="14.4">
      <c r="A3573">
        <v>39572</v>
      </c>
      <c r="B3573" t="s">
        <v>21244</v>
      </c>
      <c r="C3573" t="s">
        <v>2273</v>
      </c>
      <c r="D3573" t="s">
        <v>1857</v>
      </c>
      <c r="E3573" s="527" t="s">
        <v>7292</v>
      </c>
      <c r="F3573" s="219"/>
    </row>
    <row r="3574" spans="1:6" ht="14.4">
      <c r="A3574">
        <v>39570</v>
      </c>
      <c r="B3574" t="s">
        <v>21245</v>
      </c>
      <c r="C3574" t="s">
        <v>2273</v>
      </c>
      <c r="D3574" t="s">
        <v>1857</v>
      </c>
      <c r="E3574" s="527" t="s">
        <v>16164</v>
      </c>
      <c r="F3574" s="220"/>
    </row>
    <row r="3575" spans="1:6" ht="14.4">
      <c r="A3575">
        <v>39569</v>
      </c>
      <c r="B3575" t="s">
        <v>21246</v>
      </c>
      <c r="C3575" t="s">
        <v>2273</v>
      </c>
      <c r="D3575" t="s">
        <v>1857</v>
      </c>
      <c r="E3575" s="527" t="s">
        <v>4521</v>
      </c>
      <c r="F3575" s="219"/>
    </row>
    <row r="3576" spans="1:6" ht="14.4">
      <c r="A3576">
        <v>11552</v>
      </c>
      <c r="B3576" t="s">
        <v>21247</v>
      </c>
      <c r="C3576" t="s">
        <v>2273</v>
      </c>
      <c r="D3576" t="s">
        <v>1857</v>
      </c>
      <c r="E3576" s="527" t="s">
        <v>4004</v>
      </c>
      <c r="F3576" s="220"/>
    </row>
    <row r="3577" spans="1:6" ht="14.4">
      <c r="A3577">
        <v>40598</v>
      </c>
      <c r="B3577" t="s">
        <v>21248</v>
      </c>
      <c r="C3577" t="s">
        <v>2274</v>
      </c>
      <c r="D3577" t="s">
        <v>1857</v>
      </c>
      <c r="E3577" s="527" t="s">
        <v>10386</v>
      </c>
      <c r="F3577" s="219"/>
    </row>
    <row r="3578" spans="1:6" ht="14.4">
      <c r="A3578">
        <v>39029</v>
      </c>
      <c r="B3578" t="s">
        <v>21249</v>
      </c>
      <c r="C3578" t="s">
        <v>2273</v>
      </c>
      <c r="D3578" t="s">
        <v>1857</v>
      </c>
      <c r="E3578" s="527" t="s">
        <v>16185</v>
      </c>
      <c r="F3578" s="220"/>
    </row>
    <row r="3579" spans="1:6" ht="14.4">
      <c r="A3579">
        <v>39028</v>
      </c>
      <c r="B3579" t="s">
        <v>21250</v>
      </c>
      <c r="C3579" t="s">
        <v>2273</v>
      </c>
      <c r="D3579" t="s">
        <v>1857</v>
      </c>
      <c r="E3579" s="527" t="s">
        <v>10190</v>
      </c>
      <c r="F3579" s="219"/>
    </row>
    <row r="3580" spans="1:6" ht="14.4">
      <c r="A3580">
        <v>39328</v>
      </c>
      <c r="B3580" t="s">
        <v>21251</v>
      </c>
      <c r="C3580" t="s">
        <v>2273</v>
      </c>
      <c r="D3580" t="s">
        <v>1857</v>
      </c>
      <c r="E3580" s="527" t="s">
        <v>10113</v>
      </c>
      <c r="F3580" s="220"/>
    </row>
    <row r="3581" spans="1:6" ht="14.4">
      <c r="A3581">
        <v>38541</v>
      </c>
      <c r="B3581" t="s">
        <v>21252</v>
      </c>
      <c r="C3581" t="s">
        <v>2269</v>
      </c>
      <c r="D3581" t="s">
        <v>1857</v>
      </c>
      <c r="E3581" s="527" t="s">
        <v>21253</v>
      </c>
      <c r="F3581" s="219"/>
    </row>
    <row r="3582" spans="1:6" ht="14.4">
      <c r="A3582">
        <v>38542</v>
      </c>
      <c r="B3582" t="s">
        <v>21254</v>
      </c>
      <c r="C3582" t="s">
        <v>2269</v>
      </c>
      <c r="D3582" t="s">
        <v>1857</v>
      </c>
      <c r="E3582" s="527" t="s">
        <v>21255</v>
      </c>
      <c r="F3582" s="220"/>
    </row>
    <row r="3583" spans="1:6" ht="14.4">
      <c r="A3583">
        <v>38543</v>
      </c>
      <c r="B3583" t="s">
        <v>21256</v>
      </c>
      <c r="C3583" t="s">
        <v>2269</v>
      </c>
      <c r="D3583" t="s">
        <v>1857</v>
      </c>
      <c r="E3583" s="527" t="s">
        <v>21257</v>
      </c>
      <c r="F3583" s="219"/>
    </row>
    <row r="3584" spans="1:6" ht="14.4">
      <c r="A3584">
        <v>40406</v>
      </c>
      <c r="B3584" t="s">
        <v>21258</v>
      </c>
      <c r="C3584" t="s">
        <v>2269</v>
      </c>
      <c r="D3584" t="s">
        <v>2271</v>
      </c>
      <c r="E3584" s="527" t="s">
        <v>21259</v>
      </c>
      <c r="F3584" s="220"/>
    </row>
    <row r="3585" spans="1:6" ht="14.4">
      <c r="A3585">
        <v>40789</v>
      </c>
      <c r="B3585" t="s">
        <v>21260</v>
      </c>
      <c r="C3585" t="s">
        <v>2269</v>
      </c>
      <c r="D3585" t="s">
        <v>2271</v>
      </c>
      <c r="E3585" s="527" t="s">
        <v>21261</v>
      </c>
      <c r="F3585" s="219"/>
    </row>
    <row r="3586" spans="1:6" ht="14.4">
      <c r="A3586">
        <v>40791</v>
      </c>
      <c r="B3586" t="s">
        <v>21262</v>
      </c>
      <c r="C3586" t="s">
        <v>2269</v>
      </c>
      <c r="D3586" t="s">
        <v>2271</v>
      </c>
      <c r="E3586" s="527" t="s">
        <v>21263</v>
      </c>
      <c r="F3586" s="220"/>
    </row>
    <row r="3587" spans="1:6" ht="14.4">
      <c r="A3587">
        <v>11651</v>
      </c>
      <c r="B3587" t="s">
        <v>21264</v>
      </c>
      <c r="C3587" t="s">
        <v>2269</v>
      </c>
      <c r="D3587" t="s">
        <v>2271</v>
      </c>
      <c r="E3587" s="527" t="s">
        <v>21265</v>
      </c>
      <c r="F3587" s="219"/>
    </row>
    <row r="3588" spans="1:6" ht="14.4">
      <c r="A3588">
        <v>40435</v>
      </c>
      <c r="B3588" t="s">
        <v>21266</v>
      </c>
      <c r="C3588" t="s">
        <v>2269</v>
      </c>
      <c r="D3588" t="s">
        <v>1857</v>
      </c>
      <c r="E3588" s="527" t="s">
        <v>21267</v>
      </c>
      <c r="F3588" s="220"/>
    </row>
    <row r="3589" spans="1:6" ht="14.4">
      <c r="A3589">
        <v>39012</v>
      </c>
      <c r="B3589" t="s">
        <v>21268</v>
      </c>
      <c r="C3589" t="s">
        <v>2269</v>
      </c>
      <c r="D3589" t="s">
        <v>1857</v>
      </c>
      <c r="E3589" s="527" t="s">
        <v>21269</v>
      </c>
      <c r="F3589" s="219"/>
    </row>
    <row r="3590" spans="1:6" ht="14.4">
      <c r="A3590">
        <v>13617</v>
      </c>
      <c r="B3590" t="s">
        <v>21270</v>
      </c>
      <c r="C3590" t="s">
        <v>2269</v>
      </c>
      <c r="D3590" t="s">
        <v>1857</v>
      </c>
      <c r="E3590" s="527" t="s">
        <v>21271</v>
      </c>
      <c r="F3590" s="220"/>
    </row>
    <row r="3591" spans="1:6" ht="14.4">
      <c r="A3591">
        <v>35274</v>
      </c>
      <c r="B3591" t="s">
        <v>21272</v>
      </c>
      <c r="C3591" t="s">
        <v>2273</v>
      </c>
      <c r="D3591" t="s">
        <v>1857</v>
      </c>
      <c r="E3591" s="527" t="s">
        <v>20034</v>
      </c>
      <c r="F3591" s="219"/>
    </row>
    <row r="3592" spans="1:6" ht="14.4">
      <c r="A3592">
        <v>35275</v>
      </c>
      <c r="B3592" t="s">
        <v>21273</v>
      </c>
      <c r="C3592" t="s">
        <v>2273</v>
      </c>
      <c r="D3592" t="s">
        <v>1857</v>
      </c>
      <c r="E3592" s="527" t="s">
        <v>21274</v>
      </c>
      <c r="F3592" s="220"/>
    </row>
    <row r="3593" spans="1:6" ht="14.4">
      <c r="A3593">
        <v>35276</v>
      </c>
      <c r="B3593" t="s">
        <v>21275</v>
      </c>
      <c r="C3593" t="s">
        <v>2273</v>
      </c>
      <c r="D3593" t="s">
        <v>1857</v>
      </c>
      <c r="E3593" s="527" t="s">
        <v>21276</v>
      </c>
      <c r="F3593" s="219"/>
    </row>
    <row r="3594" spans="1:6" ht="14.4">
      <c r="A3594">
        <v>38386</v>
      </c>
      <c r="B3594" t="s">
        <v>21277</v>
      </c>
      <c r="C3594" t="s">
        <v>2269</v>
      </c>
      <c r="D3594" t="s">
        <v>1857</v>
      </c>
      <c r="E3594" s="527" t="s">
        <v>6650</v>
      </c>
      <c r="F3594" s="220"/>
    </row>
    <row r="3595" spans="1:6" ht="14.4">
      <c r="A3595">
        <v>11091</v>
      </c>
      <c r="B3595" t="s">
        <v>21278</v>
      </c>
      <c r="C3595" t="s">
        <v>2269</v>
      </c>
      <c r="D3595" t="s">
        <v>1857</v>
      </c>
      <c r="E3595" s="527" t="s">
        <v>7280</v>
      </c>
      <c r="F3595" s="219"/>
    </row>
    <row r="3596" spans="1:6" ht="14.4">
      <c r="A3596">
        <v>37586</v>
      </c>
      <c r="B3596" t="s">
        <v>21279</v>
      </c>
      <c r="C3596" t="s">
        <v>2285</v>
      </c>
      <c r="D3596" t="s">
        <v>2271</v>
      </c>
      <c r="E3596" s="527" t="s">
        <v>13202</v>
      </c>
      <c r="F3596" s="220"/>
    </row>
    <row r="3597" spans="1:6" ht="14.4">
      <c r="A3597">
        <v>37395</v>
      </c>
      <c r="B3597" t="s">
        <v>21280</v>
      </c>
      <c r="C3597" t="s">
        <v>2285</v>
      </c>
      <c r="D3597" t="s">
        <v>2271</v>
      </c>
      <c r="E3597" s="527" t="s">
        <v>21281</v>
      </c>
      <c r="F3597" s="219"/>
    </row>
    <row r="3598" spans="1:6" ht="14.4">
      <c r="A3598">
        <v>14147</v>
      </c>
      <c r="B3598" t="s">
        <v>21282</v>
      </c>
      <c r="C3598" t="s">
        <v>2285</v>
      </c>
      <c r="D3598" t="s">
        <v>2271</v>
      </c>
      <c r="E3598" s="527" t="s">
        <v>15391</v>
      </c>
      <c r="F3598" s="220"/>
    </row>
    <row r="3599" spans="1:6" ht="14.4">
      <c r="A3599">
        <v>37396</v>
      </c>
      <c r="B3599" t="s">
        <v>21283</v>
      </c>
      <c r="C3599" t="s">
        <v>2285</v>
      </c>
      <c r="D3599" t="s">
        <v>2271</v>
      </c>
      <c r="E3599" s="527" t="s">
        <v>10318</v>
      </c>
      <c r="F3599" s="219"/>
    </row>
    <row r="3600" spans="1:6" ht="14.4">
      <c r="A3600">
        <v>37397</v>
      </c>
      <c r="B3600" t="s">
        <v>21284</v>
      </c>
      <c r="C3600" t="s">
        <v>2285</v>
      </c>
      <c r="D3600" t="s">
        <v>2271</v>
      </c>
      <c r="E3600" s="527" t="s">
        <v>9783</v>
      </c>
      <c r="F3600" s="220"/>
    </row>
    <row r="3601" spans="1:6" ht="14.4">
      <c r="A3601">
        <v>43606</v>
      </c>
      <c r="B3601" t="s">
        <v>21285</v>
      </c>
      <c r="C3601" t="s">
        <v>2269</v>
      </c>
      <c r="D3601" t="s">
        <v>1857</v>
      </c>
      <c r="E3601" s="527" t="s">
        <v>4222</v>
      </c>
      <c r="F3601" s="219"/>
    </row>
    <row r="3602" spans="1:6" ht="14.4">
      <c r="A3602">
        <v>444</v>
      </c>
      <c r="B3602" t="s">
        <v>21286</v>
      </c>
      <c r="C3602" t="s">
        <v>2269</v>
      </c>
      <c r="D3602" t="s">
        <v>1857</v>
      </c>
      <c r="E3602" s="527" t="s">
        <v>10000</v>
      </c>
      <c r="F3602" s="220"/>
    </row>
    <row r="3603" spans="1:6" ht="14.4">
      <c r="A3603">
        <v>445</v>
      </c>
      <c r="B3603" t="s">
        <v>21287</v>
      </c>
      <c r="C3603" t="s">
        <v>2269</v>
      </c>
      <c r="D3603" t="s">
        <v>1857</v>
      </c>
      <c r="E3603" s="527" t="s">
        <v>10081</v>
      </c>
      <c r="F3603" s="219"/>
    </row>
    <row r="3604" spans="1:6" ht="14.4">
      <c r="A3604">
        <v>4783</v>
      </c>
      <c r="B3604" t="s">
        <v>21288</v>
      </c>
      <c r="C3604" t="s">
        <v>2267</v>
      </c>
      <c r="D3604" t="s">
        <v>2268</v>
      </c>
      <c r="E3604" s="527" t="s">
        <v>10101</v>
      </c>
      <c r="F3604" s="220"/>
    </row>
    <row r="3605" spans="1:6" ht="14.4">
      <c r="A3605">
        <v>41079</v>
      </c>
      <c r="B3605" t="s">
        <v>21289</v>
      </c>
      <c r="C3605" t="s">
        <v>2276</v>
      </c>
      <c r="D3605" t="s">
        <v>1857</v>
      </c>
      <c r="E3605" s="527" t="s">
        <v>17113</v>
      </c>
      <c r="F3605" s="219"/>
    </row>
    <row r="3606" spans="1:6" ht="14.4">
      <c r="A3606">
        <v>12874</v>
      </c>
      <c r="B3606" t="s">
        <v>21290</v>
      </c>
      <c r="C3606" t="s">
        <v>2267</v>
      </c>
      <c r="D3606" t="s">
        <v>1857</v>
      </c>
      <c r="E3606" s="527" t="s">
        <v>13159</v>
      </c>
      <c r="F3606" s="220"/>
    </row>
    <row r="3607" spans="1:6" ht="14.4">
      <c r="A3607">
        <v>41082</v>
      </c>
      <c r="B3607" t="s">
        <v>21291</v>
      </c>
      <c r="C3607" t="s">
        <v>2276</v>
      </c>
      <c r="D3607" t="s">
        <v>1857</v>
      </c>
      <c r="E3607" s="527" t="s">
        <v>21292</v>
      </c>
      <c r="F3607" s="219"/>
    </row>
    <row r="3608" spans="1:6" ht="14.4">
      <c r="A3608">
        <v>4785</v>
      </c>
      <c r="B3608" t="s">
        <v>21293</v>
      </c>
      <c r="C3608" t="s">
        <v>2267</v>
      </c>
      <c r="D3608" t="s">
        <v>1857</v>
      </c>
      <c r="E3608" s="527" t="s">
        <v>21294</v>
      </c>
      <c r="F3608" s="220"/>
    </row>
    <row r="3609" spans="1:6" ht="14.4">
      <c r="A3609">
        <v>41081</v>
      </c>
      <c r="B3609" t="s">
        <v>21295</v>
      </c>
      <c r="C3609" t="s">
        <v>2276</v>
      </c>
      <c r="D3609" t="s">
        <v>1857</v>
      </c>
      <c r="E3609" s="527" t="s">
        <v>21296</v>
      </c>
      <c r="F3609" s="219"/>
    </row>
    <row r="3610" spans="1:6" ht="14.4">
      <c r="A3610">
        <v>4801</v>
      </c>
      <c r="B3610" t="s">
        <v>21297</v>
      </c>
      <c r="C3610" t="s">
        <v>2270</v>
      </c>
      <c r="D3610" t="s">
        <v>1857</v>
      </c>
      <c r="E3610" s="527" t="s">
        <v>12848</v>
      </c>
      <c r="F3610" s="220"/>
    </row>
    <row r="3611" spans="1:6" ht="14.4">
      <c r="A3611">
        <v>4794</v>
      </c>
      <c r="B3611" t="s">
        <v>21298</v>
      </c>
      <c r="C3611" t="s">
        <v>2270</v>
      </c>
      <c r="D3611" t="s">
        <v>1857</v>
      </c>
      <c r="E3611" s="527" t="s">
        <v>21299</v>
      </c>
      <c r="F3611" s="219"/>
    </row>
    <row r="3612" spans="1:6" ht="14.4">
      <c r="A3612">
        <v>4796</v>
      </c>
      <c r="B3612" t="s">
        <v>21300</v>
      </c>
      <c r="C3612" t="s">
        <v>2270</v>
      </c>
      <c r="D3612" t="s">
        <v>1857</v>
      </c>
      <c r="E3612" s="527" t="s">
        <v>21301</v>
      </c>
      <c r="F3612" s="220"/>
    </row>
    <row r="3613" spans="1:6" ht="14.4">
      <c r="A3613">
        <v>4800</v>
      </c>
      <c r="B3613" t="s">
        <v>21302</v>
      </c>
      <c r="C3613" t="s">
        <v>2270</v>
      </c>
      <c r="D3613" t="s">
        <v>1857</v>
      </c>
      <c r="E3613" s="527" t="s">
        <v>21303</v>
      </c>
      <c r="F3613" s="219"/>
    </row>
    <row r="3614" spans="1:6" ht="14.4">
      <c r="A3614">
        <v>4795</v>
      </c>
      <c r="B3614" t="s">
        <v>21304</v>
      </c>
      <c r="C3614" t="s">
        <v>2270</v>
      </c>
      <c r="D3614" t="s">
        <v>1857</v>
      </c>
      <c r="E3614" s="527" t="s">
        <v>21305</v>
      </c>
      <c r="F3614" s="220"/>
    </row>
    <row r="3615" spans="1:6" ht="14.4">
      <c r="A3615">
        <v>39694</v>
      </c>
      <c r="B3615" t="s">
        <v>21306</v>
      </c>
      <c r="C3615" t="s">
        <v>2270</v>
      </c>
      <c r="D3615" t="s">
        <v>1857</v>
      </c>
      <c r="E3615" s="527" t="s">
        <v>21307</v>
      </c>
      <c r="F3615" s="219"/>
    </row>
    <row r="3616" spans="1:6" ht="14.4">
      <c r="A3616">
        <v>1292</v>
      </c>
      <c r="B3616" t="s">
        <v>21308</v>
      </c>
      <c r="C3616" t="s">
        <v>2270</v>
      </c>
      <c r="D3616" t="s">
        <v>1857</v>
      </c>
      <c r="E3616" s="527" t="s">
        <v>10604</v>
      </c>
      <c r="F3616" s="220"/>
    </row>
    <row r="3617" spans="1:6" ht="14.4">
      <c r="A3617">
        <v>1287</v>
      </c>
      <c r="B3617" t="s">
        <v>21309</v>
      </c>
      <c r="C3617" t="s">
        <v>2270</v>
      </c>
      <c r="D3617" t="s">
        <v>2268</v>
      </c>
      <c r="E3617" s="527" t="s">
        <v>10159</v>
      </c>
      <c r="F3617" s="219"/>
    </row>
    <row r="3618" spans="1:6" ht="14.4">
      <c r="A3618">
        <v>1297</v>
      </c>
      <c r="B3618" t="s">
        <v>21310</v>
      </c>
      <c r="C3618" t="s">
        <v>2270</v>
      </c>
      <c r="D3618" t="s">
        <v>1857</v>
      </c>
      <c r="E3618" s="527" t="s">
        <v>11413</v>
      </c>
      <c r="F3618" s="220"/>
    </row>
    <row r="3619" spans="1:6" ht="14.4">
      <c r="A3619">
        <v>4786</v>
      </c>
      <c r="B3619" t="s">
        <v>21311</v>
      </c>
      <c r="C3619" t="s">
        <v>2270</v>
      </c>
      <c r="D3619" t="s">
        <v>2271</v>
      </c>
      <c r="E3619" s="527" t="s">
        <v>15533</v>
      </c>
      <c r="F3619" s="219"/>
    </row>
    <row r="3620" spans="1:6" ht="14.4">
      <c r="A3620">
        <v>10840</v>
      </c>
      <c r="B3620" t="s">
        <v>21312</v>
      </c>
      <c r="C3620" t="s">
        <v>2270</v>
      </c>
      <c r="D3620" t="s">
        <v>2268</v>
      </c>
      <c r="E3620" s="527" t="s">
        <v>15534</v>
      </c>
      <c r="F3620" s="220"/>
    </row>
    <row r="3621" spans="1:6" ht="14.4">
      <c r="A3621">
        <v>10841</v>
      </c>
      <c r="B3621" t="s">
        <v>21313</v>
      </c>
      <c r="C3621" t="s">
        <v>2270</v>
      </c>
      <c r="D3621" t="s">
        <v>1857</v>
      </c>
      <c r="E3621" s="527" t="s">
        <v>15535</v>
      </c>
      <c r="F3621" s="219"/>
    </row>
    <row r="3622" spans="1:6" ht="14.4">
      <c r="A3622">
        <v>25980</v>
      </c>
      <c r="B3622" t="s">
        <v>21314</v>
      </c>
      <c r="C3622" t="s">
        <v>2270</v>
      </c>
      <c r="D3622" t="s">
        <v>1857</v>
      </c>
      <c r="E3622" s="527" t="s">
        <v>10328</v>
      </c>
      <c r="F3622" s="220"/>
    </row>
    <row r="3623" spans="1:6" ht="14.4">
      <c r="A3623">
        <v>10842</v>
      </c>
      <c r="B3623" t="s">
        <v>21315</v>
      </c>
      <c r="C3623" t="s">
        <v>2270</v>
      </c>
      <c r="D3623" t="s">
        <v>1857</v>
      </c>
      <c r="E3623" s="527" t="s">
        <v>15536</v>
      </c>
      <c r="F3623" s="219"/>
    </row>
    <row r="3624" spans="1:6" ht="14.4">
      <c r="A3624">
        <v>21108</v>
      </c>
      <c r="B3624" t="s">
        <v>21316</v>
      </c>
      <c r="C3624" t="s">
        <v>2270</v>
      </c>
      <c r="D3624" t="s">
        <v>1857</v>
      </c>
      <c r="E3624" s="527" t="s">
        <v>16455</v>
      </c>
      <c r="F3624" s="220"/>
    </row>
    <row r="3625" spans="1:6" ht="14.4">
      <c r="A3625">
        <v>38180</v>
      </c>
      <c r="B3625" t="s">
        <v>21317</v>
      </c>
      <c r="C3625" t="s">
        <v>2270</v>
      </c>
      <c r="D3625" t="s">
        <v>1857</v>
      </c>
      <c r="E3625" s="527" t="s">
        <v>21318</v>
      </c>
      <c r="F3625" s="219"/>
    </row>
    <row r="3626" spans="1:6" ht="14.4">
      <c r="A3626">
        <v>40648</v>
      </c>
      <c r="B3626" t="s">
        <v>21319</v>
      </c>
      <c r="C3626" t="s">
        <v>2270</v>
      </c>
      <c r="D3626" t="s">
        <v>2271</v>
      </c>
      <c r="E3626" s="527" t="s">
        <v>15537</v>
      </c>
      <c r="F3626" s="220"/>
    </row>
    <row r="3627" spans="1:6" ht="14.4">
      <c r="A3627">
        <v>40649</v>
      </c>
      <c r="B3627" t="s">
        <v>21320</v>
      </c>
      <c r="C3627" t="s">
        <v>2270</v>
      </c>
      <c r="D3627" t="s">
        <v>2271</v>
      </c>
      <c r="E3627" s="527" t="s">
        <v>11433</v>
      </c>
      <c r="F3627" s="219"/>
    </row>
    <row r="3628" spans="1:6" ht="14.4">
      <c r="A3628">
        <v>40650</v>
      </c>
      <c r="B3628" t="s">
        <v>21321</v>
      </c>
      <c r="C3628" t="s">
        <v>2270</v>
      </c>
      <c r="D3628" t="s">
        <v>2271</v>
      </c>
      <c r="E3628" s="527" t="s">
        <v>10650</v>
      </c>
      <c r="F3628" s="220"/>
    </row>
    <row r="3629" spans="1:6" ht="14.4">
      <c r="A3629">
        <v>40651</v>
      </c>
      <c r="B3629" t="s">
        <v>21322</v>
      </c>
      <c r="C3629" t="s">
        <v>2270</v>
      </c>
      <c r="D3629" t="s">
        <v>2271</v>
      </c>
      <c r="E3629" s="527" t="s">
        <v>11656</v>
      </c>
      <c r="F3629" s="219"/>
    </row>
    <row r="3630" spans="1:6" ht="14.4">
      <c r="A3630">
        <v>40652</v>
      </c>
      <c r="B3630" t="s">
        <v>21323</v>
      </c>
      <c r="C3630" t="s">
        <v>2270</v>
      </c>
      <c r="D3630" t="s">
        <v>2271</v>
      </c>
      <c r="E3630" s="527" t="s">
        <v>15538</v>
      </c>
      <c r="F3630" s="220"/>
    </row>
    <row r="3631" spans="1:6" ht="14.4">
      <c r="A3631">
        <v>40647</v>
      </c>
      <c r="B3631" t="s">
        <v>21324</v>
      </c>
      <c r="C3631" t="s">
        <v>2270</v>
      </c>
      <c r="D3631" t="s">
        <v>2271</v>
      </c>
      <c r="E3631" s="527" t="s">
        <v>15539</v>
      </c>
      <c r="F3631" s="219"/>
    </row>
    <row r="3632" spans="1:6" ht="14.4">
      <c r="A3632">
        <v>40653</v>
      </c>
      <c r="B3632" t="s">
        <v>21325</v>
      </c>
      <c r="C3632" t="s">
        <v>2270</v>
      </c>
      <c r="D3632" t="s">
        <v>2271</v>
      </c>
      <c r="E3632" s="527" t="s">
        <v>15540</v>
      </c>
      <c r="F3632" s="220"/>
    </row>
    <row r="3633" spans="1:6" ht="14.4">
      <c r="A3633">
        <v>36178</v>
      </c>
      <c r="B3633" t="s">
        <v>21326</v>
      </c>
      <c r="C3633" t="s">
        <v>2269</v>
      </c>
      <c r="D3633" t="s">
        <v>1857</v>
      </c>
      <c r="E3633" s="527" t="s">
        <v>10687</v>
      </c>
      <c r="F3633" s="219"/>
    </row>
    <row r="3634" spans="1:6" ht="14.4">
      <c r="A3634">
        <v>38195</v>
      </c>
      <c r="B3634" t="s">
        <v>21327</v>
      </c>
      <c r="C3634" t="s">
        <v>2270</v>
      </c>
      <c r="D3634" t="s">
        <v>1857</v>
      </c>
      <c r="E3634" s="527" t="s">
        <v>13327</v>
      </c>
      <c r="F3634" s="220"/>
    </row>
    <row r="3635" spans="1:6" ht="14.4">
      <c r="A3635">
        <v>38181</v>
      </c>
      <c r="B3635" t="s">
        <v>21328</v>
      </c>
      <c r="C3635" t="s">
        <v>2270</v>
      </c>
      <c r="D3635" t="s">
        <v>1857</v>
      </c>
      <c r="E3635" s="527" t="s">
        <v>21329</v>
      </c>
      <c r="F3635" s="219"/>
    </row>
    <row r="3636" spans="1:6" ht="14.4">
      <c r="A3636">
        <v>38182</v>
      </c>
      <c r="B3636" t="s">
        <v>21330</v>
      </c>
      <c r="C3636" t="s">
        <v>2270</v>
      </c>
      <c r="D3636" t="s">
        <v>1857</v>
      </c>
      <c r="E3636" s="527" t="s">
        <v>21331</v>
      </c>
      <c r="F3636" s="220"/>
    </row>
    <row r="3637" spans="1:6" ht="14.4">
      <c r="A3637">
        <v>38186</v>
      </c>
      <c r="B3637" t="s">
        <v>21332</v>
      </c>
      <c r="C3637" t="s">
        <v>2270</v>
      </c>
      <c r="D3637" t="s">
        <v>1857</v>
      </c>
      <c r="E3637" s="527" t="s">
        <v>21333</v>
      </c>
      <c r="F3637" s="219"/>
    </row>
    <row r="3638" spans="1:6" ht="14.4">
      <c r="A3638">
        <v>38185</v>
      </c>
      <c r="B3638" t="s">
        <v>21334</v>
      </c>
      <c r="C3638" t="s">
        <v>2270</v>
      </c>
      <c r="D3638" t="s">
        <v>1857</v>
      </c>
      <c r="E3638" s="527" t="s">
        <v>21335</v>
      </c>
      <c r="F3638" s="220"/>
    </row>
    <row r="3639" spans="1:6" ht="14.4">
      <c r="A3639">
        <v>40654</v>
      </c>
      <c r="B3639" t="s">
        <v>21336</v>
      </c>
      <c r="C3639" t="s">
        <v>2270</v>
      </c>
      <c r="D3639" t="s">
        <v>2271</v>
      </c>
      <c r="E3639" s="527" t="s">
        <v>15541</v>
      </c>
      <c r="F3639" s="219"/>
    </row>
    <row r="3640" spans="1:6" ht="14.4">
      <c r="A3640">
        <v>25981</v>
      </c>
      <c r="B3640" t="s">
        <v>21337</v>
      </c>
      <c r="C3640" t="s">
        <v>2270</v>
      </c>
      <c r="D3640" t="s">
        <v>1857</v>
      </c>
      <c r="E3640" s="527" t="s">
        <v>15542</v>
      </c>
      <c r="F3640" s="220"/>
    </row>
    <row r="3641" spans="1:6" ht="14.4">
      <c r="A3641">
        <v>4822</v>
      </c>
      <c r="B3641" t="s">
        <v>21338</v>
      </c>
      <c r="C3641" t="s">
        <v>2270</v>
      </c>
      <c r="D3641" t="s">
        <v>1857</v>
      </c>
      <c r="E3641" s="527" t="s">
        <v>10326</v>
      </c>
      <c r="F3641" s="219"/>
    </row>
    <row r="3642" spans="1:6" ht="14.4">
      <c r="A3642">
        <v>4818</v>
      </c>
      <c r="B3642" t="s">
        <v>21339</v>
      </c>
      <c r="C3642" t="s">
        <v>2270</v>
      </c>
      <c r="D3642" t="s">
        <v>2268</v>
      </c>
      <c r="E3642" s="527" t="s">
        <v>9540</v>
      </c>
      <c r="F3642" s="220"/>
    </row>
    <row r="3643" spans="1:6" ht="14.4">
      <c r="A3643">
        <v>39567</v>
      </c>
      <c r="B3643" t="s">
        <v>21340</v>
      </c>
      <c r="C3643" t="s">
        <v>2270</v>
      </c>
      <c r="D3643" t="s">
        <v>1857</v>
      </c>
      <c r="E3643" s="527" t="s">
        <v>16473</v>
      </c>
      <c r="F3643" s="219"/>
    </row>
    <row r="3644" spans="1:6" ht="14.4">
      <c r="A3644">
        <v>39566</v>
      </c>
      <c r="B3644" t="s">
        <v>21341</v>
      </c>
      <c r="C3644" t="s">
        <v>2270</v>
      </c>
      <c r="D3644" t="s">
        <v>1857</v>
      </c>
      <c r="E3644" s="527" t="s">
        <v>15857</v>
      </c>
      <c r="F3644" s="220"/>
    </row>
    <row r="3645" spans="1:6" ht="14.4">
      <c r="A3645">
        <v>39416</v>
      </c>
      <c r="B3645" t="s">
        <v>21342</v>
      </c>
      <c r="C3645" t="s">
        <v>2270</v>
      </c>
      <c r="D3645" t="s">
        <v>1857</v>
      </c>
      <c r="E3645" s="527" t="s">
        <v>9776</v>
      </c>
      <c r="F3645" s="219"/>
    </row>
    <row r="3646" spans="1:6" ht="14.4">
      <c r="A3646">
        <v>39417</v>
      </c>
      <c r="B3646" t="s">
        <v>21343</v>
      </c>
      <c r="C3646" t="s">
        <v>2270</v>
      </c>
      <c r="D3646" t="s">
        <v>1857</v>
      </c>
      <c r="E3646" s="527" t="s">
        <v>9539</v>
      </c>
      <c r="F3646" s="220"/>
    </row>
    <row r="3647" spans="1:6" ht="14.4">
      <c r="A3647">
        <v>39414</v>
      </c>
      <c r="B3647" t="s">
        <v>21344</v>
      </c>
      <c r="C3647" t="s">
        <v>2270</v>
      </c>
      <c r="D3647" t="s">
        <v>1857</v>
      </c>
      <c r="E3647" s="527" t="s">
        <v>11649</v>
      </c>
      <c r="F3647" s="219"/>
    </row>
    <row r="3648" spans="1:6" ht="14.4">
      <c r="A3648">
        <v>39415</v>
      </c>
      <c r="B3648" t="s">
        <v>21345</v>
      </c>
      <c r="C3648" t="s">
        <v>2270</v>
      </c>
      <c r="D3648" t="s">
        <v>1857</v>
      </c>
      <c r="E3648" s="527" t="s">
        <v>16564</v>
      </c>
      <c r="F3648" s="220"/>
    </row>
    <row r="3649" spans="1:6" ht="14.4">
      <c r="A3649">
        <v>39412</v>
      </c>
      <c r="B3649" t="s">
        <v>21346</v>
      </c>
      <c r="C3649" t="s">
        <v>2270</v>
      </c>
      <c r="D3649" t="s">
        <v>2268</v>
      </c>
      <c r="E3649" s="527" t="s">
        <v>7364</v>
      </c>
      <c r="F3649" s="219"/>
    </row>
    <row r="3650" spans="1:6" ht="14.4">
      <c r="A3650">
        <v>39413</v>
      </c>
      <c r="B3650" t="s">
        <v>21347</v>
      </c>
      <c r="C3650" t="s">
        <v>2270</v>
      </c>
      <c r="D3650" t="s">
        <v>1857</v>
      </c>
      <c r="E3650" s="527" t="s">
        <v>10416</v>
      </c>
      <c r="F3650" s="220"/>
    </row>
    <row r="3651" spans="1:6" ht="14.4">
      <c r="A3651">
        <v>11062</v>
      </c>
      <c r="B3651" t="s">
        <v>21348</v>
      </c>
      <c r="C3651" t="s">
        <v>2270</v>
      </c>
      <c r="D3651" t="s">
        <v>1857</v>
      </c>
      <c r="E3651" s="527" t="s">
        <v>21349</v>
      </c>
      <c r="F3651" s="219"/>
    </row>
    <row r="3652" spans="1:6" ht="14.4">
      <c r="A3652">
        <v>11063</v>
      </c>
      <c r="B3652" t="s">
        <v>21350</v>
      </c>
      <c r="C3652" t="s">
        <v>2270</v>
      </c>
      <c r="D3652" t="s">
        <v>1857</v>
      </c>
      <c r="E3652" s="527" t="s">
        <v>21351</v>
      </c>
      <c r="F3652" s="220"/>
    </row>
    <row r="3653" spans="1:6" ht="14.4">
      <c r="A3653">
        <v>13521</v>
      </c>
      <c r="B3653" t="s">
        <v>21352</v>
      </c>
      <c r="C3653" t="s">
        <v>2269</v>
      </c>
      <c r="D3653" t="s">
        <v>2271</v>
      </c>
      <c r="E3653" s="527" t="s">
        <v>21353</v>
      </c>
      <c r="F3653" s="219"/>
    </row>
    <row r="3654" spans="1:6" ht="14.4">
      <c r="A3654">
        <v>10851</v>
      </c>
      <c r="B3654" t="s">
        <v>21354</v>
      </c>
      <c r="C3654" t="s">
        <v>2269</v>
      </c>
      <c r="D3654" t="s">
        <v>2271</v>
      </c>
      <c r="E3654" s="527" t="s">
        <v>15543</v>
      </c>
      <c r="F3654" s="220"/>
    </row>
    <row r="3655" spans="1:6" ht="14.4">
      <c r="A3655">
        <v>39515</v>
      </c>
      <c r="B3655" t="s">
        <v>21355</v>
      </c>
      <c r="C3655" t="s">
        <v>2269</v>
      </c>
      <c r="D3655" t="s">
        <v>1857</v>
      </c>
      <c r="E3655" s="527" t="s">
        <v>16128</v>
      </c>
      <c r="F3655" s="219"/>
    </row>
    <row r="3656" spans="1:6" ht="14.4">
      <c r="A3656">
        <v>39516</v>
      </c>
      <c r="B3656" t="s">
        <v>21356</v>
      </c>
      <c r="C3656" t="s">
        <v>2269</v>
      </c>
      <c r="D3656" t="s">
        <v>1857</v>
      </c>
      <c r="E3656" s="527" t="s">
        <v>9875</v>
      </c>
      <c r="F3656" s="220"/>
    </row>
    <row r="3657" spans="1:6" ht="14.4">
      <c r="A3657">
        <v>39514</v>
      </c>
      <c r="B3657" t="s">
        <v>21357</v>
      </c>
      <c r="C3657" t="s">
        <v>2269</v>
      </c>
      <c r="D3657" t="s">
        <v>2268</v>
      </c>
      <c r="E3657" s="527" t="s">
        <v>9975</v>
      </c>
      <c r="F3657" s="219"/>
    </row>
    <row r="3658" spans="1:6" ht="14.4">
      <c r="A3658">
        <v>4812</v>
      </c>
      <c r="B3658" t="s">
        <v>21358</v>
      </c>
      <c r="C3658" t="s">
        <v>2270</v>
      </c>
      <c r="D3658" t="s">
        <v>1857</v>
      </c>
      <c r="E3658" s="527" t="s">
        <v>7208</v>
      </c>
      <c r="F3658" s="220"/>
    </row>
    <row r="3659" spans="1:6" ht="14.4">
      <c r="A3659">
        <v>10849</v>
      </c>
      <c r="B3659" t="s">
        <v>21359</v>
      </c>
      <c r="C3659" t="s">
        <v>2269</v>
      </c>
      <c r="D3659" t="s">
        <v>2271</v>
      </c>
      <c r="E3659" s="527" t="s">
        <v>15544</v>
      </c>
      <c r="F3659" s="219"/>
    </row>
    <row r="3660" spans="1:6" ht="14.4">
      <c r="A3660">
        <v>10848</v>
      </c>
      <c r="B3660" t="s">
        <v>21360</v>
      </c>
      <c r="C3660" t="s">
        <v>2269</v>
      </c>
      <c r="D3660" t="s">
        <v>2271</v>
      </c>
      <c r="E3660" s="527" t="s">
        <v>21361</v>
      </c>
      <c r="F3660" s="220"/>
    </row>
    <row r="3661" spans="1:6" ht="14.4">
      <c r="A3661">
        <v>4813</v>
      </c>
      <c r="B3661" t="s">
        <v>21362</v>
      </c>
      <c r="C3661" t="s">
        <v>2270</v>
      </c>
      <c r="D3661" t="s">
        <v>2271</v>
      </c>
      <c r="E3661" s="527" t="s">
        <v>21363</v>
      </c>
      <c r="F3661" s="219"/>
    </row>
    <row r="3662" spans="1:6" ht="14.4">
      <c r="A3662">
        <v>37560</v>
      </c>
      <c r="B3662" t="s">
        <v>21364</v>
      </c>
      <c r="C3662" t="s">
        <v>2269</v>
      </c>
      <c r="D3662" t="s">
        <v>1857</v>
      </c>
      <c r="E3662" s="527" t="s">
        <v>9770</v>
      </c>
      <c r="F3662" s="220"/>
    </row>
    <row r="3663" spans="1:6" ht="14.4">
      <c r="A3663">
        <v>37557</v>
      </c>
      <c r="B3663" t="s">
        <v>21365</v>
      </c>
      <c r="C3663" t="s">
        <v>2269</v>
      </c>
      <c r="D3663" t="s">
        <v>1857</v>
      </c>
      <c r="E3663" s="527" t="s">
        <v>16150</v>
      </c>
      <c r="F3663" s="219"/>
    </row>
    <row r="3664" spans="1:6" ht="14.4">
      <c r="A3664">
        <v>37556</v>
      </c>
      <c r="B3664" t="s">
        <v>21366</v>
      </c>
      <c r="C3664" t="s">
        <v>2269</v>
      </c>
      <c r="D3664" t="s">
        <v>1857</v>
      </c>
      <c r="E3664" s="527" t="s">
        <v>9909</v>
      </c>
      <c r="F3664" s="220"/>
    </row>
    <row r="3665" spans="1:6" ht="14.4">
      <c r="A3665">
        <v>37559</v>
      </c>
      <c r="B3665" t="s">
        <v>21367</v>
      </c>
      <c r="C3665" t="s">
        <v>2269</v>
      </c>
      <c r="D3665" t="s">
        <v>1857</v>
      </c>
      <c r="E3665" s="527" t="s">
        <v>21368</v>
      </c>
      <c r="F3665" s="219"/>
    </row>
    <row r="3666" spans="1:6" ht="14.4">
      <c r="A3666">
        <v>37539</v>
      </c>
      <c r="B3666" t="s">
        <v>21369</v>
      </c>
      <c r="C3666" t="s">
        <v>2269</v>
      </c>
      <c r="D3666" t="s">
        <v>2268</v>
      </c>
      <c r="E3666" s="527" t="s">
        <v>11697</v>
      </c>
      <c r="F3666" s="220"/>
    </row>
    <row r="3667" spans="1:6" ht="14.4">
      <c r="A3667">
        <v>37558</v>
      </c>
      <c r="B3667" t="s">
        <v>21370</v>
      </c>
      <c r="C3667" t="s">
        <v>2269</v>
      </c>
      <c r="D3667" t="s">
        <v>1857</v>
      </c>
      <c r="E3667" s="527" t="s">
        <v>21371</v>
      </c>
      <c r="F3667" s="219"/>
    </row>
    <row r="3668" spans="1:6" ht="14.4">
      <c r="A3668">
        <v>34723</v>
      </c>
      <c r="B3668" t="s">
        <v>21372</v>
      </c>
      <c r="C3668" t="s">
        <v>2270</v>
      </c>
      <c r="D3668" t="s">
        <v>2271</v>
      </c>
      <c r="E3668" s="527" t="s">
        <v>21373</v>
      </c>
      <c r="F3668" s="220"/>
    </row>
    <row r="3669" spans="1:6" ht="14.4">
      <c r="A3669">
        <v>34721</v>
      </c>
      <c r="B3669" t="s">
        <v>21374</v>
      </c>
      <c r="C3669" t="s">
        <v>2270</v>
      </c>
      <c r="D3669" t="s">
        <v>2271</v>
      </c>
      <c r="E3669" s="527" t="s">
        <v>21375</v>
      </c>
      <c r="F3669" s="219"/>
    </row>
    <row r="3670" spans="1:6" ht="14.4">
      <c r="A3670">
        <v>4309</v>
      </c>
      <c r="B3670" t="s">
        <v>21376</v>
      </c>
      <c r="C3670" t="s">
        <v>2269</v>
      </c>
      <c r="D3670" t="s">
        <v>1857</v>
      </c>
      <c r="E3670" s="527" t="s">
        <v>5141</v>
      </c>
      <c r="F3670" s="220"/>
    </row>
    <row r="3671" spans="1:6" ht="14.4">
      <c r="A3671">
        <v>4307</v>
      </c>
      <c r="B3671" t="s">
        <v>21377</v>
      </c>
      <c r="C3671" t="s">
        <v>2269</v>
      </c>
      <c r="D3671" t="s">
        <v>1857</v>
      </c>
      <c r="E3671" s="527" t="s">
        <v>7471</v>
      </c>
      <c r="F3671" s="219"/>
    </row>
    <row r="3672" spans="1:6" ht="14.4">
      <c r="A3672">
        <v>10850</v>
      </c>
      <c r="B3672" t="s">
        <v>21378</v>
      </c>
      <c r="C3672" t="s">
        <v>2269</v>
      </c>
      <c r="D3672" t="s">
        <v>2271</v>
      </c>
      <c r="E3672" s="527" t="s">
        <v>15256</v>
      </c>
      <c r="F3672" s="220"/>
    </row>
    <row r="3673" spans="1:6" ht="14.4">
      <c r="A3673">
        <v>42438</v>
      </c>
      <c r="B3673" t="s">
        <v>21379</v>
      </c>
      <c r="C3673" t="s">
        <v>2269</v>
      </c>
      <c r="D3673" t="s">
        <v>2271</v>
      </c>
      <c r="E3673" s="527" t="s">
        <v>21380</v>
      </c>
      <c r="F3673" s="219"/>
    </row>
    <row r="3674" spans="1:6" ht="14.4">
      <c r="A3674">
        <v>4792</v>
      </c>
      <c r="B3674" t="s">
        <v>21381</v>
      </c>
      <c r="C3674" t="s">
        <v>2270</v>
      </c>
      <c r="D3674" t="s">
        <v>1857</v>
      </c>
      <c r="E3674" s="527" t="s">
        <v>21382</v>
      </c>
      <c r="F3674" s="220"/>
    </row>
    <row r="3675" spans="1:6" ht="14.4">
      <c r="A3675">
        <v>4790</v>
      </c>
      <c r="B3675" t="s">
        <v>21383</v>
      </c>
      <c r="C3675" t="s">
        <v>2270</v>
      </c>
      <c r="D3675" t="s">
        <v>2268</v>
      </c>
      <c r="E3675" s="527" t="s">
        <v>19775</v>
      </c>
      <c r="F3675" s="219"/>
    </row>
    <row r="3676" spans="1:6" ht="14.4">
      <c r="A3676">
        <v>40671</v>
      </c>
      <c r="B3676" t="s">
        <v>21384</v>
      </c>
      <c r="C3676" t="s">
        <v>2270</v>
      </c>
      <c r="D3676" t="s">
        <v>1857</v>
      </c>
      <c r="E3676" s="527" t="s">
        <v>21385</v>
      </c>
      <c r="F3676" s="220"/>
    </row>
    <row r="3677" spans="1:6" ht="14.4">
      <c r="A3677">
        <v>7552</v>
      </c>
      <c r="B3677" t="s">
        <v>21386</v>
      </c>
      <c r="C3677" t="s">
        <v>2269</v>
      </c>
      <c r="D3677" t="s">
        <v>2271</v>
      </c>
      <c r="E3677" s="527" t="s">
        <v>10225</v>
      </c>
      <c r="F3677" s="219"/>
    </row>
    <row r="3678" spans="1:6" ht="14.4">
      <c r="A3678">
        <v>4893</v>
      </c>
      <c r="B3678" t="s">
        <v>21387</v>
      </c>
      <c r="C3678" t="s">
        <v>2269</v>
      </c>
      <c r="D3678" t="s">
        <v>1857</v>
      </c>
      <c r="E3678" s="527" t="s">
        <v>4837</v>
      </c>
      <c r="F3678" s="220"/>
    </row>
    <row r="3679" spans="1:6" ht="14.4">
      <c r="A3679">
        <v>4894</v>
      </c>
      <c r="B3679" t="s">
        <v>21388</v>
      </c>
      <c r="C3679" t="s">
        <v>2269</v>
      </c>
      <c r="D3679" t="s">
        <v>1857</v>
      </c>
      <c r="E3679" s="527" t="s">
        <v>15545</v>
      </c>
      <c r="F3679" s="219"/>
    </row>
    <row r="3680" spans="1:6" ht="14.4">
      <c r="A3680">
        <v>4888</v>
      </c>
      <c r="B3680" t="s">
        <v>21389</v>
      </c>
      <c r="C3680" t="s">
        <v>2269</v>
      </c>
      <c r="D3680" t="s">
        <v>1857</v>
      </c>
      <c r="E3680" s="527" t="s">
        <v>3820</v>
      </c>
      <c r="F3680" s="220"/>
    </row>
    <row r="3681" spans="1:6" ht="14.4">
      <c r="A3681">
        <v>4890</v>
      </c>
      <c r="B3681" t="s">
        <v>21390</v>
      </c>
      <c r="C3681" t="s">
        <v>2269</v>
      </c>
      <c r="D3681" t="s">
        <v>1857</v>
      </c>
      <c r="E3681" s="527" t="s">
        <v>5405</v>
      </c>
      <c r="F3681" s="219"/>
    </row>
    <row r="3682" spans="1:6" ht="14.4">
      <c r="A3682">
        <v>12411</v>
      </c>
      <c r="B3682" t="s">
        <v>21391</v>
      </c>
      <c r="C3682" t="s">
        <v>2269</v>
      </c>
      <c r="D3682" t="s">
        <v>1857</v>
      </c>
      <c r="E3682" s="527" t="s">
        <v>10269</v>
      </c>
      <c r="F3682" s="220"/>
    </row>
    <row r="3683" spans="1:6" ht="14.4">
      <c r="A3683">
        <v>4891</v>
      </c>
      <c r="B3683" t="s">
        <v>21392</v>
      </c>
      <c r="C3683" t="s">
        <v>2269</v>
      </c>
      <c r="D3683" t="s">
        <v>1857</v>
      </c>
      <c r="E3683" s="527" t="s">
        <v>9498</v>
      </c>
      <c r="F3683" s="219"/>
    </row>
    <row r="3684" spans="1:6" ht="14.4">
      <c r="A3684">
        <v>4889</v>
      </c>
      <c r="B3684" t="s">
        <v>21393</v>
      </c>
      <c r="C3684" t="s">
        <v>2269</v>
      </c>
      <c r="D3684" t="s">
        <v>1857</v>
      </c>
      <c r="E3684" s="527" t="s">
        <v>7357</v>
      </c>
      <c r="F3684" s="220"/>
    </row>
    <row r="3685" spans="1:6" ht="14.4">
      <c r="A3685">
        <v>4892</v>
      </c>
      <c r="B3685" t="s">
        <v>21394</v>
      </c>
      <c r="C3685" t="s">
        <v>2269</v>
      </c>
      <c r="D3685" t="s">
        <v>1857</v>
      </c>
      <c r="E3685" s="527" t="s">
        <v>10765</v>
      </c>
      <c r="F3685" s="219"/>
    </row>
    <row r="3686" spans="1:6" ht="14.4">
      <c r="A3686">
        <v>12412</v>
      </c>
      <c r="B3686" t="s">
        <v>21395</v>
      </c>
      <c r="C3686" t="s">
        <v>2269</v>
      </c>
      <c r="D3686" t="s">
        <v>1857</v>
      </c>
      <c r="E3686" s="527" t="s">
        <v>15546</v>
      </c>
      <c r="F3686" s="220"/>
    </row>
    <row r="3687" spans="1:6" ht="14.4">
      <c r="A3687">
        <v>11073</v>
      </c>
      <c r="B3687" t="s">
        <v>21396</v>
      </c>
      <c r="C3687" t="s">
        <v>2269</v>
      </c>
      <c r="D3687" t="s">
        <v>1857</v>
      </c>
      <c r="E3687" s="527" t="s">
        <v>3593</v>
      </c>
      <c r="F3687" s="219"/>
    </row>
    <row r="3688" spans="1:6" ht="14.4">
      <c r="A3688">
        <v>11071</v>
      </c>
      <c r="B3688" t="s">
        <v>21397</v>
      </c>
      <c r="C3688" t="s">
        <v>2269</v>
      </c>
      <c r="D3688" t="s">
        <v>1857</v>
      </c>
      <c r="E3688" s="527" t="s">
        <v>11817</v>
      </c>
      <c r="F3688" s="220"/>
    </row>
    <row r="3689" spans="1:6" ht="14.4">
      <c r="A3689">
        <v>11072</v>
      </c>
      <c r="B3689" t="s">
        <v>21398</v>
      </c>
      <c r="C3689" t="s">
        <v>2269</v>
      </c>
      <c r="D3689" t="s">
        <v>1857</v>
      </c>
      <c r="E3689" s="527" t="s">
        <v>15815</v>
      </c>
      <c r="F3689" s="219"/>
    </row>
    <row r="3690" spans="1:6" ht="14.4">
      <c r="A3690">
        <v>4895</v>
      </c>
      <c r="B3690" t="s">
        <v>21399</v>
      </c>
      <c r="C3690" t="s">
        <v>2269</v>
      </c>
      <c r="D3690" t="s">
        <v>1857</v>
      </c>
      <c r="E3690" s="527" t="s">
        <v>15846</v>
      </c>
      <c r="F3690" s="220"/>
    </row>
    <row r="3691" spans="1:6" ht="14.4">
      <c r="A3691">
        <v>4907</v>
      </c>
      <c r="B3691" t="s">
        <v>21400</v>
      </c>
      <c r="C3691" t="s">
        <v>2269</v>
      </c>
      <c r="D3691" t="s">
        <v>2271</v>
      </c>
      <c r="E3691" s="527" t="s">
        <v>11640</v>
      </c>
      <c r="F3691" s="219"/>
    </row>
    <row r="3692" spans="1:6" ht="14.4">
      <c r="A3692">
        <v>4902</v>
      </c>
      <c r="B3692" t="s">
        <v>21401</v>
      </c>
      <c r="C3692" t="s">
        <v>2269</v>
      </c>
      <c r="D3692" t="s">
        <v>2271</v>
      </c>
      <c r="E3692" s="527" t="s">
        <v>15547</v>
      </c>
      <c r="F3692" s="220"/>
    </row>
    <row r="3693" spans="1:6" ht="14.4">
      <c r="A3693">
        <v>4908</v>
      </c>
      <c r="B3693" t="s">
        <v>21402</v>
      </c>
      <c r="C3693" t="s">
        <v>2269</v>
      </c>
      <c r="D3693" t="s">
        <v>2271</v>
      </c>
      <c r="E3693" s="527" t="s">
        <v>15548</v>
      </c>
      <c r="F3693" s="219"/>
    </row>
    <row r="3694" spans="1:6" ht="14.4">
      <c r="A3694">
        <v>4909</v>
      </c>
      <c r="B3694" t="s">
        <v>21403</v>
      </c>
      <c r="C3694" t="s">
        <v>2269</v>
      </c>
      <c r="D3694" t="s">
        <v>2271</v>
      </c>
      <c r="E3694" s="527" t="s">
        <v>15549</v>
      </c>
      <c r="F3694" s="220"/>
    </row>
    <row r="3695" spans="1:6" ht="14.4">
      <c r="A3695">
        <v>4903</v>
      </c>
      <c r="B3695" t="s">
        <v>21404</v>
      </c>
      <c r="C3695" t="s">
        <v>2269</v>
      </c>
      <c r="D3695" t="s">
        <v>2271</v>
      </c>
      <c r="E3695" s="527" t="s">
        <v>15550</v>
      </c>
      <c r="F3695" s="219"/>
    </row>
    <row r="3696" spans="1:6" ht="14.4">
      <c r="A3696">
        <v>4897</v>
      </c>
      <c r="B3696" t="s">
        <v>21405</v>
      </c>
      <c r="C3696" t="s">
        <v>2269</v>
      </c>
      <c r="D3696" t="s">
        <v>1857</v>
      </c>
      <c r="E3696" s="527" t="s">
        <v>3958</v>
      </c>
      <c r="F3696" s="220"/>
    </row>
    <row r="3697" spans="1:8" ht="14.4">
      <c r="A3697">
        <v>4896</v>
      </c>
      <c r="B3697" t="s">
        <v>21406</v>
      </c>
      <c r="C3697" t="s">
        <v>2269</v>
      </c>
      <c r="D3697" t="s">
        <v>1857</v>
      </c>
      <c r="E3697" s="527" t="s">
        <v>3164</v>
      </c>
      <c r="F3697" s="219"/>
    </row>
    <row r="3698" spans="1:8" ht="14.4">
      <c r="A3698">
        <v>4900</v>
      </c>
      <c r="B3698" t="s">
        <v>21407</v>
      </c>
      <c r="C3698" t="s">
        <v>2269</v>
      </c>
      <c r="D3698" t="s">
        <v>1857</v>
      </c>
      <c r="E3698" s="527" t="s">
        <v>10036</v>
      </c>
      <c r="F3698" s="220"/>
    </row>
    <row r="3699" spans="1:8" ht="14.4">
      <c r="A3699">
        <v>4898</v>
      </c>
      <c r="B3699" t="s">
        <v>21408</v>
      </c>
      <c r="C3699" t="s">
        <v>2269</v>
      </c>
      <c r="D3699" t="s">
        <v>1857</v>
      </c>
      <c r="E3699" s="527" t="s">
        <v>9919</v>
      </c>
      <c r="F3699" s="219"/>
      <c r="H3699">
        <f>625*625</f>
        <v>390625</v>
      </c>
    </row>
    <row r="3700" spans="1:8" ht="14.4">
      <c r="A3700">
        <v>4899</v>
      </c>
      <c r="B3700" t="s">
        <v>21409</v>
      </c>
      <c r="C3700" t="s">
        <v>2269</v>
      </c>
      <c r="D3700" t="s">
        <v>1857</v>
      </c>
      <c r="E3700" s="527" t="s">
        <v>11441</v>
      </c>
      <c r="F3700" s="220"/>
    </row>
    <row r="3701" spans="1:8" ht="14.4">
      <c r="A3701">
        <v>11096</v>
      </c>
      <c r="B3701" t="s">
        <v>21410</v>
      </c>
      <c r="C3701" t="s">
        <v>2274</v>
      </c>
      <c r="D3701" t="s">
        <v>1857</v>
      </c>
      <c r="E3701" s="527" t="s">
        <v>3883</v>
      </c>
      <c r="F3701" s="219"/>
    </row>
    <row r="3702" spans="1:8" ht="14.4">
      <c r="A3702">
        <v>4741</v>
      </c>
      <c r="B3702" t="s">
        <v>21411</v>
      </c>
      <c r="C3702" t="s">
        <v>2272</v>
      </c>
      <c r="D3702" t="s">
        <v>1857</v>
      </c>
      <c r="E3702" s="527" t="s">
        <v>15951</v>
      </c>
      <c r="F3702" s="220"/>
    </row>
    <row r="3703" spans="1:8" ht="14.4">
      <c r="A3703">
        <v>4752</v>
      </c>
      <c r="B3703" t="s">
        <v>21412</v>
      </c>
      <c r="C3703" t="s">
        <v>2267</v>
      </c>
      <c r="D3703" t="s">
        <v>1857</v>
      </c>
      <c r="E3703" s="527" t="s">
        <v>5375</v>
      </c>
      <c r="F3703" s="219"/>
    </row>
    <row r="3704" spans="1:8" ht="14.4">
      <c r="A3704">
        <v>41091</v>
      </c>
      <c r="B3704" t="s">
        <v>21413</v>
      </c>
      <c r="C3704" t="s">
        <v>2276</v>
      </c>
      <c r="D3704" t="s">
        <v>1857</v>
      </c>
      <c r="E3704" s="527" t="s">
        <v>21414</v>
      </c>
      <c r="F3704" s="220"/>
    </row>
    <row r="3705" spans="1:8" ht="14.4">
      <c r="A3705">
        <v>13954</v>
      </c>
      <c r="B3705" t="s">
        <v>21415</v>
      </c>
      <c r="C3705" t="s">
        <v>2269</v>
      </c>
      <c r="D3705" t="s">
        <v>2271</v>
      </c>
      <c r="E3705" s="527" t="s">
        <v>15551</v>
      </c>
      <c r="F3705" s="219"/>
    </row>
    <row r="3706" spans="1:8" ht="14.4">
      <c r="A3706">
        <v>3411</v>
      </c>
      <c r="B3706" t="s">
        <v>21416</v>
      </c>
      <c r="C3706" t="s">
        <v>2274</v>
      </c>
      <c r="D3706" t="s">
        <v>1857</v>
      </c>
      <c r="E3706" s="527" t="s">
        <v>9998</v>
      </c>
      <c r="F3706" s="220"/>
    </row>
    <row r="3707" spans="1:8" ht="14.4">
      <c r="A3707">
        <v>39995</v>
      </c>
      <c r="B3707" t="s">
        <v>21417</v>
      </c>
      <c r="C3707" t="s">
        <v>2272</v>
      </c>
      <c r="D3707" t="s">
        <v>1857</v>
      </c>
      <c r="E3707" s="527" t="s">
        <v>15552</v>
      </c>
      <c r="F3707" s="219"/>
    </row>
    <row r="3708" spans="1:8" ht="14.4">
      <c r="A3708">
        <v>11615</v>
      </c>
      <c r="B3708" t="s">
        <v>21418</v>
      </c>
      <c r="C3708" t="s">
        <v>2270</v>
      </c>
      <c r="D3708" t="s">
        <v>1857</v>
      </c>
      <c r="E3708" s="527" t="s">
        <v>9472</v>
      </c>
      <c r="F3708" s="220"/>
    </row>
    <row r="3709" spans="1:8" ht="14.4">
      <c r="A3709">
        <v>3408</v>
      </c>
      <c r="B3709" t="s">
        <v>21419</v>
      </c>
      <c r="C3709" t="s">
        <v>2270</v>
      </c>
      <c r="D3709" t="s">
        <v>2268</v>
      </c>
      <c r="E3709" s="527" t="s">
        <v>5908</v>
      </c>
      <c r="F3709" s="219"/>
    </row>
    <row r="3710" spans="1:8" ht="14.4">
      <c r="A3710">
        <v>3409</v>
      </c>
      <c r="B3710" t="s">
        <v>21420</v>
      </c>
      <c r="C3710" t="s">
        <v>2270</v>
      </c>
      <c r="D3710" t="s">
        <v>1857</v>
      </c>
      <c r="E3710" s="527" t="s">
        <v>15553</v>
      </c>
      <c r="F3710" s="220"/>
    </row>
    <row r="3711" spans="1:8" ht="14.4">
      <c r="A3711">
        <v>11427</v>
      </c>
      <c r="B3711" t="s">
        <v>21421</v>
      </c>
      <c r="C3711" t="s">
        <v>2274</v>
      </c>
      <c r="D3711" t="s">
        <v>2271</v>
      </c>
      <c r="E3711" s="527" t="s">
        <v>15554</v>
      </c>
      <c r="F3711" s="219"/>
    </row>
    <row r="3712" spans="1:8" ht="14.4">
      <c r="A3712">
        <v>4491</v>
      </c>
      <c r="B3712" t="s">
        <v>21422</v>
      </c>
      <c r="C3712" t="s">
        <v>2273</v>
      </c>
      <c r="D3712" t="s">
        <v>1857</v>
      </c>
      <c r="E3712" s="527" t="s">
        <v>4611</v>
      </c>
      <c r="F3712" s="220"/>
    </row>
    <row r="3713" spans="1:6" ht="14.4">
      <c r="A3713">
        <v>2745</v>
      </c>
      <c r="B3713" t="s">
        <v>21423</v>
      </c>
      <c r="C3713" t="s">
        <v>2273</v>
      </c>
      <c r="D3713" t="s">
        <v>2271</v>
      </c>
      <c r="E3713" s="527" t="s">
        <v>3828</v>
      </c>
      <c r="F3713" s="219"/>
    </row>
    <row r="3714" spans="1:6" ht="14.4">
      <c r="A3714">
        <v>14439</v>
      </c>
      <c r="B3714" t="s">
        <v>21424</v>
      </c>
      <c r="C3714" t="s">
        <v>2273</v>
      </c>
      <c r="D3714" t="s">
        <v>2271</v>
      </c>
      <c r="E3714" s="527" t="s">
        <v>10014</v>
      </c>
      <c r="F3714" s="220"/>
    </row>
    <row r="3715" spans="1:6" ht="14.4">
      <c r="A3715">
        <v>26022</v>
      </c>
      <c r="B3715" t="s">
        <v>21425</v>
      </c>
      <c r="C3715" t="s">
        <v>2269</v>
      </c>
      <c r="D3715" t="s">
        <v>1857</v>
      </c>
      <c r="E3715" s="527" t="s">
        <v>15555</v>
      </c>
      <c r="F3715" s="219"/>
    </row>
    <row r="3716" spans="1:6" ht="14.4">
      <c r="A3716">
        <v>12362</v>
      </c>
      <c r="B3716" t="s">
        <v>21426</v>
      </c>
      <c r="C3716" t="s">
        <v>2269</v>
      </c>
      <c r="D3716" t="s">
        <v>1857</v>
      </c>
      <c r="E3716" s="527" t="s">
        <v>9889</v>
      </c>
      <c r="F3716" s="220"/>
    </row>
    <row r="3717" spans="1:6" ht="14.4">
      <c r="A3717">
        <v>421</v>
      </c>
      <c r="B3717" t="s">
        <v>21427</v>
      </c>
      <c r="C3717" t="s">
        <v>2269</v>
      </c>
      <c r="D3717" t="s">
        <v>2271</v>
      </c>
      <c r="E3717" s="527" t="s">
        <v>4960</v>
      </c>
      <c r="F3717" s="219"/>
    </row>
    <row r="3718" spans="1:6" ht="14.4">
      <c r="A3718">
        <v>14148</v>
      </c>
      <c r="B3718" t="s">
        <v>21428</v>
      </c>
      <c r="C3718" t="s">
        <v>2269</v>
      </c>
      <c r="D3718" t="s">
        <v>2271</v>
      </c>
      <c r="E3718" s="527" t="s">
        <v>7275</v>
      </c>
      <c r="F3718" s="220"/>
    </row>
    <row r="3719" spans="1:6" ht="14.4">
      <c r="A3719">
        <v>4341</v>
      </c>
      <c r="B3719" t="s">
        <v>21429</v>
      </c>
      <c r="C3719" t="s">
        <v>2269</v>
      </c>
      <c r="D3719" t="s">
        <v>2271</v>
      </c>
      <c r="E3719" s="527" t="s">
        <v>2990</v>
      </c>
      <c r="F3719" s="219"/>
    </row>
    <row r="3720" spans="1:6" ht="14.4">
      <c r="A3720">
        <v>4337</v>
      </c>
      <c r="B3720" t="s">
        <v>21430</v>
      </c>
      <c r="C3720" t="s">
        <v>2269</v>
      </c>
      <c r="D3720" t="s">
        <v>2271</v>
      </c>
      <c r="E3720" s="527" t="s">
        <v>3098</v>
      </c>
      <c r="F3720" s="220"/>
    </row>
    <row r="3721" spans="1:6" ht="14.4">
      <c r="A3721">
        <v>4339</v>
      </c>
      <c r="B3721" t="s">
        <v>21431</v>
      </c>
      <c r="C3721" t="s">
        <v>2269</v>
      </c>
      <c r="D3721" t="s">
        <v>2271</v>
      </c>
      <c r="E3721" s="527" t="s">
        <v>3603</v>
      </c>
      <c r="F3721" s="219"/>
    </row>
    <row r="3722" spans="1:6" ht="14.4">
      <c r="A3722">
        <v>39997</v>
      </c>
      <c r="B3722" t="s">
        <v>21432</v>
      </c>
      <c r="C3722" t="s">
        <v>2269</v>
      </c>
      <c r="D3722" t="s">
        <v>2271</v>
      </c>
      <c r="E3722" s="527" t="s">
        <v>3313</v>
      </c>
      <c r="F3722" s="220"/>
    </row>
    <row r="3723" spans="1:6" ht="14.4">
      <c r="A3723">
        <v>11971</v>
      </c>
      <c r="B3723" t="s">
        <v>21433</v>
      </c>
      <c r="C3723" t="s">
        <v>2269</v>
      </c>
      <c r="D3723" t="s">
        <v>2271</v>
      </c>
      <c r="E3723" s="527" t="s">
        <v>7465</v>
      </c>
      <c r="F3723" s="219"/>
    </row>
    <row r="3724" spans="1:6" ht="14.4">
      <c r="A3724">
        <v>4342</v>
      </c>
      <c r="B3724" t="s">
        <v>21434</v>
      </c>
      <c r="C3724" t="s">
        <v>2269</v>
      </c>
      <c r="D3724" t="s">
        <v>2271</v>
      </c>
      <c r="E3724" s="527" t="s">
        <v>3432</v>
      </c>
      <c r="F3724" s="220"/>
    </row>
    <row r="3725" spans="1:6" ht="14.4">
      <c r="A3725">
        <v>4330</v>
      </c>
      <c r="B3725" t="s">
        <v>21435</v>
      </c>
      <c r="C3725" t="s">
        <v>2269</v>
      </c>
      <c r="D3725" t="s">
        <v>2271</v>
      </c>
      <c r="E3725" s="527" t="s">
        <v>3558</v>
      </c>
      <c r="F3725" s="219"/>
    </row>
    <row r="3726" spans="1:6" ht="14.4">
      <c r="A3726">
        <v>4340</v>
      </c>
      <c r="B3726" t="s">
        <v>21436</v>
      </c>
      <c r="C3726" t="s">
        <v>2269</v>
      </c>
      <c r="D3726" t="s">
        <v>2271</v>
      </c>
      <c r="E3726" s="527" t="s">
        <v>3834</v>
      </c>
      <c r="F3726" s="220"/>
    </row>
    <row r="3727" spans="1:6" ht="14.4">
      <c r="A3727">
        <v>5088</v>
      </c>
      <c r="B3727" t="s">
        <v>21437</v>
      </c>
      <c r="C3727" t="s">
        <v>2269</v>
      </c>
      <c r="D3727" t="s">
        <v>1857</v>
      </c>
      <c r="E3727" s="527" t="s">
        <v>4568</v>
      </c>
      <c r="F3727" s="219"/>
    </row>
    <row r="3728" spans="1:6" ht="14.4">
      <c r="A3728">
        <v>11154</v>
      </c>
      <c r="B3728" t="s">
        <v>21438</v>
      </c>
      <c r="C3728" t="s">
        <v>2269</v>
      </c>
      <c r="D3728" t="s">
        <v>2271</v>
      </c>
      <c r="E3728" s="527" t="s">
        <v>21439</v>
      </c>
      <c r="F3728" s="220"/>
    </row>
    <row r="3729" spans="1:6" ht="14.4">
      <c r="A3729">
        <v>4989</v>
      </c>
      <c r="B3729" t="s">
        <v>21440</v>
      </c>
      <c r="C3729" t="s">
        <v>2269</v>
      </c>
      <c r="D3729" t="s">
        <v>1857</v>
      </c>
      <c r="E3729" s="527" t="s">
        <v>21441</v>
      </c>
      <c r="F3729" s="219"/>
    </row>
    <row r="3730" spans="1:6" ht="14.4">
      <c r="A3730">
        <v>4982</v>
      </c>
      <c r="B3730" t="s">
        <v>21442</v>
      </c>
      <c r="C3730" t="s">
        <v>2269</v>
      </c>
      <c r="D3730" t="s">
        <v>1857</v>
      </c>
      <c r="E3730" s="527" t="s">
        <v>21443</v>
      </c>
      <c r="F3730" s="220"/>
    </row>
    <row r="3731" spans="1:6" ht="14.4">
      <c r="A3731">
        <v>4962</v>
      </c>
      <c r="B3731" t="s">
        <v>21444</v>
      </c>
      <c r="C3731" t="s">
        <v>2269</v>
      </c>
      <c r="D3731" t="s">
        <v>1857</v>
      </c>
      <c r="E3731" s="527" t="s">
        <v>21445</v>
      </c>
      <c r="F3731" s="219"/>
    </row>
    <row r="3732" spans="1:6" ht="14.4">
      <c r="A3732">
        <v>4981</v>
      </c>
      <c r="B3732" t="s">
        <v>21446</v>
      </c>
      <c r="C3732" t="s">
        <v>2269</v>
      </c>
      <c r="D3732" t="s">
        <v>2268</v>
      </c>
      <c r="E3732" s="527" t="s">
        <v>21447</v>
      </c>
      <c r="F3732" s="220"/>
    </row>
    <row r="3733" spans="1:6" ht="14.4">
      <c r="A3733">
        <v>4964</v>
      </c>
      <c r="B3733" t="s">
        <v>21448</v>
      </c>
      <c r="C3733" t="s">
        <v>2269</v>
      </c>
      <c r="D3733" t="s">
        <v>1857</v>
      </c>
      <c r="E3733" s="527" t="s">
        <v>16302</v>
      </c>
      <c r="F3733" s="219"/>
    </row>
    <row r="3734" spans="1:6" ht="14.4">
      <c r="A3734">
        <v>4992</v>
      </c>
      <c r="B3734" t="s">
        <v>21449</v>
      </c>
      <c r="C3734" t="s">
        <v>2269</v>
      </c>
      <c r="D3734" t="s">
        <v>1857</v>
      </c>
      <c r="E3734" s="527" t="s">
        <v>21450</v>
      </c>
      <c r="F3734" s="220"/>
    </row>
    <row r="3735" spans="1:6" ht="14.4">
      <c r="A3735">
        <v>4987</v>
      </c>
      <c r="B3735" t="s">
        <v>21451</v>
      </c>
      <c r="C3735" t="s">
        <v>2269</v>
      </c>
      <c r="D3735" t="s">
        <v>1857</v>
      </c>
      <c r="E3735" s="527" t="s">
        <v>21452</v>
      </c>
      <c r="F3735" s="219"/>
    </row>
    <row r="3736" spans="1:6" ht="14.4">
      <c r="A3736">
        <v>39021</v>
      </c>
      <c r="B3736" t="s">
        <v>21453</v>
      </c>
      <c r="C3736" t="s">
        <v>2269</v>
      </c>
      <c r="D3736" t="s">
        <v>2271</v>
      </c>
      <c r="E3736" s="527" t="s">
        <v>21454</v>
      </c>
      <c r="F3736" s="220"/>
    </row>
    <row r="3737" spans="1:6" ht="14.4">
      <c r="A3737">
        <v>39022</v>
      </c>
      <c r="B3737" t="s">
        <v>21455</v>
      </c>
      <c r="C3737" t="s">
        <v>2269</v>
      </c>
      <c r="D3737" t="s">
        <v>2271</v>
      </c>
      <c r="E3737" s="527" t="s">
        <v>21456</v>
      </c>
      <c r="F3737" s="219"/>
    </row>
    <row r="3738" spans="1:6" ht="14.4">
      <c r="A3738">
        <v>39024</v>
      </c>
      <c r="B3738" t="s">
        <v>21457</v>
      </c>
      <c r="C3738" t="s">
        <v>2269</v>
      </c>
      <c r="D3738" t="s">
        <v>2271</v>
      </c>
      <c r="E3738" s="527" t="s">
        <v>21458</v>
      </c>
      <c r="F3738" s="220"/>
    </row>
    <row r="3739" spans="1:6" ht="14.4">
      <c r="A3739">
        <v>4914</v>
      </c>
      <c r="B3739" t="s">
        <v>21459</v>
      </c>
      <c r="C3739" t="s">
        <v>2270</v>
      </c>
      <c r="D3739" t="s">
        <v>2271</v>
      </c>
      <c r="E3739" s="527" t="s">
        <v>21460</v>
      </c>
      <c r="F3739" s="219"/>
    </row>
    <row r="3740" spans="1:6" ht="14.4">
      <c r="A3740">
        <v>4917</v>
      </c>
      <c r="B3740" t="s">
        <v>21461</v>
      </c>
      <c r="C3740" t="s">
        <v>2270</v>
      </c>
      <c r="D3740" t="s">
        <v>2271</v>
      </c>
      <c r="E3740" s="527" t="s">
        <v>21462</v>
      </c>
      <c r="F3740" s="220"/>
    </row>
    <row r="3741" spans="1:6" ht="14.4">
      <c r="A3741">
        <v>39025</v>
      </c>
      <c r="B3741" t="s">
        <v>21463</v>
      </c>
      <c r="C3741" t="s">
        <v>2269</v>
      </c>
      <c r="D3741" t="s">
        <v>2271</v>
      </c>
      <c r="E3741" s="527" t="s">
        <v>21464</v>
      </c>
      <c r="F3741" s="219"/>
    </row>
    <row r="3742" spans="1:6" ht="14.4">
      <c r="A3742">
        <v>4930</v>
      </c>
      <c r="B3742" t="s">
        <v>21465</v>
      </c>
      <c r="C3742" t="s">
        <v>2270</v>
      </c>
      <c r="D3742" t="s">
        <v>2271</v>
      </c>
      <c r="E3742" s="527" t="s">
        <v>21466</v>
      </c>
      <c r="F3742" s="220"/>
    </row>
    <row r="3743" spans="1:6" ht="14.4">
      <c r="A3743">
        <v>4922</v>
      </c>
      <c r="B3743" t="s">
        <v>21467</v>
      </c>
      <c r="C3743" t="s">
        <v>2270</v>
      </c>
      <c r="D3743" t="s">
        <v>2271</v>
      </c>
      <c r="E3743" s="527" t="s">
        <v>21468</v>
      </c>
      <c r="F3743" s="219"/>
    </row>
    <row r="3744" spans="1:6" ht="14.4">
      <c r="A3744">
        <v>4911</v>
      </c>
      <c r="B3744" t="s">
        <v>21469</v>
      </c>
      <c r="C3744" t="s">
        <v>2270</v>
      </c>
      <c r="D3744" t="s">
        <v>1857</v>
      </c>
      <c r="E3744" s="527" t="s">
        <v>21470</v>
      </c>
      <c r="F3744" s="220"/>
    </row>
    <row r="3745" spans="1:6" ht="14.4">
      <c r="A3745">
        <v>37518</v>
      </c>
      <c r="B3745" t="s">
        <v>21471</v>
      </c>
      <c r="C3745" t="s">
        <v>2270</v>
      </c>
      <c r="D3745" t="s">
        <v>1857</v>
      </c>
      <c r="E3745" s="527" t="s">
        <v>21472</v>
      </c>
      <c r="F3745" s="219"/>
    </row>
    <row r="3746" spans="1:6" ht="14.4">
      <c r="A3746">
        <v>4910</v>
      </c>
      <c r="B3746" t="s">
        <v>21473</v>
      </c>
      <c r="C3746" t="s">
        <v>2270</v>
      </c>
      <c r="D3746" t="s">
        <v>1857</v>
      </c>
      <c r="E3746" s="527" t="s">
        <v>21474</v>
      </c>
      <c r="F3746" s="220"/>
    </row>
    <row r="3747" spans="1:6" ht="14.4">
      <c r="A3747">
        <v>4943</v>
      </c>
      <c r="B3747" t="s">
        <v>21475</v>
      </c>
      <c r="C3747" t="s">
        <v>2270</v>
      </c>
      <c r="D3747" t="s">
        <v>1857</v>
      </c>
      <c r="E3747" s="527" t="s">
        <v>21476</v>
      </c>
      <c r="F3747" s="219"/>
    </row>
    <row r="3748" spans="1:6" ht="14.4">
      <c r="A3748">
        <v>5002</v>
      </c>
      <c r="B3748" t="s">
        <v>21477</v>
      </c>
      <c r="C3748" t="s">
        <v>2270</v>
      </c>
      <c r="D3748" t="s">
        <v>2271</v>
      </c>
      <c r="E3748" s="527" t="s">
        <v>15556</v>
      </c>
      <c r="F3748" s="220"/>
    </row>
    <row r="3749" spans="1:6" ht="14.4">
      <c r="A3749">
        <v>4977</v>
      </c>
      <c r="B3749" t="s">
        <v>21478</v>
      </c>
      <c r="C3749" t="s">
        <v>2270</v>
      </c>
      <c r="D3749" t="s">
        <v>2271</v>
      </c>
      <c r="E3749" s="527" t="s">
        <v>15557</v>
      </c>
      <c r="F3749" s="219"/>
    </row>
    <row r="3750" spans="1:6" ht="14.4">
      <c r="A3750">
        <v>5028</v>
      </c>
      <c r="B3750" t="s">
        <v>21479</v>
      </c>
      <c r="C3750" t="s">
        <v>2270</v>
      </c>
      <c r="D3750" t="s">
        <v>2271</v>
      </c>
      <c r="E3750" s="527" t="s">
        <v>15558</v>
      </c>
      <c r="F3750" s="220"/>
    </row>
    <row r="3751" spans="1:6" ht="14.4">
      <c r="A3751">
        <v>4998</v>
      </c>
      <c r="B3751" t="s">
        <v>21480</v>
      </c>
      <c r="C3751" t="s">
        <v>2270</v>
      </c>
      <c r="D3751" t="s">
        <v>2271</v>
      </c>
      <c r="E3751" s="527" t="s">
        <v>15559</v>
      </c>
      <c r="F3751" s="219"/>
    </row>
    <row r="3752" spans="1:6" ht="14.4">
      <c r="A3752">
        <v>4969</v>
      </c>
      <c r="B3752" t="s">
        <v>21481</v>
      </c>
      <c r="C3752" t="s">
        <v>2270</v>
      </c>
      <c r="D3752" t="s">
        <v>2271</v>
      </c>
      <c r="E3752" s="527" t="s">
        <v>15560</v>
      </c>
      <c r="F3752" s="220"/>
    </row>
    <row r="3753" spans="1:6" ht="14.4">
      <c r="A3753">
        <v>11364</v>
      </c>
      <c r="B3753" t="s">
        <v>21482</v>
      </c>
      <c r="C3753" t="s">
        <v>2269</v>
      </c>
      <c r="D3753" t="s">
        <v>1857</v>
      </c>
      <c r="E3753" s="527" t="s">
        <v>16476</v>
      </c>
      <c r="F3753" s="219"/>
    </row>
    <row r="3754" spans="1:6" ht="14.4">
      <c r="A3754">
        <v>11365</v>
      </c>
      <c r="B3754" t="s">
        <v>21483</v>
      </c>
      <c r="C3754" t="s">
        <v>2269</v>
      </c>
      <c r="D3754" t="s">
        <v>1857</v>
      </c>
      <c r="E3754" s="527" t="s">
        <v>21484</v>
      </c>
      <c r="F3754" s="220"/>
    </row>
    <row r="3755" spans="1:6" ht="14.4">
      <c r="A3755">
        <v>11366</v>
      </c>
      <c r="B3755" t="s">
        <v>21485</v>
      </c>
      <c r="C3755" t="s">
        <v>2269</v>
      </c>
      <c r="D3755" t="s">
        <v>1857</v>
      </c>
      <c r="E3755" s="527" t="s">
        <v>21486</v>
      </c>
      <c r="F3755" s="219"/>
    </row>
    <row r="3756" spans="1:6" ht="14.4">
      <c r="A3756">
        <v>43777</v>
      </c>
      <c r="B3756" t="s">
        <v>21487</v>
      </c>
      <c r="C3756" t="s">
        <v>2269</v>
      </c>
      <c r="D3756" t="s">
        <v>1857</v>
      </c>
      <c r="E3756" s="527" t="s">
        <v>21488</v>
      </c>
      <c r="F3756" s="220"/>
    </row>
    <row r="3757" spans="1:6" ht="14.4">
      <c r="A3757">
        <v>20322</v>
      </c>
      <c r="B3757" t="s">
        <v>21489</v>
      </c>
      <c r="C3757" t="s">
        <v>2269</v>
      </c>
      <c r="D3757" t="s">
        <v>1857</v>
      </c>
      <c r="E3757" s="527" t="s">
        <v>21490</v>
      </c>
      <c r="F3757" s="219"/>
    </row>
    <row r="3758" spans="1:6" ht="14.4">
      <c r="A3758">
        <v>10553</v>
      </c>
      <c r="B3758" t="s">
        <v>21491</v>
      </c>
      <c r="C3758" t="s">
        <v>2269</v>
      </c>
      <c r="D3758" t="s">
        <v>1857</v>
      </c>
      <c r="E3758" s="527" t="s">
        <v>21492</v>
      </c>
      <c r="F3758" s="220"/>
    </row>
    <row r="3759" spans="1:6" ht="14.4">
      <c r="A3759">
        <v>5020</v>
      </c>
      <c r="B3759" t="s">
        <v>21493</v>
      </c>
      <c r="C3759" t="s">
        <v>2269</v>
      </c>
      <c r="D3759" t="s">
        <v>1857</v>
      </c>
      <c r="E3759" s="527" t="s">
        <v>21494</v>
      </c>
      <c r="F3759" s="219"/>
    </row>
    <row r="3760" spans="1:6" ht="14.4">
      <c r="A3760">
        <v>10554</v>
      </c>
      <c r="B3760" t="s">
        <v>21495</v>
      </c>
      <c r="C3760" t="s">
        <v>2269</v>
      </c>
      <c r="D3760" t="s">
        <v>1857</v>
      </c>
      <c r="E3760" s="527" t="s">
        <v>10387</v>
      </c>
      <c r="F3760" s="220"/>
    </row>
    <row r="3761" spans="1:6" ht="14.4">
      <c r="A3761">
        <v>10555</v>
      </c>
      <c r="B3761" t="s">
        <v>21496</v>
      </c>
      <c r="C3761" t="s">
        <v>2269</v>
      </c>
      <c r="D3761" t="s">
        <v>1857</v>
      </c>
      <c r="E3761" s="527" t="s">
        <v>21497</v>
      </c>
      <c r="F3761" s="219"/>
    </row>
    <row r="3762" spans="1:6" ht="14.4">
      <c r="A3762">
        <v>10556</v>
      </c>
      <c r="B3762" t="s">
        <v>21498</v>
      </c>
      <c r="C3762" t="s">
        <v>2269</v>
      </c>
      <c r="D3762" t="s">
        <v>1857</v>
      </c>
      <c r="E3762" s="527" t="s">
        <v>21499</v>
      </c>
      <c r="F3762" s="220"/>
    </row>
    <row r="3763" spans="1:6" ht="14.4">
      <c r="A3763">
        <v>39502</v>
      </c>
      <c r="B3763" t="s">
        <v>21500</v>
      </c>
      <c r="C3763" t="s">
        <v>2269</v>
      </c>
      <c r="D3763" t="s">
        <v>1857</v>
      </c>
      <c r="E3763" s="527" t="s">
        <v>21501</v>
      </c>
      <c r="F3763" s="219"/>
    </row>
    <row r="3764" spans="1:6" ht="14.4">
      <c r="A3764">
        <v>39504</v>
      </c>
      <c r="B3764" t="s">
        <v>21502</v>
      </c>
      <c r="C3764" t="s">
        <v>2269</v>
      </c>
      <c r="D3764" t="s">
        <v>1857</v>
      </c>
      <c r="E3764" s="527" t="s">
        <v>21503</v>
      </c>
      <c r="F3764" s="220"/>
    </row>
    <row r="3765" spans="1:6" ht="14.4">
      <c r="A3765">
        <v>39503</v>
      </c>
      <c r="B3765" t="s">
        <v>21504</v>
      </c>
      <c r="C3765" t="s">
        <v>2269</v>
      </c>
      <c r="D3765" t="s">
        <v>1857</v>
      </c>
      <c r="E3765" s="527" t="s">
        <v>21505</v>
      </c>
      <c r="F3765" s="219"/>
    </row>
    <row r="3766" spans="1:6" ht="14.4">
      <c r="A3766">
        <v>39505</v>
      </c>
      <c r="B3766" t="s">
        <v>21506</v>
      </c>
      <c r="C3766" t="s">
        <v>2269</v>
      </c>
      <c r="D3766" t="s">
        <v>1857</v>
      </c>
      <c r="E3766" s="527" t="s">
        <v>21507</v>
      </c>
      <c r="F3766" s="220"/>
    </row>
    <row r="3767" spans="1:6" ht="14.4">
      <c r="A3767">
        <v>25969</v>
      </c>
      <c r="B3767" t="s">
        <v>21508</v>
      </c>
      <c r="C3767" t="s">
        <v>2269</v>
      </c>
      <c r="D3767" t="s">
        <v>2271</v>
      </c>
      <c r="E3767" s="527" t="s">
        <v>21509</v>
      </c>
      <c r="F3767" s="219"/>
    </row>
    <row r="3768" spans="1:6" ht="14.4">
      <c r="A3768">
        <v>4944</v>
      </c>
      <c r="B3768" t="s">
        <v>21510</v>
      </c>
      <c r="C3768" t="s">
        <v>2270</v>
      </c>
      <c r="D3768" t="s">
        <v>1857</v>
      </c>
      <c r="E3768" s="527" t="s">
        <v>21511</v>
      </c>
      <c r="F3768" s="220"/>
    </row>
    <row r="3769" spans="1:6" ht="14.4">
      <c r="A3769">
        <v>21102</v>
      </c>
      <c r="B3769" t="s">
        <v>21512</v>
      </c>
      <c r="C3769" t="s">
        <v>2269</v>
      </c>
      <c r="D3769" t="s">
        <v>1857</v>
      </c>
      <c r="E3769" s="527" t="s">
        <v>21513</v>
      </c>
      <c r="F3769" s="219"/>
    </row>
    <row r="3770" spans="1:6" ht="14.4">
      <c r="A3770">
        <v>21101</v>
      </c>
      <c r="B3770" t="s">
        <v>21514</v>
      </c>
      <c r="C3770" t="s">
        <v>2269</v>
      </c>
      <c r="D3770" t="s">
        <v>1857</v>
      </c>
      <c r="E3770" s="527" t="s">
        <v>9934</v>
      </c>
      <c r="F3770" s="220"/>
    </row>
    <row r="3771" spans="1:6" ht="14.4">
      <c r="A3771">
        <v>34713</v>
      </c>
      <c r="B3771" t="s">
        <v>21515</v>
      </c>
      <c r="C3771" t="s">
        <v>2270</v>
      </c>
      <c r="D3771" t="s">
        <v>1857</v>
      </c>
      <c r="E3771" s="527" t="s">
        <v>21516</v>
      </c>
      <c r="F3771" s="219"/>
    </row>
    <row r="3772" spans="1:6" ht="14.4">
      <c r="A3772">
        <v>4947</v>
      </c>
      <c r="B3772" t="s">
        <v>21517</v>
      </c>
      <c r="C3772" t="s">
        <v>2270</v>
      </c>
      <c r="D3772" t="s">
        <v>2271</v>
      </c>
      <c r="E3772" s="527" t="s">
        <v>21518</v>
      </c>
      <c r="F3772" s="220"/>
    </row>
    <row r="3773" spans="1:6" ht="14.4">
      <c r="A3773">
        <v>37563</v>
      </c>
      <c r="B3773" t="s">
        <v>21519</v>
      </c>
      <c r="C3773" t="s">
        <v>2270</v>
      </c>
      <c r="D3773" t="s">
        <v>2271</v>
      </c>
      <c r="E3773" s="527" t="s">
        <v>21520</v>
      </c>
      <c r="F3773" s="219"/>
    </row>
    <row r="3774" spans="1:6" ht="14.4">
      <c r="A3774">
        <v>4948</v>
      </c>
      <c r="B3774" t="s">
        <v>21521</v>
      </c>
      <c r="C3774" t="s">
        <v>2270</v>
      </c>
      <c r="D3774" t="s">
        <v>2271</v>
      </c>
      <c r="E3774" s="527" t="s">
        <v>21522</v>
      </c>
      <c r="F3774" s="220"/>
    </row>
    <row r="3775" spans="1:6" ht="14.4">
      <c r="A3775">
        <v>37561</v>
      </c>
      <c r="B3775" t="s">
        <v>21523</v>
      </c>
      <c r="C3775" t="s">
        <v>2270</v>
      </c>
      <c r="D3775" t="s">
        <v>2271</v>
      </c>
      <c r="E3775" s="527" t="s">
        <v>21524</v>
      </c>
      <c r="F3775" s="219"/>
    </row>
    <row r="3776" spans="1:6" ht="14.4">
      <c r="A3776">
        <v>37562</v>
      </c>
      <c r="B3776" t="s">
        <v>21525</v>
      </c>
      <c r="C3776" t="s">
        <v>2270</v>
      </c>
      <c r="D3776" t="s">
        <v>2271</v>
      </c>
      <c r="E3776" s="527" t="s">
        <v>21526</v>
      </c>
      <c r="F3776" s="220"/>
    </row>
    <row r="3777" spans="1:6" ht="14.4">
      <c r="A3777">
        <v>14164</v>
      </c>
      <c r="B3777" t="s">
        <v>21527</v>
      </c>
      <c r="C3777" t="s">
        <v>2269</v>
      </c>
      <c r="D3777" t="s">
        <v>2271</v>
      </c>
      <c r="E3777" s="527" t="s">
        <v>21528</v>
      </c>
      <c r="F3777" s="219"/>
    </row>
    <row r="3778" spans="1:6" ht="14.4">
      <c r="A3778">
        <v>14163</v>
      </c>
      <c r="B3778" t="s">
        <v>21529</v>
      </c>
      <c r="C3778" t="s">
        <v>2269</v>
      </c>
      <c r="D3778" t="s">
        <v>2271</v>
      </c>
      <c r="E3778" s="527" t="s">
        <v>21530</v>
      </c>
      <c r="F3778" s="220"/>
    </row>
    <row r="3779" spans="1:6" ht="14.4">
      <c r="A3779">
        <v>5051</v>
      </c>
      <c r="B3779" t="s">
        <v>21531</v>
      </c>
      <c r="C3779" t="s">
        <v>2269</v>
      </c>
      <c r="D3779" t="s">
        <v>2271</v>
      </c>
      <c r="E3779" s="527" t="s">
        <v>21532</v>
      </c>
      <c r="F3779" s="219"/>
    </row>
    <row r="3780" spans="1:6" ht="14.4">
      <c r="A3780">
        <v>14162</v>
      </c>
      <c r="B3780" t="s">
        <v>21533</v>
      </c>
      <c r="C3780" t="s">
        <v>2269</v>
      </c>
      <c r="D3780" t="s">
        <v>2271</v>
      </c>
      <c r="E3780" s="527" t="s">
        <v>21534</v>
      </c>
      <c r="F3780" s="220"/>
    </row>
    <row r="3781" spans="1:6" ht="14.4">
      <c r="A3781">
        <v>5052</v>
      </c>
      <c r="B3781" t="s">
        <v>21535</v>
      </c>
      <c r="C3781" t="s">
        <v>2269</v>
      </c>
      <c r="D3781" t="s">
        <v>2271</v>
      </c>
      <c r="E3781" s="527" t="s">
        <v>21536</v>
      </c>
      <c r="F3781" s="219"/>
    </row>
    <row r="3782" spans="1:6" ht="14.4">
      <c r="A3782">
        <v>14166</v>
      </c>
      <c r="B3782" t="s">
        <v>21537</v>
      </c>
      <c r="C3782" t="s">
        <v>2269</v>
      </c>
      <c r="D3782" t="s">
        <v>2271</v>
      </c>
      <c r="E3782" s="527" t="s">
        <v>21538</v>
      </c>
      <c r="F3782" s="220"/>
    </row>
    <row r="3783" spans="1:6" ht="14.4">
      <c r="A3783">
        <v>14165</v>
      </c>
      <c r="B3783" t="s">
        <v>21539</v>
      </c>
      <c r="C3783" t="s">
        <v>2269</v>
      </c>
      <c r="D3783" t="s">
        <v>2271</v>
      </c>
      <c r="E3783" s="527" t="s">
        <v>21540</v>
      </c>
      <c r="F3783" s="219"/>
    </row>
    <row r="3784" spans="1:6" ht="14.4">
      <c r="A3784">
        <v>5050</v>
      </c>
      <c r="B3784" t="s">
        <v>21541</v>
      </c>
      <c r="C3784" t="s">
        <v>2269</v>
      </c>
      <c r="D3784" t="s">
        <v>2271</v>
      </c>
      <c r="E3784" s="527" t="s">
        <v>21542</v>
      </c>
      <c r="F3784" s="220"/>
    </row>
    <row r="3785" spans="1:6" ht="14.4">
      <c r="A3785">
        <v>12366</v>
      </c>
      <c r="B3785" t="s">
        <v>21543</v>
      </c>
      <c r="C3785" t="s">
        <v>2269</v>
      </c>
      <c r="D3785" t="s">
        <v>2271</v>
      </c>
      <c r="E3785" s="527" t="s">
        <v>21544</v>
      </c>
      <c r="F3785" s="219"/>
    </row>
    <row r="3786" spans="1:6" ht="14.4">
      <c r="A3786">
        <v>5045</v>
      </c>
      <c r="B3786" t="s">
        <v>21545</v>
      </c>
      <c r="C3786" t="s">
        <v>2269</v>
      </c>
      <c r="D3786" t="s">
        <v>2271</v>
      </c>
      <c r="E3786" s="527" t="s">
        <v>21546</v>
      </c>
      <c r="F3786" s="220"/>
    </row>
    <row r="3787" spans="1:6" ht="14.4">
      <c r="A3787">
        <v>5044</v>
      </c>
      <c r="B3787" t="s">
        <v>21547</v>
      </c>
      <c r="C3787" t="s">
        <v>2269</v>
      </c>
      <c r="D3787" t="s">
        <v>2271</v>
      </c>
      <c r="E3787" s="527" t="s">
        <v>21548</v>
      </c>
      <c r="F3787" s="219"/>
    </row>
    <row r="3788" spans="1:6" ht="14.4">
      <c r="A3788">
        <v>5055</v>
      </c>
      <c r="B3788" t="s">
        <v>21549</v>
      </c>
      <c r="C3788" t="s">
        <v>2269</v>
      </c>
      <c r="D3788" t="s">
        <v>2271</v>
      </c>
      <c r="E3788" s="527" t="s">
        <v>21550</v>
      </c>
      <c r="F3788" s="220"/>
    </row>
    <row r="3789" spans="1:6" ht="14.4">
      <c r="A3789">
        <v>5053</v>
      </c>
      <c r="B3789" t="s">
        <v>21551</v>
      </c>
      <c r="C3789" t="s">
        <v>2269</v>
      </c>
      <c r="D3789" t="s">
        <v>2271</v>
      </c>
      <c r="E3789" s="527" t="s">
        <v>21552</v>
      </c>
      <c r="F3789" s="219"/>
    </row>
    <row r="3790" spans="1:6" ht="14.4">
      <c r="A3790">
        <v>5035</v>
      </c>
      <c r="B3790" t="s">
        <v>21553</v>
      </c>
      <c r="C3790" t="s">
        <v>2269</v>
      </c>
      <c r="D3790" t="s">
        <v>2271</v>
      </c>
      <c r="E3790" s="527" t="s">
        <v>21554</v>
      </c>
      <c r="F3790" s="220"/>
    </row>
    <row r="3791" spans="1:6" ht="14.4">
      <c r="A3791">
        <v>5036</v>
      </c>
      <c r="B3791" t="s">
        <v>21555</v>
      </c>
      <c r="C3791" t="s">
        <v>2269</v>
      </c>
      <c r="D3791" t="s">
        <v>2271</v>
      </c>
      <c r="E3791" s="527" t="s">
        <v>21556</v>
      </c>
      <c r="F3791" s="219"/>
    </row>
    <row r="3792" spans="1:6" ht="14.4">
      <c r="A3792">
        <v>5059</v>
      </c>
      <c r="B3792" t="s">
        <v>21557</v>
      </c>
      <c r="C3792" t="s">
        <v>2269</v>
      </c>
      <c r="D3792" t="s">
        <v>2271</v>
      </c>
      <c r="E3792" s="527" t="s">
        <v>21558</v>
      </c>
      <c r="F3792" s="220"/>
    </row>
    <row r="3793" spans="1:6" ht="14.4">
      <c r="A3793">
        <v>5057</v>
      </c>
      <c r="B3793" t="s">
        <v>21559</v>
      </c>
      <c r="C3793" t="s">
        <v>2269</v>
      </c>
      <c r="D3793" t="s">
        <v>2271</v>
      </c>
      <c r="E3793" s="527" t="s">
        <v>21560</v>
      </c>
      <c r="F3793" s="219"/>
    </row>
    <row r="3794" spans="1:6" ht="14.4">
      <c r="A3794">
        <v>5033</v>
      </c>
      <c r="B3794" t="s">
        <v>21561</v>
      </c>
      <c r="C3794" t="s">
        <v>2269</v>
      </c>
      <c r="D3794" t="s">
        <v>2271</v>
      </c>
      <c r="E3794" s="527" t="s">
        <v>16125</v>
      </c>
      <c r="F3794" s="220"/>
    </row>
    <row r="3795" spans="1:6" ht="14.4">
      <c r="A3795">
        <v>5038</v>
      </c>
      <c r="B3795" t="s">
        <v>21562</v>
      </c>
      <c r="C3795" t="s">
        <v>2269</v>
      </c>
      <c r="D3795" t="s">
        <v>2271</v>
      </c>
      <c r="E3795" s="527" t="s">
        <v>21563</v>
      </c>
      <c r="F3795" s="219"/>
    </row>
    <row r="3796" spans="1:6" ht="14.4">
      <c r="A3796">
        <v>12372</v>
      </c>
      <c r="B3796" t="s">
        <v>21564</v>
      </c>
      <c r="C3796" t="s">
        <v>2269</v>
      </c>
      <c r="D3796" t="s">
        <v>2271</v>
      </c>
      <c r="E3796" s="527" t="s">
        <v>21565</v>
      </c>
      <c r="F3796" s="220"/>
    </row>
    <row r="3797" spans="1:6" ht="14.4">
      <c r="A3797">
        <v>13339</v>
      </c>
      <c r="B3797" t="s">
        <v>21566</v>
      </c>
      <c r="C3797" t="s">
        <v>2269</v>
      </c>
      <c r="D3797" t="s">
        <v>2271</v>
      </c>
      <c r="E3797" s="527" t="s">
        <v>21567</v>
      </c>
      <c r="F3797" s="219"/>
    </row>
    <row r="3798" spans="1:6" ht="14.4">
      <c r="A3798">
        <v>12373</v>
      </c>
      <c r="B3798" t="s">
        <v>21568</v>
      </c>
      <c r="C3798" t="s">
        <v>2269</v>
      </c>
      <c r="D3798" t="s">
        <v>2271</v>
      </c>
      <c r="E3798" s="527" t="s">
        <v>21569</v>
      </c>
      <c r="F3798" s="220"/>
    </row>
    <row r="3799" spans="1:6" ht="14.4">
      <c r="A3799">
        <v>12388</v>
      </c>
      <c r="B3799" t="s">
        <v>21570</v>
      </c>
      <c r="C3799" t="s">
        <v>2269</v>
      </c>
      <c r="D3799" t="s">
        <v>2271</v>
      </c>
      <c r="E3799" s="527" t="s">
        <v>13359</v>
      </c>
      <c r="F3799" s="219"/>
    </row>
    <row r="3800" spans="1:6" ht="14.4">
      <c r="A3800">
        <v>34695</v>
      </c>
      <c r="B3800" t="s">
        <v>21571</v>
      </c>
      <c r="C3800" t="s">
        <v>2269</v>
      </c>
      <c r="D3800" t="s">
        <v>2271</v>
      </c>
      <c r="E3800" s="527" t="s">
        <v>21572</v>
      </c>
      <c r="F3800" s="220"/>
    </row>
    <row r="3801" spans="1:6" ht="14.4">
      <c r="A3801">
        <v>34692</v>
      </c>
      <c r="B3801" t="s">
        <v>21573</v>
      </c>
      <c r="C3801" t="s">
        <v>2269</v>
      </c>
      <c r="D3801" t="s">
        <v>2271</v>
      </c>
      <c r="E3801" s="527" t="s">
        <v>21574</v>
      </c>
      <c r="F3801" s="219"/>
    </row>
    <row r="3802" spans="1:6" ht="14.4">
      <c r="A3802">
        <v>2731</v>
      </c>
      <c r="B3802" t="s">
        <v>21575</v>
      </c>
      <c r="C3802" t="s">
        <v>2273</v>
      </c>
      <c r="D3802" t="s">
        <v>2271</v>
      </c>
      <c r="E3802" s="527" t="s">
        <v>16488</v>
      </c>
      <c r="F3802" s="220"/>
    </row>
    <row r="3803" spans="1:6" ht="14.4">
      <c r="A3803">
        <v>41457</v>
      </c>
      <c r="B3803" t="s">
        <v>21576</v>
      </c>
      <c r="C3803" t="s">
        <v>2269</v>
      </c>
      <c r="D3803" t="s">
        <v>1857</v>
      </c>
      <c r="E3803" s="527" t="s">
        <v>21577</v>
      </c>
      <c r="F3803" s="219"/>
    </row>
    <row r="3804" spans="1:6" ht="14.4">
      <c r="A3804">
        <v>41458</v>
      </c>
      <c r="B3804" t="s">
        <v>21578</v>
      </c>
      <c r="C3804" t="s">
        <v>2269</v>
      </c>
      <c r="D3804" t="s">
        <v>1857</v>
      </c>
      <c r="E3804" s="527" t="s">
        <v>21579</v>
      </c>
      <c r="F3804" s="220"/>
    </row>
    <row r="3805" spans="1:6" ht="14.4">
      <c r="A3805">
        <v>41459</v>
      </c>
      <c r="B3805" t="s">
        <v>21580</v>
      </c>
      <c r="C3805" t="s">
        <v>2269</v>
      </c>
      <c r="D3805" t="s">
        <v>1857</v>
      </c>
      <c r="E3805" s="527" t="s">
        <v>21581</v>
      </c>
      <c r="F3805" s="219"/>
    </row>
    <row r="3806" spans="1:6" ht="14.4">
      <c r="A3806">
        <v>41461</v>
      </c>
      <c r="B3806" t="s">
        <v>21582</v>
      </c>
      <c r="C3806" t="s">
        <v>2269</v>
      </c>
      <c r="D3806" t="s">
        <v>1857</v>
      </c>
      <c r="E3806" s="527" t="s">
        <v>21583</v>
      </c>
      <c r="F3806" s="220"/>
    </row>
    <row r="3807" spans="1:6" ht="14.4">
      <c r="A3807">
        <v>26028</v>
      </c>
      <c r="B3807" t="s">
        <v>21584</v>
      </c>
      <c r="C3807" t="s">
        <v>2281</v>
      </c>
      <c r="D3807" t="s">
        <v>1857</v>
      </c>
      <c r="E3807" s="527" t="s">
        <v>21585</v>
      </c>
      <c r="F3807" s="219"/>
    </row>
    <row r="3808" spans="1:6" ht="14.4">
      <c r="A3808">
        <v>11844</v>
      </c>
      <c r="B3808" t="s">
        <v>21586</v>
      </c>
      <c r="C3808" t="s">
        <v>2273</v>
      </c>
      <c r="D3808" t="s">
        <v>1857</v>
      </c>
      <c r="E3808" s="527" t="s">
        <v>15474</v>
      </c>
      <c r="F3808" s="220"/>
    </row>
    <row r="3809" spans="1:6" ht="14.4">
      <c r="A3809">
        <v>4465</v>
      </c>
      <c r="B3809" t="s">
        <v>21587</v>
      </c>
      <c r="C3809" t="s">
        <v>2273</v>
      </c>
      <c r="D3809" t="s">
        <v>1857</v>
      </c>
      <c r="E3809" s="527" t="s">
        <v>15264</v>
      </c>
      <c r="F3809" s="219"/>
    </row>
    <row r="3810" spans="1:6" ht="14.4">
      <c r="A3810">
        <v>35273</v>
      </c>
      <c r="B3810" t="s">
        <v>21588</v>
      </c>
      <c r="C3810" t="s">
        <v>2273</v>
      </c>
      <c r="D3810" t="s">
        <v>1857</v>
      </c>
      <c r="E3810" s="527" t="s">
        <v>21589</v>
      </c>
      <c r="F3810" s="220"/>
    </row>
    <row r="3811" spans="1:6" ht="14.4">
      <c r="A3811">
        <v>4470</v>
      </c>
      <c r="B3811" t="s">
        <v>21590</v>
      </c>
      <c r="C3811" t="s">
        <v>2273</v>
      </c>
      <c r="D3811" t="s">
        <v>1857</v>
      </c>
      <c r="E3811" s="527" t="s">
        <v>11853</v>
      </c>
      <c r="F3811" s="219"/>
    </row>
    <row r="3812" spans="1:6" ht="14.4">
      <c r="A3812">
        <v>20208</v>
      </c>
      <c r="B3812" t="s">
        <v>21591</v>
      </c>
      <c r="C3812" t="s">
        <v>2273</v>
      </c>
      <c r="D3812" t="s">
        <v>1857</v>
      </c>
      <c r="E3812" s="527" t="s">
        <v>21592</v>
      </c>
      <c r="F3812" s="220"/>
    </row>
    <row r="3813" spans="1:6" ht="14.4">
      <c r="A3813">
        <v>20204</v>
      </c>
      <c r="B3813" t="s">
        <v>21593</v>
      </c>
      <c r="C3813" t="s">
        <v>2273</v>
      </c>
      <c r="D3813" t="s">
        <v>1857</v>
      </c>
      <c r="E3813" s="527" t="s">
        <v>15373</v>
      </c>
      <c r="F3813" s="219"/>
    </row>
    <row r="3814" spans="1:6" ht="14.4">
      <c r="A3814">
        <v>4437</v>
      </c>
      <c r="B3814" t="s">
        <v>21594</v>
      </c>
      <c r="C3814" t="s">
        <v>2273</v>
      </c>
      <c r="D3814" t="s">
        <v>1857</v>
      </c>
      <c r="E3814" s="527" t="s">
        <v>16458</v>
      </c>
      <c r="F3814" s="220"/>
    </row>
    <row r="3815" spans="1:6" ht="14.4">
      <c r="A3815">
        <v>14580</v>
      </c>
      <c r="B3815" t="s">
        <v>21595</v>
      </c>
      <c r="C3815" t="s">
        <v>2273</v>
      </c>
      <c r="D3815" t="s">
        <v>1857</v>
      </c>
      <c r="E3815" s="527" t="s">
        <v>16458</v>
      </c>
      <c r="F3815" s="219"/>
    </row>
    <row r="3816" spans="1:6" ht="14.4">
      <c r="A3816">
        <v>40304</v>
      </c>
      <c r="B3816" t="s">
        <v>21596</v>
      </c>
      <c r="C3816" t="s">
        <v>2274</v>
      </c>
      <c r="D3816" t="s">
        <v>1857</v>
      </c>
      <c r="E3816" s="527" t="s">
        <v>10700</v>
      </c>
      <c r="F3816" s="220"/>
    </row>
    <row r="3817" spans="1:6" ht="14.4">
      <c r="A3817">
        <v>5065</v>
      </c>
      <c r="B3817" t="s">
        <v>21597</v>
      </c>
      <c r="C3817" t="s">
        <v>2274</v>
      </c>
      <c r="D3817" t="s">
        <v>1857</v>
      </c>
      <c r="E3817" s="527" t="s">
        <v>11454</v>
      </c>
      <c r="F3817" s="219"/>
    </row>
    <row r="3818" spans="1:6" ht="14.4">
      <c r="A3818">
        <v>5072</v>
      </c>
      <c r="B3818" t="s">
        <v>21598</v>
      </c>
      <c r="C3818" t="s">
        <v>2274</v>
      </c>
      <c r="D3818" t="s">
        <v>1857</v>
      </c>
      <c r="E3818" s="527" t="s">
        <v>15461</v>
      </c>
      <c r="F3818" s="220"/>
    </row>
    <row r="3819" spans="1:6" ht="14.4">
      <c r="A3819">
        <v>5066</v>
      </c>
      <c r="B3819" t="s">
        <v>21599</v>
      </c>
      <c r="C3819" t="s">
        <v>2274</v>
      </c>
      <c r="D3819" t="s">
        <v>1857</v>
      </c>
      <c r="E3819" s="527" t="s">
        <v>7640</v>
      </c>
      <c r="F3819" s="219"/>
    </row>
    <row r="3820" spans="1:6" ht="14.4">
      <c r="A3820">
        <v>5063</v>
      </c>
      <c r="B3820" t="s">
        <v>21600</v>
      </c>
      <c r="C3820" t="s">
        <v>2274</v>
      </c>
      <c r="D3820" t="s">
        <v>1857</v>
      </c>
      <c r="E3820" s="527" t="s">
        <v>13166</v>
      </c>
      <c r="F3820" s="220"/>
    </row>
    <row r="3821" spans="1:6" ht="14.4">
      <c r="A3821">
        <v>20247</v>
      </c>
      <c r="B3821" t="s">
        <v>21601</v>
      </c>
      <c r="C3821" t="s">
        <v>2274</v>
      </c>
      <c r="D3821" t="s">
        <v>1857</v>
      </c>
      <c r="E3821" s="527" t="s">
        <v>7349</v>
      </c>
      <c r="F3821" s="219"/>
    </row>
    <row r="3822" spans="1:6" ht="14.4">
      <c r="A3822">
        <v>5074</v>
      </c>
      <c r="B3822" t="s">
        <v>21602</v>
      </c>
      <c r="C3822" t="s">
        <v>2274</v>
      </c>
      <c r="D3822" t="s">
        <v>1857</v>
      </c>
      <c r="E3822" s="527" t="s">
        <v>10019</v>
      </c>
      <c r="F3822" s="220"/>
    </row>
    <row r="3823" spans="1:6" ht="14.4">
      <c r="A3823">
        <v>5067</v>
      </c>
      <c r="B3823" t="s">
        <v>21603</v>
      </c>
      <c r="C3823" t="s">
        <v>2274</v>
      </c>
      <c r="D3823" t="s">
        <v>1857</v>
      </c>
      <c r="E3823" s="527" t="s">
        <v>21604</v>
      </c>
      <c r="F3823" s="219"/>
    </row>
    <row r="3824" spans="1:6" ht="14.4">
      <c r="A3824">
        <v>5078</v>
      </c>
      <c r="B3824" t="s">
        <v>21605</v>
      </c>
      <c r="C3824" t="s">
        <v>2274</v>
      </c>
      <c r="D3824" t="s">
        <v>1857</v>
      </c>
      <c r="E3824" s="527" t="s">
        <v>16232</v>
      </c>
      <c r="F3824" s="220"/>
    </row>
    <row r="3825" spans="1:6" ht="14.4">
      <c r="A3825">
        <v>5068</v>
      </c>
      <c r="B3825" t="s">
        <v>21606</v>
      </c>
      <c r="C3825" t="s">
        <v>2274</v>
      </c>
      <c r="D3825" t="s">
        <v>1857</v>
      </c>
      <c r="E3825" s="527" t="s">
        <v>12737</v>
      </c>
      <c r="F3825" s="219"/>
    </row>
    <row r="3826" spans="1:6" ht="14.4">
      <c r="A3826">
        <v>5073</v>
      </c>
      <c r="B3826" t="s">
        <v>21607</v>
      </c>
      <c r="C3826" t="s">
        <v>2274</v>
      </c>
      <c r="D3826" t="s">
        <v>1857</v>
      </c>
      <c r="E3826" s="527" t="s">
        <v>7463</v>
      </c>
      <c r="F3826" s="220"/>
    </row>
    <row r="3827" spans="1:6" ht="14.4">
      <c r="A3827">
        <v>5069</v>
      </c>
      <c r="B3827" t="s">
        <v>21608</v>
      </c>
      <c r="C3827" t="s">
        <v>2274</v>
      </c>
      <c r="D3827" t="s">
        <v>1857</v>
      </c>
      <c r="E3827" s="527" t="s">
        <v>7463</v>
      </c>
      <c r="F3827" s="219"/>
    </row>
    <row r="3828" spans="1:6" ht="14.4">
      <c r="A3828">
        <v>5070</v>
      </c>
      <c r="B3828" t="s">
        <v>21609</v>
      </c>
      <c r="C3828" t="s">
        <v>2274</v>
      </c>
      <c r="D3828" t="s">
        <v>1857</v>
      </c>
      <c r="E3828" s="527" t="s">
        <v>9901</v>
      </c>
      <c r="F3828" s="220"/>
    </row>
    <row r="3829" spans="1:6" ht="14.4">
      <c r="A3829">
        <v>5071</v>
      </c>
      <c r="B3829" t="s">
        <v>21610</v>
      </c>
      <c r="C3829" t="s">
        <v>2274</v>
      </c>
      <c r="D3829" t="s">
        <v>1857</v>
      </c>
      <c r="E3829" s="527" t="s">
        <v>12737</v>
      </c>
      <c r="F3829" s="219"/>
    </row>
    <row r="3830" spans="1:6" ht="14.4">
      <c r="A3830">
        <v>5061</v>
      </c>
      <c r="B3830" t="s">
        <v>21611</v>
      </c>
      <c r="C3830" t="s">
        <v>2274</v>
      </c>
      <c r="D3830" t="s">
        <v>2268</v>
      </c>
      <c r="E3830" s="527" t="s">
        <v>9898</v>
      </c>
      <c r="F3830" s="220"/>
    </row>
    <row r="3831" spans="1:6" ht="14.4">
      <c r="A3831">
        <v>5075</v>
      </c>
      <c r="B3831" t="s">
        <v>21612</v>
      </c>
      <c r="C3831" t="s">
        <v>2274</v>
      </c>
      <c r="D3831" t="s">
        <v>1857</v>
      </c>
      <c r="E3831" s="527" t="s">
        <v>12737</v>
      </c>
      <c r="F3831" s="219"/>
    </row>
    <row r="3832" spans="1:6" ht="14.4">
      <c r="A3832">
        <v>39027</v>
      </c>
      <c r="B3832" t="s">
        <v>21613</v>
      </c>
      <c r="C3832" t="s">
        <v>2274</v>
      </c>
      <c r="D3832" t="s">
        <v>1857</v>
      </c>
      <c r="E3832" s="527" t="s">
        <v>11440</v>
      </c>
      <c r="F3832" s="220"/>
    </row>
    <row r="3833" spans="1:6" ht="14.4">
      <c r="A3833">
        <v>5062</v>
      </c>
      <c r="B3833" t="s">
        <v>21614</v>
      </c>
      <c r="C3833" t="s">
        <v>2274</v>
      </c>
      <c r="D3833" t="s">
        <v>1857</v>
      </c>
      <c r="E3833" s="527" t="s">
        <v>11425</v>
      </c>
      <c r="F3833" s="219"/>
    </row>
    <row r="3834" spans="1:6" ht="14.4">
      <c r="A3834">
        <v>40568</v>
      </c>
      <c r="B3834" t="s">
        <v>21615</v>
      </c>
      <c r="C3834" t="s">
        <v>2274</v>
      </c>
      <c r="D3834" t="s">
        <v>1857</v>
      </c>
      <c r="E3834" s="527" t="s">
        <v>21616</v>
      </c>
      <c r="F3834" s="220"/>
    </row>
    <row r="3835" spans="1:6" ht="14.4">
      <c r="A3835">
        <v>39026</v>
      </c>
      <c r="B3835" t="s">
        <v>21617</v>
      </c>
      <c r="C3835" t="s">
        <v>2274</v>
      </c>
      <c r="D3835" t="s">
        <v>1857</v>
      </c>
      <c r="E3835" s="527" t="s">
        <v>21618</v>
      </c>
      <c r="F3835" s="219"/>
    </row>
    <row r="3836" spans="1:6" ht="14.4">
      <c r="A3836">
        <v>42431</v>
      </c>
      <c r="B3836" t="s">
        <v>21619</v>
      </c>
      <c r="C3836" t="s">
        <v>2269</v>
      </c>
      <c r="D3836" t="s">
        <v>2271</v>
      </c>
      <c r="E3836" s="527" t="s">
        <v>21620</v>
      </c>
      <c r="F3836" s="220"/>
    </row>
    <row r="3837" spans="1:6" ht="14.4">
      <c r="A3837">
        <v>44074</v>
      </c>
      <c r="B3837" t="s">
        <v>21621</v>
      </c>
      <c r="C3837" t="s">
        <v>2275</v>
      </c>
      <c r="D3837" t="s">
        <v>1857</v>
      </c>
      <c r="E3837" s="527" t="s">
        <v>21622</v>
      </c>
      <c r="F3837" s="219"/>
    </row>
    <row r="3838" spans="1:6" ht="14.4">
      <c r="A3838">
        <v>11149</v>
      </c>
      <c r="B3838" t="s">
        <v>21623</v>
      </c>
      <c r="C3838" t="s">
        <v>2286</v>
      </c>
      <c r="D3838" t="s">
        <v>1857</v>
      </c>
      <c r="E3838" s="527" t="s">
        <v>16211</v>
      </c>
      <c r="F3838" s="220"/>
    </row>
    <row r="3839" spans="1:6" ht="14.4">
      <c r="A3839">
        <v>511</v>
      </c>
      <c r="B3839" t="s">
        <v>21624</v>
      </c>
      <c r="C3839" t="s">
        <v>2275</v>
      </c>
      <c r="D3839" t="s">
        <v>2268</v>
      </c>
      <c r="E3839" s="527" t="s">
        <v>7250</v>
      </c>
      <c r="F3839" s="219"/>
    </row>
    <row r="3840" spans="1:6" ht="14.4">
      <c r="A3840">
        <v>37540</v>
      </c>
      <c r="B3840" t="s">
        <v>21625</v>
      </c>
      <c r="C3840" t="s">
        <v>2269</v>
      </c>
      <c r="D3840" t="s">
        <v>2271</v>
      </c>
      <c r="E3840" s="527" t="s">
        <v>21626</v>
      </c>
      <c r="F3840" s="220"/>
    </row>
    <row r="3841" spans="1:6" ht="14.4">
      <c r="A3841">
        <v>37548</v>
      </c>
      <c r="B3841" t="s">
        <v>21627</v>
      </c>
      <c r="C3841" t="s">
        <v>2269</v>
      </c>
      <c r="D3841" t="s">
        <v>2271</v>
      </c>
      <c r="E3841" s="527" t="s">
        <v>21628</v>
      </c>
      <c r="F3841" s="219"/>
    </row>
    <row r="3842" spans="1:6" ht="14.4">
      <c r="A3842">
        <v>39828</v>
      </c>
      <c r="B3842" t="s">
        <v>21629</v>
      </c>
      <c r="C3842" t="s">
        <v>2269</v>
      </c>
      <c r="D3842" t="s">
        <v>2271</v>
      </c>
      <c r="E3842" s="527" t="s">
        <v>21630</v>
      </c>
      <c r="F3842" s="220"/>
    </row>
    <row r="3843" spans="1:6" ht="14.4">
      <c r="A3843">
        <v>12273</v>
      </c>
      <c r="B3843" t="s">
        <v>21631</v>
      </c>
      <c r="C3843" t="s">
        <v>2269</v>
      </c>
      <c r="D3843" t="s">
        <v>2271</v>
      </c>
      <c r="E3843" s="527" t="s">
        <v>21632</v>
      </c>
      <c r="F3843" s="219"/>
    </row>
    <row r="3844" spans="1:6" ht="14.4">
      <c r="A3844">
        <v>38392</v>
      </c>
      <c r="B3844" t="s">
        <v>21633</v>
      </c>
      <c r="C3844" t="s">
        <v>2269</v>
      </c>
      <c r="D3844" t="s">
        <v>1857</v>
      </c>
      <c r="E3844" s="527" t="s">
        <v>21634</v>
      </c>
      <c r="F3844" s="220"/>
    </row>
    <row r="3845" spans="1:6" ht="14.4">
      <c r="A3845">
        <v>11735</v>
      </c>
      <c r="B3845" t="s">
        <v>21635</v>
      </c>
      <c r="C3845" t="s">
        <v>2269</v>
      </c>
      <c r="D3845" t="s">
        <v>1857</v>
      </c>
      <c r="E3845" s="527" t="s">
        <v>7966</v>
      </c>
      <c r="F3845" s="219"/>
    </row>
    <row r="3846" spans="1:6" ht="14.4">
      <c r="A3846">
        <v>11737</v>
      </c>
      <c r="B3846" t="s">
        <v>21636</v>
      </c>
      <c r="C3846" t="s">
        <v>2269</v>
      </c>
      <c r="D3846" t="s">
        <v>1857</v>
      </c>
      <c r="E3846" s="527" t="s">
        <v>5360</v>
      </c>
      <c r="F3846" s="220"/>
    </row>
    <row r="3847" spans="1:6" ht="14.4">
      <c r="A3847">
        <v>11738</v>
      </c>
      <c r="B3847" t="s">
        <v>21637</v>
      </c>
      <c r="C3847" t="s">
        <v>2269</v>
      </c>
      <c r="D3847" t="s">
        <v>1857</v>
      </c>
      <c r="E3847" s="527" t="s">
        <v>9918</v>
      </c>
      <c r="F3847" s="219"/>
    </row>
    <row r="3848" spans="1:6" ht="14.4">
      <c r="A3848">
        <v>36143</v>
      </c>
      <c r="B3848" t="s">
        <v>21638</v>
      </c>
      <c r="C3848" t="s">
        <v>2269</v>
      </c>
      <c r="D3848" t="s">
        <v>1857</v>
      </c>
      <c r="E3848" s="527" t="s">
        <v>7482</v>
      </c>
      <c r="F3848" s="220"/>
    </row>
    <row r="3849" spans="1:6" ht="14.4">
      <c r="A3849">
        <v>36142</v>
      </c>
      <c r="B3849" t="s">
        <v>21639</v>
      </c>
      <c r="C3849" t="s">
        <v>2269</v>
      </c>
      <c r="D3849" t="s">
        <v>1857</v>
      </c>
      <c r="E3849" s="527" t="s">
        <v>9768</v>
      </c>
      <c r="F3849" s="219"/>
    </row>
    <row r="3850" spans="1:6" ht="14.4">
      <c r="A3850">
        <v>36146</v>
      </c>
      <c r="B3850" t="s">
        <v>21640</v>
      </c>
      <c r="C3850" t="s">
        <v>2269</v>
      </c>
      <c r="D3850" t="s">
        <v>1857</v>
      </c>
      <c r="E3850" s="527" t="s">
        <v>21641</v>
      </c>
      <c r="F3850" s="220"/>
    </row>
    <row r="3851" spans="1:6" ht="14.4">
      <c r="A3851">
        <v>39015</v>
      </c>
      <c r="B3851" t="s">
        <v>21642</v>
      </c>
      <c r="C3851" t="s">
        <v>2269</v>
      </c>
      <c r="D3851" t="s">
        <v>2268</v>
      </c>
      <c r="E3851" s="527" t="s">
        <v>15795</v>
      </c>
      <c r="F3851" s="219"/>
    </row>
    <row r="3852" spans="1:6" ht="14.4">
      <c r="A3852">
        <v>38377</v>
      </c>
      <c r="B3852" t="s">
        <v>21643</v>
      </c>
      <c r="C3852" t="s">
        <v>2269</v>
      </c>
      <c r="D3852" t="s">
        <v>1857</v>
      </c>
      <c r="E3852" s="527" t="s">
        <v>11443</v>
      </c>
      <c r="F3852" s="220"/>
    </row>
    <row r="3853" spans="1:6" ht="14.4">
      <c r="A3853">
        <v>38376</v>
      </c>
      <c r="B3853" t="s">
        <v>21644</v>
      </c>
      <c r="C3853" t="s">
        <v>2269</v>
      </c>
      <c r="D3853" t="s">
        <v>1857</v>
      </c>
      <c r="E3853" s="527" t="s">
        <v>10021</v>
      </c>
      <c r="F3853" s="219"/>
    </row>
    <row r="3854" spans="1:6" ht="14.4">
      <c r="A3854">
        <v>38116</v>
      </c>
      <c r="B3854" t="s">
        <v>21645</v>
      </c>
      <c r="C3854" t="s">
        <v>2269</v>
      </c>
      <c r="D3854" t="s">
        <v>1857</v>
      </c>
      <c r="E3854" s="527" t="s">
        <v>4046</v>
      </c>
      <c r="F3854" s="220"/>
    </row>
    <row r="3855" spans="1:6" ht="14.4">
      <c r="A3855">
        <v>38066</v>
      </c>
      <c r="B3855" t="s">
        <v>21646</v>
      </c>
      <c r="C3855" t="s">
        <v>2269</v>
      </c>
      <c r="D3855" t="s">
        <v>1857</v>
      </c>
      <c r="E3855" s="527" t="s">
        <v>4726</v>
      </c>
      <c r="F3855" s="219"/>
    </row>
    <row r="3856" spans="1:6" ht="14.4">
      <c r="A3856">
        <v>38117</v>
      </c>
      <c r="B3856" t="s">
        <v>21647</v>
      </c>
      <c r="C3856" t="s">
        <v>2269</v>
      </c>
      <c r="D3856" t="s">
        <v>1857</v>
      </c>
      <c r="E3856" s="527" t="s">
        <v>11619</v>
      </c>
      <c r="F3856" s="220"/>
    </row>
    <row r="3857" spans="1:6" ht="14.4">
      <c r="A3857">
        <v>38067</v>
      </c>
      <c r="B3857" t="s">
        <v>21648</v>
      </c>
      <c r="C3857" t="s">
        <v>2269</v>
      </c>
      <c r="D3857" t="s">
        <v>1857</v>
      </c>
      <c r="E3857" s="527" t="s">
        <v>9549</v>
      </c>
      <c r="F3857" s="219"/>
    </row>
    <row r="3858" spans="1:6" ht="14.4">
      <c r="A3858">
        <v>11522</v>
      </c>
      <c r="B3858" t="s">
        <v>21649</v>
      </c>
      <c r="C3858" t="s">
        <v>2269</v>
      </c>
      <c r="D3858" t="s">
        <v>1857</v>
      </c>
      <c r="E3858" s="527" t="s">
        <v>7545</v>
      </c>
      <c r="F3858" s="220"/>
    </row>
    <row r="3859" spans="1:6" ht="14.4">
      <c r="A3859">
        <v>43600</v>
      </c>
      <c r="B3859" t="s">
        <v>21650</v>
      </c>
      <c r="C3859" t="s">
        <v>2269</v>
      </c>
      <c r="D3859" t="s">
        <v>1857</v>
      </c>
      <c r="E3859" s="527" t="s">
        <v>21651</v>
      </c>
      <c r="F3859" s="219"/>
    </row>
    <row r="3860" spans="1:6" ht="14.4">
      <c r="A3860">
        <v>5080</v>
      </c>
      <c r="B3860" t="s">
        <v>21652</v>
      </c>
      <c r="C3860" t="s">
        <v>2269</v>
      </c>
      <c r="D3860" t="s">
        <v>1857</v>
      </c>
      <c r="E3860" s="527" t="s">
        <v>7468</v>
      </c>
      <c r="F3860" s="220"/>
    </row>
    <row r="3861" spans="1:6" ht="14.4">
      <c r="A3861">
        <v>38168</v>
      </c>
      <c r="B3861" t="s">
        <v>21653</v>
      </c>
      <c r="C3861" t="s">
        <v>2269</v>
      </c>
      <c r="D3861" t="s">
        <v>1857</v>
      </c>
      <c r="E3861" s="527" t="s">
        <v>21654</v>
      </c>
      <c r="F3861" s="219"/>
    </row>
    <row r="3862" spans="1:6" ht="14.4">
      <c r="A3862">
        <v>43601</v>
      </c>
      <c r="B3862" t="s">
        <v>21655</v>
      </c>
      <c r="C3862" t="s">
        <v>2269</v>
      </c>
      <c r="D3862" t="s">
        <v>1857</v>
      </c>
      <c r="E3862" s="527" t="s">
        <v>12843</v>
      </c>
      <c r="F3862" s="220"/>
    </row>
    <row r="3863" spans="1:6" ht="14.4">
      <c r="A3863">
        <v>13393</v>
      </c>
      <c r="B3863" t="s">
        <v>21656</v>
      </c>
      <c r="C3863" t="s">
        <v>2269</v>
      </c>
      <c r="D3863" t="s">
        <v>1857</v>
      </c>
      <c r="E3863" s="527" t="s">
        <v>21657</v>
      </c>
      <c r="F3863" s="219"/>
    </row>
    <row r="3864" spans="1:6" ht="14.4">
      <c r="A3864">
        <v>13395</v>
      </c>
      <c r="B3864" t="s">
        <v>21658</v>
      </c>
      <c r="C3864" t="s">
        <v>2269</v>
      </c>
      <c r="D3864" t="s">
        <v>1857</v>
      </c>
      <c r="E3864" s="527" t="s">
        <v>21659</v>
      </c>
      <c r="F3864" s="220"/>
    </row>
    <row r="3865" spans="1:6" ht="14.4">
      <c r="A3865">
        <v>12039</v>
      </c>
      <c r="B3865" t="s">
        <v>21660</v>
      </c>
      <c r="C3865" t="s">
        <v>2269</v>
      </c>
      <c r="D3865" t="s">
        <v>1857</v>
      </c>
      <c r="E3865" s="527" t="s">
        <v>21661</v>
      </c>
      <c r="F3865" s="219"/>
    </row>
    <row r="3866" spans="1:6" ht="14.4">
      <c r="A3866">
        <v>13396</v>
      </c>
      <c r="B3866" t="s">
        <v>21662</v>
      </c>
      <c r="C3866" t="s">
        <v>2269</v>
      </c>
      <c r="D3866" t="s">
        <v>1857</v>
      </c>
      <c r="E3866" s="527" t="s">
        <v>21663</v>
      </c>
      <c r="F3866" s="220"/>
    </row>
    <row r="3867" spans="1:6" ht="14.4">
      <c r="A3867">
        <v>12041</v>
      </c>
      <c r="B3867" t="s">
        <v>21664</v>
      </c>
      <c r="C3867" t="s">
        <v>2269</v>
      </c>
      <c r="D3867" t="s">
        <v>1857</v>
      </c>
      <c r="E3867" s="527" t="s">
        <v>21665</v>
      </c>
      <c r="F3867" s="219"/>
    </row>
    <row r="3868" spans="1:6" ht="14.4">
      <c r="A3868">
        <v>12043</v>
      </c>
      <c r="B3868" t="s">
        <v>21666</v>
      </c>
      <c r="C3868" t="s">
        <v>2269</v>
      </c>
      <c r="D3868" t="s">
        <v>1857</v>
      </c>
      <c r="E3868" s="527" t="s">
        <v>21667</v>
      </c>
      <c r="F3868" s="220"/>
    </row>
    <row r="3869" spans="1:6" ht="14.4">
      <c r="A3869">
        <v>39762</v>
      </c>
      <c r="B3869" t="s">
        <v>21668</v>
      </c>
      <c r="C3869" t="s">
        <v>2269</v>
      </c>
      <c r="D3869" t="s">
        <v>1857</v>
      </c>
      <c r="E3869" s="527" t="s">
        <v>21669</v>
      </c>
      <c r="F3869" s="219"/>
    </row>
    <row r="3870" spans="1:6" ht="14.4">
      <c r="A3870">
        <v>12042</v>
      </c>
      <c r="B3870" t="s">
        <v>21670</v>
      </c>
      <c r="C3870" t="s">
        <v>2269</v>
      </c>
      <c r="D3870" t="s">
        <v>1857</v>
      </c>
      <c r="E3870" s="527" t="s">
        <v>21671</v>
      </c>
      <c r="F3870" s="220"/>
    </row>
    <row r="3871" spans="1:6" ht="14.4">
      <c r="A3871">
        <v>39763</v>
      </c>
      <c r="B3871" t="s">
        <v>21672</v>
      </c>
      <c r="C3871" t="s">
        <v>2269</v>
      </c>
      <c r="D3871" t="s">
        <v>1857</v>
      </c>
      <c r="E3871" s="527" t="s">
        <v>21673</v>
      </c>
      <c r="F3871" s="219"/>
    </row>
    <row r="3872" spans="1:6" ht="14.4">
      <c r="A3872">
        <v>39760</v>
      </c>
      <c r="B3872" t="s">
        <v>21674</v>
      </c>
      <c r="C3872" t="s">
        <v>2269</v>
      </c>
      <c r="D3872" t="s">
        <v>1857</v>
      </c>
      <c r="E3872" s="527" t="s">
        <v>21675</v>
      </c>
      <c r="F3872" s="220"/>
    </row>
    <row r="3873" spans="1:6" ht="14.4">
      <c r="A3873">
        <v>39756</v>
      </c>
      <c r="B3873" t="s">
        <v>21676</v>
      </c>
      <c r="C3873" t="s">
        <v>2269</v>
      </c>
      <c r="D3873" t="s">
        <v>1857</v>
      </c>
      <c r="E3873" s="527" t="s">
        <v>16205</v>
      </c>
      <c r="F3873" s="219"/>
    </row>
    <row r="3874" spans="1:6" ht="14.4">
      <c r="A3874">
        <v>12038</v>
      </c>
      <c r="B3874" t="s">
        <v>21677</v>
      </c>
      <c r="C3874" t="s">
        <v>2269</v>
      </c>
      <c r="D3874" t="s">
        <v>1857</v>
      </c>
      <c r="E3874" s="527" t="s">
        <v>21678</v>
      </c>
      <c r="F3874" s="220"/>
    </row>
    <row r="3875" spans="1:6" ht="14.4">
      <c r="A3875">
        <v>39757</v>
      </c>
      <c r="B3875" t="s">
        <v>21679</v>
      </c>
      <c r="C3875" t="s">
        <v>2269</v>
      </c>
      <c r="D3875" t="s">
        <v>1857</v>
      </c>
      <c r="E3875" s="527" t="s">
        <v>21680</v>
      </c>
      <c r="F3875" s="219"/>
    </row>
    <row r="3876" spans="1:6" ht="14.4">
      <c r="A3876">
        <v>39758</v>
      </c>
      <c r="B3876" t="s">
        <v>21681</v>
      </c>
      <c r="C3876" t="s">
        <v>2269</v>
      </c>
      <c r="D3876" t="s">
        <v>1857</v>
      </c>
      <c r="E3876" s="527" t="s">
        <v>21682</v>
      </c>
      <c r="F3876" s="220"/>
    </row>
    <row r="3877" spans="1:6" ht="14.4">
      <c r="A3877">
        <v>39759</v>
      </c>
      <c r="B3877" t="s">
        <v>21683</v>
      </c>
      <c r="C3877" t="s">
        <v>2269</v>
      </c>
      <c r="D3877" t="s">
        <v>1857</v>
      </c>
      <c r="E3877" s="527" t="s">
        <v>21684</v>
      </c>
      <c r="F3877" s="219"/>
    </row>
    <row r="3878" spans="1:6" ht="14.4">
      <c r="A3878">
        <v>39761</v>
      </c>
      <c r="B3878" t="s">
        <v>21685</v>
      </c>
      <c r="C3878" t="s">
        <v>2269</v>
      </c>
      <c r="D3878" t="s">
        <v>1857</v>
      </c>
      <c r="E3878" s="527" t="s">
        <v>21686</v>
      </c>
      <c r="F3878" s="220"/>
    </row>
    <row r="3879" spans="1:6" ht="14.4">
      <c r="A3879">
        <v>39805</v>
      </c>
      <c r="B3879" t="s">
        <v>21687</v>
      </c>
      <c r="C3879" t="s">
        <v>2269</v>
      </c>
      <c r="D3879" t="s">
        <v>1857</v>
      </c>
      <c r="E3879" s="527" t="s">
        <v>21688</v>
      </c>
      <c r="F3879" s="219"/>
    </row>
    <row r="3880" spans="1:6" ht="14.4">
      <c r="A3880">
        <v>39806</v>
      </c>
      <c r="B3880" t="s">
        <v>21689</v>
      </c>
      <c r="C3880" t="s">
        <v>2269</v>
      </c>
      <c r="D3880" t="s">
        <v>1857</v>
      </c>
      <c r="E3880" s="527" t="s">
        <v>15613</v>
      </c>
      <c r="F3880" s="220"/>
    </row>
    <row r="3881" spans="1:6" ht="14.4">
      <c r="A3881">
        <v>39807</v>
      </c>
      <c r="B3881" t="s">
        <v>21690</v>
      </c>
      <c r="C3881" t="s">
        <v>2269</v>
      </c>
      <c r="D3881" t="s">
        <v>1857</v>
      </c>
      <c r="E3881" s="527" t="s">
        <v>21691</v>
      </c>
      <c r="F3881" s="219"/>
    </row>
    <row r="3882" spans="1:6" ht="14.4">
      <c r="A3882">
        <v>43100</v>
      </c>
      <c r="B3882" t="s">
        <v>21692</v>
      </c>
      <c r="C3882" t="s">
        <v>2269</v>
      </c>
      <c r="D3882" t="s">
        <v>1857</v>
      </c>
      <c r="E3882" s="527" t="s">
        <v>21693</v>
      </c>
      <c r="F3882" s="220"/>
    </row>
    <row r="3883" spans="1:6" ht="14.4">
      <c r="A3883">
        <v>39804</v>
      </c>
      <c r="B3883" t="s">
        <v>21694</v>
      </c>
      <c r="C3883" t="s">
        <v>2269</v>
      </c>
      <c r="D3883" t="s">
        <v>1857</v>
      </c>
      <c r="E3883" s="527" t="s">
        <v>21695</v>
      </c>
      <c r="F3883" s="219"/>
    </row>
    <row r="3884" spans="1:6" ht="14.4">
      <c r="A3884">
        <v>39796</v>
      </c>
      <c r="B3884" t="s">
        <v>21696</v>
      </c>
      <c r="C3884" t="s">
        <v>2269</v>
      </c>
      <c r="D3884" t="s">
        <v>1857</v>
      </c>
      <c r="E3884" s="527" t="s">
        <v>19560</v>
      </c>
      <c r="F3884" s="220"/>
    </row>
    <row r="3885" spans="1:6" ht="14.4">
      <c r="A3885">
        <v>39797</v>
      </c>
      <c r="B3885" t="s">
        <v>21697</v>
      </c>
      <c r="C3885" t="s">
        <v>2269</v>
      </c>
      <c r="D3885" t="s">
        <v>2268</v>
      </c>
      <c r="E3885" s="527" t="s">
        <v>16202</v>
      </c>
      <c r="F3885" s="219"/>
    </row>
    <row r="3886" spans="1:6" ht="14.4">
      <c r="A3886">
        <v>39798</v>
      </c>
      <c r="B3886" t="s">
        <v>21698</v>
      </c>
      <c r="C3886" t="s">
        <v>2269</v>
      </c>
      <c r="D3886" t="s">
        <v>1857</v>
      </c>
      <c r="E3886" s="527" t="s">
        <v>21699</v>
      </c>
      <c r="F3886" s="220"/>
    </row>
    <row r="3887" spans="1:6" ht="14.4">
      <c r="A3887">
        <v>39794</v>
      </c>
      <c r="B3887" t="s">
        <v>21700</v>
      </c>
      <c r="C3887" t="s">
        <v>2269</v>
      </c>
      <c r="D3887" t="s">
        <v>1857</v>
      </c>
      <c r="E3887" s="527" t="s">
        <v>21701</v>
      </c>
      <c r="F3887" s="219"/>
    </row>
    <row r="3888" spans="1:6" ht="14.4">
      <c r="A3888">
        <v>39795</v>
      </c>
      <c r="B3888" t="s">
        <v>21702</v>
      </c>
      <c r="C3888" t="s">
        <v>2269</v>
      </c>
      <c r="D3888" t="s">
        <v>1857</v>
      </c>
      <c r="E3888" s="527" t="s">
        <v>21703</v>
      </c>
      <c r="F3888" s="220"/>
    </row>
    <row r="3889" spans="1:6" ht="14.4">
      <c r="A3889">
        <v>39799</v>
      </c>
      <c r="B3889" t="s">
        <v>21704</v>
      </c>
      <c r="C3889" t="s">
        <v>2269</v>
      </c>
      <c r="D3889" t="s">
        <v>1857</v>
      </c>
      <c r="E3889" s="527" t="s">
        <v>11823</v>
      </c>
      <c r="F3889" s="219"/>
    </row>
    <row r="3890" spans="1:6" ht="14.4">
      <c r="A3890">
        <v>39801</v>
      </c>
      <c r="B3890" t="s">
        <v>21705</v>
      </c>
      <c r="C3890" t="s">
        <v>2269</v>
      </c>
      <c r="D3890" t="s">
        <v>1857</v>
      </c>
      <c r="E3890" s="527" t="s">
        <v>21706</v>
      </c>
      <c r="F3890" s="220"/>
    </row>
    <row r="3891" spans="1:6" ht="14.4">
      <c r="A3891">
        <v>39802</v>
      </c>
      <c r="B3891" t="s">
        <v>21707</v>
      </c>
      <c r="C3891" t="s">
        <v>2269</v>
      </c>
      <c r="D3891" t="s">
        <v>1857</v>
      </c>
      <c r="E3891" s="527" t="s">
        <v>21708</v>
      </c>
      <c r="F3891" s="219"/>
    </row>
    <row r="3892" spans="1:6" ht="14.4">
      <c r="A3892">
        <v>39803</v>
      </c>
      <c r="B3892" t="s">
        <v>21709</v>
      </c>
      <c r="C3892" t="s">
        <v>2269</v>
      </c>
      <c r="D3892" t="s">
        <v>1857</v>
      </c>
      <c r="E3892" s="527" t="s">
        <v>21710</v>
      </c>
      <c r="F3892" s="220"/>
    </row>
    <row r="3893" spans="1:6" ht="14.4">
      <c r="A3893">
        <v>39800</v>
      </c>
      <c r="B3893" t="s">
        <v>21711</v>
      </c>
      <c r="C3893" t="s">
        <v>2269</v>
      </c>
      <c r="D3893" t="s">
        <v>1857</v>
      </c>
      <c r="E3893" s="527" t="s">
        <v>21712</v>
      </c>
      <c r="F3893" s="219"/>
    </row>
    <row r="3894" spans="1:6" ht="14.4">
      <c r="A3894">
        <v>21059</v>
      </c>
      <c r="B3894" t="s">
        <v>21713</v>
      </c>
      <c r="C3894" t="s">
        <v>2269</v>
      </c>
      <c r="D3894" t="s">
        <v>2271</v>
      </c>
      <c r="E3894" s="527" t="s">
        <v>11692</v>
      </c>
      <c r="F3894" s="220"/>
    </row>
    <row r="3895" spans="1:6" ht="14.4">
      <c r="A3895">
        <v>11234</v>
      </c>
      <c r="B3895" t="s">
        <v>21714</v>
      </c>
      <c r="C3895" t="s">
        <v>2269</v>
      </c>
      <c r="D3895" t="s">
        <v>2271</v>
      </c>
      <c r="E3895" s="527" t="s">
        <v>13557</v>
      </c>
      <c r="F3895" s="219"/>
    </row>
    <row r="3896" spans="1:6" ht="14.4">
      <c r="A3896">
        <v>21060</v>
      </c>
      <c r="B3896" t="s">
        <v>21715</v>
      </c>
      <c r="C3896" t="s">
        <v>2269</v>
      </c>
      <c r="D3896" t="s">
        <v>2271</v>
      </c>
      <c r="E3896" s="527" t="s">
        <v>21716</v>
      </c>
      <c r="F3896" s="220"/>
    </row>
    <row r="3897" spans="1:6" ht="14.4">
      <c r="A3897">
        <v>21061</v>
      </c>
      <c r="B3897" t="s">
        <v>21717</v>
      </c>
      <c r="C3897" t="s">
        <v>2269</v>
      </c>
      <c r="D3897" t="s">
        <v>2271</v>
      </c>
      <c r="E3897" s="527" t="s">
        <v>15561</v>
      </c>
      <c r="F3897" s="219"/>
    </row>
    <row r="3898" spans="1:6" ht="14.4">
      <c r="A3898">
        <v>21062</v>
      </c>
      <c r="B3898" t="s">
        <v>21718</v>
      </c>
      <c r="C3898" t="s">
        <v>2269</v>
      </c>
      <c r="D3898" t="s">
        <v>2271</v>
      </c>
      <c r="E3898" s="527" t="s">
        <v>16301</v>
      </c>
      <c r="F3898" s="220"/>
    </row>
    <row r="3899" spans="1:6" ht="14.4">
      <c r="A3899">
        <v>11708</v>
      </c>
      <c r="B3899" t="s">
        <v>21719</v>
      </c>
      <c r="C3899" t="s">
        <v>2269</v>
      </c>
      <c r="D3899" t="s">
        <v>2271</v>
      </c>
      <c r="E3899" s="527" t="s">
        <v>10077</v>
      </c>
      <c r="F3899" s="219"/>
    </row>
    <row r="3900" spans="1:6" ht="14.4">
      <c r="A3900">
        <v>11709</v>
      </c>
      <c r="B3900" t="s">
        <v>21720</v>
      </c>
      <c r="C3900" t="s">
        <v>2269</v>
      </c>
      <c r="D3900" t="s">
        <v>2271</v>
      </c>
      <c r="E3900" s="527" t="s">
        <v>10006</v>
      </c>
      <c r="F3900" s="220"/>
    </row>
    <row r="3901" spans="1:6" ht="14.4">
      <c r="A3901">
        <v>11710</v>
      </c>
      <c r="B3901" t="s">
        <v>21721</v>
      </c>
      <c r="C3901" t="s">
        <v>2269</v>
      </c>
      <c r="D3901" t="s">
        <v>2271</v>
      </c>
      <c r="E3901" s="527" t="s">
        <v>21722</v>
      </c>
      <c r="F3901" s="219"/>
    </row>
    <row r="3902" spans="1:6" ht="14.4">
      <c r="A3902">
        <v>11707</v>
      </c>
      <c r="B3902" t="s">
        <v>21723</v>
      </c>
      <c r="C3902" t="s">
        <v>2269</v>
      </c>
      <c r="D3902" t="s">
        <v>2271</v>
      </c>
      <c r="E3902" s="527" t="s">
        <v>13322</v>
      </c>
      <c r="F3902" s="220"/>
    </row>
    <row r="3903" spans="1:6" ht="14.4">
      <c r="A3903">
        <v>5102</v>
      </c>
      <c r="B3903" t="s">
        <v>21724</v>
      </c>
      <c r="C3903" t="s">
        <v>2269</v>
      </c>
      <c r="D3903" t="s">
        <v>1857</v>
      </c>
      <c r="E3903" s="527" t="s">
        <v>7359</v>
      </c>
      <c r="F3903" s="219"/>
    </row>
    <row r="3904" spans="1:6" ht="14.4">
      <c r="A3904">
        <v>11739</v>
      </c>
      <c r="B3904" t="s">
        <v>21725</v>
      </c>
      <c r="C3904" t="s">
        <v>2269</v>
      </c>
      <c r="D3904" t="s">
        <v>1857</v>
      </c>
      <c r="E3904" s="527" t="s">
        <v>4741</v>
      </c>
      <c r="F3904" s="220"/>
    </row>
    <row r="3905" spans="1:6" ht="14.4">
      <c r="A3905">
        <v>11711</v>
      </c>
      <c r="B3905" t="s">
        <v>21726</v>
      </c>
      <c r="C3905" t="s">
        <v>2269</v>
      </c>
      <c r="D3905" t="s">
        <v>1857</v>
      </c>
      <c r="E3905" s="527" t="s">
        <v>10013</v>
      </c>
      <c r="F3905" s="219"/>
    </row>
    <row r="3906" spans="1:6" ht="14.4">
      <c r="A3906">
        <v>11741</v>
      </c>
      <c r="B3906" t="s">
        <v>21727</v>
      </c>
      <c r="C3906" t="s">
        <v>2269</v>
      </c>
      <c r="D3906" t="s">
        <v>1857</v>
      </c>
      <c r="E3906" s="527" t="s">
        <v>2913</v>
      </c>
      <c r="F3906" s="220"/>
    </row>
    <row r="3907" spans="1:6" ht="14.4">
      <c r="A3907">
        <v>11745</v>
      </c>
      <c r="B3907" t="s">
        <v>21728</v>
      </c>
      <c r="C3907" t="s">
        <v>2269</v>
      </c>
      <c r="D3907" t="s">
        <v>1857</v>
      </c>
      <c r="E3907" s="527" t="s">
        <v>7396</v>
      </c>
      <c r="F3907" s="219"/>
    </row>
    <row r="3908" spans="1:6" ht="14.4">
      <c r="A3908">
        <v>11743</v>
      </c>
      <c r="B3908" t="s">
        <v>21729</v>
      </c>
      <c r="C3908" t="s">
        <v>2269</v>
      </c>
      <c r="D3908" t="s">
        <v>1857</v>
      </c>
      <c r="E3908" s="527" t="s">
        <v>10414</v>
      </c>
      <c r="F3908" s="220"/>
    </row>
    <row r="3909" spans="1:6" ht="14.4">
      <c r="A3909">
        <v>25961</v>
      </c>
      <c r="B3909" t="s">
        <v>21730</v>
      </c>
      <c r="C3909" t="s">
        <v>2267</v>
      </c>
      <c r="D3909" t="s">
        <v>1857</v>
      </c>
      <c r="E3909" s="527" t="s">
        <v>16145</v>
      </c>
      <c r="F3909" s="219"/>
    </row>
    <row r="3910" spans="1:6" ht="14.4">
      <c r="A3910">
        <v>40985</v>
      </c>
      <c r="B3910" t="s">
        <v>21731</v>
      </c>
      <c r="C3910" t="s">
        <v>2276</v>
      </c>
      <c r="D3910" t="s">
        <v>1857</v>
      </c>
      <c r="E3910" s="527" t="s">
        <v>17172</v>
      </c>
      <c r="F3910" s="220"/>
    </row>
    <row r="3911" spans="1:6" ht="14.4">
      <c r="A3911">
        <v>1088</v>
      </c>
      <c r="B3911" t="s">
        <v>21732</v>
      </c>
      <c r="C3911" t="s">
        <v>2269</v>
      </c>
      <c r="D3911" t="s">
        <v>2271</v>
      </c>
      <c r="E3911" s="527" t="s">
        <v>10058</v>
      </c>
      <c r="F3911" s="219"/>
    </row>
    <row r="3912" spans="1:6" ht="14.4">
      <c r="A3912">
        <v>1087</v>
      </c>
      <c r="B3912" t="s">
        <v>21733</v>
      </c>
      <c r="C3912" t="s">
        <v>2269</v>
      </c>
      <c r="D3912" t="s">
        <v>2271</v>
      </c>
      <c r="E3912" s="527" t="s">
        <v>10722</v>
      </c>
      <c r="F3912" s="220"/>
    </row>
    <row r="3913" spans="1:6" ht="14.4">
      <c r="A3913">
        <v>38777</v>
      </c>
      <c r="B3913" t="s">
        <v>21734</v>
      </c>
      <c r="C3913" t="s">
        <v>2269</v>
      </c>
      <c r="D3913" t="s">
        <v>2271</v>
      </c>
      <c r="E3913" s="527" t="s">
        <v>16452</v>
      </c>
      <c r="F3913" s="219"/>
    </row>
    <row r="3914" spans="1:6" ht="14.4">
      <c r="A3914">
        <v>1086</v>
      </c>
      <c r="B3914" t="s">
        <v>21735</v>
      </c>
      <c r="C3914" t="s">
        <v>2269</v>
      </c>
      <c r="D3914" t="s">
        <v>2271</v>
      </c>
      <c r="E3914" s="527" t="s">
        <v>18787</v>
      </c>
      <c r="F3914" s="220"/>
    </row>
    <row r="3915" spans="1:6" ht="14.4">
      <c r="A3915">
        <v>1079</v>
      </c>
      <c r="B3915" t="s">
        <v>21736</v>
      </c>
      <c r="C3915" t="s">
        <v>2269</v>
      </c>
      <c r="D3915" t="s">
        <v>2271</v>
      </c>
      <c r="E3915" s="527" t="s">
        <v>10669</v>
      </c>
      <c r="F3915" s="219"/>
    </row>
    <row r="3916" spans="1:6" ht="14.4">
      <c r="A3916">
        <v>39374</v>
      </c>
      <c r="B3916" t="s">
        <v>21737</v>
      </c>
      <c r="C3916" t="s">
        <v>2269</v>
      </c>
      <c r="D3916" t="s">
        <v>2268</v>
      </c>
      <c r="E3916" s="527" t="s">
        <v>21738</v>
      </c>
      <c r="F3916" s="220"/>
    </row>
    <row r="3917" spans="1:6" ht="14.4">
      <c r="A3917">
        <v>1082</v>
      </c>
      <c r="B3917" t="s">
        <v>21739</v>
      </c>
      <c r="C3917" t="s">
        <v>2269</v>
      </c>
      <c r="D3917" t="s">
        <v>2271</v>
      </c>
      <c r="E3917" s="527" t="s">
        <v>21740</v>
      </c>
      <c r="F3917" s="219"/>
    </row>
    <row r="3918" spans="1:6" ht="14.4">
      <c r="A3918">
        <v>12316</v>
      </c>
      <c r="B3918" t="s">
        <v>21741</v>
      </c>
      <c r="C3918" t="s">
        <v>2269</v>
      </c>
      <c r="D3918" t="s">
        <v>2271</v>
      </c>
      <c r="E3918" s="527" t="s">
        <v>21742</v>
      </c>
      <c r="F3918" s="220"/>
    </row>
    <row r="3919" spans="1:6" ht="14.4">
      <c r="A3919">
        <v>12317</v>
      </c>
      <c r="B3919" t="s">
        <v>21743</v>
      </c>
      <c r="C3919" t="s">
        <v>2269</v>
      </c>
      <c r="D3919" t="s">
        <v>2271</v>
      </c>
      <c r="E3919" s="527" t="s">
        <v>21744</v>
      </c>
      <c r="F3919" s="219"/>
    </row>
    <row r="3920" spans="1:6" ht="14.4">
      <c r="A3920">
        <v>12318</v>
      </c>
      <c r="B3920" t="s">
        <v>21745</v>
      </c>
      <c r="C3920" t="s">
        <v>2269</v>
      </c>
      <c r="D3920" t="s">
        <v>2271</v>
      </c>
      <c r="E3920" s="527" t="s">
        <v>21746</v>
      </c>
      <c r="F3920" s="220"/>
    </row>
    <row r="3921" spans="1:6" ht="14.4">
      <c r="A3921">
        <v>5104</v>
      </c>
      <c r="B3921" t="s">
        <v>21747</v>
      </c>
      <c r="C3921" t="s">
        <v>2274</v>
      </c>
      <c r="D3921" t="s">
        <v>2271</v>
      </c>
      <c r="E3921" s="527" t="s">
        <v>21748</v>
      </c>
      <c r="F3921" s="219"/>
    </row>
    <row r="3922" spans="1:6" ht="14.4">
      <c r="A3922">
        <v>26023</v>
      </c>
      <c r="B3922" t="s">
        <v>21749</v>
      </c>
      <c r="C3922" t="s">
        <v>2269</v>
      </c>
      <c r="D3922" t="s">
        <v>1857</v>
      </c>
      <c r="E3922" s="527" t="s">
        <v>9510</v>
      </c>
      <c r="F3922" s="220"/>
    </row>
    <row r="3923" spans="1:6" ht="14.4">
      <c r="A3923">
        <v>2710</v>
      </c>
      <c r="B3923" t="s">
        <v>21750</v>
      </c>
      <c r="C3923" t="s">
        <v>2269</v>
      </c>
      <c r="D3923" t="s">
        <v>1857</v>
      </c>
      <c r="E3923" s="527" t="s">
        <v>15563</v>
      </c>
      <c r="F3923" s="219"/>
    </row>
    <row r="3924" spans="1:6" ht="14.4">
      <c r="A3924">
        <v>14575</v>
      </c>
      <c r="B3924" t="s">
        <v>21751</v>
      </c>
      <c r="C3924" t="s">
        <v>2269</v>
      </c>
      <c r="D3924" t="s">
        <v>2271</v>
      </c>
      <c r="E3924" s="527" t="s">
        <v>21752</v>
      </c>
      <c r="F3924" s="220"/>
    </row>
    <row r="3925" spans="1:6" ht="14.4">
      <c r="A3925">
        <v>20034</v>
      </c>
      <c r="B3925" t="s">
        <v>21753</v>
      </c>
      <c r="C3925" t="s">
        <v>2269</v>
      </c>
      <c r="D3925" t="s">
        <v>2271</v>
      </c>
      <c r="E3925" s="527" t="s">
        <v>15564</v>
      </c>
      <c r="F3925" s="219"/>
    </row>
    <row r="3926" spans="1:6" ht="14.4">
      <c r="A3926">
        <v>20036</v>
      </c>
      <c r="B3926" t="s">
        <v>21754</v>
      </c>
      <c r="C3926" t="s">
        <v>2269</v>
      </c>
      <c r="D3926" t="s">
        <v>2271</v>
      </c>
      <c r="E3926" s="527" t="s">
        <v>15565</v>
      </c>
      <c r="F3926" s="220"/>
    </row>
    <row r="3927" spans="1:6" ht="14.4">
      <c r="A3927">
        <v>20037</v>
      </c>
      <c r="B3927" t="s">
        <v>21755</v>
      </c>
      <c r="C3927" t="s">
        <v>2269</v>
      </c>
      <c r="D3927" t="s">
        <v>2271</v>
      </c>
      <c r="E3927" s="527" t="s">
        <v>15566</v>
      </c>
      <c r="F3927" s="219"/>
    </row>
    <row r="3928" spans="1:6" ht="14.4">
      <c r="A3928">
        <v>20043</v>
      </c>
      <c r="B3928" t="s">
        <v>21756</v>
      </c>
      <c r="C3928" t="s">
        <v>2269</v>
      </c>
      <c r="D3928" t="s">
        <v>1857</v>
      </c>
      <c r="E3928" s="527" t="s">
        <v>7346</v>
      </c>
      <c r="F3928" s="220"/>
    </row>
    <row r="3929" spans="1:6" ht="14.4">
      <c r="A3929">
        <v>20044</v>
      </c>
      <c r="B3929" t="s">
        <v>21757</v>
      </c>
      <c r="C3929" t="s">
        <v>2269</v>
      </c>
      <c r="D3929" t="s">
        <v>1857</v>
      </c>
      <c r="E3929" s="527" t="s">
        <v>9914</v>
      </c>
      <c r="F3929" s="219"/>
    </row>
    <row r="3930" spans="1:6" ht="14.4">
      <c r="A3930">
        <v>20042</v>
      </c>
      <c r="B3930" t="s">
        <v>21758</v>
      </c>
      <c r="C3930" t="s">
        <v>2269</v>
      </c>
      <c r="D3930" t="s">
        <v>1857</v>
      </c>
      <c r="E3930" s="527" t="s">
        <v>6500</v>
      </c>
      <c r="F3930" s="220"/>
    </row>
    <row r="3931" spans="1:6" ht="14.4">
      <c r="A3931">
        <v>20046</v>
      </c>
      <c r="B3931" t="s">
        <v>21759</v>
      </c>
      <c r="C3931" t="s">
        <v>2269</v>
      </c>
      <c r="D3931" t="s">
        <v>1857</v>
      </c>
      <c r="E3931" s="527" t="s">
        <v>16438</v>
      </c>
      <c r="F3931" s="219"/>
    </row>
    <row r="3932" spans="1:6" ht="14.4">
      <c r="A3932">
        <v>20047</v>
      </c>
      <c r="B3932" t="s">
        <v>21760</v>
      </c>
      <c r="C3932" t="s">
        <v>2269</v>
      </c>
      <c r="D3932" t="s">
        <v>1857</v>
      </c>
      <c r="E3932" s="527" t="s">
        <v>7737</v>
      </c>
      <c r="F3932" s="220"/>
    </row>
    <row r="3933" spans="1:6" ht="14.4">
      <c r="A3933">
        <v>20045</v>
      </c>
      <c r="B3933" t="s">
        <v>21761</v>
      </c>
      <c r="C3933" t="s">
        <v>2269</v>
      </c>
      <c r="D3933" t="s">
        <v>1857</v>
      </c>
      <c r="E3933" s="527" t="s">
        <v>6035</v>
      </c>
      <c r="F3933" s="219"/>
    </row>
    <row r="3934" spans="1:6" ht="14.4">
      <c r="A3934">
        <v>20972</v>
      </c>
      <c r="B3934" t="s">
        <v>21762</v>
      </c>
      <c r="C3934" t="s">
        <v>2269</v>
      </c>
      <c r="D3934" t="s">
        <v>1857</v>
      </c>
      <c r="E3934" s="527" t="s">
        <v>20309</v>
      </c>
      <c r="F3934" s="220"/>
    </row>
    <row r="3935" spans="1:6" ht="14.4">
      <c r="A3935">
        <v>20032</v>
      </c>
      <c r="B3935" t="s">
        <v>21763</v>
      </c>
      <c r="C3935" t="s">
        <v>2269</v>
      </c>
      <c r="D3935" t="s">
        <v>2271</v>
      </c>
      <c r="E3935" s="527" t="s">
        <v>10041</v>
      </c>
      <c r="F3935" s="219"/>
    </row>
    <row r="3936" spans="1:6" ht="14.4">
      <c r="A3936">
        <v>11321</v>
      </c>
      <c r="B3936" t="s">
        <v>21764</v>
      </c>
      <c r="C3936" t="s">
        <v>2269</v>
      </c>
      <c r="D3936" t="s">
        <v>2271</v>
      </c>
      <c r="E3936" s="527" t="s">
        <v>6921</v>
      </c>
      <c r="F3936" s="220"/>
    </row>
    <row r="3937" spans="1:6" ht="14.4">
      <c r="A3937">
        <v>11323</v>
      </c>
      <c r="B3937" t="s">
        <v>21765</v>
      </c>
      <c r="C3937" t="s">
        <v>2269</v>
      </c>
      <c r="D3937" t="s">
        <v>2271</v>
      </c>
      <c r="E3937" s="527" t="s">
        <v>21766</v>
      </c>
      <c r="F3937" s="219"/>
    </row>
    <row r="3938" spans="1:6" ht="14.4">
      <c r="A3938">
        <v>20327</v>
      </c>
      <c r="B3938" t="s">
        <v>21767</v>
      </c>
      <c r="C3938" t="s">
        <v>2269</v>
      </c>
      <c r="D3938" t="s">
        <v>2271</v>
      </c>
      <c r="E3938" s="527" t="s">
        <v>3981</v>
      </c>
      <c r="F3938" s="220"/>
    </row>
    <row r="3939" spans="1:6" ht="14.4">
      <c r="A3939">
        <v>13390</v>
      </c>
      <c r="B3939" t="s">
        <v>21768</v>
      </c>
      <c r="C3939" t="s">
        <v>2269</v>
      </c>
      <c r="D3939" t="s">
        <v>2271</v>
      </c>
      <c r="E3939" s="527" t="s">
        <v>21769</v>
      </c>
      <c r="F3939" s="219"/>
    </row>
    <row r="3940" spans="1:6" ht="14.4">
      <c r="A3940">
        <v>6034</v>
      </c>
      <c r="B3940" t="s">
        <v>21770</v>
      </c>
      <c r="C3940" t="s">
        <v>2269</v>
      </c>
      <c r="D3940" t="s">
        <v>1857</v>
      </c>
      <c r="E3940" s="527" t="s">
        <v>16560</v>
      </c>
      <c r="F3940" s="220"/>
    </row>
    <row r="3941" spans="1:6" ht="14.4">
      <c r="A3941">
        <v>6036</v>
      </c>
      <c r="B3941" t="s">
        <v>21771</v>
      </c>
      <c r="C3941" t="s">
        <v>2269</v>
      </c>
      <c r="D3941" t="s">
        <v>1857</v>
      </c>
      <c r="E3941" s="527" t="s">
        <v>16154</v>
      </c>
      <c r="F3941" s="219"/>
    </row>
    <row r="3942" spans="1:6" ht="14.4">
      <c r="A3942">
        <v>6031</v>
      </c>
      <c r="B3942" t="s">
        <v>21772</v>
      </c>
      <c r="C3942" t="s">
        <v>2269</v>
      </c>
      <c r="D3942" t="s">
        <v>2268</v>
      </c>
      <c r="E3942" s="527" t="s">
        <v>10280</v>
      </c>
      <c r="F3942" s="220"/>
    </row>
    <row r="3943" spans="1:6" ht="14.4">
      <c r="A3943">
        <v>6029</v>
      </c>
      <c r="B3943" t="s">
        <v>21773</v>
      </c>
      <c r="C3943" t="s">
        <v>2269</v>
      </c>
      <c r="D3943" t="s">
        <v>1857</v>
      </c>
      <c r="E3943" s="527" t="s">
        <v>10220</v>
      </c>
      <c r="F3943" s="219"/>
    </row>
    <row r="3944" spans="1:6" ht="14.4">
      <c r="A3944">
        <v>6033</v>
      </c>
      <c r="B3944" t="s">
        <v>21774</v>
      </c>
      <c r="C3944" t="s">
        <v>2269</v>
      </c>
      <c r="D3944" t="s">
        <v>1857</v>
      </c>
      <c r="E3944" s="527" t="s">
        <v>17513</v>
      </c>
      <c r="F3944" s="220"/>
    </row>
    <row r="3945" spans="1:6" ht="14.4">
      <c r="A3945">
        <v>11672</v>
      </c>
      <c r="B3945" t="s">
        <v>21775</v>
      </c>
      <c r="C3945" t="s">
        <v>2269</v>
      </c>
      <c r="D3945" t="s">
        <v>1857</v>
      </c>
      <c r="E3945" s="527" t="s">
        <v>21776</v>
      </c>
      <c r="F3945" s="219"/>
    </row>
    <row r="3946" spans="1:6" ht="14.4">
      <c r="A3946">
        <v>11669</v>
      </c>
      <c r="B3946" t="s">
        <v>21777</v>
      </c>
      <c r="C3946" t="s">
        <v>2269</v>
      </c>
      <c r="D3946" t="s">
        <v>1857</v>
      </c>
      <c r="E3946" s="527" t="s">
        <v>21778</v>
      </c>
      <c r="F3946" s="220"/>
    </row>
    <row r="3947" spans="1:6" ht="14.4">
      <c r="A3947">
        <v>11670</v>
      </c>
      <c r="B3947" t="s">
        <v>21779</v>
      </c>
      <c r="C3947" t="s">
        <v>2269</v>
      </c>
      <c r="D3947" t="s">
        <v>1857</v>
      </c>
      <c r="E3947" s="527" t="s">
        <v>10095</v>
      </c>
      <c r="F3947" s="219"/>
    </row>
    <row r="3948" spans="1:6" ht="14.4">
      <c r="A3948">
        <v>20055</v>
      </c>
      <c r="B3948" t="s">
        <v>21780</v>
      </c>
      <c r="C3948" t="s">
        <v>2269</v>
      </c>
      <c r="D3948" t="s">
        <v>1857</v>
      </c>
      <c r="E3948" s="527" t="s">
        <v>21781</v>
      </c>
      <c r="F3948" s="220"/>
    </row>
    <row r="3949" spans="1:6" ht="14.4">
      <c r="A3949">
        <v>11671</v>
      </c>
      <c r="B3949" t="s">
        <v>21782</v>
      </c>
      <c r="C3949" t="s">
        <v>2269</v>
      </c>
      <c r="D3949" t="s">
        <v>1857</v>
      </c>
      <c r="E3949" s="527" t="s">
        <v>21783</v>
      </c>
      <c r="F3949" s="219"/>
    </row>
    <row r="3950" spans="1:6" ht="14.4">
      <c r="A3950">
        <v>6032</v>
      </c>
      <c r="B3950" t="s">
        <v>21784</v>
      </c>
      <c r="C3950" t="s">
        <v>2269</v>
      </c>
      <c r="D3950" t="s">
        <v>1857</v>
      </c>
      <c r="E3950" s="527" t="s">
        <v>18745</v>
      </c>
      <c r="F3950" s="220"/>
    </row>
    <row r="3951" spans="1:6" ht="14.4">
      <c r="A3951">
        <v>11673</v>
      </c>
      <c r="B3951" t="s">
        <v>21785</v>
      </c>
      <c r="C3951" t="s">
        <v>2269</v>
      </c>
      <c r="D3951" t="s">
        <v>1857</v>
      </c>
      <c r="E3951" s="527" t="s">
        <v>16565</v>
      </c>
      <c r="F3951" s="219"/>
    </row>
    <row r="3952" spans="1:6" ht="14.4">
      <c r="A3952">
        <v>11674</v>
      </c>
      <c r="B3952" t="s">
        <v>21786</v>
      </c>
      <c r="C3952" t="s">
        <v>2269</v>
      </c>
      <c r="D3952" t="s">
        <v>1857</v>
      </c>
      <c r="E3952" s="527" t="s">
        <v>10012</v>
      </c>
      <c r="F3952" s="220"/>
    </row>
    <row r="3953" spans="1:6" ht="14.4">
      <c r="A3953">
        <v>11675</v>
      </c>
      <c r="B3953" t="s">
        <v>21787</v>
      </c>
      <c r="C3953" t="s">
        <v>2269</v>
      </c>
      <c r="D3953" t="s">
        <v>1857</v>
      </c>
      <c r="E3953" s="527" t="s">
        <v>21788</v>
      </c>
      <c r="F3953" s="219"/>
    </row>
    <row r="3954" spans="1:6" ht="14.4">
      <c r="A3954">
        <v>11676</v>
      </c>
      <c r="B3954" t="s">
        <v>21789</v>
      </c>
      <c r="C3954" t="s">
        <v>2269</v>
      </c>
      <c r="D3954" t="s">
        <v>1857</v>
      </c>
      <c r="E3954" s="527" t="s">
        <v>21790</v>
      </c>
      <c r="F3954" s="220"/>
    </row>
    <row r="3955" spans="1:6" ht="14.4">
      <c r="A3955">
        <v>11677</v>
      </c>
      <c r="B3955" t="s">
        <v>21791</v>
      </c>
      <c r="C3955" t="s">
        <v>2269</v>
      </c>
      <c r="D3955" t="s">
        <v>1857</v>
      </c>
      <c r="E3955" s="527" t="s">
        <v>21792</v>
      </c>
      <c r="F3955" s="219"/>
    </row>
    <row r="3956" spans="1:6" ht="14.4">
      <c r="A3956">
        <v>11678</v>
      </c>
      <c r="B3956" t="s">
        <v>21793</v>
      </c>
      <c r="C3956" t="s">
        <v>2269</v>
      </c>
      <c r="D3956" t="s">
        <v>1857</v>
      </c>
      <c r="E3956" s="527" t="s">
        <v>21794</v>
      </c>
      <c r="F3956" s="220"/>
    </row>
    <row r="3957" spans="1:6" ht="14.4">
      <c r="A3957">
        <v>6038</v>
      </c>
      <c r="B3957" t="s">
        <v>21795</v>
      </c>
      <c r="C3957" t="s">
        <v>2269</v>
      </c>
      <c r="D3957" t="s">
        <v>1857</v>
      </c>
      <c r="E3957" s="527" t="s">
        <v>15838</v>
      </c>
      <c r="F3957" s="219"/>
    </row>
    <row r="3958" spans="1:6" ht="14.4">
      <c r="A3958">
        <v>11718</v>
      </c>
      <c r="B3958" t="s">
        <v>21796</v>
      </c>
      <c r="C3958" t="s">
        <v>2269</v>
      </c>
      <c r="D3958" t="s">
        <v>1857</v>
      </c>
      <c r="E3958" s="527" t="s">
        <v>3476</v>
      </c>
      <c r="F3958" s="220"/>
    </row>
    <row r="3959" spans="1:6" ht="14.4">
      <c r="A3959">
        <v>6037</v>
      </c>
      <c r="B3959" t="s">
        <v>21797</v>
      </c>
      <c r="C3959" t="s">
        <v>2269</v>
      </c>
      <c r="D3959" t="s">
        <v>1857</v>
      </c>
      <c r="E3959" s="527" t="s">
        <v>10747</v>
      </c>
      <c r="F3959" s="219"/>
    </row>
    <row r="3960" spans="1:6" ht="14.4">
      <c r="A3960">
        <v>11719</v>
      </c>
      <c r="B3960" t="s">
        <v>21798</v>
      </c>
      <c r="C3960" t="s">
        <v>2269</v>
      </c>
      <c r="D3960" t="s">
        <v>1857</v>
      </c>
      <c r="E3960" s="527" t="s">
        <v>10107</v>
      </c>
      <c r="F3960" s="220"/>
    </row>
    <row r="3961" spans="1:6" ht="14.4">
      <c r="A3961">
        <v>6019</v>
      </c>
      <c r="B3961" t="s">
        <v>21799</v>
      </c>
      <c r="C3961" t="s">
        <v>2269</v>
      </c>
      <c r="D3961" t="s">
        <v>1857</v>
      </c>
      <c r="E3961" s="527" t="s">
        <v>21800</v>
      </c>
      <c r="F3961" s="219"/>
    </row>
    <row r="3962" spans="1:6" ht="14.4">
      <c r="A3962">
        <v>6010</v>
      </c>
      <c r="B3962" t="s">
        <v>21801</v>
      </c>
      <c r="C3962" t="s">
        <v>2269</v>
      </c>
      <c r="D3962" t="s">
        <v>1857</v>
      </c>
      <c r="E3962" s="527" t="s">
        <v>21802</v>
      </c>
      <c r="F3962" s="220"/>
    </row>
    <row r="3963" spans="1:6" ht="14.4">
      <c r="A3963">
        <v>6017</v>
      </c>
      <c r="B3963" t="s">
        <v>21803</v>
      </c>
      <c r="C3963" t="s">
        <v>2269</v>
      </c>
      <c r="D3963" t="s">
        <v>1857</v>
      </c>
      <c r="E3963" s="527" t="s">
        <v>15677</v>
      </c>
      <c r="F3963" s="219"/>
    </row>
    <row r="3964" spans="1:6" ht="14.4">
      <c r="A3964">
        <v>6020</v>
      </c>
      <c r="B3964" t="s">
        <v>21804</v>
      </c>
      <c r="C3964" t="s">
        <v>2269</v>
      </c>
      <c r="D3964" t="s">
        <v>1857</v>
      </c>
      <c r="E3964" s="527" t="s">
        <v>18514</v>
      </c>
      <c r="F3964" s="220"/>
    </row>
    <row r="3965" spans="1:6" ht="14.4">
      <c r="A3965">
        <v>6028</v>
      </c>
      <c r="B3965" t="s">
        <v>21805</v>
      </c>
      <c r="C3965" t="s">
        <v>2269</v>
      </c>
      <c r="D3965" t="s">
        <v>1857</v>
      </c>
      <c r="E3965" s="527" t="s">
        <v>13325</v>
      </c>
      <c r="F3965" s="219"/>
    </row>
    <row r="3966" spans="1:6" ht="14.4">
      <c r="A3966">
        <v>6011</v>
      </c>
      <c r="B3966" t="s">
        <v>21806</v>
      </c>
      <c r="C3966" t="s">
        <v>2269</v>
      </c>
      <c r="D3966" t="s">
        <v>1857</v>
      </c>
      <c r="E3966" s="527" t="s">
        <v>21807</v>
      </c>
      <c r="F3966" s="220"/>
    </row>
    <row r="3967" spans="1:6" ht="14.4">
      <c r="A3967">
        <v>6012</v>
      </c>
      <c r="B3967" t="s">
        <v>21808</v>
      </c>
      <c r="C3967" t="s">
        <v>2269</v>
      </c>
      <c r="D3967" t="s">
        <v>1857</v>
      </c>
      <c r="E3967" s="527" t="s">
        <v>21809</v>
      </c>
      <c r="F3967" s="219"/>
    </row>
    <row r="3968" spans="1:6" ht="14.4">
      <c r="A3968">
        <v>6016</v>
      </c>
      <c r="B3968" t="s">
        <v>21810</v>
      </c>
      <c r="C3968" t="s">
        <v>2269</v>
      </c>
      <c r="D3968" t="s">
        <v>1857</v>
      </c>
      <c r="E3968" s="527" t="s">
        <v>18018</v>
      </c>
      <c r="F3968" s="220"/>
    </row>
    <row r="3969" spans="1:6" ht="14.4">
      <c r="A3969">
        <v>6027</v>
      </c>
      <c r="B3969" t="s">
        <v>21811</v>
      </c>
      <c r="C3969" t="s">
        <v>2269</v>
      </c>
      <c r="D3969" t="s">
        <v>1857</v>
      </c>
      <c r="E3969" s="527" t="s">
        <v>21812</v>
      </c>
      <c r="F3969" s="219"/>
    </row>
    <row r="3970" spans="1:6" ht="14.4">
      <c r="A3970">
        <v>6013</v>
      </c>
      <c r="B3970" t="s">
        <v>21813</v>
      </c>
      <c r="C3970" t="s">
        <v>2269</v>
      </c>
      <c r="D3970" t="s">
        <v>1857</v>
      </c>
      <c r="E3970" s="527" t="s">
        <v>16275</v>
      </c>
      <c r="F3970" s="220"/>
    </row>
    <row r="3971" spans="1:6" ht="14.4">
      <c r="A3971">
        <v>6015</v>
      </c>
      <c r="B3971" t="s">
        <v>21814</v>
      </c>
      <c r="C3971" t="s">
        <v>2269</v>
      </c>
      <c r="D3971" t="s">
        <v>1857</v>
      </c>
      <c r="E3971" s="527" t="s">
        <v>21815</v>
      </c>
      <c r="F3971" s="219"/>
    </row>
    <row r="3972" spans="1:6" ht="14.4">
      <c r="A3972">
        <v>6014</v>
      </c>
      <c r="B3972" t="s">
        <v>21816</v>
      </c>
      <c r="C3972" t="s">
        <v>2269</v>
      </c>
      <c r="D3972" t="s">
        <v>1857</v>
      </c>
      <c r="E3972" s="527" t="s">
        <v>21817</v>
      </c>
      <c r="F3972" s="220"/>
    </row>
    <row r="3973" spans="1:6" ht="14.4">
      <c r="A3973">
        <v>6006</v>
      </c>
      <c r="B3973" t="s">
        <v>21818</v>
      </c>
      <c r="C3973" t="s">
        <v>2269</v>
      </c>
      <c r="D3973" t="s">
        <v>1857</v>
      </c>
      <c r="E3973" s="527" t="s">
        <v>16546</v>
      </c>
      <c r="F3973" s="219"/>
    </row>
    <row r="3974" spans="1:6" ht="14.4">
      <c r="A3974">
        <v>6005</v>
      </c>
      <c r="B3974" t="s">
        <v>21819</v>
      </c>
      <c r="C3974" t="s">
        <v>2269</v>
      </c>
      <c r="D3974" t="s">
        <v>2268</v>
      </c>
      <c r="E3974" s="527" t="s">
        <v>21820</v>
      </c>
      <c r="F3974" s="220"/>
    </row>
    <row r="3975" spans="1:6" ht="14.4">
      <c r="A3975">
        <v>11756</v>
      </c>
      <c r="B3975" t="s">
        <v>21821</v>
      </c>
      <c r="C3975" t="s">
        <v>2269</v>
      </c>
      <c r="D3975" t="s">
        <v>1857</v>
      </c>
      <c r="E3975" s="527" t="s">
        <v>16577</v>
      </c>
      <c r="F3975" s="219"/>
    </row>
    <row r="3976" spans="1:6" ht="14.4">
      <c r="A3976">
        <v>10904</v>
      </c>
      <c r="B3976" t="s">
        <v>21822</v>
      </c>
      <c r="C3976" t="s">
        <v>2269</v>
      </c>
      <c r="D3976" t="s">
        <v>2268</v>
      </c>
      <c r="E3976" s="527" t="s">
        <v>21823</v>
      </c>
      <c r="F3976" s="220"/>
    </row>
    <row r="3977" spans="1:6" ht="14.4">
      <c r="A3977">
        <v>11752</v>
      </c>
      <c r="B3977" t="s">
        <v>21824</v>
      </c>
      <c r="C3977" t="s">
        <v>2269</v>
      </c>
      <c r="D3977" t="s">
        <v>1857</v>
      </c>
      <c r="E3977" s="527" t="s">
        <v>21825</v>
      </c>
      <c r="F3977" s="219"/>
    </row>
    <row r="3978" spans="1:6" ht="14.4">
      <c r="A3978">
        <v>11753</v>
      </c>
      <c r="B3978" t="s">
        <v>21826</v>
      </c>
      <c r="C3978" t="s">
        <v>2269</v>
      </c>
      <c r="D3978" t="s">
        <v>1857</v>
      </c>
      <c r="E3978" s="527" t="s">
        <v>21827</v>
      </c>
      <c r="F3978" s="220"/>
    </row>
    <row r="3979" spans="1:6" ht="14.4">
      <c r="A3979">
        <v>6021</v>
      </c>
      <c r="B3979" t="s">
        <v>21828</v>
      </c>
      <c r="C3979" t="s">
        <v>2269</v>
      </c>
      <c r="D3979" t="s">
        <v>1857</v>
      </c>
      <c r="E3979" s="527" t="s">
        <v>21829</v>
      </c>
      <c r="F3979" s="219"/>
    </row>
    <row r="3980" spans="1:6" ht="14.4">
      <c r="A3980">
        <v>6024</v>
      </c>
      <c r="B3980" t="s">
        <v>21830</v>
      </c>
      <c r="C3980" t="s">
        <v>2269</v>
      </c>
      <c r="D3980" t="s">
        <v>1857</v>
      </c>
      <c r="E3980" s="527" t="s">
        <v>14074</v>
      </c>
      <c r="F3980" s="220"/>
    </row>
    <row r="3981" spans="1:6" ht="14.4">
      <c r="A3981">
        <v>38379</v>
      </c>
      <c r="B3981" t="s">
        <v>21831</v>
      </c>
      <c r="C3981" t="s">
        <v>2273</v>
      </c>
      <c r="D3981" t="s">
        <v>1857</v>
      </c>
      <c r="E3981" s="527" t="s">
        <v>11664</v>
      </c>
      <c r="F3981" s="219"/>
    </row>
    <row r="3982" spans="1:6" ht="14.4">
      <c r="A3982">
        <v>13897</v>
      </c>
      <c r="B3982" t="s">
        <v>21832</v>
      </c>
      <c r="C3982" t="s">
        <v>2269</v>
      </c>
      <c r="D3982" t="s">
        <v>2271</v>
      </c>
      <c r="E3982" s="527" t="s">
        <v>15568</v>
      </c>
      <c r="F3982" s="220"/>
    </row>
    <row r="3983" spans="1:6" ht="14.4">
      <c r="A3983">
        <v>10640</v>
      </c>
      <c r="B3983" t="s">
        <v>21833</v>
      </c>
      <c r="C3983" t="s">
        <v>2269</v>
      </c>
      <c r="D3983" t="s">
        <v>2271</v>
      </c>
      <c r="E3983" s="527" t="s">
        <v>15569</v>
      </c>
      <c r="F3983" s="219"/>
    </row>
    <row r="3984" spans="1:6" ht="14.4">
      <c r="A3984">
        <v>11086</v>
      </c>
      <c r="B3984" t="s">
        <v>21834</v>
      </c>
      <c r="C3984" t="s">
        <v>2272</v>
      </c>
      <c r="D3984" t="s">
        <v>1857</v>
      </c>
      <c r="E3984" s="527" t="s">
        <v>21835</v>
      </c>
      <c r="F3984" s="220"/>
    </row>
    <row r="3985" spans="1:6" ht="14.4">
      <c r="A3985">
        <v>34357</v>
      </c>
      <c r="B3985" t="s">
        <v>21836</v>
      </c>
      <c r="C3985" t="s">
        <v>2274</v>
      </c>
      <c r="D3985" t="s">
        <v>1857</v>
      </c>
      <c r="E3985" s="527" t="s">
        <v>3784</v>
      </c>
      <c r="F3985" s="219"/>
    </row>
    <row r="3986" spans="1:6" ht="14.4">
      <c r="A3986">
        <v>37329</v>
      </c>
      <c r="B3986" t="s">
        <v>21837</v>
      </c>
      <c r="C3986" t="s">
        <v>2274</v>
      </c>
      <c r="D3986" t="s">
        <v>1857</v>
      </c>
      <c r="E3986" s="527" t="s">
        <v>21838</v>
      </c>
      <c r="F3986" s="220"/>
    </row>
    <row r="3987" spans="1:6" ht="14.4">
      <c r="A3987">
        <v>2510</v>
      </c>
      <c r="B3987" t="s">
        <v>21839</v>
      </c>
      <c r="C3987" t="s">
        <v>2269</v>
      </c>
      <c r="D3987" t="s">
        <v>2271</v>
      </c>
      <c r="E3987" s="527" t="s">
        <v>11662</v>
      </c>
      <c r="F3987" s="219"/>
    </row>
    <row r="3988" spans="1:6" ht="14.4">
      <c r="A3988">
        <v>12359</v>
      </c>
      <c r="B3988" t="s">
        <v>21840</v>
      </c>
      <c r="C3988" t="s">
        <v>2269</v>
      </c>
      <c r="D3988" t="s">
        <v>1857</v>
      </c>
      <c r="E3988" s="527" t="s">
        <v>21841</v>
      </c>
      <c r="F3988" s="220"/>
    </row>
    <row r="3989" spans="1:6" ht="14.4">
      <c r="A3989">
        <v>7353</v>
      </c>
      <c r="B3989" t="s">
        <v>21842</v>
      </c>
      <c r="C3989" t="s">
        <v>2275</v>
      </c>
      <c r="D3989" t="s">
        <v>1857</v>
      </c>
      <c r="E3989" s="527" t="s">
        <v>10018</v>
      </c>
      <c r="F3989" s="219"/>
    </row>
    <row r="3990" spans="1:6" ht="14.4">
      <c r="A3990">
        <v>36144</v>
      </c>
      <c r="B3990" t="s">
        <v>21843</v>
      </c>
      <c r="C3990" t="s">
        <v>2269</v>
      </c>
      <c r="D3990" t="s">
        <v>1857</v>
      </c>
      <c r="E3990" s="527" t="s">
        <v>7306</v>
      </c>
      <c r="F3990" s="220"/>
    </row>
    <row r="3991" spans="1:6" ht="14.4">
      <c r="A3991">
        <v>10518</v>
      </c>
      <c r="B3991" t="s">
        <v>21844</v>
      </c>
      <c r="C3991" t="s">
        <v>2269</v>
      </c>
      <c r="D3991" t="s">
        <v>2271</v>
      </c>
      <c r="E3991" s="527" t="s">
        <v>15570</v>
      </c>
      <c r="F3991" s="219"/>
    </row>
    <row r="3992" spans="1:6" ht="14.4">
      <c r="A3992">
        <v>36530</v>
      </c>
      <c r="B3992" t="s">
        <v>21845</v>
      </c>
      <c r="C3992" t="s">
        <v>2269</v>
      </c>
      <c r="D3992" t="s">
        <v>1857</v>
      </c>
      <c r="E3992" s="527" t="s">
        <v>21846</v>
      </c>
      <c r="F3992" s="220"/>
    </row>
    <row r="3993" spans="1:6" ht="14.4">
      <c r="A3993">
        <v>6046</v>
      </c>
      <c r="B3993" t="s">
        <v>21847</v>
      </c>
      <c r="C3993" t="s">
        <v>2269</v>
      </c>
      <c r="D3993" t="s">
        <v>2268</v>
      </c>
      <c r="E3993" s="527" t="s">
        <v>21848</v>
      </c>
      <c r="F3993" s="219"/>
    </row>
    <row r="3994" spans="1:6" ht="14.4">
      <c r="A3994">
        <v>36531</v>
      </c>
      <c r="B3994" t="s">
        <v>21849</v>
      </c>
      <c r="C3994" t="s">
        <v>2269</v>
      </c>
      <c r="D3994" t="s">
        <v>1857</v>
      </c>
      <c r="E3994" s="527" t="s">
        <v>21850</v>
      </c>
      <c r="F3994" s="220"/>
    </row>
    <row r="3995" spans="1:6" ht="14.4">
      <c r="A3995">
        <v>34684</v>
      </c>
      <c r="B3995" t="s">
        <v>21851</v>
      </c>
      <c r="C3995" t="s">
        <v>2270</v>
      </c>
      <c r="D3995" t="s">
        <v>2271</v>
      </c>
      <c r="E3995" s="527" t="s">
        <v>10301</v>
      </c>
      <c r="F3995" s="219"/>
    </row>
    <row r="3996" spans="1:6" ht="14.4">
      <c r="A3996">
        <v>34683</v>
      </c>
      <c r="B3996" t="s">
        <v>21852</v>
      </c>
      <c r="C3996" t="s">
        <v>2270</v>
      </c>
      <c r="D3996" t="s">
        <v>2271</v>
      </c>
      <c r="E3996" s="527" t="s">
        <v>15571</v>
      </c>
      <c r="F3996" s="220"/>
    </row>
    <row r="3997" spans="1:6" ht="14.4">
      <c r="A3997">
        <v>533</v>
      </c>
      <c r="B3997" t="s">
        <v>21853</v>
      </c>
      <c r="C3997" t="s">
        <v>2270</v>
      </c>
      <c r="D3997" t="s">
        <v>1857</v>
      </c>
      <c r="E3997" s="527" t="s">
        <v>11179</v>
      </c>
      <c r="F3997" s="219"/>
    </row>
    <row r="3998" spans="1:6" ht="14.4">
      <c r="A3998">
        <v>10515</v>
      </c>
      <c r="B3998" t="s">
        <v>21854</v>
      </c>
      <c r="C3998" t="s">
        <v>2270</v>
      </c>
      <c r="D3998" t="s">
        <v>1857</v>
      </c>
      <c r="E3998" s="527" t="s">
        <v>15822</v>
      </c>
      <c r="F3998" s="220"/>
    </row>
    <row r="3999" spans="1:6" ht="14.4">
      <c r="A3999">
        <v>536</v>
      </c>
      <c r="B3999" t="s">
        <v>21855</v>
      </c>
      <c r="C3999" t="s">
        <v>2270</v>
      </c>
      <c r="D3999" t="s">
        <v>2268</v>
      </c>
      <c r="E3999" s="527" t="s">
        <v>16199</v>
      </c>
      <c r="F3999" s="219"/>
    </row>
    <row r="4000" spans="1:6" ht="14.4">
      <c r="A4000">
        <v>153</v>
      </c>
      <c r="B4000" t="s">
        <v>21856</v>
      </c>
      <c r="C4000" t="s">
        <v>2275</v>
      </c>
      <c r="D4000" t="s">
        <v>1857</v>
      </c>
      <c r="E4000" s="527" t="s">
        <v>11848</v>
      </c>
      <c r="F4000" s="220"/>
    </row>
    <row r="4001" spans="1:6" ht="14.4">
      <c r="A4001">
        <v>34682</v>
      </c>
      <c r="B4001" t="s">
        <v>21857</v>
      </c>
      <c r="C4001" t="s">
        <v>2270</v>
      </c>
      <c r="D4001" t="s">
        <v>2271</v>
      </c>
      <c r="E4001" s="527" t="s">
        <v>10641</v>
      </c>
      <c r="F4001" s="219"/>
    </row>
    <row r="4002" spans="1:6" ht="14.4">
      <c r="A4002">
        <v>20205</v>
      </c>
      <c r="B4002" t="s">
        <v>21858</v>
      </c>
      <c r="C4002" t="s">
        <v>2273</v>
      </c>
      <c r="D4002" t="s">
        <v>1857</v>
      </c>
      <c r="E4002" s="527" t="s">
        <v>7953</v>
      </c>
      <c r="F4002" s="220"/>
    </row>
    <row r="4003" spans="1:6" ht="14.4">
      <c r="A4003">
        <v>4412</v>
      </c>
      <c r="B4003" t="s">
        <v>21859</v>
      </c>
      <c r="C4003" t="s">
        <v>2273</v>
      </c>
      <c r="D4003" t="s">
        <v>1857</v>
      </c>
      <c r="E4003" s="527" t="s">
        <v>7254</v>
      </c>
      <c r="F4003" s="219"/>
    </row>
    <row r="4004" spans="1:6" ht="14.4">
      <c r="A4004">
        <v>4408</v>
      </c>
      <c r="B4004" t="s">
        <v>21860</v>
      </c>
      <c r="C4004" t="s">
        <v>2273</v>
      </c>
      <c r="D4004" t="s">
        <v>1857</v>
      </c>
      <c r="E4004" s="527" t="s">
        <v>3387</v>
      </c>
      <c r="F4004" s="220"/>
    </row>
    <row r="4005" spans="1:6" ht="14.4">
      <c r="A4005">
        <v>10559</v>
      </c>
      <c r="B4005" t="s">
        <v>21861</v>
      </c>
      <c r="C4005" t="s">
        <v>2269</v>
      </c>
      <c r="D4005" t="s">
        <v>2268</v>
      </c>
      <c r="E4005" s="527" t="s">
        <v>21862</v>
      </c>
      <c r="F4005" s="219"/>
    </row>
    <row r="4006" spans="1:6" ht="14.4">
      <c r="A4006">
        <v>10664</v>
      </c>
      <c r="B4006" t="s">
        <v>21863</v>
      </c>
      <c r="C4006" t="s">
        <v>2269</v>
      </c>
      <c r="D4006" t="s">
        <v>1857</v>
      </c>
      <c r="E4006" s="527" t="s">
        <v>21864</v>
      </c>
      <c r="F4006" s="220"/>
    </row>
    <row r="4007" spans="1:6" ht="14.4">
      <c r="A4007">
        <v>36250</v>
      </c>
      <c r="B4007" t="s">
        <v>21865</v>
      </c>
      <c r="C4007" t="s">
        <v>2273</v>
      </c>
      <c r="D4007" t="s">
        <v>1857</v>
      </c>
      <c r="E4007" s="527" t="s">
        <v>7362</v>
      </c>
      <c r="F4007" s="219"/>
    </row>
    <row r="4008" spans="1:6" ht="14.4">
      <c r="A4008">
        <v>10857</v>
      </c>
      <c r="B4008" t="s">
        <v>21866</v>
      </c>
      <c r="C4008" t="s">
        <v>2273</v>
      </c>
      <c r="D4008" t="s">
        <v>1857</v>
      </c>
      <c r="E4008" s="527" t="s">
        <v>7259</v>
      </c>
      <c r="F4008" s="220"/>
    </row>
    <row r="4009" spans="1:6" ht="14.4">
      <c r="A4009">
        <v>4803</v>
      </c>
      <c r="B4009" t="s">
        <v>21867</v>
      </c>
      <c r="C4009" t="s">
        <v>2273</v>
      </c>
      <c r="D4009" t="s">
        <v>1857</v>
      </c>
      <c r="E4009" s="527" t="s">
        <v>18638</v>
      </c>
      <c r="F4009" s="219"/>
    </row>
    <row r="4010" spans="1:6" ht="14.4">
      <c r="A4010">
        <v>6186</v>
      </c>
      <c r="B4010" t="s">
        <v>21868</v>
      </c>
      <c r="C4010" t="s">
        <v>2273</v>
      </c>
      <c r="D4010" t="s">
        <v>1857</v>
      </c>
      <c r="E4010" s="527" t="s">
        <v>10111</v>
      </c>
      <c r="F4010" s="220"/>
    </row>
    <row r="4011" spans="1:6" ht="14.4">
      <c r="A4011">
        <v>4829</v>
      </c>
      <c r="B4011" t="s">
        <v>21869</v>
      </c>
      <c r="C4011" t="s">
        <v>2273</v>
      </c>
      <c r="D4011" t="s">
        <v>1857</v>
      </c>
      <c r="E4011" s="527" t="s">
        <v>10332</v>
      </c>
      <c r="F4011" s="219"/>
    </row>
    <row r="4012" spans="1:6" ht="14.4">
      <c r="A4012">
        <v>39829</v>
      </c>
      <c r="B4012" t="s">
        <v>21870</v>
      </c>
      <c r="C4012" t="s">
        <v>2273</v>
      </c>
      <c r="D4012" t="s">
        <v>2271</v>
      </c>
      <c r="E4012" s="527" t="s">
        <v>10770</v>
      </c>
      <c r="F4012" s="220"/>
    </row>
    <row r="4013" spans="1:6" ht="14.4">
      <c r="A4013">
        <v>20231</v>
      </c>
      <c r="B4013" t="s">
        <v>21871</v>
      </c>
      <c r="C4013" t="s">
        <v>2273</v>
      </c>
      <c r="D4013" t="s">
        <v>1857</v>
      </c>
      <c r="E4013" s="527" t="s">
        <v>5042</v>
      </c>
      <c r="F4013" s="219"/>
    </row>
    <row r="4014" spans="1:6" ht="14.4">
      <c r="A4014">
        <v>4804</v>
      </c>
      <c r="B4014" t="s">
        <v>21872</v>
      </c>
      <c r="C4014" t="s">
        <v>2273</v>
      </c>
      <c r="D4014" t="s">
        <v>1857</v>
      </c>
      <c r="E4014" s="527" t="s">
        <v>10024</v>
      </c>
      <c r="F4014" s="220"/>
    </row>
    <row r="4015" spans="1:6" ht="14.4">
      <c r="A4015">
        <v>34680</v>
      </c>
      <c r="B4015" t="s">
        <v>21873</v>
      </c>
      <c r="C4015" t="s">
        <v>2273</v>
      </c>
      <c r="D4015" t="s">
        <v>2271</v>
      </c>
      <c r="E4015" s="527" t="s">
        <v>9553</v>
      </c>
      <c r="F4015" s="219"/>
    </row>
    <row r="4016" spans="1:6" ht="14.4">
      <c r="A4016">
        <v>11573</v>
      </c>
      <c r="B4016" t="s">
        <v>21874</v>
      </c>
      <c r="C4016" t="s">
        <v>2269</v>
      </c>
      <c r="D4016" t="s">
        <v>1857</v>
      </c>
      <c r="E4016" s="527" t="s">
        <v>16440</v>
      </c>
      <c r="F4016" s="220"/>
    </row>
    <row r="4017" spans="1:6" ht="14.4">
      <c r="A4017">
        <v>38401</v>
      </c>
      <c r="B4017" t="s">
        <v>21875</v>
      </c>
      <c r="C4017" t="s">
        <v>2269</v>
      </c>
      <c r="D4017" t="s">
        <v>1857</v>
      </c>
      <c r="E4017" s="527" t="s">
        <v>4525</v>
      </c>
      <c r="F4017" s="219"/>
    </row>
    <row r="4018" spans="1:6" ht="14.4">
      <c r="A4018">
        <v>11575</v>
      </c>
      <c r="B4018" t="s">
        <v>21876</v>
      </c>
      <c r="C4018" t="s">
        <v>2269</v>
      </c>
      <c r="D4018" t="s">
        <v>1857</v>
      </c>
      <c r="E4018" s="527" t="s">
        <v>16197</v>
      </c>
      <c r="F4018" s="220"/>
    </row>
    <row r="4019" spans="1:6" ht="14.4">
      <c r="A4019">
        <v>38179</v>
      </c>
      <c r="B4019" t="s">
        <v>21877</v>
      </c>
      <c r="C4019" t="s">
        <v>2269</v>
      </c>
      <c r="D4019" t="s">
        <v>1857</v>
      </c>
      <c r="E4019" s="527" t="s">
        <v>21878</v>
      </c>
      <c r="F4019" s="219"/>
    </row>
    <row r="4020" spans="1:6" ht="14.4">
      <c r="A4020">
        <v>20256</v>
      </c>
      <c r="B4020" t="s">
        <v>21879</v>
      </c>
      <c r="C4020" t="s">
        <v>2269</v>
      </c>
      <c r="D4020" t="s">
        <v>1857</v>
      </c>
      <c r="E4020" s="527" t="s">
        <v>3946</v>
      </c>
      <c r="F4020" s="220"/>
    </row>
    <row r="4021" spans="1:6" ht="14.4">
      <c r="A4021">
        <v>14511</v>
      </c>
      <c r="B4021" t="s">
        <v>21880</v>
      </c>
      <c r="C4021" t="s">
        <v>2269</v>
      </c>
      <c r="D4021" t="s">
        <v>2271</v>
      </c>
      <c r="E4021" s="527" t="s">
        <v>21881</v>
      </c>
      <c r="F4021" s="219"/>
    </row>
    <row r="4022" spans="1:6" ht="14.4">
      <c r="A4022">
        <v>10642</v>
      </c>
      <c r="B4022" t="s">
        <v>21882</v>
      </c>
      <c r="C4022" t="s">
        <v>2269</v>
      </c>
      <c r="D4022" t="s">
        <v>2271</v>
      </c>
      <c r="E4022" s="527" t="s">
        <v>21883</v>
      </c>
      <c r="F4022" s="220"/>
    </row>
    <row r="4023" spans="1:6" ht="14.4">
      <c r="A4023">
        <v>14489</v>
      </c>
      <c r="B4023" t="s">
        <v>21884</v>
      </c>
      <c r="C4023" t="s">
        <v>2269</v>
      </c>
      <c r="D4023" t="s">
        <v>2271</v>
      </c>
      <c r="E4023" s="527" t="s">
        <v>21885</v>
      </c>
      <c r="F4023" s="219"/>
    </row>
    <row r="4024" spans="1:6" ht="14.4">
      <c r="A4024">
        <v>14513</v>
      </c>
      <c r="B4024" t="s">
        <v>21886</v>
      </c>
      <c r="C4024" t="s">
        <v>2269</v>
      </c>
      <c r="D4024" t="s">
        <v>2271</v>
      </c>
      <c r="E4024" s="527" t="s">
        <v>21887</v>
      </c>
      <c r="F4024" s="220"/>
    </row>
    <row r="4025" spans="1:6" ht="14.4">
      <c r="A4025">
        <v>13600</v>
      </c>
      <c r="B4025" t="s">
        <v>21888</v>
      </c>
      <c r="C4025" t="s">
        <v>2269</v>
      </c>
      <c r="D4025" t="s">
        <v>2271</v>
      </c>
      <c r="E4025" s="527" t="s">
        <v>21889</v>
      </c>
      <c r="F4025" s="219"/>
    </row>
    <row r="4026" spans="1:6" ht="14.4">
      <c r="A4026">
        <v>10646</v>
      </c>
      <c r="B4026" t="s">
        <v>21890</v>
      </c>
      <c r="C4026" t="s">
        <v>2269</v>
      </c>
      <c r="D4026" t="s">
        <v>2271</v>
      </c>
      <c r="E4026" s="527" t="s">
        <v>21891</v>
      </c>
      <c r="F4026" s="220"/>
    </row>
    <row r="4027" spans="1:6" ht="14.4">
      <c r="A4027">
        <v>6070</v>
      </c>
      <c r="B4027" t="s">
        <v>21892</v>
      </c>
      <c r="C4027" t="s">
        <v>2269</v>
      </c>
      <c r="D4027" t="s">
        <v>2271</v>
      </c>
      <c r="E4027" s="527" t="s">
        <v>21893</v>
      </c>
      <c r="F4027" s="219"/>
    </row>
    <row r="4028" spans="1:6" ht="14.4">
      <c r="A4028">
        <v>6069</v>
      </c>
      <c r="B4028" t="s">
        <v>21894</v>
      </c>
      <c r="C4028" t="s">
        <v>2269</v>
      </c>
      <c r="D4028" t="s">
        <v>2271</v>
      </c>
      <c r="E4028" s="527" t="s">
        <v>21895</v>
      </c>
      <c r="F4028" s="220"/>
    </row>
    <row r="4029" spans="1:6" ht="14.4">
      <c r="A4029">
        <v>14626</v>
      </c>
      <c r="B4029" t="s">
        <v>21896</v>
      </c>
      <c r="C4029" t="s">
        <v>2269</v>
      </c>
      <c r="D4029" t="s">
        <v>2271</v>
      </c>
      <c r="E4029" s="527" t="s">
        <v>21897</v>
      </c>
      <c r="F4029" s="219"/>
    </row>
    <row r="4030" spans="1:6" ht="14.4">
      <c r="A4030">
        <v>6067</v>
      </c>
      <c r="B4030" t="s">
        <v>21898</v>
      </c>
      <c r="C4030" t="s">
        <v>2269</v>
      </c>
      <c r="D4030" t="s">
        <v>2271</v>
      </c>
      <c r="E4030" s="527" t="s">
        <v>21899</v>
      </c>
      <c r="F4030" s="220"/>
    </row>
    <row r="4031" spans="1:6" ht="14.4">
      <c r="A4031">
        <v>38393</v>
      </c>
      <c r="B4031" t="s">
        <v>21900</v>
      </c>
      <c r="C4031" t="s">
        <v>2269</v>
      </c>
      <c r="D4031" t="s">
        <v>2268</v>
      </c>
      <c r="E4031" s="527" t="s">
        <v>10714</v>
      </c>
      <c r="F4031" s="219"/>
    </row>
    <row r="4032" spans="1:6" ht="14.4">
      <c r="A4032">
        <v>38390</v>
      </c>
      <c r="B4032" t="s">
        <v>21901</v>
      </c>
      <c r="C4032" t="s">
        <v>2269</v>
      </c>
      <c r="D4032" t="s">
        <v>1857</v>
      </c>
      <c r="E4032" s="527" t="s">
        <v>11796</v>
      </c>
      <c r="F4032" s="220"/>
    </row>
    <row r="4033" spans="1:6" ht="14.4">
      <c r="A4033">
        <v>36532</v>
      </c>
      <c r="B4033" t="s">
        <v>21902</v>
      </c>
      <c r="C4033" t="s">
        <v>2269</v>
      </c>
      <c r="D4033" t="s">
        <v>2271</v>
      </c>
      <c r="E4033" s="527" t="s">
        <v>21903</v>
      </c>
      <c r="F4033" s="219"/>
    </row>
    <row r="4034" spans="1:6" ht="14.4">
      <c r="A4034">
        <v>11578</v>
      </c>
      <c r="B4034" t="s">
        <v>21904</v>
      </c>
      <c r="C4034" t="s">
        <v>2269</v>
      </c>
      <c r="D4034" t="s">
        <v>1857</v>
      </c>
      <c r="E4034" s="527" t="s">
        <v>10005</v>
      </c>
      <c r="F4034" s="220"/>
    </row>
    <row r="4035" spans="1:6" ht="14.4">
      <c r="A4035">
        <v>11577</v>
      </c>
      <c r="B4035" t="s">
        <v>21905</v>
      </c>
      <c r="C4035" t="s">
        <v>2269</v>
      </c>
      <c r="D4035" t="s">
        <v>1857</v>
      </c>
      <c r="E4035" s="527" t="s">
        <v>7337</v>
      </c>
      <c r="F4035" s="219"/>
    </row>
    <row r="4036" spans="1:6" ht="14.4">
      <c r="A4036">
        <v>42432</v>
      </c>
      <c r="B4036" t="s">
        <v>21906</v>
      </c>
      <c r="C4036" t="s">
        <v>2269</v>
      </c>
      <c r="D4036" t="s">
        <v>2271</v>
      </c>
      <c r="E4036" s="527" t="s">
        <v>21907</v>
      </c>
      <c r="F4036" s="220"/>
    </row>
    <row r="4037" spans="1:6" ht="14.4">
      <c r="A4037">
        <v>42437</v>
      </c>
      <c r="B4037" t="s">
        <v>21908</v>
      </c>
      <c r="C4037" t="s">
        <v>2269</v>
      </c>
      <c r="D4037" t="s">
        <v>2271</v>
      </c>
      <c r="E4037" s="527" t="s">
        <v>21909</v>
      </c>
      <c r="F4037" s="219"/>
    </row>
    <row r="4038" spans="1:6" ht="14.4">
      <c r="A4038">
        <v>1116</v>
      </c>
      <c r="B4038" t="s">
        <v>21910</v>
      </c>
      <c r="C4038" t="s">
        <v>2273</v>
      </c>
      <c r="D4038" t="s">
        <v>1857</v>
      </c>
      <c r="E4038" s="527" t="s">
        <v>5610</v>
      </c>
      <c r="F4038" s="220"/>
    </row>
    <row r="4039" spans="1:6" ht="14.4">
      <c r="A4039">
        <v>1115</v>
      </c>
      <c r="B4039" t="s">
        <v>21911</v>
      </c>
      <c r="C4039" t="s">
        <v>2273</v>
      </c>
      <c r="D4039" t="s">
        <v>1857</v>
      </c>
      <c r="E4039" s="527" t="s">
        <v>7539</v>
      </c>
      <c r="F4039" s="219"/>
    </row>
    <row r="4040" spans="1:6" ht="14.4">
      <c r="A4040">
        <v>1113</v>
      </c>
      <c r="B4040" t="s">
        <v>21912</v>
      </c>
      <c r="C4040" t="s">
        <v>2273</v>
      </c>
      <c r="D4040" t="s">
        <v>1857</v>
      </c>
      <c r="E4040" s="527" t="s">
        <v>10729</v>
      </c>
      <c r="F4040" s="220"/>
    </row>
    <row r="4041" spans="1:6" ht="14.4">
      <c r="A4041">
        <v>1114</v>
      </c>
      <c r="B4041" t="s">
        <v>21913</v>
      </c>
      <c r="C4041" t="s">
        <v>2273</v>
      </c>
      <c r="D4041" t="s">
        <v>1857</v>
      </c>
      <c r="E4041" s="527" t="s">
        <v>17937</v>
      </c>
      <c r="F4041" s="219"/>
    </row>
    <row r="4042" spans="1:6" ht="14.4">
      <c r="A4042">
        <v>40873</v>
      </c>
      <c r="B4042" t="s">
        <v>21914</v>
      </c>
      <c r="C4042" t="s">
        <v>2273</v>
      </c>
      <c r="D4042" t="s">
        <v>1857</v>
      </c>
      <c r="E4042" s="527" t="s">
        <v>10776</v>
      </c>
      <c r="F4042" s="220"/>
    </row>
    <row r="4043" spans="1:6" ht="14.4">
      <c r="A4043">
        <v>20214</v>
      </c>
      <c r="B4043" t="s">
        <v>21915</v>
      </c>
      <c r="C4043" t="s">
        <v>2269</v>
      </c>
      <c r="D4043" t="s">
        <v>1857</v>
      </c>
      <c r="E4043" s="527" t="s">
        <v>10330</v>
      </c>
      <c r="F4043" s="219"/>
    </row>
    <row r="4044" spans="1:6" ht="14.4">
      <c r="A4044">
        <v>11064</v>
      </c>
      <c r="B4044" t="s">
        <v>21916</v>
      </c>
      <c r="C4044" t="s">
        <v>2269</v>
      </c>
      <c r="D4044" t="s">
        <v>1857</v>
      </c>
      <c r="E4044" s="527" t="s">
        <v>10347</v>
      </c>
      <c r="F4044" s="220"/>
    </row>
    <row r="4045" spans="1:6" ht="14.4">
      <c r="A4045">
        <v>7237</v>
      </c>
      <c r="B4045" t="s">
        <v>21917</v>
      </c>
      <c r="C4045" t="s">
        <v>2269</v>
      </c>
      <c r="D4045" t="s">
        <v>1857</v>
      </c>
      <c r="E4045" s="527" t="s">
        <v>7450</v>
      </c>
      <c r="F4045" s="219"/>
    </row>
    <row r="4046" spans="1:6" ht="14.4">
      <c r="A4046">
        <v>11757</v>
      </c>
      <c r="B4046" t="s">
        <v>21918</v>
      </c>
      <c r="C4046" t="s">
        <v>2269</v>
      </c>
      <c r="D4046" t="s">
        <v>2268</v>
      </c>
      <c r="E4046" s="527" t="s">
        <v>10727</v>
      </c>
      <c r="F4046" s="220"/>
    </row>
    <row r="4047" spans="1:6" ht="14.4">
      <c r="A4047">
        <v>11758</v>
      </c>
      <c r="B4047" t="s">
        <v>21919</v>
      </c>
      <c r="C4047" t="s">
        <v>2269</v>
      </c>
      <c r="D4047" t="s">
        <v>2268</v>
      </c>
      <c r="E4047" s="527" t="s">
        <v>15820</v>
      </c>
      <c r="F4047" s="219"/>
    </row>
    <row r="4048" spans="1:6" ht="14.4">
      <c r="A4048">
        <v>37526</v>
      </c>
      <c r="B4048" t="s">
        <v>21920</v>
      </c>
      <c r="C4048" t="s">
        <v>2269</v>
      </c>
      <c r="D4048" t="s">
        <v>2271</v>
      </c>
      <c r="E4048" s="527" t="s">
        <v>15815</v>
      </c>
      <c r="F4048" s="220"/>
    </row>
    <row r="4049" spans="1:6" ht="14.4">
      <c r="A4049">
        <v>6076</v>
      </c>
      <c r="B4049" t="s">
        <v>21921</v>
      </c>
      <c r="C4049" t="s">
        <v>2272</v>
      </c>
      <c r="D4049" t="s">
        <v>2268</v>
      </c>
      <c r="E4049" s="527" t="s">
        <v>21922</v>
      </c>
      <c r="F4049" s="219"/>
    </row>
    <row r="4050" spans="1:6" ht="14.4">
      <c r="A4050">
        <v>13109</v>
      </c>
      <c r="B4050" t="s">
        <v>21923</v>
      </c>
      <c r="C4050" t="s">
        <v>2269</v>
      </c>
      <c r="D4050" t="s">
        <v>2271</v>
      </c>
      <c r="E4050" s="527" t="s">
        <v>21924</v>
      </c>
      <c r="F4050" s="220"/>
    </row>
    <row r="4051" spans="1:6" ht="14.4">
      <c r="A4051">
        <v>13110</v>
      </c>
      <c r="B4051" t="s">
        <v>21925</v>
      </c>
      <c r="C4051" t="s">
        <v>2269</v>
      </c>
      <c r="D4051" t="s">
        <v>2271</v>
      </c>
      <c r="E4051" s="527" t="s">
        <v>21926</v>
      </c>
      <c r="F4051" s="219"/>
    </row>
    <row r="4052" spans="1:6" ht="14.4">
      <c r="A4052">
        <v>7581</v>
      </c>
      <c r="B4052" t="s">
        <v>21927</v>
      </c>
      <c r="C4052" t="s">
        <v>2269</v>
      </c>
      <c r="D4052" t="s">
        <v>1857</v>
      </c>
      <c r="E4052" s="527" t="s">
        <v>7234</v>
      </c>
      <c r="F4052" s="220"/>
    </row>
    <row r="4053" spans="1:6" ht="14.4">
      <c r="A4053">
        <v>4509</v>
      </c>
      <c r="B4053" t="s">
        <v>21928</v>
      </c>
      <c r="C4053" t="s">
        <v>2273</v>
      </c>
      <c r="D4053" t="s">
        <v>1857</v>
      </c>
      <c r="E4053" s="527" t="s">
        <v>3493</v>
      </c>
      <c r="F4053" s="219"/>
    </row>
    <row r="4054" spans="1:6" ht="14.4">
      <c r="A4054">
        <v>4512</v>
      </c>
      <c r="B4054" t="s">
        <v>21929</v>
      </c>
      <c r="C4054" t="s">
        <v>2273</v>
      </c>
      <c r="D4054" t="s">
        <v>1857</v>
      </c>
      <c r="E4054" s="527" t="s">
        <v>7240</v>
      </c>
      <c r="F4054" s="220"/>
    </row>
    <row r="4055" spans="1:6" ht="14.4">
      <c r="A4055">
        <v>4517</v>
      </c>
      <c r="B4055" t="s">
        <v>21930</v>
      </c>
      <c r="C4055" t="s">
        <v>2273</v>
      </c>
      <c r="D4055" t="s">
        <v>1857</v>
      </c>
      <c r="E4055" s="527" t="s">
        <v>6026</v>
      </c>
      <c r="F4055" s="219"/>
    </row>
    <row r="4056" spans="1:6" ht="14.4">
      <c r="A4056">
        <v>20206</v>
      </c>
      <c r="B4056" t="s">
        <v>21931</v>
      </c>
      <c r="C4056" t="s">
        <v>2273</v>
      </c>
      <c r="D4056" t="s">
        <v>1857</v>
      </c>
      <c r="E4056" s="527" t="s">
        <v>7317</v>
      </c>
      <c r="F4056" s="220"/>
    </row>
    <row r="4057" spans="1:6" ht="14.4">
      <c r="A4057">
        <v>4460</v>
      </c>
      <c r="B4057" t="s">
        <v>21932</v>
      </c>
      <c r="C4057" t="s">
        <v>2273</v>
      </c>
      <c r="D4057" t="s">
        <v>1857</v>
      </c>
      <c r="E4057" s="527" t="s">
        <v>9618</v>
      </c>
      <c r="F4057" s="219"/>
    </row>
    <row r="4058" spans="1:6" ht="14.4">
      <c r="A4058">
        <v>4417</v>
      </c>
      <c r="B4058" t="s">
        <v>21933</v>
      </c>
      <c r="C4058" t="s">
        <v>2273</v>
      </c>
      <c r="D4058" t="s">
        <v>1857</v>
      </c>
      <c r="E4058" s="527" t="s">
        <v>5260</v>
      </c>
      <c r="F4058" s="220"/>
    </row>
    <row r="4059" spans="1:6" ht="14.4">
      <c r="A4059">
        <v>4415</v>
      </c>
      <c r="B4059" t="s">
        <v>21934</v>
      </c>
      <c r="C4059" t="s">
        <v>2273</v>
      </c>
      <c r="D4059" t="s">
        <v>1857</v>
      </c>
      <c r="E4059" s="527" t="s">
        <v>7634</v>
      </c>
      <c r="F4059" s="219"/>
    </row>
    <row r="4060" spans="1:6" ht="14.4">
      <c r="A4060">
        <v>37373</v>
      </c>
      <c r="B4060" t="s">
        <v>21935</v>
      </c>
      <c r="C4060" t="s">
        <v>2267</v>
      </c>
      <c r="D4060" t="s">
        <v>2268</v>
      </c>
      <c r="E4060" s="527" t="s">
        <v>3368</v>
      </c>
      <c r="F4060" s="220"/>
    </row>
    <row r="4061" spans="1:6" ht="14.4">
      <c r="A4061">
        <v>40864</v>
      </c>
      <c r="B4061" t="s">
        <v>21936</v>
      </c>
      <c r="C4061" t="s">
        <v>2276</v>
      </c>
      <c r="D4061" t="s">
        <v>2268</v>
      </c>
      <c r="E4061" s="527" t="s">
        <v>4837</v>
      </c>
      <c r="F4061" s="219"/>
    </row>
    <row r="4062" spans="1:6" ht="14.4">
      <c r="A4062">
        <v>4734</v>
      </c>
      <c r="B4062" t="s">
        <v>21937</v>
      </c>
      <c r="C4062" t="s">
        <v>2272</v>
      </c>
      <c r="D4062" t="s">
        <v>1857</v>
      </c>
      <c r="E4062" s="527" t="s">
        <v>21938</v>
      </c>
      <c r="F4062" s="220"/>
    </row>
    <row r="4063" spans="1:6" ht="14.4">
      <c r="A4063">
        <v>6085</v>
      </c>
      <c r="B4063" t="s">
        <v>21939</v>
      </c>
      <c r="C4063" t="s">
        <v>2275</v>
      </c>
      <c r="D4063" t="s">
        <v>2268</v>
      </c>
      <c r="E4063" s="527" t="s">
        <v>10710</v>
      </c>
      <c r="F4063" s="219"/>
    </row>
    <row r="4064" spans="1:6" ht="14.4">
      <c r="A4064">
        <v>38396</v>
      </c>
      <c r="B4064" t="s">
        <v>21940</v>
      </c>
      <c r="C4064" t="s">
        <v>2269</v>
      </c>
      <c r="D4064" t="s">
        <v>1857</v>
      </c>
      <c r="E4064" s="527" t="s">
        <v>21941</v>
      </c>
      <c r="F4064" s="220"/>
    </row>
    <row r="4065" spans="1:6" ht="14.4">
      <c r="A4065">
        <v>11622</v>
      </c>
      <c r="B4065" t="s">
        <v>21942</v>
      </c>
      <c r="C4065" t="s">
        <v>2274</v>
      </c>
      <c r="D4065" t="s">
        <v>1857</v>
      </c>
      <c r="E4065" s="527" t="s">
        <v>21943</v>
      </c>
      <c r="F4065" s="219"/>
    </row>
    <row r="4066" spans="1:6" ht="14.4">
      <c r="A4066">
        <v>43143</v>
      </c>
      <c r="B4066" t="s">
        <v>21944</v>
      </c>
      <c r="C4066" t="s">
        <v>2275</v>
      </c>
      <c r="D4066" t="s">
        <v>1857</v>
      </c>
      <c r="E4066" s="527" t="s">
        <v>9897</v>
      </c>
      <c r="F4066" s="220"/>
    </row>
    <row r="4067" spans="1:6" ht="14.4">
      <c r="A4067">
        <v>7317</v>
      </c>
      <c r="B4067" t="s">
        <v>21945</v>
      </c>
      <c r="C4067" t="s">
        <v>2274</v>
      </c>
      <c r="D4067" t="s">
        <v>1857</v>
      </c>
      <c r="E4067" s="527" t="s">
        <v>15572</v>
      </c>
      <c r="F4067" s="219"/>
    </row>
    <row r="4068" spans="1:6" ht="14.4">
      <c r="A4068">
        <v>142</v>
      </c>
      <c r="B4068" t="s">
        <v>21946</v>
      </c>
      <c r="C4068" t="s">
        <v>2287</v>
      </c>
      <c r="D4068" t="s">
        <v>1857</v>
      </c>
      <c r="E4068" s="527" t="s">
        <v>15847</v>
      </c>
      <c r="F4068" s="220"/>
    </row>
    <row r="4069" spans="1:6" ht="14.4">
      <c r="A4069">
        <v>43142</v>
      </c>
      <c r="B4069" t="s">
        <v>21947</v>
      </c>
      <c r="C4069" t="s">
        <v>2275</v>
      </c>
      <c r="D4069" t="s">
        <v>1857</v>
      </c>
      <c r="E4069" s="527" t="s">
        <v>21948</v>
      </c>
      <c r="F4069" s="219"/>
    </row>
    <row r="4070" spans="1:6" ht="14.4">
      <c r="A4070">
        <v>38123</v>
      </c>
      <c r="B4070" t="s">
        <v>21949</v>
      </c>
      <c r="C4070" t="s">
        <v>2274</v>
      </c>
      <c r="D4070" t="s">
        <v>1857</v>
      </c>
      <c r="E4070" s="527" t="s">
        <v>21950</v>
      </c>
      <c r="F4070" s="220"/>
    </row>
    <row r="4071" spans="1:6" ht="14.4">
      <c r="A4071">
        <v>42701</v>
      </c>
      <c r="B4071" t="s">
        <v>21951</v>
      </c>
      <c r="C4071" t="s">
        <v>2269</v>
      </c>
      <c r="D4071" t="s">
        <v>2271</v>
      </c>
      <c r="E4071" s="527" t="s">
        <v>15573</v>
      </c>
      <c r="F4071" s="219"/>
    </row>
    <row r="4072" spans="1:6" ht="14.4">
      <c r="A4072">
        <v>42702</v>
      </c>
      <c r="B4072" t="s">
        <v>21952</v>
      </c>
      <c r="C4072" t="s">
        <v>2269</v>
      </c>
      <c r="D4072" t="s">
        <v>2271</v>
      </c>
      <c r="E4072" s="527" t="s">
        <v>15574</v>
      </c>
      <c r="F4072" s="220"/>
    </row>
    <row r="4073" spans="1:6" ht="14.4">
      <c r="A4073">
        <v>37955</v>
      </c>
      <c r="B4073" t="s">
        <v>21953</v>
      </c>
      <c r="C4073" t="s">
        <v>2269</v>
      </c>
      <c r="D4073" t="s">
        <v>2271</v>
      </c>
      <c r="E4073" s="527" t="s">
        <v>15575</v>
      </c>
      <c r="F4073" s="219"/>
    </row>
    <row r="4074" spans="1:6" ht="14.4">
      <c r="A4074">
        <v>42699</v>
      </c>
      <c r="B4074" t="s">
        <v>21954</v>
      </c>
      <c r="C4074" t="s">
        <v>2269</v>
      </c>
      <c r="D4074" t="s">
        <v>2271</v>
      </c>
      <c r="E4074" s="527" t="s">
        <v>10208</v>
      </c>
      <c r="F4074" s="220"/>
    </row>
    <row r="4075" spans="1:6" ht="14.4">
      <c r="A4075">
        <v>42700</v>
      </c>
      <c r="B4075" t="s">
        <v>21955</v>
      </c>
      <c r="C4075" t="s">
        <v>2269</v>
      </c>
      <c r="D4075" t="s">
        <v>2271</v>
      </c>
      <c r="E4075" s="527" t="s">
        <v>10404</v>
      </c>
      <c r="F4075" s="219"/>
    </row>
    <row r="4076" spans="1:6" ht="14.4">
      <c r="A4076">
        <v>37743</v>
      </c>
      <c r="B4076" t="s">
        <v>21956</v>
      </c>
      <c r="C4076" t="s">
        <v>2269</v>
      </c>
      <c r="D4076" t="s">
        <v>2271</v>
      </c>
      <c r="E4076" s="527" t="s">
        <v>21957</v>
      </c>
      <c r="F4076" s="220"/>
    </row>
    <row r="4077" spans="1:6" ht="14.4">
      <c r="A4077">
        <v>37744</v>
      </c>
      <c r="B4077" t="s">
        <v>21958</v>
      </c>
      <c r="C4077" t="s">
        <v>2269</v>
      </c>
      <c r="D4077" t="s">
        <v>2271</v>
      </c>
      <c r="E4077" s="527" t="s">
        <v>21959</v>
      </c>
      <c r="F4077" s="219"/>
    </row>
    <row r="4078" spans="1:6" ht="14.4">
      <c r="A4078">
        <v>37741</v>
      </c>
      <c r="B4078" t="s">
        <v>21960</v>
      </c>
      <c r="C4078" t="s">
        <v>2269</v>
      </c>
      <c r="D4078" t="s">
        <v>2271</v>
      </c>
      <c r="E4078" s="527" t="s">
        <v>21961</v>
      </c>
      <c r="F4078" s="220"/>
    </row>
    <row r="4079" spans="1:6" ht="14.4">
      <c r="A4079">
        <v>39396</v>
      </c>
      <c r="B4079" t="s">
        <v>21962</v>
      </c>
      <c r="C4079" t="s">
        <v>2269</v>
      </c>
      <c r="D4079" t="s">
        <v>2271</v>
      </c>
      <c r="E4079" s="527" t="s">
        <v>21963</v>
      </c>
      <c r="F4079" s="219"/>
    </row>
    <row r="4080" spans="1:6" ht="14.4">
      <c r="A4080">
        <v>39392</v>
      </c>
      <c r="B4080" t="s">
        <v>21964</v>
      </c>
      <c r="C4080" t="s">
        <v>2269</v>
      </c>
      <c r="D4080" t="s">
        <v>2271</v>
      </c>
      <c r="E4080" s="527" t="s">
        <v>21965</v>
      </c>
      <c r="F4080" s="220"/>
    </row>
    <row r="4081" spans="1:6" ht="14.4">
      <c r="A4081">
        <v>39393</v>
      </c>
      <c r="B4081" t="s">
        <v>21966</v>
      </c>
      <c r="C4081" t="s">
        <v>2269</v>
      </c>
      <c r="D4081" t="s">
        <v>2271</v>
      </c>
      <c r="E4081" s="527" t="s">
        <v>10766</v>
      </c>
      <c r="F4081" s="219"/>
    </row>
    <row r="4082" spans="1:6" ht="14.4">
      <c r="A4082">
        <v>39394</v>
      </c>
      <c r="B4082" t="s">
        <v>21967</v>
      </c>
      <c r="C4082" t="s">
        <v>2269</v>
      </c>
      <c r="D4082" t="s">
        <v>2271</v>
      </c>
      <c r="E4082" s="527" t="s">
        <v>21968</v>
      </c>
      <c r="F4082" s="220"/>
    </row>
    <row r="4083" spans="1:6" ht="14.4">
      <c r="A4083">
        <v>39395</v>
      </c>
      <c r="B4083" t="s">
        <v>21969</v>
      </c>
      <c r="C4083" t="s">
        <v>2269</v>
      </c>
      <c r="D4083" t="s">
        <v>2271</v>
      </c>
      <c r="E4083" s="527" t="s">
        <v>21970</v>
      </c>
      <c r="F4083" s="219"/>
    </row>
    <row r="4084" spans="1:6" ht="14.4">
      <c r="A4084">
        <v>14618</v>
      </c>
      <c r="B4084" t="s">
        <v>21971</v>
      </c>
      <c r="C4084" t="s">
        <v>2269</v>
      </c>
      <c r="D4084" t="s">
        <v>1857</v>
      </c>
      <c r="E4084" s="527" t="s">
        <v>21972</v>
      </c>
      <c r="F4084" s="220"/>
    </row>
    <row r="4085" spans="1:6" ht="14.4">
      <c r="A4085">
        <v>40269</v>
      </c>
      <c r="B4085" t="s">
        <v>21973</v>
      </c>
      <c r="C4085" t="s">
        <v>2269</v>
      </c>
      <c r="D4085" t="s">
        <v>1857</v>
      </c>
      <c r="E4085" s="527" t="s">
        <v>21974</v>
      </c>
      <c r="F4085" s="219"/>
    </row>
    <row r="4086" spans="1:6" ht="14.4">
      <c r="A4086">
        <v>6110</v>
      </c>
      <c r="B4086" t="s">
        <v>21975</v>
      </c>
      <c r="C4086" t="s">
        <v>2267</v>
      </c>
      <c r="D4086" t="s">
        <v>1857</v>
      </c>
      <c r="E4086" s="527" t="s">
        <v>10101</v>
      </c>
      <c r="F4086" s="220"/>
    </row>
    <row r="4087" spans="1:6" ht="14.4">
      <c r="A4087">
        <v>40910</v>
      </c>
      <c r="B4087" t="s">
        <v>21976</v>
      </c>
      <c r="C4087" t="s">
        <v>2276</v>
      </c>
      <c r="D4087" t="s">
        <v>1857</v>
      </c>
      <c r="E4087" s="527" t="s">
        <v>17113</v>
      </c>
      <c r="F4087" s="219"/>
    </row>
    <row r="4088" spans="1:6" ht="14.4">
      <c r="A4088">
        <v>6111</v>
      </c>
      <c r="B4088" t="s">
        <v>21977</v>
      </c>
      <c r="C4088" t="s">
        <v>2267</v>
      </c>
      <c r="D4088" t="s">
        <v>2268</v>
      </c>
      <c r="E4088" s="527" t="s">
        <v>5206</v>
      </c>
      <c r="F4088" s="220"/>
    </row>
    <row r="4089" spans="1:6" ht="14.4">
      <c r="A4089">
        <v>41084</v>
      </c>
      <c r="B4089" t="s">
        <v>21978</v>
      </c>
      <c r="C4089" t="s">
        <v>2276</v>
      </c>
      <c r="D4089" t="s">
        <v>1857</v>
      </c>
      <c r="E4089" s="527" t="s">
        <v>21979</v>
      </c>
      <c r="F4089" s="219"/>
    </row>
    <row r="4090" spans="1:6" ht="14.4">
      <c r="A4090">
        <v>25950</v>
      </c>
      <c r="B4090" t="s">
        <v>21980</v>
      </c>
      <c r="C4090" t="s">
        <v>2272</v>
      </c>
      <c r="D4090" t="s">
        <v>1857</v>
      </c>
      <c r="E4090" s="527" t="s">
        <v>10318</v>
      </c>
      <c r="F4090" s="220"/>
    </row>
    <row r="4091" spans="1:6" ht="14.4">
      <c r="A4091">
        <v>38637</v>
      </c>
      <c r="B4091" t="s">
        <v>21981</v>
      </c>
      <c r="C4091" t="s">
        <v>2269</v>
      </c>
      <c r="D4091" t="s">
        <v>1857</v>
      </c>
      <c r="E4091" s="527" t="s">
        <v>21982</v>
      </c>
      <c r="F4091" s="219"/>
    </row>
    <row r="4092" spans="1:6" ht="14.4">
      <c r="A4092">
        <v>6150</v>
      </c>
      <c r="B4092" t="s">
        <v>21983</v>
      </c>
      <c r="C4092" t="s">
        <v>2269</v>
      </c>
      <c r="D4092" t="s">
        <v>1857</v>
      </c>
      <c r="E4092" s="527" t="s">
        <v>21984</v>
      </c>
      <c r="F4092" s="220"/>
    </row>
    <row r="4093" spans="1:6" ht="14.4">
      <c r="A4093">
        <v>6136</v>
      </c>
      <c r="B4093" t="s">
        <v>21985</v>
      </c>
      <c r="C4093" t="s">
        <v>2269</v>
      </c>
      <c r="D4093" t="s">
        <v>2268</v>
      </c>
      <c r="E4093" s="527" t="s">
        <v>21986</v>
      </c>
      <c r="F4093" s="219"/>
    </row>
    <row r="4094" spans="1:6" ht="14.4">
      <c r="A4094">
        <v>38638</v>
      </c>
      <c r="B4094" t="s">
        <v>21987</v>
      </c>
      <c r="C4094" t="s">
        <v>2269</v>
      </c>
      <c r="D4094" t="s">
        <v>1857</v>
      </c>
      <c r="E4094" s="527" t="s">
        <v>21988</v>
      </c>
      <c r="F4094" s="220"/>
    </row>
    <row r="4095" spans="1:6" ht="14.4">
      <c r="A4095">
        <v>20262</v>
      </c>
      <c r="B4095" t="s">
        <v>21989</v>
      </c>
      <c r="C4095" t="s">
        <v>2269</v>
      </c>
      <c r="D4095" t="s">
        <v>1857</v>
      </c>
      <c r="E4095" s="527" t="s">
        <v>7236</v>
      </c>
      <c r="F4095" s="219"/>
    </row>
    <row r="4096" spans="1:6" ht="14.4">
      <c r="A4096">
        <v>6148</v>
      </c>
      <c r="B4096" t="s">
        <v>21990</v>
      </c>
      <c r="C4096" t="s">
        <v>2269</v>
      </c>
      <c r="D4096" t="s">
        <v>2268</v>
      </c>
      <c r="E4096" s="527" t="s">
        <v>5260</v>
      </c>
      <c r="F4096" s="220"/>
    </row>
    <row r="4097" spans="1:6" ht="14.4">
      <c r="A4097">
        <v>6145</v>
      </c>
      <c r="B4097" t="s">
        <v>21991</v>
      </c>
      <c r="C4097" t="s">
        <v>2269</v>
      </c>
      <c r="D4097" t="s">
        <v>1857</v>
      </c>
      <c r="E4097" s="527" t="s">
        <v>10716</v>
      </c>
      <c r="F4097" s="219"/>
    </row>
    <row r="4098" spans="1:6" ht="14.4">
      <c r="A4098">
        <v>6149</v>
      </c>
      <c r="B4098" t="s">
        <v>21992</v>
      </c>
      <c r="C4098" t="s">
        <v>2269</v>
      </c>
      <c r="D4098" t="s">
        <v>1857</v>
      </c>
      <c r="E4098" s="527" t="s">
        <v>7918</v>
      </c>
      <c r="F4098" s="220"/>
    </row>
    <row r="4099" spans="1:6" ht="14.4">
      <c r="A4099">
        <v>6146</v>
      </c>
      <c r="B4099" t="s">
        <v>21993</v>
      </c>
      <c r="C4099" t="s">
        <v>2269</v>
      </c>
      <c r="D4099" t="s">
        <v>1857</v>
      </c>
      <c r="E4099" s="527" t="s">
        <v>9906</v>
      </c>
      <c r="F4099" s="219"/>
    </row>
    <row r="4100" spans="1:6" ht="14.4">
      <c r="A4100">
        <v>26026</v>
      </c>
      <c r="B4100" t="s">
        <v>21994</v>
      </c>
      <c r="C4100" t="s">
        <v>2274</v>
      </c>
      <c r="D4100" t="s">
        <v>1857</v>
      </c>
      <c r="E4100" s="527" t="s">
        <v>7295</v>
      </c>
      <c r="F4100" s="220"/>
    </row>
    <row r="4101" spans="1:6" ht="14.4">
      <c r="A4101">
        <v>39961</v>
      </c>
      <c r="B4101" t="s">
        <v>21995</v>
      </c>
      <c r="C4101" t="s">
        <v>2269</v>
      </c>
      <c r="D4101" t="s">
        <v>1857</v>
      </c>
      <c r="E4101" s="527" t="s">
        <v>16207</v>
      </c>
      <c r="F4101" s="219"/>
    </row>
    <row r="4102" spans="1:6" ht="14.4">
      <c r="A4102">
        <v>42433</v>
      </c>
      <c r="B4102" t="s">
        <v>21996</v>
      </c>
      <c r="C4102" t="s">
        <v>2269</v>
      </c>
      <c r="D4102" t="s">
        <v>2271</v>
      </c>
      <c r="E4102" s="527" t="s">
        <v>21997</v>
      </c>
      <c r="F4102" s="220"/>
    </row>
    <row r="4103" spans="1:6" ht="14.4">
      <c r="A4103">
        <v>42434</v>
      </c>
      <c r="B4103" t="s">
        <v>21998</v>
      </c>
      <c r="C4103" t="s">
        <v>2269</v>
      </c>
      <c r="D4103" t="s">
        <v>2271</v>
      </c>
      <c r="E4103" s="527" t="s">
        <v>21999</v>
      </c>
      <c r="F4103" s="219"/>
    </row>
    <row r="4104" spans="1:6" ht="14.4">
      <c r="A4104">
        <v>42435</v>
      </c>
      <c r="B4104" t="s">
        <v>22000</v>
      </c>
      <c r="C4104" t="s">
        <v>2269</v>
      </c>
      <c r="D4104" t="s">
        <v>2271</v>
      </c>
      <c r="E4104" s="527" t="s">
        <v>22001</v>
      </c>
      <c r="F4104" s="220"/>
    </row>
    <row r="4105" spans="1:6" ht="14.4">
      <c r="A4105">
        <v>38061</v>
      </c>
      <c r="B4105" t="s">
        <v>22002</v>
      </c>
      <c r="C4105" t="s">
        <v>2269</v>
      </c>
      <c r="D4105" t="s">
        <v>1857</v>
      </c>
      <c r="E4105" s="527" t="s">
        <v>18514</v>
      </c>
      <c r="F4105" s="219"/>
    </row>
    <row r="4106" spans="1:6" ht="14.4">
      <c r="A4106">
        <v>20250</v>
      </c>
      <c r="B4106" t="s">
        <v>22003</v>
      </c>
      <c r="C4106" t="s">
        <v>2274</v>
      </c>
      <c r="D4106" t="s">
        <v>2271</v>
      </c>
      <c r="E4106" s="527" t="s">
        <v>5009</v>
      </c>
      <c r="F4106" s="220"/>
    </row>
    <row r="4107" spans="1:6" ht="14.4">
      <c r="A4107">
        <v>13388</v>
      </c>
      <c r="B4107" t="s">
        <v>22004</v>
      </c>
      <c r="C4107" t="s">
        <v>2274</v>
      </c>
      <c r="D4107" t="s">
        <v>1857</v>
      </c>
      <c r="E4107" s="527" t="s">
        <v>22005</v>
      </c>
      <c r="F4107" s="219"/>
    </row>
    <row r="4108" spans="1:6" ht="14.4">
      <c r="A4108">
        <v>39914</v>
      </c>
      <c r="B4108" t="s">
        <v>22006</v>
      </c>
      <c r="C4108" t="s">
        <v>2274</v>
      </c>
      <c r="D4108" t="s">
        <v>2271</v>
      </c>
      <c r="E4108" s="527" t="s">
        <v>22007</v>
      </c>
      <c r="F4108" s="220"/>
    </row>
    <row r="4109" spans="1:6" ht="14.4">
      <c r="A4109">
        <v>12732</v>
      </c>
      <c r="B4109" t="s">
        <v>22008</v>
      </c>
      <c r="C4109" t="s">
        <v>2269</v>
      </c>
      <c r="D4109" t="s">
        <v>2271</v>
      </c>
      <c r="E4109" s="527" t="s">
        <v>22009</v>
      </c>
      <c r="F4109" s="219"/>
    </row>
    <row r="4110" spans="1:6" ht="14.4">
      <c r="A4110">
        <v>6160</v>
      </c>
      <c r="B4110" t="s">
        <v>22010</v>
      </c>
      <c r="C4110" t="s">
        <v>2267</v>
      </c>
      <c r="D4110" t="s">
        <v>2268</v>
      </c>
      <c r="E4110" s="527" t="s">
        <v>7896</v>
      </c>
      <c r="F4110" s="220"/>
    </row>
    <row r="4111" spans="1:6" ht="14.4">
      <c r="A4111">
        <v>41087</v>
      </c>
      <c r="B4111" t="s">
        <v>22011</v>
      </c>
      <c r="C4111" t="s">
        <v>2276</v>
      </c>
      <c r="D4111" t="s">
        <v>1857</v>
      </c>
      <c r="E4111" s="527" t="s">
        <v>22012</v>
      </c>
      <c r="F4111" s="219"/>
    </row>
    <row r="4112" spans="1:6" ht="14.4">
      <c r="A4112">
        <v>6166</v>
      </c>
      <c r="B4112" t="s">
        <v>22013</v>
      </c>
      <c r="C4112" t="s">
        <v>2267</v>
      </c>
      <c r="D4112" t="s">
        <v>1857</v>
      </c>
      <c r="E4112" s="527" t="s">
        <v>13332</v>
      </c>
      <c r="F4112" s="220"/>
    </row>
    <row r="4113" spans="1:6" ht="14.4">
      <c r="A4113">
        <v>41088</v>
      </c>
      <c r="B4113" t="s">
        <v>22014</v>
      </c>
      <c r="C4113" t="s">
        <v>2276</v>
      </c>
      <c r="D4113" t="s">
        <v>1857</v>
      </c>
      <c r="E4113" s="527" t="s">
        <v>22015</v>
      </c>
      <c r="F4113" s="219"/>
    </row>
    <row r="4114" spans="1:6" ht="14.4">
      <c r="A4114">
        <v>20232</v>
      </c>
      <c r="B4114" t="s">
        <v>22016</v>
      </c>
      <c r="C4114" t="s">
        <v>2273</v>
      </c>
      <c r="D4114" t="s">
        <v>1857</v>
      </c>
      <c r="E4114" s="527" t="s">
        <v>11438</v>
      </c>
      <c r="F4114" s="220"/>
    </row>
    <row r="4115" spans="1:6" ht="14.4">
      <c r="A4115">
        <v>10856</v>
      </c>
      <c r="B4115" t="s">
        <v>22017</v>
      </c>
      <c r="C4115" t="s">
        <v>2273</v>
      </c>
      <c r="D4115" t="s">
        <v>2271</v>
      </c>
      <c r="E4115" s="527" t="s">
        <v>15576</v>
      </c>
      <c r="F4115" s="219"/>
    </row>
    <row r="4116" spans="1:6" ht="14.4">
      <c r="A4116">
        <v>4828</v>
      </c>
      <c r="B4116" t="s">
        <v>22018</v>
      </c>
      <c r="C4116" t="s">
        <v>2273</v>
      </c>
      <c r="D4116" t="s">
        <v>1857</v>
      </c>
      <c r="E4116" s="527" t="s">
        <v>10336</v>
      </c>
      <c r="F4116" s="220"/>
    </row>
    <row r="4117" spans="1:6" ht="14.4">
      <c r="A4117">
        <v>20249</v>
      </c>
      <c r="B4117" t="s">
        <v>22019</v>
      </c>
      <c r="C4117" t="s">
        <v>2273</v>
      </c>
      <c r="D4117" t="s">
        <v>1857</v>
      </c>
      <c r="E4117" s="527" t="s">
        <v>9789</v>
      </c>
      <c r="F4117" s="219"/>
    </row>
    <row r="4118" spans="1:6" ht="14.4">
      <c r="A4118">
        <v>11609</v>
      </c>
      <c r="B4118" t="s">
        <v>22020</v>
      </c>
      <c r="C4118" t="s">
        <v>2275</v>
      </c>
      <c r="D4118" t="s">
        <v>1857</v>
      </c>
      <c r="E4118" s="527" t="s">
        <v>10217</v>
      </c>
      <c r="F4118" s="220"/>
    </row>
    <row r="4119" spans="1:6" ht="14.4">
      <c r="A4119">
        <v>20083</v>
      </c>
      <c r="B4119" t="s">
        <v>22021</v>
      </c>
      <c r="C4119" t="s">
        <v>2269</v>
      </c>
      <c r="D4119" t="s">
        <v>1857</v>
      </c>
      <c r="E4119" s="527" t="s">
        <v>22022</v>
      </c>
      <c r="F4119" s="219"/>
    </row>
    <row r="4120" spans="1:6" ht="14.4">
      <c r="A4120">
        <v>5318</v>
      </c>
      <c r="B4120" t="s">
        <v>22023</v>
      </c>
      <c r="C4120" t="s">
        <v>2275</v>
      </c>
      <c r="D4120" t="s">
        <v>2268</v>
      </c>
      <c r="E4120" s="527" t="s">
        <v>9867</v>
      </c>
      <c r="F4120" s="220"/>
    </row>
    <row r="4121" spans="1:6" ht="14.4">
      <c r="A4121">
        <v>10691</v>
      </c>
      <c r="B4121" t="s">
        <v>22024</v>
      </c>
      <c r="C4121" t="s">
        <v>2275</v>
      </c>
      <c r="D4121" t="s">
        <v>1857</v>
      </c>
      <c r="E4121" s="527" t="s">
        <v>9762</v>
      </c>
      <c r="F4121" s="219"/>
    </row>
    <row r="4122" spans="1:6" ht="14.4">
      <c r="A4122">
        <v>12295</v>
      </c>
      <c r="B4122" t="s">
        <v>22025</v>
      </c>
      <c r="C4122" t="s">
        <v>2269</v>
      </c>
      <c r="D4122" t="s">
        <v>1857</v>
      </c>
      <c r="E4122" s="527" t="s">
        <v>3798</v>
      </c>
      <c r="F4122" s="220"/>
    </row>
    <row r="4123" spans="1:6" ht="14.4">
      <c r="A4123">
        <v>12296</v>
      </c>
      <c r="B4123" t="s">
        <v>22026</v>
      </c>
      <c r="C4123" t="s">
        <v>2269</v>
      </c>
      <c r="D4123" t="s">
        <v>1857</v>
      </c>
      <c r="E4123" s="527" t="s">
        <v>7391</v>
      </c>
      <c r="F4123" s="219"/>
    </row>
    <row r="4124" spans="1:6" ht="14.4">
      <c r="A4124">
        <v>12294</v>
      </c>
      <c r="B4124" t="s">
        <v>22027</v>
      </c>
      <c r="C4124" t="s">
        <v>2269</v>
      </c>
      <c r="D4124" t="s">
        <v>1857</v>
      </c>
      <c r="E4124" s="527" t="s">
        <v>5188</v>
      </c>
      <c r="F4124" s="220"/>
    </row>
    <row r="4125" spans="1:6" ht="14.4">
      <c r="A4125">
        <v>14543</v>
      </c>
      <c r="B4125" t="s">
        <v>22028</v>
      </c>
      <c r="C4125" t="s">
        <v>2269</v>
      </c>
      <c r="D4125" t="s">
        <v>1857</v>
      </c>
      <c r="E4125" s="527" t="s">
        <v>9496</v>
      </c>
      <c r="F4125" s="219"/>
    </row>
    <row r="4126" spans="1:6" ht="14.4">
      <c r="A4126">
        <v>13329</v>
      </c>
      <c r="B4126" t="s">
        <v>22029</v>
      </c>
      <c r="C4126" t="s">
        <v>2269</v>
      </c>
      <c r="D4126" t="s">
        <v>2268</v>
      </c>
      <c r="E4126" s="527" t="s">
        <v>3914</v>
      </c>
      <c r="F4126" s="220"/>
    </row>
    <row r="4127" spans="1:6" ht="14.4">
      <c r="A4127">
        <v>21044</v>
      </c>
      <c r="B4127" t="s">
        <v>22030</v>
      </c>
      <c r="C4127" t="s">
        <v>2269</v>
      </c>
      <c r="D4127" t="s">
        <v>1857</v>
      </c>
      <c r="E4127" s="527" t="s">
        <v>10088</v>
      </c>
      <c r="F4127" s="219"/>
    </row>
    <row r="4128" spans="1:6" ht="14.4">
      <c r="A4128">
        <v>21045</v>
      </c>
      <c r="B4128" t="s">
        <v>22031</v>
      </c>
      <c r="C4128" t="s">
        <v>2269</v>
      </c>
      <c r="D4128" t="s">
        <v>1857</v>
      </c>
      <c r="E4128" s="527" t="s">
        <v>10242</v>
      </c>
      <c r="F4128" s="220"/>
    </row>
    <row r="4129" spans="1:6" ht="14.4">
      <c r="A4129">
        <v>21040</v>
      </c>
      <c r="B4129" t="s">
        <v>22032</v>
      </c>
      <c r="C4129" t="s">
        <v>2269</v>
      </c>
      <c r="D4129" t="s">
        <v>2268</v>
      </c>
      <c r="E4129" s="527" t="s">
        <v>9504</v>
      </c>
      <c r="F4129" s="219"/>
    </row>
    <row r="4130" spans="1:6" ht="14.4">
      <c r="A4130">
        <v>21041</v>
      </c>
      <c r="B4130" t="s">
        <v>22033</v>
      </c>
      <c r="C4130" t="s">
        <v>2269</v>
      </c>
      <c r="D4130" t="s">
        <v>1857</v>
      </c>
      <c r="E4130" s="527" t="s">
        <v>15259</v>
      </c>
      <c r="F4130" s="220"/>
    </row>
    <row r="4131" spans="1:6" ht="14.4">
      <c r="A4131">
        <v>21047</v>
      </c>
      <c r="B4131" t="s">
        <v>22034</v>
      </c>
      <c r="C4131" t="s">
        <v>2269</v>
      </c>
      <c r="D4131" t="s">
        <v>1857</v>
      </c>
      <c r="E4131" s="527" t="s">
        <v>15577</v>
      </c>
      <c r="F4131" s="219"/>
    </row>
    <row r="4132" spans="1:6" ht="14.4">
      <c r="A4132">
        <v>21043</v>
      </c>
      <c r="B4132" t="s">
        <v>22035</v>
      </c>
      <c r="C4132" t="s">
        <v>2269</v>
      </c>
      <c r="D4132" t="s">
        <v>1857</v>
      </c>
      <c r="E4132" s="527" t="s">
        <v>15578</v>
      </c>
      <c r="F4132" s="220"/>
    </row>
    <row r="4133" spans="1:6" ht="14.4">
      <c r="A4133">
        <v>21042</v>
      </c>
      <c r="B4133" t="s">
        <v>22036</v>
      </c>
      <c r="C4133" t="s">
        <v>2269</v>
      </c>
      <c r="D4133" t="s">
        <v>1857</v>
      </c>
      <c r="E4133" s="527" t="s">
        <v>10766</v>
      </c>
      <c r="F4133" s="219"/>
    </row>
    <row r="4134" spans="1:6" ht="14.4">
      <c r="A4134">
        <v>14149</v>
      </c>
      <c r="B4134" t="s">
        <v>22037</v>
      </c>
      <c r="C4134" t="s">
        <v>2285</v>
      </c>
      <c r="D4134" t="s">
        <v>2271</v>
      </c>
      <c r="E4134" s="527" t="s">
        <v>22038</v>
      </c>
      <c r="F4134" s="220"/>
    </row>
    <row r="4135" spans="1:6" ht="14.4">
      <c r="A4135">
        <v>38099</v>
      </c>
      <c r="B4135" t="s">
        <v>22039</v>
      </c>
      <c r="C4135" t="s">
        <v>2269</v>
      </c>
      <c r="D4135" t="s">
        <v>1857</v>
      </c>
      <c r="E4135" s="527" t="s">
        <v>6986</v>
      </c>
      <c r="F4135" s="219"/>
    </row>
    <row r="4136" spans="1:6" ht="14.4">
      <c r="A4136">
        <v>38100</v>
      </c>
      <c r="B4136" t="s">
        <v>22040</v>
      </c>
      <c r="C4136" t="s">
        <v>2269</v>
      </c>
      <c r="D4136" t="s">
        <v>1857</v>
      </c>
      <c r="E4136" s="527" t="s">
        <v>7273</v>
      </c>
      <c r="F4136" s="220"/>
    </row>
    <row r="4137" spans="1:6" ht="14.4">
      <c r="A4137">
        <v>20061</v>
      </c>
      <c r="B4137" t="s">
        <v>22041</v>
      </c>
      <c r="C4137" t="s">
        <v>2269</v>
      </c>
      <c r="D4137" t="s">
        <v>2271</v>
      </c>
      <c r="E4137" s="527" t="s">
        <v>10780</v>
      </c>
      <c r="F4137" s="219"/>
    </row>
    <row r="4138" spans="1:6" ht="14.4">
      <c r="A4138">
        <v>7576</v>
      </c>
      <c r="B4138" t="s">
        <v>22042</v>
      </c>
      <c r="C4138" t="s">
        <v>2269</v>
      </c>
      <c r="D4138" t="s">
        <v>1857</v>
      </c>
      <c r="E4138" s="527" t="s">
        <v>22043</v>
      </c>
      <c r="F4138" s="220"/>
    </row>
    <row r="4139" spans="1:6" ht="14.4">
      <c r="A4139">
        <v>3384</v>
      </c>
      <c r="B4139" t="s">
        <v>22044</v>
      </c>
      <c r="C4139" t="s">
        <v>2269</v>
      </c>
      <c r="D4139" t="s">
        <v>1857</v>
      </c>
      <c r="E4139" s="527" t="s">
        <v>10670</v>
      </c>
      <c r="F4139" s="219"/>
    </row>
    <row r="4140" spans="1:6" ht="14.4">
      <c r="A4140">
        <v>7572</v>
      </c>
      <c r="B4140" t="s">
        <v>22045</v>
      </c>
      <c r="C4140" t="s">
        <v>2269</v>
      </c>
      <c r="D4140" t="s">
        <v>1857</v>
      </c>
      <c r="E4140" s="527" t="s">
        <v>15801</v>
      </c>
      <c r="F4140" s="220"/>
    </row>
    <row r="4141" spans="1:6" ht="14.4">
      <c r="A4141">
        <v>3396</v>
      </c>
      <c r="B4141" t="s">
        <v>22046</v>
      </c>
      <c r="C4141" t="s">
        <v>2269</v>
      </c>
      <c r="D4141" t="s">
        <v>1857</v>
      </c>
      <c r="E4141" s="527" t="s">
        <v>6031</v>
      </c>
      <c r="F4141" s="219"/>
    </row>
    <row r="4142" spans="1:6" ht="14.4">
      <c r="A4142">
        <v>37590</v>
      </c>
      <c r="B4142" t="s">
        <v>22047</v>
      </c>
      <c r="C4142" t="s">
        <v>2269</v>
      </c>
      <c r="D4142" t="s">
        <v>1857</v>
      </c>
      <c r="E4142" s="527" t="s">
        <v>10699</v>
      </c>
      <c r="F4142" s="220"/>
    </row>
    <row r="4143" spans="1:6" ht="14.4">
      <c r="A4143">
        <v>37591</v>
      </c>
      <c r="B4143" t="s">
        <v>22048</v>
      </c>
      <c r="C4143" t="s">
        <v>2269</v>
      </c>
      <c r="D4143" t="s">
        <v>1857</v>
      </c>
      <c r="E4143" s="527" t="s">
        <v>11686</v>
      </c>
      <c r="F4143" s="219"/>
    </row>
    <row r="4144" spans="1:6" ht="14.4">
      <c r="A4144">
        <v>12626</v>
      </c>
      <c r="B4144" t="s">
        <v>22049</v>
      </c>
      <c r="C4144" t="s">
        <v>2269</v>
      </c>
      <c r="D4144" t="s">
        <v>2271</v>
      </c>
      <c r="E4144" s="527" t="s">
        <v>10639</v>
      </c>
      <c r="F4144" s="220"/>
    </row>
    <row r="4145" spans="1:6" ht="14.4">
      <c r="A4145">
        <v>11033</v>
      </c>
      <c r="B4145" t="s">
        <v>22050</v>
      </c>
      <c r="C4145" t="s">
        <v>2269</v>
      </c>
      <c r="D4145" t="s">
        <v>1857</v>
      </c>
      <c r="E4145" s="527" t="s">
        <v>10605</v>
      </c>
      <c r="F4145" s="219"/>
    </row>
    <row r="4146" spans="1:6" ht="14.4">
      <c r="A4146">
        <v>390</v>
      </c>
      <c r="B4146" t="s">
        <v>22051</v>
      </c>
      <c r="C4146" t="s">
        <v>2269</v>
      </c>
      <c r="D4146" t="s">
        <v>1857</v>
      </c>
      <c r="E4146" s="527" t="s">
        <v>6492</v>
      </c>
      <c r="F4146" s="220"/>
    </row>
    <row r="4147" spans="1:6" ht="14.4">
      <c r="A4147">
        <v>42436</v>
      </c>
      <c r="B4147" t="s">
        <v>22052</v>
      </c>
      <c r="C4147" t="s">
        <v>2269</v>
      </c>
      <c r="D4147" t="s">
        <v>2271</v>
      </c>
      <c r="E4147" s="527" t="s">
        <v>22053</v>
      </c>
      <c r="F4147" s="219"/>
    </row>
    <row r="4148" spans="1:6" ht="14.4">
      <c r="A4148">
        <v>6193</v>
      </c>
      <c r="B4148" t="s">
        <v>22054</v>
      </c>
      <c r="C4148" t="s">
        <v>2273</v>
      </c>
      <c r="D4148" t="s">
        <v>1857</v>
      </c>
      <c r="E4148" s="527" t="s">
        <v>7319</v>
      </c>
      <c r="F4148" s="220"/>
    </row>
    <row r="4149" spans="1:6" ht="14.4">
      <c r="A4149">
        <v>6194</v>
      </c>
      <c r="B4149" t="s">
        <v>22055</v>
      </c>
      <c r="C4149" t="s">
        <v>2273</v>
      </c>
      <c r="D4149" t="s">
        <v>1857</v>
      </c>
      <c r="E4149" s="527" t="s">
        <v>2984</v>
      </c>
      <c r="F4149" s="219"/>
    </row>
    <row r="4150" spans="1:6" ht="14.4">
      <c r="A4150">
        <v>10567</v>
      </c>
      <c r="B4150" t="s">
        <v>22056</v>
      </c>
      <c r="C4150" t="s">
        <v>2273</v>
      </c>
      <c r="D4150" t="s">
        <v>1857</v>
      </c>
      <c r="E4150" s="527" t="s">
        <v>6016</v>
      </c>
      <c r="F4150" s="220"/>
    </row>
    <row r="4151" spans="1:6" ht="14.4">
      <c r="A4151">
        <v>6212</v>
      </c>
      <c r="B4151" t="s">
        <v>22057</v>
      </c>
      <c r="C4151" t="s">
        <v>2273</v>
      </c>
      <c r="D4151" t="s">
        <v>2268</v>
      </c>
      <c r="E4151" s="527" t="s">
        <v>10725</v>
      </c>
      <c r="F4151" s="219"/>
    </row>
    <row r="4152" spans="1:6" ht="14.4">
      <c r="A4152">
        <v>3993</v>
      </c>
      <c r="B4152" t="s">
        <v>22058</v>
      </c>
      <c r="C4152" t="s">
        <v>2270</v>
      </c>
      <c r="D4152" t="s">
        <v>1857</v>
      </c>
      <c r="E4152" s="527" t="s">
        <v>16214</v>
      </c>
      <c r="F4152" s="220"/>
    </row>
    <row r="4153" spans="1:6" ht="14.4">
      <c r="A4153">
        <v>3990</v>
      </c>
      <c r="B4153" t="s">
        <v>22059</v>
      </c>
      <c r="C4153" t="s">
        <v>2273</v>
      </c>
      <c r="D4153" t="s">
        <v>1857</v>
      </c>
      <c r="E4153" s="527" t="s">
        <v>11622</v>
      </c>
      <c r="F4153" s="219"/>
    </row>
    <row r="4154" spans="1:6" ht="14.4">
      <c r="A4154">
        <v>3992</v>
      </c>
      <c r="B4154" t="s">
        <v>22060</v>
      </c>
      <c r="C4154" t="s">
        <v>2273</v>
      </c>
      <c r="D4154" t="s">
        <v>1857</v>
      </c>
      <c r="E4154" s="527" t="s">
        <v>22061</v>
      </c>
      <c r="F4154" s="220"/>
    </row>
    <row r="4155" spans="1:6" ht="14.4">
      <c r="A4155">
        <v>6178</v>
      </c>
      <c r="B4155" t="s">
        <v>22062</v>
      </c>
      <c r="C4155" t="s">
        <v>2270</v>
      </c>
      <c r="D4155" t="s">
        <v>1857</v>
      </c>
      <c r="E4155" s="527" t="s">
        <v>11781</v>
      </c>
      <c r="F4155" s="219"/>
    </row>
    <row r="4156" spans="1:6" ht="14.4">
      <c r="A4156">
        <v>6180</v>
      </c>
      <c r="B4156" t="s">
        <v>22063</v>
      </c>
      <c r="C4156" t="s">
        <v>2270</v>
      </c>
      <c r="D4156" t="s">
        <v>2268</v>
      </c>
      <c r="E4156" s="527" t="s">
        <v>10653</v>
      </c>
      <c r="F4156" s="220"/>
    </row>
    <row r="4157" spans="1:6" ht="14.4">
      <c r="A4157">
        <v>6182</v>
      </c>
      <c r="B4157" t="s">
        <v>22064</v>
      </c>
      <c r="C4157" t="s">
        <v>2270</v>
      </c>
      <c r="D4157" t="s">
        <v>1857</v>
      </c>
      <c r="E4157" s="527" t="s">
        <v>10327</v>
      </c>
      <c r="F4157" s="219"/>
    </row>
    <row r="4158" spans="1:6" ht="14.4">
      <c r="A4158">
        <v>43614</v>
      </c>
      <c r="B4158" t="s">
        <v>22065</v>
      </c>
      <c r="C4158" t="s">
        <v>2273</v>
      </c>
      <c r="D4158" t="s">
        <v>1857</v>
      </c>
      <c r="E4158" s="527" t="s">
        <v>6094</v>
      </c>
      <c r="F4158" s="220"/>
    </row>
    <row r="4159" spans="1:6" ht="14.4">
      <c r="A4159">
        <v>6189</v>
      </c>
      <c r="B4159" t="s">
        <v>22066</v>
      </c>
      <c r="C4159" t="s">
        <v>2273</v>
      </c>
      <c r="D4159" t="s">
        <v>1857</v>
      </c>
      <c r="E4159" s="527" t="s">
        <v>22067</v>
      </c>
      <c r="F4159" s="219"/>
    </row>
    <row r="4160" spans="1:6" ht="14.4">
      <c r="A4160">
        <v>6214</v>
      </c>
      <c r="B4160" t="s">
        <v>22068</v>
      </c>
      <c r="C4160" t="s">
        <v>2270</v>
      </c>
      <c r="D4160" t="s">
        <v>1857</v>
      </c>
      <c r="E4160" s="527" t="s">
        <v>15579</v>
      </c>
      <c r="F4160" s="220"/>
    </row>
    <row r="4161" spans="1:6" ht="14.4">
      <c r="A4161">
        <v>36153</v>
      </c>
      <c r="B4161" t="s">
        <v>22069</v>
      </c>
      <c r="C4161" t="s">
        <v>2269</v>
      </c>
      <c r="D4161" t="s">
        <v>1857</v>
      </c>
      <c r="E4161" s="527" t="s">
        <v>22070</v>
      </c>
      <c r="F4161" s="219"/>
    </row>
    <row r="4162" spans="1:6" ht="14.4">
      <c r="A4162">
        <v>10740</v>
      </c>
      <c r="B4162" t="s">
        <v>22071</v>
      </c>
      <c r="C4162" t="s">
        <v>2269</v>
      </c>
      <c r="D4162" t="s">
        <v>2271</v>
      </c>
      <c r="E4162" s="527" t="s">
        <v>22072</v>
      </c>
      <c r="F4162" s="220"/>
    </row>
    <row r="4163" spans="1:6" ht="14.4">
      <c r="A4163">
        <v>13914</v>
      </c>
      <c r="B4163" t="s">
        <v>22073</v>
      </c>
      <c r="C4163" t="s">
        <v>2269</v>
      </c>
      <c r="D4163" t="s">
        <v>2271</v>
      </c>
      <c r="E4163" s="527" t="s">
        <v>22074</v>
      </c>
      <c r="F4163" s="219"/>
    </row>
    <row r="4164" spans="1:6" ht="14.4">
      <c r="A4164">
        <v>10742</v>
      </c>
      <c r="B4164" t="s">
        <v>22075</v>
      </c>
      <c r="C4164" t="s">
        <v>2269</v>
      </c>
      <c r="D4164" t="s">
        <v>2271</v>
      </c>
      <c r="E4164" s="527" t="s">
        <v>22076</v>
      </c>
      <c r="F4164" s="220"/>
    </row>
    <row r="4165" spans="1:6" ht="14.4">
      <c r="A4165">
        <v>38465</v>
      </c>
      <c r="B4165" t="s">
        <v>22077</v>
      </c>
      <c r="C4165" t="s">
        <v>2269</v>
      </c>
      <c r="D4165" t="s">
        <v>1857</v>
      </c>
      <c r="E4165" s="527" t="s">
        <v>21701</v>
      </c>
      <c r="F4165" s="219"/>
    </row>
    <row r="4166" spans="1:6" ht="14.4">
      <c r="A4166">
        <v>7543</v>
      </c>
      <c r="B4166" t="s">
        <v>22078</v>
      </c>
      <c r="C4166" t="s">
        <v>2269</v>
      </c>
      <c r="D4166" t="s">
        <v>1857</v>
      </c>
      <c r="E4166" s="527" t="s">
        <v>2885</v>
      </c>
      <c r="F4166" s="220"/>
    </row>
    <row r="4167" spans="1:6" ht="14.4">
      <c r="A4167">
        <v>43427</v>
      </c>
      <c r="B4167" t="s">
        <v>22079</v>
      </c>
      <c r="C4167" t="s">
        <v>2269</v>
      </c>
      <c r="D4167" t="s">
        <v>1857</v>
      </c>
      <c r="E4167" s="527" t="s">
        <v>22080</v>
      </c>
      <c r="F4167" s="219"/>
    </row>
    <row r="4168" spans="1:6" ht="14.4">
      <c r="A4168">
        <v>41613</v>
      </c>
      <c r="B4168" t="s">
        <v>22081</v>
      </c>
      <c r="C4168" t="s">
        <v>2269</v>
      </c>
      <c r="D4168" t="s">
        <v>1857</v>
      </c>
      <c r="E4168" s="527" t="s">
        <v>16223</v>
      </c>
      <c r="F4168" s="220"/>
    </row>
    <row r="4169" spans="1:6" ht="14.4">
      <c r="A4169">
        <v>41614</v>
      </c>
      <c r="B4169" t="s">
        <v>22082</v>
      </c>
      <c r="C4169" t="s">
        <v>2269</v>
      </c>
      <c r="D4169" t="s">
        <v>1857</v>
      </c>
      <c r="E4169" s="527" t="s">
        <v>22083</v>
      </c>
      <c r="F4169" s="219"/>
    </row>
    <row r="4170" spans="1:6" ht="14.4">
      <c r="A4170">
        <v>41615</v>
      </c>
      <c r="B4170" t="s">
        <v>22084</v>
      </c>
      <c r="C4170" t="s">
        <v>2269</v>
      </c>
      <c r="D4170" t="s">
        <v>1857</v>
      </c>
      <c r="E4170" s="527" t="s">
        <v>22085</v>
      </c>
      <c r="F4170" s="220"/>
    </row>
    <row r="4171" spans="1:6" ht="14.4">
      <c r="A4171">
        <v>41616</v>
      </c>
      <c r="B4171" t="s">
        <v>22086</v>
      </c>
      <c r="C4171" t="s">
        <v>2269</v>
      </c>
      <c r="D4171" t="s">
        <v>1857</v>
      </c>
      <c r="E4171" s="527" t="s">
        <v>22087</v>
      </c>
      <c r="F4171" s="219"/>
    </row>
    <row r="4172" spans="1:6" ht="14.4">
      <c r="A4172">
        <v>41617</v>
      </c>
      <c r="B4172" t="s">
        <v>22088</v>
      </c>
      <c r="C4172" t="s">
        <v>2269</v>
      </c>
      <c r="D4172" t="s">
        <v>1857</v>
      </c>
      <c r="E4172" s="527" t="s">
        <v>22089</v>
      </c>
      <c r="F4172" s="220"/>
    </row>
    <row r="4173" spans="1:6" ht="14.4">
      <c r="A4173">
        <v>41618</v>
      </c>
      <c r="B4173" t="s">
        <v>22090</v>
      </c>
      <c r="C4173" t="s">
        <v>2269</v>
      </c>
      <c r="D4173" t="s">
        <v>1857</v>
      </c>
      <c r="E4173" s="527" t="s">
        <v>22091</v>
      </c>
      <c r="F4173" s="219"/>
    </row>
    <row r="4174" spans="1:6" ht="14.4">
      <c r="A4174">
        <v>43428</v>
      </c>
      <c r="B4174" t="s">
        <v>22092</v>
      </c>
      <c r="C4174" t="s">
        <v>2269</v>
      </c>
      <c r="D4174" t="s">
        <v>1857</v>
      </c>
      <c r="E4174" s="527" t="s">
        <v>22093</v>
      </c>
      <c r="F4174" s="220"/>
    </row>
    <row r="4175" spans="1:6" ht="14.4">
      <c r="A4175">
        <v>41619</v>
      </c>
      <c r="B4175" t="s">
        <v>22094</v>
      </c>
      <c r="C4175" t="s">
        <v>2269</v>
      </c>
      <c r="D4175" t="s">
        <v>1857</v>
      </c>
      <c r="E4175" s="527" t="s">
        <v>16900</v>
      </c>
      <c r="F4175" s="219"/>
    </row>
    <row r="4176" spans="1:6" ht="14.4">
      <c r="A4176">
        <v>41620</v>
      </c>
      <c r="B4176" t="s">
        <v>22095</v>
      </c>
      <c r="C4176" t="s">
        <v>2269</v>
      </c>
      <c r="D4176" t="s">
        <v>1857</v>
      </c>
      <c r="E4176" s="527" t="s">
        <v>22096</v>
      </c>
      <c r="F4176" s="220"/>
    </row>
    <row r="4177" spans="1:6" ht="14.4">
      <c r="A4177">
        <v>41622</v>
      </c>
      <c r="B4177" t="s">
        <v>22097</v>
      </c>
      <c r="C4177" t="s">
        <v>2269</v>
      </c>
      <c r="D4177" t="s">
        <v>1857</v>
      </c>
      <c r="E4177" s="527" t="s">
        <v>22098</v>
      </c>
      <c r="F4177" s="219"/>
    </row>
    <row r="4178" spans="1:6" ht="14.4">
      <c r="A4178">
        <v>41623</v>
      </c>
      <c r="B4178" t="s">
        <v>22099</v>
      </c>
      <c r="C4178" t="s">
        <v>2269</v>
      </c>
      <c r="D4178" t="s">
        <v>1857</v>
      </c>
      <c r="E4178" s="527" t="s">
        <v>22100</v>
      </c>
      <c r="F4178" s="220"/>
    </row>
    <row r="4179" spans="1:6" ht="14.4">
      <c r="A4179">
        <v>41624</v>
      </c>
      <c r="B4179" t="s">
        <v>22101</v>
      </c>
      <c r="C4179" t="s">
        <v>2269</v>
      </c>
      <c r="D4179" t="s">
        <v>1857</v>
      </c>
      <c r="E4179" s="527" t="s">
        <v>22102</v>
      </c>
      <c r="F4179" s="219"/>
    </row>
    <row r="4180" spans="1:6" ht="14.4">
      <c r="A4180">
        <v>41625</v>
      </c>
      <c r="B4180" t="s">
        <v>22103</v>
      </c>
      <c r="C4180" t="s">
        <v>2269</v>
      </c>
      <c r="D4180" t="s">
        <v>1857</v>
      </c>
      <c r="E4180" s="527" t="s">
        <v>22104</v>
      </c>
      <c r="F4180" s="220"/>
    </row>
    <row r="4181" spans="1:6" ht="14.4">
      <c r="A4181">
        <v>39352</v>
      </c>
      <c r="B4181" t="s">
        <v>22105</v>
      </c>
      <c r="C4181" t="s">
        <v>2269</v>
      </c>
      <c r="D4181" t="s">
        <v>1857</v>
      </c>
      <c r="E4181" s="527" t="s">
        <v>15844</v>
      </c>
      <c r="F4181" s="219"/>
    </row>
    <row r="4182" spans="1:6" ht="14.4">
      <c r="A4182">
        <v>39346</v>
      </c>
      <c r="B4182" t="s">
        <v>22106</v>
      </c>
      <c r="C4182" t="s">
        <v>2269</v>
      </c>
      <c r="D4182" t="s">
        <v>1857</v>
      </c>
      <c r="E4182" s="527" t="s">
        <v>15844</v>
      </c>
      <c r="F4182" s="220"/>
    </row>
    <row r="4183" spans="1:6" ht="14.4">
      <c r="A4183">
        <v>39350</v>
      </c>
      <c r="B4183" t="s">
        <v>22107</v>
      </c>
      <c r="C4183" t="s">
        <v>2269</v>
      </c>
      <c r="D4183" t="s">
        <v>1857</v>
      </c>
      <c r="E4183" s="527" t="s">
        <v>3832</v>
      </c>
      <c r="F4183" s="219"/>
    </row>
    <row r="4184" spans="1:6" ht="14.4">
      <c r="A4184">
        <v>39351</v>
      </c>
      <c r="B4184" t="s">
        <v>22108</v>
      </c>
      <c r="C4184" t="s">
        <v>2269</v>
      </c>
      <c r="D4184" t="s">
        <v>1857</v>
      </c>
      <c r="E4184" s="527" t="s">
        <v>3101</v>
      </c>
      <c r="F4184" s="220"/>
    </row>
    <row r="4185" spans="1:6" ht="14.4">
      <c r="A4185">
        <v>38952</v>
      </c>
      <c r="B4185" t="s">
        <v>22109</v>
      </c>
      <c r="C4185" t="s">
        <v>2269</v>
      </c>
      <c r="D4185" t="s">
        <v>2271</v>
      </c>
      <c r="E4185" s="527" t="s">
        <v>6423</v>
      </c>
      <c r="F4185" s="219"/>
    </row>
    <row r="4186" spans="1:6" ht="14.4">
      <c r="A4186">
        <v>38953</v>
      </c>
      <c r="B4186" t="s">
        <v>22110</v>
      </c>
      <c r="C4186" t="s">
        <v>2269</v>
      </c>
      <c r="D4186" t="s">
        <v>2271</v>
      </c>
      <c r="E4186" s="527" t="s">
        <v>4968</v>
      </c>
      <c r="F4186" s="220"/>
    </row>
    <row r="4187" spans="1:6" ht="14.4">
      <c r="A4187">
        <v>38835</v>
      </c>
      <c r="B4187" t="s">
        <v>22111</v>
      </c>
      <c r="C4187" t="s">
        <v>2269</v>
      </c>
      <c r="D4187" t="s">
        <v>2271</v>
      </c>
      <c r="E4187" s="527" t="s">
        <v>10113</v>
      </c>
      <c r="F4187" s="219"/>
    </row>
    <row r="4188" spans="1:6" ht="14.4">
      <c r="A4188">
        <v>38837</v>
      </c>
      <c r="B4188" t="s">
        <v>22112</v>
      </c>
      <c r="C4188" t="s">
        <v>2269</v>
      </c>
      <c r="D4188" t="s">
        <v>2271</v>
      </c>
      <c r="E4188" s="527" t="s">
        <v>10051</v>
      </c>
      <c r="F4188" s="220"/>
    </row>
    <row r="4189" spans="1:6" ht="14.4">
      <c r="A4189">
        <v>38836</v>
      </c>
      <c r="B4189" t="s">
        <v>22113</v>
      </c>
      <c r="C4189" t="s">
        <v>2269</v>
      </c>
      <c r="D4189" t="s">
        <v>2271</v>
      </c>
      <c r="E4189" s="527" t="s">
        <v>10605</v>
      </c>
      <c r="F4189" s="219"/>
    </row>
    <row r="4190" spans="1:6" ht="14.4">
      <c r="A4190">
        <v>2666</v>
      </c>
      <c r="B4190" t="s">
        <v>22114</v>
      </c>
      <c r="C4190" t="s">
        <v>2269</v>
      </c>
      <c r="D4190" t="s">
        <v>1857</v>
      </c>
      <c r="E4190" s="527" t="s">
        <v>15792</v>
      </c>
      <c r="F4190" s="220"/>
    </row>
    <row r="4191" spans="1:6" ht="14.4">
      <c r="A4191">
        <v>2668</v>
      </c>
      <c r="B4191" t="s">
        <v>22115</v>
      </c>
      <c r="C4191" t="s">
        <v>2269</v>
      </c>
      <c r="D4191" t="s">
        <v>1857</v>
      </c>
      <c r="E4191" s="527" t="s">
        <v>4992</v>
      </c>
      <c r="F4191" s="219"/>
    </row>
    <row r="4192" spans="1:6" ht="14.4">
      <c r="A4192">
        <v>2664</v>
      </c>
      <c r="B4192" t="s">
        <v>22116</v>
      </c>
      <c r="C4192" t="s">
        <v>2269</v>
      </c>
      <c r="D4192" t="s">
        <v>1857</v>
      </c>
      <c r="E4192" s="527" t="s">
        <v>5252</v>
      </c>
      <c r="F4192" s="220"/>
    </row>
    <row r="4193" spans="1:6" ht="14.4">
      <c r="A4193">
        <v>2662</v>
      </c>
      <c r="B4193" t="s">
        <v>22117</v>
      </c>
      <c r="C4193" t="s">
        <v>2269</v>
      </c>
      <c r="D4193" t="s">
        <v>1857</v>
      </c>
      <c r="E4193" s="527" t="s">
        <v>9535</v>
      </c>
      <c r="F4193" s="219"/>
    </row>
    <row r="4194" spans="1:6" ht="14.4">
      <c r="A4194">
        <v>20964</v>
      </c>
      <c r="B4194" t="s">
        <v>22118</v>
      </c>
      <c r="C4194" t="s">
        <v>2269</v>
      </c>
      <c r="D4194" t="s">
        <v>1857</v>
      </c>
      <c r="E4194" s="527" t="s">
        <v>22119</v>
      </c>
      <c r="F4194" s="220"/>
    </row>
    <row r="4195" spans="1:6" ht="14.4">
      <c r="A4195">
        <v>10905</v>
      </c>
      <c r="B4195" t="s">
        <v>22120</v>
      </c>
      <c r="C4195" t="s">
        <v>2269</v>
      </c>
      <c r="D4195" t="s">
        <v>1857</v>
      </c>
      <c r="E4195" s="527" t="s">
        <v>15191</v>
      </c>
      <c r="F4195" s="219"/>
    </row>
    <row r="4196" spans="1:6" ht="14.4">
      <c r="A4196">
        <v>42703</v>
      </c>
      <c r="B4196" t="s">
        <v>22121</v>
      </c>
      <c r="C4196" t="s">
        <v>2269</v>
      </c>
      <c r="D4196" t="s">
        <v>2271</v>
      </c>
      <c r="E4196" s="527" t="s">
        <v>11703</v>
      </c>
      <c r="F4196" s="220"/>
    </row>
    <row r="4197" spans="1:6" ht="14.4">
      <c r="A4197">
        <v>42704</v>
      </c>
      <c r="B4197" t="s">
        <v>22122</v>
      </c>
      <c r="C4197" t="s">
        <v>2269</v>
      </c>
      <c r="D4197" t="s">
        <v>2271</v>
      </c>
      <c r="E4197" s="527" t="s">
        <v>15583</v>
      </c>
      <c r="F4197" s="219"/>
    </row>
    <row r="4198" spans="1:6" ht="14.4">
      <c r="A4198">
        <v>42705</v>
      </c>
      <c r="B4198" t="s">
        <v>22123</v>
      </c>
      <c r="C4198" t="s">
        <v>2269</v>
      </c>
      <c r="D4198" t="s">
        <v>2271</v>
      </c>
      <c r="E4198" s="527" t="s">
        <v>15584</v>
      </c>
      <c r="F4198" s="220"/>
    </row>
    <row r="4199" spans="1:6" ht="14.4">
      <c r="A4199">
        <v>42706</v>
      </c>
      <c r="B4199" t="s">
        <v>22124</v>
      </c>
      <c r="C4199" t="s">
        <v>2269</v>
      </c>
      <c r="D4199" t="s">
        <v>2271</v>
      </c>
      <c r="E4199" s="527" t="s">
        <v>15585</v>
      </c>
      <c r="F4199" s="219"/>
    </row>
    <row r="4200" spans="1:6" ht="14.4">
      <c r="A4200">
        <v>11289</v>
      </c>
      <c r="B4200" t="s">
        <v>22125</v>
      </c>
      <c r="C4200" t="s">
        <v>2269</v>
      </c>
      <c r="D4200" t="s">
        <v>2271</v>
      </c>
      <c r="E4200" s="527" t="s">
        <v>22126</v>
      </c>
      <c r="F4200" s="220"/>
    </row>
    <row r="4201" spans="1:6" ht="14.4">
      <c r="A4201">
        <v>11241</v>
      </c>
      <c r="B4201" t="s">
        <v>22127</v>
      </c>
      <c r="C4201" t="s">
        <v>2269</v>
      </c>
      <c r="D4201" t="s">
        <v>2271</v>
      </c>
      <c r="E4201" s="527" t="s">
        <v>22128</v>
      </c>
      <c r="F4201" s="219"/>
    </row>
    <row r="4202" spans="1:6" ht="14.4">
      <c r="A4202">
        <v>11301</v>
      </c>
      <c r="B4202" t="s">
        <v>22129</v>
      </c>
      <c r="C4202" t="s">
        <v>2269</v>
      </c>
      <c r="D4202" t="s">
        <v>2271</v>
      </c>
      <c r="E4202" s="527" t="s">
        <v>22130</v>
      </c>
      <c r="F4202" s="220"/>
    </row>
    <row r="4203" spans="1:6" ht="14.4">
      <c r="A4203">
        <v>21090</v>
      </c>
      <c r="B4203" t="s">
        <v>22131</v>
      </c>
      <c r="C4203" t="s">
        <v>2269</v>
      </c>
      <c r="D4203" t="s">
        <v>2271</v>
      </c>
      <c r="E4203" s="527" t="s">
        <v>22132</v>
      </c>
      <c r="F4203" s="219"/>
    </row>
    <row r="4204" spans="1:6" ht="14.4">
      <c r="A4204">
        <v>14112</v>
      </c>
      <c r="B4204" t="s">
        <v>22133</v>
      </c>
      <c r="C4204" t="s">
        <v>2269</v>
      </c>
      <c r="D4204" t="s">
        <v>2271</v>
      </c>
      <c r="E4204" s="527" t="s">
        <v>22134</v>
      </c>
      <c r="F4204" s="220"/>
    </row>
    <row r="4205" spans="1:6" ht="14.4">
      <c r="A4205">
        <v>11315</v>
      </c>
      <c r="B4205" t="s">
        <v>22135</v>
      </c>
      <c r="C4205" t="s">
        <v>2269</v>
      </c>
      <c r="D4205" t="s">
        <v>2271</v>
      </c>
      <c r="E4205" s="527" t="s">
        <v>22136</v>
      </c>
      <c r="F4205" s="219"/>
    </row>
    <row r="4206" spans="1:6" ht="14.4">
      <c r="A4206">
        <v>21071</v>
      </c>
      <c r="B4206" t="s">
        <v>22137</v>
      </c>
      <c r="C4206" t="s">
        <v>2269</v>
      </c>
      <c r="D4206" t="s">
        <v>2271</v>
      </c>
      <c r="E4206" s="527" t="s">
        <v>22138</v>
      </c>
      <c r="F4206" s="220"/>
    </row>
    <row r="4207" spans="1:6" ht="14.4">
      <c r="A4207">
        <v>11316</v>
      </c>
      <c r="B4207" t="s">
        <v>22139</v>
      </c>
      <c r="C4207" t="s">
        <v>2269</v>
      </c>
      <c r="D4207" t="s">
        <v>2271</v>
      </c>
      <c r="E4207" s="527" t="s">
        <v>22140</v>
      </c>
      <c r="F4207" s="219"/>
    </row>
    <row r="4208" spans="1:6" ht="14.4">
      <c r="A4208">
        <v>6243</v>
      </c>
      <c r="B4208" t="s">
        <v>22141</v>
      </c>
      <c r="C4208" t="s">
        <v>2269</v>
      </c>
      <c r="D4208" t="s">
        <v>2271</v>
      </c>
      <c r="E4208" s="527" t="s">
        <v>22142</v>
      </c>
      <c r="F4208" s="220"/>
    </row>
    <row r="4209" spans="1:6" ht="14.4">
      <c r="A4209">
        <v>6240</v>
      </c>
      <c r="B4209" t="s">
        <v>22143</v>
      </c>
      <c r="C4209" t="s">
        <v>2269</v>
      </c>
      <c r="D4209" t="s">
        <v>2271</v>
      </c>
      <c r="E4209" s="527" t="s">
        <v>22144</v>
      </c>
      <c r="F4209" s="219"/>
    </row>
    <row r="4210" spans="1:6" ht="14.4">
      <c r="A4210">
        <v>11296</v>
      </c>
      <c r="B4210" t="s">
        <v>22145</v>
      </c>
      <c r="C4210" t="s">
        <v>2269</v>
      </c>
      <c r="D4210" t="s">
        <v>2271</v>
      </c>
      <c r="E4210" s="527" t="s">
        <v>22146</v>
      </c>
      <c r="F4210" s="220"/>
    </row>
    <row r="4211" spans="1:6" ht="14.4">
      <c r="A4211">
        <v>11299</v>
      </c>
      <c r="B4211" t="s">
        <v>22147</v>
      </c>
      <c r="C4211" t="s">
        <v>2269</v>
      </c>
      <c r="D4211" t="s">
        <v>2271</v>
      </c>
      <c r="E4211" s="527" t="s">
        <v>22148</v>
      </c>
      <c r="F4211" s="219"/>
    </row>
    <row r="4212" spans="1:6" ht="14.4">
      <c r="A4212">
        <v>11066</v>
      </c>
      <c r="B4212" t="s">
        <v>22149</v>
      </c>
      <c r="C4212" t="s">
        <v>2269</v>
      </c>
      <c r="D4212" t="s">
        <v>1857</v>
      </c>
      <c r="E4212" s="527" t="s">
        <v>10321</v>
      </c>
      <c r="F4212" s="220"/>
    </row>
    <row r="4213" spans="1:6" ht="14.4">
      <c r="A4213">
        <v>11065</v>
      </c>
      <c r="B4213" t="s">
        <v>22150</v>
      </c>
      <c r="C4213" t="s">
        <v>2269</v>
      </c>
      <c r="D4213" t="s">
        <v>1857</v>
      </c>
      <c r="E4213" s="527" t="s">
        <v>10059</v>
      </c>
      <c r="F4213" s="219"/>
    </row>
    <row r="4214" spans="1:6" ht="14.4">
      <c r="A4214">
        <v>11688</v>
      </c>
      <c r="B4214" t="s">
        <v>22151</v>
      </c>
      <c r="C4214" t="s">
        <v>2269</v>
      </c>
      <c r="D4214" t="s">
        <v>1857</v>
      </c>
      <c r="E4214" s="527" t="s">
        <v>16296</v>
      </c>
      <c r="F4214" s="220"/>
    </row>
    <row r="4215" spans="1:6" ht="14.4">
      <c r="A4215">
        <v>37736</v>
      </c>
      <c r="B4215" t="s">
        <v>22152</v>
      </c>
      <c r="C4215" t="s">
        <v>2269</v>
      </c>
      <c r="D4215" t="s">
        <v>2271</v>
      </c>
      <c r="E4215" s="527" t="s">
        <v>22153</v>
      </c>
      <c r="F4215" s="219"/>
    </row>
    <row r="4216" spans="1:6" ht="14.4">
      <c r="A4216">
        <v>37739</v>
      </c>
      <c r="B4216" t="s">
        <v>22154</v>
      </c>
      <c r="C4216" t="s">
        <v>2269</v>
      </c>
      <c r="D4216" t="s">
        <v>2271</v>
      </c>
      <c r="E4216" s="527" t="s">
        <v>22155</v>
      </c>
      <c r="F4216" s="220"/>
    </row>
    <row r="4217" spans="1:6" ht="14.4">
      <c r="A4217">
        <v>37740</v>
      </c>
      <c r="B4217" t="s">
        <v>22156</v>
      </c>
      <c r="C4217" t="s">
        <v>2269</v>
      </c>
      <c r="D4217" t="s">
        <v>2271</v>
      </c>
      <c r="E4217" s="527" t="s">
        <v>22157</v>
      </c>
      <c r="F4217" s="219"/>
    </row>
    <row r="4218" spans="1:6" ht="14.4">
      <c r="A4218">
        <v>37738</v>
      </c>
      <c r="B4218" t="s">
        <v>22158</v>
      </c>
      <c r="C4218" t="s">
        <v>2269</v>
      </c>
      <c r="D4218" t="s">
        <v>2271</v>
      </c>
      <c r="E4218" s="527" t="s">
        <v>22159</v>
      </c>
      <c r="F4218" s="220"/>
    </row>
    <row r="4219" spans="1:6" ht="14.4">
      <c r="A4219">
        <v>37737</v>
      </c>
      <c r="B4219" t="s">
        <v>22160</v>
      </c>
      <c r="C4219" t="s">
        <v>2269</v>
      </c>
      <c r="D4219" t="s">
        <v>2271</v>
      </c>
      <c r="E4219" s="527" t="s">
        <v>22161</v>
      </c>
      <c r="F4219" s="219"/>
    </row>
    <row r="4220" spans="1:6" ht="14.4">
      <c r="A4220">
        <v>25014</v>
      </c>
      <c r="B4220" t="s">
        <v>22162</v>
      </c>
      <c r="C4220" t="s">
        <v>2269</v>
      </c>
      <c r="D4220" t="s">
        <v>2271</v>
      </c>
      <c r="E4220" s="527" t="s">
        <v>22163</v>
      </c>
      <c r="F4220" s="220"/>
    </row>
    <row r="4221" spans="1:6" ht="14.4">
      <c r="A4221">
        <v>25013</v>
      </c>
      <c r="B4221" t="s">
        <v>22164</v>
      </c>
      <c r="C4221" t="s">
        <v>2269</v>
      </c>
      <c r="D4221" t="s">
        <v>2271</v>
      </c>
      <c r="E4221" s="527" t="s">
        <v>22165</v>
      </c>
      <c r="F4221" s="219"/>
    </row>
    <row r="4222" spans="1:6" ht="14.4">
      <c r="A4222">
        <v>14405</v>
      </c>
      <c r="B4222" t="s">
        <v>22166</v>
      </c>
      <c r="C4222" t="s">
        <v>2269</v>
      </c>
      <c r="D4222" t="s">
        <v>2271</v>
      </c>
      <c r="E4222" s="527" t="s">
        <v>22167</v>
      </c>
      <c r="F4222" s="220"/>
    </row>
    <row r="4223" spans="1:6" ht="14.4">
      <c r="A4223">
        <v>20271</v>
      </c>
      <c r="B4223" t="s">
        <v>22168</v>
      </c>
      <c r="C4223" t="s">
        <v>2269</v>
      </c>
      <c r="D4223" t="s">
        <v>1857</v>
      </c>
      <c r="E4223" s="527" t="s">
        <v>22169</v>
      </c>
      <c r="F4223" s="219"/>
    </row>
    <row r="4224" spans="1:6" ht="14.4">
      <c r="A4224">
        <v>10423</v>
      </c>
      <c r="B4224" t="s">
        <v>22170</v>
      </c>
      <c r="C4224" t="s">
        <v>2269</v>
      </c>
      <c r="D4224" t="s">
        <v>1857</v>
      </c>
      <c r="E4224" s="527" t="s">
        <v>22171</v>
      </c>
      <c r="F4224" s="220"/>
    </row>
    <row r="4225" spans="1:6" ht="14.4">
      <c r="A4225">
        <v>36790</v>
      </c>
      <c r="B4225" t="s">
        <v>22172</v>
      </c>
      <c r="C4225" t="s">
        <v>2269</v>
      </c>
      <c r="D4225" t="s">
        <v>1857</v>
      </c>
      <c r="E4225" s="527" t="s">
        <v>15586</v>
      </c>
      <c r="F4225" s="219"/>
    </row>
    <row r="4226" spans="1:6" ht="14.4">
      <c r="A4226">
        <v>37589</v>
      </c>
      <c r="B4226" t="s">
        <v>22173</v>
      </c>
      <c r="C4226" t="s">
        <v>2269</v>
      </c>
      <c r="D4226" t="s">
        <v>1857</v>
      </c>
      <c r="E4226" s="527" t="s">
        <v>15587</v>
      </c>
      <c r="F4226" s="220"/>
    </row>
    <row r="4227" spans="1:6" ht="14.4">
      <c r="A4227">
        <v>11690</v>
      </c>
      <c r="B4227" t="s">
        <v>22174</v>
      </c>
      <c r="C4227" t="s">
        <v>2269</v>
      </c>
      <c r="D4227" t="s">
        <v>1857</v>
      </c>
      <c r="E4227" s="527" t="s">
        <v>15588</v>
      </c>
      <c r="F4227" s="219"/>
    </row>
    <row r="4228" spans="1:6" ht="14.4">
      <c r="A4228">
        <v>20234</v>
      </c>
      <c r="B4228" t="s">
        <v>22175</v>
      </c>
      <c r="C4228" t="s">
        <v>2269</v>
      </c>
      <c r="D4228" t="s">
        <v>1857</v>
      </c>
      <c r="E4228" s="527" t="s">
        <v>11854</v>
      </c>
      <c r="F4228" s="220"/>
    </row>
    <row r="4229" spans="1:6" ht="14.4">
      <c r="A4229">
        <v>4763</v>
      </c>
      <c r="B4229" t="s">
        <v>22176</v>
      </c>
      <c r="C4229" t="s">
        <v>2267</v>
      </c>
      <c r="D4229" t="s">
        <v>1857</v>
      </c>
      <c r="E4229" s="527" t="s">
        <v>9978</v>
      </c>
      <c r="F4229" s="219"/>
    </row>
    <row r="4230" spans="1:6" ht="14.4">
      <c r="A4230">
        <v>41070</v>
      </c>
      <c r="B4230" t="s">
        <v>22177</v>
      </c>
      <c r="C4230" t="s">
        <v>2276</v>
      </c>
      <c r="D4230" t="s">
        <v>1857</v>
      </c>
      <c r="E4230" s="527" t="s">
        <v>22178</v>
      </c>
      <c r="F4230" s="220"/>
    </row>
    <row r="4231" spans="1:6" ht="14.4">
      <c r="A4231">
        <v>14583</v>
      </c>
      <c r="B4231" t="s">
        <v>22179</v>
      </c>
      <c r="C4231" t="s">
        <v>2272</v>
      </c>
      <c r="D4231" t="s">
        <v>1857</v>
      </c>
      <c r="E4231" s="527" t="s">
        <v>9775</v>
      </c>
      <c r="F4231" s="219"/>
    </row>
    <row r="4232" spans="1:6" ht="14.4">
      <c r="A4232">
        <v>11457</v>
      </c>
      <c r="B4232" t="s">
        <v>22180</v>
      </c>
      <c r="C4232" t="s">
        <v>2269</v>
      </c>
      <c r="D4232" t="s">
        <v>1857</v>
      </c>
      <c r="E4232" s="527" t="s">
        <v>22181</v>
      </c>
      <c r="F4232" s="220"/>
    </row>
    <row r="4233" spans="1:6" ht="14.4">
      <c r="A4233">
        <v>21121</v>
      </c>
      <c r="B4233" t="s">
        <v>22182</v>
      </c>
      <c r="C4233" t="s">
        <v>2269</v>
      </c>
      <c r="D4233" t="s">
        <v>1857</v>
      </c>
      <c r="E4233" s="527" t="s">
        <v>3795</v>
      </c>
      <c r="F4233" s="219"/>
    </row>
    <row r="4234" spans="1:6" ht="14.4">
      <c r="A4234">
        <v>38010</v>
      </c>
      <c r="B4234" t="s">
        <v>22183</v>
      </c>
      <c r="C4234" t="s">
        <v>2269</v>
      </c>
      <c r="D4234" t="s">
        <v>1857</v>
      </c>
      <c r="E4234" s="527" t="s">
        <v>3723</v>
      </c>
      <c r="F4234" s="220"/>
    </row>
    <row r="4235" spans="1:6" ht="14.4">
      <c r="A4235">
        <v>38011</v>
      </c>
      <c r="B4235" t="s">
        <v>22184</v>
      </c>
      <c r="C4235" t="s">
        <v>2269</v>
      </c>
      <c r="D4235" t="s">
        <v>1857</v>
      </c>
      <c r="E4235" s="527" t="s">
        <v>10643</v>
      </c>
      <c r="F4235" s="219"/>
    </row>
    <row r="4236" spans="1:6" ht="14.4">
      <c r="A4236">
        <v>38012</v>
      </c>
      <c r="B4236" t="s">
        <v>22185</v>
      </c>
      <c r="C4236" t="s">
        <v>2269</v>
      </c>
      <c r="D4236" t="s">
        <v>1857</v>
      </c>
      <c r="E4236" s="527" t="s">
        <v>11424</v>
      </c>
      <c r="F4236" s="220"/>
    </row>
    <row r="4237" spans="1:6" ht="14.4">
      <c r="A4237">
        <v>38013</v>
      </c>
      <c r="B4237" t="s">
        <v>22186</v>
      </c>
      <c r="C4237" t="s">
        <v>2269</v>
      </c>
      <c r="D4237" t="s">
        <v>1857</v>
      </c>
      <c r="E4237" s="527" t="s">
        <v>22187</v>
      </c>
      <c r="F4237" s="219"/>
    </row>
    <row r="4238" spans="1:6" ht="14.4">
      <c r="A4238">
        <v>38014</v>
      </c>
      <c r="B4238" t="s">
        <v>22188</v>
      </c>
      <c r="C4238" t="s">
        <v>2269</v>
      </c>
      <c r="D4238" t="s">
        <v>1857</v>
      </c>
      <c r="E4238" s="527" t="s">
        <v>22189</v>
      </c>
      <c r="F4238" s="220"/>
    </row>
    <row r="4239" spans="1:6" ht="14.4">
      <c r="A4239">
        <v>38015</v>
      </c>
      <c r="B4239" t="s">
        <v>22190</v>
      </c>
      <c r="C4239" t="s">
        <v>2269</v>
      </c>
      <c r="D4239" t="s">
        <v>1857</v>
      </c>
      <c r="E4239" s="527" t="s">
        <v>22191</v>
      </c>
      <c r="F4239" s="219"/>
    </row>
    <row r="4240" spans="1:6" ht="14.4">
      <c r="A4240">
        <v>38016</v>
      </c>
      <c r="B4240" t="s">
        <v>22192</v>
      </c>
      <c r="C4240" t="s">
        <v>2269</v>
      </c>
      <c r="D4240" t="s">
        <v>1857</v>
      </c>
      <c r="E4240" s="527" t="s">
        <v>22193</v>
      </c>
      <c r="F4240" s="220"/>
    </row>
    <row r="4241" spans="1:6" ht="14.4">
      <c r="A4241">
        <v>12741</v>
      </c>
      <c r="B4241" t="s">
        <v>22194</v>
      </c>
      <c r="C4241" t="s">
        <v>2269</v>
      </c>
      <c r="D4241" t="s">
        <v>2271</v>
      </c>
      <c r="E4241" s="527" t="s">
        <v>22195</v>
      </c>
      <c r="F4241" s="219"/>
    </row>
    <row r="4242" spans="1:6" ht="14.4">
      <c r="A4242">
        <v>12733</v>
      </c>
      <c r="B4242" t="s">
        <v>22196</v>
      </c>
      <c r="C4242" t="s">
        <v>2269</v>
      </c>
      <c r="D4242" t="s">
        <v>2271</v>
      </c>
      <c r="E4242" s="527" t="s">
        <v>9500</v>
      </c>
      <c r="F4242" s="220"/>
    </row>
    <row r="4243" spans="1:6" ht="14.4">
      <c r="A4243">
        <v>12734</v>
      </c>
      <c r="B4243" t="s">
        <v>22197</v>
      </c>
      <c r="C4243" t="s">
        <v>2269</v>
      </c>
      <c r="D4243" t="s">
        <v>2271</v>
      </c>
      <c r="E4243" s="527" t="s">
        <v>10785</v>
      </c>
      <c r="F4243" s="219"/>
    </row>
    <row r="4244" spans="1:6" ht="14.4">
      <c r="A4244">
        <v>12735</v>
      </c>
      <c r="B4244" t="s">
        <v>22198</v>
      </c>
      <c r="C4244" t="s">
        <v>2269</v>
      </c>
      <c r="D4244" t="s">
        <v>2271</v>
      </c>
      <c r="E4244" s="527" t="s">
        <v>18484</v>
      </c>
      <c r="F4244" s="220"/>
    </row>
    <row r="4245" spans="1:6" ht="14.4">
      <c r="A4245">
        <v>12736</v>
      </c>
      <c r="B4245" t="s">
        <v>22199</v>
      </c>
      <c r="C4245" t="s">
        <v>2269</v>
      </c>
      <c r="D4245" t="s">
        <v>2271</v>
      </c>
      <c r="E4245" s="527" t="s">
        <v>22200</v>
      </c>
      <c r="F4245" s="219"/>
    </row>
    <row r="4246" spans="1:6" ht="14.4">
      <c r="A4246">
        <v>12737</v>
      </c>
      <c r="B4246" t="s">
        <v>22201</v>
      </c>
      <c r="C4246" t="s">
        <v>2269</v>
      </c>
      <c r="D4246" t="s">
        <v>2271</v>
      </c>
      <c r="E4246" s="527" t="s">
        <v>22202</v>
      </c>
      <c r="F4246" s="220"/>
    </row>
    <row r="4247" spans="1:6" ht="14.4">
      <c r="A4247">
        <v>12738</v>
      </c>
      <c r="B4247" t="s">
        <v>22203</v>
      </c>
      <c r="C4247" t="s">
        <v>2269</v>
      </c>
      <c r="D4247" t="s">
        <v>2271</v>
      </c>
      <c r="E4247" s="527" t="s">
        <v>22204</v>
      </c>
      <c r="F4247" s="219"/>
    </row>
    <row r="4248" spans="1:6" ht="14.4">
      <c r="A4248">
        <v>12739</v>
      </c>
      <c r="B4248" t="s">
        <v>22205</v>
      </c>
      <c r="C4248" t="s">
        <v>2269</v>
      </c>
      <c r="D4248" t="s">
        <v>2271</v>
      </c>
      <c r="E4248" s="527" t="s">
        <v>22206</v>
      </c>
      <c r="F4248" s="220"/>
    </row>
    <row r="4249" spans="1:6" ht="14.4">
      <c r="A4249">
        <v>12740</v>
      </c>
      <c r="B4249" t="s">
        <v>22207</v>
      </c>
      <c r="C4249" t="s">
        <v>2269</v>
      </c>
      <c r="D4249" t="s">
        <v>2271</v>
      </c>
      <c r="E4249" s="527" t="s">
        <v>22208</v>
      </c>
      <c r="F4249" s="219"/>
    </row>
    <row r="4250" spans="1:6" ht="14.4">
      <c r="A4250">
        <v>6297</v>
      </c>
      <c r="B4250" t="s">
        <v>22209</v>
      </c>
      <c r="C4250" t="s">
        <v>2269</v>
      </c>
      <c r="D4250" t="s">
        <v>1857</v>
      </c>
      <c r="E4250" s="527" t="s">
        <v>9616</v>
      </c>
      <c r="F4250" s="220"/>
    </row>
    <row r="4251" spans="1:6" ht="14.4">
      <c r="A4251">
        <v>6296</v>
      </c>
      <c r="B4251" t="s">
        <v>22210</v>
      </c>
      <c r="C4251" t="s">
        <v>2269</v>
      </c>
      <c r="D4251" t="s">
        <v>1857</v>
      </c>
      <c r="E4251" s="527" t="s">
        <v>10164</v>
      </c>
      <c r="F4251" s="219"/>
    </row>
    <row r="4252" spans="1:6" ht="14.4">
      <c r="A4252">
        <v>6294</v>
      </c>
      <c r="B4252" t="s">
        <v>22211</v>
      </c>
      <c r="C4252" t="s">
        <v>2269</v>
      </c>
      <c r="D4252" t="s">
        <v>1857</v>
      </c>
      <c r="E4252" s="527" t="s">
        <v>7515</v>
      </c>
      <c r="F4252" s="220"/>
    </row>
    <row r="4253" spans="1:6" ht="14.4">
      <c r="A4253">
        <v>6323</v>
      </c>
      <c r="B4253" t="s">
        <v>22212</v>
      </c>
      <c r="C4253" t="s">
        <v>2269</v>
      </c>
      <c r="D4253" t="s">
        <v>1857</v>
      </c>
      <c r="E4253" s="527" t="s">
        <v>7309</v>
      </c>
      <c r="F4253" s="219"/>
    </row>
    <row r="4254" spans="1:6" ht="14.4">
      <c r="A4254">
        <v>6299</v>
      </c>
      <c r="B4254" t="s">
        <v>22213</v>
      </c>
      <c r="C4254" t="s">
        <v>2269</v>
      </c>
      <c r="D4254" t="s">
        <v>1857</v>
      </c>
      <c r="E4254" s="527" t="s">
        <v>15589</v>
      </c>
      <c r="F4254" s="220"/>
    </row>
    <row r="4255" spans="1:6" ht="14.4">
      <c r="A4255">
        <v>6298</v>
      </c>
      <c r="B4255" t="s">
        <v>22214</v>
      </c>
      <c r="C4255" t="s">
        <v>2269</v>
      </c>
      <c r="D4255" t="s">
        <v>1857</v>
      </c>
      <c r="E4255" s="527" t="s">
        <v>15250</v>
      </c>
      <c r="F4255" s="219"/>
    </row>
    <row r="4256" spans="1:6" ht="14.4">
      <c r="A4256">
        <v>6295</v>
      </c>
      <c r="B4256" t="s">
        <v>22215</v>
      </c>
      <c r="C4256" t="s">
        <v>2269</v>
      </c>
      <c r="D4256" t="s">
        <v>1857</v>
      </c>
      <c r="E4256" s="527" t="s">
        <v>7387</v>
      </c>
      <c r="F4256" s="220"/>
    </row>
    <row r="4257" spans="1:6" ht="14.4">
      <c r="A4257">
        <v>6322</v>
      </c>
      <c r="B4257" t="s">
        <v>22216</v>
      </c>
      <c r="C4257" t="s">
        <v>2269</v>
      </c>
      <c r="D4257" t="s">
        <v>1857</v>
      </c>
      <c r="E4257" s="527" t="s">
        <v>15590</v>
      </c>
      <c r="F4257" s="219"/>
    </row>
    <row r="4258" spans="1:6" ht="14.4">
      <c r="A4258">
        <v>6300</v>
      </c>
      <c r="B4258" t="s">
        <v>22217</v>
      </c>
      <c r="C4258" t="s">
        <v>2269</v>
      </c>
      <c r="D4258" t="s">
        <v>1857</v>
      </c>
      <c r="E4258" s="527" t="s">
        <v>13075</v>
      </c>
      <c r="F4258" s="220"/>
    </row>
    <row r="4259" spans="1:6" ht="14.4">
      <c r="A4259">
        <v>6321</v>
      </c>
      <c r="B4259" t="s">
        <v>22218</v>
      </c>
      <c r="C4259" t="s">
        <v>2269</v>
      </c>
      <c r="D4259" t="s">
        <v>1857</v>
      </c>
      <c r="E4259" s="527" t="s">
        <v>15591</v>
      </c>
      <c r="F4259" s="219"/>
    </row>
    <row r="4260" spans="1:6" ht="14.4">
      <c r="A4260">
        <v>6301</v>
      </c>
      <c r="B4260" t="s">
        <v>22219</v>
      </c>
      <c r="C4260" t="s">
        <v>2269</v>
      </c>
      <c r="D4260" t="s">
        <v>1857</v>
      </c>
      <c r="E4260" s="527" t="s">
        <v>15592</v>
      </c>
      <c r="F4260" s="220"/>
    </row>
    <row r="4261" spans="1:6" ht="14.4">
      <c r="A4261">
        <v>7105</v>
      </c>
      <c r="B4261" t="s">
        <v>22220</v>
      </c>
      <c r="C4261" t="s">
        <v>2269</v>
      </c>
      <c r="D4261" t="s">
        <v>1857</v>
      </c>
      <c r="E4261" s="527" t="s">
        <v>10736</v>
      </c>
      <c r="F4261" s="219"/>
    </row>
    <row r="4262" spans="1:6" ht="14.4">
      <c r="A4262">
        <v>20183</v>
      </c>
      <c r="B4262" t="s">
        <v>22221</v>
      </c>
      <c r="C4262" t="s">
        <v>2269</v>
      </c>
      <c r="D4262" t="s">
        <v>1857</v>
      </c>
      <c r="E4262" s="527" t="s">
        <v>22222</v>
      </c>
      <c r="F4262" s="220"/>
    </row>
    <row r="4263" spans="1:6" ht="14.4">
      <c r="A4263">
        <v>38448</v>
      </c>
      <c r="B4263" t="s">
        <v>22223</v>
      </c>
      <c r="C4263" t="s">
        <v>2269</v>
      </c>
      <c r="D4263" t="s">
        <v>1857</v>
      </c>
      <c r="E4263" s="527" t="s">
        <v>22224</v>
      </c>
      <c r="F4263" s="219"/>
    </row>
    <row r="4264" spans="1:6" ht="14.4">
      <c r="A4264">
        <v>20182</v>
      </c>
      <c r="B4264" t="s">
        <v>22225</v>
      </c>
      <c r="C4264" t="s">
        <v>2269</v>
      </c>
      <c r="D4264" t="s">
        <v>1857</v>
      </c>
      <c r="E4264" s="527" t="s">
        <v>13324</v>
      </c>
      <c r="F4264" s="220"/>
    </row>
    <row r="4265" spans="1:6" ht="14.4">
      <c r="A4265">
        <v>7119</v>
      </c>
      <c r="B4265" t="s">
        <v>22226</v>
      </c>
      <c r="C4265" t="s">
        <v>2269</v>
      </c>
      <c r="D4265" t="s">
        <v>1857</v>
      </c>
      <c r="E4265" s="527" t="s">
        <v>10065</v>
      </c>
      <c r="F4265" s="219"/>
    </row>
    <row r="4266" spans="1:6" ht="14.4">
      <c r="A4266">
        <v>7120</v>
      </c>
      <c r="B4266" t="s">
        <v>22227</v>
      </c>
      <c r="C4266" t="s">
        <v>2269</v>
      </c>
      <c r="D4266" t="s">
        <v>1857</v>
      </c>
      <c r="E4266" s="527" t="s">
        <v>7347</v>
      </c>
      <c r="F4266" s="220"/>
    </row>
    <row r="4267" spans="1:6" ht="14.4">
      <c r="A4267">
        <v>6319</v>
      </c>
      <c r="B4267" t="s">
        <v>22228</v>
      </c>
      <c r="C4267" t="s">
        <v>2269</v>
      </c>
      <c r="D4267" t="s">
        <v>1857</v>
      </c>
      <c r="E4267" s="527" t="s">
        <v>12035</v>
      </c>
      <c r="F4267" s="219"/>
    </row>
    <row r="4268" spans="1:6" ht="14.4">
      <c r="A4268">
        <v>6304</v>
      </c>
      <c r="B4268" t="s">
        <v>22229</v>
      </c>
      <c r="C4268" t="s">
        <v>2269</v>
      </c>
      <c r="D4268" t="s">
        <v>1857</v>
      </c>
      <c r="E4268" s="527" t="s">
        <v>12035</v>
      </c>
      <c r="F4268" s="220"/>
    </row>
    <row r="4269" spans="1:6" ht="14.4">
      <c r="A4269">
        <v>21116</v>
      </c>
      <c r="B4269" t="s">
        <v>22230</v>
      </c>
      <c r="C4269" t="s">
        <v>2269</v>
      </c>
      <c r="D4269" t="s">
        <v>1857</v>
      </c>
      <c r="E4269" s="527" t="s">
        <v>12736</v>
      </c>
      <c r="F4269" s="219"/>
    </row>
    <row r="4270" spans="1:6" ht="14.4">
      <c r="A4270">
        <v>6320</v>
      </c>
      <c r="B4270" t="s">
        <v>22231</v>
      </c>
      <c r="C4270" t="s">
        <v>2269</v>
      </c>
      <c r="D4270" t="s">
        <v>1857</v>
      </c>
      <c r="E4270" s="527" t="s">
        <v>7238</v>
      </c>
      <c r="F4270" s="220"/>
    </row>
    <row r="4271" spans="1:6" ht="14.4">
      <c r="A4271">
        <v>6303</v>
      </c>
      <c r="B4271" t="s">
        <v>22232</v>
      </c>
      <c r="C4271" t="s">
        <v>2269</v>
      </c>
      <c r="D4271" t="s">
        <v>1857</v>
      </c>
      <c r="E4271" s="527" t="s">
        <v>7238</v>
      </c>
      <c r="F4271" s="219"/>
    </row>
    <row r="4272" spans="1:6" ht="14.4">
      <c r="A4272">
        <v>6308</v>
      </c>
      <c r="B4272" t="s">
        <v>22233</v>
      </c>
      <c r="C4272" t="s">
        <v>2269</v>
      </c>
      <c r="D4272" t="s">
        <v>1857</v>
      </c>
      <c r="E4272" s="527" t="s">
        <v>15593</v>
      </c>
      <c r="F4272" s="220"/>
    </row>
    <row r="4273" spans="1:6" ht="14.4">
      <c r="A4273">
        <v>6317</v>
      </c>
      <c r="B4273" t="s">
        <v>22234</v>
      </c>
      <c r="C4273" t="s">
        <v>2269</v>
      </c>
      <c r="D4273" t="s">
        <v>1857</v>
      </c>
      <c r="E4273" s="527" t="s">
        <v>15593</v>
      </c>
      <c r="F4273" s="219"/>
    </row>
    <row r="4274" spans="1:6" ht="14.4">
      <c r="A4274">
        <v>6307</v>
      </c>
      <c r="B4274" t="s">
        <v>22235</v>
      </c>
      <c r="C4274" t="s">
        <v>2269</v>
      </c>
      <c r="D4274" t="s">
        <v>1857</v>
      </c>
      <c r="E4274" s="527" t="s">
        <v>15593</v>
      </c>
      <c r="F4274" s="220"/>
    </row>
    <row r="4275" spans="1:6" ht="14.4">
      <c r="A4275">
        <v>6309</v>
      </c>
      <c r="B4275" t="s">
        <v>22236</v>
      </c>
      <c r="C4275" t="s">
        <v>2269</v>
      </c>
      <c r="D4275" t="s">
        <v>1857</v>
      </c>
      <c r="E4275" s="527" t="s">
        <v>15594</v>
      </c>
      <c r="F4275" s="219"/>
    </row>
    <row r="4276" spans="1:6" ht="14.4">
      <c r="A4276">
        <v>6318</v>
      </c>
      <c r="B4276" t="s">
        <v>22237</v>
      </c>
      <c r="C4276" t="s">
        <v>2269</v>
      </c>
      <c r="D4276" t="s">
        <v>1857</v>
      </c>
      <c r="E4276" s="527" t="s">
        <v>13936</v>
      </c>
      <c r="F4276" s="220"/>
    </row>
    <row r="4277" spans="1:6" ht="14.4">
      <c r="A4277">
        <v>6306</v>
      </c>
      <c r="B4277" t="s">
        <v>22238</v>
      </c>
      <c r="C4277" t="s">
        <v>2269</v>
      </c>
      <c r="D4277" t="s">
        <v>1857</v>
      </c>
      <c r="E4277" s="527" t="s">
        <v>13936</v>
      </c>
      <c r="F4277" s="219"/>
    </row>
    <row r="4278" spans="1:6" ht="14.4">
      <c r="A4278">
        <v>6305</v>
      </c>
      <c r="B4278" t="s">
        <v>22239</v>
      </c>
      <c r="C4278" t="s">
        <v>2269</v>
      </c>
      <c r="D4278" t="s">
        <v>1857</v>
      </c>
      <c r="E4278" s="527" t="s">
        <v>13936</v>
      </c>
      <c r="F4278" s="220"/>
    </row>
    <row r="4279" spans="1:6" ht="14.4">
      <c r="A4279">
        <v>6302</v>
      </c>
      <c r="B4279" t="s">
        <v>22240</v>
      </c>
      <c r="C4279" t="s">
        <v>2269</v>
      </c>
      <c r="D4279" t="s">
        <v>1857</v>
      </c>
      <c r="E4279" s="527" t="s">
        <v>7484</v>
      </c>
      <c r="F4279" s="219"/>
    </row>
    <row r="4280" spans="1:6" ht="14.4">
      <c r="A4280">
        <v>6312</v>
      </c>
      <c r="B4280" t="s">
        <v>22241</v>
      </c>
      <c r="C4280" t="s">
        <v>2269</v>
      </c>
      <c r="D4280" t="s">
        <v>1857</v>
      </c>
      <c r="E4280" s="527" t="s">
        <v>11783</v>
      </c>
      <c r="F4280" s="220"/>
    </row>
    <row r="4281" spans="1:6" ht="14.4">
      <c r="A4281">
        <v>6311</v>
      </c>
      <c r="B4281" t="s">
        <v>22242</v>
      </c>
      <c r="C4281" t="s">
        <v>2269</v>
      </c>
      <c r="D4281" t="s">
        <v>1857</v>
      </c>
      <c r="E4281" s="527" t="s">
        <v>11783</v>
      </c>
      <c r="F4281" s="219"/>
    </row>
    <row r="4282" spans="1:6" ht="14.4">
      <c r="A4282">
        <v>6310</v>
      </c>
      <c r="B4282" t="s">
        <v>22243</v>
      </c>
      <c r="C4282" t="s">
        <v>2269</v>
      </c>
      <c r="D4282" t="s">
        <v>1857</v>
      </c>
      <c r="E4282" s="527" t="s">
        <v>11783</v>
      </c>
      <c r="F4282" s="220"/>
    </row>
    <row r="4283" spans="1:6" ht="14.4">
      <c r="A4283">
        <v>6314</v>
      </c>
      <c r="B4283" t="s">
        <v>22244</v>
      </c>
      <c r="C4283" t="s">
        <v>2269</v>
      </c>
      <c r="D4283" t="s">
        <v>1857</v>
      </c>
      <c r="E4283" s="527" t="s">
        <v>11783</v>
      </c>
      <c r="F4283" s="219"/>
    </row>
    <row r="4284" spans="1:6" ht="14.4">
      <c r="A4284">
        <v>6313</v>
      </c>
      <c r="B4284" t="s">
        <v>22245</v>
      </c>
      <c r="C4284" t="s">
        <v>2269</v>
      </c>
      <c r="D4284" t="s">
        <v>1857</v>
      </c>
      <c r="E4284" s="527" t="s">
        <v>11783</v>
      </c>
      <c r="F4284" s="220"/>
    </row>
    <row r="4285" spans="1:6" ht="14.4">
      <c r="A4285">
        <v>6315</v>
      </c>
      <c r="B4285" t="s">
        <v>22246</v>
      </c>
      <c r="C4285" t="s">
        <v>2269</v>
      </c>
      <c r="D4285" t="s">
        <v>1857</v>
      </c>
      <c r="E4285" s="527" t="s">
        <v>15595</v>
      </c>
      <c r="F4285" s="219"/>
    </row>
    <row r="4286" spans="1:6" ht="14.4">
      <c r="A4286">
        <v>6316</v>
      </c>
      <c r="B4286" t="s">
        <v>22247</v>
      </c>
      <c r="C4286" t="s">
        <v>2269</v>
      </c>
      <c r="D4286" t="s">
        <v>1857</v>
      </c>
      <c r="E4286" s="527" t="s">
        <v>15595</v>
      </c>
      <c r="F4286" s="220"/>
    </row>
    <row r="4287" spans="1:6" ht="14.4">
      <c r="A4287">
        <v>38878</v>
      </c>
      <c r="B4287" t="s">
        <v>22248</v>
      </c>
      <c r="C4287" t="s">
        <v>2269</v>
      </c>
      <c r="D4287" t="s">
        <v>2271</v>
      </c>
      <c r="E4287" s="527" t="s">
        <v>15596</v>
      </c>
      <c r="F4287" s="219"/>
    </row>
    <row r="4288" spans="1:6" ht="14.4">
      <c r="A4288">
        <v>38879</v>
      </c>
      <c r="B4288" t="s">
        <v>22249</v>
      </c>
      <c r="C4288" t="s">
        <v>2269</v>
      </c>
      <c r="D4288" t="s">
        <v>2271</v>
      </c>
      <c r="E4288" s="527" t="s">
        <v>4791</v>
      </c>
      <c r="F4288" s="220"/>
    </row>
    <row r="4289" spans="1:6" ht="14.4">
      <c r="A4289">
        <v>38881</v>
      </c>
      <c r="B4289" t="s">
        <v>22250</v>
      </c>
      <c r="C4289" t="s">
        <v>2269</v>
      </c>
      <c r="D4289" t="s">
        <v>2271</v>
      </c>
      <c r="E4289" s="527" t="s">
        <v>10742</v>
      </c>
      <c r="F4289" s="219"/>
    </row>
    <row r="4290" spans="1:6" ht="14.4">
      <c r="A4290">
        <v>38880</v>
      </c>
      <c r="B4290" t="s">
        <v>22251</v>
      </c>
      <c r="C4290" t="s">
        <v>2269</v>
      </c>
      <c r="D4290" t="s">
        <v>2271</v>
      </c>
      <c r="E4290" s="527" t="s">
        <v>10050</v>
      </c>
      <c r="F4290" s="220"/>
    </row>
    <row r="4291" spans="1:6" ht="14.4">
      <c r="A4291">
        <v>38882</v>
      </c>
      <c r="B4291" t="s">
        <v>22252</v>
      </c>
      <c r="C4291" t="s">
        <v>2269</v>
      </c>
      <c r="D4291" t="s">
        <v>2271</v>
      </c>
      <c r="E4291" s="527" t="s">
        <v>10071</v>
      </c>
      <c r="F4291" s="219"/>
    </row>
    <row r="4292" spans="1:6" ht="14.4">
      <c r="A4292">
        <v>38883</v>
      </c>
      <c r="B4292" t="s">
        <v>22253</v>
      </c>
      <c r="C4292" t="s">
        <v>2269</v>
      </c>
      <c r="D4292" t="s">
        <v>2271</v>
      </c>
      <c r="E4292" s="527" t="s">
        <v>11690</v>
      </c>
      <c r="F4292" s="220"/>
    </row>
    <row r="4293" spans="1:6" ht="14.4">
      <c r="A4293">
        <v>38884</v>
      </c>
      <c r="B4293" t="s">
        <v>22254</v>
      </c>
      <c r="C4293" t="s">
        <v>2269</v>
      </c>
      <c r="D4293" t="s">
        <v>2271</v>
      </c>
      <c r="E4293" s="527" t="s">
        <v>15597</v>
      </c>
      <c r="F4293" s="219"/>
    </row>
    <row r="4294" spans="1:6" ht="14.4">
      <c r="A4294">
        <v>38885</v>
      </c>
      <c r="B4294" t="s">
        <v>22255</v>
      </c>
      <c r="C4294" t="s">
        <v>2269</v>
      </c>
      <c r="D4294" t="s">
        <v>2271</v>
      </c>
      <c r="E4294" s="527" t="s">
        <v>9520</v>
      </c>
      <c r="F4294" s="220"/>
    </row>
    <row r="4295" spans="1:6" ht="14.4">
      <c r="A4295">
        <v>38886</v>
      </c>
      <c r="B4295" t="s">
        <v>22256</v>
      </c>
      <c r="C4295" t="s">
        <v>2269</v>
      </c>
      <c r="D4295" t="s">
        <v>2271</v>
      </c>
      <c r="E4295" s="527" t="s">
        <v>10640</v>
      </c>
      <c r="F4295" s="219"/>
    </row>
    <row r="4296" spans="1:6" ht="14.4">
      <c r="A4296">
        <v>38887</v>
      </c>
      <c r="B4296" t="s">
        <v>22257</v>
      </c>
      <c r="C4296" t="s">
        <v>2269</v>
      </c>
      <c r="D4296" t="s">
        <v>2271</v>
      </c>
      <c r="E4296" s="527" t="s">
        <v>10338</v>
      </c>
      <c r="F4296" s="220"/>
    </row>
    <row r="4297" spans="1:6" ht="14.4">
      <c r="A4297">
        <v>38888</v>
      </c>
      <c r="B4297" t="s">
        <v>22258</v>
      </c>
      <c r="C4297" t="s">
        <v>2269</v>
      </c>
      <c r="D4297" t="s">
        <v>2271</v>
      </c>
      <c r="E4297" s="527" t="s">
        <v>15598</v>
      </c>
      <c r="F4297" s="219"/>
    </row>
    <row r="4298" spans="1:6" ht="14.4">
      <c r="A4298">
        <v>38890</v>
      </c>
      <c r="B4298" t="s">
        <v>22259</v>
      </c>
      <c r="C4298" t="s">
        <v>2269</v>
      </c>
      <c r="D4298" t="s">
        <v>2271</v>
      </c>
      <c r="E4298" s="527" t="s">
        <v>9922</v>
      </c>
      <c r="F4298" s="220"/>
    </row>
    <row r="4299" spans="1:6" ht="14.4">
      <c r="A4299">
        <v>38893</v>
      </c>
      <c r="B4299" t="s">
        <v>22260</v>
      </c>
      <c r="C4299" t="s">
        <v>2269</v>
      </c>
      <c r="D4299" t="s">
        <v>2271</v>
      </c>
      <c r="E4299" s="527" t="s">
        <v>15599</v>
      </c>
      <c r="F4299" s="219"/>
    </row>
    <row r="4300" spans="1:6" ht="14.4">
      <c r="A4300">
        <v>38894</v>
      </c>
      <c r="B4300" t="s">
        <v>22261</v>
      </c>
      <c r="C4300" t="s">
        <v>2269</v>
      </c>
      <c r="D4300" t="s">
        <v>2271</v>
      </c>
      <c r="E4300" s="527" t="s">
        <v>15402</v>
      </c>
      <c r="F4300" s="220"/>
    </row>
    <row r="4301" spans="1:6" ht="14.4">
      <c r="A4301">
        <v>38896</v>
      </c>
      <c r="B4301" t="s">
        <v>22262</v>
      </c>
      <c r="C4301" t="s">
        <v>2269</v>
      </c>
      <c r="D4301" t="s">
        <v>2271</v>
      </c>
      <c r="E4301" s="527" t="s">
        <v>15600</v>
      </c>
      <c r="F4301" s="219"/>
    </row>
    <row r="4302" spans="1:6" ht="14.4">
      <c r="A4302">
        <v>39324</v>
      </c>
      <c r="B4302" t="s">
        <v>22263</v>
      </c>
      <c r="C4302" t="s">
        <v>2269</v>
      </c>
      <c r="D4302" t="s">
        <v>1857</v>
      </c>
      <c r="E4302" s="527" t="s">
        <v>3497</v>
      </c>
      <c r="F4302" s="220"/>
    </row>
    <row r="4303" spans="1:6" ht="14.4">
      <c r="A4303">
        <v>39325</v>
      </c>
      <c r="B4303" t="s">
        <v>22264</v>
      </c>
      <c r="C4303" t="s">
        <v>2269</v>
      </c>
      <c r="D4303" t="s">
        <v>1857</v>
      </c>
      <c r="E4303" s="527" t="s">
        <v>16150</v>
      </c>
      <c r="F4303" s="219"/>
    </row>
    <row r="4304" spans="1:6" ht="14.4">
      <c r="A4304">
        <v>39326</v>
      </c>
      <c r="B4304" t="s">
        <v>22265</v>
      </c>
      <c r="C4304" t="s">
        <v>2269</v>
      </c>
      <c r="D4304" t="s">
        <v>1857</v>
      </c>
      <c r="E4304" s="527" t="s">
        <v>22266</v>
      </c>
      <c r="F4304" s="220"/>
    </row>
    <row r="4305" spans="1:6" ht="14.4">
      <c r="A4305">
        <v>39327</v>
      </c>
      <c r="B4305" t="s">
        <v>22267</v>
      </c>
      <c r="C4305" t="s">
        <v>2269</v>
      </c>
      <c r="D4305" t="s">
        <v>1857</v>
      </c>
      <c r="E4305" s="527" t="s">
        <v>22268</v>
      </c>
      <c r="F4305" s="219"/>
    </row>
    <row r="4306" spans="1:6" ht="14.4">
      <c r="A4306">
        <v>20176</v>
      </c>
      <c r="B4306" t="s">
        <v>22269</v>
      </c>
      <c r="C4306" t="s">
        <v>2269</v>
      </c>
      <c r="D4306" t="s">
        <v>1857</v>
      </c>
      <c r="E4306" s="527" t="s">
        <v>22270</v>
      </c>
      <c r="F4306" s="220"/>
    </row>
    <row r="4307" spans="1:6" ht="14.4">
      <c r="A4307">
        <v>11378</v>
      </c>
      <c r="B4307" t="s">
        <v>22271</v>
      </c>
      <c r="C4307" t="s">
        <v>2269</v>
      </c>
      <c r="D4307" t="s">
        <v>2271</v>
      </c>
      <c r="E4307" s="527" t="s">
        <v>22272</v>
      </c>
      <c r="F4307" s="219"/>
    </row>
    <row r="4308" spans="1:6" ht="14.4">
      <c r="A4308">
        <v>11379</v>
      </c>
      <c r="B4308" t="s">
        <v>22273</v>
      </c>
      <c r="C4308" t="s">
        <v>2269</v>
      </c>
      <c r="D4308" t="s">
        <v>2271</v>
      </c>
      <c r="E4308" s="527" t="s">
        <v>22274</v>
      </c>
      <c r="F4308" s="220"/>
    </row>
    <row r="4309" spans="1:6" ht="14.4">
      <c r="A4309">
        <v>11493</v>
      </c>
      <c r="B4309" t="s">
        <v>22275</v>
      </c>
      <c r="C4309" t="s">
        <v>2269</v>
      </c>
      <c r="D4309" t="s">
        <v>2271</v>
      </c>
      <c r="E4309" s="527" t="s">
        <v>16186</v>
      </c>
      <c r="F4309" s="219"/>
    </row>
    <row r="4310" spans="1:6" ht="14.4">
      <c r="A4310">
        <v>42717</v>
      </c>
      <c r="B4310" t="s">
        <v>22276</v>
      </c>
      <c r="C4310" t="s">
        <v>2269</v>
      </c>
      <c r="D4310" t="s">
        <v>2271</v>
      </c>
      <c r="E4310" s="527" t="s">
        <v>15602</v>
      </c>
      <c r="F4310" s="220"/>
    </row>
    <row r="4311" spans="1:6" ht="14.4">
      <c r="A4311">
        <v>42718</v>
      </c>
      <c r="B4311" t="s">
        <v>22277</v>
      </c>
      <c r="C4311" t="s">
        <v>2269</v>
      </c>
      <c r="D4311" t="s">
        <v>2271</v>
      </c>
      <c r="E4311" s="527" t="s">
        <v>15603</v>
      </c>
      <c r="F4311" s="219"/>
    </row>
    <row r="4312" spans="1:6" ht="14.4">
      <c r="A4312">
        <v>7106</v>
      </c>
      <c r="B4312" t="s">
        <v>22278</v>
      </c>
      <c r="C4312" t="s">
        <v>2269</v>
      </c>
      <c r="D4312" t="s">
        <v>1857</v>
      </c>
      <c r="E4312" s="527" t="s">
        <v>22279</v>
      </c>
      <c r="F4312" s="220"/>
    </row>
    <row r="4313" spans="1:6" ht="14.4">
      <c r="A4313">
        <v>7104</v>
      </c>
      <c r="B4313" t="s">
        <v>22280</v>
      </c>
      <c r="C4313" t="s">
        <v>2269</v>
      </c>
      <c r="D4313" t="s">
        <v>1857</v>
      </c>
      <c r="E4313" s="527" t="s">
        <v>9786</v>
      </c>
      <c r="F4313" s="219"/>
    </row>
    <row r="4314" spans="1:6" ht="14.4">
      <c r="A4314">
        <v>7136</v>
      </c>
      <c r="B4314" t="s">
        <v>22281</v>
      </c>
      <c r="C4314" t="s">
        <v>2269</v>
      </c>
      <c r="D4314" t="s">
        <v>1857</v>
      </c>
      <c r="E4314" s="527" t="s">
        <v>7260</v>
      </c>
      <c r="F4314" s="220"/>
    </row>
    <row r="4315" spans="1:6" ht="14.4">
      <c r="A4315">
        <v>7128</v>
      </c>
      <c r="B4315" t="s">
        <v>22282</v>
      </c>
      <c r="C4315" t="s">
        <v>2269</v>
      </c>
      <c r="D4315" t="s">
        <v>1857</v>
      </c>
      <c r="E4315" s="527" t="s">
        <v>11172</v>
      </c>
      <c r="F4315" s="219"/>
    </row>
    <row r="4316" spans="1:6" ht="14.4">
      <c r="A4316">
        <v>7108</v>
      </c>
      <c r="B4316" t="s">
        <v>22283</v>
      </c>
      <c r="C4316" t="s">
        <v>2269</v>
      </c>
      <c r="D4316" t="s">
        <v>1857</v>
      </c>
      <c r="E4316" s="527" t="s">
        <v>9918</v>
      </c>
      <c r="F4316" s="220"/>
    </row>
    <row r="4317" spans="1:6" ht="14.4">
      <c r="A4317">
        <v>7129</v>
      </c>
      <c r="B4317" t="s">
        <v>22284</v>
      </c>
      <c r="C4317" t="s">
        <v>2269</v>
      </c>
      <c r="D4317" t="s">
        <v>1857</v>
      </c>
      <c r="E4317" s="527" t="s">
        <v>11818</v>
      </c>
      <c r="F4317" s="219"/>
    </row>
    <row r="4318" spans="1:6" ht="14.4">
      <c r="A4318">
        <v>7130</v>
      </c>
      <c r="B4318" t="s">
        <v>22285</v>
      </c>
      <c r="C4318" t="s">
        <v>2269</v>
      </c>
      <c r="D4318" t="s">
        <v>1857</v>
      </c>
      <c r="E4318" s="527" t="s">
        <v>9976</v>
      </c>
      <c r="F4318" s="220"/>
    </row>
    <row r="4319" spans="1:6" ht="14.4">
      <c r="A4319">
        <v>7131</v>
      </c>
      <c r="B4319" t="s">
        <v>22286</v>
      </c>
      <c r="C4319" t="s">
        <v>2269</v>
      </c>
      <c r="D4319" t="s">
        <v>1857</v>
      </c>
      <c r="E4319" s="527" t="s">
        <v>15249</v>
      </c>
      <c r="F4319" s="219"/>
    </row>
    <row r="4320" spans="1:6" ht="14.4">
      <c r="A4320">
        <v>7132</v>
      </c>
      <c r="B4320" t="s">
        <v>22287</v>
      </c>
      <c r="C4320" t="s">
        <v>2269</v>
      </c>
      <c r="D4320" t="s">
        <v>1857</v>
      </c>
      <c r="E4320" s="527" t="s">
        <v>16490</v>
      </c>
      <c r="F4320" s="220"/>
    </row>
    <row r="4321" spans="1:6" ht="14.4">
      <c r="A4321">
        <v>7133</v>
      </c>
      <c r="B4321" t="s">
        <v>22288</v>
      </c>
      <c r="C4321" t="s">
        <v>2269</v>
      </c>
      <c r="D4321" t="s">
        <v>1857</v>
      </c>
      <c r="E4321" s="527" t="s">
        <v>22289</v>
      </c>
      <c r="F4321" s="219"/>
    </row>
    <row r="4322" spans="1:6" ht="14.4">
      <c r="A4322">
        <v>37420</v>
      </c>
      <c r="B4322" t="s">
        <v>22290</v>
      </c>
      <c r="C4322" t="s">
        <v>2269</v>
      </c>
      <c r="D4322" t="s">
        <v>2271</v>
      </c>
      <c r="E4322" s="527" t="s">
        <v>22291</v>
      </c>
      <c r="F4322" s="220"/>
    </row>
    <row r="4323" spans="1:6" ht="14.4">
      <c r="A4323">
        <v>37421</v>
      </c>
      <c r="B4323" t="s">
        <v>22292</v>
      </c>
      <c r="C4323" t="s">
        <v>2269</v>
      </c>
      <c r="D4323" t="s">
        <v>2271</v>
      </c>
      <c r="E4323" s="527" t="s">
        <v>22293</v>
      </c>
      <c r="F4323" s="219"/>
    </row>
    <row r="4324" spans="1:6" ht="14.4">
      <c r="A4324">
        <v>37422</v>
      </c>
      <c r="B4324" t="s">
        <v>22294</v>
      </c>
      <c r="C4324" t="s">
        <v>2269</v>
      </c>
      <c r="D4324" t="s">
        <v>2271</v>
      </c>
      <c r="E4324" s="527" t="s">
        <v>22295</v>
      </c>
      <c r="F4324" s="220"/>
    </row>
    <row r="4325" spans="1:6" ht="14.4">
      <c r="A4325">
        <v>37443</v>
      </c>
      <c r="B4325" t="s">
        <v>22296</v>
      </c>
      <c r="C4325" t="s">
        <v>2269</v>
      </c>
      <c r="D4325" t="s">
        <v>2271</v>
      </c>
      <c r="E4325" s="527" t="s">
        <v>22297</v>
      </c>
      <c r="F4325" s="219"/>
    </row>
    <row r="4326" spans="1:6" ht="14.4">
      <c r="A4326">
        <v>37444</v>
      </c>
      <c r="B4326" t="s">
        <v>22298</v>
      </c>
      <c r="C4326" t="s">
        <v>2269</v>
      </c>
      <c r="D4326" t="s">
        <v>2271</v>
      </c>
      <c r="E4326" s="527" t="s">
        <v>22299</v>
      </c>
      <c r="F4326" s="220"/>
    </row>
    <row r="4327" spans="1:6" ht="14.4">
      <c r="A4327">
        <v>37445</v>
      </c>
      <c r="B4327" t="s">
        <v>22300</v>
      </c>
      <c r="C4327" t="s">
        <v>2269</v>
      </c>
      <c r="D4327" t="s">
        <v>2271</v>
      </c>
      <c r="E4327" s="527" t="s">
        <v>22301</v>
      </c>
      <c r="F4327" s="219"/>
    </row>
    <row r="4328" spans="1:6" ht="14.4">
      <c r="A4328">
        <v>37446</v>
      </c>
      <c r="B4328" t="s">
        <v>22302</v>
      </c>
      <c r="C4328" t="s">
        <v>2269</v>
      </c>
      <c r="D4328" t="s">
        <v>2271</v>
      </c>
      <c r="E4328" s="527" t="s">
        <v>22303</v>
      </c>
      <c r="F4328" s="220"/>
    </row>
    <row r="4329" spans="1:6" ht="14.4">
      <c r="A4329">
        <v>37447</v>
      </c>
      <c r="B4329" t="s">
        <v>22304</v>
      </c>
      <c r="C4329" t="s">
        <v>2269</v>
      </c>
      <c r="D4329" t="s">
        <v>2271</v>
      </c>
      <c r="E4329" s="527" t="s">
        <v>22305</v>
      </c>
      <c r="F4329" s="219"/>
    </row>
    <row r="4330" spans="1:6" ht="14.4">
      <c r="A4330">
        <v>37448</v>
      </c>
      <c r="B4330" t="s">
        <v>22306</v>
      </c>
      <c r="C4330" t="s">
        <v>2269</v>
      </c>
      <c r="D4330" t="s">
        <v>2271</v>
      </c>
      <c r="E4330" s="527" t="s">
        <v>22307</v>
      </c>
      <c r="F4330" s="220"/>
    </row>
    <row r="4331" spans="1:6" ht="14.4">
      <c r="A4331">
        <v>37440</v>
      </c>
      <c r="B4331" t="s">
        <v>22308</v>
      </c>
      <c r="C4331" t="s">
        <v>2269</v>
      </c>
      <c r="D4331" t="s">
        <v>2271</v>
      </c>
      <c r="E4331" s="527" t="s">
        <v>22309</v>
      </c>
      <c r="F4331" s="219"/>
    </row>
    <row r="4332" spans="1:6" ht="14.4">
      <c r="A4332">
        <v>37441</v>
      </c>
      <c r="B4332" t="s">
        <v>22310</v>
      </c>
      <c r="C4332" t="s">
        <v>2269</v>
      </c>
      <c r="D4332" t="s">
        <v>2271</v>
      </c>
      <c r="E4332" s="527" t="s">
        <v>22309</v>
      </c>
      <c r="F4332" s="220"/>
    </row>
    <row r="4333" spans="1:6" ht="14.4">
      <c r="A4333">
        <v>37442</v>
      </c>
      <c r="B4333" t="s">
        <v>22311</v>
      </c>
      <c r="C4333" t="s">
        <v>2269</v>
      </c>
      <c r="D4333" t="s">
        <v>2271</v>
      </c>
      <c r="E4333" s="527" t="s">
        <v>22312</v>
      </c>
      <c r="F4333" s="219"/>
    </row>
    <row r="4334" spans="1:6" ht="14.4">
      <c r="A4334">
        <v>38017</v>
      </c>
      <c r="B4334" t="s">
        <v>22313</v>
      </c>
      <c r="C4334" t="s">
        <v>2269</v>
      </c>
      <c r="D4334" t="s">
        <v>1857</v>
      </c>
      <c r="E4334" s="527" t="s">
        <v>16166</v>
      </c>
      <c r="F4334" s="220"/>
    </row>
    <row r="4335" spans="1:6" ht="14.4">
      <c r="A4335">
        <v>38018</v>
      </c>
      <c r="B4335" t="s">
        <v>22314</v>
      </c>
      <c r="C4335" t="s">
        <v>2269</v>
      </c>
      <c r="D4335" t="s">
        <v>1857</v>
      </c>
      <c r="E4335" s="527" t="s">
        <v>12643</v>
      </c>
      <c r="F4335" s="219"/>
    </row>
    <row r="4336" spans="1:6" ht="14.4">
      <c r="A4336">
        <v>39895</v>
      </c>
      <c r="B4336" t="s">
        <v>22315</v>
      </c>
      <c r="C4336" t="s">
        <v>2269</v>
      </c>
      <c r="D4336" t="s">
        <v>2271</v>
      </c>
      <c r="E4336" s="527" t="s">
        <v>11797</v>
      </c>
      <c r="F4336" s="220"/>
    </row>
    <row r="4337" spans="1:6" ht="14.4">
      <c r="A4337">
        <v>39896</v>
      </c>
      <c r="B4337" t="s">
        <v>22316</v>
      </c>
      <c r="C4337" t="s">
        <v>2269</v>
      </c>
      <c r="D4337" t="s">
        <v>2271</v>
      </c>
      <c r="E4337" s="527" t="s">
        <v>16129</v>
      </c>
      <c r="F4337" s="219"/>
    </row>
    <row r="4338" spans="1:6" ht="14.4">
      <c r="A4338">
        <v>38873</v>
      </c>
      <c r="B4338" t="s">
        <v>22317</v>
      </c>
      <c r="C4338" t="s">
        <v>2269</v>
      </c>
      <c r="D4338" t="s">
        <v>2271</v>
      </c>
      <c r="E4338" s="527" t="s">
        <v>9895</v>
      </c>
      <c r="F4338" s="220"/>
    </row>
    <row r="4339" spans="1:6" ht="14.4">
      <c r="A4339">
        <v>38874</v>
      </c>
      <c r="B4339" t="s">
        <v>22318</v>
      </c>
      <c r="C4339" t="s">
        <v>2269</v>
      </c>
      <c r="D4339" t="s">
        <v>2271</v>
      </c>
      <c r="E4339" s="527" t="s">
        <v>10727</v>
      </c>
      <c r="F4339" s="219"/>
    </row>
    <row r="4340" spans="1:6" ht="14.4">
      <c r="A4340">
        <v>38875</v>
      </c>
      <c r="B4340" t="s">
        <v>22319</v>
      </c>
      <c r="C4340" t="s">
        <v>2269</v>
      </c>
      <c r="D4340" t="s">
        <v>2271</v>
      </c>
      <c r="E4340" s="527" t="s">
        <v>15604</v>
      </c>
      <c r="F4340" s="220"/>
    </row>
    <row r="4341" spans="1:6" ht="14.4">
      <c r="A4341">
        <v>38876</v>
      </c>
      <c r="B4341" t="s">
        <v>22320</v>
      </c>
      <c r="C4341" t="s">
        <v>2269</v>
      </c>
      <c r="D4341" t="s">
        <v>2271</v>
      </c>
      <c r="E4341" s="527" t="s">
        <v>11652</v>
      </c>
      <c r="F4341" s="219"/>
    </row>
    <row r="4342" spans="1:6" ht="14.4">
      <c r="A4342">
        <v>39000</v>
      </c>
      <c r="B4342" t="s">
        <v>22321</v>
      </c>
      <c r="C4342" t="s">
        <v>2269</v>
      </c>
      <c r="D4342" t="s">
        <v>2271</v>
      </c>
      <c r="E4342" s="527" t="s">
        <v>22322</v>
      </c>
      <c r="F4342" s="220"/>
    </row>
    <row r="4343" spans="1:6" ht="14.4">
      <c r="A4343">
        <v>38674</v>
      </c>
      <c r="B4343" t="s">
        <v>22323</v>
      </c>
      <c r="C4343" t="s">
        <v>2269</v>
      </c>
      <c r="D4343" t="s">
        <v>1857</v>
      </c>
      <c r="E4343" s="527" t="s">
        <v>22324</v>
      </c>
      <c r="F4343" s="219"/>
    </row>
    <row r="4344" spans="1:6" ht="14.4">
      <c r="A4344">
        <v>38911</v>
      </c>
      <c r="B4344" t="s">
        <v>22325</v>
      </c>
      <c r="C4344" t="s">
        <v>2269</v>
      </c>
      <c r="D4344" t="s">
        <v>2271</v>
      </c>
      <c r="E4344" s="527" t="s">
        <v>7903</v>
      </c>
      <c r="F4344" s="220"/>
    </row>
    <row r="4345" spans="1:6" ht="14.4">
      <c r="A4345">
        <v>38912</v>
      </c>
      <c r="B4345" t="s">
        <v>22326</v>
      </c>
      <c r="C4345" t="s">
        <v>2269</v>
      </c>
      <c r="D4345" t="s">
        <v>2271</v>
      </c>
      <c r="E4345" s="527" t="s">
        <v>15605</v>
      </c>
      <c r="F4345" s="219"/>
    </row>
    <row r="4346" spans="1:6" ht="14.4">
      <c r="A4346">
        <v>38019</v>
      </c>
      <c r="B4346" t="s">
        <v>22327</v>
      </c>
      <c r="C4346" t="s">
        <v>2269</v>
      </c>
      <c r="D4346" t="s">
        <v>1857</v>
      </c>
      <c r="E4346" s="527" t="s">
        <v>4743</v>
      </c>
      <c r="F4346" s="220"/>
    </row>
    <row r="4347" spans="1:6" ht="14.4">
      <c r="A4347">
        <v>38020</v>
      </c>
      <c r="B4347" t="s">
        <v>22328</v>
      </c>
      <c r="C4347" t="s">
        <v>2269</v>
      </c>
      <c r="D4347" t="s">
        <v>1857</v>
      </c>
      <c r="E4347" s="527" t="s">
        <v>12643</v>
      </c>
      <c r="F4347" s="219"/>
    </row>
    <row r="4348" spans="1:6" ht="14.4">
      <c r="A4348">
        <v>38454</v>
      </c>
      <c r="B4348" t="s">
        <v>22329</v>
      </c>
      <c r="C4348" t="s">
        <v>2269</v>
      </c>
      <c r="D4348" t="s">
        <v>2271</v>
      </c>
      <c r="E4348" s="527" t="s">
        <v>7271</v>
      </c>
      <c r="F4348" s="220"/>
    </row>
    <row r="4349" spans="1:6" ht="14.4">
      <c r="A4349">
        <v>38455</v>
      </c>
      <c r="B4349" t="s">
        <v>22330</v>
      </c>
      <c r="C4349" t="s">
        <v>2269</v>
      </c>
      <c r="D4349" t="s">
        <v>2271</v>
      </c>
      <c r="E4349" s="527" t="s">
        <v>10062</v>
      </c>
      <c r="F4349" s="219"/>
    </row>
    <row r="4350" spans="1:6" ht="14.4">
      <c r="A4350">
        <v>38462</v>
      </c>
      <c r="B4350" t="s">
        <v>22331</v>
      </c>
      <c r="C4350" t="s">
        <v>2269</v>
      </c>
      <c r="D4350" t="s">
        <v>2271</v>
      </c>
      <c r="E4350" s="527" t="s">
        <v>15145</v>
      </c>
      <c r="F4350" s="220"/>
    </row>
    <row r="4351" spans="1:6" ht="14.4">
      <c r="A4351">
        <v>36362</v>
      </c>
      <c r="B4351" t="s">
        <v>22332</v>
      </c>
      <c r="C4351" t="s">
        <v>2269</v>
      </c>
      <c r="D4351" t="s">
        <v>2271</v>
      </c>
      <c r="E4351" s="527" t="s">
        <v>3336</v>
      </c>
      <c r="F4351" s="219"/>
    </row>
    <row r="4352" spans="1:6" ht="14.4">
      <c r="A4352">
        <v>36298</v>
      </c>
      <c r="B4352" t="s">
        <v>22333</v>
      </c>
      <c r="C4352" t="s">
        <v>2269</v>
      </c>
      <c r="D4352" t="s">
        <v>2271</v>
      </c>
      <c r="E4352" s="527" t="s">
        <v>7235</v>
      </c>
      <c r="F4352" s="220"/>
    </row>
    <row r="4353" spans="1:6" ht="14.4">
      <c r="A4353">
        <v>38456</v>
      </c>
      <c r="B4353" t="s">
        <v>22334</v>
      </c>
      <c r="C4353" t="s">
        <v>2269</v>
      </c>
      <c r="D4353" t="s">
        <v>2271</v>
      </c>
      <c r="E4353" s="527" t="s">
        <v>7321</v>
      </c>
      <c r="F4353" s="219"/>
    </row>
    <row r="4354" spans="1:6" ht="14.4">
      <c r="A4354">
        <v>38457</v>
      </c>
      <c r="B4354" t="s">
        <v>22335</v>
      </c>
      <c r="C4354" t="s">
        <v>2269</v>
      </c>
      <c r="D4354" t="s">
        <v>2271</v>
      </c>
      <c r="E4354" s="527" t="s">
        <v>16156</v>
      </c>
      <c r="F4354" s="220"/>
    </row>
    <row r="4355" spans="1:6" ht="14.4">
      <c r="A4355">
        <v>38458</v>
      </c>
      <c r="B4355" t="s">
        <v>22336</v>
      </c>
      <c r="C4355" t="s">
        <v>2269</v>
      </c>
      <c r="D4355" t="s">
        <v>2271</v>
      </c>
      <c r="E4355" s="527" t="s">
        <v>11633</v>
      </c>
      <c r="F4355" s="219"/>
    </row>
    <row r="4356" spans="1:6" ht="14.4">
      <c r="A4356">
        <v>38459</v>
      </c>
      <c r="B4356" t="s">
        <v>22337</v>
      </c>
      <c r="C4356" t="s">
        <v>2269</v>
      </c>
      <c r="D4356" t="s">
        <v>2271</v>
      </c>
      <c r="E4356" s="527" t="s">
        <v>10231</v>
      </c>
      <c r="F4356" s="220"/>
    </row>
    <row r="4357" spans="1:6" ht="14.4">
      <c r="A4357">
        <v>38460</v>
      </c>
      <c r="B4357" t="s">
        <v>22338</v>
      </c>
      <c r="C4357" t="s">
        <v>2269</v>
      </c>
      <c r="D4357" t="s">
        <v>2271</v>
      </c>
      <c r="E4357" s="527" t="s">
        <v>9995</v>
      </c>
      <c r="F4357" s="219"/>
    </row>
    <row r="4358" spans="1:6" ht="14.4">
      <c r="A4358">
        <v>38461</v>
      </c>
      <c r="B4358" t="s">
        <v>22339</v>
      </c>
      <c r="C4358" t="s">
        <v>2269</v>
      </c>
      <c r="D4358" t="s">
        <v>2271</v>
      </c>
      <c r="E4358" s="527" t="s">
        <v>22340</v>
      </c>
      <c r="F4358" s="220"/>
    </row>
    <row r="4359" spans="1:6" ht="14.4">
      <c r="A4359">
        <v>7094</v>
      </c>
      <c r="B4359" t="s">
        <v>22341</v>
      </c>
      <c r="C4359" t="s">
        <v>2269</v>
      </c>
      <c r="D4359" t="s">
        <v>1857</v>
      </c>
      <c r="E4359" s="527" t="s">
        <v>22342</v>
      </c>
      <c r="F4359" s="219"/>
    </row>
    <row r="4360" spans="1:6" ht="14.4">
      <c r="A4360">
        <v>7116</v>
      </c>
      <c r="B4360" t="s">
        <v>22343</v>
      </c>
      <c r="C4360" t="s">
        <v>2269</v>
      </c>
      <c r="D4360" t="s">
        <v>1857</v>
      </c>
      <c r="E4360" s="527" t="s">
        <v>3961</v>
      </c>
      <c r="F4360" s="220"/>
    </row>
    <row r="4361" spans="1:6" ht="14.4">
      <c r="A4361">
        <v>7118</v>
      </c>
      <c r="B4361" t="s">
        <v>22344</v>
      </c>
      <c r="C4361" t="s">
        <v>2269</v>
      </c>
      <c r="D4361" t="s">
        <v>1857</v>
      </c>
      <c r="E4361" s="527" t="s">
        <v>12035</v>
      </c>
      <c r="F4361" s="219"/>
    </row>
    <row r="4362" spans="1:6" ht="14.4">
      <c r="A4362">
        <v>7117</v>
      </c>
      <c r="B4362" t="s">
        <v>22345</v>
      </c>
      <c r="C4362" t="s">
        <v>2269</v>
      </c>
      <c r="D4362" t="s">
        <v>1857</v>
      </c>
      <c r="E4362" s="527" t="s">
        <v>22346</v>
      </c>
      <c r="F4362" s="220"/>
    </row>
    <row r="4363" spans="1:6" ht="14.4">
      <c r="A4363">
        <v>7098</v>
      </c>
      <c r="B4363" t="s">
        <v>22347</v>
      </c>
      <c r="C4363" t="s">
        <v>2269</v>
      </c>
      <c r="D4363" t="s">
        <v>1857</v>
      </c>
      <c r="E4363" s="527" t="s">
        <v>10066</v>
      </c>
      <c r="F4363" s="219"/>
    </row>
    <row r="4364" spans="1:6" ht="14.4">
      <c r="A4364">
        <v>7110</v>
      </c>
      <c r="B4364" t="s">
        <v>22348</v>
      </c>
      <c r="C4364" t="s">
        <v>2269</v>
      </c>
      <c r="D4364" t="s">
        <v>1857</v>
      </c>
      <c r="E4364" s="527" t="s">
        <v>9920</v>
      </c>
      <c r="F4364" s="220"/>
    </row>
    <row r="4365" spans="1:6" ht="14.4">
      <c r="A4365">
        <v>7123</v>
      </c>
      <c r="B4365" t="s">
        <v>22349</v>
      </c>
      <c r="C4365" t="s">
        <v>2269</v>
      </c>
      <c r="D4365" t="s">
        <v>1857</v>
      </c>
      <c r="E4365" s="527" t="s">
        <v>15856</v>
      </c>
      <c r="F4365" s="219"/>
    </row>
    <row r="4366" spans="1:6" ht="14.4">
      <c r="A4366">
        <v>7121</v>
      </c>
      <c r="B4366" t="s">
        <v>22350</v>
      </c>
      <c r="C4366" t="s">
        <v>2269</v>
      </c>
      <c r="D4366" t="s">
        <v>1857</v>
      </c>
      <c r="E4366" s="527" t="s">
        <v>9522</v>
      </c>
      <c r="F4366" s="220"/>
    </row>
    <row r="4367" spans="1:6" ht="14.4">
      <c r="A4367">
        <v>7137</v>
      </c>
      <c r="B4367" t="s">
        <v>22351</v>
      </c>
      <c r="C4367" t="s">
        <v>2269</v>
      </c>
      <c r="D4367" t="s">
        <v>1857</v>
      </c>
      <c r="E4367" s="527" t="s">
        <v>16245</v>
      </c>
      <c r="F4367" s="219"/>
    </row>
    <row r="4368" spans="1:6" ht="14.4">
      <c r="A4368">
        <v>7122</v>
      </c>
      <c r="B4368" t="s">
        <v>22352</v>
      </c>
      <c r="C4368" t="s">
        <v>2269</v>
      </c>
      <c r="D4368" t="s">
        <v>1857</v>
      </c>
      <c r="E4368" s="527" t="s">
        <v>16144</v>
      </c>
      <c r="F4368" s="220"/>
    </row>
    <row r="4369" spans="1:6" ht="14.4">
      <c r="A4369">
        <v>7114</v>
      </c>
      <c r="B4369" t="s">
        <v>22353</v>
      </c>
      <c r="C4369" t="s">
        <v>2269</v>
      </c>
      <c r="D4369" t="s">
        <v>1857</v>
      </c>
      <c r="E4369" s="527" t="s">
        <v>10663</v>
      </c>
      <c r="F4369" s="219"/>
    </row>
    <row r="4370" spans="1:6" ht="14.4">
      <c r="A4370">
        <v>7109</v>
      </c>
      <c r="B4370" t="s">
        <v>22354</v>
      </c>
      <c r="C4370" t="s">
        <v>2269</v>
      </c>
      <c r="D4370" t="s">
        <v>1857</v>
      </c>
      <c r="E4370" s="527" t="s">
        <v>6650</v>
      </c>
      <c r="F4370" s="220"/>
    </row>
    <row r="4371" spans="1:6" ht="14.4">
      <c r="A4371">
        <v>7135</v>
      </c>
      <c r="B4371" t="s">
        <v>22355</v>
      </c>
      <c r="C4371" t="s">
        <v>2269</v>
      </c>
      <c r="D4371" t="s">
        <v>1857</v>
      </c>
      <c r="E4371" s="527" t="s">
        <v>5089</v>
      </c>
      <c r="F4371" s="219"/>
    </row>
    <row r="4372" spans="1:6" ht="14.4">
      <c r="A4372">
        <v>37947</v>
      </c>
      <c r="B4372" t="s">
        <v>22356</v>
      </c>
      <c r="C4372" t="s">
        <v>2269</v>
      </c>
      <c r="D4372" t="s">
        <v>1857</v>
      </c>
      <c r="E4372" s="527" t="s">
        <v>10131</v>
      </c>
      <c r="F4372" s="220"/>
    </row>
    <row r="4373" spans="1:6" ht="14.4">
      <c r="A4373">
        <v>7103</v>
      </c>
      <c r="B4373" t="s">
        <v>22357</v>
      </c>
      <c r="C4373" t="s">
        <v>2269</v>
      </c>
      <c r="D4373" t="s">
        <v>1857</v>
      </c>
      <c r="E4373" s="527" t="s">
        <v>16190</v>
      </c>
      <c r="F4373" s="219"/>
    </row>
    <row r="4374" spans="1:6" ht="14.4">
      <c r="A4374">
        <v>40419</v>
      </c>
      <c r="B4374" t="s">
        <v>22358</v>
      </c>
      <c r="C4374" t="s">
        <v>2269</v>
      </c>
      <c r="D4374" t="s">
        <v>2271</v>
      </c>
      <c r="E4374" s="527" t="s">
        <v>10228</v>
      </c>
      <c r="F4374" s="220"/>
    </row>
    <row r="4375" spans="1:6" ht="14.4">
      <c r="A4375">
        <v>40420</v>
      </c>
      <c r="B4375" t="s">
        <v>22359</v>
      </c>
      <c r="C4375" t="s">
        <v>2269</v>
      </c>
      <c r="D4375" t="s">
        <v>2271</v>
      </c>
      <c r="E4375" s="527" t="s">
        <v>11663</v>
      </c>
      <c r="F4375" s="219"/>
    </row>
    <row r="4376" spans="1:6" ht="14.4">
      <c r="A4376">
        <v>40421</v>
      </c>
      <c r="B4376" t="s">
        <v>22360</v>
      </c>
      <c r="C4376" t="s">
        <v>2269</v>
      </c>
      <c r="D4376" t="s">
        <v>2271</v>
      </c>
      <c r="E4376" s="527" t="s">
        <v>15608</v>
      </c>
      <c r="F4376" s="220"/>
    </row>
    <row r="4377" spans="1:6" ht="14.4">
      <c r="A4377">
        <v>7126</v>
      </c>
      <c r="B4377" t="s">
        <v>22361</v>
      </c>
      <c r="C4377" t="s">
        <v>2269</v>
      </c>
      <c r="D4377" t="s">
        <v>1857</v>
      </c>
      <c r="E4377" s="527" t="s">
        <v>22362</v>
      </c>
      <c r="F4377" s="219"/>
    </row>
    <row r="4378" spans="1:6" ht="14.4">
      <c r="A4378">
        <v>38905</v>
      </c>
      <c r="B4378" t="s">
        <v>22363</v>
      </c>
      <c r="C4378" t="s">
        <v>2269</v>
      </c>
      <c r="D4378" t="s">
        <v>2271</v>
      </c>
      <c r="E4378" s="527" t="s">
        <v>4314</v>
      </c>
      <c r="F4378" s="220"/>
    </row>
    <row r="4379" spans="1:6" ht="14.4">
      <c r="A4379">
        <v>38907</v>
      </c>
      <c r="B4379" t="s">
        <v>22364</v>
      </c>
      <c r="C4379" t="s">
        <v>2269</v>
      </c>
      <c r="D4379" t="s">
        <v>2271</v>
      </c>
      <c r="E4379" s="527" t="s">
        <v>10291</v>
      </c>
      <c r="F4379" s="219"/>
    </row>
    <row r="4380" spans="1:6" ht="14.4">
      <c r="A4380">
        <v>38908</v>
      </c>
      <c r="B4380" t="s">
        <v>22365</v>
      </c>
      <c r="C4380" t="s">
        <v>2269</v>
      </c>
      <c r="D4380" t="s">
        <v>2271</v>
      </c>
      <c r="E4380" s="527" t="s">
        <v>15609</v>
      </c>
      <c r="F4380" s="220"/>
    </row>
    <row r="4381" spans="1:6" ht="14.4">
      <c r="A4381">
        <v>38909</v>
      </c>
      <c r="B4381" t="s">
        <v>22366</v>
      </c>
      <c r="C4381" t="s">
        <v>2269</v>
      </c>
      <c r="D4381" t="s">
        <v>2271</v>
      </c>
      <c r="E4381" s="527" t="s">
        <v>14070</v>
      </c>
      <c r="F4381" s="219"/>
    </row>
    <row r="4382" spans="1:6" ht="14.4">
      <c r="A4382">
        <v>38910</v>
      </c>
      <c r="B4382" t="s">
        <v>22367</v>
      </c>
      <c r="C4382" t="s">
        <v>2269</v>
      </c>
      <c r="D4382" t="s">
        <v>2271</v>
      </c>
      <c r="E4382" s="527" t="s">
        <v>11430</v>
      </c>
      <c r="F4382" s="220"/>
    </row>
    <row r="4383" spans="1:6" ht="14.4">
      <c r="A4383">
        <v>38897</v>
      </c>
      <c r="B4383" t="s">
        <v>22368</v>
      </c>
      <c r="C4383" t="s">
        <v>2269</v>
      </c>
      <c r="D4383" t="s">
        <v>2271</v>
      </c>
      <c r="E4383" s="527" t="s">
        <v>7707</v>
      </c>
      <c r="F4383" s="219"/>
    </row>
    <row r="4384" spans="1:6" ht="14.4">
      <c r="A4384">
        <v>38899</v>
      </c>
      <c r="B4384" t="s">
        <v>22369</v>
      </c>
      <c r="C4384" t="s">
        <v>2269</v>
      </c>
      <c r="D4384" t="s">
        <v>2271</v>
      </c>
      <c r="E4384" s="527" t="s">
        <v>10782</v>
      </c>
      <c r="F4384" s="220"/>
    </row>
    <row r="4385" spans="1:6" ht="14.4">
      <c r="A4385">
        <v>38900</v>
      </c>
      <c r="B4385" t="s">
        <v>22370</v>
      </c>
      <c r="C4385" t="s">
        <v>2269</v>
      </c>
      <c r="D4385" t="s">
        <v>2271</v>
      </c>
      <c r="E4385" s="527" t="s">
        <v>9514</v>
      </c>
      <c r="F4385" s="219"/>
    </row>
    <row r="4386" spans="1:6" ht="14.4">
      <c r="A4386">
        <v>38901</v>
      </c>
      <c r="B4386" t="s">
        <v>22371</v>
      </c>
      <c r="C4386" t="s">
        <v>2269</v>
      </c>
      <c r="D4386" t="s">
        <v>2271</v>
      </c>
      <c r="E4386" s="527" t="s">
        <v>15610</v>
      </c>
      <c r="F4386" s="220"/>
    </row>
    <row r="4387" spans="1:6" ht="14.4">
      <c r="A4387">
        <v>38904</v>
      </c>
      <c r="B4387" t="s">
        <v>22372</v>
      </c>
      <c r="C4387" t="s">
        <v>2269</v>
      </c>
      <c r="D4387" t="s">
        <v>2271</v>
      </c>
      <c r="E4387" s="527" t="s">
        <v>15611</v>
      </c>
      <c r="F4387" s="219"/>
    </row>
    <row r="4388" spans="1:6" ht="14.4">
      <c r="A4388">
        <v>38903</v>
      </c>
      <c r="B4388" t="s">
        <v>22373</v>
      </c>
      <c r="C4388" t="s">
        <v>2269</v>
      </c>
      <c r="D4388" t="s">
        <v>2271</v>
      </c>
      <c r="E4388" s="527" t="s">
        <v>9609</v>
      </c>
      <c r="F4388" s="220"/>
    </row>
    <row r="4389" spans="1:6" ht="14.4">
      <c r="A4389">
        <v>7091</v>
      </c>
      <c r="B4389" t="s">
        <v>22374</v>
      </c>
      <c r="C4389" t="s">
        <v>2269</v>
      </c>
      <c r="D4389" t="s">
        <v>1857</v>
      </c>
      <c r="E4389" s="527" t="s">
        <v>14329</v>
      </c>
      <c r="F4389" s="219"/>
    </row>
    <row r="4390" spans="1:6" ht="14.4">
      <c r="A4390">
        <v>11655</v>
      </c>
      <c r="B4390" t="s">
        <v>22375</v>
      </c>
      <c r="C4390" t="s">
        <v>2269</v>
      </c>
      <c r="D4390" t="s">
        <v>1857</v>
      </c>
      <c r="E4390" s="527" t="s">
        <v>10331</v>
      </c>
      <c r="F4390" s="220"/>
    </row>
    <row r="4391" spans="1:6" ht="14.4">
      <c r="A4391">
        <v>11656</v>
      </c>
      <c r="B4391" t="s">
        <v>22376</v>
      </c>
      <c r="C4391" t="s">
        <v>2269</v>
      </c>
      <c r="D4391" t="s">
        <v>1857</v>
      </c>
      <c r="E4391" s="527" t="s">
        <v>19444</v>
      </c>
      <c r="F4391" s="219"/>
    </row>
    <row r="4392" spans="1:6" ht="14.4">
      <c r="A4392">
        <v>37948</v>
      </c>
      <c r="B4392" t="s">
        <v>22377</v>
      </c>
      <c r="C4392" t="s">
        <v>2269</v>
      </c>
      <c r="D4392" t="s">
        <v>1857</v>
      </c>
      <c r="E4392" s="527" t="s">
        <v>5887</v>
      </c>
      <c r="F4392" s="220"/>
    </row>
    <row r="4393" spans="1:6" ht="14.4">
      <c r="A4393">
        <v>7097</v>
      </c>
      <c r="B4393" t="s">
        <v>22378</v>
      </c>
      <c r="C4393" t="s">
        <v>2269</v>
      </c>
      <c r="D4393" t="s">
        <v>1857</v>
      </c>
      <c r="E4393" s="527" t="s">
        <v>3092</v>
      </c>
      <c r="F4393" s="219"/>
    </row>
    <row r="4394" spans="1:6" ht="14.4">
      <c r="A4394">
        <v>11657</v>
      </c>
      <c r="B4394" t="s">
        <v>22379</v>
      </c>
      <c r="C4394" t="s">
        <v>2269</v>
      </c>
      <c r="D4394" t="s">
        <v>1857</v>
      </c>
      <c r="E4394" s="527" t="s">
        <v>10155</v>
      </c>
      <c r="F4394" s="220"/>
    </row>
    <row r="4395" spans="1:6" ht="14.4">
      <c r="A4395">
        <v>11658</v>
      </c>
      <c r="B4395" t="s">
        <v>22380</v>
      </c>
      <c r="C4395" t="s">
        <v>2269</v>
      </c>
      <c r="D4395" t="s">
        <v>1857</v>
      </c>
      <c r="E4395" s="527" t="s">
        <v>22381</v>
      </c>
      <c r="F4395" s="219"/>
    </row>
    <row r="4396" spans="1:6" ht="14.4">
      <c r="A4396">
        <v>7146</v>
      </c>
      <c r="B4396" t="s">
        <v>22382</v>
      </c>
      <c r="C4396" t="s">
        <v>2269</v>
      </c>
      <c r="D4396" t="s">
        <v>1857</v>
      </c>
      <c r="E4396" s="527" t="s">
        <v>22383</v>
      </c>
      <c r="F4396" s="220"/>
    </row>
    <row r="4397" spans="1:6" ht="14.4">
      <c r="A4397">
        <v>7138</v>
      </c>
      <c r="B4397" t="s">
        <v>22384</v>
      </c>
      <c r="C4397" t="s">
        <v>2269</v>
      </c>
      <c r="D4397" t="s">
        <v>1857</v>
      </c>
      <c r="E4397" s="527" t="s">
        <v>3284</v>
      </c>
      <c r="F4397" s="219"/>
    </row>
    <row r="4398" spans="1:6" ht="14.4">
      <c r="A4398">
        <v>7139</v>
      </c>
      <c r="B4398" t="s">
        <v>22385</v>
      </c>
      <c r="C4398" t="s">
        <v>2269</v>
      </c>
      <c r="D4398" t="s">
        <v>1857</v>
      </c>
      <c r="E4398" s="527" t="s">
        <v>7264</v>
      </c>
      <c r="F4398" s="220"/>
    </row>
    <row r="4399" spans="1:6" ht="14.4">
      <c r="A4399">
        <v>7140</v>
      </c>
      <c r="B4399" t="s">
        <v>22386</v>
      </c>
      <c r="C4399" t="s">
        <v>2269</v>
      </c>
      <c r="D4399" t="s">
        <v>1857</v>
      </c>
      <c r="E4399" s="527" t="s">
        <v>7453</v>
      </c>
      <c r="F4399" s="219"/>
    </row>
    <row r="4400" spans="1:6" ht="14.4">
      <c r="A4400">
        <v>7141</v>
      </c>
      <c r="B4400" t="s">
        <v>22387</v>
      </c>
      <c r="C4400" t="s">
        <v>2269</v>
      </c>
      <c r="D4400" t="s">
        <v>1857</v>
      </c>
      <c r="E4400" s="527" t="s">
        <v>7454</v>
      </c>
      <c r="F4400" s="220"/>
    </row>
    <row r="4401" spans="1:6" ht="14.4">
      <c r="A4401">
        <v>7143</v>
      </c>
      <c r="B4401" t="s">
        <v>22388</v>
      </c>
      <c r="C4401" t="s">
        <v>2269</v>
      </c>
      <c r="D4401" t="s">
        <v>1857</v>
      </c>
      <c r="E4401" s="527" t="s">
        <v>10311</v>
      </c>
      <c r="F4401" s="219"/>
    </row>
    <row r="4402" spans="1:6" ht="14.4">
      <c r="A4402">
        <v>7144</v>
      </c>
      <c r="B4402" t="s">
        <v>22389</v>
      </c>
      <c r="C4402" t="s">
        <v>2269</v>
      </c>
      <c r="D4402" t="s">
        <v>1857</v>
      </c>
      <c r="E4402" s="527" t="s">
        <v>22390</v>
      </c>
      <c r="F4402" s="220"/>
    </row>
    <row r="4403" spans="1:6" ht="14.4">
      <c r="A4403">
        <v>7145</v>
      </c>
      <c r="B4403" t="s">
        <v>22391</v>
      </c>
      <c r="C4403" t="s">
        <v>2269</v>
      </c>
      <c r="D4403" t="s">
        <v>1857</v>
      </c>
      <c r="E4403" s="527" t="s">
        <v>10342</v>
      </c>
      <c r="F4403" s="219"/>
    </row>
    <row r="4404" spans="1:6" ht="14.4">
      <c r="A4404">
        <v>7142</v>
      </c>
      <c r="B4404" t="s">
        <v>22392</v>
      </c>
      <c r="C4404" t="s">
        <v>2269</v>
      </c>
      <c r="D4404" t="s">
        <v>1857</v>
      </c>
      <c r="E4404" s="527" t="s">
        <v>9485</v>
      </c>
      <c r="F4404" s="220"/>
    </row>
    <row r="4405" spans="1:6" ht="14.4">
      <c r="A4405">
        <v>3593</v>
      </c>
      <c r="B4405" t="s">
        <v>22393</v>
      </c>
      <c r="C4405" t="s">
        <v>2269</v>
      </c>
      <c r="D4405" t="s">
        <v>1857</v>
      </c>
      <c r="E4405" s="527" t="s">
        <v>15612</v>
      </c>
      <c r="F4405" s="219"/>
    </row>
    <row r="4406" spans="1:6" ht="14.4">
      <c r="A4406">
        <v>3588</v>
      </c>
      <c r="B4406" t="s">
        <v>22394</v>
      </c>
      <c r="C4406" t="s">
        <v>2269</v>
      </c>
      <c r="D4406" t="s">
        <v>1857</v>
      </c>
      <c r="E4406" s="527" t="s">
        <v>15475</v>
      </c>
      <c r="F4406" s="220"/>
    </row>
    <row r="4407" spans="1:6" ht="14.4">
      <c r="A4407">
        <v>3585</v>
      </c>
      <c r="B4407" t="s">
        <v>22395</v>
      </c>
      <c r="C4407" t="s">
        <v>2269</v>
      </c>
      <c r="D4407" t="s">
        <v>1857</v>
      </c>
      <c r="E4407" s="527" t="s">
        <v>10108</v>
      </c>
      <c r="F4407" s="219"/>
    </row>
    <row r="4408" spans="1:6" ht="14.4">
      <c r="A4408">
        <v>3587</v>
      </c>
      <c r="B4408" t="s">
        <v>22396</v>
      </c>
      <c r="C4408" t="s">
        <v>2269</v>
      </c>
      <c r="D4408" t="s">
        <v>1857</v>
      </c>
      <c r="E4408" s="527" t="s">
        <v>10555</v>
      </c>
      <c r="F4408" s="220"/>
    </row>
    <row r="4409" spans="1:6" ht="14.4">
      <c r="A4409">
        <v>3590</v>
      </c>
      <c r="B4409" t="s">
        <v>22397</v>
      </c>
      <c r="C4409" t="s">
        <v>2269</v>
      </c>
      <c r="D4409" t="s">
        <v>1857</v>
      </c>
      <c r="E4409" s="527" t="s">
        <v>15613</v>
      </c>
      <c r="F4409" s="219"/>
    </row>
    <row r="4410" spans="1:6" ht="14.4">
      <c r="A4410">
        <v>3589</v>
      </c>
      <c r="B4410" t="s">
        <v>22398</v>
      </c>
      <c r="C4410" t="s">
        <v>2269</v>
      </c>
      <c r="D4410" t="s">
        <v>1857</v>
      </c>
      <c r="E4410" s="527" t="s">
        <v>15614</v>
      </c>
      <c r="F4410" s="220"/>
    </row>
    <row r="4411" spans="1:6" ht="14.4">
      <c r="A4411">
        <v>3586</v>
      </c>
      <c r="B4411" t="s">
        <v>22399</v>
      </c>
      <c r="C4411" t="s">
        <v>2269</v>
      </c>
      <c r="D4411" t="s">
        <v>1857</v>
      </c>
      <c r="E4411" s="527" t="s">
        <v>10343</v>
      </c>
      <c r="F4411" s="219"/>
    </row>
    <row r="4412" spans="1:6" ht="14.4">
      <c r="A4412">
        <v>3592</v>
      </c>
      <c r="B4412" t="s">
        <v>22400</v>
      </c>
      <c r="C4412" t="s">
        <v>2269</v>
      </c>
      <c r="D4412" t="s">
        <v>1857</v>
      </c>
      <c r="E4412" s="527" t="s">
        <v>15615</v>
      </c>
      <c r="F4412" s="220"/>
    </row>
    <row r="4413" spans="1:6" ht="14.4">
      <c r="A4413">
        <v>3591</v>
      </c>
      <c r="B4413" t="s">
        <v>22401</v>
      </c>
      <c r="C4413" t="s">
        <v>2269</v>
      </c>
      <c r="D4413" t="s">
        <v>1857</v>
      </c>
      <c r="E4413" s="527" t="s">
        <v>15616</v>
      </c>
      <c r="F4413" s="219"/>
    </row>
    <row r="4414" spans="1:6" ht="14.4">
      <c r="A4414">
        <v>40396</v>
      </c>
      <c r="B4414" t="s">
        <v>22402</v>
      </c>
      <c r="C4414" t="s">
        <v>2269</v>
      </c>
      <c r="D4414" t="s">
        <v>1857</v>
      </c>
      <c r="E4414" s="527" t="s">
        <v>22403</v>
      </c>
      <c r="F4414" s="220"/>
    </row>
    <row r="4415" spans="1:6" ht="14.4">
      <c r="A4415">
        <v>40395</v>
      </c>
      <c r="B4415" t="s">
        <v>22404</v>
      </c>
      <c r="C4415" t="s">
        <v>2269</v>
      </c>
      <c r="D4415" t="s">
        <v>1857</v>
      </c>
      <c r="E4415" s="527" t="s">
        <v>22405</v>
      </c>
      <c r="F4415" s="219"/>
    </row>
    <row r="4416" spans="1:6" ht="14.4">
      <c r="A4416">
        <v>40392</v>
      </c>
      <c r="B4416" t="s">
        <v>22406</v>
      </c>
      <c r="C4416" t="s">
        <v>2269</v>
      </c>
      <c r="D4416" t="s">
        <v>1857</v>
      </c>
      <c r="E4416" s="527" t="s">
        <v>10026</v>
      </c>
      <c r="F4416" s="220"/>
    </row>
    <row r="4417" spans="1:6" ht="14.4">
      <c r="A4417">
        <v>40394</v>
      </c>
      <c r="B4417" t="s">
        <v>22407</v>
      </c>
      <c r="C4417" t="s">
        <v>2269</v>
      </c>
      <c r="D4417" t="s">
        <v>1857</v>
      </c>
      <c r="E4417" s="527" t="s">
        <v>10721</v>
      </c>
      <c r="F4417" s="219"/>
    </row>
    <row r="4418" spans="1:6" ht="14.4">
      <c r="A4418">
        <v>40398</v>
      </c>
      <c r="B4418" t="s">
        <v>22408</v>
      </c>
      <c r="C4418" t="s">
        <v>2269</v>
      </c>
      <c r="D4418" t="s">
        <v>1857</v>
      </c>
      <c r="E4418" s="527" t="s">
        <v>22409</v>
      </c>
      <c r="F4418" s="220"/>
    </row>
    <row r="4419" spans="1:6" ht="14.4">
      <c r="A4419">
        <v>40397</v>
      </c>
      <c r="B4419" t="s">
        <v>22410</v>
      </c>
      <c r="C4419" t="s">
        <v>2269</v>
      </c>
      <c r="D4419" t="s">
        <v>1857</v>
      </c>
      <c r="E4419" s="527" t="s">
        <v>22411</v>
      </c>
      <c r="F4419" s="219"/>
    </row>
    <row r="4420" spans="1:6" ht="14.4">
      <c r="A4420">
        <v>40393</v>
      </c>
      <c r="B4420" t="s">
        <v>22412</v>
      </c>
      <c r="C4420" t="s">
        <v>2269</v>
      </c>
      <c r="D4420" t="s">
        <v>1857</v>
      </c>
      <c r="E4420" s="527" t="s">
        <v>22413</v>
      </c>
      <c r="F4420" s="220"/>
    </row>
    <row r="4421" spans="1:6" ht="14.4">
      <c r="A4421">
        <v>40399</v>
      </c>
      <c r="B4421" t="s">
        <v>22414</v>
      </c>
      <c r="C4421" t="s">
        <v>2269</v>
      </c>
      <c r="D4421" t="s">
        <v>1857</v>
      </c>
      <c r="E4421" s="527" t="s">
        <v>22415</v>
      </c>
      <c r="F4421" s="219"/>
    </row>
    <row r="4422" spans="1:6" ht="14.4">
      <c r="A4422">
        <v>39322</v>
      </c>
      <c r="B4422" t="s">
        <v>22416</v>
      </c>
      <c r="C4422" t="s">
        <v>2269</v>
      </c>
      <c r="D4422" t="s">
        <v>2271</v>
      </c>
      <c r="E4422" s="527" t="s">
        <v>13158</v>
      </c>
      <c r="F4422" s="220"/>
    </row>
    <row r="4423" spans="1:6" ht="14.4">
      <c r="A4423">
        <v>39289</v>
      </c>
      <c r="B4423" t="s">
        <v>22417</v>
      </c>
      <c r="C4423" t="s">
        <v>2269</v>
      </c>
      <c r="D4423" t="s">
        <v>2271</v>
      </c>
      <c r="E4423" s="527" t="s">
        <v>11422</v>
      </c>
      <c r="F4423" s="219"/>
    </row>
    <row r="4424" spans="1:6" ht="14.4">
      <c r="A4424">
        <v>39290</v>
      </c>
      <c r="B4424" t="s">
        <v>22418</v>
      </c>
      <c r="C4424" t="s">
        <v>2269</v>
      </c>
      <c r="D4424" t="s">
        <v>2271</v>
      </c>
      <c r="E4424" s="527" t="s">
        <v>10764</v>
      </c>
      <c r="F4424" s="220"/>
    </row>
    <row r="4425" spans="1:6" ht="14.4">
      <c r="A4425">
        <v>39291</v>
      </c>
      <c r="B4425" t="s">
        <v>22419</v>
      </c>
      <c r="C4425" t="s">
        <v>2269</v>
      </c>
      <c r="D4425" t="s">
        <v>2271</v>
      </c>
      <c r="E4425" s="527" t="s">
        <v>10337</v>
      </c>
      <c r="F4425" s="219"/>
    </row>
    <row r="4426" spans="1:6" ht="14.4">
      <c r="A4426">
        <v>20174</v>
      </c>
      <c r="B4426" t="s">
        <v>22420</v>
      </c>
      <c r="C4426" t="s">
        <v>2269</v>
      </c>
      <c r="D4426" t="s">
        <v>1857</v>
      </c>
      <c r="E4426" s="527" t="s">
        <v>15970</v>
      </c>
      <c r="F4426" s="220"/>
    </row>
    <row r="4427" spans="1:6" ht="14.4">
      <c r="A4427">
        <v>41892</v>
      </c>
      <c r="B4427" t="s">
        <v>22421</v>
      </c>
      <c r="C4427" t="s">
        <v>2269</v>
      </c>
      <c r="D4427" t="s">
        <v>2271</v>
      </c>
      <c r="E4427" s="527" t="s">
        <v>22422</v>
      </c>
      <c r="F4427" s="219"/>
    </row>
    <row r="4428" spans="1:6" ht="14.4">
      <c r="A4428">
        <v>7048</v>
      </c>
      <c r="B4428" t="s">
        <v>22423</v>
      </c>
      <c r="C4428" t="s">
        <v>2269</v>
      </c>
      <c r="D4428" t="s">
        <v>2271</v>
      </c>
      <c r="E4428" s="527" t="s">
        <v>10226</v>
      </c>
      <c r="F4428" s="220"/>
    </row>
    <row r="4429" spans="1:6" ht="14.4">
      <c r="A4429">
        <v>7088</v>
      </c>
      <c r="B4429" t="s">
        <v>22424</v>
      </c>
      <c r="C4429" t="s">
        <v>2269</v>
      </c>
      <c r="D4429" t="s">
        <v>2271</v>
      </c>
      <c r="E4429" s="527" t="s">
        <v>22425</v>
      </c>
      <c r="F4429" s="219"/>
    </row>
    <row r="4430" spans="1:6" ht="14.4">
      <c r="A4430">
        <v>20179</v>
      </c>
      <c r="B4430" t="s">
        <v>22426</v>
      </c>
      <c r="C4430" t="s">
        <v>2269</v>
      </c>
      <c r="D4430" t="s">
        <v>1857</v>
      </c>
      <c r="E4430" s="527" t="s">
        <v>22427</v>
      </c>
      <c r="F4430" s="220"/>
    </row>
    <row r="4431" spans="1:6" ht="14.4">
      <c r="A4431">
        <v>20178</v>
      </c>
      <c r="B4431" t="s">
        <v>22428</v>
      </c>
      <c r="C4431" t="s">
        <v>2269</v>
      </c>
      <c r="D4431" t="s">
        <v>1857</v>
      </c>
      <c r="E4431" s="527" t="s">
        <v>16215</v>
      </c>
      <c r="F4431" s="219"/>
    </row>
    <row r="4432" spans="1:6" ht="14.4">
      <c r="A4432">
        <v>20180</v>
      </c>
      <c r="B4432" t="s">
        <v>22429</v>
      </c>
      <c r="C4432" t="s">
        <v>2269</v>
      </c>
      <c r="D4432" t="s">
        <v>1857</v>
      </c>
      <c r="E4432" s="527" t="s">
        <v>22430</v>
      </c>
      <c r="F4432" s="220"/>
    </row>
    <row r="4433" spans="1:6" ht="14.4">
      <c r="A4433">
        <v>20181</v>
      </c>
      <c r="B4433" t="s">
        <v>22431</v>
      </c>
      <c r="C4433" t="s">
        <v>2269</v>
      </c>
      <c r="D4433" t="s">
        <v>1857</v>
      </c>
      <c r="E4433" s="527" t="s">
        <v>22432</v>
      </c>
      <c r="F4433" s="219"/>
    </row>
    <row r="4434" spans="1:6" ht="14.4">
      <c r="A4434">
        <v>20177</v>
      </c>
      <c r="B4434" t="s">
        <v>22433</v>
      </c>
      <c r="C4434" t="s">
        <v>2269</v>
      </c>
      <c r="D4434" t="s">
        <v>1857</v>
      </c>
      <c r="E4434" s="527" t="s">
        <v>22434</v>
      </c>
      <c r="F4434" s="220"/>
    </row>
    <row r="4435" spans="1:6" ht="14.4">
      <c r="A4435">
        <v>7082</v>
      </c>
      <c r="B4435" t="s">
        <v>22435</v>
      </c>
      <c r="C4435" t="s">
        <v>2269</v>
      </c>
      <c r="D4435" t="s">
        <v>2271</v>
      </c>
      <c r="E4435" s="527" t="s">
        <v>10209</v>
      </c>
      <c r="F4435" s="219"/>
    </row>
    <row r="4436" spans="1:6" ht="14.4">
      <c r="A4436">
        <v>42707</v>
      </c>
      <c r="B4436" t="s">
        <v>22436</v>
      </c>
      <c r="C4436" t="s">
        <v>2269</v>
      </c>
      <c r="D4436" t="s">
        <v>2271</v>
      </c>
      <c r="E4436" s="527" t="s">
        <v>15619</v>
      </c>
      <c r="F4436" s="220"/>
    </row>
    <row r="4437" spans="1:6" ht="14.4">
      <c r="A4437">
        <v>7069</v>
      </c>
      <c r="B4437" t="s">
        <v>22437</v>
      </c>
      <c r="C4437" t="s">
        <v>2269</v>
      </c>
      <c r="D4437" t="s">
        <v>2271</v>
      </c>
      <c r="E4437" s="527" t="s">
        <v>12563</v>
      </c>
      <c r="F4437" s="219"/>
    </row>
    <row r="4438" spans="1:6" ht="14.4">
      <c r="A4438">
        <v>42708</v>
      </c>
      <c r="B4438" t="s">
        <v>22438</v>
      </c>
      <c r="C4438" t="s">
        <v>2269</v>
      </c>
      <c r="D4438" t="s">
        <v>2271</v>
      </c>
      <c r="E4438" s="527" t="s">
        <v>15620</v>
      </c>
      <c r="F4438" s="220"/>
    </row>
    <row r="4439" spans="1:6" ht="14.4">
      <c r="A4439">
        <v>7070</v>
      </c>
      <c r="B4439" t="s">
        <v>22439</v>
      </c>
      <c r="C4439" t="s">
        <v>2269</v>
      </c>
      <c r="D4439" t="s">
        <v>2271</v>
      </c>
      <c r="E4439" s="527" t="s">
        <v>15621</v>
      </c>
      <c r="F4439" s="219"/>
    </row>
    <row r="4440" spans="1:6" ht="14.4">
      <c r="A4440">
        <v>42709</v>
      </c>
      <c r="B4440" t="s">
        <v>22440</v>
      </c>
      <c r="C4440" t="s">
        <v>2269</v>
      </c>
      <c r="D4440" t="s">
        <v>2271</v>
      </c>
      <c r="E4440" s="527" t="s">
        <v>15622</v>
      </c>
      <c r="F4440" s="220"/>
    </row>
    <row r="4441" spans="1:6" ht="14.4">
      <c r="A4441">
        <v>42710</v>
      </c>
      <c r="B4441" t="s">
        <v>22441</v>
      </c>
      <c r="C4441" t="s">
        <v>2269</v>
      </c>
      <c r="D4441" t="s">
        <v>2271</v>
      </c>
      <c r="E4441" s="527" t="s">
        <v>15623</v>
      </c>
      <c r="F4441" s="219"/>
    </row>
    <row r="4442" spans="1:6" ht="14.4">
      <c r="A4442">
        <v>42716</v>
      </c>
      <c r="B4442" t="s">
        <v>22442</v>
      </c>
      <c r="C4442" t="s">
        <v>2269</v>
      </c>
      <c r="D4442" t="s">
        <v>2271</v>
      </c>
      <c r="E4442" s="527" t="s">
        <v>15624</v>
      </c>
      <c r="F4442" s="220"/>
    </row>
    <row r="4443" spans="1:6" ht="14.4">
      <c r="A4443">
        <v>20172</v>
      </c>
      <c r="B4443" t="s">
        <v>22443</v>
      </c>
      <c r="C4443" t="s">
        <v>2269</v>
      </c>
      <c r="D4443" t="s">
        <v>2271</v>
      </c>
      <c r="E4443" s="527" t="s">
        <v>10690</v>
      </c>
      <c r="F4443" s="219"/>
    </row>
    <row r="4444" spans="1:6" ht="14.4">
      <c r="A4444">
        <v>40945</v>
      </c>
      <c r="B4444" t="s">
        <v>22444</v>
      </c>
      <c r="C4444" t="s">
        <v>2267</v>
      </c>
      <c r="D4444" t="s">
        <v>1857</v>
      </c>
      <c r="E4444" s="527" t="s">
        <v>10333</v>
      </c>
      <c r="F4444" s="220"/>
    </row>
    <row r="4445" spans="1:6" ht="14.4">
      <c r="A4445">
        <v>40946</v>
      </c>
      <c r="B4445" t="s">
        <v>22445</v>
      </c>
      <c r="C4445" t="s">
        <v>2276</v>
      </c>
      <c r="D4445" t="s">
        <v>1857</v>
      </c>
      <c r="E4445" s="527" t="s">
        <v>22446</v>
      </c>
      <c r="F4445" s="219"/>
    </row>
    <row r="4446" spans="1:6" ht="14.4">
      <c r="A4446">
        <v>7153</v>
      </c>
      <c r="B4446" t="s">
        <v>22447</v>
      </c>
      <c r="C4446" t="s">
        <v>2267</v>
      </c>
      <c r="D4446" t="s">
        <v>1857</v>
      </c>
      <c r="E4446" s="527" t="s">
        <v>12401</v>
      </c>
      <c r="F4446" s="220"/>
    </row>
    <row r="4447" spans="1:6" ht="14.4">
      <c r="A4447">
        <v>41089</v>
      </c>
      <c r="B4447" t="s">
        <v>22448</v>
      </c>
      <c r="C4447" t="s">
        <v>2276</v>
      </c>
      <c r="D4447" t="s">
        <v>1857</v>
      </c>
      <c r="E4447" s="527" t="s">
        <v>22449</v>
      </c>
      <c r="F4447" s="219"/>
    </row>
    <row r="4448" spans="1:6" ht="14.4">
      <c r="A4448">
        <v>40943</v>
      </c>
      <c r="B4448" t="s">
        <v>22450</v>
      </c>
      <c r="C4448" t="s">
        <v>2267</v>
      </c>
      <c r="D4448" t="s">
        <v>1857</v>
      </c>
      <c r="E4448" s="527" t="s">
        <v>22451</v>
      </c>
      <c r="F4448" s="220"/>
    </row>
    <row r="4449" spans="1:6" ht="14.4">
      <c r="A4449">
        <v>40944</v>
      </c>
      <c r="B4449" t="s">
        <v>22452</v>
      </c>
      <c r="C4449" t="s">
        <v>2276</v>
      </c>
      <c r="D4449" t="s">
        <v>1857</v>
      </c>
      <c r="E4449" s="527" t="s">
        <v>22453</v>
      </c>
      <c r="F4449" s="219"/>
    </row>
    <row r="4450" spans="1:6" ht="14.4">
      <c r="A4450">
        <v>6175</v>
      </c>
      <c r="B4450" t="s">
        <v>22454</v>
      </c>
      <c r="C4450" t="s">
        <v>2267</v>
      </c>
      <c r="D4450" t="s">
        <v>1857</v>
      </c>
      <c r="E4450" s="527" t="s">
        <v>16562</v>
      </c>
      <c r="F4450" s="220"/>
    </row>
    <row r="4451" spans="1:6" ht="14.4">
      <c r="A4451">
        <v>41092</v>
      </c>
      <c r="B4451" t="s">
        <v>22455</v>
      </c>
      <c r="C4451" t="s">
        <v>2276</v>
      </c>
      <c r="D4451" t="s">
        <v>1857</v>
      </c>
      <c r="E4451" s="527" t="s">
        <v>22456</v>
      </c>
      <c r="F4451" s="219"/>
    </row>
    <row r="4452" spans="1:6" ht="14.4">
      <c r="A4452">
        <v>37712</v>
      </c>
      <c r="B4452" t="s">
        <v>22457</v>
      </c>
      <c r="C4452" t="s">
        <v>2270</v>
      </c>
      <c r="D4452" t="s">
        <v>2271</v>
      </c>
      <c r="E4452" s="527" t="s">
        <v>10664</v>
      </c>
      <c r="F4452" s="220"/>
    </row>
    <row r="4453" spans="1:6" ht="14.4">
      <c r="A4453">
        <v>34547</v>
      </c>
      <c r="B4453" t="s">
        <v>22458</v>
      </c>
      <c r="C4453" t="s">
        <v>2273</v>
      </c>
      <c r="D4453" t="s">
        <v>1857</v>
      </c>
      <c r="E4453" s="527" t="s">
        <v>22459</v>
      </c>
      <c r="F4453" s="219"/>
    </row>
    <row r="4454" spans="1:6" ht="14.4">
      <c r="A4454">
        <v>34548</v>
      </c>
      <c r="B4454" t="s">
        <v>22460</v>
      </c>
      <c r="C4454" t="s">
        <v>2273</v>
      </c>
      <c r="D4454" t="s">
        <v>1857</v>
      </c>
      <c r="E4454" s="527" t="s">
        <v>10207</v>
      </c>
      <c r="F4454" s="220"/>
    </row>
    <row r="4455" spans="1:6" ht="14.4">
      <c r="A4455">
        <v>34558</v>
      </c>
      <c r="B4455" t="s">
        <v>22461</v>
      </c>
      <c r="C4455" t="s">
        <v>2273</v>
      </c>
      <c r="D4455" t="s">
        <v>1857</v>
      </c>
      <c r="E4455" s="527" t="s">
        <v>15856</v>
      </c>
      <c r="F4455" s="219"/>
    </row>
    <row r="4456" spans="1:6" ht="14.4">
      <c r="A4456">
        <v>34550</v>
      </c>
      <c r="B4456" t="s">
        <v>22462</v>
      </c>
      <c r="C4456" t="s">
        <v>2273</v>
      </c>
      <c r="D4456" t="s">
        <v>1857</v>
      </c>
      <c r="E4456" s="527" t="s">
        <v>10287</v>
      </c>
      <c r="F4456" s="220"/>
    </row>
    <row r="4457" spans="1:6" ht="14.4">
      <c r="A4457">
        <v>34557</v>
      </c>
      <c r="B4457" t="s">
        <v>22463</v>
      </c>
      <c r="C4457" t="s">
        <v>2273</v>
      </c>
      <c r="D4457" t="s">
        <v>1857</v>
      </c>
      <c r="E4457" s="527" t="s">
        <v>7231</v>
      </c>
      <c r="F4457" s="219"/>
    </row>
    <row r="4458" spans="1:6" ht="14.4">
      <c r="A4458">
        <v>37411</v>
      </c>
      <c r="B4458" t="s">
        <v>22464</v>
      </c>
      <c r="C4458" t="s">
        <v>2270</v>
      </c>
      <c r="D4458" t="s">
        <v>1857</v>
      </c>
      <c r="E4458" s="527" t="s">
        <v>16255</v>
      </c>
      <c r="F4458" s="220"/>
    </row>
    <row r="4459" spans="1:6" ht="14.4">
      <c r="A4459">
        <v>39508</v>
      </c>
      <c r="B4459" t="s">
        <v>22465</v>
      </c>
      <c r="C4459" t="s">
        <v>2270</v>
      </c>
      <c r="D4459" t="s">
        <v>1857</v>
      </c>
      <c r="E4459" s="527" t="s">
        <v>10340</v>
      </c>
      <c r="F4459" s="219"/>
    </row>
    <row r="4460" spans="1:6" ht="14.4">
      <c r="A4460">
        <v>39507</v>
      </c>
      <c r="B4460" t="s">
        <v>22466</v>
      </c>
      <c r="C4460" t="s">
        <v>2270</v>
      </c>
      <c r="D4460" t="s">
        <v>1857</v>
      </c>
      <c r="E4460" s="527" t="s">
        <v>15847</v>
      </c>
      <c r="F4460" s="220"/>
    </row>
    <row r="4461" spans="1:6" ht="14.4">
      <c r="A4461">
        <v>7155</v>
      </c>
      <c r="B4461" t="s">
        <v>22467</v>
      </c>
      <c r="C4461" t="s">
        <v>2270</v>
      </c>
      <c r="D4461" t="s">
        <v>1857</v>
      </c>
      <c r="E4461" s="527" t="s">
        <v>9774</v>
      </c>
      <c r="F4461" s="219"/>
    </row>
    <row r="4462" spans="1:6" ht="14.4">
      <c r="A4462">
        <v>42406</v>
      </c>
      <c r="B4462" t="s">
        <v>22468</v>
      </c>
      <c r="C4462" t="s">
        <v>2270</v>
      </c>
      <c r="D4462" t="s">
        <v>1857</v>
      </c>
      <c r="E4462" s="527" t="s">
        <v>22469</v>
      </c>
      <c r="F4462" s="220"/>
    </row>
    <row r="4463" spans="1:6" ht="14.4">
      <c r="A4463">
        <v>7156</v>
      </c>
      <c r="B4463" t="s">
        <v>22470</v>
      </c>
      <c r="C4463" t="s">
        <v>2270</v>
      </c>
      <c r="D4463" t="s">
        <v>2268</v>
      </c>
      <c r="E4463" s="527" t="s">
        <v>7485</v>
      </c>
      <c r="F4463" s="219"/>
    </row>
    <row r="4464" spans="1:6" ht="14.4">
      <c r="A4464">
        <v>43127</v>
      </c>
      <c r="B4464" t="s">
        <v>22471</v>
      </c>
      <c r="C4464" t="s">
        <v>2270</v>
      </c>
      <c r="D4464" t="s">
        <v>1857</v>
      </c>
      <c r="E4464" s="527" t="s">
        <v>22472</v>
      </c>
      <c r="F4464" s="220"/>
    </row>
    <row r="4465" spans="1:6" ht="14.4">
      <c r="A4465">
        <v>10917</v>
      </c>
      <c r="B4465" t="s">
        <v>22473</v>
      </c>
      <c r="C4465" t="s">
        <v>2270</v>
      </c>
      <c r="D4465" t="s">
        <v>1857</v>
      </c>
      <c r="E4465" s="527" t="s">
        <v>10218</v>
      </c>
      <c r="F4465" s="219"/>
    </row>
    <row r="4466" spans="1:6" ht="14.4">
      <c r="A4466">
        <v>21141</v>
      </c>
      <c r="B4466" t="s">
        <v>22474</v>
      </c>
      <c r="C4466" t="s">
        <v>2270</v>
      </c>
      <c r="D4466" t="s">
        <v>1857</v>
      </c>
      <c r="E4466" s="527" t="s">
        <v>10410</v>
      </c>
      <c r="F4466" s="220"/>
    </row>
    <row r="4467" spans="1:6" ht="14.4">
      <c r="A4467">
        <v>39509</v>
      </c>
      <c r="B4467" t="s">
        <v>22475</v>
      </c>
      <c r="C4467" t="s">
        <v>2270</v>
      </c>
      <c r="D4467" t="s">
        <v>1857</v>
      </c>
      <c r="E4467" s="527" t="s">
        <v>10268</v>
      </c>
      <c r="F4467" s="219"/>
    </row>
    <row r="4468" spans="1:6" ht="14.4">
      <c r="A4468">
        <v>25988</v>
      </c>
      <c r="B4468" t="s">
        <v>22476</v>
      </c>
      <c r="C4468" t="s">
        <v>2270</v>
      </c>
      <c r="D4468" t="s">
        <v>2271</v>
      </c>
      <c r="E4468" s="527" t="s">
        <v>16572</v>
      </c>
      <c r="F4468" s="220"/>
    </row>
    <row r="4469" spans="1:6" ht="14.4">
      <c r="A4469">
        <v>7167</v>
      </c>
      <c r="B4469" t="s">
        <v>22477</v>
      </c>
      <c r="C4469" t="s">
        <v>2270</v>
      </c>
      <c r="D4469" t="s">
        <v>2271</v>
      </c>
      <c r="E4469" s="527" t="s">
        <v>10711</v>
      </c>
      <c r="F4469" s="219"/>
    </row>
    <row r="4470" spans="1:6" ht="14.4">
      <c r="A4470">
        <v>10928</v>
      </c>
      <c r="B4470" t="s">
        <v>22478</v>
      </c>
      <c r="C4470" t="s">
        <v>2270</v>
      </c>
      <c r="D4470" t="s">
        <v>2271</v>
      </c>
      <c r="E4470" s="527" t="s">
        <v>13152</v>
      </c>
      <c r="F4470" s="220"/>
    </row>
    <row r="4471" spans="1:6" ht="14.4">
      <c r="A4471">
        <v>10933</v>
      </c>
      <c r="B4471" t="s">
        <v>22479</v>
      </c>
      <c r="C4471" t="s">
        <v>2270</v>
      </c>
      <c r="D4471" t="s">
        <v>2271</v>
      </c>
      <c r="E4471" s="527" t="s">
        <v>3132</v>
      </c>
      <c r="F4471" s="219"/>
    </row>
    <row r="4472" spans="1:6" ht="14.4">
      <c r="A4472">
        <v>7158</v>
      </c>
      <c r="B4472" t="s">
        <v>22480</v>
      </c>
      <c r="C4472" t="s">
        <v>2270</v>
      </c>
      <c r="D4472" t="s">
        <v>2271</v>
      </c>
      <c r="E4472" s="527" t="s">
        <v>10001</v>
      </c>
      <c r="F4472" s="220"/>
    </row>
    <row r="4473" spans="1:6" ht="14.4">
      <c r="A4473">
        <v>10927</v>
      </c>
      <c r="B4473" t="s">
        <v>22481</v>
      </c>
      <c r="C4473" t="s">
        <v>2270</v>
      </c>
      <c r="D4473" t="s">
        <v>2271</v>
      </c>
      <c r="E4473" s="527" t="s">
        <v>7350</v>
      </c>
      <c r="F4473" s="219"/>
    </row>
    <row r="4474" spans="1:6" ht="14.4">
      <c r="A4474">
        <v>7162</v>
      </c>
      <c r="B4474" t="s">
        <v>22482</v>
      </c>
      <c r="C4474" t="s">
        <v>2270</v>
      </c>
      <c r="D4474" t="s">
        <v>2271</v>
      </c>
      <c r="E4474" s="527" t="s">
        <v>15625</v>
      </c>
      <c r="F4474" s="220"/>
    </row>
    <row r="4475" spans="1:6" ht="14.4">
      <c r="A4475">
        <v>10932</v>
      </c>
      <c r="B4475" t="s">
        <v>22483</v>
      </c>
      <c r="C4475" t="s">
        <v>2270</v>
      </c>
      <c r="D4475" t="s">
        <v>2271</v>
      </c>
      <c r="E4475" s="527" t="s">
        <v>15626</v>
      </c>
      <c r="F4475" s="219"/>
    </row>
    <row r="4476" spans="1:6" ht="14.4">
      <c r="A4476">
        <v>10937</v>
      </c>
      <c r="B4476" t="s">
        <v>22484</v>
      </c>
      <c r="C4476" t="s">
        <v>2270</v>
      </c>
      <c r="D4476" t="s">
        <v>2271</v>
      </c>
      <c r="E4476" s="527" t="s">
        <v>9778</v>
      </c>
      <c r="F4476" s="220"/>
    </row>
    <row r="4477" spans="1:6" ht="14.4">
      <c r="A4477">
        <v>10935</v>
      </c>
      <c r="B4477" t="s">
        <v>22485</v>
      </c>
      <c r="C4477" t="s">
        <v>2270</v>
      </c>
      <c r="D4477" t="s">
        <v>2271</v>
      </c>
      <c r="E4477" s="527" t="s">
        <v>7389</v>
      </c>
      <c r="F4477" s="219"/>
    </row>
    <row r="4478" spans="1:6" ht="14.4">
      <c r="A4478">
        <v>10931</v>
      </c>
      <c r="B4478" t="s">
        <v>22486</v>
      </c>
      <c r="C4478" t="s">
        <v>2270</v>
      </c>
      <c r="D4478" t="s">
        <v>2271</v>
      </c>
      <c r="E4478" s="527" t="s">
        <v>11630</v>
      </c>
      <c r="F4478" s="220"/>
    </row>
    <row r="4479" spans="1:6" ht="14.4">
      <c r="A4479">
        <v>7164</v>
      </c>
      <c r="B4479" t="s">
        <v>22487</v>
      </c>
      <c r="C4479" t="s">
        <v>2270</v>
      </c>
      <c r="D4479" t="s">
        <v>2271</v>
      </c>
      <c r="E4479" s="527" t="s">
        <v>13598</v>
      </c>
      <c r="F4479" s="219"/>
    </row>
    <row r="4480" spans="1:6" ht="14.4">
      <c r="A4480">
        <v>36887</v>
      </c>
      <c r="B4480" t="s">
        <v>22488</v>
      </c>
      <c r="C4480" t="s">
        <v>2270</v>
      </c>
      <c r="D4480" t="s">
        <v>1857</v>
      </c>
      <c r="E4480" s="527" t="s">
        <v>4390</v>
      </c>
      <c r="F4480" s="220"/>
    </row>
    <row r="4481" spans="1:6" ht="14.4">
      <c r="A4481">
        <v>34630</v>
      </c>
      <c r="B4481" t="s">
        <v>22489</v>
      </c>
      <c r="C4481" t="s">
        <v>2269</v>
      </c>
      <c r="D4481" t="s">
        <v>2271</v>
      </c>
      <c r="E4481" s="527" t="s">
        <v>15627</v>
      </c>
      <c r="F4481" s="219"/>
    </row>
    <row r="4482" spans="1:6" ht="14.4">
      <c r="A4482">
        <v>7161</v>
      </c>
      <c r="B4482" t="s">
        <v>22490</v>
      </c>
      <c r="C4482" t="s">
        <v>2270</v>
      </c>
      <c r="D4482" t="s">
        <v>2271</v>
      </c>
      <c r="E4482" s="527" t="s">
        <v>10066</v>
      </c>
      <c r="F4482" s="220"/>
    </row>
    <row r="4483" spans="1:6" ht="14.4">
      <c r="A4483">
        <v>7170</v>
      </c>
      <c r="B4483" t="s">
        <v>22491</v>
      </c>
      <c r="C4483" t="s">
        <v>2270</v>
      </c>
      <c r="D4483" t="s">
        <v>1857</v>
      </c>
      <c r="E4483" s="527" t="s">
        <v>7228</v>
      </c>
      <c r="F4483" s="219"/>
    </row>
    <row r="4484" spans="1:6" ht="14.4">
      <c r="A4484">
        <v>37524</v>
      </c>
      <c r="B4484" t="s">
        <v>22492</v>
      </c>
      <c r="C4484" t="s">
        <v>2273</v>
      </c>
      <c r="D4484" t="s">
        <v>2268</v>
      </c>
      <c r="E4484" s="527" t="s">
        <v>3896</v>
      </c>
      <c r="F4484" s="220"/>
    </row>
    <row r="4485" spans="1:6" ht="14.4">
      <c r="A4485">
        <v>37525</v>
      </c>
      <c r="B4485" t="s">
        <v>22493</v>
      </c>
      <c r="C4485" t="s">
        <v>2273</v>
      </c>
      <c r="D4485" t="s">
        <v>1857</v>
      </c>
      <c r="E4485" s="527" t="s">
        <v>7365</v>
      </c>
      <c r="F4485" s="219"/>
    </row>
    <row r="4486" spans="1:6" ht="14.4">
      <c r="A4486">
        <v>36789</v>
      </c>
      <c r="B4486" t="s">
        <v>22494</v>
      </c>
      <c r="C4486" t="s">
        <v>2269</v>
      </c>
      <c r="D4486" t="s">
        <v>1857</v>
      </c>
      <c r="E4486" s="527" t="s">
        <v>7329</v>
      </c>
      <c r="F4486" s="220"/>
    </row>
    <row r="4487" spans="1:6" ht="14.4">
      <c r="A4487">
        <v>7173</v>
      </c>
      <c r="B4487" t="s">
        <v>22495</v>
      </c>
      <c r="C4487" t="s">
        <v>2280</v>
      </c>
      <c r="D4487" t="s">
        <v>2268</v>
      </c>
      <c r="E4487" s="527" t="s">
        <v>22496</v>
      </c>
      <c r="F4487" s="219"/>
    </row>
    <row r="4488" spans="1:6" ht="14.4">
      <c r="A4488">
        <v>7175</v>
      </c>
      <c r="B4488" t="s">
        <v>22497</v>
      </c>
      <c r="C4488" t="s">
        <v>2269</v>
      </c>
      <c r="D4488" t="s">
        <v>1857</v>
      </c>
      <c r="E4488" s="527" t="s">
        <v>3573</v>
      </c>
      <c r="F4488" s="220"/>
    </row>
    <row r="4489" spans="1:6" ht="14.4">
      <c r="A4489">
        <v>40741</v>
      </c>
      <c r="B4489" t="s">
        <v>22498</v>
      </c>
      <c r="C4489" t="s">
        <v>2269</v>
      </c>
      <c r="D4489" t="s">
        <v>1857</v>
      </c>
      <c r="E4489" s="527" t="s">
        <v>3555</v>
      </c>
      <c r="F4489" s="219"/>
    </row>
    <row r="4490" spans="1:6" ht="14.4">
      <c r="A4490">
        <v>7184</v>
      </c>
      <c r="B4490" t="s">
        <v>22499</v>
      </c>
      <c r="C4490" t="s">
        <v>2270</v>
      </c>
      <c r="D4490" t="s">
        <v>2271</v>
      </c>
      <c r="E4490" s="527" t="s">
        <v>10229</v>
      </c>
      <c r="F4490" s="220"/>
    </row>
    <row r="4491" spans="1:6" ht="14.4">
      <c r="A4491">
        <v>34458</v>
      </c>
      <c r="B4491" t="s">
        <v>22500</v>
      </c>
      <c r="C4491" t="s">
        <v>2269</v>
      </c>
      <c r="D4491" t="s">
        <v>1857</v>
      </c>
      <c r="E4491" s="527" t="s">
        <v>15944</v>
      </c>
      <c r="F4491" s="219"/>
    </row>
    <row r="4492" spans="1:6" ht="14.4">
      <c r="A4492">
        <v>34464</v>
      </c>
      <c r="B4492" t="s">
        <v>22501</v>
      </c>
      <c r="C4492" t="s">
        <v>2269</v>
      </c>
      <c r="D4492" t="s">
        <v>1857</v>
      </c>
      <c r="E4492" s="527" t="s">
        <v>22502</v>
      </c>
      <c r="F4492" s="220"/>
    </row>
    <row r="4493" spans="1:6" ht="14.4">
      <c r="A4493">
        <v>34468</v>
      </c>
      <c r="B4493" t="s">
        <v>22503</v>
      </c>
      <c r="C4493" t="s">
        <v>2269</v>
      </c>
      <c r="D4493" t="s">
        <v>1857</v>
      </c>
      <c r="E4493" s="527" t="s">
        <v>22504</v>
      </c>
      <c r="F4493" s="219"/>
    </row>
    <row r="4494" spans="1:6" ht="14.4">
      <c r="A4494">
        <v>34473</v>
      </c>
      <c r="B4494" t="s">
        <v>22505</v>
      </c>
      <c r="C4494" t="s">
        <v>2269</v>
      </c>
      <c r="D4494" t="s">
        <v>1857</v>
      </c>
      <c r="E4494" s="527" t="s">
        <v>22506</v>
      </c>
      <c r="F4494" s="220"/>
    </row>
    <row r="4495" spans="1:6" ht="14.4">
      <c r="A4495">
        <v>34480</v>
      </c>
      <c r="B4495" t="s">
        <v>22507</v>
      </c>
      <c r="C4495" t="s">
        <v>2269</v>
      </c>
      <c r="D4495" t="s">
        <v>1857</v>
      </c>
      <c r="E4495" s="527" t="s">
        <v>22508</v>
      </c>
      <c r="F4495" s="219"/>
    </row>
    <row r="4496" spans="1:6" ht="14.4">
      <c r="A4496">
        <v>34486</v>
      </c>
      <c r="B4496" t="s">
        <v>22509</v>
      </c>
      <c r="C4496" t="s">
        <v>2269</v>
      </c>
      <c r="D4496" t="s">
        <v>1857</v>
      </c>
      <c r="E4496" s="527" t="s">
        <v>22510</v>
      </c>
      <c r="F4496" s="220"/>
    </row>
    <row r="4497" spans="1:6" ht="14.4">
      <c r="A4497">
        <v>7202</v>
      </c>
      <c r="B4497" t="s">
        <v>22511</v>
      </c>
      <c r="C4497" t="s">
        <v>2270</v>
      </c>
      <c r="D4497" t="s">
        <v>1857</v>
      </c>
      <c r="E4497" s="527" t="s">
        <v>11451</v>
      </c>
      <c r="F4497" s="219"/>
    </row>
    <row r="4498" spans="1:6" ht="14.4">
      <c r="A4498">
        <v>7190</v>
      </c>
      <c r="B4498" t="s">
        <v>22512</v>
      </c>
      <c r="C4498" t="s">
        <v>2269</v>
      </c>
      <c r="D4498" t="s">
        <v>1857</v>
      </c>
      <c r="E4498" s="527" t="s">
        <v>7243</v>
      </c>
      <c r="F4498" s="220"/>
    </row>
    <row r="4499" spans="1:6" ht="14.4">
      <c r="A4499">
        <v>34417</v>
      </c>
      <c r="B4499" t="s">
        <v>22513</v>
      </c>
      <c r="C4499" t="s">
        <v>2269</v>
      </c>
      <c r="D4499" t="s">
        <v>1857</v>
      </c>
      <c r="E4499" s="527" t="s">
        <v>10109</v>
      </c>
      <c r="F4499" s="219"/>
    </row>
    <row r="4500" spans="1:6" ht="14.4">
      <c r="A4500">
        <v>7213</v>
      </c>
      <c r="B4500" t="s">
        <v>22514</v>
      </c>
      <c r="C4500" t="s">
        <v>2270</v>
      </c>
      <c r="D4500" t="s">
        <v>1857</v>
      </c>
      <c r="E4500" s="527" t="s">
        <v>7091</v>
      </c>
      <c r="F4500" s="220"/>
    </row>
    <row r="4501" spans="1:6" ht="14.4">
      <c r="A4501">
        <v>7195</v>
      </c>
      <c r="B4501" t="s">
        <v>22515</v>
      </c>
      <c r="C4501" t="s">
        <v>2269</v>
      </c>
      <c r="D4501" t="s">
        <v>1857</v>
      </c>
      <c r="E4501" s="527" t="s">
        <v>22516</v>
      </c>
      <c r="F4501" s="219"/>
    </row>
    <row r="4502" spans="1:6" ht="14.4">
      <c r="A4502">
        <v>7186</v>
      </c>
      <c r="B4502" t="s">
        <v>22517</v>
      </c>
      <c r="C4502" t="s">
        <v>2269</v>
      </c>
      <c r="D4502" t="s">
        <v>2268</v>
      </c>
      <c r="E4502" s="527" t="s">
        <v>22518</v>
      </c>
      <c r="F4502" s="220"/>
    </row>
    <row r="4503" spans="1:6" ht="14.4">
      <c r="A4503">
        <v>7194</v>
      </c>
      <c r="B4503" t="s">
        <v>22519</v>
      </c>
      <c r="C4503" t="s">
        <v>2270</v>
      </c>
      <c r="D4503" t="s">
        <v>1857</v>
      </c>
      <c r="E4503" s="527" t="s">
        <v>19958</v>
      </c>
      <c r="F4503" s="219"/>
    </row>
    <row r="4504" spans="1:6" ht="14.4">
      <c r="A4504">
        <v>7197</v>
      </c>
      <c r="B4504" t="s">
        <v>22520</v>
      </c>
      <c r="C4504" t="s">
        <v>2269</v>
      </c>
      <c r="D4504" t="s">
        <v>1857</v>
      </c>
      <c r="E4504" s="527" t="s">
        <v>22521</v>
      </c>
      <c r="F4504" s="220"/>
    </row>
    <row r="4505" spans="1:6" ht="14.4">
      <c r="A4505">
        <v>7192</v>
      </c>
      <c r="B4505" t="s">
        <v>22522</v>
      </c>
      <c r="C4505" t="s">
        <v>2269</v>
      </c>
      <c r="D4505" t="s">
        <v>1857</v>
      </c>
      <c r="E4505" s="527" t="s">
        <v>22523</v>
      </c>
      <c r="F4505" s="219"/>
    </row>
    <row r="4506" spans="1:6" ht="14.4">
      <c r="A4506">
        <v>7193</v>
      </c>
      <c r="B4506" t="s">
        <v>22524</v>
      </c>
      <c r="C4506" t="s">
        <v>2269</v>
      </c>
      <c r="D4506" t="s">
        <v>1857</v>
      </c>
      <c r="E4506" s="527" t="s">
        <v>12848</v>
      </c>
      <c r="F4506" s="220"/>
    </row>
    <row r="4507" spans="1:6" ht="14.4">
      <c r="A4507">
        <v>7189</v>
      </c>
      <c r="B4507" t="s">
        <v>22525</v>
      </c>
      <c r="C4507" t="s">
        <v>2269</v>
      </c>
      <c r="D4507" t="s">
        <v>1857</v>
      </c>
      <c r="E4507" s="527" t="s">
        <v>22526</v>
      </c>
      <c r="F4507" s="219"/>
    </row>
    <row r="4508" spans="1:6" ht="14.4">
      <c r="A4508">
        <v>7198</v>
      </c>
      <c r="B4508" t="s">
        <v>22527</v>
      </c>
      <c r="C4508" t="s">
        <v>2270</v>
      </c>
      <c r="D4508" t="s">
        <v>1857</v>
      </c>
      <c r="E4508" s="527" t="s">
        <v>22528</v>
      </c>
      <c r="F4508" s="220"/>
    </row>
    <row r="4509" spans="1:6" ht="14.4">
      <c r="A4509">
        <v>34402</v>
      </c>
      <c r="B4509" t="s">
        <v>22527</v>
      </c>
      <c r="C4509" t="s">
        <v>2269</v>
      </c>
      <c r="D4509" t="s">
        <v>1857</v>
      </c>
      <c r="E4509" s="527" t="s">
        <v>22529</v>
      </c>
      <c r="F4509" s="219"/>
    </row>
    <row r="4510" spans="1:6" ht="14.4">
      <c r="A4510">
        <v>7245</v>
      </c>
      <c r="B4510" t="s">
        <v>22530</v>
      </c>
      <c r="C4510" t="s">
        <v>2269</v>
      </c>
      <c r="D4510" t="s">
        <v>1857</v>
      </c>
      <c r="E4510" s="527" t="s">
        <v>16180</v>
      </c>
      <c r="F4510" s="220"/>
    </row>
    <row r="4511" spans="1:6" ht="14.4">
      <c r="A4511">
        <v>34425</v>
      </c>
      <c r="B4511" t="s">
        <v>22531</v>
      </c>
      <c r="C4511" t="s">
        <v>2269</v>
      </c>
      <c r="D4511" t="s">
        <v>1857</v>
      </c>
      <c r="E4511" s="527" t="s">
        <v>22532</v>
      </c>
      <c r="F4511" s="219"/>
    </row>
    <row r="4512" spans="1:6" ht="14.4">
      <c r="A4512">
        <v>7223</v>
      </c>
      <c r="B4512" t="s">
        <v>22533</v>
      </c>
      <c r="C4512" t="s">
        <v>2269</v>
      </c>
      <c r="D4512" t="s">
        <v>1857</v>
      </c>
      <c r="E4512" s="527" t="s">
        <v>22534</v>
      </c>
      <c r="F4512" s="220"/>
    </row>
    <row r="4513" spans="1:6" ht="14.4">
      <c r="A4513">
        <v>7234</v>
      </c>
      <c r="B4513" t="s">
        <v>22535</v>
      </c>
      <c r="C4513" t="s">
        <v>2269</v>
      </c>
      <c r="D4513" t="s">
        <v>1857</v>
      </c>
      <c r="E4513" s="527" t="s">
        <v>22536</v>
      </c>
      <c r="F4513" s="219"/>
    </row>
    <row r="4514" spans="1:6" ht="14.4">
      <c r="A4514">
        <v>7224</v>
      </c>
      <c r="B4514" t="s">
        <v>22537</v>
      </c>
      <c r="C4514" t="s">
        <v>2269</v>
      </c>
      <c r="D4514" t="s">
        <v>1857</v>
      </c>
      <c r="E4514" s="527" t="s">
        <v>22538</v>
      </c>
      <c r="F4514" s="220"/>
    </row>
    <row r="4515" spans="1:6" ht="14.4">
      <c r="A4515">
        <v>7221</v>
      </c>
      <c r="B4515" t="s">
        <v>22539</v>
      </c>
      <c r="C4515" t="s">
        <v>2270</v>
      </c>
      <c r="D4515" t="s">
        <v>1857</v>
      </c>
      <c r="E4515" s="527" t="s">
        <v>14332</v>
      </c>
      <c r="F4515" s="219"/>
    </row>
    <row r="4516" spans="1:6" ht="14.4">
      <c r="A4516">
        <v>7225</v>
      </c>
      <c r="B4516" t="s">
        <v>22540</v>
      </c>
      <c r="C4516" t="s">
        <v>2269</v>
      </c>
      <c r="D4516" t="s">
        <v>1857</v>
      </c>
      <c r="E4516" s="527" t="s">
        <v>22541</v>
      </c>
      <c r="F4516" s="220"/>
    </row>
    <row r="4517" spans="1:6" ht="14.4">
      <c r="A4517">
        <v>7226</v>
      </c>
      <c r="B4517" t="s">
        <v>22542</v>
      </c>
      <c r="C4517" t="s">
        <v>2269</v>
      </c>
      <c r="D4517" t="s">
        <v>1857</v>
      </c>
      <c r="E4517" s="527" t="s">
        <v>22543</v>
      </c>
      <c r="F4517" s="219"/>
    </row>
    <row r="4518" spans="1:6" ht="14.4">
      <c r="A4518">
        <v>7236</v>
      </c>
      <c r="B4518" t="s">
        <v>22544</v>
      </c>
      <c r="C4518" t="s">
        <v>2269</v>
      </c>
      <c r="D4518" t="s">
        <v>1857</v>
      </c>
      <c r="E4518" s="527" t="s">
        <v>22545</v>
      </c>
      <c r="F4518" s="220"/>
    </row>
    <row r="4519" spans="1:6" ht="14.4">
      <c r="A4519">
        <v>7227</v>
      </c>
      <c r="B4519" t="s">
        <v>22546</v>
      </c>
      <c r="C4519" t="s">
        <v>2269</v>
      </c>
      <c r="D4519" t="s">
        <v>1857</v>
      </c>
      <c r="E4519" s="527" t="s">
        <v>22547</v>
      </c>
      <c r="F4519" s="219"/>
    </row>
    <row r="4520" spans="1:6" ht="14.4">
      <c r="A4520">
        <v>7212</v>
      </c>
      <c r="B4520" t="s">
        <v>22548</v>
      </c>
      <c r="C4520" t="s">
        <v>2269</v>
      </c>
      <c r="D4520" t="s">
        <v>1857</v>
      </c>
      <c r="E4520" s="527" t="s">
        <v>22549</v>
      </c>
      <c r="F4520" s="220"/>
    </row>
    <row r="4521" spans="1:6" ht="14.4">
      <c r="A4521">
        <v>7229</v>
      </c>
      <c r="B4521" t="s">
        <v>22550</v>
      </c>
      <c r="C4521" t="s">
        <v>2269</v>
      </c>
      <c r="D4521" t="s">
        <v>1857</v>
      </c>
      <c r="E4521" s="527" t="s">
        <v>16569</v>
      </c>
      <c r="F4521" s="219"/>
    </row>
    <row r="4522" spans="1:6" ht="14.4">
      <c r="A4522">
        <v>7230</v>
      </c>
      <c r="B4522" t="s">
        <v>22551</v>
      </c>
      <c r="C4522" t="s">
        <v>2269</v>
      </c>
      <c r="D4522" t="s">
        <v>1857</v>
      </c>
      <c r="E4522" s="527" t="s">
        <v>22552</v>
      </c>
      <c r="F4522" s="220"/>
    </row>
    <row r="4523" spans="1:6" ht="14.4">
      <c r="A4523">
        <v>7231</v>
      </c>
      <c r="B4523" t="s">
        <v>22553</v>
      </c>
      <c r="C4523" t="s">
        <v>2269</v>
      </c>
      <c r="D4523" t="s">
        <v>1857</v>
      </c>
      <c r="E4523" s="527" t="s">
        <v>22554</v>
      </c>
      <c r="F4523" s="219"/>
    </row>
    <row r="4524" spans="1:6" ht="14.4">
      <c r="A4524">
        <v>7220</v>
      </c>
      <c r="B4524" t="s">
        <v>22555</v>
      </c>
      <c r="C4524" t="s">
        <v>2269</v>
      </c>
      <c r="D4524" t="s">
        <v>1857</v>
      </c>
      <c r="E4524" s="527" t="s">
        <v>22556</v>
      </c>
      <c r="F4524" s="220"/>
    </row>
    <row r="4525" spans="1:6" ht="14.4">
      <c r="A4525">
        <v>34447</v>
      </c>
      <c r="B4525" t="s">
        <v>22557</v>
      </c>
      <c r="C4525" t="s">
        <v>2269</v>
      </c>
      <c r="D4525" t="s">
        <v>1857</v>
      </c>
      <c r="E4525" s="527" t="s">
        <v>22558</v>
      </c>
      <c r="F4525" s="219"/>
    </row>
    <row r="4526" spans="1:6" ht="14.4">
      <c r="A4526">
        <v>7233</v>
      </c>
      <c r="B4526" t="s">
        <v>22559</v>
      </c>
      <c r="C4526" t="s">
        <v>2269</v>
      </c>
      <c r="D4526" t="s">
        <v>1857</v>
      </c>
      <c r="E4526" s="527" t="s">
        <v>22560</v>
      </c>
      <c r="F4526" s="220"/>
    </row>
    <row r="4527" spans="1:6" ht="14.4">
      <c r="A4527">
        <v>40740</v>
      </c>
      <c r="B4527" t="s">
        <v>22561</v>
      </c>
      <c r="C4527" t="s">
        <v>2270</v>
      </c>
      <c r="D4527" t="s">
        <v>2271</v>
      </c>
      <c r="E4527" s="527" t="s">
        <v>22562</v>
      </c>
      <c r="F4527" s="219"/>
    </row>
    <row r="4528" spans="1:6" ht="14.4">
      <c r="A4528">
        <v>25007</v>
      </c>
      <c r="B4528" t="s">
        <v>22563</v>
      </c>
      <c r="C4528" t="s">
        <v>2270</v>
      </c>
      <c r="D4528" t="s">
        <v>2271</v>
      </c>
      <c r="E4528" s="527" t="s">
        <v>21838</v>
      </c>
      <c r="F4528" s="220"/>
    </row>
    <row r="4529" spans="1:6" ht="14.4">
      <c r="A4529">
        <v>43071</v>
      </c>
      <c r="B4529" t="s">
        <v>22564</v>
      </c>
      <c r="C4529" t="s">
        <v>2270</v>
      </c>
      <c r="D4529" t="s">
        <v>2271</v>
      </c>
      <c r="E4529" s="527" t="s">
        <v>22565</v>
      </c>
      <c r="F4529" s="219"/>
    </row>
    <row r="4530" spans="1:6" ht="14.4">
      <c r="A4530">
        <v>39520</v>
      </c>
      <c r="B4530" t="s">
        <v>22566</v>
      </c>
      <c r="C4530" t="s">
        <v>2270</v>
      </c>
      <c r="D4530" t="s">
        <v>2271</v>
      </c>
      <c r="E4530" s="527" t="s">
        <v>13375</v>
      </c>
      <c r="F4530" s="220"/>
    </row>
    <row r="4531" spans="1:6" ht="14.4">
      <c r="A4531">
        <v>39521</v>
      </c>
      <c r="B4531" t="s">
        <v>22567</v>
      </c>
      <c r="C4531" t="s">
        <v>2270</v>
      </c>
      <c r="D4531" t="s">
        <v>2271</v>
      </c>
      <c r="E4531" s="527" t="s">
        <v>22568</v>
      </c>
      <c r="F4531" s="219"/>
    </row>
    <row r="4532" spans="1:6" ht="14.4">
      <c r="A4532">
        <v>39522</v>
      </c>
      <c r="B4532" t="s">
        <v>22569</v>
      </c>
      <c r="C4532" t="s">
        <v>2270</v>
      </c>
      <c r="D4532" t="s">
        <v>2271</v>
      </c>
      <c r="E4532" s="527" t="s">
        <v>22570</v>
      </c>
      <c r="F4532" s="220"/>
    </row>
    <row r="4533" spans="1:6" ht="14.4">
      <c r="A4533">
        <v>7243</v>
      </c>
      <c r="B4533" t="s">
        <v>22571</v>
      </c>
      <c r="C4533" t="s">
        <v>2270</v>
      </c>
      <c r="D4533" t="s">
        <v>2271</v>
      </c>
      <c r="E4533" s="527" t="s">
        <v>22572</v>
      </c>
      <c r="F4533" s="219"/>
    </row>
    <row r="4534" spans="1:6" ht="14.4">
      <c r="A4534">
        <v>11067</v>
      </c>
      <c r="B4534" t="s">
        <v>22573</v>
      </c>
      <c r="C4534" t="s">
        <v>2269</v>
      </c>
      <c r="D4534" t="s">
        <v>2271</v>
      </c>
      <c r="E4534" s="527" t="s">
        <v>22574</v>
      </c>
      <c r="F4534" s="220"/>
    </row>
    <row r="4535" spans="1:6" ht="14.4">
      <c r="A4535">
        <v>11068</v>
      </c>
      <c r="B4535" t="s">
        <v>22575</v>
      </c>
      <c r="C4535" t="s">
        <v>2269</v>
      </c>
      <c r="D4535" t="s">
        <v>2271</v>
      </c>
      <c r="E4535" s="527" t="s">
        <v>22576</v>
      </c>
      <c r="F4535" s="219"/>
    </row>
    <row r="4536" spans="1:6" ht="14.4">
      <c r="A4536">
        <v>7246</v>
      </c>
      <c r="B4536" t="s">
        <v>22577</v>
      </c>
      <c r="C4536" t="s">
        <v>2269</v>
      </c>
      <c r="D4536" t="s">
        <v>1857</v>
      </c>
      <c r="E4536" s="527" t="s">
        <v>22578</v>
      </c>
      <c r="F4536" s="220"/>
    </row>
    <row r="4537" spans="1:6" ht="14.4">
      <c r="A4537">
        <v>12869</v>
      </c>
      <c r="B4537" t="s">
        <v>22579</v>
      </c>
      <c r="C4537" t="s">
        <v>2267</v>
      </c>
      <c r="D4537" t="s">
        <v>1857</v>
      </c>
      <c r="E4537" s="527" t="s">
        <v>7632</v>
      </c>
      <c r="F4537" s="219"/>
    </row>
    <row r="4538" spans="1:6" ht="14.4">
      <c r="A4538">
        <v>41097</v>
      </c>
      <c r="B4538" t="s">
        <v>22580</v>
      </c>
      <c r="C4538" t="s">
        <v>2276</v>
      </c>
      <c r="D4538" t="s">
        <v>1857</v>
      </c>
      <c r="E4538" s="527" t="s">
        <v>22581</v>
      </c>
      <c r="F4538" s="220"/>
    </row>
    <row r="4539" spans="1:6" ht="14.4">
      <c r="A4539">
        <v>1574</v>
      </c>
      <c r="B4539" t="s">
        <v>22582</v>
      </c>
      <c r="C4539" t="s">
        <v>2269</v>
      </c>
      <c r="D4539" t="s">
        <v>1857</v>
      </c>
      <c r="E4539" s="527" t="s">
        <v>3547</v>
      </c>
      <c r="F4539" s="219"/>
    </row>
    <row r="4540" spans="1:6" ht="14.4">
      <c r="A4540">
        <v>1581</v>
      </c>
      <c r="B4540" t="s">
        <v>22583</v>
      </c>
      <c r="C4540" t="s">
        <v>2269</v>
      </c>
      <c r="D4540" t="s">
        <v>1857</v>
      </c>
      <c r="E4540" s="527" t="s">
        <v>7344</v>
      </c>
      <c r="F4540" s="220"/>
    </row>
    <row r="4541" spans="1:6" ht="14.4">
      <c r="A4541">
        <v>1575</v>
      </c>
      <c r="B4541" t="s">
        <v>22584</v>
      </c>
      <c r="C4541" t="s">
        <v>2269</v>
      </c>
      <c r="D4541" t="s">
        <v>1857</v>
      </c>
      <c r="E4541" s="527" t="s">
        <v>7241</v>
      </c>
      <c r="F4541" s="219"/>
    </row>
    <row r="4542" spans="1:6" ht="14.4">
      <c r="A4542">
        <v>1570</v>
      </c>
      <c r="B4542" t="s">
        <v>22585</v>
      </c>
      <c r="C4542" t="s">
        <v>2269</v>
      </c>
      <c r="D4542" t="s">
        <v>1857</v>
      </c>
      <c r="E4542" s="527" t="s">
        <v>7275</v>
      </c>
      <c r="F4542" s="220"/>
    </row>
    <row r="4543" spans="1:6" ht="14.4">
      <c r="A4543">
        <v>1576</v>
      </c>
      <c r="B4543" t="s">
        <v>22586</v>
      </c>
      <c r="C4543" t="s">
        <v>2269</v>
      </c>
      <c r="D4543" t="s">
        <v>1857</v>
      </c>
      <c r="E4543" s="527" t="s">
        <v>3828</v>
      </c>
      <c r="F4543" s="219"/>
    </row>
    <row r="4544" spans="1:6" ht="14.4">
      <c r="A4544">
        <v>1577</v>
      </c>
      <c r="B4544" t="s">
        <v>22587</v>
      </c>
      <c r="C4544" t="s">
        <v>2269</v>
      </c>
      <c r="D4544" t="s">
        <v>1857</v>
      </c>
      <c r="E4544" s="527" t="s">
        <v>3534</v>
      </c>
      <c r="F4544" s="220"/>
    </row>
    <row r="4545" spans="1:6" ht="14.4">
      <c r="A4545">
        <v>1571</v>
      </c>
      <c r="B4545" t="s">
        <v>22588</v>
      </c>
      <c r="C4545" t="s">
        <v>2269</v>
      </c>
      <c r="D4545" t="s">
        <v>1857</v>
      </c>
      <c r="E4545" s="527" t="s">
        <v>17576</v>
      </c>
      <c r="F4545" s="219"/>
    </row>
    <row r="4546" spans="1:6" ht="14.4">
      <c r="A4546">
        <v>1578</v>
      </c>
      <c r="B4546" t="s">
        <v>22589</v>
      </c>
      <c r="C4546" t="s">
        <v>2269</v>
      </c>
      <c r="D4546" t="s">
        <v>1857</v>
      </c>
      <c r="E4546" s="527" t="s">
        <v>4570</v>
      </c>
      <c r="F4546" s="220"/>
    </row>
    <row r="4547" spans="1:6" ht="14.4">
      <c r="A4547">
        <v>1573</v>
      </c>
      <c r="B4547" t="s">
        <v>22590</v>
      </c>
      <c r="C4547" t="s">
        <v>2269</v>
      </c>
      <c r="D4547" t="s">
        <v>1857</v>
      </c>
      <c r="E4547" s="527" t="s">
        <v>10406</v>
      </c>
      <c r="F4547" s="219"/>
    </row>
    <row r="4548" spans="1:6" ht="14.4">
      <c r="A4548">
        <v>1579</v>
      </c>
      <c r="B4548" t="s">
        <v>22591</v>
      </c>
      <c r="C4548" t="s">
        <v>2269</v>
      </c>
      <c r="D4548" t="s">
        <v>1857</v>
      </c>
      <c r="E4548" s="527" t="s">
        <v>5151</v>
      </c>
      <c r="F4548" s="220"/>
    </row>
    <row r="4549" spans="1:6" ht="14.4">
      <c r="A4549">
        <v>1580</v>
      </c>
      <c r="B4549" t="s">
        <v>22592</v>
      </c>
      <c r="C4549" t="s">
        <v>2269</v>
      </c>
      <c r="D4549" t="s">
        <v>1857</v>
      </c>
      <c r="E4549" s="527" t="s">
        <v>5180</v>
      </c>
      <c r="F4549" s="219"/>
    </row>
    <row r="4550" spans="1:6" ht="14.4">
      <c r="A4550">
        <v>39321</v>
      </c>
      <c r="B4550" t="s">
        <v>22593</v>
      </c>
      <c r="C4550" t="s">
        <v>2269</v>
      </c>
      <c r="D4550" t="s">
        <v>1857</v>
      </c>
      <c r="E4550" s="527" t="s">
        <v>10487</v>
      </c>
      <c r="F4550" s="220"/>
    </row>
    <row r="4551" spans="1:6" ht="14.4">
      <c r="A4551">
        <v>39319</v>
      </c>
      <c r="B4551" t="s">
        <v>22594</v>
      </c>
      <c r="C4551" t="s">
        <v>2269</v>
      </c>
      <c r="D4551" t="s">
        <v>1857</v>
      </c>
      <c r="E4551" s="527" t="s">
        <v>9907</v>
      </c>
      <c r="F4551" s="219"/>
    </row>
    <row r="4552" spans="1:6" ht="14.4">
      <c r="A4552">
        <v>39320</v>
      </c>
      <c r="B4552" t="s">
        <v>22595</v>
      </c>
      <c r="C4552" t="s">
        <v>2269</v>
      </c>
      <c r="D4552" t="s">
        <v>1857</v>
      </c>
      <c r="E4552" s="527" t="s">
        <v>10386</v>
      </c>
      <c r="F4552" s="220"/>
    </row>
    <row r="4553" spans="1:6" ht="14.4">
      <c r="A4553">
        <v>1591</v>
      </c>
      <c r="B4553" t="s">
        <v>22596</v>
      </c>
      <c r="C4553" t="s">
        <v>2269</v>
      </c>
      <c r="D4553" t="s">
        <v>1857</v>
      </c>
      <c r="E4553" s="527" t="s">
        <v>10292</v>
      </c>
      <c r="F4553" s="219"/>
    </row>
    <row r="4554" spans="1:6" ht="14.4">
      <c r="A4554">
        <v>1547</v>
      </c>
      <c r="B4554" t="s">
        <v>22597</v>
      </c>
      <c r="C4554" t="s">
        <v>2269</v>
      </c>
      <c r="D4554" t="s">
        <v>1857</v>
      </c>
      <c r="E4554" s="527" t="s">
        <v>22598</v>
      </c>
      <c r="F4554" s="220"/>
    </row>
    <row r="4555" spans="1:6" ht="14.4">
      <c r="A4555">
        <v>38196</v>
      </c>
      <c r="B4555" t="s">
        <v>22599</v>
      </c>
      <c r="C4555" t="s">
        <v>2269</v>
      </c>
      <c r="D4555" t="s">
        <v>1857</v>
      </c>
      <c r="E4555" s="527" t="s">
        <v>10673</v>
      </c>
      <c r="F4555" s="219"/>
    </row>
    <row r="4556" spans="1:6" ht="14.4">
      <c r="A4556">
        <v>1543</v>
      </c>
      <c r="B4556" t="s">
        <v>22600</v>
      </c>
      <c r="C4556" t="s">
        <v>2269</v>
      </c>
      <c r="D4556" t="s">
        <v>1857</v>
      </c>
      <c r="E4556" s="527" t="s">
        <v>22601</v>
      </c>
      <c r="F4556" s="220"/>
    </row>
    <row r="4557" spans="1:6" ht="14.4">
      <c r="A4557">
        <v>1585</v>
      </c>
      <c r="B4557" t="s">
        <v>22602</v>
      </c>
      <c r="C4557" t="s">
        <v>2269</v>
      </c>
      <c r="D4557" t="s">
        <v>1857</v>
      </c>
      <c r="E4557" s="527" t="s">
        <v>4570</v>
      </c>
      <c r="F4557" s="219"/>
    </row>
    <row r="4558" spans="1:6" ht="14.4">
      <c r="A4558">
        <v>1593</v>
      </c>
      <c r="B4558" t="s">
        <v>22603</v>
      </c>
      <c r="C4558" t="s">
        <v>2269</v>
      </c>
      <c r="D4558" t="s">
        <v>1857</v>
      </c>
      <c r="E4558" s="527" t="s">
        <v>16578</v>
      </c>
      <c r="F4558" s="220"/>
    </row>
    <row r="4559" spans="1:6" ht="14.4">
      <c r="A4559">
        <v>11838</v>
      </c>
      <c r="B4559" t="s">
        <v>22604</v>
      </c>
      <c r="C4559" t="s">
        <v>2269</v>
      </c>
      <c r="D4559" t="s">
        <v>1857</v>
      </c>
      <c r="E4559" s="527" t="s">
        <v>22605</v>
      </c>
      <c r="F4559" s="219"/>
    </row>
    <row r="4560" spans="1:6" ht="14.4">
      <c r="A4560">
        <v>1594</v>
      </c>
      <c r="B4560" t="s">
        <v>22606</v>
      </c>
      <c r="C4560" t="s">
        <v>2269</v>
      </c>
      <c r="D4560" t="s">
        <v>1857</v>
      </c>
      <c r="E4560" s="527" t="s">
        <v>10222</v>
      </c>
      <c r="F4560" s="220"/>
    </row>
    <row r="4561" spans="1:6" ht="14.4">
      <c r="A4561">
        <v>1586</v>
      </c>
      <c r="B4561" t="s">
        <v>22607</v>
      </c>
      <c r="C4561" t="s">
        <v>2269</v>
      </c>
      <c r="D4561" t="s">
        <v>1857</v>
      </c>
      <c r="E4561" s="527" t="s">
        <v>6364</v>
      </c>
      <c r="F4561" s="219"/>
    </row>
    <row r="4562" spans="1:6" ht="14.4">
      <c r="A4562">
        <v>11839</v>
      </c>
      <c r="B4562" t="s">
        <v>22608</v>
      </c>
      <c r="C4562" t="s">
        <v>2269</v>
      </c>
      <c r="D4562" t="s">
        <v>1857</v>
      </c>
      <c r="E4562" s="527" t="s">
        <v>16263</v>
      </c>
      <c r="F4562" s="220"/>
    </row>
    <row r="4563" spans="1:6" ht="14.4">
      <c r="A4563">
        <v>1587</v>
      </c>
      <c r="B4563" t="s">
        <v>22609</v>
      </c>
      <c r="C4563" t="s">
        <v>2269</v>
      </c>
      <c r="D4563" t="s">
        <v>1857</v>
      </c>
      <c r="E4563" s="527" t="s">
        <v>5594</v>
      </c>
      <c r="F4563" s="219"/>
    </row>
    <row r="4564" spans="1:6" ht="14.4">
      <c r="A4564">
        <v>1545</v>
      </c>
      <c r="B4564" t="s">
        <v>22610</v>
      </c>
      <c r="C4564" t="s">
        <v>2269</v>
      </c>
      <c r="D4564" t="s">
        <v>1857</v>
      </c>
      <c r="E4564" s="527" t="s">
        <v>16259</v>
      </c>
      <c r="F4564" s="220"/>
    </row>
    <row r="4565" spans="1:6" ht="14.4">
      <c r="A4565">
        <v>1588</v>
      </c>
      <c r="B4565" t="s">
        <v>22611</v>
      </c>
      <c r="C4565" t="s">
        <v>2269</v>
      </c>
      <c r="D4565" t="s">
        <v>1857</v>
      </c>
      <c r="E4565" s="527" t="s">
        <v>7320</v>
      </c>
      <c r="F4565" s="219"/>
    </row>
    <row r="4566" spans="1:6" ht="14.4">
      <c r="A4566">
        <v>1535</v>
      </c>
      <c r="B4566" t="s">
        <v>22612</v>
      </c>
      <c r="C4566" t="s">
        <v>2269</v>
      </c>
      <c r="D4566" t="s">
        <v>1857</v>
      </c>
      <c r="E4566" s="527" t="s">
        <v>22613</v>
      </c>
      <c r="F4566" s="220"/>
    </row>
    <row r="4567" spans="1:6" ht="14.4">
      <c r="A4567">
        <v>1589</v>
      </c>
      <c r="B4567" t="s">
        <v>22614</v>
      </c>
      <c r="C4567" t="s">
        <v>2269</v>
      </c>
      <c r="D4567" t="s">
        <v>1857</v>
      </c>
      <c r="E4567" s="527" t="s">
        <v>16171</v>
      </c>
      <c r="F4567" s="219"/>
    </row>
    <row r="4568" spans="1:6" ht="14.4">
      <c r="A4568">
        <v>1546</v>
      </c>
      <c r="B4568" t="s">
        <v>22615</v>
      </c>
      <c r="C4568" t="s">
        <v>2269</v>
      </c>
      <c r="D4568" t="s">
        <v>1857</v>
      </c>
      <c r="E4568" s="527" t="s">
        <v>10702</v>
      </c>
      <c r="F4568" s="220"/>
    </row>
    <row r="4569" spans="1:6" ht="14.4">
      <c r="A4569">
        <v>1590</v>
      </c>
      <c r="B4569" t="s">
        <v>22616</v>
      </c>
      <c r="C4569" t="s">
        <v>2269</v>
      </c>
      <c r="D4569" t="s">
        <v>1857</v>
      </c>
      <c r="E4569" s="527" t="s">
        <v>10177</v>
      </c>
      <c r="F4569" s="219"/>
    </row>
    <row r="4570" spans="1:6" ht="14.4">
      <c r="A4570">
        <v>1542</v>
      </c>
      <c r="B4570" t="s">
        <v>22617</v>
      </c>
      <c r="C4570" t="s">
        <v>2269</v>
      </c>
      <c r="D4570" t="s">
        <v>1857</v>
      </c>
      <c r="E4570" s="527" t="s">
        <v>9965</v>
      </c>
      <c r="F4570" s="220"/>
    </row>
    <row r="4571" spans="1:6" ht="14.4">
      <c r="A4571">
        <v>38415</v>
      </c>
      <c r="B4571" t="s">
        <v>22618</v>
      </c>
      <c r="C4571" t="s">
        <v>2269</v>
      </c>
      <c r="D4571" t="s">
        <v>1857</v>
      </c>
      <c r="E4571" s="527" t="s">
        <v>22619</v>
      </c>
      <c r="F4571" s="219"/>
    </row>
    <row r="4572" spans="1:6" ht="14.4">
      <c r="A4572">
        <v>38414</v>
      </c>
      <c r="B4572" t="s">
        <v>22620</v>
      </c>
      <c r="C4572" t="s">
        <v>2269</v>
      </c>
      <c r="D4572" t="s">
        <v>1857</v>
      </c>
      <c r="E4572" s="527" t="s">
        <v>22621</v>
      </c>
      <c r="F4572" s="220"/>
    </row>
    <row r="4573" spans="1:6" ht="14.4">
      <c r="A4573">
        <v>38128</v>
      </c>
      <c r="B4573" t="s">
        <v>22622</v>
      </c>
      <c r="C4573" t="s">
        <v>2274</v>
      </c>
      <c r="D4573" t="s">
        <v>2268</v>
      </c>
      <c r="E4573" s="527" t="s">
        <v>6907</v>
      </c>
      <c r="F4573" s="219"/>
    </row>
    <row r="4574" spans="1:6" ht="14.4">
      <c r="A4574">
        <v>7253</v>
      </c>
      <c r="B4574" t="s">
        <v>22623</v>
      </c>
      <c r="C4574" t="s">
        <v>2272</v>
      </c>
      <c r="D4574" t="s">
        <v>1857</v>
      </c>
      <c r="E4574" s="527" t="s">
        <v>22624</v>
      </c>
      <c r="F4574" s="220"/>
    </row>
    <row r="4575" spans="1:6" ht="14.4">
      <c r="A4575">
        <v>4806</v>
      </c>
      <c r="B4575" t="s">
        <v>22625</v>
      </c>
      <c r="C4575" t="s">
        <v>2273</v>
      </c>
      <c r="D4575" t="s">
        <v>1857</v>
      </c>
      <c r="E4575" s="527" t="s">
        <v>7324</v>
      </c>
      <c r="F4575" s="219"/>
    </row>
    <row r="4576" spans="1:6" ht="14.4">
      <c r="A4576">
        <v>34401</v>
      </c>
      <c r="B4576" t="s">
        <v>22626</v>
      </c>
      <c r="C4576" t="s">
        <v>2269</v>
      </c>
      <c r="D4576" t="s">
        <v>1857</v>
      </c>
      <c r="E4576" s="527" t="s">
        <v>6471</v>
      </c>
      <c r="F4576" s="220"/>
    </row>
    <row r="4577" spans="1:6" ht="14.4">
      <c r="A4577">
        <v>7260</v>
      </c>
      <c r="B4577" t="s">
        <v>22627</v>
      </c>
      <c r="C4577" t="s">
        <v>2269</v>
      </c>
      <c r="D4577" t="s">
        <v>1857</v>
      </c>
      <c r="E4577" s="527" t="s">
        <v>7366</v>
      </c>
      <c r="F4577" s="219"/>
    </row>
    <row r="4578" spans="1:6" ht="14.4">
      <c r="A4578">
        <v>7256</v>
      </c>
      <c r="B4578" t="s">
        <v>22628</v>
      </c>
      <c r="C4578" t="s">
        <v>2269</v>
      </c>
      <c r="D4578" t="s">
        <v>1857</v>
      </c>
      <c r="E4578" s="527" t="s">
        <v>9787</v>
      </c>
      <c r="F4578" s="220"/>
    </row>
    <row r="4579" spans="1:6" ht="14.4">
      <c r="A4579">
        <v>7258</v>
      </c>
      <c r="B4579" t="s">
        <v>22629</v>
      </c>
      <c r="C4579" t="s">
        <v>2269</v>
      </c>
      <c r="D4579" t="s">
        <v>1857</v>
      </c>
      <c r="E4579" s="527" t="s">
        <v>3805</v>
      </c>
      <c r="F4579" s="219"/>
    </row>
    <row r="4580" spans="1:6" ht="14.4">
      <c r="A4580">
        <v>34400</v>
      </c>
      <c r="B4580" t="s">
        <v>22630</v>
      </c>
      <c r="C4580" t="s">
        <v>2269</v>
      </c>
      <c r="D4580" t="s">
        <v>1857</v>
      </c>
      <c r="E4580" s="527" t="s">
        <v>3098</v>
      </c>
      <c r="F4580" s="220"/>
    </row>
    <row r="4581" spans="1:6" ht="14.4">
      <c r="A4581">
        <v>10617</v>
      </c>
      <c r="B4581" t="s">
        <v>22631</v>
      </c>
      <c r="C4581" t="s">
        <v>2269</v>
      </c>
      <c r="D4581" t="s">
        <v>1857</v>
      </c>
      <c r="E4581" s="527" t="s">
        <v>7953</v>
      </c>
      <c r="F4581" s="219"/>
    </row>
    <row r="4582" spans="1:6" ht="14.4">
      <c r="A4582">
        <v>7274</v>
      </c>
      <c r="B4582" t="s">
        <v>22632</v>
      </c>
      <c r="C4582" t="s">
        <v>2269</v>
      </c>
      <c r="D4582" t="s">
        <v>2271</v>
      </c>
      <c r="E4582" s="527" t="s">
        <v>10617</v>
      </c>
      <c r="F4582" s="220"/>
    </row>
    <row r="4583" spans="1:6" ht="14.4">
      <c r="A4583">
        <v>11663</v>
      </c>
      <c r="B4583" t="s">
        <v>22633</v>
      </c>
      <c r="C4583" t="s">
        <v>2269</v>
      </c>
      <c r="D4583" t="s">
        <v>2271</v>
      </c>
      <c r="E4583" s="527" t="s">
        <v>15629</v>
      </c>
      <c r="F4583" s="219"/>
    </row>
    <row r="4584" spans="1:6" ht="14.4">
      <c r="A4584">
        <v>154</v>
      </c>
      <c r="B4584" t="s">
        <v>22634</v>
      </c>
      <c r="C4584" t="s">
        <v>2275</v>
      </c>
      <c r="D4584" t="s">
        <v>1857</v>
      </c>
      <c r="E4584" s="527" t="s">
        <v>22635</v>
      </c>
      <c r="F4584" s="220"/>
    </row>
    <row r="4585" spans="1:6" ht="14.4">
      <c r="A4585">
        <v>38121</v>
      </c>
      <c r="B4585" t="s">
        <v>22636</v>
      </c>
      <c r="C4585" t="s">
        <v>2275</v>
      </c>
      <c r="D4585" t="s">
        <v>1857</v>
      </c>
      <c r="E4585" s="527" t="s">
        <v>10047</v>
      </c>
      <c r="F4585" s="219"/>
    </row>
    <row r="4586" spans="1:6" ht="14.4">
      <c r="A4586">
        <v>43776</v>
      </c>
      <c r="B4586" t="s">
        <v>22637</v>
      </c>
      <c r="C4586" t="s">
        <v>2275</v>
      </c>
      <c r="D4586" t="s">
        <v>1857</v>
      </c>
      <c r="E4586" s="527" t="s">
        <v>7395</v>
      </c>
      <c r="F4586" s="220"/>
    </row>
    <row r="4587" spans="1:6" ht="14.4">
      <c r="A4587">
        <v>7343</v>
      </c>
      <c r="B4587" t="s">
        <v>22638</v>
      </c>
      <c r="C4587" t="s">
        <v>2275</v>
      </c>
      <c r="D4587" t="s">
        <v>1857</v>
      </c>
      <c r="E4587" s="527" t="s">
        <v>10416</v>
      </c>
      <c r="F4587" s="219"/>
    </row>
    <row r="4588" spans="1:6" ht="14.4">
      <c r="A4588">
        <v>7350</v>
      </c>
      <c r="B4588" t="s">
        <v>22639</v>
      </c>
      <c r="C4588" t="s">
        <v>2275</v>
      </c>
      <c r="D4588" t="s">
        <v>1857</v>
      </c>
      <c r="E4588" s="527" t="s">
        <v>15824</v>
      </c>
      <c r="F4588" s="220"/>
    </row>
    <row r="4589" spans="1:6" ht="14.4">
      <c r="A4589">
        <v>7348</v>
      </c>
      <c r="B4589" t="s">
        <v>22640</v>
      </c>
      <c r="C4589" t="s">
        <v>2275</v>
      </c>
      <c r="D4589" t="s">
        <v>1857</v>
      </c>
      <c r="E4589" s="527" t="s">
        <v>10166</v>
      </c>
      <c r="F4589" s="219"/>
    </row>
    <row r="4590" spans="1:6" ht="14.4">
      <c r="A4590">
        <v>7356</v>
      </c>
      <c r="B4590" t="s">
        <v>22641</v>
      </c>
      <c r="C4590" t="s">
        <v>2275</v>
      </c>
      <c r="D4590" t="s">
        <v>1857</v>
      </c>
      <c r="E4590" s="527" t="s">
        <v>11180</v>
      </c>
      <c r="F4590" s="220"/>
    </row>
    <row r="4591" spans="1:6" ht="14.4">
      <c r="A4591">
        <v>7313</v>
      </c>
      <c r="B4591" t="s">
        <v>22642</v>
      </c>
      <c r="C4591" t="s">
        <v>2275</v>
      </c>
      <c r="D4591" t="s">
        <v>1857</v>
      </c>
      <c r="E4591" s="527" t="s">
        <v>4501</v>
      </c>
      <c r="F4591" s="219"/>
    </row>
    <row r="4592" spans="1:6" ht="14.4">
      <c r="A4592">
        <v>7319</v>
      </c>
      <c r="B4592" t="s">
        <v>22643</v>
      </c>
      <c r="C4592" t="s">
        <v>2275</v>
      </c>
      <c r="D4592" t="s">
        <v>1857</v>
      </c>
      <c r="E4592" s="527" t="s">
        <v>9519</v>
      </c>
      <c r="F4592" s="220"/>
    </row>
    <row r="4593" spans="1:6" ht="14.4">
      <c r="A4593">
        <v>7314</v>
      </c>
      <c r="B4593" t="s">
        <v>22644</v>
      </c>
      <c r="C4593" t="s">
        <v>2275</v>
      </c>
      <c r="D4593" t="s">
        <v>1857</v>
      </c>
      <c r="E4593" s="527" t="s">
        <v>10769</v>
      </c>
      <c r="F4593" s="219"/>
    </row>
    <row r="4594" spans="1:6" ht="14.4">
      <c r="A4594">
        <v>7304</v>
      </c>
      <c r="B4594" t="s">
        <v>22645</v>
      </c>
      <c r="C4594" t="s">
        <v>2275</v>
      </c>
      <c r="D4594" t="s">
        <v>1857</v>
      </c>
      <c r="E4594" s="527" t="s">
        <v>22646</v>
      </c>
      <c r="F4594" s="220"/>
    </row>
    <row r="4595" spans="1:6" ht="14.4">
      <c r="A4595">
        <v>43649</v>
      </c>
      <c r="B4595" t="s">
        <v>22647</v>
      </c>
      <c r="C4595" t="s">
        <v>2275</v>
      </c>
      <c r="D4595" t="s">
        <v>1857</v>
      </c>
      <c r="E4595" s="527" t="s">
        <v>10253</v>
      </c>
      <c r="F4595" s="219"/>
    </row>
    <row r="4596" spans="1:6" ht="14.4">
      <c r="A4596">
        <v>43650</v>
      </c>
      <c r="B4596" t="s">
        <v>22648</v>
      </c>
      <c r="C4596" t="s">
        <v>2275</v>
      </c>
      <c r="D4596" t="s">
        <v>1857</v>
      </c>
      <c r="E4596" s="527" t="s">
        <v>15700</v>
      </c>
      <c r="F4596" s="220"/>
    </row>
    <row r="4597" spans="1:6" ht="14.4">
      <c r="A4597">
        <v>7311</v>
      </c>
      <c r="B4597" t="s">
        <v>22649</v>
      </c>
      <c r="C4597" t="s">
        <v>2275</v>
      </c>
      <c r="D4597" t="s">
        <v>1857</v>
      </c>
      <c r="E4597" s="527" t="s">
        <v>22650</v>
      </c>
      <c r="F4597" s="219"/>
    </row>
    <row r="4598" spans="1:6" ht="14.4">
      <c r="A4598">
        <v>7292</v>
      </c>
      <c r="B4598" t="s">
        <v>22651</v>
      </c>
      <c r="C4598" t="s">
        <v>2275</v>
      </c>
      <c r="D4598" t="s">
        <v>2268</v>
      </c>
      <c r="E4598" s="527" t="s">
        <v>22652</v>
      </c>
      <c r="F4598" s="220"/>
    </row>
    <row r="4599" spans="1:6" ht="14.4">
      <c r="A4599">
        <v>7293</v>
      </c>
      <c r="B4599" t="s">
        <v>22653</v>
      </c>
      <c r="C4599" t="s">
        <v>2275</v>
      </c>
      <c r="D4599" t="s">
        <v>1857</v>
      </c>
      <c r="E4599" s="527" t="s">
        <v>11458</v>
      </c>
      <c r="F4599" s="219"/>
    </row>
    <row r="4600" spans="1:6" ht="14.4">
      <c r="A4600">
        <v>7306</v>
      </c>
      <c r="B4600" t="s">
        <v>22654</v>
      </c>
      <c r="C4600" t="s">
        <v>2275</v>
      </c>
      <c r="D4600" t="s">
        <v>1857</v>
      </c>
      <c r="E4600" s="527" t="s">
        <v>22655</v>
      </c>
      <c r="F4600" s="220"/>
    </row>
    <row r="4601" spans="1:6" ht="14.4">
      <c r="A4601">
        <v>7288</v>
      </c>
      <c r="B4601" t="s">
        <v>22656</v>
      </c>
      <c r="C4601" t="s">
        <v>2275</v>
      </c>
      <c r="D4601" t="s">
        <v>1857</v>
      </c>
      <c r="E4601" s="527" t="s">
        <v>22657</v>
      </c>
      <c r="F4601" s="219"/>
    </row>
    <row r="4602" spans="1:6" ht="14.4">
      <c r="A4602">
        <v>43625</v>
      </c>
      <c r="B4602" t="s">
        <v>22658</v>
      </c>
      <c r="C4602" t="s">
        <v>2275</v>
      </c>
      <c r="D4602" t="s">
        <v>1857</v>
      </c>
      <c r="E4602" s="527" t="s">
        <v>9992</v>
      </c>
      <c r="F4602" s="220"/>
    </row>
    <row r="4603" spans="1:6" ht="14.4">
      <c r="A4603">
        <v>43647</v>
      </c>
      <c r="B4603" t="s">
        <v>22659</v>
      </c>
      <c r="C4603" t="s">
        <v>2275</v>
      </c>
      <c r="D4603" t="s">
        <v>1857</v>
      </c>
      <c r="E4603" s="527" t="s">
        <v>16565</v>
      </c>
      <c r="F4603" s="219"/>
    </row>
    <row r="4604" spans="1:6" ht="14.4">
      <c r="A4604">
        <v>43648</v>
      </c>
      <c r="B4604" t="s">
        <v>22660</v>
      </c>
      <c r="C4604" t="s">
        <v>2275</v>
      </c>
      <c r="D4604" t="s">
        <v>1857</v>
      </c>
      <c r="E4604" s="527" t="s">
        <v>10170</v>
      </c>
      <c r="F4604" s="220"/>
    </row>
    <row r="4605" spans="1:6" ht="14.4">
      <c r="A4605">
        <v>35693</v>
      </c>
      <c r="B4605" t="s">
        <v>22661</v>
      </c>
      <c r="C4605" t="s">
        <v>2275</v>
      </c>
      <c r="D4605" t="s">
        <v>1857</v>
      </c>
      <c r="E4605" s="527" t="s">
        <v>10781</v>
      </c>
      <c r="F4605" s="219"/>
    </row>
    <row r="4606" spans="1:6" ht="14.4">
      <c r="A4606">
        <v>35692</v>
      </c>
      <c r="B4606" t="s">
        <v>22662</v>
      </c>
      <c r="C4606" t="s">
        <v>2275</v>
      </c>
      <c r="D4606" t="s">
        <v>1857</v>
      </c>
      <c r="E4606" s="527" t="s">
        <v>7632</v>
      </c>
      <c r="F4606" s="220"/>
    </row>
    <row r="4607" spans="1:6" ht="14.4">
      <c r="A4607">
        <v>7342</v>
      </c>
      <c r="B4607" t="s">
        <v>22663</v>
      </c>
      <c r="C4607" t="s">
        <v>2274</v>
      </c>
      <c r="D4607" t="s">
        <v>1857</v>
      </c>
      <c r="E4607" s="527" t="s">
        <v>7012</v>
      </c>
      <c r="F4607" s="219"/>
    </row>
    <row r="4608" spans="1:6" ht="14.4">
      <c r="A4608">
        <v>39574</v>
      </c>
      <c r="B4608" t="s">
        <v>22664</v>
      </c>
      <c r="C4608" t="s">
        <v>2269</v>
      </c>
      <c r="D4608" t="s">
        <v>1857</v>
      </c>
      <c r="E4608" s="527" t="s">
        <v>6349</v>
      </c>
      <c r="F4608" s="220"/>
    </row>
    <row r="4609" spans="1:6" ht="14.4">
      <c r="A4609">
        <v>11060</v>
      </c>
      <c r="B4609" t="s">
        <v>22665</v>
      </c>
      <c r="C4609" t="s">
        <v>2269</v>
      </c>
      <c r="D4609" t="s">
        <v>1857</v>
      </c>
      <c r="E4609" s="527" t="s">
        <v>22666</v>
      </c>
      <c r="F4609" s="219"/>
    </row>
    <row r="4610" spans="1:6" ht="14.4">
      <c r="A4610">
        <v>37401</v>
      </c>
      <c r="B4610" t="s">
        <v>22667</v>
      </c>
      <c r="C4610" t="s">
        <v>2269</v>
      </c>
      <c r="D4610" t="s">
        <v>1857</v>
      </c>
      <c r="E4610" s="527" t="s">
        <v>21061</v>
      </c>
      <c r="F4610" s="220"/>
    </row>
    <row r="4611" spans="1:6" ht="14.4">
      <c r="A4611">
        <v>7525</v>
      </c>
      <c r="B4611" t="s">
        <v>22668</v>
      </c>
      <c r="C4611" t="s">
        <v>2269</v>
      </c>
      <c r="D4611" t="s">
        <v>1857</v>
      </c>
      <c r="E4611" s="527" t="s">
        <v>22669</v>
      </c>
      <c r="F4611" s="219"/>
    </row>
    <row r="4612" spans="1:6" ht="14.4">
      <c r="A4612">
        <v>7524</v>
      </c>
      <c r="B4612" t="s">
        <v>22670</v>
      </c>
      <c r="C4612" t="s">
        <v>2269</v>
      </c>
      <c r="D4612" t="s">
        <v>1857</v>
      </c>
      <c r="E4612" s="527" t="s">
        <v>10507</v>
      </c>
      <c r="F4612" s="220"/>
    </row>
    <row r="4613" spans="1:6" ht="14.4">
      <c r="A4613">
        <v>38105</v>
      </c>
      <c r="B4613" t="s">
        <v>22671</v>
      </c>
      <c r="C4613" t="s">
        <v>2269</v>
      </c>
      <c r="D4613" t="s">
        <v>1857</v>
      </c>
      <c r="E4613" s="527" t="s">
        <v>6408</v>
      </c>
      <c r="F4613" s="219"/>
    </row>
    <row r="4614" spans="1:6" ht="14.4">
      <c r="A4614">
        <v>38084</v>
      </c>
      <c r="B4614" t="s">
        <v>22672</v>
      </c>
      <c r="C4614" t="s">
        <v>2269</v>
      </c>
      <c r="D4614" t="s">
        <v>1857</v>
      </c>
      <c r="E4614" s="527" t="s">
        <v>5591</v>
      </c>
      <c r="F4614" s="220"/>
    </row>
    <row r="4615" spans="1:6" ht="14.4">
      <c r="A4615">
        <v>38103</v>
      </c>
      <c r="B4615" t="s">
        <v>22673</v>
      </c>
      <c r="C4615" t="s">
        <v>2269</v>
      </c>
      <c r="D4615" t="s">
        <v>1857</v>
      </c>
      <c r="E4615" s="527" t="s">
        <v>7269</v>
      </c>
      <c r="F4615" s="219"/>
    </row>
    <row r="4616" spans="1:6" ht="14.4">
      <c r="A4616">
        <v>38082</v>
      </c>
      <c r="B4616" t="s">
        <v>22674</v>
      </c>
      <c r="C4616" t="s">
        <v>2269</v>
      </c>
      <c r="D4616" t="s">
        <v>1857</v>
      </c>
      <c r="E4616" s="527" t="s">
        <v>15845</v>
      </c>
      <c r="F4616" s="220"/>
    </row>
    <row r="4617" spans="1:6" ht="14.4">
      <c r="A4617">
        <v>38104</v>
      </c>
      <c r="B4617" t="s">
        <v>22675</v>
      </c>
      <c r="C4617" t="s">
        <v>2269</v>
      </c>
      <c r="D4617" t="s">
        <v>1857</v>
      </c>
      <c r="E4617" s="527" t="s">
        <v>10144</v>
      </c>
      <c r="F4617" s="219"/>
    </row>
    <row r="4618" spans="1:6" ht="14.4">
      <c r="A4618">
        <v>38083</v>
      </c>
      <c r="B4618" t="s">
        <v>22676</v>
      </c>
      <c r="C4618" t="s">
        <v>2269</v>
      </c>
      <c r="D4618" t="s">
        <v>1857</v>
      </c>
      <c r="E4618" s="527" t="s">
        <v>12701</v>
      </c>
      <c r="F4618" s="220"/>
    </row>
    <row r="4619" spans="1:6" ht="14.4">
      <c r="A4619">
        <v>38101</v>
      </c>
      <c r="B4619" t="s">
        <v>22677</v>
      </c>
      <c r="C4619" t="s">
        <v>2269</v>
      </c>
      <c r="D4619" t="s">
        <v>1857</v>
      </c>
      <c r="E4619" s="527" t="s">
        <v>7515</v>
      </c>
      <c r="F4619" s="219"/>
    </row>
    <row r="4620" spans="1:6" ht="14.4">
      <c r="A4620">
        <v>7528</v>
      </c>
      <c r="B4620" t="s">
        <v>22678</v>
      </c>
      <c r="C4620" t="s">
        <v>2269</v>
      </c>
      <c r="D4620" t="s">
        <v>2268</v>
      </c>
      <c r="E4620" s="527" t="s">
        <v>4707</v>
      </c>
      <c r="F4620" s="220"/>
    </row>
    <row r="4621" spans="1:6" ht="14.4">
      <c r="A4621">
        <v>12147</v>
      </c>
      <c r="B4621" t="s">
        <v>22679</v>
      </c>
      <c r="C4621" t="s">
        <v>2269</v>
      </c>
      <c r="D4621" t="s">
        <v>1857</v>
      </c>
      <c r="E4621" s="527" t="s">
        <v>16149</v>
      </c>
      <c r="F4621" s="219"/>
    </row>
    <row r="4622" spans="1:6" ht="14.4">
      <c r="A4622">
        <v>38075</v>
      </c>
      <c r="B4622" t="s">
        <v>22680</v>
      </c>
      <c r="C4622" t="s">
        <v>2269</v>
      </c>
      <c r="D4622" t="s">
        <v>1857</v>
      </c>
      <c r="E4622" s="527" t="s">
        <v>10028</v>
      </c>
      <c r="F4622" s="220"/>
    </row>
    <row r="4623" spans="1:6" ht="14.4">
      <c r="A4623">
        <v>38102</v>
      </c>
      <c r="B4623" t="s">
        <v>22681</v>
      </c>
      <c r="C4623" t="s">
        <v>2269</v>
      </c>
      <c r="D4623" t="s">
        <v>1857</v>
      </c>
      <c r="E4623" s="527" t="s">
        <v>16163</v>
      </c>
      <c r="F4623" s="219"/>
    </row>
    <row r="4624" spans="1:6" ht="14.4">
      <c r="A4624">
        <v>38076</v>
      </c>
      <c r="B4624" t="s">
        <v>22682</v>
      </c>
      <c r="C4624" t="s">
        <v>2269</v>
      </c>
      <c r="D4624" t="s">
        <v>1857</v>
      </c>
      <c r="E4624" s="527" t="s">
        <v>10277</v>
      </c>
      <c r="F4624" s="220"/>
    </row>
    <row r="4625" spans="1:6" ht="14.4">
      <c r="A4625">
        <v>7592</v>
      </c>
      <c r="B4625" t="s">
        <v>22683</v>
      </c>
      <c r="C4625" t="s">
        <v>2267</v>
      </c>
      <c r="D4625" t="s">
        <v>2268</v>
      </c>
      <c r="E4625" s="527" t="s">
        <v>21618</v>
      </c>
      <c r="F4625" s="219"/>
    </row>
    <row r="4626" spans="1:6" ht="14.4">
      <c r="A4626">
        <v>40820</v>
      </c>
      <c r="B4626" t="s">
        <v>22684</v>
      </c>
      <c r="C4626" t="s">
        <v>2276</v>
      </c>
      <c r="D4626" t="s">
        <v>1857</v>
      </c>
      <c r="E4626" s="527" t="s">
        <v>22685</v>
      </c>
      <c r="F4626" s="220"/>
    </row>
    <row r="4627" spans="1:6" ht="14.4">
      <c r="A4627">
        <v>11762</v>
      </c>
      <c r="B4627" t="s">
        <v>22686</v>
      </c>
      <c r="C4627" t="s">
        <v>2269</v>
      </c>
      <c r="D4627" t="s">
        <v>1857</v>
      </c>
      <c r="E4627" s="527" t="s">
        <v>16192</v>
      </c>
      <c r="F4627" s="219"/>
    </row>
    <row r="4628" spans="1:6" ht="14.4">
      <c r="A4628">
        <v>13984</v>
      </c>
      <c r="B4628" t="s">
        <v>22687</v>
      </c>
      <c r="C4628" t="s">
        <v>2269</v>
      </c>
      <c r="D4628" t="s">
        <v>1857</v>
      </c>
      <c r="E4628" s="527" t="s">
        <v>15528</v>
      </c>
      <c r="F4628" s="220"/>
    </row>
    <row r="4629" spans="1:6" ht="14.4">
      <c r="A4629">
        <v>11772</v>
      </c>
      <c r="B4629" t="s">
        <v>22688</v>
      </c>
      <c r="C4629" t="s">
        <v>2269</v>
      </c>
      <c r="D4629" t="s">
        <v>1857</v>
      </c>
      <c r="E4629" s="527" t="s">
        <v>22689</v>
      </c>
      <c r="F4629" s="219"/>
    </row>
    <row r="4630" spans="1:6" ht="14.4">
      <c r="A4630">
        <v>36795</v>
      </c>
      <c r="B4630" t="s">
        <v>22690</v>
      </c>
      <c r="C4630" t="s">
        <v>2269</v>
      </c>
      <c r="D4630" t="s">
        <v>1857</v>
      </c>
      <c r="E4630" s="527" t="s">
        <v>22691</v>
      </c>
      <c r="F4630" s="220"/>
    </row>
    <row r="4631" spans="1:6" ht="14.4">
      <c r="A4631">
        <v>36796</v>
      </c>
      <c r="B4631" t="s">
        <v>22692</v>
      </c>
      <c r="C4631" t="s">
        <v>2269</v>
      </c>
      <c r="D4631" t="s">
        <v>1857</v>
      </c>
      <c r="E4631" s="527" t="s">
        <v>14071</v>
      </c>
      <c r="F4631" s="219"/>
    </row>
    <row r="4632" spans="1:6" ht="14.4">
      <c r="A4632">
        <v>36791</v>
      </c>
      <c r="B4632" t="s">
        <v>22693</v>
      </c>
      <c r="C4632" t="s">
        <v>2269</v>
      </c>
      <c r="D4632" t="s">
        <v>1857</v>
      </c>
      <c r="E4632" s="527" t="s">
        <v>12209</v>
      </c>
      <c r="F4632" s="220"/>
    </row>
    <row r="4633" spans="1:6" ht="14.4">
      <c r="A4633">
        <v>13415</v>
      </c>
      <c r="B4633" t="s">
        <v>22694</v>
      </c>
      <c r="C4633" t="s">
        <v>2269</v>
      </c>
      <c r="D4633" t="s">
        <v>2268</v>
      </c>
      <c r="E4633" s="527" t="s">
        <v>10236</v>
      </c>
      <c r="F4633" s="219"/>
    </row>
    <row r="4634" spans="1:6" ht="14.4">
      <c r="A4634">
        <v>36792</v>
      </c>
      <c r="B4634" t="s">
        <v>22695</v>
      </c>
      <c r="C4634" t="s">
        <v>2269</v>
      </c>
      <c r="D4634" t="s">
        <v>1857</v>
      </c>
      <c r="E4634" s="527" t="s">
        <v>22696</v>
      </c>
      <c r="F4634" s="220"/>
    </row>
    <row r="4635" spans="1:6" ht="14.4">
      <c r="A4635">
        <v>11773</v>
      </c>
      <c r="B4635" t="s">
        <v>22697</v>
      </c>
      <c r="C4635" t="s">
        <v>2269</v>
      </c>
      <c r="D4635" t="s">
        <v>1857</v>
      </c>
      <c r="E4635" s="527" t="s">
        <v>22698</v>
      </c>
      <c r="F4635" s="219"/>
    </row>
    <row r="4636" spans="1:6" ht="14.4">
      <c r="A4636">
        <v>13983</v>
      </c>
      <c r="B4636" t="s">
        <v>22699</v>
      </c>
      <c r="C4636" t="s">
        <v>2269</v>
      </c>
      <c r="D4636" t="s">
        <v>1857</v>
      </c>
      <c r="E4636" s="527" t="s">
        <v>22700</v>
      </c>
      <c r="F4636" s="220"/>
    </row>
    <row r="4637" spans="1:6" ht="14.4">
      <c r="A4637">
        <v>13416</v>
      </c>
      <c r="B4637" t="s">
        <v>22701</v>
      </c>
      <c r="C4637" t="s">
        <v>2269</v>
      </c>
      <c r="D4637" t="s">
        <v>1857</v>
      </c>
      <c r="E4637" s="527" t="s">
        <v>11456</v>
      </c>
      <c r="F4637" s="219"/>
    </row>
    <row r="4638" spans="1:6" ht="14.4">
      <c r="A4638">
        <v>13417</v>
      </c>
      <c r="B4638" t="s">
        <v>22702</v>
      </c>
      <c r="C4638" t="s">
        <v>2269</v>
      </c>
      <c r="D4638" t="s">
        <v>1857</v>
      </c>
      <c r="E4638" s="527" t="s">
        <v>22703</v>
      </c>
      <c r="F4638" s="220"/>
    </row>
    <row r="4639" spans="1:6" ht="14.4">
      <c r="A4639">
        <v>7604</v>
      </c>
      <c r="B4639" t="s">
        <v>22704</v>
      </c>
      <c r="C4639" t="s">
        <v>2269</v>
      </c>
      <c r="D4639" t="s">
        <v>1857</v>
      </c>
      <c r="E4639" s="527" t="s">
        <v>9485</v>
      </c>
      <c r="F4639" s="219"/>
    </row>
    <row r="4640" spans="1:6" ht="14.4">
      <c r="A4640">
        <v>11826</v>
      </c>
      <c r="B4640" t="s">
        <v>22705</v>
      </c>
      <c r="C4640" t="s">
        <v>2269</v>
      </c>
      <c r="D4640" t="s">
        <v>1857</v>
      </c>
      <c r="E4640" s="527" t="s">
        <v>22706</v>
      </c>
      <c r="F4640" s="220"/>
    </row>
    <row r="4641" spans="1:6" ht="14.4">
      <c r="A4641">
        <v>7606</v>
      </c>
      <c r="B4641" t="s">
        <v>22707</v>
      </c>
      <c r="C4641" t="s">
        <v>2269</v>
      </c>
      <c r="D4641" t="s">
        <v>1857</v>
      </c>
      <c r="E4641" s="527" t="s">
        <v>15840</v>
      </c>
      <c r="F4641" s="219"/>
    </row>
    <row r="4642" spans="1:6" ht="14.4">
      <c r="A4642">
        <v>11763</v>
      </c>
      <c r="B4642" t="s">
        <v>22708</v>
      </c>
      <c r="C4642" t="s">
        <v>2269</v>
      </c>
      <c r="D4642" t="s">
        <v>1857</v>
      </c>
      <c r="E4642" s="527" t="s">
        <v>22709</v>
      </c>
      <c r="F4642" s="220"/>
    </row>
    <row r="4643" spans="1:6" ht="14.4">
      <c r="A4643">
        <v>11764</v>
      </c>
      <c r="B4643" t="s">
        <v>22710</v>
      </c>
      <c r="C4643" t="s">
        <v>2269</v>
      </c>
      <c r="D4643" t="s">
        <v>1857</v>
      </c>
      <c r="E4643" s="527" t="s">
        <v>22711</v>
      </c>
      <c r="F4643" s="219"/>
    </row>
    <row r="4644" spans="1:6" ht="14.4">
      <c r="A4644">
        <v>11829</v>
      </c>
      <c r="B4644" t="s">
        <v>22712</v>
      </c>
      <c r="C4644" t="s">
        <v>2269</v>
      </c>
      <c r="D4644" t="s">
        <v>1857</v>
      </c>
      <c r="E4644" s="527" t="s">
        <v>10072</v>
      </c>
      <c r="F4644" s="220"/>
    </row>
    <row r="4645" spans="1:6" ht="14.4">
      <c r="A4645">
        <v>11830</v>
      </c>
      <c r="B4645" t="s">
        <v>22713</v>
      </c>
      <c r="C4645" t="s">
        <v>2269</v>
      </c>
      <c r="D4645" t="s">
        <v>1857</v>
      </c>
      <c r="E4645" s="527" t="s">
        <v>7895</v>
      </c>
      <c r="F4645" s="219"/>
    </row>
    <row r="4646" spans="1:6" ht="14.4">
      <c r="A4646">
        <v>11825</v>
      </c>
      <c r="B4646" t="s">
        <v>22714</v>
      </c>
      <c r="C4646" t="s">
        <v>2269</v>
      </c>
      <c r="D4646" t="s">
        <v>1857</v>
      </c>
      <c r="E4646" s="527" t="s">
        <v>16449</v>
      </c>
      <c r="F4646" s="220"/>
    </row>
    <row r="4647" spans="1:6" ht="14.4">
      <c r="A4647">
        <v>11767</v>
      </c>
      <c r="B4647" t="s">
        <v>22715</v>
      </c>
      <c r="C4647" t="s">
        <v>2269</v>
      </c>
      <c r="D4647" t="s">
        <v>1857</v>
      </c>
      <c r="E4647" s="527" t="s">
        <v>22716</v>
      </c>
      <c r="F4647" s="219"/>
    </row>
    <row r="4648" spans="1:6" ht="14.4">
      <c r="A4648">
        <v>11766</v>
      </c>
      <c r="B4648" t="s">
        <v>22717</v>
      </c>
      <c r="C4648" t="s">
        <v>2269</v>
      </c>
      <c r="D4648" t="s">
        <v>1857</v>
      </c>
      <c r="E4648" s="527" t="s">
        <v>22718</v>
      </c>
      <c r="F4648" s="220"/>
    </row>
    <row r="4649" spans="1:6" ht="14.4">
      <c r="A4649">
        <v>11765</v>
      </c>
      <c r="B4649" t="s">
        <v>22719</v>
      </c>
      <c r="C4649" t="s">
        <v>2269</v>
      </c>
      <c r="D4649" t="s">
        <v>1857</v>
      </c>
      <c r="E4649" s="527" t="s">
        <v>22720</v>
      </c>
      <c r="F4649" s="219"/>
    </row>
    <row r="4650" spans="1:6" ht="14.4">
      <c r="A4650">
        <v>11824</v>
      </c>
      <c r="B4650" t="s">
        <v>22721</v>
      </c>
      <c r="C4650" t="s">
        <v>2269</v>
      </c>
      <c r="D4650" t="s">
        <v>1857</v>
      </c>
      <c r="E4650" s="527" t="s">
        <v>18518</v>
      </c>
      <c r="F4650" s="220"/>
    </row>
    <row r="4651" spans="1:6" ht="14.4">
      <c r="A4651">
        <v>11777</v>
      </c>
      <c r="B4651" t="s">
        <v>22722</v>
      </c>
      <c r="C4651" t="s">
        <v>2269</v>
      </c>
      <c r="D4651" t="s">
        <v>1857</v>
      </c>
      <c r="E4651" s="527" t="s">
        <v>22723</v>
      </c>
      <c r="F4651" s="219"/>
    </row>
    <row r="4652" spans="1:6" ht="14.4">
      <c r="A4652">
        <v>7602</v>
      </c>
      <c r="B4652" t="s">
        <v>22724</v>
      </c>
      <c r="C4652" t="s">
        <v>2269</v>
      </c>
      <c r="D4652" t="s">
        <v>1857</v>
      </c>
      <c r="E4652" s="527" t="s">
        <v>10206</v>
      </c>
      <c r="F4652" s="220"/>
    </row>
    <row r="4653" spans="1:6" ht="14.4">
      <c r="A4653">
        <v>7603</v>
      </c>
      <c r="B4653" t="s">
        <v>22725</v>
      </c>
      <c r="C4653" t="s">
        <v>2269</v>
      </c>
      <c r="D4653" t="s">
        <v>1857</v>
      </c>
      <c r="E4653" s="527" t="s">
        <v>10169</v>
      </c>
      <c r="F4653" s="219"/>
    </row>
    <row r="4654" spans="1:6" ht="14.4">
      <c r="A4654">
        <v>40329</v>
      </c>
      <c r="B4654" t="s">
        <v>22726</v>
      </c>
      <c r="C4654" t="s">
        <v>2269</v>
      </c>
      <c r="D4654" t="s">
        <v>2268</v>
      </c>
      <c r="E4654" s="527" t="s">
        <v>22727</v>
      </c>
      <c r="F4654" s="220"/>
    </row>
    <row r="4655" spans="1:6" ht="14.4">
      <c r="A4655">
        <v>11823</v>
      </c>
      <c r="B4655" t="s">
        <v>22728</v>
      </c>
      <c r="C4655" t="s">
        <v>2269</v>
      </c>
      <c r="D4655" t="s">
        <v>1857</v>
      </c>
      <c r="E4655" s="527" t="s">
        <v>10709</v>
      </c>
      <c r="F4655" s="219"/>
    </row>
    <row r="4656" spans="1:6" ht="14.4">
      <c r="A4656">
        <v>11822</v>
      </c>
      <c r="B4656" t="s">
        <v>22729</v>
      </c>
      <c r="C4656" t="s">
        <v>2269</v>
      </c>
      <c r="D4656" t="s">
        <v>1857</v>
      </c>
      <c r="E4656" s="527" t="s">
        <v>10396</v>
      </c>
      <c r="F4656" s="220"/>
    </row>
    <row r="4657" spans="1:6" ht="14.4">
      <c r="A4657">
        <v>11831</v>
      </c>
      <c r="B4657" t="s">
        <v>22730</v>
      </c>
      <c r="C4657" t="s">
        <v>2269</v>
      </c>
      <c r="D4657" t="s">
        <v>1857</v>
      </c>
      <c r="E4657" s="527" t="s">
        <v>10278</v>
      </c>
      <c r="F4657" s="219"/>
    </row>
    <row r="4658" spans="1:6" ht="14.4">
      <c r="A4658">
        <v>7613</v>
      </c>
      <c r="B4658" t="s">
        <v>22731</v>
      </c>
      <c r="C4658" t="s">
        <v>2269</v>
      </c>
      <c r="D4658" t="s">
        <v>2271</v>
      </c>
      <c r="E4658" s="527" t="s">
        <v>22732</v>
      </c>
      <c r="F4658" s="220"/>
    </row>
    <row r="4659" spans="1:6" ht="14.4">
      <c r="A4659">
        <v>7619</v>
      </c>
      <c r="B4659" t="s">
        <v>22733</v>
      </c>
      <c r="C4659" t="s">
        <v>2269</v>
      </c>
      <c r="D4659" t="s">
        <v>2271</v>
      </c>
      <c r="E4659" s="527" t="s">
        <v>22734</v>
      </c>
      <c r="F4659" s="219"/>
    </row>
    <row r="4660" spans="1:6" ht="14.4">
      <c r="A4660">
        <v>12076</v>
      </c>
      <c r="B4660" t="s">
        <v>22735</v>
      </c>
      <c r="C4660" t="s">
        <v>2269</v>
      </c>
      <c r="D4660" t="s">
        <v>2271</v>
      </c>
      <c r="E4660" s="527" t="s">
        <v>22736</v>
      </c>
      <c r="F4660" s="220"/>
    </row>
    <row r="4661" spans="1:6" ht="14.4">
      <c r="A4661">
        <v>7614</v>
      </c>
      <c r="B4661" t="s">
        <v>22737</v>
      </c>
      <c r="C4661" t="s">
        <v>2269</v>
      </c>
      <c r="D4661" t="s">
        <v>2271</v>
      </c>
      <c r="E4661" s="527" t="s">
        <v>22738</v>
      </c>
      <c r="F4661" s="219"/>
    </row>
    <row r="4662" spans="1:6" ht="14.4">
      <c r="A4662">
        <v>7618</v>
      </c>
      <c r="B4662" t="s">
        <v>22739</v>
      </c>
      <c r="C4662" t="s">
        <v>2269</v>
      </c>
      <c r="D4662" t="s">
        <v>2271</v>
      </c>
      <c r="E4662" s="527" t="s">
        <v>22740</v>
      </c>
      <c r="F4662" s="220"/>
    </row>
    <row r="4663" spans="1:6" ht="14.4">
      <c r="A4663">
        <v>7620</v>
      </c>
      <c r="B4663" t="s">
        <v>22741</v>
      </c>
      <c r="C4663" t="s">
        <v>2269</v>
      </c>
      <c r="D4663" t="s">
        <v>2271</v>
      </c>
      <c r="E4663" s="527" t="s">
        <v>22742</v>
      </c>
      <c r="F4663" s="219"/>
    </row>
    <row r="4664" spans="1:6" ht="14.4">
      <c r="A4664">
        <v>7610</v>
      </c>
      <c r="B4664" t="s">
        <v>22743</v>
      </c>
      <c r="C4664" t="s">
        <v>2269</v>
      </c>
      <c r="D4664" t="s">
        <v>2271</v>
      </c>
      <c r="E4664" s="527" t="s">
        <v>22744</v>
      </c>
      <c r="F4664" s="220"/>
    </row>
    <row r="4665" spans="1:6" ht="14.4">
      <c r="A4665">
        <v>7615</v>
      </c>
      <c r="B4665" t="s">
        <v>22745</v>
      </c>
      <c r="C4665" t="s">
        <v>2269</v>
      </c>
      <c r="D4665" t="s">
        <v>2271</v>
      </c>
      <c r="E4665" s="527" t="s">
        <v>22746</v>
      </c>
      <c r="F4665" s="219"/>
    </row>
    <row r="4666" spans="1:6" ht="14.4">
      <c r="A4666">
        <v>7617</v>
      </c>
      <c r="B4666" t="s">
        <v>22747</v>
      </c>
      <c r="C4666" t="s">
        <v>2269</v>
      </c>
      <c r="D4666" t="s">
        <v>2271</v>
      </c>
      <c r="E4666" s="527" t="s">
        <v>22748</v>
      </c>
      <c r="F4666" s="220"/>
    </row>
    <row r="4667" spans="1:6" ht="14.4">
      <c r="A4667">
        <v>7616</v>
      </c>
      <c r="B4667" t="s">
        <v>22749</v>
      </c>
      <c r="C4667" t="s">
        <v>2269</v>
      </c>
      <c r="D4667" t="s">
        <v>2271</v>
      </c>
      <c r="E4667" s="527" t="s">
        <v>22750</v>
      </c>
      <c r="F4667" s="219"/>
    </row>
    <row r="4668" spans="1:6" ht="14.4">
      <c r="A4668">
        <v>7611</v>
      </c>
      <c r="B4668" t="s">
        <v>22751</v>
      </c>
      <c r="C4668" t="s">
        <v>2269</v>
      </c>
      <c r="D4668" t="s">
        <v>2271</v>
      </c>
      <c r="E4668" s="527" t="s">
        <v>22752</v>
      </c>
      <c r="F4668" s="220"/>
    </row>
    <row r="4669" spans="1:6" ht="14.4">
      <c r="A4669">
        <v>7612</v>
      </c>
      <c r="B4669" t="s">
        <v>22753</v>
      </c>
      <c r="C4669" t="s">
        <v>2269</v>
      </c>
      <c r="D4669" t="s">
        <v>2271</v>
      </c>
      <c r="E4669" s="527" t="s">
        <v>22754</v>
      </c>
      <c r="F4669" s="219"/>
    </row>
    <row r="4670" spans="1:6" ht="14.4">
      <c r="A4670">
        <v>37371</v>
      </c>
      <c r="B4670" t="s">
        <v>22755</v>
      </c>
      <c r="C4670" t="s">
        <v>2267</v>
      </c>
      <c r="D4670" t="s">
        <v>2268</v>
      </c>
      <c r="E4670" s="527" t="s">
        <v>3340</v>
      </c>
      <c r="F4670" s="220"/>
    </row>
    <row r="4671" spans="1:6" ht="14.4">
      <c r="A4671">
        <v>40861</v>
      </c>
      <c r="B4671" t="s">
        <v>22756</v>
      </c>
      <c r="C4671" t="s">
        <v>2276</v>
      </c>
      <c r="D4671" t="s">
        <v>2268</v>
      </c>
      <c r="E4671" s="527" t="s">
        <v>13034</v>
      </c>
      <c r="F4671" s="219"/>
    </row>
    <row r="4672" spans="1:6" ht="14.4">
      <c r="A4672">
        <v>36510</v>
      </c>
      <c r="B4672" t="s">
        <v>22757</v>
      </c>
      <c r="C4672" t="s">
        <v>2269</v>
      </c>
      <c r="D4672" t="s">
        <v>2271</v>
      </c>
      <c r="E4672" s="527" t="s">
        <v>22758</v>
      </c>
      <c r="F4672" s="220"/>
    </row>
    <row r="4673" spans="1:6" ht="14.4">
      <c r="A4673">
        <v>25020</v>
      </c>
      <c r="B4673" t="s">
        <v>22759</v>
      </c>
      <c r="C4673" t="s">
        <v>2269</v>
      </c>
      <c r="D4673" t="s">
        <v>2271</v>
      </c>
      <c r="E4673" s="527" t="s">
        <v>22760</v>
      </c>
      <c r="F4673" s="219"/>
    </row>
    <row r="4674" spans="1:6" ht="14.4">
      <c r="A4674">
        <v>7622</v>
      </c>
      <c r="B4674" t="s">
        <v>22761</v>
      </c>
      <c r="C4674" t="s">
        <v>2269</v>
      </c>
      <c r="D4674" t="s">
        <v>2271</v>
      </c>
      <c r="E4674" s="527" t="s">
        <v>22762</v>
      </c>
      <c r="F4674" s="220"/>
    </row>
    <row r="4675" spans="1:6" ht="14.4">
      <c r="A4675">
        <v>7624</v>
      </c>
      <c r="B4675" t="s">
        <v>22763</v>
      </c>
      <c r="C4675" t="s">
        <v>2269</v>
      </c>
      <c r="D4675" t="s">
        <v>2271</v>
      </c>
      <c r="E4675" s="527" t="s">
        <v>22764</v>
      </c>
      <c r="F4675" s="219"/>
    </row>
    <row r="4676" spans="1:6" ht="14.4">
      <c r="A4676">
        <v>7625</v>
      </c>
      <c r="B4676" t="s">
        <v>22765</v>
      </c>
      <c r="C4676" t="s">
        <v>2269</v>
      </c>
      <c r="D4676" t="s">
        <v>2271</v>
      </c>
      <c r="E4676" s="527" t="s">
        <v>22766</v>
      </c>
      <c r="F4676" s="220"/>
    </row>
    <row r="4677" spans="1:6" ht="14.4">
      <c r="A4677">
        <v>7623</v>
      </c>
      <c r="B4677" t="s">
        <v>22767</v>
      </c>
      <c r="C4677" t="s">
        <v>2269</v>
      </c>
      <c r="D4677" t="s">
        <v>2271</v>
      </c>
      <c r="E4677" s="527" t="s">
        <v>22760</v>
      </c>
      <c r="F4677" s="219"/>
    </row>
    <row r="4678" spans="1:6" ht="14.4">
      <c r="A4678">
        <v>36508</v>
      </c>
      <c r="B4678" t="s">
        <v>22768</v>
      </c>
      <c r="C4678" t="s">
        <v>2269</v>
      </c>
      <c r="D4678" t="s">
        <v>2271</v>
      </c>
      <c r="E4678" s="527" t="s">
        <v>22769</v>
      </c>
      <c r="F4678" s="220"/>
    </row>
    <row r="4679" spans="1:6" ht="14.4">
      <c r="A4679">
        <v>36509</v>
      </c>
      <c r="B4679" t="s">
        <v>22770</v>
      </c>
      <c r="C4679" t="s">
        <v>2269</v>
      </c>
      <c r="D4679" t="s">
        <v>2271</v>
      </c>
      <c r="E4679" s="527" t="s">
        <v>22771</v>
      </c>
      <c r="F4679" s="219"/>
    </row>
    <row r="4680" spans="1:6" ht="14.4">
      <c r="A4680">
        <v>13238</v>
      </c>
      <c r="B4680" t="s">
        <v>22772</v>
      </c>
      <c r="C4680" t="s">
        <v>2269</v>
      </c>
      <c r="D4680" t="s">
        <v>2271</v>
      </c>
      <c r="E4680" s="527" t="s">
        <v>22773</v>
      </c>
      <c r="F4680" s="220"/>
    </row>
    <row r="4681" spans="1:6" ht="14.4">
      <c r="A4681">
        <v>36511</v>
      </c>
      <c r="B4681" t="s">
        <v>22774</v>
      </c>
      <c r="C4681" t="s">
        <v>2269</v>
      </c>
      <c r="D4681" t="s">
        <v>2271</v>
      </c>
      <c r="E4681" s="527" t="s">
        <v>22775</v>
      </c>
      <c r="F4681" s="219"/>
    </row>
    <row r="4682" spans="1:6" ht="14.4">
      <c r="A4682">
        <v>36515</v>
      </c>
      <c r="B4682" t="s">
        <v>22776</v>
      </c>
      <c r="C4682" t="s">
        <v>2269</v>
      </c>
      <c r="D4682" t="s">
        <v>2271</v>
      </c>
      <c r="E4682" s="527" t="s">
        <v>22777</v>
      </c>
      <c r="F4682" s="220"/>
    </row>
    <row r="4683" spans="1:6" ht="14.4">
      <c r="A4683">
        <v>10598</v>
      </c>
      <c r="B4683" t="s">
        <v>22778</v>
      </c>
      <c r="C4683" t="s">
        <v>2269</v>
      </c>
      <c r="D4683" t="s">
        <v>2271</v>
      </c>
      <c r="E4683" s="527" t="s">
        <v>22779</v>
      </c>
      <c r="F4683" s="219"/>
    </row>
    <row r="4684" spans="1:6" ht="14.4">
      <c r="A4684">
        <v>7640</v>
      </c>
      <c r="B4684" t="s">
        <v>22780</v>
      </c>
      <c r="C4684" t="s">
        <v>2269</v>
      </c>
      <c r="D4684" t="s">
        <v>2271</v>
      </c>
      <c r="E4684" s="527" t="s">
        <v>22781</v>
      </c>
      <c r="F4684" s="220"/>
    </row>
    <row r="4685" spans="1:6" ht="14.4">
      <c r="A4685">
        <v>36513</v>
      </c>
      <c r="B4685" t="s">
        <v>22782</v>
      </c>
      <c r="C4685" t="s">
        <v>2269</v>
      </c>
      <c r="D4685" t="s">
        <v>2271</v>
      </c>
      <c r="E4685" s="527" t="s">
        <v>22783</v>
      </c>
      <c r="F4685" s="219"/>
    </row>
    <row r="4686" spans="1:6" ht="14.4">
      <c r="A4686">
        <v>36514</v>
      </c>
      <c r="B4686" t="s">
        <v>22784</v>
      </c>
      <c r="C4686" t="s">
        <v>2269</v>
      </c>
      <c r="D4686" t="s">
        <v>2271</v>
      </c>
      <c r="E4686" s="527" t="s">
        <v>22785</v>
      </c>
      <c r="F4686" s="220"/>
    </row>
    <row r="4687" spans="1:6" ht="14.4">
      <c r="A4687">
        <v>11572</v>
      </c>
      <c r="B4687" t="s">
        <v>22786</v>
      </c>
      <c r="C4687" t="s">
        <v>2269</v>
      </c>
      <c r="D4687" t="s">
        <v>1857</v>
      </c>
      <c r="E4687" s="527" t="s">
        <v>10116</v>
      </c>
      <c r="F4687" s="219"/>
    </row>
    <row r="4688" spans="1:6" ht="14.4">
      <c r="A4688">
        <v>36149</v>
      </c>
      <c r="B4688" t="s">
        <v>22787</v>
      </c>
      <c r="C4688" t="s">
        <v>2269</v>
      </c>
      <c r="D4688" t="s">
        <v>1857</v>
      </c>
      <c r="E4688" s="527" t="s">
        <v>22788</v>
      </c>
      <c r="F4688" s="220"/>
    </row>
    <row r="4689" spans="1:6" ht="14.4">
      <c r="A4689">
        <v>42407</v>
      </c>
      <c r="B4689" t="s">
        <v>22789</v>
      </c>
      <c r="C4689" t="s">
        <v>2273</v>
      </c>
      <c r="D4689" t="s">
        <v>1857</v>
      </c>
      <c r="E4689" s="527" t="s">
        <v>7262</v>
      </c>
      <c r="F4689" s="219"/>
    </row>
    <row r="4690" spans="1:6" ht="14.4">
      <c r="A4690">
        <v>11581</v>
      </c>
      <c r="B4690" t="s">
        <v>22790</v>
      </c>
      <c r="C4690" t="s">
        <v>2273</v>
      </c>
      <c r="D4690" t="s">
        <v>1857</v>
      </c>
      <c r="E4690" s="527" t="s">
        <v>10046</v>
      </c>
      <c r="F4690" s="220"/>
    </row>
    <row r="4691" spans="1:6" ht="14.4">
      <c r="A4691">
        <v>43605</v>
      </c>
      <c r="B4691" t="s">
        <v>22791</v>
      </c>
      <c r="C4691" t="s">
        <v>2273</v>
      </c>
      <c r="D4691" t="s">
        <v>1857</v>
      </c>
      <c r="E4691" s="527" t="s">
        <v>11694</v>
      </c>
      <c r="F4691" s="219"/>
    </row>
    <row r="4692" spans="1:6" ht="14.4">
      <c r="A4692">
        <v>11580</v>
      </c>
      <c r="B4692" t="s">
        <v>22792</v>
      </c>
      <c r="C4692" t="s">
        <v>2273</v>
      </c>
      <c r="D4692" t="s">
        <v>1857</v>
      </c>
      <c r="E4692" s="527" t="s">
        <v>10655</v>
      </c>
      <c r="F4692" s="220"/>
    </row>
    <row r="4693" spans="1:6" ht="14.4">
      <c r="A4693">
        <v>10743</v>
      </c>
      <c r="B4693" t="s">
        <v>22793</v>
      </c>
      <c r="C4693" t="s">
        <v>2269</v>
      </c>
      <c r="D4693" t="s">
        <v>2271</v>
      </c>
      <c r="E4693" s="527" t="s">
        <v>22794</v>
      </c>
      <c r="F4693" s="219"/>
    </row>
    <row r="4694" spans="1:6" ht="14.4">
      <c r="A4694">
        <v>39848</v>
      </c>
      <c r="B4694" t="s">
        <v>22795</v>
      </c>
      <c r="C4694" t="s">
        <v>2273</v>
      </c>
      <c r="D4694" t="s">
        <v>2271</v>
      </c>
      <c r="E4694" s="527" t="s">
        <v>3744</v>
      </c>
      <c r="F4694" s="220"/>
    </row>
    <row r="4695" spans="1:6" ht="14.4">
      <c r="A4695">
        <v>20999</v>
      </c>
      <c r="B4695" t="s">
        <v>22796</v>
      </c>
      <c r="C4695" t="s">
        <v>2273</v>
      </c>
      <c r="D4695" t="s">
        <v>1857</v>
      </c>
      <c r="E4695" s="527" t="s">
        <v>15270</v>
      </c>
      <c r="F4695" s="219"/>
    </row>
    <row r="4696" spans="1:6" ht="14.4">
      <c r="A4696">
        <v>21001</v>
      </c>
      <c r="B4696" t="s">
        <v>22797</v>
      </c>
      <c r="C4696" t="s">
        <v>2273</v>
      </c>
      <c r="D4696" t="s">
        <v>2268</v>
      </c>
      <c r="E4696" s="527" t="s">
        <v>10173</v>
      </c>
      <c r="F4696" s="220"/>
    </row>
    <row r="4697" spans="1:6" ht="14.4">
      <c r="A4697">
        <v>21003</v>
      </c>
      <c r="B4697" t="s">
        <v>22798</v>
      </c>
      <c r="C4697" t="s">
        <v>2273</v>
      </c>
      <c r="D4697" t="s">
        <v>1857</v>
      </c>
      <c r="E4697" s="527" t="s">
        <v>10057</v>
      </c>
      <c r="F4697" s="219"/>
    </row>
    <row r="4698" spans="1:6" ht="14.4">
      <c r="A4698">
        <v>21006</v>
      </c>
      <c r="B4698" t="s">
        <v>22799</v>
      </c>
      <c r="C4698" t="s">
        <v>2273</v>
      </c>
      <c r="D4698" t="s">
        <v>1857</v>
      </c>
      <c r="E4698" s="527" t="s">
        <v>15632</v>
      </c>
      <c r="F4698" s="220"/>
    </row>
    <row r="4699" spans="1:6" ht="14.4">
      <c r="A4699">
        <v>21019</v>
      </c>
      <c r="B4699" t="s">
        <v>22800</v>
      </c>
      <c r="C4699" t="s">
        <v>2273</v>
      </c>
      <c r="D4699" t="s">
        <v>1857</v>
      </c>
      <c r="E4699" s="527" t="s">
        <v>15633</v>
      </c>
      <c r="F4699" s="219"/>
    </row>
    <row r="4700" spans="1:6" ht="14.4">
      <c r="A4700">
        <v>21021</v>
      </c>
      <c r="B4700" t="s">
        <v>22801</v>
      </c>
      <c r="C4700" t="s">
        <v>2273</v>
      </c>
      <c r="D4700" t="s">
        <v>1857</v>
      </c>
      <c r="E4700" s="527" t="s">
        <v>11415</v>
      </c>
      <c r="F4700" s="220"/>
    </row>
    <row r="4701" spans="1:6" ht="14.4">
      <c r="A4701">
        <v>21024</v>
      </c>
      <c r="B4701" t="s">
        <v>22802</v>
      </c>
      <c r="C4701" t="s">
        <v>2273</v>
      </c>
      <c r="D4701" t="s">
        <v>1857</v>
      </c>
      <c r="E4701" s="527" t="s">
        <v>10376</v>
      </c>
      <c r="F4701" s="219"/>
    </row>
    <row r="4702" spans="1:6" ht="14.4">
      <c r="A4702">
        <v>40624</v>
      </c>
      <c r="B4702" t="s">
        <v>22803</v>
      </c>
      <c r="C4702" t="s">
        <v>2273</v>
      </c>
      <c r="D4702" t="s">
        <v>1857</v>
      </c>
      <c r="E4702" s="527" t="s">
        <v>11642</v>
      </c>
      <c r="F4702" s="220"/>
    </row>
    <row r="4703" spans="1:6" ht="14.4">
      <c r="A4703">
        <v>42575</v>
      </c>
      <c r="B4703" t="s">
        <v>22804</v>
      </c>
      <c r="C4703" t="s">
        <v>2273</v>
      </c>
      <c r="D4703" t="s">
        <v>1857</v>
      </c>
      <c r="E4703" s="527" t="s">
        <v>15634</v>
      </c>
      <c r="F4703" s="219"/>
    </row>
    <row r="4704" spans="1:6" ht="14.4">
      <c r="A4704">
        <v>13127</v>
      </c>
      <c r="B4704" t="s">
        <v>22805</v>
      </c>
      <c r="C4704" t="s">
        <v>2273</v>
      </c>
      <c r="D4704" t="s">
        <v>1857</v>
      </c>
      <c r="E4704" s="527" t="s">
        <v>9772</v>
      </c>
      <c r="F4704" s="220"/>
    </row>
    <row r="4705" spans="1:6" ht="14.4">
      <c r="A4705">
        <v>13137</v>
      </c>
      <c r="B4705" t="s">
        <v>22806</v>
      </c>
      <c r="C4705" t="s">
        <v>2273</v>
      </c>
      <c r="D4705" t="s">
        <v>1857</v>
      </c>
      <c r="E4705" s="527" t="s">
        <v>15635</v>
      </c>
      <c r="F4705" s="219"/>
    </row>
    <row r="4706" spans="1:6" ht="14.4">
      <c r="A4706">
        <v>42574</v>
      </c>
      <c r="B4706" t="s">
        <v>22807</v>
      </c>
      <c r="C4706" t="s">
        <v>2273</v>
      </c>
      <c r="D4706" t="s">
        <v>1857</v>
      </c>
      <c r="E4706" s="527" t="s">
        <v>15636</v>
      </c>
      <c r="F4706" s="220"/>
    </row>
    <row r="4707" spans="1:6" ht="14.4">
      <c r="A4707">
        <v>20989</v>
      </c>
      <c r="B4707" t="s">
        <v>22808</v>
      </c>
      <c r="C4707" t="s">
        <v>2273</v>
      </c>
      <c r="D4707" t="s">
        <v>1857</v>
      </c>
      <c r="E4707" s="527" t="s">
        <v>15637</v>
      </c>
      <c r="F4707" s="219"/>
    </row>
    <row r="4708" spans="1:6" ht="14.4">
      <c r="A4708">
        <v>21147</v>
      </c>
      <c r="B4708" t="s">
        <v>22809</v>
      </c>
      <c r="C4708" t="s">
        <v>2273</v>
      </c>
      <c r="D4708" t="s">
        <v>1857</v>
      </c>
      <c r="E4708" s="527" t="s">
        <v>15638</v>
      </c>
      <c r="F4708" s="220"/>
    </row>
    <row r="4709" spans="1:6" ht="14.4">
      <c r="A4709">
        <v>21148</v>
      </c>
      <c r="B4709" t="s">
        <v>22810</v>
      </c>
      <c r="C4709" t="s">
        <v>2273</v>
      </c>
      <c r="D4709" t="s">
        <v>2268</v>
      </c>
      <c r="E4709" s="527" t="s">
        <v>12405</v>
      </c>
      <c r="F4709" s="219"/>
    </row>
    <row r="4710" spans="1:6" ht="14.4">
      <c r="A4710">
        <v>20984</v>
      </c>
      <c r="B4710" t="s">
        <v>22811</v>
      </c>
      <c r="C4710" t="s">
        <v>2273</v>
      </c>
      <c r="D4710" t="s">
        <v>1857</v>
      </c>
      <c r="E4710" s="527" t="s">
        <v>15639</v>
      </c>
      <c r="F4710" s="220"/>
    </row>
    <row r="4711" spans="1:6" ht="14.4">
      <c r="A4711">
        <v>13042</v>
      </c>
      <c r="B4711" t="s">
        <v>22812</v>
      </c>
      <c r="C4711" t="s">
        <v>2273</v>
      </c>
      <c r="D4711" t="s">
        <v>1857</v>
      </c>
      <c r="E4711" s="527" t="s">
        <v>15640</v>
      </c>
      <c r="F4711" s="219"/>
    </row>
    <row r="4712" spans="1:6" ht="14.4">
      <c r="A4712">
        <v>21150</v>
      </c>
      <c r="B4712" t="s">
        <v>22813</v>
      </c>
      <c r="C4712" t="s">
        <v>2273</v>
      </c>
      <c r="D4712" t="s">
        <v>1857</v>
      </c>
      <c r="E4712" s="527" t="s">
        <v>10103</v>
      </c>
      <c r="F4712" s="220"/>
    </row>
    <row r="4713" spans="1:6" ht="14.4">
      <c r="A4713">
        <v>13141</v>
      </c>
      <c r="B4713" t="s">
        <v>22814</v>
      </c>
      <c r="C4713" t="s">
        <v>2273</v>
      </c>
      <c r="D4713" t="s">
        <v>1857</v>
      </c>
      <c r="E4713" s="527" t="s">
        <v>15641</v>
      </c>
      <c r="F4713" s="219"/>
    </row>
    <row r="4714" spans="1:6" ht="14.4">
      <c r="A4714">
        <v>42576</v>
      </c>
      <c r="B4714" t="s">
        <v>22815</v>
      </c>
      <c r="C4714" t="s">
        <v>2273</v>
      </c>
      <c r="D4714" t="s">
        <v>1857</v>
      </c>
      <c r="E4714" s="527" t="s">
        <v>15642</v>
      </c>
      <c r="F4714" s="220"/>
    </row>
    <row r="4715" spans="1:6" ht="14.4">
      <c r="A4715">
        <v>21151</v>
      </c>
      <c r="B4715" t="s">
        <v>22816</v>
      </c>
      <c r="C4715" t="s">
        <v>2273</v>
      </c>
      <c r="D4715" t="s">
        <v>1857</v>
      </c>
      <c r="E4715" s="527" t="s">
        <v>15643</v>
      </c>
      <c r="F4715" s="219"/>
    </row>
    <row r="4716" spans="1:6" ht="14.4">
      <c r="A4716">
        <v>13142</v>
      </c>
      <c r="B4716" t="s">
        <v>22817</v>
      </c>
      <c r="C4716" t="s">
        <v>2273</v>
      </c>
      <c r="D4716" t="s">
        <v>1857</v>
      </c>
      <c r="E4716" s="527" t="s">
        <v>15644</v>
      </c>
      <c r="F4716" s="220"/>
    </row>
    <row r="4717" spans="1:6" ht="14.4">
      <c r="A4717">
        <v>42577</v>
      </c>
      <c r="B4717" t="s">
        <v>22818</v>
      </c>
      <c r="C4717" t="s">
        <v>2273</v>
      </c>
      <c r="D4717" t="s">
        <v>1857</v>
      </c>
      <c r="E4717" s="527" t="s">
        <v>15645</v>
      </c>
      <c r="F4717" s="219"/>
    </row>
    <row r="4718" spans="1:6" ht="14.4">
      <c r="A4718">
        <v>20994</v>
      </c>
      <c r="B4718" t="s">
        <v>22819</v>
      </c>
      <c r="C4718" t="s">
        <v>2273</v>
      </c>
      <c r="D4718" t="s">
        <v>1857</v>
      </c>
      <c r="E4718" s="527" t="s">
        <v>15646</v>
      </c>
      <c r="F4718" s="220"/>
    </row>
    <row r="4719" spans="1:6" ht="14.4">
      <c r="A4719">
        <v>7672</v>
      </c>
      <c r="B4719" t="s">
        <v>22820</v>
      </c>
      <c r="C4719" t="s">
        <v>2273</v>
      </c>
      <c r="D4719" t="s">
        <v>1857</v>
      </c>
      <c r="E4719" s="527" t="s">
        <v>15647</v>
      </c>
      <c r="F4719" s="219"/>
    </row>
    <row r="4720" spans="1:6" ht="14.4">
      <c r="A4720">
        <v>20995</v>
      </c>
      <c r="B4720" t="s">
        <v>22821</v>
      </c>
      <c r="C4720" t="s">
        <v>2273</v>
      </c>
      <c r="D4720" t="s">
        <v>1857</v>
      </c>
      <c r="E4720" s="527" t="s">
        <v>15648</v>
      </c>
      <c r="F4720" s="220"/>
    </row>
    <row r="4721" spans="1:6" ht="14.4">
      <c r="A4721">
        <v>7690</v>
      </c>
      <c r="B4721" t="s">
        <v>22822</v>
      </c>
      <c r="C4721" t="s">
        <v>2273</v>
      </c>
      <c r="D4721" t="s">
        <v>1857</v>
      </c>
      <c r="E4721" s="527" t="s">
        <v>15649</v>
      </c>
      <c r="F4721" s="219"/>
    </row>
    <row r="4722" spans="1:6" ht="14.4">
      <c r="A4722">
        <v>20980</v>
      </c>
      <c r="B4722" t="s">
        <v>22823</v>
      </c>
      <c r="C4722" t="s">
        <v>2273</v>
      </c>
      <c r="D4722" t="s">
        <v>1857</v>
      </c>
      <c r="E4722" s="527" t="s">
        <v>15650</v>
      </c>
      <c r="F4722" s="220"/>
    </row>
    <row r="4723" spans="1:6" ht="14.4">
      <c r="A4723">
        <v>7661</v>
      </c>
      <c r="B4723" t="s">
        <v>22824</v>
      </c>
      <c r="C4723" t="s">
        <v>2273</v>
      </c>
      <c r="D4723" t="s">
        <v>1857</v>
      </c>
      <c r="E4723" s="527" t="s">
        <v>15651</v>
      </c>
      <c r="F4723" s="219"/>
    </row>
    <row r="4724" spans="1:6" ht="14.4">
      <c r="A4724">
        <v>21016</v>
      </c>
      <c r="B4724" t="s">
        <v>22825</v>
      </c>
      <c r="C4724" t="s">
        <v>2273</v>
      </c>
      <c r="D4724" t="s">
        <v>1857</v>
      </c>
      <c r="E4724" s="527" t="s">
        <v>22826</v>
      </c>
      <c r="F4724" s="220"/>
    </row>
    <row r="4725" spans="1:6" ht="14.4">
      <c r="A4725">
        <v>21008</v>
      </c>
      <c r="B4725" t="s">
        <v>22827</v>
      </c>
      <c r="C4725" t="s">
        <v>2273</v>
      </c>
      <c r="D4725" t="s">
        <v>1857</v>
      </c>
      <c r="E4725" s="527" t="s">
        <v>15249</v>
      </c>
      <c r="F4725" s="219"/>
    </row>
    <row r="4726" spans="1:6" ht="14.4">
      <c r="A4726">
        <v>21009</v>
      </c>
      <c r="B4726" t="s">
        <v>22828</v>
      </c>
      <c r="C4726" t="s">
        <v>2273</v>
      </c>
      <c r="D4726" t="s">
        <v>1857</v>
      </c>
      <c r="E4726" s="527" t="s">
        <v>10182</v>
      </c>
      <c r="F4726" s="220"/>
    </row>
    <row r="4727" spans="1:6" ht="14.4">
      <c r="A4727">
        <v>21010</v>
      </c>
      <c r="B4727" t="s">
        <v>22829</v>
      </c>
      <c r="C4727" t="s">
        <v>2273</v>
      </c>
      <c r="D4727" t="s">
        <v>2268</v>
      </c>
      <c r="E4727" s="527" t="s">
        <v>22830</v>
      </c>
      <c r="F4727" s="219"/>
    </row>
    <row r="4728" spans="1:6" ht="14.4">
      <c r="A4728">
        <v>21011</v>
      </c>
      <c r="B4728" t="s">
        <v>22831</v>
      </c>
      <c r="C4728" t="s">
        <v>2273</v>
      </c>
      <c r="D4728" t="s">
        <v>1857</v>
      </c>
      <c r="E4728" s="527" t="s">
        <v>22832</v>
      </c>
      <c r="F4728" s="220"/>
    </row>
    <row r="4729" spans="1:6" ht="14.4">
      <c r="A4729">
        <v>21012</v>
      </c>
      <c r="B4729" t="s">
        <v>22833</v>
      </c>
      <c r="C4729" t="s">
        <v>2273</v>
      </c>
      <c r="D4729" t="s">
        <v>1857</v>
      </c>
      <c r="E4729" s="527" t="s">
        <v>16460</v>
      </c>
      <c r="F4729" s="219"/>
    </row>
    <row r="4730" spans="1:6" ht="14.4">
      <c r="A4730">
        <v>21013</v>
      </c>
      <c r="B4730" t="s">
        <v>22834</v>
      </c>
      <c r="C4730" t="s">
        <v>2273</v>
      </c>
      <c r="D4730" t="s">
        <v>1857</v>
      </c>
      <c r="E4730" s="527" t="s">
        <v>22835</v>
      </c>
      <c r="F4730" s="220"/>
    </row>
    <row r="4731" spans="1:6" ht="14.4">
      <c r="A4731">
        <v>21014</v>
      </c>
      <c r="B4731" t="s">
        <v>22836</v>
      </c>
      <c r="C4731" t="s">
        <v>2273</v>
      </c>
      <c r="D4731" t="s">
        <v>1857</v>
      </c>
      <c r="E4731" s="527" t="s">
        <v>12409</v>
      </c>
      <c r="F4731" s="219"/>
    </row>
    <row r="4732" spans="1:6" ht="14.4">
      <c r="A4732">
        <v>21015</v>
      </c>
      <c r="B4732" t="s">
        <v>22837</v>
      </c>
      <c r="C4732" t="s">
        <v>2273</v>
      </c>
      <c r="D4732" t="s">
        <v>1857</v>
      </c>
      <c r="E4732" s="527" t="s">
        <v>22838</v>
      </c>
      <c r="F4732" s="220"/>
    </row>
    <row r="4733" spans="1:6" ht="14.4">
      <c r="A4733">
        <v>7697</v>
      </c>
      <c r="B4733" t="s">
        <v>22839</v>
      </c>
      <c r="C4733" t="s">
        <v>2273</v>
      </c>
      <c r="D4733" t="s">
        <v>1857</v>
      </c>
      <c r="E4733" s="527" t="s">
        <v>14334</v>
      </c>
      <c r="F4733" s="219"/>
    </row>
    <row r="4734" spans="1:6" ht="14.4">
      <c r="A4734">
        <v>7698</v>
      </c>
      <c r="B4734" t="s">
        <v>22840</v>
      </c>
      <c r="C4734" t="s">
        <v>2273</v>
      </c>
      <c r="D4734" t="s">
        <v>1857</v>
      </c>
      <c r="E4734" s="527" t="s">
        <v>16187</v>
      </c>
      <c r="F4734" s="220"/>
    </row>
    <row r="4735" spans="1:6" ht="14.4">
      <c r="A4735">
        <v>7691</v>
      </c>
      <c r="B4735" t="s">
        <v>22841</v>
      </c>
      <c r="C4735" t="s">
        <v>2273</v>
      </c>
      <c r="D4735" t="s">
        <v>1857</v>
      </c>
      <c r="E4735" s="527" t="s">
        <v>10705</v>
      </c>
      <c r="F4735" s="219"/>
    </row>
    <row r="4736" spans="1:6" ht="14.4">
      <c r="A4736">
        <v>40626</v>
      </c>
      <c r="B4736" t="s">
        <v>22842</v>
      </c>
      <c r="C4736" t="s">
        <v>2273</v>
      </c>
      <c r="D4736" t="s">
        <v>1857</v>
      </c>
      <c r="E4736" s="527" t="s">
        <v>16285</v>
      </c>
      <c r="F4736" s="220"/>
    </row>
    <row r="4737" spans="1:6" ht="14.4">
      <c r="A4737">
        <v>7701</v>
      </c>
      <c r="B4737" t="s">
        <v>22843</v>
      </c>
      <c r="C4737" t="s">
        <v>2273</v>
      </c>
      <c r="D4737" t="s">
        <v>1857</v>
      </c>
      <c r="E4737" s="527" t="s">
        <v>22844</v>
      </c>
      <c r="F4737" s="219"/>
    </row>
    <row r="4738" spans="1:6" ht="14.4">
      <c r="A4738">
        <v>7696</v>
      </c>
      <c r="B4738" t="s">
        <v>22845</v>
      </c>
      <c r="C4738" t="s">
        <v>2273</v>
      </c>
      <c r="D4738" t="s">
        <v>1857</v>
      </c>
      <c r="E4738" s="527" t="s">
        <v>11780</v>
      </c>
      <c r="F4738" s="220"/>
    </row>
    <row r="4739" spans="1:6" ht="14.4">
      <c r="A4739">
        <v>7700</v>
      </c>
      <c r="B4739" t="s">
        <v>22846</v>
      </c>
      <c r="C4739" t="s">
        <v>2273</v>
      </c>
      <c r="D4739" t="s">
        <v>1857</v>
      </c>
      <c r="E4739" s="527" t="s">
        <v>22578</v>
      </c>
      <c r="F4739" s="219"/>
    </row>
    <row r="4740" spans="1:6" ht="14.4">
      <c r="A4740">
        <v>7694</v>
      </c>
      <c r="B4740" t="s">
        <v>22847</v>
      </c>
      <c r="C4740" t="s">
        <v>2273</v>
      </c>
      <c r="D4740" t="s">
        <v>1857</v>
      </c>
      <c r="E4740" s="527" t="s">
        <v>15580</v>
      </c>
      <c r="F4740" s="220"/>
    </row>
    <row r="4741" spans="1:6" ht="14.4">
      <c r="A4741">
        <v>7693</v>
      </c>
      <c r="B4741" t="s">
        <v>22848</v>
      </c>
      <c r="C4741" t="s">
        <v>2273</v>
      </c>
      <c r="D4741" t="s">
        <v>1857</v>
      </c>
      <c r="E4741" s="527" t="s">
        <v>22849</v>
      </c>
      <c r="F4741" s="219"/>
    </row>
    <row r="4742" spans="1:6" ht="14.4">
      <c r="A4742">
        <v>7692</v>
      </c>
      <c r="B4742" t="s">
        <v>22850</v>
      </c>
      <c r="C4742" t="s">
        <v>2273</v>
      </c>
      <c r="D4742" t="s">
        <v>1857</v>
      </c>
      <c r="E4742" s="527" t="s">
        <v>22851</v>
      </c>
      <c r="F4742" s="220"/>
    </row>
    <row r="4743" spans="1:6" ht="14.4">
      <c r="A4743">
        <v>7695</v>
      </c>
      <c r="B4743" t="s">
        <v>22852</v>
      </c>
      <c r="C4743" t="s">
        <v>2273</v>
      </c>
      <c r="D4743" t="s">
        <v>1857</v>
      </c>
      <c r="E4743" s="527" t="s">
        <v>22853</v>
      </c>
      <c r="F4743" s="219"/>
    </row>
    <row r="4744" spans="1:6" ht="14.4">
      <c r="A4744">
        <v>13356</v>
      </c>
      <c r="B4744" t="s">
        <v>22854</v>
      </c>
      <c r="C4744" t="s">
        <v>2273</v>
      </c>
      <c r="D4744" t="s">
        <v>1857</v>
      </c>
      <c r="E4744" s="527" t="s">
        <v>19992</v>
      </c>
      <c r="F4744" s="220"/>
    </row>
    <row r="4745" spans="1:6" ht="14.4">
      <c r="A4745">
        <v>36365</v>
      </c>
      <c r="B4745" t="s">
        <v>22855</v>
      </c>
      <c r="C4745" t="s">
        <v>2273</v>
      </c>
      <c r="D4745" t="s">
        <v>2271</v>
      </c>
      <c r="E4745" s="527" t="s">
        <v>15499</v>
      </c>
      <c r="F4745" s="219"/>
    </row>
    <row r="4746" spans="1:6" ht="14.4">
      <c r="A4746">
        <v>41930</v>
      </c>
      <c r="B4746" t="s">
        <v>22856</v>
      </c>
      <c r="C4746" t="s">
        <v>2273</v>
      </c>
      <c r="D4746" t="s">
        <v>2271</v>
      </c>
      <c r="E4746" s="527" t="s">
        <v>15652</v>
      </c>
      <c r="F4746" s="220"/>
    </row>
    <row r="4747" spans="1:6" ht="14.4">
      <c r="A4747">
        <v>41931</v>
      </c>
      <c r="B4747" t="s">
        <v>22857</v>
      </c>
      <c r="C4747" t="s">
        <v>2273</v>
      </c>
      <c r="D4747" t="s">
        <v>2271</v>
      </c>
      <c r="E4747" s="527" t="s">
        <v>15653</v>
      </c>
      <c r="F4747" s="219"/>
    </row>
    <row r="4748" spans="1:6" ht="14.4">
      <c r="A4748">
        <v>41932</v>
      </c>
      <c r="B4748" t="s">
        <v>22858</v>
      </c>
      <c r="C4748" t="s">
        <v>2273</v>
      </c>
      <c r="D4748" t="s">
        <v>2271</v>
      </c>
      <c r="E4748" s="527" t="s">
        <v>15654</v>
      </c>
      <c r="F4748" s="220"/>
    </row>
    <row r="4749" spans="1:6" ht="14.4">
      <c r="A4749">
        <v>41933</v>
      </c>
      <c r="B4749" t="s">
        <v>22859</v>
      </c>
      <c r="C4749" t="s">
        <v>2273</v>
      </c>
      <c r="D4749" t="s">
        <v>2271</v>
      </c>
      <c r="E4749" s="527" t="s">
        <v>15655</v>
      </c>
      <c r="F4749" s="219"/>
    </row>
    <row r="4750" spans="1:6" ht="14.4">
      <c r="A4750">
        <v>41934</v>
      </c>
      <c r="B4750" t="s">
        <v>22860</v>
      </c>
      <c r="C4750" t="s">
        <v>2273</v>
      </c>
      <c r="D4750" t="s">
        <v>2271</v>
      </c>
      <c r="E4750" s="527" t="s">
        <v>15656</v>
      </c>
      <c r="F4750" s="220"/>
    </row>
    <row r="4751" spans="1:6" ht="14.4">
      <c r="A4751">
        <v>41936</v>
      </c>
      <c r="B4751" t="s">
        <v>22861</v>
      </c>
      <c r="C4751" t="s">
        <v>2273</v>
      </c>
      <c r="D4751" t="s">
        <v>2271</v>
      </c>
      <c r="E4751" s="527" t="s">
        <v>13932</v>
      </c>
      <c r="F4751" s="219"/>
    </row>
    <row r="4752" spans="1:6" ht="14.4">
      <c r="A4752">
        <v>41785</v>
      </c>
      <c r="B4752" t="s">
        <v>22862</v>
      </c>
      <c r="C4752" t="s">
        <v>2273</v>
      </c>
      <c r="D4752" t="s">
        <v>2271</v>
      </c>
      <c r="E4752" s="527" t="s">
        <v>15657</v>
      </c>
      <c r="F4752" s="220"/>
    </row>
    <row r="4753" spans="1:6" ht="14.4">
      <c r="A4753">
        <v>41781</v>
      </c>
      <c r="B4753" t="s">
        <v>22863</v>
      </c>
      <c r="C4753" t="s">
        <v>2273</v>
      </c>
      <c r="D4753" t="s">
        <v>2271</v>
      </c>
      <c r="E4753" s="527" t="s">
        <v>15658</v>
      </c>
      <c r="F4753" s="219"/>
    </row>
    <row r="4754" spans="1:6" ht="14.4">
      <c r="A4754">
        <v>41783</v>
      </c>
      <c r="B4754" t="s">
        <v>22864</v>
      </c>
      <c r="C4754" t="s">
        <v>2273</v>
      </c>
      <c r="D4754" t="s">
        <v>2271</v>
      </c>
      <c r="E4754" s="527" t="s">
        <v>15659</v>
      </c>
      <c r="F4754" s="220"/>
    </row>
    <row r="4755" spans="1:6" ht="14.4">
      <c r="A4755">
        <v>41786</v>
      </c>
      <c r="B4755" t="s">
        <v>22865</v>
      </c>
      <c r="C4755" t="s">
        <v>2273</v>
      </c>
      <c r="D4755" t="s">
        <v>2271</v>
      </c>
      <c r="E4755" s="527" t="s">
        <v>15660</v>
      </c>
      <c r="F4755" s="219"/>
    </row>
    <row r="4756" spans="1:6" ht="14.4">
      <c r="A4756">
        <v>41779</v>
      </c>
      <c r="B4756" t="s">
        <v>22866</v>
      </c>
      <c r="C4756" t="s">
        <v>2273</v>
      </c>
      <c r="D4756" t="s">
        <v>2271</v>
      </c>
      <c r="E4756" s="527" t="s">
        <v>15661</v>
      </c>
      <c r="F4756" s="220"/>
    </row>
    <row r="4757" spans="1:6" ht="14.4">
      <c r="A4757">
        <v>41780</v>
      </c>
      <c r="B4757" t="s">
        <v>22867</v>
      </c>
      <c r="C4757" t="s">
        <v>2273</v>
      </c>
      <c r="D4757" t="s">
        <v>2271</v>
      </c>
      <c r="E4757" s="527" t="s">
        <v>15662</v>
      </c>
      <c r="F4757" s="219"/>
    </row>
    <row r="4758" spans="1:6" ht="14.4">
      <c r="A4758">
        <v>41782</v>
      </c>
      <c r="B4758" t="s">
        <v>22868</v>
      </c>
      <c r="C4758" t="s">
        <v>2273</v>
      </c>
      <c r="D4758" t="s">
        <v>2271</v>
      </c>
      <c r="E4758" s="527" t="s">
        <v>15663</v>
      </c>
      <c r="F4758" s="220"/>
    </row>
    <row r="4759" spans="1:6" ht="14.4">
      <c r="A4759">
        <v>38130</v>
      </c>
      <c r="B4759" t="s">
        <v>22869</v>
      </c>
      <c r="C4759" t="s">
        <v>2273</v>
      </c>
      <c r="D4759" t="s">
        <v>1857</v>
      </c>
      <c r="E4759" s="527" t="s">
        <v>16183</v>
      </c>
      <c r="F4759" s="219"/>
    </row>
    <row r="4760" spans="1:6" ht="14.4">
      <c r="A4760">
        <v>21123</v>
      </c>
      <c r="B4760" t="s">
        <v>22870</v>
      </c>
      <c r="C4760" t="s">
        <v>2273</v>
      </c>
      <c r="D4760" t="s">
        <v>2268</v>
      </c>
      <c r="E4760" s="527" t="s">
        <v>9568</v>
      </c>
      <c r="F4760" s="220"/>
    </row>
    <row r="4761" spans="1:6" ht="14.4">
      <c r="A4761">
        <v>21124</v>
      </c>
      <c r="B4761" t="s">
        <v>22871</v>
      </c>
      <c r="C4761" t="s">
        <v>2273</v>
      </c>
      <c r="D4761" t="s">
        <v>1857</v>
      </c>
      <c r="E4761" s="527" t="s">
        <v>11616</v>
      </c>
      <c r="F4761" s="219"/>
    </row>
    <row r="4762" spans="1:6" ht="14.4">
      <c r="A4762">
        <v>21125</v>
      </c>
      <c r="B4762" t="s">
        <v>22872</v>
      </c>
      <c r="C4762" t="s">
        <v>2273</v>
      </c>
      <c r="D4762" t="s">
        <v>1857</v>
      </c>
      <c r="E4762" s="527" t="s">
        <v>22873</v>
      </c>
      <c r="F4762" s="220"/>
    </row>
    <row r="4763" spans="1:6" ht="14.4">
      <c r="A4763">
        <v>38028</v>
      </c>
      <c r="B4763" t="s">
        <v>22874</v>
      </c>
      <c r="C4763" t="s">
        <v>2273</v>
      </c>
      <c r="D4763" t="s">
        <v>1857</v>
      </c>
      <c r="E4763" s="527" t="s">
        <v>10730</v>
      </c>
      <c r="F4763" s="219"/>
    </row>
    <row r="4764" spans="1:6" ht="14.4">
      <c r="A4764">
        <v>38029</v>
      </c>
      <c r="B4764" t="s">
        <v>22875</v>
      </c>
      <c r="C4764" t="s">
        <v>2273</v>
      </c>
      <c r="D4764" t="s">
        <v>1857</v>
      </c>
      <c r="E4764" s="527" t="s">
        <v>22876</v>
      </c>
      <c r="F4764" s="220"/>
    </row>
    <row r="4765" spans="1:6" ht="14.4">
      <c r="A4765">
        <v>38030</v>
      </c>
      <c r="B4765" t="s">
        <v>22877</v>
      </c>
      <c r="C4765" t="s">
        <v>2273</v>
      </c>
      <c r="D4765" t="s">
        <v>1857</v>
      </c>
      <c r="E4765" s="527" t="s">
        <v>22878</v>
      </c>
      <c r="F4765" s="219"/>
    </row>
    <row r="4766" spans="1:6" ht="14.4">
      <c r="A4766">
        <v>38031</v>
      </c>
      <c r="B4766" t="s">
        <v>22879</v>
      </c>
      <c r="C4766" t="s">
        <v>2273</v>
      </c>
      <c r="D4766" t="s">
        <v>1857</v>
      </c>
      <c r="E4766" s="527" t="s">
        <v>22880</v>
      </c>
      <c r="F4766" s="220"/>
    </row>
    <row r="4767" spans="1:6" ht="14.4">
      <c r="A4767">
        <v>39735</v>
      </c>
      <c r="B4767" t="s">
        <v>22881</v>
      </c>
      <c r="C4767" t="s">
        <v>2273</v>
      </c>
      <c r="D4767" t="s">
        <v>1857</v>
      </c>
      <c r="E4767" s="527" t="s">
        <v>22882</v>
      </c>
      <c r="F4767" s="219"/>
    </row>
    <row r="4768" spans="1:6" ht="14.4">
      <c r="A4768">
        <v>39734</v>
      </c>
      <c r="B4768" t="s">
        <v>22883</v>
      </c>
      <c r="C4768" t="s">
        <v>2273</v>
      </c>
      <c r="D4768" t="s">
        <v>1857</v>
      </c>
      <c r="E4768" s="527" t="s">
        <v>22884</v>
      </c>
      <c r="F4768" s="220"/>
    </row>
    <row r="4769" spans="1:6" ht="14.4">
      <c r="A4769">
        <v>39736</v>
      </c>
      <c r="B4769" t="s">
        <v>22885</v>
      </c>
      <c r="C4769" t="s">
        <v>2273</v>
      </c>
      <c r="D4769" t="s">
        <v>1857</v>
      </c>
      <c r="E4769" s="527" t="s">
        <v>22886</v>
      </c>
      <c r="F4769" s="219"/>
    </row>
    <row r="4770" spans="1:6" ht="14.4">
      <c r="A4770">
        <v>39737</v>
      </c>
      <c r="B4770" t="s">
        <v>22887</v>
      </c>
      <c r="C4770" t="s">
        <v>2273</v>
      </c>
      <c r="D4770" t="s">
        <v>1857</v>
      </c>
      <c r="E4770" s="527" t="s">
        <v>7546</v>
      </c>
      <c r="F4770" s="220"/>
    </row>
    <row r="4771" spans="1:6" ht="14.4">
      <c r="A4771">
        <v>39738</v>
      </c>
      <c r="B4771" t="s">
        <v>22888</v>
      </c>
      <c r="C4771" t="s">
        <v>2273</v>
      </c>
      <c r="D4771" t="s">
        <v>1857</v>
      </c>
      <c r="E4771" s="527" t="s">
        <v>6650</v>
      </c>
      <c r="F4771" s="219"/>
    </row>
    <row r="4772" spans="1:6" ht="14.4">
      <c r="A4772">
        <v>39739</v>
      </c>
      <c r="B4772" t="s">
        <v>22889</v>
      </c>
      <c r="C4772" t="s">
        <v>2273</v>
      </c>
      <c r="D4772" t="s">
        <v>1857</v>
      </c>
      <c r="E4772" s="527" t="s">
        <v>13169</v>
      </c>
      <c r="F4772" s="220"/>
    </row>
    <row r="4773" spans="1:6" ht="14.4">
      <c r="A4773">
        <v>39733</v>
      </c>
      <c r="B4773" t="s">
        <v>22890</v>
      </c>
      <c r="C4773" t="s">
        <v>2273</v>
      </c>
      <c r="D4773" t="s">
        <v>1857</v>
      </c>
      <c r="E4773" s="527" t="s">
        <v>15875</v>
      </c>
      <c r="F4773" s="219"/>
    </row>
    <row r="4774" spans="1:6" ht="14.4">
      <c r="A4774">
        <v>39854</v>
      </c>
      <c r="B4774" t="s">
        <v>22891</v>
      </c>
      <c r="C4774" t="s">
        <v>2273</v>
      </c>
      <c r="D4774" t="s">
        <v>1857</v>
      </c>
      <c r="E4774" s="527" t="s">
        <v>22892</v>
      </c>
      <c r="F4774" s="220"/>
    </row>
    <row r="4775" spans="1:6" ht="14.4">
      <c r="A4775">
        <v>39740</v>
      </c>
      <c r="B4775" t="s">
        <v>22893</v>
      </c>
      <c r="C4775" t="s">
        <v>2273</v>
      </c>
      <c r="D4775" t="s">
        <v>1857</v>
      </c>
      <c r="E4775" s="527" t="s">
        <v>12845</v>
      </c>
      <c r="F4775" s="219"/>
    </row>
    <row r="4776" spans="1:6" ht="14.4">
      <c r="A4776">
        <v>39741</v>
      </c>
      <c r="B4776" t="s">
        <v>22894</v>
      </c>
      <c r="C4776" t="s">
        <v>2273</v>
      </c>
      <c r="D4776" t="s">
        <v>1857</v>
      </c>
      <c r="E4776" s="527" t="s">
        <v>9890</v>
      </c>
      <c r="F4776" s="220"/>
    </row>
    <row r="4777" spans="1:6" ht="14.4">
      <c r="A4777">
        <v>39853</v>
      </c>
      <c r="B4777" t="s">
        <v>22895</v>
      </c>
      <c r="C4777" t="s">
        <v>2273</v>
      </c>
      <c r="D4777" t="s">
        <v>1857</v>
      </c>
      <c r="E4777" s="527" t="s">
        <v>16178</v>
      </c>
      <c r="F4777" s="219"/>
    </row>
    <row r="4778" spans="1:6" ht="14.4">
      <c r="A4778">
        <v>39742</v>
      </c>
      <c r="B4778" t="s">
        <v>22896</v>
      </c>
      <c r="C4778" t="s">
        <v>2273</v>
      </c>
      <c r="D4778" t="s">
        <v>1857</v>
      </c>
      <c r="E4778" s="527" t="s">
        <v>10628</v>
      </c>
      <c r="F4778" s="220"/>
    </row>
    <row r="4779" spans="1:6" ht="14.4">
      <c r="A4779">
        <v>39749</v>
      </c>
      <c r="B4779" t="s">
        <v>22897</v>
      </c>
      <c r="C4779" t="s">
        <v>2273</v>
      </c>
      <c r="D4779" t="s">
        <v>2271</v>
      </c>
      <c r="E4779" s="527" t="s">
        <v>22898</v>
      </c>
      <c r="F4779" s="219"/>
    </row>
    <row r="4780" spans="1:6" ht="14.4">
      <c r="A4780">
        <v>39751</v>
      </c>
      <c r="B4780" t="s">
        <v>22899</v>
      </c>
      <c r="C4780" t="s">
        <v>2273</v>
      </c>
      <c r="D4780" t="s">
        <v>2271</v>
      </c>
      <c r="E4780" s="527" t="s">
        <v>22900</v>
      </c>
      <c r="F4780" s="220"/>
    </row>
    <row r="4781" spans="1:6" ht="14.4">
      <c r="A4781">
        <v>39750</v>
      </c>
      <c r="B4781" t="s">
        <v>22901</v>
      </c>
      <c r="C4781" t="s">
        <v>2273</v>
      </c>
      <c r="D4781" t="s">
        <v>2271</v>
      </c>
      <c r="E4781" s="527" t="s">
        <v>22902</v>
      </c>
      <c r="F4781" s="219"/>
    </row>
    <row r="4782" spans="1:6" ht="14.4">
      <c r="A4782">
        <v>39747</v>
      </c>
      <c r="B4782" t="s">
        <v>22903</v>
      </c>
      <c r="C4782" t="s">
        <v>2273</v>
      </c>
      <c r="D4782" t="s">
        <v>2271</v>
      </c>
      <c r="E4782" s="527" t="s">
        <v>22904</v>
      </c>
      <c r="F4782" s="220"/>
    </row>
    <row r="4783" spans="1:6" ht="14.4">
      <c r="A4783">
        <v>39753</v>
      </c>
      <c r="B4783" t="s">
        <v>22905</v>
      </c>
      <c r="C4783" t="s">
        <v>2273</v>
      </c>
      <c r="D4783" t="s">
        <v>2271</v>
      </c>
      <c r="E4783" s="527" t="s">
        <v>22906</v>
      </c>
      <c r="F4783" s="219"/>
    </row>
    <row r="4784" spans="1:6" ht="14.4">
      <c r="A4784">
        <v>39754</v>
      </c>
      <c r="B4784" t="s">
        <v>22907</v>
      </c>
      <c r="C4784" t="s">
        <v>2273</v>
      </c>
      <c r="D4784" t="s">
        <v>2271</v>
      </c>
      <c r="E4784" s="527" t="s">
        <v>22908</v>
      </c>
      <c r="F4784" s="220"/>
    </row>
    <row r="4785" spans="1:6" ht="14.4">
      <c r="A4785">
        <v>39748</v>
      </c>
      <c r="B4785" t="s">
        <v>22909</v>
      </c>
      <c r="C4785" t="s">
        <v>2273</v>
      </c>
      <c r="D4785" t="s">
        <v>2271</v>
      </c>
      <c r="E4785" s="527" t="s">
        <v>22910</v>
      </c>
      <c r="F4785" s="219"/>
    </row>
    <row r="4786" spans="1:6" ht="14.4">
      <c r="A4786">
        <v>39755</v>
      </c>
      <c r="B4786" t="s">
        <v>22911</v>
      </c>
      <c r="C4786" t="s">
        <v>2273</v>
      </c>
      <c r="D4786" t="s">
        <v>2271</v>
      </c>
      <c r="E4786" s="527" t="s">
        <v>22912</v>
      </c>
      <c r="F4786" s="220"/>
    </row>
    <row r="4787" spans="1:6" ht="14.4">
      <c r="A4787">
        <v>12742</v>
      </c>
      <c r="B4787" t="s">
        <v>22913</v>
      </c>
      <c r="C4787" t="s">
        <v>2273</v>
      </c>
      <c r="D4787" t="s">
        <v>2271</v>
      </c>
      <c r="E4787" s="527" t="s">
        <v>22914</v>
      </c>
      <c r="F4787" s="219"/>
    </row>
    <row r="4788" spans="1:6" ht="14.4">
      <c r="A4788">
        <v>12713</v>
      </c>
      <c r="B4788" t="s">
        <v>22915</v>
      </c>
      <c r="C4788" t="s">
        <v>2273</v>
      </c>
      <c r="D4788" t="s">
        <v>2271</v>
      </c>
      <c r="E4788" s="527" t="s">
        <v>12701</v>
      </c>
      <c r="F4788" s="220"/>
    </row>
    <row r="4789" spans="1:6" ht="14.4">
      <c r="A4789">
        <v>12743</v>
      </c>
      <c r="B4789" t="s">
        <v>22916</v>
      </c>
      <c r="C4789" t="s">
        <v>2273</v>
      </c>
      <c r="D4789" t="s">
        <v>2271</v>
      </c>
      <c r="E4789" s="527" t="s">
        <v>22917</v>
      </c>
      <c r="F4789" s="219"/>
    </row>
    <row r="4790" spans="1:6" ht="14.4">
      <c r="A4790">
        <v>12744</v>
      </c>
      <c r="B4790" t="s">
        <v>22918</v>
      </c>
      <c r="C4790" t="s">
        <v>2273</v>
      </c>
      <c r="D4790" t="s">
        <v>2271</v>
      </c>
      <c r="E4790" s="527" t="s">
        <v>22919</v>
      </c>
      <c r="F4790" s="220"/>
    </row>
    <row r="4791" spans="1:6" ht="14.4">
      <c r="A4791">
        <v>12745</v>
      </c>
      <c r="B4791" t="s">
        <v>22920</v>
      </c>
      <c r="C4791" t="s">
        <v>2273</v>
      </c>
      <c r="D4791" t="s">
        <v>2271</v>
      </c>
      <c r="E4791" s="527" t="s">
        <v>22921</v>
      </c>
      <c r="F4791" s="219"/>
    </row>
    <row r="4792" spans="1:6" ht="14.4">
      <c r="A4792">
        <v>12746</v>
      </c>
      <c r="B4792" t="s">
        <v>22922</v>
      </c>
      <c r="C4792" t="s">
        <v>2273</v>
      </c>
      <c r="D4792" t="s">
        <v>2271</v>
      </c>
      <c r="E4792" s="527" t="s">
        <v>22923</v>
      </c>
      <c r="F4792" s="220"/>
    </row>
    <row r="4793" spans="1:6" ht="14.4">
      <c r="A4793">
        <v>12747</v>
      </c>
      <c r="B4793" t="s">
        <v>22924</v>
      </c>
      <c r="C4793" t="s">
        <v>2273</v>
      </c>
      <c r="D4793" t="s">
        <v>2271</v>
      </c>
      <c r="E4793" s="527" t="s">
        <v>22925</v>
      </c>
      <c r="F4793" s="219"/>
    </row>
    <row r="4794" spans="1:6" ht="14.4">
      <c r="A4794">
        <v>12748</v>
      </c>
      <c r="B4794" t="s">
        <v>22926</v>
      </c>
      <c r="C4794" t="s">
        <v>2273</v>
      </c>
      <c r="D4794" t="s">
        <v>2271</v>
      </c>
      <c r="E4794" s="527" t="s">
        <v>22927</v>
      </c>
      <c r="F4794" s="220"/>
    </row>
    <row r="4795" spans="1:6" ht="14.4">
      <c r="A4795">
        <v>12749</v>
      </c>
      <c r="B4795" t="s">
        <v>22928</v>
      </c>
      <c r="C4795" t="s">
        <v>2273</v>
      </c>
      <c r="D4795" t="s">
        <v>2271</v>
      </c>
      <c r="E4795" s="527" t="s">
        <v>22929</v>
      </c>
      <c r="F4795" s="219"/>
    </row>
    <row r="4796" spans="1:6" ht="14.4">
      <c r="A4796">
        <v>39726</v>
      </c>
      <c r="B4796" t="s">
        <v>22930</v>
      </c>
      <c r="C4796" t="s">
        <v>2273</v>
      </c>
      <c r="D4796" t="s">
        <v>2271</v>
      </c>
      <c r="E4796" s="527" t="s">
        <v>22931</v>
      </c>
      <c r="F4796" s="220"/>
    </row>
    <row r="4797" spans="1:6" ht="14.4">
      <c r="A4797">
        <v>39728</v>
      </c>
      <c r="B4797" t="s">
        <v>22932</v>
      </c>
      <c r="C4797" t="s">
        <v>2273</v>
      </c>
      <c r="D4797" t="s">
        <v>2271</v>
      </c>
      <c r="E4797" s="527" t="s">
        <v>22933</v>
      </c>
      <c r="F4797" s="219"/>
    </row>
    <row r="4798" spans="1:6" ht="14.4">
      <c r="A4798">
        <v>39727</v>
      </c>
      <c r="B4798" t="s">
        <v>22934</v>
      </c>
      <c r="C4798" t="s">
        <v>2273</v>
      </c>
      <c r="D4798" t="s">
        <v>2271</v>
      </c>
      <c r="E4798" s="527" t="s">
        <v>22935</v>
      </c>
      <c r="F4798" s="220"/>
    </row>
    <row r="4799" spans="1:6" ht="14.4">
      <c r="A4799">
        <v>39724</v>
      </c>
      <c r="B4799" t="s">
        <v>22936</v>
      </c>
      <c r="C4799" t="s">
        <v>2273</v>
      </c>
      <c r="D4799" t="s">
        <v>2271</v>
      </c>
      <c r="E4799" s="527" t="s">
        <v>22937</v>
      </c>
      <c r="F4799" s="219"/>
    </row>
    <row r="4800" spans="1:6" ht="14.4">
      <c r="A4800">
        <v>39729</v>
      </c>
      <c r="B4800" t="s">
        <v>22938</v>
      </c>
      <c r="C4800" t="s">
        <v>2273</v>
      </c>
      <c r="D4800" t="s">
        <v>2271</v>
      </c>
      <c r="E4800" s="527" t="s">
        <v>22939</v>
      </c>
      <c r="F4800" s="220"/>
    </row>
    <row r="4801" spans="1:6" ht="14.4">
      <c r="A4801">
        <v>39730</v>
      </c>
      <c r="B4801" t="s">
        <v>22940</v>
      </c>
      <c r="C4801" t="s">
        <v>2273</v>
      </c>
      <c r="D4801" t="s">
        <v>2271</v>
      </c>
      <c r="E4801" s="527" t="s">
        <v>22941</v>
      </c>
      <c r="F4801" s="219"/>
    </row>
    <row r="4802" spans="1:6" ht="14.4">
      <c r="A4802">
        <v>39731</v>
      </c>
      <c r="B4802" t="s">
        <v>22942</v>
      </c>
      <c r="C4802" t="s">
        <v>2273</v>
      </c>
      <c r="D4802" t="s">
        <v>2271</v>
      </c>
      <c r="E4802" s="527" t="s">
        <v>22943</v>
      </c>
      <c r="F4802" s="220"/>
    </row>
    <row r="4803" spans="1:6" ht="14.4">
      <c r="A4803">
        <v>39725</v>
      </c>
      <c r="B4803" t="s">
        <v>22944</v>
      </c>
      <c r="C4803" t="s">
        <v>2273</v>
      </c>
      <c r="D4803" t="s">
        <v>2271</v>
      </c>
      <c r="E4803" s="527" t="s">
        <v>22945</v>
      </c>
      <c r="F4803" s="219"/>
    </row>
    <row r="4804" spans="1:6" ht="14.4">
      <c r="A4804">
        <v>39732</v>
      </c>
      <c r="B4804" t="s">
        <v>22946</v>
      </c>
      <c r="C4804" t="s">
        <v>2273</v>
      </c>
      <c r="D4804" t="s">
        <v>2271</v>
      </c>
      <c r="E4804" s="527" t="s">
        <v>22947</v>
      </c>
      <c r="F4804" s="220"/>
    </row>
    <row r="4805" spans="1:6" ht="14.4">
      <c r="A4805">
        <v>39660</v>
      </c>
      <c r="B4805" t="s">
        <v>22948</v>
      </c>
      <c r="C4805" t="s">
        <v>2273</v>
      </c>
      <c r="D4805" t="s">
        <v>2271</v>
      </c>
      <c r="E4805" s="527" t="s">
        <v>18228</v>
      </c>
      <c r="F4805" s="219"/>
    </row>
    <row r="4806" spans="1:6" ht="14.4">
      <c r="A4806">
        <v>39662</v>
      </c>
      <c r="B4806" t="s">
        <v>22949</v>
      </c>
      <c r="C4806" t="s">
        <v>2273</v>
      </c>
      <c r="D4806" t="s">
        <v>2271</v>
      </c>
      <c r="E4806" s="527" t="s">
        <v>16194</v>
      </c>
      <c r="F4806" s="220"/>
    </row>
    <row r="4807" spans="1:6" ht="14.4">
      <c r="A4807">
        <v>39661</v>
      </c>
      <c r="B4807" t="s">
        <v>22950</v>
      </c>
      <c r="C4807" t="s">
        <v>2273</v>
      </c>
      <c r="D4807" t="s">
        <v>2271</v>
      </c>
      <c r="E4807" s="527" t="s">
        <v>9614</v>
      </c>
      <c r="F4807" s="219"/>
    </row>
    <row r="4808" spans="1:6" ht="14.4">
      <c r="A4808">
        <v>39666</v>
      </c>
      <c r="B4808" t="s">
        <v>22951</v>
      </c>
      <c r="C4808" t="s">
        <v>2273</v>
      </c>
      <c r="D4808" t="s">
        <v>2271</v>
      </c>
      <c r="E4808" s="527" t="s">
        <v>22952</v>
      </c>
      <c r="F4808" s="220"/>
    </row>
    <row r="4809" spans="1:6" ht="14.4">
      <c r="A4809">
        <v>39664</v>
      </c>
      <c r="B4809" t="s">
        <v>22953</v>
      </c>
      <c r="C4809" t="s">
        <v>2273</v>
      </c>
      <c r="D4809" t="s">
        <v>2271</v>
      </c>
      <c r="E4809" s="527" t="s">
        <v>10698</v>
      </c>
      <c r="F4809" s="219"/>
    </row>
    <row r="4810" spans="1:6" ht="14.4">
      <c r="A4810">
        <v>39663</v>
      </c>
      <c r="B4810" t="s">
        <v>22954</v>
      </c>
      <c r="C4810" t="s">
        <v>2273</v>
      </c>
      <c r="D4810" t="s">
        <v>2271</v>
      </c>
      <c r="E4810" s="527" t="s">
        <v>9487</v>
      </c>
      <c r="F4810" s="220"/>
    </row>
    <row r="4811" spans="1:6" ht="14.4">
      <c r="A4811">
        <v>39665</v>
      </c>
      <c r="B4811" t="s">
        <v>22955</v>
      </c>
      <c r="C4811" t="s">
        <v>2273</v>
      </c>
      <c r="D4811" t="s">
        <v>2271</v>
      </c>
      <c r="E4811" s="527" t="s">
        <v>10241</v>
      </c>
      <c r="F4811" s="219"/>
    </row>
    <row r="4812" spans="1:6" ht="14.4">
      <c r="A4812">
        <v>39752</v>
      </c>
      <c r="B4812" t="s">
        <v>22956</v>
      </c>
      <c r="C4812" t="s">
        <v>2273</v>
      </c>
      <c r="D4812" t="s">
        <v>2271</v>
      </c>
      <c r="E4812" s="527" t="s">
        <v>22957</v>
      </c>
      <c r="F4812" s="220"/>
    </row>
    <row r="4813" spans="1:6" ht="14.4">
      <c r="A4813">
        <v>7725</v>
      </c>
      <c r="B4813" t="s">
        <v>22958</v>
      </c>
      <c r="C4813" t="s">
        <v>2273</v>
      </c>
      <c r="D4813" t="s">
        <v>2268</v>
      </c>
      <c r="E4813" s="527" t="s">
        <v>22959</v>
      </c>
      <c r="F4813" s="219"/>
    </row>
    <row r="4814" spans="1:6" ht="14.4">
      <c r="A4814">
        <v>7753</v>
      </c>
      <c r="B4814" t="s">
        <v>22960</v>
      </c>
      <c r="C4814" t="s">
        <v>2273</v>
      </c>
      <c r="D4814" t="s">
        <v>1857</v>
      </c>
      <c r="E4814" s="527" t="s">
        <v>22961</v>
      </c>
      <c r="F4814" s="220"/>
    </row>
    <row r="4815" spans="1:6" ht="14.4">
      <c r="A4815">
        <v>13256</v>
      </c>
      <c r="B4815" t="s">
        <v>22962</v>
      </c>
      <c r="C4815" t="s">
        <v>2273</v>
      </c>
      <c r="D4815" t="s">
        <v>1857</v>
      </c>
      <c r="E4815" s="527" t="s">
        <v>22963</v>
      </c>
      <c r="F4815" s="219"/>
    </row>
    <row r="4816" spans="1:6" ht="14.4">
      <c r="A4816">
        <v>7757</v>
      </c>
      <c r="B4816" t="s">
        <v>22964</v>
      </c>
      <c r="C4816" t="s">
        <v>2273</v>
      </c>
      <c r="D4816" t="s">
        <v>1857</v>
      </c>
      <c r="E4816" s="527" t="s">
        <v>22965</v>
      </c>
      <c r="F4816" s="220"/>
    </row>
    <row r="4817" spans="1:6" ht="14.4">
      <c r="A4817">
        <v>7758</v>
      </c>
      <c r="B4817" t="s">
        <v>22966</v>
      </c>
      <c r="C4817" t="s">
        <v>2273</v>
      </c>
      <c r="D4817" t="s">
        <v>1857</v>
      </c>
      <c r="E4817" s="527" t="s">
        <v>22967</v>
      </c>
      <c r="F4817" s="219"/>
    </row>
    <row r="4818" spans="1:6" ht="14.4">
      <c r="A4818">
        <v>7759</v>
      </c>
      <c r="B4818" t="s">
        <v>22968</v>
      </c>
      <c r="C4818" t="s">
        <v>2273</v>
      </c>
      <c r="D4818" t="s">
        <v>1857</v>
      </c>
      <c r="E4818" s="527" t="s">
        <v>22969</v>
      </c>
      <c r="F4818" s="220"/>
    </row>
    <row r="4819" spans="1:6" ht="14.4">
      <c r="A4819">
        <v>40334</v>
      </c>
      <c r="B4819" t="s">
        <v>22970</v>
      </c>
      <c r="C4819" t="s">
        <v>2273</v>
      </c>
      <c r="D4819" t="s">
        <v>1857</v>
      </c>
      <c r="E4819" s="527" t="s">
        <v>15617</v>
      </c>
      <c r="F4819" s="219"/>
    </row>
    <row r="4820" spans="1:6" ht="14.4">
      <c r="A4820">
        <v>7745</v>
      </c>
      <c r="B4820" t="s">
        <v>22971</v>
      </c>
      <c r="C4820" t="s">
        <v>2273</v>
      </c>
      <c r="D4820" t="s">
        <v>1857</v>
      </c>
      <c r="E4820" s="527" t="s">
        <v>17536</v>
      </c>
      <c r="F4820" s="220"/>
    </row>
    <row r="4821" spans="1:6" ht="14.4">
      <c r="A4821">
        <v>7714</v>
      </c>
      <c r="B4821" t="s">
        <v>22972</v>
      </c>
      <c r="C4821" t="s">
        <v>2273</v>
      </c>
      <c r="D4821" t="s">
        <v>1857</v>
      </c>
      <c r="E4821" s="527" t="s">
        <v>22973</v>
      </c>
      <c r="F4821" s="219"/>
    </row>
    <row r="4822" spans="1:6" ht="14.4">
      <c r="A4822">
        <v>7742</v>
      </c>
      <c r="B4822" t="s">
        <v>22974</v>
      </c>
      <c r="C4822" t="s">
        <v>2273</v>
      </c>
      <c r="D4822" t="s">
        <v>1857</v>
      </c>
      <c r="E4822" s="527" t="s">
        <v>22975</v>
      </c>
      <c r="F4822" s="220"/>
    </row>
    <row r="4823" spans="1:6" ht="14.4">
      <c r="A4823">
        <v>7750</v>
      </c>
      <c r="B4823" t="s">
        <v>22976</v>
      </c>
      <c r="C4823" t="s">
        <v>2273</v>
      </c>
      <c r="D4823" t="s">
        <v>1857</v>
      </c>
      <c r="E4823" s="527" t="s">
        <v>22977</v>
      </c>
      <c r="F4823" s="219"/>
    </row>
    <row r="4824" spans="1:6" ht="14.4">
      <c r="A4824">
        <v>7756</v>
      </c>
      <c r="B4824" t="s">
        <v>22978</v>
      </c>
      <c r="C4824" t="s">
        <v>2273</v>
      </c>
      <c r="D4824" t="s">
        <v>1857</v>
      </c>
      <c r="E4824" s="527" t="s">
        <v>22979</v>
      </c>
      <c r="F4824" s="220"/>
    </row>
    <row r="4825" spans="1:6" ht="14.4">
      <c r="A4825">
        <v>7765</v>
      </c>
      <c r="B4825" t="s">
        <v>22980</v>
      </c>
      <c r="C4825" t="s">
        <v>2273</v>
      </c>
      <c r="D4825" t="s">
        <v>1857</v>
      </c>
      <c r="E4825" s="527" t="s">
        <v>22981</v>
      </c>
      <c r="F4825" s="219"/>
    </row>
    <row r="4826" spans="1:6" ht="14.4">
      <c r="A4826">
        <v>12569</v>
      </c>
      <c r="B4826" t="s">
        <v>22982</v>
      </c>
      <c r="C4826" t="s">
        <v>2273</v>
      </c>
      <c r="D4826" t="s">
        <v>1857</v>
      </c>
      <c r="E4826" s="527" t="s">
        <v>22983</v>
      </c>
      <c r="F4826" s="220"/>
    </row>
    <row r="4827" spans="1:6" ht="14.4">
      <c r="A4827">
        <v>7766</v>
      </c>
      <c r="B4827" t="s">
        <v>22984</v>
      </c>
      <c r="C4827" t="s">
        <v>2273</v>
      </c>
      <c r="D4827" t="s">
        <v>1857</v>
      </c>
      <c r="E4827" s="527" t="s">
        <v>22985</v>
      </c>
      <c r="F4827" s="219"/>
    </row>
    <row r="4828" spans="1:6" ht="14.4">
      <c r="A4828">
        <v>7767</v>
      </c>
      <c r="B4828" t="s">
        <v>22986</v>
      </c>
      <c r="C4828" t="s">
        <v>2273</v>
      </c>
      <c r="D4828" t="s">
        <v>1857</v>
      </c>
      <c r="E4828" s="527" t="s">
        <v>22987</v>
      </c>
      <c r="F4828" s="220"/>
    </row>
    <row r="4829" spans="1:6" ht="14.4">
      <c r="A4829">
        <v>7727</v>
      </c>
      <c r="B4829" t="s">
        <v>22988</v>
      </c>
      <c r="C4829" t="s">
        <v>2273</v>
      </c>
      <c r="D4829" t="s">
        <v>1857</v>
      </c>
      <c r="E4829" s="527" t="s">
        <v>22989</v>
      </c>
      <c r="F4829" s="219"/>
    </row>
    <row r="4830" spans="1:6" ht="14.4">
      <c r="A4830">
        <v>7760</v>
      </c>
      <c r="B4830" t="s">
        <v>22990</v>
      </c>
      <c r="C4830" t="s">
        <v>2273</v>
      </c>
      <c r="D4830" t="s">
        <v>1857</v>
      </c>
      <c r="E4830" s="527" t="s">
        <v>16223</v>
      </c>
      <c r="F4830" s="220"/>
    </row>
    <row r="4831" spans="1:6" ht="14.4">
      <c r="A4831">
        <v>7761</v>
      </c>
      <c r="B4831" t="s">
        <v>22991</v>
      </c>
      <c r="C4831" t="s">
        <v>2273</v>
      </c>
      <c r="D4831" t="s">
        <v>1857</v>
      </c>
      <c r="E4831" s="527" t="s">
        <v>22992</v>
      </c>
      <c r="F4831" s="219"/>
    </row>
    <row r="4832" spans="1:6" ht="14.4">
      <c r="A4832">
        <v>7752</v>
      </c>
      <c r="B4832" t="s">
        <v>22993</v>
      </c>
      <c r="C4832" t="s">
        <v>2273</v>
      </c>
      <c r="D4832" t="s">
        <v>1857</v>
      </c>
      <c r="E4832" s="527" t="s">
        <v>22083</v>
      </c>
      <c r="F4832" s="220"/>
    </row>
    <row r="4833" spans="1:6" ht="14.4">
      <c r="A4833">
        <v>7762</v>
      </c>
      <c r="B4833" t="s">
        <v>22994</v>
      </c>
      <c r="C4833" t="s">
        <v>2273</v>
      </c>
      <c r="D4833" t="s">
        <v>1857</v>
      </c>
      <c r="E4833" s="527" t="s">
        <v>22995</v>
      </c>
      <c r="F4833" s="219"/>
    </row>
    <row r="4834" spans="1:6" ht="14.4">
      <c r="A4834">
        <v>7722</v>
      </c>
      <c r="B4834" t="s">
        <v>22996</v>
      </c>
      <c r="C4834" t="s">
        <v>2273</v>
      </c>
      <c r="D4834" t="s">
        <v>1857</v>
      </c>
      <c r="E4834" s="527" t="s">
        <v>22997</v>
      </c>
      <c r="F4834" s="220"/>
    </row>
    <row r="4835" spans="1:6" ht="14.4">
      <c r="A4835">
        <v>7763</v>
      </c>
      <c r="B4835" t="s">
        <v>22998</v>
      </c>
      <c r="C4835" t="s">
        <v>2273</v>
      </c>
      <c r="D4835" t="s">
        <v>1857</v>
      </c>
      <c r="E4835" s="527" t="s">
        <v>17795</v>
      </c>
      <c r="F4835" s="219"/>
    </row>
    <row r="4836" spans="1:6" ht="14.4">
      <c r="A4836">
        <v>7764</v>
      </c>
      <c r="B4836" t="s">
        <v>22999</v>
      </c>
      <c r="C4836" t="s">
        <v>2273</v>
      </c>
      <c r="D4836" t="s">
        <v>1857</v>
      </c>
      <c r="E4836" s="527" t="s">
        <v>23000</v>
      </c>
      <c r="F4836" s="220"/>
    </row>
    <row r="4837" spans="1:6" ht="14.4">
      <c r="A4837">
        <v>12572</v>
      </c>
      <c r="B4837" t="s">
        <v>23001</v>
      </c>
      <c r="C4837" t="s">
        <v>2273</v>
      </c>
      <c r="D4837" t="s">
        <v>1857</v>
      </c>
      <c r="E4837" s="527" t="s">
        <v>22963</v>
      </c>
      <c r="F4837" s="219"/>
    </row>
    <row r="4838" spans="1:6" ht="14.4">
      <c r="A4838">
        <v>12573</v>
      </c>
      <c r="B4838" t="s">
        <v>23002</v>
      </c>
      <c r="C4838" t="s">
        <v>2273</v>
      </c>
      <c r="D4838" t="s">
        <v>1857</v>
      </c>
      <c r="E4838" s="527" t="s">
        <v>23003</v>
      </c>
      <c r="F4838" s="220"/>
    </row>
    <row r="4839" spans="1:6" ht="14.4">
      <c r="A4839">
        <v>12574</v>
      </c>
      <c r="B4839" t="s">
        <v>23004</v>
      </c>
      <c r="C4839" t="s">
        <v>2273</v>
      </c>
      <c r="D4839" t="s">
        <v>1857</v>
      </c>
      <c r="E4839" s="527" t="s">
        <v>23005</v>
      </c>
      <c r="F4839" s="219"/>
    </row>
    <row r="4840" spans="1:6" ht="14.4">
      <c r="A4840">
        <v>12575</v>
      </c>
      <c r="B4840" t="s">
        <v>23006</v>
      </c>
      <c r="C4840" t="s">
        <v>2273</v>
      </c>
      <c r="D4840" t="s">
        <v>1857</v>
      </c>
      <c r="E4840" s="527" t="s">
        <v>23007</v>
      </c>
      <c r="F4840" s="220"/>
    </row>
    <row r="4841" spans="1:6" ht="14.4">
      <c r="A4841">
        <v>12576</v>
      </c>
      <c r="B4841" t="s">
        <v>23008</v>
      </c>
      <c r="C4841" t="s">
        <v>2273</v>
      </c>
      <c r="D4841" t="s">
        <v>1857</v>
      </c>
      <c r="E4841" s="527" t="s">
        <v>23009</v>
      </c>
      <c r="F4841" s="219"/>
    </row>
    <row r="4842" spans="1:6" ht="14.4">
      <c r="A4842">
        <v>12577</v>
      </c>
      <c r="B4842" t="s">
        <v>23010</v>
      </c>
      <c r="C4842" t="s">
        <v>2273</v>
      </c>
      <c r="D4842" t="s">
        <v>1857</v>
      </c>
      <c r="E4842" s="527" t="s">
        <v>23011</v>
      </c>
      <c r="F4842" s="220"/>
    </row>
    <row r="4843" spans="1:6" ht="14.4">
      <c r="A4843">
        <v>12578</v>
      </c>
      <c r="B4843" t="s">
        <v>23012</v>
      </c>
      <c r="C4843" t="s">
        <v>2273</v>
      </c>
      <c r="D4843" t="s">
        <v>1857</v>
      </c>
      <c r="E4843" s="527" t="s">
        <v>23013</v>
      </c>
      <c r="F4843" s="219"/>
    </row>
    <row r="4844" spans="1:6" ht="14.4">
      <c r="A4844">
        <v>12579</v>
      </c>
      <c r="B4844" t="s">
        <v>23014</v>
      </c>
      <c r="C4844" t="s">
        <v>2273</v>
      </c>
      <c r="D4844" t="s">
        <v>1857</v>
      </c>
      <c r="E4844" s="527" t="s">
        <v>23015</v>
      </c>
      <c r="F4844" s="220"/>
    </row>
    <row r="4845" spans="1:6" ht="14.4">
      <c r="A4845">
        <v>12580</v>
      </c>
      <c r="B4845" t="s">
        <v>23016</v>
      </c>
      <c r="C4845" t="s">
        <v>2273</v>
      </c>
      <c r="D4845" t="s">
        <v>1857</v>
      </c>
      <c r="E4845" s="527" t="s">
        <v>23017</v>
      </c>
      <c r="F4845" s="219"/>
    </row>
    <row r="4846" spans="1:6" ht="14.4">
      <c r="A4846">
        <v>12581</v>
      </c>
      <c r="B4846" t="s">
        <v>23018</v>
      </c>
      <c r="C4846" t="s">
        <v>2273</v>
      </c>
      <c r="D4846" t="s">
        <v>1857</v>
      </c>
      <c r="E4846" s="527" t="s">
        <v>23019</v>
      </c>
      <c r="F4846" s="220"/>
    </row>
    <row r="4847" spans="1:6" ht="14.4">
      <c r="A4847">
        <v>7720</v>
      </c>
      <c r="B4847" t="s">
        <v>23020</v>
      </c>
      <c r="C4847" t="s">
        <v>2273</v>
      </c>
      <c r="D4847" t="s">
        <v>1857</v>
      </c>
      <c r="E4847" s="527" t="s">
        <v>23021</v>
      </c>
      <c r="F4847" s="219"/>
    </row>
    <row r="4848" spans="1:6" ht="14.4">
      <c r="A4848">
        <v>40335</v>
      </c>
      <c r="B4848" t="s">
        <v>23022</v>
      </c>
      <c r="C4848" t="s">
        <v>2273</v>
      </c>
      <c r="D4848" t="s">
        <v>1857</v>
      </c>
      <c r="E4848" s="527" t="s">
        <v>23023</v>
      </c>
      <c r="F4848" s="220"/>
    </row>
    <row r="4849" spans="1:6" ht="14.4">
      <c r="A4849">
        <v>7740</v>
      </c>
      <c r="B4849" t="s">
        <v>23024</v>
      </c>
      <c r="C4849" t="s">
        <v>2273</v>
      </c>
      <c r="D4849" t="s">
        <v>1857</v>
      </c>
      <c r="E4849" s="527" t="s">
        <v>23025</v>
      </c>
      <c r="F4849" s="219"/>
    </row>
    <row r="4850" spans="1:6" ht="14.4">
      <c r="A4850">
        <v>7741</v>
      </c>
      <c r="B4850" t="s">
        <v>23026</v>
      </c>
      <c r="C4850" t="s">
        <v>2273</v>
      </c>
      <c r="D4850" t="s">
        <v>1857</v>
      </c>
      <c r="E4850" s="527" t="s">
        <v>23027</v>
      </c>
      <c r="F4850" s="220"/>
    </row>
    <row r="4851" spans="1:6" ht="14.4">
      <c r="A4851">
        <v>7774</v>
      </c>
      <c r="B4851" t="s">
        <v>23028</v>
      </c>
      <c r="C4851" t="s">
        <v>2273</v>
      </c>
      <c r="D4851" t="s">
        <v>1857</v>
      </c>
      <c r="E4851" s="527" t="s">
        <v>23029</v>
      </c>
      <c r="F4851" s="219"/>
    </row>
    <row r="4852" spans="1:6" ht="14.4">
      <c r="A4852">
        <v>7744</v>
      </c>
      <c r="B4852" t="s">
        <v>23030</v>
      </c>
      <c r="C4852" t="s">
        <v>2273</v>
      </c>
      <c r="D4852" t="s">
        <v>1857</v>
      </c>
      <c r="E4852" s="527" t="s">
        <v>23031</v>
      </c>
      <c r="F4852" s="220"/>
    </row>
    <row r="4853" spans="1:6" ht="14.4">
      <c r="A4853">
        <v>7773</v>
      </c>
      <c r="B4853" t="s">
        <v>23032</v>
      </c>
      <c r="C4853" t="s">
        <v>2273</v>
      </c>
      <c r="D4853" t="s">
        <v>1857</v>
      </c>
      <c r="E4853" s="527" t="s">
        <v>23033</v>
      </c>
      <c r="F4853" s="219"/>
    </row>
    <row r="4854" spans="1:6" ht="14.4">
      <c r="A4854">
        <v>7754</v>
      </c>
      <c r="B4854" t="s">
        <v>23034</v>
      </c>
      <c r="C4854" t="s">
        <v>2273</v>
      </c>
      <c r="D4854" t="s">
        <v>1857</v>
      </c>
      <c r="E4854" s="527" t="s">
        <v>23035</v>
      </c>
      <c r="F4854" s="220"/>
    </row>
    <row r="4855" spans="1:6" ht="14.4">
      <c r="A4855">
        <v>7735</v>
      </c>
      <c r="B4855" t="s">
        <v>23036</v>
      </c>
      <c r="C4855" t="s">
        <v>2273</v>
      </c>
      <c r="D4855" t="s">
        <v>1857</v>
      </c>
      <c r="E4855" s="527" t="s">
        <v>23037</v>
      </c>
      <c r="F4855" s="219"/>
    </row>
    <row r="4856" spans="1:6" ht="14.4">
      <c r="A4856">
        <v>7755</v>
      </c>
      <c r="B4856" t="s">
        <v>23038</v>
      </c>
      <c r="C4856" t="s">
        <v>2273</v>
      </c>
      <c r="D4856" t="s">
        <v>1857</v>
      </c>
      <c r="E4856" s="527" t="s">
        <v>23039</v>
      </c>
      <c r="F4856" s="220"/>
    </row>
    <row r="4857" spans="1:6" ht="14.4">
      <c r="A4857">
        <v>7776</v>
      </c>
      <c r="B4857" t="s">
        <v>23040</v>
      </c>
      <c r="C4857" t="s">
        <v>2273</v>
      </c>
      <c r="D4857" t="s">
        <v>1857</v>
      </c>
      <c r="E4857" s="527" t="s">
        <v>23041</v>
      </c>
      <c r="F4857" s="219"/>
    </row>
    <row r="4858" spans="1:6" ht="14.4">
      <c r="A4858">
        <v>7743</v>
      </c>
      <c r="B4858" t="s">
        <v>23042</v>
      </c>
      <c r="C4858" t="s">
        <v>2273</v>
      </c>
      <c r="D4858" t="s">
        <v>1857</v>
      </c>
      <c r="E4858" s="527" t="s">
        <v>23043</v>
      </c>
      <c r="F4858" s="220"/>
    </row>
    <row r="4859" spans="1:6" ht="14.4">
      <c r="A4859">
        <v>7733</v>
      </c>
      <c r="B4859" t="s">
        <v>23044</v>
      </c>
      <c r="C4859" t="s">
        <v>2273</v>
      </c>
      <c r="D4859" t="s">
        <v>1857</v>
      </c>
      <c r="E4859" s="527" t="s">
        <v>23045</v>
      </c>
      <c r="F4859" s="219"/>
    </row>
    <row r="4860" spans="1:6" ht="14.4">
      <c r="A4860">
        <v>7775</v>
      </c>
      <c r="B4860" t="s">
        <v>23046</v>
      </c>
      <c r="C4860" t="s">
        <v>2273</v>
      </c>
      <c r="D4860" t="s">
        <v>1857</v>
      </c>
      <c r="E4860" s="527" t="s">
        <v>23047</v>
      </c>
      <c r="F4860" s="220"/>
    </row>
    <row r="4861" spans="1:6" ht="14.4">
      <c r="A4861">
        <v>7734</v>
      </c>
      <c r="B4861" t="s">
        <v>23048</v>
      </c>
      <c r="C4861" t="s">
        <v>2273</v>
      </c>
      <c r="D4861" t="s">
        <v>1857</v>
      </c>
      <c r="E4861" s="527" t="s">
        <v>23049</v>
      </c>
      <c r="F4861" s="219"/>
    </row>
    <row r="4862" spans="1:6" ht="14.4">
      <c r="A4862">
        <v>37449</v>
      </c>
      <c r="B4862" t="s">
        <v>23050</v>
      </c>
      <c r="C4862" t="s">
        <v>2273</v>
      </c>
      <c r="D4862" t="s">
        <v>2271</v>
      </c>
      <c r="E4862" s="527" t="s">
        <v>23051</v>
      </c>
      <c r="F4862" s="220"/>
    </row>
    <row r="4863" spans="1:6" ht="14.4">
      <c r="A4863">
        <v>37450</v>
      </c>
      <c r="B4863" t="s">
        <v>23052</v>
      </c>
      <c r="C4863" t="s">
        <v>2273</v>
      </c>
      <c r="D4863" t="s">
        <v>2271</v>
      </c>
      <c r="E4863" s="527" t="s">
        <v>16266</v>
      </c>
      <c r="F4863" s="219"/>
    </row>
    <row r="4864" spans="1:6" ht="14.4">
      <c r="A4864">
        <v>37451</v>
      </c>
      <c r="B4864" t="s">
        <v>23053</v>
      </c>
      <c r="C4864" t="s">
        <v>2273</v>
      </c>
      <c r="D4864" t="s">
        <v>2271</v>
      </c>
      <c r="E4864" s="527" t="s">
        <v>23054</v>
      </c>
      <c r="F4864" s="220"/>
    </row>
    <row r="4865" spans="1:6" ht="14.4">
      <c r="A4865">
        <v>37452</v>
      </c>
      <c r="B4865" t="s">
        <v>23055</v>
      </c>
      <c r="C4865" t="s">
        <v>2273</v>
      </c>
      <c r="D4865" t="s">
        <v>2271</v>
      </c>
      <c r="E4865" s="527" t="s">
        <v>15135</v>
      </c>
      <c r="F4865" s="219"/>
    </row>
    <row r="4866" spans="1:6" ht="14.4">
      <c r="A4866">
        <v>37453</v>
      </c>
      <c r="B4866" t="s">
        <v>23056</v>
      </c>
      <c r="C4866" t="s">
        <v>2273</v>
      </c>
      <c r="D4866" t="s">
        <v>2271</v>
      </c>
      <c r="E4866" s="527" t="s">
        <v>23057</v>
      </c>
      <c r="F4866" s="220"/>
    </row>
    <row r="4867" spans="1:6" ht="14.4">
      <c r="A4867">
        <v>7778</v>
      </c>
      <c r="B4867" t="s">
        <v>23058</v>
      </c>
      <c r="C4867" t="s">
        <v>2273</v>
      </c>
      <c r="D4867" t="s">
        <v>2271</v>
      </c>
      <c r="E4867" s="527" t="s">
        <v>10030</v>
      </c>
      <c r="F4867" s="219"/>
    </row>
    <row r="4868" spans="1:6" ht="14.4">
      <c r="A4868">
        <v>7796</v>
      </c>
      <c r="B4868" t="s">
        <v>23059</v>
      </c>
      <c r="C4868" t="s">
        <v>2273</v>
      </c>
      <c r="D4868" t="s">
        <v>2271</v>
      </c>
      <c r="E4868" s="527" t="s">
        <v>23060</v>
      </c>
      <c r="F4868" s="220"/>
    </row>
    <row r="4869" spans="1:6" ht="14.4">
      <c r="A4869">
        <v>7781</v>
      </c>
      <c r="B4869" t="s">
        <v>23061</v>
      </c>
      <c r="C4869" t="s">
        <v>2273</v>
      </c>
      <c r="D4869" t="s">
        <v>2271</v>
      </c>
      <c r="E4869" s="527" t="s">
        <v>15843</v>
      </c>
      <c r="F4869" s="219"/>
    </row>
    <row r="4870" spans="1:6" ht="14.4">
      <c r="A4870">
        <v>7795</v>
      </c>
      <c r="B4870" t="s">
        <v>23062</v>
      </c>
      <c r="C4870" t="s">
        <v>2273</v>
      </c>
      <c r="D4870" t="s">
        <v>2271</v>
      </c>
      <c r="E4870" s="527" t="s">
        <v>19896</v>
      </c>
      <c r="F4870" s="220"/>
    </row>
    <row r="4871" spans="1:6" ht="14.4">
      <c r="A4871">
        <v>7791</v>
      </c>
      <c r="B4871" t="s">
        <v>23063</v>
      </c>
      <c r="C4871" t="s">
        <v>2273</v>
      </c>
      <c r="D4871" t="s">
        <v>2271</v>
      </c>
      <c r="E4871" s="527" t="s">
        <v>16563</v>
      </c>
      <c r="F4871" s="219"/>
    </row>
    <row r="4872" spans="1:6" ht="14.4">
      <c r="A4872">
        <v>7783</v>
      </c>
      <c r="B4872" t="s">
        <v>23064</v>
      </c>
      <c r="C4872" t="s">
        <v>2273</v>
      </c>
      <c r="D4872" t="s">
        <v>2271</v>
      </c>
      <c r="E4872" s="527" t="s">
        <v>16545</v>
      </c>
      <c r="F4872" s="220"/>
    </row>
    <row r="4873" spans="1:6" ht="14.4">
      <c r="A4873">
        <v>7790</v>
      </c>
      <c r="B4873" t="s">
        <v>23065</v>
      </c>
      <c r="C4873" t="s">
        <v>2273</v>
      </c>
      <c r="D4873" t="s">
        <v>2271</v>
      </c>
      <c r="E4873" s="527" t="s">
        <v>11455</v>
      </c>
      <c r="F4873" s="219"/>
    </row>
    <row r="4874" spans="1:6" ht="14.4">
      <c r="A4874">
        <v>7785</v>
      </c>
      <c r="B4874" t="s">
        <v>23066</v>
      </c>
      <c r="C4874" t="s">
        <v>2273</v>
      </c>
      <c r="D4874" t="s">
        <v>2271</v>
      </c>
      <c r="E4874" s="527" t="s">
        <v>23067</v>
      </c>
      <c r="F4874" s="220"/>
    </row>
    <row r="4875" spans="1:6" ht="14.4">
      <c r="A4875">
        <v>7792</v>
      </c>
      <c r="B4875" t="s">
        <v>23068</v>
      </c>
      <c r="C4875" t="s">
        <v>2273</v>
      </c>
      <c r="D4875" t="s">
        <v>2271</v>
      </c>
      <c r="E4875" s="527" t="s">
        <v>16221</v>
      </c>
      <c r="F4875" s="219"/>
    </row>
    <row r="4876" spans="1:6" ht="14.4">
      <c r="A4876">
        <v>7793</v>
      </c>
      <c r="B4876" t="s">
        <v>23069</v>
      </c>
      <c r="C4876" t="s">
        <v>2273</v>
      </c>
      <c r="D4876" t="s">
        <v>2271</v>
      </c>
      <c r="E4876" s="527" t="s">
        <v>16213</v>
      </c>
      <c r="F4876" s="220"/>
    </row>
    <row r="4877" spans="1:6" ht="14.4">
      <c r="A4877">
        <v>13159</v>
      </c>
      <c r="B4877" t="s">
        <v>23070</v>
      </c>
      <c r="C4877" t="s">
        <v>2273</v>
      </c>
      <c r="D4877" t="s">
        <v>2271</v>
      </c>
      <c r="E4877" s="527" t="s">
        <v>23071</v>
      </c>
      <c r="F4877" s="219"/>
    </row>
    <row r="4878" spans="1:6" ht="14.4">
      <c r="A4878">
        <v>13168</v>
      </c>
      <c r="B4878" t="s">
        <v>23072</v>
      </c>
      <c r="C4878" t="s">
        <v>2273</v>
      </c>
      <c r="D4878" t="s">
        <v>2271</v>
      </c>
      <c r="E4878" s="527" t="s">
        <v>13333</v>
      </c>
      <c r="F4878" s="220"/>
    </row>
    <row r="4879" spans="1:6" ht="14.4">
      <c r="A4879">
        <v>13173</v>
      </c>
      <c r="B4879" t="s">
        <v>23073</v>
      </c>
      <c r="C4879" t="s">
        <v>2273</v>
      </c>
      <c r="D4879" t="s">
        <v>2271</v>
      </c>
      <c r="E4879" s="527" t="s">
        <v>23074</v>
      </c>
      <c r="F4879" s="219"/>
    </row>
    <row r="4880" spans="1:6" ht="14.4">
      <c r="A4880">
        <v>12583</v>
      </c>
      <c r="B4880" t="s">
        <v>23075</v>
      </c>
      <c r="C4880" t="s">
        <v>2273</v>
      </c>
      <c r="D4880" t="s">
        <v>2271</v>
      </c>
      <c r="E4880" s="527" t="s">
        <v>10410</v>
      </c>
      <c r="F4880" s="220"/>
    </row>
    <row r="4881" spans="1:6" ht="14.4">
      <c r="A4881">
        <v>12584</v>
      </c>
      <c r="B4881" t="s">
        <v>23076</v>
      </c>
      <c r="C4881" t="s">
        <v>2273</v>
      </c>
      <c r="D4881" t="s">
        <v>2271</v>
      </c>
      <c r="E4881" s="527" t="s">
        <v>16468</v>
      </c>
      <c r="F4881" s="219"/>
    </row>
    <row r="4882" spans="1:6" ht="14.4">
      <c r="A4882">
        <v>12613</v>
      </c>
      <c r="B4882" t="s">
        <v>23077</v>
      </c>
      <c r="C4882" t="s">
        <v>2269</v>
      </c>
      <c r="D4882" t="s">
        <v>1857</v>
      </c>
      <c r="E4882" s="527" t="s">
        <v>23078</v>
      </c>
      <c r="F4882" s="220"/>
    </row>
    <row r="4883" spans="1:6" ht="14.4">
      <c r="A4883">
        <v>1031</v>
      </c>
      <c r="B4883" t="s">
        <v>23079</v>
      </c>
      <c r="C4883" t="s">
        <v>2269</v>
      </c>
      <c r="D4883" t="s">
        <v>1857</v>
      </c>
      <c r="E4883" s="527" t="s">
        <v>7339</v>
      </c>
      <c r="F4883" s="219"/>
    </row>
    <row r="4884" spans="1:6" ht="14.4">
      <c r="A4884">
        <v>39707</v>
      </c>
      <c r="B4884" t="s">
        <v>23080</v>
      </c>
      <c r="C4884" t="s">
        <v>2273</v>
      </c>
      <c r="D4884" t="s">
        <v>1857</v>
      </c>
      <c r="E4884" s="527" t="s">
        <v>10068</v>
      </c>
      <c r="F4884" s="220"/>
    </row>
    <row r="4885" spans="1:6" ht="14.4">
      <c r="A4885">
        <v>39708</v>
      </c>
      <c r="B4885" t="s">
        <v>23081</v>
      </c>
      <c r="C4885" t="s">
        <v>2273</v>
      </c>
      <c r="D4885" t="s">
        <v>1857</v>
      </c>
      <c r="E4885" s="527" t="s">
        <v>3336</v>
      </c>
      <c r="F4885" s="219"/>
    </row>
    <row r="4886" spans="1:6" ht="14.4">
      <c r="A4886">
        <v>39710</v>
      </c>
      <c r="B4886" t="s">
        <v>23082</v>
      </c>
      <c r="C4886" t="s">
        <v>2273</v>
      </c>
      <c r="D4886" t="s">
        <v>1857</v>
      </c>
      <c r="E4886" s="527" t="s">
        <v>3772</v>
      </c>
      <c r="F4886" s="220"/>
    </row>
    <row r="4887" spans="1:6" ht="14.4">
      <c r="A4887">
        <v>39709</v>
      </c>
      <c r="B4887" t="s">
        <v>23083</v>
      </c>
      <c r="C4887" t="s">
        <v>2273</v>
      </c>
      <c r="D4887" t="s">
        <v>1857</v>
      </c>
      <c r="E4887" s="527" t="s">
        <v>7293</v>
      </c>
      <c r="F4887" s="219"/>
    </row>
    <row r="4888" spans="1:6" ht="14.4">
      <c r="A4888">
        <v>39711</v>
      </c>
      <c r="B4888" t="s">
        <v>23084</v>
      </c>
      <c r="C4888" t="s">
        <v>2273</v>
      </c>
      <c r="D4888" t="s">
        <v>1857</v>
      </c>
      <c r="E4888" s="527" t="s">
        <v>7543</v>
      </c>
      <c r="F4888" s="220"/>
    </row>
    <row r="4889" spans="1:6" ht="14.4">
      <c r="A4889">
        <v>39712</v>
      </c>
      <c r="B4889" t="s">
        <v>23085</v>
      </c>
      <c r="C4889" t="s">
        <v>2273</v>
      </c>
      <c r="D4889" t="s">
        <v>2268</v>
      </c>
      <c r="E4889" s="527" t="s">
        <v>7366</v>
      </c>
      <c r="F4889" s="219"/>
    </row>
    <row r="4890" spans="1:6" ht="14.4">
      <c r="A4890">
        <v>39713</v>
      </c>
      <c r="B4890" t="s">
        <v>23086</v>
      </c>
      <c r="C4890" t="s">
        <v>2273</v>
      </c>
      <c r="D4890" t="s">
        <v>1857</v>
      </c>
      <c r="E4890" s="527" t="s">
        <v>6406</v>
      </c>
      <c r="F4890" s="220"/>
    </row>
    <row r="4891" spans="1:6" ht="14.4">
      <c r="A4891">
        <v>39714</v>
      </c>
      <c r="B4891" t="s">
        <v>23087</v>
      </c>
      <c r="C4891" t="s">
        <v>2273</v>
      </c>
      <c r="D4891" t="s">
        <v>1857</v>
      </c>
      <c r="E4891" s="527" t="s">
        <v>7470</v>
      </c>
      <c r="F4891" s="219"/>
    </row>
    <row r="4892" spans="1:6" ht="14.4">
      <c r="A4892">
        <v>39715</v>
      </c>
      <c r="B4892" t="s">
        <v>23088</v>
      </c>
      <c r="C4892" t="s">
        <v>2273</v>
      </c>
      <c r="D4892" t="s">
        <v>1857</v>
      </c>
      <c r="E4892" s="527" t="s">
        <v>6419</v>
      </c>
      <c r="F4892" s="220"/>
    </row>
    <row r="4893" spans="1:6" ht="14.4">
      <c r="A4893">
        <v>39716</v>
      </c>
      <c r="B4893" t="s">
        <v>23089</v>
      </c>
      <c r="C4893" t="s">
        <v>2273</v>
      </c>
      <c r="D4893" t="s">
        <v>1857</v>
      </c>
      <c r="E4893" s="527" t="s">
        <v>7334</v>
      </c>
      <c r="F4893" s="219"/>
    </row>
    <row r="4894" spans="1:6" ht="14.4">
      <c r="A4894">
        <v>39718</v>
      </c>
      <c r="B4894" t="s">
        <v>23090</v>
      </c>
      <c r="C4894" t="s">
        <v>2273</v>
      </c>
      <c r="D4894" t="s">
        <v>1857</v>
      </c>
      <c r="E4894" s="527" t="s">
        <v>3971</v>
      </c>
      <c r="F4894" s="220"/>
    </row>
    <row r="4895" spans="1:6" ht="14.4">
      <c r="A4895">
        <v>9813</v>
      </c>
      <c r="B4895" t="s">
        <v>23091</v>
      </c>
      <c r="C4895" t="s">
        <v>2273</v>
      </c>
      <c r="D4895" t="s">
        <v>2271</v>
      </c>
      <c r="E4895" s="527" t="s">
        <v>7727</v>
      </c>
      <c r="F4895" s="219"/>
    </row>
    <row r="4896" spans="1:6" ht="14.4">
      <c r="A4896">
        <v>9815</v>
      </c>
      <c r="B4896" t="s">
        <v>23092</v>
      </c>
      <c r="C4896" t="s">
        <v>2273</v>
      </c>
      <c r="D4896" t="s">
        <v>2271</v>
      </c>
      <c r="E4896" s="527" t="s">
        <v>10115</v>
      </c>
      <c r="F4896" s="220"/>
    </row>
    <row r="4897" spans="1:6" ht="14.4">
      <c r="A4897">
        <v>25876</v>
      </c>
      <c r="B4897" t="s">
        <v>23093</v>
      </c>
      <c r="C4897" t="s">
        <v>2273</v>
      </c>
      <c r="D4897" t="s">
        <v>2271</v>
      </c>
      <c r="E4897" s="527" t="s">
        <v>23094</v>
      </c>
      <c r="F4897" s="219"/>
    </row>
    <row r="4898" spans="1:6" ht="14.4">
      <c r="A4898">
        <v>25888</v>
      </c>
      <c r="B4898" t="s">
        <v>23095</v>
      </c>
      <c r="C4898" t="s">
        <v>2273</v>
      </c>
      <c r="D4898" t="s">
        <v>2271</v>
      </c>
      <c r="E4898" s="527" t="s">
        <v>21232</v>
      </c>
      <c r="F4898" s="220"/>
    </row>
    <row r="4899" spans="1:6" ht="14.4">
      <c r="A4899">
        <v>25874</v>
      </c>
      <c r="B4899" t="s">
        <v>23096</v>
      </c>
      <c r="C4899" t="s">
        <v>2273</v>
      </c>
      <c r="D4899" t="s">
        <v>2271</v>
      </c>
      <c r="E4899" s="527" t="s">
        <v>23097</v>
      </c>
      <c r="F4899" s="219"/>
    </row>
    <row r="4900" spans="1:6" ht="14.4">
      <c r="A4900">
        <v>25877</v>
      </c>
      <c r="B4900" t="s">
        <v>23098</v>
      </c>
      <c r="C4900" t="s">
        <v>2273</v>
      </c>
      <c r="D4900" t="s">
        <v>2271</v>
      </c>
      <c r="E4900" s="527" t="s">
        <v>23099</v>
      </c>
      <c r="F4900" s="220"/>
    </row>
    <row r="4901" spans="1:6" ht="14.4">
      <c r="A4901">
        <v>25878</v>
      </c>
      <c r="B4901" t="s">
        <v>23100</v>
      </c>
      <c r="C4901" t="s">
        <v>2273</v>
      </c>
      <c r="D4901" t="s">
        <v>2271</v>
      </c>
      <c r="E4901" s="527" t="s">
        <v>23101</v>
      </c>
      <c r="F4901" s="219"/>
    </row>
    <row r="4902" spans="1:6" ht="14.4">
      <c r="A4902">
        <v>25879</v>
      </c>
      <c r="B4902" t="s">
        <v>23102</v>
      </c>
      <c r="C4902" t="s">
        <v>2273</v>
      </c>
      <c r="D4902" t="s">
        <v>2271</v>
      </c>
      <c r="E4902" s="527" t="s">
        <v>23103</v>
      </c>
      <c r="F4902" s="220"/>
    </row>
    <row r="4903" spans="1:6" ht="14.4">
      <c r="A4903">
        <v>25887</v>
      </c>
      <c r="B4903" t="s">
        <v>23104</v>
      </c>
      <c r="C4903" t="s">
        <v>2273</v>
      </c>
      <c r="D4903" t="s">
        <v>2271</v>
      </c>
      <c r="E4903" s="527" t="s">
        <v>23105</v>
      </c>
      <c r="F4903" s="219"/>
    </row>
    <row r="4904" spans="1:6" ht="14.4">
      <c r="A4904">
        <v>25880</v>
      </c>
      <c r="B4904" t="s">
        <v>23106</v>
      </c>
      <c r="C4904" t="s">
        <v>2273</v>
      </c>
      <c r="D4904" t="s">
        <v>2271</v>
      </c>
      <c r="E4904" s="527" t="s">
        <v>23107</v>
      </c>
      <c r="F4904" s="220"/>
    </row>
    <row r="4905" spans="1:6" ht="14.4">
      <c r="A4905">
        <v>25881</v>
      </c>
      <c r="B4905" t="s">
        <v>23108</v>
      </c>
      <c r="C4905" t="s">
        <v>2273</v>
      </c>
      <c r="D4905" t="s">
        <v>2271</v>
      </c>
      <c r="E4905" s="527" t="s">
        <v>23109</v>
      </c>
      <c r="F4905" s="219"/>
    </row>
    <row r="4906" spans="1:6" ht="14.4">
      <c r="A4906">
        <v>25882</v>
      </c>
      <c r="B4906" t="s">
        <v>23110</v>
      </c>
      <c r="C4906" t="s">
        <v>2273</v>
      </c>
      <c r="D4906" t="s">
        <v>2271</v>
      </c>
      <c r="E4906" s="527" t="s">
        <v>23111</v>
      </c>
      <c r="F4906" s="220"/>
    </row>
    <row r="4907" spans="1:6" ht="14.4">
      <c r="A4907">
        <v>25883</v>
      </c>
      <c r="B4907" t="s">
        <v>23112</v>
      </c>
      <c r="C4907" t="s">
        <v>2273</v>
      </c>
      <c r="D4907" t="s">
        <v>2271</v>
      </c>
      <c r="E4907" s="527" t="s">
        <v>16159</v>
      </c>
      <c r="F4907" s="219"/>
    </row>
    <row r="4908" spans="1:6" ht="14.4">
      <c r="A4908">
        <v>25884</v>
      </c>
      <c r="B4908" t="s">
        <v>23113</v>
      </c>
      <c r="C4908" t="s">
        <v>2273</v>
      </c>
      <c r="D4908" t="s">
        <v>2271</v>
      </c>
      <c r="E4908" s="527" t="s">
        <v>23114</v>
      </c>
      <c r="F4908" s="220"/>
    </row>
    <row r="4909" spans="1:6" ht="14.4">
      <c r="A4909">
        <v>25885</v>
      </c>
      <c r="B4909" t="s">
        <v>23115</v>
      </c>
      <c r="C4909" t="s">
        <v>2273</v>
      </c>
      <c r="D4909" t="s">
        <v>2271</v>
      </c>
      <c r="E4909" s="527" t="s">
        <v>23116</v>
      </c>
      <c r="F4909" s="219"/>
    </row>
    <row r="4910" spans="1:6" ht="14.4">
      <c r="A4910">
        <v>25889</v>
      </c>
      <c r="B4910" t="s">
        <v>23117</v>
      </c>
      <c r="C4910" t="s">
        <v>2273</v>
      </c>
      <c r="D4910" t="s">
        <v>2271</v>
      </c>
      <c r="E4910" s="527" t="s">
        <v>23118</v>
      </c>
      <c r="F4910" s="220"/>
    </row>
    <row r="4911" spans="1:6" ht="14.4">
      <c r="A4911">
        <v>25886</v>
      </c>
      <c r="B4911" t="s">
        <v>23119</v>
      </c>
      <c r="C4911" t="s">
        <v>2273</v>
      </c>
      <c r="D4911" t="s">
        <v>2271</v>
      </c>
      <c r="E4911" s="527" t="s">
        <v>23120</v>
      </c>
      <c r="F4911" s="219"/>
    </row>
    <row r="4912" spans="1:6" ht="14.4">
      <c r="A4912">
        <v>25875</v>
      </c>
      <c r="B4912" t="s">
        <v>23121</v>
      </c>
      <c r="C4912" t="s">
        <v>2273</v>
      </c>
      <c r="D4912" t="s">
        <v>2271</v>
      </c>
      <c r="E4912" s="527" t="s">
        <v>23122</v>
      </c>
      <c r="F4912" s="220"/>
    </row>
    <row r="4913" spans="1:6" ht="14.4">
      <c r="A4913">
        <v>9876</v>
      </c>
      <c r="B4913" t="s">
        <v>23123</v>
      </c>
      <c r="C4913" t="s">
        <v>2273</v>
      </c>
      <c r="D4913" t="s">
        <v>1857</v>
      </c>
      <c r="E4913" s="527" t="s">
        <v>16462</v>
      </c>
      <c r="F4913" s="219"/>
    </row>
    <row r="4914" spans="1:6" ht="14.4">
      <c r="A4914">
        <v>9877</v>
      </c>
      <c r="B4914" t="s">
        <v>23124</v>
      </c>
      <c r="C4914" t="s">
        <v>2273</v>
      </c>
      <c r="D4914" t="s">
        <v>1857</v>
      </c>
      <c r="E4914" s="527" t="s">
        <v>16141</v>
      </c>
      <c r="F4914" s="220"/>
    </row>
    <row r="4915" spans="1:6" ht="14.4">
      <c r="A4915">
        <v>9878</v>
      </c>
      <c r="B4915" t="s">
        <v>23125</v>
      </c>
      <c r="C4915" t="s">
        <v>2273</v>
      </c>
      <c r="D4915" t="s">
        <v>1857</v>
      </c>
      <c r="E4915" s="527" t="s">
        <v>23126</v>
      </c>
      <c r="F4915" s="219"/>
    </row>
    <row r="4916" spans="1:6" ht="14.4">
      <c r="A4916">
        <v>9879</v>
      </c>
      <c r="B4916" t="s">
        <v>23127</v>
      </c>
      <c r="C4916" t="s">
        <v>2273</v>
      </c>
      <c r="D4916" t="s">
        <v>1857</v>
      </c>
      <c r="E4916" s="527" t="s">
        <v>23128</v>
      </c>
      <c r="F4916" s="220"/>
    </row>
    <row r="4917" spans="1:6" ht="14.4">
      <c r="A4917">
        <v>41986</v>
      </c>
      <c r="B4917" t="s">
        <v>23129</v>
      </c>
      <c r="C4917" t="s">
        <v>2273</v>
      </c>
      <c r="D4917" t="s">
        <v>1857</v>
      </c>
      <c r="E4917" s="527" t="s">
        <v>15666</v>
      </c>
      <c r="F4917" s="219"/>
    </row>
    <row r="4918" spans="1:6" ht="14.4">
      <c r="A4918">
        <v>43422</v>
      </c>
      <c r="B4918" t="s">
        <v>23130</v>
      </c>
      <c r="C4918" t="s">
        <v>2273</v>
      </c>
      <c r="D4918" t="s">
        <v>1857</v>
      </c>
      <c r="E4918" s="527" t="s">
        <v>15667</v>
      </c>
      <c r="F4918" s="220"/>
    </row>
    <row r="4919" spans="1:6" ht="14.4">
      <c r="A4919">
        <v>41987</v>
      </c>
      <c r="B4919" t="s">
        <v>23131</v>
      </c>
      <c r="C4919" t="s">
        <v>2273</v>
      </c>
      <c r="D4919" t="s">
        <v>1857</v>
      </c>
      <c r="E4919" s="527" t="s">
        <v>15668</v>
      </c>
      <c r="F4919" s="219"/>
    </row>
    <row r="4920" spans="1:6" ht="14.4">
      <c r="A4920">
        <v>41988</v>
      </c>
      <c r="B4920" t="s">
        <v>23132</v>
      </c>
      <c r="C4920" t="s">
        <v>2273</v>
      </c>
      <c r="D4920" t="s">
        <v>1857</v>
      </c>
      <c r="E4920" s="527" t="s">
        <v>15669</v>
      </c>
      <c r="F4920" s="220"/>
    </row>
    <row r="4921" spans="1:6" ht="14.4">
      <c r="A4921">
        <v>41697</v>
      </c>
      <c r="B4921" t="s">
        <v>23133</v>
      </c>
      <c r="C4921" t="s">
        <v>2273</v>
      </c>
      <c r="D4921" t="s">
        <v>1857</v>
      </c>
      <c r="E4921" s="527" t="s">
        <v>15670</v>
      </c>
      <c r="F4921" s="219"/>
    </row>
    <row r="4922" spans="1:6" ht="14.4">
      <c r="A4922">
        <v>41985</v>
      </c>
      <c r="B4922" t="s">
        <v>23134</v>
      </c>
      <c r="C4922" t="s">
        <v>2273</v>
      </c>
      <c r="D4922" t="s">
        <v>1857</v>
      </c>
      <c r="E4922" s="527" t="s">
        <v>15671</v>
      </c>
      <c r="F4922" s="220"/>
    </row>
    <row r="4923" spans="1:6" ht="14.4">
      <c r="A4923">
        <v>41699</v>
      </c>
      <c r="B4923" t="s">
        <v>23135</v>
      </c>
      <c r="C4923" t="s">
        <v>2273</v>
      </c>
      <c r="D4923" t="s">
        <v>1857</v>
      </c>
      <c r="E4923" s="527" t="s">
        <v>15672</v>
      </c>
      <c r="F4923" s="219"/>
    </row>
    <row r="4924" spans="1:6" ht="14.4">
      <c r="A4924">
        <v>38053</v>
      </c>
      <c r="B4924" t="s">
        <v>23136</v>
      </c>
      <c r="C4924" t="s">
        <v>2273</v>
      </c>
      <c r="D4924" t="s">
        <v>2271</v>
      </c>
      <c r="E4924" s="527" t="s">
        <v>9507</v>
      </c>
      <c r="F4924" s="220"/>
    </row>
    <row r="4925" spans="1:6" ht="14.4">
      <c r="A4925">
        <v>38054</v>
      </c>
      <c r="B4925" t="s">
        <v>23137</v>
      </c>
      <c r="C4925" t="s">
        <v>2273</v>
      </c>
      <c r="D4925" t="s">
        <v>2271</v>
      </c>
      <c r="E4925" s="527" t="s">
        <v>10258</v>
      </c>
      <c r="F4925" s="219"/>
    </row>
    <row r="4926" spans="1:6" ht="14.4">
      <c r="A4926">
        <v>38052</v>
      </c>
      <c r="B4926" t="s">
        <v>23138</v>
      </c>
      <c r="C4926" t="s">
        <v>2273</v>
      </c>
      <c r="D4926" t="s">
        <v>2271</v>
      </c>
      <c r="E4926" s="527" t="s">
        <v>4618</v>
      </c>
      <c r="F4926" s="220"/>
    </row>
    <row r="4927" spans="1:6" ht="14.4">
      <c r="A4927">
        <v>38051</v>
      </c>
      <c r="B4927" t="s">
        <v>23139</v>
      </c>
      <c r="C4927" t="s">
        <v>2273</v>
      </c>
      <c r="D4927" t="s">
        <v>2271</v>
      </c>
      <c r="E4927" s="527" t="s">
        <v>2885</v>
      </c>
      <c r="F4927" s="219"/>
    </row>
    <row r="4928" spans="1:6" ht="14.4">
      <c r="A4928">
        <v>38787</v>
      </c>
      <c r="B4928" t="s">
        <v>23140</v>
      </c>
      <c r="C4928" t="s">
        <v>2273</v>
      </c>
      <c r="D4928" t="s">
        <v>2271</v>
      </c>
      <c r="E4928" s="527" t="s">
        <v>4151</v>
      </c>
      <c r="F4928" s="220"/>
    </row>
    <row r="4929" spans="1:6" ht="14.4">
      <c r="A4929">
        <v>38825</v>
      </c>
      <c r="B4929" t="s">
        <v>23141</v>
      </c>
      <c r="C4929" t="s">
        <v>2273</v>
      </c>
      <c r="D4929" t="s">
        <v>2271</v>
      </c>
      <c r="E4929" s="527" t="s">
        <v>16444</v>
      </c>
      <c r="F4929" s="219"/>
    </row>
    <row r="4930" spans="1:6" ht="14.4">
      <c r="A4930">
        <v>38826</v>
      </c>
      <c r="B4930" t="s">
        <v>23142</v>
      </c>
      <c r="C4930" t="s">
        <v>2273</v>
      </c>
      <c r="D4930" t="s">
        <v>2271</v>
      </c>
      <c r="E4930" s="527" t="s">
        <v>7308</v>
      </c>
      <c r="F4930" s="220"/>
    </row>
    <row r="4931" spans="1:6" ht="14.4">
      <c r="A4931">
        <v>38827</v>
      </c>
      <c r="B4931" t="s">
        <v>23143</v>
      </c>
      <c r="C4931" t="s">
        <v>2273</v>
      </c>
      <c r="D4931" t="s">
        <v>2271</v>
      </c>
      <c r="E4931" s="527" t="s">
        <v>14630</v>
      </c>
      <c r="F4931" s="219"/>
    </row>
    <row r="4932" spans="1:6" ht="14.4">
      <c r="A4932">
        <v>38830</v>
      </c>
      <c r="B4932" t="s">
        <v>23144</v>
      </c>
      <c r="C4932" t="s">
        <v>2273</v>
      </c>
      <c r="D4932" t="s">
        <v>2271</v>
      </c>
      <c r="E4932" s="527" t="s">
        <v>23145</v>
      </c>
      <c r="F4932" s="220"/>
    </row>
    <row r="4933" spans="1:6" ht="14.4">
      <c r="A4933">
        <v>38828</v>
      </c>
      <c r="B4933" t="s">
        <v>23146</v>
      </c>
      <c r="C4933" t="s">
        <v>2273</v>
      </c>
      <c r="D4933" t="s">
        <v>2271</v>
      </c>
      <c r="E4933" s="527" t="s">
        <v>4848</v>
      </c>
      <c r="F4933" s="219"/>
    </row>
    <row r="4934" spans="1:6" ht="14.4">
      <c r="A4934">
        <v>38829</v>
      </c>
      <c r="B4934" t="s">
        <v>23147</v>
      </c>
      <c r="C4934" t="s">
        <v>2273</v>
      </c>
      <c r="D4934" t="s">
        <v>2271</v>
      </c>
      <c r="E4934" s="527" t="s">
        <v>10156</v>
      </c>
      <c r="F4934" s="220"/>
    </row>
    <row r="4935" spans="1:6" ht="14.4">
      <c r="A4935">
        <v>38831</v>
      </c>
      <c r="B4935" t="s">
        <v>23148</v>
      </c>
      <c r="C4935" t="s">
        <v>2273</v>
      </c>
      <c r="D4935" t="s">
        <v>2271</v>
      </c>
      <c r="E4935" s="527" t="s">
        <v>23149</v>
      </c>
      <c r="F4935" s="219"/>
    </row>
    <row r="4936" spans="1:6" ht="14.4">
      <c r="A4936">
        <v>36274</v>
      </c>
      <c r="B4936" t="s">
        <v>23150</v>
      </c>
      <c r="C4936" t="s">
        <v>2273</v>
      </c>
      <c r="D4936" t="s">
        <v>2271</v>
      </c>
      <c r="E4936" s="527" t="s">
        <v>3497</v>
      </c>
      <c r="F4936" s="220"/>
    </row>
    <row r="4937" spans="1:6" ht="14.4">
      <c r="A4937">
        <v>36278</v>
      </c>
      <c r="B4937" t="s">
        <v>23151</v>
      </c>
      <c r="C4937" t="s">
        <v>2273</v>
      </c>
      <c r="D4937" t="s">
        <v>2271</v>
      </c>
      <c r="E4937" s="527" t="s">
        <v>9981</v>
      </c>
      <c r="F4937" s="219"/>
    </row>
    <row r="4938" spans="1:6" ht="14.4">
      <c r="A4938">
        <v>38977</v>
      </c>
      <c r="B4938" t="s">
        <v>23152</v>
      </c>
      <c r="C4938" t="s">
        <v>2273</v>
      </c>
      <c r="D4938" t="s">
        <v>2271</v>
      </c>
      <c r="E4938" s="527" t="s">
        <v>23153</v>
      </c>
      <c r="F4938" s="220"/>
    </row>
    <row r="4939" spans="1:6" ht="14.4">
      <c r="A4939">
        <v>38971</v>
      </c>
      <c r="B4939" t="s">
        <v>23154</v>
      </c>
      <c r="C4939" t="s">
        <v>2273</v>
      </c>
      <c r="D4939" t="s">
        <v>2271</v>
      </c>
      <c r="E4939" s="527" t="s">
        <v>7462</v>
      </c>
      <c r="F4939" s="219"/>
    </row>
    <row r="4940" spans="1:6" ht="14.4">
      <c r="A4940">
        <v>38972</v>
      </c>
      <c r="B4940" t="s">
        <v>23155</v>
      </c>
      <c r="C4940" t="s">
        <v>2273</v>
      </c>
      <c r="D4940" t="s">
        <v>2271</v>
      </c>
      <c r="E4940" s="527" t="s">
        <v>9617</v>
      </c>
      <c r="F4940" s="220"/>
    </row>
    <row r="4941" spans="1:6" ht="14.4">
      <c r="A4941">
        <v>38973</v>
      </c>
      <c r="B4941" t="s">
        <v>23156</v>
      </c>
      <c r="C4941" t="s">
        <v>2273</v>
      </c>
      <c r="D4941" t="s">
        <v>2271</v>
      </c>
      <c r="E4941" s="527" t="s">
        <v>10193</v>
      </c>
      <c r="F4941" s="219"/>
    </row>
    <row r="4942" spans="1:6" ht="14.4">
      <c r="A4942">
        <v>38974</v>
      </c>
      <c r="B4942" t="s">
        <v>23157</v>
      </c>
      <c r="C4942" t="s">
        <v>2273</v>
      </c>
      <c r="D4942" t="s">
        <v>2271</v>
      </c>
      <c r="E4942" s="527" t="s">
        <v>10279</v>
      </c>
      <c r="F4942" s="220"/>
    </row>
    <row r="4943" spans="1:6" ht="14.4">
      <c r="A4943">
        <v>38975</v>
      </c>
      <c r="B4943" t="s">
        <v>23158</v>
      </c>
      <c r="C4943" t="s">
        <v>2273</v>
      </c>
      <c r="D4943" t="s">
        <v>2271</v>
      </c>
      <c r="E4943" s="527" t="s">
        <v>23159</v>
      </c>
      <c r="F4943" s="219"/>
    </row>
    <row r="4944" spans="1:6" ht="14.4">
      <c r="A4944">
        <v>38976</v>
      </c>
      <c r="B4944" t="s">
        <v>23160</v>
      </c>
      <c r="C4944" t="s">
        <v>2273</v>
      </c>
      <c r="D4944" t="s">
        <v>2271</v>
      </c>
      <c r="E4944" s="527" t="s">
        <v>23161</v>
      </c>
      <c r="F4944" s="220"/>
    </row>
    <row r="4945" spans="1:6" ht="14.4">
      <c r="A4945">
        <v>38986</v>
      </c>
      <c r="B4945" t="s">
        <v>23162</v>
      </c>
      <c r="C4945" t="s">
        <v>2273</v>
      </c>
      <c r="D4945" t="s">
        <v>2271</v>
      </c>
      <c r="E4945" s="527" t="s">
        <v>23163</v>
      </c>
      <c r="F4945" s="219"/>
    </row>
    <row r="4946" spans="1:6" ht="14.4">
      <c r="A4946">
        <v>38978</v>
      </c>
      <c r="B4946" t="s">
        <v>23164</v>
      </c>
      <c r="C4946" t="s">
        <v>2273</v>
      </c>
      <c r="D4946" t="s">
        <v>2271</v>
      </c>
      <c r="E4946" s="527" t="s">
        <v>3497</v>
      </c>
      <c r="F4946" s="220"/>
    </row>
    <row r="4947" spans="1:6" ht="14.4">
      <c r="A4947">
        <v>38979</v>
      </c>
      <c r="B4947" t="s">
        <v>23165</v>
      </c>
      <c r="C4947" t="s">
        <v>2273</v>
      </c>
      <c r="D4947" t="s">
        <v>2271</v>
      </c>
      <c r="E4947" s="527" t="s">
        <v>9981</v>
      </c>
      <c r="F4947" s="219"/>
    </row>
    <row r="4948" spans="1:6" ht="14.4">
      <c r="A4948">
        <v>38980</v>
      </c>
      <c r="B4948" t="s">
        <v>23166</v>
      </c>
      <c r="C4948" t="s">
        <v>2273</v>
      </c>
      <c r="D4948" t="s">
        <v>2271</v>
      </c>
      <c r="E4948" s="527" t="s">
        <v>10606</v>
      </c>
      <c r="F4948" s="220"/>
    </row>
    <row r="4949" spans="1:6" ht="14.4">
      <c r="A4949">
        <v>38981</v>
      </c>
      <c r="B4949" t="s">
        <v>23167</v>
      </c>
      <c r="C4949" t="s">
        <v>2273</v>
      </c>
      <c r="D4949" t="s">
        <v>2271</v>
      </c>
      <c r="E4949" s="527" t="s">
        <v>9994</v>
      </c>
      <c r="F4949" s="219"/>
    </row>
    <row r="4950" spans="1:6" ht="14.4">
      <c r="A4950">
        <v>38982</v>
      </c>
      <c r="B4950" t="s">
        <v>23168</v>
      </c>
      <c r="C4950" t="s">
        <v>2273</v>
      </c>
      <c r="D4950" t="s">
        <v>2271</v>
      </c>
      <c r="E4950" s="527" t="s">
        <v>11607</v>
      </c>
      <c r="F4950" s="220"/>
    </row>
    <row r="4951" spans="1:6" ht="14.4">
      <c r="A4951">
        <v>38983</v>
      </c>
      <c r="B4951" t="s">
        <v>23169</v>
      </c>
      <c r="C4951" t="s">
        <v>2273</v>
      </c>
      <c r="D4951" t="s">
        <v>2271</v>
      </c>
      <c r="E4951" s="527" t="s">
        <v>13336</v>
      </c>
      <c r="F4951" s="219"/>
    </row>
    <row r="4952" spans="1:6" ht="14.4">
      <c r="A4952">
        <v>38984</v>
      </c>
      <c r="B4952" t="s">
        <v>23170</v>
      </c>
      <c r="C4952" t="s">
        <v>2273</v>
      </c>
      <c r="D4952" t="s">
        <v>2271</v>
      </c>
      <c r="E4952" s="527" t="s">
        <v>23171</v>
      </c>
      <c r="F4952" s="220"/>
    </row>
    <row r="4953" spans="1:6" ht="14.4">
      <c r="A4953">
        <v>38985</v>
      </c>
      <c r="B4953" t="s">
        <v>23172</v>
      </c>
      <c r="C4953" t="s">
        <v>2273</v>
      </c>
      <c r="D4953" t="s">
        <v>2271</v>
      </c>
      <c r="E4953" s="527" t="s">
        <v>13992</v>
      </c>
      <c r="F4953" s="219"/>
    </row>
    <row r="4954" spans="1:6" ht="14.4">
      <c r="A4954">
        <v>9836</v>
      </c>
      <c r="B4954" t="s">
        <v>23173</v>
      </c>
      <c r="C4954" t="s">
        <v>2273</v>
      </c>
      <c r="D4954" t="s">
        <v>2268</v>
      </c>
      <c r="E4954" s="527" t="s">
        <v>23174</v>
      </c>
      <c r="F4954" s="220"/>
    </row>
    <row r="4955" spans="1:6" ht="14.4">
      <c r="A4955">
        <v>20065</v>
      </c>
      <c r="B4955" t="s">
        <v>23175</v>
      </c>
      <c r="C4955" t="s">
        <v>2273</v>
      </c>
      <c r="D4955" t="s">
        <v>1857</v>
      </c>
      <c r="E4955" s="527" t="s">
        <v>23176</v>
      </c>
      <c r="F4955" s="219"/>
    </row>
    <row r="4956" spans="1:6" ht="14.4">
      <c r="A4956">
        <v>9835</v>
      </c>
      <c r="B4956" t="s">
        <v>23177</v>
      </c>
      <c r="C4956" t="s">
        <v>2273</v>
      </c>
      <c r="D4956" t="s">
        <v>1857</v>
      </c>
      <c r="E4956" s="527" t="s">
        <v>16554</v>
      </c>
      <c r="F4956" s="220"/>
    </row>
    <row r="4957" spans="1:6" ht="14.4">
      <c r="A4957">
        <v>38032</v>
      </c>
      <c r="B4957" t="s">
        <v>23178</v>
      </c>
      <c r="C4957" t="s">
        <v>2273</v>
      </c>
      <c r="D4957" t="s">
        <v>2271</v>
      </c>
      <c r="E4957" s="527" t="s">
        <v>10322</v>
      </c>
      <c r="F4957" s="219"/>
    </row>
    <row r="4958" spans="1:6" ht="14.4">
      <c r="A4958">
        <v>38033</v>
      </c>
      <c r="B4958" t="s">
        <v>23179</v>
      </c>
      <c r="C4958" t="s">
        <v>2273</v>
      </c>
      <c r="D4958" t="s">
        <v>2271</v>
      </c>
      <c r="E4958" s="527" t="s">
        <v>10734</v>
      </c>
      <c r="F4958" s="220"/>
    </row>
    <row r="4959" spans="1:6" ht="14.4">
      <c r="A4959">
        <v>38034</v>
      </c>
      <c r="B4959" t="s">
        <v>23180</v>
      </c>
      <c r="C4959" t="s">
        <v>2273</v>
      </c>
      <c r="D4959" t="s">
        <v>2271</v>
      </c>
      <c r="E4959" s="527" t="s">
        <v>15673</v>
      </c>
    </row>
    <row r="4960" spans="1:6" ht="14.4">
      <c r="A4960">
        <v>38035</v>
      </c>
      <c r="B4960" t="s">
        <v>23181</v>
      </c>
      <c r="C4960" t="s">
        <v>2273</v>
      </c>
      <c r="D4960" t="s">
        <v>2271</v>
      </c>
      <c r="E4960" s="527" t="s">
        <v>15674</v>
      </c>
    </row>
    <row r="4961" spans="1:5" ht="14.4">
      <c r="A4961">
        <v>38036</v>
      </c>
      <c r="B4961" t="s">
        <v>23182</v>
      </c>
      <c r="C4961" t="s">
        <v>2273</v>
      </c>
      <c r="D4961" t="s">
        <v>2271</v>
      </c>
      <c r="E4961" s="527" t="s">
        <v>15675</v>
      </c>
    </row>
    <row r="4962" spans="1:5" ht="14.4">
      <c r="A4962">
        <v>38037</v>
      </c>
      <c r="B4962" t="s">
        <v>23183</v>
      </c>
      <c r="C4962" t="s">
        <v>2273</v>
      </c>
      <c r="D4962" t="s">
        <v>2271</v>
      </c>
      <c r="E4962" s="527" t="s">
        <v>15676</v>
      </c>
    </row>
    <row r="4963" spans="1:5" ht="14.4">
      <c r="A4963">
        <v>9850</v>
      </c>
      <c r="B4963" t="s">
        <v>23184</v>
      </c>
      <c r="C4963" t="s">
        <v>2273</v>
      </c>
      <c r="D4963" t="s">
        <v>2271</v>
      </c>
      <c r="E4963" s="527" t="s">
        <v>23185</v>
      </c>
    </row>
    <row r="4964" spans="1:5" ht="14.4">
      <c r="A4964">
        <v>9853</v>
      </c>
      <c r="B4964" t="s">
        <v>23186</v>
      </c>
      <c r="C4964" t="s">
        <v>2273</v>
      </c>
      <c r="D4964" t="s">
        <v>2271</v>
      </c>
      <c r="E4964" s="527" t="s">
        <v>15835</v>
      </c>
    </row>
    <row r="4965" spans="1:5" ht="14.4">
      <c r="A4965">
        <v>9854</v>
      </c>
      <c r="B4965" t="s">
        <v>23187</v>
      </c>
      <c r="C4965" t="s">
        <v>2273</v>
      </c>
      <c r="D4965" t="s">
        <v>2271</v>
      </c>
      <c r="E4965" s="527" t="s">
        <v>23188</v>
      </c>
    </row>
    <row r="4966" spans="1:5" ht="14.4">
      <c r="A4966">
        <v>9851</v>
      </c>
      <c r="B4966" t="s">
        <v>23189</v>
      </c>
      <c r="C4966" t="s">
        <v>2273</v>
      </c>
      <c r="D4966" t="s">
        <v>2271</v>
      </c>
      <c r="E4966" s="527" t="s">
        <v>23190</v>
      </c>
    </row>
    <row r="4967" spans="1:5" ht="14.4">
      <c r="A4967">
        <v>9855</v>
      </c>
      <c r="B4967" t="s">
        <v>23191</v>
      </c>
      <c r="C4967" t="s">
        <v>2273</v>
      </c>
      <c r="D4967" t="s">
        <v>2271</v>
      </c>
      <c r="E4967" s="527" t="s">
        <v>23192</v>
      </c>
    </row>
    <row r="4968" spans="1:5" ht="14.4">
      <c r="A4968">
        <v>9825</v>
      </c>
      <c r="B4968" t="s">
        <v>23193</v>
      </c>
      <c r="C4968" t="s">
        <v>2273</v>
      </c>
      <c r="D4968" t="s">
        <v>2271</v>
      </c>
      <c r="E4968" s="527" t="s">
        <v>23194</v>
      </c>
    </row>
    <row r="4969" spans="1:5" ht="14.4">
      <c r="A4969">
        <v>9828</v>
      </c>
      <c r="B4969" t="s">
        <v>23195</v>
      </c>
      <c r="C4969" t="s">
        <v>2273</v>
      </c>
      <c r="D4969" t="s">
        <v>2271</v>
      </c>
      <c r="E4969" s="527" t="s">
        <v>23196</v>
      </c>
    </row>
    <row r="4970" spans="1:5" ht="14.4">
      <c r="A4970">
        <v>9829</v>
      </c>
      <c r="B4970" t="s">
        <v>23197</v>
      </c>
      <c r="C4970" t="s">
        <v>2273</v>
      </c>
      <c r="D4970" t="s">
        <v>2271</v>
      </c>
      <c r="E4970" s="527" t="s">
        <v>23198</v>
      </c>
    </row>
    <row r="4971" spans="1:5" ht="14.4">
      <c r="A4971">
        <v>9826</v>
      </c>
      <c r="B4971" t="s">
        <v>23199</v>
      </c>
      <c r="C4971" t="s">
        <v>2273</v>
      </c>
      <c r="D4971" t="s">
        <v>2271</v>
      </c>
      <c r="E4971" s="527" t="s">
        <v>23200</v>
      </c>
    </row>
    <row r="4972" spans="1:5" ht="14.4">
      <c r="A4972">
        <v>9827</v>
      </c>
      <c r="B4972" t="s">
        <v>23201</v>
      </c>
      <c r="C4972" t="s">
        <v>2273</v>
      </c>
      <c r="D4972" t="s">
        <v>2271</v>
      </c>
      <c r="E4972" s="527" t="s">
        <v>23202</v>
      </c>
    </row>
    <row r="4973" spans="1:5" ht="14.4">
      <c r="A4973">
        <v>36374</v>
      </c>
      <c r="B4973" t="s">
        <v>23203</v>
      </c>
      <c r="C4973" t="s">
        <v>2273</v>
      </c>
      <c r="D4973" t="s">
        <v>2271</v>
      </c>
      <c r="E4973" s="527" t="s">
        <v>23204</v>
      </c>
    </row>
    <row r="4974" spans="1:5" ht="14.4">
      <c r="A4974">
        <v>36084</v>
      </c>
      <c r="B4974" t="s">
        <v>23205</v>
      </c>
      <c r="C4974" t="s">
        <v>2273</v>
      </c>
      <c r="D4974" t="s">
        <v>2271</v>
      </c>
      <c r="E4974" s="527" t="s">
        <v>10675</v>
      </c>
    </row>
    <row r="4975" spans="1:5" ht="14.4">
      <c r="A4975">
        <v>36373</v>
      </c>
      <c r="B4975" t="s">
        <v>23206</v>
      </c>
      <c r="C4975" t="s">
        <v>2273</v>
      </c>
      <c r="D4975" t="s">
        <v>2271</v>
      </c>
      <c r="E4975" s="527" t="s">
        <v>23207</v>
      </c>
    </row>
    <row r="4976" spans="1:5" ht="14.4">
      <c r="A4976">
        <v>36377</v>
      </c>
      <c r="B4976" t="s">
        <v>23208</v>
      </c>
      <c r="C4976" t="s">
        <v>2273</v>
      </c>
      <c r="D4976" t="s">
        <v>2271</v>
      </c>
      <c r="E4976" s="527" t="s">
        <v>23209</v>
      </c>
    </row>
    <row r="4977" spans="1:5" ht="14.4">
      <c r="A4977">
        <v>36375</v>
      </c>
      <c r="B4977" t="s">
        <v>23210</v>
      </c>
      <c r="C4977" t="s">
        <v>2273</v>
      </c>
      <c r="D4977" t="s">
        <v>2271</v>
      </c>
      <c r="E4977" s="527" t="s">
        <v>10171</v>
      </c>
    </row>
    <row r="4978" spans="1:5" ht="14.4">
      <c r="A4978">
        <v>36376</v>
      </c>
      <c r="B4978" t="s">
        <v>23211</v>
      </c>
      <c r="C4978" t="s">
        <v>2273</v>
      </c>
      <c r="D4978" t="s">
        <v>2271</v>
      </c>
      <c r="E4978" s="527" t="s">
        <v>10765</v>
      </c>
    </row>
    <row r="4979" spans="1:5" ht="14.4">
      <c r="A4979">
        <v>36380</v>
      </c>
      <c r="B4979" t="s">
        <v>23212</v>
      </c>
      <c r="C4979" t="s">
        <v>2273</v>
      </c>
      <c r="D4979" t="s">
        <v>2271</v>
      </c>
      <c r="E4979" s="527" t="s">
        <v>23213</v>
      </c>
    </row>
    <row r="4980" spans="1:5" ht="14.4">
      <c r="A4980">
        <v>36378</v>
      </c>
      <c r="B4980" t="s">
        <v>23214</v>
      </c>
      <c r="C4980" t="s">
        <v>2273</v>
      </c>
      <c r="D4980" t="s">
        <v>2271</v>
      </c>
      <c r="E4980" s="527" t="s">
        <v>9779</v>
      </c>
    </row>
    <row r="4981" spans="1:5" ht="14.4">
      <c r="A4981">
        <v>36379</v>
      </c>
      <c r="B4981" t="s">
        <v>23215</v>
      </c>
      <c r="C4981" t="s">
        <v>2273</v>
      </c>
      <c r="D4981" t="s">
        <v>2271</v>
      </c>
      <c r="E4981" s="527" t="s">
        <v>23216</v>
      </c>
    </row>
    <row r="4982" spans="1:5" ht="14.4">
      <c r="A4982">
        <v>9859</v>
      </c>
      <c r="B4982" t="s">
        <v>23217</v>
      </c>
      <c r="C4982" t="s">
        <v>2273</v>
      </c>
      <c r="D4982" t="s">
        <v>1857</v>
      </c>
      <c r="E4982" s="527" t="s">
        <v>10403</v>
      </c>
    </row>
    <row r="4983" spans="1:5" ht="14.4">
      <c r="A4983">
        <v>9838</v>
      </c>
      <c r="B4983" t="s">
        <v>23218</v>
      </c>
      <c r="C4983" t="s">
        <v>2273</v>
      </c>
      <c r="D4983" t="s">
        <v>1857</v>
      </c>
      <c r="E4983" s="527" t="s">
        <v>16236</v>
      </c>
    </row>
    <row r="4984" spans="1:5" ht="14.4">
      <c r="A4984">
        <v>9837</v>
      </c>
      <c r="B4984" t="s">
        <v>23219</v>
      </c>
      <c r="C4984" t="s">
        <v>2273</v>
      </c>
      <c r="D4984" t="s">
        <v>1857</v>
      </c>
      <c r="E4984" s="527" t="s">
        <v>16300</v>
      </c>
    </row>
    <row r="4985" spans="1:5" ht="14.4">
      <c r="A4985">
        <v>9833</v>
      </c>
      <c r="B4985" t="s">
        <v>23220</v>
      </c>
      <c r="C4985" t="s">
        <v>2273</v>
      </c>
      <c r="D4985" t="s">
        <v>2271</v>
      </c>
      <c r="E4985" s="527" t="s">
        <v>10251</v>
      </c>
    </row>
    <row r="4986" spans="1:5" ht="14.4">
      <c r="A4986">
        <v>9830</v>
      </c>
      <c r="B4986" t="s">
        <v>23221</v>
      </c>
      <c r="C4986" t="s">
        <v>2273</v>
      </c>
      <c r="D4986" t="s">
        <v>2271</v>
      </c>
      <c r="E4986" s="527" t="s">
        <v>6364</v>
      </c>
    </row>
    <row r="4987" spans="1:5" ht="14.4">
      <c r="A4987">
        <v>9834</v>
      </c>
      <c r="B4987" t="s">
        <v>23222</v>
      </c>
      <c r="C4987" t="s">
        <v>2273</v>
      </c>
      <c r="D4987" t="s">
        <v>2271</v>
      </c>
      <c r="E4987" s="527" t="s">
        <v>11796</v>
      </c>
    </row>
    <row r="4988" spans="1:5" ht="14.4">
      <c r="A4988">
        <v>9863</v>
      </c>
      <c r="B4988" t="s">
        <v>23223</v>
      </c>
      <c r="C4988" t="s">
        <v>2273</v>
      </c>
      <c r="D4988" t="s">
        <v>1857</v>
      </c>
      <c r="E4988" s="527" t="s">
        <v>23224</v>
      </c>
    </row>
    <row r="4989" spans="1:5" ht="14.4">
      <c r="A4989">
        <v>9860</v>
      </c>
      <c r="B4989" t="s">
        <v>23225</v>
      </c>
      <c r="C4989" t="s">
        <v>2273</v>
      </c>
      <c r="D4989" t="s">
        <v>1857</v>
      </c>
      <c r="E4989" s="527" t="s">
        <v>23226</v>
      </c>
    </row>
    <row r="4990" spans="1:5" ht="14.4">
      <c r="A4990">
        <v>9862</v>
      </c>
      <c r="B4990" t="s">
        <v>23227</v>
      </c>
      <c r="C4990" t="s">
        <v>2273</v>
      </c>
      <c r="D4990" t="s">
        <v>1857</v>
      </c>
      <c r="E4990" s="527" t="s">
        <v>16230</v>
      </c>
    </row>
    <row r="4991" spans="1:5" ht="14.4">
      <c r="A4991">
        <v>9861</v>
      </c>
      <c r="B4991" t="s">
        <v>23228</v>
      </c>
      <c r="C4991" t="s">
        <v>2273</v>
      </c>
      <c r="D4991" t="s">
        <v>1857</v>
      </c>
      <c r="E4991" s="527" t="s">
        <v>23229</v>
      </c>
    </row>
    <row r="4992" spans="1:5" ht="14.4">
      <c r="A4992">
        <v>9856</v>
      </c>
      <c r="B4992" t="s">
        <v>23230</v>
      </c>
      <c r="C4992" t="s">
        <v>2273</v>
      </c>
      <c r="D4992" t="s">
        <v>1857</v>
      </c>
      <c r="E4992" s="527" t="s">
        <v>4406</v>
      </c>
    </row>
    <row r="4993" spans="1:5" ht="14.4">
      <c r="A4993">
        <v>9866</v>
      </c>
      <c r="B4993" t="s">
        <v>23231</v>
      </c>
      <c r="C4993" t="s">
        <v>2273</v>
      </c>
      <c r="D4993" t="s">
        <v>1857</v>
      </c>
      <c r="E4993" s="527" t="s">
        <v>9476</v>
      </c>
    </row>
    <row r="4994" spans="1:5" ht="14.4">
      <c r="A4994">
        <v>9857</v>
      </c>
      <c r="B4994" t="s">
        <v>23232</v>
      </c>
      <c r="C4994" t="s">
        <v>2273</v>
      </c>
      <c r="D4994" t="s">
        <v>1857</v>
      </c>
      <c r="E4994" s="527" t="s">
        <v>23233</v>
      </c>
    </row>
    <row r="4995" spans="1:5" ht="14.4">
      <c r="A4995">
        <v>9864</v>
      </c>
      <c r="B4995" t="s">
        <v>23234</v>
      </c>
      <c r="C4995" t="s">
        <v>2273</v>
      </c>
      <c r="D4995" t="s">
        <v>1857</v>
      </c>
      <c r="E4995" s="527" t="s">
        <v>23235</v>
      </c>
    </row>
    <row r="4996" spans="1:5" ht="14.4">
      <c r="A4996">
        <v>9865</v>
      </c>
      <c r="B4996" t="s">
        <v>23236</v>
      </c>
      <c r="C4996" t="s">
        <v>2273</v>
      </c>
      <c r="D4996" t="s">
        <v>1857</v>
      </c>
      <c r="E4996" s="527" t="s">
        <v>23237</v>
      </c>
    </row>
    <row r="4997" spans="1:5" ht="14.4">
      <c r="A4997">
        <v>9858</v>
      </c>
      <c r="B4997" t="s">
        <v>23238</v>
      </c>
      <c r="C4997" t="s">
        <v>2273</v>
      </c>
      <c r="D4997" t="s">
        <v>1857</v>
      </c>
      <c r="E4997" s="527" t="s">
        <v>23239</v>
      </c>
    </row>
    <row r="4998" spans="1:5" ht="14.4">
      <c r="A4998">
        <v>9841</v>
      </c>
      <c r="B4998" t="s">
        <v>23240</v>
      </c>
      <c r="C4998" t="s">
        <v>2273</v>
      </c>
      <c r="D4998" t="s">
        <v>1857</v>
      </c>
      <c r="E4998" s="527" t="s">
        <v>10399</v>
      </c>
    </row>
    <row r="4999" spans="1:5" ht="14.4">
      <c r="A4999">
        <v>9840</v>
      </c>
      <c r="B4999" t="s">
        <v>23241</v>
      </c>
      <c r="C4999" t="s">
        <v>2273</v>
      </c>
      <c r="D4999" t="s">
        <v>1857</v>
      </c>
      <c r="E4999" s="527" t="s">
        <v>23242</v>
      </c>
    </row>
    <row r="5000" spans="1:5" ht="14.4">
      <c r="A5000">
        <v>20067</v>
      </c>
      <c r="B5000" t="s">
        <v>23243</v>
      </c>
      <c r="C5000" t="s">
        <v>2273</v>
      </c>
      <c r="D5000" t="s">
        <v>1857</v>
      </c>
      <c r="E5000" s="527" t="s">
        <v>16190</v>
      </c>
    </row>
    <row r="5001" spans="1:5" ht="14.4">
      <c r="A5001">
        <v>20068</v>
      </c>
      <c r="B5001" t="s">
        <v>23244</v>
      </c>
      <c r="C5001" t="s">
        <v>2273</v>
      </c>
      <c r="D5001" t="s">
        <v>1857</v>
      </c>
      <c r="E5001" s="527" t="s">
        <v>10098</v>
      </c>
    </row>
    <row r="5002" spans="1:5" ht="14.4">
      <c r="A5002">
        <v>9839</v>
      </c>
      <c r="B5002" t="s">
        <v>23245</v>
      </c>
      <c r="C5002" t="s">
        <v>2273</v>
      </c>
      <c r="D5002" t="s">
        <v>1857</v>
      </c>
      <c r="E5002" s="527" t="s">
        <v>10770</v>
      </c>
    </row>
    <row r="5003" spans="1:5" ht="14.4">
      <c r="A5003">
        <v>9870</v>
      </c>
      <c r="B5003" t="s">
        <v>23246</v>
      </c>
      <c r="C5003" t="s">
        <v>2273</v>
      </c>
      <c r="D5003" t="s">
        <v>1857</v>
      </c>
      <c r="E5003" s="527" t="s">
        <v>23247</v>
      </c>
    </row>
    <row r="5004" spans="1:5" ht="14.4">
      <c r="A5004">
        <v>9867</v>
      </c>
      <c r="B5004" t="s">
        <v>23248</v>
      </c>
      <c r="C5004" t="s">
        <v>2273</v>
      </c>
      <c r="D5004" t="s">
        <v>1857</v>
      </c>
      <c r="E5004" s="527" t="s">
        <v>3961</v>
      </c>
    </row>
    <row r="5005" spans="1:5" ht="14.4">
      <c r="A5005">
        <v>9868</v>
      </c>
      <c r="B5005" t="s">
        <v>23249</v>
      </c>
      <c r="C5005" t="s">
        <v>2273</v>
      </c>
      <c r="D5005" t="s">
        <v>2268</v>
      </c>
      <c r="E5005" s="527" t="s">
        <v>11447</v>
      </c>
    </row>
    <row r="5006" spans="1:5" ht="14.4">
      <c r="A5006">
        <v>9869</v>
      </c>
      <c r="B5006" t="s">
        <v>23250</v>
      </c>
      <c r="C5006" t="s">
        <v>2273</v>
      </c>
      <c r="D5006" t="s">
        <v>1857</v>
      </c>
      <c r="E5006" s="527" t="s">
        <v>10002</v>
      </c>
    </row>
    <row r="5007" spans="1:5" ht="14.4">
      <c r="A5007">
        <v>9874</v>
      </c>
      <c r="B5007" t="s">
        <v>23251</v>
      </c>
      <c r="C5007" t="s">
        <v>2273</v>
      </c>
      <c r="D5007" t="s">
        <v>1857</v>
      </c>
      <c r="E5007" s="527" t="s">
        <v>9863</v>
      </c>
    </row>
    <row r="5008" spans="1:5" ht="14.4">
      <c r="A5008">
        <v>9875</v>
      </c>
      <c r="B5008" t="s">
        <v>23252</v>
      </c>
      <c r="C5008" t="s">
        <v>2273</v>
      </c>
      <c r="D5008" t="s">
        <v>1857</v>
      </c>
      <c r="E5008" s="527" t="s">
        <v>16201</v>
      </c>
    </row>
    <row r="5009" spans="1:5" ht="14.4">
      <c r="A5009">
        <v>9873</v>
      </c>
      <c r="B5009" t="s">
        <v>23253</v>
      </c>
      <c r="C5009" t="s">
        <v>2273</v>
      </c>
      <c r="D5009" t="s">
        <v>1857</v>
      </c>
      <c r="E5009" s="527" t="s">
        <v>10157</v>
      </c>
    </row>
    <row r="5010" spans="1:5" ht="14.4">
      <c r="A5010">
        <v>9871</v>
      </c>
      <c r="B5010" t="s">
        <v>23254</v>
      </c>
      <c r="C5010" t="s">
        <v>2273</v>
      </c>
      <c r="D5010" t="s">
        <v>1857</v>
      </c>
      <c r="E5010" s="527" t="s">
        <v>10260</v>
      </c>
    </row>
    <row r="5011" spans="1:5" ht="14.4">
      <c r="A5011">
        <v>9872</v>
      </c>
      <c r="B5011" t="s">
        <v>23255</v>
      </c>
      <c r="C5011" t="s">
        <v>2273</v>
      </c>
      <c r="D5011" t="s">
        <v>1857</v>
      </c>
      <c r="E5011" s="527" t="s">
        <v>23256</v>
      </c>
    </row>
    <row r="5012" spans="1:5" ht="14.4">
      <c r="A5012">
        <v>7667</v>
      </c>
      <c r="B5012" t="s">
        <v>23257</v>
      </c>
      <c r="C5012" t="s">
        <v>2273</v>
      </c>
      <c r="D5012" t="s">
        <v>1857</v>
      </c>
      <c r="E5012" s="527" t="s">
        <v>15678</v>
      </c>
    </row>
    <row r="5013" spans="1:5" ht="14.4">
      <c r="A5013">
        <v>7660</v>
      </c>
      <c r="B5013" t="s">
        <v>23258</v>
      </c>
      <c r="C5013" t="s">
        <v>2273</v>
      </c>
      <c r="D5013" t="s">
        <v>1857</v>
      </c>
      <c r="E5013" s="527" t="s">
        <v>15679</v>
      </c>
    </row>
    <row r="5014" spans="1:5" ht="14.4">
      <c r="A5014">
        <v>7676</v>
      </c>
      <c r="B5014" t="s">
        <v>23259</v>
      </c>
      <c r="C5014" t="s">
        <v>2273</v>
      </c>
      <c r="D5014" t="s">
        <v>1857</v>
      </c>
      <c r="E5014" s="527" t="s">
        <v>15680</v>
      </c>
    </row>
    <row r="5015" spans="1:5" ht="14.4">
      <c r="A5015">
        <v>12426</v>
      </c>
      <c r="B5015" t="s">
        <v>23260</v>
      </c>
      <c r="C5015" t="s">
        <v>2269</v>
      </c>
      <c r="D5015" t="s">
        <v>1857</v>
      </c>
      <c r="E5015" s="527" t="s">
        <v>9973</v>
      </c>
    </row>
    <row r="5016" spans="1:5" ht="14.4">
      <c r="A5016">
        <v>12425</v>
      </c>
      <c r="B5016" t="s">
        <v>23261</v>
      </c>
      <c r="C5016" t="s">
        <v>2269</v>
      </c>
      <c r="D5016" t="s">
        <v>1857</v>
      </c>
      <c r="E5016" s="527" t="s">
        <v>15681</v>
      </c>
    </row>
    <row r="5017" spans="1:5" ht="14.4">
      <c r="A5017">
        <v>12427</v>
      </c>
      <c r="B5017" t="s">
        <v>23262</v>
      </c>
      <c r="C5017" t="s">
        <v>2269</v>
      </c>
      <c r="D5017" t="s">
        <v>1857</v>
      </c>
      <c r="E5017" s="527" t="s">
        <v>15682</v>
      </c>
    </row>
    <row r="5018" spans="1:5" ht="14.4">
      <c r="A5018">
        <v>12428</v>
      </c>
      <c r="B5018" t="s">
        <v>23263</v>
      </c>
      <c r="C5018" t="s">
        <v>2269</v>
      </c>
      <c r="D5018" t="s">
        <v>1857</v>
      </c>
      <c r="E5018" s="527" t="s">
        <v>15683</v>
      </c>
    </row>
    <row r="5019" spans="1:5" ht="14.4">
      <c r="A5019">
        <v>12430</v>
      </c>
      <c r="B5019" t="s">
        <v>23264</v>
      </c>
      <c r="C5019" t="s">
        <v>2269</v>
      </c>
      <c r="D5019" t="s">
        <v>1857</v>
      </c>
      <c r="E5019" s="527" t="s">
        <v>11815</v>
      </c>
    </row>
    <row r="5020" spans="1:5" ht="14.4">
      <c r="A5020">
        <v>12429</v>
      </c>
      <c r="B5020" t="s">
        <v>23265</v>
      </c>
      <c r="C5020" t="s">
        <v>2269</v>
      </c>
      <c r="D5020" t="s">
        <v>1857</v>
      </c>
      <c r="E5020" s="527" t="s">
        <v>15684</v>
      </c>
    </row>
    <row r="5021" spans="1:5" ht="14.4">
      <c r="A5021">
        <v>12431</v>
      </c>
      <c r="B5021" t="s">
        <v>23266</v>
      </c>
      <c r="C5021" t="s">
        <v>2269</v>
      </c>
      <c r="D5021" t="s">
        <v>1857</v>
      </c>
      <c r="E5021" s="527" t="s">
        <v>15685</v>
      </c>
    </row>
    <row r="5022" spans="1:5" ht="14.4">
      <c r="A5022">
        <v>12432</v>
      </c>
      <c r="B5022" t="s">
        <v>23267</v>
      </c>
      <c r="C5022" t="s">
        <v>2269</v>
      </c>
      <c r="D5022" t="s">
        <v>1857</v>
      </c>
      <c r="E5022" s="527" t="s">
        <v>15686</v>
      </c>
    </row>
    <row r="5023" spans="1:5" ht="14.4">
      <c r="A5023">
        <v>12434</v>
      </c>
      <c r="B5023" t="s">
        <v>23268</v>
      </c>
      <c r="C5023" t="s">
        <v>2269</v>
      </c>
      <c r="D5023" t="s">
        <v>1857</v>
      </c>
      <c r="E5023" s="527" t="s">
        <v>11169</v>
      </c>
    </row>
    <row r="5024" spans="1:5" ht="14.4">
      <c r="A5024">
        <v>12433</v>
      </c>
      <c r="B5024" t="s">
        <v>23269</v>
      </c>
      <c r="C5024" t="s">
        <v>2269</v>
      </c>
      <c r="D5024" t="s">
        <v>1857</v>
      </c>
      <c r="E5024" s="527" t="s">
        <v>15687</v>
      </c>
    </row>
    <row r="5025" spans="1:5" ht="14.4">
      <c r="A5025">
        <v>12435</v>
      </c>
      <c r="B5025" t="s">
        <v>23270</v>
      </c>
      <c r="C5025" t="s">
        <v>2269</v>
      </c>
      <c r="D5025" t="s">
        <v>1857</v>
      </c>
      <c r="E5025" s="527" t="s">
        <v>15688</v>
      </c>
    </row>
    <row r="5026" spans="1:5" ht="14.4">
      <c r="A5026">
        <v>12437</v>
      </c>
      <c r="B5026" t="s">
        <v>23271</v>
      </c>
      <c r="C5026" t="s">
        <v>2269</v>
      </c>
      <c r="D5026" t="s">
        <v>1857</v>
      </c>
      <c r="E5026" s="527" t="s">
        <v>15689</v>
      </c>
    </row>
    <row r="5027" spans="1:5" ht="14.4">
      <c r="A5027">
        <v>12439</v>
      </c>
      <c r="B5027" t="s">
        <v>23272</v>
      </c>
      <c r="C5027" t="s">
        <v>2269</v>
      </c>
      <c r="D5027" t="s">
        <v>1857</v>
      </c>
      <c r="E5027" s="527" t="s">
        <v>10161</v>
      </c>
    </row>
    <row r="5028" spans="1:5" ht="14.4">
      <c r="A5028">
        <v>12438</v>
      </c>
      <c r="B5028" t="s">
        <v>23273</v>
      </c>
      <c r="C5028" t="s">
        <v>2269</v>
      </c>
      <c r="D5028" t="s">
        <v>1857</v>
      </c>
      <c r="E5028" s="527" t="s">
        <v>15690</v>
      </c>
    </row>
    <row r="5029" spans="1:5" ht="14.4">
      <c r="A5029">
        <v>12436</v>
      </c>
      <c r="B5029" t="s">
        <v>23274</v>
      </c>
      <c r="C5029" t="s">
        <v>2269</v>
      </c>
      <c r="D5029" t="s">
        <v>1857</v>
      </c>
      <c r="E5029" s="527" t="s">
        <v>15691</v>
      </c>
    </row>
    <row r="5030" spans="1:5" ht="14.4">
      <c r="A5030">
        <v>36357</v>
      </c>
      <c r="B5030" t="s">
        <v>23275</v>
      </c>
      <c r="C5030" t="s">
        <v>2269</v>
      </c>
      <c r="D5030" t="s">
        <v>2271</v>
      </c>
      <c r="E5030" s="527" t="s">
        <v>23276</v>
      </c>
    </row>
    <row r="5031" spans="1:5" ht="14.4">
      <c r="A5031">
        <v>12424</v>
      </c>
      <c r="B5031" t="s">
        <v>23277</v>
      </c>
      <c r="C5031" t="s">
        <v>2269</v>
      </c>
      <c r="D5031" t="s">
        <v>1857</v>
      </c>
      <c r="E5031" s="527" t="s">
        <v>11639</v>
      </c>
    </row>
    <row r="5032" spans="1:5" ht="14.4">
      <c r="A5032">
        <v>12440</v>
      </c>
      <c r="B5032" t="s">
        <v>23278</v>
      </c>
      <c r="C5032" t="s">
        <v>2269</v>
      </c>
      <c r="D5032" t="s">
        <v>1857</v>
      </c>
      <c r="E5032" s="527" t="s">
        <v>15692</v>
      </c>
    </row>
    <row r="5033" spans="1:5" ht="14.4">
      <c r="A5033">
        <v>9884</v>
      </c>
      <c r="B5033" t="s">
        <v>23279</v>
      </c>
      <c r="C5033" t="s">
        <v>2269</v>
      </c>
      <c r="D5033" t="s">
        <v>1857</v>
      </c>
      <c r="E5033" s="527" t="s">
        <v>15693</v>
      </c>
    </row>
    <row r="5034" spans="1:5" ht="14.4">
      <c r="A5034">
        <v>9888</v>
      </c>
      <c r="B5034" t="s">
        <v>23280</v>
      </c>
      <c r="C5034" t="s">
        <v>2269</v>
      </c>
      <c r="D5034" t="s">
        <v>1857</v>
      </c>
      <c r="E5034" s="527" t="s">
        <v>15694</v>
      </c>
    </row>
    <row r="5035" spans="1:5" ht="14.4">
      <c r="A5035">
        <v>9883</v>
      </c>
      <c r="B5035" t="s">
        <v>23281</v>
      </c>
      <c r="C5035" t="s">
        <v>2269</v>
      </c>
      <c r="D5035" t="s">
        <v>1857</v>
      </c>
      <c r="E5035" s="527" t="s">
        <v>10163</v>
      </c>
    </row>
    <row r="5036" spans="1:5" ht="14.4">
      <c r="A5036">
        <v>9886</v>
      </c>
      <c r="B5036" t="s">
        <v>23282</v>
      </c>
      <c r="C5036" t="s">
        <v>2269</v>
      </c>
      <c r="D5036" t="s">
        <v>1857</v>
      </c>
      <c r="E5036" s="527" t="s">
        <v>10619</v>
      </c>
    </row>
    <row r="5037" spans="1:5" ht="14.4">
      <c r="A5037">
        <v>9889</v>
      </c>
      <c r="B5037" t="s">
        <v>23283</v>
      </c>
      <c r="C5037" t="s">
        <v>2269</v>
      </c>
      <c r="D5037" t="s">
        <v>1857</v>
      </c>
      <c r="E5037" s="527" t="s">
        <v>15695</v>
      </c>
    </row>
    <row r="5038" spans="1:5" ht="14.4">
      <c r="A5038">
        <v>9887</v>
      </c>
      <c r="B5038" t="s">
        <v>23284</v>
      </c>
      <c r="C5038" t="s">
        <v>2269</v>
      </c>
      <c r="D5038" t="s">
        <v>1857</v>
      </c>
      <c r="E5038" s="527" t="s">
        <v>15696</v>
      </c>
    </row>
    <row r="5039" spans="1:5" ht="14.4">
      <c r="A5039">
        <v>9885</v>
      </c>
      <c r="B5039" t="s">
        <v>23285</v>
      </c>
      <c r="C5039" t="s">
        <v>2269</v>
      </c>
      <c r="D5039" t="s">
        <v>1857</v>
      </c>
      <c r="E5039" s="527" t="s">
        <v>10015</v>
      </c>
    </row>
    <row r="5040" spans="1:5" ht="14.4">
      <c r="A5040">
        <v>9890</v>
      </c>
      <c r="B5040" t="s">
        <v>23286</v>
      </c>
      <c r="C5040" t="s">
        <v>2269</v>
      </c>
      <c r="D5040" t="s">
        <v>1857</v>
      </c>
      <c r="E5040" s="527" t="s">
        <v>15697</v>
      </c>
    </row>
    <row r="5041" spans="1:5" ht="14.4">
      <c r="A5041">
        <v>9891</v>
      </c>
      <c r="B5041" t="s">
        <v>23287</v>
      </c>
      <c r="C5041" t="s">
        <v>2269</v>
      </c>
      <c r="D5041" t="s">
        <v>1857</v>
      </c>
      <c r="E5041" s="527" t="s">
        <v>15698</v>
      </c>
    </row>
    <row r="5042" spans="1:5" ht="14.4">
      <c r="A5042">
        <v>39292</v>
      </c>
      <c r="B5042" t="s">
        <v>23288</v>
      </c>
      <c r="C5042" t="s">
        <v>2269</v>
      </c>
      <c r="D5042" t="s">
        <v>2271</v>
      </c>
      <c r="E5042" s="527" t="s">
        <v>9780</v>
      </c>
    </row>
    <row r="5043" spans="1:5" ht="14.4">
      <c r="A5043">
        <v>39293</v>
      </c>
      <c r="B5043" t="s">
        <v>23289</v>
      </c>
      <c r="C5043" t="s">
        <v>2269</v>
      </c>
      <c r="D5043" t="s">
        <v>2271</v>
      </c>
      <c r="E5043" s="527" t="s">
        <v>7517</v>
      </c>
    </row>
    <row r="5044" spans="1:5" ht="14.4">
      <c r="A5044">
        <v>39294</v>
      </c>
      <c r="B5044" t="s">
        <v>23290</v>
      </c>
      <c r="C5044" t="s">
        <v>2269</v>
      </c>
      <c r="D5044" t="s">
        <v>2271</v>
      </c>
      <c r="E5044" s="527" t="s">
        <v>7517</v>
      </c>
    </row>
    <row r="5045" spans="1:5" ht="14.4">
      <c r="A5045">
        <v>39295</v>
      </c>
      <c r="B5045" t="s">
        <v>23291</v>
      </c>
      <c r="C5045" t="s">
        <v>2269</v>
      </c>
      <c r="D5045" t="s">
        <v>2271</v>
      </c>
      <c r="E5045" s="527" t="s">
        <v>10684</v>
      </c>
    </row>
    <row r="5046" spans="1:5" ht="14.4">
      <c r="A5046">
        <v>36313</v>
      </c>
      <c r="B5046" t="s">
        <v>23292</v>
      </c>
      <c r="C5046" t="s">
        <v>2269</v>
      </c>
      <c r="D5046" t="s">
        <v>2271</v>
      </c>
      <c r="E5046" s="527" t="s">
        <v>16179</v>
      </c>
    </row>
    <row r="5047" spans="1:5" ht="14.4">
      <c r="A5047">
        <v>36316</v>
      </c>
      <c r="B5047" t="s">
        <v>23293</v>
      </c>
      <c r="C5047" t="s">
        <v>2269</v>
      </c>
      <c r="D5047" t="s">
        <v>2271</v>
      </c>
      <c r="E5047" s="527" t="s">
        <v>10666</v>
      </c>
    </row>
    <row r="5048" spans="1:5" ht="14.4">
      <c r="A5048">
        <v>64</v>
      </c>
      <c r="B5048" t="s">
        <v>23294</v>
      </c>
      <c r="C5048" t="s">
        <v>2269</v>
      </c>
      <c r="D5048" t="s">
        <v>2271</v>
      </c>
      <c r="E5048" s="527" t="s">
        <v>4597</v>
      </c>
    </row>
    <row r="5049" spans="1:5" ht="14.4">
      <c r="A5049">
        <v>37423</v>
      </c>
      <c r="B5049" t="s">
        <v>23295</v>
      </c>
      <c r="C5049" t="s">
        <v>2269</v>
      </c>
      <c r="D5049" t="s">
        <v>2271</v>
      </c>
      <c r="E5049" s="527" t="s">
        <v>10149</v>
      </c>
    </row>
    <row r="5050" spans="1:5" ht="14.4">
      <c r="A5050">
        <v>39296</v>
      </c>
      <c r="B5050" t="s">
        <v>23296</v>
      </c>
      <c r="C5050" t="s">
        <v>2269</v>
      </c>
      <c r="D5050" t="s">
        <v>2271</v>
      </c>
      <c r="E5050" s="527" t="s">
        <v>9872</v>
      </c>
    </row>
    <row r="5051" spans="1:5" ht="14.4">
      <c r="A5051">
        <v>39297</v>
      </c>
      <c r="B5051" t="s">
        <v>23297</v>
      </c>
      <c r="C5051" t="s">
        <v>2269</v>
      </c>
      <c r="D5051" t="s">
        <v>2271</v>
      </c>
      <c r="E5051" s="527" t="s">
        <v>7483</v>
      </c>
    </row>
    <row r="5052" spans="1:5" ht="14.4">
      <c r="A5052">
        <v>39298</v>
      </c>
      <c r="B5052" t="s">
        <v>23298</v>
      </c>
      <c r="C5052" t="s">
        <v>2269</v>
      </c>
      <c r="D5052" t="s">
        <v>2271</v>
      </c>
      <c r="E5052" s="527" t="s">
        <v>13159</v>
      </c>
    </row>
    <row r="5053" spans="1:5" ht="14.4">
      <c r="A5053">
        <v>39299</v>
      </c>
      <c r="B5053" t="s">
        <v>23299</v>
      </c>
      <c r="C5053" t="s">
        <v>2269</v>
      </c>
      <c r="D5053" t="s">
        <v>2271</v>
      </c>
      <c r="E5053" s="527" t="s">
        <v>15699</v>
      </c>
    </row>
    <row r="5054" spans="1:5" ht="14.4">
      <c r="A5054">
        <v>9892</v>
      </c>
      <c r="B5054" t="s">
        <v>23300</v>
      </c>
      <c r="C5054" t="s">
        <v>2269</v>
      </c>
      <c r="D5054" t="s">
        <v>1857</v>
      </c>
      <c r="E5054" s="527" t="s">
        <v>10282</v>
      </c>
    </row>
    <row r="5055" spans="1:5" ht="14.4">
      <c r="A5055">
        <v>9893</v>
      </c>
      <c r="B5055" t="s">
        <v>23301</v>
      </c>
      <c r="C5055" t="s">
        <v>2269</v>
      </c>
      <c r="D5055" t="s">
        <v>1857</v>
      </c>
      <c r="E5055" s="527" t="s">
        <v>23302</v>
      </c>
    </row>
    <row r="5056" spans="1:5" ht="14.4">
      <c r="A5056">
        <v>9901</v>
      </c>
      <c r="B5056" t="s">
        <v>23303</v>
      </c>
      <c r="C5056" t="s">
        <v>2269</v>
      </c>
      <c r="D5056" t="s">
        <v>1857</v>
      </c>
      <c r="E5056" s="527" t="s">
        <v>11638</v>
      </c>
    </row>
    <row r="5057" spans="1:5" ht="14.4">
      <c r="A5057">
        <v>9896</v>
      </c>
      <c r="B5057" t="s">
        <v>23304</v>
      </c>
      <c r="C5057" t="s">
        <v>2269</v>
      </c>
      <c r="D5057" t="s">
        <v>1857</v>
      </c>
      <c r="E5057" s="527" t="s">
        <v>23305</v>
      </c>
    </row>
    <row r="5058" spans="1:5" ht="14.4">
      <c r="A5058">
        <v>9900</v>
      </c>
      <c r="B5058" t="s">
        <v>23306</v>
      </c>
      <c r="C5058" t="s">
        <v>2269</v>
      </c>
      <c r="D5058" t="s">
        <v>1857</v>
      </c>
      <c r="E5058" s="527" t="s">
        <v>4947</v>
      </c>
    </row>
    <row r="5059" spans="1:5" ht="14.4">
      <c r="A5059">
        <v>9898</v>
      </c>
      <c r="B5059" t="s">
        <v>23307</v>
      </c>
      <c r="C5059" t="s">
        <v>2269</v>
      </c>
      <c r="D5059" t="s">
        <v>1857</v>
      </c>
      <c r="E5059" s="527" t="s">
        <v>23308</v>
      </c>
    </row>
    <row r="5060" spans="1:5" ht="14.4">
      <c r="A5060">
        <v>9899</v>
      </c>
      <c r="B5060" t="s">
        <v>23309</v>
      </c>
      <c r="C5060" t="s">
        <v>2269</v>
      </c>
      <c r="D5060" t="s">
        <v>1857</v>
      </c>
      <c r="E5060" s="527" t="s">
        <v>13076</v>
      </c>
    </row>
    <row r="5061" spans="1:5" ht="14.4">
      <c r="A5061">
        <v>9902</v>
      </c>
      <c r="B5061" t="s">
        <v>23310</v>
      </c>
      <c r="C5061" t="s">
        <v>2269</v>
      </c>
      <c r="D5061" t="s">
        <v>1857</v>
      </c>
      <c r="E5061" s="527" t="s">
        <v>23311</v>
      </c>
    </row>
    <row r="5062" spans="1:5" ht="14.4">
      <c r="A5062">
        <v>9908</v>
      </c>
      <c r="B5062" t="s">
        <v>23312</v>
      </c>
      <c r="C5062" t="s">
        <v>2269</v>
      </c>
      <c r="D5062" t="s">
        <v>1857</v>
      </c>
      <c r="E5062" s="527" t="s">
        <v>23313</v>
      </c>
    </row>
    <row r="5063" spans="1:5" ht="14.4">
      <c r="A5063">
        <v>9905</v>
      </c>
      <c r="B5063" t="s">
        <v>23314</v>
      </c>
      <c r="C5063" t="s">
        <v>2269</v>
      </c>
      <c r="D5063" t="s">
        <v>1857</v>
      </c>
      <c r="E5063" s="527" t="s">
        <v>3458</v>
      </c>
    </row>
    <row r="5064" spans="1:5" ht="14.4">
      <c r="A5064">
        <v>9906</v>
      </c>
      <c r="B5064" t="s">
        <v>23315</v>
      </c>
      <c r="C5064" t="s">
        <v>2269</v>
      </c>
      <c r="D5064" t="s">
        <v>1857</v>
      </c>
      <c r="E5064" s="527" t="s">
        <v>15562</v>
      </c>
    </row>
    <row r="5065" spans="1:5" ht="14.4">
      <c r="A5065">
        <v>9895</v>
      </c>
      <c r="B5065" t="s">
        <v>23316</v>
      </c>
      <c r="C5065" t="s">
        <v>2269</v>
      </c>
      <c r="D5065" t="s">
        <v>1857</v>
      </c>
      <c r="E5065" s="527" t="s">
        <v>15809</v>
      </c>
    </row>
    <row r="5066" spans="1:5" ht="14.4">
      <c r="A5066">
        <v>9894</v>
      </c>
      <c r="B5066" t="s">
        <v>23317</v>
      </c>
      <c r="C5066" t="s">
        <v>2269</v>
      </c>
      <c r="D5066" t="s">
        <v>1857</v>
      </c>
      <c r="E5066" s="527" t="s">
        <v>23318</v>
      </c>
    </row>
    <row r="5067" spans="1:5" ht="14.4">
      <c r="A5067">
        <v>9897</v>
      </c>
      <c r="B5067" t="s">
        <v>23319</v>
      </c>
      <c r="C5067" t="s">
        <v>2269</v>
      </c>
      <c r="D5067" t="s">
        <v>1857</v>
      </c>
      <c r="E5067" s="527" t="s">
        <v>7451</v>
      </c>
    </row>
    <row r="5068" spans="1:5" ht="14.4">
      <c r="A5068">
        <v>9910</v>
      </c>
      <c r="B5068" t="s">
        <v>23320</v>
      </c>
      <c r="C5068" t="s">
        <v>2269</v>
      </c>
      <c r="D5068" t="s">
        <v>1857</v>
      </c>
      <c r="E5068" s="527" t="s">
        <v>23321</v>
      </c>
    </row>
    <row r="5069" spans="1:5" ht="14.4">
      <c r="A5069">
        <v>9909</v>
      </c>
      <c r="B5069" t="s">
        <v>23322</v>
      </c>
      <c r="C5069" t="s">
        <v>2269</v>
      </c>
      <c r="D5069" t="s">
        <v>1857</v>
      </c>
      <c r="E5069" s="527" t="s">
        <v>15382</v>
      </c>
    </row>
    <row r="5070" spans="1:5" ht="14.4">
      <c r="A5070">
        <v>9907</v>
      </c>
      <c r="B5070" t="s">
        <v>23323</v>
      </c>
      <c r="C5070" t="s">
        <v>2269</v>
      </c>
      <c r="D5070" t="s">
        <v>1857</v>
      </c>
      <c r="E5070" s="527" t="s">
        <v>16189</v>
      </c>
    </row>
    <row r="5071" spans="1:5" ht="14.4">
      <c r="A5071">
        <v>20973</v>
      </c>
      <c r="B5071" t="s">
        <v>23324</v>
      </c>
      <c r="C5071" t="s">
        <v>2269</v>
      </c>
      <c r="D5071" t="s">
        <v>1857</v>
      </c>
      <c r="E5071" s="527" t="s">
        <v>23325</v>
      </c>
    </row>
    <row r="5072" spans="1:5" ht="14.4">
      <c r="A5072">
        <v>20974</v>
      </c>
      <c r="B5072" t="s">
        <v>23326</v>
      </c>
      <c r="C5072" t="s">
        <v>2269</v>
      </c>
      <c r="D5072" t="s">
        <v>1857</v>
      </c>
      <c r="E5072" s="527" t="s">
        <v>23327</v>
      </c>
    </row>
    <row r="5073" spans="1:5" ht="14.4">
      <c r="A5073">
        <v>37989</v>
      </c>
      <c r="B5073" t="s">
        <v>23328</v>
      </c>
      <c r="C5073" t="s">
        <v>2269</v>
      </c>
      <c r="D5073" t="s">
        <v>1857</v>
      </c>
      <c r="E5073" s="527" t="s">
        <v>23329</v>
      </c>
    </row>
    <row r="5074" spans="1:5" ht="14.4">
      <c r="A5074">
        <v>37990</v>
      </c>
      <c r="B5074" t="s">
        <v>23330</v>
      </c>
      <c r="C5074" t="s">
        <v>2269</v>
      </c>
      <c r="D5074" t="s">
        <v>1857</v>
      </c>
      <c r="E5074" s="527" t="s">
        <v>10747</v>
      </c>
    </row>
    <row r="5075" spans="1:5" ht="14.4">
      <c r="A5075">
        <v>37991</v>
      </c>
      <c r="B5075" t="s">
        <v>23331</v>
      </c>
      <c r="C5075" t="s">
        <v>2269</v>
      </c>
      <c r="D5075" t="s">
        <v>1857</v>
      </c>
      <c r="E5075" s="527" t="s">
        <v>23332</v>
      </c>
    </row>
    <row r="5076" spans="1:5" ht="14.4">
      <c r="A5076">
        <v>37992</v>
      </c>
      <c r="B5076" t="s">
        <v>23333</v>
      </c>
      <c r="C5076" t="s">
        <v>2269</v>
      </c>
      <c r="D5076" t="s">
        <v>1857</v>
      </c>
      <c r="E5076" s="527" t="s">
        <v>23334</v>
      </c>
    </row>
    <row r="5077" spans="1:5" ht="14.4">
      <c r="A5077">
        <v>37993</v>
      </c>
      <c r="B5077" t="s">
        <v>23335</v>
      </c>
      <c r="C5077" t="s">
        <v>2269</v>
      </c>
      <c r="D5077" t="s">
        <v>1857</v>
      </c>
      <c r="E5077" s="527" t="s">
        <v>13077</v>
      </c>
    </row>
    <row r="5078" spans="1:5" ht="14.4">
      <c r="A5078">
        <v>37994</v>
      </c>
      <c r="B5078" t="s">
        <v>23336</v>
      </c>
      <c r="C5078" t="s">
        <v>2269</v>
      </c>
      <c r="D5078" t="s">
        <v>1857</v>
      </c>
      <c r="E5078" s="527" t="s">
        <v>23337</v>
      </c>
    </row>
    <row r="5079" spans="1:5" ht="14.4">
      <c r="A5079">
        <v>37995</v>
      </c>
      <c r="B5079" t="s">
        <v>23338</v>
      </c>
      <c r="C5079" t="s">
        <v>2269</v>
      </c>
      <c r="D5079" t="s">
        <v>1857</v>
      </c>
      <c r="E5079" s="527" t="s">
        <v>23339</v>
      </c>
    </row>
    <row r="5080" spans="1:5" ht="14.4">
      <c r="A5080">
        <v>37996</v>
      </c>
      <c r="B5080" t="s">
        <v>23340</v>
      </c>
      <c r="C5080" t="s">
        <v>2269</v>
      </c>
      <c r="D5080" t="s">
        <v>1857</v>
      </c>
      <c r="E5080" s="527" t="s">
        <v>23341</v>
      </c>
    </row>
    <row r="5081" spans="1:5" ht="14.4">
      <c r="A5081">
        <v>13883</v>
      </c>
      <c r="B5081" t="s">
        <v>23342</v>
      </c>
      <c r="C5081" t="s">
        <v>2269</v>
      </c>
      <c r="D5081" t="s">
        <v>2271</v>
      </c>
      <c r="E5081" s="527" t="s">
        <v>23343</v>
      </c>
    </row>
    <row r="5082" spans="1:5" ht="14.4">
      <c r="A5082">
        <v>38604</v>
      </c>
      <c r="B5082" t="s">
        <v>23344</v>
      </c>
      <c r="C5082" t="s">
        <v>2269</v>
      </c>
      <c r="D5082" t="s">
        <v>2271</v>
      </c>
      <c r="E5082" s="527" t="s">
        <v>23345</v>
      </c>
    </row>
    <row r="5083" spans="1:5" ht="14.4">
      <c r="A5083">
        <v>10601</v>
      </c>
      <c r="B5083" t="s">
        <v>23346</v>
      </c>
      <c r="C5083" t="s">
        <v>2269</v>
      </c>
      <c r="D5083" t="s">
        <v>2271</v>
      </c>
      <c r="E5083" s="527" t="s">
        <v>23347</v>
      </c>
    </row>
    <row r="5084" spans="1:5" ht="14.4">
      <c r="A5084">
        <v>26034</v>
      </c>
      <c r="B5084" t="s">
        <v>23348</v>
      </c>
      <c r="C5084" t="s">
        <v>2269</v>
      </c>
      <c r="D5084" t="s">
        <v>2271</v>
      </c>
      <c r="E5084" s="527" t="s">
        <v>23349</v>
      </c>
    </row>
    <row r="5085" spans="1:5" ht="14.4">
      <c r="A5085">
        <v>13894</v>
      </c>
      <c r="B5085" t="s">
        <v>23350</v>
      </c>
      <c r="C5085" t="s">
        <v>2269</v>
      </c>
      <c r="D5085" t="s">
        <v>2271</v>
      </c>
      <c r="E5085" s="527" t="s">
        <v>7369</v>
      </c>
    </row>
    <row r="5086" spans="1:5" ht="14.4">
      <c r="A5086">
        <v>13895</v>
      </c>
      <c r="B5086" t="s">
        <v>23351</v>
      </c>
      <c r="C5086" t="s">
        <v>2269</v>
      </c>
      <c r="D5086" t="s">
        <v>2271</v>
      </c>
      <c r="E5086" s="527" t="s">
        <v>7370</v>
      </c>
    </row>
    <row r="5087" spans="1:5" ht="14.4">
      <c r="A5087">
        <v>13892</v>
      </c>
      <c r="B5087" t="s">
        <v>23352</v>
      </c>
      <c r="C5087" t="s">
        <v>2269</v>
      </c>
      <c r="D5087" t="s">
        <v>2271</v>
      </c>
      <c r="E5087" s="527" t="s">
        <v>7371</v>
      </c>
    </row>
    <row r="5088" spans="1:5" ht="14.4">
      <c r="A5088">
        <v>9914</v>
      </c>
      <c r="B5088" t="s">
        <v>23353</v>
      </c>
      <c r="C5088" t="s">
        <v>2269</v>
      </c>
      <c r="D5088" t="s">
        <v>2271</v>
      </c>
      <c r="E5088" s="527" t="s">
        <v>7372</v>
      </c>
    </row>
    <row r="5089" spans="1:5" ht="14.4">
      <c r="A5089">
        <v>36485</v>
      </c>
      <c r="B5089" t="s">
        <v>23354</v>
      </c>
      <c r="C5089" t="s">
        <v>2269</v>
      </c>
      <c r="D5089" t="s">
        <v>2271</v>
      </c>
      <c r="E5089" s="527" t="s">
        <v>23355</v>
      </c>
    </row>
    <row r="5090" spans="1:5" ht="14.4">
      <c r="A5090">
        <v>9912</v>
      </c>
      <c r="B5090" t="s">
        <v>23356</v>
      </c>
      <c r="C5090" t="s">
        <v>2269</v>
      </c>
      <c r="D5090" t="s">
        <v>2271</v>
      </c>
      <c r="E5090" s="527" t="s">
        <v>23357</v>
      </c>
    </row>
    <row r="5091" spans="1:5" ht="14.4">
      <c r="A5091">
        <v>9921</v>
      </c>
      <c r="B5091" t="s">
        <v>23358</v>
      </c>
      <c r="C5091" t="s">
        <v>2269</v>
      </c>
      <c r="D5091" t="s">
        <v>2271</v>
      </c>
      <c r="E5091" s="527" t="s">
        <v>23359</v>
      </c>
    </row>
    <row r="5092" spans="1:5" ht="14.4">
      <c r="A5092">
        <v>21112</v>
      </c>
      <c r="B5092" t="s">
        <v>23360</v>
      </c>
      <c r="C5092" t="s">
        <v>2269</v>
      </c>
      <c r="D5092" t="s">
        <v>1857</v>
      </c>
      <c r="E5092" s="527" t="s">
        <v>23361</v>
      </c>
    </row>
    <row r="5093" spans="1:5" ht="14.4">
      <c r="A5093">
        <v>10228</v>
      </c>
      <c r="B5093" t="s">
        <v>23362</v>
      </c>
      <c r="C5093" t="s">
        <v>2269</v>
      </c>
      <c r="D5093" t="s">
        <v>2268</v>
      </c>
      <c r="E5093" s="527" t="s">
        <v>23363</v>
      </c>
    </row>
    <row r="5094" spans="1:5" ht="14.4">
      <c r="A5094">
        <v>11781</v>
      </c>
      <c r="B5094" t="s">
        <v>23364</v>
      </c>
      <c r="C5094" t="s">
        <v>2269</v>
      </c>
      <c r="D5094" t="s">
        <v>1857</v>
      </c>
      <c r="E5094" s="527" t="s">
        <v>23365</v>
      </c>
    </row>
    <row r="5095" spans="1:5" ht="14.4">
      <c r="A5095">
        <v>11746</v>
      </c>
      <c r="B5095" t="s">
        <v>23366</v>
      </c>
      <c r="C5095" t="s">
        <v>2269</v>
      </c>
      <c r="D5095" t="s">
        <v>1857</v>
      </c>
      <c r="E5095" s="527" t="s">
        <v>23367</v>
      </c>
    </row>
    <row r="5096" spans="1:5" ht="14.4">
      <c r="A5096">
        <v>11751</v>
      </c>
      <c r="B5096" t="s">
        <v>23368</v>
      </c>
      <c r="C5096" t="s">
        <v>2269</v>
      </c>
      <c r="D5096" t="s">
        <v>1857</v>
      </c>
      <c r="E5096" s="527" t="s">
        <v>23369</v>
      </c>
    </row>
    <row r="5097" spans="1:5" ht="14.4">
      <c r="A5097">
        <v>11750</v>
      </c>
      <c r="B5097" t="s">
        <v>23370</v>
      </c>
      <c r="C5097" t="s">
        <v>2269</v>
      </c>
      <c r="D5097" t="s">
        <v>1857</v>
      </c>
      <c r="E5097" s="527" t="s">
        <v>23371</v>
      </c>
    </row>
    <row r="5098" spans="1:5" ht="14.4">
      <c r="A5098">
        <v>11748</v>
      </c>
      <c r="B5098" t="s">
        <v>23372</v>
      </c>
      <c r="C5098" t="s">
        <v>2269</v>
      </c>
      <c r="D5098" t="s">
        <v>1857</v>
      </c>
      <c r="E5098" s="527" t="s">
        <v>23373</v>
      </c>
    </row>
    <row r="5099" spans="1:5" ht="14.4">
      <c r="A5099">
        <v>11747</v>
      </c>
      <c r="B5099" t="s">
        <v>23374</v>
      </c>
      <c r="C5099" t="s">
        <v>2269</v>
      </c>
      <c r="D5099" t="s">
        <v>1857</v>
      </c>
      <c r="E5099" s="527" t="s">
        <v>16431</v>
      </c>
    </row>
    <row r="5100" spans="1:5" ht="14.4">
      <c r="A5100">
        <v>11749</v>
      </c>
      <c r="B5100" t="s">
        <v>23375</v>
      </c>
      <c r="C5100" t="s">
        <v>2269</v>
      </c>
      <c r="D5100" t="s">
        <v>1857</v>
      </c>
      <c r="E5100" s="527" t="s">
        <v>15855</v>
      </c>
    </row>
    <row r="5101" spans="1:5" ht="14.4">
      <c r="A5101">
        <v>10236</v>
      </c>
      <c r="B5101" t="s">
        <v>23376</v>
      </c>
      <c r="C5101" t="s">
        <v>2269</v>
      </c>
      <c r="D5101" t="s">
        <v>1857</v>
      </c>
      <c r="E5101" s="527" t="s">
        <v>9765</v>
      </c>
    </row>
    <row r="5102" spans="1:5" ht="14.4">
      <c r="A5102">
        <v>10233</v>
      </c>
      <c r="B5102" t="s">
        <v>23377</v>
      </c>
      <c r="C5102" t="s">
        <v>2269</v>
      </c>
      <c r="D5102" t="s">
        <v>1857</v>
      </c>
      <c r="E5102" s="527" t="s">
        <v>13942</v>
      </c>
    </row>
    <row r="5103" spans="1:5" ht="14.4">
      <c r="A5103">
        <v>10234</v>
      </c>
      <c r="B5103" t="s">
        <v>23378</v>
      </c>
      <c r="C5103" t="s">
        <v>2269</v>
      </c>
      <c r="D5103" t="s">
        <v>1857</v>
      </c>
      <c r="E5103" s="527" t="s">
        <v>9588</v>
      </c>
    </row>
    <row r="5104" spans="1:5" ht="14.4">
      <c r="A5104">
        <v>10231</v>
      </c>
      <c r="B5104" t="s">
        <v>23379</v>
      </c>
      <c r="C5104" t="s">
        <v>2269</v>
      </c>
      <c r="D5104" t="s">
        <v>1857</v>
      </c>
      <c r="E5104" s="527" t="s">
        <v>15701</v>
      </c>
    </row>
    <row r="5105" spans="1:5" ht="14.4">
      <c r="A5105">
        <v>10232</v>
      </c>
      <c r="B5105" t="s">
        <v>23380</v>
      </c>
      <c r="C5105" t="s">
        <v>2269</v>
      </c>
      <c r="D5105" t="s">
        <v>1857</v>
      </c>
      <c r="E5105" s="527" t="s">
        <v>15702</v>
      </c>
    </row>
    <row r="5106" spans="1:5" ht="14.4">
      <c r="A5106">
        <v>10229</v>
      </c>
      <c r="B5106" t="s">
        <v>23381</v>
      </c>
      <c r="C5106" t="s">
        <v>2269</v>
      </c>
      <c r="D5106" t="s">
        <v>2268</v>
      </c>
      <c r="E5106" s="527" t="s">
        <v>11444</v>
      </c>
    </row>
    <row r="5107" spans="1:5" ht="14.4">
      <c r="A5107">
        <v>10235</v>
      </c>
      <c r="B5107" t="s">
        <v>23382</v>
      </c>
      <c r="C5107" t="s">
        <v>2269</v>
      </c>
      <c r="D5107" t="s">
        <v>1857</v>
      </c>
      <c r="E5107" s="527" t="s">
        <v>15703</v>
      </c>
    </row>
    <row r="5108" spans="1:5" ht="14.4">
      <c r="A5108">
        <v>10230</v>
      </c>
      <c r="B5108" t="s">
        <v>23383</v>
      </c>
      <c r="C5108" t="s">
        <v>2269</v>
      </c>
      <c r="D5108" t="s">
        <v>1857</v>
      </c>
      <c r="E5108" s="527" t="s">
        <v>15704</v>
      </c>
    </row>
    <row r="5109" spans="1:5" ht="14.4">
      <c r="A5109">
        <v>10409</v>
      </c>
      <c r="B5109" t="s">
        <v>23384</v>
      </c>
      <c r="C5109" t="s">
        <v>2269</v>
      </c>
      <c r="D5109" t="s">
        <v>1857</v>
      </c>
      <c r="E5109" s="527" t="s">
        <v>15705</v>
      </c>
    </row>
    <row r="5110" spans="1:5" ht="14.4">
      <c r="A5110">
        <v>10411</v>
      </c>
      <c r="B5110" t="s">
        <v>23385</v>
      </c>
      <c r="C5110" t="s">
        <v>2269</v>
      </c>
      <c r="D5110" t="s">
        <v>1857</v>
      </c>
      <c r="E5110" s="527" t="s">
        <v>15706</v>
      </c>
    </row>
    <row r="5111" spans="1:5" ht="14.4">
      <c r="A5111">
        <v>10404</v>
      </c>
      <c r="B5111" t="s">
        <v>23386</v>
      </c>
      <c r="C5111" t="s">
        <v>2269</v>
      </c>
      <c r="D5111" t="s">
        <v>1857</v>
      </c>
      <c r="E5111" s="527" t="s">
        <v>10651</v>
      </c>
    </row>
    <row r="5112" spans="1:5" ht="14.4">
      <c r="A5112">
        <v>10410</v>
      </c>
      <c r="B5112" t="s">
        <v>23387</v>
      </c>
      <c r="C5112" t="s">
        <v>2269</v>
      </c>
      <c r="D5112" t="s">
        <v>1857</v>
      </c>
      <c r="E5112" s="527" t="s">
        <v>13175</v>
      </c>
    </row>
    <row r="5113" spans="1:5" ht="14.4">
      <c r="A5113">
        <v>10405</v>
      </c>
      <c r="B5113" t="s">
        <v>23388</v>
      </c>
      <c r="C5113" t="s">
        <v>2269</v>
      </c>
      <c r="D5113" t="s">
        <v>1857</v>
      </c>
      <c r="E5113" s="527" t="s">
        <v>15707</v>
      </c>
    </row>
    <row r="5114" spans="1:5" ht="14.4">
      <c r="A5114">
        <v>10408</v>
      </c>
      <c r="B5114" t="s">
        <v>23389</v>
      </c>
      <c r="C5114" t="s">
        <v>2269</v>
      </c>
      <c r="D5114" t="s">
        <v>1857</v>
      </c>
      <c r="E5114" s="527" t="s">
        <v>15708</v>
      </c>
    </row>
    <row r="5115" spans="1:5" ht="14.4">
      <c r="A5115">
        <v>10412</v>
      </c>
      <c r="B5115" t="s">
        <v>23390</v>
      </c>
      <c r="C5115" t="s">
        <v>2269</v>
      </c>
      <c r="D5115" t="s">
        <v>1857</v>
      </c>
      <c r="E5115" s="527" t="s">
        <v>10238</v>
      </c>
    </row>
    <row r="5116" spans="1:5" ht="14.4">
      <c r="A5116">
        <v>10406</v>
      </c>
      <c r="B5116" t="s">
        <v>23391</v>
      </c>
      <c r="C5116" t="s">
        <v>2269</v>
      </c>
      <c r="D5116" t="s">
        <v>1857</v>
      </c>
      <c r="E5116" s="527" t="s">
        <v>15709</v>
      </c>
    </row>
    <row r="5117" spans="1:5" ht="14.4">
      <c r="A5117">
        <v>10407</v>
      </c>
      <c r="B5117" t="s">
        <v>23392</v>
      </c>
      <c r="C5117" t="s">
        <v>2269</v>
      </c>
      <c r="D5117" t="s">
        <v>1857</v>
      </c>
      <c r="E5117" s="527" t="s">
        <v>15710</v>
      </c>
    </row>
    <row r="5118" spans="1:5" ht="14.4">
      <c r="A5118">
        <v>10416</v>
      </c>
      <c r="B5118" t="s">
        <v>23393</v>
      </c>
      <c r="C5118" t="s">
        <v>2269</v>
      </c>
      <c r="D5118" t="s">
        <v>1857</v>
      </c>
      <c r="E5118" s="527" t="s">
        <v>15711</v>
      </c>
    </row>
    <row r="5119" spans="1:5" ht="14.4">
      <c r="A5119">
        <v>10419</v>
      </c>
      <c r="B5119" t="s">
        <v>23394</v>
      </c>
      <c r="C5119" t="s">
        <v>2269</v>
      </c>
      <c r="D5119" t="s">
        <v>1857</v>
      </c>
      <c r="E5119" s="527" t="s">
        <v>15712</v>
      </c>
    </row>
    <row r="5120" spans="1:5" ht="14.4">
      <c r="A5120">
        <v>21092</v>
      </c>
      <c r="B5120" t="s">
        <v>23395</v>
      </c>
      <c r="C5120" t="s">
        <v>2269</v>
      </c>
      <c r="D5120" t="s">
        <v>1857</v>
      </c>
      <c r="E5120" s="527" t="s">
        <v>15713</v>
      </c>
    </row>
    <row r="5121" spans="1:5" ht="14.4">
      <c r="A5121">
        <v>10418</v>
      </c>
      <c r="B5121" t="s">
        <v>23396</v>
      </c>
      <c r="C5121" t="s">
        <v>2269</v>
      </c>
      <c r="D5121" t="s">
        <v>1857</v>
      </c>
      <c r="E5121" s="527" t="s">
        <v>11454</v>
      </c>
    </row>
    <row r="5122" spans="1:5" ht="14.4">
      <c r="A5122">
        <v>12657</v>
      </c>
      <c r="B5122" t="s">
        <v>23397</v>
      </c>
      <c r="C5122" t="s">
        <v>2269</v>
      </c>
      <c r="D5122" t="s">
        <v>1857</v>
      </c>
      <c r="E5122" s="527" t="s">
        <v>15714</v>
      </c>
    </row>
    <row r="5123" spans="1:5" ht="14.4">
      <c r="A5123">
        <v>10417</v>
      </c>
      <c r="B5123" t="s">
        <v>23398</v>
      </c>
      <c r="C5123" t="s">
        <v>2269</v>
      </c>
      <c r="D5123" t="s">
        <v>1857</v>
      </c>
      <c r="E5123" s="527" t="s">
        <v>15715</v>
      </c>
    </row>
    <row r="5124" spans="1:5" ht="14.4">
      <c r="A5124">
        <v>10413</v>
      </c>
      <c r="B5124" t="s">
        <v>23399</v>
      </c>
      <c r="C5124" t="s">
        <v>2269</v>
      </c>
      <c r="D5124" t="s">
        <v>1857</v>
      </c>
      <c r="E5124" s="527" t="s">
        <v>10375</v>
      </c>
    </row>
    <row r="5125" spans="1:5" ht="14.4">
      <c r="A5125">
        <v>10414</v>
      </c>
      <c r="B5125" t="s">
        <v>23400</v>
      </c>
      <c r="C5125" t="s">
        <v>2269</v>
      </c>
      <c r="D5125" t="s">
        <v>1857</v>
      </c>
      <c r="E5125" s="527" t="s">
        <v>15716</v>
      </c>
    </row>
    <row r="5126" spans="1:5" ht="14.4">
      <c r="A5126">
        <v>10415</v>
      </c>
      <c r="B5126" t="s">
        <v>23401</v>
      </c>
      <c r="C5126" t="s">
        <v>2269</v>
      </c>
      <c r="D5126" t="s">
        <v>1857</v>
      </c>
      <c r="E5126" s="527" t="s">
        <v>15717</v>
      </c>
    </row>
    <row r="5127" spans="1:5" ht="14.4">
      <c r="A5127">
        <v>38643</v>
      </c>
      <c r="B5127" t="s">
        <v>23402</v>
      </c>
      <c r="C5127" t="s">
        <v>2269</v>
      </c>
      <c r="D5127" t="s">
        <v>1857</v>
      </c>
      <c r="E5127" s="527" t="s">
        <v>23403</v>
      </c>
    </row>
    <row r="5128" spans="1:5" ht="14.4">
      <c r="A5128">
        <v>6157</v>
      </c>
      <c r="B5128" t="s">
        <v>23404</v>
      </c>
      <c r="C5128" t="s">
        <v>2269</v>
      </c>
      <c r="D5128" t="s">
        <v>1857</v>
      </c>
      <c r="E5128" s="527" t="s">
        <v>15251</v>
      </c>
    </row>
    <row r="5129" spans="1:5" ht="14.4">
      <c r="A5129">
        <v>37588</v>
      </c>
      <c r="B5129" t="s">
        <v>23405</v>
      </c>
      <c r="C5129" t="s">
        <v>2269</v>
      </c>
      <c r="D5129" t="s">
        <v>1857</v>
      </c>
      <c r="E5129" s="527" t="s">
        <v>4314</v>
      </c>
    </row>
    <row r="5130" spans="1:5" ht="14.4">
      <c r="A5130">
        <v>6152</v>
      </c>
      <c r="B5130" t="s">
        <v>23406</v>
      </c>
      <c r="C5130" t="s">
        <v>2269</v>
      </c>
      <c r="D5130" t="s">
        <v>1857</v>
      </c>
      <c r="E5130" s="527" t="s">
        <v>4767</v>
      </c>
    </row>
    <row r="5131" spans="1:5" ht="14.4">
      <c r="A5131">
        <v>6158</v>
      </c>
      <c r="B5131" t="s">
        <v>23407</v>
      </c>
      <c r="C5131" t="s">
        <v>2269</v>
      </c>
      <c r="D5131" t="s">
        <v>1857</v>
      </c>
      <c r="E5131" s="527" t="s">
        <v>3632</v>
      </c>
    </row>
    <row r="5132" spans="1:5" ht="14.4">
      <c r="A5132">
        <v>6153</v>
      </c>
      <c r="B5132" t="s">
        <v>23408</v>
      </c>
      <c r="C5132" t="s">
        <v>2269</v>
      </c>
      <c r="D5132" t="s">
        <v>1857</v>
      </c>
      <c r="E5132" s="527" t="s">
        <v>3169</v>
      </c>
    </row>
    <row r="5133" spans="1:5" ht="14.4">
      <c r="A5133">
        <v>6156</v>
      </c>
      <c r="B5133" t="s">
        <v>23409</v>
      </c>
      <c r="C5133" t="s">
        <v>2269</v>
      </c>
      <c r="D5133" t="s">
        <v>1857</v>
      </c>
      <c r="E5133" s="527" t="s">
        <v>6031</v>
      </c>
    </row>
    <row r="5134" spans="1:5" ht="14.4">
      <c r="A5134">
        <v>6154</v>
      </c>
      <c r="B5134" t="s">
        <v>23410</v>
      </c>
      <c r="C5134" t="s">
        <v>2269</v>
      </c>
      <c r="D5134" t="s">
        <v>1857</v>
      </c>
      <c r="E5134" s="527" t="s">
        <v>4559</v>
      </c>
    </row>
    <row r="5135" spans="1:5" ht="14.4">
      <c r="A5135">
        <v>6155</v>
      </c>
      <c r="B5135" t="s">
        <v>23411</v>
      </c>
      <c r="C5135" t="s">
        <v>2269</v>
      </c>
      <c r="D5135" t="s">
        <v>1857</v>
      </c>
      <c r="E5135" s="527" t="s">
        <v>10196</v>
      </c>
    </row>
    <row r="5136" spans="1:5" ht="14.4">
      <c r="A5136">
        <v>43595</v>
      </c>
      <c r="B5136" t="s">
        <v>23412</v>
      </c>
      <c r="C5136" t="s">
        <v>2269</v>
      </c>
      <c r="D5136" t="s">
        <v>1857</v>
      </c>
      <c r="E5136" s="527" t="s">
        <v>10744</v>
      </c>
    </row>
    <row r="5137" spans="1:5" ht="14.4">
      <c r="A5137">
        <v>43596</v>
      </c>
      <c r="B5137" t="s">
        <v>23413</v>
      </c>
      <c r="C5137" t="s">
        <v>2269</v>
      </c>
      <c r="D5137" t="s">
        <v>1857</v>
      </c>
      <c r="E5137" s="527" t="s">
        <v>10298</v>
      </c>
    </row>
    <row r="5138" spans="1:5" ht="14.4">
      <c r="A5138">
        <v>38108</v>
      </c>
      <c r="B5138" t="s">
        <v>23414</v>
      </c>
      <c r="C5138" t="s">
        <v>2269</v>
      </c>
      <c r="D5138" t="s">
        <v>1857</v>
      </c>
      <c r="E5138" s="527" t="s">
        <v>17367</v>
      </c>
    </row>
    <row r="5139" spans="1:5" ht="14.4">
      <c r="A5139">
        <v>38087</v>
      </c>
      <c r="B5139" t="s">
        <v>23415</v>
      </c>
      <c r="C5139" t="s">
        <v>2269</v>
      </c>
      <c r="D5139" t="s">
        <v>1857</v>
      </c>
      <c r="E5139" s="527" t="s">
        <v>11983</v>
      </c>
    </row>
    <row r="5140" spans="1:5" ht="14.4">
      <c r="A5140">
        <v>38109</v>
      </c>
      <c r="B5140" t="s">
        <v>23416</v>
      </c>
      <c r="C5140" t="s">
        <v>2269</v>
      </c>
      <c r="D5140" t="s">
        <v>1857</v>
      </c>
      <c r="E5140" s="527" t="s">
        <v>23417</v>
      </c>
    </row>
    <row r="5141" spans="1:5" ht="14.4">
      <c r="A5141">
        <v>38088</v>
      </c>
      <c r="B5141" t="s">
        <v>23418</v>
      </c>
      <c r="C5141" t="s">
        <v>2269</v>
      </c>
      <c r="D5141" t="s">
        <v>1857</v>
      </c>
      <c r="E5141" s="527" t="s">
        <v>23419</v>
      </c>
    </row>
    <row r="5142" spans="1:5" ht="14.4">
      <c r="A5142">
        <v>38110</v>
      </c>
      <c r="B5142" t="s">
        <v>23420</v>
      </c>
      <c r="C5142" t="s">
        <v>2269</v>
      </c>
      <c r="D5142" t="s">
        <v>1857</v>
      </c>
      <c r="E5142" s="527" t="s">
        <v>10602</v>
      </c>
    </row>
    <row r="5143" spans="1:5" ht="14.4">
      <c r="A5143">
        <v>38089</v>
      </c>
      <c r="B5143" t="s">
        <v>23421</v>
      </c>
      <c r="C5143" t="s">
        <v>2269</v>
      </c>
      <c r="D5143" t="s">
        <v>1857</v>
      </c>
      <c r="E5143" s="527" t="s">
        <v>23422</v>
      </c>
    </row>
    <row r="5144" spans="1:5" ht="14.4">
      <c r="A5144">
        <v>38111</v>
      </c>
      <c r="B5144" t="s">
        <v>23423</v>
      </c>
      <c r="C5144" t="s">
        <v>2269</v>
      </c>
      <c r="D5144" t="s">
        <v>1857</v>
      </c>
      <c r="E5144" s="527" t="s">
        <v>7514</v>
      </c>
    </row>
    <row r="5145" spans="1:5" ht="14.4">
      <c r="A5145">
        <v>38090</v>
      </c>
      <c r="B5145" t="s">
        <v>23424</v>
      </c>
      <c r="C5145" t="s">
        <v>2269</v>
      </c>
      <c r="D5145" t="s">
        <v>1857</v>
      </c>
      <c r="E5145" s="527" t="s">
        <v>15819</v>
      </c>
    </row>
    <row r="5146" spans="1:5" ht="14.4">
      <c r="A5146">
        <v>13726</v>
      </c>
      <c r="B5146" t="s">
        <v>23425</v>
      </c>
      <c r="C5146" t="s">
        <v>2269</v>
      </c>
      <c r="D5146" t="s">
        <v>2271</v>
      </c>
      <c r="E5146" s="527" t="s">
        <v>23426</v>
      </c>
    </row>
    <row r="5147" spans="1:5" ht="14.4">
      <c r="A5147">
        <v>38400</v>
      </c>
      <c r="B5147" t="s">
        <v>23427</v>
      </c>
      <c r="C5147" t="s">
        <v>2269</v>
      </c>
      <c r="D5147" t="s">
        <v>1857</v>
      </c>
      <c r="E5147" s="527" t="s">
        <v>10678</v>
      </c>
    </row>
    <row r="5148" spans="1:5" ht="14.4">
      <c r="A5148">
        <v>12627</v>
      </c>
      <c r="B5148" t="s">
        <v>23428</v>
      </c>
      <c r="C5148" t="s">
        <v>2269</v>
      </c>
      <c r="D5148" t="s">
        <v>2271</v>
      </c>
      <c r="E5148" s="527" t="s">
        <v>6908</v>
      </c>
    </row>
    <row r="5149" spans="1:5" ht="14.4">
      <c r="A5149">
        <v>39996</v>
      </c>
      <c r="B5149" t="s">
        <v>23429</v>
      </c>
      <c r="C5149" t="s">
        <v>2273</v>
      </c>
      <c r="D5149" t="s">
        <v>1857</v>
      </c>
      <c r="E5149" s="527" t="s">
        <v>10308</v>
      </c>
    </row>
    <row r="5150" spans="1:5" ht="14.4">
      <c r="A5150">
        <v>10478</v>
      </c>
      <c r="B5150" t="s">
        <v>23430</v>
      </c>
      <c r="C5150" t="s">
        <v>2275</v>
      </c>
      <c r="D5150" t="s">
        <v>1857</v>
      </c>
      <c r="E5150" s="527" t="s">
        <v>23431</v>
      </c>
    </row>
    <row r="5151" spans="1:5" ht="14.4">
      <c r="A5151">
        <v>10475</v>
      </c>
      <c r="B5151" t="s">
        <v>23432</v>
      </c>
      <c r="C5151" t="s">
        <v>2275</v>
      </c>
      <c r="D5151" t="s">
        <v>1857</v>
      </c>
      <c r="E5151" s="527" t="s">
        <v>16472</v>
      </c>
    </row>
    <row r="5152" spans="1:5" ht="14.4">
      <c r="A5152">
        <v>10481</v>
      </c>
      <c r="B5152" t="s">
        <v>23433</v>
      </c>
      <c r="C5152" t="s">
        <v>2275</v>
      </c>
      <c r="D5152" t="s">
        <v>1857</v>
      </c>
      <c r="E5152" s="527" t="s">
        <v>16271</v>
      </c>
    </row>
    <row r="5153" spans="1:5" ht="14.4">
      <c r="A5153">
        <v>4031</v>
      </c>
      <c r="B5153" t="s">
        <v>23434</v>
      </c>
      <c r="C5153" t="s">
        <v>2270</v>
      </c>
      <c r="D5153" t="s">
        <v>1857</v>
      </c>
      <c r="E5153" s="527" t="s">
        <v>10020</v>
      </c>
    </row>
    <row r="5154" spans="1:5" ht="14.4">
      <c r="A5154">
        <v>4030</v>
      </c>
      <c r="B5154" t="s">
        <v>23435</v>
      </c>
      <c r="C5154" t="s">
        <v>2270</v>
      </c>
      <c r="D5154" t="s">
        <v>1857</v>
      </c>
      <c r="E5154" s="527" t="s">
        <v>7544</v>
      </c>
    </row>
    <row r="5155" spans="1:5" ht="14.4">
      <c r="A5155">
        <v>39399</v>
      </c>
      <c r="B5155" t="s">
        <v>23436</v>
      </c>
      <c r="C5155" t="s">
        <v>2269</v>
      </c>
      <c r="D5155" t="s">
        <v>2271</v>
      </c>
      <c r="E5155" s="527" t="s">
        <v>23437</v>
      </c>
    </row>
    <row r="5156" spans="1:5" ht="14.4">
      <c r="A5156">
        <v>39400</v>
      </c>
      <c r="B5156" t="s">
        <v>23438</v>
      </c>
      <c r="C5156" t="s">
        <v>2269</v>
      </c>
      <c r="D5156" t="s">
        <v>2271</v>
      </c>
      <c r="E5156" s="527" t="s">
        <v>23439</v>
      </c>
    </row>
    <row r="5157" spans="1:5" ht="14.4">
      <c r="A5157">
        <v>39401</v>
      </c>
      <c r="B5157" t="s">
        <v>23440</v>
      </c>
      <c r="C5157" t="s">
        <v>2269</v>
      </c>
      <c r="D5157" t="s">
        <v>2271</v>
      </c>
      <c r="E5157" s="527" t="s">
        <v>23441</v>
      </c>
    </row>
    <row r="5158" spans="1:5" ht="14.4">
      <c r="A5158">
        <v>11652</v>
      </c>
      <c r="B5158" t="s">
        <v>23442</v>
      </c>
      <c r="C5158" t="s">
        <v>2269</v>
      </c>
      <c r="D5158" t="s">
        <v>2271</v>
      </c>
      <c r="E5158" s="527" t="s">
        <v>23443</v>
      </c>
    </row>
    <row r="5159" spans="1:5" ht="14.4">
      <c r="A5159">
        <v>13896</v>
      </c>
      <c r="B5159" t="s">
        <v>23444</v>
      </c>
      <c r="C5159" t="s">
        <v>2269</v>
      </c>
      <c r="D5159" t="s">
        <v>2271</v>
      </c>
      <c r="E5159" s="527" t="s">
        <v>23445</v>
      </c>
    </row>
    <row r="5160" spans="1:5" ht="14.4">
      <c r="A5160">
        <v>13475</v>
      </c>
      <c r="B5160" t="s">
        <v>23446</v>
      </c>
      <c r="C5160" t="s">
        <v>2269</v>
      </c>
      <c r="D5160" t="s">
        <v>2271</v>
      </c>
      <c r="E5160" s="527" t="s">
        <v>23447</v>
      </c>
    </row>
    <row r="5161" spans="1:5" ht="14.4">
      <c r="A5161">
        <v>25971</v>
      </c>
      <c r="B5161" t="s">
        <v>23448</v>
      </c>
      <c r="C5161" t="s">
        <v>2269</v>
      </c>
      <c r="D5161" t="s">
        <v>2271</v>
      </c>
      <c r="E5161" s="527" t="s">
        <v>23449</v>
      </c>
    </row>
    <row r="5162" spans="1:5" ht="14.4">
      <c r="A5162">
        <v>25970</v>
      </c>
      <c r="B5162" t="s">
        <v>23450</v>
      </c>
      <c r="C5162" t="s">
        <v>2269</v>
      </c>
      <c r="D5162" t="s">
        <v>2271</v>
      </c>
      <c r="E5162" s="527" t="s">
        <v>23451</v>
      </c>
    </row>
    <row r="5163" spans="1:5" ht="14.4">
      <c r="A5163">
        <v>13476</v>
      </c>
      <c r="B5163" t="s">
        <v>23452</v>
      </c>
      <c r="C5163" t="s">
        <v>2269</v>
      </c>
      <c r="D5163" t="s">
        <v>2271</v>
      </c>
      <c r="E5163" s="527" t="s">
        <v>23453</v>
      </c>
    </row>
    <row r="5164" spans="1:5" ht="14.4">
      <c r="A5164">
        <v>10488</v>
      </c>
      <c r="B5164" t="s">
        <v>23454</v>
      </c>
      <c r="C5164" t="s">
        <v>2269</v>
      </c>
      <c r="D5164" t="s">
        <v>2271</v>
      </c>
      <c r="E5164" s="527" t="s">
        <v>23455</v>
      </c>
    </row>
    <row r="5165" spans="1:5" ht="14.4">
      <c r="A5165">
        <v>13606</v>
      </c>
      <c r="B5165" t="s">
        <v>23456</v>
      </c>
      <c r="C5165" t="s">
        <v>2269</v>
      </c>
      <c r="D5165" t="s">
        <v>2271</v>
      </c>
      <c r="E5165" s="527" t="s">
        <v>23457</v>
      </c>
    </row>
    <row r="5166" spans="1:5" ht="14.4">
      <c r="A5166">
        <v>10489</v>
      </c>
      <c r="B5166" t="s">
        <v>23458</v>
      </c>
      <c r="C5166" t="s">
        <v>2267</v>
      </c>
      <c r="D5166" t="s">
        <v>1857</v>
      </c>
      <c r="E5166" s="527" t="s">
        <v>10046</v>
      </c>
    </row>
    <row r="5167" spans="1:5" ht="14.4">
      <c r="A5167">
        <v>41073</v>
      </c>
      <c r="B5167" t="s">
        <v>23459</v>
      </c>
      <c r="C5167" t="s">
        <v>2276</v>
      </c>
      <c r="D5167" t="s">
        <v>1857</v>
      </c>
      <c r="E5167" s="527" t="s">
        <v>23460</v>
      </c>
    </row>
    <row r="5168" spans="1:5" ht="14.4">
      <c r="A5168">
        <v>34391</v>
      </c>
      <c r="B5168" t="s">
        <v>23461</v>
      </c>
      <c r="C5168" t="s">
        <v>2270</v>
      </c>
      <c r="D5168" t="s">
        <v>1857</v>
      </c>
      <c r="E5168" s="527" t="s">
        <v>23462</v>
      </c>
    </row>
    <row r="5169" spans="1:5" ht="14.4">
      <c r="A5169">
        <v>10496</v>
      </c>
      <c r="B5169" t="s">
        <v>23463</v>
      </c>
      <c r="C5169" t="s">
        <v>2270</v>
      </c>
      <c r="D5169" t="s">
        <v>1857</v>
      </c>
      <c r="E5169" s="527" t="s">
        <v>23464</v>
      </c>
    </row>
    <row r="5170" spans="1:5" ht="14.4">
      <c r="A5170">
        <v>10497</v>
      </c>
      <c r="B5170" t="s">
        <v>23465</v>
      </c>
      <c r="C5170" t="s">
        <v>2270</v>
      </c>
      <c r="D5170" t="s">
        <v>1857</v>
      </c>
      <c r="E5170" s="527" t="s">
        <v>23466</v>
      </c>
    </row>
    <row r="5171" spans="1:5" ht="14.4">
      <c r="A5171">
        <v>10504</v>
      </c>
      <c r="B5171" t="s">
        <v>23467</v>
      </c>
      <c r="C5171" t="s">
        <v>2270</v>
      </c>
      <c r="D5171" t="s">
        <v>1857</v>
      </c>
      <c r="E5171" s="527" t="s">
        <v>23468</v>
      </c>
    </row>
    <row r="5172" spans="1:5" ht="14.4">
      <c r="A5172">
        <v>34390</v>
      </c>
      <c r="B5172" t="s">
        <v>23469</v>
      </c>
      <c r="C5172" t="s">
        <v>2270</v>
      </c>
      <c r="D5172" t="s">
        <v>1857</v>
      </c>
      <c r="E5172" s="527" t="s">
        <v>23470</v>
      </c>
    </row>
    <row r="5173" spans="1:5" ht="14.4">
      <c r="A5173">
        <v>34389</v>
      </c>
      <c r="B5173" t="s">
        <v>23471</v>
      </c>
      <c r="C5173" t="s">
        <v>2270</v>
      </c>
      <c r="D5173" t="s">
        <v>1857</v>
      </c>
      <c r="E5173" s="527" t="s">
        <v>23472</v>
      </c>
    </row>
    <row r="5174" spans="1:5" ht="14.4">
      <c r="A5174">
        <v>34388</v>
      </c>
      <c r="B5174" t="s">
        <v>23473</v>
      </c>
      <c r="C5174" t="s">
        <v>2270</v>
      </c>
      <c r="D5174" t="s">
        <v>1857</v>
      </c>
      <c r="E5174" s="527" t="s">
        <v>16331</v>
      </c>
    </row>
    <row r="5175" spans="1:5" ht="14.4">
      <c r="A5175">
        <v>34387</v>
      </c>
      <c r="B5175" t="s">
        <v>23474</v>
      </c>
      <c r="C5175" t="s">
        <v>2270</v>
      </c>
      <c r="D5175" t="s">
        <v>1857</v>
      </c>
      <c r="E5175" s="527" t="s">
        <v>23475</v>
      </c>
    </row>
    <row r="5176" spans="1:5" ht="14.4">
      <c r="A5176">
        <v>11188</v>
      </c>
      <c r="B5176" t="s">
        <v>23476</v>
      </c>
      <c r="C5176" t="s">
        <v>2270</v>
      </c>
      <c r="D5176" t="s">
        <v>1857</v>
      </c>
      <c r="E5176" s="527" t="s">
        <v>23477</v>
      </c>
    </row>
    <row r="5177" spans="1:5" ht="14.4">
      <c r="A5177">
        <v>11189</v>
      </c>
      <c r="B5177" t="s">
        <v>23478</v>
      </c>
      <c r="C5177" t="s">
        <v>2270</v>
      </c>
      <c r="D5177" t="s">
        <v>1857</v>
      </c>
      <c r="E5177" s="527" t="s">
        <v>23479</v>
      </c>
    </row>
    <row r="5178" spans="1:5" ht="14.4">
      <c r="A5178">
        <v>21107</v>
      </c>
      <c r="B5178" t="s">
        <v>23480</v>
      </c>
      <c r="C5178" t="s">
        <v>2270</v>
      </c>
      <c r="D5178" t="s">
        <v>1857</v>
      </c>
      <c r="E5178" s="527" t="s">
        <v>16157</v>
      </c>
    </row>
    <row r="5179" spans="1:5" ht="14.4">
      <c r="A5179">
        <v>34386</v>
      </c>
      <c r="B5179" t="s">
        <v>23481</v>
      </c>
      <c r="C5179" t="s">
        <v>2270</v>
      </c>
      <c r="D5179" t="s">
        <v>1857</v>
      </c>
      <c r="E5179" s="527" t="s">
        <v>23482</v>
      </c>
    </row>
    <row r="5180" spans="1:5" ht="14.4">
      <c r="A5180">
        <v>10490</v>
      </c>
      <c r="B5180" t="s">
        <v>23483</v>
      </c>
      <c r="C5180" t="s">
        <v>2270</v>
      </c>
      <c r="D5180" t="s">
        <v>2268</v>
      </c>
      <c r="E5180" s="527" t="s">
        <v>23484</v>
      </c>
    </row>
    <row r="5181" spans="1:5" ht="14.4">
      <c r="A5181">
        <v>10492</v>
      </c>
      <c r="B5181" t="s">
        <v>23485</v>
      </c>
      <c r="C5181" t="s">
        <v>2270</v>
      </c>
      <c r="D5181" t="s">
        <v>1857</v>
      </c>
      <c r="E5181" s="527" t="s">
        <v>23486</v>
      </c>
    </row>
    <row r="5182" spans="1:5" ht="14.4">
      <c r="A5182">
        <v>10493</v>
      </c>
      <c r="B5182" t="s">
        <v>23487</v>
      </c>
      <c r="C5182" t="s">
        <v>2270</v>
      </c>
      <c r="D5182" t="s">
        <v>1857</v>
      </c>
      <c r="E5182" s="527" t="s">
        <v>23472</v>
      </c>
    </row>
    <row r="5183" spans="1:5" ht="14.4">
      <c r="A5183">
        <v>10491</v>
      </c>
      <c r="B5183" t="s">
        <v>23488</v>
      </c>
      <c r="C5183" t="s">
        <v>2270</v>
      </c>
      <c r="D5183" t="s">
        <v>1857</v>
      </c>
      <c r="E5183" t="s">
        <v>23489</v>
      </c>
    </row>
    <row r="5184" spans="1:5" ht="14.4">
      <c r="A5184">
        <v>34385</v>
      </c>
      <c r="B5184" t="s">
        <v>23490</v>
      </c>
      <c r="C5184" t="s">
        <v>2270</v>
      </c>
      <c r="D5184" t="s">
        <v>1857</v>
      </c>
      <c r="E5184" t="s">
        <v>23491</v>
      </c>
    </row>
    <row r="5185" spans="1:5" ht="15" customHeight="1">
      <c r="A5185" s="289">
        <v>10499</v>
      </c>
      <c r="B5185" s="236" t="s">
        <v>23492</v>
      </c>
      <c r="C5185" s="58" t="s">
        <v>2270</v>
      </c>
      <c r="D5185" s="58" t="s">
        <v>1857</v>
      </c>
      <c r="E5185" s="58" t="s">
        <v>23493</v>
      </c>
    </row>
    <row r="5186" spans="1:5" ht="15" customHeight="1">
      <c r="A5186" s="289">
        <v>34384</v>
      </c>
      <c r="B5186" s="236" t="s">
        <v>23494</v>
      </c>
      <c r="C5186" s="58" t="s">
        <v>2270</v>
      </c>
      <c r="D5186" s="58" t="s">
        <v>1857</v>
      </c>
      <c r="E5186" s="58" t="s">
        <v>23482</v>
      </c>
    </row>
    <row r="5187" spans="1:5" ht="15" customHeight="1">
      <c r="A5187" s="289">
        <v>11185</v>
      </c>
      <c r="B5187" s="236" t="s">
        <v>23495</v>
      </c>
      <c r="C5187" s="58" t="s">
        <v>2270</v>
      </c>
      <c r="D5187" s="58" t="s">
        <v>1857</v>
      </c>
      <c r="E5187" s="58" t="s">
        <v>23496</v>
      </c>
    </row>
    <row r="5188" spans="1:5" ht="15" customHeight="1">
      <c r="A5188" s="289">
        <v>10507</v>
      </c>
      <c r="B5188" s="236" t="s">
        <v>23497</v>
      </c>
      <c r="C5188" s="58" t="s">
        <v>2270</v>
      </c>
      <c r="D5188" s="58" t="s">
        <v>1857</v>
      </c>
      <c r="E5188" s="58" t="s">
        <v>23498</v>
      </c>
    </row>
    <row r="5189" spans="1:5" ht="15" customHeight="1">
      <c r="A5189" s="289">
        <v>10505</v>
      </c>
      <c r="B5189" s="236" t="s">
        <v>23499</v>
      </c>
      <c r="C5189" s="58" t="s">
        <v>2270</v>
      </c>
      <c r="D5189" s="58" t="s">
        <v>1857</v>
      </c>
      <c r="E5189" s="58" t="s">
        <v>23500</v>
      </c>
    </row>
    <row r="5190" spans="1:5" ht="15" customHeight="1">
      <c r="A5190" s="289">
        <v>10506</v>
      </c>
      <c r="B5190" s="236" t="s">
        <v>23501</v>
      </c>
      <c r="C5190" s="58" t="s">
        <v>2270</v>
      </c>
      <c r="D5190" s="58" t="s">
        <v>1857</v>
      </c>
      <c r="E5190" s="58" t="s">
        <v>23502</v>
      </c>
    </row>
    <row r="5191" spans="1:5" ht="15" customHeight="1">
      <c r="A5191" s="289">
        <v>5031</v>
      </c>
      <c r="B5191" s="236" t="s">
        <v>23503</v>
      </c>
      <c r="C5191" s="58" t="s">
        <v>2270</v>
      </c>
      <c r="D5191" s="58" t="s">
        <v>2268</v>
      </c>
      <c r="E5191" s="58" t="s">
        <v>23504</v>
      </c>
    </row>
    <row r="5192" spans="1:5" ht="15" customHeight="1">
      <c r="A5192" s="289">
        <v>10502</v>
      </c>
      <c r="B5192" s="236" t="s">
        <v>23505</v>
      </c>
      <c r="C5192" s="58" t="s">
        <v>2270</v>
      </c>
      <c r="D5192" s="58" t="s">
        <v>1857</v>
      </c>
      <c r="E5192" s="58" t="s">
        <v>23506</v>
      </c>
    </row>
    <row r="5193" spans="1:5" ht="15" customHeight="1">
      <c r="A5193" s="289">
        <v>10501</v>
      </c>
      <c r="B5193" s="236" t="s">
        <v>23507</v>
      </c>
      <c r="C5193" s="58" t="s">
        <v>2270</v>
      </c>
      <c r="D5193" s="58" t="s">
        <v>1857</v>
      </c>
      <c r="E5193" s="58" t="s">
        <v>23508</v>
      </c>
    </row>
    <row r="5194" spans="1:5" ht="15" customHeight="1">
      <c r="A5194" s="289">
        <v>10503</v>
      </c>
      <c r="B5194" s="236" t="s">
        <v>23509</v>
      </c>
      <c r="C5194" s="58" t="s">
        <v>2270</v>
      </c>
      <c r="D5194" s="58" t="s">
        <v>1857</v>
      </c>
      <c r="E5194" s="58" t="s">
        <v>23510</v>
      </c>
    </row>
    <row r="5195" spans="1:5" ht="15" customHeight="1">
      <c r="A5195" s="289">
        <v>4500</v>
      </c>
      <c r="B5195" s="236" t="s">
        <v>23511</v>
      </c>
      <c r="C5195" s="58" t="s">
        <v>2273</v>
      </c>
      <c r="D5195" s="58" t="s">
        <v>1857</v>
      </c>
      <c r="E5195" s="58" t="s">
        <v>5491</v>
      </c>
    </row>
    <row r="5196" spans="1:5" ht="15" customHeight="1">
      <c r="A5196" s="289">
        <v>4448</v>
      </c>
      <c r="B5196" s="236" t="s">
        <v>23512</v>
      </c>
      <c r="C5196" s="58" t="s">
        <v>2273</v>
      </c>
      <c r="D5196" s="58" t="s">
        <v>1857</v>
      </c>
      <c r="E5196" s="58" t="s">
        <v>10751</v>
      </c>
    </row>
    <row r="5197" spans="1:5" ht="15" customHeight="1">
      <c r="A5197" s="289">
        <v>20213</v>
      </c>
      <c r="B5197" s="236" t="s">
        <v>23513</v>
      </c>
      <c r="C5197" s="58" t="s">
        <v>2273</v>
      </c>
      <c r="D5197" s="58" t="s">
        <v>1857</v>
      </c>
      <c r="E5197" s="58" t="s">
        <v>7481</v>
      </c>
    </row>
    <row r="5198" spans="1:5" ht="15" customHeight="1">
      <c r="A5198" s="289">
        <v>20211</v>
      </c>
      <c r="B5198" s="236" t="s">
        <v>23514</v>
      </c>
      <c r="C5198" s="58" t="s">
        <v>2273</v>
      </c>
      <c r="D5198" s="58" t="s">
        <v>1857</v>
      </c>
      <c r="E5198" s="58" t="s">
        <v>16255</v>
      </c>
    </row>
    <row r="5199" spans="1:5" ht="15" customHeight="1">
      <c r="A5199" s="289">
        <v>40270</v>
      </c>
      <c r="B5199" s="236" t="s">
        <v>23515</v>
      </c>
      <c r="C5199" s="58" t="s">
        <v>2273</v>
      </c>
      <c r="D5199" s="58" t="s">
        <v>2271</v>
      </c>
      <c r="E5199" s="58" t="s">
        <v>23516</v>
      </c>
    </row>
    <row r="5200" spans="1:5" ht="15" customHeight="1">
      <c r="A5200" s="289">
        <v>4425</v>
      </c>
      <c r="B5200" s="236" t="s">
        <v>23517</v>
      </c>
      <c r="C5200" s="58" t="s">
        <v>2273</v>
      </c>
      <c r="D5200" s="58" t="s">
        <v>1857</v>
      </c>
      <c r="E5200" s="58" t="s">
        <v>9789</v>
      </c>
    </row>
    <row r="5201" spans="1:5" ht="15" customHeight="1">
      <c r="A5201" s="289">
        <v>4472</v>
      </c>
      <c r="B5201" s="236" t="s">
        <v>23518</v>
      </c>
      <c r="C5201" s="58" t="s">
        <v>2273</v>
      </c>
      <c r="D5201" s="58" t="s">
        <v>1857</v>
      </c>
      <c r="E5201" s="58" t="s">
        <v>23519</v>
      </c>
    </row>
    <row r="5202" spans="1:5" ht="15" customHeight="1">
      <c r="A5202" s="289">
        <v>35272</v>
      </c>
      <c r="B5202" s="236" t="s">
        <v>23520</v>
      </c>
      <c r="C5202" s="58" t="s">
        <v>2273</v>
      </c>
      <c r="D5202" s="58" t="s">
        <v>1857</v>
      </c>
      <c r="E5202" s="58" t="s">
        <v>11612</v>
      </c>
    </row>
    <row r="5203" spans="1:5" ht="15" customHeight="1">
      <c r="A5203" s="289">
        <v>4481</v>
      </c>
      <c r="B5203" s="236" t="s">
        <v>23521</v>
      </c>
      <c r="C5203" s="58" t="s">
        <v>2273</v>
      </c>
      <c r="D5203" s="58" t="s">
        <v>1857</v>
      </c>
      <c r="E5203" s="58" t="s">
        <v>23522</v>
      </c>
    </row>
    <row r="5204" spans="1:5" ht="15" customHeight="1">
      <c r="A5204" s="289">
        <v>34345</v>
      </c>
      <c r="B5204" s="236" t="s">
        <v>23523</v>
      </c>
      <c r="C5204" s="58" t="s">
        <v>2267</v>
      </c>
      <c r="D5204" s="58" t="s">
        <v>1857</v>
      </c>
      <c r="E5204" s="58" t="s">
        <v>7328</v>
      </c>
    </row>
    <row r="5205" spans="1:5" ht="15" customHeight="1">
      <c r="A5205" s="289">
        <v>41096</v>
      </c>
      <c r="B5205" s="236" t="s">
        <v>23524</v>
      </c>
      <c r="C5205" s="58" t="s">
        <v>2276</v>
      </c>
      <c r="D5205" s="58" t="s">
        <v>1857</v>
      </c>
      <c r="E5205" s="58" t="s">
        <v>23525</v>
      </c>
    </row>
    <row r="5206" spans="1:5" ht="15" customHeight="1">
      <c r="A5206" s="289">
        <v>41776</v>
      </c>
      <c r="B5206" s="236" t="s">
        <v>23526</v>
      </c>
      <c r="C5206" s="58" t="s">
        <v>2267</v>
      </c>
      <c r="D5206" s="58" t="s">
        <v>1857</v>
      </c>
      <c r="E5206" s="58" t="s">
        <v>13251</v>
      </c>
    </row>
  </sheetData>
  <mergeCells count="1">
    <mergeCell ref="A3:F3"/>
  </mergeCells>
  <pageMargins left="0.511811024" right="0.511811024" top="0.78740157499999996" bottom="0.78740157499999996" header="0.31496062000000002" footer="0.3149606200000000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1769"/>
  <sheetViews>
    <sheetView topLeftCell="A155" workbookViewId="0">
      <selection activeCell="K161" sqref="K161"/>
    </sheetView>
  </sheetViews>
  <sheetFormatPr defaultRowHeight="14.4"/>
  <cols>
    <col min="1" max="1" width="7.44140625" style="589" customWidth="1"/>
    <col min="2" max="2" width="41.6640625" customWidth="1"/>
    <col min="3" max="3" width="19.6640625" customWidth="1"/>
    <col min="4" max="4" width="13.88671875" customWidth="1"/>
    <col min="5" max="5" width="46" style="56" customWidth="1"/>
    <col min="6" max="6" width="5.6640625" customWidth="1"/>
    <col min="7" max="7" width="13.6640625" bestFit="1" customWidth="1"/>
    <col min="8" max="8" width="13.33203125" customWidth="1"/>
    <col min="9" max="9" width="13.6640625" bestFit="1" customWidth="1"/>
  </cols>
  <sheetData>
    <row r="1" spans="1:10">
      <c r="B1" t="s">
        <v>80</v>
      </c>
      <c r="C1" s="71">
        <v>45778</v>
      </c>
      <c r="E1" s="72">
        <v>0</v>
      </c>
      <c r="G1" s="168">
        <v>0.33250000000000002</v>
      </c>
      <c r="J1" s="72">
        <v>0.24229999999999999</v>
      </c>
    </row>
    <row r="3" spans="1:10">
      <c r="A3" s="805"/>
      <c r="B3" s="805"/>
      <c r="C3" s="805"/>
      <c r="D3" s="805"/>
      <c r="F3" s="56"/>
    </row>
    <row r="4" spans="1:10" ht="28.8">
      <c r="A4" s="590" t="s">
        <v>1770</v>
      </c>
      <c r="B4" s="224" t="s">
        <v>1771</v>
      </c>
      <c r="C4" s="225" t="s">
        <v>187</v>
      </c>
      <c r="D4" s="592" t="s">
        <v>2128</v>
      </c>
      <c r="E4" s="56" t="str">
        <f t="shared" ref="E4:E64" si="0">UPPER(B4)</f>
        <v>ESPECIFICAÇÃO DO SERVIÇO</v>
      </c>
      <c r="F4" s="56" t="str">
        <f t="shared" ref="F4:F64" si="1">UPPER(C4)</f>
        <v>UND.</v>
      </c>
      <c r="G4" s="20" t="s">
        <v>15760</v>
      </c>
      <c r="H4" s="58" t="s">
        <v>2129</v>
      </c>
      <c r="I4" s="58" t="s">
        <v>2129</v>
      </c>
    </row>
    <row r="5" spans="1:10">
      <c r="A5" s="291" t="s">
        <v>1770</v>
      </c>
      <c r="B5" s="587" t="s">
        <v>1771</v>
      </c>
      <c r="C5" s="292" t="s">
        <v>187</v>
      </c>
      <c r="D5" s="593" t="s">
        <v>26989</v>
      </c>
      <c r="E5" s="56" t="str">
        <f t="shared" si="0"/>
        <v>ESPECIFICAÇÃO DO SERVIÇO</v>
      </c>
      <c r="F5" s="56" t="str">
        <f t="shared" si="1"/>
        <v>UND.</v>
      </c>
      <c r="G5" t="str">
        <f>D5</f>
        <v>Preço Total</v>
      </c>
      <c r="H5" t="e">
        <f>ROUND(G5/(1+$E$1),2)</f>
        <v>#VALUE!</v>
      </c>
    </row>
    <row r="6" spans="1:10">
      <c r="A6" s="371">
        <v>1</v>
      </c>
      <c r="B6" s="240" t="s">
        <v>26</v>
      </c>
      <c r="C6" s="221"/>
      <c r="D6" s="241"/>
      <c r="E6" s="56" t="str">
        <f t="shared" si="0"/>
        <v>SERVIÇOS PRELIMINARES</v>
      </c>
      <c r="F6" s="56" t="str">
        <f t="shared" si="1"/>
        <v/>
      </c>
      <c r="G6">
        <f>D6</f>
        <v>0</v>
      </c>
      <c r="H6">
        <f>ROUND(G6/(1+$E$1),2)</f>
        <v>0</v>
      </c>
    </row>
    <row r="7" spans="1:10">
      <c r="A7" s="372">
        <v>102</v>
      </c>
      <c r="B7" s="241" t="s">
        <v>1051</v>
      </c>
      <c r="C7" s="221"/>
      <c r="D7" s="241"/>
      <c r="E7" s="56" t="str">
        <f t="shared" si="0"/>
        <v>DEMOLIÇÕES E RETIRADAS</v>
      </c>
      <c r="F7" s="56" t="str">
        <f t="shared" si="1"/>
        <v/>
      </c>
      <c r="G7" s="14">
        <f>ROUND(H7*(1+$G$1),2)</f>
        <v>0</v>
      </c>
      <c r="H7">
        <f>I7</f>
        <v>0</v>
      </c>
      <c r="I7">
        <f>ROUND(D7/(1+$E$1),2)</f>
        <v>0</v>
      </c>
    </row>
    <row r="8" spans="1:10" ht="28.8">
      <c r="A8" s="372">
        <v>10201</v>
      </c>
      <c r="B8" s="241" t="s">
        <v>1052</v>
      </c>
      <c r="C8" s="221" t="s">
        <v>110</v>
      </c>
      <c r="D8" s="241">
        <v>28.96</v>
      </c>
      <c r="E8" s="56" t="str">
        <f t="shared" si="0"/>
        <v>DEMOLIÇÃO DE PISO CIMENTADO INCLUSIVE LASTRO DE CONCRETO</v>
      </c>
      <c r="F8" s="56" t="str">
        <f t="shared" si="1"/>
        <v>M2</v>
      </c>
      <c r="G8">
        <f t="shared" ref="G8:G71" si="2">ROUND(H8*(1+$G$1),2)</f>
        <v>38.590000000000003</v>
      </c>
      <c r="H8">
        <f t="shared" ref="H8:H71" si="3">I8</f>
        <v>28.96</v>
      </c>
      <c r="I8">
        <f t="shared" ref="I8:I71" si="4">ROUND(D8/(1+$E$1),2)</f>
        <v>28.96</v>
      </c>
    </row>
    <row r="9" spans="1:10">
      <c r="A9" s="372">
        <v>10202</v>
      </c>
      <c r="B9" s="241" t="s">
        <v>1053</v>
      </c>
      <c r="C9" s="221" t="s">
        <v>110</v>
      </c>
      <c r="D9" s="241">
        <v>15.59</v>
      </c>
      <c r="E9" s="56" t="str">
        <f t="shared" si="0"/>
        <v>DEMOLIÇÃO DE PISO REVESTIDO COM CERÂMICA</v>
      </c>
      <c r="F9" s="56" t="str">
        <f t="shared" si="1"/>
        <v>M2</v>
      </c>
      <c r="G9">
        <f>ROUND(H9*(1+$G$1),2)</f>
        <v>20.77</v>
      </c>
      <c r="H9">
        <f t="shared" si="3"/>
        <v>15.59</v>
      </c>
      <c r="I9">
        <f t="shared" si="4"/>
        <v>15.59</v>
      </c>
    </row>
    <row r="10" spans="1:10" ht="28.8">
      <c r="A10" s="372">
        <v>10203</v>
      </c>
      <c r="B10" s="241" t="s">
        <v>1054</v>
      </c>
      <c r="C10" s="221" t="s">
        <v>110</v>
      </c>
      <c r="D10" s="241">
        <v>31.19</v>
      </c>
      <c r="E10" s="56" t="str">
        <f t="shared" si="0"/>
        <v>DEMOLIÇÃO DE PISO REVESTIDO COM CERÂMICA INCLUSIVE LASTRO DE CONCRETO</v>
      </c>
      <c r="F10" s="56" t="str">
        <f t="shared" si="1"/>
        <v>M2</v>
      </c>
      <c r="G10">
        <f t="shared" si="2"/>
        <v>41.56</v>
      </c>
      <c r="H10">
        <f t="shared" si="3"/>
        <v>31.19</v>
      </c>
      <c r="I10">
        <f t="shared" si="4"/>
        <v>31.19</v>
      </c>
    </row>
    <row r="11" spans="1:10" ht="28.8">
      <c r="A11" s="372">
        <v>10204</v>
      </c>
      <c r="B11" s="241" t="s">
        <v>1055</v>
      </c>
      <c r="C11" s="221" t="s">
        <v>110</v>
      </c>
      <c r="D11" s="241">
        <v>22.28</v>
      </c>
      <c r="E11" s="56" t="str">
        <f t="shared" si="0"/>
        <v>DEMOLIÇÃO DE PISO REVESTIDO COM TACOS DE MADEIRA</v>
      </c>
      <c r="F11" s="56" t="str">
        <f t="shared" si="1"/>
        <v>M2</v>
      </c>
      <c r="G11">
        <f t="shared" si="2"/>
        <v>29.69</v>
      </c>
      <c r="H11">
        <f t="shared" si="3"/>
        <v>22.28</v>
      </c>
      <c r="I11">
        <f t="shared" si="4"/>
        <v>22.28</v>
      </c>
    </row>
    <row r="12" spans="1:10">
      <c r="A12" s="372">
        <v>10205</v>
      </c>
      <c r="B12" s="241" t="s">
        <v>1056</v>
      </c>
      <c r="C12" s="221" t="s">
        <v>110</v>
      </c>
      <c r="D12" s="241">
        <v>20.05</v>
      </c>
      <c r="E12" s="56" t="str">
        <f t="shared" si="0"/>
        <v>DEMOLIÇÃO DE PISO DE TÁBUAS</v>
      </c>
      <c r="F12" s="56" t="str">
        <f t="shared" si="1"/>
        <v>M2</v>
      </c>
      <c r="G12">
        <f t="shared" si="2"/>
        <v>26.72</v>
      </c>
      <c r="H12">
        <f t="shared" si="3"/>
        <v>20.05</v>
      </c>
      <c r="I12">
        <f t="shared" si="4"/>
        <v>20.05</v>
      </c>
    </row>
    <row r="13" spans="1:10">
      <c r="A13" s="372">
        <v>10206</v>
      </c>
      <c r="B13" s="241" t="s">
        <v>1057</v>
      </c>
      <c r="C13" s="221" t="s">
        <v>110</v>
      </c>
      <c r="D13" s="241">
        <v>55.7</v>
      </c>
      <c r="E13" s="56" t="str">
        <f t="shared" si="0"/>
        <v>DEMOLIÇÃO DE REVESTIMENTO COM AZULEJOS</v>
      </c>
      <c r="F13" s="56" t="str">
        <f t="shared" si="1"/>
        <v>M2</v>
      </c>
      <c r="G13">
        <f t="shared" si="2"/>
        <v>74.22</v>
      </c>
      <c r="H13">
        <f t="shared" si="3"/>
        <v>55.7</v>
      </c>
      <c r="I13">
        <f t="shared" si="4"/>
        <v>55.7</v>
      </c>
    </row>
    <row r="14" spans="1:10" ht="28.8">
      <c r="A14" s="372">
        <v>10207</v>
      </c>
      <c r="B14" s="241" t="s">
        <v>1058</v>
      </c>
      <c r="C14" s="221" t="s">
        <v>110</v>
      </c>
      <c r="D14" s="241">
        <v>55.7</v>
      </c>
      <c r="E14" s="56" t="str">
        <f t="shared" si="0"/>
        <v>DEMOLIÇÃO DE REVESTIMENTO COM LAMBRIS DE MADEIRA</v>
      </c>
      <c r="F14" s="56" t="str">
        <f t="shared" si="1"/>
        <v>M2</v>
      </c>
      <c r="G14">
        <f t="shared" si="2"/>
        <v>74.22</v>
      </c>
      <c r="H14">
        <f t="shared" si="3"/>
        <v>55.7</v>
      </c>
      <c r="I14">
        <f t="shared" si="4"/>
        <v>55.7</v>
      </c>
    </row>
    <row r="15" spans="1:10">
      <c r="A15" s="372">
        <v>10208</v>
      </c>
      <c r="B15" s="241" t="s">
        <v>1059</v>
      </c>
      <c r="C15" s="221" t="s">
        <v>110</v>
      </c>
      <c r="D15" s="241">
        <v>11.14</v>
      </c>
      <c r="E15" s="56" t="str">
        <f t="shared" si="0"/>
        <v>RETIRADA DE REVESTIMENTO ANTIGO EM REBOCO</v>
      </c>
      <c r="F15" s="56" t="str">
        <f t="shared" si="1"/>
        <v>M2</v>
      </c>
      <c r="G15">
        <f t="shared" si="2"/>
        <v>14.84</v>
      </c>
      <c r="H15">
        <f t="shared" si="3"/>
        <v>11.14</v>
      </c>
      <c r="I15">
        <f t="shared" si="4"/>
        <v>11.14</v>
      </c>
    </row>
    <row r="16" spans="1:10">
      <c r="A16" s="372">
        <v>10209</v>
      </c>
      <c r="B16" s="241" t="s">
        <v>1060</v>
      </c>
      <c r="C16" s="221" t="s">
        <v>1061</v>
      </c>
      <c r="D16" s="241">
        <v>66.84</v>
      </c>
      <c r="E16" s="56" t="str">
        <f t="shared" si="0"/>
        <v>DEMOLIÇÃO DE ALVENARIA</v>
      </c>
      <c r="F16" s="56" t="str">
        <f t="shared" si="1"/>
        <v>M3</v>
      </c>
      <c r="G16">
        <f t="shared" si="2"/>
        <v>89.06</v>
      </c>
      <c r="H16">
        <f t="shared" si="3"/>
        <v>66.84</v>
      </c>
      <c r="I16">
        <f t="shared" si="4"/>
        <v>66.84</v>
      </c>
    </row>
    <row r="17" spans="1:9" ht="28.8">
      <c r="A17" s="372">
        <v>10210</v>
      </c>
      <c r="B17" s="241" t="s">
        <v>1062</v>
      </c>
      <c r="C17" s="221" t="s">
        <v>1061</v>
      </c>
      <c r="D17" s="241">
        <v>314.88</v>
      </c>
      <c r="E17" s="56" t="str">
        <f t="shared" si="0"/>
        <v>DEMOLIÇÃO MANUAL DE CONCRETO SIMPLES (EMOP 05.001.001)</v>
      </c>
      <c r="F17" s="56" t="str">
        <f t="shared" si="1"/>
        <v>M3</v>
      </c>
      <c r="G17">
        <f t="shared" si="2"/>
        <v>419.58</v>
      </c>
      <c r="H17">
        <f t="shared" si="3"/>
        <v>314.88</v>
      </c>
      <c r="I17">
        <f t="shared" si="4"/>
        <v>314.88</v>
      </c>
    </row>
    <row r="18" spans="1:9" ht="43.2">
      <c r="A18" s="372">
        <v>10212</v>
      </c>
      <c r="B18" s="241" t="s">
        <v>1063</v>
      </c>
      <c r="C18" s="221" t="s">
        <v>110</v>
      </c>
      <c r="D18" s="241">
        <v>13.36</v>
      </c>
      <c r="E18" s="56" t="str">
        <f t="shared" si="0"/>
        <v>RETIRADA MANUAL DE PAVIMENTO EM PARALELEPÍPEDOS, INCLUINDO EMPILHAMENTO PARA REAPROVEITAMENTO</v>
      </c>
      <c r="F18" s="56" t="str">
        <f t="shared" si="1"/>
        <v>M2</v>
      </c>
      <c r="G18">
        <f t="shared" si="2"/>
        <v>17.8</v>
      </c>
      <c r="H18">
        <f t="shared" si="3"/>
        <v>13.36</v>
      </c>
      <c r="I18">
        <f t="shared" si="4"/>
        <v>13.36</v>
      </c>
    </row>
    <row r="19" spans="1:9" ht="43.2">
      <c r="A19" s="372">
        <v>10213</v>
      </c>
      <c r="B19" s="241" t="s">
        <v>1064</v>
      </c>
      <c r="C19" s="221" t="s">
        <v>110</v>
      </c>
      <c r="D19" s="241">
        <v>15.59</v>
      </c>
      <c r="E19" s="56" t="str">
        <f t="shared" si="0"/>
        <v>RETIRADA MANUAL DE BLOCOS PRÉ-MOLDADOS DE CONCRETO (BLOKRET), INCLUSIVE EMPILHAMENTO PARA REAPROVEITAMENTO</v>
      </c>
      <c r="F19" s="56" t="str">
        <f t="shared" si="1"/>
        <v>M2</v>
      </c>
      <c r="G19">
        <f t="shared" si="2"/>
        <v>20.77</v>
      </c>
      <c r="H19">
        <f t="shared" si="3"/>
        <v>15.59</v>
      </c>
      <c r="I19">
        <f t="shared" si="4"/>
        <v>15.59</v>
      </c>
    </row>
    <row r="20" spans="1:9" ht="28.8">
      <c r="A20" s="372">
        <v>10214</v>
      </c>
      <c r="B20" s="241" t="s">
        <v>1065</v>
      </c>
      <c r="C20" s="221" t="s">
        <v>110</v>
      </c>
      <c r="D20" s="241">
        <v>17.82</v>
      </c>
      <c r="E20" s="56" t="str">
        <f t="shared" si="0"/>
        <v>RETIRADA DE PORTAS E JANELAS DE MADEIRA, INCLUSIVE BATENTES</v>
      </c>
      <c r="F20" s="56" t="str">
        <f t="shared" si="1"/>
        <v>M2</v>
      </c>
      <c r="G20">
        <f t="shared" si="2"/>
        <v>23.75</v>
      </c>
      <c r="H20">
        <f t="shared" si="3"/>
        <v>17.82</v>
      </c>
      <c r="I20">
        <f t="shared" si="4"/>
        <v>17.82</v>
      </c>
    </row>
    <row r="21" spans="1:9">
      <c r="A21" s="372">
        <v>10215</v>
      </c>
      <c r="B21" s="241" t="s">
        <v>1066</v>
      </c>
      <c r="C21" s="221" t="s">
        <v>110</v>
      </c>
      <c r="D21" s="241">
        <v>11.14</v>
      </c>
      <c r="E21" s="56" t="str">
        <f t="shared" si="0"/>
        <v>RETIRADA DE ESQUADRIAS METÁLICAS</v>
      </c>
      <c r="F21" s="56" t="str">
        <f t="shared" si="1"/>
        <v>M2</v>
      </c>
      <c r="G21">
        <f t="shared" si="2"/>
        <v>14.84</v>
      </c>
      <c r="H21">
        <f t="shared" si="3"/>
        <v>11.14</v>
      </c>
      <c r="I21">
        <f t="shared" si="4"/>
        <v>11.14</v>
      </c>
    </row>
    <row r="22" spans="1:9">
      <c r="A22" s="372">
        <v>10216</v>
      </c>
      <c r="B22" s="241" t="s">
        <v>1067</v>
      </c>
      <c r="C22" s="221" t="s">
        <v>112</v>
      </c>
      <c r="D22" s="241">
        <v>11.14</v>
      </c>
      <c r="E22" s="56" t="str">
        <f t="shared" si="0"/>
        <v>RETIRADA DE MEIO-FIO DE CONCRETO</v>
      </c>
      <c r="F22" s="56" t="str">
        <f t="shared" si="1"/>
        <v>M</v>
      </c>
      <c r="G22">
        <f t="shared" si="2"/>
        <v>14.84</v>
      </c>
      <c r="H22">
        <f t="shared" si="3"/>
        <v>11.14</v>
      </c>
      <c r="I22">
        <f t="shared" si="4"/>
        <v>11.14</v>
      </c>
    </row>
    <row r="23" spans="1:9">
      <c r="A23" s="372">
        <v>10218</v>
      </c>
      <c r="B23" s="241" t="s">
        <v>1068</v>
      </c>
      <c r="C23" s="221" t="s">
        <v>110</v>
      </c>
      <c r="D23" s="241">
        <v>13.33</v>
      </c>
      <c r="E23" s="56" t="str">
        <f t="shared" si="0"/>
        <v>REMOÇÃO DE PINTURA ANTIGA A ÓLEO OU ESMALTE</v>
      </c>
      <c r="F23" s="56" t="str">
        <f t="shared" si="1"/>
        <v>M2</v>
      </c>
      <c r="G23">
        <f t="shared" si="2"/>
        <v>17.760000000000002</v>
      </c>
      <c r="H23">
        <f t="shared" si="3"/>
        <v>13.33</v>
      </c>
      <c r="I23">
        <f t="shared" si="4"/>
        <v>13.33</v>
      </c>
    </row>
    <row r="24" spans="1:9" ht="28.8">
      <c r="A24" s="372">
        <v>10219</v>
      </c>
      <c r="B24" s="241" t="s">
        <v>1069</v>
      </c>
      <c r="C24" s="221" t="s">
        <v>1061</v>
      </c>
      <c r="D24" s="241">
        <v>366.17</v>
      </c>
      <c r="E24" s="56" t="str">
        <f t="shared" si="0"/>
        <v>DEMOLIÇÃO MANUAL DE CONCRETO ARMADO (EMOP 05.001.033)</v>
      </c>
      <c r="F24" s="56" t="str">
        <f t="shared" si="1"/>
        <v>M3</v>
      </c>
      <c r="G24">
        <f t="shared" si="2"/>
        <v>487.92</v>
      </c>
      <c r="H24">
        <f t="shared" si="3"/>
        <v>366.17</v>
      </c>
      <c r="I24">
        <f t="shared" si="4"/>
        <v>366.17</v>
      </c>
    </row>
    <row r="25" spans="1:9" ht="28.8">
      <c r="A25" s="372">
        <v>10220</v>
      </c>
      <c r="B25" s="241" t="s">
        <v>1070</v>
      </c>
      <c r="C25" s="221" t="s">
        <v>110</v>
      </c>
      <c r="D25" s="241">
        <v>13.77</v>
      </c>
      <c r="E25" s="56" t="str">
        <f t="shared" si="0"/>
        <v>DEMOLIÇÃO DE PISO CIMENTADO, EXCLUSIVE LASTRO DE CONCRETO</v>
      </c>
      <c r="F25" s="56" t="str">
        <f t="shared" si="1"/>
        <v>M2</v>
      </c>
      <c r="G25">
        <f t="shared" si="2"/>
        <v>18.350000000000001</v>
      </c>
      <c r="H25">
        <f t="shared" si="3"/>
        <v>13.77</v>
      </c>
      <c r="I25">
        <f t="shared" si="4"/>
        <v>13.77</v>
      </c>
    </row>
    <row r="26" spans="1:9">
      <c r="A26" s="372">
        <v>10221</v>
      </c>
      <c r="B26" s="241" t="s">
        <v>1071</v>
      </c>
      <c r="C26" s="221" t="s">
        <v>115</v>
      </c>
      <c r="D26" s="241">
        <v>33.590000000000003</v>
      </c>
      <c r="E26" s="56" t="str">
        <f t="shared" si="0"/>
        <v>RETIRADA DE BANDEIRA DE PORTA</v>
      </c>
      <c r="F26" s="56" t="str">
        <f t="shared" si="1"/>
        <v>UND</v>
      </c>
      <c r="G26">
        <f t="shared" si="2"/>
        <v>44.76</v>
      </c>
      <c r="H26">
        <f t="shared" si="3"/>
        <v>33.590000000000003</v>
      </c>
      <c r="I26">
        <f t="shared" si="4"/>
        <v>33.590000000000003</v>
      </c>
    </row>
    <row r="27" spans="1:9" ht="28.8">
      <c r="A27" s="372">
        <v>10222</v>
      </c>
      <c r="B27" s="241" t="s">
        <v>1072</v>
      </c>
      <c r="C27" s="221" t="s">
        <v>110</v>
      </c>
      <c r="D27" s="241">
        <v>24.52</v>
      </c>
      <c r="E27" s="56" t="str">
        <f t="shared" si="0"/>
        <v>DEMOLIÇÃO DE ELEMENTOS VAZADOS CERÂMICOS OU DE CONCRETO</v>
      </c>
      <c r="F27" s="56" t="str">
        <f t="shared" si="1"/>
        <v>M2</v>
      </c>
      <c r="G27">
        <f t="shared" si="2"/>
        <v>32.67</v>
      </c>
      <c r="H27">
        <f t="shared" si="3"/>
        <v>24.52</v>
      </c>
      <c r="I27">
        <f t="shared" si="4"/>
        <v>24.52</v>
      </c>
    </row>
    <row r="28" spans="1:9">
      <c r="A28" s="372">
        <v>10223</v>
      </c>
      <c r="B28" s="241" t="s">
        <v>1073</v>
      </c>
      <c r="C28" s="221" t="s">
        <v>115</v>
      </c>
      <c r="D28" s="241">
        <v>22.85</v>
      </c>
      <c r="E28" s="56" t="str">
        <f t="shared" si="0"/>
        <v>RETIRADA DE APARELHOS SANITÁRIOS</v>
      </c>
      <c r="F28" s="56" t="str">
        <f t="shared" si="1"/>
        <v>UND</v>
      </c>
      <c r="G28">
        <f t="shared" si="2"/>
        <v>30.45</v>
      </c>
      <c r="H28">
        <f t="shared" si="3"/>
        <v>22.85</v>
      </c>
      <c r="I28">
        <f t="shared" si="4"/>
        <v>22.85</v>
      </c>
    </row>
    <row r="29" spans="1:9" ht="28.8">
      <c r="A29" s="372">
        <v>10224</v>
      </c>
      <c r="B29" s="241" t="s">
        <v>1074</v>
      </c>
      <c r="C29" s="221" t="s">
        <v>110</v>
      </c>
      <c r="D29" s="241">
        <v>19.68</v>
      </c>
      <c r="E29" s="56" t="str">
        <f t="shared" si="0"/>
        <v>RETIRADA DE GRADES, GRADIS, ALAMBRADOS, CERCAS E PORTÕES</v>
      </c>
      <c r="F29" s="56" t="str">
        <f t="shared" si="1"/>
        <v>M2</v>
      </c>
      <c r="G29">
        <f t="shared" si="2"/>
        <v>26.22</v>
      </c>
      <c r="H29">
        <f t="shared" si="3"/>
        <v>19.68</v>
      </c>
      <c r="I29">
        <f t="shared" si="4"/>
        <v>19.68</v>
      </c>
    </row>
    <row r="30" spans="1:9">
      <c r="A30" s="372">
        <v>10225</v>
      </c>
      <c r="B30" s="241" t="s">
        <v>1075</v>
      </c>
      <c r="C30" s="221" t="s">
        <v>110</v>
      </c>
      <c r="D30" s="241">
        <v>27.41</v>
      </c>
      <c r="E30" s="56" t="str">
        <f t="shared" si="0"/>
        <v>RETIRADA DE BANCADA DE PIA</v>
      </c>
      <c r="F30" s="56" t="str">
        <f t="shared" si="1"/>
        <v>M2</v>
      </c>
      <c r="G30">
        <f t="shared" si="2"/>
        <v>36.520000000000003</v>
      </c>
      <c r="H30">
        <f t="shared" si="3"/>
        <v>27.41</v>
      </c>
      <c r="I30">
        <f t="shared" si="4"/>
        <v>27.41</v>
      </c>
    </row>
    <row r="31" spans="1:9">
      <c r="A31" s="372">
        <v>10226</v>
      </c>
      <c r="B31" s="241" t="s">
        <v>1076</v>
      </c>
      <c r="C31" s="221" t="s">
        <v>115</v>
      </c>
      <c r="D31" s="241">
        <v>27.41</v>
      </c>
      <c r="E31" s="56" t="str">
        <f t="shared" si="0"/>
        <v>RETIRADA DE TANQUE DE CIMENTO</v>
      </c>
      <c r="F31" s="56" t="str">
        <f t="shared" si="1"/>
        <v>UND</v>
      </c>
      <c r="G31">
        <f t="shared" si="2"/>
        <v>36.520000000000003</v>
      </c>
      <c r="H31">
        <f t="shared" si="3"/>
        <v>27.41</v>
      </c>
      <c r="I31">
        <f t="shared" si="4"/>
        <v>27.41</v>
      </c>
    </row>
    <row r="32" spans="1:9" ht="28.8">
      <c r="A32" s="372">
        <v>10227</v>
      </c>
      <c r="B32" s="241" t="s">
        <v>15720</v>
      </c>
      <c r="C32" s="221" t="s">
        <v>115</v>
      </c>
      <c r="D32" s="241">
        <v>45.71</v>
      </c>
      <c r="E32" s="56" t="str">
        <f t="shared" si="0"/>
        <v>RETIRADA DE CAIXA DÁGUA DE FIBROCIMENTO, INCLUSIVE TUBULAÇÃO DE LIGAÇÃO</v>
      </c>
      <c r="F32" s="56" t="str">
        <f t="shared" si="1"/>
        <v>UND</v>
      </c>
      <c r="G32">
        <f t="shared" si="2"/>
        <v>60.91</v>
      </c>
      <c r="H32">
        <f t="shared" si="3"/>
        <v>45.71</v>
      </c>
      <c r="I32">
        <f t="shared" si="4"/>
        <v>45.71</v>
      </c>
    </row>
    <row r="33" spans="1:9" ht="28.8">
      <c r="A33" s="372">
        <v>10228</v>
      </c>
      <c r="B33" s="241" t="s">
        <v>1077</v>
      </c>
      <c r="C33" s="221" t="s">
        <v>110</v>
      </c>
      <c r="D33" s="241">
        <v>7.36</v>
      </c>
      <c r="E33" s="56" t="str">
        <f t="shared" si="0"/>
        <v>DEMOLIÇÃO DE FORRO DE MADEIRA, SEM REAPROVEITAMENTO</v>
      </c>
      <c r="F33" s="56" t="str">
        <f t="shared" si="1"/>
        <v>M2</v>
      </c>
      <c r="G33">
        <f t="shared" si="2"/>
        <v>9.81</v>
      </c>
      <c r="H33">
        <f t="shared" si="3"/>
        <v>7.36</v>
      </c>
      <c r="I33">
        <f t="shared" si="4"/>
        <v>7.36</v>
      </c>
    </row>
    <row r="34" spans="1:9">
      <c r="A34" s="372">
        <v>10229</v>
      </c>
      <c r="B34" s="241" t="s">
        <v>1078</v>
      </c>
      <c r="C34" s="221" t="s">
        <v>115</v>
      </c>
      <c r="D34" s="241">
        <v>44.56</v>
      </c>
      <c r="E34" s="56" t="str">
        <f t="shared" si="0"/>
        <v>RETIRADA DE POSTE DE AÇO DE 4 A 6 M</v>
      </c>
      <c r="F34" s="56" t="str">
        <f t="shared" si="1"/>
        <v>UND</v>
      </c>
      <c r="G34">
        <f t="shared" si="2"/>
        <v>59.38</v>
      </c>
      <c r="H34">
        <f t="shared" si="3"/>
        <v>44.56</v>
      </c>
      <c r="I34">
        <f t="shared" si="4"/>
        <v>44.56</v>
      </c>
    </row>
    <row r="35" spans="1:9">
      <c r="A35" s="372">
        <v>10230</v>
      </c>
      <c r="B35" s="241" t="s">
        <v>1079</v>
      </c>
      <c r="C35" s="221" t="s">
        <v>110</v>
      </c>
      <c r="D35" s="241">
        <v>7.1</v>
      </c>
      <c r="E35" s="56" t="str">
        <f t="shared" si="0"/>
        <v>RETIRADA DE PINTURA ANTIGA A BASE DE PVA</v>
      </c>
      <c r="F35" s="56" t="str">
        <f t="shared" si="1"/>
        <v>M2</v>
      </c>
      <c r="G35">
        <f t="shared" si="2"/>
        <v>9.4600000000000009</v>
      </c>
      <c r="H35">
        <f t="shared" si="3"/>
        <v>7.1</v>
      </c>
      <c r="I35">
        <f t="shared" si="4"/>
        <v>7.1</v>
      </c>
    </row>
    <row r="36" spans="1:9">
      <c r="A36" s="372">
        <v>10234</v>
      </c>
      <c r="B36" s="241" t="s">
        <v>1080</v>
      </c>
      <c r="C36" s="221" t="s">
        <v>110</v>
      </c>
      <c r="D36" s="241">
        <v>28.96</v>
      </c>
      <c r="E36" s="56" t="str">
        <f t="shared" si="0"/>
        <v>DEMOLIÇÃO DE LAJE PRÉ-MOLDADA DE CONCRETO</v>
      </c>
      <c r="F36" s="56" t="str">
        <f t="shared" si="1"/>
        <v>M2</v>
      </c>
      <c r="G36">
        <f t="shared" si="2"/>
        <v>38.590000000000003</v>
      </c>
      <c r="H36">
        <f t="shared" si="3"/>
        <v>28.96</v>
      </c>
      <c r="I36">
        <f t="shared" si="4"/>
        <v>28.96</v>
      </c>
    </row>
    <row r="37" spans="1:9" ht="28.8">
      <c r="A37" s="372">
        <v>10238</v>
      </c>
      <c r="B37" s="241" t="s">
        <v>1081</v>
      </c>
      <c r="C37" s="221" t="s">
        <v>110</v>
      </c>
      <c r="D37" s="241">
        <v>11.14</v>
      </c>
      <c r="E37" s="56" t="str">
        <f t="shared" si="0"/>
        <v>APICOAMENTO DE SUPERFÍCIE COM REVESTIMENTO EM ARGAMASSA</v>
      </c>
      <c r="F37" s="56" t="str">
        <f t="shared" si="1"/>
        <v>M2</v>
      </c>
      <c r="G37">
        <f t="shared" si="2"/>
        <v>14.84</v>
      </c>
      <c r="H37">
        <f t="shared" si="3"/>
        <v>11.14</v>
      </c>
      <c r="I37">
        <f t="shared" si="4"/>
        <v>11.14</v>
      </c>
    </row>
    <row r="38" spans="1:9">
      <c r="A38" s="372">
        <v>10239</v>
      </c>
      <c r="B38" s="241" t="s">
        <v>1082</v>
      </c>
      <c r="C38" s="221" t="s">
        <v>110</v>
      </c>
      <c r="D38" s="241">
        <v>42.33</v>
      </c>
      <c r="E38" s="56" t="str">
        <f t="shared" si="0"/>
        <v>RETIRADA DE DIVISÓRIAS COM REAPROVEITAMENTO</v>
      </c>
      <c r="F38" s="56" t="str">
        <f t="shared" si="1"/>
        <v>M2</v>
      </c>
      <c r="G38">
        <f t="shared" si="2"/>
        <v>56.4</v>
      </c>
      <c r="H38">
        <f t="shared" si="3"/>
        <v>42.33</v>
      </c>
      <c r="I38">
        <f t="shared" si="4"/>
        <v>42.33</v>
      </c>
    </row>
    <row r="39" spans="1:9" ht="28.8">
      <c r="A39" s="372">
        <v>10240</v>
      </c>
      <c r="B39" s="241" t="s">
        <v>1083</v>
      </c>
      <c r="C39" s="221" t="s">
        <v>115</v>
      </c>
      <c r="D39" s="241">
        <v>11.98</v>
      </c>
      <c r="E39" s="56" t="str">
        <f t="shared" si="0"/>
        <v>RETIRADA DE PONTOS ELÉTRICOS (LUMINÁRIAS, INTERRUPTORES E TOMADAS)</v>
      </c>
      <c r="F39" s="56" t="str">
        <f t="shared" si="1"/>
        <v>UND</v>
      </c>
      <c r="G39">
        <f t="shared" si="2"/>
        <v>15.96</v>
      </c>
      <c r="H39">
        <f t="shared" si="3"/>
        <v>11.98</v>
      </c>
      <c r="I39">
        <f t="shared" si="4"/>
        <v>11.98</v>
      </c>
    </row>
    <row r="40" spans="1:9">
      <c r="A40" s="372">
        <v>10242</v>
      </c>
      <c r="B40" s="241" t="s">
        <v>1084</v>
      </c>
      <c r="C40" s="221" t="s">
        <v>110</v>
      </c>
      <c r="D40" s="241">
        <v>3.93</v>
      </c>
      <c r="E40" s="56" t="str">
        <f t="shared" si="0"/>
        <v>RETIRADA DE VIDROS QUEBRADOS</v>
      </c>
      <c r="F40" s="56" t="str">
        <f t="shared" si="1"/>
        <v>M2</v>
      </c>
      <c r="G40">
        <f t="shared" si="2"/>
        <v>5.24</v>
      </c>
      <c r="H40">
        <f t="shared" si="3"/>
        <v>3.93</v>
      </c>
      <c r="I40">
        <f t="shared" si="4"/>
        <v>3.93</v>
      </c>
    </row>
    <row r="41" spans="1:9" ht="28.8">
      <c r="A41" s="372">
        <v>10244</v>
      </c>
      <c r="B41" s="241" t="s">
        <v>1085</v>
      </c>
      <c r="C41" s="221" t="s">
        <v>112</v>
      </c>
      <c r="D41" s="241">
        <v>16.09</v>
      </c>
      <c r="E41" s="56" t="str">
        <f t="shared" si="0"/>
        <v>RETIRADA DE RODAPÉ EM ARGAMASSA DE CIMENTO E AREIA</v>
      </c>
      <c r="F41" s="56" t="str">
        <f t="shared" si="1"/>
        <v>M</v>
      </c>
      <c r="G41">
        <f t="shared" si="2"/>
        <v>21.44</v>
      </c>
      <c r="H41">
        <f t="shared" si="3"/>
        <v>16.09</v>
      </c>
      <c r="I41">
        <f t="shared" si="4"/>
        <v>16.09</v>
      </c>
    </row>
    <row r="42" spans="1:9" ht="28.8">
      <c r="A42" s="372">
        <v>10246</v>
      </c>
      <c r="B42" s="241" t="s">
        <v>1086</v>
      </c>
      <c r="C42" s="221" t="s">
        <v>110</v>
      </c>
      <c r="D42" s="241">
        <v>4.1500000000000004</v>
      </c>
      <c r="E42" s="56" t="str">
        <f t="shared" si="0"/>
        <v>LIXAMENTO DE PAREDE COM PINTURA ANTIGA PVA PARA RECEBIMENTO DE NOVA CAMADA DE TINTA</v>
      </c>
      <c r="F42" s="56" t="str">
        <f t="shared" si="1"/>
        <v>M2</v>
      </c>
      <c r="G42">
        <f t="shared" si="2"/>
        <v>5.53</v>
      </c>
      <c r="H42">
        <f t="shared" si="3"/>
        <v>4.1500000000000004</v>
      </c>
      <c r="I42">
        <f t="shared" si="4"/>
        <v>4.1500000000000004</v>
      </c>
    </row>
    <row r="43" spans="1:9" ht="28.8">
      <c r="A43" s="372">
        <v>10253</v>
      </c>
      <c r="B43" s="241" t="s">
        <v>1087</v>
      </c>
      <c r="C43" s="221" t="s">
        <v>110</v>
      </c>
      <c r="D43" s="241">
        <v>31.9</v>
      </c>
      <c r="E43" s="56" t="str">
        <f t="shared" si="0"/>
        <v>REMOÇÃO DE ENGRADAMENTO DE MADEIRA DE COBERTURA PARA REAPROVEITAMENTO</v>
      </c>
      <c r="F43" s="56" t="str">
        <f t="shared" si="1"/>
        <v>M2</v>
      </c>
      <c r="G43">
        <f t="shared" si="2"/>
        <v>42.51</v>
      </c>
      <c r="H43">
        <f t="shared" si="3"/>
        <v>31.9</v>
      </c>
      <c r="I43">
        <f t="shared" si="4"/>
        <v>31.9</v>
      </c>
    </row>
    <row r="44" spans="1:9" ht="28.8">
      <c r="A44" s="372">
        <v>10254</v>
      </c>
      <c r="B44" s="241" t="s">
        <v>1088</v>
      </c>
      <c r="C44" s="221" t="s">
        <v>110</v>
      </c>
      <c r="D44" s="241">
        <v>10.65</v>
      </c>
      <c r="E44" s="56" t="str">
        <f t="shared" si="0"/>
        <v>REMOÇÃO DE TELHAS CERÂMICA, TIPO FRANCESA, INCLUSIVE CUMEEIRA</v>
      </c>
      <c r="F44" s="56" t="str">
        <f t="shared" si="1"/>
        <v>M2</v>
      </c>
      <c r="G44">
        <f t="shared" si="2"/>
        <v>14.19</v>
      </c>
      <c r="H44">
        <f t="shared" si="3"/>
        <v>10.65</v>
      </c>
      <c r="I44">
        <f t="shared" si="4"/>
        <v>10.65</v>
      </c>
    </row>
    <row r="45" spans="1:9" ht="28.8">
      <c r="A45" s="372">
        <v>10255</v>
      </c>
      <c r="B45" s="241" t="s">
        <v>1089</v>
      </c>
      <c r="C45" s="221" t="s">
        <v>110</v>
      </c>
      <c r="D45" s="241">
        <v>26.3</v>
      </c>
      <c r="E45" s="56" t="str">
        <f t="shared" si="0"/>
        <v>REMOÇÃO DE TELHAS CERÂMICAS, TIPO COLONIAL, INCLUSIVE CUMEEIRAS</v>
      </c>
      <c r="F45" s="56" t="str">
        <f t="shared" si="1"/>
        <v>M2</v>
      </c>
      <c r="G45">
        <f t="shared" si="2"/>
        <v>35.04</v>
      </c>
      <c r="H45">
        <f t="shared" si="3"/>
        <v>26.3</v>
      </c>
      <c r="I45">
        <f t="shared" si="4"/>
        <v>26.3</v>
      </c>
    </row>
    <row r="46" spans="1:9" ht="28.8">
      <c r="A46" s="372">
        <v>10256</v>
      </c>
      <c r="B46" s="241" t="s">
        <v>1090</v>
      </c>
      <c r="C46" s="221" t="s">
        <v>110</v>
      </c>
      <c r="D46" s="241">
        <v>8.41</v>
      </c>
      <c r="E46" s="56" t="str">
        <f t="shared" si="0"/>
        <v>REMOÇÃO DE TELHA ONDULADA DE FIBROCIMENTO, INCLUSIVE CUMEEIRA</v>
      </c>
      <c r="F46" s="56" t="str">
        <f t="shared" si="1"/>
        <v>M2</v>
      </c>
      <c r="G46">
        <f t="shared" si="2"/>
        <v>11.21</v>
      </c>
      <c r="H46">
        <f t="shared" si="3"/>
        <v>8.41</v>
      </c>
      <c r="I46">
        <f t="shared" si="4"/>
        <v>8.41</v>
      </c>
    </row>
    <row r="47" spans="1:9">
      <c r="A47" s="372">
        <v>10259</v>
      </c>
      <c r="B47" s="241" t="s">
        <v>1091</v>
      </c>
      <c r="C47" s="221" t="s">
        <v>112</v>
      </c>
      <c r="D47" s="241">
        <v>2.59</v>
      </c>
      <c r="E47" s="56" t="str">
        <f t="shared" si="0"/>
        <v>RETIRADA DE RODAPÉ DE MADEIRA OU CERÂMICA</v>
      </c>
      <c r="F47" s="56" t="str">
        <f t="shared" si="1"/>
        <v>M</v>
      </c>
      <c r="G47">
        <f t="shared" si="2"/>
        <v>3.45</v>
      </c>
      <c r="H47">
        <f t="shared" si="3"/>
        <v>2.59</v>
      </c>
      <c r="I47">
        <f t="shared" si="4"/>
        <v>2.59</v>
      </c>
    </row>
    <row r="48" spans="1:9">
      <c r="A48" s="372">
        <v>10264</v>
      </c>
      <c r="B48" s="241" t="s">
        <v>1092</v>
      </c>
      <c r="C48" s="221" t="s">
        <v>110</v>
      </c>
      <c r="D48" s="241">
        <v>30.99</v>
      </c>
      <c r="E48" s="56" t="str">
        <f t="shared" si="0"/>
        <v>DEMOLIÇÃO DE PISO GRANILITE</v>
      </c>
      <c r="F48" s="56" t="str">
        <f t="shared" si="1"/>
        <v>M2</v>
      </c>
      <c r="G48">
        <f t="shared" si="2"/>
        <v>41.29</v>
      </c>
      <c r="H48">
        <f t="shared" si="3"/>
        <v>30.99</v>
      </c>
      <c r="I48">
        <f t="shared" si="4"/>
        <v>30.99</v>
      </c>
    </row>
    <row r="49" spans="1:9">
      <c r="A49" s="372">
        <v>10271</v>
      </c>
      <c r="B49" s="241" t="s">
        <v>1093</v>
      </c>
      <c r="C49" s="221" t="s">
        <v>115</v>
      </c>
      <c r="D49" s="241">
        <v>16.48</v>
      </c>
      <c r="E49" s="56" t="str">
        <f t="shared" si="0"/>
        <v>RETIRADA DE CAIXAS/QUADROS ELÉTRICOS</v>
      </c>
      <c r="F49" s="56" t="str">
        <f t="shared" si="1"/>
        <v>UND</v>
      </c>
      <c r="G49">
        <f t="shared" si="2"/>
        <v>21.96</v>
      </c>
      <c r="H49">
        <f t="shared" si="3"/>
        <v>16.48</v>
      </c>
      <c r="I49">
        <f t="shared" si="4"/>
        <v>16.48</v>
      </c>
    </row>
    <row r="50" spans="1:9">
      <c r="A50" s="372">
        <v>10279</v>
      </c>
      <c r="B50" s="241" t="s">
        <v>1094</v>
      </c>
      <c r="C50" s="221" t="s">
        <v>115</v>
      </c>
      <c r="D50" s="241">
        <v>25.97</v>
      </c>
      <c r="E50" s="56" t="str">
        <f t="shared" si="0"/>
        <v>RETIRADA DE QUADRO DE GIZ (1.29 X 3.95M)</v>
      </c>
      <c r="F50" s="56" t="str">
        <f t="shared" si="1"/>
        <v>UND</v>
      </c>
      <c r="G50">
        <f t="shared" si="2"/>
        <v>34.61</v>
      </c>
      <c r="H50">
        <f t="shared" si="3"/>
        <v>25.97</v>
      </c>
      <c r="I50">
        <f t="shared" si="4"/>
        <v>25.97</v>
      </c>
    </row>
    <row r="51" spans="1:9" ht="28.8">
      <c r="A51" s="372">
        <v>10280</v>
      </c>
      <c r="B51" s="241" t="s">
        <v>1095</v>
      </c>
      <c r="C51" s="221" t="s">
        <v>110</v>
      </c>
      <c r="D51" s="241">
        <v>9.59</v>
      </c>
      <c r="E51" s="56" t="str">
        <f t="shared" si="0"/>
        <v>REMOÇÃO DE COBERTURA EM TELHA METÁLICA, EXCLUSIVE ESTRUTURA</v>
      </c>
      <c r="F51" s="56" t="str">
        <f t="shared" si="1"/>
        <v>M2</v>
      </c>
      <c r="G51">
        <f t="shared" si="2"/>
        <v>12.78</v>
      </c>
      <c r="H51">
        <f t="shared" si="3"/>
        <v>9.59</v>
      </c>
      <c r="I51">
        <f t="shared" si="4"/>
        <v>9.59</v>
      </c>
    </row>
    <row r="52" spans="1:9">
      <c r="A52" s="372">
        <v>10286</v>
      </c>
      <c r="B52" s="241" t="s">
        <v>1096</v>
      </c>
      <c r="C52" s="221" t="s">
        <v>110</v>
      </c>
      <c r="D52" s="241">
        <v>16.53</v>
      </c>
      <c r="E52" s="56" t="str">
        <f t="shared" si="0"/>
        <v>DEMOLIÇÃO DE DIVISÓRIA DE GRANITO</v>
      </c>
      <c r="F52" s="56" t="str">
        <f t="shared" si="1"/>
        <v>M2</v>
      </c>
      <c r="G52">
        <f t="shared" si="2"/>
        <v>22.03</v>
      </c>
      <c r="H52">
        <f t="shared" si="3"/>
        <v>16.53</v>
      </c>
      <c r="I52">
        <f t="shared" si="4"/>
        <v>16.53</v>
      </c>
    </row>
    <row r="53" spans="1:9">
      <c r="A53" s="371">
        <v>10292</v>
      </c>
      <c r="B53" s="240" t="s">
        <v>1097</v>
      </c>
      <c r="C53" s="221" t="s">
        <v>112</v>
      </c>
      <c r="D53" s="241">
        <v>0.68</v>
      </c>
      <c r="E53" s="56" t="str">
        <f t="shared" si="0"/>
        <v>RETIRADA DE ALIZAR DE MADEIRA</v>
      </c>
      <c r="F53" s="56" t="str">
        <f t="shared" si="1"/>
        <v>M</v>
      </c>
      <c r="G53">
        <f t="shared" si="2"/>
        <v>0.91</v>
      </c>
      <c r="H53">
        <f t="shared" si="3"/>
        <v>0.68</v>
      </c>
      <c r="I53">
        <f t="shared" si="4"/>
        <v>0.68</v>
      </c>
    </row>
    <row r="54" spans="1:9">
      <c r="A54" s="372">
        <v>103</v>
      </c>
      <c r="B54" s="241" t="s">
        <v>1051</v>
      </c>
      <c r="C54" s="221"/>
      <c r="D54" s="241"/>
      <c r="E54" s="56" t="str">
        <f t="shared" si="0"/>
        <v>DEMOLIÇÕES E RETIRADAS</v>
      </c>
      <c r="F54" s="56" t="str">
        <f t="shared" si="1"/>
        <v/>
      </c>
      <c r="G54">
        <f t="shared" si="2"/>
        <v>0</v>
      </c>
      <c r="H54">
        <f t="shared" si="3"/>
        <v>0</v>
      </c>
      <c r="I54">
        <f t="shared" si="4"/>
        <v>0</v>
      </c>
    </row>
    <row r="55" spans="1:9">
      <c r="A55" s="372">
        <v>10315</v>
      </c>
      <c r="B55" s="241" t="s">
        <v>1098</v>
      </c>
      <c r="C55" s="221" t="s">
        <v>110</v>
      </c>
      <c r="D55" s="241">
        <v>12.64</v>
      </c>
      <c r="E55" s="56" t="str">
        <f t="shared" si="0"/>
        <v>RETIRADA DE COBERTURA EM TELHAS CANALETE 49</v>
      </c>
      <c r="F55" s="56" t="str">
        <f t="shared" si="1"/>
        <v>M2</v>
      </c>
      <c r="G55">
        <f t="shared" si="2"/>
        <v>16.84</v>
      </c>
      <c r="H55">
        <f t="shared" si="3"/>
        <v>12.64</v>
      </c>
      <c r="I55">
        <f t="shared" si="4"/>
        <v>12.64</v>
      </c>
    </row>
    <row r="56" spans="1:9" ht="28.8">
      <c r="A56" s="372">
        <v>10317</v>
      </c>
      <c r="B56" s="241" t="s">
        <v>1099</v>
      </c>
      <c r="C56" s="221" t="s">
        <v>110</v>
      </c>
      <c r="D56" s="241">
        <v>133.69</v>
      </c>
      <c r="E56" s="56" t="str">
        <f t="shared" si="0"/>
        <v>DEMOLIÇÃO DE ALVENARIA, COM REAPROVEITAMENTO</v>
      </c>
      <c r="F56" s="56" t="str">
        <f t="shared" si="1"/>
        <v>M2</v>
      </c>
      <c r="G56">
        <f t="shared" si="2"/>
        <v>178.14</v>
      </c>
      <c r="H56">
        <f t="shared" si="3"/>
        <v>133.69</v>
      </c>
      <c r="I56">
        <f t="shared" si="4"/>
        <v>133.69</v>
      </c>
    </row>
    <row r="57" spans="1:9" ht="28.8">
      <c r="A57" s="372">
        <v>10318</v>
      </c>
      <c r="B57" s="241" t="s">
        <v>1100</v>
      </c>
      <c r="C57" s="221" t="s">
        <v>110</v>
      </c>
      <c r="D57" s="241">
        <v>15.35</v>
      </c>
      <c r="E57" s="56" t="str">
        <f t="shared" si="0"/>
        <v>REMOÇÃO DE FORRO EM EUCATEX, SEM APROVEITAMENTO DO MATERIAL</v>
      </c>
      <c r="F57" s="56" t="str">
        <f t="shared" si="1"/>
        <v>M2</v>
      </c>
      <c r="G57">
        <f t="shared" si="2"/>
        <v>20.45</v>
      </c>
      <c r="H57">
        <f t="shared" si="3"/>
        <v>15.35</v>
      </c>
      <c r="I57">
        <f t="shared" si="4"/>
        <v>15.35</v>
      </c>
    </row>
    <row r="58" spans="1:9" ht="28.8">
      <c r="A58" s="372">
        <v>10319</v>
      </c>
      <c r="B58" s="241" t="s">
        <v>1101</v>
      </c>
      <c r="C58" s="221" t="s">
        <v>110</v>
      </c>
      <c r="D58" s="241">
        <v>20.21</v>
      </c>
      <c r="E58" s="56" t="str">
        <f t="shared" si="0"/>
        <v>REMOÇÃO DE PINTURA ANTIGA A BASE DE ÓLEO OU ESMALTE SOBRE ESQUADRIAS</v>
      </c>
      <c r="F58" s="56" t="str">
        <f t="shared" si="1"/>
        <v>M2</v>
      </c>
      <c r="G58">
        <f t="shared" si="2"/>
        <v>26.93</v>
      </c>
      <c r="H58">
        <f t="shared" si="3"/>
        <v>20.21</v>
      </c>
      <c r="I58">
        <f t="shared" si="4"/>
        <v>20.21</v>
      </c>
    </row>
    <row r="59" spans="1:9" ht="28.8">
      <c r="A59" s="372">
        <v>10320</v>
      </c>
      <c r="B59" s="241" t="s">
        <v>1102</v>
      </c>
      <c r="C59" s="221" t="s">
        <v>110</v>
      </c>
      <c r="D59" s="241">
        <v>2.2200000000000002</v>
      </c>
      <c r="E59" s="56" t="str">
        <f t="shared" si="0"/>
        <v>REMOÇÃO DE REVESTIMENTO DE PISOS COM FORRAÇÃO TEXTIL</v>
      </c>
      <c r="F59" s="56" t="str">
        <f t="shared" si="1"/>
        <v>M2</v>
      </c>
      <c r="G59">
        <f t="shared" si="2"/>
        <v>2.96</v>
      </c>
      <c r="H59">
        <f t="shared" si="3"/>
        <v>2.2200000000000002</v>
      </c>
      <c r="I59">
        <f t="shared" si="4"/>
        <v>2.2200000000000002</v>
      </c>
    </row>
    <row r="60" spans="1:9">
      <c r="A60" s="372">
        <v>10323</v>
      </c>
      <c r="B60" s="241" t="s">
        <v>1103</v>
      </c>
      <c r="C60" s="221" t="s">
        <v>115</v>
      </c>
      <c r="D60" s="241">
        <v>11.98</v>
      </c>
      <c r="E60" s="56" t="str">
        <f t="shared" si="0"/>
        <v>RETIRADA DE TORNEIRAS E REGISTROS</v>
      </c>
      <c r="F60" s="56" t="str">
        <f t="shared" si="1"/>
        <v>UND</v>
      </c>
      <c r="G60">
        <f t="shared" si="2"/>
        <v>15.96</v>
      </c>
      <c r="H60">
        <f t="shared" si="3"/>
        <v>11.98</v>
      </c>
      <c r="I60">
        <f t="shared" si="4"/>
        <v>11.98</v>
      </c>
    </row>
    <row r="61" spans="1:9">
      <c r="A61" s="372">
        <v>10324</v>
      </c>
      <c r="B61" s="241" t="s">
        <v>1104</v>
      </c>
      <c r="C61" s="221" t="s">
        <v>110</v>
      </c>
      <c r="D61" s="241">
        <v>9.7200000000000006</v>
      </c>
      <c r="E61" s="56" t="str">
        <f t="shared" si="0"/>
        <v>RETIRADA DE COBERTURA EM TELHA CANALETE 90</v>
      </c>
      <c r="F61" s="56" t="str">
        <f t="shared" si="1"/>
        <v>M2</v>
      </c>
      <c r="G61">
        <f t="shared" si="2"/>
        <v>12.95</v>
      </c>
      <c r="H61">
        <f t="shared" si="3"/>
        <v>9.7200000000000006</v>
      </c>
      <c r="I61">
        <f t="shared" si="4"/>
        <v>9.7200000000000006</v>
      </c>
    </row>
    <row r="62" spans="1:9" ht="28.8">
      <c r="A62" s="372">
        <v>10325</v>
      </c>
      <c r="B62" s="241" t="s">
        <v>1105</v>
      </c>
      <c r="C62" s="221" t="s">
        <v>110</v>
      </c>
      <c r="D62" s="241">
        <v>31.9</v>
      </c>
      <c r="E62" s="56" t="str">
        <f t="shared" si="0"/>
        <v>DEMOLIÇÃO DE ESTRUTURA DE MADEIRA PARA TELHADO</v>
      </c>
      <c r="F62" s="56" t="str">
        <f t="shared" si="1"/>
        <v>M2</v>
      </c>
      <c r="G62">
        <f t="shared" si="2"/>
        <v>42.51</v>
      </c>
      <c r="H62">
        <f t="shared" si="3"/>
        <v>31.9</v>
      </c>
      <c r="I62">
        <f t="shared" si="4"/>
        <v>31.9</v>
      </c>
    </row>
    <row r="63" spans="1:9">
      <c r="A63" s="372">
        <v>10326</v>
      </c>
      <c r="B63" s="241" t="s">
        <v>1106</v>
      </c>
      <c r="C63" s="221" t="s">
        <v>110</v>
      </c>
      <c r="D63" s="241">
        <v>31.9</v>
      </c>
      <c r="E63" s="56" t="str">
        <f t="shared" si="0"/>
        <v>RETIRADA DE ESTRUTURA EM MADEIRA DO TELHADO</v>
      </c>
      <c r="F63" s="56" t="str">
        <f t="shared" si="1"/>
        <v>M2</v>
      </c>
      <c r="G63">
        <f t="shared" si="2"/>
        <v>42.51</v>
      </c>
      <c r="H63">
        <f t="shared" si="3"/>
        <v>31.9</v>
      </c>
      <c r="I63">
        <f t="shared" si="4"/>
        <v>31.9</v>
      </c>
    </row>
    <row r="64" spans="1:9">
      <c r="A64" s="372">
        <v>10327</v>
      </c>
      <c r="B64" s="241" t="s">
        <v>1107</v>
      </c>
      <c r="C64" s="221" t="s">
        <v>112</v>
      </c>
      <c r="D64" s="241">
        <v>2.74</v>
      </c>
      <c r="E64" s="56" t="str">
        <f t="shared" si="0"/>
        <v>RETIRADA DE MARCO DE MADEIRA</v>
      </c>
      <c r="F64" s="56" t="str">
        <f t="shared" si="1"/>
        <v>M</v>
      </c>
      <c r="G64">
        <f t="shared" si="2"/>
        <v>3.65</v>
      </c>
      <c r="H64">
        <f t="shared" si="3"/>
        <v>2.74</v>
      </c>
      <c r="I64">
        <f t="shared" si="4"/>
        <v>2.74</v>
      </c>
    </row>
    <row r="65" spans="1:9">
      <c r="A65" s="372">
        <v>10329</v>
      </c>
      <c r="B65" s="241" t="s">
        <v>1108</v>
      </c>
      <c r="C65" s="221" t="s">
        <v>115</v>
      </c>
      <c r="D65" s="241">
        <v>22.39</v>
      </c>
      <c r="E65" s="56" t="str">
        <f t="shared" ref="E65:E128" si="5">UPPER(B65)</f>
        <v>RETIRADA DE DISJUNTOR</v>
      </c>
      <c r="F65" s="56" t="str">
        <f t="shared" ref="F65:F128" si="6">UPPER(C65)</f>
        <v>UND</v>
      </c>
      <c r="G65">
        <f t="shared" si="2"/>
        <v>29.83</v>
      </c>
      <c r="H65">
        <f t="shared" si="3"/>
        <v>22.39</v>
      </c>
      <c r="I65">
        <f t="shared" si="4"/>
        <v>22.39</v>
      </c>
    </row>
    <row r="66" spans="1:9" ht="43.2">
      <c r="A66" s="372">
        <v>10331</v>
      </c>
      <c r="B66" s="241" t="s">
        <v>1109</v>
      </c>
      <c r="C66" s="221" t="s">
        <v>110</v>
      </c>
      <c r="D66" s="241">
        <v>11.92</v>
      </c>
      <c r="E66" s="56" t="str">
        <f t="shared" si="5"/>
        <v>DEMOLIÇÃO DE PISO, SOLEIRA, PEITORIS E ESCADAS EM MÁRMORE OU GRANITO, EXCLUSIVE REGULARIZAÇÃO</v>
      </c>
      <c r="F66" s="56" t="str">
        <f t="shared" si="6"/>
        <v>M2</v>
      </c>
      <c r="G66">
        <f t="shared" si="2"/>
        <v>15.88</v>
      </c>
      <c r="H66">
        <f t="shared" si="3"/>
        <v>11.92</v>
      </c>
      <c r="I66">
        <f t="shared" si="4"/>
        <v>11.92</v>
      </c>
    </row>
    <row r="67" spans="1:9">
      <c r="A67" s="372">
        <v>10332</v>
      </c>
      <c r="B67" s="241" t="s">
        <v>1110</v>
      </c>
      <c r="C67" s="221" t="s">
        <v>112</v>
      </c>
      <c r="D67" s="241">
        <v>4.1100000000000003</v>
      </c>
      <c r="E67" s="56" t="str">
        <f t="shared" si="5"/>
        <v>RETIRADA DE RODA PAREDE EM MADEIRA</v>
      </c>
      <c r="F67" s="56" t="str">
        <f t="shared" si="6"/>
        <v>M</v>
      </c>
      <c r="G67">
        <f t="shared" si="2"/>
        <v>5.48</v>
      </c>
      <c r="H67">
        <f t="shared" si="3"/>
        <v>4.1100000000000003</v>
      </c>
      <c r="I67">
        <f t="shared" si="4"/>
        <v>4.1100000000000003</v>
      </c>
    </row>
    <row r="68" spans="1:9">
      <c r="A68" s="371">
        <v>10333</v>
      </c>
      <c r="B68" s="240" t="s">
        <v>1111</v>
      </c>
      <c r="C68" s="221" t="s">
        <v>110</v>
      </c>
      <c r="D68" s="241">
        <v>9.11</v>
      </c>
      <c r="E68" s="56" t="str">
        <f t="shared" si="5"/>
        <v>RETIRADA DE PISO DE BORRACHA</v>
      </c>
      <c r="F68" s="56" t="str">
        <f t="shared" si="6"/>
        <v>M2</v>
      </c>
      <c r="G68">
        <f t="shared" si="2"/>
        <v>12.14</v>
      </c>
      <c r="H68">
        <f t="shared" si="3"/>
        <v>9.11</v>
      </c>
      <c r="I68">
        <f t="shared" si="4"/>
        <v>9.11</v>
      </c>
    </row>
    <row r="69" spans="1:9" ht="43.2">
      <c r="A69" s="372">
        <v>10344</v>
      </c>
      <c r="B69" s="241" t="s">
        <v>30315</v>
      </c>
      <c r="C69" s="221" t="s">
        <v>1061</v>
      </c>
      <c r="D69" s="241">
        <v>89.87</v>
      </c>
      <c r="E69" s="56" t="str">
        <f t="shared" si="5"/>
        <v>DEMOLIÇÃO DE LAJES, EM CONCRETO ARMADO, DE FORMA MECANIZADA COM MARTELETE DEMOLIDOR ELÉTRICO, SEM REAPROVEITAMENTO</v>
      </c>
      <c r="F69" s="56" t="str">
        <f t="shared" si="6"/>
        <v>M3</v>
      </c>
      <c r="G69">
        <f t="shared" si="2"/>
        <v>119.75</v>
      </c>
      <c r="H69">
        <f t="shared" si="3"/>
        <v>89.87</v>
      </c>
      <c r="I69">
        <f t="shared" si="4"/>
        <v>89.87</v>
      </c>
    </row>
    <row r="70" spans="1:9">
      <c r="A70" s="372">
        <v>104</v>
      </c>
      <c r="B70" s="241" t="s">
        <v>1112</v>
      </c>
      <c r="C70" s="221"/>
      <c r="D70" s="241"/>
      <c r="E70" s="56" t="str">
        <f t="shared" si="5"/>
        <v>LIMPEZA DO TERRENO</v>
      </c>
      <c r="F70" s="56" t="str">
        <f t="shared" si="6"/>
        <v/>
      </c>
      <c r="G70">
        <f t="shared" si="2"/>
        <v>0</v>
      </c>
      <c r="H70">
        <f t="shared" si="3"/>
        <v>0</v>
      </c>
      <c r="I70">
        <f t="shared" si="4"/>
        <v>0</v>
      </c>
    </row>
    <row r="71" spans="1:9">
      <c r="A71" s="372">
        <v>10401</v>
      </c>
      <c r="B71" s="241" t="s">
        <v>1113</v>
      </c>
      <c r="C71" s="221" t="s">
        <v>110</v>
      </c>
      <c r="D71" s="241">
        <v>1.52</v>
      </c>
      <c r="E71" s="56" t="str">
        <f t="shared" si="5"/>
        <v>CORTE DE CAPOEIRA FINA, A FOICE (MANUAL)</v>
      </c>
      <c r="F71" s="56" t="str">
        <f t="shared" si="6"/>
        <v>M2</v>
      </c>
      <c r="G71">
        <f t="shared" si="2"/>
        <v>2.0299999999999998</v>
      </c>
      <c r="H71">
        <f t="shared" si="3"/>
        <v>1.52</v>
      </c>
      <c r="I71">
        <f t="shared" si="4"/>
        <v>1.52</v>
      </c>
    </row>
    <row r="72" spans="1:9">
      <c r="A72" s="372">
        <v>10402</v>
      </c>
      <c r="B72" s="241" t="s">
        <v>1114</v>
      </c>
      <c r="C72" s="221" t="s">
        <v>110</v>
      </c>
      <c r="D72" s="241">
        <v>4.92</v>
      </c>
      <c r="E72" s="56" t="str">
        <f t="shared" si="5"/>
        <v>RASPAGEM E LIMPEZA DO TERRENO (MANUAL)</v>
      </c>
      <c r="F72" s="56" t="str">
        <f t="shared" si="6"/>
        <v>M2</v>
      </c>
      <c r="G72">
        <f t="shared" ref="G72:G135" si="7">ROUND(H72*(1+$G$1),2)</f>
        <v>6.56</v>
      </c>
      <c r="H72">
        <f t="shared" ref="H72:H135" si="8">I72</f>
        <v>4.92</v>
      </c>
      <c r="I72">
        <f t="shared" ref="I72:I135" si="9">ROUND(D72/(1+$E$1),2)</f>
        <v>4.92</v>
      </c>
    </row>
    <row r="73" spans="1:9" ht="28.8">
      <c r="A73" s="371">
        <v>10403</v>
      </c>
      <c r="B73" s="240" t="s">
        <v>1115</v>
      </c>
      <c r="C73" s="221" t="s">
        <v>115</v>
      </c>
      <c r="D73" s="241">
        <v>59.04</v>
      </c>
      <c r="E73" s="56" t="str">
        <f t="shared" si="5"/>
        <v>CORTE E DESTOCAMENTO DE ÁRVORES COM DIÂMETRO DE ATÉ 15 CM</v>
      </c>
      <c r="F73" s="56" t="str">
        <f t="shared" si="6"/>
        <v>UND</v>
      </c>
      <c r="G73">
        <f t="shared" si="7"/>
        <v>78.67</v>
      </c>
      <c r="H73">
        <f t="shared" si="8"/>
        <v>59.04</v>
      </c>
      <c r="I73">
        <f t="shared" si="9"/>
        <v>59.04</v>
      </c>
    </row>
    <row r="74" spans="1:9" ht="28.8">
      <c r="A74" s="372">
        <v>10404</v>
      </c>
      <c r="B74" s="241" t="s">
        <v>1116</v>
      </c>
      <c r="C74" s="221" t="s">
        <v>115</v>
      </c>
      <c r="D74" s="241">
        <v>146.81</v>
      </c>
      <c r="E74" s="56" t="str">
        <f t="shared" si="5"/>
        <v>CORTE E DESTOCAMENTO DE ÁRVORES COM DIÂMETRO SUPERIOR A 30 CM</v>
      </c>
      <c r="F74" s="56" t="str">
        <f t="shared" si="6"/>
        <v>UND</v>
      </c>
      <c r="G74">
        <f t="shared" si="7"/>
        <v>195.62</v>
      </c>
      <c r="H74">
        <f t="shared" si="8"/>
        <v>146.81</v>
      </c>
      <c r="I74">
        <f t="shared" si="9"/>
        <v>146.81</v>
      </c>
    </row>
    <row r="75" spans="1:9">
      <c r="A75" s="372">
        <v>105</v>
      </c>
      <c r="B75" s="241" t="s">
        <v>1117</v>
      </c>
      <c r="C75" s="221"/>
      <c r="D75" s="594"/>
      <c r="E75" s="56" t="str">
        <f t="shared" si="5"/>
        <v>LOCAÇÃO</v>
      </c>
      <c r="F75" s="56" t="str">
        <f t="shared" si="6"/>
        <v/>
      </c>
      <c r="G75">
        <f t="shared" si="7"/>
        <v>0</v>
      </c>
      <c r="H75">
        <f t="shared" si="8"/>
        <v>0</v>
      </c>
      <c r="I75">
        <f t="shared" si="9"/>
        <v>0</v>
      </c>
    </row>
    <row r="76" spans="1:9">
      <c r="A76" s="371">
        <v>10501</v>
      </c>
      <c r="B76" s="240" t="s">
        <v>1118</v>
      </c>
      <c r="C76" s="221" t="s">
        <v>110</v>
      </c>
      <c r="D76" s="241">
        <v>11.11</v>
      </c>
      <c r="E76" s="56" t="str">
        <f t="shared" si="5"/>
        <v>LOCAÇÃO DE OBRA COM GABARITO DE MADEIRA</v>
      </c>
      <c r="F76" s="56" t="str">
        <f t="shared" si="6"/>
        <v>M2</v>
      </c>
      <c r="G76">
        <f t="shared" si="7"/>
        <v>14.8</v>
      </c>
      <c r="H76">
        <f t="shared" si="8"/>
        <v>11.11</v>
      </c>
      <c r="I76">
        <f t="shared" si="9"/>
        <v>11.11</v>
      </c>
    </row>
    <row r="77" spans="1:9" ht="57.6">
      <c r="A77" s="371">
        <v>10512</v>
      </c>
      <c r="B77" s="240" t="s">
        <v>1119</v>
      </c>
      <c r="C77" s="221" t="s">
        <v>111</v>
      </c>
      <c r="D77" s="241">
        <v>23384.89</v>
      </c>
      <c r="E77" s="56" t="str">
        <f t="shared" si="5"/>
        <v>EQUIPE TOPOGRÁFICA PARA SERVIÇOS SIMPLES DE LOCAÇÃO E NIVELAMENTO (INCLUINDO EQUIPAMENTO, TRANSPORTE E PROFISSIONAIS NIVEL MÉDIO)</v>
      </c>
      <c r="F77" s="56" t="str">
        <f t="shared" si="6"/>
        <v>MÊS</v>
      </c>
      <c r="G77">
        <f t="shared" si="7"/>
        <v>31160.37</v>
      </c>
      <c r="H77">
        <f t="shared" si="8"/>
        <v>23384.89</v>
      </c>
      <c r="I77">
        <f t="shared" si="9"/>
        <v>23384.89</v>
      </c>
    </row>
    <row r="78" spans="1:9" ht="28.8">
      <c r="A78" s="519">
        <v>108</v>
      </c>
      <c r="B78" s="241" t="s">
        <v>27069</v>
      </c>
      <c r="C78" s="221"/>
      <c r="D78" s="241"/>
      <c r="E78" s="56" t="str">
        <f t="shared" si="5"/>
        <v>SERVIÇOS ADMINISTRATIVOS E TÉCNICOS - MENSALISTAS</v>
      </c>
      <c r="F78" s="56" t="str">
        <f t="shared" si="6"/>
        <v/>
      </c>
      <c r="G78">
        <f t="shared" si="7"/>
        <v>0</v>
      </c>
      <c r="H78">
        <f t="shared" si="8"/>
        <v>0</v>
      </c>
      <c r="I78">
        <f t="shared" si="9"/>
        <v>0</v>
      </c>
    </row>
    <row r="79" spans="1:9">
      <c r="A79" s="372">
        <v>10801</v>
      </c>
      <c r="B79" s="241" t="s">
        <v>27070</v>
      </c>
      <c r="C79" s="221" t="s">
        <v>111</v>
      </c>
      <c r="D79" s="241">
        <v>22315.73</v>
      </c>
      <c r="E79" s="56" t="str">
        <f t="shared" si="5"/>
        <v>ENGENHEIRO JUNIOR</v>
      </c>
      <c r="F79" s="56" t="str">
        <f t="shared" si="6"/>
        <v>MÊS</v>
      </c>
      <c r="G79">
        <f t="shared" si="7"/>
        <v>29735.71</v>
      </c>
      <c r="H79">
        <f t="shared" si="8"/>
        <v>22315.73</v>
      </c>
      <c r="I79">
        <f t="shared" si="9"/>
        <v>22315.73</v>
      </c>
    </row>
    <row r="80" spans="1:9">
      <c r="A80" s="372">
        <v>10802</v>
      </c>
      <c r="B80" s="241" t="s">
        <v>27071</v>
      </c>
      <c r="C80" s="221" t="s">
        <v>111</v>
      </c>
      <c r="D80" s="241">
        <v>25493.21</v>
      </c>
      <c r="E80" s="56" t="str">
        <f t="shared" si="5"/>
        <v>ENGENHEIRO PLENO</v>
      </c>
      <c r="F80" s="56" t="str">
        <f t="shared" si="6"/>
        <v>MÊS</v>
      </c>
      <c r="G80">
        <f t="shared" si="7"/>
        <v>33969.699999999997</v>
      </c>
      <c r="H80">
        <f t="shared" si="8"/>
        <v>25493.21</v>
      </c>
      <c r="I80">
        <f t="shared" si="9"/>
        <v>25493.21</v>
      </c>
    </row>
    <row r="81" spans="1:9">
      <c r="A81" s="519">
        <v>10803</v>
      </c>
      <c r="B81" s="241" t="s">
        <v>27072</v>
      </c>
      <c r="C81" s="221" t="s">
        <v>111</v>
      </c>
      <c r="D81" s="594">
        <v>28670.66</v>
      </c>
      <c r="E81" s="56" t="str">
        <f>UPPER(B81)</f>
        <v>ENGENHERO SÊNIOR</v>
      </c>
      <c r="F81" s="56" t="str">
        <f t="shared" si="6"/>
        <v>MÊS</v>
      </c>
      <c r="G81">
        <f t="shared" si="7"/>
        <v>38203.65</v>
      </c>
      <c r="H81">
        <f t="shared" si="8"/>
        <v>28670.66</v>
      </c>
      <c r="I81">
        <f>D81/(1+$E$1)</f>
        <v>28670.66</v>
      </c>
    </row>
    <row r="82" spans="1:9">
      <c r="A82" s="372">
        <v>10807</v>
      </c>
      <c r="B82" s="241" t="s">
        <v>27073</v>
      </c>
      <c r="C82" s="221" t="s">
        <v>111</v>
      </c>
      <c r="D82" s="241">
        <v>3850.55</v>
      </c>
      <c r="E82" s="56" t="str">
        <f t="shared" si="5"/>
        <v>ALMOXARIFE</v>
      </c>
      <c r="F82" s="56" t="str">
        <f t="shared" si="6"/>
        <v>MÊS</v>
      </c>
      <c r="G82">
        <f t="shared" si="7"/>
        <v>5130.8599999999997</v>
      </c>
      <c r="H82">
        <f t="shared" si="8"/>
        <v>3850.55</v>
      </c>
      <c r="I82">
        <f t="shared" si="9"/>
        <v>3850.55</v>
      </c>
    </row>
    <row r="83" spans="1:9">
      <c r="A83" s="372">
        <v>10808</v>
      </c>
      <c r="B83" s="241" t="s">
        <v>27074</v>
      </c>
      <c r="C83" s="221" t="s">
        <v>111</v>
      </c>
      <c r="D83" s="241">
        <v>2910.74</v>
      </c>
      <c r="E83" s="56" t="str">
        <f t="shared" si="5"/>
        <v>AUXILIAR DE ALMOXARIFE</v>
      </c>
      <c r="F83" s="56" t="str">
        <f t="shared" si="6"/>
        <v>MÊS</v>
      </c>
      <c r="G83">
        <f t="shared" si="7"/>
        <v>3878.56</v>
      </c>
      <c r="H83">
        <f t="shared" si="8"/>
        <v>2910.74</v>
      </c>
      <c r="I83">
        <f t="shared" si="9"/>
        <v>2910.74</v>
      </c>
    </row>
    <row r="84" spans="1:9">
      <c r="A84" s="519">
        <v>10809</v>
      </c>
      <c r="B84" s="241" t="s">
        <v>27075</v>
      </c>
      <c r="C84" s="221" t="s">
        <v>111</v>
      </c>
      <c r="D84" s="241">
        <v>2910.74</v>
      </c>
      <c r="E84" s="56" t="str">
        <f t="shared" si="5"/>
        <v>VIGIA</v>
      </c>
      <c r="F84" s="56" t="str">
        <f t="shared" si="6"/>
        <v>MÊS</v>
      </c>
      <c r="G84">
        <f t="shared" si="7"/>
        <v>3878.56</v>
      </c>
      <c r="H84">
        <f t="shared" si="8"/>
        <v>2910.74</v>
      </c>
      <c r="I84">
        <f t="shared" si="9"/>
        <v>2910.74</v>
      </c>
    </row>
    <row r="85" spans="1:9">
      <c r="A85" s="372">
        <v>10810</v>
      </c>
      <c r="B85" s="241" t="s">
        <v>27076</v>
      </c>
      <c r="C85" s="221" t="s">
        <v>111</v>
      </c>
      <c r="D85" s="241">
        <v>5357.29</v>
      </c>
      <c r="E85" s="56" t="str">
        <f t="shared" si="5"/>
        <v>ENCARREGADO DE TURMA</v>
      </c>
      <c r="F85" s="56" t="str">
        <f t="shared" si="6"/>
        <v>MÊS</v>
      </c>
      <c r="G85">
        <f t="shared" si="7"/>
        <v>7138.59</v>
      </c>
      <c r="H85">
        <f t="shared" si="8"/>
        <v>5357.29</v>
      </c>
      <c r="I85">
        <f t="shared" si="9"/>
        <v>5357.29</v>
      </c>
    </row>
    <row r="86" spans="1:9">
      <c r="A86" s="372">
        <v>10811</v>
      </c>
      <c r="B86" s="241" t="s">
        <v>27077</v>
      </c>
      <c r="C86" s="221" t="s">
        <v>111</v>
      </c>
      <c r="D86" s="241">
        <v>6964.48</v>
      </c>
      <c r="E86" s="56" t="str">
        <f t="shared" si="5"/>
        <v>MESTRE DE OBRAS SENIOR</v>
      </c>
      <c r="F86" s="56" t="str">
        <f t="shared" si="6"/>
        <v>MÊS</v>
      </c>
      <c r="G86">
        <f t="shared" si="7"/>
        <v>9280.17</v>
      </c>
      <c r="H86">
        <f t="shared" si="8"/>
        <v>6964.48</v>
      </c>
      <c r="I86">
        <f t="shared" si="9"/>
        <v>6964.48</v>
      </c>
    </row>
    <row r="87" spans="1:9">
      <c r="A87" s="372">
        <v>10812</v>
      </c>
      <c r="B87" s="241" t="s">
        <v>27078</v>
      </c>
      <c r="C87" s="221" t="s">
        <v>111</v>
      </c>
      <c r="D87" s="241">
        <v>31203.56</v>
      </c>
      <c r="E87" s="56" t="str">
        <f t="shared" si="5"/>
        <v>COORDENADOR TECNICO ESPECIALISTA</v>
      </c>
      <c r="F87" s="56" t="str">
        <f t="shared" si="6"/>
        <v>MÊS</v>
      </c>
      <c r="G87">
        <f t="shared" si="7"/>
        <v>41578.74</v>
      </c>
      <c r="H87">
        <f t="shared" si="8"/>
        <v>31203.56</v>
      </c>
      <c r="I87">
        <f t="shared" si="9"/>
        <v>31203.56</v>
      </c>
    </row>
    <row r="88" spans="1:9">
      <c r="A88" s="372">
        <v>10813</v>
      </c>
      <c r="B88" s="241" t="s">
        <v>27079</v>
      </c>
      <c r="C88" s="221" t="s">
        <v>111</v>
      </c>
      <c r="D88" s="241">
        <v>17825.16</v>
      </c>
      <c r="E88" s="56" t="str">
        <f t="shared" si="5"/>
        <v>TÉCNICO NÍVEL SUPERIOR</v>
      </c>
      <c r="F88" s="56" t="str">
        <f t="shared" si="6"/>
        <v>MÊS</v>
      </c>
      <c r="G88">
        <f t="shared" si="7"/>
        <v>23752.03</v>
      </c>
      <c r="H88">
        <f t="shared" si="8"/>
        <v>17825.16</v>
      </c>
      <c r="I88">
        <f t="shared" si="9"/>
        <v>17825.16</v>
      </c>
    </row>
    <row r="89" spans="1:9">
      <c r="A89" s="372">
        <v>10814</v>
      </c>
      <c r="B89" s="241" t="s">
        <v>27080</v>
      </c>
      <c r="C89" s="221" t="s">
        <v>111</v>
      </c>
      <c r="D89" s="241">
        <v>11319.47</v>
      </c>
      <c r="E89" s="56" t="str">
        <f t="shared" si="5"/>
        <v>TÉCNICO SEGUNDO GRAU NIVEL "A"</v>
      </c>
      <c r="F89" s="56" t="str">
        <f t="shared" si="6"/>
        <v>MÊS</v>
      </c>
      <c r="G89">
        <f t="shared" si="7"/>
        <v>15083.19</v>
      </c>
      <c r="H89">
        <f t="shared" si="8"/>
        <v>11319.47</v>
      </c>
      <c r="I89">
        <f t="shared" si="9"/>
        <v>11319.47</v>
      </c>
    </row>
    <row r="90" spans="1:9">
      <c r="A90" s="372">
        <v>10815</v>
      </c>
      <c r="B90" s="241" t="s">
        <v>27081</v>
      </c>
      <c r="C90" s="221" t="s">
        <v>111</v>
      </c>
      <c r="D90" s="241">
        <v>9055.7999999999993</v>
      </c>
      <c r="E90" s="56" t="str">
        <f t="shared" si="5"/>
        <v>TÉCNICO SEGUNDO GRAU NIVEL "B"</v>
      </c>
      <c r="F90" s="56" t="str">
        <f t="shared" si="6"/>
        <v>MÊS</v>
      </c>
      <c r="G90">
        <f t="shared" si="7"/>
        <v>12066.85</v>
      </c>
      <c r="H90">
        <f t="shared" si="8"/>
        <v>9055.7999999999993</v>
      </c>
      <c r="I90">
        <f t="shared" si="9"/>
        <v>9055.7999999999993</v>
      </c>
    </row>
    <row r="91" spans="1:9">
      <c r="A91" s="371">
        <v>10816</v>
      </c>
      <c r="B91" s="240" t="s">
        <v>27082</v>
      </c>
      <c r="C91" s="221" t="s">
        <v>111</v>
      </c>
      <c r="D91" s="241">
        <v>7243.45</v>
      </c>
      <c r="E91" s="56" t="str">
        <f t="shared" si="5"/>
        <v>TÉCNICO SEGUNDO GRAU NIVEL "C"</v>
      </c>
      <c r="F91" s="56" t="str">
        <f t="shared" si="6"/>
        <v>MÊS</v>
      </c>
      <c r="G91">
        <f t="shared" si="7"/>
        <v>9651.9</v>
      </c>
      <c r="H91">
        <f t="shared" si="8"/>
        <v>7243.45</v>
      </c>
      <c r="I91">
        <f t="shared" si="9"/>
        <v>7243.45</v>
      </c>
    </row>
    <row r="92" spans="1:9">
      <c r="A92" s="372">
        <v>10817</v>
      </c>
      <c r="B92" s="241" t="s">
        <v>27083</v>
      </c>
      <c r="C92" s="221" t="s">
        <v>111</v>
      </c>
      <c r="D92" s="241">
        <v>5795.48</v>
      </c>
      <c r="E92" s="56" t="str">
        <f t="shared" si="5"/>
        <v>TÉCNICO SEGUNDO GRAU NIVEL "D"</v>
      </c>
      <c r="F92" s="56" t="str">
        <f t="shared" si="6"/>
        <v>MÊS</v>
      </c>
      <c r="G92">
        <f t="shared" si="7"/>
        <v>7722.48</v>
      </c>
      <c r="H92">
        <f t="shared" si="8"/>
        <v>5795.48</v>
      </c>
      <c r="I92">
        <f t="shared" si="9"/>
        <v>5795.48</v>
      </c>
    </row>
    <row r="93" spans="1:9">
      <c r="A93" s="372">
        <v>10818</v>
      </c>
      <c r="B93" s="241" t="s">
        <v>27084</v>
      </c>
      <c r="C93" s="221" t="s">
        <v>111</v>
      </c>
      <c r="D93" s="241">
        <v>7922.3</v>
      </c>
      <c r="E93" s="56" t="str">
        <f t="shared" si="5"/>
        <v>COTADOR (AUXILIAR DE ENGENHARIA)</v>
      </c>
      <c r="F93" s="56" t="str">
        <f t="shared" si="6"/>
        <v>MÊS</v>
      </c>
      <c r="G93">
        <f t="shared" si="7"/>
        <v>10556.46</v>
      </c>
      <c r="H93">
        <f t="shared" si="8"/>
        <v>7922.3</v>
      </c>
      <c r="I93">
        <f t="shared" si="9"/>
        <v>7922.3</v>
      </c>
    </row>
    <row r="94" spans="1:9">
      <c r="A94" s="372">
        <v>10819</v>
      </c>
      <c r="B94" s="241" t="s">
        <v>35656</v>
      </c>
      <c r="C94" s="221" t="s">
        <v>111</v>
      </c>
      <c r="D94" s="241">
        <v>14759.08</v>
      </c>
      <c r="E94" s="56" t="str">
        <f t="shared" si="5"/>
        <v>ANALISTA DE SISTEMAS</v>
      </c>
      <c r="F94" s="56" t="str">
        <f t="shared" si="6"/>
        <v>MÊS</v>
      </c>
      <c r="G94">
        <f t="shared" si="7"/>
        <v>19666.47</v>
      </c>
      <c r="H94">
        <f t="shared" si="8"/>
        <v>14759.08</v>
      </c>
      <c r="I94">
        <f t="shared" si="9"/>
        <v>14759.08</v>
      </c>
    </row>
    <row r="95" spans="1:9">
      <c r="A95" s="372">
        <v>2</v>
      </c>
      <c r="B95" s="241" t="s">
        <v>1120</v>
      </c>
      <c r="C95" s="221"/>
      <c r="D95" s="241"/>
      <c r="E95" s="56" t="str">
        <f t="shared" si="5"/>
        <v>INSTALAÇÃO DO CANTEIRO DE OBRAS</v>
      </c>
      <c r="F95" s="56" t="str">
        <f t="shared" si="6"/>
        <v/>
      </c>
      <c r="G95">
        <f t="shared" si="7"/>
        <v>0</v>
      </c>
      <c r="H95">
        <f t="shared" si="8"/>
        <v>0</v>
      </c>
      <c r="I95">
        <f t="shared" si="9"/>
        <v>0</v>
      </c>
    </row>
    <row r="96" spans="1:9">
      <c r="A96" s="372">
        <v>203</v>
      </c>
      <c r="B96" s="241" t="s">
        <v>1121</v>
      </c>
      <c r="C96" s="221"/>
      <c r="D96" s="594"/>
      <c r="E96" s="56" t="str">
        <f t="shared" si="5"/>
        <v>TAPUMES, BARRACÕES E COBERTURAS</v>
      </c>
      <c r="F96" s="56" t="str">
        <f t="shared" si="6"/>
        <v/>
      </c>
      <c r="G96">
        <f t="shared" si="7"/>
        <v>0</v>
      </c>
      <c r="H96">
        <f t="shared" si="8"/>
        <v>0</v>
      </c>
      <c r="I96">
        <f t="shared" si="9"/>
        <v>0</v>
      </c>
    </row>
    <row r="97" spans="1:9" ht="28.8">
      <c r="A97" s="372">
        <v>20305</v>
      </c>
      <c r="B97" s="241" t="s">
        <v>23531</v>
      </c>
      <c r="C97" s="221" t="s">
        <v>110</v>
      </c>
      <c r="D97" s="594">
        <v>294.79000000000002</v>
      </c>
      <c r="E97" s="56" t="str">
        <f t="shared" si="5"/>
        <v>PLACA DE OBRA NAS DIMENSÕES DE 2.0 X 4.0 M, PADRÃO DER</v>
      </c>
      <c r="F97" s="56" t="str">
        <f t="shared" si="6"/>
        <v>M2</v>
      </c>
      <c r="G97">
        <f t="shared" si="7"/>
        <v>392.81</v>
      </c>
      <c r="H97">
        <f t="shared" si="8"/>
        <v>294.79000000000002</v>
      </c>
      <c r="I97">
        <f t="shared" si="9"/>
        <v>294.79000000000002</v>
      </c>
    </row>
    <row r="98" spans="1:9" ht="57.6">
      <c r="A98" s="372">
        <v>20339</v>
      </c>
      <c r="B98" s="241" t="s">
        <v>1122</v>
      </c>
      <c r="C98" s="221" t="s">
        <v>110</v>
      </c>
      <c r="D98" s="594">
        <v>21.41</v>
      </c>
      <c r="E98" s="56" t="str">
        <f t="shared" si="5"/>
        <v>LOCAÇÃO DE ANDAIME METÁLICO PARA TRABALHO EM FACHADA DE EDIFÍCO (ALUGUEL DE 1 M² POR 1 MÊS) INCLUSIVE FRETE, MONTAGEM E DESMONTAGEM</v>
      </c>
      <c r="F98" s="56" t="str">
        <f t="shared" si="6"/>
        <v>M2</v>
      </c>
      <c r="G98">
        <f t="shared" si="7"/>
        <v>28.53</v>
      </c>
      <c r="H98">
        <f t="shared" si="8"/>
        <v>21.41</v>
      </c>
      <c r="I98">
        <f t="shared" si="9"/>
        <v>21.41</v>
      </c>
    </row>
    <row r="99" spans="1:9" ht="86.4">
      <c r="A99" s="372">
        <v>20343</v>
      </c>
      <c r="B99" s="241" t="s">
        <v>1814</v>
      </c>
      <c r="C99" s="221" t="s">
        <v>111</v>
      </c>
      <c r="D99" s="241">
        <v>1230</v>
      </c>
      <c r="E99" s="56" t="str">
        <f t="shared" si="5"/>
        <v>ALUGUEL MENSAL CONTAINER PARA ESCRITÓRIO, SEM BANHEIRO, DIM. 6.00X2.40M, INCL. PORTA, 2 JANELAS, ABERT P/ AR COND., 2 PT ILUMINAÇÃO, 2 TOMADAS ELÉT. E 1 TOMADA TELEF. ISOLAMENTO TÉRMICO (TETO E PAREDES), PISO EM COMP. NAVAL, CERT. NR18, INCL. LAUDO DESCONTAMINAÇÃO.</v>
      </c>
      <c r="F99" s="56" t="str">
        <f t="shared" si="6"/>
        <v>MÊS</v>
      </c>
      <c r="G99">
        <f t="shared" si="7"/>
        <v>1638.98</v>
      </c>
      <c r="H99">
        <f t="shared" si="8"/>
        <v>1230</v>
      </c>
      <c r="I99">
        <f t="shared" si="9"/>
        <v>1230</v>
      </c>
    </row>
    <row r="100" spans="1:9" ht="28.8">
      <c r="A100" s="372">
        <v>20344</v>
      </c>
      <c r="B100" s="241" t="s">
        <v>1815</v>
      </c>
      <c r="C100" s="221" t="s">
        <v>115</v>
      </c>
      <c r="D100" s="241">
        <v>1666.67</v>
      </c>
      <c r="E100" s="56" t="str">
        <f t="shared" si="5"/>
        <v>MOBILIZAÇÃO E DESMOBILIZAÇÃO DE CONTEINER LOCADO PARA BARRACÃO DE OBRA</v>
      </c>
      <c r="F100" s="56" t="str">
        <f t="shared" si="6"/>
        <v>UND</v>
      </c>
      <c r="G100">
        <f t="shared" si="7"/>
        <v>2220.84</v>
      </c>
      <c r="H100">
        <f t="shared" si="8"/>
        <v>1666.67</v>
      </c>
      <c r="I100">
        <f t="shared" si="9"/>
        <v>1666.67</v>
      </c>
    </row>
    <row r="101" spans="1:9" ht="28.8">
      <c r="A101" s="372">
        <v>20346</v>
      </c>
      <c r="B101" s="241" t="s">
        <v>1123</v>
      </c>
      <c r="C101" s="221" t="s">
        <v>112</v>
      </c>
      <c r="D101" s="594">
        <v>14.02</v>
      </c>
      <c r="E101" s="56" t="str">
        <f t="shared" si="5"/>
        <v>LOCAÇÃO DE ANDAIME METÁLICO PARA FACHADA - TIPO TORRE (ALUGUEL MENSAL)</v>
      </c>
      <c r="F101" s="56" t="str">
        <f t="shared" si="6"/>
        <v>M</v>
      </c>
      <c r="G101">
        <f t="shared" si="7"/>
        <v>18.68</v>
      </c>
      <c r="H101">
        <f t="shared" si="8"/>
        <v>14.02</v>
      </c>
      <c r="I101">
        <f t="shared" si="9"/>
        <v>14.02</v>
      </c>
    </row>
    <row r="102" spans="1:9" ht="72">
      <c r="A102" s="372">
        <v>20348</v>
      </c>
      <c r="B102" s="241" t="s">
        <v>1124</v>
      </c>
      <c r="C102" s="221" t="s">
        <v>110</v>
      </c>
      <c r="D102" s="594">
        <v>31.49</v>
      </c>
      <c r="E102" s="56" t="str">
        <f t="shared" si="5"/>
        <v>FORNECIMENTO E INSTALAÇÃO DE PROTEÇÃO PARA ANDAIME FACHADEIRO CONSIDERANDO PLATAFORMA, RODAPÉ E GUARDA-CORPO EM MADEIRA, INCLUSIVE ENTELAMENTO, CONFORME NR-18 (MEDIDO POR M2 DE FACHADA)</v>
      </c>
      <c r="F102" s="56" t="str">
        <f t="shared" si="6"/>
        <v>M2</v>
      </c>
      <c r="G102">
        <f t="shared" si="7"/>
        <v>41.96</v>
      </c>
      <c r="H102">
        <f t="shared" si="8"/>
        <v>31.49</v>
      </c>
      <c r="I102">
        <f t="shared" si="9"/>
        <v>31.49</v>
      </c>
    </row>
    <row r="103" spans="1:9" ht="86.4">
      <c r="A103" s="372">
        <v>20350</v>
      </c>
      <c r="B103" s="241" t="s">
        <v>15721</v>
      </c>
      <c r="C103" s="221" t="s">
        <v>112</v>
      </c>
      <c r="D103" s="241">
        <v>148.02000000000001</v>
      </c>
      <c r="E103" s="56" t="str">
        <f t="shared" si="5"/>
        <v>TAPUME TELHA METÁLICA ONDULADA EM AÇO GALVALUME 0,50MM BRANCA H=2,20M, INCL. MONTAGEM ESTR. MAD. 8"X8", C/ADESIVO "DER-ES" 60X60CM A CADA 10M, INCL. FAIXAS PINT. ESMALTE SINT. CORES AZUL C/ H=30CM E ROSA C/ H=10CM (REAPROVEITAMENTO 2X)</v>
      </c>
      <c r="F103" s="56" t="str">
        <f t="shared" si="6"/>
        <v>M</v>
      </c>
      <c r="G103">
        <f t="shared" si="7"/>
        <v>197.24</v>
      </c>
      <c r="H103">
        <f t="shared" si="8"/>
        <v>148.02000000000001</v>
      </c>
      <c r="I103">
        <f t="shared" si="9"/>
        <v>148.02000000000001</v>
      </c>
    </row>
    <row r="104" spans="1:9" ht="86.4">
      <c r="A104" s="372">
        <v>20351</v>
      </c>
      <c r="B104" s="241" t="s">
        <v>15722</v>
      </c>
      <c r="C104" s="221" t="s">
        <v>112</v>
      </c>
      <c r="D104" s="241">
        <v>315.13</v>
      </c>
      <c r="E104" s="56" t="str">
        <f t="shared" si="5"/>
        <v>TAPUME MADEIRA COMPENSADA RESINADA E= 12MM H=2,20M, ESTR. C/ MAD REFLOREST., INCL MONT, PINTURA ESMALTE SINT, ADESIVO "DER-ES" 60X60CM A CADA 10M E FAIXAS C/ PINTURA ESMALTE SINTÉTICO NAS CORES AZUL C/ H=30CM E ROSA C/ H=10CM</v>
      </c>
      <c r="F104" s="56" t="str">
        <f t="shared" si="6"/>
        <v>M</v>
      </c>
      <c r="G104">
        <f t="shared" si="7"/>
        <v>419.91</v>
      </c>
      <c r="H104">
        <f t="shared" si="8"/>
        <v>315.13</v>
      </c>
      <c r="I104">
        <f t="shared" si="9"/>
        <v>315.13</v>
      </c>
    </row>
    <row r="105" spans="1:9" ht="100.8">
      <c r="A105" s="372">
        <v>20352</v>
      </c>
      <c r="B105" s="241" t="s">
        <v>1816</v>
      </c>
      <c r="C105" s="221" t="s">
        <v>1706</v>
      </c>
      <c r="D105" s="241">
        <v>1229.4000000000001</v>
      </c>
      <c r="E105" s="56" t="str">
        <f t="shared" si="5"/>
        <v>ALUGUEL MENSAL CONTAINER PARA ESCRITÓRIO, DIM. 6.00X2.40M, C/ BANHEIRO (VASO+LAVAT+CHUVEIRO E BÁSC), INCL. PORTA, 2 JANELAS, ABERT P/ AR COND., 2 PT ILUMINAÇÃO, 2 TOM. ELÉT. E 1 TOM.TELEF. ISOLAM.TÉRMICO(TETO E PAREDES), PISO EM COMP. NAVAL, CERT. NR18, INCL. LAUDO DESCONTAMINAÇÃO.</v>
      </c>
      <c r="F105" s="56" t="str">
        <f t="shared" si="6"/>
        <v>MS</v>
      </c>
      <c r="G105">
        <f t="shared" si="7"/>
        <v>1638.18</v>
      </c>
      <c r="H105">
        <f t="shared" si="8"/>
        <v>1229.4000000000001</v>
      </c>
      <c r="I105">
        <f t="shared" si="9"/>
        <v>1229.4000000000001</v>
      </c>
    </row>
    <row r="106" spans="1:9" ht="86.4">
      <c r="A106" s="371">
        <v>20353</v>
      </c>
      <c r="B106" s="240" t="s">
        <v>1817</v>
      </c>
      <c r="C106" s="221" t="s">
        <v>1706</v>
      </c>
      <c r="D106" s="241">
        <v>1216.17</v>
      </c>
      <c r="E106" s="56" t="str">
        <f t="shared" si="5"/>
        <v>ALUGUEL MENSAL CONTAINER PARA REFEITORIO, INCL. PORTA, 2 JANELAS, ABERT P/ AR COND., 2 PT ILUMINAÇÃO, 2 TOMADAS ELÉT. E 1 TOMADA TELEF. ISOLAMENTO TÉRMICO (PAREDES E TETO), PISO EM COMP. NAVAL PINTADO, CERT. NR18, INCL. LAUDO DESCONTAMINAÇÃO.</v>
      </c>
      <c r="F106" s="56" t="str">
        <f t="shared" si="6"/>
        <v>MS</v>
      </c>
      <c r="G106">
        <f t="shared" si="7"/>
        <v>1620.55</v>
      </c>
      <c r="H106">
        <f t="shared" si="8"/>
        <v>1216.17</v>
      </c>
      <c r="I106">
        <f t="shared" si="9"/>
        <v>1216.17</v>
      </c>
    </row>
    <row r="107" spans="1:9" ht="72">
      <c r="A107" s="372">
        <v>20354</v>
      </c>
      <c r="B107" s="241" t="s">
        <v>1818</v>
      </c>
      <c r="C107" s="221" t="s">
        <v>1706</v>
      </c>
      <c r="D107" s="241">
        <v>769.25</v>
      </c>
      <c r="E107" s="56" t="str">
        <f t="shared" si="5"/>
        <v>ALUGUEL MENSAL CONTAINER PARA VESTIÁRIO, INCL. PORTA, VENEZIANAS DE CIRCULAÇÃO, 1 PT ILUMINAÇÃO, ISOLAMENTO TÉRMICO (TETO), PISO EM COMP. NAVAL PINTADO, CERT. NR18, INCL. LAUDO DESCONTAMINAÇÃO.</v>
      </c>
      <c r="F107" s="56" t="str">
        <f t="shared" si="6"/>
        <v>MS</v>
      </c>
      <c r="G107">
        <f t="shared" si="7"/>
        <v>1025.03</v>
      </c>
      <c r="H107">
        <f t="shared" si="8"/>
        <v>769.25</v>
      </c>
      <c r="I107">
        <f t="shared" si="9"/>
        <v>769.25</v>
      </c>
    </row>
    <row r="108" spans="1:9" ht="72">
      <c r="A108" s="519">
        <v>20355</v>
      </c>
      <c r="B108" s="241" t="s">
        <v>1819</v>
      </c>
      <c r="C108" s="221" t="s">
        <v>1706</v>
      </c>
      <c r="D108" s="241">
        <v>1249.4000000000001</v>
      </c>
      <c r="E108" s="56" t="str">
        <f t="shared" si="5"/>
        <v>ALUGUEL MENSAL CONTAINER SANITÁRIO, INCL PORTA, BÁSC, 2 PTOS LUZ, 1 PTO ATERRAM., 3VASOS, 3LAVATÓRIOS, CALHA MICTÓRIO, 6 CHUVEIROS (1 ELETRICO), TORN.,REGISTROS, PISO COMP. NAVAL PINTADO, CERT NR18 E LAUDO DESCONTAMINAÇÃO</v>
      </c>
      <c r="F108" s="56" t="str">
        <f t="shared" si="6"/>
        <v>MS</v>
      </c>
      <c r="G108">
        <f t="shared" si="7"/>
        <v>1664.83</v>
      </c>
      <c r="H108">
        <f t="shared" si="8"/>
        <v>1249.4000000000001</v>
      </c>
      <c r="I108">
        <f t="shared" si="9"/>
        <v>1249.4000000000001</v>
      </c>
    </row>
    <row r="109" spans="1:9" ht="72">
      <c r="A109" s="372">
        <v>20356</v>
      </c>
      <c r="B109" s="241" t="s">
        <v>1820</v>
      </c>
      <c r="C109" s="221" t="s">
        <v>1706</v>
      </c>
      <c r="D109" s="241">
        <v>914.25</v>
      </c>
      <c r="E109" s="56" t="str">
        <f t="shared" si="5"/>
        <v>ALUGUEL MENSAL CONTAINER PARA ALMOXARIFADO, INCL. PORTA, 2 JANELAS, 1 PT ILUMINAÇÃO, ISOLAMENTO TÉRMICO (TETO), PISO EM COMP. NAVAL PINTADO, CERT. NR18, INCL. LAUDO DESCONTAMINAÇÃO.</v>
      </c>
      <c r="F109" s="56" t="str">
        <f t="shared" si="6"/>
        <v>MS</v>
      </c>
      <c r="G109">
        <f t="shared" si="7"/>
        <v>1218.24</v>
      </c>
      <c r="H109">
        <f t="shared" si="8"/>
        <v>914.25</v>
      </c>
      <c r="I109">
        <f t="shared" si="9"/>
        <v>914.25</v>
      </c>
    </row>
    <row r="110" spans="1:9" ht="57.6">
      <c r="A110" s="519">
        <v>207</v>
      </c>
      <c r="B110" s="241" t="s">
        <v>1125</v>
      </c>
      <c r="C110" s="221"/>
      <c r="D110" s="241"/>
      <c r="E110" s="56" t="str">
        <f t="shared" si="5"/>
        <v>INSTALAÇÃO DO CANTEIRO DE OBRAS (UTILIZAÇÃO 1 VEZ), PROJETO PADRÃO LABOR - NR.18 (OBRAS COM PRAZO DE EXECUÇÃO SUPERIOR A 12 MESES)</v>
      </c>
      <c r="F110" s="56" t="str">
        <f t="shared" si="6"/>
        <v/>
      </c>
      <c r="G110">
        <f t="shared" si="7"/>
        <v>0</v>
      </c>
      <c r="H110">
        <f t="shared" si="8"/>
        <v>0</v>
      </c>
      <c r="I110">
        <f t="shared" si="9"/>
        <v>0</v>
      </c>
    </row>
    <row r="111" spans="1:9" ht="72">
      <c r="A111" s="519">
        <v>20701</v>
      </c>
      <c r="B111" s="241" t="s">
        <v>1126</v>
      </c>
      <c r="C111" s="221" t="s">
        <v>110</v>
      </c>
      <c r="D111" s="594">
        <v>861</v>
      </c>
      <c r="E111" s="56" t="str">
        <f t="shared" si="5"/>
        <v>BARRACÃO PARA ESCRITÓRIO COM SANITÁRIO ÁREA DE 14.50 M2, DE CHAPA DE COMPENS. 12MM E PONTALETE 8X8CM, PISO CIMENTADO E COBERTURA DE TELHA DE FIBROC. 6MM, INCL. PONTO DE LUZ E CX. DE INSPEÇÃO, CONF. PROJETO (1 UTILIZAÇÃO)</v>
      </c>
      <c r="F111" s="56" t="str">
        <f t="shared" si="6"/>
        <v>M2</v>
      </c>
      <c r="G111">
        <f t="shared" si="7"/>
        <v>1147.28</v>
      </c>
      <c r="H111">
        <f t="shared" si="8"/>
        <v>861</v>
      </c>
      <c r="I111">
        <f t="shared" si="9"/>
        <v>861</v>
      </c>
    </row>
    <row r="112" spans="1:9" ht="72">
      <c r="A112" s="372">
        <v>20702</v>
      </c>
      <c r="B112" s="241" t="s">
        <v>1127</v>
      </c>
      <c r="C112" s="221" t="s">
        <v>110</v>
      </c>
      <c r="D112" s="594">
        <v>598.37</v>
      </c>
      <c r="E112" s="56" t="str">
        <f t="shared" si="5"/>
        <v>BARRACÃO PARA ALMOXARIFADO ÁREA DE 10.90M2, DE CHAPA DE COMPENSADO DE 12MM E PONTALETE 8X8CM, PISO CIMENTADO E COBERTURA DE TELHAS DE FIBROCIMENTO DE 6MM, INCL. PONTO DE LUZ, CONF. PROJETO (1 UTILIZAÇÃO)</v>
      </c>
      <c r="F112" s="56" t="str">
        <f t="shared" si="6"/>
        <v>M2</v>
      </c>
      <c r="G112">
        <f t="shared" si="7"/>
        <v>797.33</v>
      </c>
      <c r="H112">
        <f t="shared" si="8"/>
        <v>598.37</v>
      </c>
      <c r="I112">
        <f t="shared" si="9"/>
        <v>598.37</v>
      </c>
    </row>
    <row r="113" spans="1:9" ht="86.4">
      <c r="A113" s="372">
        <v>20703</v>
      </c>
      <c r="B113" s="241" t="s">
        <v>1128</v>
      </c>
      <c r="C113" s="221" t="s">
        <v>110</v>
      </c>
      <c r="D113" s="594">
        <v>521.14</v>
      </c>
      <c r="E113" s="56" t="str">
        <f t="shared" si="5"/>
        <v>BARRACÃO PARA DEPÓSITO DE CIMENTO ÁREA DE 10.90M2, DE CHAPA DE COMPENSADO 12MM E PONTALETES 8X8CM, PISO CIMENTADO E COBERTURA DE TELHAS DE FIBROCIMENTO DE 6MM, INCLUSIVE PONTO DE LUZ, CONF. PROJETO (1 UTILIZAÇÃO)</v>
      </c>
      <c r="F113" s="56" t="str">
        <f t="shared" si="6"/>
        <v>M2</v>
      </c>
      <c r="G113">
        <f t="shared" si="7"/>
        <v>694.42</v>
      </c>
      <c r="H113">
        <f t="shared" si="8"/>
        <v>521.14</v>
      </c>
      <c r="I113">
        <f t="shared" si="9"/>
        <v>521.14</v>
      </c>
    </row>
    <row r="114" spans="1:9" ht="72">
      <c r="A114" s="372">
        <v>20704</v>
      </c>
      <c r="B114" s="241" t="s">
        <v>1129</v>
      </c>
      <c r="C114" s="221" t="s">
        <v>110</v>
      </c>
      <c r="D114" s="241">
        <v>476.9</v>
      </c>
      <c r="E114" s="56" t="str">
        <f t="shared" si="5"/>
        <v>REFEITÓRIO COM PAREDES DE CHAPA DE COMPENS. 12MM E PONTALETES 8X8CM, PISO CIMENT. E COB. DE TELHAS FIBROC. 6MM, INCL. PONTO DE LUZ E CX. DE INSPEÇÃO (CONS. 1.21 M2/FUNC./TURNO), CONF. PROJETO (1 UTILIZAÇÃO)</v>
      </c>
      <c r="F114" s="56" t="str">
        <f t="shared" si="6"/>
        <v>M2</v>
      </c>
      <c r="G114">
        <f t="shared" si="7"/>
        <v>635.47</v>
      </c>
      <c r="H114">
        <f t="shared" si="8"/>
        <v>476.9</v>
      </c>
      <c r="I114">
        <f t="shared" si="9"/>
        <v>476.9</v>
      </c>
    </row>
    <row r="115" spans="1:9" ht="86.4">
      <c r="A115" s="372">
        <v>20705</v>
      </c>
      <c r="B115" s="241" t="s">
        <v>1130</v>
      </c>
      <c r="C115" s="221" t="s">
        <v>115</v>
      </c>
      <c r="D115" s="241">
        <v>16002.1</v>
      </c>
      <c r="E115" s="56" t="str">
        <f t="shared" si="5"/>
        <v>UNIDADE DE SANITÁRIO E VESTIÁRIO P/ ATÉ 20 FUNC. ÁREA DE 18.15M2, PAREDES DE CHAPA COMPENS. 12MM E PONTALETE 8X8CM, PISO CIMENTADO, COBERT. TELHA FIBROC. 6MM, INCL. INSTALAÇÃO DE LUZ E CX. DE INSPEÇÃO, CONF. PROJETO (1 UTILIZAÇÃO)</v>
      </c>
      <c r="F115" s="56" t="str">
        <f t="shared" si="6"/>
        <v>UND</v>
      </c>
      <c r="G115">
        <f t="shared" si="7"/>
        <v>21322.799999999999</v>
      </c>
      <c r="H115">
        <f t="shared" si="8"/>
        <v>16002.1</v>
      </c>
      <c r="I115">
        <f t="shared" si="9"/>
        <v>16002.1</v>
      </c>
    </row>
    <row r="116" spans="1:9" ht="72">
      <c r="A116" s="372">
        <v>20706</v>
      </c>
      <c r="B116" s="241" t="s">
        <v>1131</v>
      </c>
      <c r="C116" s="221" t="s">
        <v>115</v>
      </c>
      <c r="D116" s="594">
        <v>24104.09</v>
      </c>
      <c r="E116" s="56" t="str">
        <f t="shared" si="5"/>
        <v>UNIDADE DE SANITÁRIO E VESTIÁRIO DE 20 A 40 FUNC. ÁREA 25.40M2, PAREDES DE CHAPA COMPENS. 12MM E PONTALETE 8X8CM, PISO CIMENTADO, COBERT. TELHA FIBROC. 6MM, INCL. INST. DE LUZ E CX. DE INSPEÇÃO, CONF. PROJETO (1 UTILIZAÇÃO)</v>
      </c>
      <c r="F116" s="56" t="str">
        <f t="shared" si="6"/>
        <v>UND</v>
      </c>
      <c r="G116">
        <f t="shared" si="7"/>
        <v>32118.7</v>
      </c>
      <c r="H116">
        <f t="shared" si="8"/>
        <v>24104.09</v>
      </c>
      <c r="I116">
        <f t="shared" si="9"/>
        <v>24104.09</v>
      </c>
    </row>
    <row r="117" spans="1:9" ht="72">
      <c r="A117" s="519">
        <v>20707</v>
      </c>
      <c r="B117" s="241" t="s">
        <v>1132</v>
      </c>
      <c r="C117" s="221" t="s">
        <v>115</v>
      </c>
      <c r="D117" s="594">
        <v>29848.16</v>
      </c>
      <c r="E117" s="56" t="str">
        <f t="shared" si="5"/>
        <v>UNIDADE DE SANITÁRIO E VESTIÁRIO DE 40 A 60 FUNC. ÁREA 33.90M2, PAREDES DE CHAPA COMPENS. 12MM E PONTALETE 8X8CM, PISO CIMENTADO, COBERT. TELHA FIBROC. 6MM, INCL. INST. DE LUZ E CX. DE INSPEÇÃO, CONF. PROJETO (1 UTILIZAÇÃO)</v>
      </c>
      <c r="F117" s="56" t="str">
        <f t="shared" si="6"/>
        <v>UND</v>
      </c>
      <c r="G117">
        <f t="shared" si="7"/>
        <v>39772.67</v>
      </c>
      <c r="H117">
        <f t="shared" si="8"/>
        <v>29848.16</v>
      </c>
      <c r="I117">
        <f t="shared" si="9"/>
        <v>29848.16</v>
      </c>
    </row>
    <row r="118" spans="1:9" ht="86.4">
      <c r="A118" s="519">
        <v>20708</v>
      </c>
      <c r="B118" s="241" t="s">
        <v>1133</v>
      </c>
      <c r="C118" s="221" t="s">
        <v>110</v>
      </c>
      <c r="D118" s="241">
        <v>210.95</v>
      </c>
      <c r="E118" s="56" t="str">
        <f t="shared" si="5"/>
        <v>GALPÃO PARA SERRARIA E CARPINTARIA ÁREA 12.00M2, EM PEÇA DE MADEIRA 8X8CM E CONTRAVENTAMENTO DE 5X7CM, COBERTURA DE TELHA DE FIBROC. DE 6MM, INCLUSIVE PONTO E CABO DE ALIMENTAÇÃO DA MÁQUINA, CONF. PROJETO (1 UTILIZAÇÃO)</v>
      </c>
      <c r="F118" s="56" t="str">
        <f t="shared" si="6"/>
        <v>M2</v>
      </c>
      <c r="G118">
        <f t="shared" si="7"/>
        <v>281.08999999999997</v>
      </c>
      <c r="H118">
        <f t="shared" si="8"/>
        <v>210.95</v>
      </c>
      <c r="I118">
        <f t="shared" si="9"/>
        <v>210.95</v>
      </c>
    </row>
    <row r="119" spans="1:9" ht="86.4">
      <c r="A119" s="371">
        <v>20709</v>
      </c>
      <c r="B119" s="240" t="s">
        <v>1134</v>
      </c>
      <c r="C119" s="221" t="s">
        <v>110</v>
      </c>
      <c r="D119" s="241">
        <v>285.94</v>
      </c>
      <c r="E119" s="56" t="str">
        <f t="shared" si="5"/>
        <v>GALPÃO PARA CORTE E ARMAÇÃO COM ÁREA DE 6.00M2, EM PEÇAS DE MADEIRA 8X8CM E CONTRAVENTAMENTO DE 5X7CM, COBERTURA DE TELHAS DE FIBROC. DE 6MM, INCLUSIVE PONTO E CABO DE ALIMENTAÇÃO DA MÁQUINA, CONF. PROJETO (1 UTILIZAÇÃO)</v>
      </c>
      <c r="F119" s="56" t="str">
        <f t="shared" si="6"/>
        <v>M2</v>
      </c>
      <c r="G119">
        <f t="shared" si="7"/>
        <v>381.02</v>
      </c>
      <c r="H119">
        <f t="shared" si="8"/>
        <v>285.94</v>
      </c>
      <c r="I119">
        <f t="shared" si="9"/>
        <v>285.94</v>
      </c>
    </row>
    <row r="120" spans="1:9" ht="43.2">
      <c r="A120" s="371">
        <v>20710</v>
      </c>
      <c r="B120" s="240" t="s">
        <v>1791</v>
      </c>
      <c r="C120" s="221" t="s">
        <v>115</v>
      </c>
      <c r="D120" s="241">
        <v>1770.47</v>
      </c>
      <c r="E120" s="56" t="str">
        <f t="shared" si="5"/>
        <v>RESERVATÓRIO DE POLIESTILENO DE 500L, INCL. SUPORTE EM MADEIRA DE 7X12CM E 5X7CM, ELEVADO DE 4M, CONF. PROJETO (1 UTILIZAÇÃO)</v>
      </c>
      <c r="F120" s="56" t="str">
        <f t="shared" si="6"/>
        <v>UND</v>
      </c>
      <c r="G120">
        <f t="shared" si="7"/>
        <v>2359.15</v>
      </c>
      <c r="H120">
        <f t="shared" si="8"/>
        <v>1770.47</v>
      </c>
      <c r="I120">
        <f t="shared" si="9"/>
        <v>1770.47</v>
      </c>
    </row>
    <row r="121" spans="1:9" ht="43.2">
      <c r="A121" s="520">
        <v>20711</v>
      </c>
      <c r="B121" s="241" t="s">
        <v>1792</v>
      </c>
      <c r="C121" s="221" t="s">
        <v>115</v>
      </c>
      <c r="D121" s="241">
        <v>2093.69</v>
      </c>
      <c r="E121" s="56" t="str">
        <f t="shared" si="5"/>
        <v>RESERVATÓRIO DE POLIESTILENO DE 1000 L, INCL. SUPORTE EM MADEIRA DE 7X12CM E 8X7CM, ELEVADO DE 4M, CONF. PROJETO (1 UTILIZAÇÃO)</v>
      </c>
      <c r="F121" s="56" t="str">
        <f t="shared" si="6"/>
        <v>UND</v>
      </c>
      <c r="G121">
        <f t="shared" si="7"/>
        <v>2789.84</v>
      </c>
      <c r="H121">
        <f t="shared" si="8"/>
        <v>2093.69</v>
      </c>
      <c r="I121">
        <f>D121/(1+$E$1)</f>
        <v>2093.69</v>
      </c>
    </row>
    <row r="122" spans="1:9" ht="72">
      <c r="A122" s="372">
        <v>20712</v>
      </c>
      <c r="B122" s="241" t="s">
        <v>15723</v>
      </c>
      <c r="C122" s="221" t="s">
        <v>112</v>
      </c>
      <c r="D122" s="241">
        <v>56.94</v>
      </c>
      <c r="E122" s="56" t="str">
        <f t="shared" si="5"/>
        <v>REDE DE ÁGUA COM PADRÃO DE ENTRADA DÁGUA DIÂM. 3/4", CONF. ESPEC. CESAN, INCL. TUBOS E CONEXÕES PARA ALIMENTAÇÃO, DISTRIBUIÇÃO, EXTRAVASOR E LIMPEZA, CONS. O PADRÃO A 25M, CONF. PROJETO (1 UTILIZAÇÃO)</v>
      </c>
      <c r="F122" s="56" t="str">
        <f t="shared" si="6"/>
        <v>M</v>
      </c>
      <c r="G122">
        <f t="shared" si="7"/>
        <v>75.87</v>
      </c>
      <c r="H122">
        <f t="shared" si="8"/>
        <v>56.94</v>
      </c>
      <c r="I122">
        <f t="shared" si="9"/>
        <v>56.94</v>
      </c>
    </row>
    <row r="123" spans="1:9" ht="72">
      <c r="A123" s="372">
        <v>20713</v>
      </c>
      <c r="B123" s="241" t="s">
        <v>1135</v>
      </c>
      <c r="C123" s="221" t="s">
        <v>112</v>
      </c>
      <c r="D123" s="241">
        <v>502.19</v>
      </c>
      <c r="E123" s="56" t="str">
        <f t="shared" si="5"/>
        <v>REDE DE LUZ, INCL. PADRÃO ENTRADA DE ENERGIA TRIFÁS., CABO DE LIGAÇÃO ATÉ BARRACÕES, QUADRO DE DISTRIB., DISJ. E CHAVE DE FORÇA (QUANDO NECESSÁRIO), CONS. 20M ENTRE PADRÃO ENTRADA E QDG, CONF. PROJETO (1 UTILIZAÇÃO)</v>
      </c>
      <c r="F123" s="56" t="str">
        <f t="shared" si="6"/>
        <v>M</v>
      </c>
      <c r="G123">
        <f t="shared" si="7"/>
        <v>669.17</v>
      </c>
      <c r="H123">
        <f t="shared" si="8"/>
        <v>502.19</v>
      </c>
      <c r="I123">
        <f t="shared" si="9"/>
        <v>502.19</v>
      </c>
    </row>
    <row r="124" spans="1:9" ht="57.6">
      <c r="A124" s="372">
        <v>20714</v>
      </c>
      <c r="B124" s="241" t="s">
        <v>1136</v>
      </c>
      <c r="C124" s="221" t="s">
        <v>112</v>
      </c>
      <c r="D124" s="241">
        <v>448.89</v>
      </c>
      <c r="E124" s="56" t="str">
        <f t="shared" si="5"/>
        <v>REDE DE ESGOTO, CONTENDO FOSSA E FILTRO, INCLUSIVE TUBOS E CONEXÕES DE LIGAÇÃO ENTRE CAIXAS, CONSIDERANDO DISTÂNCIA DE 25M, CONFORME PROJETO (1 UTILIZAÇÃO)</v>
      </c>
      <c r="F124" s="56" t="str">
        <f t="shared" si="6"/>
        <v>M</v>
      </c>
      <c r="G124">
        <f t="shared" si="7"/>
        <v>598.15</v>
      </c>
      <c r="H124">
        <f t="shared" si="8"/>
        <v>448.89</v>
      </c>
      <c r="I124">
        <f t="shared" si="9"/>
        <v>448.89</v>
      </c>
    </row>
    <row r="125" spans="1:9" ht="57.6">
      <c r="A125" s="372">
        <v>208</v>
      </c>
      <c r="B125" s="241" t="s">
        <v>1137</v>
      </c>
      <c r="C125" s="221"/>
      <c r="D125" s="241"/>
      <c r="E125" s="56" t="str">
        <f t="shared" si="5"/>
        <v>INSTALAÇÃO DO CANTEIRO DE OBRAS (UTILIZAÇÃO 2 VEZES), PROJETO PADRÃO LABOR - NR.18 (OBRAS COM PRAZO DE EXECUÇÃO DE 6 A 12 MESES)</v>
      </c>
      <c r="F125" s="56" t="str">
        <f t="shared" si="6"/>
        <v/>
      </c>
      <c r="G125">
        <f t="shared" si="7"/>
        <v>0</v>
      </c>
      <c r="H125">
        <f t="shared" si="8"/>
        <v>0</v>
      </c>
      <c r="I125">
        <f t="shared" si="9"/>
        <v>0</v>
      </c>
    </row>
    <row r="126" spans="1:9" ht="72">
      <c r="A126" s="371">
        <v>20801</v>
      </c>
      <c r="B126" s="240" t="s">
        <v>1138</v>
      </c>
      <c r="C126" s="221" t="s">
        <v>110</v>
      </c>
      <c r="D126" s="241">
        <v>663.78</v>
      </c>
      <c r="E126" s="56" t="str">
        <f t="shared" si="5"/>
        <v>BARRACÃO PARA ESCRITÓRIO COM SANITÁRIO ÁREA 14.50M2, DE CHAPA DE COMPENS. 12MM E PONTALETE 8X8CM, PISO CIMENTADO E COBERTURA DE TELHA DE FIBROC. 6MM, INCL. PONTO DE LUZ E CX. DE INSPEÇÃO, CONF. PROJETO (2 UTILIZAÇÕES)</v>
      </c>
      <c r="F126" s="56" t="str">
        <f t="shared" si="6"/>
        <v>M2</v>
      </c>
      <c r="G126">
        <f t="shared" si="7"/>
        <v>884.49</v>
      </c>
      <c r="H126">
        <f t="shared" si="8"/>
        <v>663.78</v>
      </c>
      <c r="I126">
        <f t="shared" si="9"/>
        <v>663.78</v>
      </c>
    </row>
    <row r="127" spans="1:9" ht="72">
      <c r="A127" s="372">
        <v>20802</v>
      </c>
      <c r="B127" s="241" t="s">
        <v>1139</v>
      </c>
      <c r="C127" s="221" t="s">
        <v>110</v>
      </c>
      <c r="D127" s="241">
        <v>471.66</v>
      </c>
      <c r="E127" s="56" t="str">
        <f t="shared" si="5"/>
        <v>BARRACÃO PARA ALMOXARIFADO ÁREA DE 10.90M2, DE CHAPA DE COMPENSADO 12MM E PONTALETES 8X8CM, PISO CIMENTADO E COBERTURA DE TELHA DE FIBROCIMENTO DE 6MM, INCLUSIVE PONTO DE LUZ, CONF. PROJETO (2 UTILIZAÇÕES)</v>
      </c>
      <c r="F127" s="56" t="str">
        <f t="shared" si="6"/>
        <v>M2</v>
      </c>
      <c r="G127">
        <f t="shared" si="7"/>
        <v>628.49</v>
      </c>
      <c r="H127">
        <f t="shared" si="8"/>
        <v>471.66</v>
      </c>
      <c r="I127">
        <f t="shared" si="9"/>
        <v>471.66</v>
      </c>
    </row>
    <row r="128" spans="1:9" ht="86.4">
      <c r="A128" s="372">
        <v>20803</v>
      </c>
      <c r="B128" s="241" t="s">
        <v>1140</v>
      </c>
      <c r="C128" s="221" t="s">
        <v>110</v>
      </c>
      <c r="D128" s="241">
        <v>412.84</v>
      </c>
      <c r="E128" s="56" t="str">
        <f t="shared" si="5"/>
        <v>BARRACÃO PARA DEPÓSITO DE CIMENTO ÁREA DE 10.90M2, DE CHAPA DE COMPENSADO 12MM E PONTALETES 8X8CM, PISO CIMENTADO E COBERTURA DE TELHAS DE FIBROCIMENTO DE 6MM, INCLUSIVE PONTO DE LUZ, CONF. PROJETO (2 UTILIZAÇÕES)</v>
      </c>
      <c r="F128" s="56" t="str">
        <f t="shared" si="6"/>
        <v>M2</v>
      </c>
      <c r="G128">
        <f t="shared" si="7"/>
        <v>550.11</v>
      </c>
      <c r="H128">
        <f t="shared" si="8"/>
        <v>412.84</v>
      </c>
      <c r="I128">
        <f t="shared" si="9"/>
        <v>412.84</v>
      </c>
    </row>
    <row r="129" spans="1:9" ht="86.4">
      <c r="A129" s="372">
        <v>20804</v>
      </c>
      <c r="B129" s="241" t="s">
        <v>1141</v>
      </c>
      <c r="C129" s="221" t="s">
        <v>110</v>
      </c>
      <c r="D129" s="241">
        <v>401.78</v>
      </c>
      <c r="E129" s="56" t="str">
        <f t="shared" ref="E129:E192" si="10">UPPER(B129)</f>
        <v>REFEITÓRIO COM PAREDES DE CHAPA DE COMPENS. 12MM E PONTALETES 8X8CM, PISO CIMENT. E COBERT. DE TELHAS FIBROC. 6MM, INCL. PONTO DE LUZ E CX. DE INSPEÇÃO (CONS. 1.21M2/FUNC./TURNO), CONF. PROJETO (2 UTILIZAÇÃO)</v>
      </c>
      <c r="F129" s="56" t="str">
        <f t="shared" ref="F129:F192" si="11">UPPER(C129)</f>
        <v>M2</v>
      </c>
      <c r="G129">
        <f t="shared" si="7"/>
        <v>535.37</v>
      </c>
      <c r="H129">
        <f t="shared" si="8"/>
        <v>401.78</v>
      </c>
      <c r="I129">
        <f t="shared" si="9"/>
        <v>401.78</v>
      </c>
    </row>
    <row r="130" spans="1:9" ht="72">
      <c r="A130" s="372">
        <v>20805</v>
      </c>
      <c r="B130" s="241" t="s">
        <v>1142</v>
      </c>
      <c r="C130" s="221" t="s">
        <v>115</v>
      </c>
      <c r="D130" s="241">
        <v>12750.67</v>
      </c>
      <c r="E130" s="56" t="str">
        <f t="shared" si="10"/>
        <v>UNIDADE DE SANITÁRIO E VESTIÁRIO PARA ATÉ 20 FUNC. ÁREA 18.15M2, PAREDES DE CHAPA COMPENS. 12MM E PONTALETE 8X8CM, PISO CIMENTADO, COBERT. TELHA FIBROC. 6MM, INCL. INST. DE LUZ E CX. DE INSPEÇÃO, CONF. PROJETO (2 UTILIZAÇÕES)</v>
      </c>
      <c r="F130" s="56" t="str">
        <f t="shared" si="11"/>
        <v>UND</v>
      </c>
      <c r="G130">
        <f t="shared" si="7"/>
        <v>16990.27</v>
      </c>
      <c r="H130">
        <f t="shared" si="8"/>
        <v>12750.67</v>
      </c>
      <c r="I130">
        <f t="shared" si="9"/>
        <v>12750.67</v>
      </c>
    </row>
    <row r="131" spans="1:9" ht="72">
      <c r="A131" s="372">
        <v>20806</v>
      </c>
      <c r="B131" s="241" t="s">
        <v>1143</v>
      </c>
      <c r="C131" s="221" t="s">
        <v>115</v>
      </c>
      <c r="D131" s="241">
        <v>19188.38</v>
      </c>
      <c r="E131" s="56" t="str">
        <f t="shared" si="10"/>
        <v>UNIDADE DE SANITÁRIO E VESTIÁRIO DE 20 A 40 FUNC. ÁREA 25.40M2, PAREDES DE CHAPA COMPENS. 12MM E PONTALETE 8X8CM, PISO CIMENTADO, COBERT. TELHA FIBROC. 6MM, INCL. INST. DE LUZ E CX. DE INSPEÇÃO, CONF. PROJETO (2 UTILIZAÇÕES)</v>
      </c>
      <c r="F131" s="56" t="str">
        <f t="shared" si="11"/>
        <v>UND</v>
      </c>
      <c r="G131">
        <f t="shared" si="7"/>
        <v>25568.52</v>
      </c>
      <c r="H131">
        <f t="shared" si="8"/>
        <v>19188.38</v>
      </c>
      <c r="I131">
        <f t="shared" si="9"/>
        <v>19188.38</v>
      </c>
    </row>
    <row r="132" spans="1:9" ht="72">
      <c r="A132" s="372">
        <v>20807</v>
      </c>
      <c r="B132" s="241" t="s">
        <v>1144</v>
      </c>
      <c r="C132" s="221" t="s">
        <v>115</v>
      </c>
      <c r="D132" s="241">
        <v>23863.64</v>
      </c>
      <c r="E132" s="56" t="str">
        <f t="shared" si="10"/>
        <v>UNIDADE DE SANITÁRIO E VESTIÁRIO DE 40 A 60 FUNC. ÁREA 33.90M2, PAREDES DE CHAPA COMPENS. 12MM E PONTALETE 8X8CM, PISO CIMENTADO, COBERT. TELHA FIBROC. 6MM, INCL. INST. DE LUZ E CX. DE INSPEÇÃO, CONF. PROJETO (2 UTILIZAÇÕES)</v>
      </c>
      <c r="F132" s="56" t="str">
        <f t="shared" si="11"/>
        <v>UND</v>
      </c>
      <c r="G132">
        <f>ROUND(H132*(1+$G$1),2)</f>
        <v>31798.3</v>
      </c>
      <c r="H132">
        <f t="shared" si="8"/>
        <v>23863.64</v>
      </c>
      <c r="I132">
        <f t="shared" si="9"/>
        <v>23863.64</v>
      </c>
    </row>
    <row r="133" spans="1:9" ht="86.4">
      <c r="A133" s="372">
        <v>20808</v>
      </c>
      <c r="B133" s="241" t="s">
        <v>1145</v>
      </c>
      <c r="C133" s="221" t="s">
        <v>110</v>
      </c>
      <c r="D133" s="241">
        <v>152.16999999999999</v>
      </c>
      <c r="E133" s="56" t="str">
        <f t="shared" si="10"/>
        <v>GALPÃO PARA SERRARIA E CARPINTARIA ÁREA 12.00M2, EM PEÇAS DE MADEIRA 8X8CM E CONTRAVENTAMENTO DE 5X7CM, COBERTURA DE TELHAS DE FIBROC. DE 6MM, INCLUSIVE PONTO E CABO DE ALIMENTAÇÃO DA MÁQUINA, CONF. PROJETO (2 UTILIZAÇÕES)</v>
      </c>
      <c r="F133" s="56" t="str">
        <f t="shared" si="11"/>
        <v>M2</v>
      </c>
      <c r="G133">
        <f>ROUND(H133*(1+$G$1),2)</f>
        <v>202.77</v>
      </c>
      <c r="H133">
        <f t="shared" si="8"/>
        <v>152.16999999999999</v>
      </c>
      <c r="I133">
        <f t="shared" si="9"/>
        <v>152.16999999999999</v>
      </c>
    </row>
    <row r="134" spans="1:9" ht="86.4">
      <c r="A134" s="372">
        <v>20809</v>
      </c>
      <c r="B134" s="241" t="s">
        <v>1146</v>
      </c>
      <c r="C134" s="221" t="s">
        <v>110</v>
      </c>
      <c r="D134" s="241">
        <v>211.3</v>
      </c>
      <c r="E134" s="56" t="str">
        <f t="shared" si="10"/>
        <v>GALPÃO PARA CORTE E ARMAÇÃO COM ÁREA DE 6.00M2, DE PEÇAS DE MADEIRA 8X8CM E CONTRAVENTAMENTO DE 5X7CM, COBERTURA DE TELHAS DE FIBROC. DE 6MM, INCLUSIVE PONTO E CABO DE ALIMENTAÇÃO DA MÁQUINA, CONF. PROJETO (2 UTILIZAÇÕES)</v>
      </c>
      <c r="F134" s="56" t="str">
        <f t="shared" si="11"/>
        <v>M2</v>
      </c>
      <c r="G134">
        <f>ROUND(H134*(1+$G$1),2)</f>
        <v>281.56</v>
      </c>
      <c r="H134">
        <f t="shared" si="8"/>
        <v>211.3</v>
      </c>
      <c r="I134">
        <f t="shared" si="9"/>
        <v>211.3</v>
      </c>
    </row>
    <row r="135" spans="1:9" ht="57.6">
      <c r="A135" s="372">
        <v>20810</v>
      </c>
      <c r="B135" s="241" t="s">
        <v>1793</v>
      </c>
      <c r="C135" s="221" t="s">
        <v>115</v>
      </c>
      <c r="D135" s="241">
        <v>1125.3499999999999</v>
      </c>
      <c r="E135" s="56" t="str">
        <f t="shared" si="10"/>
        <v>RESERVATÓRIO DE POLIESTILENO DE 500 L, INCL. SUPORTE EM MADEIRA DE 7X12CM E 5X7CM, ELEVADO DE 4M, CONFORME PROJETO (2 UTILIZAÇÕES)</v>
      </c>
      <c r="F135" s="56" t="str">
        <f t="shared" si="11"/>
        <v>UND</v>
      </c>
      <c r="G135">
        <f t="shared" si="7"/>
        <v>1499.53</v>
      </c>
      <c r="H135">
        <f t="shared" si="8"/>
        <v>1125.3499999999999</v>
      </c>
      <c r="I135">
        <f t="shared" si="9"/>
        <v>1125.3499999999999</v>
      </c>
    </row>
    <row r="136" spans="1:9" ht="57.6">
      <c r="A136" s="371">
        <v>20811</v>
      </c>
      <c r="B136" s="240" t="s">
        <v>1794</v>
      </c>
      <c r="C136" s="221" t="s">
        <v>115</v>
      </c>
      <c r="D136" s="241">
        <v>1309.3800000000001</v>
      </c>
      <c r="E136" s="56" t="str">
        <f t="shared" si="10"/>
        <v>RESERVATÓRIO DE POLIESTILENO DE 1000 L, INCLUSIVE SUPORTE EM MADEIRA DE 7X12CM E 5X7CM, ELEVADO DE 4M, CONFORME PROJETO (2 UTILIZAÇÕES)</v>
      </c>
      <c r="F136" s="56" t="str">
        <f t="shared" si="11"/>
        <v>UND</v>
      </c>
      <c r="G136">
        <f t="shared" ref="G136:G199" si="12">ROUND(H136*(1+$G$1),2)</f>
        <v>1744.75</v>
      </c>
      <c r="H136">
        <f t="shared" ref="H136:H199" si="13">I136</f>
        <v>1309.3800000000001</v>
      </c>
      <c r="I136">
        <f t="shared" ref="I136:I199" si="14">ROUND(D136/(1+$E$1),2)</f>
        <v>1309.3800000000001</v>
      </c>
    </row>
    <row r="137" spans="1:9" ht="72">
      <c r="A137" s="520">
        <v>20812</v>
      </c>
      <c r="B137" s="241" t="s">
        <v>15724</v>
      </c>
      <c r="C137" s="221" t="s">
        <v>112</v>
      </c>
      <c r="D137" s="241">
        <v>39.71</v>
      </c>
      <c r="E137" s="56" t="str">
        <f t="shared" si="10"/>
        <v>REDE DE ÁGUA, COM PADRÃO DE ENTRADA DÁGUA DIÂM. 3/4", CONF. ESPEC. CESAN, INCL. TUBOS E CONEXÕES PARA ALIMENTAÇÃO, DISTRIBUIÇÃO, EXTRAVASOR E LIMPEZA, CONS. O PADRÃO A 25M, CONF. PROJETO (2 UTILIZAÇÕES)</v>
      </c>
      <c r="F137" s="56" t="str">
        <f t="shared" si="11"/>
        <v>M</v>
      </c>
      <c r="G137">
        <f t="shared" si="12"/>
        <v>52.91</v>
      </c>
      <c r="H137">
        <f t="shared" si="13"/>
        <v>39.71</v>
      </c>
      <c r="I137">
        <f t="shared" si="14"/>
        <v>39.71</v>
      </c>
    </row>
    <row r="138" spans="1:9">
      <c r="A138" s="372">
        <v>3</v>
      </c>
      <c r="B138" s="241" t="s">
        <v>36</v>
      </c>
      <c r="C138" s="221"/>
      <c r="D138" s="241"/>
      <c r="E138" s="56" t="str">
        <f t="shared" si="10"/>
        <v>MOVIMENTO DE TERRA</v>
      </c>
      <c r="F138" s="56" t="str">
        <f t="shared" si="11"/>
        <v/>
      </c>
      <c r="G138">
        <f t="shared" si="12"/>
        <v>0</v>
      </c>
      <c r="H138">
        <f t="shared" si="13"/>
        <v>0</v>
      </c>
      <c r="I138">
        <f t="shared" si="14"/>
        <v>0</v>
      </c>
    </row>
    <row r="139" spans="1:9">
      <c r="A139" s="372">
        <v>301</v>
      </c>
      <c r="B139" s="241" t="s">
        <v>1147</v>
      </c>
      <c r="C139" s="221"/>
      <c r="D139" s="241"/>
      <c r="E139" s="56" t="str">
        <f t="shared" si="10"/>
        <v>ESCAVAÇÕES</v>
      </c>
      <c r="F139" s="56" t="str">
        <f t="shared" si="11"/>
        <v/>
      </c>
      <c r="G139">
        <f t="shared" si="12"/>
        <v>0</v>
      </c>
      <c r="H139">
        <f t="shared" si="13"/>
        <v>0</v>
      </c>
      <c r="I139">
        <f t="shared" si="14"/>
        <v>0</v>
      </c>
    </row>
    <row r="140" spans="1:9" ht="28.8">
      <c r="A140" s="371">
        <v>30101</v>
      </c>
      <c r="B140" s="240" t="s">
        <v>1148</v>
      </c>
      <c r="C140" s="221" t="s">
        <v>1061</v>
      </c>
      <c r="D140" s="241">
        <v>63.96</v>
      </c>
      <c r="E140" s="56" t="str">
        <f t="shared" si="10"/>
        <v>ESCAVAÇÃO MANUAL EM MATERIAL DE 1A. CATEGORIA, ATÉ 1.50 M DE PROFUNDIDADE</v>
      </c>
      <c r="F140" s="56" t="str">
        <f t="shared" si="11"/>
        <v>M3</v>
      </c>
      <c r="G140">
        <f t="shared" si="12"/>
        <v>85.23</v>
      </c>
      <c r="H140">
        <f t="shared" si="13"/>
        <v>63.96</v>
      </c>
      <c r="I140">
        <f t="shared" si="14"/>
        <v>63.96</v>
      </c>
    </row>
    <row r="141" spans="1:9" ht="28.8">
      <c r="A141" s="371">
        <v>30102</v>
      </c>
      <c r="B141" s="240" t="s">
        <v>1149</v>
      </c>
      <c r="C141" s="221" t="s">
        <v>1061</v>
      </c>
      <c r="D141" s="241">
        <v>108.24</v>
      </c>
      <c r="E141" s="56" t="str">
        <f t="shared" si="10"/>
        <v>ESCAVAÇÃO MANUAL EM MATERIAL DE 2A. CATEGORIA, ATÉ 1.50 M DE PROFUNDIDADE</v>
      </c>
      <c r="F141" s="56" t="str">
        <f t="shared" si="11"/>
        <v>M3</v>
      </c>
      <c r="G141">
        <f t="shared" si="12"/>
        <v>144.22999999999999</v>
      </c>
      <c r="H141">
        <f t="shared" si="13"/>
        <v>108.24</v>
      </c>
      <c r="I141">
        <f t="shared" si="14"/>
        <v>108.24</v>
      </c>
    </row>
    <row r="142" spans="1:9" ht="28.8">
      <c r="A142" s="372">
        <v>30103</v>
      </c>
      <c r="B142" s="241" t="s">
        <v>1150</v>
      </c>
      <c r="C142" s="221" t="s">
        <v>1061</v>
      </c>
      <c r="D142" s="241">
        <v>16.309999999999999</v>
      </c>
      <c r="E142" s="56" t="str">
        <f t="shared" si="10"/>
        <v>ESCAVAÇÃO MECÂNICA EM MATERIAL DE 1A. CATEGORIA</v>
      </c>
      <c r="F142" s="56" t="str">
        <f t="shared" si="11"/>
        <v>M3</v>
      </c>
      <c r="G142">
        <f t="shared" si="12"/>
        <v>21.73</v>
      </c>
      <c r="H142">
        <f t="shared" si="13"/>
        <v>16.309999999999999</v>
      </c>
      <c r="I142">
        <f t="shared" si="14"/>
        <v>16.309999999999999</v>
      </c>
    </row>
    <row r="143" spans="1:9" ht="28.8">
      <c r="A143" s="520">
        <v>30104</v>
      </c>
      <c r="B143" s="241" t="s">
        <v>1151</v>
      </c>
      <c r="C143" s="221" t="s">
        <v>1061</v>
      </c>
      <c r="D143" s="241">
        <v>22.81</v>
      </c>
      <c r="E143" s="56" t="str">
        <f t="shared" si="10"/>
        <v>ESCAVAÇÃO MECÂNICA EM MATERIAL DE 2A. CATEGORIA</v>
      </c>
      <c r="F143" s="56" t="str">
        <f t="shared" si="11"/>
        <v>M3</v>
      </c>
      <c r="G143">
        <f t="shared" si="12"/>
        <v>30.39</v>
      </c>
      <c r="H143">
        <f t="shared" si="13"/>
        <v>22.81</v>
      </c>
      <c r="I143">
        <f t="shared" si="14"/>
        <v>22.81</v>
      </c>
    </row>
    <row r="144" spans="1:9" ht="28.8">
      <c r="A144" s="372">
        <v>30119</v>
      </c>
      <c r="B144" s="241" t="s">
        <v>1152</v>
      </c>
      <c r="C144" s="221" t="s">
        <v>110</v>
      </c>
      <c r="D144" s="241">
        <v>33.450000000000003</v>
      </c>
      <c r="E144" s="56" t="str">
        <f t="shared" si="10"/>
        <v>APILOAMENTO DO FUNDO DE VALA COM MAÇO DE 30 A 60KG</v>
      </c>
      <c r="F144" s="56" t="str">
        <f t="shared" si="11"/>
        <v>M2</v>
      </c>
      <c r="G144">
        <f t="shared" si="12"/>
        <v>44.57</v>
      </c>
      <c r="H144">
        <f t="shared" si="13"/>
        <v>33.450000000000003</v>
      </c>
      <c r="I144">
        <f t="shared" si="14"/>
        <v>33.450000000000003</v>
      </c>
    </row>
    <row r="145" spans="1:9">
      <c r="A145" s="372">
        <v>302</v>
      </c>
      <c r="B145" s="241" t="s">
        <v>1153</v>
      </c>
      <c r="C145" s="221"/>
      <c r="D145" s="241"/>
      <c r="E145" s="56" t="str">
        <f t="shared" si="10"/>
        <v>REATERRO E COMPACTAÇÃO</v>
      </c>
      <c r="F145" s="56" t="str">
        <f t="shared" si="11"/>
        <v/>
      </c>
      <c r="G145">
        <f t="shared" si="12"/>
        <v>0</v>
      </c>
      <c r="H145">
        <f t="shared" si="13"/>
        <v>0</v>
      </c>
      <c r="I145">
        <f t="shared" si="14"/>
        <v>0</v>
      </c>
    </row>
    <row r="146" spans="1:9" ht="28.8">
      <c r="A146" s="372">
        <v>30201</v>
      </c>
      <c r="B146" s="241" t="s">
        <v>1154</v>
      </c>
      <c r="C146" s="221" t="s">
        <v>1061</v>
      </c>
      <c r="D146" s="241">
        <v>68.88</v>
      </c>
      <c r="E146" s="56" t="str">
        <f t="shared" si="10"/>
        <v>REATERRO APILOADO DE CAVAS DE FUNDAÇÃO, EM CAMADAS DE 20 CM</v>
      </c>
      <c r="F146" s="56" t="str">
        <f t="shared" si="11"/>
        <v>M3</v>
      </c>
      <c r="G146">
        <f t="shared" si="12"/>
        <v>91.78</v>
      </c>
      <c r="H146">
        <f t="shared" si="13"/>
        <v>68.88</v>
      </c>
      <c r="I146">
        <f t="shared" si="14"/>
        <v>68.88</v>
      </c>
    </row>
    <row r="147" spans="1:9" ht="43.2">
      <c r="A147" s="372">
        <v>30202</v>
      </c>
      <c r="B147" s="241" t="s">
        <v>1155</v>
      </c>
      <c r="C147" s="221" t="s">
        <v>1061</v>
      </c>
      <c r="D147" s="241">
        <v>160.04</v>
      </c>
      <c r="E147" s="56" t="str">
        <f t="shared" si="10"/>
        <v>MATERIAL PARA ATERRO - AREIA LIMPA (FORNECIMENTO JÁ CONSIDERADO 15% DE EMPOLAMENTO)</v>
      </c>
      <c r="F147" s="56" t="str">
        <f t="shared" si="11"/>
        <v>M3</v>
      </c>
      <c r="G147">
        <f t="shared" si="12"/>
        <v>213.25</v>
      </c>
      <c r="H147">
        <f t="shared" si="13"/>
        <v>160.04</v>
      </c>
      <c r="I147">
        <f t="shared" si="14"/>
        <v>160.04</v>
      </c>
    </row>
    <row r="148" spans="1:9">
      <c r="A148" s="372">
        <v>30203</v>
      </c>
      <c r="B148" s="241" t="s">
        <v>1156</v>
      </c>
      <c r="C148" s="221" t="s">
        <v>1061</v>
      </c>
      <c r="D148" s="241">
        <v>242.7</v>
      </c>
      <c r="E148" s="56" t="str">
        <f t="shared" si="10"/>
        <v>LASTRO DE BRITA 3 E 4, APILOADO MANUALMENTE</v>
      </c>
      <c r="F148" s="56" t="str">
        <f t="shared" si="11"/>
        <v>M3</v>
      </c>
      <c r="G148">
        <f t="shared" si="12"/>
        <v>323.39999999999998</v>
      </c>
      <c r="H148">
        <f t="shared" si="13"/>
        <v>242.7</v>
      </c>
      <c r="I148">
        <f t="shared" si="14"/>
        <v>242.7</v>
      </c>
    </row>
    <row r="149" spans="1:9">
      <c r="A149" s="372">
        <v>30204</v>
      </c>
      <c r="B149" s="241" t="s">
        <v>1157</v>
      </c>
      <c r="C149" s="221" t="s">
        <v>1061</v>
      </c>
      <c r="D149" s="241">
        <v>228.92</v>
      </c>
      <c r="E149" s="56" t="str">
        <f t="shared" si="10"/>
        <v>LASTRO DE AREIA</v>
      </c>
      <c r="F149" s="56" t="str">
        <f t="shared" si="11"/>
        <v>M3</v>
      </c>
      <c r="G149">
        <f t="shared" si="12"/>
        <v>305.04000000000002</v>
      </c>
      <c r="H149">
        <f t="shared" si="13"/>
        <v>228.92</v>
      </c>
      <c r="I149">
        <f t="shared" si="14"/>
        <v>228.92</v>
      </c>
    </row>
    <row r="150" spans="1:9" ht="57.6">
      <c r="A150" s="372">
        <v>30206</v>
      </c>
      <c r="B150" s="241" t="s">
        <v>1772</v>
      </c>
      <c r="C150" s="221" t="s">
        <v>1061</v>
      </c>
      <c r="D150" s="241">
        <v>206.88</v>
      </c>
      <c r="E150" s="56" t="str">
        <f t="shared" si="10"/>
        <v>ATERRO MANUAL PARA REGULARIZAÇÃO DO TERRENO EM AREIA, INCLUSIVE ADENSAMENTO HIDRÁULICO E FORNECIMENTO DO MATERIAL (MÁXIMO DE 100M3)</v>
      </c>
      <c r="F150" s="56" t="str">
        <f t="shared" si="11"/>
        <v>M3</v>
      </c>
      <c r="G150">
        <f t="shared" si="12"/>
        <v>275.67</v>
      </c>
      <c r="H150">
        <f t="shared" si="13"/>
        <v>206.88</v>
      </c>
      <c r="I150">
        <f t="shared" si="14"/>
        <v>206.88</v>
      </c>
    </row>
    <row r="151" spans="1:9" ht="57.6">
      <c r="A151" s="500">
        <v>30208</v>
      </c>
      <c r="B151" s="241" t="s">
        <v>1773</v>
      </c>
      <c r="C151" s="221" t="s">
        <v>1061</v>
      </c>
      <c r="D151" s="241">
        <v>175.23</v>
      </c>
      <c r="E151" s="56" t="str">
        <f t="shared" si="10"/>
        <v>ATERRO MANUAL PARA REGULARIZAÇÃO DO TERRENO EM ARGILA, INCLUSIVE ADENSAMENTO MANUAL E FORNECIMENTO DO MATERIAL (MÁXIMO DE 100M3)</v>
      </c>
      <c r="F151" s="56" t="str">
        <f t="shared" si="11"/>
        <v>M3</v>
      </c>
      <c r="G151">
        <f t="shared" si="12"/>
        <v>233.49</v>
      </c>
      <c r="H151">
        <f t="shared" si="13"/>
        <v>175.23</v>
      </c>
      <c r="I151">
        <f t="shared" si="14"/>
        <v>175.23</v>
      </c>
    </row>
    <row r="152" spans="1:9" ht="28.8">
      <c r="A152" s="372">
        <v>30209</v>
      </c>
      <c r="B152" s="241" t="s">
        <v>1158</v>
      </c>
      <c r="C152" s="221" t="s">
        <v>1061</v>
      </c>
      <c r="D152" s="241">
        <v>179.6</v>
      </c>
      <c r="E152" s="56" t="str">
        <f t="shared" si="10"/>
        <v>ATERRO COM AREIA EM ÁREAS DE CALÇADA, INCLUSIVE FORNECIMENTO E ADENSAMENTO</v>
      </c>
      <c r="F152" s="56" t="str">
        <f t="shared" si="11"/>
        <v>M3</v>
      </c>
      <c r="G152">
        <f t="shared" si="12"/>
        <v>239.32</v>
      </c>
      <c r="H152">
        <f t="shared" si="13"/>
        <v>179.6</v>
      </c>
      <c r="I152">
        <f t="shared" si="14"/>
        <v>179.6</v>
      </c>
    </row>
    <row r="153" spans="1:9" ht="43.2">
      <c r="A153" s="372">
        <v>30210</v>
      </c>
      <c r="B153" s="241" t="s">
        <v>1159</v>
      </c>
      <c r="C153" s="221" t="s">
        <v>1061</v>
      </c>
      <c r="D153" s="241">
        <v>36.47</v>
      </c>
      <c r="E153" s="56" t="str">
        <f t="shared" si="10"/>
        <v>ATERRO COMPACTADO UTILIZANDO COMPACTADOR DE PLACA VIBRATÓRIA COM REAPROVEITAMENTO DO MATERIAL</v>
      </c>
      <c r="F153" s="56" t="str">
        <f t="shared" si="11"/>
        <v>M3</v>
      </c>
      <c r="G153">
        <f t="shared" si="12"/>
        <v>48.6</v>
      </c>
      <c r="H153">
        <f t="shared" si="13"/>
        <v>36.47</v>
      </c>
      <c r="I153">
        <f t="shared" si="14"/>
        <v>36.47</v>
      </c>
    </row>
    <row r="154" spans="1:9">
      <c r="A154" s="372">
        <v>30211</v>
      </c>
      <c r="B154" s="241" t="s">
        <v>1160</v>
      </c>
      <c r="C154" s="221" t="s">
        <v>1061</v>
      </c>
      <c r="D154" s="241">
        <v>8.85</v>
      </c>
      <c r="E154" s="56" t="str">
        <f t="shared" si="10"/>
        <v>REATERRO DE VALAS, EXCLUSIVE COMPACTAÇÃO</v>
      </c>
      <c r="F154" s="56" t="str">
        <f t="shared" si="11"/>
        <v>M3</v>
      </c>
      <c r="G154">
        <f t="shared" si="12"/>
        <v>11.79</v>
      </c>
      <c r="H154">
        <f t="shared" si="13"/>
        <v>8.85</v>
      </c>
      <c r="I154">
        <f t="shared" si="14"/>
        <v>8.85</v>
      </c>
    </row>
    <row r="155" spans="1:9">
      <c r="A155" s="372">
        <v>303</v>
      </c>
      <c r="B155" s="241" t="s">
        <v>1161</v>
      </c>
      <c r="C155" s="221"/>
      <c r="D155" s="241"/>
      <c r="E155" s="56" t="str">
        <f t="shared" si="10"/>
        <v>TRANSPORTES</v>
      </c>
      <c r="F155" s="56" t="str">
        <f t="shared" si="11"/>
        <v/>
      </c>
      <c r="G155">
        <f t="shared" si="12"/>
        <v>0</v>
      </c>
      <c r="H155">
        <f t="shared" si="13"/>
        <v>0</v>
      </c>
      <c r="I155">
        <f t="shared" si="14"/>
        <v>0</v>
      </c>
    </row>
    <row r="156" spans="1:9" ht="72">
      <c r="A156" s="372">
        <v>30304</v>
      </c>
      <c r="B156" s="241" t="s">
        <v>1162</v>
      </c>
      <c r="C156" s="221" t="s">
        <v>1061</v>
      </c>
      <c r="D156" s="241">
        <v>86.39</v>
      </c>
      <c r="E156" s="56" t="str">
        <f t="shared" si="10"/>
        <v>ÍNDICE DE PREÇO PARA REMOÇÃO DE ENTULHO DECORRENTE DA EXECUÇÃO DE OBRAS (CLASSE A CONAMA - NBR 10.004 - CLASSE II-B), INCLUINDO ALUGUEL DA CAÇAMBA, CARGA, TRANSPORTE E DESCARGA EM ÁREA LICENCIADA</v>
      </c>
      <c r="F156" s="56" t="str">
        <f t="shared" si="11"/>
        <v>M3</v>
      </c>
      <c r="G156">
        <f t="shared" si="12"/>
        <v>115.11</v>
      </c>
      <c r="H156">
        <f t="shared" si="13"/>
        <v>86.39</v>
      </c>
      <c r="I156">
        <f t="shared" si="14"/>
        <v>86.39</v>
      </c>
    </row>
    <row r="157" spans="1:9" ht="57.6">
      <c r="A157" s="372">
        <v>30305</v>
      </c>
      <c r="B157" s="241" t="s">
        <v>1163</v>
      </c>
      <c r="C157" s="221" t="s">
        <v>115</v>
      </c>
      <c r="D157" s="241">
        <v>29.52</v>
      </c>
      <c r="E157" s="56" t="str">
        <f t="shared" si="10"/>
        <v>TRANSPORTE DE MATERIAL ENCOSTA ACIMA, SERVIÇO INTEIRAMENTE MANUAL, A 10M DE DISTÂNCIA, CONSIDERADOS AO LONGO DA ENCOSTA, INCLUSIVE CARGA E DESCARGA (TXDAM)</v>
      </c>
      <c r="F157" s="56" t="str">
        <f t="shared" si="11"/>
        <v>UND</v>
      </c>
      <c r="G157">
        <f t="shared" si="12"/>
        <v>39.340000000000003</v>
      </c>
      <c r="H157">
        <f t="shared" si="13"/>
        <v>29.52</v>
      </c>
      <c r="I157">
        <f t="shared" si="14"/>
        <v>29.52</v>
      </c>
    </row>
    <row r="158" spans="1:9" ht="57.6">
      <c r="A158" s="371">
        <v>30306</v>
      </c>
      <c r="B158" s="240" t="s">
        <v>1164</v>
      </c>
      <c r="C158" s="221" t="s">
        <v>115</v>
      </c>
      <c r="D158" s="241">
        <v>19.68</v>
      </c>
      <c r="E158" s="56" t="str">
        <f t="shared" si="10"/>
        <v>TRANSPORTE DE MATERIAL ENCOSTA ABAIXO, SERVIÇO INTEIRAMENTE MANUAL, A 10M DE DISTÂNCIA, CONSIDERADOS AO LONGO DA ENCOSTA, INCLUSIVE CARGA E DESCARGA (TXDAM)</v>
      </c>
      <c r="F158" s="56" t="str">
        <f t="shared" si="11"/>
        <v>UND</v>
      </c>
      <c r="G158">
        <f t="shared" si="12"/>
        <v>26.22</v>
      </c>
      <c r="H158">
        <f t="shared" si="13"/>
        <v>19.68</v>
      </c>
      <c r="I158">
        <f t="shared" si="14"/>
        <v>19.68</v>
      </c>
    </row>
    <row r="159" spans="1:9">
      <c r="A159" s="372">
        <v>4</v>
      </c>
      <c r="B159" s="241" t="s">
        <v>1165</v>
      </c>
      <c r="C159" s="221"/>
      <c r="D159" s="241"/>
      <c r="E159" s="56" t="str">
        <f t="shared" si="10"/>
        <v>ESTRUTURAS</v>
      </c>
      <c r="F159" s="56" t="str">
        <f t="shared" si="11"/>
        <v/>
      </c>
      <c r="G159">
        <f t="shared" si="12"/>
        <v>0</v>
      </c>
      <c r="H159">
        <f t="shared" si="13"/>
        <v>0</v>
      </c>
      <c r="I159">
        <f t="shared" si="14"/>
        <v>0</v>
      </c>
    </row>
    <row r="160" spans="1:9">
      <c r="A160" s="372">
        <v>402</v>
      </c>
      <c r="B160" s="241" t="s">
        <v>1166</v>
      </c>
      <c r="C160" s="221"/>
      <c r="D160" s="241"/>
      <c r="E160" s="56" t="str">
        <f t="shared" si="10"/>
        <v>INFRA-ESTRUTURA (FUNDAÇÃO)</v>
      </c>
      <c r="F160" s="56" t="str">
        <f t="shared" si="11"/>
        <v/>
      </c>
      <c r="G160">
        <f t="shared" si="12"/>
        <v>0</v>
      </c>
      <c r="H160">
        <f t="shared" si="13"/>
        <v>0</v>
      </c>
      <c r="I160">
        <f t="shared" si="14"/>
        <v>0</v>
      </c>
    </row>
    <row r="161" spans="1:9" ht="43.2">
      <c r="A161" s="372">
        <v>40202</v>
      </c>
      <c r="B161" s="241" t="s">
        <v>1167</v>
      </c>
      <c r="C161" s="221" t="s">
        <v>1061</v>
      </c>
      <c r="D161" s="241">
        <v>731.67</v>
      </c>
      <c r="E161" s="56" t="str">
        <f t="shared" si="10"/>
        <v>FORNECIMENTO, PREPARO E APLICAÇÃO DE CONCRETO CICLÓPICO FCK=15MPA COM 30% DE PEDRA DE MÃO</v>
      </c>
      <c r="F161" s="56" t="str">
        <f t="shared" si="11"/>
        <v>M3</v>
      </c>
      <c r="G161">
        <f t="shared" si="12"/>
        <v>974.95</v>
      </c>
      <c r="H161">
        <f t="shared" si="13"/>
        <v>731.67</v>
      </c>
      <c r="I161">
        <f t="shared" si="14"/>
        <v>731.67</v>
      </c>
    </row>
    <row r="162" spans="1:9" ht="57.6">
      <c r="A162" s="372">
        <v>40206</v>
      </c>
      <c r="B162" s="241" t="s">
        <v>1168</v>
      </c>
      <c r="C162" s="221" t="s">
        <v>110</v>
      </c>
      <c r="D162" s="241">
        <v>86.7</v>
      </c>
      <c r="E162" s="56" t="str">
        <f t="shared" si="10"/>
        <v>FÔRMA DE TÁBUA DE MADEIRA DE 2.5 X 30.0 CM PARA FUNDAÇÕES, LEVANDO-SE EM CONTA A UTILIZAÇÃO 5 VEZES (INCLUIDO O MATERIAL, CORTE, MONTAGEM, ESCORAMENTO E DESFORMA)</v>
      </c>
      <c r="F162" s="56" t="str">
        <f t="shared" si="11"/>
        <v>M2</v>
      </c>
      <c r="G162">
        <f t="shared" si="12"/>
        <v>115.53</v>
      </c>
      <c r="H162">
        <f t="shared" si="13"/>
        <v>86.7</v>
      </c>
      <c r="I162">
        <f t="shared" si="14"/>
        <v>86.7</v>
      </c>
    </row>
    <row r="163" spans="1:9" ht="43.2">
      <c r="A163" s="372">
        <v>40224</v>
      </c>
      <c r="B163" s="241" t="s">
        <v>1169</v>
      </c>
      <c r="C163" s="221" t="s">
        <v>1061</v>
      </c>
      <c r="D163" s="241">
        <v>794.47</v>
      </c>
      <c r="E163" s="56" t="str">
        <f t="shared" si="10"/>
        <v>FORNECIMENTO, PREPARO E APLICAÇÃO DE CONCRETO FCK = 30 MPA (COM BRITA 1 E 2) - (5% DE PERDAS JÁ INCLUÍDO NO CUSTO)</v>
      </c>
      <c r="F163" s="56" t="str">
        <f t="shared" si="11"/>
        <v>M3</v>
      </c>
      <c r="G163">
        <f t="shared" si="12"/>
        <v>1058.6300000000001</v>
      </c>
      <c r="H163">
        <f t="shared" si="13"/>
        <v>794.47</v>
      </c>
      <c r="I163">
        <f t="shared" si="14"/>
        <v>794.47</v>
      </c>
    </row>
    <row r="164" spans="1:9" ht="57.6">
      <c r="A164" s="372">
        <v>40231</v>
      </c>
      <c r="B164" s="241" t="s">
        <v>1170</v>
      </c>
      <c r="C164" s="221" t="s">
        <v>1061</v>
      </c>
      <c r="D164" s="241">
        <v>702.81</v>
      </c>
      <c r="E164" s="56" t="str">
        <f t="shared" si="10"/>
        <v>FORNECIMENTO, PREPARO E APLICAÇÃO DE CONCRETO MAGRO COM CONSUMO MÍNIMO DE CIMENTO DE 250 KG/M3 (BRITA 1 E 2) - (5% DE PERDAS JÁ INCLUÍDO NO CUSTO)</v>
      </c>
      <c r="F164" s="56" t="str">
        <f t="shared" si="11"/>
        <v>M3</v>
      </c>
      <c r="G164">
        <f t="shared" si="12"/>
        <v>936.49</v>
      </c>
      <c r="H164">
        <f t="shared" si="13"/>
        <v>702.81</v>
      </c>
      <c r="I164">
        <f t="shared" si="14"/>
        <v>702.81</v>
      </c>
    </row>
    <row r="165" spans="1:9" ht="43.2">
      <c r="A165" s="372">
        <v>40233</v>
      </c>
      <c r="B165" s="241" t="s">
        <v>1171</v>
      </c>
      <c r="C165" s="221" t="s">
        <v>1061</v>
      </c>
      <c r="D165" s="241">
        <v>725.67</v>
      </c>
      <c r="E165" s="56" t="str">
        <f t="shared" si="10"/>
        <v>FORNECIMENTO, PREPARO E APLICAÇÃO DE CONCRETO FCK=15 MPA (BRITA 1 E 2) - (5% DE PERDAS JÁ INCLUÍDO NO CUSTO)</v>
      </c>
      <c r="F165" s="56" t="str">
        <f t="shared" si="11"/>
        <v>M3</v>
      </c>
      <c r="G165">
        <f t="shared" si="12"/>
        <v>966.96</v>
      </c>
      <c r="H165">
        <f t="shared" si="13"/>
        <v>725.67</v>
      </c>
      <c r="I165">
        <f t="shared" si="14"/>
        <v>725.67</v>
      </c>
    </row>
    <row r="166" spans="1:9" ht="43.2">
      <c r="A166" s="500">
        <v>40235</v>
      </c>
      <c r="B166" s="241" t="s">
        <v>1172</v>
      </c>
      <c r="C166" s="221" t="s">
        <v>1061</v>
      </c>
      <c r="D166" s="241">
        <v>747.91</v>
      </c>
      <c r="E166" s="56" t="str">
        <f t="shared" si="10"/>
        <v>FORNECIMENTO, PREPARO E APLICAÇÃO DE CONCRETO FCK=20 MPA (BRITA 1 E 2) - (5% DE PERDAS JÁ INCLUÍDO NO CUSTO)</v>
      </c>
      <c r="F166" s="56" t="str">
        <f t="shared" si="11"/>
        <v>M3</v>
      </c>
      <c r="G166">
        <f t="shared" si="12"/>
        <v>996.59</v>
      </c>
      <c r="H166">
        <f t="shared" si="13"/>
        <v>747.91</v>
      </c>
      <c r="I166">
        <f t="shared" si="14"/>
        <v>747.91</v>
      </c>
    </row>
    <row r="167" spans="1:9" ht="43.2">
      <c r="A167" s="372">
        <v>40237</v>
      </c>
      <c r="B167" s="241" t="s">
        <v>1173</v>
      </c>
      <c r="C167" s="221" t="s">
        <v>1061</v>
      </c>
      <c r="D167" s="241">
        <v>772.18</v>
      </c>
      <c r="E167" s="56" t="str">
        <f t="shared" si="10"/>
        <v>FORNECIMENTO, PREPARO E APLICAÇÃO DE CONCRETO FCK=25 MPA (BRITA 1 E 2) - (5% DE PERDAS JÁ INCLUÍDO NO CUSTO)</v>
      </c>
      <c r="F167" s="56" t="str">
        <f t="shared" si="11"/>
        <v>M3</v>
      </c>
      <c r="G167">
        <f t="shared" si="12"/>
        <v>1028.93</v>
      </c>
      <c r="H167">
        <f t="shared" si="13"/>
        <v>772.18</v>
      </c>
      <c r="I167">
        <f t="shared" si="14"/>
        <v>772.18</v>
      </c>
    </row>
    <row r="168" spans="1:9" ht="57.6">
      <c r="A168" s="372">
        <v>40238</v>
      </c>
      <c r="B168" s="241" t="s">
        <v>1174</v>
      </c>
      <c r="C168" s="221" t="s">
        <v>110</v>
      </c>
      <c r="D168" s="241">
        <v>89.67</v>
      </c>
      <c r="E168" s="56" t="str">
        <f t="shared" si="10"/>
        <v>FÔRMA DE CHAPA COMPENSADA RESINADA 12MM, LEVANDO-SE EM CONTA A UTILIZAÇÃO 3 VEZES (INCLUIDO O MATERIAL, CORTE, MONTAGEM, ESCORAMENTO E DESFÔRMA)</v>
      </c>
      <c r="F168" s="56" t="str">
        <f t="shared" si="11"/>
        <v>M2</v>
      </c>
      <c r="G168">
        <f t="shared" si="12"/>
        <v>119.49</v>
      </c>
      <c r="H168">
        <f t="shared" si="13"/>
        <v>89.67</v>
      </c>
      <c r="I168">
        <f t="shared" si="14"/>
        <v>89.67</v>
      </c>
    </row>
    <row r="169" spans="1:9" ht="57.6">
      <c r="A169" s="372">
        <v>40239</v>
      </c>
      <c r="B169" s="241" t="s">
        <v>1175</v>
      </c>
      <c r="C169" s="221" t="s">
        <v>1061</v>
      </c>
      <c r="D169" s="241">
        <v>711.59</v>
      </c>
      <c r="E169" s="56" t="str">
        <f t="shared" si="10"/>
        <v>FORNECIMENTO E APLICAÇÃO DE CONCRETO USINADO FCK=20 MPA - CONSIDERANDO LANÇAMENTO MANUAL PARA INFRA-ESTRUTURA (5% DE PERDAS JÁ INCLUÍDO NO CUSTO)</v>
      </c>
      <c r="F169" s="56" t="str">
        <f t="shared" si="11"/>
        <v>M3</v>
      </c>
      <c r="G169">
        <f t="shared" si="12"/>
        <v>948.19</v>
      </c>
      <c r="H169">
        <f t="shared" si="13"/>
        <v>711.59</v>
      </c>
      <c r="I169">
        <f t="shared" si="14"/>
        <v>711.59</v>
      </c>
    </row>
    <row r="170" spans="1:9" ht="57.6">
      <c r="A170" s="372">
        <v>40240</v>
      </c>
      <c r="B170" s="241" t="s">
        <v>1176</v>
      </c>
      <c r="C170" s="221" t="s">
        <v>1061</v>
      </c>
      <c r="D170" s="241">
        <v>736.09</v>
      </c>
      <c r="E170" s="56" t="str">
        <f t="shared" si="10"/>
        <v>FORNECIMENTO E APLICAÇÃO DE CONCRETO USINADO FCK=25 MPA - CONSIDERANDO LANÇAMENTO MANUAL PARA INFRA-ESTRUTURA (5% DE PERDAS JÁ INCLUÍDO NO CUSTO)</v>
      </c>
      <c r="F170" s="56" t="str">
        <f t="shared" si="11"/>
        <v>M3</v>
      </c>
      <c r="G170">
        <f t="shared" si="12"/>
        <v>980.84</v>
      </c>
      <c r="H170">
        <f t="shared" si="13"/>
        <v>736.09</v>
      </c>
      <c r="I170">
        <f t="shared" si="14"/>
        <v>736.09</v>
      </c>
    </row>
    <row r="171" spans="1:9" ht="43.2">
      <c r="A171" s="371">
        <v>40243</v>
      </c>
      <c r="B171" s="240" t="s">
        <v>1177</v>
      </c>
      <c r="C171" s="221" t="s">
        <v>1178</v>
      </c>
      <c r="D171" s="241">
        <v>11.57</v>
      </c>
      <c r="E171" s="56" t="str">
        <f t="shared" si="10"/>
        <v>FORNECIMENTO, DOBRAGEM E COLOCAÇÃO EM FÔRMA, DE ARMADURA CA-50 A MÉDIA, DIÂMETRO DE 6.3 A 10.0 MM</v>
      </c>
      <c r="F171" s="56" t="str">
        <f t="shared" si="11"/>
        <v>KG</v>
      </c>
      <c r="G171">
        <f t="shared" si="12"/>
        <v>15.42</v>
      </c>
      <c r="H171">
        <f t="shared" si="13"/>
        <v>11.57</v>
      </c>
      <c r="I171">
        <f t="shared" si="14"/>
        <v>11.57</v>
      </c>
    </row>
    <row r="172" spans="1:9" ht="43.2">
      <c r="A172" s="372">
        <v>40245</v>
      </c>
      <c r="B172" s="241" t="s">
        <v>1179</v>
      </c>
      <c r="C172" s="221" t="s">
        <v>1178</v>
      </c>
      <c r="D172" s="241">
        <v>12.34</v>
      </c>
      <c r="E172" s="56" t="str">
        <f t="shared" si="10"/>
        <v>FORNECIMENTO, DOBRAGEM E COLOCAÇÃO EM FÔRMA, DE ARMADURA CA-50 A GROSSA DIÂMETRO DE 12.5 A 25.0 MM (1/2 A 1")</v>
      </c>
      <c r="F172" s="56" t="str">
        <f t="shared" si="11"/>
        <v>KG</v>
      </c>
      <c r="G172">
        <f t="shared" si="12"/>
        <v>16.440000000000001</v>
      </c>
      <c r="H172">
        <f t="shared" si="13"/>
        <v>12.34</v>
      </c>
      <c r="I172">
        <f t="shared" si="14"/>
        <v>12.34</v>
      </c>
    </row>
    <row r="173" spans="1:9" ht="43.2">
      <c r="A173" s="371">
        <v>40246</v>
      </c>
      <c r="B173" s="240" t="s">
        <v>1180</v>
      </c>
      <c r="C173" s="221" t="s">
        <v>1178</v>
      </c>
      <c r="D173" s="241">
        <v>12.28</v>
      </c>
      <c r="E173" s="56" t="str">
        <f t="shared" si="10"/>
        <v>FORNECIMENTO, DOBRAGEM E COLOCAÇÃO EM FÔRMA, DE ARMADURA CA-60 B FINA, DIÂMETRO DE 4.0 A 7.0MM</v>
      </c>
      <c r="F173" s="56" t="str">
        <f t="shared" si="11"/>
        <v>KG</v>
      </c>
      <c r="G173">
        <f t="shared" si="12"/>
        <v>16.36</v>
      </c>
      <c r="H173">
        <f t="shared" si="13"/>
        <v>12.28</v>
      </c>
      <c r="I173">
        <f t="shared" si="14"/>
        <v>12.28</v>
      </c>
    </row>
    <row r="174" spans="1:9" ht="57.6">
      <c r="A174" s="372">
        <v>40249</v>
      </c>
      <c r="B174" s="241" t="s">
        <v>1181</v>
      </c>
      <c r="C174" s="221" t="s">
        <v>110</v>
      </c>
      <c r="D174" s="241">
        <v>125.19</v>
      </c>
      <c r="E174" s="56" t="str">
        <f t="shared" si="10"/>
        <v>FÔRMA DE TÁBUA DE MADEIRA DE 2.5X30.0CM, LEVANDO-SE EM CONTA UTILIZAÇÃO 1 VEZ (INCLUINDO O MATERIAL, CORTE, MONTAGEM, ESCORAMENTO E DESFORMA)</v>
      </c>
      <c r="F174" s="56" t="str">
        <f t="shared" si="11"/>
        <v>M2</v>
      </c>
      <c r="G174">
        <f t="shared" si="12"/>
        <v>166.82</v>
      </c>
      <c r="H174">
        <f t="shared" si="13"/>
        <v>125.19</v>
      </c>
      <c r="I174">
        <f t="shared" si="14"/>
        <v>125.19</v>
      </c>
    </row>
    <row r="175" spans="1:9" ht="57.6">
      <c r="A175" s="372">
        <v>40250</v>
      </c>
      <c r="B175" s="241" t="s">
        <v>1182</v>
      </c>
      <c r="C175" s="221" t="s">
        <v>110</v>
      </c>
      <c r="D175" s="241">
        <v>100.61</v>
      </c>
      <c r="E175" s="56" t="str">
        <f t="shared" si="10"/>
        <v>FÔRMA DE TÁBUA DE MADEIRA DE 2.5X30.0CM, LEVANDO-SE EM CONTA UTILIZAÇÃO 3 VEZES (INCLUINDO O MATERIAL, CORTE, MONTAGEM, ESCORAMENTO E DESFORMA)</v>
      </c>
      <c r="F175" s="56" t="str">
        <f t="shared" si="11"/>
        <v>M2</v>
      </c>
      <c r="G175">
        <f t="shared" si="12"/>
        <v>134.06</v>
      </c>
      <c r="H175">
        <f t="shared" si="13"/>
        <v>100.61</v>
      </c>
      <c r="I175">
        <f t="shared" si="14"/>
        <v>100.61</v>
      </c>
    </row>
    <row r="176" spans="1:9" ht="57.6">
      <c r="A176" s="371">
        <v>40253</v>
      </c>
      <c r="B176" s="240" t="s">
        <v>1183</v>
      </c>
      <c r="C176" s="221" t="s">
        <v>1061</v>
      </c>
      <c r="D176" s="241">
        <v>754.99</v>
      </c>
      <c r="E176" s="56" t="str">
        <f t="shared" si="10"/>
        <v>FORNECIMENTO E APLICAÇÃO DE CONCRETO USINADO FCK=30 MPA - CONSIDERANDO LANÇAMENTO MANUAL PARA INFRA-ESTRUTURA (5% DE PERDAS JÁ INCLUÍDO NO CUSTO)</v>
      </c>
      <c r="F176" s="56" t="str">
        <f t="shared" si="11"/>
        <v>M3</v>
      </c>
      <c r="G176">
        <f t="shared" si="12"/>
        <v>1006.02</v>
      </c>
      <c r="H176">
        <f t="shared" si="13"/>
        <v>754.99</v>
      </c>
      <c r="I176">
        <f t="shared" si="14"/>
        <v>754.99</v>
      </c>
    </row>
    <row r="177" spans="1:9">
      <c r="A177" s="372">
        <v>403</v>
      </c>
      <c r="B177" s="241" t="s">
        <v>1184</v>
      </c>
      <c r="C177" s="221"/>
      <c r="D177" s="241"/>
      <c r="E177" s="56" t="str">
        <f t="shared" si="10"/>
        <v>SUPER-ESTRUTURA</v>
      </c>
      <c r="F177" s="56" t="str">
        <f t="shared" si="11"/>
        <v/>
      </c>
      <c r="G177">
        <f t="shared" si="12"/>
        <v>0</v>
      </c>
      <c r="H177">
        <f t="shared" si="13"/>
        <v>0</v>
      </c>
      <c r="I177">
        <f t="shared" si="14"/>
        <v>0</v>
      </c>
    </row>
    <row r="178" spans="1:9" ht="43.2">
      <c r="A178" s="371">
        <v>40315</v>
      </c>
      <c r="B178" s="240" t="s">
        <v>1169</v>
      </c>
      <c r="C178" s="221" t="s">
        <v>1061</v>
      </c>
      <c r="D178" s="241">
        <v>917.79</v>
      </c>
      <c r="E178" s="56" t="str">
        <f t="shared" si="10"/>
        <v>FORNECIMENTO, PREPARO E APLICAÇÃO DE CONCRETO FCK = 30 MPA (COM BRITA 1 E 2) - (5% DE PERDAS JÁ INCLUÍDO NO CUSTO)</v>
      </c>
      <c r="F178" s="56" t="str">
        <f t="shared" si="11"/>
        <v>M3</v>
      </c>
      <c r="G178">
        <f t="shared" si="12"/>
        <v>1222.96</v>
      </c>
      <c r="H178">
        <f t="shared" si="13"/>
        <v>917.79</v>
      </c>
      <c r="I178">
        <f t="shared" si="14"/>
        <v>917.79</v>
      </c>
    </row>
    <row r="179" spans="1:9" ht="43.2">
      <c r="A179" s="372">
        <v>40320</v>
      </c>
      <c r="B179" s="241" t="s">
        <v>1171</v>
      </c>
      <c r="C179" s="221" t="s">
        <v>1061</v>
      </c>
      <c r="D179" s="594">
        <v>848.99</v>
      </c>
      <c r="E179" s="56" t="str">
        <f t="shared" si="10"/>
        <v>FORNECIMENTO, PREPARO E APLICAÇÃO DE CONCRETO FCK=15 MPA (BRITA 1 E 2) - (5% DE PERDAS JÁ INCLUÍDO NO CUSTO)</v>
      </c>
      <c r="F179" s="56" t="str">
        <f t="shared" si="11"/>
        <v>M3</v>
      </c>
      <c r="G179">
        <f t="shared" si="12"/>
        <v>1131.28</v>
      </c>
      <c r="H179">
        <f t="shared" si="13"/>
        <v>848.99</v>
      </c>
      <c r="I179">
        <f t="shared" si="14"/>
        <v>848.99</v>
      </c>
    </row>
    <row r="180" spans="1:9" ht="43.2">
      <c r="A180" s="372">
        <v>40322</v>
      </c>
      <c r="B180" s="241" t="s">
        <v>1172</v>
      </c>
      <c r="C180" s="221" t="s">
        <v>1061</v>
      </c>
      <c r="D180" s="241">
        <v>871.23</v>
      </c>
      <c r="E180" s="56" t="str">
        <f t="shared" si="10"/>
        <v>FORNECIMENTO, PREPARO E APLICAÇÃO DE CONCRETO FCK=20 MPA (BRITA 1 E 2) - (5% DE PERDAS JÁ INCLUÍDO NO CUSTO)</v>
      </c>
      <c r="F180" s="56" t="str">
        <f t="shared" si="11"/>
        <v>M3</v>
      </c>
      <c r="G180">
        <f t="shared" si="12"/>
        <v>1160.9100000000001</v>
      </c>
      <c r="H180">
        <f t="shared" si="13"/>
        <v>871.23</v>
      </c>
      <c r="I180">
        <f t="shared" si="14"/>
        <v>871.23</v>
      </c>
    </row>
    <row r="181" spans="1:9" ht="43.2">
      <c r="A181" s="372">
        <v>40324</v>
      </c>
      <c r="B181" s="241" t="s">
        <v>1173</v>
      </c>
      <c r="C181" s="221" t="s">
        <v>1061</v>
      </c>
      <c r="D181" s="241">
        <v>895.5</v>
      </c>
      <c r="E181" s="56" t="str">
        <f t="shared" si="10"/>
        <v>FORNECIMENTO, PREPARO E APLICAÇÃO DE CONCRETO FCK=25 MPA (BRITA 1 E 2) - (5% DE PERDAS JÁ INCLUÍDO NO CUSTO)</v>
      </c>
      <c r="F181" s="56" t="str">
        <f t="shared" si="11"/>
        <v>M3</v>
      </c>
      <c r="G181">
        <f t="shared" si="12"/>
        <v>1193.25</v>
      </c>
      <c r="H181">
        <f t="shared" si="13"/>
        <v>895.5</v>
      </c>
      <c r="I181">
        <f t="shared" si="14"/>
        <v>895.5</v>
      </c>
    </row>
    <row r="182" spans="1:9" ht="43.2">
      <c r="A182" s="372">
        <v>40328</v>
      </c>
      <c r="B182" s="241" t="s">
        <v>1177</v>
      </c>
      <c r="C182" s="221" t="s">
        <v>1178</v>
      </c>
      <c r="D182" s="241">
        <v>11.57</v>
      </c>
      <c r="E182" s="56" t="str">
        <f t="shared" si="10"/>
        <v>FORNECIMENTO, DOBRAGEM E COLOCAÇÃO EM FÔRMA, DE ARMADURA CA-50 A MÉDIA, DIÂMETRO DE 6.3 A 10.0 MM</v>
      </c>
      <c r="F182" s="56" t="str">
        <f t="shared" si="11"/>
        <v>KG</v>
      </c>
      <c r="G182">
        <f t="shared" si="12"/>
        <v>15.42</v>
      </c>
      <c r="H182">
        <f t="shared" si="13"/>
        <v>11.57</v>
      </c>
      <c r="I182">
        <f t="shared" si="14"/>
        <v>11.57</v>
      </c>
    </row>
    <row r="183" spans="1:9" ht="57.6">
      <c r="A183" s="372">
        <v>40329</v>
      </c>
      <c r="B183" s="241" t="s">
        <v>1185</v>
      </c>
      <c r="C183" s="221" t="s">
        <v>1061</v>
      </c>
      <c r="D183" s="241">
        <v>635.64</v>
      </c>
      <c r="E183" s="56" t="str">
        <f t="shared" si="10"/>
        <v>FORNECIMENTO E APLICAÇÃO DE CONCRETO USINADO FCK=20 MPA - CONSIDERANDO BOMBEAMENTO (5% DE PERDAS JÁ INCLUÍDO NO CUSTO) (6% DE TAXA P/CONCR.BOMBEAVEL)</v>
      </c>
      <c r="F183" s="56" t="str">
        <f t="shared" si="11"/>
        <v>M3</v>
      </c>
      <c r="G183">
        <f t="shared" si="12"/>
        <v>846.99</v>
      </c>
      <c r="H183">
        <f t="shared" si="13"/>
        <v>635.64</v>
      </c>
      <c r="I183">
        <f t="shared" si="14"/>
        <v>635.64</v>
      </c>
    </row>
    <row r="184" spans="1:9" ht="57.6">
      <c r="A184" s="372">
        <v>40330</v>
      </c>
      <c r="B184" s="241" t="s">
        <v>1186</v>
      </c>
      <c r="C184" s="221" t="s">
        <v>1061</v>
      </c>
      <c r="D184" s="241">
        <v>661.54</v>
      </c>
      <c r="E184" s="56" t="str">
        <f t="shared" si="10"/>
        <v>FORNECIMENTO E APLICAÇÃO DE CONCRETO USINADO FCK=25 MPA - CONSIDERANDO BOMBEAMENTO (5% DE PERDAS JÁ INCLUÍDO NO CUSTO) (6% DE TAXA P/CONCR.BOMBEAVEL)</v>
      </c>
      <c r="F184" s="56" t="str">
        <f t="shared" si="11"/>
        <v>M3</v>
      </c>
      <c r="G184">
        <f t="shared" si="12"/>
        <v>881.5</v>
      </c>
      <c r="H184">
        <f t="shared" si="13"/>
        <v>661.54</v>
      </c>
      <c r="I184">
        <f t="shared" si="14"/>
        <v>661.54</v>
      </c>
    </row>
    <row r="185" spans="1:9" ht="57.6">
      <c r="A185" s="372">
        <v>40331</v>
      </c>
      <c r="B185" s="241" t="s">
        <v>1187</v>
      </c>
      <c r="C185" s="221" t="s">
        <v>1061</v>
      </c>
      <c r="D185" s="241">
        <v>681.52</v>
      </c>
      <c r="E185" s="56" t="str">
        <f t="shared" si="10"/>
        <v>FORNECIMENTO E APLICAÇÃO DE CONCRETO USINADO FCK=30 MPA - CONSIDERANDO BOMBEAMENTO (5% DE PERDAS JÁ INCLUÍDO NO CUSTO) (6% DE TAXA P/ CONCR. BOMBEAVEL)</v>
      </c>
      <c r="F185" s="56" t="str">
        <f t="shared" si="11"/>
        <v>M3</v>
      </c>
      <c r="G185">
        <f t="shared" si="12"/>
        <v>908.13</v>
      </c>
      <c r="H185">
        <f t="shared" si="13"/>
        <v>681.52</v>
      </c>
      <c r="I185">
        <f t="shared" si="14"/>
        <v>681.52</v>
      </c>
    </row>
    <row r="186" spans="1:9" ht="43.2">
      <c r="A186" s="372">
        <v>40332</v>
      </c>
      <c r="B186" s="241" t="s">
        <v>1188</v>
      </c>
      <c r="C186" s="221" t="s">
        <v>1178</v>
      </c>
      <c r="D186" s="594">
        <v>12.34</v>
      </c>
      <c r="E186" s="56" t="str">
        <f t="shared" si="10"/>
        <v>FORNECIMENTO, DOBRAGEM E COLOCAÇÃO EM FÔRMA, DE ARMADURA CA-50 A GROSSA, DIÂMETRO DE 12.5 A 25.0MM</v>
      </c>
      <c r="F186" s="56" t="str">
        <f t="shared" si="11"/>
        <v>KG</v>
      </c>
      <c r="G186">
        <f t="shared" si="12"/>
        <v>16.440000000000001</v>
      </c>
      <c r="H186">
        <f t="shared" si="13"/>
        <v>12.34</v>
      </c>
      <c r="I186">
        <f t="shared" si="14"/>
        <v>12.34</v>
      </c>
    </row>
    <row r="187" spans="1:9" ht="43.2">
      <c r="A187" s="372">
        <v>40333</v>
      </c>
      <c r="B187" s="241" t="s">
        <v>1180</v>
      </c>
      <c r="C187" s="221" t="s">
        <v>1178</v>
      </c>
      <c r="D187" s="241">
        <v>12.28</v>
      </c>
      <c r="E187" s="56" t="str">
        <f t="shared" si="10"/>
        <v>FORNECIMENTO, DOBRAGEM E COLOCAÇÃO EM FÔRMA, DE ARMADURA CA-60 B FINA, DIÂMETRO DE 4.0 A 7.0MM</v>
      </c>
      <c r="F187" s="56" t="str">
        <f t="shared" si="11"/>
        <v>KG</v>
      </c>
      <c r="G187">
        <f t="shared" si="12"/>
        <v>16.36</v>
      </c>
      <c r="H187">
        <f t="shared" si="13"/>
        <v>12.28</v>
      </c>
      <c r="I187">
        <f t="shared" si="14"/>
        <v>12.28</v>
      </c>
    </row>
    <row r="188" spans="1:9" ht="72">
      <c r="A188" s="372">
        <v>40337</v>
      </c>
      <c r="B188" s="241" t="s">
        <v>1189</v>
      </c>
      <c r="C188" s="221" t="s">
        <v>110</v>
      </c>
      <c r="D188" s="241">
        <v>105.39</v>
      </c>
      <c r="E188" s="56" t="str">
        <f t="shared" si="10"/>
        <v>FÔRMA EM CHAPA DE MADEIRA COMPENSADA PLASTIFICADA 12MM PARA ESTRUTURA EM GERAL, 5 REAPROVEITAMENTOS, REFORÇADA COM SARRAFOS DE MADEIRA 2.5X10CM (INCL MATERIAL, CORTE, MONTAGEM, ESCORAS EM EUCALIPTO E DESFORMA)</v>
      </c>
      <c r="F188" s="56" t="str">
        <f t="shared" si="11"/>
        <v>M2</v>
      </c>
      <c r="G188">
        <f t="shared" si="12"/>
        <v>140.43</v>
      </c>
      <c r="H188">
        <f t="shared" si="13"/>
        <v>105.39</v>
      </c>
      <c r="I188">
        <f t="shared" si="14"/>
        <v>105.39</v>
      </c>
    </row>
    <row r="189" spans="1:9" ht="86.4">
      <c r="A189" s="372">
        <v>40339</v>
      </c>
      <c r="B189" s="241" t="s">
        <v>1190</v>
      </c>
      <c r="C189" s="221" t="s">
        <v>110</v>
      </c>
      <c r="D189" s="594">
        <v>126.48</v>
      </c>
      <c r="E189" s="56" t="str">
        <f t="shared" si="10"/>
        <v>FORMA DE CHAPAS MADEIRA COMPENSADA RESINADA, ESP. 12MM, LEVANDO-SE EM CONTA A UTILIZAÇÃO 3 VEZES, REFORÇADAS COM SARRAFOS DE MADEIRA DE 2.5 X 10.0CM (INCL MATERIAL, CORTE, MONTAGEM, ESCORAS EM EUCALIPTO E DESFORMA)</v>
      </c>
      <c r="F189" s="56" t="str">
        <f t="shared" si="11"/>
        <v>M2</v>
      </c>
      <c r="G189">
        <f t="shared" si="12"/>
        <v>168.53</v>
      </c>
      <c r="H189">
        <f t="shared" si="13"/>
        <v>126.48</v>
      </c>
      <c r="I189">
        <f t="shared" si="14"/>
        <v>126.48</v>
      </c>
    </row>
    <row r="190" spans="1:9">
      <c r="A190" s="372">
        <v>404</v>
      </c>
      <c r="B190" s="241" t="s">
        <v>1191</v>
      </c>
      <c r="C190" s="221"/>
      <c r="D190" s="241"/>
      <c r="E190" s="56" t="str">
        <f t="shared" si="10"/>
        <v>ESTRUTURAS DE CONCRETO APARENTE</v>
      </c>
      <c r="F190" s="56" t="str">
        <f t="shared" si="11"/>
        <v/>
      </c>
      <c r="G190">
        <f t="shared" si="12"/>
        <v>0</v>
      </c>
      <c r="H190">
        <f t="shared" si="13"/>
        <v>0</v>
      </c>
      <c r="I190">
        <f t="shared" si="14"/>
        <v>0</v>
      </c>
    </row>
    <row r="191" spans="1:9" ht="28.8">
      <c r="A191" s="371">
        <v>40405</v>
      </c>
      <c r="B191" s="240" t="s">
        <v>1192</v>
      </c>
      <c r="C191" s="221" t="s">
        <v>110</v>
      </c>
      <c r="D191" s="241">
        <v>115.43</v>
      </c>
      <c r="E191" s="56" t="str">
        <f t="shared" si="10"/>
        <v>FÔRMA COM CHAPA COMPENSADA PLASTIFICADA ESP. 12MM, UTIZAÇÃO 5 VEZES</v>
      </c>
      <c r="F191" s="56" t="str">
        <f t="shared" si="11"/>
        <v>M2</v>
      </c>
      <c r="G191">
        <f t="shared" si="12"/>
        <v>153.81</v>
      </c>
      <c r="H191">
        <f t="shared" si="13"/>
        <v>115.43</v>
      </c>
      <c r="I191">
        <f t="shared" si="14"/>
        <v>115.43</v>
      </c>
    </row>
    <row r="192" spans="1:9">
      <c r="A192" s="372">
        <v>406</v>
      </c>
      <c r="B192" s="241" t="s">
        <v>1193</v>
      </c>
      <c r="C192" s="221"/>
      <c r="D192" s="241"/>
      <c r="E192" s="56" t="str">
        <f t="shared" si="10"/>
        <v>LAJES PRÉ-MOLDADAS</v>
      </c>
      <c r="F192" s="56" t="str">
        <f t="shared" si="11"/>
        <v/>
      </c>
      <c r="G192">
        <f t="shared" si="12"/>
        <v>0</v>
      </c>
      <c r="H192">
        <f t="shared" si="13"/>
        <v>0</v>
      </c>
      <c r="I192">
        <f t="shared" si="14"/>
        <v>0</v>
      </c>
    </row>
    <row r="193" spans="1:9" ht="72">
      <c r="A193" s="372">
        <v>40601</v>
      </c>
      <c r="B193" s="241" t="s">
        <v>27085</v>
      </c>
      <c r="C193" s="221" t="s">
        <v>110</v>
      </c>
      <c r="D193" s="241">
        <v>121.91</v>
      </c>
      <c r="E193" s="56" t="str">
        <f t="shared" ref="E193:E256" si="15">UPPER(B193)</f>
        <v>LAJE PRÉ-FABRICADA TRELIÇADA (H=8CM) PARA FORRO SIMPLES REVESTIDO, VÃO ATÉ 3.5M, CAPEAMENTO 2CM, ELEMENTO DE ENCHIMENTO BLOCO CERÂMICO, ESPESSURA FINAL DA LAJE - 10CM, FCK = 150KG/CM2</v>
      </c>
      <c r="F193" s="56" t="str">
        <f t="shared" ref="F193:F256" si="16">UPPER(C193)</f>
        <v>M2</v>
      </c>
      <c r="G193">
        <f t="shared" si="12"/>
        <v>162.44999999999999</v>
      </c>
      <c r="H193">
        <f t="shared" si="13"/>
        <v>121.91</v>
      </c>
      <c r="I193">
        <f t="shared" si="14"/>
        <v>121.91</v>
      </c>
    </row>
    <row r="194" spans="1:9" ht="72">
      <c r="A194" s="372">
        <v>40602</v>
      </c>
      <c r="B194" s="241" t="s">
        <v>27086</v>
      </c>
      <c r="C194" s="221" t="s">
        <v>110</v>
      </c>
      <c r="D194" s="594">
        <v>144.08000000000001</v>
      </c>
      <c r="E194" s="56" t="str">
        <f t="shared" si="15"/>
        <v>LAJE PRÉ-FABRICADA TRELIÇADA (H=8CM), SOBRECARGA 300 KG/M2, VÃO DE 3.5 A 4.3M, CAPEAMENTO 4CM, ELEMENTO DE ENCHIMENTO EM BLOCO CERÂMICO, ESPESSURA FINAL DA LAJE ? 12CM, FCK = 150 KG/CM2</v>
      </c>
      <c r="F194" s="56" t="str">
        <f t="shared" si="16"/>
        <v>M2</v>
      </c>
      <c r="G194">
        <f t="shared" si="12"/>
        <v>191.99</v>
      </c>
      <c r="H194">
        <f t="shared" si="13"/>
        <v>144.08000000000001</v>
      </c>
      <c r="I194">
        <f t="shared" si="14"/>
        <v>144.08000000000001</v>
      </c>
    </row>
    <row r="195" spans="1:9">
      <c r="A195" s="372">
        <v>407</v>
      </c>
      <c r="B195" s="241" t="s">
        <v>326</v>
      </c>
      <c r="C195" s="221"/>
      <c r="D195" s="594"/>
      <c r="E195" s="56" t="str">
        <f t="shared" si="15"/>
        <v>DIVERSOS</v>
      </c>
      <c r="F195" s="56" t="str">
        <f t="shared" si="16"/>
        <v/>
      </c>
      <c r="G195">
        <f t="shared" si="12"/>
        <v>0</v>
      </c>
      <c r="H195">
        <f t="shared" si="13"/>
        <v>0</v>
      </c>
      <c r="I195">
        <f t="shared" si="14"/>
        <v>0</v>
      </c>
    </row>
    <row r="196" spans="1:9" ht="57.6">
      <c r="A196" s="371">
        <v>40705</v>
      </c>
      <c r="B196" s="240" t="s">
        <v>1194</v>
      </c>
      <c r="C196" s="221" t="s">
        <v>112</v>
      </c>
      <c r="D196" s="241">
        <v>61.23</v>
      </c>
      <c r="E196" s="56" t="str">
        <f t="shared" si="15"/>
        <v>EXECUÇÃO DE JUNTA DE DILATAÇÃO 2 X 2 CM CONSIDERANDO 1CM DE APLICAÇÃO DE ISOPOR E 1CM DE APLICAÇÃO DE MASTIQUE ELÁSTICO DO TIPO SIKAFLEX 1A OU EQUIVALENTE</v>
      </c>
      <c r="F196" s="56" t="str">
        <f t="shared" si="16"/>
        <v>M</v>
      </c>
      <c r="G196">
        <f t="shared" si="12"/>
        <v>81.59</v>
      </c>
      <c r="H196">
        <f t="shared" si="13"/>
        <v>61.23</v>
      </c>
      <c r="I196">
        <f t="shared" si="14"/>
        <v>61.23</v>
      </c>
    </row>
    <row r="197" spans="1:9">
      <c r="A197" s="371">
        <v>408</v>
      </c>
      <c r="B197" s="240" t="s">
        <v>1195</v>
      </c>
      <c r="C197" s="221"/>
      <c r="D197" s="241"/>
      <c r="E197" s="56" t="str">
        <f t="shared" si="15"/>
        <v>RECUPERAÇÃO DE ESTRUTURAS</v>
      </c>
      <c r="F197" s="56" t="str">
        <f t="shared" si="16"/>
        <v/>
      </c>
      <c r="G197">
        <f t="shared" si="12"/>
        <v>0</v>
      </c>
      <c r="H197">
        <f t="shared" si="13"/>
        <v>0</v>
      </c>
      <c r="I197">
        <f t="shared" si="14"/>
        <v>0</v>
      </c>
    </row>
    <row r="198" spans="1:9" ht="57.6">
      <c r="A198" s="372">
        <v>40801</v>
      </c>
      <c r="B198" s="241" t="s">
        <v>30316</v>
      </c>
      <c r="C198" s="221" t="s">
        <v>1061</v>
      </c>
      <c r="D198" s="241">
        <v>3295.65</v>
      </c>
      <c r="E198" s="56" t="str">
        <f t="shared" si="15"/>
        <v>ESCARIFICAÇÃO MANUAL DE CONCRETO, EXCLUSIVE LIMPEZA DO CONCRETO AFETADO POR PROCESSO DE HIDROJATEAMENTO E TRATAMENTO DE ARMADURAS CORROÍDAS</v>
      </c>
      <c r="F198" s="56" t="str">
        <f t="shared" si="16"/>
        <v>M3</v>
      </c>
      <c r="G198">
        <f t="shared" si="12"/>
        <v>4391.45</v>
      </c>
      <c r="H198">
        <f t="shared" si="13"/>
        <v>3295.65</v>
      </c>
      <c r="I198">
        <f t="shared" si="14"/>
        <v>3295.65</v>
      </c>
    </row>
    <row r="199" spans="1:9" ht="72">
      <c r="A199" s="372">
        <v>40802</v>
      </c>
      <c r="B199" s="241" t="s">
        <v>30317</v>
      </c>
      <c r="C199" s="221" t="s">
        <v>110</v>
      </c>
      <c r="D199" s="241">
        <v>164.77</v>
      </c>
      <c r="E199" s="56" t="str">
        <f t="shared" si="15"/>
        <v>ESCARIFICAÇÃO MANUAL DE CONCRETO, COM PROFUNDIDADE MÁXIMA DE 5CM, EXCLUSIVE LIMPEZA DO CONCRETO AFETADO POR PROCESSO DE HIDROJATEAMENTO E TRATAMENTO DE ARMADURAS CORROÍDAS</v>
      </c>
      <c r="F199" s="56" t="str">
        <f t="shared" si="16"/>
        <v>M2</v>
      </c>
      <c r="G199">
        <f t="shared" si="12"/>
        <v>219.56</v>
      </c>
      <c r="H199">
        <f t="shared" si="13"/>
        <v>164.77</v>
      </c>
      <c r="I199">
        <f t="shared" si="14"/>
        <v>164.77</v>
      </c>
    </row>
    <row r="200" spans="1:9" ht="86.4">
      <c r="A200" s="372">
        <v>40806</v>
      </c>
      <c r="B200" s="241" t="s">
        <v>30318</v>
      </c>
      <c r="C200" s="221" t="s">
        <v>110</v>
      </c>
      <c r="D200" s="241">
        <v>29.52</v>
      </c>
      <c r="E200" s="56" t="str">
        <f t="shared" si="15"/>
        <v>TRATAMENTO DE ARMADURAS CORROÍDAS COM LIXAMENTO MANUAL COM ESCOVA DE AÇO, ATÉ A COMPLETA REMOÇÃO DE PARTÍCULAS SOLTAS, MATERIAIS INDESEJÁVEIS E CORROSÃO, EXCLUSIVE APLICAÇÃO DE ARGAMASSA CIMENTÍCIA, POLIMÉRICA COM INIBIDOR DE CORROSÃO</v>
      </c>
      <c r="F200" s="56" t="str">
        <f t="shared" si="16"/>
        <v>M2</v>
      </c>
      <c r="G200">
        <f t="shared" ref="G200:G263" si="17">ROUND(H200*(1+$G$1),2)</f>
        <v>39.340000000000003</v>
      </c>
      <c r="H200">
        <f t="shared" ref="H200:H263" si="18">I200</f>
        <v>29.52</v>
      </c>
      <c r="I200">
        <f t="shared" ref="I200:I263" si="19">ROUND(D200/(1+$E$1),2)</f>
        <v>29.52</v>
      </c>
    </row>
    <row r="201" spans="1:9" ht="43.2">
      <c r="A201" s="371">
        <v>40807</v>
      </c>
      <c r="B201" s="240" t="s">
        <v>30319</v>
      </c>
      <c r="C201" s="221" t="s">
        <v>110</v>
      </c>
      <c r="D201" s="241">
        <v>78.67</v>
      </c>
      <c r="E201" s="56" t="str">
        <f t="shared" si="15"/>
        <v>TRATAMENTO DE ARMADURA COM DUAS DEMÃOS (ESP. 1MM) DE SIKA TOP 108 OU EQUIVALENTE, EXCLUSIVE APLICAÇÃO DE GRAUTE CIMENTÍCIO</v>
      </c>
      <c r="F201" s="56" t="str">
        <f t="shared" si="16"/>
        <v>M2</v>
      </c>
      <c r="G201">
        <f t="shared" si="17"/>
        <v>104.83</v>
      </c>
      <c r="H201">
        <f t="shared" si="18"/>
        <v>78.67</v>
      </c>
      <c r="I201">
        <f t="shared" si="19"/>
        <v>78.67</v>
      </c>
    </row>
    <row r="202" spans="1:9" ht="28.8">
      <c r="A202" s="372">
        <v>40808</v>
      </c>
      <c r="B202" s="241" t="s">
        <v>30320</v>
      </c>
      <c r="C202" s="221" t="s">
        <v>1178</v>
      </c>
      <c r="D202" s="241">
        <v>5.75</v>
      </c>
      <c r="E202" s="56" t="str">
        <f t="shared" si="15"/>
        <v>RETIRADA (CORTE) DE ARMADURA DETERIORADA, SUPERIOR A 20% DO DIÂMETRO ORIGINAL</v>
      </c>
      <c r="F202" s="56" t="str">
        <f t="shared" si="16"/>
        <v>KG</v>
      </c>
      <c r="G202">
        <f t="shared" si="17"/>
        <v>7.66</v>
      </c>
      <c r="H202">
        <f t="shared" si="18"/>
        <v>5.75</v>
      </c>
      <c r="I202">
        <f t="shared" si="19"/>
        <v>5.75</v>
      </c>
    </row>
    <row r="203" spans="1:9" ht="43.2">
      <c r="A203" s="372">
        <v>40809</v>
      </c>
      <c r="B203" s="241" t="s">
        <v>30321</v>
      </c>
      <c r="C203" s="221" t="s">
        <v>110</v>
      </c>
      <c r="D203" s="241">
        <v>408.45</v>
      </c>
      <c r="E203" s="56" t="str">
        <f t="shared" si="15"/>
        <v>RECOMPOSIÇÃO DE CONCRETO ESTRUTURAL, COM UTILIZAÇÃO DE ARGAMASSA DE USO GERAL GRAUTE CIMENTÍCIO, COM PROFUNDIDADE MÁXIMA 5CM</v>
      </c>
      <c r="F203" s="56" t="str">
        <f t="shared" si="16"/>
        <v>M2</v>
      </c>
      <c r="G203">
        <f t="shared" si="17"/>
        <v>544.26</v>
      </c>
      <c r="H203">
        <f t="shared" si="18"/>
        <v>408.45</v>
      </c>
      <c r="I203">
        <f t="shared" si="19"/>
        <v>408.45</v>
      </c>
    </row>
    <row r="204" spans="1:9" ht="43.2">
      <c r="A204" s="372">
        <v>40810</v>
      </c>
      <c r="B204" s="241" t="s">
        <v>30322</v>
      </c>
      <c r="C204" s="221" t="s">
        <v>1061</v>
      </c>
      <c r="D204" s="241">
        <v>7630.31</v>
      </c>
      <c r="E204" s="56" t="str">
        <f t="shared" si="15"/>
        <v>RECOMPOSIÇÃO DE CONCRETO ESTRUTURAL, COM UTILIZAÇÃO DE ARGAMASSA DE USO GERAL GRAUTE CIMENTÍCIO</v>
      </c>
      <c r="F204" s="56" t="str">
        <f t="shared" si="16"/>
        <v>M3</v>
      </c>
      <c r="G204">
        <f t="shared" si="17"/>
        <v>10167.39</v>
      </c>
      <c r="H204">
        <f t="shared" si="18"/>
        <v>7630.31</v>
      </c>
      <c r="I204">
        <f t="shared" si="19"/>
        <v>7630.31</v>
      </c>
    </row>
    <row r="205" spans="1:9" ht="57.6">
      <c r="A205" s="372">
        <v>40813</v>
      </c>
      <c r="B205" s="241" t="s">
        <v>30323</v>
      </c>
      <c r="C205" s="221" t="s">
        <v>110</v>
      </c>
      <c r="D205" s="241">
        <v>73.540000000000006</v>
      </c>
      <c r="E205" s="56" t="str">
        <f t="shared" si="15"/>
        <v>IMPERMEABILIZAÇÃO DE SUPERFÍCIE COM ARGAMASSA IMPEMEABILIZANTE, SEMIFLEXÍVEL BICOMPONENTE, 4 DEMÃOS , SIKA TOP 107, VIAPLUS 1000 OU EQUIVALENTE</v>
      </c>
      <c r="F205" s="56" t="str">
        <f t="shared" si="16"/>
        <v>M2</v>
      </c>
      <c r="G205">
        <f t="shared" si="17"/>
        <v>97.99</v>
      </c>
      <c r="H205">
        <f t="shared" si="18"/>
        <v>73.540000000000006</v>
      </c>
      <c r="I205">
        <f t="shared" si="19"/>
        <v>73.540000000000006</v>
      </c>
    </row>
    <row r="206" spans="1:9" ht="43.2">
      <c r="A206" s="372">
        <v>40816</v>
      </c>
      <c r="B206" s="241" t="s">
        <v>30324</v>
      </c>
      <c r="C206" s="221" t="s">
        <v>110</v>
      </c>
      <c r="D206" s="241">
        <v>43.54</v>
      </c>
      <c r="E206" s="56" t="str">
        <f t="shared" si="15"/>
        <v>APLICAÇÃO DE PRIMER CONVERTEDOR DE FERRUGEM A 2 DEMÃOS, EXCLUSIVE PINTURA DE PROTEÇÃO E ACABAMENTO</v>
      </c>
      <c r="F206" s="56" t="str">
        <f t="shared" si="16"/>
        <v>M2</v>
      </c>
      <c r="G206">
        <f t="shared" si="17"/>
        <v>58.02</v>
      </c>
      <c r="H206">
        <f t="shared" si="18"/>
        <v>43.54</v>
      </c>
      <c r="I206">
        <f t="shared" si="19"/>
        <v>43.54</v>
      </c>
    </row>
    <row r="207" spans="1:9" ht="57.6">
      <c r="A207" s="371">
        <v>40817</v>
      </c>
      <c r="B207" s="240" t="s">
        <v>1196</v>
      </c>
      <c r="C207" s="221" t="s">
        <v>1061</v>
      </c>
      <c r="D207" s="241">
        <v>3461.25</v>
      </c>
      <c r="E207" s="56" t="str">
        <f t="shared" si="15"/>
        <v>FORNECIMENTO E LANÇAMENTO DE CONCRETO PARA GROUTEAMENTO COM ADIÇÃO DE PEDRISCO (50% EM PESO), UTILIZANDO SIKAGROUT OU PRODUTO EQUIVALENTE, EXCLUSIVE FORMA</v>
      </c>
      <c r="F207" s="56" t="str">
        <f t="shared" si="16"/>
        <v>M3</v>
      </c>
      <c r="G207">
        <f t="shared" si="17"/>
        <v>4612.12</v>
      </c>
      <c r="H207">
        <f t="shared" si="18"/>
        <v>3461.25</v>
      </c>
      <c r="I207">
        <f t="shared" si="19"/>
        <v>3461.25</v>
      </c>
    </row>
    <row r="208" spans="1:9" ht="43.2">
      <c r="A208" s="372">
        <v>40818</v>
      </c>
      <c r="B208" s="241" t="s">
        <v>1197</v>
      </c>
      <c r="C208" s="221" t="s">
        <v>110</v>
      </c>
      <c r="D208" s="241">
        <v>58.7</v>
      </c>
      <c r="E208" s="56" t="str">
        <f t="shared" si="15"/>
        <v>REVESTIMENTO EXTERNO COM ARGAMASSA CORRETIVA TIPO SIKA MONOTOP 622 BR OU EQUIVALENTE, ESP. 5MM</v>
      </c>
      <c r="F208" s="56" t="str">
        <f t="shared" si="16"/>
        <v>M2</v>
      </c>
      <c r="G208">
        <f t="shared" si="17"/>
        <v>78.22</v>
      </c>
      <c r="H208">
        <f t="shared" si="18"/>
        <v>58.7</v>
      </c>
      <c r="I208">
        <f t="shared" si="19"/>
        <v>58.7</v>
      </c>
    </row>
    <row r="209" spans="1:9" ht="72">
      <c r="A209" s="372">
        <v>409</v>
      </c>
      <c r="B209" s="241" t="s">
        <v>1198</v>
      </c>
      <c r="C209" s="221"/>
      <c r="D209" s="241"/>
      <c r="E209" s="56" t="str">
        <f t="shared" si="15"/>
        <v>MURO DE ARRIMO (CONC. CICLÓPICO 15MPA C/ 30% DE PEDRA DE MÃO, C/ FORN., PREPARO E APLICAÇÃO DE CONCRETO, FORMA DE TÁBUA PINHO-REAP.5 VEZES, EXCLUSIVE ESCAV. E REATERRO) SEÇÕES TIPICAS NAS SEGUINTES DIMENSÕES:</v>
      </c>
      <c r="F209" s="56" t="str">
        <f t="shared" si="16"/>
        <v/>
      </c>
      <c r="G209">
        <f t="shared" si="17"/>
        <v>0</v>
      </c>
      <c r="H209">
        <f t="shared" si="18"/>
        <v>0</v>
      </c>
      <c r="I209">
        <f t="shared" si="19"/>
        <v>0</v>
      </c>
    </row>
    <row r="210" spans="1:9" ht="158.4">
      <c r="A210" s="371">
        <v>40901</v>
      </c>
      <c r="B210" s="240" t="s">
        <v>30325</v>
      </c>
      <c r="C210" s="221" t="s">
        <v>112</v>
      </c>
      <c r="D210" s="241">
        <v>792.47</v>
      </c>
      <c r="E210" s="56" t="str">
        <f t="shared" si="15"/>
        <v>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DIMENSÕES:B=0.40M; B=0.70M E H=1.00M</v>
      </c>
      <c r="F210" s="56" t="str">
        <f t="shared" si="16"/>
        <v>M</v>
      </c>
      <c r="G210">
        <f t="shared" si="17"/>
        <v>1055.97</v>
      </c>
      <c r="H210">
        <f t="shared" si="18"/>
        <v>792.47</v>
      </c>
      <c r="I210">
        <f t="shared" si="19"/>
        <v>792.47</v>
      </c>
    </row>
    <row r="211" spans="1:9" ht="158.4">
      <c r="A211" s="372">
        <v>40902</v>
      </c>
      <c r="B211" s="241" t="s">
        <v>30326</v>
      </c>
      <c r="C211" s="221" t="s">
        <v>112</v>
      </c>
      <c r="D211" s="241">
        <v>1295.17</v>
      </c>
      <c r="E211" s="56" t="str">
        <f t="shared" si="15"/>
        <v>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 B=0.40M; B=0.90M E H=1,50M</v>
      </c>
      <c r="F211" s="56" t="str">
        <f t="shared" si="16"/>
        <v>M</v>
      </c>
      <c r="G211">
        <f t="shared" si="17"/>
        <v>1725.81</v>
      </c>
      <c r="H211">
        <f t="shared" si="18"/>
        <v>1295.17</v>
      </c>
      <c r="I211">
        <f t="shared" si="19"/>
        <v>1295.17</v>
      </c>
    </row>
    <row r="212" spans="1:9" ht="158.4">
      <c r="A212" s="372">
        <v>40903</v>
      </c>
      <c r="B212" s="241" t="s">
        <v>30327</v>
      </c>
      <c r="C212" s="221" t="s">
        <v>112</v>
      </c>
      <c r="D212" s="241">
        <v>1838.12</v>
      </c>
      <c r="E212" s="56" t="str">
        <f t="shared" si="15"/>
        <v>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 B=0.40M; B=1.05M E H=2.00M</v>
      </c>
      <c r="F212" s="56" t="str">
        <f t="shared" si="16"/>
        <v>M</v>
      </c>
      <c r="G212">
        <f t="shared" si="17"/>
        <v>2449.29</v>
      </c>
      <c r="H212">
        <f t="shared" si="18"/>
        <v>1838.12</v>
      </c>
      <c r="I212">
        <f t="shared" si="19"/>
        <v>1838.12</v>
      </c>
    </row>
    <row r="213" spans="1:9" ht="158.4">
      <c r="A213" s="372">
        <v>40904</v>
      </c>
      <c r="B213" s="241" t="s">
        <v>30328</v>
      </c>
      <c r="C213" s="221" t="s">
        <v>112</v>
      </c>
      <c r="D213" s="241">
        <v>2480.42</v>
      </c>
      <c r="E213" s="56" t="str">
        <f t="shared" si="15"/>
        <v>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 B=0.40M; B=1.23 E H=2.50M</v>
      </c>
      <c r="F213" s="56" t="str">
        <f t="shared" si="16"/>
        <v>M</v>
      </c>
      <c r="G213">
        <f t="shared" si="17"/>
        <v>3305.16</v>
      </c>
      <c r="H213">
        <f t="shared" si="18"/>
        <v>2480.42</v>
      </c>
      <c r="I213">
        <f t="shared" si="19"/>
        <v>2480.42</v>
      </c>
    </row>
    <row r="214" spans="1:9">
      <c r="A214" s="371">
        <v>5</v>
      </c>
      <c r="B214" s="240" t="s">
        <v>1199</v>
      </c>
      <c r="C214" s="221"/>
      <c r="D214" s="241"/>
      <c r="E214" s="56" t="str">
        <f t="shared" si="15"/>
        <v>PAREDES E PAINÉIS</v>
      </c>
      <c r="F214" s="56" t="str">
        <f t="shared" si="16"/>
        <v/>
      </c>
      <c r="G214">
        <f t="shared" si="17"/>
        <v>0</v>
      </c>
      <c r="H214">
        <f t="shared" si="18"/>
        <v>0</v>
      </c>
      <c r="I214">
        <f t="shared" si="19"/>
        <v>0</v>
      </c>
    </row>
    <row r="215" spans="1:9">
      <c r="A215" s="372">
        <v>501</v>
      </c>
      <c r="B215" s="241" t="s">
        <v>45</v>
      </c>
      <c r="C215" s="221"/>
      <c r="D215" s="241"/>
      <c r="E215" s="56" t="str">
        <f t="shared" si="15"/>
        <v>ALVENARIA DE VEDAÇÃO</v>
      </c>
      <c r="F215" s="56" t="str">
        <f t="shared" si="16"/>
        <v/>
      </c>
      <c r="G215">
        <f t="shared" si="17"/>
        <v>0</v>
      </c>
      <c r="H215">
        <f t="shared" si="18"/>
        <v>0</v>
      </c>
      <c r="I215">
        <f t="shared" si="19"/>
        <v>0</v>
      </c>
    </row>
    <row r="216" spans="1:9" ht="72">
      <c r="A216" s="372">
        <v>50112</v>
      </c>
      <c r="B216" s="241" t="s">
        <v>30329</v>
      </c>
      <c r="C216" s="221" t="s">
        <v>110</v>
      </c>
      <c r="D216" s="241">
        <v>182.97</v>
      </c>
      <c r="E216" s="56" t="str">
        <f t="shared" si="15"/>
        <v>ELEMENTO VAZADO DE CONCRETO (COBOGÓ) 40 X 40 X 10 CM, TIPO RETO, ASSENTADOS COM ARGAMASSA DE CIMENTO E AREIA PENEIRADA NO TRAÇO 1:3, ESPESSURA DAS JUNTAS 15 MM, PREPARO MANUAL</v>
      </c>
      <c r="F216" s="56" t="str">
        <f t="shared" si="16"/>
        <v>M2</v>
      </c>
      <c r="G216">
        <f t="shared" si="17"/>
        <v>243.81</v>
      </c>
      <c r="H216">
        <f t="shared" si="18"/>
        <v>182.97</v>
      </c>
      <c r="I216">
        <f t="shared" si="19"/>
        <v>182.97</v>
      </c>
    </row>
    <row r="217" spans="1:9" ht="43.2">
      <c r="A217" s="372">
        <v>50115</v>
      </c>
      <c r="B217" s="241" t="s">
        <v>30330</v>
      </c>
      <c r="C217" s="221" t="s">
        <v>1061</v>
      </c>
      <c r="D217" s="241">
        <v>584.13</v>
      </c>
      <c r="E217" s="56" t="str">
        <f t="shared" si="15"/>
        <v>ALVENARIA DE EMBASAMENTO COM PEDRA DE MÃO (RACHÃO) EMPREGANDO ARGAMASSA DE CIMENTO E AREIA TRAÇO 1:3, PREPARO MANUAL</v>
      </c>
      <c r="F217" s="56" t="str">
        <f t="shared" si="16"/>
        <v>M3</v>
      </c>
      <c r="G217">
        <f t="shared" si="17"/>
        <v>778.35</v>
      </c>
      <c r="H217">
        <f t="shared" si="18"/>
        <v>584.13</v>
      </c>
      <c r="I217">
        <f t="shared" si="19"/>
        <v>584.13</v>
      </c>
    </row>
    <row r="218" spans="1:9" ht="72">
      <c r="A218" s="372">
        <v>50122</v>
      </c>
      <c r="B218" s="241" t="s">
        <v>30331</v>
      </c>
      <c r="C218" s="221" t="s">
        <v>110</v>
      </c>
      <c r="D218" s="241">
        <v>347.43</v>
      </c>
      <c r="E218" s="56" t="str">
        <f t="shared" si="15"/>
        <v>ELEMENTO VAZADO DE CONCRETO (COBOGÓ) 20 X 20 X 10CM, TIPO CRUZETA,ASSENTADOS COM ARGAMASSA DE CIMENTO E AREIA PENEIRADA NO TRAÇO 1:3, ESPESSURA DAS JUNTAS 15 MM, PREPARO MANUAL</v>
      </c>
      <c r="F218" s="56" t="str">
        <f t="shared" si="16"/>
        <v>M2</v>
      </c>
      <c r="G218">
        <f t="shared" si="17"/>
        <v>462.95</v>
      </c>
      <c r="H218">
        <f t="shared" si="18"/>
        <v>347.43</v>
      </c>
      <c r="I218">
        <f t="shared" si="19"/>
        <v>347.43</v>
      </c>
    </row>
    <row r="219" spans="1:9">
      <c r="A219" s="372">
        <v>502</v>
      </c>
      <c r="B219" s="241" t="s">
        <v>1200</v>
      </c>
      <c r="C219" s="221"/>
      <c r="D219" s="241"/>
      <c r="E219" s="56" t="str">
        <f t="shared" si="15"/>
        <v>PLACAS E PAINÉIS DIVISÓRIOS</v>
      </c>
      <c r="F219" s="56" t="str">
        <f t="shared" si="16"/>
        <v/>
      </c>
      <c r="G219">
        <f t="shared" si="17"/>
        <v>0</v>
      </c>
      <c r="H219">
        <f t="shared" si="18"/>
        <v>0</v>
      </c>
      <c r="I219">
        <f t="shared" si="19"/>
        <v>0</v>
      </c>
    </row>
    <row r="220" spans="1:9" ht="43.2">
      <c r="A220" s="372">
        <v>50205</v>
      </c>
      <c r="B220" s="241" t="s">
        <v>30332</v>
      </c>
      <c r="C220" s="221" t="s">
        <v>110</v>
      </c>
      <c r="D220" s="241">
        <v>429.8</v>
      </c>
      <c r="E220" s="56" t="str">
        <f t="shared" si="15"/>
        <v>DIVISÓRIA SANITÁRIA DE GRANITO CINZA ANDORINHA ESP. 3 CM, ASSENTADA COM ARGAMASSA DE CIMENTO E AREIA NO TRAÇO 1:3</v>
      </c>
      <c r="F220" s="56" t="str">
        <f t="shared" si="16"/>
        <v>M2</v>
      </c>
      <c r="G220">
        <f t="shared" si="17"/>
        <v>572.71</v>
      </c>
      <c r="H220">
        <f t="shared" si="18"/>
        <v>429.8</v>
      </c>
      <c r="I220">
        <f t="shared" si="19"/>
        <v>429.8</v>
      </c>
    </row>
    <row r="221" spans="1:9" ht="43.2">
      <c r="A221" s="372">
        <v>50206</v>
      </c>
      <c r="B221" s="241" t="s">
        <v>30333</v>
      </c>
      <c r="C221" s="221" t="s">
        <v>110</v>
      </c>
      <c r="D221" s="241">
        <v>457.98</v>
      </c>
      <c r="E221" s="56" t="str">
        <f t="shared" si="15"/>
        <v>DIVISÓRIA SANITÁRIA DE GRANITO CINZA ANDORINHA ESP. 3 CM, FIXADA COM CANTONEIRA DE FERRO CROMADO</v>
      </c>
      <c r="F221" s="56" t="str">
        <f t="shared" si="16"/>
        <v>M2</v>
      </c>
      <c r="G221">
        <f t="shared" si="17"/>
        <v>610.26</v>
      </c>
      <c r="H221">
        <f t="shared" si="18"/>
        <v>457.98</v>
      </c>
      <c r="I221">
        <f t="shared" si="19"/>
        <v>457.98</v>
      </c>
    </row>
    <row r="222" spans="1:9" ht="72">
      <c r="A222" s="371">
        <v>50208</v>
      </c>
      <c r="B222" s="240" t="s">
        <v>30334</v>
      </c>
      <c r="C222" s="221" t="s">
        <v>110</v>
      </c>
      <c r="D222" s="241">
        <v>160.85</v>
      </c>
      <c r="E222" s="56" t="str">
        <f t="shared" si="15"/>
        <v>ASSENTAMENTO DE DIVISÓRIA SANITÁRIA DE MÁRMORE OU GRANITO COM 3 CM DE ESPESSURA, EMPREGANDO ARGAMASSA DE CIMENTO E AREIA NO TRAÇO 1:3, EXCLUSIVE FORNECIMENTO DA DIVISÓRIA</v>
      </c>
      <c r="F222" s="56" t="str">
        <f t="shared" si="16"/>
        <v>M2</v>
      </c>
      <c r="G222">
        <f t="shared" si="17"/>
        <v>214.33</v>
      </c>
      <c r="H222">
        <f t="shared" si="18"/>
        <v>160.85</v>
      </c>
      <c r="I222">
        <f t="shared" si="19"/>
        <v>160.85</v>
      </c>
    </row>
    <row r="223" spans="1:9" ht="115.2">
      <c r="A223" s="371">
        <v>50212</v>
      </c>
      <c r="B223" s="240" t="s">
        <v>35657</v>
      </c>
      <c r="C223" s="221" t="s">
        <v>110</v>
      </c>
      <c r="D223" s="241">
        <v>136.46</v>
      </c>
      <c r="E223" s="56" t="str">
        <f t="shared" si="15"/>
        <v>FORNECIMENTO E MONTAGEM DE SISTEMA DE DIVISÓRIAS MODULARES TIPO MD-1 (ALTA/PAINEL/PAINEL), ESPESSURA DE 35MM, PAINÉIS EM CHAPA DURAPLAC, PINTURA MELAMÍNICA E PROTEGIDAS POR RESINA DE BRILHO MATE, COR: CINZA, MIOLO EM ESTRUTURA CELULAR (COLMÉIA), ESTRUTURA EM PERFIL DE AÇO NA COR: PRETA</v>
      </c>
      <c r="F223" s="56" t="str">
        <f t="shared" si="16"/>
        <v>M2</v>
      </c>
      <c r="G223">
        <f t="shared" si="17"/>
        <v>181.83</v>
      </c>
      <c r="H223">
        <f t="shared" si="18"/>
        <v>136.46</v>
      </c>
      <c r="I223">
        <f t="shared" si="19"/>
        <v>136.46</v>
      </c>
    </row>
    <row r="224" spans="1:9" ht="115.2">
      <c r="A224" s="372">
        <v>50213</v>
      </c>
      <c r="B224" s="241" t="s">
        <v>35658</v>
      </c>
      <c r="C224" s="221" t="s">
        <v>115</v>
      </c>
      <c r="D224" s="241">
        <v>499.13</v>
      </c>
      <c r="E224" s="56" t="str">
        <f t="shared" si="15"/>
        <v>FORNECIMENTO E MONTAGEM DE PORTA PARA DIVISÓRIAS SEM VISOR, ESPESSURA DE 35MM, PAINÉIS EM CHAPA DURAPLAC, PINTURA MELAMÍNICA E PROTEGIDAS POR RESINA DE BRILHO MATE, COR: CINZA, MIOLO EM ESTRUTURA CELULAR (COLMÉIA), ESTRUTURA EM PERFIS DE AÇO NA COR: PRETA, INCLUSIVE DOBRADIÇA E FECHADURA TUBULAR</v>
      </c>
      <c r="F224" s="56" t="str">
        <f t="shared" si="16"/>
        <v>UND</v>
      </c>
      <c r="G224">
        <f t="shared" si="17"/>
        <v>665.09</v>
      </c>
      <c r="H224">
        <f t="shared" si="18"/>
        <v>499.13</v>
      </c>
      <c r="I224">
        <f t="shared" si="19"/>
        <v>499.13</v>
      </c>
    </row>
    <row r="225" spans="1:9">
      <c r="A225" s="372">
        <v>503</v>
      </c>
      <c r="B225" s="241" t="s">
        <v>1201</v>
      </c>
      <c r="C225" s="221"/>
      <c r="D225" s="241"/>
      <c r="E225" s="56" t="str">
        <f t="shared" si="15"/>
        <v>VERGAS/CONTRAVERGA</v>
      </c>
      <c r="F225" s="56" t="str">
        <f t="shared" si="16"/>
        <v/>
      </c>
      <c r="G225">
        <f t="shared" si="17"/>
        <v>0</v>
      </c>
      <c r="H225">
        <f t="shared" si="18"/>
        <v>0</v>
      </c>
      <c r="I225">
        <f t="shared" si="19"/>
        <v>0</v>
      </c>
    </row>
    <row r="226" spans="1:9" ht="57.6">
      <c r="A226" s="372">
        <v>50301</v>
      </c>
      <c r="B226" s="241" t="s">
        <v>30335</v>
      </c>
      <c r="C226" s="221" t="s">
        <v>112</v>
      </c>
      <c r="D226" s="241">
        <v>42.48</v>
      </c>
      <c r="E226" s="56" t="str">
        <f t="shared" si="15"/>
        <v>VERGA/CONTRAVERGA RETA DE CONCRETO ARMADO MOLDADA IN LOCO 10 X 5 CM, FCK = 15 MPA, INCLUSIVE FORMA, ARMAÇÃO E DESFORMA, COMPRIMENTO INFERIOR A 2.0 METROS</v>
      </c>
      <c r="F226" s="56" t="str">
        <f t="shared" si="16"/>
        <v>M</v>
      </c>
      <c r="G226">
        <f t="shared" si="17"/>
        <v>56.6</v>
      </c>
      <c r="H226">
        <f t="shared" si="18"/>
        <v>42.48</v>
      </c>
      <c r="I226">
        <f t="shared" si="19"/>
        <v>42.48</v>
      </c>
    </row>
    <row r="227" spans="1:9" ht="57.6">
      <c r="A227" s="372">
        <v>50303</v>
      </c>
      <c r="B227" s="241" t="s">
        <v>30336</v>
      </c>
      <c r="C227" s="221" t="s">
        <v>112</v>
      </c>
      <c r="D227" s="241">
        <v>66.03</v>
      </c>
      <c r="E227" s="56" t="str">
        <f t="shared" si="15"/>
        <v>VERGA/CONTRAVERGA CURVA DE CONCRETO ARMADO 10 X 5 CM, FCK = 15 MPA, INCLUSIVE FORMA, ARMAÇÃO E DESFORMA, COMPRIMENTO INFERIOR A 2.0 METROS</v>
      </c>
      <c r="F227" s="56" t="str">
        <f t="shared" si="16"/>
        <v>M</v>
      </c>
      <c r="G227">
        <f t="shared" si="17"/>
        <v>87.98</v>
      </c>
      <c r="H227">
        <f t="shared" si="18"/>
        <v>66.03</v>
      </c>
      <c r="I227">
        <f t="shared" si="19"/>
        <v>66.03</v>
      </c>
    </row>
    <row r="228" spans="1:9">
      <c r="A228" s="372">
        <v>505</v>
      </c>
      <c r="B228" s="241" t="s">
        <v>1202</v>
      </c>
      <c r="C228" s="221"/>
      <c r="D228" s="241"/>
      <c r="E228" s="56" t="str">
        <f t="shared" si="15"/>
        <v>ALVENARIA ESTRUTURAL</v>
      </c>
      <c r="F228" s="56" t="str">
        <f t="shared" si="16"/>
        <v/>
      </c>
      <c r="G228">
        <f t="shared" si="17"/>
        <v>0</v>
      </c>
      <c r="H228">
        <f t="shared" si="18"/>
        <v>0</v>
      </c>
      <c r="I228">
        <f t="shared" si="19"/>
        <v>0</v>
      </c>
    </row>
    <row r="229" spans="1:9" ht="86.4">
      <c r="A229" s="372">
        <v>50501</v>
      </c>
      <c r="B229" s="241" t="s">
        <v>30337</v>
      </c>
      <c r="C229" s="221" t="s">
        <v>110</v>
      </c>
      <c r="D229" s="241">
        <v>140.13999999999999</v>
      </c>
      <c r="E229" s="56" t="str">
        <f t="shared" si="15"/>
        <v>ALVENARIA DE BLOCOS DE CONCRETO ESTRUTURAL 14X19X39CM CHEIOS "CLASSE B", COM RESISTÊNCIA MÍNIMA À COMPRESSÃO 15MPA, ASSENTADOS C/ ARGAMASSA DE CIMENTO E AREIA MÉDIA NO TRAÇO 1:4, PREPARO COM BETONEIRA, ESP. JUNTAS 10MM E ESP. DA PAREDE S/ REVESTIMENTO 14CM</v>
      </c>
      <c r="F229" s="56" t="str">
        <f t="shared" si="16"/>
        <v>M2</v>
      </c>
      <c r="G229">
        <f t="shared" si="17"/>
        <v>186.74</v>
      </c>
      <c r="H229">
        <f t="shared" si="18"/>
        <v>140.13999999999999</v>
      </c>
      <c r="I229">
        <f t="shared" si="19"/>
        <v>140.13999999999999</v>
      </c>
    </row>
    <row r="230" spans="1:9" ht="86.4">
      <c r="A230" s="372">
        <v>50502</v>
      </c>
      <c r="B230" s="241" t="s">
        <v>30338</v>
      </c>
      <c r="C230" s="221" t="s">
        <v>110</v>
      </c>
      <c r="D230" s="241">
        <v>180.4</v>
      </c>
      <c r="E230" s="56" t="str">
        <f t="shared" si="15"/>
        <v>ALVENARIA DE BLOCOS DE CONCRETO ESTRUTURAL 19X19X39CM CHEIOS "CLASSE B", COM RESISTÊNCIA MÍNIMA À COMPRESSÃO 15MPA, ASSENTADOS C/ ARGAMASSA DE CIMENTO E AREIA MÉDIA NO TRAÇO 1:4, PREPARO COM BETONEIRA, ESP. JUNTAS 10MM E ESP. DA PAREDE S/ REVESTIMENTO 19CM</v>
      </c>
      <c r="F230" s="56" t="str">
        <f t="shared" si="16"/>
        <v>M2</v>
      </c>
      <c r="G230">
        <f t="shared" si="17"/>
        <v>240.38</v>
      </c>
      <c r="H230">
        <f t="shared" si="18"/>
        <v>180.4</v>
      </c>
      <c r="I230">
        <f t="shared" si="19"/>
        <v>180.4</v>
      </c>
    </row>
    <row r="231" spans="1:9" ht="86.4">
      <c r="A231" s="372">
        <v>50503</v>
      </c>
      <c r="B231" s="241" t="s">
        <v>30339</v>
      </c>
      <c r="C231" s="221" t="s">
        <v>110</v>
      </c>
      <c r="D231" s="241">
        <v>96.9</v>
      </c>
      <c r="E231" s="56" t="str">
        <f t="shared" si="15"/>
        <v>ALVENARIA DE BLOCOS DE CONCRETO ESTRUTURAL 9X19X39CM CHEIOS "CLASSE B", COM RESISTÊNCIA MÍNIMA À COMPRESSÃO 15MPA, ASSENTADOS C/ ARGAMASSA DE CIMENTO E AREIA MÉDIA NO TRAÇO 1:4, PREPARO COM BETONEIRA, ESP. JUNTAS 10MM E ESP. DA PAREDE S/ REVESTIMENTO 9CM</v>
      </c>
      <c r="F231" s="56" t="str">
        <f t="shared" si="16"/>
        <v>M2</v>
      </c>
      <c r="G231">
        <f t="shared" si="17"/>
        <v>129.12</v>
      </c>
      <c r="H231">
        <f t="shared" si="18"/>
        <v>96.9</v>
      </c>
      <c r="I231">
        <f t="shared" si="19"/>
        <v>96.9</v>
      </c>
    </row>
    <row r="232" spans="1:9" ht="28.8">
      <c r="A232" s="371">
        <v>506</v>
      </c>
      <c r="B232" s="240" t="s">
        <v>1203</v>
      </c>
      <c r="C232" s="221"/>
      <c r="D232" s="241"/>
      <c r="E232" s="56" t="str">
        <f t="shared" si="15"/>
        <v>ALVENARIA DE VEDAÇÃO EMPREGANDO ARGAMASSA DE CIMENTO, CAL E AREIA</v>
      </c>
      <c r="F232" s="56" t="str">
        <f t="shared" si="16"/>
        <v/>
      </c>
      <c r="G232">
        <f t="shared" si="17"/>
        <v>0</v>
      </c>
      <c r="H232">
        <f t="shared" si="18"/>
        <v>0</v>
      </c>
      <c r="I232">
        <f t="shared" si="19"/>
        <v>0</v>
      </c>
    </row>
    <row r="233" spans="1:9" ht="100.8">
      <c r="A233" s="372">
        <v>50601</v>
      </c>
      <c r="B233" s="241" t="s">
        <v>30340</v>
      </c>
      <c r="C233" s="221" t="s">
        <v>110</v>
      </c>
      <c r="D233" s="241">
        <v>75.459999999999994</v>
      </c>
      <c r="E233" s="56" t="str">
        <f t="shared" si="15"/>
        <v>ALVENARIA DE VEDAÇÃO COM BLOCOS DE CONCRETO 9X19X39CM, C/ RESISTÊNCIA MÍNIMO A COMPRESSÃO DE 3 MPA, ASSENTADOS C/ ARGAMASSA DE CIMENTO, CAL HIDRATADA CH1 E AREIA NO TRAÇO 1:0,5:8, PREPARO COM BETONEIRA, ESP. JUNTAS 10MM E ESP. DA PAREDE S/ REVESTIMENTO 9CM</v>
      </c>
      <c r="F233" s="56" t="str">
        <f t="shared" si="16"/>
        <v>M2</v>
      </c>
      <c r="G233">
        <f t="shared" si="17"/>
        <v>100.55</v>
      </c>
      <c r="H233">
        <f t="shared" si="18"/>
        <v>75.459999999999994</v>
      </c>
      <c r="I233">
        <f t="shared" si="19"/>
        <v>75.459999999999994</v>
      </c>
    </row>
    <row r="234" spans="1:9" ht="100.8">
      <c r="A234" s="372">
        <v>50602</v>
      </c>
      <c r="B234" s="241" t="s">
        <v>30341</v>
      </c>
      <c r="C234" s="221" t="s">
        <v>110</v>
      </c>
      <c r="D234" s="241">
        <v>88.02</v>
      </c>
      <c r="E234" s="56" t="str">
        <f t="shared" si="15"/>
        <v>ALVENARIA DE VEDAÇÃO COM BLOCOS DE CONCRETO 14X19X39CM, C/ RESISTÊNCIA MÍNIMO A COMPRESSÃO DE 3 MPA, ASSENTADOS C/ ARGAMASSA DE CIMENTO, CAL HIDRATADA CH1 E AREIA NO TRAÇO 1:0,5:8, PREPARO COM BETONEIRA, ESP. JUNTAS 10MM E ESP. DA PAREDE S/ REVESTIMENTO 14CM</v>
      </c>
      <c r="F234" s="56" t="str">
        <f t="shared" si="16"/>
        <v>M2</v>
      </c>
      <c r="G234">
        <f t="shared" si="17"/>
        <v>117.29</v>
      </c>
      <c r="H234">
        <f t="shared" si="18"/>
        <v>88.02</v>
      </c>
      <c r="I234">
        <f t="shared" si="19"/>
        <v>88.02</v>
      </c>
    </row>
    <row r="235" spans="1:9" ht="100.8">
      <c r="A235" s="372">
        <v>50603</v>
      </c>
      <c r="B235" s="241" t="s">
        <v>30342</v>
      </c>
      <c r="C235" s="221" t="s">
        <v>110</v>
      </c>
      <c r="D235" s="241">
        <v>101.68</v>
      </c>
      <c r="E235" s="56" t="str">
        <f t="shared" si="15"/>
        <v>ALVENARIA DE VEDAÇÃO COM BLOCOS DE CONCRETO 19X19X39CM, C/ RESISTÊNCIA MÍNIMO A COMPRESSÃO DE 3 MPA, ASSENTADOS C/ ARGAMASSA DE CIMENTO, CAL HIDRATADA CH1 E AREIA NO TRAÇO 1:0,5:8, PREPARO COM BETONEIRA, ESP. JUNTAS 10MM E ESP. DA PAREDE S/ REVESTIMENTO 19CM</v>
      </c>
      <c r="F235" s="56" t="str">
        <f t="shared" si="16"/>
        <v>M2</v>
      </c>
      <c r="G235">
        <f t="shared" si="17"/>
        <v>135.49</v>
      </c>
      <c r="H235">
        <f t="shared" si="18"/>
        <v>101.68</v>
      </c>
      <c r="I235">
        <f t="shared" si="19"/>
        <v>101.68</v>
      </c>
    </row>
    <row r="236" spans="1:9" ht="100.8">
      <c r="A236" s="372">
        <v>50605</v>
      </c>
      <c r="B236" s="241" t="s">
        <v>30343</v>
      </c>
      <c r="C236" s="221" t="s">
        <v>110</v>
      </c>
      <c r="D236" s="241">
        <v>67.22</v>
      </c>
      <c r="E236" s="56" t="str">
        <f t="shared" si="15"/>
        <v>ALVENARIA DE VEDAÇÃO COM BLOCOS CERÂMICOS FURADOS 9X19X19CM, ASSENTADOS C/ ARGAMASSA DE CIMENTO, CAL HIDRATADA CH1 E AREIA NO TRAÇO 1:0,5:8, PREPARO COM BETONEIRA, JUNTAS 10MM E ESP. DAS PAREDES S/REVESTIMENTO, 9CM (BLOCO COMPRADO NA PRAÇA DE VITÓRIA, POSTO OBRA)</v>
      </c>
      <c r="F236" s="56" t="str">
        <f t="shared" si="16"/>
        <v>M2</v>
      </c>
      <c r="G236">
        <f t="shared" si="17"/>
        <v>89.57</v>
      </c>
      <c r="H236">
        <f t="shared" si="18"/>
        <v>67.22</v>
      </c>
      <c r="I236">
        <f t="shared" si="19"/>
        <v>67.22</v>
      </c>
    </row>
    <row r="237" spans="1:9" ht="86.4">
      <c r="A237" s="372">
        <v>50606</v>
      </c>
      <c r="B237" s="241" t="s">
        <v>30344</v>
      </c>
      <c r="C237" s="221" t="s">
        <v>110</v>
      </c>
      <c r="D237" s="241">
        <v>50.95</v>
      </c>
      <c r="E237" s="56" t="str">
        <f t="shared" si="15"/>
        <v>ALVENARIA DE VEDAÇÃO COM BLOCOS CERÂMICOS FURADOS 9X19X19CM, ASSENTADOS C/ ARGAMASSA DE CIMENTO, CAL HIDRATADA CH1 E AREIA NO TRAÇO 1:0,5:8, PREPARO COM BETONEIRA, JUNTAS 10MM E ESP. DAS PAREDES S/REVESTIMENTO, 9CM (BLOCO COMPRADO NA FÁBRICA, POSTO OBRA)</v>
      </c>
      <c r="F237" s="56" t="str">
        <f t="shared" si="16"/>
        <v>M2</v>
      </c>
      <c r="G237">
        <f t="shared" si="17"/>
        <v>67.89</v>
      </c>
      <c r="H237">
        <f t="shared" si="18"/>
        <v>50.95</v>
      </c>
      <c r="I237">
        <f t="shared" si="19"/>
        <v>50.95</v>
      </c>
    </row>
    <row r="238" spans="1:9" ht="100.8">
      <c r="A238" s="372">
        <v>50607</v>
      </c>
      <c r="B238" s="241" t="s">
        <v>30345</v>
      </c>
      <c r="C238" s="221" t="s">
        <v>110</v>
      </c>
      <c r="D238" s="241">
        <v>133.81</v>
      </c>
      <c r="E238" s="56" t="str">
        <f t="shared" si="15"/>
        <v>ALVENARIA DE VEDAÇÃO COM BLOCOS CERÂMICOS FURADOS 9X19X19CM, ASSENTADOS C/ ARGAMASSA DE CIMENTO, CAL HIDRATADA CH1 E AREIA NO TRAÇO 1:0,5:8, PREPARO COM BETONEIRA, JUNTAS 10MM E ESP. DAS PAREDES S/REVESTIMENTO, 19CM, BLOCO DEITADO (BLOCO COMPRADO PRAÇA DE VITÓRIA, POSTO OBRA)</v>
      </c>
      <c r="F238" s="56" t="str">
        <f t="shared" si="16"/>
        <v>M2</v>
      </c>
      <c r="G238">
        <f t="shared" si="17"/>
        <v>178.3</v>
      </c>
      <c r="H238">
        <f t="shared" si="18"/>
        <v>133.81</v>
      </c>
      <c r="I238">
        <f t="shared" si="19"/>
        <v>133.81</v>
      </c>
    </row>
    <row r="239" spans="1:9" ht="100.8">
      <c r="A239" s="372">
        <v>50608</v>
      </c>
      <c r="B239" s="241" t="s">
        <v>30346</v>
      </c>
      <c r="C239" s="221" t="s">
        <v>110</v>
      </c>
      <c r="D239" s="241">
        <v>101.26</v>
      </c>
      <c r="E239" s="56" t="str">
        <f t="shared" si="15"/>
        <v>ALVENARIA DE VEDAÇÃO COM BLOCOS CERÂMICOS FURADOS 9X19X19CM, ASSENTADOS C/ ARGAMASSA DE CIMENTO, CAL HIDRATADA CH1 E AREIA NO TRAÇO 1:0,5:8, PREPARO COM BETONEIRA, JUNTAS 10MM E ESP. DAS PAREDES S/REVESTIMENTO, 19CM, BLOCO DEITADO (BLOCO COMPRADO FÁBRICA, POSTO OBRA)</v>
      </c>
      <c r="F239" s="56" t="str">
        <f t="shared" si="16"/>
        <v>M2</v>
      </c>
      <c r="G239">
        <f t="shared" si="17"/>
        <v>134.93</v>
      </c>
      <c r="H239">
        <f t="shared" si="18"/>
        <v>101.26</v>
      </c>
      <c r="I239">
        <f t="shared" si="19"/>
        <v>101.26</v>
      </c>
    </row>
    <row r="240" spans="1:9">
      <c r="A240" s="372">
        <v>6</v>
      </c>
      <c r="B240" s="241" t="s">
        <v>1204</v>
      </c>
      <c r="C240" s="221"/>
      <c r="D240" s="241"/>
      <c r="E240" s="56" t="str">
        <f t="shared" si="15"/>
        <v>ESQUADRIAS DE MADEIRA</v>
      </c>
      <c r="F240" s="56" t="str">
        <f t="shared" si="16"/>
        <v/>
      </c>
      <c r="G240">
        <f t="shared" si="17"/>
        <v>0</v>
      </c>
      <c r="H240">
        <f t="shared" si="18"/>
        <v>0</v>
      </c>
      <c r="I240">
        <f t="shared" si="19"/>
        <v>0</v>
      </c>
    </row>
    <row r="241" spans="1:9">
      <c r="A241" s="371">
        <v>601</v>
      </c>
      <c r="B241" s="240" t="s">
        <v>1205</v>
      </c>
      <c r="C241" s="221"/>
      <c r="D241" s="241"/>
      <c r="E241" s="56" t="str">
        <f t="shared" si="15"/>
        <v>MARCOS E ALIZARES</v>
      </c>
      <c r="F241" s="56" t="str">
        <f t="shared" si="16"/>
        <v/>
      </c>
      <c r="G241">
        <f t="shared" si="17"/>
        <v>0</v>
      </c>
      <c r="H241">
        <f t="shared" si="18"/>
        <v>0</v>
      </c>
      <c r="I241">
        <f t="shared" si="19"/>
        <v>0</v>
      </c>
    </row>
    <row r="242" spans="1:9" ht="43.2">
      <c r="A242" s="372">
        <v>60101</v>
      </c>
      <c r="B242" s="241" t="s">
        <v>27087</v>
      </c>
      <c r="C242" s="221" t="s">
        <v>115</v>
      </c>
      <c r="D242" s="241">
        <v>368.66</v>
      </c>
      <c r="E242" s="56" t="str">
        <f t="shared" si="15"/>
        <v>MARCO EM MADEIRA DE LEI TIPO PEROBA, IPÊ, ANGELIM PEDRA OU EQUIVALENTE, COM 15 X 3CM DE BATENTE, NAS DIMENSÕES: 0,60 X 2,10 M</v>
      </c>
      <c r="F242" s="56" t="str">
        <f t="shared" si="16"/>
        <v>UND</v>
      </c>
      <c r="G242">
        <f t="shared" si="17"/>
        <v>491.24</v>
      </c>
      <c r="H242">
        <f t="shared" si="18"/>
        <v>368.66</v>
      </c>
      <c r="I242">
        <f t="shared" si="19"/>
        <v>368.66</v>
      </c>
    </row>
    <row r="243" spans="1:9" ht="43.2">
      <c r="A243" s="372">
        <v>60102</v>
      </c>
      <c r="B243" s="241" t="s">
        <v>27088</v>
      </c>
      <c r="C243" s="221" t="s">
        <v>115</v>
      </c>
      <c r="D243" s="241">
        <v>368.66</v>
      </c>
      <c r="E243" s="56" t="str">
        <f t="shared" si="15"/>
        <v>MARCO EM MADEIRA DE LEI TIPO PEROBA, IPÊ, ANGELIM PEDRA OU EQUIVALENTE, COM 15 X 3CM DE BATENTE, NAS DIMENSÕES: 0,70 X 2,10 M</v>
      </c>
      <c r="F243" s="56" t="str">
        <f t="shared" si="16"/>
        <v>UND</v>
      </c>
      <c r="G243">
        <f t="shared" si="17"/>
        <v>491.24</v>
      </c>
      <c r="H243">
        <f t="shared" si="18"/>
        <v>368.66</v>
      </c>
      <c r="I243">
        <f t="shared" si="19"/>
        <v>368.66</v>
      </c>
    </row>
    <row r="244" spans="1:9" ht="43.2">
      <c r="A244" s="372">
        <v>60103</v>
      </c>
      <c r="B244" s="241" t="s">
        <v>27089</v>
      </c>
      <c r="C244" s="221" t="s">
        <v>115</v>
      </c>
      <c r="D244" s="241">
        <v>368.66</v>
      </c>
      <c r="E244" s="56" t="str">
        <f t="shared" si="15"/>
        <v>MARCO EM MADEIRA DE LEI TIPO PEROBA, IPÊ, ANGELIM PEDRA OU EQUIVALENTE, COM 15 X 3CM DE BATENTE, NAS DIMENSÕES: 0,80 X 2,10 M</v>
      </c>
      <c r="F244" s="56" t="str">
        <f t="shared" si="16"/>
        <v>UND</v>
      </c>
      <c r="G244">
        <f t="shared" si="17"/>
        <v>491.24</v>
      </c>
      <c r="H244">
        <f t="shared" si="18"/>
        <v>368.66</v>
      </c>
      <c r="I244">
        <f t="shared" si="19"/>
        <v>368.66</v>
      </c>
    </row>
    <row r="245" spans="1:9" ht="28.8">
      <c r="A245" s="372">
        <v>60107</v>
      </c>
      <c r="B245" s="241" t="s">
        <v>27090</v>
      </c>
      <c r="C245" s="221" t="s">
        <v>112</v>
      </c>
      <c r="D245" s="241">
        <v>24.45</v>
      </c>
      <c r="E245" s="56" t="str">
        <f t="shared" si="15"/>
        <v>ALIZAR EM MADEIRA DE LEI TIPO PEROBA, IPÊ, ANGELIM PEDRA OU EQUIVALENTE, COM 5 X 1,5CM</v>
      </c>
      <c r="F245" s="56" t="str">
        <f t="shared" si="16"/>
        <v>M</v>
      </c>
      <c r="G245">
        <f t="shared" si="17"/>
        <v>32.58</v>
      </c>
      <c r="H245">
        <f t="shared" si="18"/>
        <v>24.45</v>
      </c>
      <c r="I245">
        <f t="shared" si="19"/>
        <v>24.45</v>
      </c>
    </row>
    <row r="246" spans="1:9" ht="43.2">
      <c r="A246" s="371">
        <v>60108</v>
      </c>
      <c r="B246" s="240" t="s">
        <v>27091</v>
      </c>
      <c r="C246" s="221" t="s">
        <v>115</v>
      </c>
      <c r="D246" s="241">
        <v>395.84</v>
      </c>
      <c r="E246" s="56" t="str">
        <f t="shared" si="15"/>
        <v>MARCO EM MADEIRA DE LEI TIPO PEROBA, IPÊ, ANGELIM PEDRA OU EQUIVALENTE, COM 15 X 3CM DE BATENTE, NAS DIMENSÕES: 0,90 X 2,10 M</v>
      </c>
      <c r="F246" s="56" t="str">
        <f t="shared" si="16"/>
        <v>UND</v>
      </c>
      <c r="G246">
        <f t="shared" si="17"/>
        <v>527.46</v>
      </c>
      <c r="H246">
        <f t="shared" si="18"/>
        <v>395.84</v>
      </c>
      <c r="I246">
        <f t="shared" si="19"/>
        <v>395.84</v>
      </c>
    </row>
    <row r="247" spans="1:9" ht="43.2">
      <c r="A247" s="372">
        <v>60110</v>
      </c>
      <c r="B247" s="241" t="s">
        <v>27092</v>
      </c>
      <c r="C247" s="221" t="s">
        <v>112</v>
      </c>
      <c r="D247" s="241">
        <v>83.81</v>
      </c>
      <c r="E247" s="56" t="str">
        <f t="shared" si="15"/>
        <v>MARCO EM MADEIRA DE LEI TIPO PEROBA, IPÊ, ANGELIM PEDRA OU EQUIVALENTE, COM 15 X 3CM DE BATENTE</v>
      </c>
      <c r="F247" s="56" t="str">
        <f t="shared" si="16"/>
        <v>M</v>
      </c>
      <c r="G247">
        <f t="shared" si="17"/>
        <v>111.68</v>
      </c>
      <c r="H247">
        <f t="shared" si="18"/>
        <v>83.81</v>
      </c>
      <c r="I247">
        <f t="shared" si="19"/>
        <v>83.81</v>
      </c>
    </row>
    <row r="248" spans="1:9" ht="43.2">
      <c r="A248" s="372">
        <v>60112</v>
      </c>
      <c r="B248" s="241" t="s">
        <v>27093</v>
      </c>
      <c r="C248" s="221" t="s">
        <v>112</v>
      </c>
      <c r="D248" s="241">
        <v>62.58</v>
      </c>
      <c r="E248" s="56" t="str">
        <f t="shared" si="15"/>
        <v>CAIXILHO EM MADEIRA DE LEI TIPO PEROBA, IPÊ, ANGELIM PEDRA OU EQUIVALENTE, COM 9 X 3 CM PARA JANELA</v>
      </c>
      <c r="F248" s="56" t="str">
        <f t="shared" si="16"/>
        <v>M</v>
      </c>
      <c r="G248">
        <f t="shared" si="17"/>
        <v>83.39</v>
      </c>
      <c r="H248">
        <f t="shared" si="18"/>
        <v>62.58</v>
      </c>
      <c r="I248">
        <f t="shared" si="19"/>
        <v>62.58</v>
      </c>
    </row>
    <row r="249" spans="1:9" ht="28.8">
      <c r="A249" s="372">
        <v>60113</v>
      </c>
      <c r="B249" s="241" t="s">
        <v>27094</v>
      </c>
      <c r="C249" s="221" t="s">
        <v>112</v>
      </c>
      <c r="D249" s="241">
        <v>37.89</v>
      </c>
      <c r="E249" s="56" t="str">
        <f t="shared" si="15"/>
        <v>ALIZAR EM MADEIRA DE LEI TIPO PEROBA, IPÊ, ANGELIM PEDRA OU EQUIVALENTE, COM 7 X 1,5 CM</v>
      </c>
      <c r="F249" s="56" t="str">
        <f t="shared" si="16"/>
        <v>M</v>
      </c>
      <c r="G249">
        <f t="shared" si="17"/>
        <v>50.49</v>
      </c>
      <c r="H249">
        <f t="shared" si="18"/>
        <v>37.89</v>
      </c>
      <c r="I249">
        <f t="shared" si="19"/>
        <v>37.89</v>
      </c>
    </row>
    <row r="250" spans="1:9">
      <c r="A250" s="372">
        <v>611</v>
      </c>
      <c r="B250" s="241" t="s">
        <v>1206</v>
      </c>
      <c r="C250" s="221"/>
      <c r="D250" s="241"/>
      <c r="E250" s="56" t="str">
        <f t="shared" si="15"/>
        <v>FERRAGENS</v>
      </c>
      <c r="F250" s="56" t="str">
        <f t="shared" si="16"/>
        <v/>
      </c>
      <c r="G250">
        <f t="shared" si="17"/>
        <v>0</v>
      </c>
      <c r="H250">
        <f t="shared" si="18"/>
        <v>0</v>
      </c>
      <c r="I250">
        <f t="shared" si="19"/>
        <v>0</v>
      </c>
    </row>
    <row r="251" spans="1:9" ht="28.8">
      <c r="A251" s="371">
        <v>61101</v>
      </c>
      <c r="B251" s="240" t="s">
        <v>27095</v>
      </c>
      <c r="C251" s="221" t="s">
        <v>115</v>
      </c>
      <c r="D251" s="241">
        <v>10.8</v>
      </c>
      <c r="E251" s="56" t="str">
        <f t="shared" si="15"/>
        <v>TARJETA FIO REDONDO 3? PARA TRAVAMENTO DE PORTAS - IMAB, STAN, ALIANÇA OU EQUIVALENTE</v>
      </c>
      <c r="F251" s="56" t="str">
        <f t="shared" si="16"/>
        <v>UND</v>
      </c>
      <c r="G251">
        <f t="shared" si="17"/>
        <v>14.39</v>
      </c>
      <c r="H251">
        <f t="shared" si="18"/>
        <v>10.8</v>
      </c>
      <c r="I251">
        <f t="shared" si="19"/>
        <v>10.8</v>
      </c>
    </row>
    <row r="252" spans="1:9" ht="43.2">
      <c r="A252" s="372">
        <v>61102</v>
      </c>
      <c r="B252" s="241" t="s">
        <v>27096</v>
      </c>
      <c r="C252" s="221" t="s">
        <v>115</v>
      </c>
      <c r="D252" s="241">
        <v>139.83000000000001</v>
      </c>
      <c r="E252" s="56" t="str">
        <f t="shared" si="15"/>
        <v>FECHADURA COM MAÇANETA TIPO ALAVANCA E CHAVE TIPO YALE - IMAB, STAN, ALIANÇA OU EQUIVALENTE</v>
      </c>
      <c r="F252" s="56" t="str">
        <f t="shared" si="16"/>
        <v>UND</v>
      </c>
      <c r="G252">
        <f t="shared" si="17"/>
        <v>186.32</v>
      </c>
      <c r="H252">
        <f t="shared" si="18"/>
        <v>139.83000000000001</v>
      </c>
      <c r="I252">
        <f t="shared" si="19"/>
        <v>139.83000000000001</v>
      </c>
    </row>
    <row r="253" spans="1:9" ht="43.2">
      <c r="A253" s="372">
        <v>61103</v>
      </c>
      <c r="B253" s="241" t="s">
        <v>27097</v>
      </c>
      <c r="C253" s="221" t="s">
        <v>115</v>
      </c>
      <c r="D253" s="241">
        <v>327.74</v>
      </c>
      <c r="E253" s="56" t="str">
        <f t="shared" si="15"/>
        <v>FECHADURA COM MAÇANETA TIPO ALAVANCA E CHAVE COMUM PARA PORTA INTERNA - IMAB, STAN, ALIANÇA OU EQUIVALENTE</v>
      </c>
      <c r="F253" s="56" t="str">
        <f t="shared" si="16"/>
        <v>UND</v>
      </c>
      <c r="G253">
        <f t="shared" si="17"/>
        <v>436.71</v>
      </c>
      <c r="H253">
        <f t="shared" si="18"/>
        <v>327.74</v>
      </c>
      <c r="I253">
        <f t="shared" si="19"/>
        <v>327.74</v>
      </c>
    </row>
    <row r="254" spans="1:9" ht="28.8">
      <c r="A254" s="372">
        <v>61104</v>
      </c>
      <c r="B254" s="241" t="s">
        <v>27098</v>
      </c>
      <c r="C254" s="221" t="s">
        <v>115</v>
      </c>
      <c r="D254" s="241">
        <v>92.61</v>
      </c>
      <c r="E254" s="56" t="str">
        <f t="shared" si="15"/>
        <v>TARJETA TIPO LIVRE/OCUPADO - IMAB, STA, ALIANÇA OU EQUIVALENTE</v>
      </c>
      <c r="F254" s="56" t="str">
        <f t="shared" si="16"/>
        <v>UND</v>
      </c>
      <c r="G254">
        <f t="shared" si="17"/>
        <v>123.4</v>
      </c>
      <c r="H254">
        <f t="shared" si="18"/>
        <v>92.61</v>
      </c>
      <c r="I254">
        <f t="shared" si="19"/>
        <v>92.61</v>
      </c>
    </row>
    <row r="255" spans="1:9" ht="43.2">
      <c r="A255" s="371">
        <v>61106</v>
      </c>
      <c r="B255" s="240" t="s">
        <v>27099</v>
      </c>
      <c r="C255" s="221" t="s">
        <v>115</v>
      </c>
      <c r="D255" s="241">
        <v>147.41</v>
      </c>
      <c r="E255" s="56" t="str">
        <f t="shared" si="15"/>
        <v>FECHADURA COM MAÇANETA TIPO BOLA E CHAVE TIPO YALE - IMAB, STAN, ALIANÇA OU EQUIVALENTE</v>
      </c>
      <c r="F255" s="56" t="str">
        <f t="shared" si="16"/>
        <v>UND</v>
      </c>
      <c r="G255">
        <f t="shared" si="17"/>
        <v>196.42</v>
      </c>
      <c r="H255">
        <f t="shared" si="18"/>
        <v>147.41</v>
      </c>
      <c r="I255">
        <f t="shared" si="19"/>
        <v>147.41</v>
      </c>
    </row>
    <row r="256" spans="1:9" ht="43.2">
      <c r="A256" s="372">
        <v>61107</v>
      </c>
      <c r="B256" s="241" t="s">
        <v>27100</v>
      </c>
      <c r="C256" s="221" t="s">
        <v>115</v>
      </c>
      <c r="D256" s="594">
        <v>79.59</v>
      </c>
      <c r="E256" s="56" t="str">
        <f t="shared" si="15"/>
        <v>FECHADURA DE SOBREPOR, TIPO CAIXÃO, COM CHAVE COMUM - IMAB, STAN, ALIANÇA OU EQUIVALENTE</v>
      </c>
      <c r="F256" s="56" t="str">
        <f t="shared" si="16"/>
        <v>UND</v>
      </c>
      <c r="G256">
        <f t="shared" si="17"/>
        <v>106.05</v>
      </c>
      <c r="H256">
        <f t="shared" si="18"/>
        <v>79.59</v>
      </c>
      <c r="I256">
        <f t="shared" si="19"/>
        <v>79.59</v>
      </c>
    </row>
    <row r="257" spans="1:9" ht="43.2">
      <c r="A257" s="372">
        <v>61108</v>
      </c>
      <c r="B257" s="241" t="s">
        <v>27101</v>
      </c>
      <c r="C257" s="221" t="s">
        <v>115</v>
      </c>
      <c r="D257" s="594">
        <v>130.21</v>
      </c>
      <c r="E257" s="56" t="str">
        <f t="shared" ref="E257:E320" si="20">UPPER(B257)</f>
        <v>FECHADURA COM MAÇANETA TIPO ALAVANCA E CHAVE TIPO BANHEIRO - IMAB, STAN, ALIANÇA OU EQUIVALENTE</v>
      </c>
      <c r="F257" s="56" t="str">
        <f t="shared" ref="F257:F320" si="21">UPPER(C257)</f>
        <v>UND</v>
      </c>
      <c r="G257">
        <f t="shared" si="17"/>
        <v>173.5</v>
      </c>
      <c r="H257">
        <f t="shared" si="18"/>
        <v>130.21</v>
      </c>
      <c r="I257">
        <f t="shared" si="19"/>
        <v>130.21</v>
      </c>
    </row>
    <row r="258" spans="1:9" ht="43.2">
      <c r="A258" s="372">
        <v>61112</v>
      </c>
      <c r="B258" s="241" t="s">
        <v>27102</v>
      </c>
      <c r="C258" s="221" t="s">
        <v>115</v>
      </c>
      <c r="D258" s="594">
        <v>68.16</v>
      </c>
      <c r="E258" s="56" t="str">
        <f t="shared" si="20"/>
        <v>DOBRADIÇA DE LATÃO CROMADO DE 3 X 2.1/2?, INCLUSIVE PARAFUSOS - IMAB, STAN, ALIANÇA OU EQUIVALENTE</v>
      </c>
      <c r="F258" s="56" t="str">
        <f t="shared" si="21"/>
        <v>UND</v>
      </c>
      <c r="G258">
        <f t="shared" si="17"/>
        <v>90.82</v>
      </c>
      <c r="H258">
        <f t="shared" si="18"/>
        <v>68.16</v>
      </c>
      <c r="I258">
        <f t="shared" si="19"/>
        <v>68.16</v>
      </c>
    </row>
    <row r="259" spans="1:9" ht="72">
      <c r="A259" s="371">
        <v>613</v>
      </c>
      <c r="B259" s="240" t="s">
        <v>1207</v>
      </c>
      <c r="C259" s="221"/>
      <c r="D259" s="241"/>
      <c r="E259" s="56" t="str">
        <f t="shared" si="20"/>
        <v>PORTA EM MADEIRA DE LEI TIPO ANGELIM PEDRA OU EQUIV.C/ENCHIMENTO EM MADEIRA 1A.QUALIDADE ESP. 30MM P/ PINTURA, INCLUSIVE ALIZARES, DOBRADIÇAS E FECHADURA EXTERNA, EXCLUSIVE MARCO</v>
      </c>
      <c r="F259" s="56" t="str">
        <f t="shared" si="21"/>
        <v/>
      </c>
      <c r="G259">
        <f t="shared" si="17"/>
        <v>0</v>
      </c>
      <c r="H259">
        <f t="shared" si="18"/>
        <v>0</v>
      </c>
      <c r="I259">
        <f t="shared" si="19"/>
        <v>0</v>
      </c>
    </row>
    <row r="260" spans="1:9" ht="100.8">
      <c r="A260" s="372">
        <v>61301</v>
      </c>
      <c r="B260" s="241" t="s">
        <v>27103</v>
      </c>
      <c r="C260" s="221" t="s">
        <v>115</v>
      </c>
      <c r="D260" s="241">
        <v>1012.74</v>
      </c>
      <c r="E260" s="56" t="str">
        <f t="shared" si="20"/>
        <v>PORTA EM MADEIRA DE LEI TIPO ANGELIM PEDRA OU EQUIVALENTE,ESP. 30 A 35MM C/ ENCHIMENTO EM MADEIRA 1A QUALIDADE, TIPO SARRAFEADA PARA PINTURA, INCLUSIVE ALIZARES, DOBRADIÇAS E FECHADURA TIPO ALAVANCA EM LATÃO CROMADO LAFONTE OU EQUIVALENTE, EXCLUSIVE MARCO, NAS DIMENSÕES: 0,60 X 2,10 M</v>
      </c>
      <c r="F260" s="56" t="str">
        <f t="shared" si="21"/>
        <v>UND</v>
      </c>
      <c r="G260">
        <f t="shared" si="17"/>
        <v>1349.48</v>
      </c>
      <c r="H260">
        <f t="shared" si="18"/>
        <v>1012.74</v>
      </c>
      <c r="I260">
        <f t="shared" si="19"/>
        <v>1012.74</v>
      </c>
    </row>
    <row r="261" spans="1:9" ht="100.8">
      <c r="A261" s="372">
        <v>61302</v>
      </c>
      <c r="B261" s="241" t="s">
        <v>27104</v>
      </c>
      <c r="C261" s="221" t="s">
        <v>115</v>
      </c>
      <c r="D261" s="241">
        <v>1020.03</v>
      </c>
      <c r="E261" s="56" t="str">
        <f t="shared" si="20"/>
        <v>PORTA EM MADEIRA DE LEI TIPO ANGELIM PEDRA OU EQUIVALENTE,ESP. 30 A 35MM C/ ENCHIMENTO EM MADEIRA 1A QUALIDADE, TIPO SARRAFEADA PARA PINTURA, INCLUSIVE ALIZARES, DOBRADIÇAS E FECHADURA TIPO ALAVANCA EM LATÃO CROMADO LAFONTE OU EQUIVALENTE, EXCLUSIVE MARCO, NAS DIMENSÕES: 0,70 X 2,10 M</v>
      </c>
      <c r="F261" s="56" t="str">
        <f t="shared" si="21"/>
        <v>UND</v>
      </c>
      <c r="G261">
        <f t="shared" si="17"/>
        <v>1359.19</v>
      </c>
      <c r="H261">
        <f t="shared" si="18"/>
        <v>1020.03</v>
      </c>
      <c r="I261">
        <f t="shared" si="19"/>
        <v>1020.03</v>
      </c>
    </row>
    <row r="262" spans="1:9" ht="100.8">
      <c r="A262" s="372">
        <v>61303</v>
      </c>
      <c r="B262" s="241" t="s">
        <v>27105</v>
      </c>
      <c r="C262" s="221" t="s">
        <v>115</v>
      </c>
      <c r="D262" s="241">
        <v>1027.32</v>
      </c>
      <c r="E262" s="56" t="str">
        <f t="shared" si="20"/>
        <v>PORTA EM MADEIRA DE LEI TIPO ANGELIM PEDRA OU EQUIVALENTE,ESP. 30 A 35MM C/ ENCHIMENTO EM MADEIRA 1A QUALIDADE, TIPO SARRAFEADA PARA PINTURA, INCLUSIVE ALIZARES, DOBRADIÇAS E FECHADURA TIPO ALAVANCA EM LATÃO CROMADO LAFONTE OU EQUIVALENTE, EXCLUSIVE MARCO, NAS DIMENSÕES: 0,80 X 2,10 M</v>
      </c>
      <c r="F262" s="56" t="str">
        <f t="shared" si="21"/>
        <v>UND</v>
      </c>
      <c r="G262">
        <f t="shared" si="17"/>
        <v>1368.9</v>
      </c>
      <c r="H262">
        <f t="shared" si="18"/>
        <v>1027.32</v>
      </c>
      <c r="I262">
        <f t="shared" si="19"/>
        <v>1027.32</v>
      </c>
    </row>
    <row r="263" spans="1:9" ht="100.8">
      <c r="A263" s="372">
        <v>61304</v>
      </c>
      <c r="B263" s="241" t="s">
        <v>27106</v>
      </c>
      <c r="C263" s="221" t="s">
        <v>115</v>
      </c>
      <c r="D263" s="241">
        <v>1067.49</v>
      </c>
      <c r="E263" s="56" t="str">
        <f t="shared" si="20"/>
        <v>PORTA EM MADEIRA DE LEI TIPO ANGELIM PEDRA OU EQUIVALENTE,ESP. 30 A 35MM C/ ENCHIMENTO EM MADEIRA 1A QUALIDADE, TIPO SARRAFEADA PARA PINTURA, INCLUSIVE ALIZARES, DOBRADIÇAS E FECHADURA TIPO ALAVANCA EM LATÃO CROMADO LAFONTE OU EQUIVALENTE, EXCLUSIVE MARCO, NAS DIMENSÕES: 0,90 X 2,10 M</v>
      </c>
      <c r="F263" s="56" t="str">
        <f t="shared" si="21"/>
        <v>UND</v>
      </c>
      <c r="G263">
        <f t="shared" si="17"/>
        <v>1422.43</v>
      </c>
      <c r="H263">
        <f t="shared" si="18"/>
        <v>1067.49</v>
      </c>
      <c r="I263">
        <f t="shared" si="19"/>
        <v>1067.49</v>
      </c>
    </row>
    <row r="264" spans="1:9" ht="72">
      <c r="A264" s="372">
        <v>614</v>
      </c>
      <c r="B264" s="241" t="s">
        <v>1774</v>
      </c>
      <c r="C264" s="221"/>
      <c r="D264" s="241"/>
      <c r="E264" s="56" t="str">
        <f t="shared" si="20"/>
        <v>PORTA EM MADEIRA DE LEI TIPO ANGELIM PEDRA/EQUIV, ESP. 30MM C/ ACAB. LISO P/ PINTURA, INCL. FECHADURA TIPO "LIVRE/OCUPADO" E FERRAGENS P/ FIXAÇÃO EM GRANITO, EXCLUSIVE MARCO</v>
      </c>
      <c r="F264" s="56" t="str">
        <f t="shared" si="21"/>
        <v/>
      </c>
      <c r="G264">
        <f t="shared" ref="G264:G327" si="22">ROUND(H264*(1+$G$1),2)</f>
        <v>0</v>
      </c>
      <c r="H264">
        <f t="shared" ref="H264:H327" si="23">I264</f>
        <v>0</v>
      </c>
      <c r="I264">
        <f t="shared" ref="I264:I327" si="24">ROUND(D264/(1+$E$1),2)</f>
        <v>0</v>
      </c>
    </row>
    <row r="265" spans="1:9" ht="115.2">
      <c r="A265" s="372">
        <v>61401</v>
      </c>
      <c r="B265" s="241" t="s">
        <v>27107</v>
      </c>
      <c r="C265" s="221" t="s">
        <v>115</v>
      </c>
      <c r="D265" s="241">
        <v>1073.5</v>
      </c>
      <c r="E265" s="56" t="str">
        <f t="shared" si="20"/>
        <v>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0,60 X 1,80 M</v>
      </c>
      <c r="F265" s="56" t="str">
        <f t="shared" si="21"/>
        <v>UND</v>
      </c>
      <c r="G265">
        <f t="shared" si="22"/>
        <v>1430.44</v>
      </c>
      <c r="H265">
        <f t="shared" si="23"/>
        <v>1073.5</v>
      </c>
      <c r="I265">
        <f t="shared" si="24"/>
        <v>1073.5</v>
      </c>
    </row>
    <row r="266" spans="1:9" ht="115.2">
      <c r="A266" s="372">
        <v>61402</v>
      </c>
      <c r="B266" s="241" t="s">
        <v>27108</v>
      </c>
      <c r="C266" s="221" t="s">
        <v>115</v>
      </c>
      <c r="D266" s="241">
        <v>1073.5</v>
      </c>
      <c r="E266" s="56" t="str">
        <f t="shared" si="20"/>
        <v>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0,80 X 1,80 M</v>
      </c>
      <c r="F266" s="56" t="str">
        <f t="shared" si="21"/>
        <v>UND</v>
      </c>
      <c r="G266">
        <f t="shared" si="22"/>
        <v>1430.44</v>
      </c>
      <c r="H266">
        <f t="shared" si="23"/>
        <v>1073.5</v>
      </c>
      <c r="I266">
        <f t="shared" si="24"/>
        <v>1073.5</v>
      </c>
    </row>
    <row r="267" spans="1:9" ht="115.2">
      <c r="A267" s="372">
        <v>61403</v>
      </c>
      <c r="B267" s="241" t="s">
        <v>27109</v>
      </c>
      <c r="C267" s="221" t="s">
        <v>115</v>
      </c>
      <c r="D267" s="241">
        <v>1073.5</v>
      </c>
      <c r="E267" s="56" t="str">
        <f t="shared" si="20"/>
        <v>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0,60 X 1,60 M</v>
      </c>
      <c r="F267" s="56" t="str">
        <f t="shared" si="21"/>
        <v>UND</v>
      </c>
      <c r="G267">
        <f t="shared" si="22"/>
        <v>1430.44</v>
      </c>
      <c r="H267">
        <f t="shared" si="23"/>
        <v>1073.5</v>
      </c>
      <c r="I267">
        <f t="shared" si="24"/>
        <v>1073.5</v>
      </c>
    </row>
    <row r="268" spans="1:9" ht="115.2">
      <c r="A268" s="372">
        <v>61404</v>
      </c>
      <c r="B268" s="241" t="s">
        <v>27110</v>
      </c>
      <c r="C268" s="221" t="s">
        <v>115</v>
      </c>
      <c r="D268" s="241">
        <v>1073.5</v>
      </c>
      <c r="E268" s="56" t="str">
        <f t="shared" si="20"/>
        <v>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0,80 X 1,60 M</v>
      </c>
      <c r="F268" s="56" t="str">
        <f t="shared" si="21"/>
        <v>UND</v>
      </c>
      <c r="G268">
        <f t="shared" si="22"/>
        <v>1430.44</v>
      </c>
      <c r="H268">
        <f t="shared" si="23"/>
        <v>1073.5</v>
      </c>
      <c r="I268">
        <f t="shared" si="24"/>
        <v>1073.5</v>
      </c>
    </row>
    <row r="269" spans="1:9" ht="43.2">
      <c r="A269" s="372">
        <v>617</v>
      </c>
      <c r="B269" s="241" t="s">
        <v>1208</v>
      </c>
      <c r="C269" s="221"/>
      <c r="D269" s="241"/>
      <c r="E269" s="56" t="str">
        <f t="shared" si="20"/>
        <v>PORTA EM VENEZIANA, EM MADEIRA DE LEI, ESP. 30MM, INCL. DOBRADIÇAS, EXCLUSIVE ALIZAR, MARCO E FECHADURA</v>
      </c>
      <c r="F269" s="56" t="str">
        <f t="shared" si="21"/>
        <v/>
      </c>
      <c r="G269">
        <f t="shared" si="22"/>
        <v>0</v>
      </c>
      <c r="H269">
        <f t="shared" si="23"/>
        <v>0</v>
      </c>
      <c r="I269">
        <f t="shared" si="24"/>
        <v>0</v>
      </c>
    </row>
    <row r="270" spans="1:9" ht="72">
      <c r="A270" s="371">
        <v>61701</v>
      </c>
      <c r="B270" s="240" t="s">
        <v>27111</v>
      </c>
      <c r="C270" s="221" t="s">
        <v>115</v>
      </c>
      <c r="D270" s="241">
        <v>965.39</v>
      </c>
      <c r="E270" s="56" t="str">
        <f t="shared" si="20"/>
        <v>PORTA EM MADEIRA DE LEI ANGELIM PEDRA OU EQUIVALENTE, ESP. 30 A 35MM, MACIÇA, TIPO VENEZIANA, INCLUSIVE DOBRADIÇAS, EXCLUSIVE ALIZAR, MARCO E FECHADURA, NAS DIMENSÕES: 0,60 X 2,10 M</v>
      </c>
      <c r="F270" s="56" t="str">
        <f t="shared" si="21"/>
        <v>UND</v>
      </c>
      <c r="G270">
        <f t="shared" si="22"/>
        <v>1286.3800000000001</v>
      </c>
      <c r="H270">
        <f t="shared" si="23"/>
        <v>965.39</v>
      </c>
      <c r="I270">
        <f t="shared" si="24"/>
        <v>965.39</v>
      </c>
    </row>
    <row r="271" spans="1:9" ht="72">
      <c r="A271" s="372">
        <v>61702</v>
      </c>
      <c r="B271" s="241" t="s">
        <v>27112</v>
      </c>
      <c r="C271" s="221" t="s">
        <v>115</v>
      </c>
      <c r="D271" s="241">
        <v>1020.14</v>
      </c>
      <c r="E271" s="56" t="str">
        <f t="shared" si="20"/>
        <v>PORTA EM MADEIRA DE LEI ANGELIM PEDRA OU EQUIVALENTE, ESP. 30 A 35MM, MACIÇA, TIPO VENEZIANA, INCLUSIVE DOBRADIÇAS, EXCLUSIVE ALIZAR, MARCO E FECHADURA, NAS DIMENSÕES: 0,70 X 2,10 M</v>
      </c>
      <c r="F271" s="56" t="str">
        <f t="shared" si="21"/>
        <v>UND</v>
      </c>
      <c r="G271">
        <f t="shared" si="22"/>
        <v>1359.34</v>
      </c>
      <c r="H271">
        <f t="shared" si="23"/>
        <v>1020.14</v>
      </c>
      <c r="I271">
        <f t="shared" si="24"/>
        <v>1020.14</v>
      </c>
    </row>
    <row r="272" spans="1:9" ht="72">
      <c r="A272" s="372">
        <v>61703</v>
      </c>
      <c r="B272" s="241" t="s">
        <v>27113</v>
      </c>
      <c r="C272" s="221" t="s">
        <v>115</v>
      </c>
      <c r="D272" s="241">
        <v>1100.6400000000001</v>
      </c>
      <c r="E272" s="56" t="str">
        <f t="shared" si="20"/>
        <v>PORTA EM MADEIRA DE LEI ANGELIM PEDRA OU EQUIVALENTE, ESP. 30 A 35MM, MACIÇA, TIPO VENEZIANA, INCLUSIVE DOBRADIÇAS, EXCLUSIVE ALIZAR, MARCO E FECHADURA, NAS DIMENSÕES: 0,80 X 2,10 M</v>
      </c>
      <c r="F272" s="56" t="str">
        <f t="shared" si="21"/>
        <v>UND</v>
      </c>
      <c r="G272">
        <f t="shared" si="22"/>
        <v>1466.6</v>
      </c>
      <c r="H272">
        <f t="shared" si="23"/>
        <v>1100.6400000000001</v>
      </c>
      <c r="I272">
        <f t="shared" si="24"/>
        <v>1100.6400000000001</v>
      </c>
    </row>
    <row r="273" spans="1:9" ht="100.8">
      <c r="A273" s="371">
        <v>619</v>
      </c>
      <c r="B273" s="240" t="s">
        <v>1209</v>
      </c>
      <c r="C273" s="221"/>
      <c r="D273" s="241"/>
      <c r="E273" s="56" t="str">
        <f t="shared" si="20"/>
        <v>PORTA EM MADEIRA DE LEI TIPO ANGELIM PEDRA OU EQUIV. C/ ENCHIMENTO EM MADEIRA DE 1ª QUALIDADE ESP 30MM, COM VISOR DE VIDRO, INCL. ALIZARES, DOBRADIÇAS E FECHADURAS EXT EM LATÃO CROMADO LAFONTE/EQUIV , EXCL. MARCO, NAS DIMENSÕES:</v>
      </c>
      <c r="F273" s="56" t="str">
        <f t="shared" si="21"/>
        <v/>
      </c>
      <c r="G273">
        <f t="shared" si="22"/>
        <v>0</v>
      </c>
      <c r="H273">
        <f t="shared" si="23"/>
        <v>0</v>
      </c>
      <c r="I273">
        <f t="shared" si="24"/>
        <v>0</v>
      </c>
    </row>
    <row r="274" spans="1:9" ht="100.8">
      <c r="A274" s="372">
        <v>61901</v>
      </c>
      <c r="B274" s="241" t="s">
        <v>27114</v>
      </c>
      <c r="C274" s="221" t="s">
        <v>115</v>
      </c>
      <c r="D274" s="594">
        <v>1195.3599999999999</v>
      </c>
      <c r="E274" s="56" t="str">
        <f t="shared" si="20"/>
        <v>PORTA EM MADEIRA DE LEI ANGELIM PEDRA OU EQUIVALENTE, ESP. 30 A 35MM C/ ENCHIMENTO EM MADEIRA DE 1ª QUALIDADE, TIPO SARRAFEADA COM VISOR 0,40X0,60 M, INCLUSIVE ALIZARES, DOBRADIÇAS E FECHADURAS TIPO ALAVANCA EM LATÃO CROMADO LA FONTE OU EQUIVALENTE, EXCLUSIVE MARCO, NAS DIMENSÕES: 0,70 X 2,10 M</v>
      </c>
      <c r="F274" s="56" t="str">
        <f t="shared" si="21"/>
        <v>UND</v>
      </c>
      <c r="G274">
        <f t="shared" si="22"/>
        <v>1592.82</v>
      </c>
      <c r="H274">
        <f t="shared" si="23"/>
        <v>1195.3599999999999</v>
      </c>
      <c r="I274">
        <f t="shared" si="24"/>
        <v>1195.3599999999999</v>
      </c>
    </row>
    <row r="275" spans="1:9" ht="100.8">
      <c r="A275" s="372">
        <v>61902</v>
      </c>
      <c r="B275" s="241" t="s">
        <v>27115</v>
      </c>
      <c r="C275" s="221" t="s">
        <v>115</v>
      </c>
      <c r="D275" s="594">
        <v>1202.6500000000001</v>
      </c>
      <c r="E275" s="56" t="str">
        <f t="shared" si="20"/>
        <v>PORTA EM MADEIRA DE LEI ANGELIM PEDRA OU EQUIVALENTE, ESP. 30 A 35MM C/ ENCHIMENTO EM MADEIRA DE 1ª QUALIDADE, TIPO SARRAFEADA COM VISOR 0,40X0,60 M, INCLUSIVE ALIZARES, DOBRADIÇAS E FECHADURAS TIPO ALAVANCA EM LATÃO CROMADO LA FONTE OU EQUIVALENTE, EXCLUSIVE MARCO, NAS DIMENSÕES: 0,80 X 2,10 M</v>
      </c>
      <c r="F275" s="56" t="str">
        <f t="shared" si="21"/>
        <v>UND</v>
      </c>
      <c r="G275">
        <f t="shared" si="22"/>
        <v>1602.53</v>
      </c>
      <c r="H275">
        <f t="shared" si="23"/>
        <v>1202.6500000000001</v>
      </c>
      <c r="I275">
        <f t="shared" si="24"/>
        <v>1202.6500000000001</v>
      </c>
    </row>
    <row r="276" spans="1:9" ht="100.8">
      <c r="A276" s="372">
        <v>61903</v>
      </c>
      <c r="B276" s="241" t="s">
        <v>27116</v>
      </c>
      <c r="C276" s="221" t="s">
        <v>115</v>
      </c>
      <c r="D276" s="594">
        <v>1254.94</v>
      </c>
      <c r="E276" s="56" t="str">
        <f t="shared" si="20"/>
        <v>PORTA EM MADEIRA DE LEI ANGELIM PEDRA OU EQUIVALENTE, ESP. 30 A 35MM C/ ENCHIMENTO EM MADEIRA DE 1ª QUALIDADE, TIPO SARRAFEADA COM VISOR 0,40X0,60 M, INCLUSIVE ALIZARES, DOBRADIÇAS E FECHADURAS TIPO ALAVANCA EM LATÃO CROMADO LA FONTE OU EQUIVALENTE, EXCLUSIVE MARCO, NAS DIMENSÕES: 0,90 X 2,10 M</v>
      </c>
      <c r="F276" s="56" t="str">
        <f t="shared" si="21"/>
        <v>UND</v>
      </c>
      <c r="G276">
        <f t="shared" si="22"/>
        <v>1672.21</v>
      </c>
      <c r="H276">
        <f t="shared" si="23"/>
        <v>1254.94</v>
      </c>
      <c r="I276">
        <f t="shared" si="24"/>
        <v>1254.94</v>
      </c>
    </row>
    <row r="277" spans="1:9">
      <c r="A277" s="372">
        <v>622</v>
      </c>
      <c r="B277" s="241" t="s">
        <v>1210</v>
      </c>
      <c r="C277" s="221"/>
      <c r="D277" s="594"/>
      <c r="E277" s="56" t="str">
        <f t="shared" si="20"/>
        <v>REVISÕES E REPAROS</v>
      </c>
      <c r="F277" s="56" t="str">
        <f t="shared" si="21"/>
        <v/>
      </c>
      <c r="G277">
        <f t="shared" si="22"/>
        <v>0</v>
      </c>
      <c r="H277">
        <f t="shared" si="23"/>
        <v>0</v>
      </c>
      <c r="I277">
        <f t="shared" si="24"/>
        <v>0</v>
      </c>
    </row>
    <row r="278" spans="1:9" ht="43.2">
      <c r="A278" s="372">
        <v>62201</v>
      </c>
      <c r="B278" s="241" t="s">
        <v>27117</v>
      </c>
      <c r="C278" s="221" t="s">
        <v>115</v>
      </c>
      <c r="D278" s="594">
        <v>107.81</v>
      </c>
      <c r="E278" s="56" t="str">
        <f t="shared" si="20"/>
        <v>SUBSTITUIÇÃO DE FECHADURA COM MAÇANETA TIPO ALAVANCA E CHAVE TIPO YALE - IMAB, STAN, ALIANÇA OU EQUIVALENTE</v>
      </c>
      <c r="F278" s="56" t="str">
        <f t="shared" si="21"/>
        <v>UND</v>
      </c>
      <c r="G278">
        <f t="shared" si="22"/>
        <v>143.66</v>
      </c>
      <c r="H278">
        <f t="shared" si="23"/>
        <v>107.81</v>
      </c>
      <c r="I278">
        <f t="shared" si="24"/>
        <v>107.81</v>
      </c>
    </row>
    <row r="279" spans="1:9" ht="43.2">
      <c r="A279" s="371">
        <v>62202</v>
      </c>
      <c r="B279" s="240" t="s">
        <v>27118</v>
      </c>
      <c r="C279" s="221" t="s">
        <v>115</v>
      </c>
      <c r="D279" s="241">
        <v>107.81</v>
      </c>
      <c r="E279" s="56" t="str">
        <f t="shared" si="20"/>
        <v>SUBSTITUIÇÃO DE FECHADURA COM MAÇANETA TIPO ALAVANCA E CHAVE COMUM PARA PORTA INTERNA - IMAB, STAN, ALIANÇA OU EQUIVALENTE</v>
      </c>
      <c r="F279" s="56" t="str">
        <f t="shared" si="21"/>
        <v>UND</v>
      </c>
      <c r="G279">
        <f t="shared" si="22"/>
        <v>143.66</v>
      </c>
      <c r="H279">
        <f t="shared" si="23"/>
        <v>107.81</v>
      </c>
      <c r="I279">
        <f t="shared" si="24"/>
        <v>107.81</v>
      </c>
    </row>
    <row r="280" spans="1:9" ht="43.2">
      <c r="A280" s="371">
        <v>62203</v>
      </c>
      <c r="B280" s="240" t="s">
        <v>27119</v>
      </c>
      <c r="C280" s="221" t="s">
        <v>115</v>
      </c>
      <c r="D280" s="241">
        <v>115.39</v>
      </c>
      <c r="E280" s="56" t="str">
        <f t="shared" si="20"/>
        <v>SUBSTITUIÇÃO DE FECHADURA COM MAÇANETA TIPO BOLA E CHAVE TIPO YALE - IMAB, STAN, ALIANÇA OU EQUIVALENTE</v>
      </c>
      <c r="F280" s="56" t="str">
        <f t="shared" si="21"/>
        <v>UND</v>
      </c>
      <c r="G280">
        <f t="shared" si="22"/>
        <v>153.76</v>
      </c>
      <c r="H280">
        <f t="shared" si="23"/>
        <v>115.39</v>
      </c>
      <c r="I280">
        <f t="shared" si="24"/>
        <v>115.39</v>
      </c>
    </row>
    <row r="281" spans="1:9" ht="43.2">
      <c r="A281" s="372">
        <v>62204</v>
      </c>
      <c r="B281" s="241" t="s">
        <v>27120</v>
      </c>
      <c r="C281" s="221" t="s">
        <v>115</v>
      </c>
      <c r="D281" s="241">
        <v>90.54</v>
      </c>
      <c r="E281" s="56" t="str">
        <f t="shared" si="20"/>
        <v>RECOLOCAÇÃO DE FOLHA DE PORTA EM MADEIRA DE 1 FOLHA, EXCL. FERRAGENS, PORTA, MARCOS E ALIZARES</v>
      </c>
      <c r="F281" s="56" t="str">
        <f t="shared" si="21"/>
        <v>UND</v>
      </c>
      <c r="G281">
        <f t="shared" si="22"/>
        <v>120.64</v>
      </c>
      <c r="H281">
        <f t="shared" si="23"/>
        <v>90.54</v>
      </c>
      <c r="I281">
        <f t="shared" si="24"/>
        <v>90.54</v>
      </c>
    </row>
    <row r="282" spans="1:9" ht="28.8">
      <c r="A282" s="372">
        <v>62205</v>
      </c>
      <c r="B282" s="241" t="s">
        <v>27121</v>
      </c>
      <c r="C282" s="221" t="s">
        <v>115</v>
      </c>
      <c r="D282" s="241">
        <v>76.680000000000007</v>
      </c>
      <c r="E282" s="56" t="str">
        <f t="shared" si="20"/>
        <v>SUBSTITUIÇÃO DE TARJETA TIPO LIVRE/OCUPADO - IMAB, STA, ALIANÇA OU EQUIVALENTE</v>
      </c>
      <c r="F282" s="56" t="str">
        <f t="shared" si="21"/>
        <v>UND</v>
      </c>
      <c r="G282">
        <f t="shared" si="22"/>
        <v>102.18</v>
      </c>
      <c r="H282">
        <f t="shared" si="23"/>
        <v>76.680000000000007</v>
      </c>
      <c r="I282">
        <f t="shared" si="24"/>
        <v>76.680000000000007</v>
      </c>
    </row>
    <row r="283" spans="1:9" ht="28.8">
      <c r="A283" s="372">
        <v>62206</v>
      </c>
      <c r="B283" s="241" t="s">
        <v>27122</v>
      </c>
      <c r="C283" s="221" t="s">
        <v>115</v>
      </c>
      <c r="D283" s="241">
        <v>10.16</v>
      </c>
      <c r="E283" s="56" t="str">
        <f t="shared" si="20"/>
        <v>SUBSTITUIÇÃO DE TARGETA FIO REDONDO 2", REF. IMAB, STAN, ALIANÇA OU EQUIVALENTE</v>
      </c>
      <c r="F283" s="56" t="str">
        <f t="shared" si="21"/>
        <v>UND</v>
      </c>
      <c r="G283">
        <f t="shared" si="22"/>
        <v>13.54</v>
      </c>
      <c r="H283">
        <f t="shared" si="23"/>
        <v>10.16</v>
      </c>
      <c r="I283">
        <f t="shared" si="24"/>
        <v>10.16</v>
      </c>
    </row>
    <row r="284" spans="1:9" ht="43.2">
      <c r="A284" s="526">
        <v>62207</v>
      </c>
      <c r="B284" s="241" t="s">
        <v>27123</v>
      </c>
      <c r="C284" s="221" t="s">
        <v>115</v>
      </c>
      <c r="D284" s="241">
        <v>61.58</v>
      </c>
      <c r="E284" s="56" t="str">
        <f t="shared" si="20"/>
        <v>SUBSTITUIÇÃO DE DOBRADIÇA DE LATÃO CROMADO DE 3 X 2.1/2?, INCLUSIVE PARAFUSOS - IMAB, STAN, ALIANÇA OU EQUIVALENTE</v>
      </c>
      <c r="F284" s="56" t="str">
        <f t="shared" si="21"/>
        <v>UND</v>
      </c>
      <c r="G284">
        <f t="shared" si="22"/>
        <v>82.06</v>
      </c>
      <c r="H284">
        <f t="shared" si="23"/>
        <v>61.58</v>
      </c>
      <c r="I284">
        <f t="shared" si="24"/>
        <v>61.58</v>
      </c>
    </row>
    <row r="285" spans="1:9" ht="28.8">
      <c r="A285" s="372">
        <v>62208</v>
      </c>
      <c r="B285" s="241" t="s">
        <v>27124</v>
      </c>
      <c r="C285" s="221" t="s">
        <v>115</v>
      </c>
      <c r="D285" s="241">
        <v>82.56</v>
      </c>
      <c r="E285" s="56" t="str">
        <f t="shared" si="20"/>
        <v>REPARO NA PORTA COM PLAINA, INCLUSIVE RETIRADA E RECOLOCAÇÃO DE FOLHA DE PORTA</v>
      </c>
      <c r="F285" s="56" t="str">
        <f t="shared" si="21"/>
        <v>UND</v>
      </c>
      <c r="G285">
        <f t="shared" si="22"/>
        <v>110.01</v>
      </c>
      <c r="H285">
        <f t="shared" si="23"/>
        <v>82.56</v>
      </c>
      <c r="I285">
        <f t="shared" si="24"/>
        <v>82.56</v>
      </c>
    </row>
    <row r="286" spans="1:9" ht="28.8">
      <c r="A286" s="372">
        <v>62211</v>
      </c>
      <c r="B286" s="241" t="s">
        <v>27125</v>
      </c>
      <c r="C286" s="221" t="s">
        <v>112</v>
      </c>
      <c r="D286" s="241">
        <v>3.48</v>
      </c>
      <c r="E286" s="56" t="str">
        <f t="shared" si="20"/>
        <v>REMOÇÃO E REINSTALAÇÃO DE ALIZAR DE MADEIRA, EXCLUSIVE ALIZAR</v>
      </c>
      <c r="F286" s="56" t="str">
        <f t="shared" si="21"/>
        <v>M</v>
      </c>
      <c r="G286">
        <f t="shared" si="22"/>
        <v>4.6399999999999997</v>
      </c>
      <c r="H286">
        <f t="shared" si="23"/>
        <v>3.48</v>
      </c>
      <c r="I286">
        <f t="shared" si="24"/>
        <v>3.48</v>
      </c>
    </row>
    <row r="287" spans="1:9" ht="57.6">
      <c r="A287" s="371">
        <v>62212</v>
      </c>
      <c r="B287" s="240" t="s">
        <v>27126</v>
      </c>
      <c r="C287" s="221" t="s">
        <v>112</v>
      </c>
      <c r="D287" s="241">
        <v>17.010000000000002</v>
      </c>
      <c r="E287" s="56" t="str">
        <f t="shared" si="20"/>
        <v>REMOÇÃO E REINSTALAÇÃO DE MARCO DE MADEIRA, EXCLUSIVE MARCO, INCLUSIVE ACESSÓRIOS DE FIXAÇÃO: PREGOS E ARGAMASSA DE CIMENTO, CAL HIDRATADO E AREIA, PARA CHUMBAMENTO</v>
      </c>
      <c r="F287" s="56" t="str">
        <f t="shared" si="21"/>
        <v>M</v>
      </c>
      <c r="G287">
        <f t="shared" si="22"/>
        <v>22.67</v>
      </c>
      <c r="H287">
        <f t="shared" si="23"/>
        <v>17.010000000000002</v>
      </c>
      <c r="I287">
        <f t="shared" si="24"/>
        <v>17.010000000000002</v>
      </c>
    </row>
    <row r="288" spans="1:9" ht="72">
      <c r="A288" s="526">
        <v>623</v>
      </c>
      <c r="B288" s="241" t="s">
        <v>1211</v>
      </c>
      <c r="C288" s="221"/>
      <c r="D288" s="241"/>
      <c r="E288" s="56" t="str">
        <f t="shared" si="20"/>
        <v>PORTA EM MADEIRA DE LEI COM ENCHIMENTO EM MADEIRA DE 1ª QUALIDADE, ESP. 30MM, PARA PINTURA, INCL. ALIZARES, DOBRADIÇAS, FECHADURA TIPO "LIVRE/OCUPADO" EXCLUSIVE MARCO</v>
      </c>
      <c r="F288" s="56" t="str">
        <f t="shared" si="21"/>
        <v/>
      </c>
      <c r="G288">
        <f t="shared" si="22"/>
        <v>0</v>
      </c>
      <c r="H288">
        <f t="shared" si="23"/>
        <v>0</v>
      </c>
      <c r="I288">
        <f t="shared" si="24"/>
        <v>0</v>
      </c>
    </row>
    <row r="289" spans="1:9" ht="100.8">
      <c r="A289" s="372">
        <v>62301</v>
      </c>
      <c r="B289" s="241" t="s">
        <v>27127</v>
      </c>
      <c r="C289" s="221" t="s">
        <v>115</v>
      </c>
      <c r="D289" s="241">
        <v>853.42</v>
      </c>
      <c r="E289" s="56" t="str">
        <f t="shared" si="20"/>
        <v>PORTA DE MADEIRA DE LEI SARRAFEADA COM ENCHIMENTO EM MADEIRA DE 1ª QUALIDADE, ESP. 30 A 35MM, SEMI-SÓLIDA, PARA PINTURA, INCLUSIVE ALIZARES, DOBRADIÇAS, FECHADURA TIPO "LIVRE/OCUPADO" EM LATÃO CROMADO LA FONTE OU EQUIVALENTE, EXCLUSIVE MARCO, NAS DIMENSÕES: 0.60 X 1.60 M</v>
      </c>
      <c r="F289" s="56" t="str">
        <f t="shared" si="21"/>
        <v>UND</v>
      </c>
      <c r="G289">
        <f t="shared" si="22"/>
        <v>1137.18</v>
      </c>
      <c r="H289">
        <f t="shared" si="23"/>
        <v>853.42</v>
      </c>
      <c r="I289">
        <f t="shared" si="24"/>
        <v>853.42</v>
      </c>
    </row>
    <row r="290" spans="1:9" ht="100.8">
      <c r="A290" s="526">
        <v>62302</v>
      </c>
      <c r="B290" s="241" t="s">
        <v>27128</v>
      </c>
      <c r="C290" s="221" t="s">
        <v>115</v>
      </c>
      <c r="D290" s="241">
        <v>860.09</v>
      </c>
      <c r="E290" s="56" t="str">
        <f t="shared" si="20"/>
        <v>PORTA DE MADEIRA DE LEI SARRAFEADA COM ENCHIMENTO EM MADEIRA DE 1ª QUALIDADE, ESP. 30 A 35MM, SEMI-SÓLIDA, PARA PINTURA, INCLUSIVE ALIZARES, DOBRADIÇAS, FECHADURA TIPO "LIVRE/OCUPADO" EM LATÃO CROMADO LA FONTE OU EQUIVALENTE, EXCLUSIVE MARCO, NAS DIMENSÕES: 0.80 X 1.60 M</v>
      </c>
      <c r="F290" s="56" t="str">
        <f t="shared" si="21"/>
        <v>UND</v>
      </c>
      <c r="G290">
        <f t="shared" si="22"/>
        <v>1146.07</v>
      </c>
      <c r="H290">
        <f t="shared" si="23"/>
        <v>860.09</v>
      </c>
      <c r="I290">
        <f t="shared" si="24"/>
        <v>860.09</v>
      </c>
    </row>
    <row r="291" spans="1:9" ht="86.4">
      <c r="A291" s="526">
        <v>625</v>
      </c>
      <c r="B291" s="241" t="s">
        <v>23532</v>
      </c>
      <c r="C291" s="221"/>
      <c r="D291" s="594"/>
      <c r="E291" s="56" t="str">
        <f t="shared" si="20"/>
        <v>PORTA EM MADEIRA DE LEI TIPO ANGELIM PEDRA OU EQUIV.,ESP. 30 MM, MACIÇA C/ FRISO P/ VERNIZ, PADRÃO SEDU, COM VISOR, INCLUSIVE ALIZARES, DOBRADIÇAS E FECHADURA DE BOLA EXTERNA, EXCLUSIVE MARCO</v>
      </c>
      <c r="F291" s="56" t="str">
        <f t="shared" si="21"/>
        <v/>
      </c>
      <c r="G291">
        <f t="shared" si="22"/>
        <v>0</v>
      </c>
      <c r="H291">
        <f t="shared" si="23"/>
        <v>0</v>
      </c>
      <c r="I291">
        <f t="shared" si="24"/>
        <v>0</v>
      </c>
    </row>
    <row r="292" spans="1:9" ht="115.2">
      <c r="A292" s="372">
        <v>62501</v>
      </c>
      <c r="B292" s="241" t="s">
        <v>27129</v>
      </c>
      <c r="C292" s="221" t="s">
        <v>115</v>
      </c>
      <c r="D292" s="241">
        <v>1577.81</v>
      </c>
      <c r="E292" s="56" t="str">
        <f t="shared" si="20"/>
        <v>PORTA DE MADEIRA DE LEI ANGELIM PEDRA OU EQUIVALENTE, ESP. 30 A 35 MM, MACIÇA, TIPO MEXICANA, C/ FRISO P/ VERNIZ, PADRÃO SEDU, COM VISOR 1,00 X 0,15M E VIDRO 4MM, INCLUSIVE ALIZARES, DOBRADIÇAS E FECHADURA TIPO ALAVANCA EM LATÃO CROMADO LAFONTE OU EQUIV., EXCLUSIVE MARCO, DIMENSÕES: 0.60 X 2.10 M</v>
      </c>
      <c r="F292" s="56" t="str">
        <f t="shared" si="21"/>
        <v>UND</v>
      </c>
      <c r="G292">
        <f t="shared" si="22"/>
        <v>2102.4299999999998</v>
      </c>
      <c r="H292">
        <f t="shared" si="23"/>
        <v>1577.81</v>
      </c>
      <c r="I292">
        <f t="shared" si="24"/>
        <v>1577.81</v>
      </c>
    </row>
    <row r="293" spans="1:9" ht="115.2">
      <c r="A293" s="371">
        <v>62502</v>
      </c>
      <c r="B293" s="240" t="s">
        <v>27130</v>
      </c>
      <c r="C293" s="221" t="s">
        <v>115</v>
      </c>
      <c r="D293" s="241">
        <v>1649.1</v>
      </c>
      <c r="E293" s="56" t="str">
        <f t="shared" si="20"/>
        <v>PORTA DE MADEIRA DE LEI ANGELIM PEDRA OU EQUIVALENTE, ESP. 30 A 35 MM, MACIÇA, TIPO MEXICANA, C/ FRISO P/ VERNIZ, PADRÃO SEDU, COM VISOR 1,00 X 0,15M E VIDRO 4MM, INCLUSIVE ALIZARES, DOBRADIÇAS E FECHADURA TIPO ALAVANCA EM LATÃO CROMADO LAFONTE OU EQUIV., EXCLUSIVE MARCO, DIMENSÕES: 0.70 X 2.10 M</v>
      </c>
      <c r="F293" s="56" t="str">
        <f t="shared" si="21"/>
        <v>UND</v>
      </c>
      <c r="G293">
        <f t="shared" si="22"/>
        <v>2197.4299999999998</v>
      </c>
      <c r="H293">
        <f t="shared" si="23"/>
        <v>1649.1</v>
      </c>
      <c r="I293">
        <f t="shared" si="24"/>
        <v>1649.1</v>
      </c>
    </row>
    <row r="294" spans="1:9" ht="115.2">
      <c r="A294" s="372">
        <v>62503</v>
      </c>
      <c r="B294" s="241" t="s">
        <v>27131</v>
      </c>
      <c r="C294" s="221" t="s">
        <v>115</v>
      </c>
      <c r="D294" s="241">
        <v>1711.39</v>
      </c>
      <c r="E294" s="56" t="str">
        <f t="shared" si="20"/>
        <v>PORTA DE MADEIRA DE LEI ANGELIM PEDRA OU EQUIVALENTE, ESP. 30 A 35 MM, MACIÇA, TIPO MEXICANA, C/ FRISO P/ VERNIZ, PADRÃO SEDU, COM VISOR 1,00 X 0,15M E VIDRO 4MM, INCLUSIVE ALIZARES, DOBRADIÇAS E FECHADURA TIPO ALAVANCA EM LATÃO CROMADO LAFONTE OU EQUIV., EXCLUSIVE MARCO, DIMENSÕES: 0.80 X 2.10 M</v>
      </c>
      <c r="F294" s="56" t="str">
        <f t="shared" si="21"/>
        <v>UND</v>
      </c>
      <c r="G294">
        <f t="shared" si="22"/>
        <v>2280.4299999999998</v>
      </c>
      <c r="H294">
        <f t="shared" si="23"/>
        <v>1711.39</v>
      </c>
      <c r="I294">
        <f t="shared" si="24"/>
        <v>1711.39</v>
      </c>
    </row>
    <row r="295" spans="1:9" ht="115.2">
      <c r="A295" s="371">
        <v>62504</v>
      </c>
      <c r="B295" s="240" t="s">
        <v>27132</v>
      </c>
      <c r="C295" s="221" t="s">
        <v>115</v>
      </c>
      <c r="D295" s="241">
        <v>1846.32</v>
      </c>
      <c r="E295" s="56" t="str">
        <f t="shared" si="20"/>
        <v>PORTA DE MADEIRA DE LEI ANGELIM PEDRA OU EQUIVALENTE, ESP. 30 A 35 MM, MACIÇA, TIPO MEXICANA, C/ FRISO P/ VERNIZ, PADRÃO SEDU, COM VISOR 1,00 X 0,15M E VIDRO 4MM, INCLUSIVE ALIZARES, DOBRADIÇAS E FECHADURA TIPO ALAVANCA EM LATÃO CROMADO LAFONTE OU EQUIV., EXCLUSIVE MARCO, DIMENSÕES: 0.90 X 2.10 M</v>
      </c>
      <c r="F295" s="56" t="str">
        <f t="shared" si="21"/>
        <v>UND</v>
      </c>
      <c r="G295">
        <f t="shared" si="22"/>
        <v>2460.2199999999998</v>
      </c>
      <c r="H295">
        <f t="shared" si="23"/>
        <v>1846.32</v>
      </c>
      <c r="I295">
        <f t="shared" si="24"/>
        <v>1846.32</v>
      </c>
    </row>
    <row r="296" spans="1:9" ht="115.2">
      <c r="A296" s="371">
        <v>62505</v>
      </c>
      <c r="B296" s="240" t="s">
        <v>27133</v>
      </c>
      <c r="C296" s="221" t="s">
        <v>115</v>
      </c>
      <c r="D296" s="241">
        <v>3071.65</v>
      </c>
      <c r="E296" s="56" t="str">
        <f t="shared" si="20"/>
        <v>PORTA DE MADEIRA DE LEI ANGELIM PEDRA OU EQUIVALENTE, ESP. 30 A 35 MM, MACIÇA, TIPO MEXICANA, C/ FRISO P/ VERNIZ, PADRÃO SEDU, COM VISOR 1,00 X 0,15M E VIDRO 4MM, INCLUSIVE ALIZARES, DOBRADIÇAS E FECHADURA TIPO ALAVANCA EM LATÃO CROMADO LAFONTE OU EQUIV., EXCLUSIVE MARCO, DIMENSÕES: 1.60 X 2.10 M (DUAS FOLHAS)</v>
      </c>
      <c r="F296" s="56" t="str">
        <f t="shared" si="21"/>
        <v>UND</v>
      </c>
      <c r="G296">
        <f t="shared" si="22"/>
        <v>4092.97</v>
      </c>
      <c r="H296">
        <f t="shared" si="23"/>
        <v>3071.65</v>
      </c>
      <c r="I296">
        <f t="shared" si="24"/>
        <v>3071.65</v>
      </c>
    </row>
    <row r="297" spans="1:9">
      <c r="A297" s="372">
        <v>7</v>
      </c>
      <c r="B297" s="241" t="s">
        <v>61</v>
      </c>
      <c r="C297" s="221"/>
      <c r="D297" s="241"/>
      <c r="E297" s="56" t="str">
        <f t="shared" si="20"/>
        <v>ESQUADRIAS METÁLICAS</v>
      </c>
      <c r="F297" s="56" t="str">
        <f t="shared" si="21"/>
        <v/>
      </c>
      <c r="G297">
        <f t="shared" si="22"/>
        <v>0</v>
      </c>
      <c r="H297">
        <f t="shared" si="23"/>
        <v>0</v>
      </c>
      <c r="I297">
        <f t="shared" si="24"/>
        <v>0</v>
      </c>
    </row>
    <row r="298" spans="1:9">
      <c r="A298" s="372">
        <v>711</v>
      </c>
      <c r="B298" s="241" t="s">
        <v>47</v>
      </c>
      <c r="C298" s="221"/>
      <c r="D298" s="241"/>
      <c r="E298" s="56" t="str">
        <f t="shared" si="20"/>
        <v>GRADES E PORTÕES</v>
      </c>
      <c r="F298" s="56" t="str">
        <f t="shared" si="21"/>
        <v/>
      </c>
      <c r="G298">
        <f t="shared" si="22"/>
        <v>0</v>
      </c>
      <c r="H298">
        <f t="shared" si="23"/>
        <v>0</v>
      </c>
      <c r="I298">
        <f t="shared" si="24"/>
        <v>0</v>
      </c>
    </row>
    <row r="299" spans="1:9" ht="57.6">
      <c r="A299" s="372">
        <v>71101</v>
      </c>
      <c r="B299" s="241" t="s">
        <v>1212</v>
      </c>
      <c r="C299" s="221" t="s">
        <v>110</v>
      </c>
      <c r="D299" s="241">
        <v>768.53</v>
      </c>
      <c r="E299" s="56" t="str">
        <f t="shared" si="20"/>
        <v>TELA DE PROTEÇÃO DE ARAME GALVANIZADO 1/2" FIO 12, COM QUADRO EM TUBO DE FERRO GALVANIZADO 1 1/2" E CANTONEIRA DE FERRO 1/2" X 1/2" X1/8", CONFORME DETALHE EM PROJETO</v>
      </c>
      <c r="F299" s="56" t="str">
        <f t="shared" si="21"/>
        <v>M2</v>
      </c>
      <c r="G299">
        <f t="shared" si="22"/>
        <v>1024.07</v>
      </c>
      <c r="H299">
        <f t="shared" si="23"/>
        <v>768.53</v>
      </c>
      <c r="I299">
        <f t="shared" si="24"/>
        <v>768.53</v>
      </c>
    </row>
    <row r="300" spans="1:9" ht="43.2">
      <c r="A300" s="371">
        <v>71103</v>
      </c>
      <c r="B300" s="240" t="s">
        <v>2261</v>
      </c>
      <c r="C300" s="221" t="s">
        <v>110</v>
      </c>
      <c r="D300" s="241">
        <v>123.53</v>
      </c>
      <c r="E300" s="56" t="str">
        <f t="shared" si="20"/>
        <v>GRADE DE TELA TIPO MOSQUITEIRO DE ARAME GALVANIZADO #18, FIO 32, INCLUSIVE, REQUADRO EM CANTONEIRA DE FERRO 1/8"X1/2"X1/2"</v>
      </c>
      <c r="F300" s="56" t="str">
        <f t="shared" si="21"/>
        <v>M2</v>
      </c>
      <c r="G300">
        <f t="shared" si="22"/>
        <v>164.6</v>
      </c>
      <c r="H300">
        <f t="shared" si="23"/>
        <v>123.53</v>
      </c>
      <c r="I300">
        <f t="shared" si="24"/>
        <v>123.53</v>
      </c>
    </row>
    <row r="301" spans="1:9" ht="28.8">
      <c r="A301" s="526">
        <v>71104</v>
      </c>
      <c r="B301" s="241" t="s">
        <v>1213</v>
      </c>
      <c r="C301" s="221" t="s">
        <v>110</v>
      </c>
      <c r="D301" s="241">
        <v>668.75</v>
      </c>
      <c r="E301" s="56" t="str">
        <f t="shared" si="20"/>
        <v>PORTÃO DE FERRO DE ABRIR EM BARRA CHATA, INCLUSIVE CHUMBAMENTO</v>
      </c>
      <c r="F301" s="56" t="str">
        <f t="shared" si="21"/>
        <v>M2</v>
      </c>
      <c r="G301">
        <f t="shared" si="22"/>
        <v>891.11</v>
      </c>
      <c r="H301">
        <f t="shared" si="23"/>
        <v>668.75</v>
      </c>
      <c r="I301">
        <f t="shared" si="24"/>
        <v>668.75</v>
      </c>
    </row>
    <row r="302" spans="1:9" ht="28.8">
      <c r="A302" s="372">
        <v>71105</v>
      </c>
      <c r="B302" s="241" t="s">
        <v>1214</v>
      </c>
      <c r="C302" s="221" t="s">
        <v>110</v>
      </c>
      <c r="D302" s="241">
        <v>411.09</v>
      </c>
      <c r="E302" s="56" t="str">
        <f t="shared" si="20"/>
        <v>GRADE DE FERRO EM BARRA CHATA, INCLUSIVE CHUMBAMENTO</v>
      </c>
      <c r="F302" s="56" t="str">
        <f t="shared" si="21"/>
        <v>M2</v>
      </c>
      <c r="G302">
        <f t="shared" si="22"/>
        <v>547.78</v>
      </c>
      <c r="H302">
        <f t="shared" si="23"/>
        <v>411.09</v>
      </c>
      <c r="I302">
        <f t="shared" si="24"/>
        <v>411.09</v>
      </c>
    </row>
    <row r="303" spans="1:9" ht="28.8">
      <c r="A303" s="372">
        <v>71106</v>
      </c>
      <c r="B303" s="241" t="s">
        <v>1215</v>
      </c>
      <c r="C303" s="221" t="s">
        <v>110</v>
      </c>
      <c r="D303" s="241">
        <v>814.23</v>
      </c>
      <c r="E303" s="56" t="str">
        <f t="shared" si="20"/>
        <v>PORTÃO DE FERRO DE CORRER EM BARRA CHATA, INCLUSIVE CHUMBAMENTO</v>
      </c>
      <c r="F303" s="56" t="str">
        <f t="shared" si="21"/>
        <v>M2</v>
      </c>
      <c r="G303">
        <f t="shared" si="22"/>
        <v>1084.96</v>
      </c>
      <c r="H303">
        <f t="shared" si="23"/>
        <v>814.23</v>
      </c>
      <c r="I303">
        <f t="shared" si="24"/>
        <v>814.23</v>
      </c>
    </row>
    <row r="304" spans="1:9" ht="28.8">
      <c r="A304" s="371">
        <v>71107</v>
      </c>
      <c r="B304" s="240" t="s">
        <v>1216</v>
      </c>
      <c r="C304" s="221" t="s">
        <v>110</v>
      </c>
      <c r="D304" s="241">
        <v>1019.5</v>
      </c>
      <c r="E304" s="56" t="str">
        <f t="shared" si="20"/>
        <v>PORTÃO DE FERRO DE ABRIR EM BARRA CHATA, CHAPA E TUBO, INCLUSIVE CHUMBAMENTO</v>
      </c>
      <c r="F304" s="56" t="str">
        <f t="shared" si="21"/>
        <v>M2</v>
      </c>
      <c r="G304">
        <f t="shared" si="22"/>
        <v>1358.48</v>
      </c>
      <c r="H304">
        <f t="shared" si="23"/>
        <v>1019.5</v>
      </c>
      <c r="I304">
        <f t="shared" si="24"/>
        <v>1019.5</v>
      </c>
    </row>
    <row r="305" spans="1:9">
      <c r="A305" s="371">
        <v>717</v>
      </c>
      <c r="B305" s="240" t="s">
        <v>1217</v>
      </c>
      <c r="C305" s="221"/>
      <c r="D305" s="241"/>
      <c r="E305" s="56" t="str">
        <f t="shared" si="20"/>
        <v>ESQUADRIAS METÁLICAS (M2)</v>
      </c>
      <c r="F305" s="56" t="str">
        <f t="shared" si="21"/>
        <v/>
      </c>
      <c r="G305">
        <f t="shared" si="22"/>
        <v>0</v>
      </c>
      <c r="H305">
        <f t="shared" si="23"/>
        <v>0</v>
      </c>
      <c r="I305">
        <f t="shared" si="24"/>
        <v>0</v>
      </c>
    </row>
    <row r="306" spans="1:9" ht="57.6">
      <c r="A306" s="372">
        <v>71701</v>
      </c>
      <c r="B306" s="241" t="s">
        <v>1218</v>
      </c>
      <c r="C306" s="221" t="s">
        <v>110</v>
      </c>
      <c r="D306" s="241">
        <v>573.62</v>
      </c>
      <c r="E306" s="56" t="str">
        <f t="shared" si="20"/>
        <v>JANELA DE CORRER PARA VIDRO EM ALUMÍNIO ANODIZADO COR NATURAL, LINHA 25, COMPLETA, INCL. PUXADOR COM TRANCA, ALIZAR, CAIXILHO E CONTRAMARCO, EXCLUSIVE VIDRO</v>
      </c>
      <c r="F306" s="56" t="str">
        <f t="shared" si="21"/>
        <v>M2</v>
      </c>
      <c r="G306">
        <f t="shared" si="22"/>
        <v>764.35</v>
      </c>
      <c r="H306">
        <f t="shared" si="23"/>
        <v>573.62</v>
      </c>
      <c r="I306">
        <f t="shared" si="24"/>
        <v>573.62</v>
      </c>
    </row>
    <row r="307" spans="1:9" ht="57.6">
      <c r="A307" s="372">
        <v>71702</v>
      </c>
      <c r="B307" s="241" t="s">
        <v>1219</v>
      </c>
      <c r="C307" s="221" t="s">
        <v>110</v>
      </c>
      <c r="D307" s="241">
        <v>700.79</v>
      </c>
      <c r="E307" s="56" t="str">
        <f t="shared" si="20"/>
        <v>BÁSCULA PARA VIDRO EM ALUMÍNIO ANODIZADO COR NATURAL, LINHA 25, COMPLETA, COM TRANCA, CAIXILHO, ALIZAR E CONTRAMARCO, EXCLUSIVE VIDRO</v>
      </c>
      <c r="F307" s="56" t="str">
        <f t="shared" si="21"/>
        <v>M2</v>
      </c>
      <c r="G307">
        <f t="shared" si="22"/>
        <v>933.8</v>
      </c>
      <c r="H307">
        <f t="shared" si="23"/>
        <v>700.79</v>
      </c>
      <c r="I307">
        <f t="shared" si="24"/>
        <v>700.79</v>
      </c>
    </row>
    <row r="308" spans="1:9" ht="57.6">
      <c r="A308" s="372">
        <v>71703</v>
      </c>
      <c r="B308" s="241" t="s">
        <v>1220</v>
      </c>
      <c r="C308" s="221" t="s">
        <v>110</v>
      </c>
      <c r="D308" s="241">
        <v>542.79</v>
      </c>
      <c r="E308" s="56" t="str">
        <f t="shared" si="20"/>
        <v>JANELA TIPO MAXIM-AR PARA VIDRO EM ALUMÍNIO ANODIZADO NATURAL, LINHA 25, COMPLETA, INCL. PUXADOR COM TRANCA, CAIXILHO, ALIZAR E CONTRAMARCO, EXCLUSIVE VIDRO</v>
      </c>
      <c r="F308" s="56" t="str">
        <f t="shared" si="21"/>
        <v>M2</v>
      </c>
      <c r="G308">
        <f t="shared" si="22"/>
        <v>723.27</v>
      </c>
      <c r="H308">
        <f t="shared" si="23"/>
        <v>542.79</v>
      </c>
      <c r="I308">
        <f t="shared" si="24"/>
        <v>542.79</v>
      </c>
    </row>
    <row r="309" spans="1:9" ht="43.2">
      <c r="A309" s="372">
        <v>71704</v>
      </c>
      <c r="B309" s="241" t="s">
        <v>1221</v>
      </c>
      <c r="C309" s="221" t="s">
        <v>110</v>
      </c>
      <c r="D309" s="241">
        <v>908.83</v>
      </c>
      <c r="E309" s="56" t="str">
        <f t="shared" si="20"/>
        <v>PORTA DE ABRIR TIPO VENEZIANA EM ALUMÍNIO ANODIZADO, LINHA 25, COMPLETA, INCL. PUXADOR COM TRANCA, CAIXILHO, ALIZAR E CONTRAMARCO</v>
      </c>
      <c r="F309" s="56" t="str">
        <f t="shared" si="21"/>
        <v>M2</v>
      </c>
      <c r="G309">
        <f t="shared" si="22"/>
        <v>1211.02</v>
      </c>
      <c r="H309">
        <f t="shared" si="23"/>
        <v>908.83</v>
      </c>
      <c r="I309">
        <f t="shared" si="24"/>
        <v>908.83</v>
      </c>
    </row>
    <row r="310" spans="1:9" ht="43.2">
      <c r="A310" s="372">
        <v>71706</v>
      </c>
      <c r="B310" s="241" t="s">
        <v>1222</v>
      </c>
      <c r="C310" s="221" t="s">
        <v>110</v>
      </c>
      <c r="D310" s="241">
        <v>375.76</v>
      </c>
      <c r="E310" s="56" t="str">
        <f t="shared" si="20"/>
        <v>GUICHÊ/GRADIL EM PERFIL L 1" E PERFIL T 3/4" EM FERRO, INCLUSIVE PINTURA EM ESMALTE SINTÉTICO, MARCA DE REFERÊNCIA SUVINIL</v>
      </c>
      <c r="F310" s="56" t="str">
        <f t="shared" si="21"/>
        <v>M2</v>
      </c>
      <c r="G310">
        <f t="shared" si="22"/>
        <v>500.7</v>
      </c>
      <c r="H310">
        <f t="shared" si="23"/>
        <v>375.76</v>
      </c>
      <c r="I310">
        <f t="shared" si="24"/>
        <v>375.76</v>
      </c>
    </row>
    <row r="311" spans="1:9">
      <c r="A311" s="371">
        <v>718</v>
      </c>
      <c r="B311" s="240" t="s">
        <v>1210</v>
      </c>
      <c r="C311" s="221"/>
      <c r="D311" s="241"/>
      <c r="E311" s="56" t="str">
        <f t="shared" si="20"/>
        <v>REVISÕES E REPAROS</v>
      </c>
      <c r="F311" s="56" t="str">
        <f t="shared" si="21"/>
        <v/>
      </c>
      <c r="G311">
        <f t="shared" si="22"/>
        <v>0</v>
      </c>
      <c r="H311">
        <f t="shared" si="23"/>
        <v>0</v>
      </c>
      <c r="I311">
        <f t="shared" si="24"/>
        <v>0</v>
      </c>
    </row>
    <row r="312" spans="1:9" ht="28.8">
      <c r="A312" s="372">
        <v>71801</v>
      </c>
      <c r="B312" s="241" t="s">
        <v>1223</v>
      </c>
      <c r="C312" s="221" t="s">
        <v>110</v>
      </c>
      <c r="D312" s="241">
        <v>29.52</v>
      </c>
      <c r="E312" s="56" t="str">
        <f t="shared" si="20"/>
        <v>ESCOVAMENTO COM ESCOVA DE AÇO EM ESQUADRIAS DE FERRO</v>
      </c>
      <c r="F312" s="56" t="str">
        <f t="shared" si="21"/>
        <v>M2</v>
      </c>
      <c r="G312">
        <f t="shared" si="22"/>
        <v>39.340000000000003</v>
      </c>
      <c r="H312">
        <f t="shared" si="23"/>
        <v>29.52</v>
      </c>
      <c r="I312">
        <f t="shared" si="24"/>
        <v>29.52</v>
      </c>
    </row>
    <row r="313" spans="1:9">
      <c r="A313" s="372">
        <v>8</v>
      </c>
      <c r="B313" s="241" t="s">
        <v>1224</v>
      </c>
      <c r="C313" s="221"/>
      <c r="D313" s="241"/>
      <c r="E313" s="56" t="str">
        <f t="shared" si="20"/>
        <v>VIDROS E ESPELHOS</v>
      </c>
      <c r="F313" s="56" t="str">
        <f t="shared" si="21"/>
        <v/>
      </c>
      <c r="G313">
        <f t="shared" si="22"/>
        <v>0</v>
      </c>
      <c r="H313">
        <f t="shared" si="23"/>
        <v>0</v>
      </c>
      <c r="I313">
        <f t="shared" si="24"/>
        <v>0</v>
      </c>
    </row>
    <row r="314" spans="1:9">
      <c r="A314" s="372">
        <v>801</v>
      </c>
      <c r="B314" s="241" t="s">
        <v>1225</v>
      </c>
      <c r="C314" s="221"/>
      <c r="D314" s="241"/>
      <c r="E314" s="56" t="str">
        <f t="shared" si="20"/>
        <v>VIDROS PARA ESQUADRIAS</v>
      </c>
      <c r="F314" s="56" t="str">
        <f t="shared" si="21"/>
        <v/>
      </c>
      <c r="G314">
        <f t="shared" si="22"/>
        <v>0</v>
      </c>
      <c r="H314">
        <f t="shared" si="23"/>
        <v>0</v>
      </c>
      <c r="I314">
        <f t="shared" si="24"/>
        <v>0</v>
      </c>
    </row>
    <row r="315" spans="1:9" ht="28.8">
      <c r="A315" s="372">
        <v>80102</v>
      </c>
      <c r="B315" s="241" t="s">
        <v>1226</v>
      </c>
      <c r="C315" s="221" t="s">
        <v>110</v>
      </c>
      <c r="D315" s="241">
        <v>396.67</v>
      </c>
      <c r="E315" s="56" t="str">
        <f t="shared" si="20"/>
        <v>VIDRO PLANO TRANSPARENTE LISO, COM 4 MM DE ESPESSURA</v>
      </c>
      <c r="F315" s="56" t="str">
        <f t="shared" si="21"/>
        <v>M2</v>
      </c>
      <c r="G315">
        <f t="shared" si="22"/>
        <v>528.55999999999995</v>
      </c>
      <c r="H315">
        <f t="shared" si="23"/>
        <v>396.67</v>
      </c>
      <c r="I315">
        <f t="shared" si="24"/>
        <v>396.67</v>
      </c>
    </row>
    <row r="316" spans="1:9" ht="28.8">
      <c r="A316" s="372">
        <v>80103</v>
      </c>
      <c r="B316" s="241" t="s">
        <v>1227</v>
      </c>
      <c r="C316" s="221" t="s">
        <v>110</v>
      </c>
      <c r="D316" s="241">
        <v>497.83</v>
      </c>
      <c r="E316" s="56" t="str">
        <f t="shared" si="20"/>
        <v>VIDRO FANTASIA MINI-BOREAL, COM 4 MM DE ESPESSURA</v>
      </c>
      <c r="F316" s="56" t="str">
        <f t="shared" si="21"/>
        <v>M2</v>
      </c>
      <c r="G316">
        <f t="shared" si="22"/>
        <v>663.36</v>
      </c>
      <c r="H316">
        <f t="shared" si="23"/>
        <v>497.83</v>
      </c>
      <c r="I316">
        <f t="shared" si="24"/>
        <v>497.83</v>
      </c>
    </row>
    <row r="317" spans="1:9">
      <c r="A317" s="372">
        <v>80107</v>
      </c>
      <c r="B317" s="241" t="s">
        <v>1228</v>
      </c>
      <c r="C317" s="221" t="s">
        <v>110</v>
      </c>
      <c r="D317" s="241">
        <v>1395.83</v>
      </c>
      <c r="E317" s="56" t="str">
        <f t="shared" si="20"/>
        <v>VIDRO ARAMADO ESP. 6MM, COLOCADO</v>
      </c>
      <c r="F317" s="56" t="str">
        <f t="shared" si="21"/>
        <v>M2</v>
      </c>
      <c r="G317">
        <f t="shared" si="22"/>
        <v>1859.94</v>
      </c>
      <c r="H317">
        <f t="shared" si="23"/>
        <v>1395.83</v>
      </c>
      <c r="I317">
        <f t="shared" si="24"/>
        <v>1395.83</v>
      </c>
    </row>
    <row r="318" spans="1:9">
      <c r="A318" s="372">
        <v>802</v>
      </c>
      <c r="B318" s="241" t="s">
        <v>1229</v>
      </c>
      <c r="C318" s="221"/>
      <c r="D318" s="241"/>
      <c r="E318" s="56" t="str">
        <f t="shared" si="20"/>
        <v>ESPELHOS</v>
      </c>
      <c r="F318" s="56" t="str">
        <f t="shared" si="21"/>
        <v/>
      </c>
      <c r="G318">
        <f t="shared" si="22"/>
        <v>0</v>
      </c>
      <c r="H318">
        <f t="shared" si="23"/>
        <v>0</v>
      </c>
      <c r="I318">
        <f t="shared" si="24"/>
        <v>0</v>
      </c>
    </row>
    <row r="319" spans="1:9" ht="57.6">
      <c r="A319" s="372">
        <v>80201</v>
      </c>
      <c r="B319" s="241" t="s">
        <v>1230</v>
      </c>
      <c r="C319" s="221" t="s">
        <v>110</v>
      </c>
      <c r="D319" s="241">
        <v>718.81</v>
      </c>
      <c r="E319" s="56" t="str">
        <f t="shared" si="20"/>
        <v>ESPELHO PARA BANHEIROS ESPESSURA 4 MM, INCLUINDO CHAPA COMPENSADA 10 MM, MOLDURA DE ALUMÍNIO EM PERFIL L 3/4", FIXADO COM PARAFUSOS CROMADOS</v>
      </c>
      <c r="F319" s="56" t="str">
        <f t="shared" si="21"/>
        <v>M2</v>
      </c>
      <c r="G319">
        <f t="shared" si="22"/>
        <v>957.81</v>
      </c>
      <c r="H319">
        <f t="shared" si="23"/>
        <v>718.81</v>
      </c>
      <c r="I319">
        <f t="shared" si="24"/>
        <v>718.81</v>
      </c>
    </row>
    <row r="320" spans="1:9" ht="57.6">
      <c r="A320" s="372">
        <v>80202</v>
      </c>
      <c r="B320" s="241" t="s">
        <v>1231</v>
      </c>
      <c r="C320" s="221" t="s">
        <v>110</v>
      </c>
      <c r="D320" s="241">
        <v>834.68</v>
      </c>
      <c r="E320" s="56" t="str">
        <f t="shared" si="20"/>
        <v>ESPELHO ESPESSURA 4 MM, INCLUINDO CHAPA COMPENSADA 6MM, MOLDURA DE PEÇA DE MADEIRA 7X2.5CM FIXADA COM PARAFUSO E BUCHA CONFORME DETALHE EM PROJETO</v>
      </c>
      <c r="F320" s="56" t="str">
        <f t="shared" si="21"/>
        <v>M2</v>
      </c>
      <c r="G320">
        <f t="shared" si="22"/>
        <v>1112.21</v>
      </c>
      <c r="H320">
        <f t="shared" si="23"/>
        <v>834.68</v>
      </c>
      <c r="I320">
        <f t="shared" si="24"/>
        <v>834.68</v>
      </c>
    </row>
    <row r="321" spans="1:9" ht="57.6">
      <c r="A321" s="371">
        <v>80203</v>
      </c>
      <c r="B321" s="240" t="s">
        <v>1232</v>
      </c>
      <c r="C321" s="221" t="s">
        <v>110</v>
      </c>
      <c r="D321" s="241">
        <v>723.4</v>
      </c>
      <c r="E321" s="56" t="str">
        <f t="shared" ref="E321:E384" si="25">UPPER(B321)</f>
        <v>ESPELHO PRATA ESP. 4 MM SOBRE CAIXA DE COMPENSADO COLADO REVESTIDO COM FÓRMICA E FIXADO COM PARAFUSO CROMADO E BUCHA, DIM. 1,80 X 0,40M, CONFORME DETALHE EM PROJETO</v>
      </c>
      <c r="F321" s="56" t="str">
        <f t="shared" ref="F321:F384" si="26">UPPER(C321)</f>
        <v>M2</v>
      </c>
      <c r="G321">
        <f t="shared" si="22"/>
        <v>963.93</v>
      </c>
      <c r="H321">
        <f t="shared" si="23"/>
        <v>723.4</v>
      </c>
      <c r="I321">
        <f t="shared" si="24"/>
        <v>723.4</v>
      </c>
    </row>
    <row r="322" spans="1:9">
      <c r="A322" s="372">
        <v>9</v>
      </c>
      <c r="B322" s="241" t="s">
        <v>48</v>
      </c>
      <c r="C322" s="221"/>
      <c r="D322" s="241"/>
      <c r="E322" s="56" t="str">
        <f t="shared" si="25"/>
        <v>COBERTURA</v>
      </c>
      <c r="F322" s="56" t="str">
        <f t="shared" si="26"/>
        <v/>
      </c>
      <c r="G322">
        <f t="shared" si="22"/>
        <v>0</v>
      </c>
      <c r="H322">
        <f t="shared" si="23"/>
        <v>0</v>
      </c>
      <c r="I322">
        <f t="shared" si="24"/>
        <v>0</v>
      </c>
    </row>
    <row r="323" spans="1:9">
      <c r="A323" s="372">
        <v>901</v>
      </c>
      <c r="B323" s="241" t="s">
        <v>1233</v>
      </c>
      <c r="C323" s="221"/>
      <c r="D323" s="241"/>
      <c r="E323" s="56" t="str">
        <f t="shared" si="25"/>
        <v>ESTRUTURA PARA TELHADO</v>
      </c>
      <c r="F323" s="56" t="str">
        <f t="shared" si="26"/>
        <v/>
      </c>
      <c r="G323">
        <f t="shared" si="22"/>
        <v>0</v>
      </c>
      <c r="H323">
        <f t="shared" si="23"/>
        <v>0</v>
      </c>
      <c r="I323">
        <f t="shared" si="24"/>
        <v>0</v>
      </c>
    </row>
    <row r="324" spans="1:9" ht="86.4">
      <c r="A324" s="372">
        <v>90101</v>
      </c>
      <c r="B324" s="241" t="s">
        <v>1853</v>
      </c>
      <c r="C324" s="221" t="s">
        <v>110</v>
      </c>
      <c r="D324" s="241">
        <v>226.55</v>
      </c>
      <c r="E324" s="56" t="str">
        <f t="shared" si="25"/>
        <v>ESTRUTURA DE MADEIRA DE LEI TIPO PARAJU, PEROBA MICA, ANGELIM PEDRA OU EQUIVALENTE PARA TELHADO DE TELHA CERÂMICA TIPO CAPA E CANAL, COM PONTALETES, TERÇAS, CAIBROS E RIPAS, INCLUSIVE TRATAMENTO COM CUPINICIDA, EXCLUSIVE TELHAS</v>
      </c>
      <c r="F324" s="56" t="str">
        <f t="shared" si="26"/>
        <v>M2</v>
      </c>
      <c r="G324">
        <f t="shared" si="22"/>
        <v>301.88</v>
      </c>
      <c r="H324">
        <f t="shared" si="23"/>
        <v>226.55</v>
      </c>
      <c r="I324">
        <f t="shared" si="24"/>
        <v>226.55</v>
      </c>
    </row>
    <row r="325" spans="1:9" ht="86.4">
      <c r="A325" s="372">
        <v>90102</v>
      </c>
      <c r="B325" s="241" t="s">
        <v>1854</v>
      </c>
      <c r="C325" s="221" t="s">
        <v>110</v>
      </c>
      <c r="D325" s="241">
        <v>111.73</v>
      </c>
      <c r="E325" s="56" t="str">
        <f t="shared" si="25"/>
        <v>ESTRUTURA DE MADEIRA DE LEI TIPO PARAJU, PEROBA MICA, ANGELIM PEDRA OU EQUIVALENTE PARA TELHADO DE TELHA ONDULADA DE FIBROCIMENTO ESP. 6MM, COM PONTALETES E CAIBROS, INCLUSIVE TRATAMENTO COM CUPINICIDA, EXCLUSIVE TELHAS</v>
      </c>
      <c r="F325" s="56" t="str">
        <f t="shared" si="26"/>
        <v>M2</v>
      </c>
      <c r="G325">
        <f t="shared" si="22"/>
        <v>148.88</v>
      </c>
      <c r="H325">
        <f t="shared" si="23"/>
        <v>111.73</v>
      </c>
      <c r="I325">
        <f t="shared" si="24"/>
        <v>111.73</v>
      </c>
    </row>
    <row r="326" spans="1:9" ht="57.6">
      <c r="A326" s="372">
        <v>90103</v>
      </c>
      <c r="B326" s="241" t="s">
        <v>1234</v>
      </c>
      <c r="C326" s="221" t="s">
        <v>110</v>
      </c>
      <c r="D326" s="241">
        <v>95.76</v>
      </c>
      <c r="E326" s="56" t="str">
        <f t="shared" si="25"/>
        <v>ESTRUTURA DE MADEIRA DE LEI TIPO PARAJU OU EQUIVALENTE PARA COBERTURA DE TELHA DE FIBROCIMENTO CANALETE 49/90, INCLUSIVE TRATAMENTO COM CUPINICIDA, EXCLUSIVE TELHAS</v>
      </c>
      <c r="F326" s="56" t="str">
        <f t="shared" si="26"/>
        <v>M2</v>
      </c>
      <c r="G326">
        <f t="shared" si="22"/>
        <v>127.6</v>
      </c>
      <c r="H326">
        <f t="shared" si="23"/>
        <v>95.76</v>
      </c>
      <c r="I326">
        <f t="shared" si="24"/>
        <v>95.76</v>
      </c>
    </row>
    <row r="327" spans="1:9" ht="86.4">
      <c r="A327" s="371">
        <v>90104</v>
      </c>
      <c r="B327" s="240" t="s">
        <v>1855</v>
      </c>
      <c r="C327" s="221" t="s">
        <v>110</v>
      </c>
      <c r="D327" s="241">
        <v>385.3</v>
      </c>
      <c r="E327" s="56" t="str">
        <f t="shared" si="25"/>
        <v>ESTRUTURA DE MADEIRA DE LEI TIPO PARAJU, PEROBA MICA, ANGELIM PEDRA OU EQUIVALENTE PARA TELHADO DE TELHAS CERÂMICAS TIPO CAPA E CANAL C/ TESOURAS, PILARES, VIGAS, TERÇAS, CAIBROS E RIPAS, INCL. TRAT. C/CUPINICIDA, EXCLUSIVE TELHAS</v>
      </c>
      <c r="F327" s="56" t="str">
        <f t="shared" si="26"/>
        <v>M2</v>
      </c>
      <c r="G327">
        <f t="shared" si="22"/>
        <v>513.41</v>
      </c>
      <c r="H327">
        <f t="shared" si="23"/>
        <v>385.3</v>
      </c>
      <c r="I327">
        <f t="shared" si="24"/>
        <v>385.3</v>
      </c>
    </row>
    <row r="328" spans="1:9" ht="72">
      <c r="A328" s="372">
        <v>90105</v>
      </c>
      <c r="B328" s="241" t="s">
        <v>1856</v>
      </c>
      <c r="C328" s="221" t="s">
        <v>110</v>
      </c>
      <c r="D328" s="241">
        <v>244.54</v>
      </c>
      <c r="E328" s="56" t="str">
        <f t="shared" si="25"/>
        <v>ESTRUTURA DE MADEIRA DE LEI PARAJU, PEROBA MICA, ANGELIM PEDRA OU EQUIVALENTE PARA TELHADO DE TELHA CERÂMICA TIPO FRANCESA, COM PONTALETES, TERÇAS, CAIBROS E RIPAS, INCLUSIVE TRATAMENTO COM CUPUNICIDA, EXCLUSIVE TELHAS</v>
      </c>
      <c r="F328" s="56" t="str">
        <f t="shared" si="26"/>
        <v>M2</v>
      </c>
      <c r="G328">
        <f t="shared" ref="G328:G391" si="27">ROUND(H328*(1+$G$1),2)</f>
        <v>325.85000000000002</v>
      </c>
      <c r="H328">
        <f t="shared" ref="H328:H391" si="28">I328</f>
        <v>244.54</v>
      </c>
      <c r="I328">
        <f t="shared" ref="I328:I391" si="29">ROUND(D328/(1+$E$1),2)</f>
        <v>244.54</v>
      </c>
    </row>
    <row r="329" spans="1:9">
      <c r="A329" s="371">
        <v>902</v>
      </c>
      <c r="B329" s="240" t="s">
        <v>49</v>
      </c>
      <c r="C329" s="221"/>
      <c r="D329" s="241"/>
      <c r="E329" s="56" t="str">
        <f t="shared" si="25"/>
        <v>TELHADO</v>
      </c>
      <c r="F329" s="56" t="str">
        <f t="shared" si="26"/>
        <v/>
      </c>
      <c r="G329">
        <f t="shared" si="27"/>
        <v>0</v>
      </c>
      <c r="H329">
        <f t="shared" si="28"/>
        <v>0</v>
      </c>
      <c r="I329">
        <f t="shared" si="29"/>
        <v>0</v>
      </c>
    </row>
    <row r="330" spans="1:9" ht="43.2">
      <c r="A330" s="372">
        <v>90202</v>
      </c>
      <c r="B330" s="241" t="s">
        <v>1235</v>
      </c>
      <c r="C330" s="221" t="s">
        <v>110</v>
      </c>
      <c r="D330" s="241">
        <v>49.84</v>
      </c>
      <c r="E330" s="56" t="str">
        <f t="shared" si="25"/>
        <v>COBERTURA NOVA DE TELHAS ONDULADAS DE FIBROCIMENTO 6.0MM, INCLUSIVE CUMEEIRAS E ACESSÓRIOS DE FIXAÇÃO</v>
      </c>
      <c r="F330" s="56" t="str">
        <f t="shared" si="26"/>
        <v>M2</v>
      </c>
      <c r="G330">
        <f t="shared" si="27"/>
        <v>66.41</v>
      </c>
      <c r="H330">
        <f t="shared" si="28"/>
        <v>49.84</v>
      </c>
      <c r="I330">
        <f t="shared" si="29"/>
        <v>49.84</v>
      </c>
    </row>
    <row r="331" spans="1:9" ht="43.2">
      <c r="A331" s="372">
        <v>90203</v>
      </c>
      <c r="B331" s="241" t="s">
        <v>1236</v>
      </c>
      <c r="C331" s="221" t="s">
        <v>110</v>
      </c>
      <c r="D331" s="241">
        <v>81.17</v>
      </c>
      <c r="E331" s="56" t="str">
        <f t="shared" si="25"/>
        <v>COBERTURA NOVA DE TELHAS ONDULADAS DE FIBROCIMENTO 8.0MM, INCLUSIVE CUMEEIRAS E ACESSÓRIOS DE FIXAÇÃO</v>
      </c>
      <c r="F331" s="56" t="str">
        <f t="shared" si="26"/>
        <v>M2</v>
      </c>
      <c r="G331">
        <f t="shared" si="27"/>
        <v>108.16</v>
      </c>
      <c r="H331">
        <f t="shared" si="28"/>
        <v>81.17</v>
      </c>
      <c r="I331">
        <f t="shared" si="29"/>
        <v>81.17</v>
      </c>
    </row>
    <row r="332" spans="1:9" ht="43.2">
      <c r="A332" s="372">
        <v>90206</v>
      </c>
      <c r="B332" s="241" t="s">
        <v>1237</v>
      </c>
      <c r="C332" s="221" t="s">
        <v>110</v>
      </c>
      <c r="D332" s="241">
        <v>90.62</v>
      </c>
      <c r="E332" s="56" t="str">
        <f t="shared" si="25"/>
        <v>COBERTURA NOVA DE TELHAS DE ALUMÍNIO TRAPEZOIDAL, H = 8 CM, ESP. 0.5MM, INCLUSIVE ACESSÓRIOS DE FIXAÇÃO</v>
      </c>
      <c r="F332" s="56" t="str">
        <f t="shared" si="26"/>
        <v>M2</v>
      </c>
      <c r="G332">
        <f t="shared" si="27"/>
        <v>120.75</v>
      </c>
      <c r="H332">
        <f t="shared" si="28"/>
        <v>90.62</v>
      </c>
      <c r="I332">
        <f t="shared" si="29"/>
        <v>90.62</v>
      </c>
    </row>
    <row r="333" spans="1:9" ht="57.6">
      <c r="A333" s="372">
        <v>90211</v>
      </c>
      <c r="B333" s="241" t="s">
        <v>1238</v>
      </c>
      <c r="C333" s="221" t="s">
        <v>110</v>
      </c>
      <c r="D333" s="241">
        <v>196.88</v>
      </c>
      <c r="E333" s="56" t="str">
        <f t="shared" si="25"/>
        <v>COBERTURA NOVA DE TELHAS CERÂMICAS TIPO CAPA E CANAL INCLUSIVE CUMEEIRA (TELHAS COMPRADAS NA PRAÇA DE VITÓRIA, POSTO OBRA) (ÁREA DE PROJEÇÃO HORIZONTAL; INCL. 35%)</v>
      </c>
      <c r="F333" s="56" t="str">
        <f t="shared" si="26"/>
        <v>M2</v>
      </c>
      <c r="G333">
        <f t="shared" si="27"/>
        <v>262.33999999999997</v>
      </c>
      <c r="H333">
        <f t="shared" si="28"/>
        <v>196.88</v>
      </c>
      <c r="I333">
        <f t="shared" si="29"/>
        <v>196.88</v>
      </c>
    </row>
    <row r="334" spans="1:9" ht="43.2">
      <c r="A334" s="372">
        <v>90212</v>
      </c>
      <c r="B334" s="241" t="s">
        <v>1239</v>
      </c>
      <c r="C334" s="221" t="s">
        <v>110</v>
      </c>
      <c r="D334" s="241">
        <v>145.05000000000001</v>
      </c>
      <c r="E334" s="56" t="str">
        <f t="shared" si="25"/>
        <v>COBERTURA NOVA DE TELHAS CERÂMICAS TIPO CAPA E CANAL INCLUSIVE CUMEEIRAS (TELHAS COMPRADAS NA FÁBRICA, POSTO OBRA)</v>
      </c>
      <c r="F334" s="56" t="str">
        <f t="shared" si="26"/>
        <v>M2</v>
      </c>
      <c r="G334">
        <f t="shared" si="27"/>
        <v>193.28</v>
      </c>
      <c r="H334">
        <f t="shared" si="28"/>
        <v>145.05000000000001</v>
      </c>
      <c r="I334">
        <f t="shared" si="29"/>
        <v>145.05000000000001</v>
      </c>
    </row>
    <row r="335" spans="1:9" ht="28.8">
      <c r="A335" s="372">
        <v>90215</v>
      </c>
      <c r="B335" s="241" t="s">
        <v>1240</v>
      </c>
      <c r="C335" s="221" t="s">
        <v>112</v>
      </c>
      <c r="D335" s="241">
        <v>36.700000000000003</v>
      </c>
      <c r="E335" s="56" t="str">
        <f t="shared" si="25"/>
        <v>CUMEEIRA PARA COBERTURA EM TELHA CERÂMICA TIPO CAPA E CANAL</v>
      </c>
      <c r="F335" s="56" t="str">
        <f t="shared" si="26"/>
        <v>M</v>
      </c>
      <c r="G335">
        <f t="shared" si="27"/>
        <v>48.9</v>
      </c>
      <c r="H335">
        <f t="shared" si="28"/>
        <v>36.700000000000003</v>
      </c>
      <c r="I335">
        <f t="shared" si="29"/>
        <v>36.700000000000003</v>
      </c>
    </row>
    <row r="336" spans="1:9" ht="28.8">
      <c r="A336" s="371">
        <v>90216</v>
      </c>
      <c r="B336" s="240" t="s">
        <v>1241</v>
      </c>
      <c r="C336" s="221" t="s">
        <v>112</v>
      </c>
      <c r="D336" s="241">
        <v>84.98</v>
      </c>
      <c r="E336" s="56" t="str">
        <f t="shared" si="25"/>
        <v>CUMEEIRA PARA COBERTURA EM TELHAS ONDULADAS DE FIBROCIMENTO 6.0MM</v>
      </c>
      <c r="F336" s="56" t="str">
        <f t="shared" si="26"/>
        <v>M</v>
      </c>
      <c r="G336">
        <f t="shared" si="27"/>
        <v>113.24</v>
      </c>
      <c r="H336">
        <f t="shared" si="28"/>
        <v>84.98</v>
      </c>
      <c r="I336">
        <f t="shared" si="29"/>
        <v>84.98</v>
      </c>
    </row>
    <row r="337" spans="1:9" ht="28.8">
      <c r="A337" s="371">
        <v>90219</v>
      </c>
      <c r="B337" s="240" t="s">
        <v>1242</v>
      </c>
      <c r="C337" s="221" t="s">
        <v>110</v>
      </c>
      <c r="D337" s="241">
        <v>88.91</v>
      </c>
      <c r="E337" s="56" t="str">
        <f t="shared" si="25"/>
        <v>COBERTURA EM TELHA ONDULADA DE ALUMÍNIO, ESP. 0.5MM, INCLUSIVE ACESSÓRIOS DE FIXAÇÃO</v>
      </c>
      <c r="F337" s="56" t="str">
        <f t="shared" si="26"/>
        <v>M2</v>
      </c>
      <c r="G337">
        <f t="shared" si="27"/>
        <v>118.47</v>
      </c>
      <c r="H337">
        <f t="shared" si="28"/>
        <v>88.91</v>
      </c>
      <c r="I337">
        <f t="shared" si="29"/>
        <v>88.91</v>
      </c>
    </row>
    <row r="338" spans="1:9" ht="72">
      <c r="A338" s="372">
        <v>90228</v>
      </c>
      <c r="B338" s="241" t="s">
        <v>35659</v>
      </c>
      <c r="C338" s="221" t="s">
        <v>110</v>
      </c>
      <c r="D338" s="241">
        <v>75.72</v>
      </c>
      <c r="E338" s="56" t="str">
        <f t="shared" si="25"/>
        <v>COBERTURA COM TELHA EM AÇO GALVALUME TRAPEZOIDAL 40, ESPESSURA: 0.50 MM, PINTURA COR BRANCA NAS DUAS FACES, INCLUSIVE ACESSÓRIO DE FIXAÇÃO -SANTO ANDRÉ, ETERNIT, METFORM OU EQUIVALENTE</v>
      </c>
      <c r="F338" s="56" t="str">
        <f t="shared" si="26"/>
        <v>M2</v>
      </c>
      <c r="G338">
        <f t="shared" si="27"/>
        <v>100.9</v>
      </c>
      <c r="H338">
        <f t="shared" si="28"/>
        <v>75.72</v>
      </c>
      <c r="I338">
        <f t="shared" si="29"/>
        <v>75.72</v>
      </c>
    </row>
    <row r="339" spans="1:9">
      <c r="A339" s="372">
        <v>903</v>
      </c>
      <c r="B339" s="241" t="s">
        <v>50</v>
      </c>
      <c r="C339" s="221"/>
      <c r="D339" s="241"/>
      <c r="E339" s="56" t="str">
        <f t="shared" si="25"/>
        <v>RUFOS E CALHAS</v>
      </c>
      <c r="F339" s="56" t="str">
        <f t="shared" si="26"/>
        <v/>
      </c>
      <c r="G339">
        <f t="shared" si="27"/>
        <v>0</v>
      </c>
      <c r="H339">
        <f t="shared" si="28"/>
        <v>0</v>
      </c>
      <c r="I339">
        <f t="shared" si="29"/>
        <v>0</v>
      </c>
    </row>
    <row r="340" spans="1:9" ht="28.8">
      <c r="A340" s="371">
        <v>90302</v>
      </c>
      <c r="B340" s="240" t="s">
        <v>1243</v>
      </c>
      <c r="C340" s="221" t="s">
        <v>112</v>
      </c>
      <c r="D340" s="241">
        <v>45.48</v>
      </c>
      <c r="E340" s="56" t="str">
        <f t="shared" si="25"/>
        <v>RUFO DE CHAPA METÁLICA Nº 26 COM LARGURA DE 30 CM</v>
      </c>
      <c r="F340" s="56" t="str">
        <f t="shared" si="26"/>
        <v>M</v>
      </c>
      <c r="G340">
        <f t="shared" si="27"/>
        <v>60.6</v>
      </c>
      <c r="H340">
        <f t="shared" si="28"/>
        <v>45.48</v>
      </c>
      <c r="I340">
        <f t="shared" si="29"/>
        <v>45.48</v>
      </c>
    </row>
    <row r="341" spans="1:9" ht="43.2">
      <c r="A341" s="372">
        <v>90305</v>
      </c>
      <c r="B341" s="241" t="s">
        <v>1244</v>
      </c>
      <c r="C341" s="221" t="s">
        <v>112</v>
      </c>
      <c r="D341" s="241">
        <v>275.45999999999998</v>
      </c>
      <c r="E341" s="56" t="str">
        <f t="shared" si="25"/>
        <v>CALHA DE CONCRETO ARMADO FCK=15 MPA EM "U" NAS DIMENSÕES DE 38 X 56 CM CONFORME DETALHES EM PROJETO</v>
      </c>
      <c r="F341" s="56" t="str">
        <f t="shared" si="26"/>
        <v>M</v>
      </c>
      <c r="G341">
        <f t="shared" si="27"/>
        <v>367.05</v>
      </c>
      <c r="H341">
        <f t="shared" si="28"/>
        <v>275.45999999999998</v>
      </c>
      <c r="I341">
        <f t="shared" si="29"/>
        <v>275.45999999999998</v>
      </c>
    </row>
    <row r="342" spans="1:9" ht="57.6">
      <c r="A342" s="372">
        <v>90306</v>
      </c>
      <c r="B342" s="241" t="s">
        <v>35660</v>
      </c>
      <c r="C342" s="221" t="s">
        <v>112</v>
      </c>
      <c r="D342" s="241">
        <v>173.36</v>
      </c>
      <c r="E342" s="56" t="str">
        <f t="shared" si="25"/>
        <v>RUFO DE CONCRETO ARMADO FCK=20 MPA, NAS DIMENSÕES DE 35 X 7 CM, MOLDADO "IN LOCO", INCLUSIVE FORMA E ARMAÇÃO E DESFORMA, CONFORME PROJETO</v>
      </c>
      <c r="F342" s="56" t="str">
        <f t="shared" si="26"/>
        <v>M</v>
      </c>
      <c r="G342">
        <f t="shared" si="27"/>
        <v>231</v>
      </c>
      <c r="H342">
        <f t="shared" si="28"/>
        <v>173.36</v>
      </c>
      <c r="I342">
        <f t="shared" si="29"/>
        <v>173.36</v>
      </c>
    </row>
    <row r="343" spans="1:9" ht="28.8">
      <c r="A343" s="372">
        <v>90312</v>
      </c>
      <c r="B343" s="241" t="s">
        <v>1245</v>
      </c>
      <c r="C343" s="221" t="s">
        <v>112</v>
      </c>
      <c r="D343" s="241">
        <v>227.58</v>
      </c>
      <c r="E343" s="56" t="str">
        <f t="shared" si="25"/>
        <v>CALHA EM CHAPA GALVANIZADA COM LARGURA DE 40 CM</v>
      </c>
      <c r="F343" s="56" t="str">
        <f t="shared" si="26"/>
        <v>M</v>
      </c>
      <c r="G343">
        <f t="shared" si="27"/>
        <v>303.25</v>
      </c>
      <c r="H343">
        <f t="shared" si="28"/>
        <v>227.58</v>
      </c>
      <c r="I343">
        <f t="shared" si="29"/>
        <v>227.58</v>
      </c>
    </row>
    <row r="344" spans="1:9" ht="28.8">
      <c r="A344" s="372">
        <v>90314</v>
      </c>
      <c r="B344" s="241" t="s">
        <v>1246</v>
      </c>
      <c r="C344" s="221" t="s">
        <v>112</v>
      </c>
      <c r="D344" s="241">
        <v>92.77</v>
      </c>
      <c r="E344" s="56" t="str">
        <f t="shared" si="25"/>
        <v>RUFO DE CHAPA DE ALUMÍNIO ESP. 0.5MM, LARGURA DE 30CM</v>
      </c>
      <c r="F344" s="56" t="str">
        <f t="shared" si="26"/>
        <v>M</v>
      </c>
      <c r="G344">
        <f t="shared" si="27"/>
        <v>123.62</v>
      </c>
      <c r="H344">
        <f t="shared" si="28"/>
        <v>92.77</v>
      </c>
      <c r="I344">
        <f t="shared" si="29"/>
        <v>92.77</v>
      </c>
    </row>
    <row r="345" spans="1:9">
      <c r="A345" s="371">
        <v>904</v>
      </c>
      <c r="B345" s="240" t="s">
        <v>1247</v>
      </c>
      <c r="C345" s="221"/>
      <c r="D345" s="241"/>
      <c r="E345" s="56" t="str">
        <f t="shared" si="25"/>
        <v>PLATIBANDA</v>
      </c>
      <c r="F345" s="56" t="str">
        <f t="shared" si="26"/>
        <v/>
      </c>
      <c r="G345">
        <f t="shared" si="27"/>
        <v>0</v>
      </c>
      <c r="H345">
        <f t="shared" si="28"/>
        <v>0</v>
      </c>
      <c r="I345">
        <f t="shared" si="29"/>
        <v>0</v>
      </c>
    </row>
    <row r="346" spans="1:9" ht="72">
      <c r="A346" s="372">
        <v>90403</v>
      </c>
      <c r="B346" s="241" t="s">
        <v>1248</v>
      </c>
      <c r="C346" s="221" t="s">
        <v>112</v>
      </c>
      <c r="D346" s="241">
        <v>134.65</v>
      </c>
      <c r="E346" s="56" t="str">
        <f t="shared" si="25"/>
        <v>PLATIBANDA DE ALVENARIA DE BLOCO CERÂMICO 10X20X20CM, ASSENTADO COM ARGAMASSA DE CIMENTO, CAL HIDRATADA CH1 E AREIA NO TRAÇO 1:0,5:8, AMARRADA COM PILARETES EM CONC. ARM. A CADA 2M (H=1.0M), EXCL. REVEST.</v>
      </c>
      <c r="F346" s="56" t="str">
        <f t="shared" si="26"/>
        <v>M</v>
      </c>
      <c r="G346">
        <f t="shared" si="27"/>
        <v>179.42</v>
      </c>
      <c r="H346">
        <f t="shared" si="28"/>
        <v>134.65</v>
      </c>
      <c r="I346">
        <f t="shared" si="29"/>
        <v>134.65</v>
      </c>
    </row>
    <row r="347" spans="1:9">
      <c r="A347" s="371">
        <v>905</v>
      </c>
      <c r="B347" s="240" t="s">
        <v>1210</v>
      </c>
      <c r="C347" s="221"/>
      <c r="D347" s="241"/>
      <c r="E347" s="56" t="str">
        <f t="shared" si="25"/>
        <v>REVISÕES E REPAROS</v>
      </c>
      <c r="F347" s="56" t="str">
        <f t="shared" si="26"/>
        <v/>
      </c>
      <c r="G347">
        <f t="shared" si="27"/>
        <v>0</v>
      </c>
      <c r="H347">
        <f t="shared" si="28"/>
        <v>0</v>
      </c>
      <c r="I347">
        <f t="shared" si="29"/>
        <v>0</v>
      </c>
    </row>
    <row r="348" spans="1:9" ht="57.6">
      <c r="A348" s="371">
        <v>90501</v>
      </c>
      <c r="B348" s="240" t="s">
        <v>1249</v>
      </c>
      <c r="C348" s="221" t="s">
        <v>110</v>
      </c>
      <c r="D348" s="241">
        <v>73.77</v>
      </c>
      <c r="E348" s="56" t="str">
        <f t="shared" si="25"/>
        <v>RECOLOCAÇÃO DE ENGRADAMENTO DE MADEIRA PARA TELHADO COM TELHA CERÂMICA, COM PONTALETES, TERÇAS, CAIBROS E RIPAS, EXCLUSIVE FORNECIMENTO</v>
      </c>
      <c r="F348" s="56" t="str">
        <f t="shared" si="26"/>
        <v>M2</v>
      </c>
      <c r="G348">
        <f t="shared" si="27"/>
        <v>98.3</v>
      </c>
      <c r="H348">
        <f t="shared" si="28"/>
        <v>73.77</v>
      </c>
      <c r="I348">
        <f t="shared" si="29"/>
        <v>73.77</v>
      </c>
    </row>
    <row r="349" spans="1:9" ht="72">
      <c r="A349" s="372">
        <v>90502</v>
      </c>
      <c r="B349" s="241" t="s">
        <v>1250</v>
      </c>
      <c r="C349" s="221" t="s">
        <v>110</v>
      </c>
      <c r="D349" s="241">
        <v>25.3</v>
      </c>
      <c r="E349" s="56" t="str">
        <f t="shared" si="25"/>
        <v>RECOLOCAÇÃO DE ESTRUTURA DE MADEIRA PARA TELHADO COM TELHA ONDULADA DE FIBROCIMENTO OU TELHA ECOLÓGICA TIPO ONDULINE, COM PONTALETES E CAIBROS, EXCLUSIVE FORNECIMENTO</v>
      </c>
      <c r="F349" s="56" t="str">
        <f t="shared" si="26"/>
        <v>M2</v>
      </c>
      <c r="G349">
        <f t="shared" si="27"/>
        <v>33.71</v>
      </c>
      <c r="H349">
        <f t="shared" si="28"/>
        <v>25.3</v>
      </c>
      <c r="I349">
        <f t="shared" si="29"/>
        <v>25.3</v>
      </c>
    </row>
    <row r="350" spans="1:9" ht="28.8">
      <c r="A350" s="371">
        <v>90506</v>
      </c>
      <c r="B350" s="240" t="s">
        <v>1251</v>
      </c>
      <c r="C350" s="221" t="s">
        <v>110</v>
      </c>
      <c r="D350" s="241">
        <v>18.34</v>
      </c>
      <c r="E350" s="56" t="str">
        <f t="shared" si="25"/>
        <v>RECOLOCAÇÃO DE TELHA ONDULADA DE FIBROCIMENTO 6MM, EXCL. CUMEEIRA</v>
      </c>
      <c r="F350" s="56" t="str">
        <f t="shared" si="26"/>
        <v>M2</v>
      </c>
      <c r="G350">
        <f t="shared" si="27"/>
        <v>24.44</v>
      </c>
      <c r="H350">
        <f t="shared" si="28"/>
        <v>18.34</v>
      </c>
      <c r="I350">
        <f t="shared" si="29"/>
        <v>18.34</v>
      </c>
    </row>
    <row r="351" spans="1:9" ht="28.8">
      <c r="A351" s="372">
        <v>90509</v>
      </c>
      <c r="B351" s="241" t="s">
        <v>1252</v>
      </c>
      <c r="C351" s="221" t="s">
        <v>110</v>
      </c>
      <c r="D351" s="241">
        <v>105.32</v>
      </c>
      <c r="E351" s="56" t="str">
        <f t="shared" si="25"/>
        <v>REMOÇÃO, LAVAGEM COM ESCOVA DE AÇO E RECOLOCAÇÃO DE TELHAS CERÂMICAS</v>
      </c>
      <c r="F351" s="56" t="str">
        <f t="shared" si="26"/>
        <v>M2</v>
      </c>
      <c r="G351">
        <f t="shared" si="27"/>
        <v>140.34</v>
      </c>
      <c r="H351">
        <f t="shared" si="28"/>
        <v>105.32</v>
      </c>
      <c r="I351">
        <f t="shared" si="29"/>
        <v>105.32</v>
      </c>
    </row>
    <row r="352" spans="1:9" ht="28.8">
      <c r="A352" s="372">
        <v>90511</v>
      </c>
      <c r="B352" s="241" t="s">
        <v>35661</v>
      </c>
      <c r="C352" s="221" t="s">
        <v>110</v>
      </c>
      <c r="D352" s="241">
        <v>10.92</v>
      </c>
      <c r="E352" s="56" t="str">
        <f t="shared" si="25"/>
        <v>TRATAMENTO EM ESTRUTURA DE MADEIRA COM IMUNIZANTE CUPINICIDA, A UMA DEMÃO</v>
      </c>
      <c r="F352" s="56" t="str">
        <f t="shared" si="26"/>
        <v>M2</v>
      </c>
      <c r="G352">
        <f t="shared" si="27"/>
        <v>14.55</v>
      </c>
      <c r="H352">
        <f t="shared" si="28"/>
        <v>10.92</v>
      </c>
      <c r="I352">
        <f t="shared" si="29"/>
        <v>10.92</v>
      </c>
    </row>
    <row r="353" spans="1:9" ht="28.8">
      <c r="A353" s="371">
        <v>90512</v>
      </c>
      <c r="B353" s="240" t="s">
        <v>1253</v>
      </c>
      <c r="C353" s="221" t="s">
        <v>1061</v>
      </c>
      <c r="D353" s="241">
        <v>27.06</v>
      </c>
      <c r="E353" s="56" t="str">
        <f t="shared" si="25"/>
        <v>LIMPEZA DE CALHAS E COLETORES (SERVIÇO REALIZADO POR SERVENTE)</v>
      </c>
      <c r="F353" s="56" t="str">
        <f t="shared" si="26"/>
        <v>M3</v>
      </c>
      <c r="G353">
        <f t="shared" si="27"/>
        <v>36.06</v>
      </c>
      <c r="H353">
        <f t="shared" si="28"/>
        <v>27.06</v>
      </c>
      <c r="I353">
        <f t="shared" si="29"/>
        <v>27.06</v>
      </c>
    </row>
    <row r="354" spans="1:9">
      <c r="A354" s="372">
        <v>10</v>
      </c>
      <c r="B354" s="241" t="s">
        <v>72</v>
      </c>
      <c r="C354" s="221"/>
      <c r="D354" s="241"/>
      <c r="E354" s="56" t="str">
        <f t="shared" si="25"/>
        <v>IMPERMEABILIZAÇÃO</v>
      </c>
      <c r="F354" s="56" t="str">
        <f t="shared" si="26"/>
        <v/>
      </c>
      <c r="G354">
        <f t="shared" si="27"/>
        <v>0</v>
      </c>
      <c r="H354">
        <f t="shared" si="28"/>
        <v>0</v>
      </c>
      <c r="I354">
        <f t="shared" si="29"/>
        <v>0</v>
      </c>
    </row>
    <row r="355" spans="1:9">
      <c r="A355" s="372">
        <v>1001</v>
      </c>
      <c r="B355" s="241" t="s">
        <v>1254</v>
      </c>
      <c r="C355" s="221"/>
      <c r="D355" s="241"/>
      <c r="E355" s="56" t="str">
        <f t="shared" si="25"/>
        <v>IMPERMEABILIZAÇÃO DE CAIXAS DE ÁGUA</v>
      </c>
      <c r="F355" s="56" t="str">
        <f t="shared" si="26"/>
        <v/>
      </c>
      <c r="G355">
        <f t="shared" si="27"/>
        <v>0</v>
      </c>
      <c r="H355">
        <f t="shared" si="28"/>
        <v>0</v>
      </c>
      <c r="I355">
        <f t="shared" si="29"/>
        <v>0</v>
      </c>
    </row>
    <row r="356" spans="1:9" ht="72">
      <c r="A356" s="371">
        <v>100102</v>
      </c>
      <c r="B356" s="240" t="s">
        <v>1255</v>
      </c>
      <c r="C356" s="221" t="s">
        <v>110</v>
      </c>
      <c r="D356" s="241">
        <v>91.59</v>
      </c>
      <c r="E356" s="56" t="str">
        <f t="shared" si="25"/>
        <v>IMPERMEABILIZAÇÃO NAS SEGUINTES ETAPAS: CHAPISCO TRAÇO 1:2 C/ SIKA 1 OU EQUIVALENTE, REVEST. DUPLO C/ ARGAMASSA DE CIMENTO E AREIA TRAÇO 1:3 C/ SIKA 1 OU EQUIVALENTE, EM 2X15 MM E ACAB. ARGAMASSA 1:1</v>
      </c>
      <c r="F356" s="56" t="str">
        <f t="shared" si="26"/>
        <v>M2</v>
      </c>
      <c r="G356">
        <f t="shared" si="27"/>
        <v>122.04</v>
      </c>
      <c r="H356">
        <f t="shared" si="28"/>
        <v>91.59</v>
      </c>
      <c r="I356">
        <f t="shared" si="29"/>
        <v>91.59</v>
      </c>
    </row>
    <row r="357" spans="1:9" ht="86.4">
      <c r="A357" s="372">
        <v>100105</v>
      </c>
      <c r="B357" s="241" t="s">
        <v>27134</v>
      </c>
      <c r="C357" s="221" t="s">
        <v>110</v>
      </c>
      <c r="D357" s="241">
        <v>373.18</v>
      </c>
      <c r="E357" s="56" t="str">
        <f t="shared" si="25"/>
        <v>ÍNDICE DE IMPERM.C/ MANTA ASFÁLTICA ATENDENDO NBR 9952, ASFALTO POLIMÉRICO, ESP.4MM REFORÇ.C/ FILME INT.EM POLIETILENO, REGUL.BASE C/ ARG.1:4 ESP.MÍN.15MM, PROTEÇÃO MEC. ARG. 1:4 ESP.20MM, IMPRIMAÇÃO E JUNTAS DILAT.</v>
      </c>
      <c r="F357" s="56" t="str">
        <f t="shared" si="26"/>
        <v>M2</v>
      </c>
      <c r="G357">
        <f t="shared" si="27"/>
        <v>497.26</v>
      </c>
      <c r="H357">
        <f t="shared" si="28"/>
        <v>373.18</v>
      </c>
      <c r="I357">
        <f t="shared" si="29"/>
        <v>373.18</v>
      </c>
    </row>
    <row r="358" spans="1:9" ht="43.2">
      <c r="A358" s="371">
        <v>1002</v>
      </c>
      <c r="B358" s="240" t="s">
        <v>1256</v>
      </c>
      <c r="C358" s="221"/>
      <c r="D358" s="241"/>
      <c r="E358" s="56" t="str">
        <f t="shared" si="25"/>
        <v>IMPERMEABILIZAÇÃO CALHAS, LAJES DESCOBERTAS, BALDRAMES, PAREDES E JARDINEIRAS</v>
      </c>
      <c r="F358" s="56" t="str">
        <f t="shared" si="26"/>
        <v/>
      </c>
      <c r="G358">
        <f t="shared" si="27"/>
        <v>0</v>
      </c>
      <c r="H358">
        <f t="shared" si="28"/>
        <v>0</v>
      </c>
      <c r="I358">
        <f t="shared" si="29"/>
        <v>0</v>
      </c>
    </row>
    <row r="359" spans="1:9" ht="28.8">
      <c r="A359" s="371">
        <v>100202</v>
      </c>
      <c r="B359" s="240" t="s">
        <v>1257</v>
      </c>
      <c r="C359" s="221" t="s">
        <v>110</v>
      </c>
      <c r="D359" s="241">
        <v>62.29</v>
      </c>
      <c r="E359" s="56" t="str">
        <f t="shared" si="25"/>
        <v>IMPERMEABILIZAÇÃO COM ARGAMASSA DE IGOL 2 - MARCA DE REFERÊNCIA SIKA</v>
      </c>
      <c r="F359" s="56" t="str">
        <f t="shared" si="26"/>
        <v>M2</v>
      </c>
      <c r="G359">
        <f t="shared" si="27"/>
        <v>83</v>
      </c>
      <c r="H359">
        <f t="shared" si="28"/>
        <v>62.29</v>
      </c>
      <c r="I359">
        <f t="shared" si="29"/>
        <v>62.29</v>
      </c>
    </row>
    <row r="360" spans="1:9" ht="28.8">
      <c r="A360" s="372">
        <v>100203</v>
      </c>
      <c r="B360" s="241" t="s">
        <v>1258</v>
      </c>
      <c r="C360" s="221" t="s">
        <v>110</v>
      </c>
      <c r="D360" s="241">
        <v>44.06</v>
      </c>
      <c r="E360" s="56" t="str">
        <f t="shared" si="25"/>
        <v>PINTURA IMPERMEABILIZANTE COM IGOLFLEX OU EQUIVALENTE A 3 DEMÃOS</v>
      </c>
      <c r="F360" s="56" t="str">
        <f t="shared" si="26"/>
        <v>M2</v>
      </c>
      <c r="G360">
        <f t="shared" si="27"/>
        <v>58.71</v>
      </c>
      <c r="H360">
        <f t="shared" si="28"/>
        <v>44.06</v>
      </c>
      <c r="I360">
        <f t="shared" si="29"/>
        <v>44.06</v>
      </c>
    </row>
    <row r="361" spans="1:9" ht="57.6">
      <c r="A361" s="371">
        <v>100204</v>
      </c>
      <c r="B361" s="240" t="s">
        <v>1259</v>
      </c>
      <c r="C361" s="221" t="s">
        <v>110</v>
      </c>
      <c r="D361" s="241">
        <v>50.3</v>
      </c>
      <c r="E361" s="56" t="str">
        <f t="shared" si="25"/>
        <v>IMPERMEABILIZAÇÃO, EMPREGANDO ARGAMASSA DE CIMENTO E AREIA SEM PENEIRAR NO TRAÇO 1:3 COM ADITIVO IMPERMEABILIZADO TIPO SIKA 1 OU EQUIVALENTE, ESPESSURA DE 2 CM</v>
      </c>
      <c r="F361" s="56" t="str">
        <f t="shared" si="26"/>
        <v>M2</v>
      </c>
      <c r="G361">
        <f t="shared" si="27"/>
        <v>67.02</v>
      </c>
      <c r="H361">
        <f t="shared" si="28"/>
        <v>50.3</v>
      </c>
      <c r="I361">
        <f t="shared" si="29"/>
        <v>50.3</v>
      </c>
    </row>
    <row r="362" spans="1:9" ht="86.4">
      <c r="A362" s="372">
        <v>100208</v>
      </c>
      <c r="B362" s="241" t="s">
        <v>27135</v>
      </c>
      <c r="C362" s="221" t="s">
        <v>110</v>
      </c>
      <c r="D362" s="241">
        <v>329.77</v>
      </c>
      <c r="E362" s="56" t="str">
        <f t="shared" si="25"/>
        <v>ÍNDICE DE IMPERM.C/ MANTA ASFÁLTICA ATENDENDO NBR 9952, ASFALTO POLIMERIZADO ESP.3MM, REFORÇ.C/ FILME INT. POLIETILENO, REGUL. BASE C/ ARG.1:4 ESP.MÍN.15MM, PROTEÇÃO MEC. ARG.1:4 ESP.20MM, IMPRIMAÇÃO E JUNTAS DILAT.</v>
      </c>
      <c r="F362" s="56" t="str">
        <f t="shared" si="26"/>
        <v>M2</v>
      </c>
      <c r="G362">
        <f t="shared" si="27"/>
        <v>439.42</v>
      </c>
      <c r="H362">
        <f t="shared" si="28"/>
        <v>329.77</v>
      </c>
      <c r="I362">
        <f t="shared" si="29"/>
        <v>329.77</v>
      </c>
    </row>
    <row r="363" spans="1:9">
      <c r="A363" s="372">
        <v>1003</v>
      </c>
      <c r="B363" s="241" t="s">
        <v>1260</v>
      </c>
      <c r="C363" s="221"/>
      <c r="D363" s="241"/>
      <c r="E363" s="56" t="str">
        <f t="shared" si="25"/>
        <v>IMPERMEABILIZAÇÃO DE FOSSAS E FILTROS</v>
      </c>
      <c r="F363" s="56" t="str">
        <f t="shared" si="26"/>
        <v/>
      </c>
      <c r="G363">
        <f t="shared" si="27"/>
        <v>0</v>
      </c>
      <c r="H363">
        <f t="shared" si="28"/>
        <v>0</v>
      </c>
      <c r="I363">
        <f t="shared" si="29"/>
        <v>0</v>
      </c>
    </row>
    <row r="364" spans="1:9" ht="86.4">
      <c r="A364" s="372">
        <v>100301</v>
      </c>
      <c r="B364" s="241" t="s">
        <v>1261</v>
      </c>
      <c r="C364" s="221" t="s">
        <v>110</v>
      </c>
      <c r="D364" s="241">
        <v>102.05</v>
      </c>
      <c r="E364" s="56" t="str">
        <f t="shared" si="25"/>
        <v>IMPERMEABILIZAÇÃO NAS SEGUINTES ETAPAS: CHAPISCO TRAÇO 1:2 C/ SIKA 1 PROP. 1:10 OU EQUIV., REVEST. DUPLO C/ ARGAMASSA DE CIMENTO E AREIA TRAÇO 1:3 C/ SIKA 1 PROP. 1:12 OU EQUIVALENTE, ESP. 2X15 MM E ACAB. ARGAMASSA 1:2</v>
      </c>
      <c r="F364" s="56" t="str">
        <f t="shared" si="26"/>
        <v>M2</v>
      </c>
      <c r="G364">
        <f t="shared" si="27"/>
        <v>135.97999999999999</v>
      </c>
      <c r="H364">
        <f t="shared" si="28"/>
        <v>102.05</v>
      </c>
      <c r="I364">
        <f t="shared" si="29"/>
        <v>102.05</v>
      </c>
    </row>
    <row r="365" spans="1:9">
      <c r="A365" s="372">
        <v>11</v>
      </c>
      <c r="B365" s="241" t="s">
        <v>1262</v>
      </c>
      <c r="C365" s="221"/>
      <c r="D365" s="241"/>
      <c r="E365" s="56" t="str">
        <f t="shared" si="25"/>
        <v>TETOS E FORROS</v>
      </c>
      <c r="F365" s="56" t="str">
        <f t="shared" si="26"/>
        <v/>
      </c>
      <c r="G365">
        <f t="shared" si="27"/>
        <v>0</v>
      </c>
      <c r="H365">
        <f t="shared" si="28"/>
        <v>0</v>
      </c>
      <c r="I365">
        <f t="shared" si="29"/>
        <v>0</v>
      </c>
    </row>
    <row r="366" spans="1:9">
      <c r="A366" s="372">
        <v>1101</v>
      </c>
      <c r="B366" s="241" t="s">
        <v>1263</v>
      </c>
      <c r="C366" s="221"/>
      <c r="D366" s="241"/>
      <c r="E366" s="56" t="str">
        <f t="shared" si="25"/>
        <v>REVESTIMENTO COM ARGAMASSA</v>
      </c>
      <c r="F366" s="56" t="str">
        <f t="shared" si="26"/>
        <v/>
      </c>
      <c r="G366">
        <f t="shared" si="27"/>
        <v>0</v>
      </c>
      <c r="H366">
        <f t="shared" si="28"/>
        <v>0</v>
      </c>
      <c r="I366">
        <f t="shared" si="29"/>
        <v>0</v>
      </c>
    </row>
    <row r="367" spans="1:9" ht="43.2">
      <c r="A367" s="372">
        <v>110101</v>
      </c>
      <c r="B367" s="241" t="s">
        <v>1264</v>
      </c>
      <c r="C367" s="221" t="s">
        <v>110</v>
      </c>
      <c r="D367" s="241">
        <v>15.32</v>
      </c>
      <c r="E367" s="56" t="str">
        <f t="shared" si="25"/>
        <v>CHAPISCO COM ARGAMASSA DE CIMENTO E AREIA MÉDIA OU GROSSA LAVADA NO TRAÇO 1:3, ESPESSURA 5 MM</v>
      </c>
      <c r="F367" s="56" t="str">
        <f t="shared" si="26"/>
        <v>M2</v>
      </c>
      <c r="G367">
        <f t="shared" si="27"/>
        <v>20.41</v>
      </c>
      <c r="H367">
        <f t="shared" si="28"/>
        <v>15.32</v>
      </c>
      <c r="I367">
        <f t="shared" si="29"/>
        <v>15.32</v>
      </c>
    </row>
    <row r="368" spans="1:9">
      <c r="A368" s="372">
        <v>1102</v>
      </c>
      <c r="B368" s="241" t="s">
        <v>1265</v>
      </c>
      <c r="C368" s="221"/>
      <c r="D368" s="241"/>
      <c r="E368" s="56" t="str">
        <f t="shared" si="25"/>
        <v>REBAIXAMENTOS</v>
      </c>
      <c r="F368" s="56" t="str">
        <f t="shared" si="26"/>
        <v/>
      </c>
      <c r="G368">
        <f t="shared" si="27"/>
        <v>0</v>
      </c>
      <c r="H368">
        <f t="shared" si="28"/>
        <v>0</v>
      </c>
      <c r="I368">
        <f t="shared" si="29"/>
        <v>0</v>
      </c>
    </row>
    <row r="369" spans="1:9">
      <c r="A369" s="372">
        <v>110201</v>
      </c>
      <c r="B369" s="241" t="s">
        <v>1266</v>
      </c>
      <c r="C369" s="221" t="s">
        <v>110</v>
      </c>
      <c r="D369" s="241">
        <v>60.1</v>
      </c>
      <c r="E369" s="56" t="str">
        <f t="shared" si="25"/>
        <v>FORRO DE GESSO ACABAMENTO TIPO LISO</v>
      </c>
      <c r="F369" s="56" t="str">
        <f t="shared" si="26"/>
        <v>M2</v>
      </c>
      <c r="G369">
        <f t="shared" si="27"/>
        <v>80.08</v>
      </c>
      <c r="H369">
        <f t="shared" si="28"/>
        <v>60.1</v>
      </c>
      <c r="I369">
        <f t="shared" si="29"/>
        <v>60.1</v>
      </c>
    </row>
    <row r="370" spans="1:9" ht="57.6">
      <c r="A370" s="372">
        <v>110210</v>
      </c>
      <c r="B370" s="241" t="s">
        <v>23533</v>
      </c>
      <c r="C370" s="221" t="s">
        <v>110</v>
      </c>
      <c r="D370" s="241">
        <v>93.4</v>
      </c>
      <c r="E370" s="56" t="str">
        <f t="shared" si="25"/>
        <v>FORRO PVC BRANCO L = 20 CM, FRISADO, ESTRUTURADO POR PERFIS DE AÇO GALVANIZADO E TIRANTES RÍGIDOS FABRICADO DE ACORDO COM A NBR-14285, COLOCADO</v>
      </c>
      <c r="F370" s="56" t="str">
        <f t="shared" si="26"/>
        <v>M2</v>
      </c>
      <c r="G370">
        <f t="shared" si="27"/>
        <v>124.46</v>
      </c>
      <c r="H370">
        <f t="shared" si="28"/>
        <v>93.4</v>
      </c>
      <c r="I370">
        <f t="shared" si="29"/>
        <v>93.4</v>
      </c>
    </row>
    <row r="371" spans="1:9" ht="28.8">
      <c r="A371" s="372">
        <v>1103</v>
      </c>
      <c r="B371" s="241" t="s">
        <v>1267</v>
      </c>
      <c r="C371" s="221"/>
      <c r="D371" s="241"/>
      <c r="E371" s="56" t="str">
        <f t="shared" si="25"/>
        <v>REVESTIMENTO EMPREGANDO ARGAMASSA DE CIMENTO, CAL E AREIA</v>
      </c>
      <c r="F371" s="56" t="str">
        <f t="shared" si="26"/>
        <v/>
      </c>
      <c r="G371">
        <f t="shared" si="27"/>
        <v>0</v>
      </c>
      <c r="H371">
        <f t="shared" si="28"/>
        <v>0</v>
      </c>
      <c r="I371">
        <f t="shared" si="29"/>
        <v>0</v>
      </c>
    </row>
    <row r="372" spans="1:9" ht="43.2">
      <c r="A372" s="371">
        <v>110301</v>
      </c>
      <c r="B372" s="240" t="s">
        <v>1268</v>
      </c>
      <c r="C372" s="221" t="s">
        <v>110</v>
      </c>
      <c r="D372" s="241">
        <v>43.03</v>
      </c>
      <c r="E372" s="56" t="str">
        <f t="shared" si="25"/>
        <v>EMBOÇO DE ARGAMASSA DE CIMENTO, CAL HIDRATADA CH1 E AREIA LAVADA TRAÇO 1:0.5:6, ESPESSURA 20 MM</v>
      </c>
      <c r="F372" s="56" t="str">
        <f t="shared" si="26"/>
        <v>M2</v>
      </c>
      <c r="G372">
        <f t="shared" si="27"/>
        <v>57.34</v>
      </c>
      <c r="H372">
        <f t="shared" si="28"/>
        <v>43.03</v>
      </c>
      <c r="I372">
        <f t="shared" si="29"/>
        <v>43.03</v>
      </c>
    </row>
    <row r="373" spans="1:9" ht="43.2">
      <c r="A373" s="372">
        <v>110302</v>
      </c>
      <c r="B373" s="241" t="s">
        <v>1269</v>
      </c>
      <c r="C373" s="221" t="s">
        <v>110</v>
      </c>
      <c r="D373" s="241">
        <v>74.099999999999994</v>
      </c>
      <c r="E373" s="56" t="str">
        <f t="shared" si="25"/>
        <v>REBOCO TIPO PAULISTA DE ARGAMASSA DE CIMENTO, CAL HIDRATADA CH1 E AREIA LAVADA TRAÇO 1:0.5:6, ESPESSURA 25 MM</v>
      </c>
      <c r="F373" s="56" t="str">
        <f t="shared" si="26"/>
        <v>M2</v>
      </c>
      <c r="G373">
        <f t="shared" si="27"/>
        <v>98.74</v>
      </c>
      <c r="H373">
        <f t="shared" si="28"/>
        <v>74.099999999999994</v>
      </c>
      <c r="I373">
        <f t="shared" si="29"/>
        <v>74.099999999999994</v>
      </c>
    </row>
    <row r="374" spans="1:9">
      <c r="A374" s="372">
        <v>1104</v>
      </c>
      <c r="B374" s="241" t="s">
        <v>1210</v>
      </c>
      <c r="C374" s="221"/>
      <c r="D374" s="241"/>
      <c r="E374" s="56" t="str">
        <f t="shared" si="25"/>
        <v>REVISÕES E REPAROS</v>
      </c>
      <c r="F374" s="56" t="str">
        <f t="shared" si="26"/>
        <v/>
      </c>
      <c r="G374">
        <f t="shared" si="27"/>
        <v>0</v>
      </c>
      <c r="H374">
        <f t="shared" si="28"/>
        <v>0</v>
      </c>
      <c r="I374">
        <f t="shared" si="29"/>
        <v>0</v>
      </c>
    </row>
    <row r="375" spans="1:9" ht="28.8">
      <c r="A375" s="372">
        <v>110401</v>
      </c>
      <c r="B375" s="241" t="s">
        <v>1270</v>
      </c>
      <c r="C375" s="221" t="s">
        <v>110</v>
      </c>
      <c r="D375" s="241">
        <v>64.64</v>
      </c>
      <c r="E375" s="56" t="str">
        <f t="shared" si="25"/>
        <v>RECOLOCAÇÃO DE FORRO DE MADEIRA, COM APROVEITAMENTO DO MATERIAL</v>
      </c>
      <c r="F375" s="56" t="str">
        <f t="shared" si="26"/>
        <v>M2</v>
      </c>
      <c r="G375">
        <f t="shared" si="27"/>
        <v>86.13</v>
      </c>
      <c r="H375">
        <f t="shared" si="28"/>
        <v>64.64</v>
      </c>
      <c r="I375">
        <f t="shared" si="29"/>
        <v>64.64</v>
      </c>
    </row>
    <row r="376" spans="1:9">
      <c r="A376" s="372">
        <v>12</v>
      </c>
      <c r="B376" s="241" t="s">
        <v>1271</v>
      </c>
      <c r="C376" s="221"/>
      <c r="D376" s="241"/>
      <c r="E376" s="56" t="str">
        <f t="shared" si="25"/>
        <v>REVESTIMENTO DE PAREDES</v>
      </c>
      <c r="F376" s="56" t="str">
        <f t="shared" si="26"/>
        <v/>
      </c>
      <c r="G376">
        <f t="shared" si="27"/>
        <v>0</v>
      </c>
      <c r="H376">
        <f t="shared" si="28"/>
        <v>0</v>
      </c>
      <c r="I376">
        <f t="shared" si="29"/>
        <v>0</v>
      </c>
    </row>
    <row r="377" spans="1:9">
      <c r="A377" s="372">
        <v>1201</v>
      </c>
      <c r="B377" s="241" t="s">
        <v>1263</v>
      </c>
      <c r="C377" s="221"/>
      <c r="D377" s="241"/>
      <c r="E377" s="56" t="str">
        <f t="shared" si="25"/>
        <v>REVESTIMENTO COM ARGAMASSA</v>
      </c>
      <c r="F377" s="56" t="str">
        <f t="shared" si="26"/>
        <v/>
      </c>
      <c r="G377">
        <f t="shared" si="27"/>
        <v>0</v>
      </c>
      <c r="H377">
        <f t="shared" si="28"/>
        <v>0</v>
      </c>
      <c r="I377">
        <f t="shared" si="29"/>
        <v>0</v>
      </c>
    </row>
    <row r="378" spans="1:9" ht="43.2">
      <c r="A378" s="371">
        <v>120101</v>
      </c>
      <c r="B378" s="240" t="s">
        <v>1272</v>
      </c>
      <c r="C378" s="221" t="s">
        <v>110</v>
      </c>
      <c r="D378" s="241">
        <v>7.82</v>
      </c>
      <c r="E378" s="56" t="str">
        <f t="shared" si="25"/>
        <v>CHAPISCO DE ARGAMASSA DE CIMENTO E AREIA MÉDIA OU GROSSA LAVADA, NO TRAÇO 1:3, ESPESSURA 5 MM</v>
      </c>
      <c r="F378" s="56" t="str">
        <f t="shared" si="26"/>
        <v>M2</v>
      </c>
      <c r="G378">
        <f t="shared" si="27"/>
        <v>10.42</v>
      </c>
      <c r="H378">
        <f t="shared" si="28"/>
        <v>7.82</v>
      </c>
      <c r="I378">
        <f t="shared" si="29"/>
        <v>7.82</v>
      </c>
    </row>
    <row r="379" spans="1:9">
      <c r="A379" s="371">
        <v>1202</v>
      </c>
      <c r="B379" s="240" t="s">
        <v>52</v>
      </c>
      <c r="C379" s="221"/>
      <c r="D379" s="241"/>
      <c r="E379" s="56" t="str">
        <f t="shared" si="25"/>
        <v>ACABAMENTOS</v>
      </c>
      <c r="F379" s="56" t="str">
        <f t="shared" si="26"/>
        <v/>
      </c>
      <c r="G379">
        <f t="shared" si="27"/>
        <v>0</v>
      </c>
      <c r="H379">
        <f t="shared" si="28"/>
        <v>0</v>
      </c>
      <c r="I379">
        <f t="shared" si="29"/>
        <v>0</v>
      </c>
    </row>
    <row r="380" spans="1:9" ht="72">
      <c r="A380" s="372">
        <v>120201</v>
      </c>
      <c r="B380" s="241" t="s">
        <v>1273</v>
      </c>
      <c r="C380" s="221" t="s">
        <v>110</v>
      </c>
      <c r="D380" s="241">
        <v>92.59</v>
      </c>
      <c r="E380" s="56" t="str">
        <f t="shared" si="25"/>
        <v>AZULEJO BRANCO 15 X 15 CM, JUNTAS A PRUMO, ASSENTADO COM ARGAMASSA DE CIMENTO COLANTE, INCLUSIVE REJUNTAMENTO COM CIMENTO BRANCO, MARCAS DE REFERÊNCIA ELIANE, CECRISA OU PORTOBELLO</v>
      </c>
      <c r="F380" s="56" t="str">
        <f t="shared" si="26"/>
        <v>M2</v>
      </c>
      <c r="G380">
        <f t="shared" si="27"/>
        <v>123.38</v>
      </c>
      <c r="H380">
        <f t="shared" si="28"/>
        <v>92.59</v>
      </c>
      <c r="I380">
        <f t="shared" si="29"/>
        <v>92.59</v>
      </c>
    </row>
    <row r="381" spans="1:9" ht="43.2">
      <c r="A381" s="372">
        <v>120205</v>
      </c>
      <c r="B381" s="241" t="s">
        <v>1274</v>
      </c>
      <c r="C381" s="221" t="s">
        <v>112</v>
      </c>
      <c r="D381" s="241">
        <v>58.58</v>
      </c>
      <c r="E381" s="56" t="str">
        <f t="shared" si="25"/>
        <v>RODA-PAREDE DE MADEIRA DE LEI TIPO PARAJU OU EQUIVALENTE, DE 10 X 2.5CM, FIXADO COM PARAFUSO E BUCHA PLÁSTICA N° 8</v>
      </c>
      <c r="F381" s="56" t="str">
        <f t="shared" si="26"/>
        <v>M</v>
      </c>
      <c r="G381">
        <f t="shared" si="27"/>
        <v>78.06</v>
      </c>
      <c r="H381">
        <f t="shared" si="28"/>
        <v>58.58</v>
      </c>
      <c r="I381">
        <f t="shared" si="29"/>
        <v>58.58</v>
      </c>
    </row>
    <row r="382" spans="1:9" ht="43.2">
      <c r="A382" s="372">
        <v>120207</v>
      </c>
      <c r="B382" s="241" t="s">
        <v>1275</v>
      </c>
      <c r="C382" s="221" t="s">
        <v>112</v>
      </c>
      <c r="D382" s="241">
        <v>86.36</v>
      </c>
      <c r="E382" s="56" t="str">
        <f t="shared" si="25"/>
        <v>RODA-PAREDE DE MADEIRA DE LEI TIPO PARAJU OU EQUIVALENTE, DE 20 X 1.5CM FIXADO COM PARAFUSO E BUCHA PLÁSTICA N° 7</v>
      </c>
      <c r="F382" s="56" t="str">
        <f t="shared" si="26"/>
        <v>M</v>
      </c>
      <c r="G382">
        <f t="shared" si="27"/>
        <v>115.07</v>
      </c>
      <c r="H382">
        <f t="shared" si="28"/>
        <v>86.36</v>
      </c>
      <c r="I382">
        <f t="shared" si="29"/>
        <v>86.36</v>
      </c>
    </row>
    <row r="383" spans="1:9" ht="28.8">
      <c r="A383" s="372">
        <v>120208</v>
      </c>
      <c r="B383" s="241" t="s">
        <v>1276</v>
      </c>
      <c r="C383" s="221" t="s">
        <v>112</v>
      </c>
      <c r="D383" s="241">
        <v>21.68</v>
      </c>
      <c r="E383" s="56" t="str">
        <f t="shared" si="25"/>
        <v>ACABAMENTO DE ALUMÍNIO COM PERFIL DE CANTO PARA ARREMATE DAS PAREDES</v>
      </c>
      <c r="F383" s="56" t="str">
        <f t="shared" si="26"/>
        <v>M</v>
      </c>
      <c r="G383">
        <f t="shared" si="27"/>
        <v>28.89</v>
      </c>
      <c r="H383">
        <f t="shared" si="28"/>
        <v>21.68</v>
      </c>
      <c r="I383">
        <f t="shared" si="29"/>
        <v>21.68</v>
      </c>
    </row>
    <row r="384" spans="1:9" ht="28.8">
      <c r="A384" s="372">
        <v>120216</v>
      </c>
      <c r="B384" s="241" t="s">
        <v>1277</v>
      </c>
      <c r="C384" s="221" t="s">
        <v>112</v>
      </c>
      <c r="D384" s="241">
        <v>21.14</v>
      </c>
      <c r="E384" s="56" t="str">
        <f t="shared" si="25"/>
        <v>ACABAMENTO DE PERFIL "U" EM ALUMÍNIO ANODIZADO FOSCO 1/2"</v>
      </c>
      <c r="F384" s="56" t="str">
        <f t="shared" si="26"/>
        <v>M</v>
      </c>
      <c r="G384">
        <f t="shared" si="27"/>
        <v>28.17</v>
      </c>
      <c r="H384">
        <f t="shared" si="28"/>
        <v>21.14</v>
      </c>
      <c r="I384">
        <f t="shared" si="29"/>
        <v>21.14</v>
      </c>
    </row>
    <row r="385" spans="1:9" ht="57.6">
      <c r="A385" s="372">
        <v>120221</v>
      </c>
      <c r="B385" s="241" t="s">
        <v>1278</v>
      </c>
      <c r="C385" s="221" t="s">
        <v>110</v>
      </c>
      <c r="D385" s="241">
        <v>274.45999999999998</v>
      </c>
      <c r="E385" s="56" t="str">
        <f t="shared" ref="E385:E448" si="30">UPPER(B385)</f>
        <v>PASTILHA CERÂMICA BRANCA 5 X 5 CM, ASSENTADA COM ARGAMASSA DE CIMENTO COLANTE E REJUNTE PRÉ-FABRICADO, MARCAS DE REFERÊNCIA ATLAS, JATOBÁ, NGK OU EQUIVALENTWE</v>
      </c>
      <c r="F385" s="56" t="str">
        <f t="shared" ref="F385:F448" si="31">UPPER(C385)</f>
        <v>M2</v>
      </c>
      <c r="G385">
        <f t="shared" si="27"/>
        <v>365.72</v>
      </c>
      <c r="H385">
        <f t="shared" si="28"/>
        <v>274.45999999999998</v>
      </c>
      <c r="I385">
        <f t="shared" si="29"/>
        <v>274.45999999999998</v>
      </c>
    </row>
    <row r="386" spans="1:9" ht="43.2">
      <c r="A386" s="372">
        <v>120224</v>
      </c>
      <c r="B386" s="241" t="s">
        <v>1279</v>
      </c>
      <c r="C386" s="221" t="s">
        <v>110</v>
      </c>
      <c r="D386" s="241">
        <v>17.87</v>
      </c>
      <c r="E386" s="56" t="str">
        <f t="shared" si="30"/>
        <v>ASSENTAMENTO DE REVESTIMENTO CERÂMICO COM CIMENTO COLANTE, EXCL. REJUNTAMENTO E CERÂMICA</v>
      </c>
      <c r="F386" s="56" t="str">
        <f t="shared" si="31"/>
        <v>M2</v>
      </c>
      <c r="G386">
        <f t="shared" si="27"/>
        <v>23.81</v>
      </c>
      <c r="H386">
        <f t="shared" si="28"/>
        <v>17.87</v>
      </c>
      <c r="I386">
        <f t="shared" si="29"/>
        <v>17.87</v>
      </c>
    </row>
    <row r="387" spans="1:9" ht="43.2">
      <c r="A387" s="371">
        <v>120227</v>
      </c>
      <c r="B387" s="240" t="s">
        <v>1280</v>
      </c>
      <c r="C387" s="221" t="s">
        <v>112</v>
      </c>
      <c r="D387" s="241">
        <v>51.96</v>
      </c>
      <c r="E387" s="56" t="str">
        <f t="shared" si="30"/>
        <v>RODA PAREDE EM GRANITO CINZA ANDORINHA 7X2CM, COM ACABAMENTO ABAULADO NOS DOIS LADOS</v>
      </c>
      <c r="F387" s="56" t="str">
        <f t="shared" si="31"/>
        <v>M</v>
      </c>
      <c r="G387">
        <f t="shared" si="27"/>
        <v>69.239999999999995</v>
      </c>
      <c r="H387">
        <f t="shared" si="28"/>
        <v>51.96</v>
      </c>
      <c r="I387">
        <f t="shared" si="29"/>
        <v>51.96</v>
      </c>
    </row>
    <row r="388" spans="1:9" ht="72">
      <c r="A388" s="372">
        <v>120232</v>
      </c>
      <c r="B388" s="241" t="s">
        <v>27136</v>
      </c>
      <c r="C388" s="221" t="s">
        <v>110</v>
      </c>
      <c r="D388" s="241">
        <v>116.67</v>
      </c>
      <c r="E388" s="56" t="str">
        <f t="shared" si="30"/>
        <v>CERÂMICA 10 X 10 CM, BRANCO BRILHANTE REF GALERIA MESH BR TELADA, ELIANE, STRUFALDI, CERAL, EMPREGANDO ARGAMASSA COLANTE, INCLUSIVE REJUNTAMENTO JUNTA PLUS CINZA CLARO ESP. 3 MM</v>
      </c>
      <c r="F388" s="56" t="str">
        <f t="shared" si="31"/>
        <v>M2</v>
      </c>
      <c r="G388">
        <f t="shared" si="27"/>
        <v>155.46</v>
      </c>
      <c r="H388">
        <f t="shared" si="28"/>
        <v>116.67</v>
      </c>
      <c r="I388">
        <f t="shared" si="29"/>
        <v>116.67</v>
      </c>
    </row>
    <row r="389" spans="1:9" ht="72">
      <c r="A389" s="372">
        <v>120241</v>
      </c>
      <c r="B389" s="241" t="s">
        <v>35662</v>
      </c>
      <c r="C389" s="221" t="s">
        <v>110</v>
      </c>
      <c r="D389" s="241">
        <v>81.53</v>
      </c>
      <c r="E389" s="56" t="str">
        <f t="shared" si="30"/>
        <v>CERÂMICA RETIFICADA, ACABAMENTO BRILHANTE, DIM. 32X60CM, REF. TRADIZIONALLE BIANCO BIANCOGRES/EQUIV. ASSENTADO COM ARGAMASSA DE CIMENTO COLANTE, INCLUSIVE REJUNTAMENTO COM ARGAMASSAPRE-FABRICADA PARA REJUNTE</v>
      </c>
      <c r="F389" s="56" t="str">
        <f t="shared" si="31"/>
        <v>M2</v>
      </c>
      <c r="G389">
        <f t="shared" si="27"/>
        <v>108.64</v>
      </c>
      <c r="H389">
        <f t="shared" si="28"/>
        <v>81.53</v>
      </c>
      <c r="I389">
        <f t="shared" si="29"/>
        <v>81.53</v>
      </c>
    </row>
    <row r="390" spans="1:9" ht="28.8">
      <c r="A390" s="372">
        <v>1203</v>
      </c>
      <c r="B390" s="241" t="s">
        <v>1267</v>
      </c>
      <c r="C390" s="221"/>
      <c r="D390" s="241"/>
      <c r="E390" s="56" t="str">
        <f t="shared" si="30"/>
        <v>REVESTIMENTO EMPREGANDO ARGAMASSA DE CIMENTO, CAL E AREIA</v>
      </c>
      <c r="F390" s="56" t="str">
        <f t="shared" si="31"/>
        <v/>
      </c>
      <c r="G390">
        <f t="shared" si="27"/>
        <v>0</v>
      </c>
      <c r="H390">
        <f t="shared" si="28"/>
        <v>0</v>
      </c>
      <c r="I390">
        <f t="shared" si="29"/>
        <v>0</v>
      </c>
    </row>
    <row r="391" spans="1:9" ht="43.2">
      <c r="A391" s="372">
        <v>120301</v>
      </c>
      <c r="B391" s="241" t="s">
        <v>1282</v>
      </c>
      <c r="C391" s="221" t="s">
        <v>110</v>
      </c>
      <c r="D391" s="241">
        <v>38.450000000000003</v>
      </c>
      <c r="E391" s="56" t="str">
        <f t="shared" si="30"/>
        <v>EMBOÇO DE ARGAMASSA DE CIMENTO, CAL HIDRATADA CH1 E AREIA MÉDIA OU GROSSA LAVADA NO TRAÇO 1:0.5:6, ESPESSURA 20 MM</v>
      </c>
      <c r="F391" s="56" t="str">
        <f t="shared" si="31"/>
        <v>M2</v>
      </c>
      <c r="G391">
        <f t="shared" si="27"/>
        <v>51.23</v>
      </c>
      <c r="H391">
        <f t="shared" si="28"/>
        <v>38.450000000000003</v>
      </c>
      <c r="I391">
        <f t="shared" si="29"/>
        <v>38.450000000000003</v>
      </c>
    </row>
    <row r="392" spans="1:9" ht="43.2">
      <c r="A392" s="372">
        <v>120302</v>
      </c>
      <c r="B392" s="241" t="s">
        <v>1283</v>
      </c>
      <c r="C392" s="221" t="s">
        <v>110</v>
      </c>
      <c r="D392" s="241">
        <v>27.17</v>
      </c>
      <c r="E392" s="56" t="str">
        <f t="shared" si="30"/>
        <v>REBOCO DE ARGAMASSA DE CIMENTO, CAL HIDRATADA CH1 E AREIA MÉDIA OU GROSSA LAVADA NO TRAÇO 1:0.5:6, ESPESSURA 5MM</v>
      </c>
      <c r="F392" s="56" t="str">
        <f t="shared" si="31"/>
        <v>M2</v>
      </c>
      <c r="G392">
        <f t="shared" ref="G392:G455" si="32">ROUND(H392*(1+$G$1),2)</f>
        <v>36.200000000000003</v>
      </c>
      <c r="H392">
        <f t="shared" ref="H392:H455" si="33">I392</f>
        <v>27.17</v>
      </c>
      <c r="I392">
        <f>D392/(1+$E$1)</f>
        <v>27.17</v>
      </c>
    </row>
    <row r="393" spans="1:9" ht="57.6">
      <c r="A393" s="372">
        <v>120303</v>
      </c>
      <c r="B393" s="241" t="s">
        <v>1284</v>
      </c>
      <c r="C393" s="221" t="s">
        <v>110</v>
      </c>
      <c r="D393" s="241">
        <v>65.69</v>
      </c>
      <c r="E393" s="56" t="str">
        <f t="shared" si="30"/>
        <v>REBOCO TIPO PAULISTA DE ARGAMASSA DE CIMENTO, CAL HIDRATADA CH1 E AREIA MÉDIA OU GROSSA LAVADA NO TRAÇO 1:0.5:6, ESPESSURA 25 MM</v>
      </c>
      <c r="F393" s="56" t="str">
        <f t="shared" si="31"/>
        <v>M2</v>
      </c>
      <c r="G393">
        <f t="shared" si="32"/>
        <v>87.53</v>
      </c>
      <c r="H393">
        <f t="shared" si="33"/>
        <v>65.69</v>
      </c>
      <c r="I393">
        <f t="shared" ref="I393:I455" si="34">ROUND(D393/(1+$E$1),2)</f>
        <v>65.69</v>
      </c>
    </row>
    <row r="394" spans="1:9" ht="72">
      <c r="A394" s="372">
        <v>120304</v>
      </c>
      <c r="B394" s="241" t="s">
        <v>1285</v>
      </c>
      <c r="C394" s="221" t="s">
        <v>110</v>
      </c>
      <c r="D394" s="241">
        <v>71.69</v>
      </c>
      <c r="E394" s="56" t="str">
        <f t="shared" si="30"/>
        <v>REBOCO DE ARGAMASSA DE CIMENTO, CAL HIDRATADA CH1 E AREIA MÉDIA OU GROSSA LAVADA NO TRAÇO 1:0.5:6, COM IMPERMEABILIZANTE PARA REVESTIMENTOS (CAIXAS, FOSSAS, FILTROS, CISTERNAS, ETC...)</v>
      </c>
      <c r="F394" s="56" t="str">
        <f t="shared" si="31"/>
        <v>M2</v>
      </c>
      <c r="G394">
        <f t="shared" si="32"/>
        <v>95.53</v>
      </c>
      <c r="H394">
        <f t="shared" si="33"/>
        <v>71.69</v>
      </c>
      <c r="I394">
        <f t="shared" si="34"/>
        <v>71.69</v>
      </c>
    </row>
    <row r="395" spans="1:9" ht="57.6">
      <c r="A395" s="372">
        <v>120308</v>
      </c>
      <c r="B395" s="241" t="s">
        <v>1286</v>
      </c>
      <c r="C395" s="221" t="s">
        <v>110</v>
      </c>
      <c r="D395" s="241">
        <v>8.6300000000000008</v>
      </c>
      <c r="E395" s="56" t="str">
        <f t="shared" si="30"/>
        <v>CHAPISCO DE ARGAMASSA DE CIMENTO E AREIA MÉDIA OU GROSSA LAVADA NO TRAÇO 1:3, ESPESSURA 5MM, COM UTILIZAÇÃO DE IMPERMEABILIZANTE</v>
      </c>
      <c r="F395" s="56" t="str">
        <f t="shared" si="31"/>
        <v>M2</v>
      </c>
      <c r="G395">
        <f t="shared" si="32"/>
        <v>11.5</v>
      </c>
      <c r="H395">
        <f t="shared" si="33"/>
        <v>8.6300000000000008</v>
      </c>
      <c r="I395">
        <f t="shared" si="34"/>
        <v>8.6300000000000008</v>
      </c>
    </row>
    <row r="396" spans="1:9">
      <c r="A396" s="372">
        <v>13</v>
      </c>
      <c r="B396" s="241" t="s">
        <v>1287</v>
      </c>
      <c r="C396" s="221"/>
      <c r="D396" s="241"/>
      <c r="E396" s="56" t="str">
        <f t="shared" si="30"/>
        <v>PISOS INTERNOS E EXTERNOS</v>
      </c>
      <c r="F396" s="56" t="str">
        <f t="shared" si="31"/>
        <v/>
      </c>
      <c r="G396">
        <f t="shared" si="32"/>
        <v>0</v>
      </c>
      <c r="H396">
        <f t="shared" si="33"/>
        <v>0</v>
      </c>
      <c r="I396">
        <f t="shared" si="34"/>
        <v>0</v>
      </c>
    </row>
    <row r="397" spans="1:9">
      <c r="A397" s="372">
        <v>1301</v>
      </c>
      <c r="B397" s="241" t="s">
        <v>1288</v>
      </c>
      <c r="C397" s="221"/>
      <c r="D397" s="241"/>
      <c r="E397" s="56" t="str">
        <f t="shared" si="30"/>
        <v>LASTRO DE CONTRAPISO</v>
      </c>
      <c r="F397" s="56" t="str">
        <f t="shared" si="31"/>
        <v/>
      </c>
      <c r="G397">
        <f t="shared" si="32"/>
        <v>0</v>
      </c>
      <c r="H397">
        <f t="shared" si="33"/>
        <v>0</v>
      </c>
      <c r="I397">
        <f t="shared" si="34"/>
        <v>0</v>
      </c>
    </row>
    <row r="398" spans="1:9" ht="43.2">
      <c r="A398" s="372">
        <v>130103</v>
      </c>
      <c r="B398" s="241" t="s">
        <v>27137</v>
      </c>
      <c r="C398" s="221" t="s">
        <v>110</v>
      </c>
      <c r="D398" s="241">
        <v>27.55</v>
      </c>
      <c r="E398" s="56" t="str">
        <f t="shared" si="30"/>
        <v>REGULARIZAÇÃO DE BASE PARA REVESTIMENTO CERÂMICO, COM ARGAMASSA DE CIMENTO E AREIA NO TRAÇO 1:5, ESPESSURA: 3 CM</v>
      </c>
      <c r="F398" s="56" t="str">
        <f t="shared" si="31"/>
        <v>M2</v>
      </c>
      <c r="G398">
        <f t="shared" si="32"/>
        <v>36.71</v>
      </c>
      <c r="H398">
        <f t="shared" si="33"/>
        <v>27.55</v>
      </c>
      <c r="I398">
        <f t="shared" si="34"/>
        <v>27.55</v>
      </c>
    </row>
    <row r="399" spans="1:9" ht="43.2">
      <c r="A399" s="372">
        <v>130104</v>
      </c>
      <c r="B399" s="241" t="s">
        <v>1289</v>
      </c>
      <c r="C399" s="221" t="s">
        <v>110</v>
      </c>
      <c r="D399" s="241">
        <v>42.9</v>
      </c>
      <c r="E399" s="56" t="str">
        <f t="shared" si="30"/>
        <v>REGULARIZAÇÃO DE BASE P/ REVESTIMENTO CERÂMICO, COM ARGAMASSA DE CIMENTO E AREIA NO TRAÇO 1:5, ESPESSURA 5CM</v>
      </c>
      <c r="F399" s="56" t="str">
        <f t="shared" si="31"/>
        <v>M2</v>
      </c>
      <c r="G399">
        <f t="shared" si="32"/>
        <v>57.16</v>
      </c>
      <c r="H399">
        <f t="shared" si="33"/>
        <v>42.9</v>
      </c>
      <c r="I399">
        <f t="shared" si="34"/>
        <v>42.9</v>
      </c>
    </row>
    <row r="400" spans="1:9" ht="28.8">
      <c r="A400" s="372">
        <v>130109</v>
      </c>
      <c r="B400" s="241" t="s">
        <v>1290</v>
      </c>
      <c r="C400" s="221" t="s">
        <v>110</v>
      </c>
      <c r="D400" s="241">
        <v>85.94</v>
      </c>
      <c r="E400" s="56" t="str">
        <f t="shared" si="30"/>
        <v>LASTRO REGULARIZADO E IMPERMEABILIZADO DE CONCRETO NÃO ESTRUTURAL, ESPESSURA DE 8 CM</v>
      </c>
      <c r="F400" s="56" t="str">
        <f t="shared" si="31"/>
        <v>M2</v>
      </c>
      <c r="G400">
        <f t="shared" si="32"/>
        <v>114.52</v>
      </c>
      <c r="H400">
        <f t="shared" si="33"/>
        <v>85.94</v>
      </c>
      <c r="I400">
        <f t="shared" si="34"/>
        <v>85.94</v>
      </c>
    </row>
    <row r="401" spans="1:9" ht="28.8">
      <c r="A401" s="372">
        <v>130110</v>
      </c>
      <c r="B401" s="241" t="s">
        <v>1291</v>
      </c>
      <c r="C401" s="221" t="s">
        <v>110</v>
      </c>
      <c r="D401" s="241">
        <v>74.02</v>
      </c>
      <c r="E401" s="56" t="str">
        <f t="shared" si="30"/>
        <v>LASTRO REGULARIZADO DE CONCRETO NÃO ESTRUTURAL, ESPESSURA DE 8 CM</v>
      </c>
      <c r="F401" s="56" t="str">
        <f t="shared" si="31"/>
        <v>M2</v>
      </c>
      <c r="G401">
        <f t="shared" si="32"/>
        <v>98.63</v>
      </c>
      <c r="H401">
        <f t="shared" si="33"/>
        <v>74.02</v>
      </c>
      <c r="I401">
        <f t="shared" si="34"/>
        <v>74.02</v>
      </c>
    </row>
    <row r="402" spans="1:9" ht="28.8">
      <c r="A402" s="372">
        <v>130111</v>
      </c>
      <c r="B402" s="241" t="s">
        <v>1292</v>
      </c>
      <c r="C402" s="221" t="s">
        <v>110</v>
      </c>
      <c r="D402" s="241">
        <v>65.12</v>
      </c>
      <c r="E402" s="56" t="str">
        <f t="shared" si="30"/>
        <v>LASTRO IMPERMEABILIZADO DE CONCRETO NÃO ESTRUTURAL, ESPESSURA DE 6 CM</v>
      </c>
      <c r="F402" s="56" t="str">
        <f t="shared" si="31"/>
        <v>M2</v>
      </c>
      <c r="G402">
        <f t="shared" si="32"/>
        <v>86.77</v>
      </c>
      <c r="H402">
        <f t="shared" si="33"/>
        <v>65.12</v>
      </c>
      <c r="I402">
        <f t="shared" si="34"/>
        <v>65.12</v>
      </c>
    </row>
    <row r="403" spans="1:9" ht="28.8">
      <c r="A403" s="372">
        <v>130112</v>
      </c>
      <c r="B403" s="241" t="s">
        <v>1293</v>
      </c>
      <c r="C403" s="221" t="s">
        <v>110</v>
      </c>
      <c r="D403" s="241">
        <v>56.18</v>
      </c>
      <c r="E403" s="56" t="str">
        <f t="shared" si="30"/>
        <v>LASTRO DE CONCRETO NÃO ESTRUTURAL, ESPESSURA DE 6 CM</v>
      </c>
      <c r="F403" s="56" t="str">
        <f t="shared" si="31"/>
        <v>M2</v>
      </c>
      <c r="G403">
        <f t="shared" si="32"/>
        <v>74.86</v>
      </c>
      <c r="H403">
        <f t="shared" si="33"/>
        <v>56.18</v>
      </c>
      <c r="I403">
        <f t="shared" si="34"/>
        <v>56.18</v>
      </c>
    </row>
    <row r="404" spans="1:9" ht="28.8">
      <c r="A404" s="372">
        <v>130113</v>
      </c>
      <c r="B404" s="241" t="s">
        <v>1294</v>
      </c>
      <c r="C404" s="221" t="s">
        <v>110</v>
      </c>
      <c r="D404" s="241">
        <v>86.6</v>
      </c>
      <c r="E404" s="56" t="str">
        <f t="shared" si="30"/>
        <v>LASTRO IMPERMEABILIZADO DE CONCRETO NÃO ESTRUTURAL, ESPESSURA DE 8CM</v>
      </c>
      <c r="F404" s="56" t="str">
        <f t="shared" si="31"/>
        <v>M2</v>
      </c>
      <c r="G404">
        <f t="shared" si="32"/>
        <v>115.39</v>
      </c>
      <c r="H404">
        <f t="shared" si="33"/>
        <v>86.6</v>
      </c>
      <c r="I404">
        <f t="shared" si="34"/>
        <v>86.6</v>
      </c>
    </row>
    <row r="405" spans="1:9">
      <c r="A405" s="372">
        <v>1302</v>
      </c>
      <c r="B405" s="241" t="s">
        <v>52</v>
      </c>
      <c r="C405" s="221"/>
      <c r="D405" s="241"/>
      <c r="E405" s="56" t="str">
        <f t="shared" si="30"/>
        <v>ACABAMENTOS</v>
      </c>
      <c r="F405" s="56" t="str">
        <f t="shared" si="31"/>
        <v/>
      </c>
      <c r="G405">
        <f t="shared" si="32"/>
        <v>0</v>
      </c>
      <c r="H405">
        <f t="shared" si="33"/>
        <v>0</v>
      </c>
      <c r="I405">
        <f t="shared" si="34"/>
        <v>0</v>
      </c>
    </row>
    <row r="406" spans="1:9" ht="43.2">
      <c r="A406" s="372">
        <v>130202</v>
      </c>
      <c r="B406" s="241" t="s">
        <v>1295</v>
      </c>
      <c r="C406" s="221" t="s">
        <v>110</v>
      </c>
      <c r="D406" s="241">
        <v>62.95</v>
      </c>
      <c r="E406" s="56" t="str">
        <f t="shared" si="30"/>
        <v>PISO CIMENTADO LISO COM 1.5 CM DE ESPESSURA, DE ARGAMASSA DE CIMENTO E AREIA NO TRAÇO 1:3 E JUNTAS PLÁSTICAS EM QUADROS DE 1 M</v>
      </c>
      <c r="F406" s="56" t="str">
        <f t="shared" si="31"/>
        <v>M2</v>
      </c>
      <c r="G406">
        <f t="shared" si="32"/>
        <v>83.88</v>
      </c>
      <c r="H406">
        <f t="shared" si="33"/>
        <v>62.95</v>
      </c>
      <c r="I406">
        <f t="shared" si="34"/>
        <v>62.95</v>
      </c>
    </row>
    <row r="407" spans="1:9" ht="57.6">
      <c r="A407" s="371">
        <v>130205</v>
      </c>
      <c r="B407" s="240" t="s">
        <v>1296</v>
      </c>
      <c r="C407" s="221" t="s">
        <v>110</v>
      </c>
      <c r="D407" s="241">
        <v>460.98</v>
      </c>
      <c r="E407" s="56" t="str">
        <f t="shared" si="30"/>
        <v>PISO DE TÁBUAS CORRIDAS DE PEROBA DE 15CM SOBRE CAIBROS DE 5X6CM ESPAÇADOS DE 50CM, FIXADOS COM ARGAMASSA DE CIMENTO E AREIA NO TRAÇO 1:5</v>
      </c>
      <c r="F407" s="56" t="str">
        <f t="shared" si="31"/>
        <v>M2</v>
      </c>
      <c r="G407">
        <f t="shared" si="32"/>
        <v>614.26</v>
      </c>
      <c r="H407">
        <f t="shared" si="33"/>
        <v>460.98</v>
      </c>
      <c r="I407">
        <f t="shared" si="34"/>
        <v>460.98</v>
      </c>
    </row>
    <row r="408" spans="1:9" ht="28.8">
      <c r="A408" s="372">
        <v>130208</v>
      </c>
      <c r="B408" s="241" t="s">
        <v>1297</v>
      </c>
      <c r="C408" s="221" t="s">
        <v>112</v>
      </c>
      <c r="D408" s="241">
        <v>11.37</v>
      </c>
      <c r="E408" s="56" t="str">
        <f t="shared" si="30"/>
        <v>JUNTA PLÁSTICA 17 X 3 MM, PARA PISOS CORRIDOS, INCLUSIVE FORNECIMENTO E COLOCAÇÃO</v>
      </c>
      <c r="F408" s="56" t="str">
        <f t="shared" si="31"/>
        <v>M</v>
      </c>
      <c r="G408">
        <f t="shared" si="32"/>
        <v>15.15</v>
      </c>
      <c r="H408">
        <f t="shared" si="33"/>
        <v>11.37</v>
      </c>
      <c r="I408">
        <f t="shared" si="34"/>
        <v>11.37</v>
      </c>
    </row>
    <row r="409" spans="1:9" ht="43.2">
      <c r="A409" s="372">
        <v>130209</v>
      </c>
      <c r="B409" s="241" t="s">
        <v>1298</v>
      </c>
      <c r="C409" s="221" t="s">
        <v>110</v>
      </c>
      <c r="D409" s="241">
        <v>95.68</v>
      </c>
      <c r="E409" s="56" t="str">
        <f t="shared" si="30"/>
        <v>PISO DE CIMENTADO CAMURÇADO EXECUTADO COM ARGAMASSA DE CIMENTO E AREIA NO TRAÇO 1:3, ESP. 3.0CM</v>
      </c>
      <c r="F409" s="56" t="str">
        <f t="shared" si="31"/>
        <v>M2</v>
      </c>
      <c r="G409">
        <f t="shared" si="32"/>
        <v>127.49</v>
      </c>
      <c r="H409">
        <f t="shared" si="33"/>
        <v>95.68</v>
      </c>
      <c r="I409">
        <f t="shared" si="34"/>
        <v>95.68</v>
      </c>
    </row>
    <row r="410" spans="1:9" ht="72">
      <c r="A410" s="372">
        <v>130210</v>
      </c>
      <c r="B410" s="241" t="s">
        <v>1299</v>
      </c>
      <c r="C410" s="221" t="s">
        <v>110</v>
      </c>
      <c r="D410" s="241">
        <v>74.8</v>
      </c>
      <c r="E410" s="56" t="str">
        <f t="shared" si="30"/>
        <v>PISO CIMENTADO LISO COM 1.5 CM DE ESPESSURA, EM ARGAMASSA DE CIMENTO E AREIA NO TRAÇO 1:3 E JUNTAS PLÁSTICAS EM QUADROS DE 1 M COLORIDO COM CORANTE TIPO XADREZ OU EQUIVALENTE</v>
      </c>
      <c r="F410" s="56" t="str">
        <f t="shared" si="31"/>
        <v>M2</v>
      </c>
      <c r="G410">
        <f t="shared" si="32"/>
        <v>99.67</v>
      </c>
      <c r="H410">
        <f t="shared" si="33"/>
        <v>74.8</v>
      </c>
      <c r="I410">
        <f t="shared" si="34"/>
        <v>74.8</v>
      </c>
    </row>
    <row r="411" spans="1:9" ht="43.2">
      <c r="A411" s="372">
        <v>130211</v>
      </c>
      <c r="B411" s="241" t="s">
        <v>1300</v>
      </c>
      <c r="C411" s="221" t="s">
        <v>110</v>
      </c>
      <c r="D411" s="241">
        <v>254.87</v>
      </c>
      <c r="E411" s="56" t="str">
        <f t="shared" si="30"/>
        <v>FORNECIMENTO E INSTALAÇÃO DE PISO PAVIFLEX DIM. 30X30CM, ESP. 2MM LINHA CHROMA CONCEPT REF. FADEMAC OU EQUIVALENTE</v>
      </c>
      <c r="F411" s="56" t="str">
        <f t="shared" si="31"/>
        <v>M2</v>
      </c>
      <c r="G411">
        <f t="shared" si="32"/>
        <v>339.61</v>
      </c>
      <c r="H411">
        <f t="shared" si="33"/>
        <v>254.87</v>
      </c>
      <c r="I411">
        <f t="shared" si="34"/>
        <v>254.87</v>
      </c>
    </row>
    <row r="412" spans="1:9" ht="43.2">
      <c r="A412" s="372">
        <v>130222</v>
      </c>
      <c r="B412" s="241" t="s">
        <v>1301</v>
      </c>
      <c r="C412" s="221" t="s">
        <v>110</v>
      </c>
      <c r="D412" s="241">
        <v>199.6</v>
      </c>
      <c r="E412" s="56" t="str">
        <f t="shared" si="30"/>
        <v>REVESTIMENTO DE PISO COM PLACAS DE BORRACHA PLURIGOMA PRETO PASTILHADO OU EQUIVALENTE, INCLUSIVE ARREMATE</v>
      </c>
      <c r="F412" s="56" t="str">
        <f t="shared" si="31"/>
        <v>M2</v>
      </c>
      <c r="G412">
        <f t="shared" si="32"/>
        <v>265.97000000000003</v>
      </c>
      <c r="H412">
        <f t="shared" si="33"/>
        <v>199.6</v>
      </c>
      <c r="I412">
        <f t="shared" si="34"/>
        <v>199.6</v>
      </c>
    </row>
    <row r="413" spans="1:9" ht="43.2">
      <c r="A413" s="372">
        <v>130223</v>
      </c>
      <c r="B413" s="241" t="s">
        <v>1302</v>
      </c>
      <c r="C413" s="221" t="s">
        <v>110</v>
      </c>
      <c r="D413" s="241">
        <v>15.9</v>
      </c>
      <c r="E413" s="56" t="str">
        <f t="shared" si="30"/>
        <v>ASSENTAMENTO DE PISO CERÂMICO, COM UTILIZAÇÃO DE CIMENTO COLANTE, EXCL. REJUNTAMENTO E CERÂMICA</v>
      </c>
      <c r="F413" s="56" t="str">
        <f t="shared" si="31"/>
        <v>M2</v>
      </c>
      <c r="G413">
        <f t="shared" si="32"/>
        <v>21.19</v>
      </c>
      <c r="H413">
        <f t="shared" si="33"/>
        <v>15.9</v>
      </c>
      <c r="I413">
        <f t="shared" si="34"/>
        <v>15.9</v>
      </c>
    </row>
    <row r="414" spans="1:9" ht="43.2">
      <c r="A414" s="372">
        <v>130225</v>
      </c>
      <c r="B414" s="241" t="s">
        <v>1303</v>
      </c>
      <c r="C414" s="221" t="s">
        <v>110</v>
      </c>
      <c r="D414" s="241">
        <v>11.48</v>
      </c>
      <c r="E414" s="56" t="str">
        <f t="shared" si="30"/>
        <v>REJUNTAMENTO DE PISO CERÂMICO, USANDO CIMENTO BRANCO, PARA JUNTAS DE NO MÁXIMO 3MM DE ESPESSURA</v>
      </c>
      <c r="F414" s="56" t="str">
        <f t="shared" si="31"/>
        <v>M2</v>
      </c>
      <c r="G414">
        <f t="shared" si="32"/>
        <v>15.3</v>
      </c>
      <c r="H414">
        <f t="shared" si="33"/>
        <v>11.48</v>
      </c>
      <c r="I414">
        <f t="shared" si="34"/>
        <v>11.48</v>
      </c>
    </row>
    <row r="415" spans="1:9" ht="28.8">
      <c r="A415" s="500">
        <v>130226</v>
      </c>
      <c r="B415" s="241" t="s">
        <v>1304</v>
      </c>
      <c r="C415" s="221" t="s">
        <v>110</v>
      </c>
      <c r="D415" s="241">
        <v>16.809999999999999</v>
      </c>
      <c r="E415" s="56" t="str">
        <f t="shared" si="30"/>
        <v>REJUNTAMENTO EMPREGANDO ARGAMASSA PARA REJUNTE, ESP. 5MM</v>
      </c>
      <c r="F415" s="56" t="str">
        <f t="shared" si="31"/>
        <v>M2</v>
      </c>
      <c r="G415">
        <f t="shared" si="32"/>
        <v>22.4</v>
      </c>
      <c r="H415">
        <f t="shared" si="33"/>
        <v>16.809999999999999</v>
      </c>
      <c r="I415">
        <f t="shared" si="34"/>
        <v>16.809999999999999</v>
      </c>
    </row>
    <row r="416" spans="1:9" ht="86.4">
      <c r="A416" s="372">
        <v>130228</v>
      </c>
      <c r="B416" s="241" t="s">
        <v>1305</v>
      </c>
      <c r="C416" s="221" t="s">
        <v>110</v>
      </c>
      <c r="D416" s="241">
        <v>59.29</v>
      </c>
      <c r="E416" s="56" t="str">
        <f t="shared" si="30"/>
        <v>ASSENTAMENTO E REJUNTAMENTO DE PISO EM PORCELANATO (DIMENSÕES SUPERIORES A 30X30CM) UTILIZANDO DUPLA COLAGEM DE ARGAMASSA COLANTE PARA PORCELANATO TIPO ACIII, EXCLUSIVE FORNECIMENTO DO PORCELANATO E DO REJUNTE</v>
      </c>
      <c r="F416" s="56" t="str">
        <f t="shared" si="31"/>
        <v>M2</v>
      </c>
      <c r="G416">
        <f t="shared" si="32"/>
        <v>79</v>
      </c>
      <c r="H416">
        <f t="shared" si="33"/>
        <v>59.29</v>
      </c>
      <c r="I416">
        <f t="shared" si="34"/>
        <v>59.29</v>
      </c>
    </row>
    <row r="417" spans="1:9" ht="86.4">
      <c r="A417" s="372">
        <v>130230</v>
      </c>
      <c r="B417" s="241" t="s">
        <v>1306</v>
      </c>
      <c r="C417" s="221" t="s">
        <v>110</v>
      </c>
      <c r="D417" s="241">
        <v>145.97</v>
      </c>
      <c r="E417" s="56" t="str">
        <f t="shared" si="30"/>
        <v>PISO ARGAMASSA ALTA RESISTÊNCIA TIPO GRANILITE OU EQUIV DE QUALIDADE COMPROVADA, ESP DE 10MM, COM JUNTAS PLÁSTICA EM QUADROS DE 1M, NA COR NATURAL, COM ACABAMENTO ANTI-DERRAPANTE MECANIZADO, INCLUSIVE REGULARIZAÇÃO E=3.0CM</v>
      </c>
      <c r="F417" s="56" t="str">
        <f t="shared" si="31"/>
        <v>M2</v>
      </c>
      <c r="G417">
        <f t="shared" si="32"/>
        <v>194.51</v>
      </c>
      <c r="H417">
        <f t="shared" si="33"/>
        <v>145.97</v>
      </c>
      <c r="I417">
        <f t="shared" si="34"/>
        <v>145.97</v>
      </c>
    </row>
    <row r="418" spans="1:9" ht="72">
      <c r="A418" s="372">
        <v>130231</v>
      </c>
      <c r="B418" s="241" t="s">
        <v>1307</v>
      </c>
      <c r="C418" s="221" t="s">
        <v>110</v>
      </c>
      <c r="D418" s="241">
        <v>161.22999999999999</v>
      </c>
      <c r="E418" s="56" t="str">
        <f t="shared" si="30"/>
        <v>PISO ARGAMASSA ALTA RESISTÊNCIA TIPO GRANILITE OU EQUIV DE QUALIDADE COMPROVADA, ESP DE 10MM, COM JUNTAS PLÁSTICA EM QUADROS DE 1M, NA COR NATURAL, COM ACABAMENTO POLIDO MECANIZADO, INCLUSIVE REGULARIZAÇÃO E=3.0CM</v>
      </c>
      <c r="F418" s="56" t="str">
        <f t="shared" si="31"/>
        <v>M2</v>
      </c>
      <c r="G418">
        <f t="shared" si="32"/>
        <v>214.84</v>
      </c>
      <c r="H418">
        <f t="shared" si="33"/>
        <v>161.22999999999999</v>
      </c>
      <c r="I418">
        <f t="shared" si="34"/>
        <v>161.22999999999999</v>
      </c>
    </row>
    <row r="419" spans="1:9" ht="86.4">
      <c r="A419" s="372">
        <v>130233</v>
      </c>
      <c r="B419" s="241" t="s">
        <v>27138</v>
      </c>
      <c r="C419" s="221" t="s">
        <v>110</v>
      </c>
      <c r="D419" s="241">
        <v>132.68</v>
      </c>
      <c r="E419" s="56" t="str">
        <f t="shared" si="30"/>
        <v>PORCELANATO ESMALTADO, ACABAMENTO ACETINADO, DIM. 60X60CM, REF. DE COR CIMENTO CINZA BOLD PORTOBELLO/EQUIV, UTILIZANDO DUPLA COLAGEM DE ARGAMASSA COLANTE PARA PORCELANATO TIPO ACIII E REJUNTE 3MM PARA PORCELANATO</v>
      </c>
      <c r="F419" s="56" t="str">
        <f t="shared" si="31"/>
        <v>M2</v>
      </c>
      <c r="G419">
        <f t="shared" si="32"/>
        <v>176.8</v>
      </c>
      <c r="H419">
        <f t="shared" si="33"/>
        <v>132.68</v>
      </c>
      <c r="I419">
        <f t="shared" si="34"/>
        <v>132.68</v>
      </c>
    </row>
    <row r="420" spans="1:9" ht="86.4">
      <c r="A420" s="371">
        <v>130234</v>
      </c>
      <c r="B420" s="240" t="s">
        <v>27139</v>
      </c>
      <c r="C420" s="221" t="s">
        <v>110</v>
      </c>
      <c r="D420" s="241">
        <v>225.17</v>
      </c>
      <c r="E420" s="56" t="str">
        <f t="shared" si="30"/>
        <v>PORCELANATO NATURAL RETIFICADO, ACABAMENTO ACETINADO, DIM. 60X60CM, REF. PLATINA NA ELIANE/EQUIV, UTILIZANDO DUPLA COLAGEM DE ARGAMASSA COLANTE PARA PORCELANATO TIPO ACIII E REJUNTE E REJUNTE 3MM PARA PORCELANATO</v>
      </c>
      <c r="F420" s="56" t="str">
        <f t="shared" si="31"/>
        <v>M2</v>
      </c>
      <c r="G420">
        <f t="shared" si="32"/>
        <v>300.04000000000002</v>
      </c>
      <c r="H420">
        <f t="shared" si="33"/>
        <v>225.17</v>
      </c>
      <c r="I420">
        <f t="shared" si="34"/>
        <v>225.17</v>
      </c>
    </row>
    <row r="421" spans="1:9" ht="72">
      <c r="A421" s="372">
        <v>130236</v>
      </c>
      <c r="B421" s="241" t="s">
        <v>1308</v>
      </c>
      <c r="C421" s="221" t="s">
        <v>110</v>
      </c>
      <c r="D421" s="241">
        <v>92.15</v>
      </c>
      <c r="E421" s="56" t="str">
        <f t="shared" si="30"/>
        <v>PISO CERÂMICO ESMALTADO, PEI 5, ACABAMENTO SEMIBRILHO, DIM. 45X45CM, REF. DE COR CARGO PLUS WHITE ELIANE/EQUIV. ASSENTADO COM ARGAMASSA DE CIMENTO COLANTE, INCLUSIVE REJUNTAMENTO</v>
      </c>
      <c r="F421" s="56" t="str">
        <f t="shared" si="31"/>
        <v>M2</v>
      </c>
      <c r="G421">
        <f t="shared" si="32"/>
        <v>122.79</v>
      </c>
      <c r="H421">
        <f t="shared" si="33"/>
        <v>92.15</v>
      </c>
      <c r="I421">
        <f t="shared" si="34"/>
        <v>92.15</v>
      </c>
    </row>
    <row r="422" spans="1:9" ht="86.4">
      <c r="A422" s="371">
        <v>130237</v>
      </c>
      <c r="B422" s="240" t="s">
        <v>1281</v>
      </c>
      <c r="C422" s="221" t="s">
        <v>110</v>
      </c>
      <c r="D422" s="241">
        <v>59.29</v>
      </c>
      <c r="E422" s="56" t="str">
        <f t="shared" si="30"/>
        <v>ASSENTAMENTO E REJUNTAMENTO DE PISO EM PORCELANATO (DIMENSÕES SUPERIORES A 30X30CM) UTILIZANDO DUPLA COLAGEM DE ARGAMASSA COLANTE PARA PORCELANATO TIPO ACII/ACIII, EXCLUSIVE FORNECIMENTO DO PORCELANATO E DO REJUNTE</v>
      </c>
      <c r="F422" s="56" t="str">
        <f t="shared" si="31"/>
        <v>M2</v>
      </c>
      <c r="G422">
        <f t="shared" si="32"/>
        <v>79</v>
      </c>
      <c r="H422">
        <f t="shared" si="33"/>
        <v>59.29</v>
      </c>
      <c r="I422">
        <f t="shared" si="34"/>
        <v>59.29</v>
      </c>
    </row>
    <row r="423" spans="1:9">
      <c r="A423" s="371">
        <v>1303</v>
      </c>
      <c r="B423" s="240" t="s">
        <v>1309</v>
      </c>
      <c r="C423" s="221"/>
      <c r="D423" s="241"/>
      <c r="E423" s="56" t="str">
        <f t="shared" si="30"/>
        <v>DEGRAUS, RODAPÉS, SOLEIRAS E PEITORIS</v>
      </c>
      <c r="F423" s="56" t="str">
        <f t="shared" si="31"/>
        <v/>
      </c>
      <c r="G423">
        <f t="shared" si="32"/>
        <v>0</v>
      </c>
      <c r="H423">
        <f t="shared" si="33"/>
        <v>0</v>
      </c>
      <c r="I423">
        <f t="shared" si="34"/>
        <v>0</v>
      </c>
    </row>
    <row r="424" spans="1:9" ht="28.8">
      <c r="A424" s="372">
        <v>130301</v>
      </c>
      <c r="B424" s="241" t="s">
        <v>1310</v>
      </c>
      <c r="C424" s="221" t="s">
        <v>112</v>
      </c>
      <c r="D424" s="594">
        <v>16.239999999999998</v>
      </c>
      <c r="E424" s="56" t="str">
        <f t="shared" si="30"/>
        <v>RODAPÉ DE ARGAMASSA DE CIMENTO E AREIA NO TRAÇO 1:3, ALTURA DE 7 CM E ESPESSURA DE 2 CM</v>
      </c>
      <c r="F424" s="56" t="str">
        <f t="shared" si="31"/>
        <v>M</v>
      </c>
      <c r="G424">
        <f t="shared" si="32"/>
        <v>21.64</v>
      </c>
      <c r="H424">
        <f t="shared" si="33"/>
        <v>16.239999999999998</v>
      </c>
      <c r="I424">
        <f t="shared" si="34"/>
        <v>16.239999999999998</v>
      </c>
    </row>
    <row r="425" spans="1:9" ht="43.2">
      <c r="A425" s="372">
        <v>130303</v>
      </c>
      <c r="B425" s="241" t="s">
        <v>14904</v>
      </c>
      <c r="C425" s="221" t="s">
        <v>112</v>
      </c>
      <c r="D425" s="594">
        <v>17.57</v>
      </c>
      <c r="E425" s="56" t="str">
        <f t="shared" si="30"/>
        <v>RODAPÉ DE CERÂMICA PEI-3, ASSENTADO COM ARGAMASSA DE CIMENTO COLA H = 7.0 CM, INCLUSIVE REJUNTAMENTO COM CIMENTO BRANCO</v>
      </c>
      <c r="F425" s="56" t="str">
        <f t="shared" si="31"/>
        <v>M</v>
      </c>
      <c r="G425">
        <f t="shared" si="32"/>
        <v>23.41</v>
      </c>
      <c r="H425">
        <f t="shared" si="33"/>
        <v>17.57</v>
      </c>
      <c r="I425">
        <f t="shared" si="34"/>
        <v>17.57</v>
      </c>
    </row>
    <row r="426" spans="1:9" ht="28.8">
      <c r="A426" s="372">
        <v>130304</v>
      </c>
      <c r="B426" s="241" t="s">
        <v>1311</v>
      </c>
      <c r="C426" s="221" t="s">
        <v>112</v>
      </c>
      <c r="D426" s="594">
        <v>43</v>
      </c>
      <c r="E426" s="56" t="str">
        <f t="shared" si="30"/>
        <v>RODAPÉ DE MADEIRA DE LEI 7.0 X 1.5 CM, FIXADO COM PARAFUSO E BUCHA PLÁSTICA N° 7</v>
      </c>
      <c r="F426" s="56" t="str">
        <f t="shared" si="31"/>
        <v>M</v>
      </c>
      <c r="G426">
        <f t="shared" si="32"/>
        <v>57.3</v>
      </c>
      <c r="H426">
        <f t="shared" si="33"/>
        <v>43</v>
      </c>
      <c r="I426">
        <f t="shared" si="34"/>
        <v>43</v>
      </c>
    </row>
    <row r="427" spans="1:9" ht="28.8">
      <c r="A427" s="372">
        <v>130307</v>
      </c>
      <c r="B427" s="241" t="s">
        <v>1312</v>
      </c>
      <c r="C427" s="221" t="s">
        <v>112</v>
      </c>
      <c r="D427" s="594">
        <v>165.18</v>
      </c>
      <c r="E427" s="56" t="str">
        <f t="shared" si="30"/>
        <v>PEITORIL DE MÁRMORE BRANCO COM LARGURA 40 CM E ESP. 3CM</v>
      </c>
      <c r="F427" s="56" t="str">
        <f t="shared" si="31"/>
        <v>M</v>
      </c>
      <c r="G427">
        <f t="shared" si="32"/>
        <v>220.1</v>
      </c>
      <c r="H427">
        <f t="shared" si="33"/>
        <v>165.18</v>
      </c>
      <c r="I427">
        <f t="shared" si="34"/>
        <v>165.18</v>
      </c>
    </row>
    <row r="428" spans="1:9" ht="28.8">
      <c r="A428" s="371">
        <v>130308</v>
      </c>
      <c r="B428" s="240" t="s">
        <v>1313</v>
      </c>
      <c r="C428" s="221" t="s">
        <v>112</v>
      </c>
      <c r="D428" s="241">
        <v>50.57</v>
      </c>
      <c r="E428" s="56" t="str">
        <f t="shared" si="30"/>
        <v>SOLEIRA DE GRANITO ESP. 2 CM E LARGURA DE 15 CM</v>
      </c>
      <c r="F428" s="56" t="str">
        <f t="shared" si="31"/>
        <v>M</v>
      </c>
      <c r="G428">
        <f t="shared" si="32"/>
        <v>67.38</v>
      </c>
      <c r="H428">
        <f t="shared" si="33"/>
        <v>50.57</v>
      </c>
      <c r="I428">
        <f t="shared" si="34"/>
        <v>50.57</v>
      </c>
    </row>
    <row r="429" spans="1:9" ht="43.2">
      <c r="A429" s="372">
        <v>130311</v>
      </c>
      <c r="B429" s="241" t="s">
        <v>1314</v>
      </c>
      <c r="C429" s="221" t="s">
        <v>112</v>
      </c>
      <c r="D429" s="241">
        <v>20.63</v>
      </c>
      <c r="E429" s="56" t="str">
        <f t="shared" si="30"/>
        <v>SOLEIRA DE GRANITO CINZA, ESPESSURA 3 CM E LARGURA DE 3 CM, CONFORME DETALHE EM PROJETO</v>
      </c>
      <c r="F429" s="56" t="str">
        <f t="shared" si="31"/>
        <v>M</v>
      </c>
      <c r="G429">
        <f t="shared" si="32"/>
        <v>27.49</v>
      </c>
      <c r="H429">
        <f t="shared" si="33"/>
        <v>20.63</v>
      </c>
      <c r="I429">
        <f t="shared" si="34"/>
        <v>20.63</v>
      </c>
    </row>
    <row r="430" spans="1:9" ht="72">
      <c r="A430" s="372">
        <v>130315</v>
      </c>
      <c r="B430" s="241" t="s">
        <v>27140</v>
      </c>
      <c r="C430" s="221" t="s">
        <v>112</v>
      </c>
      <c r="D430" s="241">
        <v>50.24</v>
      </c>
      <c r="E430" s="56" t="str">
        <f t="shared" si="30"/>
        <v>RODAPÉ DE GRANITO CINZA ANDORINHA ALTURA DE 7 CM E ESPESSURA DE 2 CM, ASSENTADO COM ARGAMASSA DE CIMENTO, CAL HIDRATADA CH1 E AREIA NO TRAÇO 1:0,5:8, INCLUSIVE REJUNTAMENTO COM CIMENTO BRANCO</v>
      </c>
      <c r="F430" s="56" t="str">
        <f t="shared" si="31"/>
        <v>M</v>
      </c>
      <c r="G430">
        <f t="shared" si="32"/>
        <v>66.94</v>
      </c>
      <c r="H430">
        <f t="shared" si="33"/>
        <v>50.24</v>
      </c>
      <c r="I430">
        <f t="shared" si="34"/>
        <v>50.24</v>
      </c>
    </row>
    <row r="431" spans="1:9" ht="28.8">
      <c r="A431" s="372">
        <v>130317</v>
      </c>
      <c r="B431" s="241" t="s">
        <v>1315</v>
      </c>
      <c r="C431" s="221" t="s">
        <v>112</v>
      </c>
      <c r="D431" s="241">
        <v>82.17</v>
      </c>
      <c r="E431" s="56" t="str">
        <f t="shared" si="30"/>
        <v>PEITORIL DE GRANITO CINZA POLIDO, 15 CM, ESP. 3CM</v>
      </c>
      <c r="F431" s="56" t="str">
        <f t="shared" si="31"/>
        <v>M</v>
      </c>
      <c r="G431">
        <f t="shared" si="32"/>
        <v>109.49</v>
      </c>
      <c r="H431">
        <f t="shared" si="33"/>
        <v>82.17</v>
      </c>
      <c r="I431">
        <f t="shared" si="34"/>
        <v>82.17</v>
      </c>
    </row>
    <row r="432" spans="1:9" ht="43.2">
      <c r="A432" s="372">
        <v>130320</v>
      </c>
      <c r="B432" s="241" t="s">
        <v>1316</v>
      </c>
      <c r="C432" s="221" t="s">
        <v>112</v>
      </c>
      <c r="D432" s="241">
        <v>36.96</v>
      </c>
      <c r="E432" s="56" t="str">
        <f t="shared" si="30"/>
        <v>RODAPÉ EM CERÂMICA PEI-3, H = 7CM, ASSENTADO COM ARGAMASSA DE CIMENTO, CAL E AREIA, INCL. REJUNTAMENTO COM CIMENTO BRANCO</v>
      </c>
      <c r="F432" s="56" t="str">
        <f t="shared" si="31"/>
        <v>M</v>
      </c>
      <c r="G432">
        <f t="shared" si="32"/>
        <v>49.25</v>
      </c>
      <c r="H432">
        <f t="shared" si="33"/>
        <v>36.96</v>
      </c>
      <c r="I432">
        <f t="shared" si="34"/>
        <v>36.96</v>
      </c>
    </row>
    <row r="433" spans="1:9" ht="57.6">
      <c r="A433" s="371">
        <v>130321</v>
      </c>
      <c r="B433" s="240" t="s">
        <v>1317</v>
      </c>
      <c r="C433" s="221" t="s">
        <v>112</v>
      </c>
      <c r="D433" s="241">
        <v>50.24</v>
      </c>
      <c r="E433" s="56" t="str">
        <f t="shared" si="30"/>
        <v>RODAPÉ DE GRANITO CINZA ESP. 2CM, H=7CM, ASSENTADO COM ARGAMASSA DE CIMENTO, CAL HIDRATADA CH1 E AREIA NO TRAÇO 1:0,5:8, INCL. REJUNTAMENTO COM CIMENTO BRANCO</v>
      </c>
      <c r="F433" s="56" t="str">
        <f t="shared" si="31"/>
        <v>M</v>
      </c>
      <c r="G433">
        <f t="shared" si="32"/>
        <v>66.94</v>
      </c>
      <c r="H433">
        <f t="shared" si="33"/>
        <v>50.24</v>
      </c>
      <c r="I433">
        <f t="shared" si="34"/>
        <v>50.24</v>
      </c>
    </row>
    <row r="434" spans="1:9" ht="86.4">
      <c r="A434" s="372">
        <v>130322</v>
      </c>
      <c r="B434" s="241" t="s">
        <v>1318</v>
      </c>
      <c r="C434" s="221" t="s">
        <v>112</v>
      </c>
      <c r="D434" s="241">
        <v>32.520000000000003</v>
      </c>
      <c r="E434" s="56" t="str">
        <f t="shared" si="30"/>
        <v>RODAPÉ DE ARGAMASSA DE ALTA RESISTÊNCIA TIPO GRANILITE OU EQUIVALENTE DE QUALIDADE COMPROVADA, ALTURA DE 10 CM E ESPESSURA DE 10 MM, COM CANTOS BOLEADOS, EXECUTADO COM CIMENTO E GRANITINA GRANA N.1, INCLUSIVE POLIMENTO</v>
      </c>
      <c r="F434" s="56" t="str">
        <f t="shared" si="31"/>
        <v>M</v>
      </c>
      <c r="G434">
        <f t="shared" si="32"/>
        <v>43.33</v>
      </c>
      <c r="H434">
        <f t="shared" si="33"/>
        <v>32.520000000000003</v>
      </c>
      <c r="I434">
        <f t="shared" si="34"/>
        <v>32.520000000000003</v>
      </c>
    </row>
    <row r="435" spans="1:9" ht="57.6">
      <c r="A435" s="372">
        <v>130323</v>
      </c>
      <c r="B435" s="241" t="s">
        <v>1319</v>
      </c>
      <c r="C435" s="221" t="s">
        <v>112</v>
      </c>
      <c r="D435" s="241">
        <v>55.9</v>
      </c>
      <c r="E435" s="56" t="str">
        <f t="shared" si="30"/>
        <v>SOLEIRA DE ARGAMASSA DE ALTA RESISTÊNCIA TIPO GRANILITE OU EQUIVALENTE DE QUALIDADE COMPROVADA, LARGURA DE 15CM, EXECUTADO COM CIMENTO E GRANITINA GRANA N.1</v>
      </c>
      <c r="F435" s="56" t="str">
        <f t="shared" si="31"/>
        <v>M</v>
      </c>
      <c r="G435">
        <f t="shared" si="32"/>
        <v>74.489999999999995</v>
      </c>
      <c r="H435">
        <f t="shared" si="33"/>
        <v>55.9</v>
      </c>
      <c r="I435">
        <f t="shared" si="34"/>
        <v>55.9</v>
      </c>
    </row>
    <row r="436" spans="1:9">
      <c r="A436" s="372">
        <v>1304</v>
      </c>
      <c r="B436" s="241" t="s">
        <v>1210</v>
      </c>
      <c r="C436" s="221"/>
      <c r="D436" s="241"/>
      <c r="E436" s="56" t="str">
        <f t="shared" si="30"/>
        <v>REVISÕES E REPAROS</v>
      </c>
      <c r="F436" s="56" t="str">
        <f t="shared" si="31"/>
        <v/>
      </c>
      <c r="G436">
        <f t="shared" si="32"/>
        <v>0</v>
      </c>
      <c r="H436">
        <f t="shared" si="33"/>
        <v>0</v>
      </c>
      <c r="I436">
        <f t="shared" si="34"/>
        <v>0</v>
      </c>
    </row>
    <row r="437" spans="1:9" ht="43.2">
      <c r="A437" s="372">
        <v>130403</v>
      </c>
      <c r="B437" s="241" t="s">
        <v>1320</v>
      </c>
      <c r="C437" s="221" t="s">
        <v>110</v>
      </c>
      <c r="D437" s="241">
        <v>143.28</v>
      </c>
      <c r="E437" s="56" t="str">
        <f t="shared" si="30"/>
        <v>RECOMPOSIÇÃO DE PISO CIMENTADO, COM ARGAMASSA DE CIMENTO E AREIA NO TRAÇO 1:3, COM 2 CM DE ESPESSURA, INCL. LASTRO</v>
      </c>
      <c r="F437" s="56" t="str">
        <f t="shared" si="31"/>
        <v>M2</v>
      </c>
      <c r="G437">
        <f t="shared" si="32"/>
        <v>190.92</v>
      </c>
      <c r="H437">
        <f t="shared" si="33"/>
        <v>143.28</v>
      </c>
      <c r="I437">
        <f t="shared" si="34"/>
        <v>143.28</v>
      </c>
    </row>
    <row r="438" spans="1:9">
      <c r="A438" s="372">
        <v>14</v>
      </c>
      <c r="B438" s="241" t="s">
        <v>1321</v>
      </c>
      <c r="C438" s="221"/>
      <c r="D438" s="241"/>
      <c r="E438" s="56" t="str">
        <f t="shared" si="30"/>
        <v>INSTALAÇÕES HIDRO-SANITÁRIAS</v>
      </c>
      <c r="F438" s="56" t="str">
        <f t="shared" si="31"/>
        <v/>
      </c>
      <c r="G438">
        <f t="shared" si="32"/>
        <v>0</v>
      </c>
      <c r="H438">
        <f t="shared" si="33"/>
        <v>0</v>
      </c>
      <c r="I438">
        <f t="shared" si="34"/>
        <v>0</v>
      </c>
    </row>
    <row r="439" spans="1:9" ht="28.8">
      <c r="A439" s="372">
        <v>1401</v>
      </c>
      <c r="B439" s="241" t="s">
        <v>1322</v>
      </c>
      <c r="C439" s="221"/>
      <c r="D439" s="241"/>
      <c r="E439" s="56" t="str">
        <f t="shared" si="30"/>
        <v>SUMIDOUROS, FOSSAS SÉPTICAS E FILTROS ANAERÓBIOS</v>
      </c>
      <c r="F439" s="56" t="str">
        <f t="shared" si="31"/>
        <v/>
      </c>
      <c r="G439">
        <f t="shared" si="32"/>
        <v>0</v>
      </c>
      <c r="H439">
        <f t="shared" si="33"/>
        <v>0</v>
      </c>
      <c r="I439">
        <f t="shared" si="34"/>
        <v>0</v>
      </c>
    </row>
    <row r="440" spans="1:9" ht="72">
      <c r="A440" s="372">
        <v>140102</v>
      </c>
      <c r="B440" s="241" t="s">
        <v>1323</v>
      </c>
      <c r="C440" s="221" t="s">
        <v>115</v>
      </c>
      <c r="D440" s="241">
        <v>2595.71</v>
      </c>
      <c r="E440" s="56" t="str">
        <f t="shared" si="30"/>
        <v>FOSSA SÉPTICA DE ANÉIS PRÉ-MOLDADOS DE CONCRETO, DIÂMETRO 1.20 M, ALTURA ÚTIL DE 1.70M, COMPLETA, INCLUINDO TAMPA C/VISITA DE 60CM, CONCRETO P/FUNDO ESP.10 CM, E TUBO PARA LIGAÇÃO AO FILTRO</v>
      </c>
      <c r="F440" s="56" t="str">
        <f t="shared" si="31"/>
        <v>UND</v>
      </c>
      <c r="G440">
        <f t="shared" si="32"/>
        <v>3458.78</v>
      </c>
      <c r="H440">
        <f t="shared" si="33"/>
        <v>2595.71</v>
      </c>
      <c r="I440">
        <f t="shared" si="34"/>
        <v>2595.71</v>
      </c>
    </row>
    <row r="441" spans="1:9" ht="72">
      <c r="A441" s="372">
        <v>140103</v>
      </c>
      <c r="B441" s="241" t="s">
        <v>1324</v>
      </c>
      <c r="C441" s="221" t="s">
        <v>115</v>
      </c>
      <c r="D441" s="241">
        <v>3385.87</v>
      </c>
      <c r="E441" s="56" t="str">
        <f t="shared" si="30"/>
        <v>FILTRO ANAERÓBIO DE ANÉIS PRÉ-MOLDADOS DE CONCRETO, DIÂMETRO DE 1.20M, ALTURA ÚTIL DE 1.80M, COMPLETO, INCL. TAMPA C/VISITA DE 60 CM, CONCRETO P/FUNDO ESP.10CM E TUBULAÇÃO DE SAÍDA DE ESGOTO</v>
      </c>
      <c r="F441" s="56" t="str">
        <f t="shared" si="31"/>
        <v>UND</v>
      </c>
      <c r="G441">
        <f t="shared" si="32"/>
        <v>4511.67</v>
      </c>
      <c r="H441">
        <f t="shared" si="33"/>
        <v>3385.87</v>
      </c>
      <c r="I441">
        <f t="shared" si="34"/>
        <v>3385.87</v>
      </c>
    </row>
    <row r="442" spans="1:9" ht="72">
      <c r="A442" s="372">
        <v>140108</v>
      </c>
      <c r="B442" s="241" t="s">
        <v>1325</v>
      </c>
      <c r="C442" s="221" t="s">
        <v>115</v>
      </c>
      <c r="D442" s="241">
        <v>8068.7</v>
      </c>
      <c r="E442" s="56" t="str">
        <f t="shared" si="30"/>
        <v>FOSSA SÉPTICA DE ANÉIS PRÉ-MOLDADOS DE CONCRETO, DIÂMETRO 2.00 M, HÚTIL 2.0M COMPLETA, INCLUINDO TAMPA C/VISITA DE 60CM, CONCRETO P/ FUNDO ESP.10 CM, TUBO DE LIMPEZA E ESCAVAÇÃO, CONF. DETALHE EM PROJETO</v>
      </c>
      <c r="F442" s="56" t="str">
        <f t="shared" si="31"/>
        <v>UND</v>
      </c>
      <c r="G442">
        <f t="shared" si="32"/>
        <v>10751.54</v>
      </c>
      <c r="H442">
        <f t="shared" si="33"/>
        <v>8068.7</v>
      </c>
      <c r="I442">
        <f t="shared" si="34"/>
        <v>8068.7</v>
      </c>
    </row>
    <row r="443" spans="1:9" ht="72">
      <c r="A443" s="500">
        <v>140109</v>
      </c>
      <c r="B443" s="241" t="s">
        <v>1326</v>
      </c>
      <c r="C443" s="221" t="s">
        <v>115</v>
      </c>
      <c r="D443" s="241">
        <v>7647.97</v>
      </c>
      <c r="E443" s="56" t="str">
        <f t="shared" si="30"/>
        <v>FILTRO ANAERÓBIO DE ANÉIS PRÉ-MOLDADOS DE CONCRETO, DIÂM. 2.0M, HÚTIL 2.0M, COMPL., INCL. TAMPA C/VISITA 60CM, CONCRETO P/ FUNDO ESP. 10CM, ESCAVAÇÃO, BRITA 4 E TUBULAÇÃO DE SAÍDA ESGOTO 150MM, CONF. PROJ.</v>
      </c>
      <c r="F443" s="56" t="str">
        <f t="shared" si="31"/>
        <v>UND</v>
      </c>
      <c r="G443">
        <f t="shared" si="32"/>
        <v>10190.92</v>
      </c>
      <c r="H443">
        <f t="shared" si="33"/>
        <v>7647.97</v>
      </c>
      <c r="I443">
        <f t="shared" si="34"/>
        <v>7647.97</v>
      </c>
    </row>
    <row r="444" spans="1:9">
      <c r="A444" s="372">
        <v>1402</v>
      </c>
      <c r="B444" s="241" t="s">
        <v>1327</v>
      </c>
      <c r="C444" s="221"/>
      <c r="D444" s="241"/>
      <c r="E444" s="56" t="str">
        <f t="shared" si="30"/>
        <v>ENTRADA DE ÁGUA</v>
      </c>
      <c r="F444" s="56" t="str">
        <f t="shared" si="31"/>
        <v/>
      </c>
      <c r="G444">
        <f t="shared" si="32"/>
        <v>0</v>
      </c>
      <c r="H444">
        <f t="shared" si="33"/>
        <v>0</v>
      </c>
      <c r="I444">
        <f t="shared" si="34"/>
        <v>0</v>
      </c>
    </row>
    <row r="445" spans="1:9" ht="86.4">
      <c r="A445" s="372">
        <v>140201</v>
      </c>
      <c r="B445" s="241" t="s">
        <v>15725</v>
      </c>
      <c r="C445" s="221" t="s">
        <v>115</v>
      </c>
      <c r="D445" s="241">
        <v>441.86</v>
      </c>
      <c r="E445" s="56" t="str">
        <f t="shared" si="30"/>
        <v>PADRÃO DE ENTRADA D ÁGUA COM CAVALETE DE PVC PARA HIDRÔMETRO COM DIÂMETRO DE 3/4" - PADRÃO 1C DA CESAN. INSTALADO EM VÃO DE MURO PROTEGIDO COM GRADEAMENTO. INCLUSIVE BASE DE CONCRETO MAGRO, TUBULAÇÃO, CONEXÕES E REGISTRO. CONFERIR DETALHE.</v>
      </c>
      <c r="F445" s="56" t="str">
        <f t="shared" si="31"/>
        <v>UND</v>
      </c>
      <c r="G445">
        <f t="shared" si="32"/>
        <v>588.78</v>
      </c>
      <c r="H445">
        <f t="shared" si="33"/>
        <v>441.86</v>
      </c>
      <c r="I445">
        <f t="shared" si="34"/>
        <v>441.86</v>
      </c>
    </row>
    <row r="446" spans="1:9" ht="86.4">
      <c r="A446" s="372">
        <v>140207</v>
      </c>
      <c r="B446" s="241" t="s">
        <v>15726</v>
      </c>
      <c r="C446" s="221" t="s">
        <v>115</v>
      </c>
      <c r="D446" s="594">
        <v>360.42</v>
      </c>
      <c r="E446" s="56" t="str">
        <f t="shared" si="30"/>
        <v>PADRÃO DE ENTRADA DÁGUA COM CAIXA TERMOPLÁSTICA PARA HIDRÔMETRO DE 3/4" - PADRÃO 1B DA CESAN. INSTALADO EMBUTIDO NA ALVENARIA. INCLUSIVE TUBULAÇÃO, CONEXÕES, REGISTRO, TUBO CAMISA E CAIXA COM TAMPA TRANSPARENTE. CONFERIR DETALHE.</v>
      </c>
      <c r="F446" s="56" t="str">
        <f t="shared" si="31"/>
        <v>UND</v>
      </c>
      <c r="G446">
        <f t="shared" si="32"/>
        <v>480.26</v>
      </c>
      <c r="H446">
        <f t="shared" si="33"/>
        <v>360.42</v>
      </c>
      <c r="I446">
        <f t="shared" si="34"/>
        <v>360.42</v>
      </c>
    </row>
    <row r="447" spans="1:9" ht="86.4">
      <c r="A447" s="500">
        <v>140208</v>
      </c>
      <c r="B447" s="241" t="s">
        <v>15727</v>
      </c>
      <c r="C447" s="221" t="s">
        <v>115</v>
      </c>
      <c r="D447" s="241">
        <v>768.99</v>
      </c>
      <c r="E447" s="56" t="str">
        <f t="shared" si="30"/>
        <v>PADRÃO ENTRADA DÁGUA COM CAIXA ENTERRADA PARA HIDRÔMETRO COM DIÂMETRO DE 1" - PADRÃO 2B DA CESAN. CAIXA EM ALVENARIA 60X80X40CM E COM TAMPA ARTICULADA DE FERRO FUNDIDO, REGISTRO E CONEXÕES PARA INSTALAÇÃO DE HIDRÔMETRO. CONFERIR DETALHE</v>
      </c>
      <c r="F447" s="56" t="str">
        <f t="shared" si="31"/>
        <v>UND</v>
      </c>
      <c r="G447">
        <f t="shared" si="32"/>
        <v>1024.68</v>
      </c>
      <c r="H447">
        <f t="shared" si="33"/>
        <v>768.99</v>
      </c>
      <c r="I447">
        <f t="shared" si="34"/>
        <v>768.99</v>
      </c>
    </row>
    <row r="448" spans="1:9" ht="86.4">
      <c r="A448" s="371">
        <v>140209</v>
      </c>
      <c r="B448" s="240" t="s">
        <v>1328</v>
      </c>
      <c r="C448" s="221" t="s">
        <v>115</v>
      </c>
      <c r="D448" s="241">
        <v>293.26</v>
      </c>
      <c r="E448" s="56" t="str">
        <f t="shared" si="30"/>
        <v>MURETA P/ CAVALETE (PADRÃO 1B - CESAN) DE ALV. BLOCOS CERÂMICOS 10X20X20CM DEITADOS, DIMENSÕES 0.80X1.0X0.20M, PARA INSTALAÇÃO DE CAIXA TERMOPLASTICA, INCL REVEST. EM REBOCO E LASTRO CONCRETO ESP.10CM, EXCLUSIVE CAIXA E CAVALETE</v>
      </c>
      <c r="F448" s="56" t="str">
        <f t="shared" si="31"/>
        <v>UND</v>
      </c>
      <c r="G448">
        <f t="shared" si="32"/>
        <v>390.77</v>
      </c>
      <c r="H448">
        <f t="shared" si="33"/>
        <v>293.26</v>
      </c>
      <c r="I448">
        <f t="shared" si="34"/>
        <v>293.26</v>
      </c>
    </row>
    <row r="449" spans="1:9">
      <c r="A449" s="372">
        <v>1407</v>
      </c>
      <c r="B449" s="241" t="s">
        <v>1329</v>
      </c>
      <c r="C449" s="221"/>
      <c r="D449" s="241"/>
      <c r="E449" s="56" t="str">
        <f t="shared" ref="E449:E512" si="35">UPPER(B449)</f>
        <v>PONTOS HIDRO-SANITÁRIOS</v>
      </c>
      <c r="F449" s="56" t="str">
        <f t="shared" ref="F449:F512" si="36">UPPER(C449)</f>
        <v/>
      </c>
      <c r="G449">
        <f t="shared" si="32"/>
        <v>0</v>
      </c>
      <c r="H449">
        <f t="shared" si="33"/>
        <v>0</v>
      </c>
      <c r="I449">
        <f t="shared" si="34"/>
        <v>0</v>
      </c>
    </row>
    <row r="450" spans="1:9" ht="28.8">
      <c r="A450" s="372">
        <v>140701</v>
      </c>
      <c r="B450" s="241" t="s">
        <v>1330</v>
      </c>
      <c r="C450" s="221" t="s">
        <v>1331</v>
      </c>
      <c r="D450" s="241">
        <v>114.72</v>
      </c>
      <c r="E450" s="56" t="str">
        <f t="shared" si="35"/>
        <v>PONTO DE ÁGUA FRIA (LAVATÓRIO, TANQUE, PIA DE COZINHA, ETC...)</v>
      </c>
      <c r="F450" s="56" t="str">
        <f t="shared" si="36"/>
        <v>PT</v>
      </c>
      <c r="G450">
        <f t="shared" si="32"/>
        <v>152.86000000000001</v>
      </c>
      <c r="H450">
        <f t="shared" si="33"/>
        <v>114.72</v>
      </c>
      <c r="I450">
        <f t="shared" si="34"/>
        <v>114.72</v>
      </c>
    </row>
    <row r="451" spans="1:9" ht="28.8">
      <c r="A451" s="500">
        <v>140702</v>
      </c>
      <c r="B451" s="241" t="s">
        <v>1332</v>
      </c>
      <c r="C451" s="221" t="s">
        <v>1331</v>
      </c>
      <c r="D451" s="241">
        <v>262.08999999999997</v>
      </c>
      <c r="E451" s="56" t="str">
        <f t="shared" si="35"/>
        <v>PONTO COM REGISTRO DE PRESSÃO (CHUVEIRO, CAIXA DE DESCARGA, ETC...)</v>
      </c>
      <c r="F451" s="56" t="str">
        <f t="shared" si="36"/>
        <v>PT</v>
      </c>
      <c r="G451">
        <f t="shared" si="32"/>
        <v>349.23</v>
      </c>
      <c r="H451">
        <f t="shared" si="33"/>
        <v>262.08999999999997</v>
      </c>
      <c r="I451">
        <f t="shared" si="34"/>
        <v>262.08999999999997</v>
      </c>
    </row>
    <row r="452" spans="1:9">
      <c r="A452" s="372">
        <v>140703</v>
      </c>
      <c r="B452" s="241" t="s">
        <v>1333</v>
      </c>
      <c r="C452" s="221" t="s">
        <v>1331</v>
      </c>
      <c r="D452" s="241">
        <v>433.2</v>
      </c>
      <c r="E452" s="56" t="str">
        <f t="shared" si="35"/>
        <v>PONTO DE TORNEIRA DE JARDIM (PARA PRAÇAS)</v>
      </c>
      <c r="F452" s="56" t="str">
        <f t="shared" si="36"/>
        <v>PT</v>
      </c>
      <c r="G452">
        <f t="shared" si="32"/>
        <v>577.24</v>
      </c>
      <c r="H452">
        <f t="shared" si="33"/>
        <v>433.2</v>
      </c>
      <c r="I452">
        <f t="shared" si="34"/>
        <v>433.2</v>
      </c>
    </row>
    <row r="453" spans="1:9" ht="28.8">
      <c r="A453" s="372">
        <v>140704</v>
      </c>
      <c r="B453" s="241" t="s">
        <v>1334</v>
      </c>
      <c r="C453" s="221" t="s">
        <v>1331</v>
      </c>
      <c r="D453" s="241">
        <v>420.72</v>
      </c>
      <c r="E453" s="56" t="str">
        <f t="shared" si="35"/>
        <v>PONTO DE VÁLVULA DE DESCARGA, INCLUSIVE VÁLVULA (SEM ACABAMENTO)</v>
      </c>
      <c r="F453" s="56" t="str">
        <f t="shared" si="36"/>
        <v>PT</v>
      </c>
      <c r="G453">
        <f t="shared" si="32"/>
        <v>560.61</v>
      </c>
      <c r="H453">
        <f t="shared" si="33"/>
        <v>420.72</v>
      </c>
      <c r="I453">
        <f t="shared" si="34"/>
        <v>420.72</v>
      </c>
    </row>
    <row r="454" spans="1:9">
      <c r="A454" s="372">
        <v>140705</v>
      </c>
      <c r="B454" s="241" t="s">
        <v>1335</v>
      </c>
      <c r="C454" s="221" t="s">
        <v>1331</v>
      </c>
      <c r="D454" s="241">
        <v>136.63999999999999</v>
      </c>
      <c r="E454" s="56" t="str">
        <f t="shared" si="35"/>
        <v>PONTO PARA ESGOTO PRIMÁRIO (VASO SANITÁRIO)</v>
      </c>
      <c r="F454" s="56" t="str">
        <f t="shared" si="36"/>
        <v>PT</v>
      </c>
      <c r="G454">
        <f t="shared" si="32"/>
        <v>182.07</v>
      </c>
      <c r="H454">
        <f t="shared" si="33"/>
        <v>136.63999999999999</v>
      </c>
      <c r="I454">
        <f t="shared" si="34"/>
        <v>136.63999999999999</v>
      </c>
    </row>
    <row r="455" spans="1:9" ht="28.8">
      <c r="A455" s="371">
        <v>140706</v>
      </c>
      <c r="B455" s="240" t="s">
        <v>1336</v>
      </c>
      <c r="C455" s="221" t="s">
        <v>1331</v>
      </c>
      <c r="D455" s="241">
        <v>103.73</v>
      </c>
      <c r="E455" s="56" t="str">
        <f t="shared" si="35"/>
        <v>PONTO PARA ESGOTO SECUNDÁRIO (PIA, LAVATÓRIO, MICTÓRIO, TANQUE, BIDÊ, ETC...)</v>
      </c>
      <c r="F455" s="56" t="str">
        <f t="shared" si="36"/>
        <v>PT</v>
      </c>
      <c r="G455">
        <f t="shared" si="32"/>
        <v>138.22</v>
      </c>
      <c r="H455">
        <f t="shared" si="33"/>
        <v>103.73</v>
      </c>
      <c r="I455">
        <f t="shared" si="34"/>
        <v>103.73</v>
      </c>
    </row>
    <row r="456" spans="1:9" ht="43.2">
      <c r="A456" s="372">
        <v>140707</v>
      </c>
      <c r="B456" s="241" t="s">
        <v>1337</v>
      </c>
      <c r="C456" s="221" t="s">
        <v>1331</v>
      </c>
      <c r="D456" s="241">
        <v>187.08</v>
      </c>
      <c r="E456" s="56" t="str">
        <f t="shared" si="35"/>
        <v>PONTO PARA CAIXA SIFONADA, INCLUSIVE CAIXA SIFONADA PVC 150X150X50MM COM GRELHA EM PVC</v>
      </c>
      <c r="F456" s="56" t="str">
        <f t="shared" si="36"/>
        <v>PT</v>
      </c>
      <c r="G456">
        <f t="shared" ref="G456:G519" si="37">ROUND(H456*(1+$G$1),2)</f>
        <v>249.28</v>
      </c>
      <c r="H456">
        <f t="shared" ref="H456:H519" si="38">I456</f>
        <v>187.08</v>
      </c>
      <c r="I456">
        <f t="shared" ref="I456:I519" si="39">ROUND(D456/(1+$E$1),2)</f>
        <v>187.08</v>
      </c>
    </row>
    <row r="457" spans="1:9" ht="28.8">
      <c r="A457" s="372">
        <v>140708</v>
      </c>
      <c r="B457" s="241" t="s">
        <v>1338</v>
      </c>
      <c r="C457" s="221" t="s">
        <v>1331</v>
      </c>
      <c r="D457" s="241">
        <v>109.64</v>
      </c>
      <c r="E457" s="56" t="str">
        <f t="shared" si="35"/>
        <v>PONTO PARA RALO SIFONADO, INCLUSIVE RALO SIFONADO 100 X 40 MM C/ GRELHA EM PVC</v>
      </c>
      <c r="F457" s="56" t="str">
        <f t="shared" si="36"/>
        <v>PT</v>
      </c>
      <c r="G457">
        <f t="shared" si="37"/>
        <v>146.1</v>
      </c>
      <c r="H457">
        <f t="shared" si="38"/>
        <v>109.64</v>
      </c>
      <c r="I457">
        <f t="shared" si="39"/>
        <v>109.64</v>
      </c>
    </row>
    <row r="458" spans="1:9" ht="28.8">
      <c r="A458" s="372">
        <v>140709</v>
      </c>
      <c r="B458" s="241" t="s">
        <v>1339</v>
      </c>
      <c r="C458" s="221" t="s">
        <v>1331</v>
      </c>
      <c r="D458" s="241">
        <v>109.11</v>
      </c>
      <c r="E458" s="56" t="str">
        <f t="shared" si="35"/>
        <v>PONTO PARA RALO SECO, INCLUSIVE RALO PVC 10 CM COM GRELHA EM PVC</v>
      </c>
      <c r="F458" s="56" t="str">
        <f t="shared" si="36"/>
        <v>PT</v>
      </c>
      <c r="G458">
        <f t="shared" si="37"/>
        <v>145.38999999999999</v>
      </c>
      <c r="H458">
        <f t="shared" si="38"/>
        <v>109.11</v>
      </c>
      <c r="I458">
        <f t="shared" si="39"/>
        <v>109.11</v>
      </c>
    </row>
    <row r="459" spans="1:9" ht="43.2">
      <c r="A459" s="372">
        <v>140710</v>
      </c>
      <c r="B459" s="241" t="s">
        <v>1340</v>
      </c>
      <c r="C459" s="221" t="s">
        <v>115</v>
      </c>
      <c r="D459" s="241">
        <v>229.24</v>
      </c>
      <c r="E459" s="56" t="str">
        <f t="shared" si="35"/>
        <v>PONTO PARA CAIXA SIFONADA, INCLUSIVE CAIXA SIFONADA PVC 150X150X50MM COM GRELHA EM AÇO INOX</v>
      </c>
      <c r="F459" s="56" t="str">
        <f t="shared" si="36"/>
        <v>UND</v>
      </c>
      <c r="G459">
        <f t="shared" si="37"/>
        <v>305.45999999999998</v>
      </c>
      <c r="H459">
        <f t="shared" si="38"/>
        <v>229.24</v>
      </c>
      <c r="I459">
        <f t="shared" si="39"/>
        <v>229.24</v>
      </c>
    </row>
    <row r="460" spans="1:9" ht="28.8">
      <c r="A460" s="372">
        <v>140711</v>
      </c>
      <c r="B460" s="241" t="s">
        <v>1341</v>
      </c>
      <c r="C460" s="221" t="s">
        <v>115</v>
      </c>
      <c r="D460" s="241">
        <v>129.21</v>
      </c>
      <c r="E460" s="56" t="str">
        <f t="shared" si="35"/>
        <v>PONTO PARA RALO SIFONADO, INCLUSIVE RALO SIFONADO 100 X 40 MM C/ GRELHA EM AÇÕ INOX</v>
      </c>
      <c r="F460" s="56" t="str">
        <f t="shared" si="36"/>
        <v>UND</v>
      </c>
      <c r="G460">
        <f t="shared" si="37"/>
        <v>172.17</v>
      </c>
      <c r="H460">
        <f t="shared" si="38"/>
        <v>129.21</v>
      </c>
      <c r="I460">
        <f t="shared" si="39"/>
        <v>129.21</v>
      </c>
    </row>
    <row r="461" spans="1:9" ht="43.2">
      <c r="A461" s="372">
        <v>140712</v>
      </c>
      <c r="B461" s="241" t="s">
        <v>1821</v>
      </c>
      <c r="C461" s="221" t="s">
        <v>115</v>
      </c>
      <c r="D461" s="241">
        <v>737.71</v>
      </c>
      <c r="E461" s="56" t="str">
        <f t="shared" si="35"/>
        <v>PONTO DE VÁLVULA DE DESCARGA, INCLUSIVE VÁLVULA E ACABAMENTO ANTI-VANDALISMO CROMADO REFERÊNCIA DOCOL, FABRIMAR E DECA</v>
      </c>
      <c r="F461" s="56" t="str">
        <f t="shared" si="36"/>
        <v>UND</v>
      </c>
      <c r="G461">
        <f t="shared" si="37"/>
        <v>983</v>
      </c>
      <c r="H461">
        <f t="shared" si="38"/>
        <v>737.71</v>
      </c>
      <c r="I461">
        <f t="shared" si="39"/>
        <v>737.71</v>
      </c>
    </row>
    <row r="462" spans="1:9" ht="72">
      <c r="A462" s="372">
        <v>140713</v>
      </c>
      <c r="B462" s="241" t="s">
        <v>1342</v>
      </c>
      <c r="C462" s="221" t="s">
        <v>115</v>
      </c>
      <c r="D462" s="241">
        <v>1167.95</v>
      </c>
      <c r="E462" s="56" t="str">
        <f t="shared" si="35"/>
        <v>PONTO DE VÁLVULA DE DESCARGA, INCLUSIVE VÁLVULA DE DESCARGA DE 50MM (1 1/2"), COM ACABAMENTO PARA VÁLVULA DE DESCARGA BENEFIT, MARCA DE REFERÊNCIA DOCOL OU EQUIVALENTE MOD. 00184906</v>
      </c>
      <c r="F462" s="56" t="str">
        <f t="shared" si="36"/>
        <v>UND</v>
      </c>
      <c r="G462">
        <f t="shared" si="37"/>
        <v>1556.29</v>
      </c>
      <c r="H462">
        <f t="shared" si="38"/>
        <v>1167.95</v>
      </c>
      <c r="I462">
        <f t="shared" si="39"/>
        <v>1167.95</v>
      </c>
    </row>
    <row r="463" spans="1:9" ht="86.4">
      <c r="A463" s="372">
        <v>140714</v>
      </c>
      <c r="B463" s="241" t="s">
        <v>1343</v>
      </c>
      <c r="C463" s="221" t="s">
        <v>115</v>
      </c>
      <c r="D463" s="241">
        <v>1375.5</v>
      </c>
      <c r="E463" s="56" t="str">
        <f t="shared" si="35"/>
        <v>PONTO P/ VÁLVULA (MICTÓRIO) INCLUSIVE VÁLVULA COM ACABAMENTO MARCA DE REFERÊNCIA PRESSMATIC DOCOL, MOD. 17015106 E TUBO DE LIGAÇÃO P/MICTÓRIO ANTIVANDALISMO PRESSMATIC MOD. 00132606 MARCA DE REF. DOCOL OU EQUIVALENTE</v>
      </c>
      <c r="F463" s="56" t="str">
        <f t="shared" si="36"/>
        <v>UND</v>
      </c>
      <c r="G463">
        <f t="shared" si="37"/>
        <v>1832.85</v>
      </c>
      <c r="H463">
        <f t="shared" si="38"/>
        <v>1375.5</v>
      </c>
      <c r="I463">
        <f t="shared" si="39"/>
        <v>1375.5</v>
      </c>
    </row>
    <row r="464" spans="1:9">
      <c r="A464" s="372">
        <v>1409</v>
      </c>
      <c r="B464" s="241" t="s">
        <v>1344</v>
      </c>
      <c r="C464" s="221"/>
      <c r="D464" s="241"/>
      <c r="E464" s="56" t="str">
        <f t="shared" si="35"/>
        <v>TUBULAÇÃO DE LIGAÇÃO DE CAIXAS</v>
      </c>
      <c r="F464" s="56" t="str">
        <f t="shared" si="36"/>
        <v/>
      </c>
      <c r="G464">
        <f t="shared" si="37"/>
        <v>0</v>
      </c>
      <c r="H464">
        <f t="shared" si="38"/>
        <v>0</v>
      </c>
      <c r="I464">
        <f t="shared" si="39"/>
        <v>0</v>
      </c>
    </row>
    <row r="465" spans="1:9" ht="72">
      <c r="A465" s="372">
        <v>140901</v>
      </c>
      <c r="B465" s="241" t="s">
        <v>23534</v>
      </c>
      <c r="C465" s="221" t="s">
        <v>112</v>
      </c>
      <c r="D465" s="241">
        <v>153.82</v>
      </c>
      <c r="E465" s="56" t="str">
        <f t="shared" si="35"/>
        <v>TUBOS DE CONCRETO SIMPLES PS1, DIÂMETRO 200 MM, COM REJUNTAMENTO DE ARGAMASSA DE CIMENTO, CAL HIDRATADA E AREIA NO TRAÇO 1:2:6, INCLUINDO ESCAVAÇÃO E BERÇO, CONF. NORMAS E ESPECIFICAÇÕES.</v>
      </c>
      <c r="F465" s="56" t="str">
        <f t="shared" si="36"/>
        <v>M</v>
      </c>
      <c r="G465">
        <f t="shared" si="37"/>
        <v>204.97</v>
      </c>
      <c r="H465">
        <f t="shared" si="38"/>
        <v>153.82</v>
      </c>
      <c r="I465">
        <f t="shared" si="39"/>
        <v>153.82</v>
      </c>
    </row>
    <row r="466" spans="1:9" ht="72">
      <c r="A466" s="372">
        <v>140902</v>
      </c>
      <c r="B466" s="241" t="s">
        <v>23535</v>
      </c>
      <c r="C466" s="221" t="s">
        <v>112</v>
      </c>
      <c r="D466" s="241">
        <v>188.89</v>
      </c>
      <c r="E466" s="56" t="str">
        <f t="shared" si="35"/>
        <v>TUBOS DE CONCRETO SIMPLES PS1, DIÂMETRO 300 MM, COM REJUNTAMENTO DE ARGAMASSA DE CIMENTO, CAL HIDRATADA E AREIA NO TRAÇO 1:2:6, INCLUINDO ESCAVAÇÃO E BERÇO, CONFORME NORMAS E ESPECIFICAÇÕES.</v>
      </c>
      <c r="F466" s="56" t="str">
        <f t="shared" si="36"/>
        <v>M</v>
      </c>
      <c r="G466">
        <f t="shared" si="37"/>
        <v>251.7</v>
      </c>
      <c r="H466">
        <f t="shared" si="38"/>
        <v>188.89</v>
      </c>
      <c r="I466">
        <f t="shared" si="39"/>
        <v>188.89</v>
      </c>
    </row>
    <row r="467" spans="1:9" ht="43.2">
      <c r="A467" s="372">
        <v>140903</v>
      </c>
      <c r="B467" s="241" t="s">
        <v>1345</v>
      </c>
      <c r="C467" s="221" t="s">
        <v>112</v>
      </c>
      <c r="D467" s="241">
        <v>68.739999999999995</v>
      </c>
      <c r="E467" s="56" t="str">
        <f t="shared" si="35"/>
        <v>TUBO PVC RÍGIDO PARA ESGOTO NO DIÂMETRO DE 100MM INCLUINDO ESCAVAÇÃO E ATERRO COM AREIA</v>
      </c>
      <c r="F467" s="56" t="str">
        <f t="shared" si="36"/>
        <v>M</v>
      </c>
      <c r="G467">
        <f t="shared" si="37"/>
        <v>91.6</v>
      </c>
      <c r="H467">
        <f t="shared" si="38"/>
        <v>68.739999999999995</v>
      </c>
      <c r="I467">
        <f t="shared" si="39"/>
        <v>68.739999999999995</v>
      </c>
    </row>
    <row r="468" spans="1:9" ht="43.2">
      <c r="A468" s="372">
        <v>140904</v>
      </c>
      <c r="B468" s="241" t="s">
        <v>1346</v>
      </c>
      <c r="C468" s="221" t="s">
        <v>112</v>
      </c>
      <c r="D468" s="241">
        <v>99.03</v>
      </c>
      <c r="E468" s="56" t="str">
        <f t="shared" si="35"/>
        <v>TUBO PVC RÍGIDO PARA ESGOTO NO DIÂMETRO DE 150MM INCLUINDO ESCAVAÇÃO E ATERRO COM AREIA</v>
      </c>
      <c r="F468" s="56" t="str">
        <f t="shared" si="36"/>
        <v>M</v>
      </c>
      <c r="G468">
        <f t="shared" si="37"/>
        <v>131.96</v>
      </c>
      <c r="H468">
        <f t="shared" si="38"/>
        <v>99.03</v>
      </c>
      <c r="I468">
        <f t="shared" si="39"/>
        <v>99.03</v>
      </c>
    </row>
    <row r="469" spans="1:9" ht="43.2">
      <c r="A469" s="372">
        <v>140905</v>
      </c>
      <c r="B469" s="241" t="s">
        <v>1347</v>
      </c>
      <c r="C469" s="221" t="s">
        <v>112</v>
      </c>
      <c r="D469" s="241">
        <v>159.44</v>
      </c>
      <c r="E469" s="56" t="str">
        <f t="shared" si="35"/>
        <v>TUBO PVC RÍGIDO PARA ESGOTO NO DIÂMETRO DE 200MM INCLUINDO ESCAVAÇÃO E ATERRO COM AREIA</v>
      </c>
      <c r="F469" s="56" t="str">
        <f t="shared" si="36"/>
        <v>M</v>
      </c>
      <c r="G469">
        <f t="shared" si="37"/>
        <v>212.45</v>
      </c>
      <c r="H469">
        <f t="shared" si="38"/>
        <v>159.44</v>
      </c>
      <c r="I469">
        <f t="shared" si="39"/>
        <v>159.44</v>
      </c>
    </row>
    <row r="470" spans="1:9" ht="43.2">
      <c r="A470" s="371">
        <v>140906</v>
      </c>
      <c r="B470" s="240" t="s">
        <v>1348</v>
      </c>
      <c r="C470" s="221" t="s">
        <v>112</v>
      </c>
      <c r="D470" s="241">
        <v>62.09</v>
      </c>
      <c r="E470" s="56" t="str">
        <f t="shared" si="35"/>
        <v>TUBO PVC RÍGIDO PARA ESGOTO NO DIÂMETRO DE 75 MM INCLUINDO ESCAVAÇÃO E ATERRO COM AREIA</v>
      </c>
      <c r="F470" s="56" t="str">
        <f t="shared" si="36"/>
        <v>M</v>
      </c>
      <c r="G470">
        <f t="shared" si="37"/>
        <v>82.73</v>
      </c>
      <c r="H470">
        <f t="shared" si="38"/>
        <v>62.09</v>
      </c>
      <c r="I470">
        <f t="shared" si="39"/>
        <v>62.09</v>
      </c>
    </row>
    <row r="471" spans="1:9" ht="28.8">
      <c r="A471" s="372">
        <v>1411</v>
      </c>
      <c r="B471" s="241" t="s">
        <v>1349</v>
      </c>
      <c r="C471" s="221"/>
      <c r="D471" s="241"/>
      <c r="E471" s="56" t="str">
        <f t="shared" si="35"/>
        <v>CAIXAS EMPREGANDO ARGAMASSA DE CIMENTO, CAL E AREIA</v>
      </c>
      <c r="F471" s="56" t="str">
        <f t="shared" si="36"/>
        <v/>
      </c>
      <c r="G471">
        <f t="shared" si="37"/>
        <v>0</v>
      </c>
      <c r="H471">
        <f t="shared" si="38"/>
        <v>0</v>
      </c>
      <c r="I471">
        <f t="shared" si="39"/>
        <v>0</v>
      </c>
    </row>
    <row r="472" spans="1:9" ht="86.4">
      <c r="A472" s="372">
        <v>141101</v>
      </c>
      <c r="B472" s="241" t="s">
        <v>1350</v>
      </c>
      <c r="C472" s="221" t="s">
        <v>115</v>
      </c>
      <c r="D472" s="241">
        <v>646.24</v>
      </c>
      <c r="E472" s="56" t="str">
        <f t="shared" si="35"/>
        <v>CAIXAS DE INSPEÇÃO DE ALV. BLOCOS CONCRETO 9X19X39CM, DIM, 60X60CM E HMÁX = 1M, COM TAMPA DE CONC. ESP. 5CM, LASTRO DE CONC. ESP. 10CM, REVEST INTERN. C/ CHAPISCO E REBOCO IMPERMEABILIZADO, INCL. ESCAVAÇÃO, REATERRO E ENCHIMENTO</v>
      </c>
      <c r="F472" s="56" t="str">
        <f t="shared" si="36"/>
        <v>UND</v>
      </c>
      <c r="G472">
        <f t="shared" si="37"/>
        <v>861.11</v>
      </c>
      <c r="H472">
        <f t="shared" si="38"/>
        <v>646.24</v>
      </c>
      <c r="I472">
        <f t="shared" si="39"/>
        <v>646.24</v>
      </c>
    </row>
    <row r="473" spans="1:9" ht="86.4">
      <c r="A473" s="372">
        <v>141102</v>
      </c>
      <c r="B473" s="241" t="s">
        <v>1351</v>
      </c>
      <c r="C473" s="221" t="s">
        <v>115</v>
      </c>
      <c r="D473" s="241">
        <v>637.09</v>
      </c>
      <c r="E473" s="56" t="str">
        <f t="shared" si="35"/>
        <v>CAIXA DE AREIA DE ALVENARIA DE BLOCOS DE CONCRETO 9X19X39CM, DIM. 60X60CM E HMÁX=1M, C/ TAMPA EM CONCRETO ESP. 5CM, LASTRO CONCRETO ESP. 10CM, REVESTIDA INTERN. C/ CHAPISCO E REBOCO IMPERMEABILIZANTE, INCL. ESCAVAÇÃO E REATERRO</v>
      </c>
      <c r="F473" s="56" t="str">
        <f t="shared" si="36"/>
        <v>UND</v>
      </c>
      <c r="G473">
        <f t="shared" si="37"/>
        <v>848.92</v>
      </c>
      <c r="H473">
        <f t="shared" si="38"/>
        <v>637.09</v>
      </c>
      <c r="I473">
        <f t="shared" si="39"/>
        <v>637.09</v>
      </c>
    </row>
    <row r="474" spans="1:9" ht="86.4">
      <c r="A474" s="372">
        <v>141103</v>
      </c>
      <c r="B474" s="241" t="s">
        <v>1352</v>
      </c>
      <c r="C474" s="221" t="s">
        <v>115</v>
      </c>
      <c r="D474" s="241">
        <v>721.61</v>
      </c>
      <c r="E474" s="56" t="str">
        <f t="shared" si="35"/>
        <v>CAIXA SIFONADA ESPECIAL DE ALV. BLOCO CONC.9X19X39CM, DIM 60X60CM E HMÁX=1M, C/ TAMPA EM CONCRETO ESP.5CM, LASTRO CONC.ESP.10CM, REVEST. INTERN. C/CHAP. E REB. IMPERMEAB. ESCAV, REATERRO E CURVA CURTA C/ VISITA E PLUG EM PVC 100MM</v>
      </c>
      <c r="F474" s="56" t="str">
        <f t="shared" si="36"/>
        <v>UND</v>
      </c>
      <c r="G474">
        <f t="shared" si="37"/>
        <v>961.55</v>
      </c>
      <c r="H474">
        <f t="shared" si="38"/>
        <v>721.61</v>
      </c>
      <c r="I474">
        <f t="shared" si="39"/>
        <v>721.61</v>
      </c>
    </row>
    <row r="475" spans="1:9" ht="86.4">
      <c r="A475" s="372">
        <v>141104</v>
      </c>
      <c r="B475" s="241" t="s">
        <v>1353</v>
      </c>
      <c r="C475" s="221" t="s">
        <v>115</v>
      </c>
      <c r="D475" s="241">
        <v>686.49</v>
      </c>
      <c r="E475" s="56" t="str">
        <f t="shared" si="35"/>
        <v>CAIXA DE GORDURA DE ALV. BLOCO CONCRETO 9X19X39CM, DIM.60X60CM E HMÁX=1M, COM TAMPA EM CONCRETO ESP.5CM, LASTRO CONCRETO ESP.10CM, REVESTIDA INTERN. C/ CHAPISCO E REBOCO IMPERMEAB, ESCAVAÇÃO, REATERRO E PAREDE INTERNA EM CONCRETO</v>
      </c>
      <c r="F475" s="56" t="str">
        <f t="shared" si="36"/>
        <v>UND</v>
      </c>
      <c r="G475">
        <f t="shared" si="37"/>
        <v>914.75</v>
      </c>
      <c r="H475">
        <f t="shared" si="38"/>
        <v>686.49</v>
      </c>
      <c r="I475">
        <f t="shared" si="39"/>
        <v>686.49</v>
      </c>
    </row>
    <row r="476" spans="1:9" ht="86.4">
      <c r="A476" s="372">
        <v>141105</v>
      </c>
      <c r="B476" s="241" t="s">
        <v>1354</v>
      </c>
      <c r="C476" s="221" t="s">
        <v>115</v>
      </c>
      <c r="D476" s="241">
        <v>675.09</v>
      </c>
      <c r="E476" s="56" t="str">
        <f t="shared" si="35"/>
        <v>CAIXA RETENTORA DE MATÉRIA SÓLIDA DE ALV. BLOCO CONC.9X19X39CM, DIM 60X60CM E HMÁX=1M, C/ TAMPA CONC. ESP.5CM, LASTRO CONC. ESP.10CM, REVEST. INTERNAMENTE C/ CHAP, REB. IMPERMEAB., ESCAVAÇÃO, REATERRO E PAREDE INT. EM CONCRETO</v>
      </c>
      <c r="F476" s="56" t="str">
        <f t="shared" si="36"/>
        <v>UND</v>
      </c>
      <c r="G476">
        <f t="shared" si="37"/>
        <v>899.56</v>
      </c>
      <c r="H476">
        <f t="shared" si="38"/>
        <v>675.09</v>
      </c>
      <c r="I476">
        <f t="shared" si="39"/>
        <v>675.09</v>
      </c>
    </row>
    <row r="477" spans="1:9" ht="86.4">
      <c r="A477" s="372">
        <v>141106</v>
      </c>
      <c r="B477" s="241" t="s">
        <v>1355</v>
      </c>
      <c r="C477" s="221" t="s">
        <v>115</v>
      </c>
      <c r="D477" s="241">
        <v>921.05</v>
      </c>
      <c r="E477" s="56" t="str">
        <f t="shared" si="35"/>
        <v>CAIXAS DE INSPEÇÃO DE ALV. BLOCOS CONCRETO 9X19X39CM, DIM.100X60CM E HMÁX = 1M, COM TAMPA DE CONC. ESP. 5CM, LASTRO DE CONC. ESP. 10CM, REVEST INTERN. C/ CHAPISCO E REBOCO IMPERMEABILIZADO, INCL. ESCAVAÇÃO, REATERRO E ENCHIMENTO</v>
      </c>
      <c r="F477" s="56" t="str">
        <f t="shared" si="36"/>
        <v>UND</v>
      </c>
      <c r="G477">
        <f t="shared" si="37"/>
        <v>1227.3</v>
      </c>
      <c r="H477">
        <f t="shared" si="38"/>
        <v>921.05</v>
      </c>
      <c r="I477">
        <f t="shared" si="39"/>
        <v>921.05</v>
      </c>
    </row>
    <row r="478" spans="1:9" ht="86.4">
      <c r="A478" s="372">
        <v>141107</v>
      </c>
      <c r="B478" s="241" t="s">
        <v>1356</v>
      </c>
      <c r="C478" s="221" t="s">
        <v>115</v>
      </c>
      <c r="D478" s="241">
        <v>896.79</v>
      </c>
      <c r="E478" s="56" t="str">
        <f t="shared" si="35"/>
        <v>CAIXA DE GORDURA SIMPLES DE ALV. BLOCO CONCR.9X19X39CM, DIM.80X60CM E HMÁX=1M, COM TAMPA EM CONCR.ESP.5CM, LASTRO CONCR.ESP.10CM, REVESTIDA INTERN. C/ CHAPISCO E REBOCO IMPERMEAB, ESCAVAÇÃO, REATERRO E PAREDE INTERNA EM CONCR.</v>
      </c>
      <c r="F478" s="56" t="str">
        <f t="shared" si="36"/>
        <v>UND</v>
      </c>
      <c r="G478">
        <f t="shared" si="37"/>
        <v>1194.97</v>
      </c>
      <c r="H478">
        <f t="shared" si="38"/>
        <v>896.79</v>
      </c>
      <c r="I478">
        <f t="shared" si="39"/>
        <v>896.79</v>
      </c>
    </row>
    <row r="479" spans="1:9" ht="86.4">
      <c r="A479" s="372">
        <v>141108</v>
      </c>
      <c r="B479" s="241" t="s">
        <v>1357</v>
      </c>
      <c r="C479" s="221" t="s">
        <v>115</v>
      </c>
      <c r="D479" s="241">
        <v>1291.8599999999999</v>
      </c>
      <c r="E479" s="56" t="str">
        <f t="shared" si="35"/>
        <v>CAIXA DE GORDURA ESPECIAL DE ALV. BLOCO CONCR. 9X19X39CM, DIM.60X60CM E HMÁX=1M, COM TAMPA EM CONCR.ESP.5CM, LASTRO CONCR.ESP.10CM, REVESTIDA INTERN. C/ CHAPISCO E REBOCO IMPERMEAB, ESCAVAÇÃO, REATERRO E PAREDE INTERNA EM CONCR.</v>
      </c>
      <c r="F479" s="56" t="str">
        <f t="shared" si="36"/>
        <v>UND</v>
      </c>
      <c r="G479">
        <f t="shared" si="37"/>
        <v>1721.4</v>
      </c>
      <c r="H479">
        <f t="shared" si="38"/>
        <v>1291.8599999999999</v>
      </c>
      <c r="I479">
        <f t="shared" si="39"/>
        <v>1291.8599999999999</v>
      </c>
    </row>
    <row r="480" spans="1:9" ht="57.6">
      <c r="A480" s="371">
        <v>141109</v>
      </c>
      <c r="B480" s="240" t="s">
        <v>1358</v>
      </c>
      <c r="C480" s="221" t="s">
        <v>112</v>
      </c>
      <c r="D480" s="241">
        <v>222.21</v>
      </c>
      <c r="E480" s="56" t="str">
        <f t="shared" si="35"/>
        <v>GRELHA LARGURA 20 CM DE FERRO REDONDO DE 1/2" A CADA 3 CM, CONTORNO COM BARRA DE FERRO DE 3/4" X 1/8" E CAIXILHO DE CANTONEIRA DE 1" X 3/16"</v>
      </c>
      <c r="F480" s="56" t="str">
        <f t="shared" si="36"/>
        <v>M</v>
      </c>
      <c r="G480">
        <f t="shared" si="37"/>
        <v>296.08999999999997</v>
      </c>
      <c r="H480">
        <f t="shared" si="38"/>
        <v>222.21</v>
      </c>
      <c r="I480">
        <f t="shared" si="39"/>
        <v>222.21</v>
      </c>
    </row>
    <row r="481" spans="1:9" ht="86.4">
      <c r="A481" s="372">
        <v>141110</v>
      </c>
      <c r="B481" s="241" t="s">
        <v>1359</v>
      </c>
      <c r="C481" s="221" t="s">
        <v>115</v>
      </c>
      <c r="D481" s="241">
        <v>852.56</v>
      </c>
      <c r="E481" s="56" t="str">
        <f t="shared" si="35"/>
        <v>CAIXA DE INSPEÇÃO EM ALV. BLOCO CONCRETO 9X19X39CM, DIM. 60X60CM E HMÁX=1M, C/ TAMPA DE FERRO FUNDIDO 40X40CM, LASTRO DE CONCRETO ESP.10CM, REVEST. INTERNO C/ CHAPISCO E REBOCO IMPERMEABILIZ, INCL. ESCAVAÇÃO, REATERRO E ENCHIMENTO</v>
      </c>
      <c r="F481" s="56" t="str">
        <f t="shared" si="36"/>
        <v>UND</v>
      </c>
      <c r="G481">
        <f t="shared" si="37"/>
        <v>1136.04</v>
      </c>
      <c r="H481">
        <f t="shared" si="38"/>
        <v>852.56</v>
      </c>
      <c r="I481">
        <f t="shared" si="39"/>
        <v>852.56</v>
      </c>
    </row>
    <row r="482" spans="1:9" ht="72">
      <c r="A482" s="372">
        <v>141111</v>
      </c>
      <c r="B482" s="241" t="s">
        <v>1360</v>
      </c>
      <c r="C482" s="221" t="s">
        <v>115</v>
      </c>
      <c r="D482" s="241">
        <v>843.4</v>
      </c>
      <c r="E482" s="56" t="str">
        <f t="shared" si="35"/>
        <v>CAIXA DE AREIA EM ALV. DE BLOCO DE CONCRETO 9X19X39, DIM. 60X60CM E HMÁX=1M, C/ TAMPA EM FERRO FUNDIDO, LASTRO DE CONCRETO ESP. 10CM, REVEST. INT. C/ CHAPISCO E REBOCO IMPERMEABILIZADO, INCL. ESCAVAÇÃO E REATERRO</v>
      </c>
      <c r="F482" s="56" t="str">
        <f t="shared" si="36"/>
        <v>UND</v>
      </c>
      <c r="G482">
        <f t="shared" si="37"/>
        <v>1123.83</v>
      </c>
      <c r="H482">
        <f t="shared" si="38"/>
        <v>843.4</v>
      </c>
      <c r="I482">
        <f t="shared" si="39"/>
        <v>843.4</v>
      </c>
    </row>
    <row r="483" spans="1:9" ht="86.4">
      <c r="A483" s="372">
        <v>141112</v>
      </c>
      <c r="B483" s="241" t="s">
        <v>1361</v>
      </c>
      <c r="C483" s="221" t="s">
        <v>115</v>
      </c>
      <c r="D483" s="241">
        <v>927.93</v>
      </c>
      <c r="E483" s="56" t="str">
        <f t="shared" si="35"/>
        <v>CAIXA SIFONADA ESPECIAL EM ALV. BLOCO CONCR. 9X19X39CM, DIM. 60X60CM E HMÁX=1M. C/ TAMPA EM FERRO FUNDIDO, LASTRO CONC. ESP.10CM, REVEST. INT. C/ CHAP. E REBOCO IMPERM., INCL. ESC, REATERRO E CURVA CURTA C/ VISITA E PLUG PVC 100MM</v>
      </c>
      <c r="F483" s="56" t="str">
        <f t="shared" si="36"/>
        <v>UND</v>
      </c>
      <c r="G483">
        <f t="shared" si="37"/>
        <v>1236.47</v>
      </c>
      <c r="H483">
        <f t="shared" si="38"/>
        <v>927.93</v>
      </c>
      <c r="I483">
        <f t="shared" si="39"/>
        <v>927.93</v>
      </c>
    </row>
    <row r="484" spans="1:9" ht="86.4">
      <c r="A484" s="372">
        <v>141113</v>
      </c>
      <c r="B484" s="241" t="s">
        <v>1362</v>
      </c>
      <c r="C484" s="221" t="s">
        <v>115</v>
      </c>
      <c r="D484" s="241">
        <v>892.81</v>
      </c>
      <c r="E484" s="56" t="str">
        <f t="shared" si="35"/>
        <v>CAIXA DE GORDURA EM ALV. BLOCO 9X19X39CM, DIM. 60X60CM E HMÁX=1.0M, C/ TAMPA DE FERRO FUNDIDO, LASTRO CONCR. ESP. 10CM, REVEST. INTERN. C/ CHAPISCO E REBOCO IMPERMEAB., ESCAVAÇÃO, REATERRO E PAREDE INT. EM CONCRETO</v>
      </c>
      <c r="F484" s="56" t="str">
        <f t="shared" si="36"/>
        <v>UND</v>
      </c>
      <c r="G484">
        <f t="shared" si="37"/>
        <v>1189.67</v>
      </c>
      <c r="H484">
        <f t="shared" si="38"/>
        <v>892.81</v>
      </c>
      <c r="I484">
        <f t="shared" si="39"/>
        <v>892.81</v>
      </c>
    </row>
    <row r="485" spans="1:9" ht="72">
      <c r="A485" s="372">
        <v>141114</v>
      </c>
      <c r="B485" s="241" t="s">
        <v>1363</v>
      </c>
      <c r="C485" s="221" t="s">
        <v>115</v>
      </c>
      <c r="D485" s="241">
        <v>868.28</v>
      </c>
      <c r="E485" s="56" t="str">
        <f t="shared" si="35"/>
        <v>CAIXA RETENTORA DE MAT. SÓLIDA EM ALV. BLOCO CONC.9X19X39CM, DIM.60X60CM E HMÁX=1M, C/ TAMPA DE FERRO FUND., LASTRO CONC. ESP.10CM, REVEST. INT. C/ CHAP. E REB. IMPERMEAB., ESC. REATERRO E PAREDE INT. EM CONCRETO</v>
      </c>
      <c r="F485" s="56" t="str">
        <f t="shared" si="36"/>
        <v>UND</v>
      </c>
      <c r="G485">
        <f t="shared" si="37"/>
        <v>1156.98</v>
      </c>
      <c r="H485">
        <f t="shared" si="38"/>
        <v>868.28</v>
      </c>
      <c r="I485">
        <f t="shared" si="39"/>
        <v>868.28</v>
      </c>
    </row>
    <row r="486" spans="1:9">
      <c r="A486" s="372">
        <v>1412</v>
      </c>
      <c r="B486" s="241" t="s">
        <v>1364</v>
      </c>
      <c r="C486" s="221"/>
      <c r="D486" s="241"/>
      <c r="E486" s="56" t="str">
        <f t="shared" si="35"/>
        <v>REDE DE ÁGUA FRIA - TUBOS METÁLICOS</v>
      </c>
      <c r="F486" s="56" t="str">
        <f t="shared" si="36"/>
        <v/>
      </c>
      <c r="G486">
        <f t="shared" si="37"/>
        <v>0</v>
      </c>
      <c r="H486">
        <f t="shared" si="38"/>
        <v>0</v>
      </c>
      <c r="I486">
        <f t="shared" si="39"/>
        <v>0</v>
      </c>
    </row>
    <row r="487" spans="1:9" ht="43.2">
      <c r="A487" s="372">
        <v>141210</v>
      </c>
      <c r="B487" s="241" t="s">
        <v>27141</v>
      </c>
      <c r="C487" s="221" t="s">
        <v>112</v>
      </c>
      <c r="D487" s="241">
        <v>70.03</v>
      </c>
      <c r="E487" s="56" t="str">
        <f t="shared" si="35"/>
        <v>TUBO DE AÇO CARBONO GALVANIZADO, COM COSTURA, CLASSE LEVE, DIÂMETRO 15MM (1/2"), INCLUSIVE CONEXÕES</v>
      </c>
      <c r="F487" s="56" t="str">
        <f t="shared" si="36"/>
        <v>M</v>
      </c>
      <c r="G487">
        <f t="shared" si="37"/>
        <v>93.31</v>
      </c>
      <c r="H487">
        <f t="shared" si="38"/>
        <v>70.03</v>
      </c>
      <c r="I487">
        <f t="shared" si="39"/>
        <v>70.03</v>
      </c>
    </row>
    <row r="488" spans="1:9" ht="43.2">
      <c r="A488" s="372">
        <v>141211</v>
      </c>
      <c r="B488" s="241" t="s">
        <v>27142</v>
      </c>
      <c r="C488" s="221" t="s">
        <v>112</v>
      </c>
      <c r="D488" s="241">
        <v>80.099999999999994</v>
      </c>
      <c r="E488" s="56" t="str">
        <f t="shared" si="35"/>
        <v>TUBO DE AÇO CARBONO GALVANIZADO, COM COSTURA, CLASSE LEVE, DIÂMETRO 20MM (3/4"), INCLUSIVE CONEXÕES</v>
      </c>
      <c r="F488" s="56" t="str">
        <f t="shared" si="36"/>
        <v>M</v>
      </c>
      <c r="G488">
        <f t="shared" si="37"/>
        <v>106.73</v>
      </c>
      <c r="H488">
        <f t="shared" si="38"/>
        <v>80.099999999999994</v>
      </c>
      <c r="I488">
        <f t="shared" si="39"/>
        <v>80.099999999999994</v>
      </c>
    </row>
    <row r="489" spans="1:9" ht="43.2">
      <c r="A489" s="371">
        <v>141212</v>
      </c>
      <c r="B489" s="240" t="s">
        <v>27143</v>
      </c>
      <c r="C489" s="221" t="s">
        <v>112</v>
      </c>
      <c r="D489" s="241">
        <v>108.7</v>
      </c>
      <c r="E489" s="56" t="str">
        <f t="shared" si="35"/>
        <v>TUBO DE AÇO CARBONO GALVANIZADO, COM COSTURA, CLASSE LEVE, DIÂMETRO 25MM (1"), INCLUSIVE CONEXÕES</v>
      </c>
      <c r="F489" s="56" t="str">
        <f t="shared" si="36"/>
        <v>M</v>
      </c>
      <c r="G489">
        <f t="shared" si="37"/>
        <v>144.84</v>
      </c>
      <c r="H489">
        <f t="shared" si="38"/>
        <v>108.7</v>
      </c>
      <c r="I489">
        <f t="shared" si="39"/>
        <v>108.7</v>
      </c>
    </row>
    <row r="490" spans="1:9" ht="43.2">
      <c r="A490" s="372">
        <v>141213</v>
      </c>
      <c r="B490" s="241" t="s">
        <v>27144</v>
      </c>
      <c r="C490" s="221" t="s">
        <v>112</v>
      </c>
      <c r="D490" s="241">
        <v>128.83000000000001</v>
      </c>
      <c r="E490" s="56" t="str">
        <f t="shared" si="35"/>
        <v>TUBO DE AÇO CARBONO GALVANIZADO, COM COSTURA, CLASSE LEVE, DIÂMETRO 32MM (1.1/4"), INCLUSIVE CONEXÕES</v>
      </c>
      <c r="F490" s="56" t="str">
        <f t="shared" si="36"/>
        <v>M</v>
      </c>
      <c r="G490">
        <f t="shared" si="37"/>
        <v>171.67</v>
      </c>
      <c r="H490">
        <f t="shared" si="38"/>
        <v>128.83000000000001</v>
      </c>
      <c r="I490">
        <f t="shared" si="39"/>
        <v>128.83000000000001</v>
      </c>
    </row>
    <row r="491" spans="1:9" ht="43.2">
      <c r="A491" s="372">
        <v>141214</v>
      </c>
      <c r="B491" s="241" t="s">
        <v>27145</v>
      </c>
      <c r="C491" s="221" t="s">
        <v>112</v>
      </c>
      <c r="D491" s="241">
        <v>156.38999999999999</v>
      </c>
      <c r="E491" s="56" t="str">
        <f t="shared" si="35"/>
        <v>TUBO DE AÇO CARBONO GALVANIZADO, COM COSTURA, CLASSE LEVE, DIÂMETRO 40MM (1.1/2"), INCLUSIVE CONEXÕES</v>
      </c>
      <c r="F491" s="56" t="str">
        <f t="shared" si="36"/>
        <v>M</v>
      </c>
      <c r="G491">
        <f t="shared" si="37"/>
        <v>208.39</v>
      </c>
      <c r="H491">
        <f t="shared" si="38"/>
        <v>156.38999999999999</v>
      </c>
      <c r="I491">
        <f t="shared" si="39"/>
        <v>156.38999999999999</v>
      </c>
    </row>
    <row r="492" spans="1:9" ht="43.2">
      <c r="A492" s="372">
        <v>141215</v>
      </c>
      <c r="B492" s="241" t="s">
        <v>27146</v>
      </c>
      <c r="C492" s="221" t="s">
        <v>112</v>
      </c>
      <c r="D492" s="241">
        <v>181.73</v>
      </c>
      <c r="E492" s="56" t="str">
        <f t="shared" si="35"/>
        <v>TUBO DE AÇO CARBONO GALVANIZADO, COM COSTURA, CLASSE LEVE, DIÂMETRO 50MM (2"), INCLUSIVE CONEXÕES</v>
      </c>
      <c r="F492" s="56" t="str">
        <f t="shared" si="36"/>
        <v>M</v>
      </c>
      <c r="G492">
        <f t="shared" si="37"/>
        <v>242.16</v>
      </c>
      <c r="H492">
        <f t="shared" si="38"/>
        <v>181.73</v>
      </c>
      <c r="I492">
        <f t="shared" si="39"/>
        <v>181.73</v>
      </c>
    </row>
    <row r="493" spans="1:9" ht="43.2">
      <c r="A493" s="372">
        <v>141216</v>
      </c>
      <c r="B493" s="241" t="s">
        <v>27147</v>
      </c>
      <c r="C493" s="221" t="s">
        <v>112</v>
      </c>
      <c r="D493" s="241">
        <v>243.16</v>
      </c>
      <c r="E493" s="56" t="str">
        <f t="shared" si="35"/>
        <v>TUBO DE AÇO CARBONO GALVANIZADO, COM COSTURA, CLASSE LEVE, DIÂMETRO 65MM (2.1/2"), INCLUSIVE CONEXÕES</v>
      </c>
      <c r="F493" s="56" t="str">
        <f t="shared" si="36"/>
        <v>M</v>
      </c>
      <c r="G493">
        <f t="shared" si="37"/>
        <v>324.01</v>
      </c>
      <c r="H493">
        <f t="shared" si="38"/>
        <v>243.16</v>
      </c>
      <c r="I493">
        <f t="shared" si="39"/>
        <v>243.16</v>
      </c>
    </row>
    <row r="494" spans="1:9" ht="43.2">
      <c r="A494" s="372">
        <v>141217</v>
      </c>
      <c r="B494" s="241" t="s">
        <v>27148</v>
      </c>
      <c r="C494" s="221" t="s">
        <v>112</v>
      </c>
      <c r="D494" s="241">
        <v>265.76</v>
      </c>
      <c r="E494" s="56" t="str">
        <f t="shared" si="35"/>
        <v>TUBO DE AÇO CARBONO GALVANIZADO, COM COSTURA, CLASSE LEVE, DIÂMETRO 80MM (3"), INCLUSIVE CONEXÕES</v>
      </c>
      <c r="F494" s="56" t="str">
        <f t="shared" si="36"/>
        <v>M</v>
      </c>
      <c r="G494">
        <f t="shared" si="37"/>
        <v>354.13</v>
      </c>
      <c r="H494">
        <f t="shared" si="38"/>
        <v>265.76</v>
      </c>
      <c r="I494">
        <f t="shared" si="39"/>
        <v>265.76</v>
      </c>
    </row>
    <row r="495" spans="1:9" ht="43.2">
      <c r="A495" s="372">
        <v>141218</v>
      </c>
      <c r="B495" s="241" t="s">
        <v>27149</v>
      </c>
      <c r="C495" s="221" t="s">
        <v>112</v>
      </c>
      <c r="D495" s="241">
        <v>352.65</v>
      </c>
      <c r="E495" s="56" t="str">
        <f t="shared" si="35"/>
        <v>TUBO DE AÇO CARBONO GALVANIZADO, COM COSTURA, CLASSE LEVE, DIÂMETRO 100MM (4"), INCLUSIVE CONEXÕES</v>
      </c>
      <c r="F495" s="56" t="str">
        <f t="shared" si="36"/>
        <v>M</v>
      </c>
      <c r="G495">
        <f t="shared" si="37"/>
        <v>469.91</v>
      </c>
      <c r="H495">
        <f t="shared" si="38"/>
        <v>352.65</v>
      </c>
      <c r="I495">
        <f t="shared" si="39"/>
        <v>352.65</v>
      </c>
    </row>
    <row r="496" spans="1:9" ht="28.8">
      <c r="A496" s="371">
        <v>1414</v>
      </c>
      <c r="B496" s="240" t="s">
        <v>1365</v>
      </c>
      <c r="C496" s="221"/>
      <c r="D496" s="241"/>
      <c r="E496" s="56" t="str">
        <f t="shared" si="35"/>
        <v>REDE DE ÁGUA FRIA - TUBOS SOLDÁVEIS DE PVC</v>
      </c>
      <c r="F496" s="56" t="str">
        <f t="shared" si="36"/>
        <v/>
      </c>
      <c r="G496">
        <f t="shared" si="37"/>
        <v>0</v>
      </c>
      <c r="H496">
        <f t="shared" si="38"/>
        <v>0</v>
      </c>
      <c r="I496">
        <f t="shared" si="39"/>
        <v>0</v>
      </c>
    </row>
    <row r="497" spans="1:9" ht="28.8">
      <c r="A497" s="372">
        <v>141409</v>
      </c>
      <c r="B497" s="241" t="s">
        <v>27150</v>
      </c>
      <c r="C497" s="221" t="s">
        <v>112</v>
      </c>
      <c r="D497" s="241">
        <v>21.72</v>
      </c>
      <c r="E497" s="56" t="str">
        <f t="shared" si="35"/>
        <v>TUBO DE PVC RÍGIDO SOLDÁVEL MARROM, DN 20MM (1/2"), INCLUSIVE CONEXÕES</v>
      </c>
      <c r="F497" s="56" t="str">
        <f t="shared" si="36"/>
        <v>M</v>
      </c>
      <c r="G497">
        <f t="shared" si="37"/>
        <v>28.94</v>
      </c>
      <c r="H497">
        <f t="shared" si="38"/>
        <v>21.72</v>
      </c>
      <c r="I497">
        <f t="shared" si="39"/>
        <v>21.72</v>
      </c>
    </row>
    <row r="498" spans="1:9" ht="28.8">
      <c r="A498" s="372">
        <v>141410</v>
      </c>
      <c r="B498" s="241" t="s">
        <v>27151</v>
      </c>
      <c r="C498" s="221" t="s">
        <v>112</v>
      </c>
      <c r="D498" s="241">
        <v>24.41</v>
      </c>
      <c r="E498" s="56" t="str">
        <f t="shared" si="35"/>
        <v>TUBO DE PVC RÍGIDO SOLDÁVEL MARROM, DN 25MM (3/4"), INCLUSIVE CONEXÕES</v>
      </c>
      <c r="F498" s="56" t="str">
        <f t="shared" si="36"/>
        <v>M</v>
      </c>
      <c r="G498">
        <f t="shared" si="37"/>
        <v>32.53</v>
      </c>
      <c r="H498">
        <f t="shared" si="38"/>
        <v>24.41</v>
      </c>
      <c r="I498">
        <f t="shared" si="39"/>
        <v>24.41</v>
      </c>
    </row>
    <row r="499" spans="1:9" ht="28.8">
      <c r="A499" s="372">
        <v>141411</v>
      </c>
      <c r="B499" s="241" t="s">
        <v>27152</v>
      </c>
      <c r="C499" s="221" t="s">
        <v>112</v>
      </c>
      <c r="D499" s="241">
        <v>29.42</v>
      </c>
      <c r="E499" s="56" t="str">
        <f t="shared" si="35"/>
        <v>TUBO DE PVC RÍGIDO SOLDÁVEL MARROM, DN 32MM (1"), INCLUSIVE CONEXÕES</v>
      </c>
      <c r="F499" s="56" t="str">
        <f t="shared" si="36"/>
        <v>M</v>
      </c>
      <c r="G499">
        <f t="shared" si="37"/>
        <v>39.200000000000003</v>
      </c>
      <c r="H499">
        <f t="shared" si="38"/>
        <v>29.42</v>
      </c>
      <c r="I499">
        <f t="shared" si="39"/>
        <v>29.42</v>
      </c>
    </row>
    <row r="500" spans="1:9" ht="28.8">
      <c r="A500" s="372">
        <v>141412</v>
      </c>
      <c r="B500" s="241" t="s">
        <v>27153</v>
      </c>
      <c r="C500" s="221" t="s">
        <v>112</v>
      </c>
      <c r="D500" s="241">
        <v>37.840000000000003</v>
      </c>
      <c r="E500" s="56" t="str">
        <f t="shared" si="35"/>
        <v>TUBO DE PVC RÍGIDO SOLDÁVEL MARROM, DN 40MM (1.1/4"), INCLUSIVE CONEXÕES</v>
      </c>
      <c r="F500" s="56" t="str">
        <f t="shared" si="36"/>
        <v>M</v>
      </c>
      <c r="G500">
        <f t="shared" si="37"/>
        <v>50.42</v>
      </c>
      <c r="H500">
        <f t="shared" si="38"/>
        <v>37.840000000000003</v>
      </c>
      <c r="I500">
        <f t="shared" si="39"/>
        <v>37.840000000000003</v>
      </c>
    </row>
    <row r="501" spans="1:9" ht="28.8">
      <c r="A501" s="372">
        <v>141413</v>
      </c>
      <c r="B501" s="241" t="s">
        <v>27154</v>
      </c>
      <c r="C501" s="221" t="s">
        <v>112</v>
      </c>
      <c r="D501" s="241">
        <v>46.07</v>
      </c>
      <c r="E501" s="56" t="str">
        <f t="shared" si="35"/>
        <v>TUBO DE PVC RÍGIDO SOLDÁVEL MARROM, DN 50MM (1.1/2"), INCLUSIVE CONEXÕES</v>
      </c>
      <c r="F501" s="56" t="str">
        <f t="shared" si="36"/>
        <v>M</v>
      </c>
      <c r="G501">
        <f t="shared" si="37"/>
        <v>61.39</v>
      </c>
      <c r="H501">
        <f t="shared" si="38"/>
        <v>46.07</v>
      </c>
      <c r="I501">
        <f t="shared" si="39"/>
        <v>46.07</v>
      </c>
    </row>
    <row r="502" spans="1:9" ht="28.8">
      <c r="A502" s="371">
        <v>141414</v>
      </c>
      <c r="B502" s="240" t="s">
        <v>27155</v>
      </c>
      <c r="C502" s="221" t="s">
        <v>112</v>
      </c>
      <c r="D502" s="241">
        <v>71.23</v>
      </c>
      <c r="E502" s="56" t="str">
        <f t="shared" si="35"/>
        <v>TUBO DE PVC RÍGIDO SOLDÁVEL MARROM, DN 60MM (2"), INCLUSIVE CONEXÕES</v>
      </c>
      <c r="F502" s="56" t="str">
        <f t="shared" si="36"/>
        <v>M</v>
      </c>
      <c r="G502">
        <f t="shared" si="37"/>
        <v>94.91</v>
      </c>
      <c r="H502">
        <f t="shared" si="38"/>
        <v>71.23</v>
      </c>
      <c r="I502">
        <f t="shared" si="39"/>
        <v>71.23</v>
      </c>
    </row>
    <row r="503" spans="1:9" ht="28.8">
      <c r="A503" s="372">
        <v>141415</v>
      </c>
      <c r="B503" s="241" t="s">
        <v>27156</v>
      </c>
      <c r="C503" s="221" t="s">
        <v>112</v>
      </c>
      <c r="D503" s="241">
        <v>94.64</v>
      </c>
      <c r="E503" s="56" t="str">
        <f t="shared" si="35"/>
        <v>TUBO DE PVC RÍGIDO SOLDÁVEL MARROM, DN 75MM (2.1/2"), INCLUSIVE CONEXÕES</v>
      </c>
      <c r="F503" s="56" t="str">
        <f t="shared" si="36"/>
        <v>M</v>
      </c>
      <c r="G503">
        <f t="shared" si="37"/>
        <v>126.11</v>
      </c>
      <c r="H503">
        <f t="shared" si="38"/>
        <v>94.64</v>
      </c>
      <c r="I503">
        <f t="shared" si="39"/>
        <v>94.64</v>
      </c>
    </row>
    <row r="504" spans="1:9" ht="28.8">
      <c r="A504" s="372">
        <v>141416</v>
      </c>
      <c r="B504" s="241" t="s">
        <v>27157</v>
      </c>
      <c r="C504" s="221" t="s">
        <v>112</v>
      </c>
      <c r="D504" s="241">
        <v>119.01</v>
      </c>
      <c r="E504" s="56" t="str">
        <f t="shared" si="35"/>
        <v>TUBO DE PVC RÍGIDO SOLDÁVEL MARROM, DN 85MM (3"), INCLUSIVE CONEXÕES</v>
      </c>
      <c r="F504" s="56" t="str">
        <f t="shared" si="36"/>
        <v>M</v>
      </c>
      <c r="G504">
        <f t="shared" si="37"/>
        <v>158.58000000000001</v>
      </c>
      <c r="H504">
        <f t="shared" si="38"/>
        <v>119.01</v>
      </c>
      <c r="I504">
        <f t="shared" si="39"/>
        <v>119.01</v>
      </c>
    </row>
    <row r="505" spans="1:9" ht="28.8">
      <c r="A505" s="372">
        <v>1415</v>
      </c>
      <c r="B505" s="241" t="s">
        <v>1366</v>
      </c>
      <c r="C505" s="221"/>
      <c r="D505" s="241"/>
      <c r="E505" s="56" t="str">
        <f t="shared" si="35"/>
        <v>REDE DE ÁGUA FRIA - CONEXÕES SOLDÁVEIS DE PVC</v>
      </c>
      <c r="F505" s="56" t="str">
        <f t="shared" si="36"/>
        <v/>
      </c>
      <c r="G505">
        <f t="shared" si="37"/>
        <v>0</v>
      </c>
      <c r="H505">
        <f t="shared" si="38"/>
        <v>0</v>
      </c>
      <c r="I505">
        <f t="shared" si="39"/>
        <v>0</v>
      </c>
    </row>
    <row r="506" spans="1:9" ht="28.8">
      <c r="A506" s="372">
        <v>141522</v>
      </c>
      <c r="B506" s="241" t="s">
        <v>27158</v>
      </c>
      <c r="C506" s="221" t="s">
        <v>115</v>
      </c>
      <c r="D506" s="241">
        <v>17.760000000000002</v>
      </c>
      <c r="E506" s="56" t="str">
        <f t="shared" si="35"/>
        <v>ADAPTADOR DE PVC SOLDÁVEL COM FLANGES LIVRES PARA CAIXA DÁGUA, DIÂMETRO 25MM X 3/4"</v>
      </c>
      <c r="F506" s="56" t="str">
        <f t="shared" si="36"/>
        <v>UND</v>
      </c>
      <c r="G506">
        <f t="shared" si="37"/>
        <v>23.67</v>
      </c>
      <c r="H506">
        <f t="shared" si="38"/>
        <v>17.760000000000002</v>
      </c>
      <c r="I506">
        <f t="shared" si="39"/>
        <v>17.760000000000002</v>
      </c>
    </row>
    <row r="507" spans="1:9" ht="28.8">
      <c r="A507" s="372">
        <v>141523</v>
      </c>
      <c r="B507" s="241" t="s">
        <v>27159</v>
      </c>
      <c r="C507" s="221" t="s">
        <v>115</v>
      </c>
      <c r="D507" s="241">
        <v>26.54</v>
      </c>
      <c r="E507" s="56" t="str">
        <f t="shared" si="35"/>
        <v>ADAPTADOR DE PVC SOLDÁVEL COM FLANGES LIVRES PARA CAIXA DÁGUA, DIÂMETRO 32MM X 1"</v>
      </c>
      <c r="F507" s="56" t="str">
        <f t="shared" si="36"/>
        <v>UND</v>
      </c>
      <c r="G507">
        <f t="shared" si="37"/>
        <v>35.36</v>
      </c>
      <c r="H507">
        <f t="shared" si="38"/>
        <v>26.54</v>
      </c>
      <c r="I507">
        <f t="shared" si="39"/>
        <v>26.54</v>
      </c>
    </row>
    <row r="508" spans="1:9" ht="28.8">
      <c r="A508" s="372">
        <v>141524</v>
      </c>
      <c r="B508" s="241" t="s">
        <v>27160</v>
      </c>
      <c r="C508" s="221" t="s">
        <v>115</v>
      </c>
      <c r="D508" s="241">
        <v>30.25</v>
      </c>
      <c r="E508" s="56" t="str">
        <f t="shared" si="35"/>
        <v>ADAPTADOR DE PVC SOLDÁVEL COM FLANGES LIVRES PARA CAIXA DÁGUA, DIÂMETRO 40MM X 1 1/4"</v>
      </c>
      <c r="F508" s="56" t="str">
        <f t="shared" si="36"/>
        <v>UND</v>
      </c>
      <c r="G508">
        <f t="shared" si="37"/>
        <v>40.31</v>
      </c>
      <c r="H508">
        <f t="shared" si="38"/>
        <v>30.25</v>
      </c>
      <c r="I508">
        <f t="shared" si="39"/>
        <v>30.25</v>
      </c>
    </row>
    <row r="509" spans="1:9" ht="28.8">
      <c r="A509" s="372">
        <v>141525</v>
      </c>
      <c r="B509" s="241" t="s">
        <v>27161</v>
      </c>
      <c r="C509" s="221" t="s">
        <v>115</v>
      </c>
      <c r="D509" s="241">
        <v>42.43</v>
      </c>
      <c r="E509" s="56" t="str">
        <f t="shared" si="35"/>
        <v>ADAPTADOR DE PVC SOLDÁVEL COM FLANGES LIVRES PARA CAIXA DÁGUA, DIÂMETRO 50MM X 1 1/2"</v>
      </c>
      <c r="F509" s="56" t="str">
        <f t="shared" si="36"/>
        <v>UND</v>
      </c>
      <c r="G509">
        <f t="shared" si="37"/>
        <v>56.54</v>
      </c>
      <c r="H509">
        <f t="shared" si="38"/>
        <v>42.43</v>
      </c>
      <c r="I509">
        <f t="shared" si="39"/>
        <v>42.43</v>
      </c>
    </row>
    <row r="510" spans="1:9" ht="28.8">
      <c r="A510" s="372">
        <v>141526</v>
      </c>
      <c r="B510" s="241" t="s">
        <v>27162</v>
      </c>
      <c r="C510" s="221" t="s">
        <v>115</v>
      </c>
      <c r="D510" s="241">
        <v>66.11</v>
      </c>
      <c r="E510" s="56" t="str">
        <f t="shared" si="35"/>
        <v>ADAPTADOR DE PVC SOLDÁVEL COM FLANGES LIVRES PARA CAIXA DÁGUA, DIÂMETRO 60MM X 2"</v>
      </c>
      <c r="F510" s="56" t="str">
        <f t="shared" si="36"/>
        <v>UND</v>
      </c>
      <c r="G510">
        <f t="shared" si="37"/>
        <v>88.09</v>
      </c>
      <c r="H510">
        <f t="shared" si="38"/>
        <v>66.11</v>
      </c>
      <c r="I510">
        <f t="shared" si="39"/>
        <v>66.11</v>
      </c>
    </row>
    <row r="511" spans="1:9" ht="28.8">
      <c r="A511" s="372">
        <v>141527</v>
      </c>
      <c r="B511" s="241" t="s">
        <v>27163</v>
      </c>
      <c r="C511" s="221" t="s">
        <v>115</v>
      </c>
      <c r="D511" s="241">
        <v>296.33</v>
      </c>
      <c r="E511" s="56" t="str">
        <f t="shared" si="35"/>
        <v>ADAPTADOR DE PVC SOLDÁVEL COM FLANGES LIVRES PARA CAIXA DÁGUA, DIÂMETRO 75MM X 2 1/2"</v>
      </c>
      <c r="F511" s="56" t="str">
        <f t="shared" si="36"/>
        <v>UND</v>
      </c>
      <c r="G511">
        <f t="shared" si="37"/>
        <v>394.86</v>
      </c>
      <c r="H511">
        <f t="shared" si="38"/>
        <v>296.33</v>
      </c>
      <c r="I511">
        <f t="shared" si="39"/>
        <v>296.33</v>
      </c>
    </row>
    <row r="512" spans="1:9" ht="28.8">
      <c r="A512" s="372">
        <v>141529</v>
      </c>
      <c r="B512" s="241" t="s">
        <v>27164</v>
      </c>
      <c r="C512" s="221" t="s">
        <v>115</v>
      </c>
      <c r="D512" s="241">
        <v>7.62</v>
      </c>
      <c r="E512" s="56" t="str">
        <f t="shared" si="35"/>
        <v>ADAPTADOR DE PVC SOLDÁVEL COM ANEL PARA CAIXA DÁGUA, DN 32MM</v>
      </c>
      <c r="F512" s="56" t="str">
        <f t="shared" si="36"/>
        <v>UND</v>
      </c>
      <c r="G512">
        <f t="shared" si="37"/>
        <v>10.15</v>
      </c>
      <c r="H512">
        <f t="shared" si="38"/>
        <v>7.62</v>
      </c>
      <c r="I512">
        <f t="shared" si="39"/>
        <v>7.62</v>
      </c>
    </row>
    <row r="513" spans="1:9">
      <c r="A513" s="372">
        <v>1419</v>
      </c>
      <c r="B513" s="241" t="s">
        <v>1367</v>
      </c>
      <c r="C513" s="221"/>
      <c r="D513" s="241"/>
      <c r="E513" s="56" t="str">
        <f t="shared" ref="E513:E576" si="40">UPPER(B513)</f>
        <v>REDE DE ESGOTO - TUBOS DE PVC</v>
      </c>
      <c r="F513" s="56" t="str">
        <f t="shared" ref="F513:F576" si="41">UPPER(C513)</f>
        <v/>
      </c>
      <c r="G513">
        <f t="shared" si="37"/>
        <v>0</v>
      </c>
      <c r="H513">
        <f t="shared" si="38"/>
        <v>0</v>
      </c>
      <c r="I513">
        <f t="shared" si="39"/>
        <v>0</v>
      </c>
    </row>
    <row r="514" spans="1:9" ht="43.2">
      <c r="A514" s="372">
        <v>141906</v>
      </c>
      <c r="B514" s="241" t="s">
        <v>27165</v>
      </c>
      <c r="C514" s="221" t="s">
        <v>112</v>
      </c>
      <c r="D514" s="241">
        <v>31</v>
      </c>
      <c r="E514" s="56" t="str">
        <f t="shared" si="40"/>
        <v>TUBO DE PVC RÍGIDO SOLDÁVEL BRANCO, PARA ESGOTO, SÉRIE NORMAL, DIÂMETRO 40MM (1 1/2"), INCLUSIVE CONEXÕES</v>
      </c>
      <c r="F514" s="56" t="str">
        <f t="shared" si="41"/>
        <v>M</v>
      </c>
      <c r="G514">
        <f t="shared" si="37"/>
        <v>41.31</v>
      </c>
      <c r="H514">
        <f t="shared" si="38"/>
        <v>31</v>
      </c>
      <c r="I514">
        <f t="shared" si="39"/>
        <v>31</v>
      </c>
    </row>
    <row r="515" spans="1:9" ht="43.2">
      <c r="A515" s="372">
        <v>141907</v>
      </c>
      <c r="B515" s="241" t="s">
        <v>27166</v>
      </c>
      <c r="C515" s="221" t="s">
        <v>112</v>
      </c>
      <c r="D515" s="241">
        <v>39.270000000000003</v>
      </c>
      <c r="E515" s="56" t="str">
        <f t="shared" si="40"/>
        <v>TUBO DE PVC RÍGIDO SOLDÁVEL BRANCO, PARA ESGOTO, SÉRIE NORMAL, DIÂMETRO 50MM (2"), INCLUSIVE CONEXÕES</v>
      </c>
      <c r="F515" s="56" t="str">
        <f t="shared" si="41"/>
        <v>M</v>
      </c>
      <c r="G515">
        <f t="shared" si="37"/>
        <v>52.33</v>
      </c>
      <c r="H515">
        <f t="shared" si="38"/>
        <v>39.270000000000003</v>
      </c>
      <c r="I515">
        <f t="shared" si="39"/>
        <v>39.270000000000003</v>
      </c>
    </row>
    <row r="516" spans="1:9" ht="43.2">
      <c r="A516" s="372">
        <v>141908</v>
      </c>
      <c r="B516" s="241" t="s">
        <v>27167</v>
      </c>
      <c r="C516" s="221" t="s">
        <v>112</v>
      </c>
      <c r="D516" s="241">
        <v>60.93</v>
      </c>
      <c r="E516" s="56" t="str">
        <f t="shared" si="40"/>
        <v>TUBO DE PVC RÍGIDO SOLDÁVEL BRANCO, PARA ESGOTO, SÉRIE NORMAL, DIÂMETRO 75MM (3"), INCLUSIVE CONEXÕES</v>
      </c>
      <c r="F516" s="56" t="str">
        <f t="shared" si="41"/>
        <v>M</v>
      </c>
      <c r="G516">
        <f t="shared" si="37"/>
        <v>81.19</v>
      </c>
      <c r="H516">
        <f t="shared" si="38"/>
        <v>60.93</v>
      </c>
      <c r="I516">
        <f t="shared" si="39"/>
        <v>60.93</v>
      </c>
    </row>
    <row r="517" spans="1:9" ht="43.2">
      <c r="A517" s="372">
        <v>141909</v>
      </c>
      <c r="B517" s="241" t="s">
        <v>27168</v>
      </c>
      <c r="C517" s="221" t="s">
        <v>112</v>
      </c>
      <c r="D517" s="241">
        <v>74.37</v>
      </c>
      <c r="E517" s="56" t="str">
        <f t="shared" si="40"/>
        <v>TUBO DE PVC RÍGIDO SOLDÁVEL BRANCO, PARA ESGOTO, SÉRIE NORMAL, DIÂMETRO 100MM (4"), INCLUSIVE CONEXÕES</v>
      </c>
      <c r="F517" s="56" t="str">
        <f t="shared" si="41"/>
        <v>M</v>
      </c>
      <c r="G517">
        <f t="shared" si="37"/>
        <v>99.1</v>
      </c>
      <c r="H517">
        <f t="shared" si="38"/>
        <v>74.37</v>
      </c>
      <c r="I517">
        <f t="shared" si="39"/>
        <v>74.37</v>
      </c>
    </row>
    <row r="518" spans="1:9" ht="43.2">
      <c r="A518" s="372">
        <v>141910</v>
      </c>
      <c r="B518" s="241" t="s">
        <v>27169</v>
      </c>
      <c r="C518" s="221" t="s">
        <v>112</v>
      </c>
      <c r="D518" s="241">
        <v>94.67</v>
      </c>
      <c r="E518" s="56" t="str">
        <f t="shared" si="40"/>
        <v>TUBO DE PVC RÍGIDO SOLDÁVEL BRANCO, PARA ESGOTO, SÉRIE NORMAL, DIÂMETRO 150MM (6"), INCLUSIVE CONEXÕES</v>
      </c>
      <c r="F518" s="56" t="str">
        <f t="shared" si="41"/>
        <v>M</v>
      </c>
      <c r="G518">
        <f t="shared" si="37"/>
        <v>126.15</v>
      </c>
      <c r="H518">
        <f t="shared" si="38"/>
        <v>94.67</v>
      </c>
      <c r="I518">
        <f t="shared" si="39"/>
        <v>94.67</v>
      </c>
    </row>
    <row r="519" spans="1:9">
      <c r="A519" s="372">
        <v>1421</v>
      </c>
      <c r="B519" s="241" t="s">
        <v>1368</v>
      </c>
      <c r="C519" s="221"/>
      <c r="D519" s="241"/>
      <c r="E519" s="56" t="str">
        <f t="shared" si="40"/>
        <v>CAIXAS DE PVC / EQUIPAMENTOS</v>
      </c>
      <c r="F519" s="56" t="str">
        <f t="shared" si="41"/>
        <v/>
      </c>
      <c r="G519">
        <f t="shared" si="37"/>
        <v>0</v>
      </c>
      <c r="H519">
        <f t="shared" si="38"/>
        <v>0</v>
      </c>
      <c r="I519">
        <f t="shared" si="39"/>
        <v>0</v>
      </c>
    </row>
    <row r="520" spans="1:9">
      <c r="A520" s="372">
        <v>142103</v>
      </c>
      <c r="B520" s="241" t="s">
        <v>1369</v>
      </c>
      <c r="C520" s="221" t="s">
        <v>115</v>
      </c>
      <c r="D520" s="241">
        <v>90.86</v>
      </c>
      <c r="E520" s="56" t="str">
        <f t="shared" si="40"/>
        <v>REPARO PARA VÁLVULA DE DESCARGA, COMPLETO</v>
      </c>
      <c r="F520" s="56" t="str">
        <f t="shared" si="41"/>
        <v>UND</v>
      </c>
      <c r="G520">
        <f t="shared" ref="G520:G583" si="42">ROUND(H520*(1+$G$1),2)</f>
        <v>121.07</v>
      </c>
      <c r="H520">
        <f t="shared" ref="H520:H583" si="43">I520</f>
        <v>90.86</v>
      </c>
      <c r="I520">
        <f t="shared" ref="I520:I583" si="44">ROUND(D520/(1+$E$1),2)</f>
        <v>90.86</v>
      </c>
    </row>
    <row r="521" spans="1:9" ht="28.8">
      <c r="A521" s="372">
        <v>142104</v>
      </c>
      <c r="B521" s="241" t="s">
        <v>1370</v>
      </c>
      <c r="C521" s="221" t="s">
        <v>115</v>
      </c>
      <c r="D521" s="241">
        <v>27.31</v>
      </c>
      <c r="E521" s="56" t="str">
        <f t="shared" si="40"/>
        <v>SIFÃO EM PVC PARA PIA DE COZINHA OU LAVATÓRIO 1X11/2"</v>
      </c>
      <c r="F521" s="56" t="str">
        <f t="shared" si="41"/>
        <v>UND</v>
      </c>
      <c r="G521">
        <f t="shared" si="42"/>
        <v>36.39</v>
      </c>
      <c r="H521">
        <f t="shared" si="43"/>
        <v>27.31</v>
      </c>
      <c r="I521">
        <f t="shared" si="44"/>
        <v>27.31</v>
      </c>
    </row>
    <row r="522" spans="1:9">
      <c r="A522" s="371">
        <v>142106</v>
      </c>
      <c r="B522" s="240" t="s">
        <v>1371</v>
      </c>
      <c r="C522" s="221" t="s">
        <v>115</v>
      </c>
      <c r="D522" s="241">
        <v>31.33</v>
      </c>
      <c r="E522" s="56" t="str">
        <f t="shared" si="40"/>
        <v>SIFÃO EM PVC PARA TANQUE 2"</v>
      </c>
      <c r="F522" s="56" t="str">
        <f t="shared" si="41"/>
        <v>UND</v>
      </c>
      <c r="G522">
        <f t="shared" si="42"/>
        <v>41.75</v>
      </c>
      <c r="H522">
        <f t="shared" si="43"/>
        <v>31.33</v>
      </c>
      <c r="I522">
        <f t="shared" si="44"/>
        <v>31.33</v>
      </c>
    </row>
    <row r="523" spans="1:9" ht="28.8">
      <c r="A523" s="372">
        <v>142107</v>
      </c>
      <c r="B523" s="241" t="s">
        <v>1372</v>
      </c>
      <c r="C523" s="221" t="s">
        <v>115</v>
      </c>
      <c r="D523" s="241">
        <v>73.61</v>
      </c>
      <c r="E523" s="56" t="str">
        <f t="shared" si="40"/>
        <v>RALO SIFONADO EM PVC 100X100MM, COM GRELHA PVC</v>
      </c>
      <c r="F523" s="56" t="str">
        <f t="shared" si="41"/>
        <v>UND</v>
      </c>
      <c r="G523">
        <f t="shared" si="42"/>
        <v>98.09</v>
      </c>
      <c r="H523">
        <f t="shared" si="43"/>
        <v>73.61</v>
      </c>
      <c r="I523">
        <f t="shared" si="44"/>
        <v>73.61</v>
      </c>
    </row>
    <row r="524" spans="1:9" ht="28.8">
      <c r="A524" s="372">
        <v>142109</v>
      </c>
      <c r="B524" s="241" t="s">
        <v>1373</v>
      </c>
      <c r="C524" s="221" t="s">
        <v>115</v>
      </c>
      <c r="D524" s="241">
        <v>74.45</v>
      </c>
      <c r="E524" s="56" t="str">
        <f t="shared" si="40"/>
        <v>RALO SECO EM PVC 100X100MM, COM GRELHA EM PVC</v>
      </c>
      <c r="F524" s="56" t="str">
        <f t="shared" si="41"/>
        <v>UND</v>
      </c>
      <c r="G524">
        <f t="shared" si="42"/>
        <v>99.2</v>
      </c>
      <c r="H524">
        <f t="shared" si="43"/>
        <v>74.45</v>
      </c>
      <c r="I524">
        <f t="shared" si="44"/>
        <v>74.45</v>
      </c>
    </row>
    <row r="525" spans="1:9" ht="43.2">
      <c r="A525" s="372">
        <v>142111</v>
      </c>
      <c r="B525" s="241" t="s">
        <v>1374</v>
      </c>
      <c r="C525" s="221" t="s">
        <v>115</v>
      </c>
      <c r="D525" s="241">
        <v>138.6</v>
      </c>
      <c r="E525" s="56" t="str">
        <f t="shared" si="40"/>
        <v>CAIXA SIFONADA EM PVC, DIÂM. 150MM, COM GRELHA E PORTA GRELHA QUADRADOS, EM AÇO INOX</v>
      </c>
      <c r="F525" s="56" t="str">
        <f t="shared" si="41"/>
        <v>UND</v>
      </c>
      <c r="G525">
        <f t="shared" si="42"/>
        <v>184.68</v>
      </c>
      <c r="H525">
        <f t="shared" si="43"/>
        <v>138.6</v>
      </c>
      <c r="I525">
        <f t="shared" si="44"/>
        <v>138.6</v>
      </c>
    </row>
    <row r="526" spans="1:9" ht="28.8">
      <c r="A526" s="372">
        <v>142112</v>
      </c>
      <c r="B526" s="241" t="s">
        <v>1375</v>
      </c>
      <c r="C526" s="221" t="s">
        <v>115</v>
      </c>
      <c r="D526" s="241">
        <v>101.69</v>
      </c>
      <c r="E526" s="56" t="str">
        <f t="shared" si="40"/>
        <v>CAIXA SECA EM PVC, DIÂM. 100MM, COM GRELHA E PORTA GRELHA QUADRADOS, EM AÇO INOX</v>
      </c>
      <c r="F526" s="56" t="str">
        <f t="shared" si="41"/>
        <v>UND</v>
      </c>
      <c r="G526">
        <f t="shared" si="42"/>
        <v>135.5</v>
      </c>
      <c r="H526">
        <f t="shared" si="43"/>
        <v>101.69</v>
      </c>
      <c r="I526">
        <f t="shared" si="44"/>
        <v>101.69</v>
      </c>
    </row>
    <row r="527" spans="1:9" ht="28.8">
      <c r="A527" s="372">
        <v>142114</v>
      </c>
      <c r="B527" s="241" t="s">
        <v>1376</v>
      </c>
      <c r="C527" s="221" t="s">
        <v>115</v>
      </c>
      <c r="D527" s="241">
        <v>11.13</v>
      </c>
      <c r="E527" s="56" t="str">
        <f t="shared" si="40"/>
        <v>TAMPA PARA CAIXA SIFONADA, EM PVC, DE 150X150MM</v>
      </c>
      <c r="F527" s="56" t="str">
        <f t="shared" si="41"/>
        <v>UND</v>
      </c>
      <c r="G527">
        <f t="shared" si="42"/>
        <v>14.83</v>
      </c>
      <c r="H527">
        <f t="shared" si="43"/>
        <v>11.13</v>
      </c>
      <c r="I527">
        <f t="shared" si="44"/>
        <v>11.13</v>
      </c>
    </row>
    <row r="528" spans="1:9" ht="28.8">
      <c r="A528" s="372">
        <v>142115</v>
      </c>
      <c r="B528" s="241" t="s">
        <v>1377</v>
      </c>
      <c r="C528" s="221" t="s">
        <v>115</v>
      </c>
      <c r="D528" s="241">
        <v>43.97</v>
      </c>
      <c r="E528" s="56" t="str">
        <f t="shared" si="40"/>
        <v>TAMPA PARA CAIXA SIFONADA, EM AÇO INOX, DE 150X150MM</v>
      </c>
      <c r="F528" s="56" t="str">
        <f t="shared" si="41"/>
        <v>UND</v>
      </c>
      <c r="G528">
        <f t="shared" si="42"/>
        <v>58.59</v>
      </c>
      <c r="H528">
        <f t="shared" si="43"/>
        <v>43.97</v>
      </c>
      <c r="I528">
        <f t="shared" si="44"/>
        <v>43.97</v>
      </c>
    </row>
    <row r="529" spans="1:9">
      <c r="A529" s="371">
        <v>142116</v>
      </c>
      <c r="B529" s="240" t="s">
        <v>1378</v>
      </c>
      <c r="C529" s="221" t="s">
        <v>115</v>
      </c>
      <c r="D529" s="241">
        <v>8.4700000000000006</v>
      </c>
      <c r="E529" s="56" t="str">
        <f t="shared" si="40"/>
        <v>TAMPA PARA RALO, EM PVC, DE 100X100MM</v>
      </c>
      <c r="F529" s="56" t="str">
        <f t="shared" si="41"/>
        <v>UND</v>
      </c>
      <c r="G529">
        <f t="shared" si="42"/>
        <v>11.29</v>
      </c>
      <c r="H529">
        <f t="shared" si="43"/>
        <v>8.4700000000000006</v>
      </c>
      <c r="I529">
        <f t="shared" si="44"/>
        <v>8.4700000000000006</v>
      </c>
    </row>
    <row r="530" spans="1:9">
      <c r="A530" s="372">
        <v>142117</v>
      </c>
      <c r="B530" s="241" t="s">
        <v>1379</v>
      </c>
      <c r="C530" s="221" t="s">
        <v>115</v>
      </c>
      <c r="D530" s="241">
        <v>27.97</v>
      </c>
      <c r="E530" s="56" t="str">
        <f t="shared" si="40"/>
        <v>TAMPA PARA RALO, EM AÇO INOX, DE 100X100MM</v>
      </c>
      <c r="F530" s="56" t="str">
        <f t="shared" si="41"/>
        <v>UND</v>
      </c>
      <c r="G530">
        <f t="shared" si="42"/>
        <v>37.270000000000003</v>
      </c>
      <c r="H530">
        <f t="shared" si="43"/>
        <v>27.97</v>
      </c>
      <c r="I530">
        <f t="shared" si="44"/>
        <v>27.97</v>
      </c>
    </row>
    <row r="531" spans="1:9">
      <c r="A531" s="372">
        <v>142118</v>
      </c>
      <c r="B531" s="241" t="s">
        <v>1380</v>
      </c>
      <c r="C531" s="221" t="s">
        <v>115</v>
      </c>
      <c r="D531" s="241">
        <v>20.25</v>
      </c>
      <c r="E531" s="56" t="str">
        <f t="shared" si="40"/>
        <v>ENGATE FLEXÍVEL DE PVC PARA LAVATÓRIO</v>
      </c>
      <c r="F531" s="56" t="str">
        <f t="shared" si="41"/>
        <v>UND</v>
      </c>
      <c r="G531">
        <f t="shared" si="42"/>
        <v>26.98</v>
      </c>
      <c r="H531">
        <f t="shared" si="43"/>
        <v>20.25</v>
      </c>
      <c r="I531">
        <f t="shared" si="44"/>
        <v>20.25</v>
      </c>
    </row>
    <row r="532" spans="1:9">
      <c r="A532" s="372">
        <v>142119</v>
      </c>
      <c r="B532" s="241" t="s">
        <v>1381</v>
      </c>
      <c r="C532" s="221" t="s">
        <v>115</v>
      </c>
      <c r="D532" s="241">
        <v>110.04</v>
      </c>
      <c r="E532" s="56" t="str">
        <f t="shared" si="40"/>
        <v>TORNEIRA DE BÓIA DE PVC, DIÂM. 3/4" (20MM)</v>
      </c>
      <c r="F532" s="56" t="str">
        <f t="shared" si="41"/>
        <v>UND</v>
      </c>
      <c r="G532">
        <f t="shared" si="42"/>
        <v>146.63</v>
      </c>
      <c r="H532">
        <f t="shared" si="43"/>
        <v>110.04</v>
      </c>
      <c r="I532">
        <f t="shared" si="44"/>
        <v>110.04</v>
      </c>
    </row>
    <row r="533" spans="1:9">
      <c r="A533" s="372">
        <v>142120</v>
      </c>
      <c r="B533" s="241" t="s">
        <v>1382</v>
      </c>
      <c r="C533" s="221" t="s">
        <v>115</v>
      </c>
      <c r="D533" s="241">
        <v>119.31</v>
      </c>
      <c r="E533" s="56" t="str">
        <f t="shared" si="40"/>
        <v>TORNEIRA DE BÓIA DE PVC, DIÂM. 1" (25MM)</v>
      </c>
      <c r="F533" s="56" t="str">
        <f t="shared" si="41"/>
        <v>UND</v>
      </c>
      <c r="G533">
        <f t="shared" si="42"/>
        <v>158.97999999999999</v>
      </c>
      <c r="H533">
        <f t="shared" si="43"/>
        <v>119.31</v>
      </c>
      <c r="I533">
        <f t="shared" si="44"/>
        <v>119.31</v>
      </c>
    </row>
    <row r="534" spans="1:9">
      <c r="A534" s="371">
        <v>142121</v>
      </c>
      <c r="B534" s="240" t="s">
        <v>1383</v>
      </c>
      <c r="C534" s="221" t="s">
        <v>115</v>
      </c>
      <c r="D534" s="241">
        <v>251.76</v>
      </c>
      <c r="E534" s="56" t="str">
        <f t="shared" si="40"/>
        <v>TORNEIRA DE BÓIA DE PVC, DIÂM. 11/4" (32MM)</v>
      </c>
      <c r="F534" s="56" t="str">
        <f t="shared" si="41"/>
        <v>UND</v>
      </c>
      <c r="G534">
        <f t="shared" si="42"/>
        <v>335.47</v>
      </c>
      <c r="H534">
        <f t="shared" si="43"/>
        <v>251.76</v>
      </c>
      <c r="I534">
        <f t="shared" si="44"/>
        <v>251.76</v>
      </c>
    </row>
    <row r="535" spans="1:9">
      <c r="A535" s="371">
        <v>142122</v>
      </c>
      <c r="B535" s="240" t="s">
        <v>2262</v>
      </c>
      <c r="C535" s="221" t="s">
        <v>115</v>
      </c>
      <c r="D535" s="241">
        <v>91.3</v>
      </c>
      <c r="E535" s="56" t="str">
        <f t="shared" si="40"/>
        <v>AUTOMÁTICO DE BÓIA, DUAS FUNÇÕES 25A</v>
      </c>
      <c r="F535" s="56" t="str">
        <f t="shared" si="41"/>
        <v>UND</v>
      </c>
      <c r="G535">
        <f t="shared" si="42"/>
        <v>121.66</v>
      </c>
      <c r="H535">
        <f t="shared" si="43"/>
        <v>91.3</v>
      </c>
      <c r="I535">
        <f t="shared" si="44"/>
        <v>91.3</v>
      </c>
    </row>
    <row r="536" spans="1:9" ht="28.8">
      <c r="A536" s="372">
        <v>142123</v>
      </c>
      <c r="B536" s="241" t="s">
        <v>27170</v>
      </c>
      <c r="C536" s="221" t="s">
        <v>115</v>
      </c>
      <c r="D536" s="594">
        <v>15.48</v>
      </c>
      <c r="E536" s="56" t="str">
        <f t="shared" si="40"/>
        <v>ADAPTADOR DE PVC COM FLANGES LIVRES PARA CAIXA DÁGUA DE 20MM X 1/2"</v>
      </c>
      <c r="F536" s="56" t="str">
        <f t="shared" si="41"/>
        <v>UND</v>
      </c>
      <c r="G536">
        <f t="shared" si="42"/>
        <v>20.63</v>
      </c>
      <c r="H536">
        <f t="shared" si="43"/>
        <v>15.48</v>
      </c>
      <c r="I536">
        <f t="shared" si="44"/>
        <v>15.48</v>
      </c>
    </row>
    <row r="537" spans="1:9" ht="28.8">
      <c r="A537" s="372">
        <v>1422</v>
      </c>
      <c r="B537" s="241" t="s">
        <v>1384</v>
      </c>
      <c r="C537" s="221"/>
      <c r="D537" s="594"/>
      <c r="E537" s="56" t="str">
        <f t="shared" si="40"/>
        <v>ABERTURA E FECHAMENTO DE RASGOS (INCLUSIVE PREPARO E APLICAÇÃO DE ARGAMASSA)</v>
      </c>
      <c r="F537" s="56" t="str">
        <f t="shared" si="41"/>
        <v/>
      </c>
      <c r="G537">
        <f t="shared" si="42"/>
        <v>0</v>
      </c>
      <c r="H537">
        <f t="shared" si="43"/>
        <v>0</v>
      </c>
      <c r="I537">
        <f t="shared" si="44"/>
        <v>0</v>
      </c>
    </row>
    <row r="538" spans="1:9" ht="43.2">
      <c r="A538" s="371">
        <v>142201</v>
      </c>
      <c r="B538" s="240" t="s">
        <v>1385</v>
      </c>
      <c r="C538" s="221" t="s">
        <v>112</v>
      </c>
      <c r="D538" s="241">
        <v>13.99</v>
      </c>
      <c r="E538" s="56" t="str">
        <f t="shared" si="40"/>
        <v>ABERTURA E FECHAMENTO DE RASGOS EM ALVENARIA, PARA PASSAGEM DE TUBULAÇÕES, DIÂM. 1/2" A 1"</v>
      </c>
      <c r="F538" s="56" t="str">
        <f t="shared" si="41"/>
        <v>M</v>
      </c>
      <c r="G538">
        <f t="shared" si="42"/>
        <v>18.64</v>
      </c>
      <c r="H538">
        <f t="shared" si="43"/>
        <v>13.99</v>
      </c>
      <c r="I538">
        <f t="shared" si="44"/>
        <v>13.99</v>
      </c>
    </row>
    <row r="539" spans="1:9" ht="43.2">
      <c r="A539" s="372">
        <v>142202</v>
      </c>
      <c r="B539" s="241" t="s">
        <v>1386</v>
      </c>
      <c r="C539" s="221" t="s">
        <v>112</v>
      </c>
      <c r="D539" s="241">
        <v>20.98</v>
      </c>
      <c r="E539" s="56" t="str">
        <f t="shared" si="40"/>
        <v>ABERTURA E FECHAMENTO DE RASGOS EM ALVENARIA, PARA PASSAGEM DE TUBULAÇÕES, DIÂM. 11/4" A 2"</v>
      </c>
      <c r="F539" s="56" t="str">
        <f t="shared" si="41"/>
        <v>M</v>
      </c>
      <c r="G539">
        <f t="shared" si="42"/>
        <v>27.96</v>
      </c>
      <c r="H539">
        <f t="shared" si="43"/>
        <v>20.98</v>
      </c>
      <c r="I539">
        <f t="shared" si="44"/>
        <v>20.98</v>
      </c>
    </row>
    <row r="540" spans="1:9" ht="43.2">
      <c r="A540" s="372">
        <v>142203</v>
      </c>
      <c r="B540" s="241" t="s">
        <v>1387</v>
      </c>
      <c r="C540" s="221" t="s">
        <v>112</v>
      </c>
      <c r="D540" s="241">
        <v>31.6</v>
      </c>
      <c r="E540" s="56" t="str">
        <f t="shared" si="40"/>
        <v>ABERTURA E FECHAMENTO DE RASGOS EM ALVENARIA, PARA PASSAGEM DE TUBULAÇÕES, DIÂM. 21/2 A 4"</v>
      </c>
      <c r="F540" s="56" t="str">
        <f t="shared" si="41"/>
        <v>M</v>
      </c>
      <c r="G540">
        <f t="shared" si="42"/>
        <v>42.11</v>
      </c>
      <c r="H540">
        <f t="shared" si="43"/>
        <v>31.6</v>
      </c>
      <c r="I540">
        <f t="shared" si="44"/>
        <v>31.6</v>
      </c>
    </row>
    <row r="541" spans="1:9" ht="43.2">
      <c r="A541" s="372">
        <v>142204</v>
      </c>
      <c r="B541" s="241" t="s">
        <v>1388</v>
      </c>
      <c r="C541" s="221" t="s">
        <v>112</v>
      </c>
      <c r="D541" s="241">
        <v>26.67</v>
      </c>
      <c r="E541" s="56" t="str">
        <f t="shared" si="40"/>
        <v>ABERTURA E FECHAMENTO DE RASGOS EM CONCRETO, PARA PASSAGEM DE TUBULAÇÕES, DIÂM. 1/2" A 1"</v>
      </c>
      <c r="F541" s="56" t="str">
        <f t="shared" si="41"/>
        <v>M</v>
      </c>
      <c r="G541">
        <f t="shared" si="42"/>
        <v>35.54</v>
      </c>
      <c r="H541">
        <f t="shared" si="43"/>
        <v>26.67</v>
      </c>
      <c r="I541">
        <f t="shared" si="44"/>
        <v>26.67</v>
      </c>
    </row>
    <row r="542" spans="1:9" ht="43.2">
      <c r="A542" s="372">
        <v>142205</v>
      </c>
      <c r="B542" s="241" t="s">
        <v>1389</v>
      </c>
      <c r="C542" s="221" t="s">
        <v>112</v>
      </c>
      <c r="D542" s="241">
        <v>40.659999999999997</v>
      </c>
      <c r="E542" s="56" t="str">
        <f t="shared" si="40"/>
        <v>ABERTURA E FECHAMENTO DE RASGOS EM CONCRETO, PARA PASSAGEM DE TUBULAÇÕES, DIÂM. 11/4" A 2"</v>
      </c>
      <c r="F542" s="56" t="str">
        <f t="shared" si="41"/>
        <v>M</v>
      </c>
      <c r="G542">
        <f t="shared" si="42"/>
        <v>54.18</v>
      </c>
      <c r="H542">
        <f t="shared" si="43"/>
        <v>40.659999999999997</v>
      </c>
      <c r="I542">
        <f t="shared" si="44"/>
        <v>40.659999999999997</v>
      </c>
    </row>
    <row r="543" spans="1:9" ht="43.2">
      <c r="A543" s="372">
        <v>142206</v>
      </c>
      <c r="B543" s="241" t="s">
        <v>1390</v>
      </c>
      <c r="C543" s="221" t="s">
        <v>112</v>
      </c>
      <c r="D543" s="241">
        <v>59.16</v>
      </c>
      <c r="E543" s="56" t="str">
        <f t="shared" si="40"/>
        <v>ABERTURA E FECHAMENTO DE RASGOS EM CONCRETO, PARA PASSAGEM DE TUBULAÇÕES, DIÂM. 2 1/2"A 4"</v>
      </c>
      <c r="F543" s="56" t="str">
        <f t="shared" si="41"/>
        <v>M</v>
      </c>
      <c r="G543">
        <f t="shared" si="42"/>
        <v>78.83</v>
      </c>
      <c r="H543">
        <f t="shared" si="43"/>
        <v>59.16</v>
      </c>
      <c r="I543">
        <f t="shared" si="44"/>
        <v>59.16</v>
      </c>
    </row>
    <row r="544" spans="1:9">
      <c r="A544" s="372">
        <v>1423</v>
      </c>
      <c r="B544" s="241" t="s">
        <v>1210</v>
      </c>
      <c r="C544" s="221"/>
      <c r="D544" s="241"/>
      <c r="E544" s="56" t="str">
        <f t="shared" si="40"/>
        <v>REVISÕES E REPAROS</v>
      </c>
      <c r="F544" s="56" t="str">
        <f t="shared" si="41"/>
        <v/>
      </c>
      <c r="G544">
        <f t="shared" si="42"/>
        <v>0</v>
      </c>
      <c r="H544">
        <f t="shared" si="43"/>
        <v>0</v>
      </c>
      <c r="I544">
        <f t="shared" si="44"/>
        <v>0</v>
      </c>
    </row>
    <row r="545" spans="1:9">
      <c r="A545" s="372">
        <v>142301</v>
      </c>
      <c r="B545" s="241" t="s">
        <v>1391</v>
      </c>
      <c r="C545" s="221" t="s">
        <v>115</v>
      </c>
      <c r="D545" s="241">
        <v>23.98</v>
      </c>
      <c r="E545" s="56" t="str">
        <f t="shared" si="40"/>
        <v>REVISÕES E REPAROS EM TORNEIRAS E REGISTROS</v>
      </c>
      <c r="F545" s="56" t="str">
        <f t="shared" si="41"/>
        <v>UND</v>
      </c>
      <c r="G545">
        <f t="shared" si="42"/>
        <v>31.95</v>
      </c>
      <c r="H545">
        <f t="shared" si="43"/>
        <v>23.98</v>
      </c>
      <c r="I545">
        <f t="shared" si="44"/>
        <v>23.98</v>
      </c>
    </row>
    <row r="546" spans="1:9">
      <c r="A546" s="372">
        <v>142302</v>
      </c>
      <c r="B546" s="241" t="s">
        <v>1392</v>
      </c>
      <c r="C546" s="221" t="s">
        <v>115</v>
      </c>
      <c r="D546" s="241">
        <v>33.57</v>
      </c>
      <c r="E546" s="56" t="str">
        <f t="shared" si="40"/>
        <v>REVISÕES E REPAROS EM CAIXAS DE DESCARGA</v>
      </c>
      <c r="F546" s="56" t="str">
        <f t="shared" si="41"/>
        <v>UND</v>
      </c>
      <c r="G546">
        <f t="shared" si="42"/>
        <v>44.73</v>
      </c>
      <c r="H546">
        <f t="shared" si="43"/>
        <v>33.57</v>
      </c>
      <c r="I546">
        <f t="shared" si="44"/>
        <v>33.57</v>
      </c>
    </row>
    <row r="547" spans="1:9">
      <c r="A547" s="372">
        <v>142303</v>
      </c>
      <c r="B547" s="241" t="s">
        <v>1393</v>
      </c>
      <c r="C547" s="221" t="s">
        <v>115</v>
      </c>
      <c r="D547" s="241">
        <v>23.98</v>
      </c>
      <c r="E547" s="56" t="str">
        <f t="shared" si="40"/>
        <v>REVISÕES E REPAROS EM TORNEIRAS DE BÓIA</v>
      </c>
      <c r="F547" s="56" t="str">
        <f t="shared" si="41"/>
        <v>UND</v>
      </c>
      <c r="G547">
        <f t="shared" si="42"/>
        <v>31.95</v>
      </c>
      <c r="H547">
        <f t="shared" si="43"/>
        <v>23.98</v>
      </c>
      <c r="I547">
        <f t="shared" si="44"/>
        <v>23.98</v>
      </c>
    </row>
    <row r="548" spans="1:9">
      <c r="A548" s="500">
        <v>142304</v>
      </c>
      <c r="B548" s="241" t="s">
        <v>1394</v>
      </c>
      <c r="C548" s="221" t="s">
        <v>115</v>
      </c>
      <c r="D548" s="594">
        <v>32.99</v>
      </c>
      <c r="E548" s="56" t="str">
        <f t="shared" si="40"/>
        <v>FORNECIMENTO DE DUREPOX PARA REPAROS (250G)</v>
      </c>
      <c r="F548" s="56" t="str">
        <f t="shared" si="41"/>
        <v>UND</v>
      </c>
      <c r="G548">
        <f t="shared" si="42"/>
        <v>43.96</v>
      </c>
      <c r="H548">
        <f t="shared" si="43"/>
        <v>32.99</v>
      </c>
      <c r="I548">
        <f t="shared" si="44"/>
        <v>32.99</v>
      </c>
    </row>
    <row r="549" spans="1:9">
      <c r="A549" s="372">
        <v>1428</v>
      </c>
      <c r="B549" s="241" t="s">
        <v>27171</v>
      </c>
      <c r="C549" s="221"/>
      <c r="D549" s="594"/>
      <c r="E549" s="56" t="str">
        <f t="shared" si="40"/>
        <v>FURO EM CONCRETO</v>
      </c>
      <c r="F549" s="56" t="str">
        <f t="shared" si="41"/>
        <v/>
      </c>
      <c r="G549">
        <f t="shared" si="42"/>
        <v>0</v>
      </c>
      <c r="H549">
        <f t="shared" si="43"/>
        <v>0</v>
      </c>
      <c r="I549">
        <f t="shared" si="44"/>
        <v>0</v>
      </c>
    </row>
    <row r="550" spans="1:9" ht="57.6">
      <c r="A550" s="372">
        <v>142801</v>
      </c>
      <c r="B550" s="241" t="s">
        <v>30347</v>
      </c>
      <c r="C550" s="221" t="s">
        <v>27172</v>
      </c>
      <c r="D550" s="594">
        <v>4.45</v>
      </c>
      <c r="E550" s="56" t="str">
        <f t="shared" si="40"/>
        <v>FURO MECANIZADO EM CONCRETO, COM MARTELO DEMOLIDOR ELÉTRICO, PARA PASSAGEM DE INSTALAÇÕES HIDRÁULICAS, DIÂMETROS MENORES OU IGUAIS A 1.1/2"</v>
      </c>
      <c r="F550" s="56" t="str">
        <f t="shared" si="41"/>
        <v>CM</v>
      </c>
      <c r="G550">
        <f t="shared" si="42"/>
        <v>5.93</v>
      </c>
      <c r="H550">
        <f t="shared" si="43"/>
        <v>4.45</v>
      </c>
      <c r="I550">
        <f t="shared" si="44"/>
        <v>4.45</v>
      </c>
    </row>
    <row r="551" spans="1:9" ht="57.6">
      <c r="A551" s="371">
        <v>142802</v>
      </c>
      <c r="B551" s="240" t="s">
        <v>30348</v>
      </c>
      <c r="C551" s="221" t="s">
        <v>27172</v>
      </c>
      <c r="D551" s="241">
        <v>7.13</v>
      </c>
      <c r="E551" s="56" t="str">
        <f t="shared" si="40"/>
        <v>FURO MECANIZADO EM CONCRETO, COM MARTELO DEMOLIDOR ELÉTRICO, PARA PASSAGEM DE INSTALAÇÕES HIDRÁULICAS, DIÂMETROS MAIORES 1.1/2" E MENORES OU IGUAIS A 3"</v>
      </c>
      <c r="F551" s="56" t="str">
        <f t="shared" si="41"/>
        <v>CM</v>
      </c>
      <c r="G551">
        <f t="shared" si="42"/>
        <v>9.5</v>
      </c>
      <c r="H551">
        <f t="shared" si="43"/>
        <v>7.13</v>
      </c>
      <c r="I551">
        <f t="shared" si="44"/>
        <v>7.13</v>
      </c>
    </row>
    <row r="552" spans="1:9" ht="57.6">
      <c r="A552" s="372">
        <v>142803</v>
      </c>
      <c r="B552" s="241" t="s">
        <v>30349</v>
      </c>
      <c r="C552" s="221" t="s">
        <v>27172</v>
      </c>
      <c r="D552" s="241">
        <v>9.11</v>
      </c>
      <c r="E552" s="56" t="str">
        <f t="shared" si="40"/>
        <v>FURO MECANIZADO EM CONCRETO, COM MARTELO DEMOLIDOR ELÉTRICO, PARA PASSAGEM DE INSTALAÇÕES HIDRÁULICAS, DIÂMETROS MAIORES 3" E MENORES OU IGUAIS A 4"</v>
      </c>
      <c r="F552" s="56" t="str">
        <f t="shared" si="41"/>
        <v>CM</v>
      </c>
      <c r="G552">
        <f t="shared" si="42"/>
        <v>12.14</v>
      </c>
      <c r="H552">
        <f t="shared" si="43"/>
        <v>9.11</v>
      </c>
      <c r="I552">
        <f t="shared" si="44"/>
        <v>9.11</v>
      </c>
    </row>
    <row r="553" spans="1:9">
      <c r="A553" s="372">
        <v>15</v>
      </c>
      <c r="B553" s="241" t="s">
        <v>1395</v>
      </c>
      <c r="C553" s="221"/>
      <c r="D553" s="241"/>
      <c r="E553" s="56" t="str">
        <f t="shared" si="40"/>
        <v>INSTALAÇÕES ELÉTRICAS</v>
      </c>
      <c r="F553" s="56" t="str">
        <f t="shared" si="41"/>
        <v/>
      </c>
      <c r="G553">
        <f t="shared" si="42"/>
        <v>0</v>
      </c>
      <c r="H553">
        <f t="shared" si="43"/>
        <v>0</v>
      </c>
      <c r="I553">
        <f t="shared" si="44"/>
        <v>0</v>
      </c>
    </row>
    <row r="554" spans="1:9">
      <c r="A554" s="372">
        <v>1501</v>
      </c>
      <c r="B554" s="241" t="s">
        <v>1396</v>
      </c>
      <c r="C554" s="221"/>
      <c r="D554" s="241"/>
      <c r="E554" s="56" t="str">
        <f t="shared" si="40"/>
        <v>PADRÃO DE ENTRADA</v>
      </c>
      <c r="F554" s="56" t="str">
        <f t="shared" si="41"/>
        <v/>
      </c>
      <c r="G554">
        <f t="shared" si="42"/>
        <v>0</v>
      </c>
      <c r="H554">
        <f t="shared" si="43"/>
        <v>0</v>
      </c>
      <c r="I554">
        <f t="shared" si="44"/>
        <v>0</v>
      </c>
    </row>
    <row r="555" spans="1:9" ht="86.4">
      <c r="A555" s="372">
        <v>150122</v>
      </c>
      <c r="B555" s="241" t="s">
        <v>1397</v>
      </c>
      <c r="C555" s="221" t="s">
        <v>115</v>
      </c>
      <c r="D555" s="241">
        <v>1519.17</v>
      </c>
      <c r="E555" s="56" t="str">
        <f t="shared" si="40"/>
        <v>MURETA DE MEDIÇÃO UTILIZANDO ARG. CIMENTO, CAL E AREIA, DIMENSÕES 1100X2000X200MM, COM PILARES E CINTAS, REVESTIDO COM CHAPISCO E REBOCO, INCLUSIVE PINTURA EMASSAMENTO E PINTURA ACRÍLICA A TRÊS DEMÃOS, EXCLUSIVE COBERTURA</v>
      </c>
      <c r="F555" s="56" t="str">
        <f t="shared" si="41"/>
        <v>UND</v>
      </c>
      <c r="G555">
        <f t="shared" si="42"/>
        <v>2024.29</v>
      </c>
      <c r="H555">
        <f t="shared" si="43"/>
        <v>1519.17</v>
      </c>
      <c r="I555">
        <f t="shared" si="44"/>
        <v>1519.17</v>
      </c>
    </row>
    <row r="556" spans="1:9" ht="72">
      <c r="A556" s="372">
        <v>150123</v>
      </c>
      <c r="B556" s="241" t="s">
        <v>1398</v>
      </c>
      <c r="C556" s="221" t="s">
        <v>115</v>
      </c>
      <c r="D556" s="241">
        <v>2777.28</v>
      </c>
      <c r="E556" s="56" t="str">
        <f t="shared" si="40"/>
        <v>MURETA DE MEDIÇÃO UTILIZANDO ARG. CIMENTO, CAL E AREIA, DIMENSÕES 1500X2200X400MM, REVESTIDO COM CHAPISCO E REBOCO, INCLUSIVE PINTURA EMASSAMENTO, PINTURA ACRÍLICA A TRÊS DEMÃOS E COBERTURA EM TELHA CERÂMICA</v>
      </c>
      <c r="F556" s="56" t="str">
        <f t="shared" si="41"/>
        <v>UND</v>
      </c>
      <c r="G556">
        <f t="shared" si="42"/>
        <v>3700.73</v>
      </c>
      <c r="H556">
        <f t="shared" si="43"/>
        <v>2777.28</v>
      </c>
      <c r="I556">
        <f t="shared" si="44"/>
        <v>2777.28</v>
      </c>
    </row>
    <row r="557" spans="1:9">
      <c r="A557" s="372">
        <v>1503</v>
      </c>
      <c r="B557" s="241" t="s">
        <v>1399</v>
      </c>
      <c r="C557" s="221"/>
      <c r="D557" s="241"/>
      <c r="E557" s="56" t="str">
        <f t="shared" si="40"/>
        <v>QUADRO DE DISTRIBUIÇÃO</v>
      </c>
      <c r="F557" s="56" t="str">
        <f t="shared" si="41"/>
        <v/>
      </c>
      <c r="G557">
        <f t="shared" si="42"/>
        <v>0</v>
      </c>
      <c r="H557">
        <f t="shared" si="43"/>
        <v>0</v>
      </c>
      <c r="I557">
        <f t="shared" si="44"/>
        <v>0</v>
      </c>
    </row>
    <row r="558" spans="1:9" ht="43.2">
      <c r="A558" s="372">
        <v>150306</v>
      </c>
      <c r="B558" s="241" t="s">
        <v>14905</v>
      </c>
      <c r="C558" s="221" t="s">
        <v>115</v>
      </c>
      <c r="D558" s="241">
        <v>278.67</v>
      </c>
      <c r="E558" s="56" t="str">
        <f t="shared" si="40"/>
        <v>QUADRO DE DISTRIBUIÇÃO DE ENERGIA EM PVC, DE EMBUTIR, COM 12 DIVISÕES MODULARES COM BARRAMENTO</v>
      </c>
      <c r="F558" s="56" t="str">
        <f t="shared" si="41"/>
        <v>UND</v>
      </c>
      <c r="G558">
        <f t="shared" si="42"/>
        <v>371.33</v>
      </c>
      <c r="H558">
        <f t="shared" si="43"/>
        <v>278.67</v>
      </c>
      <c r="I558">
        <f t="shared" si="44"/>
        <v>278.67</v>
      </c>
    </row>
    <row r="559" spans="1:9" ht="43.2">
      <c r="A559" s="372">
        <v>150307</v>
      </c>
      <c r="B559" s="241" t="s">
        <v>1400</v>
      </c>
      <c r="C559" s="221" t="s">
        <v>115</v>
      </c>
      <c r="D559" s="241">
        <v>521.85</v>
      </c>
      <c r="E559" s="56" t="str">
        <f t="shared" si="40"/>
        <v>QUADRO DE DISTRIBUIÇÃO DE ENERGIA, DE EMBUTIR, COM 18 DIVISÕES MODULARES, COM BARRAMENTO</v>
      </c>
      <c r="F559" s="56" t="str">
        <f t="shared" si="41"/>
        <v>UND</v>
      </c>
      <c r="G559">
        <f t="shared" si="42"/>
        <v>695.37</v>
      </c>
      <c r="H559">
        <f t="shared" si="43"/>
        <v>521.85</v>
      </c>
      <c r="I559">
        <f t="shared" si="44"/>
        <v>521.85</v>
      </c>
    </row>
    <row r="560" spans="1:9" ht="43.2">
      <c r="A560" s="500">
        <v>150308</v>
      </c>
      <c r="B560" s="241" t="s">
        <v>1401</v>
      </c>
      <c r="C560" s="221" t="s">
        <v>115</v>
      </c>
      <c r="D560" s="241">
        <v>613.95000000000005</v>
      </c>
      <c r="E560" s="56" t="str">
        <f t="shared" si="40"/>
        <v>QUADRO DE DISTRIBUIÇÃO DE ENERGIA, DE EMBUTIR, COM 24 DIVISÕES MODULARES, COM BARRAMENTO</v>
      </c>
      <c r="F560" s="56" t="str">
        <f t="shared" si="41"/>
        <v>UND</v>
      </c>
      <c r="G560">
        <f t="shared" si="42"/>
        <v>818.09</v>
      </c>
      <c r="H560">
        <f t="shared" si="43"/>
        <v>613.95000000000005</v>
      </c>
      <c r="I560">
        <f t="shared" si="44"/>
        <v>613.95000000000005</v>
      </c>
    </row>
    <row r="561" spans="1:9" ht="43.2">
      <c r="A561" s="372">
        <v>150309</v>
      </c>
      <c r="B561" s="241" t="s">
        <v>1402</v>
      </c>
      <c r="C561" s="221" t="s">
        <v>115</v>
      </c>
      <c r="D561" s="241">
        <v>730.05</v>
      </c>
      <c r="E561" s="56" t="str">
        <f t="shared" si="40"/>
        <v>QUADRO DE DISTRIBUIÇÃO DE ENERGIA, DE EMBUTIR, COM 32 DIVISÕES MODULARES, COM BARRAMENTO</v>
      </c>
      <c r="F561" s="56" t="str">
        <f t="shared" si="41"/>
        <v>UND</v>
      </c>
      <c r="G561">
        <f t="shared" si="42"/>
        <v>972.79</v>
      </c>
      <c r="H561">
        <f t="shared" si="43"/>
        <v>730.05</v>
      </c>
      <c r="I561">
        <f t="shared" si="44"/>
        <v>730.05</v>
      </c>
    </row>
    <row r="562" spans="1:9">
      <c r="A562" s="372">
        <v>150310</v>
      </c>
      <c r="B562" s="241" t="s">
        <v>1403</v>
      </c>
      <c r="C562" s="221" t="s">
        <v>115</v>
      </c>
      <c r="D562" s="241">
        <v>113.66</v>
      </c>
      <c r="E562" s="56" t="str">
        <f t="shared" si="40"/>
        <v>CAIXA DE DISTRIBUIÇÃO 20X20X15 CM</v>
      </c>
      <c r="F562" s="56" t="str">
        <f t="shared" si="41"/>
        <v>UND</v>
      </c>
      <c r="G562">
        <f t="shared" si="42"/>
        <v>151.44999999999999</v>
      </c>
      <c r="H562">
        <f t="shared" si="43"/>
        <v>113.66</v>
      </c>
      <c r="I562">
        <f t="shared" si="44"/>
        <v>113.66</v>
      </c>
    </row>
    <row r="563" spans="1:9" ht="43.2">
      <c r="A563" s="372">
        <v>150311</v>
      </c>
      <c r="B563" s="241" t="s">
        <v>1404</v>
      </c>
      <c r="C563" s="221" t="s">
        <v>115</v>
      </c>
      <c r="D563" s="241">
        <v>150.29</v>
      </c>
      <c r="E563" s="56" t="str">
        <f t="shared" si="40"/>
        <v>QUADRO DE DISTRIBUIÇÃO DE ENERGIA, DE EMBUTIR, COM 12 DIVISÕES MODULARES, SEM BARRAMENTO</v>
      </c>
      <c r="F563" s="56" t="str">
        <f t="shared" si="41"/>
        <v>UND</v>
      </c>
      <c r="G563">
        <f t="shared" si="42"/>
        <v>200.26</v>
      </c>
      <c r="H563">
        <f t="shared" si="43"/>
        <v>150.29</v>
      </c>
      <c r="I563">
        <f t="shared" si="44"/>
        <v>150.29</v>
      </c>
    </row>
    <row r="564" spans="1:9" ht="86.4">
      <c r="A564" s="372">
        <v>150315</v>
      </c>
      <c r="B564" s="241" t="s">
        <v>1405</v>
      </c>
      <c r="C564" s="221" t="s">
        <v>115</v>
      </c>
      <c r="D564" s="241">
        <v>1080.97</v>
      </c>
      <c r="E564" s="56" t="str">
        <f t="shared" si="40"/>
        <v>QUADRO DISTRIB. ENERGIA, EMBUTIDO OU SEMI EMBUTIDO, CAPAC. P/ 34 DISJ. DIN, C/BARRAM TRIF. 150A BARRA. NEUTRO E TERRA, FAB. EM CHAPA DE AÇO 12 USG COM PORTA, ESPELHO, TRINCO COM FECHAD CH YALE, REF. QDETG II-34DIN-CEMAR OU EQUIV.</v>
      </c>
      <c r="F564" s="56" t="str">
        <f t="shared" si="41"/>
        <v>UND</v>
      </c>
      <c r="G564">
        <f t="shared" si="42"/>
        <v>1440.39</v>
      </c>
      <c r="H564">
        <f t="shared" si="43"/>
        <v>1080.97</v>
      </c>
      <c r="I564">
        <f t="shared" si="44"/>
        <v>1080.97</v>
      </c>
    </row>
    <row r="565" spans="1:9" ht="86.4">
      <c r="A565" s="372">
        <v>150316</v>
      </c>
      <c r="B565" s="241" t="s">
        <v>1406</v>
      </c>
      <c r="C565" s="221" t="s">
        <v>115</v>
      </c>
      <c r="D565" s="241">
        <v>1341.28</v>
      </c>
      <c r="E565" s="56" t="str">
        <f t="shared" si="40"/>
        <v>QUADRO DISTRIB. ENERGIA, EMBUTIDO OU SEMI EMBUTIDO, CAPAC. P/ 44 DISJ. DIN, C/BARRAM TRIF. 150A BARRA. NEUTRO E TERRA, FAB. EM CHAPA DE AÇO 12 USG COM PORTA, ESPELHO, TRINCO COM FECHAD CH YALE, REF. QDETG II-44DIN-CEMAR OU EQUIV.</v>
      </c>
      <c r="F565" s="56" t="str">
        <f t="shared" si="41"/>
        <v>UND</v>
      </c>
      <c r="G565">
        <f t="shared" si="42"/>
        <v>1787.26</v>
      </c>
      <c r="H565">
        <f t="shared" si="43"/>
        <v>1341.28</v>
      </c>
      <c r="I565">
        <f t="shared" si="44"/>
        <v>1341.28</v>
      </c>
    </row>
    <row r="566" spans="1:9" ht="72">
      <c r="A566" s="371">
        <v>150317</v>
      </c>
      <c r="B566" s="240" t="s">
        <v>1407</v>
      </c>
      <c r="C566" s="221" t="s">
        <v>115</v>
      </c>
      <c r="D566" s="241">
        <v>1743.37</v>
      </c>
      <c r="E566" s="56" t="str">
        <f t="shared" si="40"/>
        <v>QUADRO DISTRIB. ENERGIA, EMBUTIDO OU SEMI EMBUTIDO, CAPAC. P/ 56 DISJ. DIN, C/BARRAM TRIF. 225A BARRA. NEUTRO E TERRA, FAB. EM CHAPA DE AÇO 12 USG COM PORTA, ESPELHO, TRINCO COM FECHAD CH</v>
      </c>
      <c r="F566" s="56" t="str">
        <f t="shared" si="41"/>
        <v>UND</v>
      </c>
      <c r="G566">
        <f t="shared" si="42"/>
        <v>2323.04</v>
      </c>
      <c r="H566">
        <f t="shared" si="43"/>
        <v>1743.37</v>
      </c>
      <c r="I566">
        <f t="shared" si="44"/>
        <v>1743.37</v>
      </c>
    </row>
    <row r="567" spans="1:9" ht="43.2">
      <c r="A567" s="372">
        <v>150320</v>
      </c>
      <c r="B567" s="241" t="s">
        <v>30350</v>
      </c>
      <c r="C567" s="221" t="s">
        <v>115</v>
      </c>
      <c r="D567" s="241">
        <v>105.86</v>
      </c>
      <c r="E567" s="56" t="str">
        <f t="shared" si="40"/>
        <v>QUADRO DE DISTRIBUIÇÃO EM PVC PARA 08 CIRCUITOS, INCLUSIVE 6 DISJUNTORES MONOPOLARES 15 A, SEM BARRAMENTO</v>
      </c>
      <c r="F567" s="56" t="str">
        <f t="shared" si="41"/>
        <v>UND</v>
      </c>
      <c r="G567">
        <f t="shared" si="42"/>
        <v>141.06</v>
      </c>
      <c r="H567">
        <f t="shared" si="43"/>
        <v>105.86</v>
      </c>
      <c r="I567">
        <f t="shared" si="44"/>
        <v>105.86</v>
      </c>
    </row>
    <row r="568" spans="1:9">
      <c r="A568" s="372">
        <v>1506</v>
      </c>
      <c r="B568" s="241" t="s">
        <v>1408</v>
      </c>
      <c r="C568" s="221"/>
      <c r="D568" s="241"/>
      <c r="E568" s="56" t="str">
        <f t="shared" si="40"/>
        <v>CAIXAS DE PASSAGEM</v>
      </c>
      <c r="F568" s="56" t="str">
        <f t="shared" si="41"/>
        <v/>
      </c>
      <c r="G568">
        <f t="shared" si="42"/>
        <v>0</v>
      </c>
      <c r="H568">
        <f t="shared" si="43"/>
        <v>0</v>
      </c>
      <c r="I568">
        <f t="shared" si="44"/>
        <v>0</v>
      </c>
    </row>
    <row r="569" spans="1:9" ht="43.2">
      <c r="A569" s="372">
        <v>150609</v>
      </c>
      <c r="B569" s="241" t="s">
        <v>1409</v>
      </c>
      <c r="C569" s="221" t="s">
        <v>115</v>
      </c>
      <c r="D569" s="241">
        <v>441.62</v>
      </c>
      <c r="E569" s="56" t="str">
        <f t="shared" si="40"/>
        <v>CAIXA PARA MEDIDOR POLIFÁSICO CARGA ATÉ 41000W INCLUSIVE CAIXA PARA DISJUNTOR POLIFÁSICO ATÉ 100A</v>
      </c>
      <c r="F569" s="56" t="str">
        <f t="shared" si="41"/>
        <v>UND</v>
      </c>
      <c r="G569">
        <f t="shared" si="42"/>
        <v>588.46</v>
      </c>
      <c r="H569">
        <f t="shared" si="43"/>
        <v>441.62</v>
      </c>
      <c r="I569">
        <f t="shared" si="44"/>
        <v>441.62</v>
      </c>
    </row>
    <row r="570" spans="1:9" ht="72">
      <c r="A570" s="372">
        <v>150610</v>
      </c>
      <c r="B570" s="241" t="s">
        <v>1410</v>
      </c>
      <c r="C570" s="221" t="s">
        <v>115</v>
      </c>
      <c r="D570" s="241">
        <v>326</v>
      </c>
      <c r="E570" s="56" t="str">
        <f t="shared" si="40"/>
        <v>CAIXA DE ATERRAMENTO DE CONCRETO SIMPLES, NAS DIMENSÕES DE 30X30X25CM, COM REVEST. INT. EM CHAPISCO E REBOCO, TAMPA DE CONCRETO ESP.5CM E LASTRO DE BRITA ESP. 5 CM, INCL. HASTE 5/8"X2400MM</v>
      </c>
      <c r="F570" s="56" t="str">
        <f t="shared" si="41"/>
        <v>UND</v>
      </c>
      <c r="G570">
        <f t="shared" si="42"/>
        <v>434.4</v>
      </c>
      <c r="H570">
        <f t="shared" si="43"/>
        <v>326</v>
      </c>
      <c r="I570">
        <f t="shared" si="44"/>
        <v>326</v>
      </c>
    </row>
    <row r="571" spans="1:9" ht="28.8">
      <c r="A571" s="371">
        <v>150612</v>
      </c>
      <c r="B571" s="240" t="s">
        <v>15728</v>
      </c>
      <c r="C571" s="221" t="s">
        <v>115</v>
      </c>
      <c r="D571" s="241">
        <v>43.6</v>
      </c>
      <c r="E571" s="56" t="str">
        <f t="shared" si="40"/>
        <v>CAIXA DE PASSAGEM 100X100X80MM, CHAPA 18, COM TAMPA PARAFUSADA</v>
      </c>
      <c r="F571" s="56" t="str">
        <f t="shared" si="41"/>
        <v>UND</v>
      </c>
      <c r="G571">
        <f t="shared" si="42"/>
        <v>58.1</v>
      </c>
      <c r="H571">
        <f t="shared" si="43"/>
        <v>43.6</v>
      </c>
      <c r="I571">
        <f t="shared" si="44"/>
        <v>43.6</v>
      </c>
    </row>
    <row r="572" spans="1:9" ht="72">
      <c r="A572" s="372">
        <v>150614</v>
      </c>
      <c r="B572" s="241" t="s">
        <v>1411</v>
      </c>
      <c r="C572" s="221" t="s">
        <v>115</v>
      </c>
      <c r="D572" s="241">
        <v>165.1</v>
      </c>
      <c r="E572" s="56" t="str">
        <f t="shared" si="40"/>
        <v>CAIXA DE PASSAGEM DE ALVENARIA DE BLOCOS DE CONCRETO 9X19X39CM, DIMENSÕES DE 30X30X50CM, COM REVESTIMENTO INTERNO EM CHAPISCO E REBOCO, TAMPA DE CONCRETO ESP.5CM E LASTRO DE BRITA 5 CM</v>
      </c>
      <c r="F572" s="56" t="str">
        <f t="shared" si="41"/>
        <v>UND</v>
      </c>
      <c r="G572">
        <f t="shared" si="42"/>
        <v>220</v>
      </c>
      <c r="H572">
        <f t="shared" si="43"/>
        <v>165.1</v>
      </c>
      <c r="I572">
        <f t="shared" si="44"/>
        <v>165.1</v>
      </c>
    </row>
    <row r="573" spans="1:9" ht="72">
      <c r="A573" s="372">
        <v>150615</v>
      </c>
      <c r="B573" s="241" t="s">
        <v>1412</v>
      </c>
      <c r="C573" s="221" t="s">
        <v>115</v>
      </c>
      <c r="D573" s="241">
        <v>211.74</v>
      </c>
      <c r="E573" s="56" t="str">
        <f t="shared" si="40"/>
        <v>CAIXA DE PASSAGEM DE ALVENARIA DE BLOCOS DE CONCRETO 9X19X39CM, DIMENSÕES DE 40X40X50CM, COM REVESTIMENTO INTERNO EM CHAPISCO E REBOCO, TAMPA DE CONCRETO ESP.5CM E LASTRO DE BRITA 5 CM</v>
      </c>
      <c r="F573" s="56" t="str">
        <f t="shared" si="41"/>
        <v>UND</v>
      </c>
      <c r="G573">
        <f t="shared" si="42"/>
        <v>282.14</v>
      </c>
      <c r="H573">
        <f t="shared" si="43"/>
        <v>211.74</v>
      </c>
      <c r="I573">
        <f t="shared" si="44"/>
        <v>211.74</v>
      </c>
    </row>
    <row r="574" spans="1:9" ht="72">
      <c r="A574" s="372">
        <v>150616</v>
      </c>
      <c r="B574" s="241" t="s">
        <v>1413</v>
      </c>
      <c r="C574" s="221" t="s">
        <v>115</v>
      </c>
      <c r="D574" s="241">
        <v>294.58999999999997</v>
      </c>
      <c r="E574" s="56" t="str">
        <f t="shared" si="40"/>
        <v>CAIXA DE PASSAGEM DE ALVENARIA DE BLOCOS DE CONCRETO 9X19X39CM, DIMENSÕES DE 50X50X50CM, COM REVESTIMENTO INTERNO EM CHAPISCO E REBOCO, TAMPA DE CONCRETO ESP.5CM E LASTRO DE BRITA 5 CM</v>
      </c>
      <c r="F574" s="56" t="str">
        <f t="shared" si="41"/>
        <v>UND</v>
      </c>
      <c r="G574">
        <f t="shared" si="42"/>
        <v>392.54</v>
      </c>
      <c r="H574">
        <f t="shared" si="43"/>
        <v>294.58999999999997</v>
      </c>
      <c r="I574">
        <f t="shared" si="44"/>
        <v>294.58999999999997</v>
      </c>
    </row>
    <row r="575" spans="1:9" ht="72">
      <c r="A575" s="372">
        <v>150626</v>
      </c>
      <c r="B575" s="241" t="s">
        <v>1414</v>
      </c>
      <c r="C575" s="221" t="s">
        <v>115</v>
      </c>
      <c r="D575" s="241">
        <v>184.6</v>
      </c>
      <c r="E575" s="56" t="str">
        <f t="shared" si="40"/>
        <v>CONJUNTO CAIXA TERMOPLÁSTICA PARA MEDIDOR PADRÃO ESCELSA MONOFÁFICO COM TAMPA TRANSPARENTE EM POLICARBONATO P-980-009 INCLUSIVE CAIXA PARA DISJUNTOR MONOF P-940-003 PADRÃO ESCELSA</v>
      </c>
      <c r="F575" s="56" t="str">
        <f t="shared" si="41"/>
        <v>UND</v>
      </c>
      <c r="G575">
        <f t="shared" si="42"/>
        <v>245.98</v>
      </c>
      <c r="H575">
        <f t="shared" si="43"/>
        <v>184.6</v>
      </c>
      <c r="I575">
        <f t="shared" si="44"/>
        <v>184.6</v>
      </c>
    </row>
    <row r="576" spans="1:9" ht="28.8">
      <c r="A576" s="372">
        <v>150628</v>
      </c>
      <c r="B576" s="241" t="s">
        <v>1415</v>
      </c>
      <c r="C576" s="221" t="s">
        <v>115</v>
      </c>
      <c r="D576" s="241">
        <v>9.7899999999999991</v>
      </c>
      <c r="E576" s="56" t="str">
        <f t="shared" si="40"/>
        <v>CAIXA DE EMBUTIR MARCA DE REFERÊNCIA TIGREFLEX, 4X2"</v>
      </c>
      <c r="F576" s="56" t="str">
        <f t="shared" si="41"/>
        <v>UND</v>
      </c>
      <c r="G576">
        <f t="shared" si="42"/>
        <v>13.05</v>
      </c>
      <c r="H576">
        <f t="shared" si="43"/>
        <v>9.7899999999999991</v>
      </c>
      <c r="I576">
        <f t="shared" si="44"/>
        <v>9.7899999999999991</v>
      </c>
    </row>
    <row r="577" spans="1:9" ht="28.8">
      <c r="A577" s="372">
        <v>150629</v>
      </c>
      <c r="B577" s="241" t="s">
        <v>1416</v>
      </c>
      <c r="C577" s="221" t="s">
        <v>115</v>
      </c>
      <c r="D577" s="241">
        <v>16.8</v>
      </c>
      <c r="E577" s="56" t="str">
        <f t="shared" ref="E577:E640" si="45">UPPER(B577)</f>
        <v>CAIXA DE EMBUTIR MARCA DE REFERÊNCIA TIGREFLEX, 4X4"</v>
      </c>
      <c r="F577" s="56" t="str">
        <f t="shared" ref="F577:F640" si="46">UPPER(C577)</f>
        <v>UND</v>
      </c>
      <c r="G577">
        <f t="shared" si="42"/>
        <v>22.39</v>
      </c>
      <c r="H577">
        <f t="shared" si="43"/>
        <v>16.8</v>
      </c>
      <c r="I577">
        <f t="shared" si="44"/>
        <v>16.8</v>
      </c>
    </row>
    <row r="578" spans="1:9" ht="28.8">
      <c r="A578" s="500">
        <v>150632</v>
      </c>
      <c r="B578" s="241" t="s">
        <v>1417</v>
      </c>
      <c r="C578" s="221" t="s">
        <v>115</v>
      </c>
      <c r="D578" s="241">
        <v>77.95</v>
      </c>
      <c r="E578" s="56" t="str">
        <f t="shared" si="45"/>
        <v>CAIXA DE PASSAGEM 150X150X80MM, CHAPA 18, COM TAMPA PARAFUSADA</v>
      </c>
      <c r="F578" s="56" t="str">
        <f t="shared" si="46"/>
        <v>UND</v>
      </c>
      <c r="G578">
        <f t="shared" si="42"/>
        <v>103.87</v>
      </c>
      <c r="H578">
        <f t="shared" si="43"/>
        <v>77.95</v>
      </c>
      <c r="I578">
        <f t="shared" si="44"/>
        <v>77.95</v>
      </c>
    </row>
    <row r="579" spans="1:9" ht="28.8">
      <c r="A579" s="372">
        <v>150633</v>
      </c>
      <c r="B579" s="241" t="s">
        <v>1418</v>
      </c>
      <c r="C579" s="221" t="s">
        <v>115</v>
      </c>
      <c r="D579" s="241">
        <v>149.36000000000001</v>
      </c>
      <c r="E579" s="56" t="str">
        <f t="shared" si="45"/>
        <v>CAIXA DE PASSAGEM 200X200X100MM, CHAPA 18, COM TAMPA PARAFUSADA</v>
      </c>
      <c r="F579" s="56" t="str">
        <f t="shared" si="46"/>
        <v>UND</v>
      </c>
      <c r="G579">
        <f t="shared" si="42"/>
        <v>199.02</v>
      </c>
      <c r="H579">
        <f t="shared" si="43"/>
        <v>149.36000000000001</v>
      </c>
      <c r="I579">
        <f t="shared" si="44"/>
        <v>149.36000000000001</v>
      </c>
    </row>
    <row r="580" spans="1:9" ht="28.8">
      <c r="A580" s="372">
        <v>150634</v>
      </c>
      <c r="B580" s="241" t="s">
        <v>1419</v>
      </c>
      <c r="C580" s="221" t="s">
        <v>115</v>
      </c>
      <c r="D580" s="241">
        <v>210.9</v>
      </c>
      <c r="E580" s="56" t="str">
        <f t="shared" si="45"/>
        <v>CAIXA DE PASSAGEM 300X300X120MM, CHAPA 18, COM TAMPA PARAFUSADA</v>
      </c>
      <c r="F580" s="56" t="str">
        <f t="shared" si="46"/>
        <v>UND</v>
      </c>
      <c r="G580">
        <f t="shared" si="42"/>
        <v>281.02</v>
      </c>
      <c r="H580">
        <f t="shared" si="43"/>
        <v>210.9</v>
      </c>
      <c r="I580">
        <f t="shared" si="44"/>
        <v>210.9</v>
      </c>
    </row>
    <row r="581" spans="1:9" ht="28.8">
      <c r="A581" s="372">
        <v>150635</v>
      </c>
      <c r="B581" s="241" t="s">
        <v>1420</v>
      </c>
      <c r="C581" s="221" t="s">
        <v>115</v>
      </c>
      <c r="D581" s="241">
        <v>341.02</v>
      </c>
      <c r="E581" s="56" t="str">
        <f t="shared" si="45"/>
        <v>CAIXA DE PASSAGEM 400X400X120MM, CHAPA 18, COM TAMPA PARAFUSADA</v>
      </c>
      <c r="F581" s="56" t="str">
        <f t="shared" si="46"/>
        <v>UND</v>
      </c>
      <c r="G581">
        <f t="shared" si="42"/>
        <v>454.41</v>
      </c>
      <c r="H581">
        <f t="shared" si="43"/>
        <v>341.02</v>
      </c>
      <c r="I581">
        <f t="shared" si="44"/>
        <v>341.02</v>
      </c>
    </row>
    <row r="582" spans="1:9" ht="28.8">
      <c r="A582" s="372">
        <v>150636</v>
      </c>
      <c r="B582" s="241" t="s">
        <v>1421</v>
      </c>
      <c r="C582" s="221" t="s">
        <v>115</v>
      </c>
      <c r="D582" s="241">
        <v>12.33</v>
      </c>
      <c r="E582" s="56" t="str">
        <f t="shared" si="45"/>
        <v>CAIXA SEXTAVADA EM PVC DE 3X3X1 1/2", MARCA DE REFERÊNCIA TIGREFLEX</v>
      </c>
      <c r="F582" s="56" t="str">
        <f t="shared" si="46"/>
        <v>UND</v>
      </c>
      <c r="G582">
        <f t="shared" si="42"/>
        <v>16.43</v>
      </c>
      <c r="H582">
        <f t="shared" si="43"/>
        <v>12.33</v>
      </c>
      <c r="I582">
        <f t="shared" si="44"/>
        <v>12.33</v>
      </c>
    </row>
    <row r="583" spans="1:9">
      <c r="A583" s="372">
        <v>1507</v>
      </c>
      <c r="B583" s="241" t="s">
        <v>1422</v>
      </c>
      <c r="C583" s="221"/>
      <c r="D583" s="241"/>
      <c r="E583" s="56" t="str">
        <f t="shared" si="45"/>
        <v>ENVELOPAMENTO DE ELETRODUTOS</v>
      </c>
      <c r="F583" s="56" t="str">
        <f t="shared" si="46"/>
        <v/>
      </c>
      <c r="G583">
        <f t="shared" si="42"/>
        <v>0</v>
      </c>
      <c r="H583">
        <f t="shared" si="43"/>
        <v>0</v>
      </c>
      <c r="I583">
        <f t="shared" si="44"/>
        <v>0</v>
      </c>
    </row>
    <row r="584" spans="1:9" ht="72">
      <c r="A584" s="372">
        <v>150701</v>
      </c>
      <c r="B584" s="241" t="s">
        <v>1423</v>
      </c>
      <c r="C584" s="221" t="s">
        <v>112</v>
      </c>
      <c r="D584" s="241">
        <v>62.76</v>
      </c>
      <c r="E584" s="56" t="str">
        <f t="shared" si="45"/>
        <v>ENVELOPAMENTO DE CONCRETO SIMPLES COM CONSUMO MÍNIMO DE CIMENTO DE 250KG/M3, INCLUSIVE ESCAVAÇÃO PARA PROFUNDIDADE MÍNIMA DO ELETRODUTO DE 50 CM, DE 25 X 25 CM, PARA 1 ELETRODUTO</v>
      </c>
      <c r="F584" s="56" t="str">
        <f t="shared" si="46"/>
        <v>M</v>
      </c>
      <c r="G584">
        <f t="shared" ref="G584:G647" si="47">ROUND(H584*(1+$G$1),2)</f>
        <v>83.63</v>
      </c>
      <c r="H584">
        <f t="shared" ref="H584:H647" si="48">I584</f>
        <v>62.76</v>
      </c>
      <c r="I584">
        <f t="shared" ref="I584:I647" si="49">ROUND(D584/(1+$E$1),2)</f>
        <v>62.76</v>
      </c>
    </row>
    <row r="585" spans="1:9" ht="72">
      <c r="A585" s="372">
        <v>150702</v>
      </c>
      <c r="B585" s="241" t="s">
        <v>1424</v>
      </c>
      <c r="C585" s="221" t="s">
        <v>112</v>
      </c>
      <c r="D585" s="241">
        <v>75.319999999999993</v>
      </c>
      <c r="E585" s="56" t="str">
        <f t="shared" si="45"/>
        <v>ENVELOPAMENTO DE CONCRETO SIMPLES COM CONSUMO MÍNIMO DE CIMENTO DE 250KG/M3, INCLUSIVE ESCAVAÇÃO PARA PROFUNDIDADE MÍNIMA DO ELETRODUTO DE 50 CM, DE 25 X 30 CM, PARA 2 ELETRODUTOS</v>
      </c>
      <c r="F585" s="56" t="str">
        <f t="shared" si="46"/>
        <v>M</v>
      </c>
      <c r="G585">
        <f t="shared" si="47"/>
        <v>100.36</v>
      </c>
      <c r="H585">
        <f t="shared" si="48"/>
        <v>75.319999999999993</v>
      </c>
      <c r="I585">
        <f t="shared" si="49"/>
        <v>75.319999999999993</v>
      </c>
    </row>
    <row r="586" spans="1:9" ht="72">
      <c r="A586" s="372">
        <v>150703</v>
      </c>
      <c r="B586" s="241" t="s">
        <v>1425</v>
      </c>
      <c r="C586" s="221" t="s">
        <v>112</v>
      </c>
      <c r="D586" s="241">
        <v>195.19</v>
      </c>
      <c r="E586" s="56" t="str">
        <f t="shared" si="45"/>
        <v>ENVELOPAMENTO DE CONCRETO SIMPLES COM CONSUMO MÍNIMO DE CIMENTO DE 250KG/M3, INCLUSIVE ESCAVAÇÃO PARA PROFUNDIDADE MÍNIMA DO ELETRODUTO DE 50CM, DE 60 X 30 CM, PARA 3 ELETRODUTOS</v>
      </c>
      <c r="F586" s="56" t="str">
        <f t="shared" si="46"/>
        <v>M</v>
      </c>
      <c r="G586">
        <f t="shared" si="47"/>
        <v>260.08999999999997</v>
      </c>
      <c r="H586">
        <f t="shared" si="48"/>
        <v>195.19</v>
      </c>
      <c r="I586">
        <f t="shared" si="49"/>
        <v>195.19</v>
      </c>
    </row>
    <row r="587" spans="1:9" ht="72">
      <c r="A587" s="372">
        <v>150704</v>
      </c>
      <c r="B587" s="241" t="s">
        <v>1426</v>
      </c>
      <c r="C587" s="221" t="s">
        <v>112</v>
      </c>
      <c r="D587" s="241">
        <v>209.03</v>
      </c>
      <c r="E587" s="56" t="str">
        <f t="shared" si="45"/>
        <v>ENVELOPAMENTO DE CONCRETO SIMPLES COM CONSUMO MÍNIMO DE CIMENTO DE 250KG/M3, INCLUSIVE ESCAVAÇÃO PARA PROFUNDIDADE MÍNIMA DO ELETRODUTO DE 50CM, DE 45 X 45 CM, PARA 3 ELETRODUTOS</v>
      </c>
      <c r="F587" s="56" t="str">
        <f t="shared" si="46"/>
        <v>M</v>
      </c>
      <c r="G587">
        <f t="shared" si="47"/>
        <v>278.52999999999997</v>
      </c>
      <c r="H587">
        <f t="shared" si="48"/>
        <v>209.03</v>
      </c>
      <c r="I587">
        <f t="shared" si="49"/>
        <v>209.03</v>
      </c>
    </row>
    <row r="588" spans="1:9">
      <c r="A588" s="372">
        <v>1508</v>
      </c>
      <c r="B588" s="241" t="s">
        <v>1427</v>
      </c>
      <c r="C588" s="221"/>
      <c r="D588" s="241"/>
      <c r="E588" s="56" t="str">
        <f t="shared" si="45"/>
        <v>INSTALAÇÕES APARENTES</v>
      </c>
      <c r="F588" s="56" t="str">
        <f t="shared" si="46"/>
        <v/>
      </c>
      <c r="G588">
        <f t="shared" si="47"/>
        <v>0</v>
      </c>
      <c r="H588">
        <f t="shared" si="48"/>
        <v>0</v>
      </c>
      <c r="I588">
        <f t="shared" si="49"/>
        <v>0</v>
      </c>
    </row>
    <row r="589" spans="1:9" ht="43.2">
      <c r="A589" s="372">
        <v>150801</v>
      </c>
      <c r="B589" s="241" t="s">
        <v>7486</v>
      </c>
      <c r="C589" s="221" t="s">
        <v>112</v>
      </c>
      <c r="D589" s="241">
        <v>15.92</v>
      </c>
      <c r="E589" s="56" t="str">
        <f t="shared" si="45"/>
        <v>ELETRODUTO APARENTE DE PVC RÍGIDO ROSCÁVEL DIÂMETRO 3/4", INCLUSIVE ABRAÇADEIRA DE FIXAÇÃO</v>
      </c>
      <c r="F589" s="56" t="str">
        <f t="shared" si="46"/>
        <v>M</v>
      </c>
      <c r="G589">
        <f t="shared" si="47"/>
        <v>21.21</v>
      </c>
      <c r="H589">
        <f t="shared" si="48"/>
        <v>15.92</v>
      </c>
      <c r="I589">
        <f t="shared" si="49"/>
        <v>15.92</v>
      </c>
    </row>
    <row r="590" spans="1:9" ht="43.2">
      <c r="A590" s="372">
        <v>150802</v>
      </c>
      <c r="B590" s="241" t="s">
        <v>7374</v>
      </c>
      <c r="C590" s="221" t="s">
        <v>115</v>
      </c>
      <c r="D590" s="241">
        <v>25.54</v>
      </c>
      <c r="E590" s="56" t="str">
        <f t="shared" si="45"/>
        <v>CAIXA DE LIGAÇÃO DE ALUMÍNIO SILÍCIO, TIPO CONDULETES,SEM ROSCA, NO FORMATO B, INCLUSIVE TAMPA COM VEDAÇÃO, DIÂMETRO 3/4"</v>
      </c>
      <c r="F590" s="56" t="str">
        <f t="shared" si="46"/>
        <v>UND</v>
      </c>
      <c r="G590">
        <f t="shared" si="47"/>
        <v>34.03</v>
      </c>
      <c r="H590">
        <f t="shared" si="48"/>
        <v>25.54</v>
      </c>
      <c r="I590">
        <f t="shared" si="49"/>
        <v>25.54</v>
      </c>
    </row>
    <row r="591" spans="1:9" ht="43.2">
      <c r="A591" s="372">
        <v>150803</v>
      </c>
      <c r="B591" s="241" t="s">
        <v>7375</v>
      </c>
      <c r="C591" s="221" t="s">
        <v>115</v>
      </c>
      <c r="D591" s="241">
        <v>31.08</v>
      </c>
      <c r="E591" s="56" t="str">
        <f t="shared" si="45"/>
        <v>CAIXA DE LIGAÇÃO DE ALUMÍNIO SILÍCIO, TIPO CONDULETES, SEM ROSCA, NO FORMATO T, INCLUSIVE TAMPA COM VEDAÇÃO, DIÂMETRO 3/4"</v>
      </c>
      <c r="F591" s="56" t="str">
        <f t="shared" si="46"/>
        <v>UND</v>
      </c>
      <c r="G591">
        <f t="shared" si="47"/>
        <v>41.41</v>
      </c>
      <c r="H591">
        <f t="shared" si="48"/>
        <v>31.08</v>
      </c>
      <c r="I591">
        <f t="shared" si="49"/>
        <v>31.08</v>
      </c>
    </row>
    <row r="592" spans="1:9" ht="43.2">
      <c r="A592" s="372">
        <v>150804</v>
      </c>
      <c r="B592" s="241" t="s">
        <v>7376</v>
      </c>
      <c r="C592" s="221" t="s">
        <v>115</v>
      </c>
      <c r="D592" s="241">
        <v>28.19</v>
      </c>
      <c r="E592" s="56" t="str">
        <f t="shared" si="45"/>
        <v>CAIXA DE LIGAÇÃO DE ALUMÍNIO SILÍCIO, TIPO CONDULETES, SEM ROSCA, NO FORMATO LR, INCLUSIVE TAMPA COM VEDAÇÃO, DIÂMETRO 3/4"</v>
      </c>
      <c r="F592" s="56" t="str">
        <f t="shared" si="46"/>
        <v>UND</v>
      </c>
      <c r="G592">
        <f t="shared" si="47"/>
        <v>37.56</v>
      </c>
      <c r="H592">
        <f t="shared" si="48"/>
        <v>28.19</v>
      </c>
      <c r="I592">
        <f t="shared" si="49"/>
        <v>28.19</v>
      </c>
    </row>
    <row r="593" spans="1:9" ht="43.2">
      <c r="A593" s="500">
        <v>150805</v>
      </c>
      <c r="B593" s="241" t="s">
        <v>7377</v>
      </c>
      <c r="C593" s="221" t="s">
        <v>115</v>
      </c>
      <c r="D593" s="241">
        <v>29</v>
      </c>
      <c r="E593" s="56" t="str">
        <f t="shared" si="45"/>
        <v>CAIXA DE LIGAÇÃO DE ALUMÍNIO SILÍCIO, TIPO CONDULETES, SEM ROSCA, NO FORMATO X, INCLUSIVE TAMPA COM VEDAÇÃO, DIÂMETRO 3/4"</v>
      </c>
      <c r="F593" s="56" t="str">
        <f t="shared" si="46"/>
        <v>UND</v>
      </c>
      <c r="G593">
        <f t="shared" si="47"/>
        <v>38.64</v>
      </c>
      <c r="H593">
        <f t="shared" si="48"/>
        <v>29</v>
      </c>
      <c r="I593">
        <f t="shared" si="49"/>
        <v>29</v>
      </c>
    </row>
    <row r="594" spans="1:9" ht="28.8">
      <c r="A594" s="372">
        <v>150806</v>
      </c>
      <c r="B594" s="241" t="s">
        <v>7487</v>
      </c>
      <c r="C594" s="221" t="s">
        <v>112</v>
      </c>
      <c r="D594" s="241">
        <v>26.25</v>
      </c>
      <c r="E594" s="56" t="str">
        <f t="shared" si="45"/>
        <v>ELETRODUTO APARENTE DE PVC RÍGIDO ROSCÁVEL DIÂMETRO 1", INCLUSIVE ABRAÇADEIRA DE FIXAÇÃO</v>
      </c>
      <c r="F594" s="56" t="str">
        <f t="shared" si="46"/>
        <v>M</v>
      </c>
      <c r="G594">
        <f t="shared" si="47"/>
        <v>34.979999999999997</v>
      </c>
      <c r="H594">
        <f t="shared" si="48"/>
        <v>26.25</v>
      </c>
      <c r="I594">
        <f t="shared" si="49"/>
        <v>26.25</v>
      </c>
    </row>
    <row r="595" spans="1:9" ht="28.8">
      <c r="A595" s="372">
        <v>150807</v>
      </c>
      <c r="B595" s="241" t="s">
        <v>1428</v>
      </c>
      <c r="C595" s="221" t="s">
        <v>112</v>
      </c>
      <c r="D595" s="241">
        <v>17.2</v>
      </c>
      <c r="E595" s="56" t="str">
        <f t="shared" si="45"/>
        <v>CANALETA SISTEMA X DA PIAL OU EQUIVALENTE, INCLUSIVE CONEXÕES</v>
      </c>
      <c r="F595" s="56" t="str">
        <f t="shared" si="46"/>
        <v>M</v>
      </c>
      <c r="G595">
        <f t="shared" si="47"/>
        <v>22.92</v>
      </c>
      <c r="H595">
        <f t="shared" si="48"/>
        <v>17.2</v>
      </c>
      <c r="I595">
        <f t="shared" si="49"/>
        <v>17.2</v>
      </c>
    </row>
    <row r="596" spans="1:9" ht="28.8">
      <c r="A596" s="372">
        <v>150835</v>
      </c>
      <c r="B596" s="241" t="s">
        <v>1429</v>
      </c>
      <c r="C596" s="221" t="s">
        <v>112</v>
      </c>
      <c r="D596" s="241">
        <v>62.31</v>
      </c>
      <c r="E596" s="56" t="str">
        <f t="shared" si="45"/>
        <v>ELETROCALHA PERFURADA EM CHAPA DE AÇO GALVANIZADO Nº16, 150X50MM, SEM TAMPA</v>
      </c>
      <c r="F596" s="56" t="str">
        <f t="shared" si="46"/>
        <v>M</v>
      </c>
      <c r="G596">
        <f t="shared" si="47"/>
        <v>83.03</v>
      </c>
      <c r="H596">
        <f t="shared" si="48"/>
        <v>62.31</v>
      </c>
      <c r="I596">
        <f t="shared" si="49"/>
        <v>62.31</v>
      </c>
    </row>
    <row r="597" spans="1:9" ht="28.8">
      <c r="A597" s="372">
        <v>150836</v>
      </c>
      <c r="B597" s="241" t="s">
        <v>1430</v>
      </c>
      <c r="C597" s="221" t="s">
        <v>112</v>
      </c>
      <c r="D597" s="241">
        <v>82.75</v>
      </c>
      <c r="E597" s="56" t="str">
        <f t="shared" si="45"/>
        <v>ELETROCALHA PERFURADA EM CHAPA DE AÇO GALVANIZADO Nº16, 200X100MM, SEM TAMPA</v>
      </c>
      <c r="F597" s="56" t="str">
        <f t="shared" si="46"/>
        <v>M</v>
      </c>
      <c r="G597">
        <f t="shared" si="47"/>
        <v>110.26</v>
      </c>
      <c r="H597">
        <f t="shared" si="48"/>
        <v>82.75</v>
      </c>
      <c r="I597">
        <f t="shared" si="49"/>
        <v>82.75</v>
      </c>
    </row>
    <row r="598" spans="1:9" ht="28.8">
      <c r="A598" s="372">
        <v>150837</v>
      </c>
      <c r="B598" s="241" t="s">
        <v>1431</v>
      </c>
      <c r="C598" s="221" t="s">
        <v>112</v>
      </c>
      <c r="D598" s="241">
        <v>115.4</v>
      </c>
      <c r="E598" s="56" t="str">
        <f t="shared" si="45"/>
        <v>ELETROCALHA PERFURADA EM CHAPA DE AÇO GALVANIZADO Nº16, 300X100MM, SEM TAMPA</v>
      </c>
      <c r="F598" s="56" t="str">
        <f t="shared" si="46"/>
        <v>M</v>
      </c>
      <c r="G598">
        <f t="shared" si="47"/>
        <v>153.77000000000001</v>
      </c>
      <c r="H598">
        <f t="shared" si="48"/>
        <v>115.4</v>
      </c>
      <c r="I598">
        <f t="shared" si="49"/>
        <v>115.4</v>
      </c>
    </row>
    <row r="599" spans="1:9" ht="28.8">
      <c r="A599" s="372">
        <v>150838</v>
      </c>
      <c r="B599" s="241" t="s">
        <v>1432</v>
      </c>
      <c r="C599" s="221" t="s">
        <v>112</v>
      </c>
      <c r="D599" s="241">
        <v>131.65</v>
      </c>
      <c r="E599" s="56" t="str">
        <f t="shared" si="45"/>
        <v>ELETROCALHA PERFURADA EM CHAPA DE AÇO GALVANIZADO Nº16, 400X100MM, SEM TAMPA</v>
      </c>
      <c r="F599" s="56" t="str">
        <f t="shared" si="46"/>
        <v>M</v>
      </c>
      <c r="G599">
        <f t="shared" si="47"/>
        <v>175.42</v>
      </c>
      <c r="H599">
        <f t="shared" si="48"/>
        <v>131.65</v>
      </c>
      <c r="I599">
        <f t="shared" si="49"/>
        <v>131.65</v>
      </c>
    </row>
    <row r="600" spans="1:9" ht="28.8">
      <c r="A600" s="500">
        <v>150843</v>
      </c>
      <c r="B600" s="241" t="s">
        <v>1433</v>
      </c>
      <c r="C600" s="221" t="s">
        <v>115</v>
      </c>
      <c r="D600" s="241">
        <v>50.66</v>
      </c>
      <c r="E600" s="56" t="str">
        <f t="shared" si="45"/>
        <v>REDUÇÃO CONCÊNTRICA PARA ELETROCALHA PERFURADA, TIPO "U", 200X150MM, ABA 100</v>
      </c>
      <c r="F600" s="56" t="str">
        <f t="shared" si="46"/>
        <v>UND</v>
      </c>
      <c r="G600">
        <f t="shared" si="47"/>
        <v>67.5</v>
      </c>
      <c r="H600">
        <f t="shared" si="48"/>
        <v>50.66</v>
      </c>
      <c r="I600">
        <f t="shared" si="49"/>
        <v>50.66</v>
      </c>
    </row>
    <row r="601" spans="1:9" ht="28.8">
      <c r="A601" s="372">
        <v>150844</v>
      </c>
      <c r="B601" s="241" t="s">
        <v>1434</v>
      </c>
      <c r="C601" s="221" t="s">
        <v>115</v>
      </c>
      <c r="D601" s="241">
        <v>66.900000000000006</v>
      </c>
      <c r="E601" s="56" t="str">
        <f t="shared" si="45"/>
        <v>REDUÇÃO CONCÊNTRICA PARA ELETROCALHA PERFURADA, TIPO "U", 300X150MM, ABA 100</v>
      </c>
      <c r="F601" s="56" t="str">
        <f t="shared" si="46"/>
        <v>UND</v>
      </c>
      <c r="G601">
        <f t="shared" si="47"/>
        <v>89.14</v>
      </c>
      <c r="H601">
        <f t="shared" si="48"/>
        <v>66.900000000000006</v>
      </c>
      <c r="I601">
        <f t="shared" si="49"/>
        <v>66.900000000000006</v>
      </c>
    </row>
    <row r="602" spans="1:9" ht="28.8">
      <c r="A602" s="372">
        <v>150845</v>
      </c>
      <c r="B602" s="241" t="s">
        <v>1435</v>
      </c>
      <c r="C602" s="221" t="s">
        <v>115</v>
      </c>
      <c r="D602" s="241">
        <v>77.760000000000005</v>
      </c>
      <c r="E602" s="56" t="str">
        <f t="shared" si="45"/>
        <v>REDUÇÃO CONCÊNTRICA PARA ELETROCALHA PERFURADA, TIPO "U", 400X150MM, ABA 100</v>
      </c>
      <c r="F602" s="56" t="str">
        <f t="shared" si="46"/>
        <v>UND</v>
      </c>
      <c r="G602">
        <f t="shared" si="47"/>
        <v>103.62</v>
      </c>
      <c r="H602">
        <f t="shared" si="48"/>
        <v>77.760000000000005</v>
      </c>
      <c r="I602">
        <f t="shared" si="49"/>
        <v>77.760000000000005</v>
      </c>
    </row>
    <row r="603" spans="1:9">
      <c r="A603" s="372">
        <v>150850</v>
      </c>
      <c r="B603" s="241" t="s">
        <v>1436</v>
      </c>
      <c r="C603" s="221" t="s">
        <v>115</v>
      </c>
      <c r="D603" s="241">
        <v>10.08</v>
      </c>
      <c r="E603" s="56" t="str">
        <f t="shared" si="45"/>
        <v>SAÍDA HORIZONTAL PARA ELETRODUTO DE 3/4"</v>
      </c>
      <c r="F603" s="56" t="str">
        <f t="shared" si="46"/>
        <v>UND</v>
      </c>
      <c r="G603">
        <f t="shared" si="47"/>
        <v>13.43</v>
      </c>
      <c r="H603">
        <f t="shared" si="48"/>
        <v>10.08</v>
      </c>
      <c r="I603">
        <f t="shared" si="49"/>
        <v>10.08</v>
      </c>
    </row>
    <row r="604" spans="1:9">
      <c r="A604" s="372">
        <v>150851</v>
      </c>
      <c r="B604" s="241" t="s">
        <v>1437</v>
      </c>
      <c r="C604" s="221" t="s">
        <v>115</v>
      </c>
      <c r="D604" s="241">
        <v>10.08</v>
      </c>
      <c r="E604" s="56" t="str">
        <f t="shared" si="45"/>
        <v>SAÍDA HORIZONTAL PARA ELETRODUTO DE 1"</v>
      </c>
      <c r="F604" s="56" t="str">
        <f t="shared" si="46"/>
        <v>UND</v>
      </c>
      <c r="G604">
        <f t="shared" si="47"/>
        <v>13.43</v>
      </c>
      <c r="H604">
        <f t="shared" si="48"/>
        <v>10.08</v>
      </c>
      <c r="I604">
        <f t="shared" si="49"/>
        <v>10.08</v>
      </c>
    </row>
    <row r="605" spans="1:9">
      <c r="A605" s="372">
        <v>150852</v>
      </c>
      <c r="B605" s="241" t="s">
        <v>1438</v>
      </c>
      <c r="C605" s="221" t="s">
        <v>115</v>
      </c>
      <c r="D605" s="241">
        <v>11.27</v>
      </c>
      <c r="E605" s="56" t="str">
        <f t="shared" si="45"/>
        <v>SAÍDA HORIZONTAL PARA ELETRODUTO DE 2"</v>
      </c>
      <c r="F605" s="56" t="str">
        <f t="shared" si="46"/>
        <v>UND</v>
      </c>
      <c r="G605">
        <f t="shared" si="47"/>
        <v>15.02</v>
      </c>
      <c r="H605">
        <f t="shared" si="48"/>
        <v>11.27</v>
      </c>
      <c r="I605">
        <f t="shared" si="49"/>
        <v>11.27</v>
      </c>
    </row>
    <row r="606" spans="1:9" ht="28.8">
      <c r="A606" s="371">
        <v>150860</v>
      </c>
      <c r="B606" s="240" t="s">
        <v>1439</v>
      </c>
      <c r="C606" s="221" t="s">
        <v>112</v>
      </c>
      <c r="D606" s="241">
        <v>30.39</v>
      </c>
      <c r="E606" s="56" t="str">
        <f t="shared" si="45"/>
        <v>TAMPA DE ENCAIXE PARA ELETROCALHA EM CHAPA DE AÇO GALVANIZADA 18, DIM. 150MM</v>
      </c>
      <c r="F606" s="56" t="str">
        <f t="shared" si="46"/>
        <v>M</v>
      </c>
      <c r="G606">
        <f t="shared" si="47"/>
        <v>40.49</v>
      </c>
      <c r="H606">
        <f t="shared" si="48"/>
        <v>30.39</v>
      </c>
      <c r="I606">
        <f t="shared" si="49"/>
        <v>30.39</v>
      </c>
    </row>
    <row r="607" spans="1:9" ht="28.8">
      <c r="A607" s="372">
        <v>150861</v>
      </c>
      <c r="B607" s="241" t="s">
        <v>1440</v>
      </c>
      <c r="C607" s="221" t="s">
        <v>112</v>
      </c>
      <c r="D607" s="241">
        <v>36.07</v>
      </c>
      <c r="E607" s="56" t="str">
        <f t="shared" si="45"/>
        <v>TAMPA DE ENCAIXE PARA ELETROCALHA EM CHAPA DE AÇO GALVANIZADA 18, DIM. 200MM</v>
      </c>
      <c r="F607" s="56" t="str">
        <f t="shared" si="46"/>
        <v>M</v>
      </c>
      <c r="G607">
        <f t="shared" si="47"/>
        <v>48.06</v>
      </c>
      <c r="H607">
        <f t="shared" si="48"/>
        <v>36.07</v>
      </c>
      <c r="I607">
        <f t="shared" si="49"/>
        <v>36.07</v>
      </c>
    </row>
    <row r="608" spans="1:9" ht="28.8">
      <c r="A608" s="372">
        <v>150862</v>
      </c>
      <c r="B608" s="241" t="s">
        <v>1441</v>
      </c>
      <c r="C608" s="221" t="s">
        <v>112</v>
      </c>
      <c r="D608" s="241">
        <v>50.23</v>
      </c>
      <c r="E608" s="56" t="str">
        <f t="shared" si="45"/>
        <v>TAMPA DE ENCAIXE PARA ELETROCALHA EM CHAPA DE AÇO GALVANIZADA 18, DIM. 300MM</v>
      </c>
      <c r="F608" s="56" t="str">
        <f t="shared" si="46"/>
        <v>M</v>
      </c>
      <c r="G608">
        <f t="shared" si="47"/>
        <v>66.930000000000007</v>
      </c>
      <c r="H608">
        <f t="shared" si="48"/>
        <v>50.23</v>
      </c>
      <c r="I608">
        <f t="shared" si="49"/>
        <v>50.23</v>
      </c>
    </row>
    <row r="609" spans="1:9" ht="28.8">
      <c r="A609" s="372">
        <v>150863</v>
      </c>
      <c r="B609" s="241" t="s">
        <v>1442</v>
      </c>
      <c r="C609" s="221" t="s">
        <v>112</v>
      </c>
      <c r="D609" s="241">
        <v>62.5</v>
      </c>
      <c r="E609" s="56" t="str">
        <f t="shared" si="45"/>
        <v>TAMPA DE ENCAIXE PARA ELETROCALHA EM CHAPA DE AÇO GALVANIZADA 18, DIM. 400MM</v>
      </c>
      <c r="F609" s="56" t="str">
        <f t="shared" si="46"/>
        <v>M</v>
      </c>
      <c r="G609">
        <f t="shared" si="47"/>
        <v>83.28</v>
      </c>
      <c r="H609">
        <f t="shared" si="48"/>
        <v>62.5</v>
      </c>
      <c r="I609">
        <f t="shared" si="49"/>
        <v>62.5</v>
      </c>
    </row>
    <row r="610" spans="1:9" ht="43.2">
      <c r="A610" s="372">
        <v>150866</v>
      </c>
      <c r="B610" s="241" t="s">
        <v>1443</v>
      </c>
      <c r="C610" s="221" t="s">
        <v>115</v>
      </c>
      <c r="D610" s="241">
        <v>12.74</v>
      </c>
      <c r="E610" s="56" t="str">
        <f t="shared" si="45"/>
        <v>JUNÇÃO SIMPLES PARA ELETROCALHA METÁLICA 200X100MM, GALVANIZADA, REF. MEGA MG 2760 OU EQUIVALENTE</v>
      </c>
      <c r="F610" s="56" t="str">
        <f t="shared" si="46"/>
        <v>UND</v>
      </c>
      <c r="G610">
        <f t="shared" si="47"/>
        <v>16.98</v>
      </c>
      <c r="H610">
        <f t="shared" si="48"/>
        <v>12.74</v>
      </c>
      <c r="I610">
        <f t="shared" si="49"/>
        <v>12.74</v>
      </c>
    </row>
    <row r="611" spans="1:9" ht="43.2">
      <c r="A611" s="372">
        <v>150867</v>
      </c>
      <c r="B611" s="241" t="s">
        <v>1444</v>
      </c>
      <c r="C611" s="221" t="s">
        <v>115</v>
      </c>
      <c r="D611" s="241">
        <v>13.28</v>
      </c>
      <c r="E611" s="56" t="str">
        <f t="shared" si="45"/>
        <v>JUNÇÃO SIMPLES PARA ELETROCALHA METÁLICA 300X100MM, GALVANIZADA, REF. MEGA MG 2760 OU EQUIVALENTE</v>
      </c>
      <c r="F611" s="56" t="str">
        <f t="shared" si="46"/>
        <v>UND</v>
      </c>
      <c r="G611">
        <f t="shared" si="47"/>
        <v>17.7</v>
      </c>
      <c r="H611">
        <f t="shared" si="48"/>
        <v>13.28</v>
      </c>
      <c r="I611">
        <f t="shared" si="49"/>
        <v>13.28</v>
      </c>
    </row>
    <row r="612" spans="1:9" ht="43.2">
      <c r="A612" s="372">
        <v>150870</v>
      </c>
      <c r="B612" s="241" t="s">
        <v>1445</v>
      </c>
      <c r="C612" s="221" t="s">
        <v>115</v>
      </c>
      <c r="D612" s="241">
        <v>85.85</v>
      </c>
      <c r="E612" s="56" t="str">
        <f t="shared" si="45"/>
        <v>TÊ HORIZONTAL 90º PARA ELETROCALHA METÁLICA 200X100MM, GALVANIZADA, REF. MEGA MG 2570 OU EQUIVALENTE</v>
      </c>
      <c r="F612" s="56" t="str">
        <f t="shared" si="46"/>
        <v>UND</v>
      </c>
      <c r="G612">
        <f t="shared" si="47"/>
        <v>114.4</v>
      </c>
      <c r="H612">
        <f t="shared" si="48"/>
        <v>85.85</v>
      </c>
      <c r="I612">
        <f t="shared" si="49"/>
        <v>85.85</v>
      </c>
    </row>
    <row r="613" spans="1:9" ht="43.2">
      <c r="A613" s="372">
        <v>150871</v>
      </c>
      <c r="B613" s="241" t="s">
        <v>1446</v>
      </c>
      <c r="C613" s="221" t="s">
        <v>115</v>
      </c>
      <c r="D613" s="241">
        <v>109.29</v>
      </c>
      <c r="E613" s="56" t="str">
        <f t="shared" si="45"/>
        <v>TÊ HORIZONTAL 90º PARA ELETROCALHA METÁLICA 300X100MM, GALVANIZADA, REF. MEGA MG 2570 OU EQUIVALENTE</v>
      </c>
      <c r="F613" s="56" t="str">
        <f t="shared" si="46"/>
        <v>UND</v>
      </c>
      <c r="G613">
        <f t="shared" si="47"/>
        <v>145.63</v>
      </c>
      <c r="H613">
        <f t="shared" si="48"/>
        <v>109.29</v>
      </c>
      <c r="I613">
        <f t="shared" si="49"/>
        <v>109.29</v>
      </c>
    </row>
    <row r="614" spans="1:9" ht="43.2">
      <c r="A614" s="372">
        <v>150875</v>
      </c>
      <c r="B614" s="241" t="s">
        <v>1447</v>
      </c>
      <c r="C614" s="221" t="s">
        <v>115</v>
      </c>
      <c r="D614" s="241">
        <v>77.37</v>
      </c>
      <c r="E614" s="56" t="str">
        <f t="shared" si="45"/>
        <v>CURVA HORIZONTAL 90º PARA ELETROCALHA METÁLICA, 200X100MM, GALVANIZADA, REF. MEGA MG 2510</v>
      </c>
      <c r="F614" s="56" t="str">
        <f t="shared" si="46"/>
        <v>UND</v>
      </c>
      <c r="G614">
        <f t="shared" si="47"/>
        <v>103.1</v>
      </c>
      <c r="H614">
        <f t="shared" si="48"/>
        <v>77.37</v>
      </c>
      <c r="I614">
        <f t="shared" si="49"/>
        <v>77.37</v>
      </c>
    </row>
    <row r="615" spans="1:9" ht="43.2">
      <c r="A615" s="372">
        <v>150876</v>
      </c>
      <c r="B615" s="241" t="s">
        <v>1448</v>
      </c>
      <c r="C615" s="221" t="s">
        <v>115</v>
      </c>
      <c r="D615" s="241">
        <v>118.54</v>
      </c>
      <c r="E615" s="56" t="str">
        <f t="shared" si="45"/>
        <v>CURVA HORIZONTAL 90º PARA ELETROCALHA METÁLICA, 300X100MM, GALVANIZADA, REF. MEGA MG 2510</v>
      </c>
      <c r="F615" s="56" t="str">
        <f t="shared" si="46"/>
        <v>UND</v>
      </c>
      <c r="G615">
        <f t="shared" si="47"/>
        <v>157.94999999999999</v>
      </c>
      <c r="H615">
        <f t="shared" si="48"/>
        <v>118.54</v>
      </c>
      <c r="I615">
        <f t="shared" si="49"/>
        <v>118.54</v>
      </c>
    </row>
    <row r="616" spans="1:9" ht="72">
      <c r="A616" s="371">
        <v>150880</v>
      </c>
      <c r="B616" s="240" t="s">
        <v>1449</v>
      </c>
      <c r="C616" s="221" t="s">
        <v>115</v>
      </c>
      <c r="D616" s="241">
        <v>32.200000000000003</v>
      </c>
      <c r="E616" s="56" t="str">
        <f t="shared" si="45"/>
        <v>SUPORTE DE FIXAÇÃO DE ELETRODUTO NO TETO, ATRAVÉS DE FITA METÁLICA PERFURADA (WALSIWA) OU EQUIV (1,30M), CURSOR (1 UND), H=60CM, SUPORTE "Y" (1 UND), PARAFUSO E BUCHA S8 (1 UND)</v>
      </c>
      <c r="F616" s="56" t="str">
        <f t="shared" si="46"/>
        <v>UND</v>
      </c>
      <c r="G616">
        <f t="shared" si="47"/>
        <v>42.91</v>
      </c>
      <c r="H616">
        <f t="shared" si="48"/>
        <v>32.200000000000003</v>
      </c>
      <c r="I616">
        <f t="shared" si="49"/>
        <v>32.200000000000003</v>
      </c>
    </row>
    <row r="617" spans="1:9" ht="57.6">
      <c r="A617" s="372">
        <v>150881</v>
      </c>
      <c r="B617" s="241" t="s">
        <v>1450</v>
      </c>
      <c r="C617" s="221" t="s">
        <v>115</v>
      </c>
      <c r="D617" s="241">
        <v>29.48</v>
      </c>
      <c r="E617" s="56" t="str">
        <f t="shared" si="45"/>
        <v>SUPORTE DE FIXAÇÃO DE ELETROCALHA DE 200X100MM, NA PAREDE, ATRAVÉS DE SUPORTE TIPO MÃO FRANCESA SIMPLES (1 UND), PARAFUSO E BUCHA S8 (2UND)</v>
      </c>
      <c r="F617" s="56" t="str">
        <f t="shared" si="46"/>
        <v>UND</v>
      </c>
      <c r="G617">
        <f t="shared" si="47"/>
        <v>39.28</v>
      </c>
      <c r="H617">
        <f t="shared" si="48"/>
        <v>29.48</v>
      </c>
      <c r="I617">
        <f t="shared" si="49"/>
        <v>29.48</v>
      </c>
    </row>
    <row r="618" spans="1:9" ht="57.6">
      <c r="A618" s="372">
        <v>150882</v>
      </c>
      <c r="B618" s="241" t="s">
        <v>1451</v>
      </c>
      <c r="C618" s="221" t="s">
        <v>115</v>
      </c>
      <c r="D618" s="241">
        <v>54.13</v>
      </c>
      <c r="E618" s="56" t="str">
        <f t="shared" si="45"/>
        <v>SUPORTE DE FIXAÇÃO DE ELETROCALHA DE 300X100MM, NA PAREDE, ATRAVÉS DE SUPORTE TIPO MÃO FRANCESA REFORÇADA (1 UND), PARAFUSO E BUCHA S8 (2 UND)</v>
      </c>
      <c r="F618" s="56" t="str">
        <f t="shared" si="46"/>
        <v>UND</v>
      </c>
      <c r="G618">
        <f t="shared" si="47"/>
        <v>72.13</v>
      </c>
      <c r="H618">
        <f t="shared" si="48"/>
        <v>54.13</v>
      </c>
      <c r="I618">
        <f t="shared" si="49"/>
        <v>54.13</v>
      </c>
    </row>
    <row r="619" spans="1:9" ht="57.6">
      <c r="A619" s="372">
        <v>150883</v>
      </c>
      <c r="B619" s="241" t="s">
        <v>1452</v>
      </c>
      <c r="C619" s="221" t="s">
        <v>115</v>
      </c>
      <c r="D619" s="241">
        <v>63.33</v>
      </c>
      <c r="E619" s="56" t="str">
        <f t="shared" si="45"/>
        <v>SUPORTE DE FIXAÇÃO DE ELETROCALHA DE 400X100MM, NA PAREDE, ATRAVÉS DE SUPORTE TIPO MÃO FRANCESA REFORÇADA (1 UND), PARAFUSO E BUCHA S8 (2 UND)</v>
      </c>
      <c r="F619" s="56" t="str">
        <f t="shared" si="46"/>
        <v>UND</v>
      </c>
      <c r="G619">
        <f t="shared" si="47"/>
        <v>84.39</v>
      </c>
      <c r="H619">
        <f t="shared" si="48"/>
        <v>63.33</v>
      </c>
      <c r="I619">
        <f t="shared" si="49"/>
        <v>63.33</v>
      </c>
    </row>
    <row r="620" spans="1:9" ht="86.4">
      <c r="A620" s="372">
        <v>150884</v>
      </c>
      <c r="B620" s="241" t="s">
        <v>1453</v>
      </c>
      <c r="C620" s="221" t="s">
        <v>115</v>
      </c>
      <c r="D620" s="241">
        <v>37.89</v>
      </c>
      <c r="E620" s="56" t="str">
        <f t="shared" si="45"/>
        <v>SUPORTE DE FIXAÇÃO DE ELETROCALHA DE 200X100MM, NO TETO, ATRAVÉS DE GANCHO VERTICAL (1 UND), PORCA SEXTAVADA E ARRUELA 1/4" (4 UND), VERGALHÃO ROSCA TOTAL 1/4" (H=60CM), CANTONEIRA ZZ (1 UND) E PARAFUSO E BUCHA S8 (2 UND)</v>
      </c>
      <c r="F620" s="56" t="str">
        <f t="shared" si="46"/>
        <v>UND</v>
      </c>
      <c r="G620">
        <f t="shared" si="47"/>
        <v>50.49</v>
      </c>
      <c r="H620">
        <f t="shared" si="48"/>
        <v>37.89</v>
      </c>
      <c r="I620">
        <f t="shared" si="49"/>
        <v>37.89</v>
      </c>
    </row>
    <row r="621" spans="1:9" ht="86.4">
      <c r="A621" s="372">
        <v>150885</v>
      </c>
      <c r="B621" s="241" t="s">
        <v>15729</v>
      </c>
      <c r="C621" s="221" t="s">
        <v>115</v>
      </c>
      <c r="D621" s="241">
        <v>42.92</v>
      </c>
      <c r="E621" s="56" t="str">
        <f t="shared" si="45"/>
        <v>SUPORTE DE FIXAÇÃO DE ELETROCALHA DE 300X100MM, NO TETO, ATRAVÉS DE SUPORTE ANGULAR (1 UND), PORCA SEXTAVADA E ARRUELA 1/4 (4 UND) , VERGALHÃO COM ROSCA TOTAL 1/4" (H=60CM), CANTONEIRA ZZ (2 UND) E PARAFUSO E BUCHA S8 (2 UND)</v>
      </c>
      <c r="F621" s="56" t="str">
        <f t="shared" si="46"/>
        <v>UND</v>
      </c>
      <c r="G621">
        <f t="shared" si="47"/>
        <v>57.19</v>
      </c>
      <c r="H621">
        <f t="shared" si="48"/>
        <v>42.92</v>
      </c>
      <c r="I621">
        <f t="shared" si="49"/>
        <v>42.92</v>
      </c>
    </row>
    <row r="622" spans="1:9" ht="86.4">
      <c r="A622" s="372">
        <v>150886</v>
      </c>
      <c r="B622" s="241" t="s">
        <v>15730</v>
      </c>
      <c r="C622" s="221" t="s">
        <v>115</v>
      </c>
      <c r="D622" s="241">
        <v>44.84</v>
      </c>
      <c r="E622" s="56" t="str">
        <f t="shared" si="45"/>
        <v>SUPORTE DE FIXAÇÃO DE ELETROCALHA DE 400X100MM, NO TETO, ATRAVÉS DE SUPORTE ANGULAR (1 UND), PORCA SEXTAVADA E ARRUELA 1/4 (4 UND), VERGALHÃO ROSCA TOTAL 1/4" (H=60CM), CANTONEIRA ZZ (2 UND) E PARAFUSO E BUCHA S8 (2 UND)</v>
      </c>
      <c r="F622" s="56" t="str">
        <f t="shared" si="46"/>
        <v>UND</v>
      </c>
      <c r="G622">
        <f t="shared" si="47"/>
        <v>59.75</v>
      </c>
      <c r="H622">
        <f t="shared" si="48"/>
        <v>44.84</v>
      </c>
      <c r="I622">
        <f t="shared" si="49"/>
        <v>44.84</v>
      </c>
    </row>
    <row r="623" spans="1:9">
      <c r="A623" s="372">
        <v>1509</v>
      </c>
      <c r="B623" s="241" t="s">
        <v>1454</v>
      </c>
      <c r="C623" s="221"/>
      <c r="D623" s="241"/>
      <c r="E623" s="56" t="str">
        <f t="shared" si="45"/>
        <v>COMPOSIÇÕES INTERMEDIÁRIAS P/ ELETRICA</v>
      </c>
      <c r="F623" s="56" t="str">
        <f t="shared" si="46"/>
        <v/>
      </c>
      <c r="G623">
        <f t="shared" si="47"/>
        <v>0</v>
      </c>
      <c r="H623">
        <f t="shared" si="48"/>
        <v>0</v>
      </c>
      <c r="I623">
        <f t="shared" si="49"/>
        <v>0</v>
      </c>
    </row>
    <row r="624" spans="1:9">
      <c r="A624" s="371">
        <v>150906</v>
      </c>
      <c r="B624" s="240" t="s">
        <v>1455</v>
      </c>
      <c r="C624" s="221" t="s">
        <v>112</v>
      </c>
      <c r="D624" s="241">
        <v>2.09</v>
      </c>
      <c r="E624" s="56" t="str">
        <f t="shared" si="45"/>
        <v>ARAME GALVANIZADO 12 BWG (0.048 KG/M)</v>
      </c>
      <c r="F624" s="56" t="str">
        <f t="shared" si="46"/>
        <v>M</v>
      </c>
      <c r="G624">
        <f t="shared" si="47"/>
        <v>2.78</v>
      </c>
      <c r="H624">
        <f t="shared" si="48"/>
        <v>2.09</v>
      </c>
      <c r="I624">
        <f t="shared" si="49"/>
        <v>2.09</v>
      </c>
    </row>
    <row r="625" spans="1:9">
      <c r="A625" s="372">
        <v>150910</v>
      </c>
      <c r="B625" s="241" t="s">
        <v>1456</v>
      </c>
      <c r="C625" s="221" t="s">
        <v>115</v>
      </c>
      <c r="D625" s="241">
        <v>14.69</v>
      </c>
      <c r="E625" s="56" t="str">
        <f t="shared" si="45"/>
        <v>CABEÇOTE DE ALUMÍNIO DE 3/4"</v>
      </c>
      <c r="F625" s="56" t="str">
        <f t="shared" si="46"/>
        <v>UND</v>
      </c>
      <c r="G625">
        <f t="shared" si="47"/>
        <v>19.57</v>
      </c>
      <c r="H625">
        <f t="shared" si="48"/>
        <v>14.69</v>
      </c>
      <c r="I625">
        <f t="shared" si="49"/>
        <v>14.69</v>
      </c>
    </row>
    <row r="626" spans="1:9" ht="43.2">
      <c r="A626" s="372">
        <v>150916</v>
      </c>
      <c r="B626" s="241" t="s">
        <v>1457</v>
      </c>
      <c r="C626" s="221" t="s">
        <v>115</v>
      </c>
      <c r="D626" s="241">
        <v>40.57</v>
      </c>
      <c r="E626" s="56" t="str">
        <f t="shared" si="45"/>
        <v>CANALETA SISTEMA X PIAL OU EQUIVALENTE, INCLUSIVE CONECÇÕES, 20X10X2200 MM, COD. 30801</v>
      </c>
      <c r="F626" s="56" t="str">
        <f t="shared" si="46"/>
        <v>UND</v>
      </c>
      <c r="G626">
        <f t="shared" si="47"/>
        <v>54.06</v>
      </c>
      <c r="H626">
        <f t="shared" si="48"/>
        <v>40.57</v>
      </c>
      <c r="I626">
        <f t="shared" si="49"/>
        <v>40.57</v>
      </c>
    </row>
    <row r="627" spans="1:9" ht="28.8">
      <c r="A627" s="372">
        <v>150918</v>
      </c>
      <c r="B627" s="241" t="s">
        <v>1458</v>
      </c>
      <c r="C627" s="221" t="s">
        <v>115</v>
      </c>
      <c r="D627" s="241">
        <v>34.69</v>
      </c>
      <c r="E627" s="56" t="str">
        <f t="shared" si="45"/>
        <v>FITA ISOLANTE EM ROLO DE 19MM X 20 M, NÚMERO 33 SCOTH OU EQUIVALENTE</v>
      </c>
      <c r="F627" s="56" t="str">
        <f t="shared" si="46"/>
        <v>UND</v>
      </c>
      <c r="G627">
        <f t="shared" si="47"/>
        <v>46.22</v>
      </c>
      <c r="H627">
        <f t="shared" si="48"/>
        <v>34.69</v>
      </c>
      <c r="I627">
        <f t="shared" si="49"/>
        <v>34.69</v>
      </c>
    </row>
    <row r="628" spans="1:9" ht="28.8">
      <c r="A628" s="372">
        <v>150932</v>
      </c>
      <c r="B628" s="241" t="s">
        <v>1459</v>
      </c>
      <c r="C628" s="221" t="s">
        <v>115</v>
      </c>
      <c r="D628" s="241">
        <v>7.2</v>
      </c>
      <c r="E628" s="56" t="str">
        <f t="shared" si="45"/>
        <v>RECEPTÁCULO (BOCAL) DE LOUÇA PARA LÂMPADA INCANDESCENTE</v>
      </c>
      <c r="F628" s="56" t="str">
        <f t="shared" si="46"/>
        <v>UND</v>
      </c>
      <c r="G628">
        <f t="shared" si="47"/>
        <v>9.59</v>
      </c>
      <c r="H628">
        <f t="shared" si="48"/>
        <v>7.2</v>
      </c>
      <c r="I628">
        <f t="shared" si="49"/>
        <v>7.2</v>
      </c>
    </row>
    <row r="629" spans="1:9">
      <c r="A629" s="372">
        <v>150934</v>
      </c>
      <c r="B629" s="241" t="s">
        <v>1460</v>
      </c>
      <c r="C629" s="221" t="s">
        <v>115</v>
      </c>
      <c r="D629" s="241">
        <v>23.25</v>
      </c>
      <c r="E629" s="56" t="str">
        <f t="shared" si="45"/>
        <v>LÂMPADA FLUORESCENTE 40 W</v>
      </c>
      <c r="F629" s="56" t="str">
        <f t="shared" si="46"/>
        <v>UND</v>
      </c>
      <c r="G629">
        <f t="shared" si="47"/>
        <v>30.98</v>
      </c>
      <c r="H629">
        <f t="shared" si="48"/>
        <v>23.25</v>
      </c>
      <c r="I629">
        <f t="shared" si="49"/>
        <v>23.25</v>
      </c>
    </row>
    <row r="630" spans="1:9">
      <c r="A630" s="372">
        <v>150937</v>
      </c>
      <c r="B630" s="241" t="s">
        <v>1461</v>
      </c>
      <c r="C630" s="221" t="s">
        <v>112</v>
      </c>
      <c r="D630" s="241">
        <v>5.21</v>
      </c>
      <c r="E630" s="56" t="str">
        <f t="shared" si="45"/>
        <v>ARAME DE AÇO 14 BWG PARA GUIA</v>
      </c>
      <c r="F630" s="56" t="str">
        <f t="shared" si="46"/>
        <v>M</v>
      </c>
      <c r="G630">
        <f t="shared" si="47"/>
        <v>6.94</v>
      </c>
      <c r="H630">
        <f t="shared" si="48"/>
        <v>5.21</v>
      </c>
      <c r="I630">
        <f t="shared" si="49"/>
        <v>5.21</v>
      </c>
    </row>
    <row r="631" spans="1:9">
      <c r="A631" s="372">
        <v>150964</v>
      </c>
      <c r="B631" s="241" t="s">
        <v>1462</v>
      </c>
      <c r="C631" s="221" t="s">
        <v>115</v>
      </c>
      <c r="D631" s="241">
        <v>23.25</v>
      </c>
      <c r="E631" s="56" t="str">
        <f t="shared" si="45"/>
        <v>LÂMPADA FLUORESCENTE DE 20W</v>
      </c>
      <c r="F631" s="56" t="str">
        <f t="shared" si="46"/>
        <v>UND</v>
      </c>
      <c r="G631">
        <f t="shared" si="47"/>
        <v>30.98</v>
      </c>
      <c r="H631">
        <f t="shared" si="48"/>
        <v>23.25</v>
      </c>
      <c r="I631">
        <f t="shared" si="49"/>
        <v>23.25</v>
      </c>
    </row>
    <row r="632" spans="1:9">
      <c r="A632" s="372">
        <v>150967</v>
      </c>
      <c r="B632" s="241" t="s">
        <v>1463</v>
      </c>
      <c r="C632" s="221" t="s">
        <v>115</v>
      </c>
      <c r="D632" s="241">
        <v>7.49</v>
      </c>
      <c r="E632" s="56" t="str">
        <f t="shared" si="45"/>
        <v>SOQUETE PARA LÂMPADA FLUORESCENTE</v>
      </c>
      <c r="F632" s="56" t="str">
        <f t="shared" si="46"/>
        <v>UND</v>
      </c>
      <c r="G632">
        <f t="shared" si="47"/>
        <v>9.98</v>
      </c>
      <c r="H632">
        <f t="shared" si="48"/>
        <v>7.49</v>
      </c>
      <c r="I632">
        <f t="shared" si="49"/>
        <v>7.49</v>
      </c>
    </row>
    <row r="633" spans="1:9" ht="28.8">
      <c r="A633" s="372">
        <v>1510</v>
      </c>
      <c r="B633" s="241" t="s">
        <v>1464</v>
      </c>
      <c r="C633" s="221"/>
      <c r="D633" s="241"/>
      <c r="E633" s="56" t="str">
        <f t="shared" si="45"/>
        <v>CAIXAS DE PASSAGEM EMPREGANDO ARGAMASSA DE CIMENTO, CAL E AREIA</v>
      </c>
      <c r="F633" s="56" t="str">
        <f t="shared" si="46"/>
        <v/>
      </c>
      <c r="G633">
        <f t="shared" si="47"/>
        <v>0</v>
      </c>
      <c r="H633">
        <f t="shared" si="48"/>
        <v>0</v>
      </c>
      <c r="I633">
        <f t="shared" si="49"/>
        <v>0</v>
      </c>
    </row>
    <row r="634" spans="1:9" ht="72">
      <c r="A634" s="372">
        <v>151001</v>
      </c>
      <c r="B634" s="241" t="s">
        <v>1465</v>
      </c>
      <c r="C634" s="221" t="s">
        <v>115</v>
      </c>
      <c r="D634" s="241">
        <v>146.04</v>
      </c>
      <c r="E634" s="56" t="str">
        <f t="shared" si="45"/>
        <v>CAIXA DE PASSAGEM DE ALVENARIA DE BLOCOS CERÂMICOS 10 FUROS 10X20X20CM DIMENSÕES DE 25X25X25CM, COM REVESTIMENTO INTERNO EM CHAPISCO E REBOCO, TAMPA DE CONCRETO ESP.5CM E LASTRO DE BRITA 5 CM</v>
      </c>
      <c r="F634" s="56" t="str">
        <f t="shared" si="46"/>
        <v>UND</v>
      </c>
      <c r="G634">
        <f t="shared" si="47"/>
        <v>194.6</v>
      </c>
      <c r="H634">
        <f t="shared" si="48"/>
        <v>146.04</v>
      </c>
      <c r="I634">
        <f t="shared" si="49"/>
        <v>146.04</v>
      </c>
    </row>
    <row r="635" spans="1:9" ht="72">
      <c r="A635" s="372">
        <v>151002</v>
      </c>
      <c r="B635" s="241" t="s">
        <v>1466</v>
      </c>
      <c r="C635" s="221" t="s">
        <v>115</v>
      </c>
      <c r="D635" s="241">
        <v>329.37</v>
      </c>
      <c r="E635" s="56" t="str">
        <f t="shared" si="45"/>
        <v>CAIXA DE PASSAGEM DE ALVENARIA DE BLOCOS CERÂMICOS 10 FUROS 10X20X20CM DIMENSÕES DE 50X50X50CM, COM REVESTIMENTO INTERNO EM CHAPISCO E REBOCO, TAMPA DE CONCRETO ESP.5CM E LASTRO DE BRITA 5 CM</v>
      </c>
      <c r="F635" s="56" t="str">
        <f t="shared" si="46"/>
        <v>UND</v>
      </c>
      <c r="G635">
        <f t="shared" si="47"/>
        <v>438.89</v>
      </c>
      <c r="H635">
        <f t="shared" si="48"/>
        <v>329.37</v>
      </c>
      <c r="I635">
        <f t="shared" si="49"/>
        <v>329.37</v>
      </c>
    </row>
    <row r="636" spans="1:9" ht="72">
      <c r="A636" s="372">
        <v>151003</v>
      </c>
      <c r="B636" s="241" t="s">
        <v>1467</v>
      </c>
      <c r="C636" s="221" t="s">
        <v>115</v>
      </c>
      <c r="D636" s="241">
        <v>145.11000000000001</v>
      </c>
      <c r="E636" s="56" t="str">
        <f t="shared" si="45"/>
        <v>CAIXA DE PASSAGEM DE ALVENARIA DE BLOCOS CERÂMICOS 10 FUROS 10X20X20CM, DIMENSÃO DE 30X30X30CM, COM REVESTIMENTO INTERNO EM CHAPISCO E REBOCO, TAMPA DE CONCRETO ESP. 5CM E LASTRO DE BRITA 5CM</v>
      </c>
      <c r="F636" s="56" t="str">
        <f t="shared" si="46"/>
        <v>UND</v>
      </c>
      <c r="G636">
        <f t="shared" si="47"/>
        <v>193.36</v>
      </c>
      <c r="H636">
        <f t="shared" si="48"/>
        <v>145.11000000000001</v>
      </c>
      <c r="I636">
        <f t="shared" si="49"/>
        <v>145.11000000000001</v>
      </c>
    </row>
    <row r="637" spans="1:9" ht="72">
      <c r="A637" s="372">
        <v>151015</v>
      </c>
      <c r="B637" s="241" t="s">
        <v>1468</v>
      </c>
      <c r="C637" s="221" t="s">
        <v>115</v>
      </c>
      <c r="D637" s="241">
        <v>253.31</v>
      </c>
      <c r="E637" s="56" t="str">
        <f t="shared" si="45"/>
        <v>CAIXA DE INSPEÇÃO DE ALVENARIA DE BLOCOS CERÂMICOS 10 FUROS 10X20X20CM DIMENSÕES DE 30X30X60CM, COM REVESTIMENTO INTERNO EM CHAPISCO E REBOCO, TAMPA DE CONCRETO ESP.5CM E LASTRO DE BRITA 5 CM</v>
      </c>
      <c r="F637" s="56" t="str">
        <f t="shared" si="46"/>
        <v>UND</v>
      </c>
      <c r="G637">
        <f t="shared" si="47"/>
        <v>337.54</v>
      </c>
      <c r="H637">
        <f t="shared" si="48"/>
        <v>253.31</v>
      </c>
      <c r="I637">
        <f t="shared" si="49"/>
        <v>253.31</v>
      </c>
    </row>
    <row r="638" spans="1:9" ht="72">
      <c r="A638" s="372">
        <v>151016</v>
      </c>
      <c r="B638" s="241" t="s">
        <v>1469</v>
      </c>
      <c r="C638" s="221" t="s">
        <v>115</v>
      </c>
      <c r="D638" s="241">
        <v>765.22</v>
      </c>
      <c r="E638" s="56" t="str">
        <f t="shared" si="45"/>
        <v>CAIXA DE PASSAGEM DE ALVENARIA DE BLOCOS DE CONCRETO 9X19X39CM, DIMENSÕES DE 80X80X80M, COM REVESTIMENTO INTERNO EM CHAPISCO E REBOCO TAMPA DE CONCRETO ESP. 5CM E LASTRO DE BRITA 5CM</v>
      </c>
      <c r="F638" s="56" t="str">
        <f t="shared" si="46"/>
        <v>UND</v>
      </c>
      <c r="G638">
        <f t="shared" si="47"/>
        <v>1019.66</v>
      </c>
      <c r="H638">
        <f t="shared" si="48"/>
        <v>765.22</v>
      </c>
      <c r="I638">
        <f t="shared" si="49"/>
        <v>765.22</v>
      </c>
    </row>
    <row r="639" spans="1:9" ht="72">
      <c r="A639" s="372">
        <v>151017</v>
      </c>
      <c r="B639" s="241" t="s">
        <v>1470</v>
      </c>
      <c r="C639" s="221" t="s">
        <v>115</v>
      </c>
      <c r="D639" s="241">
        <v>1162.57</v>
      </c>
      <c r="E639" s="56" t="str">
        <f t="shared" si="45"/>
        <v>CAIXA DE PASSAGEM DE ALVENARIA DE BLOCOS DE CONCRETO 9X19X39CM, DIMENSÕES DE 1.00X1.00X1.00M, COM REVESTIMENTO INTERNO EM CHAPISCO E REBOCO TAMPA DE CONCRETO ESP. 5CM E LASTRO DE BRITA 5CM</v>
      </c>
      <c r="F639" s="56" t="str">
        <f t="shared" si="46"/>
        <v>UND</v>
      </c>
      <c r="G639">
        <f t="shared" si="47"/>
        <v>1549.12</v>
      </c>
      <c r="H639">
        <f t="shared" si="48"/>
        <v>1162.57</v>
      </c>
      <c r="I639">
        <f t="shared" si="49"/>
        <v>1162.57</v>
      </c>
    </row>
    <row r="640" spans="1:9">
      <c r="A640" s="372">
        <v>1511</v>
      </c>
      <c r="B640" s="241" t="s">
        <v>1471</v>
      </c>
      <c r="C640" s="221"/>
      <c r="D640" s="241"/>
      <c r="E640" s="56" t="str">
        <f t="shared" si="45"/>
        <v>ELETRODUTOS E CONEXÕES</v>
      </c>
      <c r="F640" s="56" t="str">
        <f t="shared" si="46"/>
        <v/>
      </c>
      <c r="G640">
        <f t="shared" si="47"/>
        <v>0</v>
      </c>
      <c r="H640">
        <f t="shared" si="48"/>
        <v>0</v>
      </c>
      <c r="I640">
        <f t="shared" si="49"/>
        <v>0</v>
      </c>
    </row>
    <row r="641" spans="1:9" ht="28.8">
      <c r="A641" s="372">
        <v>151125</v>
      </c>
      <c r="B641" s="241" t="s">
        <v>27173</v>
      </c>
      <c r="C641" s="221" t="s">
        <v>112</v>
      </c>
      <c r="D641" s="241">
        <v>18.07</v>
      </c>
      <c r="E641" s="56" t="str">
        <f t="shared" ref="E641:E704" si="50">UPPER(B641)</f>
        <v>ELETRODUTO DE PVC RÍGIDO ROSCÁVEL, DIÂMETRO 1/2", INCLUSIVE CONEXÕES</v>
      </c>
      <c r="F641" s="56" t="str">
        <f t="shared" ref="F641:F704" si="51">UPPER(C641)</f>
        <v>M</v>
      </c>
      <c r="G641">
        <f t="shared" si="47"/>
        <v>24.08</v>
      </c>
      <c r="H641">
        <f t="shared" si="48"/>
        <v>18.07</v>
      </c>
      <c r="I641">
        <f t="shared" si="49"/>
        <v>18.07</v>
      </c>
    </row>
    <row r="642" spans="1:9" ht="28.8">
      <c r="A642" s="371">
        <v>151126</v>
      </c>
      <c r="B642" s="240" t="s">
        <v>27174</v>
      </c>
      <c r="C642" s="221" t="s">
        <v>112</v>
      </c>
      <c r="D642" s="241">
        <v>18.93</v>
      </c>
      <c r="E642" s="56" t="str">
        <f t="shared" si="50"/>
        <v>ELETRODUTO DE PVC RÍGIDO ROSCÁVEL, DIÂMETRO 3/4", INCLUSIVE CONEXÕES</v>
      </c>
      <c r="F642" s="56" t="str">
        <f t="shared" si="51"/>
        <v>M</v>
      </c>
      <c r="G642">
        <f t="shared" si="47"/>
        <v>25.22</v>
      </c>
      <c r="H642">
        <f t="shared" si="48"/>
        <v>18.93</v>
      </c>
      <c r="I642">
        <f t="shared" si="49"/>
        <v>18.93</v>
      </c>
    </row>
    <row r="643" spans="1:9" ht="28.8">
      <c r="A643" s="372">
        <v>151127</v>
      </c>
      <c r="B643" s="241" t="s">
        <v>27175</v>
      </c>
      <c r="C643" s="221" t="s">
        <v>112</v>
      </c>
      <c r="D643" s="241">
        <v>20.34</v>
      </c>
      <c r="E643" s="56" t="str">
        <f t="shared" si="50"/>
        <v>ELETRODUTO DE PVC RÍGIDO ROSCÁVEL, DIÂMETRO 1", INCLUSIVE CONEXÕES</v>
      </c>
      <c r="F643" s="56" t="str">
        <f t="shared" si="51"/>
        <v>M</v>
      </c>
      <c r="G643">
        <f t="shared" si="47"/>
        <v>27.1</v>
      </c>
      <c r="H643">
        <f t="shared" si="48"/>
        <v>20.34</v>
      </c>
      <c r="I643">
        <f t="shared" si="49"/>
        <v>20.34</v>
      </c>
    </row>
    <row r="644" spans="1:9" ht="28.8">
      <c r="A644" s="372">
        <v>151128</v>
      </c>
      <c r="B644" s="241" t="s">
        <v>27176</v>
      </c>
      <c r="C644" s="221" t="s">
        <v>112</v>
      </c>
      <c r="D644" s="241">
        <v>31.55</v>
      </c>
      <c r="E644" s="56" t="str">
        <f t="shared" si="50"/>
        <v>ELETRODUTO DE PVC RÍGIDO ROSCÁVEL, DIÂMETRO 1.1/4", INCLUSIVE CONEXÕES</v>
      </c>
      <c r="F644" s="56" t="str">
        <f t="shared" si="51"/>
        <v>M</v>
      </c>
      <c r="G644">
        <f t="shared" si="47"/>
        <v>42.04</v>
      </c>
      <c r="H644">
        <f t="shared" si="48"/>
        <v>31.55</v>
      </c>
      <c r="I644">
        <f t="shared" si="49"/>
        <v>31.55</v>
      </c>
    </row>
    <row r="645" spans="1:9" ht="28.8">
      <c r="A645" s="372">
        <v>151129</v>
      </c>
      <c r="B645" s="241" t="s">
        <v>27177</v>
      </c>
      <c r="C645" s="221" t="s">
        <v>112</v>
      </c>
      <c r="D645" s="241">
        <v>34.17</v>
      </c>
      <c r="E645" s="56" t="str">
        <f t="shared" si="50"/>
        <v>ELETRODUTO DE PVC RÍGIDO ROSCÁVEL, DIÂMETRO 1.1/2", INCLUSIVE CONEXÕES</v>
      </c>
      <c r="F645" s="56" t="str">
        <f t="shared" si="51"/>
        <v>M</v>
      </c>
      <c r="G645">
        <f t="shared" si="47"/>
        <v>45.53</v>
      </c>
      <c r="H645">
        <f t="shared" si="48"/>
        <v>34.17</v>
      </c>
      <c r="I645">
        <f t="shared" si="49"/>
        <v>34.17</v>
      </c>
    </row>
    <row r="646" spans="1:9" ht="28.8">
      <c r="A646" s="372">
        <v>151130</v>
      </c>
      <c r="B646" s="241" t="s">
        <v>27178</v>
      </c>
      <c r="C646" s="221" t="s">
        <v>112</v>
      </c>
      <c r="D646" s="241">
        <v>36.86</v>
      </c>
      <c r="E646" s="56" t="str">
        <f t="shared" si="50"/>
        <v>ELETRODUTO DE PVC RÍGIDO ROSCÁVEL, DIÂMETRO 2", INCLUSIVE CONEXÕES</v>
      </c>
      <c r="F646" s="56" t="str">
        <f t="shared" si="51"/>
        <v>M</v>
      </c>
      <c r="G646">
        <f t="shared" si="47"/>
        <v>49.12</v>
      </c>
      <c r="H646">
        <f t="shared" si="48"/>
        <v>36.86</v>
      </c>
      <c r="I646">
        <f t="shared" si="49"/>
        <v>36.86</v>
      </c>
    </row>
    <row r="647" spans="1:9" ht="28.8">
      <c r="A647" s="372">
        <v>151131</v>
      </c>
      <c r="B647" s="241" t="s">
        <v>27179</v>
      </c>
      <c r="C647" s="221" t="s">
        <v>112</v>
      </c>
      <c r="D647" s="241">
        <v>68.03</v>
      </c>
      <c r="E647" s="56" t="str">
        <f t="shared" si="50"/>
        <v>ELETRODUTO DE PVC RÍGIDO ROSCÁVEL, DIÂMETRO 3", INCLUSIVE CONEXÕES</v>
      </c>
      <c r="F647" s="56" t="str">
        <f t="shared" si="51"/>
        <v>M</v>
      </c>
      <c r="G647">
        <f t="shared" si="47"/>
        <v>90.65</v>
      </c>
      <c r="H647">
        <f t="shared" si="48"/>
        <v>68.03</v>
      </c>
      <c r="I647">
        <f t="shared" si="49"/>
        <v>68.03</v>
      </c>
    </row>
    <row r="648" spans="1:9" ht="28.8">
      <c r="A648" s="500">
        <v>151132</v>
      </c>
      <c r="B648" s="241" t="s">
        <v>27180</v>
      </c>
      <c r="C648" s="221" t="s">
        <v>112</v>
      </c>
      <c r="D648" s="241">
        <v>6.59</v>
      </c>
      <c r="E648" s="56" t="str">
        <f t="shared" si="50"/>
        <v>ELETRODUTO FLEXÍVEL CORRUGADO DIÂMETRO 3/4", AMARELO ? TIGREFLEX OU EQUIVALENTE</v>
      </c>
      <c r="F648" s="56" t="str">
        <f t="shared" si="51"/>
        <v>M</v>
      </c>
      <c r="G648">
        <f t="shared" ref="G648:G711" si="52">ROUND(H648*(1+$G$1),2)</f>
        <v>8.7799999999999994</v>
      </c>
      <c r="H648">
        <f t="shared" ref="H648:H711" si="53">I648</f>
        <v>6.59</v>
      </c>
      <c r="I648">
        <f t="shared" ref="I648:I711" si="54">ROUND(D648/(1+$E$1),2)</f>
        <v>6.59</v>
      </c>
    </row>
    <row r="649" spans="1:9" ht="28.8">
      <c r="A649" s="500">
        <v>151133</v>
      </c>
      <c r="B649" s="241" t="s">
        <v>27181</v>
      </c>
      <c r="C649" s="221" t="s">
        <v>112</v>
      </c>
      <c r="D649" s="241">
        <v>8.07</v>
      </c>
      <c r="E649" s="56" t="str">
        <f t="shared" si="50"/>
        <v>ELETRODUTO FLEXÍVEL CORRUGADO DIÂMETRO 1", AMARELO ? TIGREFLEX OU EQUIVALENTE</v>
      </c>
      <c r="F649" s="56" t="str">
        <f t="shared" si="51"/>
        <v>M</v>
      </c>
      <c r="G649">
        <f t="shared" si="52"/>
        <v>10.75</v>
      </c>
      <c r="H649">
        <f t="shared" si="53"/>
        <v>8.07</v>
      </c>
      <c r="I649">
        <f t="shared" si="54"/>
        <v>8.07</v>
      </c>
    </row>
    <row r="650" spans="1:9" ht="28.8">
      <c r="A650" s="500">
        <v>151135</v>
      </c>
      <c r="B650" s="241" t="s">
        <v>27182</v>
      </c>
      <c r="C650" s="221" t="s">
        <v>112</v>
      </c>
      <c r="D650" s="241">
        <v>90.59</v>
      </c>
      <c r="E650" s="56" t="str">
        <f t="shared" si="50"/>
        <v>ELETRODUTO DE PVC RÍGIDO ROSCÁVEL, DIÂMETRO 4", INCLUSIVE CONEXÕES</v>
      </c>
      <c r="F650" s="56" t="str">
        <f t="shared" si="51"/>
        <v>M</v>
      </c>
      <c r="G650">
        <f t="shared" si="52"/>
        <v>120.71</v>
      </c>
      <c r="H650">
        <f t="shared" si="53"/>
        <v>90.59</v>
      </c>
      <c r="I650">
        <f t="shared" si="54"/>
        <v>90.59</v>
      </c>
    </row>
    <row r="651" spans="1:9" ht="28.8">
      <c r="A651" s="372">
        <v>151136</v>
      </c>
      <c r="B651" s="241" t="s">
        <v>27183</v>
      </c>
      <c r="C651" s="221" t="s">
        <v>112</v>
      </c>
      <c r="D651" s="241">
        <v>261.37</v>
      </c>
      <c r="E651" s="56" t="str">
        <f t="shared" si="50"/>
        <v>ELETRODUTO DE PVC RÍGIDO ROSCÁVEL, DIÂMETRO 6", INCLUSIVE CONEXÕES</v>
      </c>
      <c r="F651" s="56" t="str">
        <f t="shared" si="51"/>
        <v>M</v>
      </c>
      <c r="G651">
        <f t="shared" si="52"/>
        <v>348.28</v>
      </c>
      <c r="H651">
        <f t="shared" si="53"/>
        <v>261.37</v>
      </c>
      <c r="I651">
        <f t="shared" si="54"/>
        <v>261.37</v>
      </c>
    </row>
    <row r="652" spans="1:9" ht="43.2">
      <c r="A652" s="372">
        <v>151137</v>
      </c>
      <c r="B652" s="241" t="s">
        <v>27184</v>
      </c>
      <c r="C652" s="221" t="s">
        <v>112</v>
      </c>
      <c r="D652" s="241">
        <v>28.49</v>
      </c>
      <c r="E652" s="56" t="str">
        <f t="shared" si="50"/>
        <v>ELETRODUTO PEAD PAREDE SIMPLES, CORRUGADO, COR PRETA, DIÂMETRO 1.1/2", REFERENCIA KANAFLEX, PLASTIBRAS OU EQUIVALENTE</v>
      </c>
      <c r="F652" s="56" t="str">
        <f t="shared" si="51"/>
        <v>M</v>
      </c>
      <c r="G652">
        <f t="shared" si="52"/>
        <v>37.96</v>
      </c>
      <c r="H652">
        <f t="shared" si="53"/>
        <v>28.49</v>
      </c>
      <c r="I652">
        <f t="shared" si="54"/>
        <v>28.49</v>
      </c>
    </row>
    <row r="653" spans="1:9" ht="43.2">
      <c r="A653" s="372">
        <v>151138</v>
      </c>
      <c r="B653" s="241" t="s">
        <v>27185</v>
      </c>
      <c r="C653" s="221" t="s">
        <v>112</v>
      </c>
      <c r="D653" s="241">
        <v>25.51</v>
      </c>
      <c r="E653" s="56" t="str">
        <f t="shared" si="50"/>
        <v>ELETRODUTO PEAD PAREDE SIMPLES, CORRUGADO, COR PRETA, DIÂMETRO 1.1/4", REFERENCIA KANAFLEX, PLASTIBRAS OU EQUIVALENTE</v>
      </c>
      <c r="F653" s="56" t="str">
        <f t="shared" si="51"/>
        <v>M</v>
      </c>
      <c r="G653">
        <f t="shared" si="52"/>
        <v>33.99</v>
      </c>
      <c r="H653">
        <f t="shared" si="53"/>
        <v>25.51</v>
      </c>
      <c r="I653">
        <f t="shared" si="54"/>
        <v>25.51</v>
      </c>
    </row>
    <row r="654" spans="1:9" ht="43.2">
      <c r="A654" s="372">
        <v>151139</v>
      </c>
      <c r="B654" s="241" t="s">
        <v>27186</v>
      </c>
      <c r="C654" s="221" t="s">
        <v>112</v>
      </c>
      <c r="D654" s="241">
        <v>29.95</v>
      </c>
      <c r="E654" s="56" t="str">
        <f t="shared" si="50"/>
        <v>ELETRODUTO PEAD PAREDE SIMPLES, CORRUGADO, COR PRETA, DIÂMETRO 2", REFERENCIA KANAFLEX, PLASTIBRAS OU EQUIVALENTE</v>
      </c>
      <c r="F654" s="56" t="str">
        <f t="shared" si="51"/>
        <v>M</v>
      </c>
      <c r="G654">
        <f t="shared" si="52"/>
        <v>39.909999999999997</v>
      </c>
      <c r="H654">
        <f t="shared" si="53"/>
        <v>29.95</v>
      </c>
      <c r="I654">
        <f t="shared" si="54"/>
        <v>29.95</v>
      </c>
    </row>
    <row r="655" spans="1:9" ht="43.2">
      <c r="A655" s="500">
        <v>151140</v>
      </c>
      <c r="B655" s="241" t="s">
        <v>27187</v>
      </c>
      <c r="C655" s="221" t="s">
        <v>112</v>
      </c>
      <c r="D655" s="241">
        <v>47.89</v>
      </c>
      <c r="E655" s="56" t="str">
        <f t="shared" si="50"/>
        <v>ELETRODUTO PEAD PAREDE SIMPLES, CORRUGADO, COR PRETA, DIÂMETRO 3", REFERENCIA KANAFLEX, PLASTIBRAS OU EQUIVALENTE</v>
      </c>
      <c r="F655" s="56" t="str">
        <f t="shared" si="51"/>
        <v>M</v>
      </c>
      <c r="G655">
        <f t="shared" si="52"/>
        <v>63.81</v>
      </c>
      <c r="H655">
        <f t="shared" si="53"/>
        <v>47.89</v>
      </c>
      <c r="I655">
        <f t="shared" si="54"/>
        <v>47.89</v>
      </c>
    </row>
    <row r="656" spans="1:9" ht="43.2">
      <c r="A656" s="500">
        <v>151141</v>
      </c>
      <c r="B656" s="241" t="s">
        <v>27188</v>
      </c>
      <c r="C656" s="221" t="s">
        <v>112</v>
      </c>
      <c r="D656" s="594">
        <v>65.510000000000005</v>
      </c>
      <c r="E656" s="56" t="str">
        <f t="shared" si="50"/>
        <v>ELETRODUTO PEAD PAREDE SIMPLES, CORRUGADO, COR PRETA, DIÂMETRO 4", REFERENCIA KANAFLEX, PLASTIBRAS OU EQUIVALENTE</v>
      </c>
      <c r="F656" s="56" t="str">
        <f t="shared" si="51"/>
        <v>M</v>
      </c>
      <c r="G656">
        <f t="shared" si="52"/>
        <v>87.29</v>
      </c>
      <c r="H656">
        <f t="shared" si="53"/>
        <v>65.510000000000005</v>
      </c>
      <c r="I656">
        <f t="shared" si="54"/>
        <v>65.510000000000005</v>
      </c>
    </row>
    <row r="657" spans="1:9" ht="43.2">
      <c r="A657" s="372">
        <v>151142</v>
      </c>
      <c r="B657" s="241" t="s">
        <v>27189</v>
      </c>
      <c r="C657" s="221" t="s">
        <v>112</v>
      </c>
      <c r="D657" s="241">
        <v>114.69</v>
      </c>
      <c r="E657" s="56" t="str">
        <f t="shared" si="50"/>
        <v>ELETRODUTO PEAD PAREDE SIMPLES, CORRUGADO, COR PRETA, DIÂMETRO 6", REFERENCIA KANAFLEX, PLASTIBRAS OU EQUIVALENTE</v>
      </c>
      <c r="F657" s="56" t="str">
        <f t="shared" si="51"/>
        <v>M</v>
      </c>
      <c r="G657">
        <f t="shared" si="52"/>
        <v>152.82</v>
      </c>
      <c r="H657">
        <f t="shared" si="53"/>
        <v>114.69</v>
      </c>
      <c r="I657">
        <f t="shared" si="54"/>
        <v>114.69</v>
      </c>
    </row>
    <row r="658" spans="1:9">
      <c r="A658" s="372">
        <v>1513</v>
      </c>
      <c r="B658" s="241" t="s">
        <v>1775</v>
      </c>
      <c r="C658" s="221"/>
      <c r="D658" s="241"/>
      <c r="E658" s="56" t="str">
        <f t="shared" si="50"/>
        <v>CHAVES, FUSIVEIS E DISJUNTORES</v>
      </c>
      <c r="F658" s="56" t="str">
        <f t="shared" si="51"/>
        <v/>
      </c>
      <c r="G658">
        <f t="shared" si="52"/>
        <v>0</v>
      </c>
      <c r="H658">
        <f t="shared" si="53"/>
        <v>0</v>
      </c>
      <c r="I658">
        <f t="shared" si="54"/>
        <v>0</v>
      </c>
    </row>
    <row r="659" spans="1:9" ht="43.2">
      <c r="A659" s="372">
        <v>151301</v>
      </c>
      <c r="B659" s="241" t="s">
        <v>27190</v>
      </c>
      <c r="C659" s="221" t="s">
        <v>115</v>
      </c>
      <c r="D659" s="241">
        <v>24.96</v>
      </c>
      <c r="E659" s="56" t="str">
        <f t="shared" si="50"/>
        <v>MINI-DISJUNTOR MONOPOLAR 16A, CURVA C, 5KA, 127/220VCA, REFERÊNCIA SIEMENS, GE, SCHNEIDER OU EQUIVALENTE</v>
      </c>
      <c r="F659" s="56" t="str">
        <f t="shared" si="51"/>
        <v>UND</v>
      </c>
      <c r="G659">
        <f t="shared" si="52"/>
        <v>33.26</v>
      </c>
      <c r="H659">
        <f t="shared" si="53"/>
        <v>24.96</v>
      </c>
      <c r="I659">
        <f t="shared" si="54"/>
        <v>24.96</v>
      </c>
    </row>
    <row r="660" spans="1:9" ht="43.2">
      <c r="A660" s="372">
        <v>151302</v>
      </c>
      <c r="B660" s="241" t="s">
        <v>27191</v>
      </c>
      <c r="C660" s="221" t="s">
        <v>115</v>
      </c>
      <c r="D660" s="241">
        <v>24.96</v>
      </c>
      <c r="E660" s="56" t="str">
        <f t="shared" si="50"/>
        <v>MINI-DISJUNTOR MONOPOLAR 20A, CURVA C, 5KA, 127/220VCA, REFERÊNCIA SIEMENS, GE, SCHNEIDER OU EQUIVALENTE</v>
      </c>
      <c r="F660" s="56" t="str">
        <f t="shared" si="51"/>
        <v>UND</v>
      </c>
      <c r="G660">
        <f t="shared" si="52"/>
        <v>33.26</v>
      </c>
      <c r="H660">
        <f t="shared" si="53"/>
        <v>24.96</v>
      </c>
      <c r="I660">
        <f t="shared" si="54"/>
        <v>24.96</v>
      </c>
    </row>
    <row r="661" spans="1:9" ht="43.2">
      <c r="A661" s="372">
        <v>151303</v>
      </c>
      <c r="B661" s="241" t="s">
        <v>27192</v>
      </c>
      <c r="C661" s="221" t="s">
        <v>115</v>
      </c>
      <c r="D661" s="241">
        <v>24.96</v>
      </c>
      <c r="E661" s="56" t="str">
        <f t="shared" si="50"/>
        <v>MINI-DISJUNTOR MONOPOLAR 25A, CURVA C, 5KA, 127/220VCA, REFERÊNCIA SIEMENS, GE, SCHNEIDER OU EQUIVALENTE</v>
      </c>
      <c r="F661" s="56" t="str">
        <f t="shared" si="51"/>
        <v>UND</v>
      </c>
      <c r="G661">
        <f t="shared" si="52"/>
        <v>33.26</v>
      </c>
      <c r="H661">
        <f t="shared" si="53"/>
        <v>24.96</v>
      </c>
      <c r="I661">
        <f t="shared" si="54"/>
        <v>24.96</v>
      </c>
    </row>
    <row r="662" spans="1:9" ht="43.2">
      <c r="A662" s="372">
        <v>151304</v>
      </c>
      <c r="B662" s="241" t="s">
        <v>27193</v>
      </c>
      <c r="C662" s="221" t="s">
        <v>115</v>
      </c>
      <c r="D662" s="241">
        <v>24.96</v>
      </c>
      <c r="E662" s="56" t="str">
        <f t="shared" si="50"/>
        <v>MINI-DISJUNTOR MONOPOLAR 32A, CURVA C, 5KA, 127/220VCA, REFERÊNCIA SIEMENS, GE, SCHNEIDER OU EQUIVALENTE</v>
      </c>
      <c r="F662" s="56" t="str">
        <f t="shared" si="51"/>
        <v>UND</v>
      </c>
      <c r="G662">
        <f t="shared" si="52"/>
        <v>33.26</v>
      </c>
      <c r="H662">
        <f t="shared" si="53"/>
        <v>24.96</v>
      </c>
      <c r="I662">
        <f t="shared" si="54"/>
        <v>24.96</v>
      </c>
    </row>
    <row r="663" spans="1:9" ht="43.2">
      <c r="A663" s="372">
        <v>151305</v>
      </c>
      <c r="B663" s="241" t="s">
        <v>27194</v>
      </c>
      <c r="C663" s="221" t="s">
        <v>115</v>
      </c>
      <c r="D663" s="241">
        <v>27.84</v>
      </c>
      <c r="E663" s="56" t="str">
        <f t="shared" si="50"/>
        <v>MINI-DISJUNTOR MONOPOLAR 40A, CURVA C, 5KA, 127/220VCA, REFERÊNCIA SIEMENS, GE, SCHNEIDER OU EQUIVALENTE</v>
      </c>
      <c r="F663" s="56" t="str">
        <f t="shared" si="51"/>
        <v>UND</v>
      </c>
      <c r="G663">
        <f t="shared" si="52"/>
        <v>37.1</v>
      </c>
      <c r="H663">
        <f t="shared" si="53"/>
        <v>27.84</v>
      </c>
      <c r="I663">
        <f t="shared" si="54"/>
        <v>27.84</v>
      </c>
    </row>
    <row r="664" spans="1:9" ht="43.2">
      <c r="A664" s="372">
        <v>151306</v>
      </c>
      <c r="B664" s="241" t="s">
        <v>27195</v>
      </c>
      <c r="C664" s="221" t="s">
        <v>115</v>
      </c>
      <c r="D664" s="241">
        <v>63.95</v>
      </c>
      <c r="E664" s="56" t="str">
        <f t="shared" si="50"/>
        <v>MINI-DISJUNTOR BIPOLAR 16A, CURVA C, 5KA, 127/220VCA, REFERÊNCIA SIEMENS, GE, SCHNEIDER OU EQUIVALENTE</v>
      </c>
      <c r="F664" s="56" t="str">
        <f t="shared" si="51"/>
        <v>UND</v>
      </c>
      <c r="G664">
        <f t="shared" si="52"/>
        <v>85.21</v>
      </c>
      <c r="H664">
        <f t="shared" si="53"/>
        <v>63.95</v>
      </c>
      <c r="I664">
        <f t="shared" si="54"/>
        <v>63.95</v>
      </c>
    </row>
    <row r="665" spans="1:9" ht="43.2">
      <c r="A665" s="372">
        <v>151307</v>
      </c>
      <c r="B665" s="241" t="s">
        <v>27196</v>
      </c>
      <c r="C665" s="221" t="s">
        <v>115</v>
      </c>
      <c r="D665" s="241">
        <v>63.95</v>
      </c>
      <c r="E665" s="56" t="str">
        <f t="shared" si="50"/>
        <v>MINI-DISJUNTOR BIPOLAR 20A, CURVA C, 5KA, 127/220VCA, REFERÊNCIA SIEMENS, GE, SCHNEIDER OU EQUIVALENTE</v>
      </c>
      <c r="F665" s="56" t="str">
        <f t="shared" si="51"/>
        <v>UND</v>
      </c>
      <c r="G665">
        <f t="shared" si="52"/>
        <v>85.21</v>
      </c>
      <c r="H665">
        <f t="shared" si="53"/>
        <v>63.95</v>
      </c>
      <c r="I665">
        <f t="shared" si="54"/>
        <v>63.95</v>
      </c>
    </row>
    <row r="666" spans="1:9" ht="43.2">
      <c r="A666" s="372">
        <v>151308</v>
      </c>
      <c r="B666" s="241" t="s">
        <v>27197</v>
      </c>
      <c r="C666" s="221" t="s">
        <v>115</v>
      </c>
      <c r="D666" s="241">
        <v>71.61</v>
      </c>
      <c r="E666" s="56" t="str">
        <f t="shared" si="50"/>
        <v>MINI-DISJUNTOR BIPOLAR 50A, CURVA C, 5KA, 127/220VCA, REFERÊNCIA SIEMENS, GE, SCHNEIDER OU EQUIVALENTE</v>
      </c>
      <c r="F666" s="56" t="str">
        <f t="shared" si="51"/>
        <v>UND</v>
      </c>
      <c r="G666">
        <f t="shared" si="52"/>
        <v>95.42</v>
      </c>
      <c r="H666">
        <f t="shared" si="53"/>
        <v>71.61</v>
      </c>
      <c r="I666">
        <f t="shared" si="54"/>
        <v>71.61</v>
      </c>
    </row>
    <row r="667" spans="1:9" ht="43.2">
      <c r="A667" s="372">
        <v>151309</v>
      </c>
      <c r="B667" s="241" t="s">
        <v>27198</v>
      </c>
      <c r="C667" s="221" t="s">
        <v>115</v>
      </c>
      <c r="D667" s="241">
        <v>91.86</v>
      </c>
      <c r="E667" s="56" t="str">
        <f t="shared" si="50"/>
        <v>MINI-DISJUNTOR TRIPOLAR 16A, CURVA C, 5KA, 127/220VCA, REFERÊNCIA SIEMENS, GE, SCHNEIDER OU EQUIVALENTE</v>
      </c>
      <c r="F667" s="56" t="str">
        <f t="shared" si="51"/>
        <v>UND</v>
      </c>
      <c r="G667">
        <f t="shared" si="52"/>
        <v>122.4</v>
      </c>
      <c r="H667">
        <f t="shared" si="53"/>
        <v>91.86</v>
      </c>
      <c r="I667">
        <f t="shared" si="54"/>
        <v>91.86</v>
      </c>
    </row>
    <row r="668" spans="1:9" ht="43.2">
      <c r="A668" s="372">
        <v>151310</v>
      </c>
      <c r="B668" s="241" t="s">
        <v>27199</v>
      </c>
      <c r="C668" s="221" t="s">
        <v>115</v>
      </c>
      <c r="D668" s="241">
        <v>94.82</v>
      </c>
      <c r="E668" s="56" t="str">
        <f t="shared" si="50"/>
        <v>MINI-DISJUNTOR TRIPOLAR 40A, CURVA C, 5KA, 127/220VCA, REFERÊNCIA SIEMENS, GE, SCHNEIDER OU EQUIVALENTE</v>
      </c>
      <c r="F668" s="56" t="str">
        <f t="shared" si="51"/>
        <v>UND</v>
      </c>
      <c r="G668">
        <f t="shared" si="52"/>
        <v>126.35</v>
      </c>
      <c r="H668">
        <f t="shared" si="53"/>
        <v>94.82</v>
      </c>
      <c r="I668">
        <f t="shared" si="54"/>
        <v>94.82</v>
      </c>
    </row>
    <row r="669" spans="1:9" ht="43.2">
      <c r="A669" s="372">
        <v>151311</v>
      </c>
      <c r="B669" s="241" t="s">
        <v>27200</v>
      </c>
      <c r="C669" s="221" t="s">
        <v>115</v>
      </c>
      <c r="D669" s="241">
        <v>94.82</v>
      </c>
      <c r="E669" s="56" t="str">
        <f t="shared" si="50"/>
        <v>MINI-DISJUNTOR TRIPOLAR 50A, CURVA C, 5KA, 127/220VCA, REFERÊNCIA SIEMENS, GE, SCHNEIDER OU EQUIVALENTE</v>
      </c>
      <c r="F669" s="56" t="str">
        <f t="shared" si="51"/>
        <v>UND</v>
      </c>
      <c r="G669">
        <f t="shared" si="52"/>
        <v>126.35</v>
      </c>
      <c r="H669">
        <f t="shared" si="53"/>
        <v>94.82</v>
      </c>
      <c r="I669">
        <f t="shared" si="54"/>
        <v>94.82</v>
      </c>
    </row>
    <row r="670" spans="1:9" ht="43.2">
      <c r="A670" s="372">
        <v>151313</v>
      </c>
      <c r="B670" s="241" t="s">
        <v>27201</v>
      </c>
      <c r="C670" s="221" t="s">
        <v>115</v>
      </c>
      <c r="D670" s="241">
        <v>232.47</v>
      </c>
      <c r="E670" s="56" t="str">
        <f t="shared" si="50"/>
        <v>MINI-DISJUNTOR TRIPOLAR 90 A, CURVA C, 5KA, 127/220VCA, REFERÊNCIA SIEMENS, GE, SCHNEIDER OU EQUIVALENTE</v>
      </c>
      <c r="F670" s="56" t="str">
        <f t="shared" si="51"/>
        <v>UND</v>
      </c>
      <c r="G670">
        <f t="shared" si="52"/>
        <v>309.77</v>
      </c>
      <c r="H670">
        <f t="shared" si="53"/>
        <v>232.47</v>
      </c>
      <c r="I670">
        <f t="shared" si="54"/>
        <v>232.47</v>
      </c>
    </row>
    <row r="671" spans="1:9" ht="43.2">
      <c r="A671" s="372">
        <v>151314</v>
      </c>
      <c r="B671" s="241" t="s">
        <v>27202</v>
      </c>
      <c r="C671" s="221" t="s">
        <v>115</v>
      </c>
      <c r="D671" s="241">
        <v>408.63</v>
      </c>
      <c r="E671" s="56" t="str">
        <f t="shared" si="50"/>
        <v>MINI-DISJUNTOR TRIPOLAR 100A, CURVA C, 20KA, 127/220VCA, REFERÊNCIA SIEMENS, GE, SCHNEIDER OU EQUIVALENTE</v>
      </c>
      <c r="F671" s="56" t="str">
        <f t="shared" si="51"/>
        <v>UND</v>
      </c>
      <c r="G671">
        <f t="shared" si="52"/>
        <v>544.5</v>
      </c>
      <c r="H671">
        <f t="shared" si="53"/>
        <v>408.63</v>
      </c>
      <c r="I671">
        <f t="shared" si="54"/>
        <v>408.63</v>
      </c>
    </row>
    <row r="672" spans="1:9" ht="43.2">
      <c r="A672" s="372">
        <v>151316</v>
      </c>
      <c r="B672" s="241" t="s">
        <v>27203</v>
      </c>
      <c r="C672" s="221" t="s">
        <v>115</v>
      </c>
      <c r="D672" s="241">
        <v>171.87</v>
      </c>
      <c r="E672" s="56" t="str">
        <f t="shared" si="50"/>
        <v>MINI-DISJUNTOR TRIPOLAR 70A, CURVA C, 5KA, 127/220VCA, REFERÊNCIA SIEMENS, GE, SCHNEIDER OU EQUIVALENTE</v>
      </c>
      <c r="F672" s="56" t="str">
        <f t="shared" si="51"/>
        <v>UND</v>
      </c>
      <c r="G672">
        <f t="shared" si="52"/>
        <v>229.02</v>
      </c>
      <c r="H672">
        <f t="shared" si="53"/>
        <v>171.87</v>
      </c>
      <c r="I672">
        <f t="shared" si="54"/>
        <v>171.87</v>
      </c>
    </row>
    <row r="673" spans="1:9" ht="43.2">
      <c r="A673" s="372">
        <v>151317</v>
      </c>
      <c r="B673" s="241" t="s">
        <v>27204</v>
      </c>
      <c r="C673" s="221" t="s">
        <v>115</v>
      </c>
      <c r="D673" s="241">
        <v>27.95</v>
      </c>
      <c r="E673" s="56" t="str">
        <f t="shared" si="50"/>
        <v>MINI-DISJUNTOR MONOPOLAR 50A, CURVA C, 5KA, 127/220VCA, REFERÊNCIA SIEMENS, GE, SCHNEIDER OU EQUIVALENTE</v>
      </c>
      <c r="F673" s="56" t="str">
        <f t="shared" si="51"/>
        <v>UND</v>
      </c>
      <c r="G673">
        <f t="shared" si="52"/>
        <v>37.24</v>
      </c>
      <c r="H673">
        <f t="shared" si="53"/>
        <v>27.95</v>
      </c>
      <c r="I673">
        <f t="shared" si="54"/>
        <v>27.95</v>
      </c>
    </row>
    <row r="674" spans="1:9" ht="43.2">
      <c r="A674" s="372">
        <v>151318</v>
      </c>
      <c r="B674" s="241" t="s">
        <v>27205</v>
      </c>
      <c r="C674" s="221" t="s">
        <v>115</v>
      </c>
      <c r="D674" s="241">
        <v>30.52</v>
      </c>
      <c r="E674" s="56" t="str">
        <f t="shared" si="50"/>
        <v>MINI-DISJUNTOR MONOPOLAR 63A, CURVA C, 5KA, 127/220VCA, REFERÊNCIA SIEMENS, GE, SCHNEIDER OU EQUIVALENTE</v>
      </c>
      <c r="F674" s="56" t="str">
        <f t="shared" si="51"/>
        <v>UND</v>
      </c>
      <c r="G674">
        <f t="shared" si="52"/>
        <v>40.67</v>
      </c>
      <c r="H674">
        <f t="shared" si="53"/>
        <v>30.52</v>
      </c>
      <c r="I674">
        <f>D674/(1+$E$1)</f>
        <v>30.52</v>
      </c>
    </row>
    <row r="675" spans="1:9" ht="43.2">
      <c r="A675" s="372">
        <v>151319</v>
      </c>
      <c r="B675" s="241" t="s">
        <v>27206</v>
      </c>
      <c r="C675" s="221" t="s">
        <v>115</v>
      </c>
      <c r="D675" s="241">
        <v>38.840000000000003</v>
      </c>
      <c r="E675" s="56" t="str">
        <f t="shared" si="50"/>
        <v>MINI-DISJUNTOR MONOPOLAR 70A, CURVA C, 5KA, 127220VCA, REFERÊNCIA SIEMENS, GE, SCHNEIDER OU EQUIVALENTE</v>
      </c>
      <c r="F675" s="56" t="str">
        <f t="shared" si="51"/>
        <v>UND</v>
      </c>
      <c r="G675">
        <f t="shared" si="52"/>
        <v>51.75</v>
      </c>
      <c r="H675">
        <f t="shared" si="53"/>
        <v>38.840000000000003</v>
      </c>
      <c r="I675">
        <f t="shared" si="54"/>
        <v>38.840000000000003</v>
      </c>
    </row>
    <row r="676" spans="1:9" ht="43.2">
      <c r="A676" s="372">
        <v>151320</v>
      </c>
      <c r="B676" s="241" t="s">
        <v>27207</v>
      </c>
      <c r="C676" s="221" t="s">
        <v>115</v>
      </c>
      <c r="D676" s="594">
        <v>48.34</v>
      </c>
      <c r="E676" s="56" t="str">
        <f t="shared" si="50"/>
        <v>MINI-DISJUNTOR MONOPOLAR 80A, CURVA C, 5KA, 127/220VCA, REFERÊNCIA SIEMENS, GE, SCHNEIDER OU EQUIVALENTE</v>
      </c>
      <c r="F676" s="56" t="str">
        <f t="shared" si="51"/>
        <v>UND</v>
      </c>
      <c r="G676">
        <f t="shared" si="52"/>
        <v>64.41</v>
      </c>
      <c r="H676">
        <f t="shared" si="53"/>
        <v>48.34</v>
      </c>
      <c r="I676">
        <f t="shared" si="54"/>
        <v>48.34</v>
      </c>
    </row>
    <row r="677" spans="1:9" ht="43.2">
      <c r="A677" s="372">
        <v>151321</v>
      </c>
      <c r="B677" s="241" t="s">
        <v>27208</v>
      </c>
      <c r="C677" s="221" t="s">
        <v>115</v>
      </c>
      <c r="D677" s="241">
        <v>63.95</v>
      </c>
      <c r="E677" s="56" t="str">
        <f t="shared" si="50"/>
        <v>MINI-DISJUNTOR BIPOLAR 25A, CURVA C, 5KA, 127/220VCA, REFERÊNCIA SIEMENS, GE, SCHNEIDER OU EQUIVALENTE</v>
      </c>
      <c r="F677" s="56" t="str">
        <f t="shared" si="51"/>
        <v>UND</v>
      </c>
      <c r="G677">
        <f t="shared" si="52"/>
        <v>85.21</v>
      </c>
      <c r="H677">
        <f t="shared" si="53"/>
        <v>63.95</v>
      </c>
      <c r="I677">
        <f t="shared" si="54"/>
        <v>63.95</v>
      </c>
    </row>
    <row r="678" spans="1:9" ht="43.2">
      <c r="A678" s="500">
        <v>151322</v>
      </c>
      <c r="B678" s="241" t="s">
        <v>27209</v>
      </c>
      <c r="C678" s="221" t="s">
        <v>115</v>
      </c>
      <c r="D678" s="241">
        <v>63.95</v>
      </c>
      <c r="E678" s="56" t="str">
        <f t="shared" si="50"/>
        <v>MINI-DISJUNTOR BIPOLAR 32A, CURVA C, 5KA, 127/220VCA, REFERÊNCIA SIEMENS, GE, SCHNEIDER OU EQUIVALENTE</v>
      </c>
      <c r="F678" s="56" t="str">
        <f t="shared" si="51"/>
        <v>UND</v>
      </c>
      <c r="G678">
        <f t="shared" si="52"/>
        <v>85.21</v>
      </c>
      <c r="H678">
        <f t="shared" si="53"/>
        <v>63.95</v>
      </c>
      <c r="I678">
        <f t="shared" si="54"/>
        <v>63.95</v>
      </c>
    </row>
    <row r="679" spans="1:9" ht="43.2">
      <c r="A679" s="372">
        <v>151323</v>
      </c>
      <c r="B679" s="241" t="s">
        <v>27210</v>
      </c>
      <c r="C679" s="221" t="s">
        <v>115</v>
      </c>
      <c r="D679" s="241">
        <v>67.28</v>
      </c>
      <c r="E679" s="56" t="str">
        <f t="shared" si="50"/>
        <v>MINI-DISJUNTOR BIPOLAR 40A, CURVA C, 5KA, 127/220VCA, REFERÊNCIA SIEMENS, GE, SCHNEIDER OU EQUIVALENTE</v>
      </c>
      <c r="F679" s="56" t="str">
        <f t="shared" si="51"/>
        <v>UND</v>
      </c>
      <c r="G679">
        <f t="shared" si="52"/>
        <v>89.65</v>
      </c>
      <c r="H679">
        <f t="shared" si="53"/>
        <v>67.28</v>
      </c>
      <c r="I679">
        <f t="shared" si="54"/>
        <v>67.28</v>
      </c>
    </row>
    <row r="680" spans="1:9" ht="43.2">
      <c r="A680" s="372">
        <v>151324</v>
      </c>
      <c r="B680" s="241" t="s">
        <v>27211</v>
      </c>
      <c r="C680" s="221" t="s">
        <v>115</v>
      </c>
      <c r="D680" s="241">
        <v>76.709999999999994</v>
      </c>
      <c r="E680" s="56" t="str">
        <f t="shared" si="50"/>
        <v>MINI-DISJUNTOR BIPOLAR 63A, CURVA C, 5KA, 127/220VCA, REFERÊNCIA SIEMENS, GE, SCHNEIDER OU EQUIVALENTE</v>
      </c>
      <c r="F680" s="56" t="str">
        <f t="shared" si="51"/>
        <v>UND</v>
      </c>
      <c r="G680">
        <f t="shared" si="52"/>
        <v>102.22</v>
      </c>
      <c r="H680">
        <f t="shared" si="53"/>
        <v>76.709999999999994</v>
      </c>
      <c r="I680">
        <f t="shared" si="54"/>
        <v>76.709999999999994</v>
      </c>
    </row>
    <row r="681" spans="1:9" ht="43.2">
      <c r="A681" s="372">
        <v>151325</v>
      </c>
      <c r="B681" s="241" t="s">
        <v>27212</v>
      </c>
      <c r="C681" s="221" t="s">
        <v>115</v>
      </c>
      <c r="D681" s="594">
        <v>106.34</v>
      </c>
      <c r="E681" s="56" t="str">
        <f t="shared" si="50"/>
        <v>MINI-DISJUNTOR BIPOLAR 70A, CURVA C, 5KA, 220/127VCA, REFERÊNCIA SIEMENS, GE, SCHNEIDER OU EQUIVALENTE</v>
      </c>
      <c r="F681" s="56" t="str">
        <f t="shared" si="51"/>
        <v>UND</v>
      </c>
      <c r="G681">
        <f t="shared" si="52"/>
        <v>141.69999999999999</v>
      </c>
      <c r="H681">
        <f t="shared" si="53"/>
        <v>106.34</v>
      </c>
      <c r="I681">
        <f t="shared" si="54"/>
        <v>106.34</v>
      </c>
    </row>
    <row r="682" spans="1:9" ht="43.2">
      <c r="A682" s="372">
        <v>151326</v>
      </c>
      <c r="B682" s="241" t="s">
        <v>27213</v>
      </c>
      <c r="C682" s="221" t="s">
        <v>115</v>
      </c>
      <c r="D682" s="594">
        <v>116.5</v>
      </c>
      <c r="E682" s="56" t="str">
        <f t="shared" si="50"/>
        <v>NI-DISJUNTOR BIPOLAR 80A, CURVA C, 5KA, 127/220VCA, REFERÊNCIA SIEMENS, GE, SCHNEIDER OU EQUIVALENTE</v>
      </c>
      <c r="F682" s="56" t="str">
        <f t="shared" si="51"/>
        <v>UND</v>
      </c>
      <c r="G682">
        <f t="shared" si="52"/>
        <v>155.24</v>
      </c>
      <c r="H682">
        <f t="shared" si="53"/>
        <v>116.5</v>
      </c>
      <c r="I682">
        <f t="shared" si="54"/>
        <v>116.5</v>
      </c>
    </row>
    <row r="683" spans="1:9" ht="43.2">
      <c r="A683" s="372">
        <v>151327</v>
      </c>
      <c r="B683" s="241" t="s">
        <v>27214</v>
      </c>
      <c r="C683" s="221" t="s">
        <v>115</v>
      </c>
      <c r="D683" s="594">
        <v>91.86</v>
      </c>
      <c r="E683" s="56" t="str">
        <f t="shared" si="50"/>
        <v>MINI-DISJUNTOR TRIPOLAR 20A, CURVA C, 5KA, 127/220VCA, REFERÊNCIA SIEMENS, GE, SCHNEIDER OU EQUIVALENTE</v>
      </c>
      <c r="F683" s="56" t="str">
        <f t="shared" si="51"/>
        <v>UND</v>
      </c>
      <c r="G683">
        <f t="shared" si="52"/>
        <v>122.4</v>
      </c>
      <c r="H683">
        <f t="shared" si="53"/>
        <v>91.86</v>
      </c>
      <c r="I683">
        <f t="shared" si="54"/>
        <v>91.86</v>
      </c>
    </row>
    <row r="684" spans="1:9" ht="43.2">
      <c r="A684" s="372">
        <v>151328</v>
      </c>
      <c r="B684" s="241" t="s">
        <v>27215</v>
      </c>
      <c r="C684" s="221" t="s">
        <v>115</v>
      </c>
      <c r="D684" s="594">
        <v>91.86</v>
      </c>
      <c r="E684" s="56" t="str">
        <f t="shared" si="50"/>
        <v>MINI-DISJUNTOR TRIPOLAR 25A, CURVA C, 5KA, 127/220VCA, REFERÊNCIA SIEMENS, GE, SCHNEIDER OU EQUIVALENTE</v>
      </c>
      <c r="F684" s="56" t="str">
        <f t="shared" si="51"/>
        <v>UND</v>
      </c>
      <c r="G684">
        <f t="shared" si="52"/>
        <v>122.4</v>
      </c>
      <c r="H684">
        <f t="shared" si="53"/>
        <v>91.86</v>
      </c>
      <c r="I684">
        <f t="shared" si="54"/>
        <v>91.86</v>
      </c>
    </row>
    <row r="685" spans="1:9" ht="43.2">
      <c r="A685" s="372">
        <v>151329</v>
      </c>
      <c r="B685" s="241" t="s">
        <v>27216</v>
      </c>
      <c r="C685" s="221" t="s">
        <v>115</v>
      </c>
      <c r="D685" s="241">
        <v>91.86</v>
      </c>
      <c r="E685" s="56" t="str">
        <f t="shared" si="50"/>
        <v>MINI-DISJUNTOR TRIPOLAR 32A, CURVA C, 5KA, 127/220VCA, REFERÊNCIA. SIEMENS, GE, SCHNEIDER OU EQUIVALENTE</v>
      </c>
      <c r="F685" s="56" t="str">
        <f t="shared" si="51"/>
        <v>UND</v>
      </c>
      <c r="G685">
        <f t="shared" si="52"/>
        <v>122.4</v>
      </c>
      <c r="H685">
        <f t="shared" si="53"/>
        <v>91.86</v>
      </c>
      <c r="I685">
        <f t="shared" si="54"/>
        <v>91.86</v>
      </c>
    </row>
    <row r="686" spans="1:9" ht="43.2">
      <c r="A686" s="372">
        <v>151330</v>
      </c>
      <c r="B686" s="241" t="s">
        <v>27217</v>
      </c>
      <c r="C686" s="221" t="s">
        <v>115</v>
      </c>
      <c r="D686" s="241">
        <v>103.55</v>
      </c>
      <c r="E686" s="56" t="str">
        <f t="shared" si="50"/>
        <v>MINI-DISJUNTOR TRIPOLAR 63A, CURVA C, 5KA, 127/220VCA, REFERÊNCIA SIEMENS, GE, SCHNEIDER OU EQUIVALENTE</v>
      </c>
      <c r="F686" s="56" t="str">
        <f t="shared" si="51"/>
        <v>UND</v>
      </c>
      <c r="G686">
        <f t="shared" si="52"/>
        <v>137.97999999999999</v>
      </c>
      <c r="H686">
        <f t="shared" si="53"/>
        <v>103.55</v>
      </c>
      <c r="I686">
        <f t="shared" si="54"/>
        <v>103.55</v>
      </c>
    </row>
    <row r="687" spans="1:9" ht="43.2">
      <c r="A687" s="372">
        <v>151331</v>
      </c>
      <c r="B687" s="241" t="s">
        <v>27218</v>
      </c>
      <c r="C687" s="221" t="s">
        <v>115</v>
      </c>
      <c r="D687" s="241">
        <v>191.54</v>
      </c>
      <c r="E687" s="56" t="str">
        <f t="shared" si="50"/>
        <v>MINI-DISJUNTOR TRIPOLAR 80A, CURVA C, 5KA, 127/220VCA, REFERÊNCIA SIEMENS, GE, SCHNEIDER OU EQUIVALENTE</v>
      </c>
      <c r="F687" s="56" t="str">
        <f t="shared" si="51"/>
        <v>UND</v>
      </c>
      <c r="G687">
        <f t="shared" si="52"/>
        <v>255.23</v>
      </c>
      <c r="H687">
        <f t="shared" si="53"/>
        <v>191.54</v>
      </c>
      <c r="I687">
        <f t="shared" si="54"/>
        <v>191.54</v>
      </c>
    </row>
    <row r="688" spans="1:9" ht="43.2">
      <c r="A688" s="372">
        <v>151332</v>
      </c>
      <c r="B688" s="241" t="s">
        <v>27219</v>
      </c>
      <c r="C688" s="221" t="s">
        <v>115</v>
      </c>
      <c r="D688" s="241">
        <v>413.64</v>
      </c>
      <c r="E688" s="56" t="str">
        <f t="shared" si="50"/>
        <v>MINI-DISJUNTOR TRIPOLAR 125A, CURVA C, 20KA, 127/220VCA, REFERÊNCIA SIEMENS, GE, SCHNEIDER OU EQUIVALENTE</v>
      </c>
      <c r="F688" s="56" t="str">
        <f t="shared" si="51"/>
        <v>UND</v>
      </c>
      <c r="G688">
        <f t="shared" si="52"/>
        <v>551.17999999999995</v>
      </c>
      <c r="H688">
        <f t="shared" si="53"/>
        <v>413.64</v>
      </c>
      <c r="I688">
        <f t="shared" si="54"/>
        <v>413.64</v>
      </c>
    </row>
    <row r="689" spans="1:9" ht="57.6">
      <c r="A689" s="372">
        <v>151333</v>
      </c>
      <c r="B689" s="241" t="s">
        <v>27220</v>
      </c>
      <c r="C689" s="221" t="s">
        <v>115</v>
      </c>
      <c r="D689" s="241">
        <v>513.75</v>
      </c>
      <c r="E689" s="56" t="str">
        <f t="shared" si="50"/>
        <v>DISJUNTOR CAIXA MOLDADA TERMOMAGNETICO FIXO, TRIPOLAR 175A, ICU: 50KA, 400/500VCA, REFERÊNCIA SIEMENS, SOPRANO, SCHNEIDER OU EQUIVALENTE</v>
      </c>
      <c r="F689" s="56" t="str">
        <f t="shared" si="51"/>
        <v>UND</v>
      </c>
      <c r="G689">
        <f t="shared" si="52"/>
        <v>684.57</v>
      </c>
      <c r="H689">
        <f t="shared" si="53"/>
        <v>513.75</v>
      </c>
      <c r="I689">
        <f t="shared" si="54"/>
        <v>513.75</v>
      </c>
    </row>
    <row r="690" spans="1:9" ht="57.6">
      <c r="A690" s="372">
        <v>151334</v>
      </c>
      <c r="B690" s="241" t="s">
        <v>27221</v>
      </c>
      <c r="C690" s="221" t="s">
        <v>115</v>
      </c>
      <c r="D690" s="241">
        <v>513.75</v>
      </c>
      <c r="E690" s="56" t="str">
        <f t="shared" si="50"/>
        <v>DISJUNTOR CAIXA MOLDADA TERMOMAGNETICO FIXO, TRIPOLAR 200A, ICU: 50KA, 400/500VCA, REFERÊNCIA SIEMENS, SOPRANO, SCHNEIDER OU EQUIVALENTE</v>
      </c>
      <c r="F690" s="56" t="str">
        <f t="shared" si="51"/>
        <v>UND</v>
      </c>
      <c r="G690">
        <f t="shared" si="52"/>
        <v>684.57</v>
      </c>
      <c r="H690">
        <f t="shared" si="53"/>
        <v>513.75</v>
      </c>
      <c r="I690">
        <f t="shared" si="54"/>
        <v>513.75</v>
      </c>
    </row>
    <row r="691" spans="1:9" ht="57.6">
      <c r="A691" s="372">
        <v>151335</v>
      </c>
      <c r="B691" s="241" t="s">
        <v>27222</v>
      </c>
      <c r="C691" s="221" t="s">
        <v>115</v>
      </c>
      <c r="D691" s="241">
        <v>1206.97</v>
      </c>
      <c r="E691" s="56" t="str">
        <f t="shared" si="50"/>
        <v>DISJUNTOR CAIXA MOLDADA TERMOMAGNETICO FIXO, TRIPOLAR 400A, ICU: 65KA, 380/415VCA, REFERÊNCIA SIEMENS, SOPRANO, SCHNEIDER OU EQUIVALENTE</v>
      </c>
      <c r="F691" s="56" t="str">
        <f t="shared" si="51"/>
        <v>UND</v>
      </c>
      <c r="G691">
        <f t="shared" si="52"/>
        <v>1608.29</v>
      </c>
      <c r="H691">
        <f t="shared" si="53"/>
        <v>1206.97</v>
      </c>
      <c r="I691">
        <f t="shared" si="54"/>
        <v>1206.97</v>
      </c>
    </row>
    <row r="692" spans="1:9" ht="43.2">
      <c r="A692" s="372">
        <v>151337</v>
      </c>
      <c r="B692" s="241" t="s">
        <v>27223</v>
      </c>
      <c r="C692" s="221" t="s">
        <v>115</v>
      </c>
      <c r="D692" s="241">
        <v>114.64</v>
      </c>
      <c r="E692" s="56" t="str">
        <f t="shared" si="50"/>
        <v>DISPOSITIVO DE PROTEÇÃO CONTRA SURTO (DPS) BIPOLAR, 40KA, 275VCA, REFERÊNCIA SIEMENS, STECK, CLAMPER OU EQUIVALENTE</v>
      </c>
      <c r="F692" s="56" t="str">
        <f t="shared" si="51"/>
        <v>UND</v>
      </c>
      <c r="G692">
        <f t="shared" si="52"/>
        <v>152.76</v>
      </c>
      <c r="H692">
        <f t="shared" si="53"/>
        <v>114.64</v>
      </c>
      <c r="I692">
        <f t="shared" si="54"/>
        <v>114.64</v>
      </c>
    </row>
    <row r="693" spans="1:9" ht="43.2">
      <c r="A693" s="371">
        <v>151338</v>
      </c>
      <c r="B693" s="240" t="s">
        <v>27224</v>
      </c>
      <c r="C693" s="221" t="s">
        <v>115</v>
      </c>
      <c r="D693" s="241">
        <v>24.96</v>
      </c>
      <c r="E693" s="56" t="str">
        <f t="shared" si="50"/>
        <v>MINI-DISJUNTOR MONOPOLAR 10A, CURVA C, 5KA, 127/220VCA, REFERÊNCIA SIEMENS, GE, SCHNEIDER OU EQUIVALENTE</v>
      </c>
      <c r="F693" s="56" t="str">
        <f t="shared" si="51"/>
        <v>UND</v>
      </c>
      <c r="G693">
        <f t="shared" si="52"/>
        <v>33.26</v>
      </c>
      <c r="H693">
        <f t="shared" si="53"/>
        <v>24.96</v>
      </c>
      <c r="I693">
        <f t="shared" si="54"/>
        <v>24.96</v>
      </c>
    </row>
    <row r="694" spans="1:9" ht="43.2">
      <c r="A694" s="372">
        <v>151339</v>
      </c>
      <c r="B694" s="241" t="s">
        <v>27225</v>
      </c>
      <c r="C694" s="221" t="s">
        <v>115</v>
      </c>
      <c r="D694" s="241">
        <v>413.64</v>
      </c>
      <c r="E694" s="56" t="str">
        <f t="shared" si="50"/>
        <v>MINI-DISJUNTOR TRIPOLAR 125A, CURVA C, 15KA, 220/380VCA, REFERÊNCIA SIEMENS, GE, SCHNEIDER OU EQUIVALENTE</v>
      </c>
      <c r="F694" s="56" t="str">
        <f t="shared" si="51"/>
        <v>UND</v>
      </c>
      <c r="G694">
        <f t="shared" si="52"/>
        <v>551.17999999999995</v>
      </c>
      <c r="H694">
        <f t="shared" si="53"/>
        <v>413.64</v>
      </c>
      <c r="I694">
        <f t="shared" si="54"/>
        <v>413.64</v>
      </c>
    </row>
    <row r="695" spans="1:9" ht="43.2">
      <c r="A695" s="372">
        <v>151344</v>
      </c>
      <c r="B695" s="241" t="s">
        <v>27226</v>
      </c>
      <c r="C695" s="221" t="s">
        <v>115</v>
      </c>
      <c r="D695" s="241">
        <v>98.33</v>
      </c>
      <c r="E695" s="56" t="str">
        <f t="shared" si="50"/>
        <v>FUSIVEL RETARDADO NH GG(GL), TAMANHO 01 ? 100A, 120KA EM 500VCA, REFERÊNCIA SIEMENS, WEG, NEGRINI OU EQUIVALENTE</v>
      </c>
      <c r="F695" s="56" t="str">
        <f t="shared" si="51"/>
        <v>UND</v>
      </c>
      <c r="G695">
        <f t="shared" si="52"/>
        <v>131.02000000000001</v>
      </c>
      <c r="H695">
        <f t="shared" si="53"/>
        <v>98.33</v>
      </c>
      <c r="I695">
        <f t="shared" si="54"/>
        <v>98.33</v>
      </c>
    </row>
    <row r="696" spans="1:9" ht="43.2">
      <c r="A696" s="372">
        <v>151345</v>
      </c>
      <c r="B696" s="241" t="s">
        <v>27227</v>
      </c>
      <c r="C696" s="221" t="s">
        <v>115</v>
      </c>
      <c r="D696" s="241">
        <v>98.33</v>
      </c>
      <c r="E696" s="56" t="str">
        <f t="shared" si="50"/>
        <v>FUSIVEL RETARDADO NH GG(GL), TAMANHO 01 ? 160A, 120KA EM 500VCA, REFERÊNCIA SIEMENS, WEG, NEGRINI OU EQUIVALENTE</v>
      </c>
      <c r="F696" s="56" t="str">
        <f t="shared" si="51"/>
        <v>UND</v>
      </c>
      <c r="G696">
        <f t="shared" si="52"/>
        <v>131.02000000000001</v>
      </c>
      <c r="H696">
        <f t="shared" si="53"/>
        <v>98.33</v>
      </c>
      <c r="I696">
        <f t="shared" si="54"/>
        <v>98.33</v>
      </c>
    </row>
    <row r="697" spans="1:9" ht="43.2">
      <c r="A697" s="372">
        <v>151346</v>
      </c>
      <c r="B697" s="241" t="s">
        <v>27228</v>
      </c>
      <c r="C697" s="221" t="s">
        <v>115</v>
      </c>
      <c r="D697" s="241">
        <v>129.09</v>
      </c>
      <c r="E697" s="56" t="str">
        <f t="shared" si="50"/>
        <v>FUSIVEL RETARDADO NH GG(GL), TAMANHO 02 ? 250A, 120KA EM 500VCA, REFERÊNCIA SIEMENS, WEG, NEGRINI OU EQUIVALENTE</v>
      </c>
      <c r="F697" s="56" t="str">
        <f t="shared" si="51"/>
        <v>UND</v>
      </c>
      <c r="G697">
        <f t="shared" si="52"/>
        <v>172.01</v>
      </c>
      <c r="H697">
        <f t="shared" si="53"/>
        <v>129.09</v>
      </c>
      <c r="I697">
        <f t="shared" si="54"/>
        <v>129.09</v>
      </c>
    </row>
    <row r="698" spans="1:9" ht="43.2">
      <c r="A698" s="372">
        <v>151347</v>
      </c>
      <c r="B698" s="241" t="s">
        <v>27229</v>
      </c>
      <c r="C698" s="221" t="s">
        <v>115</v>
      </c>
      <c r="D698" s="241">
        <v>129.09</v>
      </c>
      <c r="E698" s="56" t="str">
        <f t="shared" si="50"/>
        <v>FUSIVEL RETARDADO NH GG(GL), TAMANHO 02 ? 300A, 120KA EM 500VCA, REFERÊNCIA SIEMENS, WEG, NEGRINI OU EQUIVALENTE</v>
      </c>
      <c r="F698" s="56" t="str">
        <f t="shared" si="51"/>
        <v>UND</v>
      </c>
      <c r="G698">
        <f t="shared" si="52"/>
        <v>172.01</v>
      </c>
      <c r="H698">
        <f t="shared" si="53"/>
        <v>129.09</v>
      </c>
      <c r="I698">
        <f t="shared" si="54"/>
        <v>129.09</v>
      </c>
    </row>
    <row r="699" spans="1:9" ht="43.2">
      <c r="A699" s="372">
        <v>151348</v>
      </c>
      <c r="B699" s="241" t="s">
        <v>27230</v>
      </c>
      <c r="C699" s="221" t="s">
        <v>115</v>
      </c>
      <c r="D699" s="241">
        <v>129.09</v>
      </c>
      <c r="E699" s="56" t="str">
        <f t="shared" si="50"/>
        <v>FUSIVEL RETARDADO NH GG(GL), TAMANHO 02 ? 355A, 120KA EM 500VCA, REFERÊNCIA SIEMENS, WEG, NEGRINI OU EQUIVALENTE</v>
      </c>
      <c r="F699" s="56" t="str">
        <f t="shared" si="51"/>
        <v>UND</v>
      </c>
      <c r="G699">
        <f t="shared" si="52"/>
        <v>172.01</v>
      </c>
      <c r="H699">
        <f t="shared" si="53"/>
        <v>129.09</v>
      </c>
      <c r="I699">
        <f t="shared" si="54"/>
        <v>129.09</v>
      </c>
    </row>
    <row r="700" spans="1:9" ht="43.2">
      <c r="A700" s="372">
        <v>151349</v>
      </c>
      <c r="B700" s="241" t="s">
        <v>27231</v>
      </c>
      <c r="C700" s="221" t="s">
        <v>115</v>
      </c>
      <c r="D700" s="241">
        <v>98.33</v>
      </c>
      <c r="E700" s="56" t="str">
        <f t="shared" si="50"/>
        <v>FUSIVEL RETARDADO NH GG(GL), TAMANHO 01 ? 125A, 120KA EM 500VCA, REFERÊNCIA SIEMENS, WEG, NEGRINI OU EQUIVALENTE</v>
      </c>
      <c r="F700" s="56" t="str">
        <f t="shared" si="51"/>
        <v>UND</v>
      </c>
      <c r="G700">
        <f t="shared" si="52"/>
        <v>131.02000000000001</v>
      </c>
      <c r="H700">
        <f t="shared" si="53"/>
        <v>98.33</v>
      </c>
      <c r="I700">
        <f t="shared" si="54"/>
        <v>98.33</v>
      </c>
    </row>
    <row r="701" spans="1:9" ht="43.2">
      <c r="A701" s="372">
        <v>151350</v>
      </c>
      <c r="B701" s="241" t="s">
        <v>27232</v>
      </c>
      <c r="C701" s="221" t="s">
        <v>115</v>
      </c>
      <c r="D701" s="241">
        <v>139.65</v>
      </c>
      <c r="E701" s="56" t="str">
        <f t="shared" si="50"/>
        <v>INTERRUPTOR DIFERENCIAL BIPOLAR DR 25A, 30MA ? 6KA, REFERÊNCIA SIEMENS, SCHNEIDER, WEG OU EQUIVALENTE</v>
      </c>
      <c r="F701" s="56" t="str">
        <f t="shared" si="51"/>
        <v>UND</v>
      </c>
      <c r="G701">
        <f t="shared" si="52"/>
        <v>186.08</v>
      </c>
      <c r="H701">
        <f t="shared" si="53"/>
        <v>139.65</v>
      </c>
      <c r="I701">
        <f t="shared" si="54"/>
        <v>139.65</v>
      </c>
    </row>
    <row r="702" spans="1:9" ht="43.2">
      <c r="A702" s="372">
        <v>151357</v>
      </c>
      <c r="B702" s="241" t="s">
        <v>27233</v>
      </c>
      <c r="C702" s="221" t="s">
        <v>115</v>
      </c>
      <c r="D702" s="241">
        <v>145.21</v>
      </c>
      <c r="E702" s="56" t="str">
        <f t="shared" si="50"/>
        <v>INTERRUPTOR DIFERENCIAL BIPOLAR DR 40A, 30MA ? 6KA, REFERÊNCIA SIEMENS, SCHNEIDER, WEG OU EQUIVALENTE</v>
      </c>
      <c r="F702" s="56" t="str">
        <f t="shared" si="51"/>
        <v>UND</v>
      </c>
      <c r="G702">
        <f t="shared" si="52"/>
        <v>193.49</v>
      </c>
      <c r="H702">
        <f t="shared" si="53"/>
        <v>145.21</v>
      </c>
      <c r="I702">
        <f t="shared" si="54"/>
        <v>145.21</v>
      </c>
    </row>
    <row r="703" spans="1:9" ht="43.2">
      <c r="A703" s="372">
        <v>151359</v>
      </c>
      <c r="B703" s="241" t="s">
        <v>27234</v>
      </c>
      <c r="C703" s="221" t="s">
        <v>115</v>
      </c>
      <c r="D703" s="241">
        <v>227.74</v>
      </c>
      <c r="E703" s="56" t="str">
        <f t="shared" si="50"/>
        <v>INTERRUPTOR DIFERENCIAL BIPOLAR DR 80A, 30MA - 6KA, REFERÊNCIA SIEMENS, SCHNEIDER, WEG OU EQUIVALENTE</v>
      </c>
      <c r="F703" s="56" t="str">
        <f t="shared" si="51"/>
        <v>UND</v>
      </c>
      <c r="G703">
        <f t="shared" si="52"/>
        <v>303.45999999999998</v>
      </c>
      <c r="H703">
        <f t="shared" si="53"/>
        <v>227.74</v>
      </c>
      <c r="I703">
        <f t="shared" si="54"/>
        <v>227.74</v>
      </c>
    </row>
    <row r="704" spans="1:9">
      <c r="A704" s="372">
        <v>1514</v>
      </c>
      <c r="B704" s="241" t="s">
        <v>516</v>
      </c>
      <c r="C704" s="221"/>
      <c r="D704" s="241"/>
      <c r="E704" s="56" t="str">
        <f t="shared" si="50"/>
        <v>FIOS E CABOS</v>
      </c>
      <c r="F704" s="56" t="str">
        <f t="shared" si="51"/>
        <v/>
      </c>
      <c r="G704">
        <f t="shared" si="52"/>
        <v>0</v>
      </c>
      <c r="H704">
        <f t="shared" si="53"/>
        <v>0</v>
      </c>
      <c r="I704">
        <f t="shared" si="54"/>
        <v>0</v>
      </c>
    </row>
    <row r="705" spans="1:9" ht="43.2">
      <c r="A705" s="372">
        <v>151401</v>
      </c>
      <c r="B705" s="241" t="s">
        <v>27235</v>
      </c>
      <c r="C705" s="221" t="s">
        <v>112</v>
      </c>
      <c r="D705" s="241">
        <v>6.41</v>
      </c>
      <c r="E705" s="56" t="str">
        <f t="shared" ref="E705:E768" si="55">UPPER(B705)</f>
        <v>CABO DE COBRE TERMOPLÁSTICO (PVC) FLEXÍVEL ISOLADO 450/750V, ANTICHAMA BWF LIVRE DE CHUMBO, 70ºC - 1,5MM2</v>
      </c>
      <c r="F705" s="56" t="str">
        <f t="shared" ref="F705:F768" si="56">UPPER(C705)</f>
        <v>M</v>
      </c>
      <c r="G705">
        <f t="shared" si="52"/>
        <v>8.5399999999999991</v>
      </c>
      <c r="H705">
        <f t="shared" si="53"/>
        <v>6.41</v>
      </c>
      <c r="I705">
        <f t="shared" si="54"/>
        <v>6.41</v>
      </c>
    </row>
    <row r="706" spans="1:9" ht="43.2">
      <c r="A706" s="372">
        <v>151402</v>
      </c>
      <c r="B706" s="241" t="s">
        <v>27236</v>
      </c>
      <c r="C706" s="221" t="s">
        <v>112</v>
      </c>
      <c r="D706" s="241">
        <v>7.79</v>
      </c>
      <c r="E706" s="56" t="str">
        <f t="shared" si="55"/>
        <v>CABO DE COBRE TERMOPLÁSTICO (PVC) FLEXÍVEL ISOLADO 450/750V, ANTICHAMA BWF LIVRE DE CHUMBO, 70ºC - 2,5MM2</v>
      </c>
      <c r="F706" s="56" t="str">
        <f t="shared" si="56"/>
        <v>M</v>
      </c>
      <c r="G706">
        <f t="shared" si="52"/>
        <v>10.38</v>
      </c>
      <c r="H706">
        <f t="shared" si="53"/>
        <v>7.79</v>
      </c>
      <c r="I706">
        <f t="shared" si="54"/>
        <v>7.79</v>
      </c>
    </row>
    <row r="707" spans="1:9" ht="43.2">
      <c r="A707" s="372">
        <v>151403</v>
      </c>
      <c r="B707" s="241" t="s">
        <v>27237</v>
      </c>
      <c r="C707" s="221" t="s">
        <v>112</v>
      </c>
      <c r="D707" s="241">
        <v>9.6300000000000008</v>
      </c>
      <c r="E707" s="56" t="str">
        <f t="shared" si="55"/>
        <v>CABO DE COBRE TERMOPLÁSTICO (PVC) FLEXÍVEL ISOLADO 450/750V, ANTICHAMA BWF LIVRE DE CHUMBO, 70ºC ? 4,0MM2</v>
      </c>
      <c r="F707" s="56" t="str">
        <f t="shared" si="56"/>
        <v>M</v>
      </c>
      <c r="G707">
        <f t="shared" si="52"/>
        <v>12.83</v>
      </c>
      <c r="H707">
        <f t="shared" si="53"/>
        <v>9.6300000000000008</v>
      </c>
      <c r="I707">
        <f t="shared" si="54"/>
        <v>9.6300000000000008</v>
      </c>
    </row>
    <row r="708" spans="1:9" ht="43.2">
      <c r="A708" s="372">
        <v>151404</v>
      </c>
      <c r="B708" s="241" t="s">
        <v>27238</v>
      </c>
      <c r="C708" s="221" t="s">
        <v>112</v>
      </c>
      <c r="D708" s="241">
        <v>12.75</v>
      </c>
      <c r="E708" s="56" t="str">
        <f t="shared" si="55"/>
        <v>CABO DE COBRE TERMOPLÁSTICO (PVC) FLEXÍVEL ISOLADO 450/750V, ANTICHAMA BWF LIVRE DE CHUMBO, 70ºC ? 6,0MM2</v>
      </c>
      <c r="F708" s="56" t="str">
        <f t="shared" si="56"/>
        <v>M</v>
      </c>
      <c r="G708">
        <f t="shared" si="52"/>
        <v>16.989999999999998</v>
      </c>
      <c r="H708">
        <f t="shared" si="53"/>
        <v>12.75</v>
      </c>
      <c r="I708">
        <f t="shared" si="54"/>
        <v>12.75</v>
      </c>
    </row>
    <row r="709" spans="1:9" ht="43.2">
      <c r="A709" s="372">
        <v>151405</v>
      </c>
      <c r="B709" s="241" t="s">
        <v>27239</v>
      </c>
      <c r="C709" s="221" t="s">
        <v>112</v>
      </c>
      <c r="D709" s="241">
        <v>18.07</v>
      </c>
      <c r="E709" s="56" t="str">
        <f t="shared" si="55"/>
        <v>CABO DE COBRE TERMOPLÁSTICO (PVC) FLEXÍVEL ISOLADO 450/750V, ANTICHAMA BWF LIVRE DE CHUMBO, 70ºC ? 10,0MM2</v>
      </c>
      <c r="F709" s="56" t="str">
        <f t="shared" si="56"/>
        <v>M</v>
      </c>
      <c r="G709">
        <f t="shared" si="52"/>
        <v>24.08</v>
      </c>
      <c r="H709">
        <f t="shared" si="53"/>
        <v>18.07</v>
      </c>
      <c r="I709">
        <f t="shared" si="54"/>
        <v>18.07</v>
      </c>
    </row>
    <row r="710" spans="1:9" ht="43.2">
      <c r="A710" s="372">
        <v>151406</v>
      </c>
      <c r="B710" s="241" t="s">
        <v>27240</v>
      </c>
      <c r="C710" s="221" t="s">
        <v>112</v>
      </c>
      <c r="D710" s="241">
        <v>26.28</v>
      </c>
      <c r="E710" s="56" t="str">
        <f t="shared" si="55"/>
        <v>CABO DE COBRE TERMOPLÁSTICO (PVC) FLEXÍVEL ISOLADO 450/750V, ANTICHAMA BWF LIVRE DE CHUMBO, 70ºC ? 16,0MM2</v>
      </c>
      <c r="F710" s="56" t="str">
        <f t="shared" si="56"/>
        <v>M</v>
      </c>
      <c r="G710">
        <f t="shared" si="52"/>
        <v>35.020000000000003</v>
      </c>
      <c r="H710">
        <f t="shared" si="53"/>
        <v>26.28</v>
      </c>
      <c r="I710">
        <f t="shared" si="54"/>
        <v>26.28</v>
      </c>
    </row>
    <row r="711" spans="1:9" ht="43.2">
      <c r="A711" s="372">
        <v>151407</v>
      </c>
      <c r="B711" s="241" t="s">
        <v>27241</v>
      </c>
      <c r="C711" s="221" t="s">
        <v>112</v>
      </c>
      <c r="D711" s="241">
        <v>32.15</v>
      </c>
      <c r="E711" s="56" t="str">
        <f t="shared" si="55"/>
        <v>CABO DE COBRE TERMOPLÁSTICO (PVC) FLEXÍVEL ISOLADO 450/750V, ANTICHAMA BWF LIVRE DE CHUMBO, 70ºC ? 25,0MM2</v>
      </c>
      <c r="F711" s="56" t="str">
        <f t="shared" si="56"/>
        <v>M</v>
      </c>
      <c r="G711">
        <f t="shared" si="52"/>
        <v>42.84</v>
      </c>
      <c r="H711">
        <f t="shared" si="53"/>
        <v>32.15</v>
      </c>
      <c r="I711">
        <f t="shared" si="54"/>
        <v>32.15</v>
      </c>
    </row>
    <row r="712" spans="1:9" ht="28.8">
      <c r="A712" s="372">
        <v>151413</v>
      </c>
      <c r="B712" s="241" t="s">
        <v>27242</v>
      </c>
      <c r="C712" s="221" t="s">
        <v>112</v>
      </c>
      <c r="D712" s="241">
        <v>39.36</v>
      </c>
      <c r="E712" s="56" t="str">
        <f t="shared" si="55"/>
        <v>CABO DE COBRE NU, SEÇÃO DE 25,0 MM2, TÊMPERA MEIO DURA, ENCORDOAMENTO CLASSE 2A</v>
      </c>
      <c r="F712" s="56" t="str">
        <f t="shared" si="56"/>
        <v>M</v>
      </c>
      <c r="G712">
        <f t="shared" ref="G712:G775" si="57">ROUND(H712*(1+$G$1),2)</f>
        <v>52.45</v>
      </c>
      <c r="H712">
        <f t="shared" ref="H712:H775" si="58">I712</f>
        <v>39.36</v>
      </c>
      <c r="I712">
        <f t="shared" ref="I712:I775" si="59">ROUND(D712/(1+$E$1),2)</f>
        <v>39.36</v>
      </c>
    </row>
    <row r="713" spans="1:9" ht="28.8">
      <c r="A713" s="372">
        <v>151414</v>
      </c>
      <c r="B713" s="241" t="s">
        <v>27243</v>
      </c>
      <c r="C713" s="221" t="s">
        <v>112</v>
      </c>
      <c r="D713" s="241">
        <v>17.7</v>
      </c>
      <c r="E713" s="56" t="str">
        <f t="shared" si="55"/>
        <v>CABO DE COBRE NU, SEÇÃO DE 10,0 MM2, TÊMPERA MEIO DURA, ENCORDOAMENTO CLASSE 2A</v>
      </c>
      <c r="F713" s="56" t="str">
        <f t="shared" si="56"/>
        <v>M</v>
      </c>
      <c r="G713">
        <f t="shared" si="57"/>
        <v>23.59</v>
      </c>
      <c r="H713">
        <f t="shared" si="58"/>
        <v>17.7</v>
      </c>
      <c r="I713">
        <f t="shared" si="59"/>
        <v>17.7</v>
      </c>
    </row>
    <row r="714" spans="1:9" ht="43.2">
      <c r="A714" s="372">
        <v>151417</v>
      </c>
      <c r="B714" s="241" t="s">
        <v>27244</v>
      </c>
      <c r="C714" s="221" t="s">
        <v>112</v>
      </c>
      <c r="D714" s="241">
        <v>8.7899999999999991</v>
      </c>
      <c r="E714" s="56" t="str">
        <f t="shared" si="55"/>
        <v>CABO DE COBRE TERMOPLÁSTICO (PVC) FLEXÍVEL ISOLADO 0,60/1KV, ANTICHAMA, HEPR 90ºC ? 2,5MM2</v>
      </c>
      <c r="F714" s="56" t="str">
        <f t="shared" si="56"/>
        <v>M</v>
      </c>
      <c r="G714">
        <f t="shared" si="57"/>
        <v>11.71</v>
      </c>
      <c r="H714">
        <f t="shared" si="58"/>
        <v>8.7899999999999991</v>
      </c>
      <c r="I714">
        <f t="shared" si="59"/>
        <v>8.7899999999999991</v>
      </c>
    </row>
    <row r="715" spans="1:9" ht="43.2">
      <c r="A715" s="372">
        <v>151418</v>
      </c>
      <c r="B715" s="241" t="s">
        <v>27245</v>
      </c>
      <c r="C715" s="221" t="s">
        <v>112</v>
      </c>
      <c r="D715" s="241">
        <v>11.27</v>
      </c>
      <c r="E715" s="56" t="str">
        <f t="shared" si="55"/>
        <v>CABO DE COBRE TERMOPLÁSTICO (PVC) FLEXÍVEL ISOLADO 0,60/1KV, ANTICHAMA, HEPR 90ºC ? 4,0MM2</v>
      </c>
      <c r="F715" s="56" t="str">
        <f t="shared" si="56"/>
        <v>M</v>
      </c>
      <c r="G715">
        <f t="shared" si="57"/>
        <v>15.02</v>
      </c>
      <c r="H715">
        <f t="shared" si="58"/>
        <v>11.27</v>
      </c>
      <c r="I715">
        <f t="shared" si="59"/>
        <v>11.27</v>
      </c>
    </row>
    <row r="716" spans="1:9" ht="43.2">
      <c r="A716" s="372">
        <v>151419</v>
      </c>
      <c r="B716" s="241" t="s">
        <v>27246</v>
      </c>
      <c r="C716" s="221" t="s">
        <v>112</v>
      </c>
      <c r="D716" s="241">
        <v>14.03</v>
      </c>
      <c r="E716" s="56" t="str">
        <f t="shared" si="55"/>
        <v>CABO DE COBRE TERMOPLÁSTICO (PVC) FLEXÍVEL ISOLADO 0,60/1KV, ANTICHAMA, HEPR 90ºC ? 6,0MM2</v>
      </c>
      <c r="F716" s="56" t="str">
        <f t="shared" si="56"/>
        <v>M</v>
      </c>
      <c r="G716">
        <f t="shared" si="57"/>
        <v>18.690000000000001</v>
      </c>
      <c r="H716">
        <f t="shared" si="58"/>
        <v>14.03</v>
      </c>
      <c r="I716">
        <f t="shared" si="59"/>
        <v>14.03</v>
      </c>
    </row>
    <row r="717" spans="1:9" ht="43.2">
      <c r="A717" s="372">
        <v>151420</v>
      </c>
      <c r="B717" s="241" t="s">
        <v>27247</v>
      </c>
      <c r="C717" s="221" t="s">
        <v>112</v>
      </c>
      <c r="D717" s="241">
        <v>19.32</v>
      </c>
      <c r="E717" s="56" t="str">
        <f t="shared" si="55"/>
        <v>CABO DE COBRE TERMOPLÁSTICO (PVC) FLEXÍVEL ISOLADO 0,60/1KV, ANTICHAMA, HEPR 90ºC ? 10,0MM2</v>
      </c>
      <c r="F717" s="56" t="str">
        <f t="shared" si="56"/>
        <v>M</v>
      </c>
      <c r="G717">
        <f t="shared" si="57"/>
        <v>25.74</v>
      </c>
      <c r="H717">
        <f t="shared" si="58"/>
        <v>19.32</v>
      </c>
      <c r="I717">
        <f t="shared" si="59"/>
        <v>19.32</v>
      </c>
    </row>
    <row r="718" spans="1:9" ht="43.2">
      <c r="A718" s="372">
        <v>151421</v>
      </c>
      <c r="B718" s="241" t="s">
        <v>27248</v>
      </c>
      <c r="C718" s="221" t="s">
        <v>112</v>
      </c>
      <c r="D718" s="241">
        <v>26.97</v>
      </c>
      <c r="E718" s="56" t="str">
        <f t="shared" si="55"/>
        <v>CABO DE COBRE TERMOPLÁSTICO (PVC) FLEXÍVEL ISOLADO 0,60/1KV, ANTICHAMA, HEPR 90ºC ? 16,0MM2</v>
      </c>
      <c r="F718" s="56" t="str">
        <f t="shared" si="56"/>
        <v>M</v>
      </c>
      <c r="G718">
        <f t="shared" si="57"/>
        <v>35.94</v>
      </c>
      <c r="H718">
        <f t="shared" si="58"/>
        <v>26.97</v>
      </c>
      <c r="I718">
        <f t="shared" si="59"/>
        <v>26.97</v>
      </c>
    </row>
    <row r="719" spans="1:9" ht="43.2">
      <c r="A719" s="372">
        <v>151422</v>
      </c>
      <c r="B719" s="241" t="s">
        <v>27249</v>
      </c>
      <c r="C719" s="221" t="s">
        <v>112</v>
      </c>
      <c r="D719" s="241">
        <v>33.340000000000003</v>
      </c>
      <c r="E719" s="56" t="str">
        <f t="shared" si="55"/>
        <v>CABO DE COBRE TERMOPLÁSTICO (PVC) FLEXÍVEL ISOLADO 0,60/1KV, ANTICHAMA, HEPR 90ºC ? 25,0MM2</v>
      </c>
      <c r="F719" s="56" t="str">
        <f t="shared" si="56"/>
        <v>M</v>
      </c>
      <c r="G719">
        <f t="shared" si="57"/>
        <v>44.43</v>
      </c>
      <c r="H719">
        <f t="shared" si="58"/>
        <v>33.340000000000003</v>
      </c>
      <c r="I719">
        <f t="shared" si="59"/>
        <v>33.340000000000003</v>
      </c>
    </row>
    <row r="720" spans="1:9" ht="43.2">
      <c r="A720" s="372">
        <v>151423</v>
      </c>
      <c r="B720" s="241" t="s">
        <v>27250</v>
      </c>
      <c r="C720" s="221" t="s">
        <v>112</v>
      </c>
      <c r="D720" s="241">
        <v>52.79</v>
      </c>
      <c r="E720" s="56" t="str">
        <f t="shared" si="55"/>
        <v>CABO DE COBRE TERMOPLÁSTICO (PVC) FLEXÍVEL ISOLADO 0,60/1KV, ANTICHAMA, HEPR 90ºC ? 35,0MM2</v>
      </c>
      <c r="F720" s="56" t="str">
        <f t="shared" si="56"/>
        <v>M</v>
      </c>
      <c r="G720">
        <f t="shared" si="57"/>
        <v>70.34</v>
      </c>
      <c r="H720">
        <f t="shared" si="58"/>
        <v>52.79</v>
      </c>
      <c r="I720">
        <f t="shared" si="59"/>
        <v>52.79</v>
      </c>
    </row>
    <row r="721" spans="1:9" ht="43.2">
      <c r="A721" s="372">
        <v>151425</v>
      </c>
      <c r="B721" s="241" t="s">
        <v>27251</v>
      </c>
      <c r="C721" s="221" t="s">
        <v>112</v>
      </c>
      <c r="D721" s="241">
        <v>60.5</v>
      </c>
      <c r="E721" s="56" t="str">
        <f t="shared" si="55"/>
        <v>CABO DE COBRE TERMOPLÁSTICO (PVC) FLEXÍVEL ISOLADO 0,60/1KV, ANTICHAMA, HEPR 90ºC ? 50,0MM2</v>
      </c>
      <c r="F721" s="56" t="str">
        <f t="shared" si="56"/>
        <v>M</v>
      </c>
      <c r="G721">
        <f t="shared" si="57"/>
        <v>80.62</v>
      </c>
      <c r="H721">
        <f t="shared" si="58"/>
        <v>60.5</v>
      </c>
      <c r="I721">
        <f t="shared" si="59"/>
        <v>60.5</v>
      </c>
    </row>
    <row r="722" spans="1:9" ht="43.2">
      <c r="A722" s="372">
        <v>151426</v>
      </c>
      <c r="B722" s="241" t="s">
        <v>27252</v>
      </c>
      <c r="C722" s="221" t="s">
        <v>112</v>
      </c>
      <c r="D722" s="241">
        <v>117.17</v>
      </c>
      <c r="E722" s="56" t="str">
        <f t="shared" si="55"/>
        <v>CABO DE COBRE TERMOPLÁSTICO (PVC) FLEXÍVEL ISOLADO 0,60/1KV, ANTICHAMA, HEPR 90ºC ? 95,0MM2</v>
      </c>
      <c r="F722" s="56" t="str">
        <f t="shared" si="56"/>
        <v>M</v>
      </c>
      <c r="G722">
        <f t="shared" si="57"/>
        <v>156.13</v>
      </c>
      <c r="H722">
        <f t="shared" si="58"/>
        <v>117.17</v>
      </c>
      <c r="I722">
        <f t="shared" si="59"/>
        <v>117.17</v>
      </c>
    </row>
    <row r="723" spans="1:9" ht="43.2">
      <c r="A723" s="371">
        <v>151427</v>
      </c>
      <c r="B723" s="240" t="s">
        <v>27253</v>
      </c>
      <c r="C723" s="221" t="s">
        <v>112</v>
      </c>
      <c r="D723" s="241">
        <v>154.99</v>
      </c>
      <c r="E723" s="56" t="str">
        <f t="shared" si="55"/>
        <v>CABO DE COBRE TERMOPLÁSTICO (PVC) FLEXÍVEL ISOLADO 0,60/1KV, ANTICHAMA, HEPR 90ºC ? 120,0MM2</v>
      </c>
      <c r="F723" s="56" t="str">
        <f t="shared" si="56"/>
        <v>M</v>
      </c>
      <c r="G723">
        <f t="shared" si="57"/>
        <v>206.52</v>
      </c>
      <c r="H723">
        <f t="shared" si="58"/>
        <v>154.99</v>
      </c>
      <c r="I723">
        <f t="shared" si="59"/>
        <v>154.99</v>
      </c>
    </row>
    <row r="724" spans="1:9" ht="43.2">
      <c r="A724" s="372">
        <v>151428</v>
      </c>
      <c r="B724" s="241" t="s">
        <v>27254</v>
      </c>
      <c r="C724" s="221" t="s">
        <v>112</v>
      </c>
      <c r="D724" s="241">
        <v>377.92</v>
      </c>
      <c r="E724" s="56" t="str">
        <f t="shared" si="55"/>
        <v>CABO DE COBRE TERMOPLÁSTICO (PVC) FLEXÍVEL ISOLADO 0,60/1KV, ANTICHAMA, HEPR 90ºC ? 300,0MM2</v>
      </c>
      <c r="F724" s="56" t="str">
        <f t="shared" si="56"/>
        <v>M</v>
      </c>
      <c r="G724">
        <f t="shared" si="57"/>
        <v>503.58</v>
      </c>
      <c r="H724">
        <f t="shared" si="58"/>
        <v>377.92</v>
      </c>
      <c r="I724">
        <f t="shared" si="59"/>
        <v>377.92</v>
      </c>
    </row>
    <row r="725" spans="1:9" ht="43.2">
      <c r="A725" s="500">
        <v>151429</v>
      </c>
      <c r="B725" s="241" t="s">
        <v>27255</v>
      </c>
      <c r="C725" s="221" t="s">
        <v>112</v>
      </c>
      <c r="D725" s="241">
        <v>103.54</v>
      </c>
      <c r="E725" s="56" t="str">
        <f t="shared" si="55"/>
        <v>CABO DE COBRE TERMOPLÁSTICO (PVC) FLEXÍVEL ISOLADO 0,60/1KV, ANTICHAMA, HEPR 90ºC ? 70,0MM2</v>
      </c>
      <c r="F725" s="56" t="str">
        <f t="shared" si="56"/>
        <v>M</v>
      </c>
      <c r="G725">
        <f t="shared" si="57"/>
        <v>137.97</v>
      </c>
      <c r="H725">
        <f t="shared" si="58"/>
        <v>103.54</v>
      </c>
      <c r="I725">
        <f t="shared" si="59"/>
        <v>103.54</v>
      </c>
    </row>
    <row r="726" spans="1:9" ht="43.2">
      <c r="A726" s="500">
        <v>151430</v>
      </c>
      <c r="B726" s="241" t="s">
        <v>27256</v>
      </c>
      <c r="C726" s="221" t="s">
        <v>112</v>
      </c>
      <c r="D726" s="241">
        <v>191.09</v>
      </c>
      <c r="E726" s="56" t="str">
        <f t="shared" si="55"/>
        <v>CABO DE COBRE TERMOPLÁSTICO (PVC) FLEXÍVEL ISOLADO 0,60/1KV, ANTICHAMA, HEPR 90ºC ? 150,0MM2</v>
      </c>
      <c r="F726" s="56" t="str">
        <f t="shared" si="56"/>
        <v>M</v>
      </c>
      <c r="G726">
        <f t="shared" si="57"/>
        <v>254.63</v>
      </c>
      <c r="H726">
        <f t="shared" si="58"/>
        <v>191.09</v>
      </c>
      <c r="I726">
        <f t="shared" si="59"/>
        <v>191.09</v>
      </c>
    </row>
    <row r="727" spans="1:9" ht="43.2">
      <c r="A727" s="500">
        <v>151431</v>
      </c>
      <c r="B727" s="241" t="s">
        <v>27257</v>
      </c>
      <c r="C727" s="221" t="s">
        <v>112</v>
      </c>
      <c r="D727" s="241">
        <v>232.01</v>
      </c>
      <c r="E727" s="56" t="str">
        <f t="shared" si="55"/>
        <v>CABO DE COBRE TERMOPLÁSTICO (PVC) FLEXÍVEL ISOLADO 0,60/1KV, ANTICHAMA, HEPR 90ºC ? 185,0MM2</v>
      </c>
      <c r="F727" s="56" t="str">
        <f t="shared" si="56"/>
        <v>M</v>
      </c>
      <c r="G727">
        <f t="shared" si="57"/>
        <v>309.14999999999998</v>
      </c>
      <c r="H727">
        <f t="shared" si="58"/>
        <v>232.01</v>
      </c>
      <c r="I727">
        <f t="shared" si="59"/>
        <v>232.01</v>
      </c>
    </row>
    <row r="728" spans="1:9" ht="43.2">
      <c r="A728" s="500">
        <v>151432</v>
      </c>
      <c r="B728" s="241" t="s">
        <v>27258</v>
      </c>
      <c r="C728" s="221" t="s">
        <v>112</v>
      </c>
      <c r="D728" s="241">
        <v>267.73</v>
      </c>
      <c r="E728" s="56" t="str">
        <f t="shared" si="55"/>
        <v>CABO DE COBRE TERMOPLÁSTICO (PVC) FLEXÍVEL ISOLADO 0,60/1KV, ANTICHAMA, HEPR 90ºC ? 240,0MM2</v>
      </c>
      <c r="F728" s="56" t="str">
        <f t="shared" si="56"/>
        <v>M</v>
      </c>
      <c r="G728">
        <f t="shared" si="57"/>
        <v>356.75</v>
      </c>
      <c r="H728">
        <f t="shared" si="58"/>
        <v>267.73</v>
      </c>
      <c r="I728">
        <f t="shared" si="59"/>
        <v>267.73</v>
      </c>
    </row>
    <row r="729" spans="1:9" ht="28.8">
      <c r="A729" s="372">
        <v>151433</v>
      </c>
      <c r="B729" s="241" t="s">
        <v>27259</v>
      </c>
      <c r="C729" s="221" t="s">
        <v>112</v>
      </c>
      <c r="D729" s="241">
        <v>81.680000000000007</v>
      </c>
      <c r="E729" s="56" t="str">
        <f t="shared" si="55"/>
        <v>CABO DE COBRE TERMOPLÁSTICO (PVC/ST2) BLINDADO ISOLADO 8,7/15KV, XLPE 90ºC ? 25,0MM2</v>
      </c>
      <c r="F729" s="56" t="str">
        <f t="shared" si="56"/>
        <v>M</v>
      </c>
      <c r="G729">
        <f t="shared" si="57"/>
        <v>108.84</v>
      </c>
      <c r="H729">
        <f t="shared" si="58"/>
        <v>81.680000000000007</v>
      </c>
      <c r="I729">
        <f t="shared" si="59"/>
        <v>81.680000000000007</v>
      </c>
    </row>
    <row r="730" spans="1:9" ht="28.8">
      <c r="A730" s="372">
        <v>151434</v>
      </c>
      <c r="B730" s="241" t="s">
        <v>27260</v>
      </c>
      <c r="C730" s="221" t="s">
        <v>112</v>
      </c>
      <c r="D730" s="241">
        <v>110.68</v>
      </c>
      <c r="E730" s="56" t="str">
        <f t="shared" si="55"/>
        <v>CABO DE COBRE TERMOPLÁSTICO (PVC/ST2) BLINDADO ISOLADO 8,7/15KV, XLPE 90ºC ? 35,0MM2</v>
      </c>
      <c r="F730" s="56" t="str">
        <f t="shared" si="56"/>
        <v>M</v>
      </c>
      <c r="G730">
        <f t="shared" si="57"/>
        <v>147.47999999999999</v>
      </c>
      <c r="H730">
        <f t="shared" si="58"/>
        <v>110.68</v>
      </c>
      <c r="I730">
        <f t="shared" si="59"/>
        <v>110.68</v>
      </c>
    </row>
    <row r="731" spans="1:9" ht="43.2">
      <c r="A731" s="372">
        <v>151438</v>
      </c>
      <c r="B731" s="241" t="s">
        <v>27261</v>
      </c>
      <c r="C731" s="221" t="s">
        <v>112</v>
      </c>
      <c r="D731" s="241">
        <v>13.78</v>
      </c>
      <c r="E731" s="56" t="str">
        <f t="shared" si="55"/>
        <v>CABO DE COBRE TERMOPLÁSTICO (PVC) FLEXÍVEL ISOLADO 0,60/1KV, ANTICHAMA, HEPR 90ºC ? 2X2,5MM2</v>
      </c>
      <c r="F731" s="56" t="str">
        <f t="shared" si="56"/>
        <v>M</v>
      </c>
      <c r="G731">
        <f t="shared" si="57"/>
        <v>18.36</v>
      </c>
      <c r="H731">
        <f t="shared" si="58"/>
        <v>13.78</v>
      </c>
      <c r="I731">
        <f t="shared" si="59"/>
        <v>13.78</v>
      </c>
    </row>
    <row r="732" spans="1:9" ht="43.2">
      <c r="A732" s="372">
        <v>151439</v>
      </c>
      <c r="B732" s="241" t="s">
        <v>27262</v>
      </c>
      <c r="C732" s="221" t="s">
        <v>112</v>
      </c>
      <c r="D732" s="241">
        <v>16.22</v>
      </c>
      <c r="E732" s="56" t="str">
        <f t="shared" si="55"/>
        <v>CABO DE COBRE TERMOPLÁSTICO (PVC) FLEXÍVEL ISOLADO 0,60/1KV, ANTICHAMA, HEPR 90ºC ? 3X2,5MM2</v>
      </c>
      <c r="F732" s="56" t="str">
        <f t="shared" si="56"/>
        <v>M</v>
      </c>
      <c r="G732">
        <f t="shared" si="57"/>
        <v>21.61</v>
      </c>
      <c r="H732">
        <f t="shared" si="58"/>
        <v>16.22</v>
      </c>
      <c r="I732">
        <f t="shared" si="59"/>
        <v>16.22</v>
      </c>
    </row>
    <row r="733" spans="1:9" ht="43.2">
      <c r="A733" s="372">
        <v>151440</v>
      </c>
      <c r="B733" s="241" t="s">
        <v>27263</v>
      </c>
      <c r="C733" s="221" t="s">
        <v>112</v>
      </c>
      <c r="D733" s="241">
        <v>22.63</v>
      </c>
      <c r="E733" s="56" t="str">
        <f t="shared" si="55"/>
        <v>CABO DE COBRE TERMOPLÁSTICO (PVC) FLEXÍVEL ISOLADO 0,60/1KV, ANTICHAMA, HEPR 90ºC ? 3X4,0MM2</v>
      </c>
      <c r="F733" s="56" t="str">
        <f t="shared" si="56"/>
        <v>M</v>
      </c>
      <c r="G733">
        <f t="shared" si="57"/>
        <v>30.15</v>
      </c>
      <c r="H733">
        <f t="shared" si="58"/>
        <v>22.63</v>
      </c>
      <c r="I733">
        <f t="shared" si="59"/>
        <v>22.63</v>
      </c>
    </row>
    <row r="734" spans="1:9" ht="57.6">
      <c r="A734" s="371">
        <v>151441</v>
      </c>
      <c r="B734" s="240" t="s">
        <v>27264</v>
      </c>
      <c r="C734" s="221" t="s">
        <v>112</v>
      </c>
      <c r="D734" s="241">
        <v>6.24</v>
      </c>
      <c r="E734" s="56" t="str">
        <f t="shared" si="55"/>
        <v>CABO DE COBRE, TÊMPERA MOLE, CLASSE 5, ISOLAMENTO NÃO HALOGENADO, 450/750V, COM BAIXA EMISSAO DE FUMACA, 70ºC EM REGIME PERMANENTE - 1,50 MM2</v>
      </c>
      <c r="F734" s="56" t="str">
        <f t="shared" si="56"/>
        <v>M</v>
      </c>
      <c r="G734">
        <f t="shared" si="57"/>
        <v>8.31</v>
      </c>
      <c r="H734">
        <f t="shared" si="58"/>
        <v>6.24</v>
      </c>
      <c r="I734">
        <f t="shared" si="59"/>
        <v>6.24</v>
      </c>
    </row>
    <row r="735" spans="1:9" ht="57.6">
      <c r="A735" s="372">
        <v>151442</v>
      </c>
      <c r="B735" s="241" t="s">
        <v>27265</v>
      </c>
      <c r="C735" s="221" t="s">
        <v>112</v>
      </c>
      <c r="D735" s="241">
        <v>7.56</v>
      </c>
      <c r="E735" s="56" t="str">
        <f t="shared" si="55"/>
        <v>CABO DE COBRE, TEMPERA MOLE, CLASSE 5, ISOLAMENTO NÃO HALOGENADO, 450/750V, COM BAIXA EMISSAO DE FUMACA, 70ºC EM REGIME PERMANENTE - 2,50 MM2</v>
      </c>
      <c r="F735" s="56" t="str">
        <f t="shared" si="56"/>
        <v>M</v>
      </c>
      <c r="G735">
        <f t="shared" si="57"/>
        <v>10.07</v>
      </c>
      <c r="H735">
        <f t="shared" si="58"/>
        <v>7.56</v>
      </c>
      <c r="I735">
        <f t="shared" si="59"/>
        <v>7.56</v>
      </c>
    </row>
    <row r="736" spans="1:9" ht="57.6">
      <c r="A736" s="372">
        <v>151443</v>
      </c>
      <c r="B736" s="241" t="s">
        <v>27266</v>
      </c>
      <c r="C736" s="221" t="s">
        <v>112</v>
      </c>
      <c r="D736" s="241">
        <v>9.09</v>
      </c>
      <c r="E736" s="56" t="str">
        <f t="shared" si="55"/>
        <v>CABO DE COBRE, TEMPERA MOLE, CLASSE 5, ISOLAMENTO NÃO HALOGENADO, 450/750V, COM BAIXA EMISSAO DE FUMACA, 70ºC EM REGIME PERMANENTE - 4,0 MM2</v>
      </c>
      <c r="F736" s="56" t="str">
        <f t="shared" si="56"/>
        <v>M</v>
      </c>
      <c r="G736">
        <f t="shared" si="57"/>
        <v>12.11</v>
      </c>
      <c r="H736">
        <f t="shared" si="58"/>
        <v>9.09</v>
      </c>
      <c r="I736">
        <f t="shared" si="59"/>
        <v>9.09</v>
      </c>
    </row>
    <row r="737" spans="1:9" ht="57.6">
      <c r="A737" s="372">
        <v>151444</v>
      </c>
      <c r="B737" s="241" t="s">
        <v>27267</v>
      </c>
      <c r="C737" s="221" t="s">
        <v>112</v>
      </c>
      <c r="D737" s="241">
        <v>11.66</v>
      </c>
      <c r="E737" s="56" t="str">
        <f t="shared" si="55"/>
        <v>CABO DE COBRE, TEMPERA MOLE, CLASSE 5, ISOLAMENTO NÃO HALOGENADO, 450/750V, COM BAIXA EMISSAO DE FUMACA, 70ºC EM REGIME PERMANENTE - 6,0 MM2</v>
      </c>
      <c r="F737" s="56" t="str">
        <f t="shared" si="56"/>
        <v>M</v>
      </c>
      <c r="G737">
        <f t="shared" si="57"/>
        <v>15.54</v>
      </c>
      <c r="H737">
        <f t="shared" si="58"/>
        <v>11.66</v>
      </c>
      <c r="I737">
        <f t="shared" si="59"/>
        <v>11.66</v>
      </c>
    </row>
    <row r="738" spans="1:9" ht="57.6">
      <c r="A738" s="372">
        <v>151445</v>
      </c>
      <c r="B738" s="241" t="s">
        <v>27268</v>
      </c>
      <c r="C738" s="221" t="s">
        <v>112</v>
      </c>
      <c r="D738" s="241">
        <v>17.059999999999999</v>
      </c>
      <c r="E738" s="56" t="str">
        <f t="shared" si="55"/>
        <v>CABO DE COBRE, TEMPERA MOLE, CLASSE 5, ISOLAMENTO NÃO HALOGENADO, 450/750V, COM BAIXA EMISSAO DE FUMACA, 70ºC EM REGIME PERMANENTE - 10,0 MM2</v>
      </c>
      <c r="F738" s="56" t="str">
        <f t="shared" si="56"/>
        <v>M</v>
      </c>
      <c r="G738">
        <f t="shared" si="57"/>
        <v>22.73</v>
      </c>
      <c r="H738">
        <f t="shared" si="58"/>
        <v>17.059999999999999</v>
      </c>
      <c r="I738">
        <f t="shared" si="59"/>
        <v>17.059999999999999</v>
      </c>
    </row>
    <row r="739" spans="1:9" ht="57.6">
      <c r="A739" s="372">
        <v>151446</v>
      </c>
      <c r="B739" s="241" t="s">
        <v>27269</v>
      </c>
      <c r="C739" s="221" t="s">
        <v>112</v>
      </c>
      <c r="D739" s="241">
        <v>24.02</v>
      </c>
      <c r="E739" s="56" t="str">
        <f t="shared" si="55"/>
        <v>CABO DE COBRE, TEMPERA MOLE, CLASSE 5, ISOLAMENTO NÃO HALOGENADO, 450/750V, COM BAIXA EMISSAO DE FUMACA, 70ºC EM REGIME PERMANENTE - 16,0 MM2</v>
      </c>
      <c r="F739" s="56" t="str">
        <f t="shared" si="56"/>
        <v>M</v>
      </c>
      <c r="G739">
        <f t="shared" si="57"/>
        <v>32.01</v>
      </c>
      <c r="H739">
        <f t="shared" si="58"/>
        <v>24.02</v>
      </c>
      <c r="I739">
        <f t="shared" si="59"/>
        <v>24.02</v>
      </c>
    </row>
    <row r="740" spans="1:9" ht="57.6">
      <c r="A740" s="372">
        <v>151447</v>
      </c>
      <c r="B740" s="241" t="s">
        <v>27270</v>
      </c>
      <c r="C740" s="221" t="s">
        <v>112</v>
      </c>
      <c r="D740" s="241">
        <v>32.229999999999997</v>
      </c>
      <c r="E740" s="56" t="str">
        <f t="shared" si="55"/>
        <v>CABO DE COBRE, TEMPERA MOLE, CLASSE 5, ISOLAMENTO NÃO HALOGENADO, 450/750V, COM BAIXA EMISSAO DE FUMACA, 70ºC EM REGIME PERMANENTE - 25,0 MM2</v>
      </c>
      <c r="F740" s="56" t="str">
        <f t="shared" si="56"/>
        <v>M</v>
      </c>
      <c r="G740">
        <f t="shared" si="57"/>
        <v>42.95</v>
      </c>
      <c r="H740">
        <f t="shared" si="58"/>
        <v>32.229999999999997</v>
      </c>
      <c r="I740">
        <f t="shared" si="59"/>
        <v>32.229999999999997</v>
      </c>
    </row>
    <row r="741" spans="1:9">
      <c r="A741" s="371">
        <v>1515</v>
      </c>
      <c r="B741" s="240" t="s">
        <v>60</v>
      </c>
      <c r="C741" s="221"/>
      <c r="D741" s="241"/>
      <c r="E741" s="56" t="str">
        <f t="shared" si="55"/>
        <v>SERVIÇOS DIVERSOS</v>
      </c>
      <c r="F741" s="56" t="str">
        <f t="shared" si="56"/>
        <v/>
      </c>
      <c r="G741">
        <f t="shared" si="57"/>
        <v>0</v>
      </c>
      <c r="H741">
        <f t="shared" si="58"/>
        <v>0</v>
      </c>
      <c r="I741">
        <f t="shared" si="59"/>
        <v>0</v>
      </c>
    </row>
    <row r="742" spans="1:9">
      <c r="A742" s="372">
        <v>151503</v>
      </c>
      <c r="B742" s="241" t="s">
        <v>1472</v>
      </c>
      <c r="C742" s="221" t="s">
        <v>115</v>
      </c>
      <c r="D742" s="594">
        <v>17.5</v>
      </c>
      <c r="E742" s="56" t="str">
        <f t="shared" si="55"/>
        <v>CABEÇOTE DE ALUMÍNIO DE 1 1/4"</v>
      </c>
      <c r="F742" s="56" t="str">
        <f t="shared" si="56"/>
        <v>UND</v>
      </c>
      <c r="G742">
        <f t="shared" si="57"/>
        <v>23.32</v>
      </c>
      <c r="H742">
        <f t="shared" si="58"/>
        <v>17.5</v>
      </c>
      <c r="I742">
        <f t="shared" si="59"/>
        <v>17.5</v>
      </c>
    </row>
    <row r="743" spans="1:9">
      <c r="A743" s="372">
        <v>151504</v>
      </c>
      <c r="B743" s="241" t="s">
        <v>1473</v>
      </c>
      <c r="C743" s="221" t="s">
        <v>115</v>
      </c>
      <c r="D743" s="594">
        <v>18.739999999999998</v>
      </c>
      <c r="E743" s="56" t="str">
        <f t="shared" si="55"/>
        <v>CABEÇOTE DE ALUMÍNIO DE 1 1/2"</v>
      </c>
      <c r="F743" s="56" t="str">
        <f t="shared" si="56"/>
        <v>UND</v>
      </c>
      <c r="G743">
        <f t="shared" si="57"/>
        <v>24.97</v>
      </c>
      <c r="H743">
        <f t="shared" si="58"/>
        <v>18.739999999999998</v>
      </c>
      <c r="I743">
        <f t="shared" si="59"/>
        <v>18.739999999999998</v>
      </c>
    </row>
    <row r="744" spans="1:9">
      <c r="A744" s="372">
        <v>151506</v>
      </c>
      <c r="B744" s="241" t="s">
        <v>1474</v>
      </c>
      <c r="C744" s="221" t="s">
        <v>115</v>
      </c>
      <c r="D744" s="594">
        <v>227.71</v>
      </c>
      <c r="E744" s="56" t="str">
        <f t="shared" si="55"/>
        <v>HASTE DE TERRA TIPO COPPERWELD - 5/8" X 2.40M</v>
      </c>
      <c r="F744" s="56" t="str">
        <f t="shared" si="56"/>
        <v>UND</v>
      </c>
      <c r="G744">
        <f t="shared" si="57"/>
        <v>303.42</v>
      </c>
      <c r="H744">
        <f t="shared" si="58"/>
        <v>227.71</v>
      </c>
      <c r="I744">
        <f t="shared" si="59"/>
        <v>227.71</v>
      </c>
    </row>
    <row r="745" spans="1:9">
      <c r="A745" s="372">
        <v>151507</v>
      </c>
      <c r="B745" s="241" t="s">
        <v>1475</v>
      </c>
      <c r="C745" s="221" t="s">
        <v>115</v>
      </c>
      <c r="D745" s="594">
        <v>12.88</v>
      </c>
      <c r="E745" s="56" t="str">
        <f t="shared" si="55"/>
        <v>SAPATILHA</v>
      </c>
      <c r="F745" s="56" t="str">
        <f t="shared" si="56"/>
        <v>UND</v>
      </c>
      <c r="G745">
        <f t="shared" si="57"/>
        <v>17.16</v>
      </c>
      <c r="H745">
        <f t="shared" si="58"/>
        <v>12.88</v>
      </c>
      <c r="I745">
        <f t="shared" si="59"/>
        <v>12.88</v>
      </c>
    </row>
    <row r="746" spans="1:9" ht="28.8">
      <c r="A746" s="372">
        <v>151508</v>
      </c>
      <c r="B746" s="241" t="s">
        <v>1476</v>
      </c>
      <c r="C746" s="221" t="s">
        <v>115</v>
      </c>
      <c r="D746" s="594">
        <v>3.02</v>
      </c>
      <c r="E746" s="56" t="str">
        <f t="shared" si="55"/>
        <v>BUCHA E ARRUELA DE ALUMÍNIO FUNDIDO DIÂMETRO 20MM (3/4")</v>
      </c>
      <c r="F746" s="56" t="str">
        <f t="shared" si="56"/>
        <v>UND</v>
      </c>
      <c r="G746">
        <f t="shared" si="57"/>
        <v>4.0199999999999996</v>
      </c>
      <c r="H746">
        <f t="shared" si="58"/>
        <v>3.02</v>
      </c>
      <c r="I746">
        <f t="shared" si="59"/>
        <v>3.02</v>
      </c>
    </row>
    <row r="747" spans="1:9" ht="28.8">
      <c r="A747" s="372">
        <v>151509</v>
      </c>
      <c r="B747" s="241" t="s">
        <v>1477</v>
      </c>
      <c r="C747" s="221" t="s">
        <v>115</v>
      </c>
      <c r="D747" s="594">
        <v>4.18</v>
      </c>
      <c r="E747" s="56" t="str">
        <f t="shared" si="55"/>
        <v>BUCHA E ARRUELA DE ALUMÍNIO FUNDIDO DIÂMETRO 25MM (1")</v>
      </c>
      <c r="F747" s="56" t="str">
        <f t="shared" si="56"/>
        <v>UND</v>
      </c>
      <c r="G747">
        <f t="shared" si="57"/>
        <v>5.57</v>
      </c>
      <c r="H747">
        <f t="shared" si="58"/>
        <v>4.18</v>
      </c>
      <c r="I747">
        <f t="shared" si="59"/>
        <v>4.18</v>
      </c>
    </row>
    <row r="748" spans="1:9" ht="28.8">
      <c r="A748" s="372">
        <v>151510</v>
      </c>
      <c r="B748" s="241" t="s">
        <v>1478</v>
      </c>
      <c r="C748" s="221" t="s">
        <v>115</v>
      </c>
      <c r="D748" s="594">
        <v>8.83</v>
      </c>
      <c r="E748" s="56" t="str">
        <f t="shared" si="55"/>
        <v>BUCHA E ARRUELA DE ALUMÍNIO FUNDIDO DIÂMETRO 40MM (1 1/2")</v>
      </c>
      <c r="F748" s="56" t="str">
        <f t="shared" si="56"/>
        <v>UND</v>
      </c>
      <c r="G748">
        <f t="shared" si="57"/>
        <v>11.77</v>
      </c>
      <c r="H748">
        <f t="shared" si="58"/>
        <v>8.83</v>
      </c>
      <c r="I748">
        <f t="shared" si="59"/>
        <v>8.83</v>
      </c>
    </row>
    <row r="749" spans="1:9" ht="28.8">
      <c r="A749" s="372">
        <v>151511</v>
      </c>
      <c r="B749" s="241" t="s">
        <v>1479</v>
      </c>
      <c r="C749" s="221" t="s">
        <v>115</v>
      </c>
      <c r="D749" s="594">
        <v>33.340000000000003</v>
      </c>
      <c r="E749" s="56" t="str">
        <f t="shared" si="55"/>
        <v>BUCHA E ARRUELA DE ALUMÍNIO FUNDIDO DIÂMETRO 80MM (3")</v>
      </c>
      <c r="F749" s="56" t="str">
        <f t="shared" si="56"/>
        <v>UND</v>
      </c>
      <c r="G749">
        <f t="shared" si="57"/>
        <v>44.43</v>
      </c>
      <c r="H749">
        <f t="shared" si="58"/>
        <v>33.340000000000003</v>
      </c>
      <c r="I749">
        <f t="shared" si="59"/>
        <v>33.340000000000003</v>
      </c>
    </row>
    <row r="750" spans="1:9">
      <c r="A750" s="372">
        <v>151512</v>
      </c>
      <c r="B750" s="241" t="s">
        <v>2263</v>
      </c>
      <c r="C750" s="221" t="s">
        <v>115</v>
      </c>
      <c r="D750" s="594">
        <v>91.3</v>
      </c>
      <c r="E750" s="56" t="str">
        <f t="shared" si="55"/>
        <v>AUTOMÁTICO DE BÓIA, 2 FUNÇÕES 25A</v>
      </c>
      <c r="F750" s="56" t="str">
        <f t="shared" si="56"/>
        <v>UND</v>
      </c>
      <c r="G750">
        <f t="shared" si="57"/>
        <v>121.66</v>
      </c>
      <c r="H750">
        <f t="shared" si="58"/>
        <v>91.3</v>
      </c>
      <c r="I750">
        <f t="shared" si="59"/>
        <v>91.3</v>
      </c>
    </row>
    <row r="751" spans="1:9" ht="28.8">
      <c r="A751" s="372">
        <v>151513</v>
      </c>
      <c r="B751" s="241" t="s">
        <v>1480</v>
      </c>
      <c r="C751" s="221" t="s">
        <v>115</v>
      </c>
      <c r="D751" s="594">
        <v>24.49</v>
      </c>
      <c r="E751" s="56" t="str">
        <f t="shared" si="55"/>
        <v>PARAFUSO DE MÁQUINA DE FERRO GALVANIZADO DIÂMETRO 16MM</v>
      </c>
      <c r="F751" s="56" t="str">
        <f t="shared" si="56"/>
        <v>UND</v>
      </c>
      <c r="G751">
        <f t="shared" si="57"/>
        <v>32.630000000000003</v>
      </c>
      <c r="H751">
        <f t="shared" si="58"/>
        <v>24.49</v>
      </c>
      <c r="I751">
        <f t="shared" si="59"/>
        <v>24.49</v>
      </c>
    </row>
    <row r="752" spans="1:9" ht="28.8">
      <c r="A752" s="372">
        <v>1516</v>
      </c>
      <c r="B752" s="241" t="s">
        <v>1384</v>
      </c>
      <c r="C752" s="221"/>
      <c r="D752" s="594"/>
      <c r="E752" s="56" t="str">
        <f t="shared" si="55"/>
        <v>ABERTURA E FECHAMENTO DE RASGOS (INCLUSIVE PREPARO E APLICAÇÃO DE ARGAMASSA)</v>
      </c>
      <c r="F752" s="56" t="str">
        <f t="shared" si="56"/>
        <v/>
      </c>
      <c r="G752">
        <f t="shared" si="57"/>
        <v>0</v>
      </c>
      <c r="H752">
        <f t="shared" si="58"/>
        <v>0</v>
      </c>
      <c r="I752">
        <f t="shared" si="59"/>
        <v>0</v>
      </c>
    </row>
    <row r="753" spans="1:9" ht="43.2">
      <c r="A753" s="372">
        <v>151601</v>
      </c>
      <c r="B753" s="241" t="s">
        <v>1481</v>
      </c>
      <c r="C753" s="221" t="s">
        <v>112</v>
      </c>
      <c r="D753" s="594">
        <v>14</v>
      </c>
      <c r="E753" s="56" t="str">
        <f t="shared" si="55"/>
        <v>ABERTURA E FECHAMENTO DE RASGOS EM ALVENARIA, PARA PASSAGEM DE ELETRODUTOS DIÂM. 1/2" A 1"</v>
      </c>
      <c r="F753" s="56" t="str">
        <f t="shared" si="56"/>
        <v>M</v>
      </c>
      <c r="G753">
        <f t="shared" si="57"/>
        <v>18.66</v>
      </c>
      <c r="H753">
        <f t="shared" si="58"/>
        <v>14</v>
      </c>
      <c r="I753">
        <f t="shared" si="59"/>
        <v>14</v>
      </c>
    </row>
    <row r="754" spans="1:9" ht="43.2">
      <c r="A754" s="372">
        <v>151602</v>
      </c>
      <c r="B754" s="241" t="s">
        <v>1482</v>
      </c>
      <c r="C754" s="221" t="s">
        <v>112</v>
      </c>
      <c r="D754" s="594">
        <v>20.98</v>
      </c>
      <c r="E754" s="56" t="str">
        <f t="shared" si="55"/>
        <v>ABERTURA E FECHAMENTO DE RASGOS EM ALVENARIA, PARA PASSAGEM DE ELETRODUTO DIÂM. 1 1/4"A 2"</v>
      </c>
      <c r="F754" s="56" t="str">
        <f t="shared" si="56"/>
        <v>M</v>
      </c>
      <c r="G754">
        <f t="shared" si="57"/>
        <v>27.96</v>
      </c>
      <c r="H754">
        <f t="shared" si="58"/>
        <v>20.98</v>
      </c>
      <c r="I754">
        <f t="shared" si="59"/>
        <v>20.98</v>
      </c>
    </row>
    <row r="755" spans="1:9" ht="43.2">
      <c r="A755" s="372">
        <v>151603</v>
      </c>
      <c r="B755" s="241" t="s">
        <v>1483</v>
      </c>
      <c r="C755" s="221" t="s">
        <v>112</v>
      </c>
      <c r="D755" s="594">
        <v>31.6</v>
      </c>
      <c r="E755" s="56" t="str">
        <f t="shared" si="55"/>
        <v>ABERTURA E FECHAMENTO DE RASGOS EM ALVENARIA, PARA PASSAGEM DE ELETRODUTO DIÂM. 2 1/2" A 4"</v>
      </c>
      <c r="F755" s="56" t="str">
        <f t="shared" si="56"/>
        <v>M</v>
      </c>
      <c r="G755">
        <f t="shared" si="57"/>
        <v>42.11</v>
      </c>
      <c r="H755">
        <f t="shared" si="58"/>
        <v>31.6</v>
      </c>
      <c r="I755">
        <f t="shared" si="59"/>
        <v>31.6</v>
      </c>
    </row>
    <row r="756" spans="1:9" ht="43.2">
      <c r="A756" s="372">
        <v>151604</v>
      </c>
      <c r="B756" s="241" t="s">
        <v>1484</v>
      </c>
      <c r="C756" s="221" t="s">
        <v>112</v>
      </c>
      <c r="D756" s="594">
        <v>26.68</v>
      </c>
      <c r="E756" s="56" t="str">
        <f t="shared" si="55"/>
        <v>ABERTURA E FECHAMENTO DE RASGOS EM CONCRETO, PARA PASSAGEM DE ELETRODUTO DIÂM. 1/2" A 1"</v>
      </c>
      <c r="F756" s="56" t="str">
        <f t="shared" si="56"/>
        <v>M</v>
      </c>
      <c r="G756">
        <f t="shared" si="57"/>
        <v>35.549999999999997</v>
      </c>
      <c r="H756">
        <f t="shared" si="58"/>
        <v>26.68</v>
      </c>
      <c r="I756">
        <f t="shared" si="59"/>
        <v>26.68</v>
      </c>
    </row>
    <row r="757" spans="1:9" ht="43.2">
      <c r="A757" s="371">
        <v>151605</v>
      </c>
      <c r="B757" s="240" t="s">
        <v>1485</v>
      </c>
      <c r="C757" s="221" t="s">
        <v>112</v>
      </c>
      <c r="D757" s="241">
        <v>40.659999999999997</v>
      </c>
      <c r="E757" s="56" t="str">
        <f t="shared" si="55"/>
        <v>ABERTURA E FECHAMENTO DE RASGOS EM CONCRETO, PARA PASSAGEM DE ELETRODUTO DIÂM. 1 1/4" A 2"</v>
      </c>
      <c r="F757" s="56" t="str">
        <f t="shared" si="56"/>
        <v>M</v>
      </c>
      <c r="G757">
        <f t="shared" si="57"/>
        <v>54.18</v>
      </c>
      <c r="H757">
        <f t="shared" si="58"/>
        <v>40.659999999999997</v>
      </c>
      <c r="I757">
        <f t="shared" si="59"/>
        <v>40.659999999999997</v>
      </c>
    </row>
    <row r="758" spans="1:9" ht="43.2">
      <c r="A758" s="372">
        <v>151606</v>
      </c>
      <c r="B758" s="241" t="s">
        <v>1486</v>
      </c>
      <c r="C758" s="221" t="s">
        <v>112</v>
      </c>
      <c r="D758" s="241">
        <v>59.16</v>
      </c>
      <c r="E758" s="56" t="str">
        <f t="shared" si="55"/>
        <v>ABERTURA E FECHAMENTO DE RASGOS EM CONCRETO, PARA PASSAGEM DE ELETRODUTO DIÂM. 2 1/2" A 4"</v>
      </c>
      <c r="F758" s="56" t="str">
        <f t="shared" si="56"/>
        <v>M</v>
      </c>
      <c r="G758">
        <f t="shared" si="57"/>
        <v>78.83</v>
      </c>
      <c r="H758">
        <f t="shared" si="58"/>
        <v>59.16</v>
      </c>
      <c r="I758">
        <f t="shared" si="59"/>
        <v>59.16</v>
      </c>
    </row>
    <row r="759" spans="1:9" ht="28.8">
      <c r="A759" s="372">
        <v>1517</v>
      </c>
      <c r="B759" s="241" t="s">
        <v>1487</v>
      </c>
      <c r="C759" s="221"/>
      <c r="D759" s="241"/>
      <c r="E759" s="56" t="str">
        <f t="shared" si="55"/>
        <v>PADRAO DE ENTRADA DE ENERGIA - NORTEC-01 - ESCELSA</v>
      </c>
      <c r="F759" s="56" t="str">
        <f t="shared" si="56"/>
        <v/>
      </c>
      <c r="G759">
        <f t="shared" si="57"/>
        <v>0</v>
      </c>
      <c r="H759">
        <f t="shared" si="58"/>
        <v>0</v>
      </c>
      <c r="I759">
        <f t="shared" si="59"/>
        <v>0</v>
      </c>
    </row>
    <row r="760" spans="1:9" ht="57.6">
      <c r="A760" s="372">
        <v>151701</v>
      </c>
      <c r="B760" s="241" t="s">
        <v>10363</v>
      </c>
      <c r="C760" s="221" t="s">
        <v>115</v>
      </c>
      <c r="D760" s="241">
        <v>2202.4499999999998</v>
      </c>
      <c r="E760" s="56" t="str">
        <f t="shared" si="55"/>
        <v>PADRÃO DE ENTRADA DE ENERGIA ELÉTRICA, MONOFÁSICO, ENTRADA AÉREA, A 2 FIOS, CARGA INSTALADA EM MURO DE 3500 ATÉ 9000W - 220/127V</v>
      </c>
      <c r="F760" s="56" t="str">
        <f t="shared" si="56"/>
        <v>UND</v>
      </c>
      <c r="G760">
        <f t="shared" si="57"/>
        <v>2934.76</v>
      </c>
      <c r="H760">
        <f t="shared" si="58"/>
        <v>2202.4499999999998</v>
      </c>
      <c r="I760">
        <f t="shared" si="59"/>
        <v>2202.4499999999998</v>
      </c>
    </row>
    <row r="761" spans="1:9" ht="57.6">
      <c r="A761" s="372">
        <v>151702</v>
      </c>
      <c r="B761" s="241" t="s">
        <v>10364</v>
      </c>
      <c r="C761" s="221" t="s">
        <v>115</v>
      </c>
      <c r="D761" s="241">
        <v>3129.43</v>
      </c>
      <c r="E761" s="56" t="str">
        <f t="shared" si="55"/>
        <v>PADRÃO DE ENTRADA DE ENERGIA ELÉTRICA, BIFÁSICO, ENTRADA AÉREA, A 3 FIOS, CARGA INSTALADA EM MURO DE 9001 ATÉ 15000W - 220/127V</v>
      </c>
      <c r="F761" s="56" t="str">
        <f t="shared" si="56"/>
        <v>UND</v>
      </c>
      <c r="G761">
        <f t="shared" si="57"/>
        <v>4169.97</v>
      </c>
      <c r="H761">
        <f t="shared" si="58"/>
        <v>3129.43</v>
      </c>
      <c r="I761">
        <f t="shared" si="59"/>
        <v>3129.43</v>
      </c>
    </row>
    <row r="762" spans="1:9" ht="57.6">
      <c r="A762" s="372">
        <v>151703</v>
      </c>
      <c r="B762" s="241" t="s">
        <v>10365</v>
      </c>
      <c r="C762" s="221" t="s">
        <v>115</v>
      </c>
      <c r="D762" s="241">
        <v>3408.51</v>
      </c>
      <c r="E762" s="56" t="str">
        <f t="shared" si="55"/>
        <v>PADRÃO DE ENTRADA DE ENERGIA ELÉTRICA, TRIFÁSICO, ENTRADA AÉREA, A 4 FIOS, CARGA INSTALADA EM MURO DE 15001 ATÉ 26000W - 220/127V</v>
      </c>
      <c r="F762" s="56" t="str">
        <f t="shared" si="56"/>
        <v>UND</v>
      </c>
      <c r="G762">
        <f t="shared" si="57"/>
        <v>4541.84</v>
      </c>
      <c r="H762">
        <f t="shared" si="58"/>
        <v>3408.51</v>
      </c>
      <c r="I762">
        <f t="shared" si="59"/>
        <v>3408.51</v>
      </c>
    </row>
    <row r="763" spans="1:9" ht="57.6">
      <c r="A763" s="372">
        <v>151704</v>
      </c>
      <c r="B763" s="241" t="s">
        <v>10366</v>
      </c>
      <c r="C763" s="221" t="s">
        <v>115</v>
      </c>
      <c r="D763" s="241">
        <v>3656.95</v>
      </c>
      <c r="E763" s="56" t="str">
        <f t="shared" si="55"/>
        <v>PADRÃO DE ENTRADA DE ENERGIA ELÉTRICA, TRIFÁSICO, ENTRADA AÉREA, A 4 FIOS, CARGA INSTALADA EM MURO DE 26001 ATÉ 34000W - 220/127V</v>
      </c>
      <c r="F763" s="56" t="str">
        <f t="shared" si="56"/>
        <v>UND</v>
      </c>
      <c r="G763">
        <f t="shared" si="57"/>
        <v>4872.8900000000003</v>
      </c>
      <c r="H763">
        <f t="shared" si="58"/>
        <v>3656.95</v>
      </c>
      <c r="I763">
        <f t="shared" si="59"/>
        <v>3656.95</v>
      </c>
    </row>
    <row r="764" spans="1:9" ht="57.6">
      <c r="A764" s="372">
        <v>151705</v>
      </c>
      <c r="B764" s="241" t="s">
        <v>10367</v>
      </c>
      <c r="C764" s="221" t="s">
        <v>115</v>
      </c>
      <c r="D764" s="241">
        <v>3881.07</v>
      </c>
      <c r="E764" s="56" t="str">
        <f t="shared" si="55"/>
        <v>PADRÃO DE ENTRADA DE ENERGIA ELÉTRICA, TRIFÁSICO, ENTRADA AÉREA, A 4 FIOS, CARGA INSTALADA EM MURO DE 34001 ATÉ 41000W - 220/127V</v>
      </c>
      <c r="F764" s="56" t="str">
        <f t="shared" si="56"/>
        <v>UND</v>
      </c>
      <c r="G764">
        <f t="shared" si="57"/>
        <v>5171.53</v>
      </c>
      <c r="H764">
        <f t="shared" si="58"/>
        <v>3881.07</v>
      </c>
      <c r="I764">
        <f t="shared" si="59"/>
        <v>3881.07</v>
      </c>
    </row>
    <row r="765" spans="1:9" ht="57.6">
      <c r="A765" s="372">
        <v>151706</v>
      </c>
      <c r="B765" s="241" t="s">
        <v>23536</v>
      </c>
      <c r="C765" s="221" t="s">
        <v>115</v>
      </c>
      <c r="D765" s="241">
        <v>6288.23</v>
      </c>
      <c r="E765" s="56" t="str">
        <f t="shared" si="55"/>
        <v>PADRÃO DE ENTRADA DE ENERGIA ELÉTRICA, TRIFÁSICO, ENTRADA AÉREA, A 4 FIOS, CARGA INSTALADA EM MURO DE 41001 ATÉ 57000W - 220/127V</v>
      </c>
      <c r="F765" s="56" t="str">
        <f t="shared" si="56"/>
        <v>UND</v>
      </c>
      <c r="G765">
        <f t="shared" si="57"/>
        <v>8379.07</v>
      </c>
      <c r="H765">
        <f t="shared" si="58"/>
        <v>6288.23</v>
      </c>
      <c r="I765">
        <f t="shared" si="59"/>
        <v>6288.23</v>
      </c>
    </row>
    <row r="766" spans="1:9" ht="72">
      <c r="A766" s="372">
        <v>151707</v>
      </c>
      <c r="B766" s="241" t="s">
        <v>23537</v>
      </c>
      <c r="C766" s="221" t="s">
        <v>115</v>
      </c>
      <c r="D766" s="241">
        <v>4652.54</v>
      </c>
      <c r="E766" s="56" t="str">
        <f t="shared" si="55"/>
        <v>PADRÃO DE ENTRADA DE ENERGIA ELÉTRICA, TRIFÁSICO, ENTRADA SUBTERRÂNEA, A 4 FIOS, CARGA INSTALADA EM MURO DE 41001 ATÉ 57000W - 220/127V, EXCLUSIVE DERIVAÇÃO DE RAMAL DE ENTRADA SUBTERRÂNEA</v>
      </c>
      <c r="F766" s="56" t="str">
        <f t="shared" si="56"/>
        <v>UND</v>
      </c>
      <c r="G766">
        <f t="shared" si="57"/>
        <v>6199.51</v>
      </c>
      <c r="H766">
        <f t="shared" si="58"/>
        <v>4652.54</v>
      </c>
      <c r="I766">
        <f t="shared" si="59"/>
        <v>4652.54</v>
      </c>
    </row>
    <row r="767" spans="1:9" ht="57.6">
      <c r="A767" s="372">
        <v>151710</v>
      </c>
      <c r="B767" s="241" t="s">
        <v>10368</v>
      </c>
      <c r="C767" s="221" t="s">
        <v>115</v>
      </c>
      <c r="D767" s="241">
        <v>8122.18</v>
      </c>
      <c r="E767" s="56" t="str">
        <f t="shared" si="55"/>
        <v>PADRÃO DE ENTRADA DE ENERGIA ELÉTRICA, TRIFÁSICO, ENTRADA AÉREA, A 4 FIOS, CARGA INSTALADA EM MURO DE 57001 ATÉ 75000W - 220/127V</v>
      </c>
      <c r="F767" s="56" t="str">
        <f t="shared" si="56"/>
        <v>UND</v>
      </c>
      <c r="G767">
        <f t="shared" si="57"/>
        <v>10822.8</v>
      </c>
      <c r="H767">
        <f t="shared" si="58"/>
        <v>8122.18</v>
      </c>
      <c r="I767">
        <f t="shared" si="59"/>
        <v>8122.18</v>
      </c>
    </row>
    <row r="768" spans="1:9" ht="72">
      <c r="A768" s="372">
        <v>151711</v>
      </c>
      <c r="B768" s="241" t="s">
        <v>10369</v>
      </c>
      <c r="C768" s="221" t="s">
        <v>115</v>
      </c>
      <c r="D768" s="241">
        <v>7230.56</v>
      </c>
      <c r="E768" s="56" t="str">
        <f t="shared" si="55"/>
        <v>PADRÃO DE ENTRADA DE ENERGIA ELÉTRICA, TRIFÁSICO, ENTRADA SUBTERRÂNEA, A 4 FIOS, CARGA INSTALADA EM MURO DE 57001 ATÉ 75000W - 220/127V, EXCLUSIVE DERIVAÇÃO DE RAMAL DE ENTRADA SUBTERRÂNEA</v>
      </c>
      <c r="F768" s="56" t="str">
        <f t="shared" si="56"/>
        <v>UND</v>
      </c>
      <c r="G768">
        <f t="shared" si="57"/>
        <v>9634.7199999999993</v>
      </c>
      <c r="H768">
        <f t="shared" si="58"/>
        <v>7230.56</v>
      </c>
      <c r="I768">
        <f t="shared" si="59"/>
        <v>7230.56</v>
      </c>
    </row>
    <row r="769" spans="1:9" ht="72">
      <c r="A769" s="372">
        <v>151712</v>
      </c>
      <c r="B769" s="241" t="s">
        <v>1488</v>
      </c>
      <c r="C769" s="221" t="s">
        <v>115</v>
      </c>
      <c r="D769" s="241">
        <v>39895.050000000003</v>
      </c>
      <c r="E769" s="56" t="str">
        <f t="shared" ref="E769:E832" si="60">UPPER(B769)</f>
        <v>SUBESTAÇÃO EXT. AÉREA TRIFÁS. 75KVA, COMPLETA, C/ QUADROS DE MEDIÇÃO, TRANSF. A ÓLEO, CHAVE GERAL TRIPOLAR, POSTE E ACESSÓRIOS, CONF. NOR-TEC-01 DA ESCELSA, INCL. MURETA REV. C/ ARG. CIMENTO, CAL HIDRAT. CH1 E AREIA TRAÇO 1:0.5:6</v>
      </c>
      <c r="F769" s="56" t="str">
        <f t="shared" ref="F769:F832" si="61">UPPER(C769)</f>
        <v>UND</v>
      </c>
      <c r="G769">
        <f t="shared" si="57"/>
        <v>53160.15</v>
      </c>
      <c r="H769">
        <f t="shared" si="58"/>
        <v>39895.050000000003</v>
      </c>
      <c r="I769">
        <f t="shared" si="59"/>
        <v>39895.050000000003</v>
      </c>
    </row>
    <row r="770" spans="1:9" ht="86.4">
      <c r="A770" s="372">
        <v>151713</v>
      </c>
      <c r="B770" s="241" t="s">
        <v>1489</v>
      </c>
      <c r="C770" s="221" t="s">
        <v>115</v>
      </c>
      <c r="D770" s="241">
        <v>50188.75</v>
      </c>
      <c r="E770" s="56" t="str">
        <f t="shared" si="60"/>
        <v>SUBESTAÇÃO EXT. AÉREA TRIFÁS. 112.5KVA, COMPLETA, C/ QUADROS DE MEDIÇÃO, TRANSF. A ÓLEO, CHAVE GERAL TRIP., POSTE E ACESSÓRIOS, CONF. NOR-TEC-01 DA ESCELSA, INCL. MURETA REV. C/ ARG. CIMENTO, CAL HIDRAT. CH1 E AREIA TRAÇO 1:0.5:6</v>
      </c>
      <c r="F770" s="56" t="str">
        <f t="shared" si="61"/>
        <v>UND</v>
      </c>
      <c r="G770">
        <f t="shared" si="57"/>
        <v>66876.509999999995</v>
      </c>
      <c r="H770">
        <f t="shared" si="58"/>
        <v>50188.75</v>
      </c>
      <c r="I770">
        <f t="shared" si="59"/>
        <v>50188.75</v>
      </c>
    </row>
    <row r="771" spans="1:9" ht="86.4">
      <c r="A771" s="372">
        <v>151714</v>
      </c>
      <c r="B771" s="241" t="s">
        <v>1490</v>
      </c>
      <c r="C771" s="221" t="s">
        <v>115</v>
      </c>
      <c r="D771" s="241">
        <v>71150.33</v>
      </c>
      <c r="E771" s="56" t="str">
        <f t="shared" si="60"/>
        <v>SUBESTAÇÃO EXT. AÉREA TRIFÁS. 150KVA, COMPLETA, C/ QUADROS DE MEDIÇÃO, TRANSF. A ÓLEO, CHAVE GERAL TRIP., POSTE E ACESSÓRIOS, CONF. NOR-TEC-01 DA ESCELSA, INCL. MURETA REV. C/ ARG. CIMENTO, CAL HIDRAT. CH1 E AREIA TRAÇO 1:0.5:6</v>
      </c>
      <c r="F771" s="56" t="str">
        <f t="shared" si="61"/>
        <v>UND</v>
      </c>
      <c r="G771">
        <f t="shared" si="57"/>
        <v>94807.81</v>
      </c>
      <c r="H771">
        <f t="shared" si="58"/>
        <v>71150.33</v>
      </c>
      <c r="I771">
        <f t="shared" si="59"/>
        <v>71150.33</v>
      </c>
    </row>
    <row r="772" spans="1:9" ht="86.4">
      <c r="A772" s="372">
        <v>151715</v>
      </c>
      <c r="B772" s="241" t="s">
        <v>1491</v>
      </c>
      <c r="C772" s="221" t="s">
        <v>115</v>
      </c>
      <c r="D772" s="241">
        <v>88944.72</v>
      </c>
      <c r="E772" s="56" t="str">
        <f t="shared" si="60"/>
        <v>SUBESTAÇÃO EXT. AÉREA TRIFÁS. 225KVA, COMPLETA, C/ QUADROS DE MEDIÇÃO, TRANSF. A ÓLEO, CHAVE GERAL TRIP., POSTE E ACESSÓRIOS, CONF. NOR-TEC-01 DA ESCELSA, INCL. MURETA REV. C/ ARG. CIMENTO, CAL HIDRAT. CH1 E AREIA TRAÇO 1:0.5:6</v>
      </c>
      <c r="F772" s="56" t="str">
        <f t="shared" si="61"/>
        <v>UND</v>
      </c>
      <c r="G772">
        <f t="shared" si="57"/>
        <v>118518.84</v>
      </c>
      <c r="H772">
        <f t="shared" si="58"/>
        <v>88944.72</v>
      </c>
      <c r="I772">
        <f t="shared" si="59"/>
        <v>88944.72</v>
      </c>
    </row>
    <row r="773" spans="1:9">
      <c r="A773" s="372">
        <v>1518</v>
      </c>
      <c r="B773" s="241" t="s">
        <v>1492</v>
      </c>
      <c r="C773" s="221"/>
      <c r="D773" s="241"/>
      <c r="E773" s="56" t="str">
        <f t="shared" si="60"/>
        <v>PONTOS ELETRICOS REVISAO NR-10</v>
      </c>
      <c r="F773" s="56" t="str">
        <f t="shared" si="61"/>
        <v/>
      </c>
      <c r="G773">
        <f t="shared" si="57"/>
        <v>0</v>
      </c>
      <c r="H773">
        <f t="shared" si="58"/>
        <v>0</v>
      </c>
      <c r="I773">
        <f t="shared" si="59"/>
        <v>0</v>
      </c>
    </row>
    <row r="774" spans="1:9" ht="57.6">
      <c r="A774" s="372">
        <v>151801</v>
      </c>
      <c r="B774" s="241" t="s">
        <v>14906</v>
      </c>
      <c r="C774" s="221" t="s">
        <v>115</v>
      </c>
      <c r="D774" s="241">
        <v>233.57</v>
      </c>
      <c r="E774" s="56" t="str">
        <f t="shared" si="60"/>
        <v>PONTO PADRÃO DE LUZ NO TETO - CONSIDERANDO ELETRODUTO PVC RÍGIDO DE 3/4" INCLUSIVE CONEXÕES (4.5M), FIO ISOLADO PVC DE 2.5MM2 (16.2M) E CAIXA PVC 4X4" (1 UND)</v>
      </c>
      <c r="F774" s="56" t="str">
        <f t="shared" si="61"/>
        <v>UND</v>
      </c>
      <c r="G774">
        <f t="shared" si="57"/>
        <v>311.23</v>
      </c>
      <c r="H774">
        <f t="shared" si="58"/>
        <v>233.57</v>
      </c>
      <c r="I774">
        <f t="shared" si="59"/>
        <v>233.57</v>
      </c>
    </row>
    <row r="775" spans="1:9" ht="57.6">
      <c r="A775" s="371">
        <v>151802</v>
      </c>
      <c r="B775" s="240" t="s">
        <v>14907</v>
      </c>
      <c r="C775" s="221" t="s">
        <v>115</v>
      </c>
      <c r="D775" s="241">
        <v>208.96</v>
      </c>
      <c r="E775" s="56" t="str">
        <f t="shared" si="60"/>
        <v>PONTO PADRÃO DE LUZ NA PAREDE - CONSIDERANDO ELETRODUTO PVC RÍGIDO DE 3/4" INCLUSIVE CONEXÕES (4.5M), FIO ISOLADO PVC DE 2.5MM2 (16.2M) E CAIXA PVC 4X2" (1 UND)</v>
      </c>
      <c r="F775" s="56" t="str">
        <f t="shared" si="61"/>
        <v>UND</v>
      </c>
      <c r="G775">
        <f t="shared" si="57"/>
        <v>278.44</v>
      </c>
      <c r="H775">
        <f t="shared" si="58"/>
        <v>208.96</v>
      </c>
      <c r="I775">
        <f t="shared" si="59"/>
        <v>208.96</v>
      </c>
    </row>
    <row r="776" spans="1:9" ht="57.6">
      <c r="A776" s="372">
        <v>151803</v>
      </c>
      <c r="B776" s="241" t="s">
        <v>14908</v>
      </c>
      <c r="C776" s="221" t="s">
        <v>115</v>
      </c>
      <c r="D776" s="241">
        <v>238.38</v>
      </c>
      <c r="E776" s="56" t="str">
        <f t="shared" si="60"/>
        <v>PONTO PADRÃO DE TOMADA 2 PÓLOS MAIS TERRA - CONSIDERANDO ELETRODUTO PVC RÍGIDO DE 3/4" INCLUSIVE CONEXÕES (5.0M), FIO ISOLADO PVC DE 2.5MM2 (16.5M) E CAIXA PVC 4X2" (1 UND)</v>
      </c>
      <c r="F776" s="56" t="str">
        <f t="shared" si="61"/>
        <v>UND</v>
      </c>
      <c r="G776">
        <f t="shared" ref="G776:G839" si="62">ROUND(H776*(1+$G$1),2)</f>
        <v>317.64</v>
      </c>
      <c r="H776">
        <f t="shared" ref="H776:H839" si="63">I776</f>
        <v>238.38</v>
      </c>
      <c r="I776">
        <f t="shared" ref="I776:I839" si="64">ROUND(D776/(1+$E$1),2)</f>
        <v>238.38</v>
      </c>
    </row>
    <row r="777" spans="1:9" ht="72">
      <c r="A777" s="372">
        <v>151805</v>
      </c>
      <c r="B777" s="241" t="s">
        <v>14909</v>
      </c>
      <c r="C777" s="221" t="s">
        <v>115</v>
      </c>
      <c r="D777" s="241">
        <v>599.4</v>
      </c>
      <c r="E777" s="56" t="str">
        <f t="shared" si="60"/>
        <v>PONTO PADRÃO DE TOMADA PARA CHUVEIRO ELÉTRICO - CONSIDERANDO ELETRODUTO PVC RÍGIDO DE 3/4" INCLUSIVE CONEXÕES (9.0M), FIO ISOLADO PVC DE 6.0MM2 (32.5M) E CAIXA PVC 4X2" (1 UND)</v>
      </c>
      <c r="F777" s="56" t="str">
        <f t="shared" si="61"/>
        <v>UND</v>
      </c>
      <c r="G777">
        <f t="shared" si="62"/>
        <v>798.7</v>
      </c>
      <c r="H777">
        <f t="shared" si="63"/>
        <v>599.4</v>
      </c>
      <c r="I777">
        <f t="shared" si="64"/>
        <v>599.4</v>
      </c>
    </row>
    <row r="778" spans="1:9" ht="57.6">
      <c r="A778" s="372">
        <v>151806</v>
      </c>
      <c r="B778" s="241" t="s">
        <v>14910</v>
      </c>
      <c r="C778" s="221" t="s">
        <v>115</v>
      </c>
      <c r="D778" s="241">
        <v>344.35</v>
      </c>
      <c r="E778" s="56" t="str">
        <f t="shared" si="60"/>
        <v>PONTO PADRÃO DE TOMADA PARA AR REFRIGERADO - CONSIDERANDO ELETRODUTO PVC RÍGIDO DE 3/4" INCLUSIVE CONEXÕES (6.0M), FIO ISOLADO PVC DE 4.0MM2 (21.6M) E CAIXA PVC 4X2" (1 UND)</v>
      </c>
      <c r="F778" s="56" t="str">
        <f t="shared" si="61"/>
        <v>UND</v>
      </c>
      <c r="G778">
        <f t="shared" si="62"/>
        <v>458.85</v>
      </c>
      <c r="H778">
        <f t="shared" si="63"/>
        <v>344.35</v>
      </c>
      <c r="I778">
        <f t="shared" si="64"/>
        <v>344.35</v>
      </c>
    </row>
    <row r="779" spans="1:9" ht="57.6">
      <c r="A779" s="372">
        <v>151807</v>
      </c>
      <c r="B779" s="241" t="s">
        <v>14911</v>
      </c>
      <c r="C779" s="221" t="s">
        <v>115</v>
      </c>
      <c r="D779" s="241">
        <v>275.73</v>
      </c>
      <c r="E779" s="56" t="str">
        <f t="shared" si="60"/>
        <v>PONTO PADRÃO DE VENTILADOR NO TETO - CONSIDERANDO ELETRODUTO PVC RÍGIDO DE 3/4" INCLUSIVE CONEXÕES (4.5M), FIO ISOLADO PVC DE 2.5MM2 (21.6M) E CAIXA PVC 4X4" (1 UND)</v>
      </c>
      <c r="F779" s="56" t="str">
        <f t="shared" si="61"/>
        <v>UND</v>
      </c>
      <c r="G779">
        <f t="shared" si="62"/>
        <v>367.41</v>
      </c>
      <c r="H779">
        <f t="shared" si="63"/>
        <v>275.73</v>
      </c>
      <c r="I779">
        <f t="shared" si="64"/>
        <v>275.73</v>
      </c>
    </row>
    <row r="780" spans="1:9" ht="57.6">
      <c r="A780" s="372">
        <v>151809</v>
      </c>
      <c r="B780" s="241" t="s">
        <v>14912</v>
      </c>
      <c r="C780" s="221" t="s">
        <v>115</v>
      </c>
      <c r="D780" s="594">
        <v>211.97</v>
      </c>
      <c r="E780" s="56" t="str">
        <f t="shared" si="60"/>
        <v>PONTO PADRÃO DE INTERRUPTOR DE 2 TECLAS SIMPLES - CONSIDERANDO ELETRODUTO PVC RÍGIDO DE 3/4" INCLUSIVE CONEXÕES (3.3M), FIO ISOLADO PVC DE 2.5MM2 (17.2M) E CAIXA PVC 4X2" (1 UND)</v>
      </c>
      <c r="F780" s="56" t="str">
        <f t="shared" si="61"/>
        <v>UND</v>
      </c>
      <c r="G780">
        <f t="shared" si="62"/>
        <v>282.45</v>
      </c>
      <c r="H780">
        <f t="shared" si="63"/>
        <v>211.97</v>
      </c>
      <c r="I780">
        <f t="shared" si="64"/>
        <v>211.97</v>
      </c>
    </row>
    <row r="781" spans="1:9" ht="72">
      <c r="A781" s="371">
        <v>151810</v>
      </c>
      <c r="B781" s="240" t="s">
        <v>14913</v>
      </c>
      <c r="C781" s="221" t="s">
        <v>115</v>
      </c>
      <c r="D781" s="241">
        <v>400.01</v>
      </c>
      <c r="E781" s="56" t="str">
        <f t="shared" si="60"/>
        <v>PONTO PADRÃO DE INTERRUPTOR DE 1 TECLA PARALELO - CONSIDERANDO ELETRODUTO PVC RÍGIDO DE 3/4" INCLUSIVE CONEXÕES (8.5M), FIO ISOLADO PVC DE 2.5MM2 (28.8M) E CAIXA PVC 4X2" (1 UND)</v>
      </c>
      <c r="F781" s="56" t="str">
        <f t="shared" si="61"/>
        <v>UND</v>
      </c>
      <c r="G781">
        <f t="shared" si="62"/>
        <v>533.01</v>
      </c>
      <c r="H781">
        <f t="shared" si="63"/>
        <v>400.01</v>
      </c>
      <c r="I781">
        <f t="shared" si="64"/>
        <v>400.01</v>
      </c>
    </row>
    <row r="782" spans="1:9" ht="86.4">
      <c r="A782" s="372">
        <v>151811</v>
      </c>
      <c r="B782" s="241" t="s">
        <v>14914</v>
      </c>
      <c r="C782" s="221" t="s">
        <v>115</v>
      </c>
      <c r="D782" s="241">
        <v>251.25</v>
      </c>
      <c r="E782" s="56" t="str">
        <f t="shared" si="60"/>
        <v>PONTO PADRÃO DE INTERRUPTOR DE 1 TECLA SIMPLES E 1 TOMADA DOIS PÓLOS MAIS TERRA 10A/250V - CONSIDERANDO ELETRODUTO PVC RÍGIDO DE 3/4" INCLUSIVE CONEXÕES (4.5M), FIO ISOLADO PVC DE 2.5MM2 (19.4M) E CAIXA PVC 4X2" (1 UND)</v>
      </c>
      <c r="F782" s="56" t="str">
        <f t="shared" si="61"/>
        <v>UND</v>
      </c>
      <c r="G782">
        <f t="shared" si="62"/>
        <v>334.79</v>
      </c>
      <c r="H782">
        <f t="shared" si="63"/>
        <v>251.25</v>
      </c>
      <c r="I782">
        <f t="shared" si="64"/>
        <v>251.25</v>
      </c>
    </row>
    <row r="783" spans="1:9" ht="86.4">
      <c r="A783" s="372">
        <v>151812</v>
      </c>
      <c r="B783" s="241" t="s">
        <v>14915</v>
      </c>
      <c r="C783" s="221" t="s">
        <v>115</v>
      </c>
      <c r="D783" s="241">
        <v>278.58</v>
      </c>
      <c r="E783" s="56" t="str">
        <f t="shared" si="60"/>
        <v>PONTO PADRÃO DE INTERRUPTOR DE 2 TECLAS SIMPLES E 1 TOMADA DOIS PÓLOS MAIS TERRA 10A/250V - CONSIDERANDO ELETRODUTO PVC RÍGIDO DE 3/4" INCLUSIVE CONEXÕES (4.5M), FIO ISOLADO PVC DE 2.5MM2 (22.9M) E CAIXA PVC 4X2" (1 UND)</v>
      </c>
      <c r="F783" s="56" t="str">
        <f t="shared" si="61"/>
        <v>UND</v>
      </c>
      <c r="G783">
        <f t="shared" si="62"/>
        <v>371.21</v>
      </c>
      <c r="H783">
        <f t="shared" si="63"/>
        <v>278.58</v>
      </c>
      <c r="I783">
        <f t="shared" si="64"/>
        <v>278.58</v>
      </c>
    </row>
    <row r="784" spans="1:9" ht="57.6">
      <c r="A784" s="372">
        <v>151813</v>
      </c>
      <c r="B784" s="241" t="s">
        <v>14916</v>
      </c>
      <c r="C784" s="221" t="s">
        <v>115</v>
      </c>
      <c r="D784" s="241">
        <v>215.24</v>
      </c>
      <c r="E784" s="56" t="str">
        <f t="shared" si="60"/>
        <v>PONTO PADRÃO DE CAMPAINHA - CONSIDERANDO ELETRODUTO PVC RÍGIDO DE 3/4" INCLUSIVE CONEXÕES (5.0M), FIO ISOLADO PVC DE 2.5MM2 (12.0M) E CAIXA PVC 4X2" (1 UND)</v>
      </c>
      <c r="F784" s="56" t="str">
        <f t="shared" si="61"/>
        <v>UND</v>
      </c>
      <c r="G784">
        <f t="shared" si="62"/>
        <v>286.81</v>
      </c>
      <c r="H784">
        <f t="shared" si="63"/>
        <v>215.24</v>
      </c>
      <c r="I784">
        <f t="shared" si="64"/>
        <v>215.24</v>
      </c>
    </row>
    <row r="785" spans="1:9" ht="57.6">
      <c r="A785" s="372">
        <v>151814</v>
      </c>
      <c r="B785" s="241" t="s">
        <v>1493</v>
      </c>
      <c r="C785" s="221" t="s">
        <v>115</v>
      </c>
      <c r="D785" s="241">
        <v>348.01</v>
      </c>
      <c r="E785" s="56" t="str">
        <f t="shared" si="60"/>
        <v>PONTO PADRÃO DE POSTE PARA ILUMINAÇÃO EXTERNA - CONSIDERANDO ELETRODUTO PVC RÍGIDO DE 3/4" INCLUSIVE CONEXÕES (7.7M) E FIO ISOLADO PVC DE 2.5MM2 (25.2.0M)</v>
      </c>
      <c r="F785" s="56" t="str">
        <f t="shared" si="61"/>
        <v>UND</v>
      </c>
      <c r="G785">
        <f t="shared" si="62"/>
        <v>463.72</v>
      </c>
      <c r="H785">
        <f t="shared" si="63"/>
        <v>348.01</v>
      </c>
      <c r="I785">
        <f t="shared" si="64"/>
        <v>348.01</v>
      </c>
    </row>
    <row r="786" spans="1:9" ht="72">
      <c r="A786" s="372">
        <v>151815</v>
      </c>
      <c r="B786" s="241" t="s">
        <v>14917</v>
      </c>
      <c r="C786" s="221" t="s">
        <v>115</v>
      </c>
      <c r="D786" s="241">
        <v>171.38</v>
      </c>
      <c r="E786" s="56" t="str">
        <f t="shared" si="60"/>
        <v>PONTO PADRÃO DE INTERRUPTOR PARA VENTILADOR - CONSIDERANDO ELETRODUTO PVC RÍGIDO DE 3/4" INCLUSIVE CONEXÕES (3.3M), FIO ISOLADO PVC DE 2.5MM2 (12.0M) E CAIXA PVC 4X2" (1 UND)</v>
      </c>
      <c r="F786" s="56" t="str">
        <f t="shared" si="61"/>
        <v>UND</v>
      </c>
      <c r="G786">
        <f t="shared" si="62"/>
        <v>228.36</v>
      </c>
      <c r="H786">
        <f t="shared" si="63"/>
        <v>171.38</v>
      </c>
      <c r="I786">
        <f t="shared" si="64"/>
        <v>171.38</v>
      </c>
    </row>
    <row r="787" spans="1:9" ht="57.6">
      <c r="A787" s="372">
        <v>151816</v>
      </c>
      <c r="B787" s="241" t="s">
        <v>14918</v>
      </c>
      <c r="C787" s="221" t="s">
        <v>115</v>
      </c>
      <c r="D787" s="241">
        <v>301.60000000000002</v>
      </c>
      <c r="E787" s="56" t="str">
        <f t="shared" si="60"/>
        <v>PONTO PADRÃO DE INTERRUPTOR DE 3 TECLAS SIMPLES - CONSIDERANDO ELETRODUTO PVC RÍGIDO DE 3/4" INCLUSIVE CONEXÕES (4.5M), FIO ISOLADO PVC DE 2.5MM2 (25.8M) E CAIXA PVC 4X2" (1 UND)</v>
      </c>
      <c r="F787" s="56" t="str">
        <f t="shared" si="61"/>
        <v>UND</v>
      </c>
      <c r="G787">
        <f t="shared" si="62"/>
        <v>401.88</v>
      </c>
      <c r="H787">
        <f t="shared" si="63"/>
        <v>301.60000000000002</v>
      </c>
      <c r="I787">
        <f t="shared" si="64"/>
        <v>301.60000000000002</v>
      </c>
    </row>
    <row r="788" spans="1:9" ht="72">
      <c r="A788" s="372">
        <v>151817</v>
      </c>
      <c r="B788" s="241" t="s">
        <v>1494</v>
      </c>
      <c r="C788" s="221" t="s">
        <v>115</v>
      </c>
      <c r="D788" s="241">
        <v>280.87</v>
      </c>
      <c r="E788" s="56" t="str">
        <f t="shared" si="60"/>
        <v>PONTO PADRÃO DE TOMADA DE PISO - CONSIDERANDO ELETRODUTO PVC RÍGIDO DE 3/4" INCLUSIVE CONEXÕES (5.0M), FIO ISOLADO PVC DE 2.5MM2 (18.0M) E CAIXA ALUMÍNIO SILÍCIO 4X4" (1 UND)</v>
      </c>
      <c r="F788" s="56" t="str">
        <f t="shared" si="61"/>
        <v>UND</v>
      </c>
      <c r="G788">
        <f t="shared" si="62"/>
        <v>374.26</v>
      </c>
      <c r="H788">
        <f t="shared" si="63"/>
        <v>280.87</v>
      </c>
      <c r="I788">
        <f t="shared" si="64"/>
        <v>280.87</v>
      </c>
    </row>
    <row r="789" spans="1:9" ht="57.6">
      <c r="A789" s="372">
        <v>151819</v>
      </c>
      <c r="B789" s="241" t="s">
        <v>14919</v>
      </c>
      <c r="C789" s="221" t="s">
        <v>115</v>
      </c>
      <c r="D789" s="241">
        <v>112.19</v>
      </c>
      <c r="E789" s="56" t="str">
        <f t="shared" si="60"/>
        <v>PONTO DE ANTENA DE TV - CONSIDERANDO ELETRODUTO PVC RÍGIDO DE 3/4" INCLUSIVE CONEXÕES (3.0M), CABO COAXIAL 67 OHMS (4.5M) E CAIXA PVC 4X2" (1 UND)</v>
      </c>
      <c r="F789" s="56" t="str">
        <f t="shared" si="61"/>
        <v>UND</v>
      </c>
      <c r="G789">
        <f t="shared" si="62"/>
        <v>149.49</v>
      </c>
      <c r="H789">
        <f t="shared" si="63"/>
        <v>112.19</v>
      </c>
      <c r="I789">
        <f t="shared" si="64"/>
        <v>112.19</v>
      </c>
    </row>
    <row r="790" spans="1:9" ht="72">
      <c r="A790" s="372">
        <v>151820</v>
      </c>
      <c r="B790" s="241" t="s">
        <v>14920</v>
      </c>
      <c r="C790" s="221" t="s">
        <v>115</v>
      </c>
      <c r="D790" s="241">
        <v>201.04</v>
      </c>
      <c r="E790" s="56" t="str">
        <f t="shared" si="60"/>
        <v>PONTO PADRÃO DE INTERRUPTOR DE 1 TECLA INTERMEDIÁRIO - CONSIDERANDO ELETRODUTO PVC RÍGIDO DE 3/4" INCLUSIVE CONEXÕES (3.3M), FIO ISOLADO PVC DE 2.5MM2 (15.8M) E CAIXA PVC 4X2" (1 UND)</v>
      </c>
      <c r="F790" s="56" t="str">
        <f t="shared" si="61"/>
        <v>UND</v>
      </c>
      <c r="G790">
        <f t="shared" si="62"/>
        <v>267.89</v>
      </c>
      <c r="H790">
        <f t="shared" si="63"/>
        <v>201.04</v>
      </c>
      <c r="I790">
        <f t="shared" si="64"/>
        <v>201.04</v>
      </c>
    </row>
    <row r="791" spans="1:9" ht="28.8">
      <c r="A791" s="372">
        <v>1519</v>
      </c>
      <c r="B791" s="241" t="s">
        <v>1495</v>
      </c>
      <c r="C791" s="221"/>
      <c r="D791" s="241"/>
      <c r="E791" s="56" t="str">
        <f t="shared" si="60"/>
        <v>QUADROS DE DISTRIBUIÇÃO COM BARRAMENTO, TRINCO E FECHADURA</v>
      </c>
      <c r="F791" s="56" t="str">
        <f t="shared" si="61"/>
        <v/>
      </c>
      <c r="G791">
        <f t="shared" si="62"/>
        <v>0</v>
      </c>
      <c r="H791">
        <f t="shared" si="63"/>
        <v>0</v>
      </c>
      <c r="I791">
        <f t="shared" si="64"/>
        <v>0</v>
      </c>
    </row>
    <row r="792" spans="1:9" ht="86.4">
      <c r="A792" s="372">
        <v>151901</v>
      </c>
      <c r="B792" s="241" t="s">
        <v>1496</v>
      </c>
      <c r="C792" s="221" t="s">
        <v>115</v>
      </c>
      <c r="D792" s="241">
        <v>521.85</v>
      </c>
      <c r="E792" s="56" t="str">
        <f t="shared" si="60"/>
        <v>QUADRO DISTRIB. ENERGIA, EMBUTIDO OU SEMI EMBUTIDO, CAPAC. P/ 16 DISJ. DIN, C/BARRAM TRIF. 100A BARRA. NEUTRO E TERRA, FAB. EM CHAPA DE AÇO 12 USG COM PORTA, ESPELHO, TRINCO COM FECHAD CH YALE, REF. QDTN II-16DIN-CEMAR OU EQUIV.</v>
      </c>
      <c r="F792" s="56" t="str">
        <f t="shared" si="61"/>
        <v>UND</v>
      </c>
      <c r="G792">
        <f t="shared" si="62"/>
        <v>695.37</v>
      </c>
      <c r="H792">
        <f t="shared" si="63"/>
        <v>521.85</v>
      </c>
      <c r="I792">
        <f t="shared" si="64"/>
        <v>521.85</v>
      </c>
    </row>
    <row r="793" spans="1:9" ht="86.4">
      <c r="A793" s="372">
        <v>151902</v>
      </c>
      <c r="B793" s="241" t="s">
        <v>1497</v>
      </c>
      <c r="C793" s="221" t="s">
        <v>115</v>
      </c>
      <c r="D793" s="241">
        <v>613.95000000000005</v>
      </c>
      <c r="E793" s="56" t="str">
        <f t="shared" si="60"/>
        <v>QUADRO DISTRIB. ENERGIA, EMBUTIDO OU SEMI EMBUTIDO, CAPAC. P/ 28 DISJ. DIN, C/BARRAM TRIF. 100A BARRA. NEUTRO E TERRA, FAB. EM CHAPA DE AÇO 12 USG COM PORTA, ESPELHO, TRINCO COM FECHAD CH YALE, REF. QDTN II-28DIN-CEMAR OU EQUIV.</v>
      </c>
      <c r="F793" s="56" t="str">
        <f t="shared" si="61"/>
        <v>UND</v>
      </c>
      <c r="G793">
        <f t="shared" si="62"/>
        <v>818.09</v>
      </c>
      <c r="H793">
        <f t="shared" si="63"/>
        <v>613.95000000000005</v>
      </c>
      <c r="I793">
        <f t="shared" si="64"/>
        <v>613.95000000000005</v>
      </c>
    </row>
    <row r="794" spans="1:9" ht="86.4">
      <c r="A794" s="372">
        <v>151903</v>
      </c>
      <c r="B794" s="241" t="s">
        <v>1498</v>
      </c>
      <c r="C794" s="221" t="s">
        <v>115</v>
      </c>
      <c r="D794" s="241">
        <v>730.05</v>
      </c>
      <c r="E794" s="56" t="str">
        <f t="shared" si="60"/>
        <v>QUADRO DISTRIB. ENERGIA, EMBUTIDO OU SEMI EMBUTIDO, CAPAC. P/ 34 DISJ. DIN, C/BARRAM TRIF. 100A BARRA. NEUTRO E TERRA, FAB. EM CHAPA DE AÇO 12 USG COM PORTA, ESPELHO, TRINCO COM FECHAD CH YALE, REF. QDTN II-34DIN-CEMAR OU EQUIV</v>
      </c>
      <c r="F794" s="56" t="str">
        <f t="shared" si="61"/>
        <v>UND</v>
      </c>
      <c r="G794">
        <f t="shared" si="62"/>
        <v>972.79</v>
      </c>
      <c r="H794">
        <f t="shared" si="63"/>
        <v>730.05</v>
      </c>
      <c r="I794">
        <f t="shared" si="64"/>
        <v>730.05</v>
      </c>
    </row>
    <row r="795" spans="1:9" ht="86.4">
      <c r="A795" s="372">
        <v>151904</v>
      </c>
      <c r="B795" s="241" t="s">
        <v>1499</v>
      </c>
      <c r="C795" s="221" t="s">
        <v>115</v>
      </c>
      <c r="D795" s="241">
        <v>902.11</v>
      </c>
      <c r="E795" s="56" t="str">
        <f t="shared" si="60"/>
        <v>QUADRO DISTRIB. ENERGIA, EMBUTIDO OU SEMI EMBUTIDO, CAPAC. P/ 44 DISJ. DIN, C/BARRAM TRIF. 100A BARRA. NEUTRO E TERRA, FAB. EM CHAPA DE AÇO 12 USG COM PORTA, ESPELHO, TRINCO COM FECHAD CH YALE, REF. QDTN II-44DIN-CEMAR OU EQUIV</v>
      </c>
      <c r="F795" s="56" t="str">
        <f t="shared" si="61"/>
        <v>UND</v>
      </c>
      <c r="G795">
        <f t="shared" si="62"/>
        <v>1202.06</v>
      </c>
      <c r="H795">
        <f t="shared" si="63"/>
        <v>902.11</v>
      </c>
      <c r="I795">
        <f t="shared" si="64"/>
        <v>902.11</v>
      </c>
    </row>
    <row r="796" spans="1:9" ht="72">
      <c r="A796" s="372">
        <v>151905</v>
      </c>
      <c r="B796" s="241" t="s">
        <v>1500</v>
      </c>
      <c r="C796" s="221" t="s">
        <v>115</v>
      </c>
      <c r="D796" s="241">
        <v>1054.6099999999999</v>
      </c>
      <c r="E796" s="56" t="str">
        <f t="shared" si="60"/>
        <v>QUADRO DISTRIB. ENERGIA, EMBUTIDO OU SEMI EMBUTIDO, CAPAC. P/ 54 DISJ. DIN, C/BARRAM TRIF. 100A BARRA. NEUTRO E TERRA, FAB. EM CHAPA DE AÇO 12 USG COM PORTA, ESPELHO, TRINCO COM FECHAD CH YALE, REF. QDTN II-54DIN-CEMAR</v>
      </c>
      <c r="F796" s="56" t="str">
        <f t="shared" si="61"/>
        <v>UND</v>
      </c>
      <c r="G796">
        <f t="shared" si="62"/>
        <v>1405.27</v>
      </c>
      <c r="H796">
        <f t="shared" si="63"/>
        <v>1054.6099999999999</v>
      </c>
      <c r="I796">
        <f t="shared" si="64"/>
        <v>1054.6099999999999</v>
      </c>
    </row>
    <row r="797" spans="1:9">
      <c r="A797" s="372">
        <v>1520</v>
      </c>
      <c r="B797" s="241" t="s">
        <v>1501</v>
      </c>
      <c r="C797" s="221"/>
      <c r="D797" s="241"/>
      <c r="E797" s="56" t="str">
        <f t="shared" si="60"/>
        <v>TERMINAIS, CONECTORES E ABRAÇADEIRAS</v>
      </c>
      <c r="F797" s="56" t="str">
        <f t="shared" si="61"/>
        <v/>
      </c>
      <c r="G797">
        <f t="shared" si="62"/>
        <v>0</v>
      </c>
      <c r="H797">
        <f t="shared" si="63"/>
        <v>0</v>
      </c>
      <c r="I797">
        <f t="shared" si="64"/>
        <v>0</v>
      </c>
    </row>
    <row r="798" spans="1:9" ht="28.8">
      <c r="A798" s="372">
        <v>152001</v>
      </c>
      <c r="B798" s="241" t="s">
        <v>27271</v>
      </c>
      <c r="C798" s="221" t="s">
        <v>115</v>
      </c>
      <c r="D798" s="241">
        <v>14.13</v>
      </c>
      <c r="E798" s="56" t="str">
        <f t="shared" si="60"/>
        <v>TERMINAL EM BRONZE A PRESSÃO PARA LIGAÇÃO DE CABO A BARRA ATÉ 4.0MM2</v>
      </c>
      <c r="F798" s="56" t="str">
        <f t="shared" si="61"/>
        <v>UND</v>
      </c>
      <c r="G798">
        <f t="shared" si="62"/>
        <v>18.829999999999998</v>
      </c>
      <c r="H798">
        <f t="shared" si="63"/>
        <v>14.13</v>
      </c>
      <c r="I798">
        <f t="shared" si="64"/>
        <v>14.13</v>
      </c>
    </row>
    <row r="799" spans="1:9" ht="28.8">
      <c r="A799" s="372">
        <v>152002</v>
      </c>
      <c r="B799" s="241" t="s">
        <v>27272</v>
      </c>
      <c r="C799" s="221" t="s">
        <v>115</v>
      </c>
      <c r="D799" s="241">
        <v>14.38</v>
      </c>
      <c r="E799" s="56" t="str">
        <f t="shared" si="60"/>
        <v>TERMINAL EM BRONZE A PRESSÃO PARA LIGAÇÃO DE CABO A BARRA DE 6.0 MM2</v>
      </c>
      <c r="F799" s="56" t="str">
        <f t="shared" si="61"/>
        <v>UND</v>
      </c>
      <c r="G799">
        <f t="shared" si="62"/>
        <v>19.16</v>
      </c>
      <c r="H799">
        <f t="shared" si="63"/>
        <v>14.38</v>
      </c>
      <c r="I799">
        <f t="shared" si="64"/>
        <v>14.38</v>
      </c>
    </row>
    <row r="800" spans="1:9" ht="28.8">
      <c r="A800" s="372">
        <v>152003</v>
      </c>
      <c r="B800" s="241" t="s">
        <v>27273</v>
      </c>
      <c r="C800" s="221" t="s">
        <v>115</v>
      </c>
      <c r="D800" s="241">
        <v>16.86</v>
      </c>
      <c r="E800" s="56" t="str">
        <f t="shared" si="60"/>
        <v>TERMINAL EM BRONZE A PRESSÃO PARA LIGAÇÃO DE CABO A BARRA DE 10.0 MM2</v>
      </c>
      <c r="F800" s="56" t="str">
        <f t="shared" si="61"/>
        <v>UND</v>
      </c>
      <c r="G800">
        <f t="shared" si="62"/>
        <v>22.47</v>
      </c>
      <c r="H800">
        <f t="shared" si="63"/>
        <v>16.86</v>
      </c>
      <c r="I800">
        <f t="shared" si="64"/>
        <v>16.86</v>
      </c>
    </row>
    <row r="801" spans="1:9" ht="28.8">
      <c r="A801" s="372">
        <v>152004</v>
      </c>
      <c r="B801" s="241" t="s">
        <v>27274</v>
      </c>
      <c r="C801" s="221" t="s">
        <v>115</v>
      </c>
      <c r="D801" s="241">
        <v>17.03</v>
      </c>
      <c r="E801" s="56" t="str">
        <f t="shared" si="60"/>
        <v>ERMINAL EM BRONZE A PRESSÃO PARA LIGAÇÃO DE CABO A BARRA DE 16.0 MM2</v>
      </c>
      <c r="F801" s="56" t="str">
        <f t="shared" si="61"/>
        <v>UND</v>
      </c>
      <c r="G801">
        <f t="shared" si="62"/>
        <v>22.69</v>
      </c>
      <c r="H801">
        <f t="shared" si="63"/>
        <v>17.03</v>
      </c>
      <c r="I801">
        <f t="shared" si="64"/>
        <v>17.03</v>
      </c>
    </row>
    <row r="802" spans="1:9" ht="28.8">
      <c r="A802" s="372">
        <v>152005</v>
      </c>
      <c r="B802" s="241" t="s">
        <v>27275</v>
      </c>
      <c r="C802" s="221" t="s">
        <v>115</v>
      </c>
      <c r="D802" s="241">
        <v>20.66</v>
      </c>
      <c r="E802" s="56" t="str">
        <f t="shared" si="60"/>
        <v>TERMINAL EM BRONZE A PRESSÃO PARA LIGAÇÃO DE CABO A BARRA DE 25.0 MM2</v>
      </c>
      <c r="F802" s="56" t="str">
        <f t="shared" si="61"/>
        <v>UND</v>
      </c>
      <c r="G802">
        <f t="shared" si="62"/>
        <v>27.53</v>
      </c>
      <c r="H802">
        <f t="shared" si="63"/>
        <v>20.66</v>
      </c>
      <c r="I802">
        <f t="shared" si="64"/>
        <v>20.66</v>
      </c>
    </row>
    <row r="803" spans="1:9" ht="28.8">
      <c r="A803" s="372">
        <v>152006</v>
      </c>
      <c r="B803" s="241" t="s">
        <v>27276</v>
      </c>
      <c r="C803" s="221" t="s">
        <v>115</v>
      </c>
      <c r="D803" s="241">
        <v>21.74</v>
      </c>
      <c r="E803" s="56" t="str">
        <f t="shared" si="60"/>
        <v>TERMINAL EM BRONZE A PRESSÃO PARA LIGAÇÃO DE CABO A BARRA DE 35.0 MM2</v>
      </c>
      <c r="F803" s="56" t="str">
        <f t="shared" si="61"/>
        <v>UND</v>
      </c>
      <c r="G803">
        <f t="shared" si="62"/>
        <v>28.97</v>
      </c>
      <c r="H803">
        <f t="shared" si="63"/>
        <v>21.74</v>
      </c>
      <c r="I803">
        <f t="shared" si="64"/>
        <v>21.74</v>
      </c>
    </row>
    <row r="804" spans="1:9" ht="28.8">
      <c r="A804" s="372">
        <v>152007</v>
      </c>
      <c r="B804" s="241" t="s">
        <v>27277</v>
      </c>
      <c r="C804" s="221" t="s">
        <v>115</v>
      </c>
      <c r="D804" s="241">
        <v>28.96</v>
      </c>
      <c r="E804" s="56" t="str">
        <f t="shared" si="60"/>
        <v>TERMINAL EM BRONZE A PRESSÃO PARA LIGAÇÃO DE CABO A BARRA DE 50.0 MM2</v>
      </c>
      <c r="F804" s="56" t="str">
        <f t="shared" si="61"/>
        <v>UND</v>
      </c>
      <c r="G804">
        <f t="shared" si="62"/>
        <v>38.590000000000003</v>
      </c>
      <c r="H804">
        <f t="shared" si="63"/>
        <v>28.96</v>
      </c>
      <c r="I804">
        <f t="shared" si="64"/>
        <v>28.96</v>
      </c>
    </row>
    <row r="805" spans="1:9" ht="28.8">
      <c r="A805" s="372">
        <v>152010</v>
      </c>
      <c r="B805" s="241" t="s">
        <v>27278</v>
      </c>
      <c r="C805" s="221" t="s">
        <v>115</v>
      </c>
      <c r="D805" s="241">
        <v>30.07</v>
      </c>
      <c r="E805" s="56" t="str">
        <f t="shared" si="60"/>
        <v>TERMINAL EM BRONZE A PRESSÃO PARA LIGAÇÃO DE CABO A BARRA DE 70 MM2</v>
      </c>
      <c r="F805" s="56" t="str">
        <f t="shared" si="61"/>
        <v>UND</v>
      </c>
      <c r="G805">
        <f t="shared" si="62"/>
        <v>40.07</v>
      </c>
      <c r="H805">
        <f t="shared" si="63"/>
        <v>30.07</v>
      </c>
      <c r="I805">
        <f t="shared" si="64"/>
        <v>30.07</v>
      </c>
    </row>
    <row r="806" spans="1:9" ht="28.8">
      <c r="A806" s="372">
        <v>152011</v>
      </c>
      <c r="B806" s="241" t="s">
        <v>27279</v>
      </c>
      <c r="C806" s="221" t="s">
        <v>115</v>
      </c>
      <c r="D806" s="241">
        <v>38.869999999999997</v>
      </c>
      <c r="E806" s="56" t="str">
        <f t="shared" si="60"/>
        <v>TERMINAL EM BRONZE A PRESSÃO PARA LIGAÇÃO DE CABO A BARRA DE 95 MM2</v>
      </c>
      <c r="F806" s="56" t="str">
        <f t="shared" si="61"/>
        <v>UND</v>
      </c>
      <c r="G806">
        <f t="shared" si="62"/>
        <v>51.79</v>
      </c>
      <c r="H806">
        <f t="shared" si="63"/>
        <v>38.869999999999997</v>
      </c>
      <c r="I806">
        <f t="shared" si="64"/>
        <v>38.869999999999997</v>
      </c>
    </row>
    <row r="807" spans="1:9" ht="28.8">
      <c r="A807" s="371">
        <v>152012</v>
      </c>
      <c r="B807" s="240" t="s">
        <v>27280</v>
      </c>
      <c r="C807" s="221" t="s">
        <v>115</v>
      </c>
      <c r="D807" s="241">
        <v>44.45</v>
      </c>
      <c r="E807" s="56" t="str">
        <f t="shared" si="60"/>
        <v>TERMINAL EM BRONZE A PRESSÃO PARA LIGAÇÃO DE CABO A BARRA DE 120 MM2</v>
      </c>
      <c r="F807" s="56" t="str">
        <f t="shared" si="61"/>
        <v>UND</v>
      </c>
      <c r="G807">
        <f t="shared" si="62"/>
        <v>59.23</v>
      </c>
      <c r="H807">
        <f t="shared" si="63"/>
        <v>44.45</v>
      </c>
      <c r="I807">
        <f t="shared" si="64"/>
        <v>44.45</v>
      </c>
    </row>
    <row r="808" spans="1:9" ht="28.8">
      <c r="A808" s="371">
        <v>152013</v>
      </c>
      <c r="B808" s="240" t="s">
        <v>27281</v>
      </c>
      <c r="C808" s="221" t="s">
        <v>115</v>
      </c>
      <c r="D808" s="241">
        <v>53.93</v>
      </c>
      <c r="E808" s="56" t="str">
        <f t="shared" si="60"/>
        <v>TERMINAL EM BRONZE A PRESSÃO PARA LIGAÇÃO DE CABO A BARRA DE 150 MM2</v>
      </c>
      <c r="F808" s="56" t="str">
        <f t="shared" si="61"/>
        <v>UND</v>
      </c>
      <c r="G808">
        <f t="shared" si="62"/>
        <v>71.86</v>
      </c>
      <c r="H808">
        <f t="shared" si="63"/>
        <v>53.93</v>
      </c>
      <c r="I808">
        <f t="shared" si="64"/>
        <v>53.93</v>
      </c>
    </row>
    <row r="809" spans="1:9" ht="28.8">
      <c r="A809" s="372">
        <v>152014</v>
      </c>
      <c r="B809" s="241" t="s">
        <v>27282</v>
      </c>
      <c r="C809" s="221" t="s">
        <v>115</v>
      </c>
      <c r="D809" s="594">
        <v>60.13</v>
      </c>
      <c r="E809" s="56" t="str">
        <f t="shared" si="60"/>
        <v>TERMINAL EM BRONZE A PRESSÃO PARA LIGAÇÃO DE CABO A BARRA DE 185 MM2</v>
      </c>
      <c r="F809" s="56" t="str">
        <f t="shared" si="61"/>
        <v>UND</v>
      </c>
      <c r="G809">
        <f t="shared" si="62"/>
        <v>80.12</v>
      </c>
      <c r="H809">
        <f t="shared" si="63"/>
        <v>60.13</v>
      </c>
      <c r="I809">
        <f t="shared" si="64"/>
        <v>60.13</v>
      </c>
    </row>
    <row r="810" spans="1:9" ht="28.8">
      <c r="A810" s="372">
        <v>152015</v>
      </c>
      <c r="B810" s="241" t="s">
        <v>27283</v>
      </c>
      <c r="C810" s="221" t="s">
        <v>115</v>
      </c>
      <c r="D810" s="241">
        <v>65.3</v>
      </c>
      <c r="E810" s="56" t="str">
        <f t="shared" si="60"/>
        <v>TERMINAL EM BRONZE A PRESSÃO PARA LIGAÇÃO DE CABO A BARRA DE 240 MM2</v>
      </c>
      <c r="F810" s="56" t="str">
        <f t="shared" si="61"/>
        <v>UND</v>
      </c>
      <c r="G810">
        <f t="shared" si="62"/>
        <v>87.01</v>
      </c>
      <c r="H810">
        <f t="shared" si="63"/>
        <v>65.3</v>
      </c>
      <c r="I810">
        <f t="shared" si="64"/>
        <v>65.3</v>
      </c>
    </row>
    <row r="811" spans="1:9" ht="28.8">
      <c r="A811" s="372">
        <v>152016</v>
      </c>
      <c r="B811" s="241" t="s">
        <v>27284</v>
      </c>
      <c r="C811" s="221" t="s">
        <v>115</v>
      </c>
      <c r="D811" s="241">
        <v>74.989999999999995</v>
      </c>
      <c r="E811" s="56" t="str">
        <f t="shared" si="60"/>
        <v>TERMINAL EM BRONZE A PRESSÃO PARA LIGAÇÃO DE CABO A BARRA DE 300 MM2</v>
      </c>
      <c r="F811" s="56" t="str">
        <f t="shared" si="61"/>
        <v>UND</v>
      </c>
      <c r="G811">
        <f t="shared" si="62"/>
        <v>99.92</v>
      </c>
      <c r="H811">
        <f t="shared" si="63"/>
        <v>74.989999999999995</v>
      </c>
      <c r="I811">
        <f t="shared" si="64"/>
        <v>74.989999999999995</v>
      </c>
    </row>
    <row r="812" spans="1:9" ht="28.8">
      <c r="A812" s="372">
        <v>152025</v>
      </c>
      <c r="B812" s="241" t="s">
        <v>27285</v>
      </c>
      <c r="C812" s="221" t="s">
        <v>115</v>
      </c>
      <c r="D812" s="241">
        <v>223.11</v>
      </c>
      <c r="E812" s="56" t="str">
        <f t="shared" si="60"/>
        <v>TERMINAL EM BRONZE A PRESSÃO PARA LIGAÇÃO DE CABO A BARRA DUPLO DE 185 MM2</v>
      </c>
      <c r="F812" s="56" t="str">
        <f t="shared" si="61"/>
        <v>UND</v>
      </c>
      <c r="G812">
        <f t="shared" si="62"/>
        <v>297.29000000000002</v>
      </c>
      <c r="H812">
        <f t="shared" si="63"/>
        <v>223.11</v>
      </c>
      <c r="I812">
        <f t="shared" si="64"/>
        <v>223.11</v>
      </c>
    </row>
    <row r="813" spans="1:9" ht="28.8">
      <c r="A813" s="372">
        <v>152026</v>
      </c>
      <c r="B813" s="241" t="s">
        <v>27286</v>
      </c>
      <c r="C813" s="221" t="s">
        <v>115</v>
      </c>
      <c r="D813" s="594">
        <v>234.03</v>
      </c>
      <c r="E813" s="56" t="str">
        <f t="shared" si="60"/>
        <v>TERMINAL EM BRONZE A PRESSÃO PARA LIGAÇÃO DE CABO A BARRA DUPLO DE 240 MM2</v>
      </c>
      <c r="F813" s="56" t="str">
        <f t="shared" si="61"/>
        <v>UND</v>
      </c>
      <c r="G813">
        <f t="shared" si="62"/>
        <v>311.83999999999997</v>
      </c>
      <c r="H813">
        <f t="shared" si="63"/>
        <v>234.03</v>
      </c>
      <c r="I813">
        <f t="shared" si="64"/>
        <v>234.03</v>
      </c>
    </row>
    <row r="814" spans="1:9" ht="28.8">
      <c r="A814" s="372">
        <v>152027</v>
      </c>
      <c r="B814" s="241" t="s">
        <v>27287</v>
      </c>
      <c r="C814" s="221" t="s">
        <v>115</v>
      </c>
      <c r="D814" s="241">
        <v>272.77999999999997</v>
      </c>
      <c r="E814" s="56" t="str">
        <f t="shared" si="60"/>
        <v>TERMINAL EM BRONZE A PRESSÃO PARA LIGAÇÃO DE CABO A BARRA DUPLO DE 300 MM2</v>
      </c>
      <c r="F814" s="56" t="str">
        <f t="shared" si="61"/>
        <v>UND</v>
      </c>
      <c r="G814">
        <f t="shared" si="62"/>
        <v>363.48</v>
      </c>
      <c r="H814">
        <f t="shared" si="63"/>
        <v>272.77999999999997</v>
      </c>
      <c r="I814">
        <f t="shared" si="64"/>
        <v>272.77999999999997</v>
      </c>
    </row>
    <row r="815" spans="1:9" ht="28.8">
      <c r="A815" s="372">
        <v>152030</v>
      </c>
      <c r="B815" s="241" t="s">
        <v>27288</v>
      </c>
      <c r="C815" s="221" t="s">
        <v>115</v>
      </c>
      <c r="D815" s="241">
        <v>15.51</v>
      </c>
      <c r="E815" s="56" t="str">
        <f t="shared" si="60"/>
        <v>CONECTOR PARAFUSO FENDIDO SPLIT BOLT PARA CABO ATÉ 10.0 MM2</v>
      </c>
      <c r="F815" s="56" t="str">
        <f t="shared" si="61"/>
        <v>UND</v>
      </c>
      <c r="G815">
        <f t="shared" si="62"/>
        <v>20.67</v>
      </c>
      <c r="H815">
        <f t="shared" si="63"/>
        <v>15.51</v>
      </c>
      <c r="I815">
        <f t="shared" si="64"/>
        <v>15.51</v>
      </c>
    </row>
    <row r="816" spans="1:9" ht="28.8">
      <c r="A816" s="371">
        <v>152031</v>
      </c>
      <c r="B816" s="240" t="s">
        <v>27289</v>
      </c>
      <c r="C816" s="221" t="s">
        <v>115</v>
      </c>
      <c r="D816" s="241">
        <v>23.16</v>
      </c>
      <c r="E816" s="56" t="str">
        <f t="shared" si="60"/>
        <v>CONECTOR PARAFUSO FENDIDO SPLIT BOLT PARA CABO DE 35.0 MM2</v>
      </c>
      <c r="F816" s="56" t="str">
        <f t="shared" si="61"/>
        <v>UND</v>
      </c>
      <c r="G816">
        <f t="shared" si="62"/>
        <v>30.86</v>
      </c>
      <c r="H816">
        <f t="shared" si="63"/>
        <v>23.16</v>
      </c>
      <c r="I816">
        <f t="shared" si="64"/>
        <v>23.16</v>
      </c>
    </row>
    <row r="817" spans="1:9" ht="28.8">
      <c r="A817" s="372">
        <v>152034</v>
      </c>
      <c r="B817" s="241" t="s">
        <v>27290</v>
      </c>
      <c r="C817" s="221" t="s">
        <v>115</v>
      </c>
      <c r="D817" s="594">
        <v>14.85</v>
      </c>
      <c r="E817" s="56" t="str">
        <f t="shared" si="60"/>
        <v>CONECTOR DE PORCELANA 3 POLOS PARA CABOS DE 6 MM² (30A)</v>
      </c>
      <c r="F817" s="56" t="str">
        <f t="shared" si="61"/>
        <v>UND</v>
      </c>
      <c r="G817">
        <f t="shared" si="62"/>
        <v>19.79</v>
      </c>
      <c r="H817">
        <f t="shared" si="63"/>
        <v>14.85</v>
      </c>
      <c r="I817">
        <f t="shared" si="64"/>
        <v>14.85</v>
      </c>
    </row>
    <row r="818" spans="1:9" ht="28.8">
      <c r="A818" s="372">
        <v>152035</v>
      </c>
      <c r="B818" s="241" t="s">
        <v>27291</v>
      </c>
      <c r="C818" s="221" t="s">
        <v>115</v>
      </c>
      <c r="D818" s="594">
        <v>15.05</v>
      </c>
      <c r="E818" s="56" t="str">
        <f t="shared" si="60"/>
        <v>CONECTOR DE PORCELANA 3 POLOS PARA CABOS DE 10 MM² (50A)</v>
      </c>
      <c r="F818" s="56" t="str">
        <f t="shared" si="61"/>
        <v>UND</v>
      </c>
      <c r="G818">
        <f t="shared" si="62"/>
        <v>20.05</v>
      </c>
      <c r="H818">
        <f t="shared" si="63"/>
        <v>15.05</v>
      </c>
      <c r="I818">
        <f t="shared" si="64"/>
        <v>15.05</v>
      </c>
    </row>
    <row r="819" spans="1:9" ht="43.2">
      <c r="A819" s="371">
        <v>152040</v>
      </c>
      <c r="B819" s="240" t="s">
        <v>27292</v>
      </c>
      <c r="C819" s="221" t="s">
        <v>115</v>
      </c>
      <c r="D819" s="241">
        <v>11.55</v>
      </c>
      <c r="E819" s="56" t="str">
        <f t="shared" si="60"/>
        <v>CONECTOR DE ALUMINIO TIPO PRENSA CABOS IP66 CURTO PARA Ø 1/2" COM ROSCA, PARA CABOS DE 12,5 A 15MM</v>
      </c>
      <c r="F819" s="56" t="str">
        <f t="shared" si="61"/>
        <v>UND</v>
      </c>
      <c r="G819">
        <f t="shared" si="62"/>
        <v>15.39</v>
      </c>
      <c r="H819">
        <f t="shared" si="63"/>
        <v>11.55</v>
      </c>
      <c r="I819">
        <f t="shared" si="64"/>
        <v>11.55</v>
      </c>
    </row>
    <row r="820" spans="1:9" ht="43.2">
      <c r="A820" s="372">
        <v>152041</v>
      </c>
      <c r="B820" s="241" t="s">
        <v>27293</v>
      </c>
      <c r="C820" s="221" t="s">
        <v>115</v>
      </c>
      <c r="D820" s="241">
        <v>13.83</v>
      </c>
      <c r="E820" s="56" t="str">
        <f t="shared" si="60"/>
        <v>CONECTOR DE ALUMINIO TIPO PRENSA CABOS IP66 CURTO PARA Ø 3/4" COM ROSCA, PARA CABOS DE 17,5 A 20MM</v>
      </c>
      <c r="F820" s="56" t="str">
        <f t="shared" si="61"/>
        <v>UND</v>
      </c>
      <c r="G820">
        <f t="shared" si="62"/>
        <v>18.43</v>
      </c>
      <c r="H820">
        <f t="shared" si="63"/>
        <v>13.83</v>
      </c>
      <c r="I820">
        <f t="shared" si="64"/>
        <v>13.83</v>
      </c>
    </row>
    <row r="821" spans="1:9" ht="43.2">
      <c r="A821" s="372">
        <v>152042</v>
      </c>
      <c r="B821" s="241" t="s">
        <v>27294</v>
      </c>
      <c r="C821" s="221" t="s">
        <v>115</v>
      </c>
      <c r="D821" s="241">
        <v>21.22</v>
      </c>
      <c r="E821" s="56" t="str">
        <f t="shared" si="60"/>
        <v>CONECTOR DE ALUMINIO TIPO PRENSA CABOS IP66 CURTO PARA Ø 1" COM ROSCA, PARA CABOS DE 22,5 A 25MM</v>
      </c>
      <c r="F821" s="56" t="str">
        <f t="shared" si="61"/>
        <v>UND</v>
      </c>
      <c r="G821">
        <f t="shared" si="62"/>
        <v>28.28</v>
      </c>
      <c r="H821">
        <f t="shared" si="63"/>
        <v>21.22</v>
      </c>
      <c r="I821">
        <f t="shared" si="64"/>
        <v>21.22</v>
      </c>
    </row>
    <row r="822" spans="1:9" ht="57.6">
      <c r="A822" s="372">
        <v>1522</v>
      </c>
      <c r="B822" s="241" t="s">
        <v>23538</v>
      </c>
      <c r="C822" s="221"/>
      <c r="D822" s="241"/>
      <c r="E822" s="56" t="str">
        <f t="shared" si="60"/>
        <v>(COMPOSIÇÃO REPRESENTATIVA) - MONTAGEM MECANICA E ELETRICA, TESTE DE ACEITAÇÃO DE QUADROS DE FABRICAÇÃO ESPECIAL COM ATESTADOS TTA/PTTA</v>
      </c>
      <c r="F822" s="56" t="str">
        <f t="shared" si="61"/>
        <v/>
      </c>
      <c r="G822">
        <f t="shared" si="62"/>
        <v>0</v>
      </c>
      <c r="H822">
        <f t="shared" si="63"/>
        <v>0</v>
      </c>
      <c r="I822">
        <f t="shared" si="64"/>
        <v>0</v>
      </c>
    </row>
    <row r="823" spans="1:9" ht="43.2">
      <c r="A823" s="372">
        <v>152201</v>
      </c>
      <c r="B823" s="241" t="s">
        <v>23539</v>
      </c>
      <c r="C823" s="221" t="s">
        <v>115</v>
      </c>
      <c r="D823" s="241">
        <v>95.94</v>
      </c>
      <c r="E823" s="56" t="str">
        <f t="shared" si="60"/>
        <v>(COMPOSIÇÃO REPRESENTATIVA) MONTAGEM MECÂNICA DE QUADRO DE DISTRIBUIÇÃO ATÉ 16 CIRCUITOS (600X500MM)</v>
      </c>
      <c r="F823" s="56" t="str">
        <f t="shared" si="61"/>
        <v>UND</v>
      </c>
      <c r="G823">
        <f t="shared" si="62"/>
        <v>127.84</v>
      </c>
      <c r="H823">
        <f t="shared" si="63"/>
        <v>95.94</v>
      </c>
      <c r="I823">
        <f t="shared" si="64"/>
        <v>95.94</v>
      </c>
    </row>
    <row r="824" spans="1:9" ht="43.2">
      <c r="A824" s="372">
        <v>152202</v>
      </c>
      <c r="B824" s="241" t="s">
        <v>23540</v>
      </c>
      <c r="C824" s="221" t="s">
        <v>115</v>
      </c>
      <c r="D824" s="241">
        <v>143.91</v>
      </c>
      <c r="E824" s="56" t="str">
        <f t="shared" si="60"/>
        <v>(COMPOSIÇÃO REPRESENTATIVA) MONTAGEM MECÂNICA DE QUADRO DE DISTRIBUIÇÃO ATÉ 32 CIRCUITOS (1000X600MM)</v>
      </c>
      <c r="F824" s="56" t="str">
        <f t="shared" si="61"/>
        <v>UND</v>
      </c>
      <c r="G824">
        <f t="shared" si="62"/>
        <v>191.76</v>
      </c>
      <c r="H824">
        <f t="shared" si="63"/>
        <v>143.91</v>
      </c>
      <c r="I824">
        <f t="shared" si="64"/>
        <v>143.91</v>
      </c>
    </row>
    <row r="825" spans="1:9" ht="43.2">
      <c r="A825" s="372">
        <v>152203</v>
      </c>
      <c r="B825" s="241" t="s">
        <v>23541</v>
      </c>
      <c r="C825" s="221" t="s">
        <v>115</v>
      </c>
      <c r="D825" s="241">
        <v>239.85</v>
      </c>
      <c r="E825" s="56" t="str">
        <f t="shared" si="60"/>
        <v>(COMPOSIÇÃO REPRESENTATIVA) MONTAGEM MECÂNICA DE QUADRO DE DISTRIBUIÇÃO ATÉ 64 CIRCUITOS (2000X800MM)</v>
      </c>
      <c r="F825" s="56" t="str">
        <f t="shared" si="61"/>
        <v>UND</v>
      </c>
      <c r="G825">
        <f t="shared" si="62"/>
        <v>319.60000000000002</v>
      </c>
      <c r="H825">
        <f t="shared" si="63"/>
        <v>239.85</v>
      </c>
      <c r="I825">
        <f t="shared" si="64"/>
        <v>239.85</v>
      </c>
    </row>
    <row r="826" spans="1:9" ht="43.2">
      <c r="A826" s="500">
        <v>152204</v>
      </c>
      <c r="B826" s="241" t="s">
        <v>23542</v>
      </c>
      <c r="C826" s="221" t="s">
        <v>112</v>
      </c>
      <c r="D826" s="241">
        <v>32.130000000000003</v>
      </c>
      <c r="E826" s="56" t="str">
        <f t="shared" si="60"/>
        <v>(COMPOSIÇÃO REPRESENTATIVA) MONTAGEM MECÂNICA DE BARRAMENTO DE COBRE DE 1/2" X 1/16" (85A) ATÉ 2.1/2" X 5/16" (905A)</v>
      </c>
      <c r="F826" s="56" t="str">
        <f t="shared" si="61"/>
        <v>M</v>
      </c>
      <c r="G826">
        <f t="shared" si="62"/>
        <v>42.81</v>
      </c>
      <c r="H826">
        <f t="shared" si="63"/>
        <v>32.130000000000003</v>
      </c>
      <c r="I826">
        <f t="shared" si="64"/>
        <v>32.130000000000003</v>
      </c>
    </row>
    <row r="827" spans="1:9" ht="43.2">
      <c r="A827" s="372">
        <v>152205</v>
      </c>
      <c r="B827" s="241" t="s">
        <v>23543</v>
      </c>
      <c r="C827" s="221" t="s">
        <v>112</v>
      </c>
      <c r="D827" s="241">
        <v>47.97</v>
      </c>
      <c r="E827" s="56" t="str">
        <f t="shared" si="60"/>
        <v>(COMPOSIÇÃO REPRESENTATIVA) MONTAGEM MECÂNICA DE BARRAMENTO DE COBRE DE 2.1/4" X 1/2" (1086A) ATÉ 8" X 1/2" (3195A)</v>
      </c>
      <c r="F827" s="56" t="str">
        <f t="shared" si="61"/>
        <v>M</v>
      </c>
      <c r="G827">
        <f t="shared" si="62"/>
        <v>63.92</v>
      </c>
      <c r="H827">
        <f t="shared" si="63"/>
        <v>47.97</v>
      </c>
      <c r="I827">
        <f t="shared" si="64"/>
        <v>47.97</v>
      </c>
    </row>
    <row r="828" spans="1:9" ht="28.8">
      <c r="A828" s="372">
        <v>152206</v>
      </c>
      <c r="B828" s="241" t="s">
        <v>23544</v>
      </c>
      <c r="C828" s="221" t="s">
        <v>115</v>
      </c>
      <c r="D828" s="241">
        <v>38.369999999999997</v>
      </c>
      <c r="E828" s="56" t="str">
        <f t="shared" si="60"/>
        <v>(COMPOSIÇÃO REPRESENTATIVA) MONTAGEM MECÂNICA DE ISOLADOR P/ BARRA DE 1000V</v>
      </c>
      <c r="F828" s="56" t="str">
        <f t="shared" si="61"/>
        <v>UND</v>
      </c>
      <c r="G828">
        <f t="shared" si="62"/>
        <v>51.13</v>
      </c>
      <c r="H828">
        <f t="shared" si="63"/>
        <v>38.369999999999997</v>
      </c>
      <c r="I828">
        <f t="shared" si="64"/>
        <v>38.369999999999997</v>
      </c>
    </row>
    <row r="829" spans="1:9" ht="28.8">
      <c r="A829" s="372">
        <v>152207</v>
      </c>
      <c r="B829" s="241" t="s">
        <v>23545</v>
      </c>
      <c r="C829" s="221" t="s">
        <v>112</v>
      </c>
      <c r="D829" s="241">
        <v>23.98</v>
      </c>
      <c r="E829" s="56" t="str">
        <f t="shared" si="60"/>
        <v>(COMPOSIÇÃO REPRESENTATIVA) MONTAGEM MECÂNICA DE TRILHO METÁLICO DIN 35MM</v>
      </c>
      <c r="F829" s="56" t="str">
        <f t="shared" si="61"/>
        <v>M</v>
      </c>
      <c r="G829">
        <f t="shared" si="62"/>
        <v>31.95</v>
      </c>
      <c r="H829">
        <f t="shared" si="63"/>
        <v>23.98</v>
      </c>
      <c r="I829">
        <f t="shared" si="64"/>
        <v>23.98</v>
      </c>
    </row>
    <row r="830" spans="1:9" ht="28.8">
      <c r="A830" s="372">
        <v>152208</v>
      </c>
      <c r="B830" s="241" t="s">
        <v>23546</v>
      </c>
      <c r="C830" s="221" t="s">
        <v>115</v>
      </c>
      <c r="D830" s="594">
        <v>43.16</v>
      </c>
      <c r="E830" s="56" t="str">
        <f t="shared" si="60"/>
        <v>(COMPOSIÇÃO REPRESENTATIVA) MONTAGEM ELÉTRICA DE PROGRAMADOR LOGICO</v>
      </c>
      <c r="F830" s="56" t="str">
        <f t="shared" si="61"/>
        <v>UND</v>
      </c>
      <c r="G830">
        <f t="shared" si="62"/>
        <v>57.51</v>
      </c>
      <c r="H830">
        <f t="shared" si="63"/>
        <v>43.16</v>
      </c>
      <c r="I830">
        <f t="shared" si="64"/>
        <v>43.16</v>
      </c>
    </row>
    <row r="831" spans="1:9" ht="28.8">
      <c r="A831" s="372">
        <v>152209</v>
      </c>
      <c r="B831" s="241" t="s">
        <v>23547</v>
      </c>
      <c r="C831" s="221" t="s">
        <v>115</v>
      </c>
      <c r="D831" s="241">
        <v>95.94</v>
      </c>
      <c r="E831" s="56" t="str">
        <f t="shared" si="60"/>
        <v>(COMPOSIÇÃO REPRESENTATIVA) MONTAGEM ELÉTRICA DE DISJUNTOR TRIPOLAR ATÉ 400A</v>
      </c>
      <c r="F831" s="56" t="str">
        <f t="shared" si="61"/>
        <v>UND</v>
      </c>
      <c r="G831">
        <f t="shared" si="62"/>
        <v>127.84</v>
      </c>
      <c r="H831">
        <f t="shared" si="63"/>
        <v>95.94</v>
      </c>
      <c r="I831">
        <f t="shared" si="64"/>
        <v>95.94</v>
      </c>
    </row>
    <row r="832" spans="1:9" ht="28.8">
      <c r="A832" s="372">
        <v>152210</v>
      </c>
      <c r="B832" s="241" t="s">
        <v>23548</v>
      </c>
      <c r="C832" s="221" t="s">
        <v>115</v>
      </c>
      <c r="D832" s="241">
        <v>191.88</v>
      </c>
      <c r="E832" s="56" t="str">
        <f t="shared" si="60"/>
        <v>(COMPOSIÇÃO REPRESENTATIVA) MONTAGEM ELÉTRICA DE DISJUNTOR TRIPOLAR GERAL ATÉ 1000A</v>
      </c>
      <c r="F832" s="56" t="str">
        <f t="shared" si="61"/>
        <v>UND</v>
      </c>
      <c r="G832">
        <f t="shared" si="62"/>
        <v>255.68</v>
      </c>
      <c r="H832">
        <f t="shared" si="63"/>
        <v>191.88</v>
      </c>
      <c r="I832">
        <f t="shared" si="64"/>
        <v>191.88</v>
      </c>
    </row>
    <row r="833" spans="1:9" ht="28.8">
      <c r="A833" s="372">
        <v>152211</v>
      </c>
      <c r="B833" s="241" t="s">
        <v>23549</v>
      </c>
      <c r="C833" s="221" t="s">
        <v>115</v>
      </c>
      <c r="D833" s="241">
        <v>239.85</v>
      </c>
      <c r="E833" s="56" t="str">
        <f t="shared" ref="E833:E896" si="65">UPPER(B833)</f>
        <v>(COMPOSIÇÃO REPRESENTATIVA) MONTAGEM ELÉTRICA DE DISJUNTOR TRIPOLAR GERAL ATÉ 1600A</v>
      </c>
      <c r="F833" s="56" t="str">
        <f t="shared" ref="F833:F896" si="66">UPPER(C833)</f>
        <v>UND</v>
      </c>
      <c r="G833">
        <f t="shared" si="62"/>
        <v>319.60000000000002</v>
      </c>
      <c r="H833">
        <f t="shared" si="63"/>
        <v>239.85</v>
      </c>
      <c r="I833">
        <f t="shared" si="64"/>
        <v>239.85</v>
      </c>
    </row>
    <row r="834" spans="1:9" ht="28.8">
      <c r="A834" s="372">
        <v>152212</v>
      </c>
      <c r="B834" s="241" t="s">
        <v>23550</v>
      </c>
      <c r="C834" s="221" t="s">
        <v>115</v>
      </c>
      <c r="D834" s="241">
        <v>383.76</v>
      </c>
      <c r="E834" s="56" t="str">
        <f t="shared" si="65"/>
        <v>(COMPOSIÇÃO REPRESENTATIVA) MONTAGEM ELÉTRICA DE DISJUNTOR TRIPOLAR GERAL ATÉ 3150A</v>
      </c>
      <c r="F834" s="56" t="str">
        <f t="shared" si="66"/>
        <v>UND</v>
      </c>
      <c r="G834">
        <f t="shared" si="62"/>
        <v>511.36</v>
      </c>
      <c r="H834">
        <f t="shared" si="63"/>
        <v>383.76</v>
      </c>
      <c r="I834">
        <f t="shared" si="64"/>
        <v>383.76</v>
      </c>
    </row>
    <row r="835" spans="1:9" ht="43.2">
      <c r="A835" s="372">
        <v>152213</v>
      </c>
      <c r="B835" s="241" t="s">
        <v>23551</v>
      </c>
      <c r="C835" s="221" t="s">
        <v>115</v>
      </c>
      <c r="D835" s="241">
        <v>19.18</v>
      </c>
      <c r="E835" s="56" t="str">
        <f t="shared" si="65"/>
        <v>(COMPOSIÇÃO REPRESENTATIVA) MONTAGEM ELÉTRICA DE DISPOSITIVO DIFERENCIAL RESIDUAL (DR) MONOPOLAR</v>
      </c>
      <c r="F835" s="56" t="str">
        <f t="shared" si="66"/>
        <v>UND</v>
      </c>
      <c r="G835">
        <f t="shared" si="62"/>
        <v>25.56</v>
      </c>
      <c r="H835">
        <f t="shared" si="63"/>
        <v>19.18</v>
      </c>
      <c r="I835">
        <f t="shared" si="64"/>
        <v>19.18</v>
      </c>
    </row>
    <row r="836" spans="1:9" ht="43.2">
      <c r="A836" s="372">
        <v>152214</v>
      </c>
      <c r="B836" s="241" t="s">
        <v>23552</v>
      </c>
      <c r="C836" s="221" t="s">
        <v>115</v>
      </c>
      <c r="D836" s="241">
        <v>28.77</v>
      </c>
      <c r="E836" s="56" t="str">
        <f t="shared" si="65"/>
        <v>(COMPOSIÇÃO REPRESENTATIVA) MONTAGEM ELÉTRICA DE DISPOSITIVO DIFERENCIAL RESIDUAL (DR) BIPOLAR E TETRAPOLAR</v>
      </c>
      <c r="F836" s="56" t="str">
        <f t="shared" si="66"/>
        <v>UND</v>
      </c>
      <c r="G836">
        <f t="shared" si="62"/>
        <v>38.340000000000003</v>
      </c>
      <c r="H836">
        <f t="shared" si="63"/>
        <v>28.77</v>
      </c>
      <c r="I836">
        <f t="shared" si="64"/>
        <v>28.77</v>
      </c>
    </row>
    <row r="837" spans="1:9" ht="43.2">
      <c r="A837" s="372">
        <v>152215</v>
      </c>
      <c r="B837" s="241" t="s">
        <v>23553</v>
      </c>
      <c r="C837" s="221" t="s">
        <v>115</v>
      </c>
      <c r="D837" s="241">
        <v>14.38</v>
      </c>
      <c r="E837" s="56" t="str">
        <f t="shared" si="65"/>
        <v>(COMPOSIÇÃO REPRESENTATIVA) MONTAGEM ELÉTRICA DE DISPOSITIVO DE PROTEÇÃO CONTRA SURTO (DPS)</v>
      </c>
      <c r="F837" s="56" t="str">
        <f t="shared" si="66"/>
        <v>UND</v>
      </c>
      <c r="G837">
        <f t="shared" si="62"/>
        <v>19.16</v>
      </c>
      <c r="H837">
        <f t="shared" si="63"/>
        <v>14.38</v>
      </c>
      <c r="I837">
        <f t="shared" si="64"/>
        <v>14.38</v>
      </c>
    </row>
    <row r="838" spans="1:9" ht="28.8">
      <c r="A838" s="372">
        <v>152216</v>
      </c>
      <c r="B838" s="241" t="s">
        <v>23554</v>
      </c>
      <c r="C838" s="221" t="s">
        <v>115</v>
      </c>
      <c r="D838" s="241">
        <v>21.58</v>
      </c>
      <c r="E838" s="56" t="str">
        <f t="shared" si="65"/>
        <v>(COMPOSIÇÃO REPRESENTATIVA) MONTAGEM ELÉTRICA DE BASE E FUSÍVEL TIPO DIAZED ATÉ 63A</v>
      </c>
      <c r="F838" s="56" t="str">
        <f t="shared" si="66"/>
        <v>UND</v>
      </c>
      <c r="G838">
        <f t="shared" si="62"/>
        <v>28.76</v>
      </c>
      <c r="H838">
        <f t="shared" si="63"/>
        <v>21.58</v>
      </c>
      <c r="I838">
        <f t="shared" si="64"/>
        <v>21.58</v>
      </c>
    </row>
    <row r="839" spans="1:9" ht="28.8">
      <c r="A839" s="372">
        <v>152217</v>
      </c>
      <c r="B839" s="241" t="s">
        <v>23555</v>
      </c>
      <c r="C839" s="221" t="s">
        <v>115</v>
      </c>
      <c r="D839" s="241">
        <v>23.98</v>
      </c>
      <c r="E839" s="56" t="str">
        <f t="shared" si="65"/>
        <v>(COMPOSIÇÃO REPRESENTATIVA) MONTAGEM ELÉTRICA DE BASE E FUSÍVEL TIPO NH 00 ATÉ 125A</v>
      </c>
      <c r="F839" s="56" t="str">
        <f t="shared" si="66"/>
        <v>UND</v>
      </c>
      <c r="G839">
        <f t="shared" si="62"/>
        <v>31.95</v>
      </c>
      <c r="H839">
        <f t="shared" si="63"/>
        <v>23.98</v>
      </c>
      <c r="I839">
        <f t="shared" si="64"/>
        <v>23.98</v>
      </c>
    </row>
    <row r="840" spans="1:9" ht="28.8">
      <c r="A840" s="372">
        <v>152218</v>
      </c>
      <c r="B840" s="241" t="s">
        <v>23556</v>
      </c>
      <c r="C840" s="221" t="s">
        <v>115</v>
      </c>
      <c r="D840" s="241">
        <v>28.77</v>
      </c>
      <c r="E840" s="56" t="str">
        <f t="shared" si="65"/>
        <v>(COMPOSIÇÃO REPRESENTATIVA) MONTAGEM ELÉTRICA DE BASE E FUSÍVEL TIPO NH 01 ATÉ 250A</v>
      </c>
      <c r="F840" s="56" t="str">
        <f t="shared" si="66"/>
        <v>UND</v>
      </c>
      <c r="G840">
        <f t="shared" ref="G840:G903" si="67">ROUND(H840*(1+$G$1),2)</f>
        <v>38.340000000000003</v>
      </c>
      <c r="H840">
        <f t="shared" ref="H840:H903" si="68">I840</f>
        <v>28.77</v>
      </c>
      <c r="I840">
        <f t="shared" ref="I840:I903" si="69">ROUND(D840/(1+$E$1),2)</f>
        <v>28.77</v>
      </c>
    </row>
    <row r="841" spans="1:9" ht="28.8">
      <c r="A841" s="372">
        <v>152219</v>
      </c>
      <c r="B841" s="241" t="s">
        <v>23557</v>
      </c>
      <c r="C841" s="221" t="s">
        <v>115</v>
      </c>
      <c r="D841" s="241">
        <v>33.57</v>
      </c>
      <c r="E841" s="56" t="str">
        <f t="shared" si="65"/>
        <v>(COMPOSIÇÃO REPRESENTATIVA) MONTAGEM ELÉTRICA DE BASE E FUSÍVEL TIPO NH 02 ATÉ 400A</v>
      </c>
      <c r="F841" s="56" t="str">
        <f t="shared" si="66"/>
        <v>UND</v>
      </c>
      <c r="G841">
        <f t="shared" si="67"/>
        <v>44.73</v>
      </c>
      <c r="H841">
        <f t="shared" si="68"/>
        <v>33.57</v>
      </c>
      <c r="I841">
        <f t="shared" si="69"/>
        <v>33.57</v>
      </c>
    </row>
    <row r="842" spans="1:9" ht="28.8">
      <c r="A842" s="372">
        <v>152220</v>
      </c>
      <c r="B842" s="241" t="s">
        <v>23558</v>
      </c>
      <c r="C842" s="221" t="s">
        <v>115</v>
      </c>
      <c r="D842" s="241">
        <v>38.369999999999997</v>
      </c>
      <c r="E842" s="56" t="str">
        <f t="shared" si="65"/>
        <v>(COMPOSIÇÃO REPRESENTATIVA) MONTAGEM ELÉTRICA DE BASE E FUSÍVEL TIPO NH 03 ATÉ 630A</v>
      </c>
      <c r="F842" s="56" t="str">
        <f t="shared" si="66"/>
        <v>UND</v>
      </c>
      <c r="G842">
        <f t="shared" si="67"/>
        <v>51.13</v>
      </c>
      <c r="H842">
        <f t="shared" si="68"/>
        <v>38.369999999999997</v>
      </c>
      <c r="I842">
        <f t="shared" si="69"/>
        <v>38.369999999999997</v>
      </c>
    </row>
    <row r="843" spans="1:9" ht="28.8">
      <c r="A843" s="372">
        <v>152221</v>
      </c>
      <c r="B843" s="241" t="s">
        <v>23559</v>
      </c>
      <c r="C843" s="221" t="s">
        <v>115</v>
      </c>
      <c r="D843" s="241">
        <v>43.16</v>
      </c>
      <c r="E843" s="56" t="str">
        <f t="shared" si="65"/>
        <v>(COMPOSIÇÃO REPRESENTATIVA) MONTAGEM ELÉTRICA DE BASE E FUSÍVEL TIPO NH 04 ATÉ 1250A</v>
      </c>
      <c r="F843" s="56" t="str">
        <f t="shared" si="66"/>
        <v>UND</v>
      </c>
      <c r="G843">
        <f t="shared" si="67"/>
        <v>57.51</v>
      </c>
      <c r="H843">
        <f t="shared" si="68"/>
        <v>43.16</v>
      </c>
      <c r="I843">
        <f t="shared" si="69"/>
        <v>43.16</v>
      </c>
    </row>
    <row r="844" spans="1:9" ht="28.8">
      <c r="A844" s="372">
        <v>152222</v>
      </c>
      <c r="B844" s="241" t="s">
        <v>23560</v>
      </c>
      <c r="C844" s="221" t="s">
        <v>115</v>
      </c>
      <c r="D844" s="241">
        <v>21.58</v>
      </c>
      <c r="E844" s="56" t="str">
        <f t="shared" si="65"/>
        <v>(COMPOSIÇÃO REPRESENTATIVA) MONTAGEM ELÉTRICA DE COMUTADOR 2 OU 3 POSIÇÕES</v>
      </c>
      <c r="F844" s="56" t="str">
        <f t="shared" si="66"/>
        <v>UND</v>
      </c>
      <c r="G844">
        <f t="shared" si="67"/>
        <v>28.76</v>
      </c>
      <c r="H844">
        <f t="shared" si="68"/>
        <v>21.58</v>
      </c>
      <c r="I844">
        <f t="shared" si="69"/>
        <v>21.58</v>
      </c>
    </row>
    <row r="845" spans="1:9" ht="28.8">
      <c r="A845" s="372">
        <v>152223</v>
      </c>
      <c r="B845" s="241" t="s">
        <v>23561</v>
      </c>
      <c r="C845" s="221" t="s">
        <v>115</v>
      </c>
      <c r="D845" s="241">
        <v>11.98</v>
      </c>
      <c r="E845" s="56" t="str">
        <f t="shared" si="65"/>
        <v>(COMPOSIÇÃO REPRESENTATIVA) MONTAGEM ELÉTRICA DE BOTÕES DE COMANDO</v>
      </c>
      <c r="F845" s="56" t="str">
        <f t="shared" si="66"/>
        <v>UND</v>
      </c>
      <c r="G845">
        <f t="shared" si="67"/>
        <v>15.96</v>
      </c>
      <c r="H845">
        <f t="shared" si="68"/>
        <v>11.98</v>
      </c>
      <c r="I845">
        <f t="shared" si="69"/>
        <v>11.98</v>
      </c>
    </row>
    <row r="846" spans="1:9" ht="28.8">
      <c r="A846" s="372">
        <v>152224</v>
      </c>
      <c r="B846" s="241" t="s">
        <v>23562</v>
      </c>
      <c r="C846" s="221" t="s">
        <v>115</v>
      </c>
      <c r="D846" s="241">
        <v>43.16</v>
      </c>
      <c r="E846" s="56" t="str">
        <f t="shared" si="65"/>
        <v>(COMPOSIÇÃO REPRESENTATIVA) MONTAGEM ELÉTRICA DE CONTATOR AUXILIARES</v>
      </c>
      <c r="F846" s="56" t="str">
        <f t="shared" si="66"/>
        <v>UND</v>
      </c>
      <c r="G846">
        <f t="shared" si="67"/>
        <v>57.51</v>
      </c>
      <c r="H846">
        <f t="shared" si="68"/>
        <v>43.16</v>
      </c>
      <c r="I846">
        <f t="shared" si="69"/>
        <v>43.16</v>
      </c>
    </row>
    <row r="847" spans="1:9" ht="28.8">
      <c r="A847" s="372">
        <v>152225</v>
      </c>
      <c r="B847" s="241" t="s">
        <v>23563</v>
      </c>
      <c r="C847" s="221" t="s">
        <v>115</v>
      </c>
      <c r="D847" s="241">
        <v>43.16</v>
      </c>
      <c r="E847" s="56" t="str">
        <f t="shared" si="65"/>
        <v>(COMPOSIÇÃO REPRESENTATIVA) MONTAGEM ELÉTRICA DE RELÊ DE SOBRE CORRENTE</v>
      </c>
      <c r="F847" s="56" t="str">
        <f t="shared" si="66"/>
        <v>UND</v>
      </c>
      <c r="G847">
        <f t="shared" si="67"/>
        <v>57.51</v>
      </c>
      <c r="H847">
        <f t="shared" si="68"/>
        <v>43.16</v>
      </c>
      <c r="I847">
        <f t="shared" si="69"/>
        <v>43.16</v>
      </c>
    </row>
    <row r="848" spans="1:9" ht="28.8">
      <c r="A848" s="372">
        <v>152226</v>
      </c>
      <c r="B848" s="241" t="s">
        <v>23564</v>
      </c>
      <c r="C848" s="221" t="s">
        <v>115</v>
      </c>
      <c r="D848" s="241">
        <v>21.58</v>
      </c>
      <c r="E848" s="56" t="str">
        <f t="shared" si="65"/>
        <v>(COMPOSIÇÃO REPRESENTATIVA) MONTAGEM ELÉTRICA DE VOLTÍMETRO SELETOR</v>
      </c>
      <c r="F848" s="56" t="str">
        <f t="shared" si="66"/>
        <v>UND</v>
      </c>
      <c r="G848">
        <f t="shared" si="67"/>
        <v>28.76</v>
      </c>
      <c r="H848">
        <f t="shared" si="68"/>
        <v>21.58</v>
      </c>
      <c r="I848">
        <f t="shared" si="69"/>
        <v>21.58</v>
      </c>
    </row>
    <row r="849" spans="1:9" ht="28.8">
      <c r="A849" s="372">
        <v>152227</v>
      </c>
      <c r="B849" s="241" t="s">
        <v>23565</v>
      </c>
      <c r="C849" s="221" t="s">
        <v>115</v>
      </c>
      <c r="D849" s="241">
        <v>21.58</v>
      </c>
      <c r="E849" s="56" t="str">
        <f t="shared" si="65"/>
        <v>(COMPOSIÇÃO REPRESENTATIVA) MONTAGEM ELÉTRICA DE AMPERÍMETRO SELETOR</v>
      </c>
      <c r="F849" s="56" t="str">
        <f t="shared" si="66"/>
        <v>UND</v>
      </c>
      <c r="G849">
        <f t="shared" si="67"/>
        <v>28.76</v>
      </c>
      <c r="H849">
        <f t="shared" si="68"/>
        <v>21.58</v>
      </c>
      <c r="I849">
        <f t="shared" si="69"/>
        <v>21.58</v>
      </c>
    </row>
    <row r="850" spans="1:9" ht="28.8">
      <c r="A850" s="371">
        <v>152228</v>
      </c>
      <c r="B850" s="240" t="s">
        <v>23566</v>
      </c>
      <c r="C850" s="221" t="s">
        <v>115</v>
      </c>
      <c r="D850" s="241">
        <v>7.8</v>
      </c>
      <c r="E850" s="56" t="str">
        <f t="shared" si="65"/>
        <v>(COMPOSIÇÃO REPRESENTATIVA) MONTAGEM ELÉTRICA DE CONECTORES DE BORNE</v>
      </c>
      <c r="F850" s="56" t="str">
        <f t="shared" si="66"/>
        <v>UND</v>
      </c>
      <c r="G850">
        <f t="shared" si="67"/>
        <v>10.39</v>
      </c>
      <c r="H850">
        <f t="shared" si="68"/>
        <v>7.8</v>
      </c>
      <c r="I850">
        <f t="shared" si="69"/>
        <v>7.8</v>
      </c>
    </row>
    <row r="851" spans="1:9" ht="28.8">
      <c r="A851" s="372">
        <v>152229</v>
      </c>
      <c r="B851" s="241" t="s">
        <v>23567</v>
      </c>
      <c r="C851" s="221" t="s">
        <v>115</v>
      </c>
      <c r="D851" s="594">
        <v>1.82</v>
      </c>
      <c r="E851" s="56" t="str">
        <f t="shared" si="65"/>
        <v>(COMPOSIÇÃO REPRESENTATIVA) MONTAGEM ELÉTRICA DE TERMINAIS DE COMPRESSÃO</v>
      </c>
      <c r="F851" s="56" t="str">
        <f t="shared" si="66"/>
        <v>UND</v>
      </c>
      <c r="G851">
        <f t="shared" si="67"/>
        <v>2.4300000000000002</v>
      </c>
      <c r="H851">
        <f t="shared" si="68"/>
        <v>1.82</v>
      </c>
      <c r="I851">
        <f t="shared" si="69"/>
        <v>1.82</v>
      </c>
    </row>
    <row r="852" spans="1:9" ht="28.8">
      <c r="A852" s="372">
        <v>152230</v>
      </c>
      <c r="B852" s="241" t="s">
        <v>23568</v>
      </c>
      <c r="C852" s="221" t="s">
        <v>115</v>
      </c>
      <c r="D852" s="241">
        <v>17.739999999999998</v>
      </c>
      <c r="E852" s="56" t="str">
        <f t="shared" si="65"/>
        <v>(COMPOSIÇÃO REPRESENTATIVA) TESTE PONTO A PONTO POR CIRCUITOS</v>
      </c>
      <c r="F852" s="56" t="str">
        <f t="shared" si="66"/>
        <v>UND</v>
      </c>
      <c r="G852">
        <f t="shared" si="67"/>
        <v>23.64</v>
      </c>
      <c r="H852">
        <f t="shared" si="68"/>
        <v>17.739999999999998</v>
      </c>
      <c r="I852">
        <f t="shared" si="69"/>
        <v>17.739999999999998</v>
      </c>
    </row>
    <row r="853" spans="1:9" ht="28.8">
      <c r="A853" s="372">
        <v>152231</v>
      </c>
      <c r="B853" s="241" t="s">
        <v>23569</v>
      </c>
      <c r="C853" s="221" t="s">
        <v>115</v>
      </c>
      <c r="D853" s="241">
        <v>35.5</v>
      </c>
      <c r="E853" s="56" t="str">
        <f t="shared" si="65"/>
        <v>(COMPOSIÇÃO REPRESENTATIVA) TESTE FUNCIONAL POR CIRCUITOS</v>
      </c>
      <c r="F853" s="56" t="str">
        <f t="shared" si="66"/>
        <v>UND</v>
      </c>
      <c r="G853">
        <f t="shared" si="67"/>
        <v>47.3</v>
      </c>
      <c r="H853">
        <f t="shared" si="68"/>
        <v>35.5</v>
      </c>
      <c r="I853">
        <f t="shared" si="69"/>
        <v>35.5</v>
      </c>
    </row>
    <row r="854" spans="1:9" ht="28.8">
      <c r="A854" s="372">
        <v>152232</v>
      </c>
      <c r="B854" s="241" t="s">
        <v>23570</v>
      </c>
      <c r="C854" s="221" t="s">
        <v>115</v>
      </c>
      <c r="D854" s="241">
        <v>71.02</v>
      </c>
      <c r="E854" s="56" t="str">
        <f t="shared" si="65"/>
        <v>(COMPOSIÇÃO REPRESENTATIVA) TESTE DIELÉTRICO POR CIRCUITOS</v>
      </c>
      <c r="F854" s="56" t="str">
        <f t="shared" si="66"/>
        <v>UND</v>
      </c>
      <c r="G854">
        <f t="shared" si="67"/>
        <v>94.63</v>
      </c>
      <c r="H854">
        <f t="shared" si="68"/>
        <v>71.02</v>
      </c>
      <c r="I854">
        <f t="shared" si="69"/>
        <v>71.02</v>
      </c>
    </row>
    <row r="855" spans="1:9" ht="57.6">
      <c r="A855" s="500">
        <v>152233</v>
      </c>
      <c r="B855" s="241" t="s">
        <v>23571</v>
      </c>
      <c r="C855" s="221" t="s">
        <v>115</v>
      </c>
      <c r="D855" s="241">
        <v>340.5</v>
      </c>
      <c r="E855" s="56" t="str">
        <f t="shared" si="65"/>
        <v>(COMPOSIÇÃO REPRESENTATIVA) TESTE DE ACEITAÇÃO PARA QUADRO DE DISTRIBUIÇÃO ATÉ 16 CIRCUITOS, COM EMISSÃO DE ART E LAUDO PTTA/TTA</v>
      </c>
      <c r="F855" s="56" t="str">
        <f t="shared" si="66"/>
        <v>UND</v>
      </c>
      <c r="G855">
        <f t="shared" si="67"/>
        <v>453.72</v>
      </c>
      <c r="H855">
        <f t="shared" si="68"/>
        <v>340.5</v>
      </c>
      <c r="I855">
        <f t="shared" si="69"/>
        <v>340.5</v>
      </c>
    </row>
    <row r="856" spans="1:9" ht="57.6">
      <c r="A856" s="372">
        <v>152234</v>
      </c>
      <c r="B856" s="241" t="s">
        <v>23572</v>
      </c>
      <c r="C856" s="221" t="s">
        <v>115</v>
      </c>
      <c r="D856" s="241">
        <v>581.36</v>
      </c>
      <c r="E856" s="56" t="str">
        <f t="shared" si="65"/>
        <v>(COMPOSIÇÃO REPRESENTATIVA) TESTE DE ACEITAÇÃO PARA QUADRO DE DISTRIBUIÇÃO ATÉ 32 CIRCUITOS, COM EMISSÃO DE ART E LAUDO PTTA/TTA</v>
      </c>
      <c r="F856" s="56" t="str">
        <f t="shared" si="66"/>
        <v>UND</v>
      </c>
      <c r="G856">
        <f t="shared" si="67"/>
        <v>774.66</v>
      </c>
      <c r="H856">
        <f t="shared" si="68"/>
        <v>581.36</v>
      </c>
      <c r="I856">
        <f t="shared" si="69"/>
        <v>581.36</v>
      </c>
    </row>
    <row r="857" spans="1:9" ht="57.6">
      <c r="A857" s="372">
        <v>152235</v>
      </c>
      <c r="B857" s="241" t="s">
        <v>23573</v>
      </c>
      <c r="C857" s="221" t="s">
        <v>115</v>
      </c>
      <c r="D857" s="241">
        <v>1274.8599999999999</v>
      </c>
      <c r="E857" s="56" t="str">
        <f t="shared" si="65"/>
        <v>(COMPOSIÇÃO REPRESENTATIVA) TESTE DE ACEITAÇÃO PARA QUADRO DE DISTRIBUIÇÃO ATÉ 64 CIRCUITOS, COM EMISSÃO DE ART E LAUDO PTTA/TTA</v>
      </c>
      <c r="F857" s="56" t="str">
        <f t="shared" si="66"/>
        <v>UND</v>
      </c>
      <c r="G857">
        <f t="shared" si="67"/>
        <v>1698.75</v>
      </c>
      <c r="H857">
        <f t="shared" si="68"/>
        <v>1274.8599999999999</v>
      </c>
      <c r="I857">
        <f t="shared" si="69"/>
        <v>1274.8599999999999</v>
      </c>
    </row>
    <row r="858" spans="1:9" ht="28.8">
      <c r="A858" s="372">
        <v>152236</v>
      </c>
      <c r="B858" s="241" t="s">
        <v>23574</v>
      </c>
      <c r="C858" s="221" t="s">
        <v>112</v>
      </c>
      <c r="D858" s="241">
        <v>2.39</v>
      </c>
      <c r="E858" s="56" t="str">
        <f t="shared" si="65"/>
        <v>(COMPOSIÇÃO REPRESENTATIVA) MONTAGEM MECÂNICA DE CANALETA PVC ABERTA 50X80MM</v>
      </c>
      <c r="F858" s="56" t="str">
        <f t="shared" si="66"/>
        <v>M</v>
      </c>
      <c r="G858">
        <f t="shared" si="67"/>
        <v>3.18</v>
      </c>
      <c r="H858">
        <f t="shared" si="68"/>
        <v>2.39</v>
      </c>
      <c r="I858">
        <f t="shared" si="69"/>
        <v>2.39</v>
      </c>
    </row>
    <row r="859" spans="1:9" ht="43.2">
      <c r="A859" s="372">
        <v>152238</v>
      </c>
      <c r="B859" s="241" t="s">
        <v>23575</v>
      </c>
      <c r="C859" s="221" t="s">
        <v>115</v>
      </c>
      <c r="D859" s="241">
        <v>9.58</v>
      </c>
      <c r="E859" s="56" t="str">
        <f t="shared" si="65"/>
        <v>(COMPOSIÇÃO REPRESENTATIVA) MONTAGEM MECÂNICA DE BOTÃO SINALIZADOR LUMINOSO LED 22MM</v>
      </c>
      <c r="F859" s="56" t="str">
        <f t="shared" si="66"/>
        <v>UND</v>
      </c>
      <c r="G859">
        <f t="shared" si="67"/>
        <v>12.77</v>
      </c>
      <c r="H859">
        <f t="shared" si="68"/>
        <v>9.58</v>
      </c>
      <c r="I859">
        <f t="shared" si="69"/>
        <v>9.58</v>
      </c>
    </row>
    <row r="860" spans="1:9">
      <c r="A860" s="372">
        <v>16</v>
      </c>
      <c r="B860" s="241" t="s">
        <v>1502</v>
      </c>
      <c r="C860" s="221"/>
      <c r="D860" s="241"/>
      <c r="E860" s="56" t="str">
        <f t="shared" si="65"/>
        <v>OUTRAS INSTALAÇÕES</v>
      </c>
      <c r="F860" s="56" t="str">
        <f t="shared" si="66"/>
        <v/>
      </c>
      <c r="G860">
        <f t="shared" si="67"/>
        <v>0</v>
      </c>
      <c r="H860">
        <f t="shared" si="68"/>
        <v>0</v>
      </c>
      <c r="I860">
        <f t="shared" si="69"/>
        <v>0</v>
      </c>
    </row>
    <row r="861" spans="1:9">
      <c r="A861" s="372">
        <v>1601</v>
      </c>
      <c r="B861" s="241" t="s">
        <v>1503</v>
      </c>
      <c r="C861" s="221"/>
      <c r="D861" s="241"/>
      <c r="E861" s="56" t="str">
        <f t="shared" si="65"/>
        <v>INSTALAÇÃO DE TELEFONE</v>
      </c>
      <c r="F861" s="56" t="str">
        <f t="shared" si="66"/>
        <v/>
      </c>
      <c r="G861">
        <f t="shared" si="67"/>
        <v>0</v>
      </c>
      <c r="H861">
        <f t="shared" si="68"/>
        <v>0</v>
      </c>
      <c r="I861">
        <f t="shared" si="69"/>
        <v>0</v>
      </c>
    </row>
    <row r="862" spans="1:9" ht="43.2">
      <c r="A862" s="372">
        <v>160105</v>
      </c>
      <c r="B862" s="241" t="s">
        <v>1504</v>
      </c>
      <c r="C862" s="221" t="s">
        <v>115</v>
      </c>
      <c r="D862" s="594">
        <v>1808.3</v>
      </c>
      <c r="E862" s="56" t="str">
        <f t="shared" si="65"/>
        <v>CAIXA DE TELEFONE EM CHAPA DE AÇO PADRÃO TELEBRAS N. 6, 1200X1200X150 MM, COM FUNDO DE MADEIRA</v>
      </c>
      <c r="F862" s="56" t="str">
        <f t="shared" si="66"/>
        <v>UND</v>
      </c>
      <c r="G862">
        <f t="shared" si="67"/>
        <v>2409.56</v>
      </c>
      <c r="H862">
        <f t="shared" si="68"/>
        <v>1808.3</v>
      </c>
      <c r="I862">
        <f t="shared" si="69"/>
        <v>1808.3</v>
      </c>
    </row>
    <row r="863" spans="1:9" ht="43.2">
      <c r="A863" s="372">
        <v>160106</v>
      </c>
      <c r="B863" s="241" t="s">
        <v>1505</v>
      </c>
      <c r="C863" s="221" t="s">
        <v>115</v>
      </c>
      <c r="D863" s="594">
        <v>494.58</v>
      </c>
      <c r="E863" s="56" t="str">
        <f t="shared" si="65"/>
        <v>ATERRAMENTO COM HASTE DE TERRA 5/8"X2.40M, CABO DE COBRE NÚ 6MM2 EM CAIXA DE CONCRETO DE DIMENSÕES INTERNAS DE 30X30X30CM</v>
      </c>
      <c r="F863" s="56" t="str">
        <f t="shared" si="66"/>
        <v>UND</v>
      </c>
      <c r="G863">
        <f t="shared" si="67"/>
        <v>659.03</v>
      </c>
      <c r="H863">
        <f t="shared" si="68"/>
        <v>494.58</v>
      </c>
      <c r="I863">
        <f t="shared" si="69"/>
        <v>494.58</v>
      </c>
    </row>
    <row r="864" spans="1:9" ht="28.8">
      <c r="A864" s="372">
        <v>160108</v>
      </c>
      <c r="B864" s="241" t="s">
        <v>1506</v>
      </c>
      <c r="C864" s="221" t="s">
        <v>115</v>
      </c>
      <c r="D864" s="594">
        <v>158.16999999999999</v>
      </c>
      <c r="E864" s="56" t="str">
        <f t="shared" si="65"/>
        <v>CAIXA DE TELEFONE EM CHAPA DE AÇO PADRÃO TELEBRAS DO TIPO CIE-2 200X200X120MM</v>
      </c>
      <c r="F864" s="56" t="str">
        <f t="shared" si="66"/>
        <v>UND</v>
      </c>
      <c r="G864">
        <f t="shared" si="67"/>
        <v>210.76</v>
      </c>
      <c r="H864">
        <f t="shared" si="68"/>
        <v>158.16999999999999</v>
      </c>
      <c r="I864">
        <f t="shared" si="69"/>
        <v>158.16999999999999</v>
      </c>
    </row>
    <row r="865" spans="1:9" ht="28.8">
      <c r="A865" s="372">
        <v>160110</v>
      </c>
      <c r="B865" s="241" t="s">
        <v>1507</v>
      </c>
      <c r="C865" s="221" t="s">
        <v>115</v>
      </c>
      <c r="D865" s="241">
        <v>456.82</v>
      </c>
      <c r="E865" s="56" t="str">
        <f t="shared" si="65"/>
        <v>CAIXA DE TELEFONE EM CHAPA DE AÇO PADRÃO TELEBRAS DO TIPO CIE-4 600X600X120 MM</v>
      </c>
      <c r="F865" s="56" t="str">
        <f t="shared" si="66"/>
        <v>UND</v>
      </c>
      <c r="G865">
        <f t="shared" si="67"/>
        <v>608.71</v>
      </c>
      <c r="H865">
        <f t="shared" si="68"/>
        <v>456.82</v>
      </c>
      <c r="I865">
        <f t="shared" si="69"/>
        <v>456.82</v>
      </c>
    </row>
    <row r="866" spans="1:9" ht="57.6">
      <c r="A866" s="372">
        <v>160111</v>
      </c>
      <c r="B866" s="241" t="s">
        <v>1508</v>
      </c>
      <c r="C866" s="221" t="s">
        <v>115</v>
      </c>
      <c r="D866" s="241">
        <v>1381.76</v>
      </c>
      <c r="E866" s="56" t="str">
        <f t="shared" si="65"/>
        <v>CAIXA PARA TELEFONE PADRÃO TELEMAR, DIM. 1070 X 520 X 500 MM, COM TAMPA DE FERRO TIPO R2, ASSENTADA COM ARGAMASSA DE CIMENTO, CAL E AREIA</v>
      </c>
      <c r="F866" s="56" t="str">
        <f t="shared" si="66"/>
        <v>UND</v>
      </c>
      <c r="G866">
        <f t="shared" si="67"/>
        <v>1841.2</v>
      </c>
      <c r="H866">
        <f t="shared" si="68"/>
        <v>1381.76</v>
      </c>
      <c r="I866">
        <f t="shared" si="69"/>
        <v>1381.76</v>
      </c>
    </row>
    <row r="867" spans="1:9" ht="28.8">
      <c r="A867" s="372">
        <v>160115</v>
      </c>
      <c r="B867" s="241" t="s">
        <v>1509</v>
      </c>
      <c r="C867" s="221" t="s">
        <v>112</v>
      </c>
      <c r="D867" s="241">
        <v>27.26</v>
      </c>
      <c r="E867" s="56" t="str">
        <f t="shared" si="65"/>
        <v>CABO TELEFÔNICO CI, DIÂMETRO DO CONDUTOR 50MM, 30 PARES</v>
      </c>
      <c r="F867" s="56" t="str">
        <f t="shared" si="66"/>
        <v>M</v>
      </c>
      <c r="G867">
        <f t="shared" si="67"/>
        <v>36.32</v>
      </c>
      <c r="H867">
        <f t="shared" si="68"/>
        <v>27.26</v>
      </c>
      <c r="I867">
        <f t="shared" si="69"/>
        <v>27.26</v>
      </c>
    </row>
    <row r="868" spans="1:9">
      <c r="A868" s="371">
        <v>160120</v>
      </c>
      <c r="B868" s="240" t="s">
        <v>1510</v>
      </c>
      <c r="C868" s="221" t="s">
        <v>115</v>
      </c>
      <c r="D868" s="241">
        <v>81.680000000000007</v>
      </c>
      <c r="E868" s="56" t="str">
        <f t="shared" si="65"/>
        <v>TOMADA PARA TELEFONE COM CONECTOR RJ 11</v>
      </c>
      <c r="F868" s="56" t="str">
        <f t="shared" si="66"/>
        <v>UND</v>
      </c>
      <c r="G868">
        <f t="shared" si="67"/>
        <v>108.84</v>
      </c>
      <c r="H868">
        <f t="shared" si="68"/>
        <v>81.680000000000007</v>
      </c>
      <c r="I868">
        <f t="shared" si="69"/>
        <v>81.680000000000007</v>
      </c>
    </row>
    <row r="869" spans="1:9" ht="28.8">
      <c r="A869" s="372">
        <v>160121</v>
      </c>
      <c r="B869" s="241" t="s">
        <v>23576</v>
      </c>
      <c r="C869" s="221" t="s">
        <v>115</v>
      </c>
      <c r="D869" s="241">
        <v>740.39</v>
      </c>
      <c r="E869" s="56" t="str">
        <f t="shared" si="65"/>
        <v>CAIXA DE TELEFONE EM CHAPA DE AÇO PADRÃO TELEBRAS DO TIPO CIE-5 800X800X120 MM</v>
      </c>
      <c r="F869" s="56" t="str">
        <f t="shared" si="66"/>
        <v>UND</v>
      </c>
      <c r="G869">
        <f t="shared" si="67"/>
        <v>986.57</v>
      </c>
      <c r="H869">
        <f t="shared" si="68"/>
        <v>740.39</v>
      </c>
      <c r="I869">
        <f t="shared" si="69"/>
        <v>740.39</v>
      </c>
    </row>
    <row r="870" spans="1:9" ht="28.8">
      <c r="A870" s="372">
        <v>160122</v>
      </c>
      <c r="B870" s="241" t="s">
        <v>23577</v>
      </c>
      <c r="C870" s="221" t="s">
        <v>115</v>
      </c>
      <c r="D870" s="594">
        <v>1892.26</v>
      </c>
      <c r="E870" s="56" t="str">
        <f t="shared" si="65"/>
        <v>CAIXA DE TELEFONE EM CHAPA DE AÇO PADRÃO TELEBRAS DO TIPO CIE-6 1200X1200X150 MM</v>
      </c>
      <c r="F870" s="56" t="str">
        <f t="shared" si="66"/>
        <v>UND</v>
      </c>
      <c r="G870">
        <f t="shared" si="67"/>
        <v>2521.44</v>
      </c>
      <c r="H870">
        <f t="shared" si="68"/>
        <v>1892.26</v>
      </c>
      <c r="I870">
        <f t="shared" si="69"/>
        <v>1892.26</v>
      </c>
    </row>
    <row r="871" spans="1:9" ht="28.8">
      <c r="A871" s="372">
        <v>160123</v>
      </c>
      <c r="B871" s="241" t="s">
        <v>23578</v>
      </c>
      <c r="C871" s="221" t="s">
        <v>115</v>
      </c>
      <c r="D871" s="241">
        <v>2833.2</v>
      </c>
      <c r="E871" s="56" t="str">
        <f t="shared" si="65"/>
        <v>CAIXA DE TELEFONE EM CHAPA DE AÇO PADRÃO TELEBRAS DO TIPO CIE-7 1500X1500X150 MM</v>
      </c>
      <c r="F871" s="56" t="str">
        <f t="shared" si="66"/>
        <v>UND</v>
      </c>
      <c r="G871">
        <f t="shared" si="67"/>
        <v>3775.24</v>
      </c>
      <c r="H871">
        <f t="shared" si="68"/>
        <v>2833.2</v>
      </c>
      <c r="I871">
        <f t="shared" si="69"/>
        <v>2833.2</v>
      </c>
    </row>
    <row r="872" spans="1:9" ht="28.8">
      <c r="A872" s="372">
        <v>160124</v>
      </c>
      <c r="B872" s="241" t="s">
        <v>23579</v>
      </c>
      <c r="C872" s="221" t="s">
        <v>112</v>
      </c>
      <c r="D872" s="241">
        <v>19.96</v>
      </c>
      <c r="E872" s="56" t="str">
        <f t="shared" si="65"/>
        <v>CABO TELEFÔNICO CI, DIÂMETRO DO CONDUTOR 50MM, 20 PARES</v>
      </c>
      <c r="F872" s="56" t="str">
        <f t="shared" si="66"/>
        <v>M</v>
      </c>
      <c r="G872">
        <f t="shared" si="67"/>
        <v>26.6</v>
      </c>
      <c r="H872">
        <f t="shared" si="68"/>
        <v>19.96</v>
      </c>
      <c r="I872">
        <f t="shared" si="69"/>
        <v>19.96</v>
      </c>
    </row>
    <row r="873" spans="1:9" ht="28.8">
      <c r="A873" s="372">
        <v>160125</v>
      </c>
      <c r="B873" s="241" t="s">
        <v>23580</v>
      </c>
      <c r="C873" s="221" t="s">
        <v>112</v>
      </c>
      <c r="D873" s="594">
        <v>96.89</v>
      </c>
      <c r="E873" s="56" t="str">
        <f t="shared" si="65"/>
        <v>CABO TELEFÔNICO CI, DIÂMETRO DO CONDUTOR 50MM, 100 PARES</v>
      </c>
      <c r="F873" s="56" t="str">
        <f t="shared" si="66"/>
        <v>M</v>
      </c>
      <c r="G873">
        <f t="shared" si="67"/>
        <v>129.11000000000001</v>
      </c>
      <c r="H873">
        <f t="shared" si="68"/>
        <v>96.89</v>
      </c>
      <c r="I873">
        <f t="shared" si="69"/>
        <v>96.89</v>
      </c>
    </row>
    <row r="874" spans="1:9" ht="28.8">
      <c r="A874" s="372">
        <v>160126</v>
      </c>
      <c r="B874" s="241" t="s">
        <v>23581</v>
      </c>
      <c r="C874" s="221" t="s">
        <v>112</v>
      </c>
      <c r="D874" s="241">
        <v>46.94</v>
      </c>
      <c r="E874" s="56" t="str">
        <f t="shared" si="65"/>
        <v>CABO TELEFÔNICO CI, DIÂMETRO DO CONDUTOR 50MM, 50 PARES</v>
      </c>
      <c r="F874" s="56" t="str">
        <f t="shared" si="66"/>
        <v>M</v>
      </c>
      <c r="G874">
        <f t="shared" si="67"/>
        <v>62.55</v>
      </c>
      <c r="H874">
        <f t="shared" si="68"/>
        <v>46.94</v>
      </c>
      <c r="I874">
        <f t="shared" si="69"/>
        <v>46.94</v>
      </c>
    </row>
    <row r="875" spans="1:9">
      <c r="A875" s="372">
        <v>1602</v>
      </c>
      <c r="B875" s="241" t="s">
        <v>1511</v>
      </c>
      <c r="C875" s="221"/>
      <c r="D875" s="241"/>
      <c r="E875" s="56" t="str">
        <f t="shared" si="65"/>
        <v>INSTALAÇÃO DE GÁS</v>
      </c>
      <c r="F875" s="56" t="str">
        <f t="shared" si="66"/>
        <v/>
      </c>
      <c r="G875">
        <f t="shared" si="67"/>
        <v>0</v>
      </c>
      <c r="H875">
        <f t="shared" si="68"/>
        <v>0</v>
      </c>
      <c r="I875">
        <f t="shared" si="69"/>
        <v>0</v>
      </c>
    </row>
    <row r="876" spans="1:9" ht="100.8">
      <c r="A876" s="372">
        <v>160207</v>
      </c>
      <c r="B876" s="241" t="s">
        <v>35663</v>
      </c>
      <c r="C876" s="221" t="s">
        <v>115</v>
      </c>
      <c r="D876" s="241">
        <v>10933.33</v>
      </c>
      <c r="E876" s="56" t="str">
        <f t="shared" si="65"/>
        <v>ABRIGO DE GÁS PARA 2 CILINDROS 45 KG, EXEC. EM ALV. BLOCO CONC CHEIO, DIM: 2.10X1.00X1.80M, INCLUSIVE CILINDROS E REDE INTERNA DO ABRIGO COMPREENDENDO TUBOS E VÁLVULAS DE ESFERA QUE INTERLIGAM OS CILINDROS, CONFORME NORMA TÉCNICA 18/2015 DO CBMES, EXCLUSIVE EXTINTOR DE INCÊNDIO</v>
      </c>
      <c r="F876" s="56" t="str">
        <f t="shared" si="66"/>
        <v>UND</v>
      </c>
      <c r="G876">
        <f t="shared" si="67"/>
        <v>14568.66</v>
      </c>
      <c r="H876">
        <f t="shared" si="68"/>
        <v>10933.33</v>
      </c>
      <c r="I876">
        <f t="shared" si="69"/>
        <v>10933.33</v>
      </c>
    </row>
    <row r="877" spans="1:9" ht="100.8">
      <c r="A877" s="372">
        <v>160208</v>
      </c>
      <c r="B877" s="241" t="s">
        <v>35664</v>
      </c>
      <c r="C877" s="221" t="s">
        <v>115</v>
      </c>
      <c r="D877" s="241">
        <v>21831.54</v>
      </c>
      <c r="E877" s="56" t="str">
        <f t="shared" si="65"/>
        <v>ABRIGO DE GÁS PARA 4 CILINDROS 45 KG, EXEC. EM ALV. BLOCO CONC CHEIO, DIM: 4.05X1.00X1.80M, INCLUSIVE CILINDROS E REDE INTERNA DO ABRIGO COMPREENDENDO TUBOS E VÁLVULAS DE ESFERA QUE INTERLIGAM OS CILINDROS, CONFORME NORMA TÉCNICA 18/2015 DO CBMES, EXCLUSIVE EXTINTOR DE INCÊNDIO</v>
      </c>
      <c r="F877" s="56" t="str">
        <f t="shared" si="66"/>
        <v>UND</v>
      </c>
      <c r="G877">
        <f t="shared" si="67"/>
        <v>29090.53</v>
      </c>
      <c r="H877">
        <f t="shared" si="68"/>
        <v>21831.54</v>
      </c>
      <c r="I877">
        <f t="shared" si="69"/>
        <v>21831.54</v>
      </c>
    </row>
    <row r="878" spans="1:9">
      <c r="A878" s="372">
        <v>1603</v>
      </c>
      <c r="B878" s="241" t="s">
        <v>1512</v>
      </c>
      <c r="C878" s="221"/>
      <c r="D878" s="241"/>
      <c r="E878" s="56" t="str">
        <f t="shared" si="65"/>
        <v>INSTALAÇÃO DE PÁRA-RAIO</v>
      </c>
      <c r="F878" s="56" t="str">
        <f t="shared" si="66"/>
        <v/>
      </c>
      <c r="G878">
        <f t="shared" si="67"/>
        <v>0</v>
      </c>
      <c r="H878">
        <f t="shared" si="68"/>
        <v>0</v>
      </c>
      <c r="I878">
        <f t="shared" si="69"/>
        <v>0</v>
      </c>
    </row>
    <row r="879" spans="1:9" ht="43.2">
      <c r="A879" s="372">
        <v>160303</v>
      </c>
      <c r="B879" s="241" t="s">
        <v>1513</v>
      </c>
      <c r="C879" s="221" t="s">
        <v>115</v>
      </c>
      <c r="D879" s="241">
        <v>460.87</v>
      </c>
      <c r="E879" s="56" t="str">
        <f t="shared" si="65"/>
        <v>ATERRAMENTO COM HASTE TERRA 5/8" X 2.40, CABO DE COBRE NU 6MM2, INCLUSIVE CAIXA DE CONCRETO 30 X 30 CM</v>
      </c>
      <c r="F879" s="56" t="str">
        <f t="shared" si="66"/>
        <v>UND</v>
      </c>
      <c r="G879">
        <f t="shared" si="67"/>
        <v>614.11</v>
      </c>
      <c r="H879">
        <f t="shared" si="68"/>
        <v>460.87</v>
      </c>
      <c r="I879">
        <f t="shared" si="69"/>
        <v>460.87</v>
      </c>
    </row>
    <row r="880" spans="1:9" ht="72">
      <c r="A880" s="372">
        <v>160304</v>
      </c>
      <c r="B880" s="241" t="s">
        <v>1514</v>
      </c>
      <c r="C880" s="221" t="s">
        <v>115</v>
      </c>
      <c r="D880" s="241">
        <v>881.71</v>
      </c>
      <c r="E880" s="56" t="str">
        <f t="shared" si="65"/>
        <v>PÁRA-RAIOS TIPO FRANKLIM INCLUINDO BASE DE FIXAÇÃO, CONJUNTO DE CONTRAVENTAGEM C/ABRAÇADEIRA P/3 ESTAIS EM TUBO E DEMAIS ACESSÓRIOS C/EXCEÇÃO DO CABO DE COBRE DE DESCIDA E SUPORTES ISOLADORES</v>
      </c>
      <c r="F880" s="56" t="str">
        <f t="shared" si="66"/>
        <v>UND</v>
      </c>
      <c r="G880">
        <f t="shared" si="67"/>
        <v>1174.8800000000001</v>
      </c>
      <c r="H880">
        <f t="shared" si="68"/>
        <v>881.71</v>
      </c>
      <c r="I880">
        <f t="shared" si="69"/>
        <v>881.71</v>
      </c>
    </row>
    <row r="881" spans="1:9" ht="43.2">
      <c r="A881" s="372">
        <v>160305</v>
      </c>
      <c r="B881" s="241" t="s">
        <v>1515</v>
      </c>
      <c r="C881" s="221" t="s">
        <v>112</v>
      </c>
      <c r="D881" s="241">
        <v>100.74</v>
      </c>
      <c r="E881" s="56" t="str">
        <f t="shared" si="65"/>
        <v>CONDUTOR DE COBRE NÚ, SEÇÃO DE 35MM2, INCLUSIVE SUPORTES ISOLADORES E ACESSÓRIOS DE FIXAÇÃO, CONFORME PROJETO</v>
      </c>
      <c r="F881" s="56" t="str">
        <f t="shared" si="66"/>
        <v>M</v>
      </c>
      <c r="G881">
        <f t="shared" si="67"/>
        <v>134.24</v>
      </c>
      <c r="H881">
        <f t="shared" si="68"/>
        <v>100.74</v>
      </c>
      <c r="I881">
        <f t="shared" si="69"/>
        <v>100.74</v>
      </c>
    </row>
    <row r="882" spans="1:9" ht="43.2">
      <c r="A882" s="372">
        <v>160308</v>
      </c>
      <c r="B882" s="241" t="s">
        <v>1516</v>
      </c>
      <c r="C882" s="221" t="s">
        <v>112</v>
      </c>
      <c r="D882" s="241">
        <v>65.02</v>
      </c>
      <c r="E882" s="56" t="str">
        <f t="shared" si="65"/>
        <v>CABO CONDUTOR DE COBRE ELETROLÍTICO NU, TEMPERA MEIO DURA, ENCORDOAMENTO CLASSE 2, PARA ATERRAMENTO, DIAM. 50MM2</v>
      </c>
      <c r="F882" s="56" t="str">
        <f t="shared" si="66"/>
        <v>M</v>
      </c>
      <c r="G882">
        <f t="shared" si="67"/>
        <v>86.64</v>
      </c>
      <c r="H882">
        <f t="shared" si="68"/>
        <v>65.02</v>
      </c>
      <c r="I882">
        <f t="shared" si="69"/>
        <v>65.02</v>
      </c>
    </row>
    <row r="883" spans="1:9" ht="72">
      <c r="A883" s="372">
        <v>160309</v>
      </c>
      <c r="B883" s="241" t="s">
        <v>15763</v>
      </c>
      <c r="C883" s="221" t="s">
        <v>115</v>
      </c>
      <c r="D883" s="241">
        <v>112.56</v>
      </c>
      <c r="E883" s="56" t="str">
        <f t="shared" si="65"/>
        <v>TERMINAL AÉREO EM LATÃO (MINICAPTOR), COM CONECTOR E FIXAÇÃO HORIZONTAL 250MM X 10MM, REF. TEL-2024, INCLUSIVE VEDAÇÃO DOS FUROS COM POLIURETANO REF. TEL 5905, MARCA DE REF. TERMOTÉCNICA OU EQUIVALENTE</v>
      </c>
      <c r="F883" s="56" t="str">
        <f t="shared" si="66"/>
        <v>UND</v>
      </c>
      <c r="G883">
        <f t="shared" si="67"/>
        <v>149.99</v>
      </c>
      <c r="H883">
        <f t="shared" si="68"/>
        <v>112.56</v>
      </c>
      <c r="I883">
        <f t="shared" si="69"/>
        <v>112.56</v>
      </c>
    </row>
    <row r="884" spans="1:9" ht="43.2">
      <c r="A884" s="372">
        <v>160310</v>
      </c>
      <c r="B884" s="241" t="s">
        <v>1517</v>
      </c>
      <c r="C884" s="221" t="s">
        <v>115</v>
      </c>
      <c r="D884" s="241">
        <v>68.34</v>
      </c>
      <c r="E884" s="56" t="str">
        <f t="shared" si="65"/>
        <v>CONECTOR DE MEDIÇÃO EM LATÃO COM 2 PARAFUSOS PARA CABOS DE 16 A 50 MM2, REF. TEL-562, TERMOTÉCNICA OU EQUIVALENTE</v>
      </c>
      <c r="F884" s="56" t="str">
        <f t="shared" si="66"/>
        <v>UND</v>
      </c>
      <c r="G884">
        <f t="shared" si="67"/>
        <v>91.06</v>
      </c>
      <c r="H884">
        <f t="shared" si="68"/>
        <v>68.34</v>
      </c>
      <c r="I884">
        <f t="shared" si="69"/>
        <v>68.34</v>
      </c>
    </row>
    <row r="885" spans="1:9">
      <c r="A885" s="372">
        <v>160311</v>
      </c>
      <c r="B885" s="241" t="s">
        <v>1474</v>
      </c>
      <c r="C885" s="221" t="s">
        <v>115</v>
      </c>
      <c r="D885" s="241">
        <v>227.71</v>
      </c>
      <c r="E885" s="56" t="str">
        <f t="shared" si="65"/>
        <v>HASTE DE TERRA TIPO COPPERWELD - 5/8" X 2.40M</v>
      </c>
      <c r="F885" s="56" t="str">
        <f t="shared" si="66"/>
        <v>UND</v>
      </c>
      <c r="G885">
        <f t="shared" si="67"/>
        <v>303.42</v>
      </c>
      <c r="H885">
        <f t="shared" si="68"/>
        <v>227.71</v>
      </c>
      <c r="I885">
        <f t="shared" si="69"/>
        <v>227.71</v>
      </c>
    </row>
    <row r="886" spans="1:9" ht="57.6">
      <c r="A886" s="372">
        <v>160312</v>
      </c>
      <c r="B886" s="241" t="s">
        <v>1518</v>
      </c>
      <c r="C886" s="221" t="s">
        <v>115</v>
      </c>
      <c r="D886" s="241">
        <v>58.83</v>
      </c>
      <c r="E886" s="56" t="str">
        <f t="shared" si="65"/>
        <v>KIT COMPLETO PARA SOLDA EXOTÉRMICA (MOLDE HCL 5/8" REF: TEL905611 / CARTUCHO N° 115 REF: TEL 909115 / ALICATE Z 201 REF: TEL 998201), MARCA DE REFERÊNCIA TERMOTÉCNICA OU EQUIVALENTE</v>
      </c>
      <c r="F886" s="56" t="str">
        <f t="shared" si="66"/>
        <v>UND</v>
      </c>
      <c r="G886">
        <f t="shared" si="67"/>
        <v>78.39</v>
      </c>
      <c r="H886">
        <f t="shared" si="68"/>
        <v>58.83</v>
      </c>
      <c r="I886">
        <f t="shared" si="69"/>
        <v>58.83</v>
      </c>
    </row>
    <row r="887" spans="1:9" ht="72">
      <c r="A887" s="371">
        <v>160313</v>
      </c>
      <c r="B887" s="240" t="s">
        <v>1519</v>
      </c>
      <c r="C887" s="221" t="s">
        <v>115</v>
      </c>
      <c r="D887" s="241">
        <v>63.54</v>
      </c>
      <c r="E887" s="56" t="str">
        <f t="shared" si="65"/>
        <v>FIXADOR UNIVERSAL LATÃO ESTANHADO P/ CABOS 16 A 70 MM2 REF. 5024, INCL. PARAFUSO SEXTAVADO M6X45MM, ARRUELA LISA 1/4", BUCHA Nº8, VEDAÇÃO DOS FUROS C/ POLIURETANO REF. 5905, MARCA DE REF. TERMOTÉCNICA OU EQUIVALENTE</v>
      </c>
      <c r="F887" s="56" t="str">
        <f t="shared" si="66"/>
        <v>UND</v>
      </c>
      <c r="G887">
        <f t="shared" si="67"/>
        <v>84.67</v>
      </c>
      <c r="H887">
        <f t="shared" si="68"/>
        <v>63.54</v>
      </c>
      <c r="I887">
        <f t="shared" si="69"/>
        <v>63.54</v>
      </c>
    </row>
    <row r="888" spans="1:9" ht="86.4">
      <c r="A888" s="372">
        <v>160314</v>
      </c>
      <c r="B888" s="241" t="s">
        <v>1520</v>
      </c>
      <c r="C888" s="221" t="s">
        <v>115</v>
      </c>
      <c r="D888" s="241">
        <v>909.48</v>
      </c>
      <c r="E888" s="56" t="str">
        <f t="shared" si="65"/>
        <v>MASTRO SIMPLES 3MX1.1/2", UMA DESCIDA, INCL. BASE DE FIXAÇÃO, CAPTOR, CONJ.DE CONTRAVENTAGEM C/ABRAÇADEIRA P/3 ESTAIS EM TUBO E DEMAIS ACESSÓRIOS, EXCL. CABO DE COBRE DE DESCIDA E SUPORTES ISOLADORES, REF.TERMOTÉCNICA OU EQUIV.</v>
      </c>
      <c r="F888" s="56" t="str">
        <f t="shared" si="66"/>
        <v>UND</v>
      </c>
      <c r="G888">
        <f t="shared" si="67"/>
        <v>1211.8800000000001</v>
      </c>
      <c r="H888">
        <f t="shared" si="68"/>
        <v>909.48</v>
      </c>
      <c r="I888">
        <f t="shared" si="69"/>
        <v>909.48</v>
      </c>
    </row>
    <row r="889" spans="1:9" ht="86.4">
      <c r="A889" s="372">
        <v>160315</v>
      </c>
      <c r="B889" s="241" t="s">
        <v>1521</v>
      </c>
      <c r="C889" s="221" t="s">
        <v>115</v>
      </c>
      <c r="D889" s="241">
        <v>1290.32</v>
      </c>
      <c r="E889" s="56" t="str">
        <f t="shared" si="65"/>
        <v>MASTRO TELESCÓPICO 5MX2", UMA DESCIDA, INCL. BASE DE FIXAÇÃO, CAPTOR, CONJ.DE CONTRAVENTAGEM C/ABRAÇADEIRA P/3 ESTAIS EM TUBO E DEMAIS ACESSÓRIOS EXCL. CABO DE COBRE DE DESCIDA E SUPORTES ISOLADORES, REF. TERMOTÉCNICA OU EQUIV.</v>
      </c>
      <c r="F889" s="56" t="str">
        <f t="shared" si="66"/>
        <v>UND</v>
      </c>
      <c r="G889">
        <f t="shared" si="67"/>
        <v>1719.35</v>
      </c>
      <c r="H889">
        <f t="shared" si="68"/>
        <v>1290.32</v>
      </c>
      <c r="I889">
        <f t="shared" si="69"/>
        <v>1290.32</v>
      </c>
    </row>
    <row r="890" spans="1:9" ht="57.6">
      <c r="A890" s="372">
        <v>160316</v>
      </c>
      <c r="B890" s="241" t="s">
        <v>1522</v>
      </c>
      <c r="C890" s="221" t="s">
        <v>115</v>
      </c>
      <c r="D890" s="241">
        <v>96.51</v>
      </c>
      <c r="E890" s="56" t="str">
        <f t="shared" si="65"/>
        <v>CAIXA DE INSPEÇÃO EM PVC, DIÂMETRO 300 MM, REF TEL-552, MARCA DE REFERÊNCIA TERMOTÉCNICA OU EQUIVALENTE, INCLUSIVE ESCAVAÇÃO E REATERRO</v>
      </c>
      <c r="F890" s="56" t="str">
        <f t="shared" si="66"/>
        <v>UND</v>
      </c>
      <c r="G890">
        <f t="shared" si="67"/>
        <v>128.6</v>
      </c>
      <c r="H890">
        <f t="shared" si="68"/>
        <v>96.51</v>
      </c>
      <c r="I890">
        <f t="shared" si="69"/>
        <v>96.51</v>
      </c>
    </row>
    <row r="891" spans="1:9" ht="28.8">
      <c r="A891" s="372">
        <v>160317</v>
      </c>
      <c r="B891" s="241" t="s">
        <v>1523</v>
      </c>
      <c r="C891" s="221" t="s">
        <v>112</v>
      </c>
      <c r="D891" s="241">
        <v>65.02</v>
      </c>
      <c r="E891" s="56" t="str">
        <f t="shared" si="65"/>
        <v>CABO DE COBRE NÚ 50MM2, REF. TEL 5750, MARCA DE REFERÊNCIA TERMOTÉCNICA OU EQUIVALENTE</v>
      </c>
      <c r="F891" s="56" t="str">
        <f t="shared" si="66"/>
        <v>M</v>
      </c>
      <c r="G891">
        <f t="shared" si="67"/>
        <v>86.64</v>
      </c>
      <c r="H891">
        <f t="shared" si="68"/>
        <v>65.02</v>
      </c>
      <c r="I891">
        <f t="shared" si="69"/>
        <v>65.02</v>
      </c>
    </row>
    <row r="892" spans="1:9" ht="28.8">
      <c r="A892" s="372">
        <v>160318</v>
      </c>
      <c r="B892" s="241" t="s">
        <v>1524</v>
      </c>
      <c r="C892" s="221" t="s">
        <v>112</v>
      </c>
      <c r="D892" s="241">
        <v>53.35</v>
      </c>
      <c r="E892" s="56" t="str">
        <f t="shared" si="65"/>
        <v>CABO DE COBRE NÚ 35MM2, REF. TEL 5735, MARCA DE REFERÊNCIA TERMOTÉCNICA OU EQUIVALENTE</v>
      </c>
      <c r="F892" s="56" t="str">
        <f t="shared" si="66"/>
        <v>M</v>
      </c>
      <c r="G892">
        <f t="shared" si="67"/>
        <v>71.09</v>
      </c>
      <c r="H892">
        <f t="shared" si="68"/>
        <v>53.35</v>
      </c>
      <c r="I892">
        <f t="shared" si="69"/>
        <v>53.35</v>
      </c>
    </row>
    <row r="893" spans="1:9" ht="57.6">
      <c r="A893" s="372">
        <v>160319</v>
      </c>
      <c r="B893" s="241" t="s">
        <v>1525</v>
      </c>
      <c r="C893" s="221" t="s">
        <v>115</v>
      </c>
      <c r="D893" s="241">
        <v>11.99</v>
      </c>
      <c r="E893" s="56" t="str">
        <f t="shared" si="65"/>
        <v>PRESILHA DE LATÃO REF. 744, INCLUSIVE PARAFUSO FENDA DN 4,2X32MM E BUCHA NYLON DN 6MM E VEDAÇÃO DOS FUROS COM POLIURETANO REF. 5905, MARCA DE REF. TERMOTÉCNICA OU EQUIVALENTE</v>
      </c>
      <c r="F893" s="56" t="str">
        <f t="shared" si="66"/>
        <v>UND</v>
      </c>
      <c r="G893">
        <f t="shared" si="67"/>
        <v>15.98</v>
      </c>
      <c r="H893">
        <f t="shared" si="68"/>
        <v>11.99</v>
      </c>
      <c r="I893">
        <f t="shared" si="69"/>
        <v>11.99</v>
      </c>
    </row>
    <row r="894" spans="1:9" ht="57.6">
      <c r="A894" s="372">
        <v>160321</v>
      </c>
      <c r="B894" s="241" t="s">
        <v>1526</v>
      </c>
      <c r="C894" s="221" t="s">
        <v>115</v>
      </c>
      <c r="D894" s="241">
        <v>163.79</v>
      </c>
      <c r="E894" s="56" t="str">
        <f t="shared" si="65"/>
        <v>TAMPA REFORÇADA EM FERRO FUNDIDO COM ESCOTILHA TEL 536, INCLUSIVE ASSENTAMENTO, MARCA DE REFERÊNCIA TERMOTÉCNICA OU EQUIVALENTE</v>
      </c>
      <c r="F894" s="56" t="str">
        <f t="shared" si="66"/>
        <v>UND</v>
      </c>
      <c r="G894">
        <f t="shared" si="67"/>
        <v>218.25</v>
      </c>
      <c r="H894">
        <f t="shared" si="68"/>
        <v>163.79</v>
      </c>
      <c r="I894">
        <f t="shared" si="69"/>
        <v>163.79</v>
      </c>
    </row>
    <row r="895" spans="1:9" ht="43.2">
      <c r="A895" s="372">
        <v>160322</v>
      </c>
      <c r="B895" s="241" t="s">
        <v>1527</v>
      </c>
      <c r="C895" s="221" t="s">
        <v>115</v>
      </c>
      <c r="D895" s="241">
        <v>7.01</v>
      </c>
      <c r="E895" s="56" t="str">
        <f t="shared" si="65"/>
        <v>ABRAÇADEIRA TIPO "D" COM CUNHA, DIÂMETRO 1", REF. TEL-095, MARCA DE REFERÊNCIA TERMOTÉCNICA OU EQUIVALENTE</v>
      </c>
      <c r="F895" s="56" t="str">
        <f t="shared" si="66"/>
        <v>UND</v>
      </c>
      <c r="G895">
        <f t="shared" si="67"/>
        <v>9.34</v>
      </c>
      <c r="H895">
        <f t="shared" si="68"/>
        <v>7.01</v>
      </c>
      <c r="I895">
        <f t="shared" si="69"/>
        <v>7.01</v>
      </c>
    </row>
    <row r="896" spans="1:9" ht="43.2">
      <c r="A896" s="372">
        <v>160323</v>
      </c>
      <c r="B896" s="241" t="s">
        <v>1528</v>
      </c>
      <c r="C896" s="221" t="s">
        <v>115</v>
      </c>
      <c r="D896" s="241">
        <v>12.54</v>
      </c>
      <c r="E896" s="56" t="str">
        <f t="shared" si="65"/>
        <v>TAMPÃO PARA ELETRODUTO 1", REF. TEL-5533, MARCA DE REFERÊNCIA TERMOTÉCNICA OU EQUIVALENTE</v>
      </c>
      <c r="F896" s="56" t="str">
        <f t="shared" si="66"/>
        <v>UND</v>
      </c>
      <c r="G896">
        <f t="shared" si="67"/>
        <v>16.71</v>
      </c>
      <c r="H896">
        <f t="shared" si="68"/>
        <v>12.54</v>
      </c>
      <c r="I896">
        <f t="shared" si="69"/>
        <v>12.54</v>
      </c>
    </row>
    <row r="897" spans="1:9" ht="72">
      <c r="A897" s="372">
        <v>160324</v>
      </c>
      <c r="B897" s="241" t="s">
        <v>1529</v>
      </c>
      <c r="C897" s="221" t="s">
        <v>115</v>
      </c>
      <c r="D897" s="241">
        <v>235.05</v>
      </c>
      <c r="E897" s="56" t="str">
        <f t="shared" ref="E897:E960" si="70">UPPER(B897)</f>
        <v>CAIXA DE EQUALIZAÇÃO DE POTENCIAIS PARA USO INTERNO E EXTERNO COM CINCO (5) TERMINAIS PARA ATERRAMENTO (BEP), EM POLIPROPILENO, REF. TEL-902, MARCA DE REFERÊNCIA TERMOTÉCNICA OU EQUIVALENTE</v>
      </c>
      <c r="F897" s="56" t="str">
        <f t="shared" ref="F897:F960" si="71">UPPER(C897)</f>
        <v>UND</v>
      </c>
      <c r="G897">
        <f t="shared" si="67"/>
        <v>313.2</v>
      </c>
      <c r="H897">
        <f t="shared" si="68"/>
        <v>235.05</v>
      </c>
      <c r="I897">
        <f t="shared" si="69"/>
        <v>235.05</v>
      </c>
    </row>
    <row r="898" spans="1:9" ht="86.4">
      <c r="A898" s="372">
        <v>160325</v>
      </c>
      <c r="B898" s="241" t="s">
        <v>1530</v>
      </c>
      <c r="C898" s="221" t="s">
        <v>115</v>
      </c>
      <c r="D898" s="241">
        <v>629.74</v>
      </c>
      <c r="E898" s="56" t="str">
        <f t="shared" si="70"/>
        <v>CAIXA DE EQUALIZAÇÃO DE POTENCIAIS PARA USO INTERNO E EXTERNO COM NOVE (9) TERMINAIS PARA ATERRAMENTO (BEP), EM AÇO, COM FLANGE INFERIOR E VEDAÇÃO NA PORTA, REF. TEL-903, MARCA DE REFERÊNCIA TERMOTÉCNICA OU EQUIVALENTE</v>
      </c>
      <c r="F898" s="56" t="str">
        <f t="shared" si="71"/>
        <v>UND</v>
      </c>
      <c r="G898">
        <f t="shared" si="67"/>
        <v>839.13</v>
      </c>
      <c r="H898">
        <f t="shared" si="68"/>
        <v>629.74</v>
      </c>
      <c r="I898">
        <f t="shared" si="69"/>
        <v>629.74</v>
      </c>
    </row>
    <row r="899" spans="1:9" ht="43.2">
      <c r="A899" s="372">
        <v>160326</v>
      </c>
      <c r="B899" s="241" t="s">
        <v>1531</v>
      </c>
      <c r="C899" s="221" t="s">
        <v>112</v>
      </c>
      <c r="D899" s="241">
        <v>38.4</v>
      </c>
      <c r="E899" s="56" t="str">
        <f t="shared" si="70"/>
        <v>BARRA CHATA EM ALUMÍNIO 7/8"X1/8" (70MM²), COM FUROS DIÂMETRO 7 MM REF. TEL-771, MARCA DE REFERÊNCIA TERMOTÉCNICA OU EQUIVALENTE</v>
      </c>
      <c r="F899" s="56" t="str">
        <f t="shared" si="71"/>
        <v>M</v>
      </c>
      <c r="G899">
        <f t="shared" si="67"/>
        <v>51.17</v>
      </c>
      <c r="H899">
        <f t="shared" si="68"/>
        <v>38.4</v>
      </c>
      <c r="I899">
        <f t="shared" si="69"/>
        <v>38.4</v>
      </c>
    </row>
    <row r="900" spans="1:9" ht="57.6">
      <c r="A900" s="372">
        <v>160327</v>
      </c>
      <c r="B900" s="241" t="s">
        <v>1532</v>
      </c>
      <c r="C900" s="221" t="s">
        <v>112</v>
      </c>
      <c r="D900" s="241">
        <v>45.1</v>
      </c>
      <c r="E900" s="56" t="str">
        <f t="shared" si="70"/>
        <v>BARRA CHATA EM AÇO GALVANIZADO A FOGO 7/8"X1/8" (70MM²), COM FUROS DIÂM. 7MM REF. TEL-761, MARCA DE REFERÊNCIA TERMOTÉCNICA OU EQUIVALENTE</v>
      </c>
      <c r="F900" s="56" t="str">
        <f t="shared" si="71"/>
        <v>M</v>
      </c>
      <c r="G900">
        <f t="shared" si="67"/>
        <v>60.1</v>
      </c>
      <c r="H900">
        <f t="shared" si="68"/>
        <v>45.1</v>
      </c>
      <c r="I900">
        <f t="shared" si="69"/>
        <v>45.1</v>
      </c>
    </row>
    <row r="901" spans="1:9" ht="43.2">
      <c r="A901" s="372">
        <v>160328</v>
      </c>
      <c r="B901" s="241" t="s">
        <v>1533</v>
      </c>
      <c r="C901" s="221" t="s">
        <v>115</v>
      </c>
      <c r="D901" s="241">
        <v>25.94</v>
      </c>
      <c r="E901" s="56" t="str">
        <f t="shared" si="70"/>
        <v>TERMINAL ESTANHADO DE 1 COMPRESSÃO 1 FURO, 35MM², REF. TEL-5135, MARCA DE REFERÊNCIA TERMOTÉCNICA OU EQUIVALENTE</v>
      </c>
      <c r="F901" s="56" t="str">
        <f t="shared" si="71"/>
        <v>UND</v>
      </c>
      <c r="G901">
        <f t="shared" si="67"/>
        <v>34.57</v>
      </c>
      <c r="H901">
        <f t="shared" si="68"/>
        <v>25.94</v>
      </c>
      <c r="I901">
        <f t="shared" si="69"/>
        <v>25.94</v>
      </c>
    </row>
    <row r="902" spans="1:9" ht="43.2">
      <c r="A902" s="372">
        <v>160329</v>
      </c>
      <c r="B902" s="241" t="s">
        <v>1534</v>
      </c>
      <c r="C902" s="221" t="s">
        <v>115</v>
      </c>
      <c r="D902" s="241">
        <v>18.649999999999999</v>
      </c>
      <c r="E902" s="56" t="str">
        <f t="shared" si="70"/>
        <v>CURVA 90º DE BARRA CHATA EM ALUMÍNIO 7/8"X1/8"X300MM, 70MM², REF. TEL-778, MARCA DE REFERÊNCIA TERMOTÉCNICA OU EQUIVALENTE</v>
      </c>
      <c r="F902" s="56" t="str">
        <f t="shared" si="71"/>
        <v>UND</v>
      </c>
      <c r="G902">
        <f t="shared" si="67"/>
        <v>24.85</v>
      </c>
      <c r="H902">
        <f t="shared" si="68"/>
        <v>18.649999999999999</v>
      </c>
      <c r="I902">
        <f t="shared" si="69"/>
        <v>18.649999999999999</v>
      </c>
    </row>
    <row r="903" spans="1:9" ht="72">
      <c r="A903" s="372">
        <v>160330</v>
      </c>
      <c r="B903" s="241" t="s">
        <v>1535</v>
      </c>
      <c r="C903" s="221" t="s">
        <v>115</v>
      </c>
      <c r="D903" s="241">
        <v>14.67</v>
      </c>
      <c r="E903" s="56" t="str">
        <f t="shared" si="70"/>
        <v>FIXADOR ÔMEGA EM LATÃO REF. 733, INCLUSIVE PARAFUSO FENDA DN 4,2X32MM, BUCHA NYLON DN 6MM E VEDAÇÃO DOS FUROS COM POLIURETANO REF. 5905, MARCA DE REF. TERMOTÉCNICA OU EQUIVALENTE</v>
      </c>
      <c r="F903" s="56" t="str">
        <f t="shared" si="71"/>
        <v>UND</v>
      </c>
      <c r="G903">
        <f t="shared" si="67"/>
        <v>19.55</v>
      </c>
      <c r="H903">
        <f t="shared" si="68"/>
        <v>14.67</v>
      </c>
      <c r="I903">
        <f t="shared" si="69"/>
        <v>14.67</v>
      </c>
    </row>
    <row r="904" spans="1:9" ht="43.2">
      <c r="A904" s="372">
        <v>160331</v>
      </c>
      <c r="B904" s="241" t="s">
        <v>1536</v>
      </c>
      <c r="C904" s="221" t="s">
        <v>115</v>
      </c>
      <c r="D904" s="594">
        <v>38.1</v>
      </c>
      <c r="E904" s="56" t="str">
        <f t="shared" si="70"/>
        <v>CORDOALHA FLEXÍVEL 25X100 MM, COM DOIS FUROS, DIÂMETRO 11 MM, REF. TEL-5701, MARCA DE REFERÊNCIA TERMOTÉCNICA OU EQUIVALENTE</v>
      </c>
      <c r="F904" s="56" t="str">
        <f t="shared" si="71"/>
        <v>UND</v>
      </c>
      <c r="G904">
        <f t="shared" ref="G904:G967" si="72">ROUND(H904*(1+$G$1),2)</f>
        <v>50.77</v>
      </c>
      <c r="H904">
        <f t="shared" ref="H904:H967" si="73">I904</f>
        <v>38.1</v>
      </c>
      <c r="I904">
        <f t="shared" ref="I904:I967" si="74">ROUND(D904/(1+$E$1),2)</f>
        <v>38.1</v>
      </c>
    </row>
    <row r="905" spans="1:9" ht="57.6">
      <c r="A905" s="372">
        <v>160332</v>
      </c>
      <c r="B905" s="241" t="s">
        <v>1537</v>
      </c>
      <c r="C905" s="221" t="s">
        <v>112</v>
      </c>
      <c r="D905" s="594">
        <v>35.96</v>
      </c>
      <c r="E905" s="56" t="str">
        <f t="shared" si="70"/>
        <v>FITA PERFURADA EM LATÃO NIQUELADO 20MM X 0,8MM, PARA EQUALIZAÇÃO DE POTENCIAIS, REF. TEL-750, MARCA DE REFERÊNCIA TERMOTÉCNICA OU EQUIVALENTE</v>
      </c>
      <c r="F905" s="56" t="str">
        <f t="shared" si="71"/>
        <v>M</v>
      </c>
      <c r="G905">
        <f t="shared" si="72"/>
        <v>47.92</v>
      </c>
      <c r="H905">
        <f t="shared" si="73"/>
        <v>35.96</v>
      </c>
      <c r="I905">
        <f t="shared" si="74"/>
        <v>35.96</v>
      </c>
    </row>
    <row r="906" spans="1:9" ht="57.6">
      <c r="A906" s="372">
        <v>160333</v>
      </c>
      <c r="B906" s="241" t="s">
        <v>1538</v>
      </c>
      <c r="C906" s="221" t="s">
        <v>112</v>
      </c>
      <c r="D906" s="594">
        <v>80.09</v>
      </c>
      <c r="E906" s="56" t="str">
        <f t="shared" si="70"/>
        <v>CABO DE COBRE NÚ 50 MM2, REF. TEL-5750, MARCA DE REFERÊNCIA TERMOTÉCNICA OU EQUIVALENTE, INCLUSIVE ABERTURA E FECHAMENTO DE VALA PARA CABO DIMENSÕES 50X20CM</v>
      </c>
      <c r="F906" s="56" t="str">
        <f t="shared" si="71"/>
        <v>M</v>
      </c>
      <c r="G906">
        <f t="shared" si="72"/>
        <v>106.72</v>
      </c>
      <c r="H906">
        <f t="shared" si="73"/>
        <v>80.09</v>
      </c>
      <c r="I906">
        <f t="shared" si="74"/>
        <v>80.09</v>
      </c>
    </row>
    <row r="907" spans="1:9" ht="43.2">
      <c r="A907" s="372">
        <v>160334</v>
      </c>
      <c r="B907" s="241" t="s">
        <v>1539</v>
      </c>
      <c r="C907" s="221" t="s">
        <v>115</v>
      </c>
      <c r="D907" s="241">
        <v>36.86</v>
      </c>
      <c r="E907" s="56" t="str">
        <f t="shared" si="70"/>
        <v>TERMINAL ESTANHADO DE 1 COMPRESSÃO 1 FURO, 50MM², REF. TEL-5150, MARCA DE REFERÊNCIA TERMOTÉCNICA OU EQUIVALENTE</v>
      </c>
      <c r="F907" s="56" t="str">
        <f t="shared" si="71"/>
        <v>UND</v>
      </c>
      <c r="G907">
        <f t="shared" si="72"/>
        <v>49.12</v>
      </c>
      <c r="H907">
        <f t="shared" si="73"/>
        <v>36.86</v>
      </c>
      <c r="I907">
        <f t="shared" si="74"/>
        <v>36.86</v>
      </c>
    </row>
    <row r="908" spans="1:9" ht="57.6">
      <c r="A908" s="372">
        <v>160335</v>
      </c>
      <c r="B908" s="241" t="s">
        <v>15764</v>
      </c>
      <c r="C908" s="221" t="s">
        <v>112</v>
      </c>
      <c r="D908" s="241">
        <v>49.56</v>
      </c>
      <c r="E908" s="56" t="str">
        <f t="shared" si="70"/>
        <v>CHAPA PERFURADA(TELA CASA DA MOEDA) BELINOX, LARGURA 245 MM, ESPESSURA 1.5MM, REF. TEL-754, MARCA DE REFERÊNCIA TERMOTÉCNICA OU EQUIVALENTE</v>
      </c>
      <c r="F908" s="56" t="str">
        <f t="shared" si="71"/>
        <v>M</v>
      </c>
      <c r="G908">
        <f t="shared" si="72"/>
        <v>66.040000000000006</v>
      </c>
      <c r="H908">
        <f t="shared" si="73"/>
        <v>49.56</v>
      </c>
      <c r="I908">
        <f t="shared" si="74"/>
        <v>49.56</v>
      </c>
    </row>
    <row r="909" spans="1:9">
      <c r="A909" s="372">
        <v>1606</v>
      </c>
      <c r="B909" s="241" t="s">
        <v>1540</v>
      </c>
      <c r="C909" s="221"/>
      <c r="D909" s="594"/>
      <c r="E909" s="56" t="str">
        <f t="shared" si="70"/>
        <v>INSTALAÇÃO DE INCÊNDIO</v>
      </c>
      <c r="F909" s="56" t="str">
        <f t="shared" si="71"/>
        <v/>
      </c>
      <c r="G909">
        <f t="shared" si="72"/>
        <v>0</v>
      </c>
      <c r="H909">
        <f t="shared" si="73"/>
        <v>0</v>
      </c>
      <c r="I909">
        <f t="shared" si="74"/>
        <v>0</v>
      </c>
    </row>
    <row r="910" spans="1:9" ht="129.6">
      <c r="A910" s="372">
        <v>160602</v>
      </c>
      <c r="B910" s="241" t="s">
        <v>35665</v>
      </c>
      <c r="C910" s="221" t="s">
        <v>115</v>
      </c>
      <c r="D910" s="594">
        <v>1786.68</v>
      </c>
      <c r="E910" s="56" t="str">
        <f t="shared" si="70"/>
        <v>ABRIGO DE PAREDE PARA HIDRANTE 60X90X17CM SOBREPOR, EM CHAPA DE AÇO COM PINTURA ELETROSTÁTICA VERMELHA, VISOR TRANSPARENTE E INSCRIÇÃO "HIDRANTE", REGISTRO GLOBO ANGULAR 45º 2.1/2? (63MM), ADAPTADOR EM LATÃO STORZ ENGATE RÁPIDO 2.1/2?, MANGUEIRA DE INCÊNDIO 20M ? 2.1/2? ? TIPO 2, COM ACOPLAMENTO EM LATÃO E ESGUICHO REGULÁVEL EM LATÃO 2.1/2? EM LATÃO, FORNECIMENTO E INSTALAÇÃO</v>
      </c>
      <c r="F910" s="56" t="str">
        <f t="shared" si="71"/>
        <v>UND</v>
      </c>
      <c r="G910">
        <f t="shared" si="72"/>
        <v>2380.75</v>
      </c>
      <c r="H910">
        <f t="shared" si="73"/>
        <v>1786.68</v>
      </c>
      <c r="I910">
        <f t="shared" si="74"/>
        <v>1786.68</v>
      </c>
    </row>
    <row r="911" spans="1:9" ht="100.8">
      <c r="A911" s="372">
        <v>160603</v>
      </c>
      <c r="B911" s="241" t="s">
        <v>35666</v>
      </c>
      <c r="C911" s="221" t="s">
        <v>115</v>
      </c>
      <c r="D911" s="241">
        <v>921.23</v>
      </c>
      <c r="E911" s="56" t="str">
        <f t="shared" si="70"/>
        <v>HIDRANTE DE RECALQUE NO PASSEIO, COMPOSTO POR CAIXA METÁLICA 40X60X40 CM, COM REGISTRO GLOBO ANGULAR 90º DN 65 MM (2.1/2?), ADAPTADOR STORZ PARA ENGATE RÁPIDO E TAMPÃO STORZ COM CORRENTE DE SEGURANÇA, PARA CONEXÃO DE VIATURA DO CORPO DE BOMBEIROS AO SISTEMA DE COMBATE A INCÊNDIO</v>
      </c>
      <c r="F911" s="56" t="str">
        <f t="shared" si="71"/>
        <v>UND</v>
      </c>
      <c r="G911">
        <f t="shared" si="72"/>
        <v>1227.54</v>
      </c>
      <c r="H911">
        <f t="shared" si="73"/>
        <v>921.23</v>
      </c>
      <c r="I911">
        <f t="shared" si="74"/>
        <v>921.23</v>
      </c>
    </row>
    <row r="912" spans="1:9" ht="72">
      <c r="A912" s="372">
        <v>160604</v>
      </c>
      <c r="B912" s="241" t="s">
        <v>27295</v>
      </c>
      <c r="C912" s="221" t="s">
        <v>115</v>
      </c>
      <c r="D912" s="241">
        <v>257.60000000000002</v>
      </c>
      <c r="E912" s="56" t="str">
        <f t="shared" si="70"/>
        <v>EXTINTOR DE INCÊNDIO DE ÁGUA PRESSURIZADA CAPACIDADE 2A (10L), INCLUSIVE SUPORTE DE PAREDE UNIVERSAL, PARAFUSO E BUCHA S8, EXCLUSIVE PLACA SINALIZADORA EM PVC FOTOLUMINESCENTE E PINTURA DE SINALIZAÇÃO</v>
      </c>
      <c r="F912" s="56" t="str">
        <f t="shared" si="71"/>
        <v>UND</v>
      </c>
      <c r="G912">
        <f t="shared" si="72"/>
        <v>343.25</v>
      </c>
      <c r="H912">
        <f t="shared" si="73"/>
        <v>257.60000000000002</v>
      </c>
      <c r="I912">
        <f t="shared" si="74"/>
        <v>257.60000000000002</v>
      </c>
    </row>
    <row r="913" spans="1:9" ht="72">
      <c r="A913" s="372">
        <v>160605</v>
      </c>
      <c r="B913" s="241" t="s">
        <v>27296</v>
      </c>
      <c r="C913" s="221" t="s">
        <v>115</v>
      </c>
      <c r="D913" s="594">
        <v>286.24</v>
      </c>
      <c r="E913" s="56" t="str">
        <f t="shared" si="70"/>
        <v>EXTINTOR DE INCÊNDIO PORTÁTIL DE PÓ QUÍMICO ABC COM CAPACIDADE 2A-20B:C (6 KG), INCLUSIVE SUPORTE DE PAREDE UNIVERSAL, PARAFUSO E BUCHA S8, EXCLUSIVE PLACA SINALIZADORA EM PVC FOTOLUMINESCENTE E PINTURA DE SINALIZAÇÃO</v>
      </c>
      <c r="F913" s="56" t="str">
        <f t="shared" si="71"/>
        <v>UND</v>
      </c>
      <c r="G913">
        <f t="shared" si="72"/>
        <v>381.41</v>
      </c>
      <c r="H913">
        <f t="shared" si="73"/>
        <v>286.24</v>
      </c>
      <c r="I913">
        <f t="shared" si="74"/>
        <v>286.24</v>
      </c>
    </row>
    <row r="914" spans="1:9" ht="72">
      <c r="A914" s="372">
        <v>160606</v>
      </c>
      <c r="B914" s="241" t="s">
        <v>27297</v>
      </c>
      <c r="C914" s="221" t="s">
        <v>115</v>
      </c>
      <c r="D914" s="241">
        <v>748.98</v>
      </c>
      <c r="E914" s="56" t="str">
        <f t="shared" si="70"/>
        <v>EXTINTOR DE INCÊNDIO DE GÁS CARBÔNICO CO2 5 B:C (6 KG), INCLUSIVE SUPORTE DE PAREDE UNIVERSAL, PARAFUSO E BUCHA S8, EXCLUSIVE PLACA SINALIZADORA EM PVC FOTOLUMINESCENTE E PINTURA DE SINALIZAÇÃO</v>
      </c>
      <c r="F914" s="56" t="str">
        <f t="shared" si="71"/>
        <v>UND</v>
      </c>
      <c r="G914">
        <f t="shared" si="72"/>
        <v>998.02</v>
      </c>
      <c r="H914">
        <f t="shared" si="73"/>
        <v>748.98</v>
      </c>
      <c r="I914">
        <f t="shared" si="74"/>
        <v>748.98</v>
      </c>
    </row>
    <row r="915" spans="1:9" ht="72">
      <c r="A915" s="372">
        <v>160607</v>
      </c>
      <c r="B915" s="241" t="s">
        <v>27298</v>
      </c>
      <c r="C915" s="221" t="s">
        <v>115</v>
      </c>
      <c r="D915" s="241">
        <v>255</v>
      </c>
      <c r="E915" s="56" t="str">
        <f t="shared" si="70"/>
        <v>EXTINTOR DE INCÊNDIO PORTÁTIL DE PÓ QUÍMICO ABC COM CAPACIDADE 2A-20B:C (4 KG), INCLUSIVE SUPORTE DE PAREDE UNIVERSAL, PARAFUSO E BUCHA S8, EXCLUSIVE PLACA SINALIZADORA EM PVC FOTOLUMINESCENTE E PINTURA DE SINALIZAÇÃO</v>
      </c>
      <c r="F915" s="56" t="str">
        <f t="shared" si="71"/>
        <v>UND</v>
      </c>
      <c r="G915">
        <f t="shared" si="72"/>
        <v>339.79</v>
      </c>
      <c r="H915">
        <f t="shared" si="73"/>
        <v>255</v>
      </c>
      <c r="I915">
        <f t="shared" si="74"/>
        <v>255</v>
      </c>
    </row>
    <row r="916" spans="1:9" ht="72">
      <c r="A916" s="372">
        <v>160608</v>
      </c>
      <c r="B916" s="241" t="s">
        <v>1541</v>
      </c>
      <c r="C916" s="221" t="s">
        <v>115</v>
      </c>
      <c r="D916" s="241">
        <v>340.76</v>
      </c>
      <c r="E916" s="56" t="str">
        <f t="shared" si="70"/>
        <v>PONTO PARA SETA INDICATIVA DE SAÍDA, INCL. SETA EM ACRÍLICO, COM FONTE ALIMENTADORA PRÓPRIA QUE ASSEGURE UM FUNCIONAMENTO MÍNIMO DE 1H, PARA QUANDO OCORRER FALTA DE ENERGIA ELÉTRICA NA REDE PÚBLICA, CONFORME PROJETO</v>
      </c>
      <c r="F916" s="56" t="str">
        <f t="shared" si="71"/>
        <v>UND</v>
      </c>
      <c r="G916">
        <f t="shared" si="72"/>
        <v>454.06</v>
      </c>
      <c r="H916">
        <f t="shared" si="73"/>
        <v>340.76</v>
      </c>
      <c r="I916">
        <f t="shared" si="74"/>
        <v>340.76</v>
      </c>
    </row>
    <row r="917" spans="1:9" ht="72">
      <c r="A917" s="372">
        <v>160612</v>
      </c>
      <c r="B917" s="241" t="s">
        <v>35667</v>
      </c>
      <c r="C917" s="221" t="s">
        <v>115</v>
      </c>
      <c r="D917" s="241">
        <v>29.12</v>
      </c>
      <c r="E917" s="56" t="str">
        <f t="shared" si="70"/>
        <v>PLACA DE SINALIZAÇÃO DE SEGURANÇA DO TIPO ?SAÍDA DE EMERGÊNCIA? COM SETA VERTICAL, CONFORME CÓDIGO 14 - 315/158 DA ABNT NBR 13434 E CÓDIGO S3 DA NT 14/2010 DO CORPO DE BOMBEIROS DO ESPÍRITO SANTO (CBMES)</v>
      </c>
      <c r="F917" s="56" t="str">
        <f t="shared" si="71"/>
        <v>UND</v>
      </c>
      <c r="G917">
        <f t="shared" si="72"/>
        <v>38.799999999999997</v>
      </c>
      <c r="H917">
        <f t="shared" si="73"/>
        <v>29.12</v>
      </c>
      <c r="I917">
        <f t="shared" si="74"/>
        <v>29.12</v>
      </c>
    </row>
    <row r="918" spans="1:9" ht="43.2">
      <c r="A918" s="372">
        <v>160613</v>
      </c>
      <c r="B918" s="241" t="s">
        <v>1542</v>
      </c>
      <c r="C918" s="221" t="s">
        <v>115</v>
      </c>
      <c r="D918" s="241">
        <v>263.07</v>
      </c>
      <c r="E918" s="56" t="str">
        <f t="shared" si="70"/>
        <v>PONTO PARA ILUMINAÇÃO DE EMERGÊNCIA COMPLETO, INCLUSIVE BLOCO AUTÔNOMO DE ILUMINAÇÃO 2X9W COM TOMADA UNIVERSAL</v>
      </c>
      <c r="F918" s="56" t="str">
        <f t="shared" si="71"/>
        <v>UND</v>
      </c>
      <c r="G918">
        <f t="shared" si="72"/>
        <v>350.54</v>
      </c>
      <c r="H918">
        <f t="shared" si="73"/>
        <v>263.07</v>
      </c>
      <c r="I918">
        <f t="shared" si="74"/>
        <v>263.07</v>
      </c>
    </row>
    <row r="919" spans="1:9" ht="144">
      <c r="A919" s="372">
        <v>160625</v>
      </c>
      <c r="B919" s="241" t="s">
        <v>35668</v>
      </c>
      <c r="C919" s="221" t="s">
        <v>115</v>
      </c>
      <c r="D919" s="241">
        <v>938.7</v>
      </c>
      <c r="E919" s="56" t="str">
        <f t="shared" si="70"/>
        <v>EXECUÇÃO DE ABRIGO PARA HIDRANTE DE RECALQUE NO PASSEIO, EM CAIXA DE ALVENARIA 60X40X40 CM COM BLOCOS DE CONCRETO, INCLUINDO REGISTRO ANGULAR Ø 65 MM (2 ½"), INTERLIGADO À REDE DE INCÊNDIO, E TAMPA DE FERRO FUNDIDO 40X40 CM COM MOLDURA METÁLICA E INSCRIÇÃO ?INCÊNDIO? PINTADA COM TINTA ESMALTE SINTÉTICO VERMELHA A DUAS DEMÃOES E UMA DEMÃO DE FUNDO ANTICORROSIVO E LASTRO DE BRITA 5CM</v>
      </c>
      <c r="F919" s="56" t="str">
        <f t="shared" si="71"/>
        <v>UND</v>
      </c>
      <c r="G919">
        <f t="shared" si="72"/>
        <v>1250.82</v>
      </c>
      <c r="H919">
        <f t="shared" si="73"/>
        <v>938.7</v>
      </c>
      <c r="I919">
        <f t="shared" si="74"/>
        <v>938.7</v>
      </c>
    </row>
    <row r="920" spans="1:9" ht="158.4">
      <c r="A920" s="372">
        <v>160626</v>
      </c>
      <c r="B920" s="241" t="s">
        <v>27299</v>
      </c>
      <c r="C920" s="221" t="s">
        <v>115</v>
      </c>
      <c r="D920" s="594">
        <v>1624.58</v>
      </c>
      <c r="E920" s="56" t="str">
        <f t="shared" si="70"/>
        <v>CONJUNTO COMPLETO DE PORTA CORTA-FOGO SIMPLES PARA SAÍDA DE EMERGÊNCIA DIM.: 80X210X5CM, CONFORME ABNT NBR 11742, CLASSE P-90,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v>
      </c>
      <c r="F920" s="56" t="str">
        <f t="shared" si="71"/>
        <v>UND</v>
      </c>
      <c r="G920">
        <f t="shared" si="72"/>
        <v>2164.75</v>
      </c>
      <c r="H920">
        <f t="shared" si="73"/>
        <v>1624.58</v>
      </c>
      <c r="I920">
        <f t="shared" si="74"/>
        <v>1624.58</v>
      </c>
    </row>
    <row r="921" spans="1:9" ht="158.4">
      <c r="A921" s="371">
        <v>160627</v>
      </c>
      <c r="B921" s="240" t="s">
        <v>27300</v>
      </c>
      <c r="C921" s="221" t="s">
        <v>115</v>
      </c>
      <c r="D921" s="241">
        <v>1593.27</v>
      </c>
      <c r="E921" s="56" t="str">
        <f t="shared" si="70"/>
        <v>CONJUNTO COMPLETO DE PORTA CORTA-FOGO SIMPLES PARA SAÍDA DE EMERGÊNCIA DIM.: 90X210X5CM, CONFORME ABNT NBR 11742, CLASSE P-90,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v>
      </c>
      <c r="F921" s="56" t="str">
        <f t="shared" si="71"/>
        <v>UND</v>
      </c>
      <c r="G921">
        <f t="shared" si="72"/>
        <v>2123.0300000000002</v>
      </c>
      <c r="H921">
        <f t="shared" si="73"/>
        <v>1593.27</v>
      </c>
      <c r="I921">
        <f t="shared" si="74"/>
        <v>1593.27</v>
      </c>
    </row>
    <row r="922" spans="1:9" ht="158.4">
      <c r="A922" s="372">
        <v>160628</v>
      </c>
      <c r="B922" s="241" t="s">
        <v>27301</v>
      </c>
      <c r="C922" s="221" t="s">
        <v>115</v>
      </c>
      <c r="D922" s="241">
        <v>2568.33</v>
      </c>
      <c r="E922" s="56" t="str">
        <f t="shared" si="70"/>
        <v>CONJUNTO COMPLETO DE PORTA CORTA-FOGO SIMPLES PARA SAÍDA DE EMERGÊNCIA DIM.: 90X210X5CM, CONFORME ABNT NBR 11742, CLASSE P-120,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v>
      </c>
      <c r="F922" s="56" t="str">
        <f t="shared" si="71"/>
        <v>UND</v>
      </c>
      <c r="G922">
        <f t="shared" si="72"/>
        <v>3422.3</v>
      </c>
      <c r="H922">
        <f t="shared" si="73"/>
        <v>2568.33</v>
      </c>
      <c r="I922">
        <f t="shared" si="74"/>
        <v>2568.33</v>
      </c>
    </row>
    <row r="923" spans="1:9" ht="72">
      <c r="A923" s="372">
        <v>160629</v>
      </c>
      <c r="B923" s="241" t="s">
        <v>35669</v>
      </c>
      <c r="C923" s="221" t="s">
        <v>112</v>
      </c>
      <c r="D923" s="241">
        <v>140.63</v>
      </c>
      <c r="E923" s="56" t="str">
        <f t="shared" si="70"/>
        <v>TUBO DE AÇO CARBONO GALVANIZADO, COM COSTURA, CLASSE LEVE, DIÂMETRO 50MM (2"), INCLUSIVE PINTURA COM UMA DEMÃO DE PRIMER EPOXI E DUAS DEMÃOS DE TINTA À BASE DE EPOXI NA COR VERMELHA</v>
      </c>
      <c r="F923" s="56" t="str">
        <f t="shared" si="71"/>
        <v>M</v>
      </c>
      <c r="G923">
        <f t="shared" si="72"/>
        <v>187.39</v>
      </c>
      <c r="H923">
        <f t="shared" si="73"/>
        <v>140.63</v>
      </c>
      <c r="I923">
        <f t="shared" si="74"/>
        <v>140.63</v>
      </c>
    </row>
    <row r="924" spans="1:9" ht="72">
      <c r="A924" s="372">
        <v>160630</v>
      </c>
      <c r="B924" s="241" t="s">
        <v>35670</v>
      </c>
      <c r="C924" s="221" t="s">
        <v>112</v>
      </c>
      <c r="D924" s="241">
        <v>178.35</v>
      </c>
      <c r="E924" s="56" t="str">
        <f t="shared" si="70"/>
        <v>TUBO DE AÇO CARBONO GALVANIZADO, COM COSTURA, CLASSE LEVE, DIÂMETRO 65MM (2.1/2"), INCLUSIVE PINTURA COM UMA DEMÃO DE PRIMER EPOXI E DUAS DEMÃOS DE TINTA À BASE DE EPOXI NA COR VERMELHA</v>
      </c>
      <c r="F924" s="56" t="str">
        <f t="shared" si="71"/>
        <v>M</v>
      </c>
      <c r="G924">
        <f t="shared" si="72"/>
        <v>237.65</v>
      </c>
      <c r="H924">
        <f t="shared" si="73"/>
        <v>178.35</v>
      </c>
      <c r="I924">
        <f t="shared" si="74"/>
        <v>178.35</v>
      </c>
    </row>
    <row r="925" spans="1:9" ht="72">
      <c r="A925" s="372">
        <v>160631</v>
      </c>
      <c r="B925" s="241" t="s">
        <v>35671</v>
      </c>
      <c r="C925" s="221" t="s">
        <v>112</v>
      </c>
      <c r="D925" s="241">
        <v>211.26</v>
      </c>
      <c r="E925" s="56" t="str">
        <f t="shared" si="70"/>
        <v>TUBO DE AÇO CARBONO GALVANIZADO, COM COSTURA, CLASSE LEVE, DIÂMETRO 80MM (3"), INCLUSIVE PINTURA COM UMA DEMÃO DE PRIMER EPOXI E DUAS DEMÃOS DE TINTA À BASE DE EPOXI NA COR VERMELHA</v>
      </c>
      <c r="F925" s="56" t="str">
        <f t="shared" si="71"/>
        <v>M</v>
      </c>
      <c r="G925">
        <f t="shared" si="72"/>
        <v>281.5</v>
      </c>
      <c r="H925">
        <f t="shared" si="73"/>
        <v>211.26</v>
      </c>
      <c r="I925">
        <f t="shared" si="74"/>
        <v>211.26</v>
      </c>
    </row>
    <row r="926" spans="1:9" ht="72">
      <c r="A926" s="372">
        <v>160632</v>
      </c>
      <c r="B926" s="241" t="s">
        <v>35672</v>
      </c>
      <c r="C926" s="221" t="s">
        <v>112</v>
      </c>
      <c r="D926" s="241">
        <v>285.92</v>
      </c>
      <c r="E926" s="56" t="str">
        <f t="shared" si="70"/>
        <v>TUBO DE AÇO CARBONO GALVANIZADO, COM COSTURA, CLASSE LEVE, DIÂMETRO 100MM (4"), INCLUSIVE PINTURA COM UMA DEMÃO DE PRIMER EPOXI E DUAS DEMÃOS DE TINTA À BASE DE EPOXI NA COR VERMELHA</v>
      </c>
      <c r="F926" s="56" t="str">
        <f t="shared" si="71"/>
        <v>M</v>
      </c>
      <c r="G926">
        <f t="shared" si="72"/>
        <v>380.99</v>
      </c>
      <c r="H926">
        <f t="shared" si="73"/>
        <v>285.92</v>
      </c>
      <c r="I926">
        <f t="shared" si="74"/>
        <v>285.92</v>
      </c>
    </row>
    <row r="927" spans="1:9" ht="43.2">
      <c r="A927" s="372">
        <v>160633</v>
      </c>
      <c r="B927" s="241" t="s">
        <v>35673</v>
      </c>
      <c r="C927" s="221" t="s">
        <v>115</v>
      </c>
      <c r="D927" s="241">
        <v>226.53</v>
      </c>
      <c r="E927" s="56" t="str">
        <f t="shared" si="70"/>
        <v>REGISTRO DE GAVETA BRUTO DIÂMETRO 2" (50MM), VOLANTE EM AÇO COM ACABAMENTO PINTURA EPÓXI VERMELHA ? DOCOL, DECA OU EQUIVALENTE</v>
      </c>
      <c r="F927" s="56" t="str">
        <f t="shared" si="71"/>
        <v>UND</v>
      </c>
      <c r="G927">
        <f t="shared" si="72"/>
        <v>301.85000000000002</v>
      </c>
      <c r="H927">
        <f t="shared" si="73"/>
        <v>226.53</v>
      </c>
      <c r="I927">
        <f t="shared" si="74"/>
        <v>226.53</v>
      </c>
    </row>
    <row r="928" spans="1:9" ht="57.6">
      <c r="A928" s="372">
        <v>160634</v>
      </c>
      <c r="B928" s="241" t="s">
        <v>35674</v>
      </c>
      <c r="C928" s="221" t="s">
        <v>115</v>
      </c>
      <c r="D928" s="241">
        <v>405.06</v>
      </c>
      <c r="E928" s="56" t="str">
        <f t="shared" si="70"/>
        <v>REGISTRO DE GAVETA BRUTO DIÂMETRO 2.1/2" (65MM), VOLANTE EM AÇO COM ACABAMENTO PINTURA EPÓXI VERMELHA ? DOCOL, DECA OU EQUIVALENTE</v>
      </c>
      <c r="F928" s="56" t="str">
        <f t="shared" si="71"/>
        <v>UND</v>
      </c>
      <c r="G928">
        <f t="shared" si="72"/>
        <v>539.74</v>
      </c>
      <c r="H928">
        <f t="shared" si="73"/>
        <v>405.06</v>
      </c>
      <c r="I928">
        <f t="shared" si="74"/>
        <v>405.06</v>
      </c>
    </row>
    <row r="929" spans="1:9" ht="43.2">
      <c r="A929" s="372">
        <v>160635</v>
      </c>
      <c r="B929" s="241" t="s">
        <v>35675</v>
      </c>
      <c r="C929" s="221" t="s">
        <v>115</v>
      </c>
      <c r="D929" s="241">
        <v>593.78</v>
      </c>
      <c r="E929" s="56" t="str">
        <f t="shared" si="70"/>
        <v>REGISTRO DE GAVETA BRUTO DIÂMETRO 3" (75MM) , VOLANTE EM AÇO COM ACABAMENTO PINTURA EPÓXI VERMELHA ? DOCOL, DECA OU EQUIVALENTE</v>
      </c>
      <c r="F929" s="56" t="str">
        <f t="shared" si="71"/>
        <v>UND</v>
      </c>
      <c r="G929">
        <f t="shared" si="72"/>
        <v>791.21</v>
      </c>
      <c r="H929">
        <f t="shared" si="73"/>
        <v>593.78</v>
      </c>
      <c r="I929">
        <f t="shared" si="74"/>
        <v>593.78</v>
      </c>
    </row>
    <row r="930" spans="1:9" ht="57.6">
      <c r="A930" s="372">
        <v>160636</v>
      </c>
      <c r="B930" s="241" t="s">
        <v>35676</v>
      </c>
      <c r="C930" s="221" t="s">
        <v>115</v>
      </c>
      <c r="D930" s="241">
        <v>846.56</v>
      </c>
      <c r="E930" s="56" t="str">
        <f t="shared" si="70"/>
        <v>REGISTRO DE GAVETA BRUTO DIÂMETRO 4" (100MM), VOLANTE EM AÇO COM ACABAMENTO PINTURA EPÓXI VERMELHA ? DOCOL, DECA OU EQUIVALENTE</v>
      </c>
      <c r="F930" s="56" t="str">
        <f t="shared" si="71"/>
        <v>UND</v>
      </c>
      <c r="G930">
        <f t="shared" si="72"/>
        <v>1128.04</v>
      </c>
      <c r="H930">
        <f t="shared" si="73"/>
        <v>846.56</v>
      </c>
      <c r="I930">
        <f t="shared" si="74"/>
        <v>846.56</v>
      </c>
    </row>
    <row r="931" spans="1:9" ht="57.6">
      <c r="A931" s="372">
        <v>160637</v>
      </c>
      <c r="B931" s="241" t="s">
        <v>35677</v>
      </c>
      <c r="C931" s="221" t="s">
        <v>115</v>
      </c>
      <c r="D931" s="241">
        <v>93.1</v>
      </c>
      <c r="E931" s="56" t="str">
        <f t="shared" si="70"/>
        <v>TÊ DE FERRO FUNDIDO MALEÁVEL 90º CLASSE LEVE, DIÂMETRO 50MM (2"), INCLUSIVE PINTURA COM UMA DEMÃO DE PRIMER EPOXI E DUAS DEMÃOS DE TINTA À BASE DE EPOXI NA COR VERMELHA</v>
      </c>
      <c r="F931" s="56" t="str">
        <f t="shared" si="71"/>
        <v>UND</v>
      </c>
      <c r="G931">
        <f t="shared" si="72"/>
        <v>124.06</v>
      </c>
      <c r="H931">
        <f t="shared" si="73"/>
        <v>93.1</v>
      </c>
      <c r="I931">
        <f t="shared" si="74"/>
        <v>93.1</v>
      </c>
    </row>
    <row r="932" spans="1:9" ht="57.6">
      <c r="A932" s="372">
        <v>160638</v>
      </c>
      <c r="B932" s="241" t="s">
        <v>35678</v>
      </c>
      <c r="C932" s="221" t="s">
        <v>115</v>
      </c>
      <c r="D932" s="241">
        <v>141.88999999999999</v>
      </c>
      <c r="E932" s="56" t="str">
        <f t="shared" si="70"/>
        <v>TÊ DE FERRO FUNDIDO MALEÁVEL 90º CLASSE LEVE, DIÂMETRO 65MM (2.1/2"), INCLUSIVE PINTURA COM UMA DEMÃO DE PRIMER EPOXI E DUAS DEMÃOS DE TINTA À BASE DE EPOXI NA COR VERMELHA</v>
      </c>
      <c r="F932" s="56" t="str">
        <f t="shared" si="71"/>
        <v>UND</v>
      </c>
      <c r="G932">
        <f t="shared" si="72"/>
        <v>189.07</v>
      </c>
      <c r="H932">
        <f t="shared" si="73"/>
        <v>141.88999999999999</v>
      </c>
      <c r="I932">
        <f t="shared" si="74"/>
        <v>141.88999999999999</v>
      </c>
    </row>
    <row r="933" spans="1:9" ht="57.6">
      <c r="A933" s="372">
        <v>160639</v>
      </c>
      <c r="B933" s="241" t="s">
        <v>35679</v>
      </c>
      <c r="C933" s="221" t="s">
        <v>115</v>
      </c>
      <c r="D933" s="241">
        <v>198.17</v>
      </c>
      <c r="E933" s="56" t="str">
        <f t="shared" si="70"/>
        <v>TÊ DE FERRO FUNDIDO MALEÁVEL 90º CLASSE LEVE, DIÂMETRO 80MM (3"), INCLUSIVE PINTURA COM UMA DEMÃO DE PRIMER EPOXI E DUAS DEMÃOS DE TINTA À BASE DE EPOXI NA COR VERMELHA</v>
      </c>
      <c r="F933" s="56" t="str">
        <f t="shared" si="71"/>
        <v>UND</v>
      </c>
      <c r="G933">
        <f t="shared" si="72"/>
        <v>264.06</v>
      </c>
      <c r="H933">
        <f t="shared" si="73"/>
        <v>198.17</v>
      </c>
      <c r="I933">
        <f t="shared" si="74"/>
        <v>198.17</v>
      </c>
    </row>
    <row r="934" spans="1:9" ht="57.6">
      <c r="A934" s="372">
        <v>160640</v>
      </c>
      <c r="B934" s="241" t="s">
        <v>35680</v>
      </c>
      <c r="C934" s="221" t="s">
        <v>115</v>
      </c>
      <c r="D934" s="241">
        <v>377.77</v>
      </c>
      <c r="E934" s="56" t="str">
        <f t="shared" si="70"/>
        <v>TÊ DE FERRO FUNDIDO MALEÁVEL 90º CLASSE LEVE, DIÂMETRO 100MM (4"), INCLUSIVE PINTURA COM UMA DEMÃO DE PRIMER EPOXI E DUAS DEMÃOS DE TINTA À BASE DE EPOXI NA COR VERMELHA</v>
      </c>
      <c r="F934" s="56" t="str">
        <f t="shared" si="71"/>
        <v>UND</v>
      </c>
      <c r="G934">
        <f t="shared" si="72"/>
        <v>503.38</v>
      </c>
      <c r="H934">
        <f t="shared" si="73"/>
        <v>377.77</v>
      </c>
      <c r="I934">
        <f t="shared" si="74"/>
        <v>377.77</v>
      </c>
    </row>
    <row r="935" spans="1:9" ht="72">
      <c r="A935" s="372">
        <v>160641</v>
      </c>
      <c r="B935" s="241" t="s">
        <v>35681</v>
      </c>
      <c r="C935" s="221" t="s">
        <v>115</v>
      </c>
      <c r="D935" s="241">
        <v>85.2</v>
      </c>
      <c r="E935" s="56" t="str">
        <f t="shared" si="70"/>
        <v>COTOVELO DE FERRO FUNDIDO MALEÁVEL 90º CLASSE LEVE, DIÂMETRO 50MM (2"), INCLUSIVE PINTURA COM UMA DEMÃO DE PRIMER EPOXI E DUAS DEMÃOS DE TINTA À BASE DE EPOXI NA COR VERMELHA</v>
      </c>
      <c r="F935" s="56" t="str">
        <f t="shared" si="71"/>
        <v>UND</v>
      </c>
      <c r="G935">
        <f t="shared" si="72"/>
        <v>113.53</v>
      </c>
      <c r="H935">
        <f t="shared" si="73"/>
        <v>85.2</v>
      </c>
      <c r="I935">
        <f t="shared" si="74"/>
        <v>85.2</v>
      </c>
    </row>
    <row r="936" spans="1:9" ht="72">
      <c r="A936" s="372">
        <v>160642</v>
      </c>
      <c r="B936" s="241" t="s">
        <v>35682</v>
      </c>
      <c r="C936" s="221" t="s">
        <v>115</v>
      </c>
      <c r="D936" s="241">
        <v>113.16</v>
      </c>
      <c r="E936" s="56" t="str">
        <f t="shared" si="70"/>
        <v>COTOVELO DE FERRO FUNDIDO MALEÁVEL 90º CLASSE LEVE, DIÂMETRO 65MM (2.1/2"), INCLUSIVE PINTURA COM UMA DEMÃO DE PRIMER EPOXI E DUAS DEMÃOS DE TINTA À BASE DE EPOXI NA COR VERMELHA</v>
      </c>
      <c r="F936" s="56" t="str">
        <f t="shared" si="71"/>
        <v>UND</v>
      </c>
      <c r="G936">
        <f t="shared" si="72"/>
        <v>150.79</v>
      </c>
      <c r="H936">
        <f t="shared" si="73"/>
        <v>113.16</v>
      </c>
      <c r="I936">
        <f t="shared" si="74"/>
        <v>113.16</v>
      </c>
    </row>
    <row r="937" spans="1:9" ht="72">
      <c r="A937" s="372">
        <v>160643</v>
      </c>
      <c r="B937" s="241" t="s">
        <v>35683</v>
      </c>
      <c r="C937" s="221" t="s">
        <v>115</v>
      </c>
      <c r="D937" s="241">
        <v>181.85</v>
      </c>
      <c r="E937" s="56" t="str">
        <f t="shared" si="70"/>
        <v>COTOVELO DE FERRO FUNDIDO MALEÁVEL 90º CLASSE LEVE, DIÂMETRO 80MM (3"), INCLUSIVE PINTURA COM UMA DEMÃO DE PRIMER EPOXI E DUAS DEMÃOS DE TINTA À BASE DE EPOXI NA COR VERMELHA</v>
      </c>
      <c r="F937" s="56" t="str">
        <f t="shared" si="71"/>
        <v>UND</v>
      </c>
      <c r="G937">
        <f t="shared" si="72"/>
        <v>242.32</v>
      </c>
      <c r="H937">
        <f t="shared" si="73"/>
        <v>181.85</v>
      </c>
      <c r="I937">
        <f t="shared" si="74"/>
        <v>181.85</v>
      </c>
    </row>
    <row r="938" spans="1:9" ht="72">
      <c r="A938" s="372">
        <v>160644</v>
      </c>
      <c r="B938" s="241" t="s">
        <v>35684</v>
      </c>
      <c r="C938" s="221" t="s">
        <v>115</v>
      </c>
      <c r="D938" s="241">
        <v>307.77</v>
      </c>
      <c r="E938" s="56" t="str">
        <f t="shared" si="70"/>
        <v>COTOVELO DE FERRO FUNDIDO MALEÁVEL 90º CLASSE LEVE, DIÂMETRO 100MM (4"), INCLUSIVE PINTURA COM UMA DEMÃO DE PRIMER EPOXI E DUAS DEMÃOS DE TINTA À BASE DE EPOXI NA COR VERMELHA</v>
      </c>
      <c r="F938" s="56" t="str">
        <f t="shared" si="71"/>
        <v>UND</v>
      </c>
      <c r="G938">
        <f t="shared" si="72"/>
        <v>410.1</v>
      </c>
      <c r="H938">
        <f t="shared" si="73"/>
        <v>307.77</v>
      </c>
      <c r="I938">
        <f t="shared" si="74"/>
        <v>307.77</v>
      </c>
    </row>
    <row r="939" spans="1:9" ht="72">
      <c r="A939" s="372">
        <v>160645</v>
      </c>
      <c r="B939" s="241" t="s">
        <v>35685</v>
      </c>
      <c r="C939" s="221" t="s">
        <v>115</v>
      </c>
      <c r="D939" s="241">
        <v>75.5</v>
      </c>
      <c r="E939" s="56" t="str">
        <f t="shared" si="70"/>
        <v>COTOVELO DE FERRO FUNDIDO MALEÁVEL 45º CLASSE LEVE, DIÂMETRO 50MM (2"), INCLUSIVE PINTURA COM UMA DEMÃO DE PRIMER EPOXI E DUAS DEMÃOS DE TINTA À BASE DE EPOXI NA COR VERMELHA</v>
      </c>
      <c r="F939" s="56" t="str">
        <f t="shared" si="71"/>
        <v>UND</v>
      </c>
      <c r="G939">
        <f t="shared" si="72"/>
        <v>100.6</v>
      </c>
      <c r="H939">
        <f t="shared" si="73"/>
        <v>75.5</v>
      </c>
      <c r="I939">
        <f t="shared" si="74"/>
        <v>75.5</v>
      </c>
    </row>
    <row r="940" spans="1:9" ht="72">
      <c r="A940" s="372">
        <v>160646</v>
      </c>
      <c r="B940" s="241" t="s">
        <v>35686</v>
      </c>
      <c r="C940" s="221" t="s">
        <v>115</v>
      </c>
      <c r="D940" s="241">
        <v>114.47</v>
      </c>
      <c r="E940" s="56" t="str">
        <f t="shared" si="70"/>
        <v>COTOVELO DE FERRO FUNDIDO MALEÁVEL 45º CLASSE LEVE, DIÂMETRO 65MM (2.1/2"), INCLUSIVE PINTURA COM UMA DEMÃO DE PRIMER EPOXI E DUAS DEMÃOS DE TINTA À BASE DE EPOXI NA COR VERMELHA</v>
      </c>
      <c r="F940" s="56" t="str">
        <f t="shared" si="71"/>
        <v>UND</v>
      </c>
      <c r="G940">
        <f t="shared" si="72"/>
        <v>152.53</v>
      </c>
      <c r="H940">
        <f t="shared" si="73"/>
        <v>114.47</v>
      </c>
      <c r="I940">
        <f t="shared" si="74"/>
        <v>114.47</v>
      </c>
    </row>
    <row r="941" spans="1:9" ht="72">
      <c r="A941" s="372">
        <v>160647</v>
      </c>
      <c r="B941" s="241" t="s">
        <v>35687</v>
      </c>
      <c r="C941" s="221" t="s">
        <v>115</v>
      </c>
      <c r="D941" s="241">
        <v>174.18</v>
      </c>
      <c r="E941" s="56" t="str">
        <f t="shared" si="70"/>
        <v>COTOVELO DE FERRO FUNDIDO MALEÁVEL 45º CLASSE LEVE, DIÂMETRO 80MM (3"), INCLUSIVE PINTURA COM UMA DEMÃO DE PRIMER EPOXI E DUAS DEMÃOS DE TINTA À BASE DE EPOXI NA COR VERMELHA</v>
      </c>
      <c r="F941" s="56" t="str">
        <f t="shared" si="71"/>
        <v>UND</v>
      </c>
      <c r="G941">
        <f t="shared" si="72"/>
        <v>232.09</v>
      </c>
      <c r="H941">
        <f t="shared" si="73"/>
        <v>174.18</v>
      </c>
      <c r="I941">
        <f t="shared" si="74"/>
        <v>174.18</v>
      </c>
    </row>
    <row r="942" spans="1:9" ht="72">
      <c r="A942" s="372">
        <v>160648</v>
      </c>
      <c r="B942" s="241" t="s">
        <v>35688</v>
      </c>
      <c r="C942" s="221" t="s">
        <v>115</v>
      </c>
      <c r="D942" s="241">
        <v>275.25</v>
      </c>
      <c r="E942" s="56" t="str">
        <f t="shared" si="70"/>
        <v>COTOVELO DE FERRO FUNDIDO MALEÁVEL 45º CLASSE LEVE, DIÂMETRO 100MM (4"), INCLUSIVE PINTURA COM UMA DEMÃO DE PRIMER EPOXI E DUAS DEMÃOS DE TINTA À BASE DE EPOXI NA COR VERMELHA</v>
      </c>
      <c r="F942" s="56" t="str">
        <f t="shared" si="71"/>
        <v>UND</v>
      </c>
      <c r="G942">
        <f t="shared" si="72"/>
        <v>366.77</v>
      </c>
      <c r="H942">
        <f t="shared" si="73"/>
        <v>275.25</v>
      </c>
      <c r="I942">
        <f t="shared" si="74"/>
        <v>275.25</v>
      </c>
    </row>
    <row r="943" spans="1:9" ht="72">
      <c r="A943" s="372">
        <v>160649</v>
      </c>
      <c r="B943" s="241" t="s">
        <v>35689</v>
      </c>
      <c r="C943" s="221" t="s">
        <v>115</v>
      </c>
      <c r="D943" s="241">
        <v>468.14</v>
      </c>
      <c r="E943" s="56" t="str">
        <f t="shared" si="70"/>
        <v>VÁLVULA DE RETENÇÃO HORIZONTAL EM BRONZE, TIPO PORTINHOLA DIÂMETRO 2" (50MM), INCLUSIVE PINTURA COM UMA DEMÃO DE PRIMER EPOXI E DUAS DEMÃOS DE TINTA À BASE DE EPOXI NA COR VERMELHA</v>
      </c>
      <c r="F943" s="56" t="str">
        <f t="shared" si="71"/>
        <v>UND</v>
      </c>
      <c r="G943">
        <f t="shared" si="72"/>
        <v>623.79999999999995</v>
      </c>
      <c r="H943">
        <f t="shared" si="73"/>
        <v>468.14</v>
      </c>
      <c r="I943">
        <f t="shared" si="74"/>
        <v>468.14</v>
      </c>
    </row>
    <row r="944" spans="1:9" ht="72">
      <c r="A944" s="372">
        <v>160650</v>
      </c>
      <c r="B944" s="241" t="s">
        <v>35690</v>
      </c>
      <c r="C944" s="221" t="s">
        <v>115</v>
      </c>
      <c r="D944" s="241">
        <v>682.51</v>
      </c>
      <c r="E944" s="56" t="str">
        <f t="shared" si="70"/>
        <v>VÁLVULA DE RETENÇÃO HORIZONTAL EM BRONZE, TIPO PORTINHOLA DIÂMETRO 2.1/2" (65MM), INCLUSIVE PINTURA COM UMA DEMÃO DE PRIMER EPOXI E DUAS DEMÃOS DE TINTA À BASE DE EPOXI NA COR VERMELHA</v>
      </c>
      <c r="F944" s="56" t="str">
        <f t="shared" si="71"/>
        <v>UND</v>
      </c>
      <c r="G944">
        <f t="shared" si="72"/>
        <v>909.44</v>
      </c>
      <c r="H944">
        <f t="shared" si="73"/>
        <v>682.51</v>
      </c>
      <c r="I944">
        <f t="shared" si="74"/>
        <v>682.51</v>
      </c>
    </row>
    <row r="945" spans="1:9" ht="72">
      <c r="A945" s="372">
        <v>160651</v>
      </c>
      <c r="B945" s="241" t="s">
        <v>35691</v>
      </c>
      <c r="C945" s="221" t="s">
        <v>115</v>
      </c>
      <c r="D945" s="241">
        <v>988.78</v>
      </c>
      <c r="E945" s="56" t="str">
        <f t="shared" si="70"/>
        <v>VÁLVULA DE RETENÇÃO HORIZONTAL EM BRONZE, TIPO PORTINHOLA DIÂMETRO 3" (75MM), INCLUSIVE PINTURA COM UMA DEMÃO DE PRIMER EPOXI E DUAS DEMÃOS DE TINTA À BASE DE EPOXI NA COR VERMELHA</v>
      </c>
      <c r="F945" s="56" t="str">
        <f t="shared" si="71"/>
        <v>UND</v>
      </c>
      <c r="G945">
        <f t="shared" si="72"/>
        <v>1317.55</v>
      </c>
      <c r="H945">
        <f t="shared" si="73"/>
        <v>988.78</v>
      </c>
      <c r="I945">
        <f t="shared" si="74"/>
        <v>988.78</v>
      </c>
    </row>
    <row r="946" spans="1:9" ht="72">
      <c r="A946" s="372">
        <v>160652</v>
      </c>
      <c r="B946" s="241" t="s">
        <v>35692</v>
      </c>
      <c r="C946" s="221" t="s">
        <v>115</v>
      </c>
      <c r="D946" s="241">
        <v>1439.19</v>
      </c>
      <c r="E946" s="56" t="str">
        <f t="shared" si="70"/>
        <v>VÁLVULA DE RETENÇÃO HORIZONTAL EM BRONZE, TIPO PORTINHOLA DIÂMETRO 4" (100MM), INCLUSIVE PINTURA COM UMA DEMÃO DE PRIMER EPOXI E DUAS DEMÃOS DE TINTA À BASE DE EPOXI NA COR VERMELHA</v>
      </c>
      <c r="F946" s="56" t="str">
        <f t="shared" si="71"/>
        <v>UND</v>
      </c>
      <c r="G946">
        <f t="shared" si="72"/>
        <v>1917.72</v>
      </c>
      <c r="H946">
        <f t="shared" si="73"/>
        <v>1439.19</v>
      </c>
      <c r="I946">
        <f t="shared" si="74"/>
        <v>1439.19</v>
      </c>
    </row>
    <row r="947" spans="1:9" ht="72">
      <c r="A947" s="372">
        <v>160653</v>
      </c>
      <c r="B947" s="241" t="s">
        <v>35693</v>
      </c>
      <c r="C947" s="221" t="s">
        <v>115</v>
      </c>
      <c r="D947" s="241">
        <v>323.33999999999997</v>
      </c>
      <c r="E947" s="56" t="str">
        <f t="shared" si="70"/>
        <v>VÁLVULA DE RETENÇÃO VERTICAL EM BRONZE, CLASSE 125 DIÂMETRO 2" (50MM), INCLUSIVE PINTURA COM UMA DEMÃO DE PRIMER EPOXI E DUAS DEMÃOS DE TINTA À BASE DE EPOXI NA COR VERMELHA</v>
      </c>
      <c r="F947" s="56" t="str">
        <f t="shared" si="71"/>
        <v>UND</v>
      </c>
      <c r="G947">
        <f t="shared" si="72"/>
        <v>430.85</v>
      </c>
      <c r="H947">
        <f t="shared" si="73"/>
        <v>323.33999999999997</v>
      </c>
      <c r="I947">
        <f t="shared" si="74"/>
        <v>323.33999999999997</v>
      </c>
    </row>
    <row r="948" spans="1:9" ht="72">
      <c r="A948" s="372">
        <v>160654</v>
      </c>
      <c r="B948" s="241" t="s">
        <v>35694</v>
      </c>
      <c r="C948" s="221" t="s">
        <v>115</v>
      </c>
      <c r="D948" s="241">
        <v>494.86</v>
      </c>
      <c r="E948" s="56" t="str">
        <f t="shared" si="70"/>
        <v>VÁLVULA DE RETENÇÃO VERTICAL EM BRONZE, CLASSE 125 DIÂMETRO 2.1/2" (65MM), INCLUSIVE PINTURA COM UMA DEMÃO DE PRIMER EPOXI E DUAS DEMÃOS DE TINTA À BASE DE EPOXI NA COR VERMELHA</v>
      </c>
      <c r="F948" s="56" t="str">
        <f t="shared" si="71"/>
        <v>UND</v>
      </c>
      <c r="G948">
        <f t="shared" si="72"/>
        <v>659.4</v>
      </c>
      <c r="H948">
        <f t="shared" si="73"/>
        <v>494.86</v>
      </c>
      <c r="I948">
        <f t="shared" si="74"/>
        <v>494.86</v>
      </c>
    </row>
    <row r="949" spans="1:9" ht="72">
      <c r="A949" s="372">
        <v>160655</v>
      </c>
      <c r="B949" s="241" t="s">
        <v>35695</v>
      </c>
      <c r="C949" s="221" t="s">
        <v>115</v>
      </c>
      <c r="D949" s="241">
        <v>676.48</v>
      </c>
      <c r="E949" s="56" t="str">
        <f t="shared" si="70"/>
        <v>VÁLVULA DE RETENÇÃO VERTICAL EM BRONZE, CLASSE 125 DIÂMETRO 3" (75MM), INCLUSIVE PINTURA COM UMA DEMÃO DE PRIMER EPOXI E DUAS DEMÃOS DE TINTA À BASE DE EPOXI NA COR VERMELHA</v>
      </c>
      <c r="F949" s="56" t="str">
        <f t="shared" si="71"/>
        <v>UND</v>
      </c>
      <c r="G949">
        <f t="shared" si="72"/>
        <v>901.41</v>
      </c>
      <c r="H949">
        <f t="shared" si="73"/>
        <v>676.48</v>
      </c>
      <c r="I949">
        <f t="shared" si="74"/>
        <v>676.48</v>
      </c>
    </row>
    <row r="950" spans="1:9" ht="72">
      <c r="A950" s="372">
        <v>160656</v>
      </c>
      <c r="B950" s="241" t="s">
        <v>35696</v>
      </c>
      <c r="C950" s="221" t="s">
        <v>115</v>
      </c>
      <c r="D950" s="241">
        <v>1158.17</v>
      </c>
      <c r="E950" s="56" t="str">
        <f t="shared" si="70"/>
        <v>VÁLVULA DE RETENÇÃO VERTICAL EM BRONZE, CLASSE 125 DIÂMETRO 4" (100MM), INCLUSIVE PINTURA COM UMA DEMÃO DE PRIMER EPOXI E DUAS DEMÃOS DE TINTA À BASE DE EPOXI NA COR VERMELHA</v>
      </c>
      <c r="F950" s="56" t="str">
        <f t="shared" si="71"/>
        <v>UND</v>
      </c>
      <c r="G950">
        <f t="shared" si="72"/>
        <v>1543.26</v>
      </c>
      <c r="H950">
        <f t="shared" si="73"/>
        <v>1158.17</v>
      </c>
      <c r="I950">
        <f t="shared" si="74"/>
        <v>1158.17</v>
      </c>
    </row>
    <row r="951" spans="1:9" ht="57.6">
      <c r="A951" s="372">
        <v>160657</v>
      </c>
      <c r="B951" s="241" t="s">
        <v>23582</v>
      </c>
      <c r="C951" s="221" t="s">
        <v>115</v>
      </c>
      <c r="D951" s="241">
        <v>191.27</v>
      </c>
      <c r="E951" s="56" t="str">
        <f t="shared" si="70"/>
        <v>MANÔMETRO COM CAIXA E ANEL TIPO CRAVADO EM AÇO INOX, MOSTRADOR DUPLO 63 MM ESCALAS DE 0 À 4 KGF/CM2 E 0 À 60 PSI, SAÍDA TRASEIRA DE 1/4" BSP</v>
      </c>
      <c r="F951" s="56" t="str">
        <f t="shared" si="71"/>
        <v>UND</v>
      </c>
      <c r="G951">
        <f t="shared" si="72"/>
        <v>254.87</v>
      </c>
      <c r="H951">
        <f t="shared" si="73"/>
        <v>191.27</v>
      </c>
      <c r="I951">
        <f t="shared" si="74"/>
        <v>191.27</v>
      </c>
    </row>
    <row r="952" spans="1:9" ht="57.6">
      <c r="A952" s="372">
        <v>160658</v>
      </c>
      <c r="B952" s="241" t="s">
        <v>23583</v>
      </c>
      <c r="C952" s="221" t="s">
        <v>115</v>
      </c>
      <c r="D952" s="241">
        <v>309.07</v>
      </c>
      <c r="E952" s="56" t="str">
        <f t="shared" si="70"/>
        <v>MANÔMETRO COM CAIXA E ANEL TIPO CRAVADO EM AÇO INOX, MOSTRADOR DUPLO 100 MM ESCALAS DE 0 À 7 KGF/CM2 E 0 À 100 PSI, SAÍDA TRASEIRA DE 1/4" BSP</v>
      </c>
      <c r="F952" s="56" t="str">
        <f t="shared" si="71"/>
        <v>UND</v>
      </c>
      <c r="G952">
        <f t="shared" si="72"/>
        <v>411.84</v>
      </c>
      <c r="H952">
        <f t="shared" si="73"/>
        <v>309.07</v>
      </c>
      <c r="I952">
        <f t="shared" si="74"/>
        <v>309.07</v>
      </c>
    </row>
    <row r="953" spans="1:9" ht="57.6">
      <c r="A953" s="372">
        <v>160659</v>
      </c>
      <c r="B953" s="241" t="s">
        <v>23584</v>
      </c>
      <c r="C953" s="221" t="s">
        <v>115</v>
      </c>
      <c r="D953" s="241">
        <v>363.85</v>
      </c>
      <c r="E953" s="56" t="str">
        <f t="shared" si="70"/>
        <v>MANÔMETRO COM CAIXA E ANEL TIPO CRAVADO EM AÇO INOX, MOSTRADOR DUPLO 100 MM ESCALAS DE 0 À 10 KGF/CM2 E 0 À 150 PSI, SAÍDA TRASEIRA DE 1/4" BSP</v>
      </c>
      <c r="F953" s="56" t="str">
        <f t="shared" si="71"/>
        <v>UND</v>
      </c>
      <c r="G953">
        <f t="shared" si="72"/>
        <v>484.83</v>
      </c>
      <c r="H953">
        <f t="shared" si="73"/>
        <v>363.85</v>
      </c>
      <c r="I953">
        <f t="shared" si="74"/>
        <v>363.85</v>
      </c>
    </row>
    <row r="954" spans="1:9" ht="43.2">
      <c r="A954" s="372">
        <v>160660</v>
      </c>
      <c r="B954" s="241" t="s">
        <v>23585</v>
      </c>
      <c r="C954" s="221" t="s">
        <v>115</v>
      </c>
      <c r="D954" s="241">
        <v>136.19</v>
      </c>
      <c r="E954" s="56" t="str">
        <f t="shared" si="70"/>
        <v>PRESSOSTATO 80 / 120 PSI COM VÁLVULA, CAPACIDADE ELÉTRICA ATÉ 5CV EM 250VCA, MARGIRIUS OU EQUIVALENTE</v>
      </c>
      <c r="F954" s="56" t="str">
        <f t="shared" si="71"/>
        <v>UND</v>
      </c>
      <c r="G954">
        <f t="shared" si="72"/>
        <v>181.47</v>
      </c>
      <c r="H954">
        <f t="shared" si="73"/>
        <v>136.19</v>
      </c>
      <c r="I954">
        <f t="shared" si="74"/>
        <v>136.19</v>
      </c>
    </row>
    <row r="955" spans="1:9" ht="43.2">
      <c r="A955" s="372">
        <v>160661</v>
      </c>
      <c r="B955" s="241" t="s">
        <v>23586</v>
      </c>
      <c r="C955" s="221" t="s">
        <v>115</v>
      </c>
      <c r="D955" s="241">
        <v>136.19</v>
      </c>
      <c r="E955" s="56" t="str">
        <f t="shared" si="70"/>
        <v>PRESSOSTATO 100 / 150 PSI SEM VÁLVULA, CAPACIDADE ELÉTRICA ATÉ 5CV EM 250VCA, MARGIRIUS OU EQUIVALENTE</v>
      </c>
      <c r="F955" s="56" t="str">
        <f t="shared" si="71"/>
        <v>UND</v>
      </c>
      <c r="G955">
        <f t="shared" si="72"/>
        <v>181.47</v>
      </c>
      <c r="H955">
        <f t="shared" si="73"/>
        <v>136.19</v>
      </c>
      <c r="I955">
        <f t="shared" si="74"/>
        <v>136.19</v>
      </c>
    </row>
    <row r="956" spans="1:9" ht="43.2">
      <c r="A956" s="372">
        <v>160662</v>
      </c>
      <c r="B956" s="241" t="s">
        <v>35697</v>
      </c>
      <c r="C956" s="221" t="s">
        <v>115</v>
      </c>
      <c r="D956" s="241">
        <v>488.86</v>
      </c>
      <c r="E956" s="56" t="str">
        <f t="shared" si="70"/>
        <v>TANQUE DE PRESSURIZAÇÃO/CILINDRO DE PRESSÃO, CAPACIDADE DE 10 LITROS, FORNECIMENTO (VAZIO) E INSTALAÇÃO, EXCLUSIVE CONEXÕES</v>
      </c>
      <c r="F956" s="56" t="str">
        <f t="shared" si="71"/>
        <v>UND</v>
      </c>
      <c r="G956">
        <f t="shared" si="72"/>
        <v>651.41</v>
      </c>
      <c r="H956">
        <f t="shared" si="73"/>
        <v>488.86</v>
      </c>
      <c r="I956">
        <f t="shared" si="74"/>
        <v>488.86</v>
      </c>
    </row>
    <row r="957" spans="1:9" ht="57.6">
      <c r="A957" s="372">
        <v>160663</v>
      </c>
      <c r="B957" s="241" t="s">
        <v>35698</v>
      </c>
      <c r="C957" s="221" t="s">
        <v>115</v>
      </c>
      <c r="D957" s="241">
        <v>597.15</v>
      </c>
      <c r="E957" s="56" t="str">
        <f t="shared" si="70"/>
        <v>FORNECIMENTO E INSTALAÇÃO DE BATERIA ESTACIONÁRIA 12V - 60 AH, PARA CENTRAIS DE ALARME / ILUMINAÇÃO DE EMERGÊNCIA, MOURA OU EQUIVALENTE</v>
      </c>
      <c r="F957" s="56" t="str">
        <f t="shared" si="71"/>
        <v>UND</v>
      </c>
      <c r="G957">
        <f t="shared" si="72"/>
        <v>795.7</v>
      </c>
      <c r="H957">
        <f t="shared" si="73"/>
        <v>597.15</v>
      </c>
      <c r="I957">
        <f t="shared" si="74"/>
        <v>597.15</v>
      </c>
    </row>
    <row r="958" spans="1:9" ht="158.4">
      <c r="A958" s="372">
        <v>160665</v>
      </c>
      <c r="B958" s="241" t="s">
        <v>35699</v>
      </c>
      <c r="C958" s="221" t="s">
        <v>115</v>
      </c>
      <c r="D958" s="241">
        <v>2643.07</v>
      </c>
      <c r="E958" s="56" t="str">
        <f t="shared" si="70"/>
        <v>CONJUNTO COMPLETO DE PORTA CORTA-FOGO SIMPLES PARA SAÍDA DE EMERGÊNCIA DIM.: 100X210X5CM, CONFORME ABNT NBR 11742, CLASSE P-90, CHAPA DE AÇO GALVANIZADA 24 COM REVESTIMENTO INTERNO DE FIBRA DE MANTA CERÂMICA DE BAIXA DENSIDADE, FECHAMENTO AUTOMÁTICO, INCLUSIVE CONTRA-MARCO, TRÊS (3) DOBRADIÇAS TIPO MOLA COM PARAFUSOS SEXTAVADOS, BARRA ANTIPÂNICO E FECHADURA TIPO TRINCO SOBREPOR SEM CHAVE, SINALIZAÇÃO E PINTURA DE ACABAMENTO</v>
      </c>
      <c r="F958" s="56" t="str">
        <f t="shared" si="71"/>
        <v>UND</v>
      </c>
      <c r="G958">
        <f t="shared" si="72"/>
        <v>3521.89</v>
      </c>
      <c r="H958">
        <f t="shared" si="73"/>
        <v>2643.07</v>
      </c>
      <c r="I958">
        <f t="shared" si="74"/>
        <v>2643.07</v>
      </c>
    </row>
    <row r="959" spans="1:9" ht="129.6">
      <c r="A959" s="372">
        <v>160671</v>
      </c>
      <c r="B959" s="241" t="s">
        <v>35700</v>
      </c>
      <c r="C959" s="221" t="s">
        <v>115</v>
      </c>
      <c r="D959" s="241">
        <v>2319.8200000000002</v>
      </c>
      <c r="E959" s="56" t="str">
        <f t="shared" si="70"/>
        <v>ABRIGO DE PAREDE PARA HIDRANTE 80X90X17CM SOBREPOR, EM CHAPA DE AÇO COM PINTURA ELETROSTÁTICA VERMELHA, VISOR TRANSPARENTE E INSCRIÇÃO "HIDRANTE", REGISTRO GLOBO ANGULAR 45º 2.1/2? (63MM), ADAPTADOR EM LATÃO STORZ ENGATE RÁPIDO 2.1/2?, 2 (DUAS) MANGUEIRAS DE INCÊNDIO 15M ?2.1/2? - TIPO 2 E ESGUICHO REGULÁVEL EM LATÃO 2.1/2?, FORNECIMENTO E INSTALAÇÃO</v>
      </c>
      <c r="F959" s="56" t="str">
        <f t="shared" si="71"/>
        <v>UND</v>
      </c>
      <c r="G959">
        <f t="shared" si="72"/>
        <v>3091.16</v>
      </c>
      <c r="H959">
        <f t="shared" si="73"/>
        <v>2319.8200000000002</v>
      </c>
      <c r="I959">
        <f t="shared" si="74"/>
        <v>2319.8200000000002</v>
      </c>
    </row>
    <row r="960" spans="1:9" ht="72">
      <c r="A960" s="372">
        <v>160673</v>
      </c>
      <c r="B960" s="241" t="s">
        <v>35701</v>
      </c>
      <c r="C960" s="221" t="s">
        <v>115</v>
      </c>
      <c r="D960" s="241">
        <v>2730.15</v>
      </c>
      <c r="E960" s="56" t="str">
        <f t="shared" si="70"/>
        <v>CENTRAL DE ALARME DE INCÊNDIO ENDEREÇÁVEL, COM CAPACIDADE PARA ATÉ 256 ENDEREÇOS, DISTRIBUÍDOS EM 4 LAÇOS, INCLUINDO FORNECIMENTO, INSTALAÇÃO E CONFIGURAÇÃO COMPLETA</v>
      </c>
      <c r="F960" s="56" t="str">
        <f t="shared" si="71"/>
        <v>UND</v>
      </c>
      <c r="G960">
        <f t="shared" si="72"/>
        <v>3637.92</v>
      </c>
      <c r="H960">
        <f t="shared" si="73"/>
        <v>2730.15</v>
      </c>
      <c r="I960">
        <f t="shared" si="74"/>
        <v>2730.15</v>
      </c>
    </row>
    <row r="961" spans="1:9" ht="57.6">
      <c r="A961" s="372">
        <v>160674</v>
      </c>
      <c r="B961" s="241" t="s">
        <v>35702</v>
      </c>
      <c r="C961" s="221" t="s">
        <v>115</v>
      </c>
      <c r="D961" s="241">
        <v>144.56</v>
      </c>
      <c r="E961" s="56" t="str">
        <f t="shared" ref="E961:E1024" si="75">UPPER(B961)</f>
        <v>ACIONADOR MANUAL DE ALARME DE INCÊNDIO ENDEREÇÁVEL, TIPO QUEBRA-VIDRO, NA COR VERMELHA, INCLUSO MARTELO ? FORNECIMENTO, INSTALAÇÃO E CONFIGURAÇÃO</v>
      </c>
      <c r="F961" s="56" t="str">
        <f t="shared" ref="F961:F1024" si="76">UPPER(C961)</f>
        <v>UND</v>
      </c>
      <c r="G961">
        <f t="shared" si="72"/>
        <v>192.63</v>
      </c>
      <c r="H961">
        <f t="shared" si="73"/>
        <v>144.56</v>
      </c>
      <c r="I961">
        <f t="shared" si="74"/>
        <v>144.56</v>
      </c>
    </row>
    <row r="962" spans="1:9" ht="43.2">
      <c r="A962" s="372">
        <v>160675</v>
      </c>
      <c r="B962" s="241" t="s">
        <v>35703</v>
      </c>
      <c r="C962" s="221" t="s">
        <v>115</v>
      </c>
      <c r="D962" s="241">
        <v>196.56</v>
      </c>
      <c r="E962" s="56" t="str">
        <f t="shared" si="75"/>
        <v>DETECTOR DE FUMAÇA ÓPTICO (FOTOELÉTRICO) ENDEREÇÁVEL, ALIMENTAÇÃO BIVOLT 12/24V ? FORNECIMENTO, INSTALAÇÃO E CONFIGURAÇÃO</v>
      </c>
      <c r="F962" s="56" t="str">
        <f t="shared" si="76"/>
        <v>UND</v>
      </c>
      <c r="G962">
        <f t="shared" si="72"/>
        <v>261.92</v>
      </c>
      <c r="H962">
        <f t="shared" si="73"/>
        <v>196.56</v>
      </c>
      <c r="I962">
        <f t="shared" si="74"/>
        <v>196.56</v>
      </c>
    </row>
    <row r="963" spans="1:9" ht="28.8">
      <c r="A963" s="372">
        <v>160676</v>
      </c>
      <c r="B963" s="241" t="s">
        <v>35704</v>
      </c>
      <c r="C963" s="221" t="s">
        <v>115</v>
      </c>
      <c r="D963" s="241">
        <v>85.19</v>
      </c>
      <c r="E963" s="56" t="str">
        <f t="shared" si="75"/>
        <v>SIRENE ELETRÔNICA MÉDIA TIPO CORNETA EM ABS, IP52 ? 12 E 24V ? FORNECIMENTO E INSTALAÇÃO</v>
      </c>
      <c r="F963" s="56" t="str">
        <f t="shared" si="76"/>
        <v>UND</v>
      </c>
      <c r="G963">
        <f t="shared" si="72"/>
        <v>113.52</v>
      </c>
      <c r="H963">
        <f t="shared" si="73"/>
        <v>85.19</v>
      </c>
      <c r="I963">
        <f t="shared" si="74"/>
        <v>85.19</v>
      </c>
    </row>
    <row r="964" spans="1:9">
      <c r="A964" s="371">
        <v>1607</v>
      </c>
      <c r="B964" s="240" t="s">
        <v>1543</v>
      </c>
      <c r="C964" s="221"/>
      <c r="D964" s="241"/>
      <c r="E964" s="56" t="str">
        <f t="shared" si="75"/>
        <v>DEPÓSITO DE GÁS</v>
      </c>
      <c r="F964" s="56" t="str">
        <f t="shared" si="76"/>
        <v/>
      </c>
      <c r="G964">
        <f t="shared" si="72"/>
        <v>0</v>
      </c>
      <c r="H964">
        <f t="shared" si="73"/>
        <v>0</v>
      </c>
      <c r="I964">
        <f t="shared" si="74"/>
        <v>0</v>
      </c>
    </row>
    <row r="965" spans="1:9" ht="43.2">
      <c r="A965" s="372">
        <v>160702</v>
      </c>
      <c r="B965" s="241" t="s">
        <v>1544</v>
      </c>
      <c r="C965" s="221" t="s">
        <v>110</v>
      </c>
      <c r="D965" s="241">
        <v>7.82</v>
      </c>
      <c r="E965" s="56" t="str">
        <f t="shared" si="75"/>
        <v>CHAPISCO COM ARGAMASSA DE CIMENTO E AREIA MÉDIA OU GROSSA SEM PENEIRAR NO TRAÇO 1:3, ESPESSURA 5 MM</v>
      </c>
      <c r="F965" s="56" t="str">
        <f t="shared" si="76"/>
        <v>M2</v>
      </c>
      <c r="G965">
        <f t="shared" si="72"/>
        <v>10.42</v>
      </c>
      <c r="H965">
        <f t="shared" si="73"/>
        <v>7.82</v>
      </c>
      <c r="I965">
        <f t="shared" si="74"/>
        <v>7.82</v>
      </c>
    </row>
    <row r="966" spans="1:9" ht="57.6">
      <c r="A966" s="372">
        <v>160704</v>
      </c>
      <c r="B966" s="241" t="s">
        <v>1545</v>
      </c>
      <c r="C966" s="221" t="s">
        <v>1061</v>
      </c>
      <c r="D966" s="241">
        <v>2690.11</v>
      </c>
      <c r="E966" s="56" t="str">
        <f t="shared" si="75"/>
        <v>FORNECIMENTO, PREPARO E APLICAÇÃO DE CONCRETO ARMADO FCK=15 MPA, INCLUSIVE FORMA, ARMAÇÃO E DESFORMA PARA LAJES MACIÇAS</v>
      </c>
      <c r="F966" s="56" t="str">
        <f t="shared" si="76"/>
        <v>M3</v>
      </c>
      <c r="G966">
        <f t="shared" si="72"/>
        <v>3584.57</v>
      </c>
      <c r="H966">
        <f t="shared" si="73"/>
        <v>2690.11</v>
      </c>
      <c r="I966">
        <f t="shared" si="74"/>
        <v>2690.11</v>
      </c>
    </row>
    <row r="967" spans="1:9" ht="43.2">
      <c r="A967" s="372">
        <v>160707</v>
      </c>
      <c r="B967" s="241" t="s">
        <v>1546</v>
      </c>
      <c r="C967" s="221" t="s">
        <v>110</v>
      </c>
      <c r="D967" s="594">
        <v>28.79</v>
      </c>
      <c r="E967" s="56" t="str">
        <f t="shared" si="75"/>
        <v>PINTURA COM TINTA LÁTEX PVA SUVINIL, CORAL OU METALATEX, INCLUSIVE SELADOR EM PAREDES INTERNAS E FORROS A TRÊS DEMÃOS</v>
      </c>
      <c r="F967" s="56" t="str">
        <f t="shared" si="76"/>
        <v>M2</v>
      </c>
      <c r="G967">
        <f t="shared" si="72"/>
        <v>38.36</v>
      </c>
      <c r="H967">
        <f t="shared" si="73"/>
        <v>28.79</v>
      </c>
      <c r="I967">
        <f t="shared" si="74"/>
        <v>28.79</v>
      </c>
    </row>
    <row r="968" spans="1:9" ht="43.2">
      <c r="A968" s="372">
        <v>160708</v>
      </c>
      <c r="B968" s="241" t="s">
        <v>1547</v>
      </c>
      <c r="C968" s="221" t="s">
        <v>110</v>
      </c>
      <c r="D968" s="594">
        <v>29.46</v>
      </c>
      <c r="E968" s="56" t="str">
        <f t="shared" si="75"/>
        <v>PINTURA COM TINTA ACRÍLICA SUVINIL, CORAL OU METALATEX, INCLUSIVE SELADOR ACRÍLICO, EM PAREDES EXTERNAS A TRÊS DEMÃOS</v>
      </c>
      <c r="F968" s="56" t="str">
        <f t="shared" si="76"/>
        <v>M2</v>
      </c>
      <c r="G968">
        <f t="shared" ref="G968:G1031" si="77">ROUND(H968*(1+$G$1),2)</f>
        <v>39.26</v>
      </c>
      <c r="H968">
        <f t="shared" ref="H968:H1031" si="78">I968</f>
        <v>29.46</v>
      </c>
      <c r="I968">
        <f t="shared" ref="I968:I1031" si="79">ROUND(D968/(1+$E$1),2)</f>
        <v>29.46</v>
      </c>
    </row>
    <row r="969" spans="1:9" ht="28.8">
      <c r="A969" s="372">
        <v>160709</v>
      </c>
      <c r="B969" s="241" t="s">
        <v>1548</v>
      </c>
      <c r="C969" s="221" t="s">
        <v>110</v>
      </c>
      <c r="D969" s="594">
        <v>1517.54</v>
      </c>
      <c r="E969" s="56" t="str">
        <f t="shared" si="75"/>
        <v>ESTRADO DE MADEIRA DE LEI TIPO PARAJU OU EQUIVALENTE CONFORME DETALHE EM PROJETO</v>
      </c>
      <c r="F969" s="56" t="str">
        <f t="shared" si="76"/>
        <v>M2</v>
      </c>
      <c r="G969">
        <f t="shared" si="77"/>
        <v>2022.12</v>
      </c>
      <c r="H969">
        <f t="shared" si="78"/>
        <v>1517.54</v>
      </c>
      <c r="I969">
        <f t="shared" si="79"/>
        <v>1517.54</v>
      </c>
    </row>
    <row r="970" spans="1:9" ht="72">
      <c r="A970" s="372">
        <v>160710</v>
      </c>
      <c r="B970" s="241" t="s">
        <v>1549</v>
      </c>
      <c r="C970" s="221" t="s">
        <v>110</v>
      </c>
      <c r="D970" s="594">
        <v>76.88</v>
      </c>
      <c r="E970" s="56" t="str">
        <f t="shared" si="75"/>
        <v>ALVENARIA DE BLOCOS DE CONCRETO 9X19X39 C/ RESIST. MIN COMP. 2.5MPA, ASSENTADO C/ ARGAMASSA DE CIMENTO, CAL HIDRATADA CH1 E AREIA TRAÇO 1:0,5:8, ESP.JUNTAS 10MM E ESP. PAREDES, SEM REVESTIMENTO, 9CM</v>
      </c>
      <c r="F970" s="56" t="str">
        <f t="shared" si="76"/>
        <v>M2</v>
      </c>
      <c r="G970">
        <f t="shared" si="77"/>
        <v>102.44</v>
      </c>
      <c r="H970">
        <f t="shared" si="78"/>
        <v>76.88</v>
      </c>
      <c r="I970">
        <f t="shared" si="79"/>
        <v>76.88</v>
      </c>
    </row>
    <row r="971" spans="1:9" ht="43.2">
      <c r="A971" s="372">
        <v>160711</v>
      </c>
      <c r="B971" s="241" t="s">
        <v>1550</v>
      </c>
      <c r="C971" s="221" t="s">
        <v>110</v>
      </c>
      <c r="D971" s="594">
        <v>65.69</v>
      </c>
      <c r="E971" s="56" t="str">
        <f t="shared" si="75"/>
        <v>REBOCO TIPO PAULISTA COM ARGAMASSA DE CIMENTO, CAL HIDRATADA CH1 E AREIA NO TRAÇO 1:0,5:6, ESPESSURA 25MM</v>
      </c>
      <c r="F971" s="56" t="str">
        <f t="shared" si="76"/>
        <v>M2</v>
      </c>
      <c r="G971">
        <f t="shared" si="77"/>
        <v>87.53</v>
      </c>
      <c r="H971">
        <f t="shared" si="78"/>
        <v>65.69</v>
      </c>
      <c r="I971">
        <f t="shared" si="79"/>
        <v>65.69</v>
      </c>
    </row>
    <row r="972" spans="1:9" ht="43.2">
      <c r="A972" s="372">
        <v>160712</v>
      </c>
      <c r="B972" s="241" t="s">
        <v>1551</v>
      </c>
      <c r="C972" s="221" t="s">
        <v>110</v>
      </c>
      <c r="D972" s="241">
        <v>235.4</v>
      </c>
      <c r="E972" s="56" t="str">
        <f t="shared" si="75"/>
        <v>TELA EM ARAME GALVANIZADO DE 1"E FIO 10 PARA VENTILAÇÃO DE CASA DE GÁS, CHUMBADA COM ARGAMASSA DE CIMENTO, CAL E AREIA</v>
      </c>
      <c r="F972" s="56" t="str">
        <f t="shared" si="76"/>
        <v>M2</v>
      </c>
      <c r="G972">
        <f t="shared" si="77"/>
        <v>313.67</v>
      </c>
      <c r="H972">
        <f t="shared" si="78"/>
        <v>235.4</v>
      </c>
      <c r="I972">
        <f t="shared" si="79"/>
        <v>235.4</v>
      </c>
    </row>
    <row r="973" spans="1:9" ht="57.6">
      <c r="A973" s="372">
        <v>160713</v>
      </c>
      <c r="B973" s="241" t="s">
        <v>1552</v>
      </c>
      <c r="C973" s="221" t="s">
        <v>110</v>
      </c>
      <c r="D973" s="594">
        <v>677.17</v>
      </c>
      <c r="E973" s="56" t="str">
        <f t="shared" si="75"/>
        <v>PORTA DE CORRER DE CHAPA GALVANIZADA Nº 14 - PINTURA COM ESMALTE SINTETICO ACETINADO SOBRE ZARCÃO, COM TELA QUEBRA CHAMA EM MALHA 2 A 5MM</v>
      </c>
      <c r="F973" s="56" t="str">
        <f t="shared" si="76"/>
        <v>M2</v>
      </c>
      <c r="G973">
        <f t="shared" si="77"/>
        <v>902.33</v>
      </c>
      <c r="H973">
        <f t="shared" si="78"/>
        <v>677.17</v>
      </c>
      <c r="I973">
        <f t="shared" si="79"/>
        <v>677.17</v>
      </c>
    </row>
    <row r="974" spans="1:9" ht="28.8">
      <c r="A974" s="372">
        <v>160714</v>
      </c>
      <c r="B974" s="241" t="s">
        <v>1553</v>
      </c>
      <c r="C974" s="221" t="s">
        <v>110</v>
      </c>
      <c r="D974" s="594">
        <v>85.94</v>
      </c>
      <c r="E974" s="56" t="str">
        <f t="shared" si="75"/>
        <v>LASTRO REGULARIZADO E IMPERMEABILIZADO DE CONCRETO NÃO ESTRUTURAL, ESP. DE 8CM</v>
      </c>
      <c r="F974" s="56" t="str">
        <f t="shared" si="76"/>
        <v>M2</v>
      </c>
      <c r="G974">
        <f t="shared" si="77"/>
        <v>114.52</v>
      </c>
      <c r="H974">
        <f t="shared" si="78"/>
        <v>85.94</v>
      </c>
      <c r="I974">
        <f t="shared" si="79"/>
        <v>85.94</v>
      </c>
    </row>
    <row r="975" spans="1:9" ht="86.4">
      <c r="A975" s="372">
        <v>160715</v>
      </c>
      <c r="B975" s="241" t="s">
        <v>27302</v>
      </c>
      <c r="C975" s="221" t="s">
        <v>110</v>
      </c>
      <c r="D975" s="594">
        <v>329.77</v>
      </c>
      <c r="E975" s="56" t="str">
        <f t="shared" si="75"/>
        <v>INDICE DE IMPERM.C/ MANTA ASFÁLTICA ATENDENDO À NORMA 9952, ASFALTO POLIMERIZADO ESP.3MM, REFORÇADA COM FIO INT. POLIETILENO, REG. BASE COM ARG. 1:4 ESP MIN 15MM, PROTEÇÃO MECÂNICA ARG. 1:4 ESP. 20MM, IMPRIMAÇÃO E JUNTAS DE DILAT</v>
      </c>
      <c r="F975" s="56" t="str">
        <f t="shared" si="76"/>
        <v>M2</v>
      </c>
      <c r="G975">
        <f t="shared" si="77"/>
        <v>439.42</v>
      </c>
      <c r="H975">
        <f t="shared" si="78"/>
        <v>329.77</v>
      </c>
      <c r="I975">
        <f t="shared" si="79"/>
        <v>329.77</v>
      </c>
    </row>
    <row r="976" spans="1:9" ht="43.2">
      <c r="A976" s="372">
        <v>160716</v>
      </c>
      <c r="B976" s="241" t="s">
        <v>1554</v>
      </c>
      <c r="C976" s="221" t="s">
        <v>1061</v>
      </c>
      <c r="D976" s="241">
        <v>725.67</v>
      </c>
      <c r="E976" s="56" t="str">
        <f t="shared" si="75"/>
        <v>FORNECIMENTO, PREPARO E APLICAÇÃO DE CONCRETO FCK = 15MPA (BRITA 1 E 2) - (5% DE PERDAS)</v>
      </c>
      <c r="F976" s="56" t="str">
        <f t="shared" si="76"/>
        <v>M3</v>
      </c>
      <c r="G976">
        <f t="shared" si="77"/>
        <v>966.96</v>
      </c>
      <c r="H976">
        <f t="shared" si="78"/>
        <v>725.67</v>
      </c>
      <c r="I976">
        <f t="shared" si="79"/>
        <v>725.67</v>
      </c>
    </row>
    <row r="977" spans="1:9" ht="43.2">
      <c r="A977" s="372">
        <v>160718</v>
      </c>
      <c r="B977" s="241" t="s">
        <v>1555</v>
      </c>
      <c r="C977" s="221" t="s">
        <v>110</v>
      </c>
      <c r="D977" s="241">
        <v>26.6</v>
      </c>
      <c r="E977" s="56" t="str">
        <f t="shared" si="75"/>
        <v>PINTURA COM TINTA ESMALTE SINTÉTICO SUVINIL, CORAL OU METALATEX A DUAS DEMÃOS, INCLUSIVE FUNDO ANTI CORROSIVO A UMA DEMÃO, EM METAL</v>
      </c>
      <c r="F977" s="56" t="str">
        <f t="shared" si="76"/>
        <v>M2</v>
      </c>
      <c r="G977">
        <f t="shared" si="77"/>
        <v>35.44</v>
      </c>
      <c r="H977">
        <f t="shared" si="78"/>
        <v>26.6</v>
      </c>
      <c r="I977">
        <f t="shared" si="79"/>
        <v>26.6</v>
      </c>
    </row>
    <row r="978" spans="1:9">
      <c r="A978" s="372">
        <v>1608</v>
      </c>
      <c r="B978" s="241" t="s">
        <v>23587</v>
      </c>
      <c r="C978" s="221"/>
      <c r="D978" s="594"/>
      <c r="E978" s="56" t="str">
        <f t="shared" si="75"/>
        <v>INSTALAÇÕES DE REDE LOGICA</v>
      </c>
      <c r="F978" s="56" t="str">
        <f t="shared" si="76"/>
        <v/>
      </c>
      <c r="G978">
        <f t="shared" si="77"/>
        <v>0</v>
      </c>
      <c r="H978">
        <f t="shared" si="78"/>
        <v>0</v>
      </c>
      <c r="I978">
        <f t="shared" si="79"/>
        <v>0</v>
      </c>
    </row>
    <row r="979" spans="1:9" ht="28.8">
      <c r="A979" s="372">
        <v>160806</v>
      </c>
      <c r="B979" s="241" t="s">
        <v>14921</v>
      </c>
      <c r="C979" s="221" t="s">
        <v>115</v>
      </c>
      <c r="D979" s="241">
        <v>23.99</v>
      </c>
      <c r="E979" s="56" t="str">
        <f t="shared" si="75"/>
        <v>ESPELHO 4" X 2" COM CONECTOR RJ 45 FÊMEA CAT. 5E</v>
      </c>
      <c r="F979" s="56" t="str">
        <f t="shared" si="76"/>
        <v>UND</v>
      </c>
      <c r="G979">
        <f t="shared" si="77"/>
        <v>31.97</v>
      </c>
      <c r="H979">
        <f t="shared" si="78"/>
        <v>23.99</v>
      </c>
      <c r="I979">
        <f t="shared" si="79"/>
        <v>23.99</v>
      </c>
    </row>
    <row r="980" spans="1:9">
      <c r="A980" s="372">
        <v>160807</v>
      </c>
      <c r="B980" s="241" t="s">
        <v>1556</v>
      </c>
      <c r="C980" s="221" t="s">
        <v>115</v>
      </c>
      <c r="D980" s="594">
        <v>12.61</v>
      </c>
      <c r="E980" s="56" t="str">
        <f t="shared" si="75"/>
        <v>CONECTOR RJ 45 MACHO</v>
      </c>
      <c r="F980" s="56" t="str">
        <f t="shared" si="76"/>
        <v>UND</v>
      </c>
      <c r="G980">
        <f t="shared" si="77"/>
        <v>16.8</v>
      </c>
      <c r="H980">
        <f t="shared" si="78"/>
        <v>12.61</v>
      </c>
      <c r="I980">
        <f t="shared" si="79"/>
        <v>12.61</v>
      </c>
    </row>
    <row r="981" spans="1:9" ht="28.8">
      <c r="A981" s="372">
        <v>160808</v>
      </c>
      <c r="B981" s="241" t="s">
        <v>14922</v>
      </c>
      <c r="C981" s="221" t="s">
        <v>112</v>
      </c>
      <c r="D981" s="594">
        <v>4.45</v>
      </c>
      <c r="E981" s="56" t="str">
        <f t="shared" si="75"/>
        <v>FORNECIMENTO E INSTALAÇÃO DE CABO DE REDE PAR TRANÇADO 4 PARES CATEGORIA 5E</v>
      </c>
      <c r="F981" s="56" t="str">
        <f t="shared" si="76"/>
        <v>M</v>
      </c>
      <c r="G981">
        <f t="shared" si="77"/>
        <v>5.93</v>
      </c>
      <c r="H981">
        <f t="shared" si="78"/>
        <v>4.45</v>
      </c>
      <c r="I981">
        <f t="shared" si="79"/>
        <v>4.45</v>
      </c>
    </row>
    <row r="982" spans="1:9" ht="28.8">
      <c r="A982" s="372">
        <v>160809</v>
      </c>
      <c r="B982" s="241" t="s">
        <v>23588</v>
      </c>
      <c r="C982" s="221" t="s">
        <v>115</v>
      </c>
      <c r="D982" s="594">
        <v>460.75</v>
      </c>
      <c r="E982" s="56" t="str">
        <f t="shared" si="75"/>
        <v>FORNECIMENTO E INSTALAÇÃO DE MINI RACK DE PAREDE PADRÃO 19" - 06 U´S X 470MM</v>
      </c>
      <c r="F982" s="56" t="str">
        <f t="shared" si="76"/>
        <v>UND</v>
      </c>
      <c r="G982">
        <f t="shared" si="77"/>
        <v>613.95000000000005</v>
      </c>
      <c r="H982">
        <f t="shared" si="78"/>
        <v>460.75</v>
      </c>
      <c r="I982">
        <f t="shared" si="79"/>
        <v>460.75</v>
      </c>
    </row>
    <row r="983" spans="1:9" ht="28.8">
      <c r="A983" s="372">
        <v>160810</v>
      </c>
      <c r="B983" s="241" t="s">
        <v>23589</v>
      </c>
      <c r="C983" s="221" t="s">
        <v>115</v>
      </c>
      <c r="D983" s="594">
        <v>504.03</v>
      </c>
      <c r="E983" s="56" t="str">
        <f t="shared" si="75"/>
        <v>FORNECIMENTO E INSTALAÇÃO DE MINI RACK DE PAREDE PADRÃO 19" - 08 U´S X 470MM</v>
      </c>
      <c r="F983" s="56" t="str">
        <f t="shared" si="76"/>
        <v>UND</v>
      </c>
      <c r="G983">
        <f t="shared" si="77"/>
        <v>671.62</v>
      </c>
      <c r="H983">
        <f t="shared" si="78"/>
        <v>504.03</v>
      </c>
      <c r="I983">
        <f t="shared" si="79"/>
        <v>504.03</v>
      </c>
    </row>
    <row r="984" spans="1:9" ht="28.8">
      <c r="A984" s="372">
        <v>160811</v>
      </c>
      <c r="B984" s="241" t="s">
        <v>23590</v>
      </c>
      <c r="C984" s="221" t="s">
        <v>115</v>
      </c>
      <c r="D984" s="241">
        <v>600.91</v>
      </c>
      <c r="E984" s="56" t="str">
        <f t="shared" si="75"/>
        <v>FORNECIMENTO E INSTALAÇÃO DE MINI RACK DE PAREDE PADRÃO 19" - 12 U´S X 570MM</v>
      </c>
      <c r="F984" s="56" t="str">
        <f t="shared" si="76"/>
        <v>UND</v>
      </c>
      <c r="G984">
        <f t="shared" si="77"/>
        <v>800.71</v>
      </c>
      <c r="H984">
        <f t="shared" si="78"/>
        <v>600.91</v>
      </c>
      <c r="I984">
        <f t="shared" si="79"/>
        <v>600.91</v>
      </c>
    </row>
    <row r="985" spans="1:9" ht="28.8">
      <c r="A985" s="372">
        <v>160812</v>
      </c>
      <c r="B985" s="241" t="s">
        <v>23591</v>
      </c>
      <c r="C985" s="221" t="s">
        <v>115</v>
      </c>
      <c r="D985" s="241">
        <v>689.02</v>
      </c>
      <c r="E985" s="56" t="str">
        <f t="shared" si="75"/>
        <v>FORNECIMENTO E INSTALAÇÃO DE MINI RACK DE PAREDE PADRÃO 19" - 16 U´S X 570MM</v>
      </c>
      <c r="F985" s="56" t="str">
        <f t="shared" si="76"/>
        <v>UND</v>
      </c>
      <c r="G985">
        <f t="shared" si="77"/>
        <v>918.12</v>
      </c>
      <c r="H985">
        <f t="shared" si="78"/>
        <v>689.02</v>
      </c>
      <c r="I985">
        <f t="shared" si="79"/>
        <v>689.02</v>
      </c>
    </row>
    <row r="986" spans="1:9" ht="28.8">
      <c r="A986" s="372">
        <v>160813</v>
      </c>
      <c r="B986" s="241" t="s">
        <v>23592</v>
      </c>
      <c r="C986" s="221" t="s">
        <v>115</v>
      </c>
      <c r="D986" s="241">
        <v>1788.46</v>
      </c>
      <c r="E986" s="56" t="str">
        <f t="shared" si="75"/>
        <v>FORNECIMENTO E INSTALAÇÃO DE RACK DE PISO FECHADO PADRÃO 19" - 32 U´S X 670MM</v>
      </c>
      <c r="F986" s="56" t="str">
        <f t="shared" si="76"/>
        <v>UND</v>
      </c>
      <c r="G986">
        <f t="shared" si="77"/>
        <v>2383.12</v>
      </c>
      <c r="H986">
        <f t="shared" si="78"/>
        <v>1788.46</v>
      </c>
      <c r="I986">
        <f t="shared" si="79"/>
        <v>1788.46</v>
      </c>
    </row>
    <row r="987" spans="1:9" ht="28.8">
      <c r="A987" s="372">
        <v>160814</v>
      </c>
      <c r="B987" s="241" t="s">
        <v>23593</v>
      </c>
      <c r="C987" s="221" t="s">
        <v>115</v>
      </c>
      <c r="D987" s="241">
        <v>1845</v>
      </c>
      <c r="E987" s="56" t="str">
        <f t="shared" si="75"/>
        <v>FORNECIMENTO E INSTALAÇÃO DE RACK DE PISO FECHADO PADRÃO 19" - 36 U´S X 670MM</v>
      </c>
      <c r="F987" s="56" t="str">
        <f t="shared" si="76"/>
        <v>UND</v>
      </c>
      <c r="G987">
        <f t="shared" si="77"/>
        <v>2458.46</v>
      </c>
      <c r="H987">
        <f t="shared" si="78"/>
        <v>1845</v>
      </c>
      <c r="I987">
        <f t="shared" si="79"/>
        <v>1845</v>
      </c>
    </row>
    <row r="988" spans="1:9" ht="28.8">
      <c r="A988" s="372">
        <v>160815</v>
      </c>
      <c r="B988" s="241" t="s">
        <v>23594</v>
      </c>
      <c r="C988" s="221" t="s">
        <v>115</v>
      </c>
      <c r="D988" s="241">
        <v>2002.47</v>
      </c>
      <c r="E988" s="56" t="str">
        <f t="shared" si="75"/>
        <v>FORNECIMENTO E INSTALAÇÃO DE RACK DE PISO FECHADO PADRÃO 19" - 40 U´S X 670MM</v>
      </c>
      <c r="F988" s="56" t="str">
        <f t="shared" si="76"/>
        <v>UND</v>
      </c>
      <c r="G988">
        <f t="shared" si="77"/>
        <v>2668.29</v>
      </c>
      <c r="H988">
        <f t="shared" si="78"/>
        <v>2002.47</v>
      </c>
      <c r="I988">
        <f t="shared" si="79"/>
        <v>2002.47</v>
      </c>
    </row>
    <row r="989" spans="1:9" ht="28.8">
      <c r="A989" s="372">
        <v>160816</v>
      </c>
      <c r="B989" s="241" t="s">
        <v>23595</v>
      </c>
      <c r="C989" s="221" t="s">
        <v>115</v>
      </c>
      <c r="D989" s="594">
        <v>2104.65</v>
      </c>
      <c r="E989" s="56" t="str">
        <f t="shared" si="75"/>
        <v>FORNECIMENTO E INSTALAÇÃO DE RACK DE PISO FECHADO PADRÃO 19" - 44 U´S X 670MM</v>
      </c>
      <c r="F989" s="56" t="str">
        <f t="shared" si="76"/>
        <v>UND</v>
      </c>
      <c r="G989">
        <f t="shared" si="77"/>
        <v>2804.45</v>
      </c>
      <c r="H989">
        <f t="shared" si="78"/>
        <v>2104.65</v>
      </c>
      <c r="I989">
        <f t="shared" si="79"/>
        <v>2104.65</v>
      </c>
    </row>
    <row r="990" spans="1:9" ht="43.2">
      <c r="A990" s="372">
        <v>160822</v>
      </c>
      <c r="B990" s="241" t="s">
        <v>23596</v>
      </c>
      <c r="C990" s="221" t="s">
        <v>115</v>
      </c>
      <c r="D990" s="241">
        <v>114.57</v>
      </c>
      <c r="E990" s="56" t="str">
        <f t="shared" si="75"/>
        <v>CALHA COM 6 TOMADAS 20A, INCLUSIVE FIXAÇÃO EM RACK PADRÃO 19", COM CHICOTE DE 2 METROS DE COMPRIMENTO</v>
      </c>
      <c r="F990" s="56" t="str">
        <f t="shared" si="76"/>
        <v>UND</v>
      </c>
      <c r="G990">
        <f t="shared" si="77"/>
        <v>152.66</v>
      </c>
      <c r="H990">
        <f t="shared" si="78"/>
        <v>114.57</v>
      </c>
      <c r="I990">
        <f t="shared" si="79"/>
        <v>114.57</v>
      </c>
    </row>
    <row r="991" spans="1:9" ht="43.2">
      <c r="A991" s="372">
        <v>160823</v>
      </c>
      <c r="B991" s="241" t="s">
        <v>23597</v>
      </c>
      <c r="C991" s="221" t="s">
        <v>115</v>
      </c>
      <c r="D991" s="241">
        <v>118.45</v>
      </c>
      <c r="E991" s="56" t="str">
        <f t="shared" si="75"/>
        <v>CALHA COM 8 TOMADAS 20A, INCLUSIVE FIXAÇÃO EM RACK PADRÃO 19", COM CHICOTE DE 2 METROS DE COMPRIMENTO</v>
      </c>
      <c r="F991" s="56" t="str">
        <f t="shared" si="76"/>
        <v>UND</v>
      </c>
      <c r="G991">
        <f t="shared" si="77"/>
        <v>157.83000000000001</v>
      </c>
      <c r="H991">
        <f t="shared" si="78"/>
        <v>118.45</v>
      </c>
      <c r="I991">
        <f t="shared" si="79"/>
        <v>118.45</v>
      </c>
    </row>
    <row r="992" spans="1:9" ht="28.8">
      <c r="A992" s="372">
        <v>160825</v>
      </c>
      <c r="B992" s="241" t="s">
        <v>23598</v>
      </c>
      <c r="C992" s="221" t="s">
        <v>115</v>
      </c>
      <c r="D992" s="594">
        <v>37.229999999999997</v>
      </c>
      <c r="E992" s="56" t="str">
        <f t="shared" si="75"/>
        <v>GUIA DE CABOS FECHADO HORIZONTAL PADRÃO 19" - 1 U´S, INCLUSIVE FIXAÇÃO EM RACK 19"</v>
      </c>
      <c r="F992" s="56" t="str">
        <f t="shared" si="76"/>
        <v>UND</v>
      </c>
      <c r="G992">
        <f t="shared" si="77"/>
        <v>49.61</v>
      </c>
      <c r="H992">
        <f t="shared" si="78"/>
        <v>37.229999999999997</v>
      </c>
      <c r="I992">
        <f t="shared" si="79"/>
        <v>37.229999999999997</v>
      </c>
    </row>
    <row r="993" spans="1:9" ht="28.8">
      <c r="A993" s="372">
        <v>160826</v>
      </c>
      <c r="B993" s="241" t="s">
        <v>23599</v>
      </c>
      <c r="C993" s="221" t="s">
        <v>115</v>
      </c>
      <c r="D993" s="594">
        <v>47.6</v>
      </c>
      <c r="E993" s="56" t="str">
        <f t="shared" si="75"/>
        <v>GUIA DE CABOS FECHADO HORIZONTAL PADRÃO 19" - 2 U´S, INCLUSIVE FIXAÇÃO EM RACK 19"</v>
      </c>
      <c r="F993" s="56" t="str">
        <f t="shared" si="76"/>
        <v>UND</v>
      </c>
      <c r="G993">
        <f t="shared" si="77"/>
        <v>63.43</v>
      </c>
      <c r="H993">
        <f t="shared" si="78"/>
        <v>47.6</v>
      </c>
      <c r="I993">
        <f t="shared" si="79"/>
        <v>47.6</v>
      </c>
    </row>
    <row r="994" spans="1:9" ht="28.8">
      <c r="A994" s="372">
        <v>160827</v>
      </c>
      <c r="B994" s="241" t="s">
        <v>23600</v>
      </c>
      <c r="C994" s="221" t="s">
        <v>115</v>
      </c>
      <c r="D994" s="594">
        <v>291.16000000000003</v>
      </c>
      <c r="E994" s="56" t="str">
        <f t="shared" si="75"/>
        <v>GUIA DE CABOS VERTICAL PARA RACK ABERTO PADRÃO 19" - 40 U´S X 1763 X 50MM</v>
      </c>
      <c r="F994" s="56" t="str">
        <f t="shared" si="76"/>
        <v>UND</v>
      </c>
      <c r="G994">
        <f t="shared" si="77"/>
        <v>387.97</v>
      </c>
      <c r="H994">
        <f t="shared" si="78"/>
        <v>291.16000000000003</v>
      </c>
      <c r="I994">
        <f t="shared" si="79"/>
        <v>291.16000000000003</v>
      </c>
    </row>
    <row r="995" spans="1:9" ht="28.8">
      <c r="A995" s="372">
        <v>160828</v>
      </c>
      <c r="B995" s="241" t="s">
        <v>23601</v>
      </c>
      <c r="C995" s="221" t="s">
        <v>115</v>
      </c>
      <c r="D995" s="241">
        <v>419.49</v>
      </c>
      <c r="E995" s="56" t="str">
        <f t="shared" si="75"/>
        <v>GUIA DE CABOS VERTICAL PARA RACK ABERTO PADRÃO 19" - 44 U´S X 1940 X 50MM</v>
      </c>
      <c r="F995" s="56" t="str">
        <f t="shared" si="76"/>
        <v>UND</v>
      </c>
      <c r="G995">
        <f t="shared" si="77"/>
        <v>558.97</v>
      </c>
      <c r="H995">
        <f t="shared" si="78"/>
        <v>419.49</v>
      </c>
      <c r="I995">
        <f t="shared" si="79"/>
        <v>419.49</v>
      </c>
    </row>
    <row r="996" spans="1:9" ht="28.8">
      <c r="A996" s="372">
        <v>160829</v>
      </c>
      <c r="B996" s="241" t="s">
        <v>23602</v>
      </c>
      <c r="C996" s="221" t="s">
        <v>115</v>
      </c>
      <c r="D996" s="594">
        <v>18.55</v>
      </c>
      <c r="E996" s="56" t="str">
        <f t="shared" si="75"/>
        <v>PAINEL DE FECHAMENTO FRONTAL 1 U, INCLUSIVE FIXAÇÃO EM RACK 19"</v>
      </c>
      <c r="F996" s="56" t="str">
        <f t="shared" si="76"/>
        <v>UND</v>
      </c>
      <c r="G996">
        <f t="shared" si="77"/>
        <v>24.72</v>
      </c>
      <c r="H996">
        <f t="shared" si="78"/>
        <v>18.55</v>
      </c>
      <c r="I996">
        <f t="shared" si="79"/>
        <v>18.55</v>
      </c>
    </row>
    <row r="997" spans="1:9" ht="28.8">
      <c r="A997" s="372">
        <v>160830</v>
      </c>
      <c r="B997" s="241" t="s">
        <v>23603</v>
      </c>
      <c r="C997" s="221" t="s">
        <v>115</v>
      </c>
      <c r="D997" s="594">
        <v>22.06</v>
      </c>
      <c r="E997" s="56" t="str">
        <f t="shared" si="75"/>
        <v>PAINEL DE FECHAMENTO FRONTAL 2 US, INCLUSIVE FIXAÇÃO EM RACK 19"</v>
      </c>
      <c r="F997" s="56" t="str">
        <f t="shared" si="76"/>
        <v>UND</v>
      </c>
      <c r="G997">
        <f t="shared" si="77"/>
        <v>29.39</v>
      </c>
      <c r="H997">
        <f t="shared" si="78"/>
        <v>22.06</v>
      </c>
      <c r="I997">
        <f t="shared" si="79"/>
        <v>22.06</v>
      </c>
    </row>
    <row r="998" spans="1:9" ht="28.8">
      <c r="A998" s="372">
        <v>160831</v>
      </c>
      <c r="B998" s="241" t="s">
        <v>23604</v>
      </c>
      <c r="C998" s="221" t="s">
        <v>115</v>
      </c>
      <c r="D998" s="594">
        <v>75.97</v>
      </c>
      <c r="E998" s="56" t="str">
        <f t="shared" si="75"/>
        <v>BANDEJA SIMPLES FIXA 1 U X 290MM CARGA MÁXIMA 20KG, INCLUSIVE FIXAÇÃO EM RACK 19"</v>
      </c>
      <c r="F998" s="56" t="str">
        <f t="shared" si="76"/>
        <v>UND</v>
      </c>
      <c r="G998">
        <f t="shared" si="77"/>
        <v>101.23</v>
      </c>
      <c r="H998">
        <f t="shared" si="78"/>
        <v>75.97</v>
      </c>
      <c r="I998">
        <f t="shared" si="79"/>
        <v>75.97</v>
      </c>
    </row>
    <row r="999" spans="1:9" ht="28.8">
      <c r="A999" s="371">
        <v>160832</v>
      </c>
      <c r="B999" s="240" t="s">
        <v>23605</v>
      </c>
      <c r="C999" s="221" t="s">
        <v>115</v>
      </c>
      <c r="D999" s="241">
        <v>94.94</v>
      </c>
      <c r="E999" s="56" t="str">
        <f t="shared" si="75"/>
        <v>BANDEJA SIMPLES FIXA 2 US X 390MM CARGA MÁXIMA 20KG, INCLUSIVE FIXAÇÃO EM RACK 19"</v>
      </c>
      <c r="F999" s="56" t="str">
        <f t="shared" si="76"/>
        <v>UND</v>
      </c>
      <c r="G999">
        <f t="shared" si="77"/>
        <v>126.51</v>
      </c>
      <c r="H999">
        <f t="shared" si="78"/>
        <v>94.94</v>
      </c>
      <c r="I999">
        <f t="shared" si="79"/>
        <v>94.94</v>
      </c>
    </row>
    <row r="1000" spans="1:9" ht="28.8">
      <c r="A1000" s="371">
        <v>160833</v>
      </c>
      <c r="B1000" s="240" t="s">
        <v>23606</v>
      </c>
      <c r="C1000" s="221" t="s">
        <v>115</v>
      </c>
      <c r="D1000" s="241">
        <v>101.86</v>
      </c>
      <c r="E1000" s="56" t="str">
        <f t="shared" si="75"/>
        <v>BANDEJA FIXAÇÃO DUPLA 1 U X 500MM CARGA MÁXIMA 20KG, INCLUSIVE FIXAÇÃO EM RACK 19"</v>
      </c>
      <c r="F1000" s="56" t="str">
        <f t="shared" si="76"/>
        <v>UND</v>
      </c>
      <c r="G1000">
        <f t="shared" si="77"/>
        <v>135.72999999999999</v>
      </c>
      <c r="H1000">
        <f t="shared" si="78"/>
        <v>101.86</v>
      </c>
      <c r="I1000">
        <f t="shared" si="79"/>
        <v>101.86</v>
      </c>
    </row>
    <row r="1001" spans="1:9" ht="28.8">
      <c r="A1001" s="372">
        <v>160834</v>
      </c>
      <c r="B1001" s="241" t="s">
        <v>23607</v>
      </c>
      <c r="C1001" s="221" t="s">
        <v>115</v>
      </c>
      <c r="D1001" s="241">
        <v>190.79</v>
      </c>
      <c r="E1001" s="56" t="str">
        <f t="shared" si="75"/>
        <v>BANDEJA DESLIZANTE 1 U X 500MM CARGA MÁXIMA 20KG, INCLUSIVE FIXAÇÃO EM RACK 19"</v>
      </c>
      <c r="F1001" s="56" t="str">
        <f t="shared" si="76"/>
        <v>UND</v>
      </c>
      <c r="G1001">
        <f t="shared" si="77"/>
        <v>254.23</v>
      </c>
      <c r="H1001">
        <f t="shared" si="78"/>
        <v>190.79</v>
      </c>
      <c r="I1001">
        <f t="shared" si="79"/>
        <v>190.79</v>
      </c>
    </row>
    <row r="1002" spans="1:9" ht="28.8">
      <c r="A1002" s="372">
        <v>160835</v>
      </c>
      <c r="B1002" s="241" t="s">
        <v>23608</v>
      </c>
      <c r="C1002" s="221" t="s">
        <v>115</v>
      </c>
      <c r="D1002" s="241">
        <v>288.61</v>
      </c>
      <c r="E1002" s="56" t="str">
        <f t="shared" si="75"/>
        <v>KIT VENTILAÇÃO COMPOSTO POR 2 VENTILADORES BI-VOLTS, INCLUSIVE FIXAÇÃO EM RACK 19"</v>
      </c>
      <c r="F1002" s="56" t="str">
        <f t="shared" si="76"/>
        <v>UND</v>
      </c>
      <c r="G1002">
        <f t="shared" si="77"/>
        <v>384.57</v>
      </c>
      <c r="H1002">
        <f t="shared" si="78"/>
        <v>288.61</v>
      </c>
      <c r="I1002">
        <f t="shared" si="79"/>
        <v>288.61</v>
      </c>
    </row>
    <row r="1003" spans="1:9" ht="28.8">
      <c r="A1003" s="372">
        <v>160836</v>
      </c>
      <c r="B1003" s="241" t="s">
        <v>23609</v>
      </c>
      <c r="C1003" s="221" t="s">
        <v>115</v>
      </c>
      <c r="D1003" s="241">
        <v>500.45</v>
      </c>
      <c r="E1003" s="56" t="str">
        <f t="shared" si="75"/>
        <v>KIT VENTILAÇÃO COMPOSTO POR 4 VENTILADORES BI-VOLTS, INCLUSIVE FIXAÇÃO EM RACK 19"</v>
      </c>
      <c r="F1003" s="56" t="str">
        <f t="shared" si="76"/>
        <v>UND</v>
      </c>
      <c r="G1003">
        <f t="shared" si="77"/>
        <v>666.85</v>
      </c>
      <c r="H1003">
        <f t="shared" si="78"/>
        <v>500.45</v>
      </c>
      <c r="I1003">
        <f t="shared" si="79"/>
        <v>500.45</v>
      </c>
    </row>
    <row r="1004" spans="1:9" ht="28.8">
      <c r="A1004" s="372">
        <v>160837</v>
      </c>
      <c r="B1004" s="241" t="s">
        <v>23610</v>
      </c>
      <c r="C1004" s="221" t="s">
        <v>115</v>
      </c>
      <c r="D1004" s="241">
        <v>295.63</v>
      </c>
      <c r="E1004" s="56" t="str">
        <f t="shared" si="75"/>
        <v>KIT RODIZIO COMPOSTO POR 4 RODAS (2 C/ TRAVAS), INCLUSIVE FIXAÇÃO EM RACK 19"</v>
      </c>
      <c r="F1004" s="56" t="str">
        <f t="shared" si="76"/>
        <v>UND</v>
      </c>
      <c r="G1004">
        <f t="shared" si="77"/>
        <v>393.93</v>
      </c>
      <c r="H1004">
        <f t="shared" si="78"/>
        <v>295.63</v>
      </c>
      <c r="I1004">
        <f t="shared" si="79"/>
        <v>295.63</v>
      </c>
    </row>
    <row r="1005" spans="1:9" ht="28.8">
      <c r="A1005" s="372">
        <v>160838</v>
      </c>
      <c r="B1005" s="241" t="s">
        <v>23611</v>
      </c>
      <c r="C1005" s="221" t="s">
        <v>115</v>
      </c>
      <c r="D1005" s="241">
        <v>98.65</v>
      </c>
      <c r="E1005" s="56" t="str">
        <f t="shared" si="75"/>
        <v>KIT M5 PORCA-GAIOLA COM 100 UND COM PARAFUSO PHILIPS E ARRUELA</v>
      </c>
      <c r="F1005" s="56" t="str">
        <f t="shared" si="76"/>
        <v>UND</v>
      </c>
      <c r="G1005">
        <f t="shared" si="77"/>
        <v>131.44999999999999</v>
      </c>
      <c r="H1005">
        <f t="shared" si="78"/>
        <v>98.65</v>
      </c>
      <c r="I1005">
        <f t="shared" si="79"/>
        <v>98.65</v>
      </c>
    </row>
    <row r="1006" spans="1:9">
      <c r="A1006" s="372">
        <v>160839</v>
      </c>
      <c r="B1006" s="241" t="s">
        <v>23612</v>
      </c>
      <c r="C1006" s="221" t="s">
        <v>112</v>
      </c>
      <c r="D1006" s="241">
        <v>4.71</v>
      </c>
      <c r="E1006" s="56" t="str">
        <f t="shared" si="75"/>
        <v>VELCRO ROLO 20MM - PRETO</v>
      </c>
      <c r="F1006" s="56" t="str">
        <f t="shared" si="76"/>
        <v>M</v>
      </c>
      <c r="G1006">
        <f t="shared" si="77"/>
        <v>6.28</v>
      </c>
      <c r="H1006">
        <f t="shared" si="78"/>
        <v>4.71</v>
      </c>
      <c r="I1006">
        <f t="shared" si="79"/>
        <v>4.71</v>
      </c>
    </row>
    <row r="1007" spans="1:9" ht="28.8">
      <c r="A1007" s="372">
        <v>160840</v>
      </c>
      <c r="B1007" s="241" t="s">
        <v>23613</v>
      </c>
      <c r="C1007" s="221" t="s">
        <v>115</v>
      </c>
      <c r="D1007" s="241">
        <v>256.20999999999998</v>
      </c>
      <c r="E1007" s="56" t="str">
        <f t="shared" si="75"/>
        <v>PATCH PANEL 24 PORTAS RJ45/IDC CAT.5E, INCLUSIVE FIXAÇÃO EM RACK 19"</v>
      </c>
      <c r="F1007" s="56" t="str">
        <f t="shared" si="76"/>
        <v>UND</v>
      </c>
      <c r="G1007">
        <f t="shared" si="77"/>
        <v>341.4</v>
      </c>
      <c r="H1007">
        <f t="shared" si="78"/>
        <v>256.20999999999998</v>
      </c>
      <c r="I1007">
        <f t="shared" si="79"/>
        <v>256.20999999999998</v>
      </c>
    </row>
    <row r="1008" spans="1:9" ht="28.8">
      <c r="A1008" s="372">
        <v>160841</v>
      </c>
      <c r="B1008" s="241" t="s">
        <v>23614</v>
      </c>
      <c r="C1008" s="221" t="s">
        <v>115</v>
      </c>
      <c r="D1008" s="241">
        <v>256.20999999999998</v>
      </c>
      <c r="E1008" s="56" t="str">
        <f t="shared" si="75"/>
        <v>PATCH PANEL DE EMENDA 24 PORTAS RJ45/RJ45 CAT.5E, INCLUSIVE FIXAÇÃO EM RACK 19"</v>
      </c>
      <c r="F1008" s="56" t="str">
        <f t="shared" si="76"/>
        <v>UND</v>
      </c>
      <c r="G1008">
        <f t="shared" si="77"/>
        <v>341.4</v>
      </c>
      <c r="H1008">
        <f t="shared" si="78"/>
        <v>256.20999999999998</v>
      </c>
      <c r="I1008">
        <f t="shared" si="79"/>
        <v>256.20999999999998</v>
      </c>
    </row>
    <row r="1009" spans="1:9" ht="28.8">
      <c r="A1009" s="372">
        <v>160842</v>
      </c>
      <c r="B1009" s="241" t="s">
        <v>23615</v>
      </c>
      <c r="C1009" s="221" t="s">
        <v>115</v>
      </c>
      <c r="D1009" s="241">
        <v>511.84</v>
      </c>
      <c r="E1009" s="56" t="str">
        <f t="shared" si="75"/>
        <v>PATCH PANEL 48 PORTAS RJ45/IDC CAT.5E, INCLUSIVE FIXAÇÃO EM RACK 19"</v>
      </c>
      <c r="F1009" s="56" t="str">
        <f t="shared" si="76"/>
        <v>UND</v>
      </c>
      <c r="G1009">
        <f t="shared" si="77"/>
        <v>682.03</v>
      </c>
      <c r="H1009">
        <f t="shared" si="78"/>
        <v>511.84</v>
      </c>
      <c r="I1009">
        <f t="shared" si="79"/>
        <v>511.84</v>
      </c>
    </row>
    <row r="1010" spans="1:9" ht="28.8">
      <c r="A1010" s="372">
        <v>160844</v>
      </c>
      <c r="B1010" s="241" t="s">
        <v>23616</v>
      </c>
      <c r="C1010" s="221" t="s">
        <v>115</v>
      </c>
      <c r="D1010" s="241">
        <v>588.23</v>
      </c>
      <c r="E1010" s="56" t="str">
        <f t="shared" si="75"/>
        <v>PATCH PANEL 48 PORTAS RJ45/IDC CAT.6, INCLUSIVE FIXAÇÃO EM RACK 19"</v>
      </c>
      <c r="F1010" s="56" t="str">
        <f t="shared" si="76"/>
        <v>UND</v>
      </c>
      <c r="G1010">
        <f t="shared" si="77"/>
        <v>783.82</v>
      </c>
      <c r="H1010">
        <f t="shared" si="78"/>
        <v>588.23</v>
      </c>
      <c r="I1010">
        <f t="shared" si="79"/>
        <v>588.23</v>
      </c>
    </row>
    <row r="1011" spans="1:9" ht="28.8">
      <c r="A1011" s="372">
        <v>160845</v>
      </c>
      <c r="B1011" s="241" t="s">
        <v>23617</v>
      </c>
      <c r="C1011" s="221" t="s">
        <v>115</v>
      </c>
      <c r="D1011" s="241">
        <v>21.93</v>
      </c>
      <c r="E1011" s="56" t="str">
        <f t="shared" si="75"/>
        <v>PATCH CORD MULTILAN EXTRA FLEXÍVEL CAT 5E U/UTP RJ-45 - 1,50 M</v>
      </c>
      <c r="F1011" s="56" t="str">
        <f t="shared" si="76"/>
        <v>UND</v>
      </c>
      <c r="G1011">
        <f t="shared" si="77"/>
        <v>29.22</v>
      </c>
      <c r="H1011">
        <f t="shared" si="78"/>
        <v>21.93</v>
      </c>
      <c r="I1011">
        <f t="shared" si="79"/>
        <v>21.93</v>
      </c>
    </row>
    <row r="1012" spans="1:9" ht="28.8">
      <c r="A1012" s="371">
        <v>160846</v>
      </c>
      <c r="B1012" s="240" t="s">
        <v>23618</v>
      </c>
      <c r="C1012" s="221" t="s">
        <v>115</v>
      </c>
      <c r="D1012" s="241">
        <v>44.11</v>
      </c>
      <c r="E1012" s="56" t="str">
        <f t="shared" si="75"/>
        <v>PATCH CORD MULTILAN EXTRA FLEXÍVEL CAT 5E U/UTP RJ-45 - 3,00 M</v>
      </c>
      <c r="F1012" s="56" t="str">
        <f t="shared" si="76"/>
        <v>UND</v>
      </c>
      <c r="G1012">
        <f t="shared" si="77"/>
        <v>58.78</v>
      </c>
      <c r="H1012">
        <f t="shared" si="78"/>
        <v>44.11</v>
      </c>
      <c r="I1012">
        <f t="shared" si="79"/>
        <v>44.11</v>
      </c>
    </row>
    <row r="1013" spans="1:9" ht="28.8">
      <c r="A1013" s="372">
        <v>160847</v>
      </c>
      <c r="B1013" s="241" t="s">
        <v>23619</v>
      </c>
      <c r="C1013" s="221" t="s">
        <v>115</v>
      </c>
      <c r="D1013" s="241">
        <v>31.36</v>
      </c>
      <c r="E1013" s="56" t="str">
        <f t="shared" si="75"/>
        <v>PATCH CORD GIGALAN EXTRA FLEXÍVEL CAT 6 U/UTP RJ-45 - 1,50 M</v>
      </c>
      <c r="F1013" s="56" t="str">
        <f t="shared" si="76"/>
        <v>UND</v>
      </c>
      <c r="G1013">
        <f t="shared" si="77"/>
        <v>41.79</v>
      </c>
      <c r="H1013">
        <f t="shared" si="78"/>
        <v>31.36</v>
      </c>
      <c r="I1013">
        <f t="shared" si="79"/>
        <v>31.36</v>
      </c>
    </row>
    <row r="1014" spans="1:9" ht="28.8">
      <c r="A1014" s="372">
        <v>160848</v>
      </c>
      <c r="B1014" s="241" t="s">
        <v>23620</v>
      </c>
      <c r="C1014" s="221" t="s">
        <v>115</v>
      </c>
      <c r="D1014" s="241">
        <v>54.18</v>
      </c>
      <c r="E1014" s="56" t="str">
        <f t="shared" si="75"/>
        <v>PATCH CORD GIGALAN EXTRA FLEXÍVEL CAT 6 U/UTP RJ-45 - 3,00 M</v>
      </c>
      <c r="F1014" s="56" t="str">
        <f t="shared" si="76"/>
        <v>UND</v>
      </c>
      <c r="G1014">
        <f t="shared" si="77"/>
        <v>72.19</v>
      </c>
      <c r="H1014">
        <f t="shared" si="78"/>
        <v>54.18</v>
      </c>
      <c r="I1014">
        <f t="shared" si="79"/>
        <v>54.18</v>
      </c>
    </row>
    <row r="1015" spans="1:9" ht="28.8">
      <c r="A1015" s="372">
        <v>160851</v>
      </c>
      <c r="B1015" s="241" t="s">
        <v>23621</v>
      </c>
      <c r="C1015" s="221" t="s">
        <v>112</v>
      </c>
      <c r="D1015" s="241">
        <v>5.63</v>
      </c>
      <c r="E1015" s="56" t="str">
        <f t="shared" si="75"/>
        <v>FORNECIMENTO E INSTALAÇÃO DE CABO DE REDE PAR TRANÇADO 4 PARES CATEGORIA 6</v>
      </c>
      <c r="F1015" s="56" t="str">
        <f t="shared" si="76"/>
        <v>M</v>
      </c>
      <c r="G1015">
        <f t="shared" si="77"/>
        <v>7.5</v>
      </c>
      <c r="H1015">
        <f t="shared" si="78"/>
        <v>5.63</v>
      </c>
      <c r="I1015">
        <f t="shared" si="79"/>
        <v>5.63</v>
      </c>
    </row>
    <row r="1016" spans="1:9" ht="28.8">
      <c r="A1016" s="372">
        <v>160864</v>
      </c>
      <c r="B1016" s="241" t="s">
        <v>23622</v>
      </c>
      <c r="C1016" s="221" t="s">
        <v>115</v>
      </c>
      <c r="D1016" s="241">
        <v>1078.22</v>
      </c>
      <c r="E1016" s="56" t="str">
        <f t="shared" si="75"/>
        <v>SWITCH 24 PORTAS RJ-45 10/100 + 2 10/100/1000, INCLUSIVE FIXAÇÃO EM RACK 19"</v>
      </c>
      <c r="F1016" s="56" t="str">
        <f t="shared" si="76"/>
        <v>UND</v>
      </c>
      <c r="G1016">
        <f t="shared" si="77"/>
        <v>1436.73</v>
      </c>
      <c r="H1016">
        <f t="shared" si="78"/>
        <v>1078.22</v>
      </c>
      <c r="I1016">
        <f t="shared" si="79"/>
        <v>1078.22</v>
      </c>
    </row>
    <row r="1017" spans="1:9" ht="28.8">
      <c r="A1017" s="372">
        <v>160865</v>
      </c>
      <c r="B1017" s="241" t="s">
        <v>23623</v>
      </c>
      <c r="C1017" s="221" t="s">
        <v>115</v>
      </c>
      <c r="D1017" s="241">
        <v>2413.5500000000002</v>
      </c>
      <c r="E1017" s="56" t="str">
        <f t="shared" si="75"/>
        <v>SWITCH 48 PORTAS RJ-45 10/100 + 2 10/100/1000, INCLUSIVE FIXAÇÃO EM RACK 19"</v>
      </c>
      <c r="F1017" s="56" t="str">
        <f t="shared" si="76"/>
        <v>UND</v>
      </c>
      <c r="G1017">
        <f t="shared" si="77"/>
        <v>3216.06</v>
      </c>
      <c r="H1017">
        <f t="shared" si="78"/>
        <v>2413.5500000000002</v>
      </c>
      <c r="I1017">
        <f t="shared" si="79"/>
        <v>2413.5500000000002</v>
      </c>
    </row>
    <row r="1018" spans="1:9" ht="57.6">
      <c r="A1018" s="372">
        <v>160866</v>
      </c>
      <c r="B1018" s="241" t="s">
        <v>23624</v>
      </c>
      <c r="C1018" s="221" t="s">
        <v>115</v>
      </c>
      <c r="D1018" s="241">
        <v>2612.73</v>
      </c>
      <c r="E1018" s="56" t="str">
        <f t="shared" si="75"/>
        <v>NO BREAK 1400VA (980W) SENOIDAL, TENSÃO DE ENTRADA: 120V E TENSÃO DE SAIDA: 120V, INTERFACE PORT DB-9 RS-232, SMARTSLOT, USB, INCLUSIVE FIXAÇÃO EM RACK 19"</v>
      </c>
      <c r="F1018" s="56" t="str">
        <f t="shared" si="76"/>
        <v>UND</v>
      </c>
      <c r="G1018">
        <f t="shared" si="77"/>
        <v>3481.46</v>
      </c>
      <c r="H1018">
        <f t="shared" si="78"/>
        <v>2612.73</v>
      </c>
      <c r="I1018">
        <f t="shared" si="79"/>
        <v>2612.73</v>
      </c>
    </row>
    <row r="1019" spans="1:9" ht="57.6">
      <c r="A1019" s="372">
        <v>160867</v>
      </c>
      <c r="B1019" s="241" t="s">
        <v>23625</v>
      </c>
      <c r="C1019" s="221" t="s">
        <v>115</v>
      </c>
      <c r="D1019" s="241">
        <v>5550.64</v>
      </c>
      <c r="E1019" s="56" t="str">
        <f t="shared" si="75"/>
        <v>NO BREAK 2200VA (1980W) SENOIDAL, TENSÃO DE ENTRADA: 220V E TENSÃO DE SAIDA: 220V, INTERFACE PORT DB-9 RS-232, SMARTSLOT, USB, INCLUSIVE FIXAÇÃO EM RACK 19"</v>
      </c>
      <c r="F1019" s="56" t="str">
        <f t="shared" si="76"/>
        <v>UND</v>
      </c>
      <c r="G1019">
        <f t="shared" si="77"/>
        <v>7396.23</v>
      </c>
      <c r="H1019">
        <f t="shared" si="78"/>
        <v>5550.64</v>
      </c>
      <c r="I1019">
        <f t="shared" si="79"/>
        <v>5550.64</v>
      </c>
    </row>
    <row r="1020" spans="1:9" ht="43.2">
      <c r="A1020" s="372">
        <v>160869</v>
      </c>
      <c r="B1020" s="241" t="s">
        <v>23626</v>
      </c>
      <c r="C1020" s="221" t="s">
        <v>115</v>
      </c>
      <c r="D1020" s="241">
        <v>46.85</v>
      </c>
      <c r="E1020" s="56" t="str">
        <f t="shared" si="75"/>
        <v>CERTIFICAÇÃO AVULSA DOS PONTOS COM EMISSÃO DE RELATÓRIO DO EQUIPAMENTO DE TESTE ATÉ 100 PONTOS</v>
      </c>
      <c r="F1020" s="56" t="str">
        <f t="shared" si="76"/>
        <v>UND</v>
      </c>
      <c r="G1020">
        <f t="shared" si="77"/>
        <v>62.43</v>
      </c>
      <c r="H1020">
        <f t="shared" si="78"/>
        <v>46.85</v>
      </c>
      <c r="I1020">
        <f t="shared" si="79"/>
        <v>46.85</v>
      </c>
    </row>
    <row r="1021" spans="1:9" ht="43.2">
      <c r="A1021" s="372">
        <v>160870</v>
      </c>
      <c r="B1021" s="241" t="s">
        <v>23627</v>
      </c>
      <c r="C1021" s="221" t="s">
        <v>115</v>
      </c>
      <c r="D1021" s="241">
        <v>31.23</v>
      </c>
      <c r="E1021" s="56" t="str">
        <f t="shared" si="75"/>
        <v>CERTIFICAÇÃO AVULSA DOS PONTOS COM EMISSÃO DE RELATÓRIO DO EQUIPAMENTO DE TESTE MAIS DE 101 PONTOS</v>
      </c>
      <c r="F1021" s="56" t="str">
        <f t="shared" si="76"/>
        <v>UND</v>
      </c>
      <c r="G1021">
        <f t="shared" si="77"/>
        <v>41.61</v>
      </c>
      <c r="H1021">
        <f t="shared" si="78"/>
        <v>31.23</v>
      </c>
      <c r="I1021">
        <f t="shared" si="79"/>
        <v>31.23</v>
      </c>
    </row>
    <row r="1022" spans="1:9" ht="28.8">
      <c r="A1022" s="372">
        <v>160871</v>
      </c>
      <c r="B1022" s="241" t="s">
        <v>23628</v>
      </c>
      <c r="C1022" s="221" t="s">
        <v>115</v>
      </c>
      <c r="D1022" s="241">
        <v>34.83</v>
      </c>
      <c r="E1022" s="56" t="str">
        <f t="shared" si="75"/>
        <v>ESPELHO 4" X 4" COM 2 CONECTOR RJ 45 FÊMEA CAT. 5E</v>
      </c>
      <c r="F1022" s="56" t="str">
        <f t="shared" si="76"/>
        <v>UND</v>
      </c>
      <c r="G1022">
        <f t="shared" si="77"/>
        <v>46.41</v>
      </c>
      <c r="H1022">
        <f t="shared" si="78"/>
        <v>34.83</v>
      </c>
      <c r="I1022">
        <f t="shared" si="79"/>
        <v>34.83</v>
      </c>
    </row>
    <row r="1023" spans="1:9">
      <c r="A1023" s="372">
        <v>160872</v>
      </c>
      <c r="B1023" s="241" t="s">
        <v>23629</v>
      </c>
      <c r="C1023" s="221" t="s">
        <v>115</v>
      </c>
      <c r="D1023" s="241">
        <v>31.29</v>
      </c>
      <c r="E1023" s="56" t="str">
        <f t="shared" si="75"/>
        <v>ESPELHO 4" X 2" COM CONECTOR RJ 45 FÊMEA CAT. 6</v>
      </c>
      <c r="F1023" s="56" t="str">
        <f t="shared" si="76"/>
        <v>UND</v>
      </c>
      <c r="G1023">
        <f t="shared" si="77"/>
        <v>41.69</v>
      </c>
      <c r="H1023">
        <f t="shared" si="78"/>
        <v>31.29</v>
      </c>
      <c r="I1023">
        <f t="shared" si="79"/>
        <v>31.29</v>
      </c>
    </row>
    <row r="1024" spans="1:9" ht="28.8">
      <c r="A1024" s="372">
        <v>160873</v>
      </c>
      <c r="B1024" s="241" t="s">
        <v>23630</v>
      </c>
      <c r="C1024" s="221" t="s">
        <v>115</v>
      </c>
      <c r="D1024" s="241">
        <v>41.73</v>
      </c>
      <c r="E1024" s="56" t="str">
        <f t="shared" si="75"/>
        <v>ESPELHO 4" X 4" COM 2 CONECTORES RJ 45 FÊMEA CAT. 6</v>
      </c>
      <c r="F1024" s="56" t="str">
        <f t="shared" si="76"/>
        <v>UND</v>
      </c>
      <c r="G1024">
        <f t="shared" si="77"/>
        <v>55.61</v>
      </c>
      <c r="H1024">
        <f t="shared" si="78"/>
        <v>41.73</v>
      </c>
      <c r="I1024">
        <f t="shared" si="79"/>
        <v>41.73</v>
      </c>
    </row>
    <row r="1025" spans="1:9" ht="28.8">
      <c r="A1025" s="372">
        <v>160874</v>
      </c>
      <c r="B1025" s="241" t="s">
        <v>27303</v>
      </c>
      <c r="C1025" s="221" t="s">
        <v>115</v>
      </c>
      <c r="D1025" s="241">
        <v>418.69</v>
      </c>
      <c r="E1025" s="56" t="str">
        <f t="shared" ref="E1025:E1088" si="80">UPPER(B1025)</f>
        <v>PATCH PANEL 24 PORTAS RJ45/IDC CAT.6, INCLUSIVE FIXAÇÃO EM RACK 19"</v>
      </c>
      <c r="F1025" s="56" t="str">
        <f t="shared" ref="F1025:F1088" si="81">UPPER(C1025)</f>
        <v>UND</v>
      </c>
      <c r="G1025">
        <f t="shared" si="77"/>
        <v>557.9</v>
      </c>
      <c r="H1025">
        <f t="shared" si="78"/>
        <v>418.69</v>
      </c>
      <c r="I1025">
        <f t="shared" si="79"/>
        <v>418.69</v>
      </c>
    </row>
    <row r="1026" spans="1:9">
      <c r="A1026" s="372">
        <v>1610</v>
      </c>
      <c r="B1026" s="241" t="s">
        <v>23631</v>
      </c>
      <c r="C1026" s="221"/>
      <c r="D1026" s="241"/>
      <c r="E1026" s="56" t="str">
        <f t="shared" si="80"/>
        <v>INSTALAÇÃO DO SISTEMA DE CLIMATIZAÇÃO</v>
      </c>
      <c r="F1026" s="56" t="str">
        <f t="shared" si="81"/>
        <v/>
      </c>
      <c r="G1026">
        <f t="shared" si="77"/>
        <v>0</v>
      </c>
      <c r="H1026">
        <f t="shared" si="78"/>
        <v>0</v>
      </c>
      <c r="I1026">
        <f t="shared" si="79"/>
        <v>0</v>
      </c>
    </row>
    <row r="1027" spans="1:9" ht="28.8">
      <c r="A1027" s="371">
        <v>161001</v>
      </c>
      <c r="B1027" s="240" t="s">
        <v>23632</v>
      </c>
      <c r="C1027" s="221" t="s">
        <v>112</v>
      </c>
      <c r="D1027" s="241">
        <v>25.75</v>
      </c>
      <c r="E1027" s="56" t="str">
        <f t="shared" si="80"/>
        <v>TUBO DE COBRE COM ISOLAMENTO TÉRMICO - Ø 1/4" ESP. 9MM</v>
      </c>
      <c r="F1027" s="56" t="str">
        <f t="shared" si="81"/>
        <v>M</v>
      </c>
      <c r="G1027">
        <f t="shared" si="77"/>
        <v>34.31</v>
      </c>
      <c r="H1027">
        <f t="shared" si="78"/>
        <v>25.75</v>
      </c>
      <c r="I1027">
        <f t="shared" si="79"/>
        <v>25.75</v>
      </c>
    </row>
    <row r="1028" spans="1:9" ht="28.8">
      <c r="A1028" s="372">
        <v>161002</v>
      </c>
      <c r="B1028" s="241" t="s">
        <v>23633</v>
      </c>
      <c r="C1028" s="221" t="s">
        <v>112</v>
      </c>
      <c r="D1028" s="594">
        <v>35.89</v>
      </c>
      <c r="E1028" s="56" t="str">
        <f t="shared" si="80"/>
        <v>TUBO DE COBRE COM ISOLAMENTO TÉRMICO - Ø 3/8" ESP. 9MM</v>
      </c>
      <c r="F1028" s="56" t="str">
        <f t="shared" si="81"/>
        <v>M</v>
      </c>
      <c r="G1028">
        <f t="shared" si="77"/>
        <v>47.82</v>
      </c>
      <c r="H1028">
        <f t="shared" si="78"/>
        <v>35.89</v>
      </c>
      <c r="I1028">
        <f t="shared" si="79"/>
        <v>35.89</v>
      </c>
    </row>
    <row r="1029" spans="1:9" ht="28.8">
      <c r="A1029" s="372">
        <v>161003</v>
      </c>
      <c r="B1029" s="241" t="s">
        <v>23634</v>
      </c>
      <c r="C1029" s="221" t="s">
        <v>112</v>
      </c>
      <c r="D1029" s="241">
        <v>46.03</v>
      </c>
      <c r="E1029" s="56" t="str">
        <f t="shared" si="80"/>
        <v>TUBO DE COBRE COM ISOLAMENTO TÉRMICO - Ø 1/2" ESP. 9MM</v>
      </c>
      <c r="F1029" s="56" t="str">
        <f t="shared" si="81"/>
        <v>M</v>
      </c>
      <c r="G1029">
        <f t="shared" si="77"/>
        <v>61.33</v>
      </c>
      <c r="H1029">
        <f t="shared" si="78"/>
        <v>46.03</v>
      </c>
      <c r="I1029">
        <f t="shared" si="79"/>
        <v>46.03</v>
      </c>
    </row>
    <row r="1030" spans="1:9" ht="28.8">
      <c r="A1030" s="372">
        <v>161004</v>
      </c>
      <c r="B1030" s="241" t="s">
        <v>23635</v>
      </c>
      <c r="C1030" s="221" t="s">
        <v>112</v>
      </c>
      <c r="D1030" s="594">
        <v>55.96</v>
      </c>
      <c r="E1030" s="56" t="str">
        <f t="shared" si="80"/>
        <v>TUBO DE COBRE COM ISOLAMENTO TÉRMICO - Ø 5/8" ESP. 9MM</v>
      </c>
      <c r="F1030" s="56" t="str">
        <f t="shared" si="81"/>
        <v>M</v>
      </c>
      <c r="G1030">
        <f t="shared" si="77"/>
        <v>74.569999999999993</v>
      </c>
      <c r="H1030">
        <f t="shared" si="78"/>
        <v>55.96</v>
      </c>
      <c r="I1030">
        <f t="shared" si="79"/>
        <v>55.96</v>
      </c>
    </row>
    <row r="1031" spans="1:9" ht="28.8">
      <c r="A1031" s="372">
        <v>161005</v>
      </c>
      <c r="B1031" s="241" t="s">
        <v>23636</v>
      </c>
      <c r="C1031" s="221" t="s">
        <v>112</v>
      </c>
      <c r="D1031" s="594">
        <v>65.599999999999994</v>
      </c>
      <c r="E1031" s="56" t="str">
        <f t="shared" si="80"/>
        <v>TUBO DE COBRE COM ISOLAMENTO TÉRMICO - Ø 3/4" ESP. 9MM</v>
      </c>
      <c r="F1031" s="56" t="str">
        <f t="shared" si="81"/>
        <v>M</v>
      </c>
      <c r="G1031">
        <f t="shared" si="77"/>
        <v>87.41</v>
      </c>
      <c r="H1031">
        <f t="shared" si="78"/>
        <v>65.599999999999994</v>
      </c>
      <c r="I1031">
        <f t="shared" si="79"/>
        <v>65.599999999999994</v>
      </c>
    </row>
    <row r="1032" spans="1:9" ht="28.8">
      <c r="A1032" s="372">
        <v>161006</v>
      </c>
      <c r="B1032" s="241" t="s">
        <v>23637</v>
      </c>
      <c r="C1032" s="221" t="s">
        <v>112</v>
      </c>
      <c r="D1032" s="594">
        <v>73.17</v>
      </c>
      <c r="E1032" s="56" t="str">
        <f t="shared" si="80"/>
        <v>TUBO DE COBRE COM ISOLAMENTO TÉRMICO - Ø 7/8" ESP. 9MM</v>
      </c>
      <c r="F1032" s="56" t="str">
        <f t="shared" si="81"/>
        <v>M</v>
      </c>
      <c r="G1032">
        <f t="shared" ref="G1032:G1095" si="82">ROUND(H1032*(1+$G$1),2)</f>
        <v>97.5</v>
      </c>
      <c r="H1032">
        <f t="shared" ref="H1032:H1095" si="83">I1032</f>
        <v>73.17</v>
      </c>
      <c r="I1032">
        <f t="shared" ref="I1032:I1095" si="84">ROUND(D1032/(1+$E$1),2)</f>
        <v>73.17</v>
      </c>
    </row>
    <row r="1033" spans="1:9" ht="28.8">
      <c r="A1033" s="371">
        <v>161007</v>
      </c>
      <c r="B1033" s="240" t="s">
        <v>23638</v>
      </c>
      <c r="C1033" s="221" t="s">
        <v>112</v>
      </c>
      <c r="D1033" s="241">
        <v>91.03</v>
      </c>
      <c r="E1033" s="56" t="str">
        <f t="shared" si="80"/>
        <v>TUBO DE COBRE COM ISOLAMENTO TÉRMICO - Ø 1.1/8" ESP. 9MM</v>
      </c>
      <c r="F1033" s="56" t="str">
        <f t="shared" si="81"/>
        <v>M</v>
      </c>
      <c r="G1033">
        <f t="shared" si="82"/>
        <v>121.3</v>
      </c>
      <c r="H1033">
        <f t="shared" si="83"/>
        <v>91.03</v>
      </c>
      <c r="I1033">
        <f t="shared" si="84"/>
        <v>91.03</v>
      </c>
    </row>
    <row r="1034" spans="1:9" ht="28.8">
      <c r="A1034" s="372">
        <v>161008</v>
      </c>
      <c r="B1034" s="241" t="s">
        <v>23639</v>
      </c>
      <c r="C1034" s="221" t="s">
        <v>112</v>
      </c>
      <c r="D1034" s="594">
        <v>117.07</v>
      </c>
      <c r="E1034" s="56" t="str">
        <f t="shared" si="80"/>
        <v>TUBO DE COBRE COM ISOLAMENTO TÉRMICO - Ø 1.3/8" ESP. 9MM</v>
      </c>
      <c r="F1034" s="56" t="str">
        <f t="shared" si="81"/>
        <v>M</v>
      </c>
      <c r="G1034">
        <f t="shared" si="82"/>
        <v>156</v>
      </c>
      <c r="H1034">
        <f t="shared" si="83"/>
        <v>117.07</v>
      </c>
      <c r="I1034">
        <f t="shared" si="84"/>
        <v>117.07</v>
      </c>
    </row>
    <row r="1035" spans="1:9" ht="28.8">
      <c r="A1035" s="372">
        <v>161009</v>
      </c>
      <c r="B1035" s="241" t="s">
        <v>23640</v>
      </c>
      <c r="C1035" s="221" t="s">
        <v>112</v>
      </c>
      <c r="D1035" s="594">
        <v>146.61000000000001</v>
      </c>
      <c r="E1035" s="56" t="str">
        <f t="shared" si="80"/>
        <v>TUBO DE COBRE COM ISOLAMENTO TÉRMICO - Ø 1.5/8" ESP. 9 MM</v>
      </c>
      <c r="F1035" s="56" t="str">
        <f t="shared" si="81"/>
        <v>M</v>
      </c>
      <c r="G1035">
        <f t="shared" si="82"/>
        <v>195.36</v>
      </c>
      <c r="H1035">
        <f t="shared" si="83"/>
        <v>146.61000000000001</v>
      </c>
      <c r="I1035">
        <f t="shared" si="84"/>
        <v>146.61000000000001</v>
      </c>
    </row>
    <row r="1036" spans="1:9" ht="28.8">
      <c r="A1036" s="371">
        <v>161010</v>
      </c>
      <c r="B1036" s="240" t="s">
        <v>23641</v>
      </c>
      <c r="C1036" s="221" t="s">
        <v>115</v>
      </c>
      <c r="D1036" s="241">
        <v>17.5</v>
      </c>
      <c r="E1036" s="56" t="str">
        <f t="shared" si="80"/>
        <v>EMENDA DE TUBOS E CONEXÕES DE COBRE POR PROCESSO DE SOLDA - Ø 1/4" ATÉ 1/2"</v>
      </c>
      <c r="F1036" s="56" t="str">
        <f t="shared" si="81"/>
        <v>UND</v>
      </c>
      <c r="G1036">
        <f t="shared" si="82"/>
        <v>23.32</v>
      </c>
      <c r="H1036">
        <f t="shared" si="83"/>
        <v>17.5</v>
      </c>
      <c r="I1036">
        <f t="shared" si="84"/>
        <v>17.5</v>
      </c>
    </row>
    <row r="1037" spans="1:9" ht="28.8">
      <c r="A1037" s="372">
        <v>161011</v>
      </c>
      <c r="B1037" s="241" t="s">
        <v>23642</v>
      </c>
      <c r="C1037" s="221" t="s">
        <v>115</v>
      </c>
      <c r="D1037" s="241">
        <v>28.84</v>
      </c>
      <c r="E1037" s="56" t="str">
        <f t="shared" si="80"/>
        <v>EMENDA DE TUBOS E CONEXÕES DE COBRE POR PROCESSO DE SOLDA - Ø 5/8" ATÉ 7/8"</v>
      </c>
      <c r="F1037" s="56" t="str">
        <f t="shared" si="81"/>
        <v>UND</v>
      </c>
      <c r="G1037">
        <f t="shared" si="82"/>
        <v>38.43</v>
      </c>
      <c r="H1037">
        <f t="shared" si="83"/>
        <v>28.84</v>
      </c>
      <c r="I1037">
        <f t="shared" si="84"/>
        <v>28.84</v>
      </c>
    </row>
    <row r="1038" spans="1:9" ht="28.8">
      <c r="A1038" s="371">
        <v>161012</v>
      </c>
      <c r="B1038" s="240" t="s">
        <v>23643</v>
      </c>
      <c r="C1038" s="221" t="s">
        <v>115</v>
      </c>
      <c r="D1038" s="241">
        <v>48.64</v>
      </c>
      <c r="E1038" s="56" t="str">
        <f t="shared" si="80"/>
        <v>EMENDA DE TUBOS E CONEXÕES DE COBRE POR PROCESSO DE SOLDA - Ø 1.1/8" ATÉ 1.5/8"</v>
      </c>
      <c r="F1038" s="56" t="str">
        <f t="shared" si="81"/>
        <v>UND</v>
      </c>
      <c r="G1038">
        <f t="shared" si="82"/>
        <v>64.81</v>
      </c>
      <c r="H1038">
        <f t="shared" si="83"/>
        <v>48.64</v>
      </c>
      <c r="I1038">
        <f t="shared" si="84"/>
        <v>48.64</v>
      </c>
    </row>
    <row r="1039" spans="1:9">
      <c r="A1039" s="372">
        <v>161013</v>
      </c>
      <c r="B1039" s="241" t="s">
        <v>23644</v>
      </c>
      <c r="C1039" s="221" t="s">
        <v>1178</v>
      </c>
      <c r="D1039" s="241">
        <v>86.81</v>
      </c>
      <c r="E1039" s="56" t="str">
        <f t="shared" si="80"/>
        <v>GÁS REFRIGERANTE R22</v>
      </c>
      <c r="F1039" s="56" t="str">
        <f t="shared" si="81"/>
        <v>KG</v>
      </c>
      <c r="G1039">
        <f t="shared" si="82"/>
        <v>115.67</v>
      </c>
      <c r="H1039">
        <f t="shared" si="83"/>
        <v>86.81</v>
      </c>
      <c r="I1039">
        <f t="shared" si="84"/>
        <v>86.81</v>
      </c>
    </row>
    <row r="1040" spans="1:9">
      <c r="A1040" s="372">
        <v>161014</v>
      </c>
      <c r="B1040" s="241" t="s">
        <v>23645</v>
      </c>
      <c r="C1040" s="221" t="s">
        <v>1178</v>
      </c>
      <c r="D1040" s="241">
        <v>94.96</v>
      </c>
      <c r="E1040" s="56" t="str">
        <f t="shared" si="80"/>
        <v>GÁS REFRIGERANTE R407</v>
      </c>
      <c r="F1040" s="56" t="str">
        <f t="shared" si="81"/>
        <v>KG</v>
      </c>
      <c r="G1040">
        <f t="shared" si="82"/>
        <v>126.53</v>
      </c>
      <c r="H1040">
        <f t="shared" si="83"/>
        <v>94.96</v>
      </c>
      <c r="I1040">
        <f t="shared" si="84"/>
        <v>94.96</v>
      </c>
    </row>
    <row r="1041" spans="1:9">
      <c r="A1041" s="372">
        <v>161015</v>
      </c>
      <c r="B1041" s="241" t="s">
        <v>23646</v>
      </c>
      <c r="C1041" s="221" t="s">
        <v>1178</v>
      </c>
      <c r="D1041" s="241">
        <v>88.53</v>
      </c>
      <c r="E1041" s="56" t="str">
        <f t="shared" si="80"/>
        <v>GÁS REFRIGERANTE R410A</v>
      </c>
      <c r="F1041" s="56" t="str">
        <f t="shared" si="81"/>
        <v>KG</v>
      </c>
      <c r="G1041">
        <f t="shared" si="82"/>
        <v>117.97</v>
      </c>
      <c r="H1041">
        <f t="shared" si="83"/>
        <v>88.53</v>
      </c>
      <c r="I1041">
        <f t="shared" si="84"/>
        <v>88.53</v>
      </c>
    </row>
    <row r="1042" spans="1:9" ht="86.4">
      <c r="A1042" s="371">
        <v>161016</v>
      </c>
      <c r="B1042" s="240" t="s">
        <v>35705</v>
      </c>
      <c r="C1042" s="221" t="s">
        <v>112</v>
      </c>
      <c r="D1042" s="241">
        <v>121.24</v>
      </c>
      <c r="E1042" s="56" t="str">
        <f t="shared" si="80"/>
        <v>INSTALAÇÃO DE LINHA FRIGORÍGENA PARA INTERLIGAÇÃO DO SISTEMA DE CLIMATIZAÇÃO INCL. ACESSÓRIOS DE FIXAÇÃO, FITA PVC AUTO-ADERENTE E CABO PP, EXCLUSIVE TUBOS DE COBRE DA LINHA LIQUIDA E SUCÇÃO, ESPUMA ELASTOMÉRICA FLEXIVEL, EXCLUSIVE GÁS REFRIGERANTE</v>
      </c>
      <c r="F1042" s="56" t="str">
        <f t="shared" si="81"/>
        <v>M</v>
      </c>
      <c r="G1042">
        <f t="shared" si="82"/>
        <v>161.55000000000001</v>
      </c>
      <c r="H1042">
        <f t="shared" si="83"/>
        <v>121.24</v>
      </c>
      <c r="I1042">
        <f t="shared" si="84"/>
        <v>121.24</v>
      </c>
    </row>
    <row r="1043" spans="1:9" ht="28.8">
      <c r="A1043" s="372">
        <v>161017</v>
      </c>
      <c r="B1043" s="241" t="s">
        <v>23647</v>
      </c>
      <c r="C1043" s="221" t="s">
        <v>110</v>
      </c>
      <c r="D1043" s="241">
        <v>309.33</v>
      </c>
      <c r="E1043" s="56" t="str">
        <f t="shared" si="80"/>
        <v>DUTO EM CHAPA DE AÇO GALVANIZADA #22, EXCLUSIVE ACESSÓRIOS DE FIXAÇÃO</v>
      </c>
      <c r="F1043" s="56" t="str">
        <f t="shared" si="81"/>
        <v>M2</v>
      </c>
      <c r="G1043">
        <f t="shared" si="82"/>
        <v>412.18</v>
      </c>
      <c r="H1043">
        <f t="shared" si="83"/>
        <v>309.33</v>
      </c>
      <c r="I1043">
        <f t="shared" si="84"/>
        <v>309.33</v>
      </c>
    </row>
    <row r="1044" spans="1:9" ht="28.8">
      <c r="A1044" s="372">
        <v>161018</v>
      </c>
      <c r="B1044" s="241" t="s">
        <v>23648</v>
      </c>
      <c r="C1044" s="221" t="s">
        <v>110</v>
      </c>
      <c r="D1044" s="241">
        <v>248.28</v>
      </c>
      <c r="E1044" s="56" t="str">
        <f t="shared" si="80"/>
        <v>DUTO EM CHAPA DE AÇO GALVANIZADA #24, EXCLUSIVE ACESSÓRIOS DE FIXAÇÃO</v>
      </c>
      <c r="F1044" s="56" t="str">
        <f t="shared" si="81"/>
        <v>M2</v>
      </c>
      <c r="G1044">
        <f t="shared" si="82"/>
        <v>330.83</v>
      </c>
      <c r="H1044">
        <f t="shared" si="83"/>
        <v>248.28</v>
      </c>
      <c r="I1044">
        <f t="shared" si="84"/>
        <v>248.28</v>
      </c>
    </row>
    <row r="1045" spans="1:9" ht="28.8">
      <c r="A1045" s="372">
        <v>161019</v>
      </c>
      <c r="B1045" s="241" t="s">
        <v>23649</v>
      </c>
      <c r="C1045" s="221" t="s">
        <v>110</v>
      </c>
      <c r="D1045" s="241">
        <v>205.07</v>
      </c>
      <c r="E1045" s="56" t="str">
        <f t="shared" si="80"/>
        <v>DUTO EM CHAPA DE AÇO GALVANIZADA #26, EXCLUSIVE ACESSÓRIOS DE FIXAÇÃO</v>
      </c>
      <c r="F1045" s="56" t="str">
        <f t="shared" si="81"/>
        <v>M2</v>
      </c>
      <c r="G1045">
        <f t="shared" si="82"/>
        <v>273.26</v>
      </c>
      <c r="H1045">
        <f t="shared" si="83"/>
        <v>205.07</v>
      </c>
      <c r="I1045">
        <f t="shared" si="84"/>
        <v>205.07</v>
      </c>
    </row>
    <row r="1046" spans="1:9">
      <c r="A1046" s="372">
        <v>17</v>
      </c>
      <c r="B1046" s="241" t="s">
        <v>1557</v>
      </c>
      <c r="C1046" s="221"/>
      <c r="D1046" s="241"/>
      <c r="E1046" s="56" t="str">
        <f t="shared" si="80"/>
        <v>APARELHOS HIDRO-SANITÁRIOS</v>
      </c>
      <c r="F1046" s="56" t="str">
        <f t="shared" si="81"/>
        <v/>
      </c>
      <c r="G1046">
        <f t="shared" si="82"/>
        <v>0</v>
      </c>
      <c r="H1046">
        <f t="shared" si="83"/>
        <v>0</v>
      </c>
      <c r="I1046">
        <f t="shared" si="84"/>
        <v>0</v>
      </c>
    </row>
    <row r="1047" spans="1:9">
      <c r="A1047" s="372">
        <v>1701</v>
      </c>
      <c r="B1047" s="241" t="s">
        <v>1558</v>
      </c>
      <c r="C1047" s="221"/>
      <c r="D1047" s="241"/>
      <c r="E1047" s="56" t="str">
        <f t="shared" si="80"/>
        <v>LOUÇAS</v>
      </c>
      <c r="F1047" s="56" t="str">
        <f t="shared" si="81"/>
        <v/>
      </c>
      <c r="G1047">
        <f t="shared" si="82"/>
        <v>0</v>
      </c>
      <c r="H1047">
        <f t="shared" si="83"/>
        <v>0</v>
      </c>
      <c r="I1047">
        <f t="shared" si="84"/>
        <v>0</v>
      </c>
    </row>
    <row r="1048" spans="1:9" ht="86.4">
      <c r="A1048" s="372">
        <v>170101</v>
      </c>
      <c r="B1048" s="241" t="s">
        <v>27304</v>
      </c>
      <c r="C1048" s="221" t="s">
        <v>115</v>
      </c>
      <c r="D1048" s="241">
        <v>624.41999999999996</v>
      </c>
      <c r="E1048" s="56" t="str">
        <f t="shared" si="80"/>
        <v>LAVATÓRIO DE LOUÇA BRANCA COM COLUNA ? ASPEN VOGUE PLUS - DECA OU EQUIVALENTE, INCLUSIVE VÁLVULA DE SAÍDA CROMADA 1?, SIFÃO EM METAL CROMADO 1? X 1/2", ENGATE FLEXÍVEL TRANÇADO INOX 1/2? X 30CM E PARAFUSOS PARA FIXAÇÃO, EXCLUSIVE TORNEIRA</v>
      </c>
      <c r="F1048" s="56" t="str">
        <f t="shared" si="81"/>
        <v>UND</v>
      </c>
      <c r="G1048">
        <f t="shared" si="82"/>
        <v>832.04</v>
      </c>
      <c r="H1048">
        <f t="shared" si="83"/>
        <v>624.41999999999996</v>
      </c>
      <c r="I1048">
        <f t="shared" si="84"/>
        <v>624.41999999999996</v>
      </c>
    </row>
    <row r="1049" spans="1:9" ht="57.6">
      <c r="A1049" s="371">
        <v>170107</v>
      </c>
      <c r="B1049" s="240" t="s">
        <v>27305</v>
      </c>
      <c r="C1049" s="221" t="s">
        <v>115</v>
      </c>
      <c r="D1049" s="241">
        <v>813.64</v>
      </c>
      <c r="E1049" s="56" t="str">
        <f t="shared" si="80"/>
        <v>MICTÓRIO DE LOUÇA BRANCA COM SIFÃO INTEGRADO ANTIVANDALISMO - M715 - DECA OU EQUIVALENTE, INCLUSIVE ENGATE FLEXÍVEL TRANÇADO INOX 1/2? X 30CM</v>
      </c>
      <c r="F1049" s="56" t="str">
        <f t="shared" si="81"/>
        <v>UND</v>
      </c>
      <c r="G1049">
        <f t="shared" si="82"/>
        <v>1084.18</v>
      </c>
      <c r="H1049">
        <f t="shared" si="83"/>
        <v>813.64</v>
      </c>
      <c r="I1049">
        <f t="shared" si="84"/>
        <v>813.64</v>
      </c>
    </row>
    <row r="1050" spans="1:9" ht="28.8">
      <c r="A1050" s="371">
        <v>170110</v>
      </c>
      <c r="B1050" s="240" t="s">
        <v>27306</v>
      </c>
      <c r="C1050" s="221" t="s">
        <v>115</v>
      </c>
      <c r="D1050" s="241">
        <v>84.77</v>
      </c>
      <c r="E1050" s="56" t="str">
        <f t="shared" si="80"/>
        <v>CABIDE DE LOUÇA BRANCA COM 2 GANCHOS ? ICASA, CELITE OU EQUIVALENTE</v>
      </c>
      <c r="F1050" s="56" t="str">
        <f t="shared" si="81"/>
        <v>UND</v>
      </c>
      <c r="G1050">
        <f t="shared" si="82"/>
        <v>112.96</v>
      </c>
      <c r="H1050">
        <f t="shared" si="83"/>
        <v>84.77</v>
      </c>
      <c r="I1050">
        <f t="shared" si="84"/>
        <v>84.77</v>
      </c>
    </row>
    <row r="1051" spans="1:9" ht="72">
      <c r="A1051" s="372">
        <v>170114</v>
      </c>
      <c r="B1051" s="241" t="s">
        <v>27307</v>
      </c>
      <c r="C1051" s="221" t="s">
        <v>115</v>
      </c>
      <c r="D1051" s="241">
        <v>1047.8</v>
      </c>
      <c r="E1051" s="56" t="str">
        <f t="shared" si="80"/>
        <v>BACIA CONVENCIONAL INFANTIL DE LOUÇA BRANCA - STUDIO KIDS - DECA OU EQUIVALENTE, INCLUSIVE ASSENTO PLÁSTICO, TUBO DE LIGAÇÃO METAL CROMADO COM CANOPLA, ANEL DE VEDAÇÃO E PARAFUSOS PARA FIXAÇÃO</v>
      </c>
      <c r="F1051" s="56" t="str">
        <f t="shared" si="81"/>
        <v>UND</v>
      </c>
      <c r="G1051">
        <f t="shared" si="82"/>
        <v>1396.19</v>
      </c>
      <c r="H1051">
        <f t="shared" si="83"/>
        <v>1047.8</v>
      </c>
      <c r="I1051">
        <f t="shared" si="84"/>
        <v>1047.8</v>
      </c>
    </row>
    <row r="1052" spans="1:9" ht="86.4">
      <c r="A1052" s="372">
        <v>170115</v>
      </c>
      <c r="B1052" s="241" t="s">
        <v>27308</v>
      </c>
      <c r="C1052" s="221" t="s">
        <v>115</v>
      </c>
      <c r="D1052" s="241">
        <v>361.23</v>
      </c>
      <c r="E1052" s="56" t="str">
        <f t="shared" si="80"/>
        <v>CUBA DE LOUÇA BRANCA DE EMBUTIR REDONDA, 36CM - L-41 ? DECA OU EQUIVALENTE, INCLUSIVE VÁLVULA DE SAÍDA CROMADA 1?, SIFÃO EM METÁLICO TIPO COPO CROMADO 1? X 1/2" E ENGATE FLEXÍVEL TRANÇADO INOX 1/2? X 30CM, EXCLUSIVE TORNEIRA</v>
      </c>
      <c r="F1052" s="56" t="str">
        <f t="shared" si="81"/>
        <v>UND</v>
      </c>
      <c r="G1052">
        <f t="shared" si="82"/>
        <v>481.34</v>
      </c>
      <c r="H1052">
        <f t="shared" si="83"/>
        <v>361.23</v>
      </c>
      <c r="I1052">
        <f t="shared" si="84"/>
        <v>361.23</v>
      </c>
    </row>
    <row r="1053" spans="1:9" ht="72">
      <c r="A1053" s="372">
        <v>170116</v>
      </c>
      <c r="B1053" s="241" t="s">
        <v>27309</v>
      </c>
      <c r="C1053" s="221" t="s">
        <v>115</v>
      </c>
      <c r="D1053" s="241">
        <v>606.84</v>
      </c>
      <c r="E1053" s="56" t="str">
        <f t="shared" si="80"/>
        <v>BACIA CONVENCIONAL DE LOUÇA BRANCA, PADRÃO POPULAR - LOGASA, CELITE OU EQUIVALENTE, INCLUSIVE ASSENTO PLÁSTICO, TUBO DE LIGAÇÃO METAL CROMADO COM CANOPLA, ANEL DE VEDAÇÃO E PARAFUSOS PARA FIXAÇÃO</v>
      </c>
      <c r="F1053" s="56" t="str">
        <f t="shared" si="81"/>
        <v>UND</v>
      </c>
      <c r="G1053">
        <f t="shared" si="82"/>
        <v>808.61</v>
      </c>
      <c r="H1053">
        <f t="shared" si="83"/>
        <v>606.84</v>
      </c>
      <c r="I1053">
        <f t="shared" si="84"/>
        <v>606.84</v>
      </c>
    </row>
    <row r="1054" spans="1:9" ht="86.4">
      <c r="A1054" s="372">
        <v>170117</v>
      </c>
      <c r="B1054" s="241" t="s">
        <v>27310</v>
      </c>
      <c r="C1054" s="221" t="s">
        <v>115</v>
      </c>
      <c r="D1054" s="241">
        <v>251.71</v>
      </c>
      <c r="E1054" s="56" t="str">
        <f t="shared" si="80"/>
        <v>LAVATÓRIO DE LOUÇA BRANCA SEM COLUNA, PADRÃO POPULAR - COLIBRI - LOGASA OU EQUIVALENTE, INCLUSIVE SIFÃO EM PVC RÍGIDO 1? X1/2?, VÁLVULA EM PVC 1?, ENGATE FLEXÍVEL EM PVC 1/2" X 30CM E PARAFUSOS PARA FIXAÇÃO, EXCLUSIVE TORNEIRA</v>
      </c>
      <c r="F1054" s="56" t="str">
        <f t="shared" si="81"/>
        <v>UND</v>
      </c>
      <c r="G1054">
        <f t="shared" si="82"/>
        <v>335.4</v>
      </c>
      <c r="H1054">
        <f t="shared" si="83"/>
        <v>251.71</v>
      </c>
      <c r="I1054">
        <f t="shared" si="84"/>
        <v>251.71</v>
      </c>
    </row>
    <row r="1055" spans="1:9" ht="28.8">
      <c r="A1055" s="372">
        <v>170119</v>
      </c>
      <c r="B1055" s="241" t="s">
        <v>27311</v>
      </c>
      <c r="C1055" s="221" t="s">
        <v>115</v>
      </c>
      <c r="D1055" s="241">
        <v>76.45</v>
      </c>
      <c r="E1055" s="56" t="str">
        <f t="shared" si="80"/>
        <v>CABIDE DE LOUÇA BRANCA COM UM GANCHO - A680 - DECA OU EQUIVALENTE</v>
      </c>
      <c r="F1055" s="56" t="str">
        <f t="shared" si="81"/>
        <v>UND</v>
      </c>
      <c r="G1055">
        <f t="shared" si="82"/>
        <v>101.87</v>
      </c>
      <c r="H1055">
        <f t="shared" si="83"/>
        <v>76.45</v>
      </c>
      <c r="I1055">
        <f t="shared" si="84"/>
        <v>76.45</v>
      </c>
    </row>
    <row r="1056" spans="1:9" ht="86.4">
      <c r="A1056" s="372">
        <v>170120</v>
      </c>
      <c r="B1056" s="241" t="s">
        <v>27312</v>
      </c>
      <c r="C1056" s="221" t="s">
        <v>115</v>
      </c>
      <c r="D1056" s="241">
        <v>354.15</v>
      </c>
      <c r="E1056" s="56" t="str">
        <f t="shared" si="80"/>
        <v>LAVATÓRIO DE LOUÇA BRANCA COM COLUNA, PADRÃO POPULAR IZY ? DECA, CELITE OU EQUIVALENTE, INCLUSIVE SIFÃO EM PVC RÍGIDO 1? X1/2?, VÁLVULA EM PVC 1?, ENGATE FLEXÍVEL EM PVC 1/2" X 30CM E PARAFUSOS PARA FIXAÇÃO, EXCLUSIVE TORNEIRA</v>
      </c>
      <c r="F1056" s="56" t="str">
        <f t="shared" si="81"/>
        <v>UND</v>
      </c>
      <c r="G1056">
        <f t="shared" si="82"/>
        <v>471.9</v>
      </c>
      <c r="H1056">
        <f t="shared" si="83"/>
        <v>354.15</v>
      </c>
      <c r="I1056">
        <f t="shared" si="84"/>
        <v>354.15</v>
      </c>
    </row>
    <row r="1057" spans="1:9" ht="86.4">
      <c r="A1057" s="372">
        <v>170121</v>
      </c>
      <c r="B1057" s="241" t="s">
        <v>27313</v>
      </c>
      <c r="C1057" s="221" t="s">
        <v>115</v>
      </c>
      <c r="D1057" s="241">
        <v>350.16</v>
      </c>
      <c r="E1057" s="56" t="str">
        <f t="shared" si="80"/>
        <v>RECOLOCAÇÃO DE BACIA SANITÁRIA, INCLUSIVE FORNECIMENTO DE TUBO DE LIGAÇÃO METAL CROMADO COM CANOPLA, ENGATE FLEXÍVEL TRANÇADO INOX 1/2? X 30CM, ANEL DE VEDAÇÃO E PARAFUSOS PARA FIXAÇÃO), EXCLUSIVE BACIA SANITÁRIA</v>
      </c>
      <c r="F1057" s="56" t="str">
        <f t="shared" si="81"/>
        <v>UND</v>
      </c>
      <c r="G1057">
        <f t="shared" si="82"/>
        <v>466.59</v>
      </c>
      <c r="H1057">
        <f t="shared" si="83"/>
        <v>350.16</v>
      </c>
      <c r="I1057">
        <f t="shared" si="84"/>
        <v>350.16</v>
      </c>
    </row>
    <row r="1058" spans="1:9" ht="72">
      <c r="A1058" s="372">
        <v>170122</v>
      </c>
      <c r="B1058" s="241" t="s">
        <v>27314</v>
      </c>
      <c r="C1058" s="221" t="s">
        <v>115</v>
      </c>
      <c r="D1058" s="241">
        <v>341.36</v>
      </c>
      <c r="E1058" s="56" t="str">
        <f t="shared" si="80"/>
        <v>RECOLOCAÇÃO DE LAVATÓRIO SANITÁRIO, INCLUSIVE FORNECIMENTO DE , INCLUSIVE VÁLVULA DE SAÍDA CROMADA 1?, SIFÃO EM METAL CROMADO 1? X 1/2" E ENGATE FLEXÍVEL TRANÇADO INOX 1/2? X 30CM, EXCLUSIVE LAVATÓRIO</v>
      </c>
      <c r="F1058" s="56" t="str">
        <f t="shared" si="81"/>
        <v>UND</v>
      </c>
      <c r="G1058">
        <f t="shared" si="82"/>
        <v>454.86</v>
      </c>
      <c r="H1058">
        <f t="shared" si="83"/>
        <v>341.36</v>
      </c>
      <c r="I1058">
        <f t="shared" si="84"/>
        <v>341.36</v>
      </c>
    </row>
    <row r="1059" spans="1:9" ht="43.2">
      <c r="A1059" s="372">
        <v>170123</v>
      </c>
      <c r="B1059" s="241" t="s">
        <v>27315</v>
      </c>
      <c r="C1059" s="221" t="s">
        <v>115</v>
      </c>
      <c r="D1059" s="241">
        <v>149</v>
      </c>
      <c r="E1059" s="56" t="str">
        <f t="shared" si="80"/>
        <v>RECOLOCAÇÃO DE LAVATÓRIO SANITÁRIO, INCLUSIVE FORNECIMENTO DE ACESSÓRIOS (SIFÃO, VÁLVULA E ENGATE EM PVC), EXCLUSIVE LAVATÓRIO</v>
      </c>
      <c r="F1059" s="56" t="str">
        <f t="shared" si="81"/>
        <v>UND</v>
      </c>
      <c r="G1059">
        <f t="shared" si="82"/>
        <v>198.54</v>
      </c>
      <c r="H1059">
        <f t="shared" si="83"/>
        <v>149</v>
      </c>
      <c r="I1059">
        <f t="shared" si="84"/>
        <v>149</v>
      </c>
    </row>
    <row r="1060" spans="1:9" ht="72">
      <c r="A1060" s="372">
        <v>170124</v>
      </c>
      <c r="B1060" s="241" t="s">
        <v>27316</v>
      </c>
      <c r="C1060" s="221" t="s">
        <v>115</v>
      </c>
      <c r="D1060" s="241">
        <v>576.16999999999996</v>
      </c>
      <c r="E1060" s="56" t="str">
        <f t="shared" si="80"/>
        <v>LAVATÓRIO SUSPENSO DE CANTO - IZY - L101 - DECA OU EQUIVALENTE, INCLUSIVE VÁLVULA DE SAÍDA CROMADA 1?, SIFÃO EM METAL CROMADO 1? X 1/2", ENGATE FLEXÍVEL TRANÇADO INOX 1/2? X 30CM E PARAFUSOS PARA FIXAÇÃO, EXCLUSIVE TORNEIRA</v>
      </c>
      <c r="F1060" s="56" t="str">
        <f t="shared" si="81"/>
        <v>UND</v>
      </c>
      <c r="G1060">
        <f t="shared" si="82"/>
        <v>767.75</v>
      </c>
      <c r="H1060">
        <f t="shared" si="83"/>
        <v>576.16999999999996</v>
      </c>
      <c r="I1060">
        <f t="shared" si="84"/>
        <v>576.16999999999996</v>
      </c>
    </row>
    <row r="1061" spans="1:9" ht="100.8">
      <c r="A1061" s="372">
        <v>170126</v>
      </c>
      <c r="B1061" s="241" t="s">
        <v>27317</v>
      </c>
      <c r="C1061" s="221" t="s">
        <v>115</v>
      </c>
      <c r="D1061" s="241">
        <v>3660.87</v>
      </c>
      <c r="E1061" s="56" t="str">
        <f t="shared" si="80"/>
        <v>BACIA CONVENCIONAL DE LOUÇA BRANCA SEM ABERTURA FRONTAL PARA PORTADORES DE NECESSIDADES ESPECIAIS, VOGUE PLUS CONFORTO - P510, INCLUSIVE ASSENTO EM POLIÉSTER, REF. AP51 - DECA OU EQUIVALENTE, TUBO DE LIGAÇÃO METAL CROMADO COM CANOPLA, ANEL DE VEDAÇÃO E PARAFUSOS PARA FIXAÇÃO</v>
      </c>
      <c r="F1061" s="56" t="str">
        <f t="shared" si="81"/>
        <v>UND</v>
      </c>
      <c r="G1061">
        <f t="shared" si="82"/>
        <v>4878.1099999999997</v>
      </c>
      <c r="H1061">
        <f t="shared" si="83"/>
        <v>3660.87</v>
      </c>
      <c r="I1061">
        <f t="shared" si="84"/>
        <v>3660.87</v>
      </c>
    </row>
    <row r="1062" spans="1:9" ht="100.8">
      <c r="A1062" s="372">
        <v>170128</v>
      </c>
      <c r="B1062" s="241" t="s">
        <v>27318</v>
      </c>
      <c r="C1062" s="221" t="s">
        <v>115</v>
      </c>
      <c r="D1062" s="241">
        <v>1389.09</v>
      </c>
      <c r="E1062" s="56" t="str">
        <f t="shared" si="80"/>
        <v>LAVATÓRIO DE LOUÇA BRANCA COM COLUNA SUSPENSA, VOGUE PLUS CONFORT - L51+CS1V PARA PORTADORES DE NECESSIDADES ESPECIAIS - DECA, INCLUSIVE VÁLVULA DE SAÍDA CROMADA 1?, SIFÃO EM METAL CROMADO 1? X 1/2", ENGATE FLEXÍVEL TRANÇADO INOX 1/2? X 30CM E PARAFUSOS PARA FIXAÇÃO, EXCLUSIVE TORNEIRA</v>
      </c>
      <c r="F1062" s="56" t="str">
        <f t="shared" si="81"/>
        <v>UND</v>
      </c>
      <c r="G1062">
        <f t="shared" si="82"/>
        <v>1850.96</v>
      </c>
      <c r="H1062">
        <f t="shared" si="83"/>
        <v>1389.09</v>
      </c>
      <c r="I1062">
        <f t="shared" si="84"/>
        <v>1389.09</v>
      </c>
    </row>
    <row r="1063" spans="1:9" ht="100.8">
      <c r="A1063" s="372">
        <v>170129</v>
      </c>
      <c r="B1063" s="241" t="s">
        <v>27319</v>
      </c>
      <c r="C1063" s="221" t="s">
        <v>115</v>
      </c>
      <c r="D1063" s="241">
        <v>648.16</v>
      </c>
      <c r="E1063" s="56" t="str">
        <f t="shared" si="80"/>
        <v>BACIA SANITÁRIA DE LOUÇA BRANCA COM CAIXA ACOPLADA E VÁLVULA DE ACIONAMENTO SIMPLES - IZY - DECA, CELITE OU EQUIVALENTE, INCLUSIVE ASSENTO PLÁSTICO, TUBO DE LIGAÇÃO METAL CROMADO COM CANOPLA, ENGATE FLEXÍVEL TRANÇADO INOX 1/2? X 30CM, ANEL DE VEDAÇÃO E PARAFUSOS PARA FIXAÇÃO</v>
      </c>
      <c r="F1063" s="56" t="str">
        <f t="shared" si="81"/>
        <v>UND</v>
      </c>
      <c r="G1063">
        <f t="shared" si="82"/>
        <v>863.67</v>
      </c>
      <c r="H1063">
        <f t="shared" si="83"/>
        <v>648.16</v>
      </c>
      <c r="I1063">
        <f t="shared" si="84"/>
        <v>648.16</v>
      </c>
    </row>
    <row r="1064" spans="1:9" ht="86.4">
      <c r="A1064" s="372">
        <v>170130</v>
      </c>
      <c r="B1064" s="241" t="s">
        <v>27320</v>
      </c>
      <c r="C1064" s="221" t="s">
        <v>115</v>
      </c>
      <c r="D1064" s="241">
        <v>937.71</v>
      </c>
      <c r="E1064" s="56" t="str">
        <f t="shared" si="80"/>
        <v>LAVATÓRIO DE LOUÇA BRANCA COM COLUNA, RAVENA L91 + C9 - DECA OU EQUIVALENTE, INCLUSIVE VÁLVULA DE SAÍDA CROMADA 1?, SIFÃO EM METAL CROMADO 1? X 1/2", ENGATE FLEXÍVEL TRANÇADO INOX 1/2? X 30CM E PARAFUSOS PARA FIXAÇÃO, EXCLUSIVE TORNEIRA</v>
      </c>
      <c r="F1064" s="56" t="str">
        <f t="shared" si="81"/>
        <v>UND</v>
      </c>
      <c r="G1064">
        <f t="shared" si="82"/>
        <v>1249.5</v>
      </c>
      <c r="H1064">
        <f t="shared" si="83"/>
        <v>937.71</v>
      </c>
      <c r="I1064">
        <f t="shared" si="84"/>
        <v>937.71</v>
      </c>
    </row>
    <row r="1065" spans="1:9" ht="86.4">
      <c r="A1065" s="371">
        <v>170132</v>
      </c>
      <c r="B1065" s="240" t="s">
        <v>27321</v>
      </c>
      <c r="C1065" s="221" t="s">
        <v>115</v>
      </c>
      <c r="D1065" s="241">
        <v>2133.5</v>
      </c>
      <c r="E1065" s="56" t="str">
        <f t="shared" si="80"/>
        <v>LAVATÓRIO SUSPENSO DE CANTO - L76 - DECA OU EQUIVALENTE, PARA PORTADORES DE NECESSIDADES ESPECIAIS, INCLUSIVE VÁLVULA DE SAÍDA CROMADA 1?, SIFÃO EM METAL CROMADO 1? X 1/2", ENGATE FLEXÍVEL TRANÇADO INOX 1/2? X 30CM E PARAFUSOS PARA FIXAÇÃO, EXCLUSIVE TORNEIRA</v>
      </c>
      <c r="F1065" s="56" t="str">
        <f t="shared" si="81"/>
        <v>UND</v>
      </c>
      <c r="G1065">
        <f t="shared" si="82"/>
        <v>2842.89</v>
      </c>
      <c r="H1065">
        <f t="shared" si="83"/>
        <v>2133.5</v>
      </c>
      <c r="I1065">
        <f t="shared" si="84"/>
        <v>2133.5</v>
      </c>
    </row>
    <row r="1066" spans="1:9" ht="72">
      <c r="A1066" s="372">
        <v>170133</v>
      </c>
      <c r="B1066" s="241" t="s">
        <v>27322</v>
      </c>
      <c r="C1066" s="221" t="s">
        <v>115</v>
      </c>
      <c r="D1066" s="241">
        <v>387.03</v>
      </c>
      <c r="E1066" s="56" t="str">
        <f t="shared" si="80"/>
        <v>CUBA DE LOUÇA BRANCA DE EMBUTIR OVAL - L37 - DECA OU EQUIVALENTE, INCLUSIVE VÁLVULA DE SAÍDA CROMADA 1?, SIFÃO EM METÁLICO TIPO COPO CROMADO 1? X 1/2" E ENGATE FLEXÍVEL TRANÇADO INOX 1/2? X 30CM, EXCLUSIVE TORNEIRA</v>
      </c>
      <c r="F1066" s="56" t="str">
        <f t="shared" si="81"/>
        <v>UND</v>
      </c>
      <c r="G1066">
        <f t="shared" si="82"/>
        <v>515.72</v>
      </c>
      <c r="H1066">
        <f t="shared" si="83"/>
        <v>387.03</v>
      </c>
      <c r="I1066">
        <f t="shared" si="84"/>
        <v>387.03</v>
      </c>
    </row>
    <row r="1067" spans="1:9" ht="72">
      <c r="A1067" s="372">
        <v>170134</v>
      </c>
      <c r="B1067" s="241" t="s">
        <v>27323</v>
      </c>
      <c r="C1067" s="221" t="s">
        <v>115</v>
      </c>
      <c r="D1067" s="241">
        <v>789.14</v>
      </c>
      <c r="E1067" s="56" t="str">
        <f t="shared" si="80"/>
        <v>BACIA CONVENCIONAL DE LOUÇA BRANCA- RAVENA - P9 - DECA OU EQUIVALENTE, INCLUSIVE ASSENTO PLÁSTICO, TUBO DE LIGAÇÃO METAL CROMADO COM CANOPLA, ANEL DE VEDAÇÃO E PARAFUSOS PARA FIXAÇÃO</v>
      </c>
      <c r="F1067" s="56" t="str">
        <f t="shared" si="81"/>
        <v>UND</v>
      </c>
      <c r="G1067">
        <f t="shared" si="82"/>
        <v>1051.53</v>
      </c>
      <c r="H1067">
        <f t="shared" si="83"/>
        <v>789.14</v>
      </c>
      <c r="I1067">
        <f t="shared" si="84"/>
        <v>789.14</v>
      </c>
    </row>
    <row r="1068" spans="1:9" ht="100.8">
      <c r="A1068" s="372">
        <v>170135</v>
      </c>
      <c r="B1068" s="241" t="s">
        <v>27324</v>
      </c>
      <c r="C1068" s="221" t="s">
        <v>115</v>
      </c>
      <c r="D1068" s="241">
        <v>3842.48</v>
      </c>
      <c r="E1068" s="56" t="str">
        <f t="shared" si="80"/>
        <v>BACIA CONVENCIONAL DE LOUÇA BRANCA COM ABERTURA FRONTAL PARA PORTADORES DE NECESSIDADES ESPECIAIS, VOGUE PLUS CONFORTO - P51, INCLUSIVE ASSENTO EM POLIÉSTER COM ABERTURA, REF. AP51 - DECA OU EQUIVALENTE, TUBO DE LIGAÇÃO METAL CROMADO COM CANOPLA, ANEL DE VEDAÇÃO E PARAFUSOS PARA FIXAÇÃO</v>
      </c>
      <c r="F1068" s="56" t="str">
        <f t="shared" si="81"/>
        <v>UND</v>
      </c>
      <c r="G1068">
        <f t="shared" si="82"/>
        <v>5120.1000000000004</v>
      </c>
      <c r="H1068">
        <f t="shared" si="83"/>
        <v>3842.48</v>
      </c>
      <c r="I1068">
        <f t="shared" si="84"/>
        <v>3842.48</v>
      </c>
    </row>
    <row r="1069" spans="1:9" ht="100.8">
      <c r="A1069" s="372">
        <v>170136</v>
      </c>
      <c r="B1069" s="241" t="s">
        <v>27325</v>
      </c>
      <c r="C1069" s="221" t="s">
        <v>115</v>
      </c>
      <c r="D1069" s="241">
        <v>1191.43</v>
      </c>
      <c r="E1069" s="56" t="str">
        <f t="shared" si="80"/>
        <v>BACIA SANITÁRIA DE LOUÇA BRANCA COM CAIXA ACOPLADA E VÁLVULA DE DUPLO ACIONAMENTO, RAVENA - P9 - DECA OU EQUIVALENTE, INCLUSIVE ASSENTO PLÁSTICO, TUBO DE LIGAÇÃO METAL CROMADO COM CANOPLA, ENGATE FLEXÍVEL TRANÇADO INOX 1/2? X 30CM, ANEL DE VEDAÇÃO E PARAFUSOS PARA FIXAÇÃO</v>
      </c>
      <c r="F1069" s="56" t="str">
        <f t="shared" si="81"/>
        <v>UND</v>
      </c>
      <c r="G1069">
        <f t="shared" si="82"/>
        <v>1587.58</v>
      </c>
      <c r="H1069">
        <f t="shared" si="83"/>
        <v>1191.43</v>
      </c>
      <c r="I1069">
        <f>D1069/(1+$E$1)</f>
        <v>1191.43</v>
      </c>
    </row>
    <row r="1070" spans="1:9">
      <c r="A1070" s="372">
        <v>1702</v>
      </c>
      <c r="B1070" s="241" t="s">
        <v>55</v>
      </c>
      <c r="C1070" s="221"/>
      <c r="D1070" s="241"/>
      <c r="E1070" s="56" t="str">
        <f t="shared" si="80"/>
        <v>BANCADAS</v>
      </c>
      <c r="F1070" s="56" t="str">
        <f t="shared" si="81"/>
        <v/>
      </c>
      <c r="G1070">
        <f t="shared" si="82"/>
        <v>0</v>
      </c>
      <c r="H1070">
        <f t="shared" si="83"/>
        <v>0</v>
      </c>
      <c r="I1070">
        <f t="shared" si="84"/>
        <v>0</v>
      </c>
    </row>
    <row r="1071" spans="1:9">
      <c r="A1071" s="372">
        <v>170205</v>
      </c>
      <c r="B1071" s="241" t="s">
        <v>1559</v>
      </c>
      <c r="C1071" s="221" t="s">
        <v>110</v>
      </c>
      <c r="D1071" s="241">
        <v>636.21</v>
      </c>
      <c r="E1071" s="56" t="str">
        <f t="shared" si="80"/>
        <v>BANCADA DE MÁRMORE ESP. 3CM</v>
      </c>
      <c r="F1071" s="56" t="str">
        <f t="shared" si="81"/>
        <v>M2</v>
      </c>
      <c r="G1071">
        <f t="shared" si="82"/>
        <v>847.75</v>
      </c>
      <c r="H1071">
        <f t="shared" si="83"/>
        <v>636.21</v>
      </c>
      <c r="I1071">
        <f t="shared" si="84"/>
        <v>636.21</v>
      </c>
    </row>
    <row r="1072" spans="1:9">
      <c r="A1072" s="371">
        <v>170220</v>
      </c>
      <c r="B1072" s="240" t="s">
        <v>1560</v>
      </c>
      <c r="C1072" s="221" t="s">
        <v>110</v>
      </c>
      <c r="D1072" s="241">
        <v>482.01</v>
      </c>
      <c r="E1072" s="56" t="str">
        <f t="shared" si="80"/>
        <v>BANCADA DE GRANITO COM ESPESSURA DE 2 CM</v>
      </c>
      <c r="F1072" s="56" t="str">
        <f t="shared" si="81"/>
        <v>M2</v>
      </c>
      <c r="G1072">
        <f t="shared" si="82"/>
        <v>642.28</v>
      </c>
      <c r="H1072">
        <f t="shared" si="83"/>
        <v>482.01</v>
      </c>
      <c r="I1072">
        <f t="shared" si="84"/>
        <v>482.01</v>
      </c>
    </row>
    <row r="1073" spans="1:9" ht="28.8">
      <c r="A1073" s="372">
        <v>170221</v>
      </c>
      <c r="B1073" s="241" t="s">
        <v>1561</v>
      </c>
      <c r="C1073" s="221" t="s">
        <v>110</v>
      </c>
      <c r="D1073" s="241">
        <v>24.39</v>
      </c>
      <c r="E1073" s="56" t="str">
        <f t="shared" si="80"/>
        <v>LAJE ARMADA ESPESSURA DE 3CM P/ ENCHIMENTO DE FUNDO DE BANCADA INOX</v>
      </c>
      <c r="F1073" s="56" t="str">
        <f t="shared" si="81"/>
        <v>M2</v>
      </c>
      <c r="G1073">
        <f t="shared" si="82"/>
        <v>32.5</v>
      </c>
      <c r="H1073">
        <f t="shared" si="83"/>
        <v>24.39</v>
      </c>
      <c r="I1073">
        <f t="shared" si="84"/>
        <v>24.39</v>
      </c>
    </row>
    <row r="1074" spans="1:9" ht="72">
      <c r="A1074" s="372">
        <v>170222</v>
      </c>
      <c r="B1074" s="241" t="s">
        <v>1562</v>
      </c>
      <c r="C1074" s="221" t="s">
        <v>115</v>
      </c>
      <c r="D1074" s="241">
        <v>2183.38</v>
      </c>
      <c r="E1074" s="56" t="str">
        <f t="shared" si="80"/>
        <v>BANCADA E TANQUE PARA PANELÕES EM GRANITO CINZA ANDORINHA, ESP. 2CM, DIM. 0.80X1.10M, BASE DE CONCRETO E APOIO EM ALVENARIA, FRONTÃO H=10CM, INCL. VÁLVULA E SIFÃO, EXCLUSIVE TORNEIRA, CONF. DET. PROJETO</v>
      </c>
      <c r="F1074" s="56" t="str">
        <f t="shared" si="81"/>
        <v>UND</v>
      </c>
      <c r="G1074">
        <f t="shared" si="82"/>
        <v>2909.35</v>
      </c>
      <c r="H1074">
        <f t="shared" si="83"/>
        <v>2183.38</v>
      </c>
      <c r="I1074">
        <f t="shared" si="84"/>
        <v>2183.38</v>
      </c>
    </row>
    <row r="1075" spans="1:9">
      <c r="A1075" s="372">
        <v>1703</v>
      </c>
      <c r="B1075" s="241" t="s">
        <v>1563</v>
      </c>
      <c r="C1075" s="221"/>
      <c r="D1075" s="241"/>
      <c r="E1075" s="56" t="str">
        <f t="shared" si="80"/>
        <v>TORNEIRAS, REGISTROS, VÁLVULAS E METAIS</v>
      </c>
      <c r="F1075" s="56" t="str">
        <f t="shared" si="81"/>
        <v/>
      </c>
      <c r="G1075">
        <f t="shared" si="82"/>
        <v>0</v>
      </c>
      <c r="H1075">
        <f t="shared" si="83"/>
        <v>0</v>
      </c>
      <c r="I1075">
        <f t="shared" si="84"/>
        <v>0</v>
      </c>
    </row>
    <row r="1076" spans="1:9" ht="43.2">
      <c r="A1076" s="372">
        <v>170304</v>
      </c>
      <c r="B1076" s="241" t="s">
        <v>27326</v>
      </c>
      <c r="C1076" s="221" t="s">
        <v>115</v>
      </c>
      <c r="D1076" s="241">
        <v>243.88</v>
      </c>
      <c r="E1076" s="56" t="str">
        <f t="shared" si="80"/>
        <v>TORNEIRA BICA BAIXA DE MESA PARA LAVATÓRIO PRESSMATIC ALFA - DOCOL, DECAMATIC SMART - DECA OU EQUIVALENTE</v>
      </c>
      <c r="F1076" s="56" t="str">
        <f t="shared" si="81"/>
        <v>UND</v>
      </c>
      <c r="G1076">
        <f t="shared" si="82"/>
        <v>324.97000000000003</v>
      </c>
      <c r="H1076">
        <f t="shared" si="83"/>
        <v>243.88</v>
      </c>
      <c r="I1076">
        <f t="shared" si="84"/>
        <v>243.88</v>
      </c>
    </row>
    <row r="1077" spans="1:9" ht="28.8">
      <c r="A1077" s="371">
        <v>170306</v>
      </c>
      <c r="B1077" s="240" t="s">
        <v>27327</v>
      </c>
      <c r="C1077" s="221" t="s">
        <v>115</v>
      </c>
      <c r="D1077" s="241">
        <v>200</v>
      </c>
      <c r="E1077" s="56" t="str">
        <f t="shared" si="80"/>
        <v>TORNEIRA DE PAREDE PARA TANQUE LONGA 3/4" 1158 PRIMOR - DOCOL OU EQUIVALENTE</v>
      </c>
      <c r="F1077" s="56" t="str">
        <f t="shared" si="81"/>
        <v>UND</v>
      </c>
      <c r="G1077">
        <f t="shared" si="82"/>
        <v>266.5</v>
      </c>
      <c r="H1077">
        <f t="shared" si="83"/>
        <v>200</v>
      </c>
      <c r="I1077">
        <f t="shared" si="84"/>
        <v>200</v>
      </c>
    </row>
    <row r="1078" spans="1:9" ht="28.8">
      <c r="A1078" s="372">
        <v>170309</v>
      </c>
      <c r="B1078" s="241" t="s">
        <v>27328</v>
      </c>
      <c r="C1078" s="221" t="s">
        <v>115</v>
      </c>
      <c r="D1078" s="241">
        <v>117.01</v>
      </c>
      <c r="E1078" s="56" t="str">
        <f t="shared" si="80"/>
        <v>TORNEIRA ANGULAR DE ACIONAMENTO RESTRITO PARA JARDIM, 3/4" ? DOCOL OU EQUIVALENTE</v>
      </c>
      <c r="F1078" s="56" t="str">
        <f t="shared" si="81"/>
        <v>UND</v>
      </c>
      <c r="G1078">
        <f t="shared" si="82"/>
        <v>155.91999999999999</v>
      </c>
      <c r="H1078">
        <f t="shared" si="83"/>
        <v>117.01</v>
      </c>
      <c r="I1078">
        <f t="shared" si="84"/>
        <v>117.01</v>
      </c>
    </row>
    <row r="1079" spans="1:9" ht="28.8">
      <c r="A1079" s="372">
        <v>170310</v>
      </c>
      <c r="B1079" s="241" t="s">
        <v>27329</v>
      </c>
      <c r="C1079" s="221" t="s">
        <v>115</v>
      </c>
      <c r="D1079" s="241">
        <v>234.71</v>
      </c>
      <c r="E1079" s="56" t="str">
        <f t="shared" si="80"/>
        <v>TORNEIRA PARA USO GERAL 1130 TRIO - DOCOL OU EQUIVALENTE</v>
      </c>
      <c r="F1079" s="56" t="str">
        <f t="shared" si="81"/>
        <v>UND</v>
      </c>
      <c r="G1079">
        <f t="shared" si="82"/>
        <v>312.75</v>
      </c>
      <c r="H1079">
        <f t="shared" si="83"/>
        <v>234.71</v>
      </c>
      <c r="I1079">
        <f t="shared" si="84"/>
        <v>234.71</v>
      </c>
    </row>
    <row r="1080" spans="1:9" ht="28.8">
      <c r="A1080" s="371">
        <v>170311</v>
      </c>
      <c r="B1080" s="240" t="s">
        <v>27330</v>
      </c>
      <c r="C1080" s="221" t="s">
        <v>115</v>
      </c>
      <c r="D1080" s="241">
        <v>64.150000000000006</v>
      </c>
      <c r="E1080" s="56" t="str">
        <f t="shared" si="80"/>
        <v>TORNEIRA EM POLIPROPILENO DE PAREDE PARA PIA SLIM - KRONA OU EQUIVALENTE</v>
      </c>
      <c r="F1080" s="56" t="str">
        <f t="shared" si="81"/>
        <v>UND</v>
      </c>
      <c r="G1080">
        <f t="shared" si="82"/>
        <v>85.48</v>
      </c>
      <c r="H1080">
        <f t="shared" si="83"/>
        <v>64.150000000000006</v>
      </c>
      <c r="I1080">
        <f t="shared" si="84"/>
        <v>64.150000000000006</v>
      </c>
    </row>
    <row r="1081" spans="1:9" ht="28.8">
      <c r="A1081" s="372">
        <v>170313</v>
      </c>
      <c r="B1081" s="241" t="s">
        <v>27331</v>
      </c>
      <c r="C1081" s="221" t="s">
        <v>115</v>
      </c>
      <c r="D1081" s="241">
        <v>200</v>
      </c>
      <c r="E1081" s="56" t="str">
        <f t="shared" si="80"/>
        <v>TORNEIRA DE PAREDE PARA TANQUE LONGA 1/2" 1158 PRIMOR ? DOCOL OU EQUIVALENTE</v>
      </c>
      <c r="F1081" s="56" t="str">
        <f t="shared" si="81"/>
        <v>UND</v>
      </c>
      <c r="G1081">
        <f t="shared" si="82"/>
        <v>266.5</v>
      </c>
      <c r="H1081">
        <f t="shared" si="83"/>
        <v>200</v>
      </c>
      <c r="I1081">
        <f t="shared" si="84"/>
        <v>200</v>
      </c>
    </row>
    <row r="1082" spans="1:9" ht="28.8">
      <c r="A1082" s="371">
        <v>170315</v>
      </c>
      <c r="B1082" s="240" t="s">
        <v>27332</v>
      </c>
      <c r="C1082" s="221" t="s">
        <v>115</v>
      </c>
      <c r="D1082" s="241">
        <v>301.32</v>
      </c>
      <c r="E1082" s="56" t="str">
        <f t="shared" si="80"/>
        <v>TORNEIRA DE PAREDE DE COZINHA BICA ALTA 360º GALI - DOCOL OU EQUIVALENTE</v>
      </c>
      <c r="F1082" s="56" t="str">
        <f t="shared" si="81"/>
        <v>UND</v>
      </c>
      <c r="G1082">
        <f t="shared" si="82"/>
        <v>401.51</v>
      </c>
      <c r="H1082">
        <f t="shared" si="83"/>
        <v>301.32</v>
      </c>
      <c r="I1082">
        <f t="shared" si="84"/>
        <v>301.32</v>
      </c>
    </row>
    <row r="1083" spans="1:9" ht="43.2">
      <c r="A1083" s="372">
        <v>170316</v>
      </c>
      <c r="B1083" s="241" t="s">
        <v>1564</v>
      </c>
      <c r="C1083" s="221" t="s">
        <v>115</v>
      </c>
      <c r="D1083" s="241">
        <v>140.59</v>
      </c>
      <c r="E1083" s="56" t="str">
        <f t="shared" si="80"/>
        <v>REGISTRO DE PRESSÃO COM CANOPLA CROMADA DIAM. 15MM (1/2"), MARCAS DE REFERÊNCIA FABRIMAR, DECA OU DOCOL</v>
      </c>
      <c r="F1083" s="56" t="str">
        <f t="shared" si="81"/>
        <v>UND</v>
      </c>
      <c r="G1083">
        <f t="shared" si="82"/>
        <v>187.34</v>
      </c>
      <c r="H1083">
        <f t="shared" si="83"/>
        <v>140.59</v>
      </c>
      <c r="I1083">
        <f t="shared" si="84"/>
        <v>140.59</v>
      </c>
    </row>
    <row r="1084" spans="1:9" ht="43.2">
      <c r="A1084" s="372">
        <v>170317</v>
      </c>
      <c r="B1084" s="241" t="s">
        <v>1565</v>
      </c>
      <c r="C1084" s="221" t="s">
        <v>115</v>
      </c>
      <c r="D1084" s="241">
        <v>148.13999999999999</v>
      </c>
      <c r="E1084" s="56" t="str">
        <f t="shared" si="80"/>
        <v>REGISTRO DE PRESSÃO COM CANOPLA CROMADA DIAM. 20MM (3/4"), MARCAS DE REFERÊNCIA FABRIMAR, DECA OU DOCOL</v>
      </c>
      <c r="F1084" s="56" t="str">
        <f t="shared" si="81"/>
        <v>UND</v>
      </c>
      <c r="G1084">
        <f t="shared" si="82"/>
        <v>197.4</v>
      </c>
      <c r="H1084">
        <f t="shared" si="83"/>
        <v>148.13999999999999</v>
      </c>
      <c r="I1084">
        <f t="shared" si="84"/>
        <v>148.13999999999999</v>
      </c>
    </row>
    <row r="1085" spans="1:9" ht="43.2">
      <c r="A1085" s="372">
        <v>170318</v>
      </c>
      <c r="B1085" s="241" t="s">
        <v>27333</v>
      </c>
      <c r="C1085" s="221" t="s">
        <v>115</v>
      </c>
      <c r="D1085" s="241">
        <v>63.8</v>
      </c>
      <c r="E1085" s="56" t="str">
        <f t="shared" si="80"/>
        <v>REGISTRO DE PRESSÃO BRUTO COM VOLANTE, DIÂMETRO 1/2" (15MM) ? DOCOL, DECA OU EQUIVALENTE</v>
      </c>
      <c r="F1085" s="56" t="str">
        <f t="shared" si="81"/>
        <v>UND</v>
      </c>
      <c r="G1085">
        <f t="shared" si="82"/>
        <v>85.01</v>
      </c>
      <c r="H1085">
        <f t="shared" si="83"/>
        <v>63.8</v>
      </c>
      <c r="I1085">
        <f t="shared" si="84"/>
        <v>63.8</v>
      </c>
    </row>
    <row r="1086" spans="1:9" ht="28.8">
      <c r="A1086" s="372">
        <v>170319</v>
      </c>
      <c r="B1086" s="241" t="s">
        <v>27334</v>
      </c>
      <c r="C1086" s="221" t="s">
        <v>115</v>
      </c>
      <c r="D1086" s="241">
        <v>62.27</v>
      </c>
      <c r="E1086" s="56" t="str">
        <f t="shared" si="80"/>
        <v>REGISTRO DE GAVETA BRUTO ABNT DIÂMETRO 1/2" (15MM) - DOCOL, DECA OU EQUIVALENTE</v>
      </c>
      <c r="F1086" s="56" t="str">
        <f t="shared" si="81"/>
        <v>UND</v>
      </c>
      <c r="G1086">
        <f t="shared" si="82"/>
        <v>82.97</v>
      </c>
      <c r="H1086">
        <f t="shared" si="83"/>
        <v>62.27</v>
      </c>
      <c r="I1086">
        <f t="shared" si="84"/>
        <v>62.27</v>
      </c>
    </row>
    <row r="1087" spans="1:9" ht="28.8">
      <c r="A1087" s="372">
        <v>170320</v>
      </c>
      <c r="B1087" s="241" t="s">
        <v>27335</v>
      </c>
      <c r="C1087" s="221" t="s">
        <v>115</v>
      </c>
      <c r="D1087" s="241">
        <v>64.86</v>
      </c>
      <c r="E1087" s="56" t="str">
        <f t="shared" si="80"/>
        <v>REGISTRO DE GAVETA BRUTO ABNT DIÂMETRO 3/4" (20MM) ? DOCOL, DECA OU EQUIVALENTE</v>
      </c>
      <c r="F1087" s="56" t="str">
        <f t="shared" si="81"/>
        <v>UND</v>
      </c>
      <c r="G1087">
        <f t="shared" si="82"/>
        <v>86.43</v>
      </c>
      <c r="H1087">
        <f t="shared" si="83"/>
        <v>64.86</v>
      </c>
      <c r="I1087">
        <f t="shared" si="84"/>
        <v>64.86</v>
      </c>
    </row>
    <row r="1088" spans="1:9" ht="28.8">
      <c r="A1088" s="371">
        <v>170321</v>
      </c>
      <c r="B1088" s="240" t="s">
        <v>27336</v>
      </c>
      <c r="C1088" s="221" t="s">
        <v>115</v>
      </c>
      <c r="D1088" s="241">
        <v>89.08</v>
      </c>
      <c r="E1088" s="56" t="str">
        <f t="shared" si="80"/>
        <v>REGISTRO DE GAVETA BRUTO ABNT DIÂMETRO 1" (25MM) ? DOCOL, DECA OU EQUIVALENTE</v>
      </c>
      <c r="F1088" s="56" t="str">
        <f t="shared" si="81"/>
        <v>UND</v>
      </c>
      <c r="G1088">
        <f t="shared" si="82"/>
        <v>118.7</v>
      </c>
      <c r="H1088">
        <f t="shared" si="83"/>
        <v>89.08</v>
      </c>
      <c r="I1088">
        <f t="shared" si="84"/>
        <v>89.08</v>
      </c>
    </row>
    <row r="1089" spans="1:9" ht="28.8">
      <c r="A1089" s="371">
        <v>170322</v>
      </c>
      <c r="B1089" s="240" t="s">
        <v>27337</v>
      </c>
      <c r="C1089" s="221" t="s">
        <v>115</v>
      </c>
      <c r="D1089" s="241">
        <v>130.63</v>
      </c>
      <c r="E1089" s="56" t="str">
        <f t="shared" ref="E1089:E1152" si="85">UPPER(B1089)</f>
        <v>REGISTRO DE GAVETA BRUTO ABNT DIÂMETRO 1.1/4" (32MM) - DOCOL, DECA OU EQUIVALENTE</v>
      </c>
      <c r="F1089" s="56" t="str">
        <f t="shared" ref="F1089:F1152" si="86">UPPER(C1089)</f>
        <v>UND</v>
      </c>
      <c r="G1089">
        <f t="shared" si="82"/>
        <v>174.06</v>
      </c>
      <c r="H1089">
        <f t="shared" si="83"/>
        <v>130.63</v>
      </c>
      <c r="I1089">
        <f t="shared" si="84"/>
        <v>130.63</v>
      </c>
    </row>
    <row r="1090" spans="1:9" ht="28.8">
      <c r="A1090" s="372">
        <v>170323</v>
      </c>
      <c r="B1090" s="241" t="s">
        <v>27338</v>
      </c>
      <c r="C1090" s="221" t="s">
        <v>115</v>
      </c>
      <c r="D1090" s="241">
        <v>182.15</v>
      </c>
      <c r="E1090" s="56" t="str">
        <f t="shared" si="85"/>
        <v>REGISTRO DE GAVETA BRUTO ABNT DIÂMETRO 1.1/2" (40MM) ? DOCOL, DECA OU EQUIVALENTE</v>
      </c>
      <c r="F1090" s="56" t="str">
        <f t="shared" si="86"/>
        <v>UND</v>
      </c>
      <c r="G1090">
        <f t="shared" si="82"/>
        <v>242.71</v>
      </c>
      <c r="H1090">
        <f t="shared" si="83"/>
        <v>182.15</v>
      </c>
      <c r="I1090">
        <f t="shared" si="84"/>
        <v>182.15</v>
      </c>
    </row>
    <row r="1091" spans="1:9" ht="28.8">
      <c r="A1091" s="372">
        <v>170324</v>
      </c>
      <c r="B1091" s="241" t="s">
        <v>27339</v>
      </c>
      <c r="C1091" s="221" t="s">
        <v>115</v>
      </c>
      <c r="D1091" s="241">
        <v>250.57</v>
      </c>
      <c r="E1091" s="56" t="str">
        <f t="shared" si="85"/>
        <v>REGISTRO DE GAVETA BRUTO ABNT DIÂMETRO 2" (50MM) ? DOCOL, DECA OU EQUIVALENTE</v>
      </c>
      <c r="F1091" s="56" t="str">
        <f t="shared" si="86"/>
        <v>UND</v>
      </c>
      <c r="G1091">
        <f t="shared" si="82"/>
        <v>333.88</v>
      </c>
      <c r="H1091">
        <f t="shared" si="83"/>
        <v>250.57</v>
      </c>
      <c r="I1091">
        <f t="shared" si="84"/>
        <v>250.57</v>
      </c>
    </row>
    <row r="1092" spans="1:9" ht="43.2">
      <c r="A1092" s="372">
        <v>170325</v>
      </c>
      <c r="B1092" s="241" t="s">
        <v>27340</v>
      </c>
      <c r="C1092" s="221" t="s">
        <v>115</v>
      </c>
      <c r="D1092" s="241">
        <v>437.87</v>
      </c>
      <c r="E1092" s="56" t="str">
        <f t="shared" si="85"/>
        <v>REGISTRO DE GAVETA BRUTO INDUSTRIAL DIÂMETRO 2.1/2? (65MM) ? DOCOL, DECA OU EQUIVALENTE</v>
      </c>
      <c r="F1092" s="56" t="str">
        <f t="shared" si="86"/>
        <v>UND</v>
      </c>
      <c r="G1092">
        <f t="shared" si="82"/>
        <v>583.46</v>
      </c>
      <c r="H1092">
        <f t="shared" si="83"/>
        <v>437.87</v>
      </c>
      <c r="I1092">
        <f t="shared" si="84"/>
        <v>437.87</v>
      </c>
    </row>
    <row r="1093" spans="1:9" ht="43.2">
      <c r="A1093" s="372">
        <v>170326</v>
      </c>
      <c r="B1093" s="241" t="s">
        <v>27341</v>
      </c>
      <c r="C1093" s="221" t="s">
        <v>115</v>
      </c>
      <c r="D1093" s="241">
        <v>620.92999999999995</v>
      </c>
      <c r="E1093" s="56" t="str">
        <f t="shared" si="85"/>
        <v>REGISTRO DE GAVETA BRUTO INDUSTRIAL DIÂMETRO 3? (75MM) ? DOCOL, DECA OU EQUIVALENTE</v>
      </c>
      <c r="F1093" s="56" t="str">
        <f t="shared" si="86"/>
        <v>UND</v>
      </c>
      <c r="G1093">
        <f t="shared" si="82"/>
        <v>827.39</v>
      </c>
      <c r="H1093">
        <f t="shared" si="83"/>
        <v>620.92999999999995</v>
      </c>
      <c r="I1093">
        <f t="shared" si="84"/>
        <v>620.92999999999995</v>
      </c>
    </row>
    <row r="1094" spans="1:9" ht="43.2">
      <c r="A1094" s="372">
        <v>170327</v>
      </c>
      <c r="B1094" s="241" t="s">
        <v>1566</v>
      </c>
      <c r="C1094" s="221" t="s">
        <v>115</v>
      </c>
      <c r="D1094" s="241">
        <v>131.62</v>
      </c>
      <c r="E1094" s="56" t="str">
        <f t="shared" si="85"/>
        <v>REGISTRO DE GAVETA COM CANOPLA CROMADA DIAM. 15MM (1/2"), MARCAS DE REFERÊNCIA FABRIMAR, DECA OU DOCOL</v>
      </c>
      <c r="F1094" s="56" t="str">
        <f t="shared" si="86"/>
        <v>UND</v>
      </c>
      <c r="G1094">
        <f t="shared" si="82"/>
        <v>175.38</v>
      </c>
      <c r="H1094">
        <f t="shared" si="83"/>
        <v>131.62</v>
      </c>
      <c r="I1094">
        <f t="shared" si="84"/>
        <v>131.62</v>
      </c>
    </row>
    <row r="1095" spans="1:9" ht="43.2">
      <c r="A1095" s="372">
        <v>170328</v>
      </c>
      <c r="B1095" s="241" t="s">
        <v>1567</v>
      </c>
      <c r="C1095" s="221" t="s">
        <v>115</v>
      </c>
      <c r="D1095" s="241">
        <v>137.38999999999999</v>
      </c>
      <c r="E1095" s="56" t="str">
        <f t="shared" si="85"/>
        <v>REGISTRO DE GAVETA COM CANOPLA CROMADA, DIAM. 20MM (3/4"), MARCAS DE REFERÊNCIA FABRIMAR, DECA OU DOCOL</v>
      </c>
      <c r="F1095" s="56" t="str">
        <f t="shared" si="86"/>
        <v>UND</v>
      </c>
      <c r="G1095">
        <f t="shared" si="82"/>
        <v>183.07</v>
      </c>
      <c r="H1095">
        <f t="shared" si="83"/>
        <v>137.38999999999999</v>
      </c>
      <c r="I1095">
        <f t="shared" si="84"/>
        <v>137.38999999999999</v>
      </c>
    </row>
    <row r="1096" spans="1:9" ht="43.2">
      <c r="A1096" s="372">
        <v>170329</v>
      </c>
      <c r="B1096" s="241" t="s">
        <v>1568</v>
      </c>
      <c r="C1096" s="221" t="s">
        <v>115</v>
      </c>
      <c r="D1096" s="241">
        <v>175.01</v>
      </c>
      <c r="E1096" s="56" t="str">
        <f t="shared" si="85"/>
        <v>REGISTRO DE GAVETA COM CANOPLA CROMADA DIAM. 25MM (1"), MARCAS DE REFERÊNCIA FABRIMAR, DECA OU DOCOL</v>
      </c>
      <c r="F1096" s="56" t="str">
        <f t="shared" si="86"/>
        <v>UND</v>
      </c>
      <c r="G1096">
        <f t="shared" ref="G1096:G1159" si="87">ROUND(H1096*(1+$G$1),2)</f>
        <v>233.2</v>
      </c>
      <c r="H1096">
        <f t="shared" ref="H1096:H1159" si="88">I1096</f>
        <v>175.01</v>
      </c>
      <c r="I1096">
        <f t="shared" ref="I1096:I1159" si="89">ROUND(D1096/(1+$E$1),2)</f>
        <v>175.01</v>
      </c>
    </row>
    <row r="1097" spans="1:9" ht="43.2">
      <c r="A1097" s="372">
        <v>170330</v>
      </c>
      <c r="B1097" s="241" t="s">
        <v>1569</v>
      </c>
      <c r="C1097" s="221" t="s">
        <v>115</v>
      </c>
      <c r="D1097" s="241">
        <v>222.1</v>
      </c>
      <c r="E1097" s="56" t="str">
        <f t="shared" si="85"/>
        <v>REGISTRO DE GAVETA COM CANOPLA CROMADA DIAM 32MM (11/4"), MARCAS DE REFERÊNCIA FABRIMAR, DECA OU DOCOL</v>
      </c>
      <c r="F1097" s="56" t="str">
        <f t="shared" si="86"/>
        <v>UND</v>
      </c>
      <c r="G1097">
        <f t="shared" si="87"/>
        <v>295.95</v>
      </c>
      <c r="H1097">
        <f t="shared" si="88"/>
        <v>222.1</v>
      </c>
      <c r="I1097">
        <f t="shared" si="89"/>
        <v>222.1</v>
      </c>
    </row>
    <row r="1098" spans="1:9" ht="43.2">
      <c r="A1098" s="372">
        <v>170331</v>
      </c>
      <c r="B1098" s="241" t="s">
        <v>27342</v>
      </c>
      <c r="C1098" s="221" t="s">
        <v>115</v>
      </c>
      <c r="D1098" s="241">
        <v>240.59</v>
      </c>
      <c r="E1098" s="56" t="str">
        <f t="shared" si="85"/>
        <v>REGISTRO DE GAVETA ABNT COM ACABAMENTO CANOPLA METAL CROMADO C40, DIÂMETRO 1.1/2" (40MM) - DOCOL, DECA OU EQUIVALENTE</v>
      </c>
      <c r="F1098" s="56" t="str">
        <f t="shared" si="86"/>
        <v>UND</v>
      </c>
      <c r="G1098">
        <f t="shared" si="87"/>
        <v>320.58999999999997</v>
      </c>
      <c r="H1098">
        <f t="shared" si="88"/>
        <v>240.59</v>
      </c>
      <c r="I1098">
        <f t="shared" si="89"/>
        <v>240.59</v>
      </c>
    </row>
    <row r="1099" spans="1:9" ht="57.6">
      <c r="A1099" s="372">
        <v>170345</v>
      </c>
      <c r="B1099" s="241" t="s">
        <v>27343</v>
      </c>
      <c r="C1099" s="221" t="s">
        <v>115</v>
      </c>
      <c r="D1099" s="241">
        <v>352.16</v>
      </c>
      <c r="E1099" s="56" t="str">
        <f t="shared" si="85"/>
        <v>VÁLVULA DE DESCARGA COM ACABAMENTO CANOPLA METAL CROMADO, DIÂMETRO 1.1/4" (32MM), REFERÊNCIA DOCOL, DECA OU EQUIVALENTE</v>
      </c>
      <c r="F1099" s="56" t="str">
        <f t="shared" si="86"/>
        <v>UND</v>
      </c>
      <c r="G1099">
        <f t="shared" si="87"/>
        <v>469.25</v>
      </c>
      <c r="H1099">
        <f t="shared" si="88"/>
        <v>352.16</v>
      </c>
      <c r="I1099">
        <f t="shared" si="89"/>
        <v>352.16</v>
      </c>
    </row>
    <row r="1100" spans="1:9" ht="57.6">
      <c r="A1100" s="372">
        <v>170346</v>
      </c>
      <c r="B1100" s="241" t="s">
        <v>27344</v>
      </c>
      <c r="C1100" s="221" t="s">
        <v>115</v>
      </c>
      <c r="D1100" s="594">
        <v>348.2</v>
      </c>
      <c r="E1100" s="56" t="str">
        <f t="shared" si="85"/>
        <v>VÁLVULA DE DESCARGA COM ACABAMENTO CANOPLA METAL CROMADO, DIÂMETRO 40MM (1.1/2"), REFERÊNCIA FABRIMAR, DECA, DOCOL OU EQUIVALENTE</v>
      </c>
      <c r="F1100" s="56" t="str">
        <f t="shared" si="86"/>
        <v>UND</v>
      </c>
      <c r="G1100">
        <f t="shared" si="87"/>
        <v>463.98</v>
      </c>
      <c r="H1100">
        <f t="shared" si="88"/>
        <v>348.2</v>
      </c>
      <c r="I1100">
        <f t="shared" si="89"/>
        <v>348.2</v>
      </c>
    </row>
    <row r="1101" spans="1:9" ht="28.8">
      <c r="A1101" s="371">
        <v>170347</v>
      </c>
      <c r="B1101" s="240" t="s">
        <v>27345</v>
      </c>
      <c r="C1101" s="221" t="s">
        <v>115</v>
      </c>
      <c r="D1101" s="241">
        <v>13.77</v>
      </c>
      <c r="E1101" s="56" t="str">
        <f t="shared" si="85"/>
        <v>VÁLVULA DE PVC 1? PARA LAVATÓRIO COM UNHO - ASTRA, CIPLA, AKROS OU EQUIVALENTE</v>
      </c>
      <c r="F1101" s="56" t="str">
        <f t="shared" si="86"/>
        <v>UND</v>
      </c>
      <c r="G1101">
        <f t="shared" si="87"/>
        <v>18.350000000000001</v>
      </c>
      <c r="H1101">
        <f t="shared" si="88"/>
        <v>13.77</v>
      </c>
      <c r="I1101">
        <f t="shared" si="89"/>
        <v>13.77</v>
      </c>
    </row>
    <row r="1102" spans="1:9" ht="28.8">
      <c r="A1102" s="372">
        <v>170348</v>
      </c>
      <c r="B1102" s="241" t="s">
        <v>27346</v>
      </c>
      <c r="C1102" s="221" t="s">
        <v>115</v>
      </c>
      <c r="D1102" s="241">
        <v>18.41</v>
      </c>
      <c r="E1102" s="56" t="str">
        <f t="shared" si="85"/>
        <v>VÁLVULA DE PVC 2.1/4? PARA TANQUE COM UNHO - ASTRA, CIPLA, AKROS OU EQUIVALENTE</v>
      </c>
      <c r="F1102" s="56" t="str">
        <f t="shared" si="86"/>
        <v>UND</v>
      </c>
      <c r="G1102">
        <f t="shared" si="87"/>
        <v>24.53</v>
      </c>
      <c r="H1102">
        <f t="shared" si="88"/>
        <v>18.41</v>
      </c>
      <c r="I1102">
        <f t="shared" si="89"/>
        <v>18.41</v>
      </c>
    </row>
    <row r="1103" spans="1:9" ht="28.8">
      <c r="A1103" s="372">
        <v>170349</v>
      </c>
      <c r="B1103" s="241" t="s">
        <v>27347</v>
      </c>
      <c r="C1103" s="221" t="s">
        <v>115</v>
      </c>
      <c r="D1103" s="241">
        <v>73.38</v>
      </c>
      <c r="E1103" s="56" t="str">
        <f t="shared" si="85"/>
        <v>ACABAMENTO PARA VÁLVULA DE DESCARGA CLÁSSICA ? DOCOL, DECA OU EQUIVALENTE</v>
      </c>
      <c r="F1103" s="56" t="str">
        <f t="shared" si="86"/>
        <v>UND</v>
      </c>
      <c r="G1103">
        <f t="shared" si="87"/>
        <v>97.78</v>
      </c>
      <c r="H1103">
        <f t="shared" si="88"/>
        <v>73.38</v>
      </c>
      <c r="I1103">
        <f t="shared" si="89"/>
        <v>73.38</v>
      </c>
    </row>
    <row r="1104" spans="1:9" ht="43.2">
      <c r="A1104" s="372">
        <v>170350</v>
      </c>
      <c r="B1104" s="241" t="s">
        <v>27348</v>
      </c>
      <c r="C1104" s="221" t="s">
        <v>115</v>
      </c>
      <c r="D1104" s="241">
        <v>22.64</v>
      </c>
      <c r="E1104" s="56" t="str">
        <f t="shared" si="85"/>
        <v>CONJUNTO PARAFUSO DE FIXAÇÃO PARA INSTALAÇÃO EM BACIA OU MICTÓRIO, INCLUSIVE COLOCAÇÃO</v>
      </c>
      <c r="F1104" s="56" t="str">
        <f t="shared" si="86"/>
        <v>UND</v>
      </c>
      <c r="G1104">
        <f t="shared" si="87"/>
        <v>30.17</v>
      </c>
      <c r="H1104">
        <f t="shared" si="88"/>
        <v>22.64</v>
      </c>
      <c r="I1104">
        <f t="shared" si="89"/>
        <v>22.64</v>
      </c>
    </row>
    <row r="1105" spans="1:9" ht="28.8">
      <c r="A1105" s="372">
        <v>170351</v>
      </c>
      <c r="B1105" s="241" t="s">
        <v>27349</v>
      </c>
      <c r="C1105" s="221" t="s">
        <v>115</v>
      </c>
      <c r="D1105" s="241">
        <v>445.39</v>
      </c>
      <c r="E1105" s="56" t="str">
        <f t="shared" si="85"/>
        <v>TORNEIRA DE PAREDE PARA COZINHA 1157-P-CR LINHA: PRATIKA ? FABRIMAR OU EQUIVALENTE</v>
      </c>
      <c r="F1105" s="56" t="str">
        <f t="shared" si="86"/>
        <v>UND</v>
      </c>
      <c r="G1105">
        <f t="shared" si="87"/>
        <v>593.48</v>
      </c>
      <c r="H1105">
        <f t="shared" si="88"/>
        <v>445.39</v>
      </c>
      <c r="I1105">
        <f t="shared" si="89"/>
        <v>445.39</v>
      </c>
    </row>
    <row r="1106" spans="1:9" ht="57.6">
      <c r="A1106" s="372">
        <v>170352</v>
      </c>
      <c r="B1106" s="241" t="s">
        <v>27350</v>
      </c>
      <c r="C1106" s="221" t="s">
        <v>115</v>
      </c>
      <c r="D1106" s="241">
        <v>577.86</v>
      </c>
      <c r="E1106" s="56" t="str">
        <f t="shared" si="85"/>
        <v>VÁLVULA DE DESCARGA COM ACABAMENTO CANOPLA METAL CROMADO SISTEMA ANTIVANDALISMO, DIÂMETRO 1.1/2" (40MM), REFERÊNCIA DOCOL, DECA OU EQUIVALENTE</v>
      </c>
      <c r="F1106" s="56" t="str">
        <f t="shared" si="86"/>
        <v>UND</v>
      </c>
      <c r="G1106">
        <f t="shared" si="87"/>
        <v>770</v>
      </c>
      <c r="H1106">
        <f t="shared" si="88"/>
        <v>577.86</v>
      </c>
      <c r="I1106">
        <f t="shared" si="89"/>
        <v>577.86</v>
      </c>
    </row>
    <row r="1107" spans="1:9" ht="43.2">
      <c r="A1107" s="372">
        <v>170353</v>
      </c>
      <c r="B1107" s="241" t="s">
        <v>27351</v>
      </c>
      <c r="C1107" s="221" t="s">
        <v>115</v>
      </c>
      <c r="D1107" s="241">
        <v>514.29999999999995</v>
      </c>
      <c r="E1107" s="56" t="str">
        <f t="shared" si="85"/>
        <v>TORNEIRA PARA LAVATÓRIO DE PAREDE SISTEMA ANTIVANDALISMO BIOPRESS 1182-AV-BIO-140 ? FABRIMAR OU EQUIVALENTE</v>
      </c>
      <c r="F1107" s="56" t="str">
        <f t="shared" si="86"/>
        <v>UND</v>
      </c>
      <c r="G1107">
        <f t="shared" si="87"/>
        <v>685.3</v>
      </c>
      <c r="H1107">
        <f t="shared" si="88"/>
        <v>514.29999999999995</v>
      </c>
      <c r="I1107">
        <f t="shared" si="89"/>
        <v>514.29999999999995</v>
      </c>
    </row>
    <row r="1108" spans="1:9" ht="43.2">
      <c r="A1108" s="372">
        <v>170354</v>
      </c>
      <c r="B1108" s="241" t="s">
        <v>27352</v>
      </c>
      <c r="C1108" s="221" t="s">
        <v>115</v>
      </c>
      <c r="D1108" s="241">
        <v>1392.07</v>
      </c>
      <c r="E1108" s="56" t="str">
        <f t="shared" si="85"/>
        <v>CHUVEIRO DE VAZÃO CONSTANTE COM VÁVULA ANTI-VANDALISMO PRESSMATIC ? DOCOL OU EQUIVALENTE</v>
      </c>
      <c r="F1108" s="56" t="str">
        <f t="shared" si="86"/>
        <v>UND</v>
      </c>
      <c r="G1108">
        <f t="shared" si="87"/>
        <v>1854.93</v>
      </c>
      <c r="H1108">
        <f t="shared" si="88"/>
        <v>1392.07</v>
      </c>
      <c r="I1108">
        <f t="shared" si="89"/>
        <v>1392.07</v>
      </c>
    </row>
    <row r="1109" spans="1:9" ht="43.2">
      <c r="A1109" s="372">
        <v>170357</v>
      </c>
      <c r="B1109" s="241" t="s">
        <v>27353</v>
      </c>
      <c r="C1109" s="221" t="s">
        <v>115</v>
      </c>
      <c r="D1109" s="241">
        <v>971.46</v>
      </c>
      <c r="E1109" s="56" t="str">
        <f t="shared" si="85"/>
        <v>CHUVEIRO EM METAL CROMADO COM DESVIADOR FLEXÍVEL E DUCHA MANUAL LINHA MAX 1975C ? DECA OU EQUIVALENTE</v>
      </c>
      <c r="F1109" s="56" t="str">
        <f t="shared" si="86"/>
        <v>UND</v>
      </c>
      <c r="G1109">
        <f t="shared" si="87"/>
        <v>1294.47</v>
      </c>
      <c r="H1109">
        <f t="shared" si="88"/>
        <v>971.46</v>
      </c>
      <c r="I1109">
        <f t="shared" si="89"/>
        <v>971.46</v>
      </c>
    </row>
    <row r="1110" spans="1:9" ht="28.8">
      <c r="A1110" s="372">
        <v>170361</v>
      </c>
      <c r="B1110" s="241" t="s">
        <v>27354</v>
      </c>
      <c r="C1110" s="221" t="s">
        <v>115</v>
      </c>
      <c r="D1110" s="241">
        <v>126.54</v>
      </c>
      <c r="E1110" s="56" t="str">
        <f t="shared" si="85"/>
        <v>VÁLVULA DE RETENÇÃO HORIZONTAL EM BRONZE, TIPO PORTINHOLA DIÂMETRO 1/2" (15MM)</v>
      </c>
      <c r="F1110" s="56" t="str">
        <f t="shared" si="86"/>
        <v>UND</v>
      </c>
      <c r="G1110">
        <f t="shared" si="87"/>
        <v>168.61</v>
      </c>
      <c r="H1110">
        <f t="shared" si="88"/>
        <v>126.54</v>
      </c>
      <c r="I1110">
        <f t="shared" si="89"/>
        <v>126.54</v>
      </c>
    </row>
    <row r="1111" spans="1:9" ht="28.8">
      <c r="A1111" s="372">
        <v>170362</v>
      </c>
      <c r="B1111" s="241" t="s">
        <v>27355</v>
      </c>
      <c r="C1111" s="221" t="s">
        <v>115</v>
      </c>
      <c r="D1111" s="241">
        <v>146.55000000000001</v>
      </c>
      <c r="E1111" s="56" t="str">
        <f t="shared" si="85"/>
        <v>VÁLVULA DE RETENÇÃO HORIZONTAL EM BRONZE, TIPO PORTINHOLA DIÂMETRO 3/4" (20MM)</v>
      </c>
      <c r="F1111" s="56" t="str">
        <f t="shared" si="86"/>
        <v>UND</v>
      </c>
      <c r="G1111">
        <f t="shared" si="87"/>
        <v>195.28</v>
      </c>
      <c r="H1111">
        <f t="shared" si="88"/>
        <v>146.55000000000001</v>
      </c>
      <c r="I1111">
        <f t="shared" si="89"/>
        <v>146.55000000000001</v>
      </c>
    </row>
    <row r="1112" spans="1:9" ht="28.8">
      <c r="A1112" s="371">
        <v>170363</v>
      </c>
      <c r="B1112" s="240" t="s">
        <v>27356</v>
      </c>
      <c r="C1112" s="221" t="s">
        <v>115</v>
      </c>
      <c r="D1112" s="241">
        <v>162.34</v>
      </c>
      <c r="E1112" s="56" t="str">
        <f t="shared" si="85"/>
        <v>VÁLVULA DE RETENÇÃO HORIZONTAL EM BRONZE, TIPO PORTINHOLA DIÂMETRO 1" (25MM)</v>
      </c>
      <c r="F1112" s="56" t="str">
        <f t="shared" si="86"/>
        <v>UND</v>
      </c>
      <c r="G1112">
        <f t="shared" si="87"/>
        <v>216.32</v>
      </c>
      <c r="H1112">
        <f t="shared" si="88"/>
        <v>162.34</v>
      </c>
      <c r="I1112">
        <f t="shared" si="89"/>
        <v>162.34</v>
      </c>
    </row>
    <row r="1113" spans="1:9" ht="28.8">
      <c r="A1113" s="372">
        <v>170364</v>
      </c>
      <c r="B1113" s="241" t="s">
        <v>27357</v>
      </c>
      <c r="C1113" s="221" t="s">
        <v>115</v>
      </c>
      <c r="D1113" s="241">
        <v>250.5</v>
      </c>
      <c r="E1113" s="56" t="str">
        <f t="shared" si="85"/>
        <v>VÁLVULA DE RETENÇÃO HORIZONTAL EM BRONZE, TIPO PORTINHOLA DIÂMETRO 1.1/4" (32MM)</v>
      </c>
      <c r="F1113" s="56" t="str">
        <f t="shared" si="86"/>
        <v>UND</v>
      </c>
      <c r="G1113">
        <f t="shared" si="87"/>
        <v>333.79</v>
      </c>
      <c r="H1113">
        <f t="shared" si="88"/>
        <v>250.5</v>
      </c>
      <c r="I1113">
        <f t="shared" si="89"/>
        <v>250.5</v>
      </c>
    </row>
    <row r="1114" spans="1:9" ht="28.8">
      <c r="A1114" s="372">
        <v>170365</v>
      </c>
      <c r="B1114" s="241" t="s">
        <v>27358</v>
      </c>
      <c r="C1114" s="221" t="s">
        <v>115</v>
      </c>
      <c r="D1114" s="241">
        <v>318.98</v>
      </c>
      <c r="E1114" s="56" t="str">
        <f t="shared" si="85"/>
        <v>VÁLVULA DE RETENÇÃO HORIZONTAL EM BRONZE, TIPO PORTINHOLA DIÂMETRO 1.1/2" (40MM)</v>
      </c>
      <c r="F1114" s="56" t="str">
        <f t="shared" si="86"/>
        <v>UND</v>
      </c>
      <c r="G1114">
        <f t="shared" si="87"/>
        <v>425.04</v>
      </c>
      <c r="H1114">
        <f t="shared" si="88"/>
        <v>318.98</v>
      </c>
      <c r="I1114">
        <f t="shared" si="89"/>
        <v>318.98</v>
      </c>
    </row>
    <row r="1115" spans="1:9" ht="28.8">
      <c r="A1115" s="372">
        <v>170366</v>
      </c>
      <c r="B1115" s="241" t="s">
        <v>27359</v>
      </c>
      <c r="C1115" s="221" t="s">
        <v>115</v>
      </c>
      <c r="D1115" s="241">
        <v>455.05</v>
      </c>
      <c r="E1115" s="56" t="str">
        <f t="shared" si="85"/>
        <v>VÁLVULA DE RETENÇÃO HORIZONTAL EM BRONZE, TIPO PORTINHOLA DIÂMETRO 2" (50MM)</v>
      </c>
      <c r="F1115" s="56" t="str">
        <f t="shared" si="86"/>
        <v>UND</v>
      </c>
      <c r="G1115">
        <f t="shared" si="87"/>
        <v>606.35</v>
      </c>
      <c r="H1115">
        <f t="shared" si="88"/>
        <v>455.05</v>
      </c>
      <c r="I1115">
        <f t="shared" si="89"/>
        <v>455.05</v>
      </c>
    </row>
    <row r="1116" spans="1:9" ht="28.8">
      <c r="A1116" s="372">
        <v>170367</v>
      </c>
      <c r="B1116" s="241" t="s">
        <v>27360</v>
      </c>
      <c r="C1116" s="221" t="s">
        <v>115</v>
      </c>
      <c r="D1116" s="241">
        <v>676.63</v>
      </c>
      <c r="E1116" s="56" t="str">
        <f t="shared" si="85"/>
        <v>VÁLVULA DE RETENÇÃO HORIZONTAL EM BRONZE, TIPO PORTINHOLA DIÂMETRO 2.1/2" (65MM)</v>
      </c>
      <c r="F1116" s="56" t="str">
        <f t="shared" si="86"/>
        <v>UND</v>
      </c>
      <c r="G1116">
        <f t="shared" si="87"/>
        <v>901.61</v>
      </c>
      <c r="H1116">
        <f t="shared" si="88"/>
        <v>676.63</v>
      </c>
      <c r="I1116">
        <f t="shared" si="89"/>
        <v>676.63</v>
      </c>
    </row>
    <row r="1117" spans="1:9" ht="28.8">
      <c r="A1117" s="372">
        <v>170368</v>
      </c>
      <c r="B1117" s="241" t="s">
        <v>27361</v>
      </c>
      <c r="C1117" s="221" t="s">
        <v>115</v>
      </c>
      <c r="D1117" s="241">
        <v>982.51</v>
      </c>
      <c r="E1117" s="56" t="str">
        <f t="shared" si="85"/>
        <v>VÁLVULA DE RETENÇÃO HORIZONTAL EM BRONZE, TIPO PORTINHOLA DIÂMETRO 3" (80MM)</v>
      </c>
      <c r="F1117" s="56" t="str">
        <f t="shared" si="86"/>
        <v>UND</v>
      </c>
      <c r="G1117">
        <f t="shared" si="87"/>
        <v>1309.19</v>
      </c>
      <c r="H1117">
        <f t="shared" si="88"/>
        <v>982.51</v>
      </c>
      <c r="I1117">
        <f t="shared" si="89"/>
        <v>982.51</v>
      </c>
    </row>
    <row r="1118" spans="1:9" ht="28.8">
      <c r="A1118" s="372">
        <v>170369</v>
      </c>
      <c r="B1118" s="241" t="s">
        <v>27362</v>
      </c>
      <c r="C1118" s="221" t="s">
        <v>115</v>
      </c>
      <c r="D1118" s="241">
        <v>86.37</v>
      </c>
      <c r="E1118" s="56" t="str">
        <f t="shared" si="85"/>
        <v>VÁLVULA DE RETENÇÃO VERTICAL EM BRONZE, CLASSE 125 DIÂMETRO 1/2" (15MM)</v>
      </c>
      <c r="F1118" s="56" t="str">
        <f t="shared" si="86"/>
        <v>UND</v>
      </c>
      <c r="G1118">
        <f t="shared" si="87"/>
        <v>115.09</v>
      </c>
      <c r="H1118">
        <f t="shared" si="88"/>
        <v>86.37</v>
      </c>
      <c r="I1118">
        <f t="shared" si="89"/>
        <v>86.37</v>
      </c>
    </row>
    <row r="1119" spans="1:9" ht="28.8">
      <c r="A1119" s="371">
        <v>170370</v>
      </c>
      <c r="B1119" s="240" t="s">
        <v>27363</v>
      </c>
      <c r="C1119" s="221" t="s">
        <v>115</v>
      </c>
      <c r="D1119" s="241">
        <v>102.41</v>
      </c>
      <c r="E1119" s="56" t="str">
        <f t="shared" si="85"/>
        <v>VÁLVULA DE RETENÇÃO VERTICAL EM BRONZE, CLASSE 125 DIÂMETRO 3/4" (20MM)</v>
      </c>
      <c r="F1119" s="56" t="str">
        <f t="shared" si="86"/>
        <v>UND</v>
      </c>
      <c r="G1119">
        <f t="shared" si="87"/>
        <v>136.46</v>
      </c>
      <c r="H1119">
        <f t="shared" si="88"/>
        <v>102.41</v>
      </c>
      <c r="I1119">
        <f t="shared" si="89"/>
        <v>102.41</v>
      </c>
    </row>
    <row r="1120" spans="1:9" ht="28.8">
      <c r="A1120" s="372">
        <v>170371</v>
      </c>
      <c r="B1120" s="241" t="s">
        <v>27364</v>
      </c>
      <c r="C1120" s="221" t="s">
        <v>115</v>
      </c>
      <c r="D1120" s="241">
        <v>126.2</v>
      </c>
      <c r="E1120" s="56" t="str">
        <f t="shared" si="85"/>
        <v>VÁLVULA DE RETENÇÃO VERTICAL EM BRONZE, CLASSE 125 DIÂMETRO 1" (25MM)</v>
      </c>
      <c r="F1120" s="56" t="str">
        <f t="shared" si="86"/>
        <v>UND</v>
      </c>
      <c r="G1120">
        <f t="shared" si="87"/>
        <v>168.16</v>
      </c>
      <c r="H1120">
        <f t="shared" si="88"/>
        <v>126.2</v>
      </c>
      <c r="I1120">
        <f t="shared" si="89"/>
        <v>126.2</v>
      </c>
    </row>
    <row r="1121" spans="1:9" ht="28.8">
      <c r="A1121" s="372">
        <v>170372</v>
      </c>
      <c r="B1121" s="241" t="s">
        <v>27365</v>
      </c>
      <c r="C1121" s="221" t="s">
        <v>115</v>
      </c>
      <c r="D1121" s="241">
        <v>183.82</v>
      </c>
      <c r="E1121" s="56" t="str">
        <f t="shared" si="85"/>
        <v>VÁLVULA DE RETENÇÃO VERTICAL EM BRONZE, CLASSE 125 DIÂMETRO 1.1/4" (32MM)</v>
      </c>
      <c r="F1121" s="56" t="str">
        <f t="shared" si="86"/>
        <v>UND</v>
      </c>
      <c r="G1121">
        <f t="shared" si="87"/>
        <v>244.94</v>
      </c>
      <c r="H1121">
        <f t="shared" si="88"/>
        <v>183.82</v>
      </c>
      <c r="I1121">
        <f t="shared" si="89"/>
        <v>183.82</v>
      </c>
    </row>
    <row r="1122" spans="1:9" ht="28.8">
      <c r="A1122" s="372">
        <v>170373</v>
      </c>
      <c r="B1122" s="241" t="s">
        <v>27366</v>
      </c>
      <c r="C1122" s="221" t="s">
        <v>115</v>
      </c>
      <c r="D1122" s="241">
        <v>198.23</v>
      </c>
      <c r="E1122" s="56" t="str">
        <f t="shared" si="85"/>
        <v>VÁLVULA DE RETENÇÃO VERTICAL EM BRONZE, CLASSE 125 DIÂMETRO 1.1/2" (40MM)</v>
      </c>
      <c r="F1122" s="56" t="str">
        <f t="shared" si="86"/>
        <v>UND</v>
      </c>
      <c r="G1122">
        <f t="shared" si="87"/>
        <v>264.14</v>
      </c>
      <c r="H1122">
        <f t="shared" si="88"/>
        <v>198.23</v>
      </c>
      <c r="I1122">
        <f t="shared" si="89"/>
        <v>198.23</v>
      </c>
    </row>
    <row r="1123" spans="1:9" ht="28.8">
      <c r="A1123" s="371">
        <v>170374</v>
      </c>
      <c r="B1123" s="240" t="s">
        <v>27367</v>
      </c>
      <c r="C1123" s="221" t="s">
        <v>115</v>
      </c>
      <c r="D1123" s="241">
        <v>310.25</v>
      </c>
      <c r="E1123" s="56" t="str">
        <f t="shared" si="85"/>
        <v>VÁLVULA DE RETENÇÃO VERTICAL EM BRONZE, CLASSE 125 DIÂMETRO 2" (50MM)</v>
      </c>
      <c r="F1123" s="56" t="str">
        <f t="shared" si="86"/>
        <v>UND</v>
      </c>
      <c r="G1123">
        <f t="shared" si="87"/>
        <v>413.41</v>
      </c>
      <c r="H1123">
        <f t="shared" si="88"/>
        <v>310.25</v>
      </c>
      <c r="I1123">
        <f t="shared" si="89"/>
        <v>310.25</v>
      </c>
    </row>
    <row r="1124" spans="1:9" ht="28.8">
      <c r="A1124" s="372">
        <v>170375</v>
      </c>
      <c r="B1124" s="241" t="s">
        <v>27368</v>
      </c>
      <c r="C1124" s="221" t="s">
        <v>115</v>
      </c>
      <c r="D1124" s="241">
        <v>488.98</v>
      </c>
      <c r="E1124" s="56" t="str">
        <f t="shared" si="85"/>
        <v>VÁLVULA DE RETENÇÃO VERTICAL EM BRONZE, CLASSE 125 DIÂMETRO 2.1/2" (65MM)</v>
      </c>
      <c r="F1124" s="56" t="str">
        <f t="shared" si="86"/>
        <v>UND</v>
      </c>
      <c r="G1124">
        <f t="shared" si="87"/>
        <v>651.57000000000005</v>
      </c>
      <c r="H1124">
        <f t="shared" si="88"/>
        <v>488.98</v>
      </c>
      <c r="I1124">
        <f t="shared" si="89"/>
        <v>488.98</v>
      </c>
    </row>
    <row r="1125" spans="1:9" ht="28.8">
      <c r="A1125" s="372">
        <v>170376</v>
      </c>
      <c r="B1125" s="241" t="s">
        <v>27369</v>
      </c>
      <c r="C1125" s="221" t="s">
        <v>115</v>
      </c>
      <c r="D1125" s="241">
        <v>670.21</v>
      </c>
      <c r="E1125" s="56" t="str">
        <f t="shared" si="85"/>
        <v>VÁLVULA DE RETENÇÃO VERTICAL EM BRONZE, CLASSE 125 DIÂMETRO 3" (80MM)</v>
      </c>
      <c r="F1125" s="56" t="str">
        <f t="shared" si="86"/>
        <v>UND</v>
      </c>
      <c r="G1125">
        <f t="shared" si="87"/>
        <v>893.05</v>
      </c>
      <c r="H1125">
        <f t="shared" si="88"/>
        <v>670.21</v>
      </c>
      <c r="I1125">
        <f t="shared" si="89"/>
        <v>670.21</v>
      </c>
    </row>
    <row r="1126" spans="1:9">
      <c r="A1126" s="372">
        <v>1705</v>
      </c>
      <c r="B1126" s="241" t="s">
        <v>1570</v>
      </c>
      <c r="C1126" s="221"/>
      <c r="D1126" s="594"/>
      <c r="E1126" s="56" t="str">
        <f t="shared" si="85"/>
        <v>OUTROS APARELHOS</v>
      </c>
      <c r="F1126" s="56" t="str">
        <f t="shared" si="86"/>
        <v/>
      </c>
      <c r="G1126">
        <f t="shared" si="87"/>
        <v>0</v>
      </c>
      <c r="H1126">
        <f t="shared" si="88"/>
        <v>0</v>
      </c>
      <c r="I1126">
        <f t="shared" si="89"/>
        <v>0</v>
      </c>
    </row>
    <row r="1127" spans="1:9" ht="28.8">
      <c r="A1127" s="372">
        <v>170502</v>
      </c>
      <c r="B1127" s="241" t="s">
        <v>2264</v>
      </c>
      <c r="C1127" s="221" t="s">
        <v>115</v>
      </c>
      <c r="D1127" s="241">
        <v>194.79</v>
      </c>
      <c r="E1127" s="56" t="str">
        <f t="shared" si="85"/>
        <v>CAIXA DE DESCARGA PLÁSTICA DE SOBREPOR 6/9 LITROS, REF. ASTRA, AKROS OU EQUIVALENTE</v>
      </c>
      <c r="F1127" s="56" t="str">
        <f t="shared" si="86"/>
        <v>UND</v>
      </c>
      <c r="G1127">
        <f t="shared" si="87"/>
        <v>259.56</v>
      </c>
      <c r="H1127">
        <f t="shared" si="88"/>
        <v>194.79</v>
      </c>
      <c r="I1127">
        <f t="shared" si="89"/>
        <v>194.79</v>
      </c>
    </row>
    <row r="1128" spans="1:9" ht="43.2">
      <c r="A1128" s="372">
        <v>170506</v>
      </c>
      <c r="B1128" s="241" t="s">
        <v>1822</v>
      </c>
      <c r="C1128" s="221" t="s">
        <v>115</v>
      </c>
      <c r="D1128" s="241">
        <v>710.67</v>
      </c>
      <c r="E1128" s="56" t="str">
        <f t="shared" si="85"/>
        <v>RESERVATÓRIO DE POLIETILENO DE 500 L, INCLUSIVE ADAPTADORES COM FLANGES DE PVC E TORNEIRA DE BÓIA DE 3/4"</v>
      </c>
      <c r="F1128" s="56" t="str">
        <f t="shared" si="86"/>
        <v>UND</v>
      </c>
      <c r="G1128">
        <f t="shared" si="87"/>
        <v>946.97</v>
      </c>
      <c r="H1128">
        <f t="shared" si="88"/>
        <v>710.67</v>
      </c>
      <c r="I1128">
        <f t="shared" si="89"/>
        <v>710.67</v>
      </c>
    </row>
    <row r="1129" spans="1:9" ht="86.4">
      <c r="A1129" s="372">
        <v>170507</v>
      </c>
      <c r="B1129" s="241" t="s">
        <v>1571</v>
      </c>
      <c r="C1129" s="221" t="s">
        <v>112</v>
      </c>
      <c r="D1129" s="241">
        <v>1630.82</v>
      </c>
      <c r="E1129" s="56" t="str">
        <f t="shared" si="85"/>
        <v>LAVATÓRIO DE AÇO INOX, LIGA AISI 304, N° 18, MARCAS DE REFERÊNCIA FISHER, METALPRESS OU MEKAL, INCLUSIVE APOIO DE CONCRETO, ARGAMASSA DE APOIO E ASSENTAMENTO, VÁLVULA E SIFÃO CROMADOS, EXCLUSIVE TORNEIRA, CONF. PROJETO</v>
      </c>
      <c r="F1129" s="56" t="str">
        <f t="shared" si="86"/>
        <v>M</v>
      </c>
      <c r="G1129">
        <f t="shared" si="87"/>
        <v>2173.0700000000002</v>
      </c>
      <c r="H1129">
        <f t="shared" si="88"/>
        <v>1630.82</v>
      </c>
      <c r="I1129">
        <f t="shared" si="89"/>
        <v>1630.82</v>
      </c>
    </row>
    <row r="1130" spans="1:9" ht="86.4">
      <c r="A1130" s="372">
        <v>170508</v>
      </c>
      <c r="B1130" s="241" t="s">
        <v>1572</v>
      </c>
      <c r="C1130" s="221" t="s">
        <v>112</v>
      </c>
      <c r="D1130" s="594">
        <v>1630.82</v>
      </c>
      <c r="E1130" s="56" t="str">
        <f t="shared" si="85"/>
        <v>ESCOVÁRIO DE AÇO INOX, LIGA AISI 304, N° 18, MARCAS DE REFERÊNCIA FISCHER, METALPRESS OU MEKAL, INCLUSIVE APOIO DE CONCRETO, ARGAMASSA DE APOIO E ASSENTAMENTO, VÁLVULA E SIFÃO CROMADOS, EXCLUSIVE TORNEIRA, CONF. PROJETO</v>
      </c>
      <c r="F1130" s="56" t="str">
        <f t="shared" si="86"/>
        <v>M</v>
      </c>
      <c r="G1130">
        <f t="shared" si="87"/>
        <v>2173.0700000000002</v>
      </c>
      <c r="H1130">
        <f t="shared" si="88"/>
        <v>1630.82</v>
      </c>
      <c r="I1130">
        <f t="shared" si="89"/>
        <v>1630.82</v>
      </c>
    </row>
    <row r="1131" spans="1:9" ht="43.2">
      <c r="A1131" s="372">
        <v>170509</v>
      </c>
      <c r="B1131" s="241" t="s">
        <v>1573</v>
      </c>
      <c r="C1131" s="221" t="s">
        <v>115</v>
      </c>
      <c r="D1131" s="241">
        <v>2700.76</v>
      </c>
      <c r="E1131" s="56" t="str">
        <f t="shared" si="85"/>
        <v>TANQUE DE AÇO INOX Nº 2, MARCAS DE REFERÊNCIA FISHER, METALPRESS OU MEKAL, INCLUSIVE VÁLVULA DE METAL E SIFÃO</v>
      </c>
      <c r="F1131" s="56" t="str">
        <f t="shared" si="86"/>
        <v>UND</v>
      </c>
      <c r="G1131">
        <f t="shared" si="87"/>
        <v>3598.76</v>
      </c>
      <c r="H1131">
        <f t="shared" si="88"/>
        <v>2700.76</v>
      </c>
      <c r="I1131">
        <f t="shared" si="89"/>
        <v>2700.76</v>
      </c>
    </row>
    <row r="1132" spans="1:9" ht="72">
      <c r="A1132" s="372">
        <v>170510</v>
      </c>
      <c r="B1132" s="241" t="s">
        <v>1574</v>
      </c>
      <c r="C1132" s="221" t="s">
        <v>115</v>
      </c>
      <c r="D1132" s="241">
        <v>5182.6899999999996</v>
      </c>
      <c r="E1132" s="56" t="str">
        <f t="shared" si="85"/>
        <v>BEBEDOURO DE AÇO INOX, MARCAS DE REFERÊNCIA FISHER, METALPRESS OU MEKAL, INCLUSIVE VÁLVULA, SIFÃO CROMADO E TORNEIRAS, EXCLUSIVE ALVENARIA, DIM. 0.45X2.75 M, CONFORME DETALHE EM PROJETO</v>
      </c>
      <c r="F1132" s="56" t="str">
        <f t="shared" si="86"/>
        <v>UND</v>
      </c>
      <c r="G1132">
        <f t="shared" si="87"/>
        <v>6905.93</v>
      </c>
      <c r="H1132">
        <f t="shared" si="88"/>
        <v>5182.6899999999996</v>
      </c>
      <c r="I1132">
        <f t="shared" si="89"/>
        <v>5182.6899999999996</v>
      </c>
    </row>
    <row r="1133" spans="1:9" ht="57.6">
      <c r="A1133" s="371">
        <v>170511</v>
      </c>
      <c r="B1133" s="240" t="s">
        <v>1575</v>
      </c>
      <c r="C1133" s="221" t="s">
        <v>115</v>
      </c>
      <c r="D1133" s="241">
        <v>2473.75</v>
      </c>
      <c r="E1133" s="56" t="str">
        <f t="shared" si="85"/>
        <v>MICTÓRIO COLETIVO DE AÇO INOX, LIGA AISI-304 N.18, MARCAS DE REFERÊNCIA FISHER, METALPRESS OU MEKAL, DIMENSÕES 1.80X0.30M, COM TUBO ESPARGIDOR</v>
      </c>
      <c r="F1133" s="56" t="str">
        <f t="shared" si="86"/>
        <v>UND</v>
      </c>
      <c r="G1133">
        <f t="shared" si="87"/>
        <v>3296.27</v>
      </c>
      <c r="H1133">
        <f t="shared" si="88"/>
        <v>2473.75</v>
      </c>
      <c r="I1133">
        <f t="shared" si="89"/>
        <v>2473.75</v>
      </c>
    </row>
    <row r="1134" spans="1:9" ht="57.6">
      <c r="A1134" s="372">
        <v>170512</v>
      </c>
      <c r="B1134" s="241" t="s">
        <v>1576</v>
      </c>
      <c r="C1134" s="221" t="s">
        <v>115</v>
      </c>
      <c r="D1134" s="241">
        <v>514.58000000000004</v>
      </c>
      <c r="E1134" s="56" t="str">
        <f t="shared" si="85"/>
        <v>CUBA DE AÇO INOX N° 1(DIM.460X300X150)MM, MARCAS DE REFERÊNCIA FRANKE, STRAKE, TRAMONTINA, INCLUSIVE VÁLVULA DE METAL 31/2" E SIFÃO CROMADO 1 X 1/2", EXCL. TORNEIRA</v>
      </c>
      <c r="F1134" s="56" t="str">
        <f t="shared" si="86"/>
        <v>UND</v>
      </c>
      <c r="G1134">
        <f t="shared" si="87"/>
        <v>685.68</v>
      </c>
      <c r="H1134">
        <f t="shared" si="88"/>
        <v>514.58000000000004</v>
      </c>
      <c r="I1134">
        <f t="shared" si="89"/>
        <v>514.58000000000004</v>
      </c>
    </row>
    <row r="1135" spans="1:9" ht="57.6">
      <c r="A1135" s="372">
        <v>170514</v>
      </c>
      <c r="B1135" s="241" t="s">
        <v>1577</v>
      </c>
      <c r="C1135" s="221" t="s">
        <v>115</v>
      </c>
      <c r="D1135" s="241">
        <v>1923.07</v>
      </c>
      <c r="E1135" s="56" t="str">
        <f t="shared" si="85"/>
        <v>TANQUE SIMPLES DE AÇO INOX FISCHER, MOD. TQ1-S AISI 304, OU EQUIVALENTE NAS MARCAS METALPRESS OU MEKAL, INCLUSIVE VÁLVULA DE METAL 1 1/4" E SIFÃO CROMADO 2", EXCL. TORNEIRA</v>
      </c>
      <c r="F1135" s="56" t="str">
        <f t="shared" si="86"/>
        <v>UND</v>
      </c>
      <c r="G1135">
        <f t="shared" si="87"/>
        <v>2562.4899999999998</v>
      </c>
      <c r="H1135">
        <f t="shared" si="88"/>
        <v>1923.07</v>
      </c>
      <c r="I1135">
        <f t="shared" si="89"/>
        <v>1923.07</v>
      </c>
    </row>
    <row r="1136" spans="1:9" ht="57.6">
      <c r="A1136" s="372">
        <v>170515</v>
      </c>
      <c r="B1136" s="241" t="s">
        <v>1578</v>
      </c>
      <c r="C1136" s="221" t="s">
        <v>115</v>
      </c>
      <c r="D1136" s="241">
        <v>1954.73</v>
      </c>
      <c r="E1136" s="56" t="str">
        <f t="shared" si="85"/>
        <v>CUBA P/ PANELÕES DE AÇO INOX 80X60X40 CM, MARCAS DE REFERÊNCIA FISHER, METALPRESS OU MEKAL, INCLUSIVE VÁLVULA METAL 1 1/4" E SIFÃO CROMADO 1 X 1 1/2", EXCL. TORNEIRA</v>
      </c>
      <c r="F1136" s="56" t="str">
        <f t="shared" si="86"/>
        <v>UND</v>
      </c>
      <c r="G1136">
        <f t="shared" si="87"/>
        <v>2604.6799999999998</v>
      </c>
      <c r="H1136">
        <f t="shared" si="88"/>
        <v>1954.73</v>
      </c>
      <c r="I1136">
        <f t="shared" si="89"/>
        <v>1954.73</v>
      </c>
    </row>
    <row r="1137" spans="1:9" ht="57.6">
      <c r="A1137" s="372">
        <v>170516</v>
      </c>
      <c r="B1137" s="241" t="s">
        <v>1579</v>
      </c>
      <c r="C1137" s="221" t="s">
        <v>115</v>
      </c>
      <c r="D1137" s="241">
        <v>3174.71</v>
      </c>
      <c r="E1137" s="56" t="str">
        <f t="shared" si="85"/>
        <v>TANQUE DUPLO DE AÇO INOX AISI 304, MARCAS DE REFERÊNCIA FISHER (MOD TQI-D) METALPRESS OU MEKAL, INCLUSIVE VÁLVULAS DE METAL 1 1/4" E SIFÃO CROMADO 2", EXCL. TORNEIRAS</v>
      </c>
      <c r="F1137" s="56" t="str">
        <f t="shared" si="86"/>
        <v>UND</v>
      </c>
      <c r="G1137">
        <f t="shared" si="87"/>
        <v>4230.3</v>
      </c>
      <c r="H1137">
        <f t="shared" si="88"/>
        <v>3174.71</v>
      </c>
      <c r="I1137">
        <f t="shared" si="89"/>
        <v>3174.71</v>
      </c>
    </row>
    <row r="1138" spans="1:9" ht="43.2">
      <c r="A1138" s="372">
        <v>170519</v>
      </c>
      <c r="B1138" s="241" t="s">
        <v>1580</v>
      </c>
      <c r="C1138" s="221" t="s">
        <v>115</v>
      </c>
      <c r="D1138" s="594">
        <v>336.5</v>
      </c>
      <c r="E1138" s="56" t="str">
        <f t="shared" si="85"/>
        <v>DUCHA MANUAL ACQUA JET , LINHA AQUARIUS, COM REGISTRO REF.C 2195, MARCAS DE REFERÊNCIA FABRIMAR, DECA OU DOCOL</v>
      </c>
      <c r="F1138" s="56" t="str">
        <f t="shared" si="86"/>
        <v>UND</v>
      </c>
      <c r="G1138">
        <f t="shared" si="87"/>
        <v>448.39</v>
      </c>
      <c r="H1138">
        <f t="shared" si="88"/>
        <v>336.5</v>
      </c>
      <c r="I1138">
        <f t="shared" si="89"/>
        <v>336.5</v>
      </c>
    </row>
    <row r="1139" spans="1:9" ht="43.2">
      <c r="A1139" s="372">
        <v>170524</v>
      </c>
      <c r="B1139" s="241" t="s">
        <v>1581</v>
      </c>
      <c r="C1139" s="221" t="s">
        <v>115</v>
      </c>
      <c r="D1139" s="594">
        <v>82.96</v>
      </c>
      <c r="E1139" s="56" t="str">
        <f t="shared" si="85"/>
        <v>CABIDE SIMPLES DE UM GANCHO, LINHA VERSAILLES, REF. 08, ACABAMENTO CROMADO, DA MOLDENOX, DOCOL OU DECA</v>
      </c>
      <c r="F1139" s="56" t="str">
        <f t="shared" si="86"/>
        <v>UND</v>
      </c>
      <c r="G1139">
        <f t="shared" si="87"/>
        <v>110.54</v>
      </c>
      <c r="H1139">
        <f t="shared" si="88"/>
        <v>82.96</v>
      </c>
      <c r="I1139">
        <f t="shared" si="89"/>
        <v>82.96</v>
      </c>
    </row>
    <row r="1140" spans="1:9" ht="43.2">
      <c r="A1140" s="372">
        <v>170528</v>
      </c>
      <c r="B1140" s="241" t="s">
        <v>1823</v>
      </c>
      <c r="C1140" s="221" t="s">
        <v>115</v>
      </c>
      <c r="D1140" s="594">
        <v>3724.73</v>
      </c>
      <c r="E1140" s="56" t="str">
        <f t="shared" si="85"/>
        <v>RESERVATÓRIO DE POLIETILENO DE 5.000 L, INCLUSIVE PEÇA DE MADEIRA 6 X 16 CM PARA APOIO, EXCLUSIVE FLANGES E TORNEIRA DE BÓIA</v>
      </c>
      <c r="F1140" s="56" t="str">
        <f t="shared" si="86"/>
        <v>UND</v>
      </c>
      <c r="G1140">
        <f t="shared" si="87"/>
        <v>4963.2</v>
      </c>
      <c r="H1140">
        <f t="shared" si="88"/>
        <v>3724.73</v>
      </c>
      <c r="I1140">
        <f t="shared" si="89"/>
        <v>3724.73</v>
      </c>
    </row>
    <row r="1141" spans="1:9" ht="57.6">
      <c r="A1141" s="372">
        <v>170530</v>
      </c>
      <c r="B1141" s="241" t="s">
        <v>1582</v>
      </c>
      <c r="C1141" s="221" t="s">
        <v>115</v>
      </c>
      <c r="D1141" s="241">
        <v>388.33</v>
      </c>
      <c r="E1141" s="56" t="str">
        <f t="shared" si="85"/>
        <v>CUBA EM AÇO INOX Nº 02(DIM.560X340X150)MM, MARCAS DE REFERÊNCIA FRANKE, STRAKE, TRAMONTINA, INCLUSIVE VÁLVULA DE METAL 31/2" E SIFÃO CROMADO 1 X 1/2", EXCL. TORNEIRA</v>
      </c>
      <c r="F1141" s="56" t="str">
        <f t="shared" si="86"/>
        <v>UND</v>
      </c>
      <c r="G1141">
        <f t="shared" si="87"/>
        <v>517.45000000000005</v>
      </c>
      <c r="H1141">
        <f t="shared" si="88"/>
        <v>388.33</v>
      </c>
      <c r="I1141">
        <f t="shared" si="89"/>
        <v>388.33</v>
      </c>
    </row>
    <row r="1142" spans="1:9" ht="43.2">
      <c r="A1142" s="372">
        <v>170533</v>
      </c>
      <c r="B1142" s="241" t="s">
        <v>1583</v>
      </c>
      <c r="C1142" s="221" t="s">
        <v>115</v>
      </c>
      <c r="D1142" s="241">
        <v>1758.46</v>
      </c>
      <c r="E1142" s="56" t="str">
        <f t="shared" si="85"/>
        <v>PIA EM AÇO INOX COM 01 CUBA Nº 1, DIMENSÕES DE 0.60 X 1.50M, INCLUSIVE VÁLVULA TIPO AMERICANA, EXCLUSIVE SIFÃO</v>
      </c>
      <c r="F1142" s="56" t="str">
        <f t="shared" si="86"/>
        <v>UND</v>
      </c>
      <c r="G1142">
        <f t="shared" si="87"/>
        <v>2343.15</v>
      </c>
      <c r="H1142">
        <f t="shared" si="88"/>
        <v>1758.46</v>
      </c>
      <c r="I1142">
        <f t="shared" si="89"/>
        <v>1758.46</v>
      </c>
    </row>
    <row r="1143" spans="1:9" ht="43.2">
      <c r="A1143" s="372">
        <v>170534</v>
      </c>
      <c r="B1143" s="241" t="s">
        <v>1584</v>
      </c>
      <c r="C1143" s="221" t="s">
        <v>115</v>
      </c>
      <c r="D1143" s="241">
        <v>3188.76</v>
      </c>
      <c r="E1143" s="56" t="str">
        <f t="shared" si="85"/>
        <v>PIA EM AÇO INOX COM 02 CUBAS Nº 1, DIMENSÕES 0.60 X 2.50, INCLUSIVE VÁLVULA TIPO AMERICANA, EXCLUSIVE SIFÃO</v>
      </c>
      <c r="F1143" s="56" t="str">
        <f t="shared" si="86"/>
        <v>UND</v>
      </c>
      <c r="G1143">
        <f t="shared" si="87"/>
        <v>4249.0200000000004</v>
      </c>
      <c r="H1143">
        <f t="shared" si="88"/>
        <v>3188.76</v>
      </c>
      <c r="I1143">
        <f t="shared" si="89"/>
        <v>3188.76</v>
      </c>
    </row>
    <row r="1144" spans="1:9" ht="43.2">
      <c r="A1144" s="372">
        <v>170535</v>
      </c>
      <c r="B1144" s="241" t="s">
        <v>1585</v>
      </c>
      <c r="C1144" s="221" t="s">
        <v>115</v>
      </c>
      <c r="D1144" s="241">
        <v>2012.27</v>
      </c>
      <c r="E1144" s="56" t="str">
        <f t="shared" si="85"/>
        <v>PIA EM AÇO INOX COM 01 CUBA Nº 1, DIMENSÕES DE 0.60 X 1.80M, INCLUSIVE VÁLVULA AMERICANA, EXCLUSIVE SIFÃO</v>
      </c>
      <c r="F1144" s="56" t="str">
        <f t="shared" si="86"/>
        <v>UND</v>
      </c>
      <c r="G1144">
        <f t="shared" si="87"/>
        <v>2681.35</v>
      </c>
      <c r="H1144">
        <f t="shared" si="88"/>
        <v>2012.27</v>
      </c>
      <c r="I1144">
        <f t="shared" si="89"/>
        <v>2012.27</v>
      </c>
    </row>
    <row r="1145" spans="1:9" ht="43.2">
      <c r="A1145" s="372">
        <v>170536</v>
      </c>
      <c r="B1145" s="241" t="s">
        <v>1586</v>
      </c>
      <c r="C1145" s="221" t="s">
        <v>115</v>
      </c>
      <c r="D1145" s="241">
        <v>2831.65</v>
      </c>
      <c r="E1145" s="56" t="str">
        <f t="shared" si="85"/>
        <v>PIA EM AÇO INOX COM 02 CUBAS Nº 2, DIMENSÕES DE 0.60 X 2.10M, INCLUSIVE VÁLVULA AMERICANA, EXCLUSIVE SIFÃO</v>
      </c>
      <c r="F1145" s="56" t="str">
        <f t="shared" si="86"/>
        <v>UND</v>
      </c>
      <c r="G1145">
        <f t="shared" si="87"/>
        <v>3773.17</v>
      </c>
      <c r="H1145">
        <f t="shared" si="88"/>
        <v>2831.65</v>
      </c>
      <c r="I1145">
        <f t="shared" si="89"/>
        <v>2831.65</v>
      </c>
    </row>
    <row r="1146" spans="1:9" ht="28.8">
      <c r="A1146" s="372">
        <v>170537</v>
      </c>
      <c r="B1146" s="241" t="s">
        <v>1587</v>
      </c>
      <c r="C1146" s="221" t="s">
        <v>115</v>
      </c>
      <c r="D1146" s="241">
        <v>51.93</v>
      </c>
      <c r="E1146" s="56" t="str">
        <f t="shared" si="85"/>
        <v>ASSENTO PLÁSTICO PARA VASO SANITÁRIO, MARCAS DE REFERÊNCIA DECA, CELITE OU IDEAL STANDARD</v>
      </c>
      <c r="F1146" s="56" t="str">
        <f t="shared" si="86"/>
        <v>UND</v>
      </c>
      <c r="G1146">
        <f t="shared" si="87"/>
        <v>69.2</v>
      </c>
      <c r="H1146">
        <f t="shared" si="88"/>
        <v>51.93</v>
      </c>
      <c r="I1146">
        <f t="shared" si="89"/>
        <v>51.93</v>
      </c>
    </row>
    <row r="1147" spans="1:9" ht="28.8">
      <c r="A1147" s="372">
        <v>170538</v>
      </c>
      <c r="B1147" s="241" t="s">
        <v>1588</v>
      </c>
      <c r="C1147" s="221" t="s">
        <v>115</v>
      </c>
      <c r="D1147" s="241">
        <v>31.86</v>
      </c>
      <c r="E1147" s="56" t="str">
        <f t="shared" si="85"/>
        <v>CHUVEIRO FRIO DE PVC, MARCAS DE REFERÊNCIA ATLAS, CIPLA OU AKROS</v>
      </c>
      <c r="F1147" s="56" t="str">
        <f t="shared" si="86"/>
        <v>UND</v>
      </c>
      <c r="G1147">
        <f t="shared" si="87"/>
        <v>42.45</v>
      </c>
      <c r="H1147">
        <f t="shared" si="88"/>
        <v>31.86</v>
      </c>
      <c r="I1147">
        <f t="shared" si="89"/>
        <v>31.86</v>
      </c>
    </row>
    <row r="1148" spans="1:9" ht="43.2">
      <c r="A1148" s="372">
        <v>170539</v>
      </c>
      <c r="B1148" s="241" t="s">
        <v>35706</v>
      </c>
      <c r="C1148" s="221" t="s">
        <v>115</v>
      </c>
      <c r="D1148" s="241">
        <v>282.72000000000003</v>
      </c>
      <c r="E1148" s="56" t="str">
        <f t="shared" si="85"/>
        <v>RESERVATÓRIO DE POLIETILENO DE 500 L, EXCLUSIVE ADAPTADORES COM FLANGES DE PVC E TORNEIRA DE BÓIA</v>
      </c>
      <c r="F1148" s="56" t="str">
        <f t="shared" si="86"/>
        <v>UND</v>
      </c>
      <c r="G1148">
        <f t="shared" si="87"/>
        <v>376.72</v>
      </c>
      <c r="H1148">
        <f t="shared" si="88"/>
        <v>282.72000000000003</v>
      </c>
      <c r="I1148">
        <f t="shared" si="89"/>
        <v>282.72000000000003</v>
      </c>
    </row>
    <row r="1149" spans="1:9" ht="43.2">
      <c r="A1149" s="372">
        <v>170540</v>
      </c>
      <c r="B1149" s="241" t="s">
        <v>1824</v>
      </c>
      <c r="C1149" s="221" t="s">
        <v>115</v>
      </c>
      <c r="D1149" s="241">
        <v>796</v>
      </c>
      <c r="E1149" s="56" t="str">
        <f t="shared" si="85"/>
        <v>RESERVATÓRIO DE POLIETILENO DE 1000L, INCLUSIVE PEÇA DE MADEIRA 6X16CM PARA APOIO, EXCLUSIVE FLANGES E TORNEIRA DE BÓIA</v>
      </c>
      <c r="F1149" s="56" t="str">
        <f t="shared" si="86"/>
        <v>UND</v>
      </c>
      <c r="G1149">
        <f t="shared" si="87"/>
        <v>1060.67</v>
      </c>
      <c r="H1149">
        <f t="shared" si="88"/>
        <v>796</v>
      </c>
      <c r="I1149">
        <f t="shared" si="89"/>
        <v>796</v>
      </c>
    </row>
    <row r="1150" spans="1:9" ht="28.8">
      <c r="A1150" s="372">
        <v>170541</v>
      </c>
      <c r="B1150" s="241" t="s">
        <v>35707</v>
      </c>
      <c r="C1150" s="221" t="s">
        <v>115</v>
      </c>
      <c r="D1150" s="241">
        <v>148.51</v>
      </c>
      <c r="E1150" s="56" t="str">
        <f t="shared" si="85"/>
        <v>FILTRO DE ÁGUA CURTO AQUALAR AP200, INCLUSIVE REFIL ? 3M OU EQUIVALENTE</v>
      </c>
      <c r="F1150" s="56" t="str">
        <f t="shared" si="86"/>
        <v>UND</v>
      </c>
      <c r="G1150">
        <f t="shared" si="87"/>
        <v>197.89</v>
      </c>
      <c r="H1150">
        <f t="shared" si="88"/>
        <v>148.51</v>
      </c>
      <c r="I1150">
        <f t="shared" si="89"/>
        <v>148.51</v>
      </c>
    </row>
    <row r="1151" spans="1:9" ht="86.4">
      <c r="A1151" s="372">
        <v>170545</v>
      </c>
      <c r="B1151" s="241" t="s">
        <v>1589</v>
      </c>
      <c r="C1151" s="221" t="s">
        <v>112</v>
      </c>
      <c r="D1151" s="241">
        <v>1593.55</v>
      </c>
      <c r="E1151" s="56" t="str">
        <f t="shared" si="85"/>
        <v>MICTÓRIO DE AÇO INOX, MARCAS DE REFERÊNCIA FISHER, METALPRESS OU MEKAL, COM 30 CM DE LARGURA E COMP. VARIÁVEL, INCLUSIVE VÁLVULA TIPO AMERICANA, ENGATE FLEXÍVEL CROMADO, VÁLVULA DE DESCARGA, SIFÃO CROMADO E CONJUNTO DE FIXAÇÃO</v>
      </c>
      <c r="F1151" s="56" t="str">
        <f t="shared" si="86"/>
        <v>M</v>
      </c>
      <c r="G1151">
        <f t="shared" si="87"/>
        <v>2123.41</v>
      </c>
      <c r="H1151">
        <f t="shared" si="88"/>
        <v>1593.55</v>
      </c>
      <c r="I1151">
        <f t="shared" si="89"/>
        <v>1593.55</v>
      </c>
    </row>
    <row r="1152" spans="1:9" ht="86.4">
      <c r="A1152" s="372">
        <v>170546</v>
      </c>
      <c r="B1152" s="241" t="s">
        <v>35708</v>
      </c>
      <c r="C1152" s="221" t="s">
        <v>115</v>
      </c>
      <c r="D1152" s="241">
        <v>484.54</v>
      </c>
      <c r="E1152" s="56" t="str">
        <f t="shared" si="85"/>
        <v>TANQUE EM MÁRMORE SINTÉTICO DUPLO 102X50CM COM DOIS BOJO 37 LITROS, INCLUSIVE VÁVULA EM PVC 2.1/4? COM UNHO, SIFÃO SANFONADO EM PVC AJUSTÁVEL FLEXÍVEL MULTIUSO 66 CM E FIXAÇÃO EM CANTONEIRA DE FERRO 1" X 1/8"</v>
      </c>
      <c r="F1152" s="56" t="str">
        <f t="shared" si="86"/>
        <v>UND</v>
      </c>
      <c r="G1152">
        <f t="shared" si="87"/>
        <v>645.65</v>
      </c>
      <c r="H1152">
        <f t="shared" si="88"/>
        <v>484.54</v>
      </c>
      <c r="I1152">
        <f t="shared" si="89"/>
        <v>484.54</v>
      </c>
    </row>
    <row r="1153" spans="1:9" ht="43.2">
      <c r="A1153" s="372">
        <v>170547</v>
      </c>
      <c r="B1153" s="241" t="s">
        <v>35709</v>
      </c>
      <c r="C1153" s="221" t="s">
        <v>115</v>
      </c>
      <c r="D1153" s="241">
        <v>266.24</v>
      </c>
      <c r="E1153" s="56" t="str">
        <f t="shared" ref="E1153:E1216" si="90">UPPER(B1153)</f>
        <v>RESERVATÓRIO DE POLIETILENO DE 310 L, EXCLUSIVE ADAPTADORES COM FLANGES DE PVC E TORNEIRA DE BÓIA</v>
      </c>
      <c r="F1153" s="56" t="str">
        <f t="shared" ref="F1153:F1216" si="91">UPPER(C1153)</f>
        <v>UND</v>
      </c>
      <c r="G1153">
        <f t="shared" si="87"/>
        <v>354.76</v>
      </c>
      <c r="H1153">
        <f t="shared" si="88"/>
        <v>266.24</v>
      </c>
      <c r="I1153">
        <f t="shared" si="89"/>
        <v>266.24</v>
      </c>
    </row>
    <row r="1154" spans="1:9" ht="43.2">
      <c r="A1154" s="372">
        <v>170548</v>
      </c>
      <c r="B1154" s="241" t="s">
        <v>35710</v>
      </c>
      <c r="C1154" s="221" t="s">
        <v>115</v>
      </c>
      <c r="D1154" s="241">
        <v>1122.9100000000001</v>
      </c>
      <c r="E1154" s="56" t="str">
        <f t="shared" si="90"/>
        <v>RESERVATÓRIO DE POLIETILENO DE 1.500 L, EXCLUSIVE ADAPTADORES COM FLANGES DE PVC E TORNEIRA DE BÓIA</v>
      </c>
      <c r="F1154" s="56" t="str">
        <f t="shared" si="91"/>
        <v>UND</v>
      </c>
      <c r="G1154">
        <f t="shared" si="87"/>
        <v>1496.28</v>
      </c>
      <c r="H1154">
        <f t="shared" si="88"/>
        <v>1122.9100000000001</v>
      </c>
      <c r="I1154">
        <f t="shared" si="89"/>
        <v>1122.9100000000001</v>
      </c>
    </row>
    <row r="1155" spans="1:9" ht="43.2">
      <c r="A1155" s="371">
        <v>170549</v>
      </c>
      <c r="B1155" s="240" t="s">
        <v>35711</v>
      </c>
      <c r="C1155" s="221" t="s">
        <v>115</v>
      </c>
      <c r="D1155" s="241">
        <v>2078.8200000000002</v>
      </c>
      <c r="E1155" s="56" t="str">
        <f t="shared" si="90"/>
        <v>RESERVATÓRIO DE POLIETILENO DE 3.000 L, EXCLUSIVE ADAPTADORES COM FLANGES DE PVC E TORNEIRA DE BÓIA</v>
      </c>
      <c r="F1155" s="56" t="str">
        <f t="shared" si="91"/>
        <v>UND</v>
      </c>
      <c r="G1155">
        <f t="shared" si="87"/>
        <v>2770.03</v>
      </c>
      <c r="H1155">
        <f t="shared" si="88"/>
        <v>2078.8200000000002</v>
      </c>
      <c r="I1155">
        <f t="shared" si="89"/>
        <v>2078.8200000000002</v>
      </c>
    </row>
    <row r="1156" spans="1:9" ht="43.2">
      <c r="A1156" s="371">
        <v>170550</v>
      </c>
      <c r="B1156" s="240" t="s">
        <v>35712</v>
      </c>
      <c r="C1156" s="221" t="s">
        <v>115</v>
      </c>
      <c r="D1156" s="241">
        <v>1217.96</v>
      </c>
      <c r="E1156" s="56" t="str">
        <f t="shared" si="90"/>
        <v>RESERVATÓRIO DE POLIETILENO DE 2.000 L, EXCLUSIVE ADAPTADORES COM FLANGES DE PVC E TORNEIRA DE BÓIA</v>
      </c>
      <c r="F1156" s="56" t="str">
        <f t="shared" si="91"/>
        <v>UND</v>
      </c>
      <c r="G1156">
        <f t="shared" si="87"/>
        <v>1622.93</v>
      </c>
      <c r="H1156">
        <f t="shared" si="88"/>
        <v>1217.96</v>
      </c>
      <c r="I1156">
        <f t="shared" si="89"/>
        <v>1217.96</v>
      </c>
    </row>
    <row r="1157" spans="1:9" ht="72">
      <c r="A1157" s="372">
        <v>170555</v>
      </c>
      <c r="B1157" s="241" t="s">
        <v>35713</v>
      </c>
      <c r="C1157" s="221" t="s">
        <v>115</v>
      </c>
      <c r="D1157" s="241">
        <v>343.05</v>
      </c>
      <c r="E1157" s="56" t="str">
        <f t="shared" si="90"/>
        <v>TANQUE SIMPLES EM MÁRMORE SINTÉTICO 60X50CM COM UM BOJO 34 LITROS, INCLUSIVE VÁVULA EM PVC 2.1/4? COM UNHO, SIFÃO SANFONADO EM PVC AJUSTÁVEL FLEXÍVEL MULTIUSO 66 CM E PARAFUSOS DE FIXAÇÃO</v>
      </c>
      <c r="F1157" s="56" t="str">
        <f t="shared" si="91"/>
        <v>UND</v>
      </c>
      <c r="G1157">
        <f t="shared" si="87"/>
        <v>457.11</v>
      </c>
      <c r="H1157">
        <f t="shared" si="88"/>
        <v>343.05</v>
      </c>
      <c r="I1157">
        <f t="shared" si="89"/>
        <v>343.05</v>
      </c>
    </row>
    <row r="1158" spans="1:9" ht="86.4">
      <c r="A1158" s="372">
        <v>170557</v>
      </c>
      <c r="B1158" s="241" t="s">
        <v>1590</v>
      </c>
      <c r="C1158" s="221" t="s">
        <v>112</v>
      </c>
      <c r="D1158" s="241">
        <v>2034.1</v>
      </c>
      <c r="E1158" s="56" t="str">
        <f t="shared" si="90"/>
        <v>BEBEDOURO EM AÇO INOX COLETIVO, MARCAS DE REFERÊNCIA FISHER, METALPRESS OU MEKAL, INCLUSIVE BASE DE APOIO EM CONCRETO E FECHAMENTO EM ALVENARIA REVESTIDA COM AZULEJO, INCLUSIVE VÁLVULA E SIFÃO, EXCLUSIVE TORNEIRAS</v>
      </c>
      <c r="F1158" s="56" t="str">
        <f t="shared" si="91"/>
        <v>M</v>
      </c>
      <c r="G1158">
        <f t="shared" si="87"/>
        <v>2710.44</v>
      </c>
      <c r="H1158">
        <f t="shared" si="88"/>
        <v>2034.1</v>
      </c>
      <c r="I1158">
        <f t="shared" si="89"/>
        <v>2034.1</v>
      </c>
    </row>
    <row r="1159" spans="1:9" ht="43.2">
      <c r="A1159" s="372">
        <v>170561</v>
      </c>
      <c r="B1159" s="241" t="s">
        <v>1825</v>
      </c>
      <c r="C1159" s="221" t="s">
        <v>115</v>
      </c>
      <c r="D1159" s="594">
        <v>12280.13</v>
      </c>
      <c r="E1159" s="56" t="str">
        <f t="shared" si="90"/>
        <v>RESERVATÓRIO DE POLIETILENO DE 15.000L, INCLUSIVE PEÇA DE MADEIRA 5 X 16CM PARA APOIO, EXCLUSIVE FLANGES E TORNEIRAS DE BOIA</v>
      </c>
      <c r="F1159" s="56" t="str">
        <f t="shared" si="91"/>
        <v>UND</v>
      </c>
      <c r="G1159">
        <f t="shared" si="87"/>
        <v>16363.27</v>
      </c>
      <c r="H1159">
        <f t="shared" si="88"/>
        <v>12280.13</v>
      </c>
      <c r="I1159">
        <f t="shared" si="89"/>
        <v>12280.13</v>
      </c>
    </row>
    <row r="1160" spans="1:9" ht="43.2">
      <c r="A1160" s="372">
        <v>170562</v>
      </c>
      <c r="B1160" s="241" t="s">
        <v>35714</v>
      </c>
      <c r="C1160" s="221" t="s">
        <v>115</v>
      </c>
      <c r="D1160" s="241">
        <v>2838.83</v>
      </c>
      <c r="E1160" s="56" t="str">
        <f t="shared" si="90"/>
        <v>BEBEDOURO ELÉTRICO DE PRESSÃO PARA ACESSIBILIDADE BDF300 PNE ? IBBL OU EQUIVALENTE</v>
      </c>
      <c r="F1160" s="56" t="str">
        <f t="shared" si="91"/>
        <v>UND</v>
      </c>
      <c r="G1160">
        <f t="shared" ref="G1160:G1223" si="92">ROUND(H1160*(1+$G$1),2)</f>
        <v>3782.74</v>
      </c>
      <c r="H1160">
        <f t="shared" ref="H1160:H1223" si="93">I1160</f>
        <v>2838.83</v>
      </c>
      <c r="I1160">
        <f t="shared" ref="I1160:I1223" si="94">ROUND(D1160/(1+$E$1),2)</f>
        <v>2838.83</v>
      </c>
    </row>
    <row r="1161" spans="1:9" ht="100.8">
      <c r="A1161" s="372">
        <v>170563</v>
      </c>
      <c r="B1161" s="241" t="s">
        <v>35715</v>
      </c>
      <c r="C1161" s="221" t="s">
        <v>115</v>
      </c>
      <c r="D1161" s="594">
        <v>17457.830000000002</v>
      </c>
      <c r="E1161" s="56" t="str">
        <f t="shared" si="90"/>
        <v>TANQUE CILÍNDRICO VERTICAL EM POLIETILENO, CAPACIDADE DE 20.000 LITROS, COM BOCA DE INSPEÇÃO 60CM, TAMPA DE 1/4 DE VOLTA E VEDAÇÃO TOTAL, INCLUSIVE TRANSPORTE HORIZONTAL MANUAL ATÉ BASE DE TORRE, TRANSPORTE VERTICAL COM GUINDASTE HIDRÁULICO</v>
      </c>
      <c r="F1161" s="56" t="str">
        <f t="shared" si="91"/>
        <v>UND</v>
      </c>
      <c r="G1161">
        <f t="shared" si="92"/>
        <v>23262.560000000001</v>
      </c>
      <c r="H1161">
        <f t="shared" si="93"/>
        <v>17457.830000000002</v>
      </c>
      <c r="I1161">
        <f t="shared" si="94"/>
        <v>17457.830000000002</v>
      </c>
    </row>
    <row r="1162" spans="1:9">
      <c r="A1162" s="371">
        <v>1706</v>
      </c>
      <c r="B1162" s="240" t="s">
        <v>23650</v>
      </c>
      <c r="C1162" s="221"/>
      <c r="D1162" s="241"/>
      <c r="E1162" s="56" t="str">
        <f t="shared" si="90"/>
        <v>ACESSIBILIDADE - NBR 9050</v>
      </c>
      <c r="F1162" s="56" t="str">
        <f t="shared" si="91"/>
        <v/>
      </c>
      <c r="G1162">
        <f t="shared" si="92"/>
        <v>0</v>
      </c>
      <c r="H1162">
        <f t="shared" si="93"/>
        <v>0</v>
      </c>
      <c r="I1162">
        <f t="shared" si="94"/>
        <v>0</v>
      </c>
    </row>
    <row r="1163" spans="1:9" ht="57.6">
      <c r="A1163" s="372">
        <v>170601</v>
      </c>
      <c r="B1163" s="241" t="s">
        <v>35716</v>
      </c>
      <c r="C1163" s="221" t="s">
        <v>115</v>
      </c>
      <c r="D1163" s="241">
        <v>127.39</v>
      </c>
      <c r="E1163" s="56" t="str">
        <f t="shared" si="90"/>
        <v>BARRA DE APOIO RETA, EM AÇO INOX POLIDO AISI 304, COMPRIMENTO 40 CM, CONFORME REQUISITOS DE ACESSIBILIDADE DA NBR 9050 - FORNECIMENTO E INSTALAÇÃO</v>
      </c>
      <c r="F1163" s="56" t="str">
        <f t="shared" si="91"/>
        <v>UND</v>
      </c>
      <c r="G1163">
        <f t="shared" si="92"/>
        <v>169.75</v>
      </c>
      <c r="H1163">
        <f t="shared" si="93"/>
        <v>127.39</v>
      </c>
      <c r="I1163">
        <f t="shared" si="94"/>
        <v>127.39</v>
      </c>
    </row>
    <row r="1164" spans="1:9" ht="57.6">
      <c r="A1164" s="371">
        <v>170602</v>
      </c>
      <c r="B1164" s="240" t="s">
        <v>35717</v>
      </c>
      <c r="C1164" s="221" t="s">
        <v>115</v>
      </c>
      <c r="D1164" s="241">
        <v>149.16</v>
      </c>
      <c r="E1164" s="56" t="str">
        <f t="shared" si="90"/>
        <v>BARRA DE APOIO RETA, EM AÇO INOX POLIDO AISI 304, COMPRIMENTO 60 CM, CONFORME REQUISITOS DE ACESSIBILIDADE DA NBR 9050 - FORNECIMENTO E INSTALAÇÃO</v>
      </c>
      <c r="F1164" s="56" t="str">
        <f t="shared" si="91"/>
        <v>UND</v>
      </c>
      <c r="G1164">
        <f t="shared" si="92"/>
        <v>198.76</v>
      </c>
      <c r="H1164">
        <f t="shared" si="93"/>
        <v>149.16</v>
      </c>
      <c r="I1164">
        <f t="shared" si="94"/>
        <v>149.16</v>
      </c>
    </row>
    <row r="1165" spans="1:9" ht="57.6">
      <c r="A1165" s="372">
        <v>170603</v>
      </c>
      <c r="B1165" s="241" t="s">
        <v>35718</v>
      </c>
      <c r="C1165" s="221" t="s">
        <v>115</v>
      </c>
      <c r="D1165" s="241">
        <v>161.13</v>
      </c>
      <c r="E1165" s="56" t="str">
        <f t="shared" si="90"/>
        <v>BARRA DE APOIO RETA, EM AÇO INOX POLIDO AISI 304, COMPRIMENTO 80 CM, CONFORME REQUISITOS DE ACESSIBILIDADE DA NBR 9050 - FORNECIMENTO E INSTALAÇÃO</v>
      </c>
      <c r="F1165" s="56" t="str">
        <f t="shared" si="91"/>
        <v>UND</v>
      </c>
      <c r="G1165">
        <f t="shared" si="92"/>
        <v>214.71</v>
      </c>
      <c r="H1165">
        <f t="shared" si="93"/>
        <v>161.13</v>
      </c>
      <c r="I1165">
        <f t="shared" si="94"/>
        <v>161.13</v>
      </c>
    </row>
    <row r="1166" spans="1:9" ht="57.6">
      <c r="A1166" s="372">
        <v>170604</v>
      </c>
      <c r="B1166" s="241" t="s">
        <v>35719</v>
      </c>
      <c r="C1166" s="221" t="s">
        <v>115</v>
      </c>
      <c r="D1166" s="241">
        <v>174.86</v>
      </c>
      <c r="E1166" s="56" t="str">
        <f t="shared" si="90"/>
        <v>BARRA DE APOIO RETA, EM AÇO INOX POLIDO AISI 304, COMPRIMENTO 90 CM, CONFORME REQUISITOS DE ACESSIBILIDADE DA NBR 9050 - FORNECIMENTO E INSTALAÇÃO</v>
      </c>
      <c r="F1166" s="56" t="str">
        <f t="shared" si="91"/>
        <v>UND</v>
      </c>
      <c r="G1166">
        <f t="shared" si="92"/>
        <v>233</v>
      </c>
      <c r="H1166">
        <f t="shared" si="93"/>
        <v>174.86</v>
      </c>
      <c r="I1166">
        <f t="shared" si="94"/>
        <v>174.86</v>
      </c>
    </row>
    <row r="1167" spans="1:9" ht="57.6">
      <c r="A1167" s="372">
        <v>170607</v>
      </c>
      <c r="B1167" s="241" t="s">
        <v>35720</v>
      </c>
      <c r="C1167" s="221" t="s">
        <v>115</v>
      </c>
      <c r="D1167" s="241">
        <v>299.16000000000003</v>
      </c>
      <c r="E1167" s="56" t="str">
        <f t="shared" si="90"/>
        <v>BARRA DE APOIO ARTICULADA, EM AÇO INOX POLIDO AISI 304, COMPRIMENTO 80 CM, CONFORME REQUISITOS DE ACESSIBILIDADE DA NBR 9050 - FORNECIMENTO E INSTALAÇÃO</v>
      </c>
      <c r="F1167" s="56" t="str">
        <f t="shared" si="91"/>
        <v>UND</v>
      </c>
      <c r="G1167">
        <f t="shared" si="92"/>
        <v>398.63</v>
      </c>
      <c r="H1167">
        <f t="shared" si="93"/>
        <v>299.16000000000003</v>
      </c>
      <c r="I1167">
        <f t="shared" si="94"/>
        <v>299.16000000000003</v>
      </c>
    </row>
    <row r="1168" spans="1:9" ht="86.4">
      <c r="A1168" s="372">
        <v>170608</v>
      </c>
      <c r="B1168" s="241" t="s">
        <v>23651</v>
      </c>
      <c r="C1168" s="221" t="s">
        <v>115</v>
      </c>
      <c r="D1168" s="241">
        <v>1819.19</v>
      </c>
      <c r="E1168" s="56" t="str">
        <f t="shared" si="90"/>
        <v>BACIA SIFONADA DE LOUÇA BRANCA SEM ABERTURA FRONTAL P/ BANHEIRO PNE, CONSUMO 6 LITROS POR FLUXO, VOGUE PLUS CONFORTO - P.510.17, REF. DECA OU EQUIV., INCL. TUBO DE LIGAÇÃO INOX C/ CANOPLA, ANEL DE VEDAÇÃO, PARAF. E REJUNTE EPOXI P/ VEDAÇÃO</v>
      </c>
      <c r="F1168" s="56" t="str">
        <f t="shared" si="91"/>
        <v>UND</v>
      </c>
      <c r="G1168">
        <f t="shared" si="92"/>
        <v>2424.0700000000002</v>
      </c>
      <c r="H1168">
        <f t="shared" si="93"/>
        <v>1819.19</v>
      </c>
      <c r="I1168">
        <f t="shared" si="94"/>
        <v>1819.19</v>
      </c>
    </row>
    <row r="1169" spans="1:9" ht="43.2">
      <c r="A1169" s="372">
        <v>170610</v>
      </c>
      <c r="B1169" s="241" t="s">
        <v>35721</v>
      </c>
      <c r="C1169" s="221" t="s">
        <v>115</v>
      </c>
      <c r="D1169" s="241">
        <v>1872.42</v>
      </c>
      <c r="E1169" s="56" t="str">
        <f t="shared" si="90"/>
        <v>ASSENTO POLIÉSTER CONVENCIONAL BRANCO COM FIXAÇÃO CROMADA COM PROTEÇÃO ANTIBACTÉRIA, VOGUE PLUS - AP.51.17 - DECA OU EQUIVALENTE</v>
      </c>
      <c r="F1169" s="56" t="str">
        <f t="shared" si="91"/>
        <v>UND</v>
      </c>
      <c r="G1169">
        <f t="shared" si="92"/>
        <v>2495</v>
      </c>
      <c r="H1169">
        <f t="shared" si="93"/>
        <v>1872.42</v>
      </c>
      <c r="I1169">
        <f t="shared" si="94"/>
        <v>1872.42</v>
      </c>
    </row>
    <row r="1170" spans="1:9" ht="72">
      <c r="A1170" s="372">
        <v>170612</v>
      </c>
      <c r="B1170" s="241" t="s">
        <v>23652</v>
      </c>
      <c r="C1170" s="221" t="s">
        <v>115</v>
      </c>
      <c r="D1170" s="241">
        <v>1389.31</v>
      </c>
      <c r="E1170" s="56" t="str">
        <f t="shared" si="90"/>
        <v>LAVATÓRIO DE LOUÇA BRANCA COM COLUNA SUSPENSA P/ BANHEIRO PNE, VOUGLE PLUS CONFORTO L.51.17 + CS.1.17, REF., DECA OU EQUIVALENTE, INCL. SIFÃO, VÁLVULA E ENGATES METÁLICOS CROMADOS, EXCLUSIVE TORNEIRA</v>
      </c>
      <c r="F1170" s="56" t="str">
        <f t="shared" si="91"/>
        <v>UND</v>
      </c>
      <c r="G1170">
        <f t="shared" si="92"/>
        <v>1851.26</v>
      </c>
      <c r="H1170">
        <f t="shared" si="93"/>
        <v>1389.31</v>
      </c>
      <c r="I1170">
        <f t="shared" si="94"/>
        <v>1389.31</v>
      </c>
    </row>
    <row r="1171" spans="1:9" ht="72">
      <c r="A1171" s="371">
        <v>170613</v>
      </c>
      <c r="B1171" s="240" t="s">
        <v>23653</v>
      </c>
      <c r="C1171" s="221" t="s">
        <v>115</v>
      </c>
      <c r="D1171" s="241">
        <v>2145.9499999999998</v>
      </c>
      <c r="E1171" s="56" t="str">
        <f t="shared" si="90"/>
        <v>LAVÁTORIO DE LOUÇA BRANCA DE CANTO P/ BANHEIRO PNE, COLEÇÃO MASTER L.76.17, REF. DECA OU EQUIVALENTE, INCL. VÁLVULA, SIFÃO E ENGATES METÁLICOS CROMADOS, EXCLUSIVE TORNEIRA</v>
      </c>
      <c r="F1171" s="56" t="str">
        <f t="shared" si="91"/>
        <v>UND</v>
      </c>
      <c r="G1171">
        <f t="shared" si="92"/>
        <v>2859.48</v>
      </c>
      <c r="H1171">
        <f t="shared" si="93"/>
        <v>2145.9499999999998</v>
      </c>
      <c r="I1171">
        <f t="shared" si="94"/>
        <v>2145.9499999999998</v>
      </c>
    </row>
    <row r="1172" spans="1:9" ht="86.4">
      <c r="A1172" s="371">
        <v>170614</v>
      </c>
      <c r="B1172" s="240" t="s">
        <v>35722</v>
      </c>
      <c r="C1172" s="221" t="s">
        <v>115</v>
      </c>
      <c r="D1172" s="241">
        <v>310.72000000000003</v>
      </c>
      <c r="E1172" s="56" t="str">
        <f t="shared" si="90"/>
        <v>KIT COMPOSTO POR (02) DUAS BARRA DE APOIO LATERAL FIXA EM FORMATO "U", EM AÇO INOX POLIDO AISI 304, 30 CM, PARA INSTALAÇÃO EM LAVATÓRIOS, CONFORME REQUISITOS DE ACESSIBILIDADE DA NBR 9050 - FORNECIMENTO E INSTALAÇÃO</v>
      </c>
      <c r="F1172" s="56" t="str">
        <f t="shared" si="91"/>
        <v>UND</v>
      </c>
      <c r="G1172">
        <f t="shared" si="92"/>
        <v>414.03</v>
      </c>
      <c r="H1172">
        <f t="shared" si="93"/>
        <v>310.72000000000003</v>
      </c>
      <c r="I1172">
        <f t="shared" si="94"/>
        <v>310.72000000000003</v>
      </c>
    </row>
    <row r="1173" spans="1:9" ht="57.6">
      <c r="A1173" s="372">
        <v>170615</v>
      </c>
      <c r="B1173" s="241" t="s">
        <v>35723</v>
      </c>
      <c r="C1173" s="221" t="s">
        <v>115</v>
      </c>
      <c r="D1173" s="594">
        <v>151.94999999999999</v>
      </c>
      <c r="E1173" s="56" t="str">
        <f t="shared" si="90"/>
        <v>BARRA DE APOIO RETA, EM AÇO INOX POLIDO AISI 304, COMPRIMENTO 70 CM, CONFORME REQUISITOS DE ACESSIBILIDADE DA NBR 9050 - FORNECIMENTO E INSTALAÇÃO</v>
      </c>
      <c r="F1173" s="56" t="str">
        <f t="shared" si="91"/>
        <v>UND</v>
      </c>
      <c r="G1173">
        <f t="shared" si="92"/>
        <v>202.47</v>
      </c>
      <c r="H1173">
        <f t="shared" si="93"/>
        <v>151.94999999999999</v>
      </c>
      <c r="I1173">
        <f t="shared" si="94"/>
        <v>151.94999999999999</v>
      </c>
    </row>
    <row r="1174" spans="1:9">
      <c r="A1174" s="371">
        <v>18</v>
      </c>
      <c r="B1174" s="240" t="s">
        <v>620</v>
      </c>
      <c r="C1174" s="221"/>
      <c r="D1174" s="241"/>
      <c r="E1174" s="56" t="str">
        <f t="shared" si="90"/>
        <v>APARELHOS ELÉTRICOS</v>
      </c>
      <c r="F1174" s="56" t="str">
        <f t="shared" si="91"/>
        <v/>
      </c>
      <c r="G1174">
        <f t="shared" si="92"/>
        <v>0</v>
      </c>
      <c r="H1174">
        <f t="shared" si="93"/>
        <v>0</v>
      </c>
      <c r="I1174">
        <f t="shared" si="94"/>
        <v>0</v>
      </c>
    </row>
    <row r="1175" spans="1:9">
      <c r="A1175" s="371">
        <v>1801</v>
      </c>
      <c r="B1175" s="240" t="s">
        <v>1591</v>
      </c>
      <c r="C1175" s="221"/>
      <c r="D1175" s="241"/>
      <c r="E1175" s="56" t="str">
        <f t="shared" si="90"/>
        <v>LUMINÁRIAS</v>
      </c>
      <c r="F1175" s="56" t="str">
        <f t="shared" si="91"/>
        <v/>
      </c>
      <c r="G1175">
        <f t="shared" si="92"/>
        <v>0</v>
      </c>
      <c r="H1175">
        <f t="shared" si="93"/>
        <v>0</v>
      </c>
      <c r="I1175">
        <f t="shared" si="94"/>
        <v>0</v>
      </c>
    </row>
    <row r="1176" spans="1:9" ht="43.2">
      <c r="A1176" s="372">
        <v>180107</v>
      </c>
      <c r="B1176" s="241" t="s">
        <v>30351</v>
      </c>
      <c r="C1176" s="221" t="s">
        <v>115</v>
      </c>
      <c r="D1176" s="594">
        <v>559.85</v>
      </c>
      <c r="E1176" s="56" t="str">
        <f t="shared" si="90"/>
        <v>LUMINÁRIA INDUSTRIAL A PROVA DE TEMPO, 45 GRAUS, WETZEL, NAVILLE, TOTAL LIGHT, OU EQUIVALENTE, EXCLUSIVE LAMPADA</v>
      </c>
      <c r="F1176" s="56" t="str">
        <f t="shared" si="91"/>
        <v>UND</v>
      </c>
      <c r="G1176">
        <f t="shared" si="92"/>
        <v>746</v>
      </c>
      <c r="H1176">
        <f t="shared" si="93"/>
        <v>559.85</v>
      </c>
      <c r="I1176">
        <f t="shared" si="94"/>
        <v>559.85</v>
      </c>
    </row>
    <row r="1177" spans="1:9" ht="28.8">
      <c r="A1177" s="371">
        <v>180110</v>
      </c>
      <c r="B1177" s="240" t="s">
        <v>35724</v>
      </c>
      <c r="C1177" s="221" t="s">
        <v>115</v>
      </c>
      <c r="D1177" s="241">
        <v>102.63</v>
      </c>
      <c r="E1177" s="56" t="str">
        <f t="shared" si="90"/>
        <v>ARANDELA PARA LÂMPADA LED BIVOLT E27, LUZ BRANCA - FORMATO TRADICIONAL</v>
      </c>
      <c r="F1177" s="56" t="str">
        <f t="shared" si="91"/>
        <v>UND</v>
      </c>
      <c r="G1177">
        <f t="shared" si="92"/>
        <v>136.75</v>
      </c>
      <c r="H1177">
        <f t="shared" si="93"/>
        <v>102.63</v>
      </c>
      <c r="I1177">
        <f t="shared" si="94"/>
        <v>102.63</v>
      </c>
    </row>
    <row r="1178" spans="1:9" ht="28.8">
      <c r="A1178" s="372">
        <v>180115</v>
      </c>
      <c r="B1178" s="241" t="s">
        <v>30352</v>
      </c>
      <c r="C1178" s="221" t="s">
        <v>115</v>
      </c>
      <c r="D1178" s="241">
        <v>72.540000000000006</v>
      </c>
      <c r="E1178" s="56" t="str">
        <f t="shared" si="90"/>
        <v>LUMINÁRIA COM PLAFONIER E GLOBO DE PLÁSTICO DIMENSÕES 20X10CM, INCLUSIVE LAMPADA LED 9W</v>
      </c>
      <c r="F1178" s="56" t="str">
        <f t="shared" si="91"/>
        <v>UND</v>
      </c>
      <c r="G1178">
        <f t="shared" si="92"/>
        <v>96.66</v>
      </c>
      <c r="H1178">
        <f t="shared" si="93"/>
        <v>72.540000000000006</v>
      </c>
      <c r="I1178">
        <f t="shared" si="94"/>
        <v>72.540000000000006</v>
      </c>
    </row>
    <row r="1179" spans="1:9">
      <c r="A1179" s="372">
        <v>1802</v>
      </c>
      <c r="B1179" s="241" t="s">
        <v>1592</v>
      </c>
      <c r="C1179" s="221"/>
      <c r="D1179" s="241"/>
      <c r="E1179" s="56" t="str">
        <f t="shared" si="90"/>
        <v>INTERRUPTORES E TOMADAS</v>
      </c>
      <c r="F1179" s="56" t="str">
        <f t="shared" si="91"/>
        <v/>
      </c>
      <c r="G1179">
        <f t="shared" si="92"/>
        <v>0</v>
      </c>
      <c r="H1179">
        <f t="shared" si="93"/>
        <v>0</v>
      </c>
      <c r="I1179">
        <f t="shared" si="94"/>
        <v>0</v>
      </c>
    </row>
    <row r="1180" spans="1:9" ht="43.2">
      <c r="A1180" s="372">
        <v>180201</v>
      </c>
      <c r="B1180" s="241" t="s">
        <v>30353</v>
      </c>
      <c r="C1180" s="221" t="s">
        <v>115</v>
      </c>
      <c r="D1180" s="241">
        <v>38.19</v>
      </c>
      <c r="E1180" s="56" t="str">
        <f t="shared" si="90"/>
        <v>TOMADA PADRÃO BRASILEIRO LINHA BRANCA, NBR 14136 (1 MÓDULOS) - 2 POLOS + TERRA 10A/250V, INCLUSIVE SUPORTE E PLACA 4X2"</v>
      </c>
      <c r="F1180" s="56" t="str">
        <f t="shared" si="91"/>
        <v>UND</v>
      </c>
      <c r="G1180">
        <f t="shared" si="92"/>
        <v>50.89</v>
      </c>
      <c r="H1180">
        <f t="shared" si="93"/>
        <v>38.19</v>
      </c>
      <c r="I1180">
        <f t="shared" si="94"/>
        <v>38.19</v>
      </c>
    </row>
    <row r="1181" spans="1:9" ht="43.2">
      <c r="A1181" s="372">
        <v>180202</v>
      </c>
      <c r="B1181" s="241" t="s">
        <v>30354</v>
      </c>
      <c r="C1181" s="221" t="s">
        <v>115</v>
      </c>
      <c r="D1181" s="241">
        <v>44.31</v>
      </c>
      <c r="E1181" s="56" t="str">
        <f t="shared" si="90"/>
        <v>TOMADA PADRÃO BRASILEIRO LINHA BRANCA, NBR 14136 (1 MÓDULOS) - 2 POLOS + TERRA 20A/250V, INCLUSIVE SUPORTE E PLACA 4X2"</v>
      </c>
      <c r="F1181" s="56" t="str">
        <f t="shared" si="91"/>
        <v>UND</v>
      </c>
      <c r="G1181">
        <f t="shared" si="92"/>
        <v>59.04</v>
      </c>
      <c r="H1181">
        <f t="shared" si="93"/>
        <v>44.31</v>
      </c>
      <c r="I1181">
        <f t="shared" si="94"/>
        <v>44.31</v>
      </c>
    </row>
    <row r="1182" spans="1:9" ht="28.8">
      <c r="A1182" s="372">
        <v>180204</v>
      </c>
      <c r="B1182" s="241" t="s">
        <v>1593</v>
      </c>
      <c r="C1182" s="221" t="s">
        <v>115</v>
      </c>
      <c r="D1182" s="241">
        <v>31.31</v>
      </c>
      <c r="E1182" s="56" t="str">
        <f t="shared" si="90"/>
        <v>INTERRUPTOR DE UMA TECLA SIMPLES 10A/250V, COM PLACA 4X2"</v>
      </c>
      <c r="F1182" s="56" t="str">
        <f t="shared" si="91"/>
        <v>UND</v>
      </c>
      <c r="G1182">
        <f t="shared" si="92"/>
        <v>41.72</v>
      </c>
      <c r="H1182">
        <f t="shared" si="93"/>
        <v>31.31</v>
      </c>
      <c r="I1182">
        <f t="shared" si="94"/>
        <v>31.31</v>
      </c>
    </row>
    <row r="1183" spans="1:9" ht="28.8">
      <c r="A1183" s="372">
        <v>180205</v>
      </c>
      <c r="B1183" s="241" t="s">
        <v>1594</v>
      </c>
      <c r="C1183" s="221" t="s">
        <v>115</v>
      </c>
      <c r="D1183" s="241">
        <v>53.23</v>
      </c>
      <c r="E1183" s="56" t="str">
        <f t="shared" si="90"/>
        <v>INTERRUPTOR DE DUAS TECLAS SIMPLES 10A/250V, COM PLACA 4X2"</v>
      </c>
      <c r="F1183" s="56" t="str">
        <f t="shared" si="91"/>
        <v>UND</v>
      </c>
      <c r="G1183">
        <f t="shared" si="92"/>
        <v>70.930000000000007</v>
      </c>
      <c r="H1183">
        <f t="shared" si="93"/>
        <v>53.23</v>
      </c>
      <c r="I1183">
        <f t="shared" si="94"/>
        <v>53.23</v>
      </c>
    </row>
    <row r="1184" spans="1:9" ht="28.8">
      <c r="A1184" s="372">
        <v>180206</v>
      </c>
      <c r="B1184" s="241" t="s">
        <v>113</v>
      </c>
      <c r="C1184" s="221" t="s">
        <v>115</v>
      </c>
      <c r="D1184" s="241">
        <v>39.450000000000003</v>
      </c>
      <c r="E1184" s="56" t="str">
        <f t="shared" si="90"/>
        <v>INTERRUPTOR DE UMA TECLA PARALELO 10A/250V, COM PLACA 4X2"</v>
      </c>
      <c r="F1184" s="56" t="str">
        <f t="shared" si="91"/>
        <v>UND</v>
      </c>
      <c r="G1184">
        <f t="shared" si="92"/>
        <v>52.57</v>
      </c>
      <c r="H1184">
        <f t="shared" si="93"/>
        <v>39.450000000000003</v>
      </c>
      <c r="I1184">
        <f t="shared" si="94"/>
        <v>39.450000000000003</v>
      </c>
    </row>
    <row r="1185" spans="1:9" ht="57.6">
      <c r="A1185" s="372">
        <v>180207</v>
      </c>
      <c r="B1185" s="241" t="s">
        <v>7488</v>
      </c>
      <c r="C1185" s="221" t="s">
        <v>115</v>
      </c>
      <c r="D1185" s="241">
        <v>60.11</v>
      </c>
      <c r="E1185" s="56" t="str">
        <f t="shared" si="90"/>
        <v>INTERRUPTOR DE UMA TECLA SIMPLES 10A/250V E UMA TOMADA 3 POLOS 10A/250V, PADRÃO BRASILEIRO, NBR 14136, LINHA BRANCA, COM PLACA 4X2"</v>
      </c>
      <c r="F1185" s="56" t="str">
        <f t="shared" si="91"/>
        <v>UND</v>
      </c>
      <c r="G1185">
        <f t="shared" si="92"/>
        <v>80.099999999999994</v>
      </c>
      <c r="H1185">
        <f t="shared" si="93"/>
        <v>60.11</v>
      </c>
      <c r="I1185">
        <f t="shared" si="94"/>
        <v>60.11</v>
      </c>
    </row>
    <row r="1186" spans="1:9" ht="43.2">
      <c r="A1186" s="372">
        <v>180208</v>
      </c>
      <c r="B1186" s="241" t="s">
        <v>7489</v>
      </c>
      <c r="C1186" s="221" t="s">
        <v>115</v>
      </c>
      <c r="D1186" s="241">
        <v>82.02</v>
      </c>
      <c r="E1186" s="56" t="str">
        <f t="shared" si="90"/>
        <v>INTERRUPTOR DE DUAS TECLAS SIMPLES 10A/250V E UMA TOMADA 3 POLOS UNIVERSAL 10A/250V, COM PLACA 4X2"</v>
      </c>
      <c r="F1186" s="56" t="str">
        <f t="shared" si="91"/>
        <v>UND</v>
      </c>
      <c r="G1186">
        <f t="shared" si="92"/>
        <v>109.29</v>
      </c>
      <c r="H1186">
        <f t="shared" si="93"/>
        <v>82.02</v>
      </c>
      <c r="I1186">
        <f t="shared" si="94"/>
        <v>82.02</v>
      </c>
    </row>
    <row r="1187" spans="1:9" ht="28.8">
      <c r="A1187" s="371">
        <v>180209</v>
      </c>
      <c r="B1187" s="240" t="s">
        <v>1595</v>
      </c>
      <c r="C1187" s="221" t="s">
        <v>115</v>
      </c>
      <c r="D1187" s="241">
        <v>34.08</v>
      </c>
      <c r="E1187" s="56" t="str">
        <f t="shared" si="90"/>
        <v>INTERRUPTOR PULSADOR DE CAMPAINHA 10A/250V, COM PLACA 4X2"</v>
      </c>
      <c r="F1187" s="56" t="str">
        <f t="shared" si="91"/>
        <v>UND</v>
      </c>
      <c r="G1187">
        <f t="shared" si="92"/>
        <v>45.41</v>
      </c>
      <c r="H1187">
        <f t="shared" si="93"/>
        <v>34.08</v>
      </c>
      <c r="I1187">
        <f t="shared" si="94"/>
        <v>34.08</v>
      </c>
    </row>
    <row r="1188" spans="1:9">
      <c r="A1188" s="372">
        <v>180210</v>
      </c>
      <c r="B1188" s="241" t="s">
        <v>1596</v>
      </c>
      <c r="C1188" s="221" t="s">
        <v>115</v>
      </c>
      <c r="D1188" s="241">
        <v>51.63</v>
      </c>
      <c r="E1188" s="56" t="str">
        <f t="shared" si="90"/>
        <v>TOMADA DE 3 POLOS 20A/250V, COM PLACA 4X2"</v>
      </c>
      <c r="F1188" s="56" t="str">
        <f t="shared" si="91"/>
        <v>UND</v>
      </c>
      <c r="G1188">
        <f t="shared" si="92"/>
        <v>68.8</v>
      </c>
      <c r="H1188">
        <f t="shared" si="93"/>
        <v>51.63</v>
      </c>
      <c r="I1188">
        <f t="shared" si="94"/>
        <v>51.63</v>
      </c>
    </row>
    <row r="1189" spans="1:9" ht="28.8">
      <c r="A1189" s="372">
        <v>180211</v>
      </c>
      <c r="B1189" s="241" t="s">
        <v>1597</v>
      </c>
      <c r="C1189" s="221" t="s">
        <v>115</v>
      </c>
      <c r="D1189" s="241">
        <v>131.88</v>
      </c>
      <c r="E1189" s="56" t="str">
        <f t="shared" si="90"/>
        <v>INTERRUPTOR DE TRÊS TECLAS SIMPLES 10 A/250 V E DUAS TECLAS SIMPLES 10A/250V, COM PLACA 4X4"</v>
      </c>
      <c r="F1189" s="56" t="str">
        <f t="shared" si="91"/>
        <v>UND</v>
      </c>
      <c r="G1189">
        <f t="shared" si="92"/>
        <v>175.73</v>
      </c>
      <c r="H1189">
        <f t="shared" si="93"/>
        <v>131.88</v>
      </c>
      <c r="I1189">
        <f t="shared" si="94"/>
        <v>131.88</v>
      </c>
    </row>
    <row r="1190" spans="1:9" ht="28.8">
      <c r="A1190" s="372">
        <v>180212</v>
      </c>
      <c r="B1190" s="241" t="s">
        <v>1598</v>
      </c>
      <c r="C1190" s="221" t="s">
        <v>115</v>
      </c>
      <c r="D1190" s="241">
        <v>75.14</v>
      </c>
      <c r="E1190" s="56" t="str">
        <f t="shared" si="90"/>
        <v>INTERRUPTOR DE TRÊS TECLAS SIMPLES 10A/250V, C/ PLACA 4X2"</v>
      </c>
      <c r="F1190" s="56" t="str">
        <f t="shared" si="91"/>
        <v>UND</v>
      </c>
      <c r="G1190">
        <f t="shared" si="92"/>
        <v>100.12</v>
      </c>
      <c r="H1190">
        <f t="shared" si="93"/>
        <v>75.14</v>
      </c>
      <c r="I1190">
        <f t="shared" si="94"/>
        <v>75.14</v>
      </c>
    </row>
    <row r="1191" spans="1:9">
      <c r="A1191" s="372">
        <v>180217</v>
      </c>
      <c r="B1191" s="241" t="s">
        <v>1599</v>
      </c>
      <c r="C1191" s="221" t="s">
        <v>115</v>
      </c>
      <c r="D1191" s="241">
        <v>7</v>
      </c>
      <c r="E1191" s="56" t="str">
        <f t="shared" si="90"/>
        <v>ESPELHO PARA CAIXA ESTAMPADA 4 X 2"</v>
      </c>
      <c r="F1191" s="56" t="str">
        <f t="shared" si="91"/>
        <v>UND</v>
      </c>
      <c r="G1191">
        <f t="shared" si="92"/>
        <v>9.33</v>
      </c>
      <c r="H1191">
        <f t="shared" si="93"/>
        <v>7</v>
      </c>
      <c r="I1191">
        <f t="shared" si="94"/>
        <v>7</v>
      </c>
    </row>
    <row r="1192" spans="1:9">
      <c r="A1192" s="372">
        <v>180218</v>
      </c>
      <c r="B1192" s="241" t="s">
        <v>1600</v>
      </c>
      <c r="C1192" s="221" t="s">
        <v>115</v>
      </c>
      <c r="D1192" s="241">
        <v>17.510000000000002</v>
      </c>
      <c r="E1192" s="56" t="str">
        <f t="shared" si="90"/>
        <v>ESPELHO PARA CAIXA ESTAMPADA 4 X 4"</v>
      </c>
      <c r="F1192" s="56" t="str">
        <f t="shared" si="91"/>
        <v>UND</v>
      </c>
      <c r="G1192">
        <f t="shared" si="92"/>
        <v>23.33</v>
      </c>
      <c r="H1192">
        <f t="shared" si="93"/>
        <v>17.510000000000002</v>
      </c>
      <c r="I1192">
        <f t="shared" si="94"/>
        <v>17.510000000000002</v>
      </c>
    </row>
    <row r="1193" spans="1:9">
      <c r="A1193" s="372">
        <v>180220</v>
      </c>
      <c r="B1193" s="241" t="s">
        <v>1601</v>
      </c>
      <c r="C1193" s="221" t="s">
        <v>115</v>
      </c>
      <c r="D1193" s="241">
        <v>51.28</v>
      </c>
      <c r="E1193" s="56" t="str">
        <f t="shared" si="90"/>
        <v>TOMADA COAXIAL 75 OHMS PARA TV</v>
      </c>
      <c r="F1193" s="56" t="str">
        <f t="shared" si="91"/>
        <v>UND</v>
      </c>
      <c r="G1193">
        <f t="shared" si="92"/>
        <v>68.33</v>
      </c>
      <c r="H1193">
        <f t="shared" si="93"/>
        <v>51.28</v>
      </c>
      <c r="I1193">
        <f t="shared" si="94"/>
        <v>51.28</v>
      </c>
    </row>
    <row r="1194" spans="1:9">
      <c r="A1194" s="372">
        <v>1803</v>
      </c>
      <c r="B1194" s="241" t="s">
        <v>1602</v>
      </c>
      <c r="C1194" s="221"/>
      <c r="D1194" s="241"/>
      <c r="E1194" s="56" t="str">
        <f t="shared" si="90"/>
        <v>BOMBAS</v>
      </c>
      <c r="F1194" s="56" t="str">
        <f t="shared" si="91"/>
        <v/>
      </c>
      <c r="G1194">
        <f t="shared" si="92"/>
        <v>0</v>
      </c>
      <c r="H1194">
        <f t="shared" si="93"/>
        <v>0</v>
      </c>
      <c r="I1194">
        <f t="shared" si="94"/>
        <v>0</v>
      </c>
    </row>
    <row r="1195" spans="1:9" ht="28.8">
      <c r="A1195" s="372">
        <v>180301</v>
      </c>
      <c r="B1195" s="241" t="s">
        <v>10370</v>
      </c>
      <c r="C1195" s="221" t="s">
        <v>115</v>
      </c>
      <c r="D1195" s="241">
        <v>4522.62</v>
      </c>
      <c r="E1195" s="56" t="str">
        <f t="shared" si="90"/>
        <v>BOMBA CENTRÍFUGA TRIFÁSICA 5CV, MODELO 620 DANCOR, OU EQUIVALENTE</v>
      </c>
      <c r="F1195" s="56" t="str">
        <f t="shared" si="91"/>
        <v>UND</v>
      </c>
      <c r="G1195">
        <f t="shared" si="92"/>
        <v>6026.39</v>
      </c>
      <c r="H1195">
        <f t="shared" si="93"/>
        <v>4522.62</v>
      </c>
      <c r="I1195">
        <f t="shared" si="94"/>
        <v>4522.62</v>
      </c>
    </row>
    <row r="1196" spans="1:9">
      <c r="A1196" s="372">
        <v>180302</v>
      </c>
      <c r="B1196" s="241" t="s">
        <v>1603</v>
      </c>
      <c r="C1196" s="221" t="s">
        <v>115</v>
      </c>
      <c r="D1196" s="241">
        <v>1090.6300000000001</v>
      </c>
      <c r="E1196" s="56" t="str">
        <f t="shared" si="90"/>
        <v>BOMBA CENTRÍFUGA MONOFÁSICA 1/2 CV</v>
      </c>
      <c r="F1196" s="56" t="str">
        <f t="shared" si="91"/>
        <v>UND</v>
      </c>
      <c r="G1196">
        <f t="shared" si="92"/>
        <v>1453.26</v>
      </c>
      <c r="H1196">
        <f t="shared" si="93"/>
        <v>1090.6300000000001</v>
      </c>
      <c r="I1196">
        <f t="shared" si="94"/>
        <v>1090.6300000000001</v>
      </c>
    </row>
    <row r="1197" spans="1:9">
      <c r="A1197" s="372">
        <v>180303</v>
      </c>
      <c r="B1197" s="241" t="s">
        <v>1604</v>
      </c>
      <c r="C1197" s="221" t="s">
        <v>115</v>
      </c>
      <c r="D1197" s="241">
        <v>1426.07</v>
      </c>
      <c r="E1197" s="56" t="str">
        <f t="shared" si="90"/>
        <v>BOMBA CENTRÍFUGA MONOFÁSICA 3/4 CV</v>
      </c>
      <c r="F1197" s="56" t="str">
        <f t="shared" si="91"/>
        <v>UND</v>
      </c>
      <c r="G1197">
        <f t="shared" si="92"/>
        <v>1900.24</v>
      </c>
      <c r="H1197">
        <f t="shared" si="93"/>
        <v>1426.07</v>
      </c>
      <c r="I1197">
        <f t="shared" si="94"/>
        <v>1426.07</v>
      </c>
    </row>
    <row r="1198" spans="1:9">
      <c r="A1198" s="372">
        <v>180304</v>
      </c>
      <c r="B1198" s="241" t="s">
        <v>1605</v>
      </c>
      <c r="C1198" s="221" t="s">
        <v>115</v>
      </c>
      <c r="D1198" s="241">
        <v>2061.79</v>
      </c>
      <c r="E1198" s="56" t="str">
        <f t="shared" si="90"/>
        <v>BOMBA CENTRIFUGA TRIFÁSICA 2CV</v>
      </c>
      <c r="F1198" s="56" t="str">
        <f t="shared" si="91"/>
        <v>UND</v>
      </c>
      <c r="G1198">
        <f t="shared" si="92"/>
        <v>2747.34</v>
      </c>
      <c r="H1198">
        <f t="shared" si="93"/>
        <v>2061.79</v>
      </c>
      <c r="I1198">
        <f t="shared" si="94"/>
        <v>2061.79</v>
      </c>
    </row>
    <row r="1199" spans="1:9">
      <c r="A1199" s="372">
        <v>180305</v>
      </c>
      <c r="B1199" s="241" t="s">
        <v>1606</v>
      </c>
      <c r="C1199" s="221" t="s">
        <v>115</v>
      </c>
      <c r="D1199" s="241">
        <v>1509.51</v>
      </c>
      <c r="E1199" s="56" t="str">
        <f t="shared" si="90"/>
        <v>BOMBA ELÉTRICA CENTRÍFUGA MONOFÁSICA 1 CV</v>
      </c>
      <c r="F1199" s="56" t="str">
        <f t="shared" si="91"/>
        <v>UND</v>
      </c>
      <c r="G1199">
        <f t="shared" si="92"/>
        <v>2011.42</v>
      </c>
      <c r="H1199">
        <f t="shared" si="93"/>
        <v>1509.51</v>
      </c>
      <c r="I1199">
        <f t="shared" si="94"/>
        <v>1509.51</v>
      </c>
    </row>
    <row r="1200" spans="1:9">
      <c r="A1200" s="372">
        <v>1804</v>
      </c>
      <c r="B1200" s="241" t="s">
        <v>466</v>
      </c>
      <c r="C1200" s="221"/>
      <c r="D1200" s="241"/>
      <c r="E1200" s="56" t="str">
        <f t="shared" si="90"/>
        <v>POSTES</v>
      </c>
      <c r="F1200" s="56" t="str">
        <f t="shared" si="91"/>
        <v/>
      </c>
      <c r="G1200">
        <f t="shared" si="92"/>
        <v>0</v>
      </c>
      <c r="H1200">
        <f t="shared" si="93"/>
        <v>0</v>
      </c>
      <c r="I1200">
        <f t="shared" si="94"/>
        <v>0</v>
      </c>
    </row>
    <row r="1201" spans="1:9" ht="86.4">
      <c r="A1201" s="372">
        <v>180405</v>
      </c>
      <c r="B1201" s="241" t="s">
        <v>27370</v>
      </c>
      <c r="C1201" s="221" t="s">
        <v>115</v>
      </c>
      <c r="D1201" s="241">
        <v>4394.1499999999996</v>
      </c>
      <c r="E1201" s="56" t="str">
        <f t="shared" si="90"/>
        <v>POSTE CIRCULAR DE CONCRETO DE 11M PADRÃO ESCELSA, INCL. LUMINÁRIA TIPO LED 1 PÉTALA POT 100W, IP66, TEMP COR SUP 5000K, VIDA UTIL SUPERIOR A 60.000 H, MOD EDN100, HBP-100 OU 001100G3-1006 - AMES ILUMINAÇÃO, ECP, HDA ILUMINAÇÃO OU EQUIV</v>
      </c>
      <c r="F1201" s="56" t="str">
        <f t="shared" si="91"/>
        <v>UND</v>
      </c>
      <c r="G1201">
        <f t="shared" si="92"/>
        <v>5855.2</v>
      </c>
      <c r="H1201">
        <f t="shared" si="93"/>
        <v>4394.1499999999996</v>
      </c>
      <c r="I1201">
        <f t="shared" si="94"/>
        <v>4394.1499999999996</v>
      </c>
    </row>
    <row r="1202" spans="1:9">
      <c r="A1202" s="371">
        <v>1806</v>
      </c>
      <c r="B1202" s="240" t="s">
        <v>23654</v>
      </c>
      <c r="C1202" s="221"/>
      <c r="D1202" s="241"/>
      <c r="E1202" s="56" t="str">
        <f t="shared" si="90"/>
        <v>AR REFRIGERADO</v>
      </c>
      <c r="F1202" s="56" t="str">
        <f t="shared" si="91"/>
        <v/>
      </c>
      <c r="G1202">
        <f t="shared" si="92"/>
        <v>0</v>
      </c>
      <c r="H1202">
        <f t="shared" si="93"/>
        <v>0</v>
      </c>
      <c r="I1202">
        <f t="shared" si="94"/>
        <v>0</v>
      </c>
    </row>
    <row r="1203" spans="1:9" ht="86.4">
      <c r="A1203" s="372">
        <v>180602</v>
      </c>
      <c r="B1203" s="241" t="s">
        <v>23655</v>
      </c>
      <c r="C1203" s="221" t="s">
        <v>115</v>
      </c>
      <c r="D1203" s="594">
        <v>2618.13</v>
      </c>
      <c r="E1203" s="56" t="str">
        <f t="shared" si="90"/>
        <v>FORNECIMENTO E INSTALAÇÃO DE UNIDADE EVAPORADORA E CONDENSADORA DE AR CONDICIONADO TIPO SPLIT INVERTER HI-WALL (PAREDE) DE 9.000 BTU´S 220V - CICLO FRIO - CLASSIFICAÇÃO A (SELO PROCEL), INCLUSIVE AMORTECEDORES VIBRA-STOP</v>
      </c>
      <c r="F1203" s="56" t="str">
        <f t="shared" si="91"/>
        <v>UND</v>
      </c>
      <c r="G1203">
        <f t="shared" si="92"/>
        <v>3488.66</v>
      </c>
      <c r="H1203">
        <f t="shared" si="93"/>
        <v>2618.13</v>
      </c>
      <c r="I1203">
        <f t="shared" si="94"/>
        <v>2618.13</v>
      </c>
    </row>
    <row r="1204" spans="1:9" ht="86.4">
      <c r="A1204" s="372">
        <v>180603</v>
      </c>
      <c r="B1204" s="241" t="s">
        <v>23656</v>
      </c>
      <c r="C1204" s="221" t="s">
        <v>115</v>
      </c>
      <c r="D1204" s="594">
        <v>2961.31</v>
      </c>
      <c r="E1204" s="56" t="str">
        <f t="shared" si="90"/>
        <v>FORNECIMENTO E INSTALAÇÃO DE UNIDADE EVAPORADORA E CONDENSADORA DE AR CONDICIONADO TIPO SPLIT INVERTER HI-WALL (PAREDE) DE 12.000 BTU´S 220V - CICLO FRIO - CLASSIFICAÇÃO A (SELO PROCEL), INCLUSIVE AMORTECEDORES VIBRA-STOP</v>
      </c>
      <c r="F1204" s="56" t="str">
        <f t="shared" si="91"/>
        <v>UND</v>
      </c>
      <c r="G1204">
        <f t="shared" si="92"/>
        <v>3945.95</v>
      </c>
      <c r="H1204">
        <f t="shared" si="93"/>
        <v>2961.31</v>
      </c>
      <c r="I1204">
        <f t="shared" si="94"/>
        <v>2961.31</v>
      </c>
    </row>
    <row r="1205" spans="1:9" ht="86.4">
      <c r="A1205" s="372">
        <v>180604</v>
      </c>
      <c r="B1205" s="241" t="s">
        <v>23657</v>
      </c>
      <c r="C1205" s="221" t="s">
        <v>115</v>
      </c>
      <c r="D1205" s="594">
        <v>4245.3999999999996</v>
      </c>
      <c r="E1205" s="56" t="str">
        <f t="shared" si="90"/>
        <v>FORNECIMENTO E INSTALAÇÃO DE UNIDADE EVAPORADORA E CONDENSADORA DE AR CONDICIONADO TIPO SPLIT INVERTER HI-WALL (PAREDE) DE 18.000 BTU´S 220V - CICLO FRIO - CLASSIFICAÇÃO A (SELO PROCEL), INCLUSIVE AMORTECEDORES VIBRA-STOP</v>
      </c>
      <c r="F1205" s="56" t="str">
        <f t="shared" si="91"/>
        <v>UND</v>
      </c>
      <c r="G1205">
        <f t="shared" si="92"/>
        <v>5657</v>
      </c>
      <c r="H1205">
        <f t="shared" si="93"/>
        <v>4245.3999999999996</v>
      </c>
      <c r="I1205">
        <f t="shared" si="94"/>
        <v>4245.3999999999996</v>
      </c>
    </row>
    <row r="1206" spans="1:9" ht="86.4">
      <c r="A1206" s="372">
        <v>180605</v>
      </c>
      <c r="B1206" s="241" t="s">
        <v>23658</v>
      </c>
      <c r="C1206" s="221" t="s">
        <v>115</v>
      </c>
      <c r="D1206" s="594">
        <v>6964.4</v>
      </c>
      <c r="E1206" s="56" t="str">
        <f t="shared" si="90"/>
        <v>FORNECIMENTO E INSTALAÇÃO DE UNIDADE EVAPORADORA E CONDENSADORA DE AR CONDICIONADO TIPO SPLIT INVERTER HI-WALL (PAREDE) DE 22.000 BTU´S 220V - CICLO FRIO - CLASSIFICAÇÃO A (SELO PROCEL), INCLUSIVE AMORTECEDORES VIBRA-STOP</v>
      </c>
      <c r="F1206" s="56" t="str">
        <f t="shared" si="91"/>
        <v>UND</v>
      </c>
      <c r="G1206">
        <f t="shared" si="92"/>
        <v>9280.06</v>
      </c>
      <c r="H1206">
        <f t="shared" si="93"/>
        <v>6964.4</v>
      </c>
      <c r="I1206">
        <f t="shared" si="94"/>
        <v>6964.4</v>
      </c>
    </row>
    <row r="1207" spans="1:9" ht="86.4">
      <c r="A1207" s="372">
        <v>180606</v>
      </c>
      <c r="B1207" s="241" t="s">
        <v>23659</v>
      </c>
      <c r="C1207" s="221" t="s">
        <v>115</v>
      </c>
      <c r="D1207" s="594">
        <v>7124.33</v>
      </c>
      <c r="E1207" s="56" t="str">
        <f t="shared" si="90"/>
        <v>FORNECIMENTO E INSTALAÇÃO DE UNIDADE EVAPORADORA E CONDENSADORA DE AR CONDICIONADO TIPO SPLIT INVERTER HI-WALL (PAREDE) DE 24.000 BTU´S 220V - CICLO FRIO - CLASSIFICAÇÃO A (SELO PROCEL), INCLUSIVE AMORTECEDORES VIBRA-STOP</v>
      </c>
      <c r="F1207" s="56" t="str">
        <f t="shared" si="91"/>
        <v>UND</v>
      </c>
      <c r="G1207">
        <f t="shared" si="92"/>
        <v>9493.17</v>
      </c>
      <c r="H1207">
        <f t="shared" si="93"/>
        <v>7124.33</v>
      </c>
      <c r="I1207">
        <f t="shared" si="94"/>
        <v>7124.33</v>
      </c>
    </row>
    <row r="1208" spans="1:9" ht="86.4">
      <c r="A1208" s="372">
        <v>180607</v>
      </c>
      <c r="B1208" s="241" t="s">
        <v>23660</v>
      </c>
      <c r="C1208" s="221" t="s">
        <v>115</v>
      </c>
      <c r="D1208" s="594">
        <v>9645.39</v>
      </c>
      <c r="E1208" s="56" t="str">
        <f t="shared" si="90"/>
        <v>FORNECIMENTO E INSTALAÇÃO DE UNIDADE EVAPORADORA E CONDENSADORA DE AR CONDICIONADO TIPO SPLIT INVERTER HI-WALL (PAREDE) DE 30.000 BTU´S 220V - CICLO QUENTE/FRIO - CLASSIFICAÇÃO A (SELO PROCEL), INCLUSIVE AMORTECEDORES VIBRA-STOP</v>
      </c>
      <c r="F1208" s="56" t="str">
        <f t="shared" si="91"/>
        <v>UND</v>
      </c>
      <c r="G1208">
        <f t="shared" si="92"/>
        <v>12852.48</v>
      </c>
      <c r="H1208">
        <f t="shared" si="93"/>
        <v>9645.39</v>
      </c>
      <c r="I1208">
        <f t="shared" si="94"/>
        <v>9645.39</v>
      </c>
    </row>
    <row r="1209" spans="1:9" ht="86.4">
      <c r="A1209" s="372">
        <v>180608</v>
      </c>
      <c r="B1209" s="241" t="s">
        <v>23661</v>
      </c>
      <c r="C1209" s="221" t="s">
        <v>115</v>
      </c>
      <c r="D1209" s="594">
        <v>12080.25</v>
      </c>
      <c r="E1209" s="56" t="str">
        <f t="shared" si="90"/>
        <v>FORNECIMENTO E INSTALAÇÃO DE UNIDADE EVAPORADORA E CONDENSADORA DE AR CONDICIONADO TIPO SPLIT INVERTER PISO TETO DE 36.000 BTU´S 220V - CICLO QUENTE/FRIO CLASSIFICAÇÃO ENERGÉTICA A OU B (SELO PROCEL), INCLUSIVE AMORTECEDORES VIBRA-STOP</v>
      </c>
      <c r="F1209" s="56" t="str">
        <f t="shared" si="91"/>
        <v>UND</v>
      </c>
      <c r="G1209">
        <f t="shared" si="92"/>
        <v>16096.93</v>
      </c>
      <c r="H1209">
        <f t="shared" si="93"/>
        <v>12080.25</v>
      </c>
      <c r="I1209">
        <f t="shared" si="94"/>
        <v>12080.25</v>
      </c>
    </row>
    <row r="1210" spans="1:9" ht="86.4">
      <c r="A1210" s="372">
        <v>180609</v>
      </c>
      <c r="B1210" s="241" t="s">
        <v>23662</v>
      </c>
      <c r="C1210" s="221" t="s">
        <v>115</v>
      </c>
      <c r="D1210" s="594">
        <v>14310.06</v>
      </c>
      <c r="E1210" s="56" t="str">
        <f t="shared" si="90"/>
        <v>FORNECIMENTO E INSTALAÇÃO DE UNIDADE EVAPORADORA E CONDENSADORA DE AR CONDICIONADO TIPO SPLIT INVERTER PISO TETO DE 48.000 BTU´S 220V TRIFÁSICO - CICLO QUENTE/FRIO CLASSIFICAÇÃO ENERGÉTICA A OU B (SELO PROCEL), INCLUSIVE AMORTECEDORES VIBRA-STOP</v>
      </c>
      <c r="F1210" s="56" t="str">
        <f t="shared" si="91"/>
        <v>UND</v>
      </c>
      <c r="G1210">
        <f t="shared" si="92"/>
        <v>19068.150000000001</v>
      </c>
      <c r="H1210">
        <f t="shared" si="93"/>
        <v>14310.06</v>
      </c>
      <c r="I1210">
        <f t="shared" si="94"/>
        <v>14310.06</v>
      </c>
    </row>
    <row r="1211" spans="1:9">
      <c r="A1211" s="372">
        <v>1807</v>
      </c>
      <c r="B1211" s="241" t="s">
        <v>1607</v>
      </c>
      <c r="C1211" s="221"/>
      <c r="D1211" s="594"/>
      <c r="E1211" s="56" t="str">
        <f t="shared" si="90"/>
        <v>VENTILADORES</v>
      </c>
      <c r="F1211" s="56" t="str">
        <f t="shared" si="91"/>
        <v/>
      </c>
      <c r="G1211">
        <f t="shared" si="92"/>
        <v>0</v>
      </c>
      <c r="H1211">
        <f t="shared" si="93"/>
        <v>0</v>
      </c>
      <c r="I1211">
        <f t="shared" si="94"/>
        <v>0</v>
      </c>
    </row>
    <row r="1212" spans="1:9" ht="72">
      <c r="A1212" s="372">
        <v>180702</v>
      </c>
      <c r="B1212" s="241" t="s">
        <v>1608</v>
      </c>
      <c r="C1212" s="221" t="s">
        <v>115</v>
      </c>
      <c r="D1212" s="594">
        <v>314.63</v>
      </c>
      <c r="E1212" s="56" t="str">
        <f t="shared" si="90"/>
        <v>VENTILADOR DE TETO BASE MADEIRA SEM ALOJAMENTO PARA LUMINÁRIA, REF. TRON OU EQUIVALENTE, COM COMANDO DE INTERRUPTOR SIMPLES, SEM DIMER PARA REGULAGEM DE VELOCIDADE</v>
      </c>
      <c r="F1212" s="56" t="str">
        <f t="shared" si="91"/>
        <v>UND</v>
      </c>
      <c r="G1212">
        <f t="shared" si="92"/>
        <v>419.24</v>
      </c>
      <c r="H1212">
        <f t="shared" si="93"/>
        <v>314.63</v>
      </c>
      <c r="I1212">
        <f t="shared" si="94"/>
        <v>314.63</v>
      </c>
    </row>
    <row r="1213" spans="1:9">
      <c r="A1213" s="372">
        <v>1808</v>
      </c>
      <c r="B1213" s="241" t="s">
        <v>1570</v>
      </c>
      <c r="C1213" s="221"/>
      <c r="D1213" s="594"/>
      <c r="E1213" s="56" t="str">
        <f t="shared" si="90"/>
        <v>OUTROS APARELHOS</v>
      </c>
      <c r="F1213" s="56" t="str">
        <f t="shared" si="91"/>
        <v/>
      </c>
      <c r="G1213">
        <f t="shared" si="92"/>
        <v>0</v>
      </c>
      <c r="H1213">
        <f t="shared" si="93"/>
        <v>0</v>
      </c>
      <c r="I1213">
        <f t="shared" si="94"/>
        <v>0</v>
      </c>
    </row>
    <row r="1214" spans="1:9" ht="28.8">
      <c r="A1214" s="372">
        <v>180803</v>
      </c>
      <c r="B1214" s="241" t="s">
        <v>1609</v>
      </c>
      <c r="C1214" s="221" t="s">
        <v>115</v>
      </c>
      <c r="D1214" s="594">
        <v>165.14</v>
      </c>
      <c r="E1214" s="56" t="str">
        <f t="shared" si="90"/>
        <v>CAMPAINHA TIPO TIMBRE PIAL, COD. 412.77 OU EQUIVALENTE</v>
      </c>
      <c r="F1214" s="56" t="str">
        <f t="shared" si="91"/>
        <v>UND</v>
      </c>
      <c r="G1214">
        <f t="shared" si="92"/>
        <v>220.05</v>
      </c>
      <c r="H1214">
        <f t="shared" si="93"/>
        <v>165.14</v>
      </c>
      <c r="I1214">
        <f t="shared" si="94"/>
        <v>165.14</v>
      </c>
    </row>
    <row r="1215" spans="1:9">
      <c r="A1215" s="372">
        <v>180804</v>
      </c>
      <c r="B1215" s="241" t="s">
        <v>1610</v>
      </c>
      <c r="C1215" s="221" t="s">
        <v>115</v>
      </c>
      <c r="D1215" s="594">
        <v>835.8</v>
      </c>
      <c r="E1215" s="56" t="str">
        <f t="shared" si="90"/>
        <v>CAMPAINHA TIPO PRATO PIAL, COD. 414.18</v>
      </c>
      <c r="F1215" s="56" t="str">
        <f t="shared" si="91"/>
        <v>UND</v>
      </c>
      <c r="G1215">
        <f t="shared" si="92"/>
        <v>1113.7</v>
      </c>
      <c r="H1215">
        <f t="shared" si="93"/>
        <v>835.8</v>
      </c>
      <c r="I1215">
        <f t="shared" si="94"/>
        <v>835.8</v>
      </c>
    </row>
    <row r="1216" spans="1:9" ht="28.8">
      <c r="A1216" s="372">
        <v>180809</v>
      </c>
      <c r="B1216" s="241" t="s">
        <v>1611</v>
      </c>
      <c r="C1216" s="221" t="s">
        <v>115</v>
      </c>
      <c r="D1216" s="594">
        <v>109.15</v>
      </c>
      <c r="E1216" s="56" t="str">
        <f t="shared" si="90"/>
        <v>CHUVEIRO ELÉTRICO TIPO DUCHA LORENZET OU CORONA</v>
      </c>
      <c r="F1216" s="56" t="str">
        <f t="shared" si="91"/>
        <v>UND</v>
      </c>
      <c r="G1216">
        <f t="shared" si="92"/>
        <v>145.44</v>
      </c>
      <c r="H1216">
        <f t="shared" si="93"/>
        <v>109.15</v>
      </c>
      <c r="I1216">
        <f t="shared" si="94"/>
        <v>109.15</v>
      </c>
    </row>
    <row r="1217" spans="1:9">
      <c r="A1217" s="372">
        <v>1810</v>
      </c>
      <c r="B1217" s="241" t="s">
        <v>14923</v>
      </c>
      <c r="C1217" s="221"/>
      <c r="D1217" s="594"/>
      <c r="E1217" s="56" t="str">
        <f t="shared" ref="E1217:E1266" si="95">UPPER(B1217)</f>
        <v>LUMINARIAS PARA LÂMPADAS LED</v>
      </c>
      <c r="F1217" s="56" t="str">
        <f t="shared" ref="F1217:F1266" si="96">UPPER(C1217)</f>
        <v/>
      </c>
      <c r="G1217">
        <f t="shared" si="92"/>
        <v>0</v>
      </c>
      <c r="H1217">
        <f t="shared" si="93"/>
        <v>0</v>
      </c>
      <c r="I1217">
        <f t="shared" si="94"/>
        <v>0</v>
      </c>
    </row>
    <row r="1218" spans="1:9" ht="86.4">
      <c r="A1218" s="372">
        <v>181001</v>
      </c>
      <c r="B1218" s="241" t="s">
        <v>23663</v>
      </c>
      <c r="C1218" s="221" t="s">
        <v>115</v>
      </c>
      <c r="D1218" s="594">
        <v>130.82</v>
      </c>
      <c r="E1218" s="56" t="str">
        <f t="shared" si="95"/>
        <v>LUMINARIA SOBREPOR COMPL., CORPO CH. AÇO PINTADA BRANCA, REFLETOR, ALETAS PARABÓLICAS ALUM.ALTA PUREZA E REFLETÂNCIA INCLUSIVE 2 LÂMPADAS LED T8 9/10W TEMP. DE COR 5000K C/ 60CM - REF. CS216AL-N - AMES, 1261 - LUMAVI OU EQUIVALENTE</v>
      </c>
      <c r="F1218" s="56" t="str">
        <f t="shared" si="96"/>
        <v>UND</v>
      </c>
      <c r="G1218">
        <f t="shared" si="92"/>
        <v>174.32</v>
      </c>
      <c r="H1218">
        <f t="shared" si="93"/>
        <v>130.82</v>
      </c>
      <c r="I1218">
        <f t="shared" si="94"/>
        <v>130.82</v>
      </c>
    </row>
    <row r="1219" spans="1:9" ht="86.4">
      <c r="A1219" s="372">
        <v>181002</v>
      </c>
      <c r="B1219" s="241" t="s">
        <v>23664</v>
      </c>
      <c r="C1219" s="221" t="s">
        <v>115</v>
      </c>
      <c r="D1219" s="594">
        <v>182.61</v>
      </c>
      <c r="E1219" s="56" t="str">
        <f t="shared" si="95"/>
        <v>LUMINARIA SOBREPOR COMPL., CORPO CH. AÇO PINTADA BRANCA, REFLETOR ALETAS PARABÓLICAS ALUM.ALTA PUREZA E REFLETÂNCIA INCLUSIVE 2 LÂMPADAS LED T8 20W TEMP. DE COR 5000K BIVOLT C/ 1,20M - REF. CS232AL-N - AMES, 2447 - LUMAVI OU EQUIVALENTE</v>
      </c>
      <c r="F1219" s="56" t="str">
        <f t="shared" si="96"/>
        <v>UND</v>
      </c>
      <c r="G1219">
        <f t="shared" si="92"/>
        <v>243.33</v>
      </c>
      <c r="H1219">
        <f t="shared" si="93"/>
        <v>182.61</v>
      </c>
      <c r="I1219">
        <f t="shared" si="94"/>
        <v>182.61</v>
      </c>
    </row>
    <row r="1220" spans="1:9" ht="86.4">
      <c r="A1220" s="372">
        <v>181003</v>
      </c>
      <c r="B1220" s="241" t="s">
        <v>23665</v>
      </c>
      <c r="C1220" s="221" t="s">
        <v>115</v>
      </c>
      <c r="D1220" s="594">
        <v>129.77000000000001</v>
      </c>
      <c r="E1220" s="56" t="str">
        <f t="shared" si="95"/>
        <v>LUMINARIA EMBUTIR COMPL., CORPO CH. AÇO PINTADA BRANCA, REFLETOR ALETAS PARABÓLICAS ALUM.ALTA PUREZA E REFLETÂNCIA INCLUSIVE 2 LÂMPADAS LED T8 9W TEMP. DE COR 5000K C/ 60CM - REF. CE216AL-N - AMES, 6024 - LUMAVI OU EQUIVALENTE</v>
      </c>
      <c r="F1220" s="56" t="str">
        <f t="shared" si="96"/>
        <v>UND</v>
      </c>
      <c r="G1220">
        <f t="shared" si="92"/>
        <v>172.92</v>
      </c>
      <c r="H1220">
        <f t="shared" si="93"/>
        <v>129.77000000000001</v>
      </c>
      <c r="I1220">
        <f t="shared" si="94"/>
        <v>129.77000000000001</v>
      </c>
    </row>
    <row r="1221" spans="1:9" ht="86.4">
      <c r="A1221" s="372">
        <v>181004</v>
      </c>
      <c r="B1221" s="241" t="s">
        <v>23666</v>
      </c>
      <c r="C1221" s="221" t="s">
        <v>115</v>
      </c>
      <c r="D1221" s="594">
        <v>173.58</v>
      </c>
      <c r="E1221" s="56" t="str">
        <f t="shared" si="95"/>
        <v>LUMINARIA EMBUTIR COMPL., CORPO CH. AÇO PINTADA BRANCA, REFLETOR, ALETAS PARABÓLICAS ALUM.ALTA PUREZA E REFLETÂNCIA INCLUSIVE 2 LÂMPADAS LED T8 18W TEMP. DE COR 5000K C/ 1,20M - REF. CE232AL-N - AMES, 6025 - LUMAVI -LDEF 2X32W - LUMILUZ OU EQUIVALENTE</v>
      </c>
      <c r="F1221" s="56" t="str">
        <f t="shared" si="96"/>
        <v>UND</v>
      </c>
      <c r="G1221">
        <f t="shared" si="92"/>
        <v>231.3</v>
      </c>
      <c r="H1221">
        <f t="shared" si="93"/>
        <v>173.58</v>
      </c>
      <c r="I1221">
        <f t="shared" si="94"/>
        <v>173.58</v>
      </c>
    </row>
    <row r="1222" spans="1:9" ht="86.4">
      <c r="A1222" s="372">
        <v>181005</v>
      </c>
      <c r="B1222" s="241" t="s">
        <v>23667</v>
      </c>
      <c r="C1222" s="221" t="s">
        <v>115</v>
      </c>
      <c r="D1222" s="594">
        <v>237.35</v>
      </c>
      <c r="E1222" s="56" t="str">
        <f t="shared" si="95"/>
        <v>LUMINÁRIA SOBREPOR COMPL., CORPO CH. AÇO PINTADA BRANCA, REFLETOR,ALETAS PARABÓLICAS ALUM.ALTA PUREZA E REFLETÂNCIA INCLUSIVE 4 LÂMPADAS LED T8 9W TEMP. DE COR 5000K BIVOLT C/ 60CM - CS416AL-N - AMES, 1452 - LUMAVI OU EQUIVALENTE</v>
      </c>
      <c r="F1222" s="56" t="str">
        <f t="shared" si="96"/>
        <v>UND</v>
      </c>
      <c r="G1222">
        <f t="shared" si="92"/>
        <v>316.27</v>
      </c>
      <c r="H1222">
        <f t="shared" si="93"/>
        <v>237.35</v>
      </c>
      <c r="I1222">
        <f t="shared" si="94"/>
        <v>237.35</v>
      </c>
    </row>
    <row r="1223" spans="1:9" ht="86.4">
      <c r="A1223" s="372">
        <v>181007</v>
      </c>
      <c r="B1223" s="241" t="s">
        <v>14924</v>
      </c>
      <c r="C1223" s="221" t="s">
        <v>115</v>
      </c>
      <c r="D1223" s="594">
        <v>238.71</v>
      </c>
      <c r="E1223" s="56" t="str">
        <f t="shared" si="95"/>
        <v>LUMINÁRIA EMBUTIR COMPL., CORPO CH. AÇO PINTADA BRANCA, REFLETOR,ALETAS PARABÓLICAS ALUM.ALTA PUREZA E REFLETÂNCIA NCLUSIVE 4 LÂMPADAS LED T8 9W TEMP. DE COR 5000K - REF.CE416AL-N - AMES, 6026 - LUMAVI OU EQUIVALENTE</v>
      </c>
      <c r="F1223" s="56" t="str">
        <f t="shared" si="96"/>
        <v>UND</v>
      </c>
      <c r="G1223">
        <f t="shared" si="92"/>
        <v>318.08</v>
      </c>
      <c r="H1223">
        <f t="shared" si="93"/>
        <v>238.71</v>
      </c>
      <c r="I1223">
        <f t="shared" si="94"/>
        <v>238.71</v>
      </c>
    </row>
    <row r="1224" spans="1:9">
      <c r="A1224" s="371">
        <v>19</v>
      </c>
      <c r="B1224" s="240" t="s">
        <v>53</v>
      </c>
      <c r="C1224" s="221"/>
      <c r="D1224" s="241"/>
      <c r="E1224" s="56" t="str">
        <f t="shared" si="95"/>
        <v>PINTURA</v>
      </c>
      <c r="F1224" s="56" t="str">
        <f t="shared" si="96"/>
        <v/>
      </c>
      <c r="G1224">
        <f t="shared" ref="G1224:G1246" si="97">ROUND(H1224*(1+$G$1),2)</f>
        <v>0</v>
      </c>
      <c r="H1224">
        <f t="shared" ref="H1224:H1246" si="98">I1224</f>
        <v>0</v>
      </c>
      <c r="I1224">
        <f t="shared" ref="I1224:I1246" si="99">ROUND(D1224/(1+$E$1),2)</f>
        <v>0</v>
      </c>
    </row>
    <row r="1225" spans="1:9">
      <c r="A1225" s="372">
        <v>1901</v>
      </c>
      <c r="B1225" s="241" t="s">
        <v>1612</v>
      </c>
      <c r="C1225" s="221"/>
      <c r="D1225" s="594"/>
      <c r="E1225" s="56" t="str">
        <f t="shared" si="95"/>
        <v>SOBRE PAREDES E FORROS</v>
      </c>
      <c r="F1225" s="56" t="str">
        <f t="shared" si="96"/>
        <v/>
      </c>
      <c r="G1225">
        <f t="shared" si="97"/>
        <v>0</v>
      </c>
      <c r="H1225">
        <f t="shared" si="98"/>
        <v>0</v>
      </c>
      <c r="I1225">
        <f t="shared" si="99"/>
        <v>0</v>
      </c>
    </row>
    <row r="1226" spans="1:9" ht="72">
      <c r="A1226" s="372">
        <v>190101</v>
      </c>
      <c r="B1226" s="241" t="s">
        <v>26990</v>
      </c>
      <c r="C1226" s="221" t="s">
        <v>110</v>
      </c>
      <c r="D1226" s="594">
        <v>19.59</v>
      </c>
      <c r="E1226" s="56" t="str">
        <f t="shared" si="95"/>
        <v>EMASSAMENTO DE PAREDES E FORROS, COM DUAS DEMÃOS DE MASSA CORRIDA, REFERÊNCIA SUVINIL, CORAL, METALATEX OU EQUIVALENTE, INCLUSIVE UMA DEMÃO DE LIQUIDO SELADOR PVA, REFERÊNCIA SUVINIL, CORAL OU METALATEX OU EQUIVALENTE</v>
      </c>
      <c r="F1226" s="56" t="str">
        <f t="shared" si="96"/>
        <v>M2</v>
      </c>
      <c r="G1226">
        <f t="shared" si="97"/>
        <v>26.1</v>
      </c>
      <c r="H1226">
        <f t="shared" si="98"/>
        <v>19.59</v>
      </c>
      <c r="I1226">
        <f t="shared" si="99"/>
        <v>19.59</v>
      </c>
    </row>
    <row r="1227" spans="1:9" ht="43.2">
      <c r="A1227" s="372">
        <v>190102</v>
      </c>
      <c r="B1227" s="241" t="s">
        <v>1613</v>
      </c>
      <c r="C1227" s="221" t="s">
        <v>110</v>
      </c>
      <c r="D1227" s="594">
        <v>23.79</v>
      </c>
      <c r="E1227" s="56" t="str">
        <f t="shared" si="95"/>
        <v>EMASSAMENTO DE PAREDES E FORROS, COM DUAS DEMÃOS DE MASSA À BASE DE ÓLEO, MARCAS DE REFERÊNCIA SUVINIL, CORAL OU METALATEX</v>
      </c>
      <c r="F1227" s="56" t="str">
        <f t="shared" si="96"/>
        <v>M2</v>
      </c>
      <c r="G1227">
        <f t="shared" si="97"/>
        <v>31.7</v>
      </c>
      <c r="H1227">
        <f t="shared" si="98"/>
        <v>23.79</v>
      </c>
      <c r="I1227">
        <f t="shared" si="99"/>
        <v>23.79</v>
      </c>
    </row>
    <row r="1228" spans="1:9" ht="86.4">
      <c r="A1228" s="372">
        <v>190103</v>
      </c>
      <c r="B1228" s="241" t="s">
        <v>27371</v>
      </c>
      <c r="C1228" s="221" t="s">
        <v>110</v>
      </c>
      <c r="D1228" s="594">
        <v>23.83</v>
      </c>
      <c r="E1228" s="56" t="str">
        <f t="shared" si="95"/>
        <v>EMASSAMENTO DE PAREDES E FORROS, COM DUAS DEMÃOS DE MASSA ACRÍLICA PREMIUM, REFERÊNCIA SUVINIL, CORAL OU SHERWIN WILLIAMS OU EQUIVALENTE, INCLUSIVE UMA DEMÃO DE LIQUIDO SELADOR ACRÍLICO, REFERÊNCIA SUVINIL, CORAL OU METALATEX OU EQUIVALENTE</v>
      </c>
      <c r="F1228" s="56" t="str">
        <f t="shared" si="96"/>
        <v>M2</v>
      </c>
      <c r="G1228">
        <f t="shared" si="97"/>
        <v>31.75</v>
      </c>
      <c r="H1228">
        <f t="shared" si="98"/>
        <v>23.83</v>
      </c>
      <c r="I1228">
        <f t="shared" si="99"/>
        <v>23.83</v>
      </c>
    </row>
    <row r="1229" spans="1:9" ht="86.4">
      <c r="A1229" s="372">
        <v>190104</v>
      </c>
      <c r="B1229" s="241" t="s">
        <v>26991</v>
      </c>
      <c r="C1229" s="221" t="s">
        <v>110</v>
      </c>
      <c r="D1229" s="594">
        <v>28.77</v>
      </c>
      <c r="E1229" s="56" t="str">
        <f t="shared" si="95"/>
        <v>PINTURA EM PAREDES E FORROS, APLICAÇÃO MANUAL, COM TRÊS DEMÃOS DE TINTA LÁTEX PREMIUM, REFERÊNCIA SUVINIL, CORAL E METALATEX, INCLUSIVE UMA DEMÃO DE LIQUIDO SELADOR PVA, REFERÊNCIA SUVINIL, CORAL OU METALATEX OU EQUIVALENTE</v>
      </c>
      <c r="F1229" s="56" t="str">
        <f t="shared" si="96"/>
        <v>M2</v>
      </c>
      <c r="G1229">
        <f t="shared" si="97"/>
        <v>38.340000000000003</v>
      </c>
      <c r="H1229">
        <f t="shared" si="98"/>
        <v>28.77</v>
      </c>
      <c r="I1229">
        <f t="shared" si="99"/>
        <v>28.77</v>
      </c>
    </row>
    <row r="1230" spans="1:9" ht="100.8">
      <c r="A1230" s="372">
        <v>190105</v>
      </c>
      <c r="B1230" s="241" t="s">
        <v>26992</v>
      </c>
      <c r="C1230" s="221" t="s">
        <v>110</v>
      </c>
      <c r="D1230" s="594">
        <v>33.619999999999997</v>
      </c>
      <c r="E1230" s="56" t="str">
        <f t="shared" si="95"/>
        <v>PINTURA EM PAREDES E FORROS, APLICAÇÃO MANUAL, COM TRÊS DEMÃOS DE TINTA ESMALTE SINTÉTICO PREMIUM, ACABAMENTO FOSCO, REFERÊNCIA SUVINIL, CORAL OU METALATEX, INCLUSIVE UMA DEMÃO DE LIQUIDO SELADOR ACRÍLICO, REFERÊNCIA SUVINIL, CORAL OU METALATEX OU EQUIVALENTE</v>
      </c>
      <c r="F1230" s="56" t="str">
        <f t="shared" si="96"/>
        <v>M2</v>
      </c>
      <c r="G1230">
        <f>ROUND(H1230*(1+$G$1),2)</f>
        <v>44.8</v>
      </c>
      <c r="H1230">
        <f t="shared" si="98"/>
        <v>33.619999999999997</v>
      </c>
      <c r="I1230">
        <f t="shared" si="99"/>
        <v>33.619999999999997</v>
      </c>
    </row>
    <row r="1231" spans="1:9" ht="86.4">
      <c r="A1231" s="372">
        <v>190106</v>
      </c>
      <c r="B1231" s="241" t="s">
        <v>26993</v>
      </c>
      <c r="C1231" s="221" t="s">
        <v>110</v>
      </c>
      <c r="D1231" s="594">
        <v>29.44</v>
      </c>
      <c r="E1231" s="56" t="str">
        <f t="shared" si="95"/>
        <v>PINTURA EM PAREDES E FORROS, APLICAÇÃO MANUAL, COM TRÊS DEMÃO DE TINTA LÁTEX ACRÍLICO PREMIUM, REFERÊNCIA CORAL E METALATEX, INCLUSIVE UMA DEMÃO DE LIQUIDO SELADOR ACRÍLICO, REFERÊNCIA SUVINIL, CORAL OU METALATEX OU EQUIVALENTE</v>
      </c>
      <c r="F1231" s="56" t="str">
        <f t="shared" si="96"/>
        <v>M2</v>
      </c>
      <c r="G1231">
        <f t="shared" si="97"/>
        <v>39.229999999999997</v>
      </c>
      <c r="H1231">
        <f t="shared" si="98"/>
        <v>29.44</v>
      </c>
      <c r="I1231">
        <f t="shared" si="99"/>
        <v>29.44</v>
      </c>
    </row>
    <row r="1232" spans="1:9" ht="28.8">
      <c r="A1232" s="372">
        <v>190107</v>
      </c>
      <c r="B1232" s="241" t="s">
        <v>1614</v>
      </c>
      <c r="C1232" s="221" t="s">
        <v>110</v>
      </c>
      <c r="D1232" s="594">
        <v>4.5199999999999996</v>
      </c>
      <c r="E1232" s="56" t="str">
        <f t="shared" si="95"/>
        <v>PINTURA COM NATA DE CIMENTO SOBRE SUPERFÍCIE ÁSPERA A TRÊS DEMÃOS</v>
      </c>
      <c r="F1232" s="56" t="str">
        <f t="shared" si="96"/>
        <v>M2</v>
      </c>
      <c r="G1232">
        <f t="shared" si="97"/>
        <v>6.02</v>
      </c>
      <c r="H1232">
        <f t="shared" si="98"/>
        <v>4.5199999999999996</v>
      </c>
      <c r="I1232">
        <f t="shared" si="99"/>
        <v>4.5199999999999996</v>
      </c>
    </row>
    <row r="1233" spans="1:9" ht="28.8">
      <c r="A1233" s="372">
        <v>190108</v>
      </c>
      <c r="B1233" s="241" t="s">
        <v>26994</v>
      </c>
      <c r="C1233" s="221" t="s">
        <v>110</v>
      </c>
      <c r="D1233" s="594">
        <v>12.28</v>
      </c>
      <c r="E1233" s="56" t="str">
        <f t="shared" si="95"/>
        <v>PINTURA A CAL (TIPO CAIAÇÃO), SOBRE PAREDES E FORROS, A TRÊS DEMÃOS</v>
      </c>
      <c r="F1233" s="56" t="str">
        <f t="shared" si="96"/>
        <v>M2</v>
      </c>
      <c r="G1233">
        <f t="shared" si="97"/>
        <v>16.36</v>
      </c>
      <c r="H1233">
        <f t="shared" si="98"/>
        <v>12.28</v>
      </c>
      <c r="I1233">
        <f t="shared" si="99"/>
        <v>12.28</v>
      </c>
    </row>
    <row r="1234" spans="1:9" ht="57.6">
      <c r="A1234" s="372">
        <v>190109</v>
      </c>
      <c r="B1234" s="241" t="s">
        <v>26995</v>
      </c>
      <c r="C1234" s="221" t="s">
        <v>115</v>
      </c>
      <c r="D1234" s="594">
        <v>113.68</v>
      </c>
      <c r="E1234" s="56" t="str">
        <f t="shared" si="95"/>
        <v>PINTURA DE LETRA, APLICAÇÃO MANUAL, EM PAREDE, DIM. 20X30CM COM TINTA LÁTEX ACRÍLICA, MARCAS DE REFERÊNCIA SUVINIL, CORAL OU METALATEX OU EQUIVALENTE</v>
      </c>
      <c r="F1234" s="56" t="str">
        <f t="shared" si="96"/>
        <v>UND</v>
      </c>
      <c r="G1234">
        <f t="shared" si="97"/>
        <v>151.47999999999999</v>
      </c>
      <c r="H1234">
        <f t="shared" si="98"/>
        <v>113.68</v>
      </c>
      <c r="I1234">
        <f t="shared" si="99"/>
        <v>113.68</v>
      </c>
    </row>
    <row r="1235" spans="1:9" ht="57.6">
      <c r="A1235" s="372">
        <v>190114</v>
      </c>
      <c r="B1235" s="241" t="s">
        <v>26996</v>
      </c>
      <c r="C1235" s="221" t="s">
        <v>110</v>
      </c>
      <c r="D1235" s="594">
        <v>2.98</v>
      </c>
      <c r="E1235" s="56" t="str">
        <f t="shared" si="95"/>
        <v>PREPARO EM PAREDES E FORROS, APLICAÇÃO MANUAL, COM UMA DEMÃO DE LÍQUIDO SELADOR ACRÍLICO, REFERÊNCIA SUVINIL, CORAL OU METALATEX OU EQUIVALENTE</v>
      </c>
      <c r="F1235" s="56" t="str">
        <f t="shared" si="96"/>
        <v>M2</v>
      </c>
      <c r="G1235">
        <f t="shared" si="97"/>
        <v>3.97</v>
      </c>
      <c r="H1235">
        <f t="shared" si="98"/>
        <v>2.98</v>
      </c>
      <c r="I1235">
        <f t="shared" si="99"/>
        <v>2.98</v>
      </c>
    </row>
    <row r="1236" spans="1:9" ht="86.4">
      <c r="A1236" s="372">
        <v>190115</v>
      </c>
      <c r="B1236" s="241" t="s">
        <v>26997</v>
      </c>
      <c r="C1236" s="221" t="s">
        <v>110</v>
      </c>
      <c r="D1236" s="594">
        <v>23.45</v>
      </c>
      <c r="E1236" s="56" t="str">
        <f t="shared" si="95"/>
        <v>PINTURA, SOBRE PAREDES E FORROS, APLICAÇÃO MANUAL, COM DUAS DEMÃOS DE TINTA LÁTEX PVA PREMIUM, REFERÊNCIA SUVINIL, CORAL E METALATEX, INCLUSIVE UMA DEMÃO DE LIQUIDO SELADOR PVA, REFERÊNCIA SUVINIL, CORAL OU METALATEX OU EQUIVALENTE</v>
      </c>
      <c r="F1236" s="56" t="str">
        <f t="shared" si="96"/>
        <v>M2</v>
      </c>
      <c r="G1236">
        <f t="shared" si="97"/>
        <v>31.25</v>
      </c>
      <c r="H1236">
        <f t="shared" si="98"/>
        <v>23.45</v>
      </c>
      <c r="I1236">
        <f t="shared" si="99"/>
        <v>23.45</v>
      </c>
    </row>
    <row r="1237" spans="1:9" ht="86.4">
      <c r="A1237" s="372">
        <v>190116</v>
      </c>
      <c r="B1237" s="241" t="s">
        <v>26998</v>
      </c>
      <c r="C1237" s="221" t="s">
        <v>110</v>
      </c>
      <c r="D1237" s="594">
        <v>26.85</v>
      </c>
      <c r="E1237" s="56" t="str">
        <f t="shared" si="95"/>
        <v>PINTURA, SOBRE PAREDES E FORROS, APLICAÇÃO MANUAL, COM DUAS DEMÃOS DE TINTA ESMALTE SINTÉTICO, REFERÊNCIA SUVINIL, CORAL E METALATEX, INCLUSIVE UMA DEMÃO DE LIQUIDO SELADOR PVA, REFERÊNCIA SUVINIL, CORAL OU METALATEX OU EQUIVALENTE</v>
      </c>
      <c r="F1237" s="56" t="str">
        <f t="shared" si="96"/>
        <v>M2</v>
      </c>
      <c r="G1237">
        <f t="shared" si="97"/>
        <v>35.78</v>
      </c>
      <c r="H1237">
        <f t="shared" si="98"/>
        <v>26.85</v>
      </c>
      <c r="I1237">
        <f t="shared" si="99"/>
        <v>26.85</v>
      </c>
    </row>
    <row r="1238" spans="1:9" ht="100.8">
      <c r="A1238" s="372">
        <v>190117</v>
      </c>
      <c r="B1238" s="241" t="s">
        <v>26999</v>
      </c>
      <c r="C1238" s="221" t="s">
        <v>110</v>
      </c>
      <c r="D1238" s="594">
        <v>23.72</v>
      </c>
      <c r="E1238" s="56" t="str">
        <f t="shared" si="95"/>
        <v>PINTURA SOBRE PAREDES E FORROS, APLICAÇÃO MANUAL, COM DUAS DEMÃOS DE TINTA LÁTEX ACRÍLICO PREMIUM, ACABAMENTO FOSCO, REFERÊNCIA SUVINIL, CORAL E METALATEX, INCLUSIVE UMA DEMÃO DE LIQUIDO SELADOR ACRÍLICO, REFERÊNCIA SUVINIL, CORAL OU METALATEX</v>
      </c>
      <c r="F1238" s="56" t="str">
        <f t="shared" si="96"/>
        <v>M2</v>
      </c>
      <c r="G1238">
        <f t="shared" si="97"/>
        <v>31.61</v>
      </c>
      <c r="H1238">
        <f t="shared" si="98"/>
        <v>23.72</v>
      </c>
      <c r="I1238">
        <f t="shared" si="99"/>
        <v>23.72</v>
      </c>
    </row>
    <row r="1239" spans="1:9" ht="57.6">
      <c r="A1239" s="372">
        <v>190121</v>
      </c>
      <c r="B1239" s="241" t="s">
        <v>27000</v>
      </c>
      <c r="C1239" s="221" t="s">
        <v>110</v>
      </c>
      <c r="D1239" s="594">
        <v>3.18</v>
      </c>
      <c r="E1239" s="56" t="str">
        <f t="shared" si="95"/>
        <v>PREPARO EM PAREDES E FORROS, APLICAÇÃO MANUAL, COM UMA DEMÃO DE LÍQUIDO SELADOR PVA, REFERÊNCIA SUVINIL, CORAL OU METALATEX OU EQUIVALENTE</v>
      </c>
      <c r="F1239" s="56" t="str">
        <f t="shared" si="96"/>
        <v>M2</v>
      </c>
      <c r="G1239">
        <f t="shared" si="97"/>
        <v>4.24</v>
      </c>
      <c r="H1239">
        <f t="shared" si="98"/>
        <v>3.18</v>
      </c>
      <c r="I1239">
        <f t="shared" si="99"/>
        <v>3.18</v>
      </c>
    </row>
    <row r="1240" spans="1:9" ht="28.8">
      <c r="A1240" s="372">
        <v>1902</v>
      </c>
      <c r="B1240" s="241" t="s">
        <v>1615</v>
      </c>
      <c r="C1240" s="221"/>
      <c r="D1240" s="594"/>
      <c r="E1240" s="56" t="str">
        <f t="shared" si="95"/>
        <v>SOBRE CONCRETO OU BLOCOS CERÂMICOS APARENTES</v>
      </c>
      <c r="F1240" s="56" t="str">
        <f t="shared" si="96"/>
        <v/>
      </c>
      <c r="G1240">
        <f t="shared" si="97"/>
        <v>0</v>
      </c>
      <c r="H1240">
        <f t="shared" si="98"/>
        <v>0</v>
      </c>
      <c r="I1240">
        <f t="shared" si="99"/>
        <v>0</v>
      </c>
    </row>
    <row r="1241" spans="1:9" ht="72">
      <c r="A1241" s="372">
        <v>190201</v>
      </c>
      <c r="B1241" s="241" t="s">
        <v>27001</v>
      </c>
      <c r="C1241" s="221" t="s">
        <v>110</v>
      </c>
      <c r="D1241" s="594">
        <v>15.25</v>
      </c>
      <c r="E1241" s="56" t="str">
        <f t="shared" si="95"/>
        <v>PINTURA SOBRE CONCRETO OU BLOCOS CERÂMICOS APARENTES, APLICAÇÃO MANUAL, COM DUAS DEMÃOS DE VERNIZ ACRÍLICO A BASE DE ÁGUA, ACABAMENTO FOSCO, REFERÊNCIA SUVINIL, CORAL, METALATEX OU EQUIVALENTE</v>
      </c>
      <c r="F1241" s="56" t="str">
        <f t="shared" si="96"/>
        <v>M2</v>
      </c>
      <c r="G1241">
        <f t="shared" si="97"/>
        <v>20.32</v>
      </c>
      <c r="H1241">
        <f t="shared" si="98"/>
        <v>15.25</v>
      </c>
      <c r="I1241">
        <f t="shared" si="99"/>
        <v>15.25</v>
      </c>
    </row>
    <row r="1242" spans="1:9" ht="57.6">
      <c r="A1242" s="372">
        <v>190202</v>
      </c>
      <c r="B1242" s="241" t="s">
        <v>27002</v>
      </c>
      <c r="C1242" s="221" t="s">
        <v>110</v>
      </c>
      <c r="D1242" s="594">
        <v>18.059999999999999</v>
      </c>
      <c r="E1242" s="56" t="str">
        <f t="shared" si="95"/>
        <v>PINTURA SOBRE CONCRETO OU BLOCOS CERÂMICOS APARENTES, APLICAÇÃO MANUAL, COM UMA DEMÃO DE SILICONE INCOLOR, REFERÊNCIA SUVINIL, SIKA, VEDACIT OU EQUIVALENTE</v>
      </c>
      <c r="F1242" s="56" t="str">
        <f t="shared" si="96"/>
        <v>M2</v>
      </c>
      <c r="G1242">
        <f t="shared" si="97"/>
        <v>24.06</v>
      </c>
      <c r="H1242">
        <f t="shared" si="98"/>
        <v>18.059999999999999</v>
      </c>
      <c r="I1242" s="14">
        <f t="shared" si="99"/>
        <v>18.059999999999999</v>
      </c>
    </row>
    <row r="1243" spans="1:9" ht="100.8">
      <c r="A1243" s="372">
        <v>190203</v>
      </c>
      <c r="B1243" s="241" t="s">
        <v>27003</v>
      </c>
      <c r="C1243" s="221" t="s">
        <v>110</v>
      </c>
      <c r="D1243" s="594">
        <v>27.63</v>
      </c>
      <c r="E1243" s="56" t="str">
        <f t="shared" si="95"/>
        <v>PINTURA SOBRE CONCRETO OU BLOCOS DE CONCRETO, APLICAÇÃO MANUAL, COM TRÊS DEMÃOS DE TINTA LÁTEX ACRÍLICO PREMIUM, REFERÊNCIA SUVINIL, CORAL E METALATEX, INCLUSIVE UMA DEMÃO DE LIQUIDO SELADOR ACRÍLICO, REFERÊNCIA SUVINIL, CORAL OU METALATEX OU EQUIVALENTE</v>
      </c>
      <c r="F1243" s="56" t="str">
        <f t="shared" si="96"/>
        <v>M2</v>
      </c>
      <c r="G1243">
        <f t="shared" si="97"/>
        <v>36.82</v>
      </c>
      <c r="H1243">
        <f t="shared" si="98"/>
        <v>27.63</v>
      </c>
      <c r="I1243">
        <f t="shared" si="99"/>
        <v>27.63</v>
      </c>
    </row>
    <row r="1244" spans="1:9" ht="86.4">
      <c r="A1244" s="372">
        <v>190204</v>
      </c>
      <c r="B1244" s="241" t="s">
        <v>27004</v>
      </c>
      <c r="C1244" s="221" t="s">
        <v>110</v>
      </c>
      <c r="D1244" s="594">
        <v>35.92</v>
      </c>
      <c r="E1244" s="56" t="str">
        <f t="shared" si="95"/>
        <v>PINTURA SOBRE COBOGÓS DE CONCRETO, APLICAÇÃO MANUAL, COM DUAS DEMÃOS DE TINTA LÁTEX ACRÍLICO PREMIUM, REFERÊNCIA SUVINIL, CORAL E METALATEX, INCLUSIVE UMA DEMÃO DE LIQUIDO SELADOR ACRÍLICO, REFERÊNCIA SUVINIL, CORAL OU METALATEX OU EQUIVALENTE</v>
      </c>
      <c r="F1244" s="56" t="str">
        <f t="shared" si="96"/>
        <v>M2</v>
      </c>
      <c r="G1244">
        <f t="shared" si="97"/>
        <v>47.86</v>
      </c>
      <c r="H1244">
        <f t="shared" si="98"/>
        <v>35.92</v>
      </c>
      <c r="I1244">
        <f t="shared" si="99"/>
        <v>35.92</v>
      </c>
    </row>
    <row r="1245" spans="1:9" ht="28.8">
      <c r="A1245" s="372">
        <v>190205</v>
      </c>
      <c r="B1245" s="241" t="s">
        <v>27005</v>
      </c>
      <c r="C1245" s="221" t="s">
        <v>110</v>
      </c>
      <c r="D1245" s="594">
        <v>12.32</v>
      </c>
      <c r="E1245" s="56" t="str">
        <f t="shared" si="95"/>
        <v>PINTURA A CAL DE MEIO-FIO (TIPO A CAIAÇÃO), APLICAÇÃO MANUAL, A TRÊS DEMÃOS</v>
      </c>
      <c r="F1245" s="56" t="str">
        <f t="shared" si="96"/>
        <v>M2</v>
      </c>
      <c r="G1245">
        <f t="shared" si="97"/>
        <v>16.420000000000002</v>
      </c>
      <c r="H1245">
        <f t="shared" si="98"/>
        <v>12.32</v>
      </c>
      <c r="I1245">
        <f t="shared" si="99"/>
        <v>12.32</v>
      </c>
    </row>
    <row r="1246" spans="1:9" ht="100.8">
      <c r="A1246" s="584">
        <v>190211</v>
      </c>
      <c r="B1246" s="588" t="s">
        <v>27006</v>
      </c>
      <c r="C1246" s="585" t="s">
        <v>110</v>
      </c>
      <c r="D1246" s="595">
        <v>23.45</v>
      </c>
      <c r="E1246" s="56" t="str">
        <f t="shared" si="95"/>
        <v>PINTURA SOBRE CONCRETO OU BLOCOS DE CONCRETO, APLICAÇÃO MANUAL, COM DUAS DEMÃOS DE TINTA LÁTEX PVA PREMIUM, REFERÊNCIA SUVINIL, CORAL E METALATEX, INCLUSIVE UMA DEMÃO DE LIQUIDO SELADOR PVA, REFERÊNCIA SUVINIL, CORAL OU METALATEX OU EQUIVALENTE</v>
      </c>
      <c r="F1246" s="56" t="str">
        <f t="shared" si="96"/>
        <v>M2</v>
      </c>
      <c r="G1246" s="14">
        <f t="shared" si="97"/>
        <v>31.25</v>
      </c>
      <c r="H1246">
        <f t="shared" si="98"/>
        <v>23.45</v>
      </c>
      <c r="I1246">
        <f t="shared" si="99"/>
        <v>23.45</v>
      </c>
    </row>
    <row r="1247" spans="1:9" s="58" customFormat="1">
      <c r="A1247" s="591">
        <v>1903</v>
      </c>
      <c r="B1247" s="129" t="s">
        <v>1616</v>
      </c>
      <c r="C1247" s="586"/>
      <c r="D1247" s="129"/>
      <c r="E1247" s="58" t="str">
        <f t="shared" si="95"/>
        <v>SOBRE MADEIRA</v>
      </c>
      <c r="F1247" s="58" t="str">
        <f t="shared" si="96"/>
        <v/>
      </c>
      <c r="G1247" s="58">
        <f t="shared" ref="G1247:G1266" si="100">D1247</f>
        <v>0</v>
      </c>
      <c r="H1247" s="58">
        <f t="shared" ref="H1247:H1266" si="101">ROUND(G1247/(1+$E$1),2)</f>
        <v>0</v>
      </c>
    </row>
    <row r="1248" spans="1:9" s="58" customFormat="1" ht="100.8">
      <c r="A1248" s="591">
        <v>190301</v>
      </c>
      <c r="B1248" s="129" t="s">
        <v>27007</v>
      </c>
      <c r="C1248" s="586" t="s">
        <v>110</v>
      </c>
      <c r="D1248" s="129">
        <v>48.49</v>
      </c>
      <c r="E1248" s="58" t="str">
        <f t="shared" si="95"/>
        <v>EMASSAMENTO DE ESQUADRIAS E ELEMENTOS DE MADEIRA, COM DUAS DEMÃOS DE MASSA À BASE ÁGUA, REFERÊNCIA SUVINIL, CORAL, SHERWIN WILLIAMS OU EQUIVALENTE, INCLUSIVE UMA DEMÃO DE FUNDO NIVELADOR ALQUÍDICO BRANCO, REFERÊNCIA SUVINIL, CORAL OU METALATEX OU EQUIVALENTE</v>
      </c>
      <c r="F1248" s="58" t="str">
        <f t="shared" si="96"/>
        <v>M2</v>
      </c>
      <c r="G1248" s="58">
        <f t="shared" si="100"/>
        <v>48.49</v>
      </c>
      <c r="H1248" s="58">
        <f t="shared" si="101"/>
        <v>48.49</v>
      </c>
    </row>
    <row r="1249" spans="1:8" s="58" customFormat="1" ht="86.4">
      <c r="A1249" s="591">
        <v>190302</v>
      </c>
      <c r="B1249" s="129" t="s">
        <v>27008</v>
      </c>
      <c r="C1249" s="586" t="s">
        <v>110</v>
      </c>
      <c r="D1249" s="129">
        <v>43.16</v>
      </c>
      <c r="E1249" s="58" t="str">
        <f t="shared" si="95"/>
        <v>PINTURA DE ESQUADRIAS E ELEMENTOS DE MADEIRA, APLICAÇÃO MANUAL, COM DUAS DEMÃOS DE TINTA ESMALTE SINTÉTICO REFERÊNCIA SUVINIL, CORAL OU METALATEX, INCLUSIVE FUNDO BRANCO NIVELADOR, REFERÊNCIA SUVINIL, CORAL E METALATEX OU EQUIVALENTE</v>
      </c>
      <c r="F1249" s="58" t="str">
        <f t="shared" si="96"/>
        <v>M2</v>
      </c>
      <c r="G1249" s="58">
        <f t="shared" si="100"/>
        <v>43.16</v>
      </c>
      <c r="H1249" s="58">
        <f t="shared" si="101"/>
        <v>43.16</v>
      </c>
    </row>
    <row r="1250" spans="1:8" s="58" customFormat="1" ht="72">
      <c r="A1250" s="591">
        <v>190303</v>
      </c>
      <c r="B1250" s="129" t="s">
        <v>27009</v>
      </c>
      <c r="C1250" s="586" t="s">
        <v>110</v>
      </c>
      <c r="D1250" s="129">
        <v>28.86</v>
      </c>
      <c r="E1250" s="58" t="str">
        <f t="shared" si="95"/>
        <v>PINTURA DE ESQUADRIAS E ELEMENTOS DE MADEIRA, APLICAÇÃO MANUAL, COM TRÊS DEMÃO DE VERNIZ BRILHANTE INCOLOR, LINHA PREMIUM COPAL, REFERÊNCIA SUVINIL, EUCATEX, MONTANA OU EQUIVALENTE</v>
      </c>
      <c r="F1250" s="58" t="str">
        <f t="shared" si="96"/>
        <v>M2</v>
      </c>
      <c r="G1250" s="58">
        <f t="shared" si="100"/>
        <v>28.86</v>
      </c>
      <c r="H1250" s="58">
        <f t="shared" si="101"/>
        <v>28.86</v>
      </c>
    </row>
    <row r="1251" spans="1:8" s="58" customFormat="1" ht="72">
      <c r="A1251" s="591">
        <v>190306</v>
      </c>
      <c r="B1251" s="129" t="s">
        <v>27010</v>
      </c>
      <c r="C1251" s="586" t="s">
        <v>110</v>
      </c>
      <c r="D1251" s="129">
        <v>28.3</v>
      </c>
      <c r="E1251" s="58" t="str">
        <f t="shared" si="95"/>
        <v>PINTURA DE ESQUADRIAS E ELEMENTOS DE MADEIRA, APLICAÇÃO MANUAL, COM TRÊS DEMÃOS DE VERNIZ FOSCO INCOLOR, LINHA TRIPLA PROTEÇÃO PREMIUM, REFERÊNCIA SUVINIL, CORAL, METALATEX OU EQUIVALENTE</v>
      </c>
      <c r="F1251" s="58" t="str">
        <f t="shared" si="96"/>
        <v>M2</v>
      </c>
      <c r="G1251" s="58">
        <f t="shared" si="100"/>
        <v>28.3</v>
      </c>
      <c r="H1251" s="58">
        <f t="shared" si="101"/>
        <v>28.3</v>
      </c>
    </row>
    <row r="1252" spans="1:8" s="58" customFormat="1" ht="57.6">
      <c r="A1252" s="591">
        <v>190307</v>
      </c>
      <c r="B1252" s="129" t="s">
        <v>27011</v>
      </c>
      <c r="C1252" s="586" t="s">
        <v>110</v>
      </c>
      <c r="D1252" s="129">
        <v>25.44</v>
      </c>
      <c r="E1252" s="58" t="str">
        <f t="shared" si="95"/>
        <v>PINTURA FUNDO NIVELADOR ALQUÍDICO BRANCO, APLICADA A ROLO, PINCEL OU TRINCHA, EM MADEIRA, A UMA DEMÃO, REFERÊNCIA SUVINIL, CORAL OU EQUIVALENTE</v>
      </c>
      <c r="F1252" s="58" t="str">
        <f t="shared" si="96"/>
        <v>M2</v>
      </c>
      <c r="G1252" s="58">
        <f t="shared" si="100"/>
        <v>25.44</v>
      </c>
      <c r="H1252" s="58">
        <f t="shared" si="101"/>
        <v>25.44</v>
      </c>
    </row>
    <row r="1253" spans="1:8" s="58" customFormat="1">
      <c r="A1253" s="591">
        <v>1904</v>
      </c>
      <c r="B1253" s="129" t="s">
        <v>1617</v>
      </c>
      <c r="C1253" s="586"/>
      <c r="D1253" s="129"/>
      <c r="E1253" s="58" t="str">
        <f t="shared" si="95"/>
        <v>SOBRE METAL</v>
      </c>
      <c r="F1253" s="58" t="str">
        <f t="shared" si="96"/>
        <v/>
      </c>
      <c r="G1253" s="58">
        <f t="shared" si="100"/>
        <v>0</v>
      </c>
      <c r="H1253" s="58">
        <f t="shared" si="101"/>
        <v>0</v>
      </c>
    </row>
    <row r="1254" spans="1:8" s="58" customFormat="1" ht="57.6">
      <c r="A1254" s="591">
        <v>190417</v>
      </c>
      <c r="B1254" s="129" t="s">
        <v>27012</v>
      </c>
      <c r="C1254" s="586" t="s">
        <v>110</v>
      </c>
      <c r="D1254" s="129">
        <v>50.58</v>
      </c>
      <c r="E1254" s="58" t="str">
        <f t="shared" si="95"/>
        <v>PINTURA SOBRE METAL, APLICAÇÃO MANUAL, COM DUAS DEMÃOS DE TINTA ESMALTE SINTÉTICO, REFERÊNCIA SUVINIL, CORAL OU METALATEX, INCLUSIVE UMA DEMÃO DE FUNDO ANTICORROSIVO</v>
      </c>
      <c r="F1254" s="58" t="str">
        <f t="shared" si="96"/>
        <v>M2</v>
      </c>
      <c r="G1254" s="58">
        <f t="shared" si="100"/>
        <v>50.58</v>
      </c>
      <c r="H1254" s="58">
        <f t="shared" si="101"/>
        <v>50.58</v>
      </c>
    </row>
    <row r="1255" spans="1:8" s="58" customFormat="1" ht="43.2">
      <c r="A1255" s="591">
        <v>190418</v>
      </c>
      <c r="B1255" s="129" t="s">
        <v>1618</v>
      </c>
      <c r="C1255" s="586" t="s">
        <v>110</v>
      </c>
      <c r="D1255" s="129">
        <v>43.82</v>
      </c>
      <c r="E1255" s="58" t="str">
        <f t="shared" si="95"/>
        <v>PINTURA DE SUPERFÍCIE METÁLICA COM UMA DEMÃO DE PRIMER EPOXI E DUAS DEMÃOS DE TINTA À BASE DE EPOXI</v>
      </c>
      <c r="F1255" s="58" t="str">
        <f t="shared" si="96"/>
        <v>M2</v>
      </c>
      <c r="G1255" s="58">
        <f t="shared" si="100"/>
        <v>43.82</v>
      </c>
      <c r="H1255" s="58">
        <f t="shared" si="101"/>
        <v>43.82</v>
      </c>
    </row>
    <row r="1256" spans="1:8" s="58" customFormat="1">
      <c r="A1256" s="591">
        <v>1905</v>
      </c>
      <c r="B1256" s="129" t="s">
        <v>1619</v>
      </c>
      <c r="C1256" s="586"/>
      <c r="D1256" s="129"/>
      <c r="E1256" s="58" t="str">
        <f t="shared" si="95"/>
        <v>SOBRE ELEMENTOS ESPECIAIS</v>
      </c>
      <c r="F1256" s="58" t="str">
        <f t="shared" si="96"/>
        <v/>
      </c>
      <c r="G1256" s="58">
        <f t="shared" si="100"/>
        <v>0</v>
      </c>
      <c r="H1256" s="58">
        <f t="shared" si="101"/>
        <v>0</v>
      </c>
    </row>
    <row r="1257" spans="1:8" s="58" customFormat="1" ht="86.4">
      <c r="A1257" s="591">
        <v>190501</v>
      </c>
      <c r="B1257" s="129" t="s">
        <v>27013</v>
      </c>
      <c r="C1257" s="586" t="s">
        <v>115</v>
      </c>
      <c r="D1257" s="129">
        <v>6.06</v>
      </c>
      <c r="E1257" s="58" t="str">
        <f t="shared" si="95"/>
        <v>PINTURA DE LETRAS EM CHAPAS DE FERRO, DIMENSÕES 20X30CM, APLICAÇÃO MANUAL, COM DUAS DEMÃOS DE TINTA ESMALTE SINTÉTICO, REFERÊNCIA SUVINIL, CORAL, METALATEX OU EQUIVALENTE, INCLUSIVE UMA DEMÃO DE FUNDO ANTI-CORROSIVO</v>
      </c>
      <c r="F1257" s="58" t="str">
        <f t="shared" si="96"/>
        <v>UND</v>
      </c>
      <c r="G1257" s="58">
        <f t="shared" si="100"/>
        <v>6.06</v>
      </c>
      <c r="H1257" s="58">
        <f t="shared" si="101"/>
        <v>6.06</v>
      </c>
    </row>
    <row r="1258" spans="1:8" s="58" customFormat="1">
      <c r="A1258" s="591">
        <v>1906</v>
      </c>
      <c r="B1258" s="129" t="s">
        <v>1620</v>
      </c>
      <c r="C1258" s="586"/>
      <c r="D1258" s="129"/>
      <c r="E1258" s="58" t="str">
        <f t="shared" si="95"/>
        <v>SOBRE PISOS</v>
      </c>
      <c r="F1258" s="58" t="str">
        <f t="shared" si="96"/>
        <v/>
      </c>
      <c r="G1258" s="58">
        <f t="shared" si="100"/>
        <v>0</v>
      </c>
      <c r="H1258" s="58">
        <f t="shared" si="101"/>
        <v>0</v>
      </c>
    </row>
    <row r="1259" spans="1:8" s="58" customFormat="1" ht="72">
      <c r="A1259" s="591">
        <v>190601</v>
      </c>
      <c r="B1259" s="129" t="s">
        <v>27014</v>
      </c>
      <c r="C1259" s="586" t="s">
        <v>112</v>
      </c>
      <c r="D1259" s="129">
        <v>10.46</v>
      </c>
      <c r="E1259" s="58" t="str">
        <f t="shared" si="95"/>
        <v>PINTURA SOBRE PISO, APLICAÇÃO MANUAL, PARA EXECUÇÃO DE FAIXA DEMARCATÓRIA L=5CM, COM TRÊS DEMÃOS DE TINTA À BASE DE EPÓXI, MARCAS DE REFERÊNCIA SUVINIL, CORAL OU METALATEX OU EQUIVALENTE</v>
      </c>
      <c r="F1259" s="58" t="str">
        <f t="shared" si="96"/>
        <v>M</v>
      </c>
      <c r="G1259" s="58">
        <f t="shared" si="100"/>
        <v>10.46</v>
      </c>
      <c r="H1259" s="58">
        <f t="shared" si="101"/>
        <v>10.46</v>
      </c>
    </row>
    <row r="1260" spans="1:8" s="58" customFormat="1" ht="72">
      <c r="A1260" s="591">
        <v>190602</v>
      </c>
      <c r="B1260" s="129" t="s">
        <v>27015</v>
      </c>
      <c r="C1260" s="586" t="s">
        <v>110</v>
      </c>
      <c r="D1260" s="129">
        <v>19.68</v>
      </c>
      <c r="E1260" s="58" t="str">
        <f t="shared" si="95"/>
        <v>PINTURA SOBRE PISO, APLICAÇÃO MANUAL, COM DUAS DEMÃOS DE TINTA À BASE DE RESINAS ACRÍLICAS, MARCAS DE REFERÊNCIA SUVINIL, CORAL, SHERWIN WILLIAMS NOVACOR, METALATEX OU EQUIVALENTE</v>
      </c>
      <c r="F1260" s="58" t="str">
        <f t="shared" si="96"/>
        <v>M2</v>
      </c>
      <c r="G1260" s="58">
        <f t="shared" si="100"/>
        <v>19.68</v>
      </c>
      <c r="H1260" s="58">
        <f t="shared" si="101"/>
        <v>19.68</v>
      </c>
    </row>
    <row r="1261" spans="1:8" s="58" customFormat="1" ht="43.2">
      <c r="A1261" s="591">
        <v>190603</v>
      </c>
      <c r="B1261" s="129" t="s">
        <v>10371</v>
      </c>
      <c r="C1261" s="586" t="s">
        <v>110</v>
      </c>
      <c r="D1261" s="129">
        <v>23.77</v>
      </c>
      <c r="E1261" s="58" t="str">
        <f t="shared" si="95"/>
        <v>PINTURA SOBRE PISOS, MARCAS DE REFERÊNCIA NOVACOR, CORAL OU SUVINIL, A DUAS DEMÃOS, LINHA PREMIUM</v>
      </c>
      <c r="F1261" s="58" t="str">
        <f t="shared" si="96"/>
        <v>M2</v>
      </c>
      <c r="G1261" s="58">
        <f t="shared" si="100"/>
        <v>23.77</v>
      </c>
      <c r="H1261" s="58">
        <f t="shared" si="101"/>
        <v>23.77</v>
      </c>
    </row>
    <row r="1262" spans="1:8" s="58" customFormat="1" ht="72">
      <c r="A1262" s="591">
        <v>190604</v>
      </c>
      <c r="B1262" s="129" t="s">
        <v>27016</v>
      </c>
      <c r="C1262" s="586" t="s">
        <v>112</v>
      </c>
      <c r="D1262" s="129">
        <v>11.52</v>
      </c>
      <c r="E1262" s="58" t="str">
        <f t="shared" si="95"/>
        <v>PINTURA SOBRE PISO, APLICAÇÃO MANUAL, PARA EXECUÇÃO DE FAIXA DEMARCATÓRIA L=8CM, COM TRÊS DEMÃOS DE TINTA À BASE DE EPÓXI, MARCAS DE REFERÊNCIA SUVINIL, CORAL OU METALATEX OU EQUIVALENTE</v>
      </c>
      <c r="F1262" s="58" t="str">
        <f t="shared" si="96"/>
        <v>M</v>
      </c>
      <c r="G1262" s="58">
        <f t="shared" si="100"/>
        <v>11.52</v>
      </c>
      <c r="H1262" s="58">
        <f t="shared" si="101"/>
        <v>11.52</v>
      </c>
    </row>
    <row r="1263" spans="1:8" s="58" customFormat="1" ht="72">
      <c r="A1263" s="591">
        <v>190605</v>
      </c>
      <c r="B1263" s="129" t="s">
        <v>14925</v>
      </c>
      <c r="C1263" s="586" t="s">
        <v>110</v>
      </c>
      <c r="D1263" s="129">
        <v>75.150000000000006</v>
      </c>
      <c r="E1263" s="58" t="str">
        <f t="shared" si="95"/>
        <v>APLICAÇÃO DE TINTA EPÓXI DE ALTA ESPESSURA SEMIBRILHANTE SOBRE PISO DE CONCRETO A TRÊS DEMÃOS, INCLUSIVE SELADOR EPÓXI A UMA DEMÃO - REF. INTERGARD 2005 E 2001 - INTERNACIONAL OU EQUIVALENTE</v>
      </c>
      <c r="F1263" s="58" t="str">
        <f t="shared" si="96"/>
        <v>M2</v>
      </c>
      <c r="G1263" s="58">
        <f t="shared" si="100"/>
        <v>75.150000000000006</v>
      </c>
      <c r="H1263" s="58">
        <f t="shared" si="101"/>
        <v>75.150000000000006</v>
      </c>
    </row>
    <row r="1264" spans="1:8" s="58" customFormat="1">
      <c r="A1264" s="591">
        <v>20</v>
      </c>
      <c r="B1264" s="129" t="s">
        <v>1621</v>
      </c>
      <c r="C1264" s="586"/>
      <c r="D1264" s="129"/>
      <c r="E1264" s="58" t="str">
        <f t="shared" si="95"/>
        <v>SERVIÇOS COMPLEMENTARES EXTERNOS</v>
      </c>
      <c r="F1264" s="58" t="str">
        <f t="shared" si="96"/>
        <v/>
      </c>
      <c r="G1264" s="58">
        <f t="shared" si="100"/>
        <v>0</v>
      </c>
      <c r="H1264" s="58">
        <f t="shared" si="101"/>
        <v>0</v>
      </c>
    </row>
    <row r="1265" spans="1:8" s="58" customFormat="1">
      <c r="A1265" s="591">
        <v>2001</v>
      </c>
      <c r="B1265" s="129" t="s">
        <v>56</v>
      </c>
      <c r="C1265" s="586"/>
      <c r="D1265" s="129"/>
      <c r="E1265" s="58" t="str">
        <f t="shared" si="95"/>
        <v>MUROS E FECHAMENTOS</v>
      </c>
      <c r="F1265" s="58" t="str">
        <f t="shared" si="96"/>
        <v/>
      </c>
      <c r="G1265" s="58">
        <f t="shared" si="100"/>
        <v>0</v>
      </c>
      <c r="H1265" s="58">
        <f t="shared" si="101"/>
        <v>0</v>
      </c>
    </row>
    <row r="1266" spans="1:8" s="58" customFormat="1" ht="72">
      <c r="A1266" s="591">
        <v>200101</v>
      </c>
      <c r="B1266" s="129" t="s">
        <v>1622</v>
      </c>
      <c r="C1266" s="586" t="s">
        <v>110</v>
      </c>
      <c r="D1266" s="129">
        <v>276.95</v>
      </c>
      <c r="E1266" s="58" t="str">
        <f t="shared" si="95"/>
        <v>ALAMBRADO C/ TELA LOSANGULAR DE ARAME FIO 12 MALHA 2" REVEST. EM PVC COM TUBO DE FERRO GALVANIZADO VERTICAL DE 2 1/2" E HORIZONTAL DE 1" INCL. PORTÃO, PINTADOS COM ESMALTE SOBRE FUNDO ANTICORROSIVO</v>
      </c>
      <c r="F1266" s="58" t="str">
        <f t="shared" si="96"/>
        <v>M2</v>
      </c>
      <c r="G1266" s="58">
        <f t="shared" si="100"/>
        <v>276.95</v>
      </c>
      <c r="H1266" s="58">
        <f t="shared" si="101"/>
        <v>276.95</v>
      </c>
    </row>
    <row r="1267" spans="1:8" s="58" customFormat="1" ht="43.2">
      <c r="A1267" s="591">
        <v>200104</v>
      </c>
      <c r="B1267" s="129" t="s">
        <v>1623</v>
      </c>
      <c r="C1267" s="586" t="s">
        <v>112</v>
      </c>
      <c r="D1267" s="129">
        <v>242.23</v>
      </c>
      <c r="E1267" s="58" t="str">
        <f t="shared" ref="E1267:E1330" si="102">UPPER(B1267)</f>
        <v>CERCA DE MADEIRA COM RIPAS DE 7 X 2 CM, ALTURA DE 1.50 M E CAIBRO DE 8 X 8 CM EM MADEIRA DE LEI ESPAÇADOS A CADA 2.0 M</v>
      </c>
      <c r="F1267" s="58" t="str">
        <f t="shared" ref="F1267:F1330" si="103">UPPER(C1267)</f>
        <v>M</v>
      </c>
      <c r="G1267" s="58">
        <f t="shared" ref="G1267:G1330" si="104">D1267</f>
        <v>242.23</v>
      </c>
      <c r="H1267" s="58">
        <f t="shared" ref="H1267:H1330" si="105">ROUND(G1267/(1+$E$1),2)</f>
        <v>242.23</v>
      </c>
    </row>
    <row r="1268" spans="1:8" s="58" customFormat="1" ht="72">
      <c r="A1268" s="591">
        <v>200105</v>
      </c>
      <c r="B1268" s="129" t="s">
        <v>1776</v>
      </c>
      <c r="C1268" s="586" t="s">
        <v>112</v>
      </c>
      <c r="D1268" s="129">
        <v>240.45</v>
      </c>
      <c r="E1268" s="58" t="str">
        <f t="shared" si="102"/>
        <v>CERCA COM TELA FIO 16 MALHA LOSANGULAR DE 2", FIXADAS C/ GRAMPOS EM PONTALETES DE MADEIRA DE LEI 8X8CM ESPAÇADOS DE 1.5M, COM BASES CONCRETADAS E COM TRÊS FIOS TENSORES DE ARAME GALVANIZADO N.12</v>
      </c>
      <c r="F1268" s="58" t="str">
        <f t="shared" si="103"/>
        <v>M</v>
      </c>
      <c r="G1268" s="58">
        <f t="shared" si="104"/>
        <v>240.45</v>
      </c>
      <c r="H1268" s="58">
        <f t="shared" si="105"/>
        <v>240.45</v>
      </c>
    </row>
    <row r="1269" spans="1:8" s="58" customFormat="1" ht="57.6">
      <c r="A1269" s="591">
        <v>200107</v>
      </c>
      <c r="B1269" s="129" t="s">
        <v>1777</v>
      </c>
      <c r="C1269" s="586" t="s">
        <v>112</v>
      </c>
      <c r="D1269" s="129">
        <v>130.29</v>
      </c>
      <c r="E1269" s="58" t="str">
        <f t="shared" si="102"/>
        <v>CERCA COM CINCO FIOS DE ARAME LISO N. 12 FIXADOS COM GRAMPOS EM PONTALETES DE MADEIRA DE LEI DE 8 X 8CM A CADA 2.0 M E ALTURA LIVRE DE 1.6 M</v>
      </c>
      <c r="F1269" s="58" t="str">
        <f t="shared" si="103"/>
        <v>M</v>
      </c>
      <c r="G1269" s="58">
        <f t="shared" si="104"/>
        <v>130.29</v>
      </c>
      <c r="H1269" s="58">
        <f t="shared" si="105"/>
        <v>130.29</v>
      </c>
    </row>
    <row r="1270" spans="1:8" s="58" customFormat="1" ht="43.2">
      <c r="A1270" s="591">
        <v>200108</v>
      </c>
      <c r="B1270" s="129" t="s">
        <v>1624</v>
      </c>
      <c r="C1270" s="586" t="s">
        <v>1061</v>
      </c>
      <c r="D1270" s="129">
        <v>1163.27</v>
      </c>
      <c r="E1270" s="58" t="str">
        <f t="shared" si="102"/>
        <v>MURO DE ARRIMO DE CONCRETO CICLÓPICO COM ATERRO NA PARTE POSTERIOR, INCLUSIVE FORMA DE MADEIRA E DRENO DE BRITA</v>
      </c>
      <c r="F1270" s="58" t="str">
        <f t="shared" si="103"/>
        <v>M3</v>
      </c>
      <c r="G1270" s="58">
        <f t="shared" si="104"/>
        <v>1163.27</v>
      </c>
      <c r="H1270" s="58">
        <f t="shared" si="105"/>
        <v>1163.27</v>
      </c>
    </row>
    <row r="1271" spans="1:8" s="58" customFormat="1" ht="86.4">
      <c r="A1271" s="591">
        <v>200120</v>
      </c>
      <c r="B1271" s="129" t="s">
        <v>1625</v>
      </c>
      <c r="C1271" s="586" t="s">
        <v>112</v>
      </c>
      <c r="D1271" s="129">
        <v>275.14999999999998</v>
      </c>
      <c r="E1271" s="58" t="str">
        <f t="shared" si="102"/>
        <v>CERCA H=2.30CM, C/TELA LOSANG. ARAME FIO 12 MALHA 2" REVEST. EM PVC COM MOURÃO CURVO DE CONCRETO H=3,20M, SECÇÃO T, FIXADO EMSOLO, A CADA 3M, C/3 FIOS DE ARAME FARPADO NA PARTE CURVA, INCL 3 FIOS TENSORES, CHUMBADORES E SAPATA DE 40X40X50CM</v>
      </c>
      <c r="F1271" s="58" t="str">
        <f t="shared" si="103"/>
        <v>M</v>
      </c>
      <c r="G1271" s="58">
        <f t="shared" si="104"/>
        <v>275.14999999999998</v>
      </c>
      <c r="H1271" s="58">
        <f t="shared" si="105"/>
        <v>275.14999999999998</v>
      </c>
    </row>
    <row r="1272" spans="1:8" s="58" customFormat="1" ht="86.4">
      <c r="A1272" s="591">
        <v>200124</v>
      </c>
      <c r="B1272" s="129" t="s">
        <v>1626</v>
      </c>
      <c r="C1272" s="586" t="s">
        <v>112</v>
      </c>
      <c r="D1272" s="129">
        <v>1013.62</v>
      </c>
      <c r="E1272" s="58" t="str">
        <f t="shared" si="102"/>
        <v>MURO DE ALVENARIA DE BLOCOS CERÂMICOS 10X20X20CM, C/ PILARES A CADA 2 M, ESP. 10CM E H=2.5M, REVESTIDO COM CHAPISCO, REBOCO E PINTURA ACRÍLICA A 2 DEMÃOS, INCL. PILARES, CINTAS E SAPATAS, EMPREGANDO ARG. CIMENTO CAL E AREIA</v>
      </c>
      <c r="F1272" s="58" t="str">
        <f t="shared" si="103"/>
        <v>M</v>
      </c>
      <c r="G1272" s="58">
        <f t="shared" si="104"/>
        <v>1013.62</v>
      </c>
      <c r="H1272" s="58">
        <f t="shared" si="105"/>
        <v>1013.62</v>
      </c>
    </row>
    <row r="1273" spans="1:8" s="58" customFormat="1" ht="72">
      <c r="A1273" s="591">
        <v>200128</v>
      </c>
      <c r="B1273" s="129" t="s">
        <v>1627</v>
      </c>
      <c r="C1273" s="586" t="s">
        <v>110</v>
      </c>
      <c r="D1273" s="129">
        <v>306.37</v>
      </c>
      <c r="E1273" s="58" t="str">
        <f t="shared" si="102"/>
        <v>ALAMBRADO SOBRE MURO EXISTENTE, EXECUTADO EM TELA FIO 12 MALHA 3", COM 02 FIOS TENSORES, FIXADOS EM TUBOS DE FG 11/2" COLOCADOS A CADA 3M (H DO ALAMBRADO =1,5M), INLCUSIVE CHUMBAMENTO NO MURO</v>
      </c>
      <c r="F1273" s="58" t="str">
        <f t="shared" si="103"/>
        <v>M2</v>
      </c>
      <c r="G1273" s="58">
        <f t="shared" si="104"/>
        <v>306.37</v>
      </c>
      <c r="H1273" s="58">
        <f t="shared" si="105"/>
        <v>306.37</v>
      </c>
    </row>
    <row r="1274" spans="1:8" s="58" customFormat="1" ht="57.6">
      <c r="A1274" s="591">
        <v>200129</v>
      </c>
      <c r="B1274" s="129" t="s">
        <v>1628</v>
      </c>
      <c r="C1274" s="586" t="s">
        <v>112</v>
      </c>
      <c r="D1274" s="129">
        <v>131.36000000000001</v>
      </c>
      <c r="E1274" s="58" t="str">
        <f t="shared" si="102"/>
        <v>CERCA COM MOURÃO DE CONCRETO RETO H=2.5, BASE QUADRADA 10X10CM, FIXADO EM SOLO A CADA 3.0M, COM 10 FIOS DE ARAME GALVANIZADO LISO Nº 10</v>
      </c>
      <c r="F1274" s="58" t="str">
        <f t="shared" si="103"/>
        <v>M</v>
      </c>
      <c r="G1274" s="58">
        <f t="shared" si="104"/>
        <v>131.36000000000001</v>
      </c>
      <c r="H1274" s="58">
        <f t="shared" si="105"/>
        <v>131.36000000000001</v>
      </c>
    </row>
    <row r="1275" spans="1:8" s="58" customFormat="1" ht="57.6">
      <c r="A1275" s="591">
        <v>200130</v>
      </c>
      <c r="B1275" s="129" t="s">
        <v>1629</v>
      </c>
      <c r="C1275" s="586" t="s">
        <v>112</v>
      </c>
      <c r="D1275" s="129">
        <v>1094.68</v>
      </c>
      <c r="E1275" s="58" t="str">
        <f t="shared" si="102"/>
        <v>GRADIL H = 1.90M PADRÃO SEDU EM TUDO DE FG 2" E BARRA CHATA DE 11/2"X1/4", PARA FIXAÇÃO SOBRE MURETA CONFORME PROJETO, EXCLUSIVE A MURETA.</v>
      </c>
      <c r="F1275" s="58" t="str">
        <f t="shared" si="103"/>
        <v>M</v>
      </c>
      <c r="G1275" s="58">
        <f t="shared" si="104"/>
        <v>1094.68</v>
      </c>
      <c r="H1275" s="58">
        <f t="shared" si="105"/>
        <v>1094.68</v>
      </c>
    </row>
    <row r="1276" spans="1:8" s="58" customFormat="1" ht="57.6">
      <c r="A1276" s="591">
        <v>200131</v>
      </c>
      <c r="B1276" s="129" t="s">
        <v>1630</v>
      </c>
      <c r="C1276" s="586" t="s">
        <v>112</v>
      </c>
      <c r="D1276" s="129">
        <v>1965.57</v>
      </c>
      <c r="E1276" s="58" t="str">
        <f t="shared" si="102"/>
        <v>GRADIL H = 1.90M PADRÃO SEDU EM TUBO DE FG 31/2" E BARRA CHATA DE 2"X1/4" PARA FIXAÇÃO SOBRE MURETA CONFORME PROJETO, EXCLUSIVE A MURETA.</v>
      </c>
      <c r="F1276" s="58" t="str">
        <f t="shared" si="103"/>
        <v>M</v>
      </c>
      <c r="G1276" s="58">
        <f t="shared" si="104"/>
        <v>1965.57</v>
      </c>
      <c r="H1276" s="58">
        <f t="shared" si="105"/>
        <v>1965.57</v>
      </c>
    </row>
    <row r="1277" spans="1:8" s="58" customFormat="1" ht="86.4">
      <c r="A1277" s="591">
        <v>200132</v>
      </c>
      <c r="B1277" s="129" t="s">
        <v>27372</v>
      </c>
      <c r="C1277" s="586" t="s">
        <v>115</v>
      </c>
      <c r="D1277" s="129">
        <v>7010.71</v>
      </c>
      <c r="E1277" s="58" t="str">
        <f t="shared" si="102"/>
        <v>FORNECIMENTO E INSTALAÇÃO PORTÃO DE CORRER EM GRADIL NYLOFOR 3D, EM PAINEL DE AÇO GALVANIZADO, DIM.: 3,50 X 2,43M - BELGO OU EQUIVALENTE, MALHA RETANGULAR 200X50MM E FIO DE AÇO Ø5,0MM, INCL. POSTE DE AÇO GALV. 60X40MM</v>
      </c>
      <c r="F1277" s="58" t="str">
        <f t="shared" si="103"/>
        <v>UND</v>
      </c>
      <c r="G1277" s="58">
        <f t="shared" si="104"/>
        <v>7010.71</v>
      </c>
      <c r="H1277" s="58">
        <f t="shared" si="105"/>
        <v>7010.71</v>
      </c>
    </row>
    <row r="1278" spans="1:8" s="58" customFormat="1" ht="86.4">
      <c r="A1278" s="591">
        <v>200133</v>
      </c>
      <c r="B1278" s="129" t="s">
        <v>27373</v>
      </c>
      <c r="C1278" s="586" t="s">
        <v>115</v>
      </c>
      <c r="D1278" s="129">
        <v>2285.9499999999998</v>
      </c>
      <c r="E1278" s="58" t="str">
        <f t="shared" si="102"/>
        <v>FORNECIMENTO E INSTALAÇÃO PORTÃO DE ABRIR EM GRADIL NYLOFOR 3D, EM PAINEL DE AÇO GALVANIZADO, DIM.: 1,00 X 2,43M - BELGO OU EQUIVALENTE, MALHA RETANGULAR 200X50MM E FIO DE AÇO Ø5,0MM, INCL. POSTE DE AÇO GALV. 60X40MM</v>
      </c>
      <c r="F1278" s="58" t="str">
        <f t="shared" si="103"/>
        <v>UND</v>
      </c>
      <c r="G1278" s="58">
        <f t="shared" si="104"/>
        <v>2285.9499999999998</v>
      </c>
      <c r="H1278" s="58">
        <f t="shared" si="105"/>
        <v>2285.9499999999998</v>
      </c>
    </row>
    <row r="1279" spans="1:8" s="58" customFormat="1" ht="86.4">
      <c r="A1279" s="591">
        <v>200141</v>
      </c>
      <c r="B1279" s="129" t="s">
        <v>27374</v>
      </c>
      <c r="C1279" s="586" t="s">
        <v>112</v>
      </c>
      <c r="D1279" s="129">
        <v>446.07</v>
      </c>
      <c r="E1279" s="58" t="str">
        <f t="shared" si="102"/>
        <v>CERCAMENTO EM GRADIL EM AÇO GALVANIZADO SOLDADO E REVESTIDO EM POLIÉSTER POR PROCESSO DE PINTURA ELETROSTÁTICA 100MICRA, MALHA 5X20CM, FIO DIÂM. 5,00MM. INCLUSIVE ACESSÓRIOS E POSTE. DIMENSÕES DOS PAINÉIS: 2,50X2,03M - NYLOFOR OU EQUIVALENTE</v>
      </c>
      <c r="F1279" s="58" t="str">
        <f t="shared" si="103"/>
        <v>M</v>
      </c>
      <c r="G1279" s="58">
        <f t="shared" si="104"/>
        <v>446.07</v>
      </c>
      <c r="H1279" s="58">
        <f t="shared" si="105"/>
        <v>446.07</v>
      </c>
    </row>
    <row r="1280" spans="1:8" s="58" customFormat="1">
      <c r="A1280" s="591">
        <v>2002</v>
      </c>
      <c r="B1280" s="129" t="s">
        <v>51</v>
      </c>
      <c r="C1280" s="586"/>
      <c r="D1280" s="129"/>
      <c r="E1280" s="58" t="str">
        <f t="shared" si="102"/>
        <v>PAVIMENTAÇÃO</v>
      </c>
      <c r="F1280" s="58" t="str">
        <f t="shared" si="103"/>
        <v/>
      </c>
      <c r="G1280" s="58">
        <f t="shared" si="104"/>
        <v>0</v>
      </c>
      <c r="H1280" s="58">
        <f t="shared" si="105"/>
        <v>0</v>
      </c>
    </row>
    <row r="1281" spans="1:8" s="58" customFormat="1" ht="57.6">
      <c r="A1281" s="591">
        <v>200202</v>
      </c>
      <c r="B1281" s="129" t="s">
        <v>35725</v>
      </c>
      <c r="C1281" s="586" t="s">
        <v>112</v>
      </c>
      <c r="D1281" s="129">
        <v>69.77</v>
      </c>
      <c r="E1281" s="58" t="str">
        <f t="shared" si="102"/>
        <v>ASSENTAMENTO DE MEIO-FIO PRÉ-MOLDADO DE CONCRETO COM DIMENSÕES DE 15 X 12 X 30 X 100 CM, REJUNTADO COM ARGAMASSA DE CIMENTO E AREIA NO TRAÇO 1:3</v>
      </c>
      <c r="F1281" s="58" t="str">
        <f t="shared" si="103"/>
        <v>M</v>
      </c>
      <c r="G1281" s="58">
        <f t="shared" si="104"/>
        <v>69.77</v>
      </c>
      <c r="H1281" s="58">
        <f t="shared" si="105"/>
        <v>69.77</v>
      </c>
    </row>
    <row r="1282" spans="1:8" s="58" customFormat="1" ht="100.8">
      <c r="A1282" s="591">
        <v>200206</v>
      </c>
      <c r="B1282" s="129" t="s">
        <v>35726</v>
      </c>
      <c r="C1282" s="586" t="s">
        <v>110</v>
      </c>
      <c r="D1282" s="129">
        <v>110.35</v>
      </c>
      <c r="E1282" s="58" t="str">
        <f t="shared" si="102"/>
        <v>EXECUÇÃO DE PAVIMENTAÇÃO COM BLOCOS INTERTRAVADOS DE CONCRETO TIPO PAVI-S, ESPESSURA DE 8 CM E RESISTÊNCIA MÍNIMA DE 35 MPA, ASSENTADOS SOBRE COLCHÃO DE PÓ DE PEDRA DE 10 CM, COM REJUNTAMENTO EM AREIA, COMPACTAÇÃO COM PLACA VIBRATÓRIA E CORTES COM CORTADORA DE PISO</v>
      </c>
      <c r="F1282" s="58" t="str">
        <f t="shared" si="103"/>
        <v>M2</v>
      </c>
      <c r="G1282" s="58">
        <f t="shared" si="104"/>
        <v>110.35</v>
      </c>
      <c r="H1282" s="58">
        <f t="shared" si="105"/>
        <v>110.35</v>
      </c>
    </row>
    <row r="1283" spans="1:8" s="58" customFormat="1" ht="72">
      <c r="A1283" s="591">
        <v>200209</v>
      </c>
      <c r="B1283" s="129" t="s">
        <v>35727</v>
      </c>
      <c r="C1283" s="586" t="s">
        <v>110</v>
      </c>
      <c r="D1283" s="129">
        <v>162.47</v>
      </c>
      <c r="E1283" s="58" t="str">
        <f t="shared" si="102"/>
        <v>EXECUÇÃO DE PASSEIO CIMENTADO COM ACABAMENTO CAMURÇADO, EM ARGAMASSA TRAÇO 1:3 (CIMENTO E AREIA) COM 1,5 CM DE ESPESSURA, SOBRE LASTRO DE CONCRETO DE 8 CM, INCLUINDO PREPARO DA CAIXA.</v>
      </c>
      <c r="F1283" s="58" t="str">
        <f t="shared" si="103"/>
        <v>M2</v>
      </c>
      <c r="G1283" s="58">
        <f t="shared" si="104"/>
        <v>162.47</v>
      </c>
      <c r="H1283" s="58">
        <f t="shared" si="105"/>
        <v>162.47</v>
      </c>
    </row>
    <row r="1284" spans="1:8" s="58" customFormat="1" ht="100.8">
      <c r="A1284" s="591">
        <v>200214</v>
      </c>
      <c r="B1284" s="129" t="s">
        <v>35728</v>
      </c>
      <c r="C1284" s="586" t="s">
        <v>110</v>
      </c>
      <c r="D1284" s="129">
        <v>139.94999999999999</v>
      </c>
      <c r="E1284" s="58" t="str">
        <f t="shared" si="102"/>
        <v>EXECUÇÃO DE PAVIMENTAÇÃO COM BLOCOS INTERTRAVADOS DE CONCRETO TIPO PAVI-S, ESPESSURA DE 10 CM E RESISTÊNCIA MÍNIMA DE 35 MPA, ASSENTADOS SOBRE COLCHÃO DE PÓ DE PEDRA DE 10 CM, COM REJUNTAMENTO EM AREIA, COMPACTAÇÃO COM PLACA VIBRATÓRIA E CORTES COM CORTADORA DE PISO</v>
      </c>
      <c r="F1284" s="58" t="str">
        <f t="shared" si="103"/>
        <v>M2</v>
      </c>
      <c r="G1284" s="58">
        <f t="shared" si="104"/>
        <v>139.94999999999999</v>
      </c>
      <c r="H1284" s="58">
        <f t="shared" si="105"/>
        <v>139.94999999999999</v>
      </c>
    </row>
    <row r="1285" spans="1:8" s="58" customFormat="1" ht="86.4">
      <c r="A1285" s="591">
        <v>200223</v>
      </c>
      <c r="B1285" s="129" t="s">
        <v>35729</v>
      </c>
      <c r="C1285" s="586" t="s">
        <v>1061</v>
      </c>
      <c r="D1285" s="129">
        <v>289.58999999999997</v>
      </c>
      <c r="E1285" s="58" t="str">
        <f t="shared" si="102"/>
        <v>EXECUÇÃO DE LASTRO DE BRITA Nº 2, APLICADO SOB PASSEIOS E CICLOVIAS, COMPREENDENDO A ESCAVAÇÃO DO TERRENO NATURAL, NIVELAMENTO E COMPACTAÇÃO MECÂNICA DA BASE, BEM COMO O FORNECIMENTO, ESPALHAMENTO E REGULARIZAÇÃO DA CAMADA DE BRITA</v>
      </c>
      <c r="F1285" s="58" t="str">
        <f t="shared" si="103"/>
        <v>M3</v>
      </c>
      <c r="G1285" s="58">
        <f t="shared" si="104"/>
        <v>289.58999999999997</v>
      </c>
      <c r="H1285" s="58">
        <f t="shared" si="105"/>
        <v>289.58999999999997</v>
      </c>
    </row>
    <row r="1286" spans="1:8" s="58" customFormat="1" ht="72">
      <c r="A1286" s="591">
        <v>200229</v>
      </c>
      <c r="B1286" s="129" t="s">
        <v>35730</v>
      </c>
      <c r="C1286" s="586" t="s">
        <v>112</v>
      </c>
      <c r="D1286" s="129">
        <v>90.9</v>
      </c>
      <c r="E1286" s="58" t="str">
        <f t="shared" si="102"/>
        <v>EXECUÇÃO DE MEIO-FIO DE CONCRETO MOLDADO IN LOCO, COM DIMENSÕES DE 10 X 30 CM, UTILIZANDO FÔRMAS DE CHAPA COMPENSADA RESINADA DE 6 MM, INCLUINDO ESCAVAÇÃO, REATERRO E BOTA-FORA</v>
      </c>
      <c r="F1286" s="58" t="str">
        <f t="shared" si="103"/>
        <v>M</v>
      </c>
      <c r="G1286" s="58">
        <f t="shared" si="104"/>
        <v>90.9</v>
      </c>
      <c r="H1286" s="58">
        <f t="shared" si="105"/>
        <v>90.9</v>
      </c>
    </row>
    <row r="1287" spans="1:8" s="58" customFormat="1" ht="115.2">
      <c r="A1287" s="591">
        <v>200237</v>
      </c>
      <c r="B1287" s="129" t="s">
        <v>35731</v>
      </c>
      <c r="C1287" s="586" t="s">
        <v>110</v>
      </c>
      <c r="D1287" s="129">
        <v>91.29</v>
      </c>
      <c r="E1287" s="58" t="str">
        <f t="shared" si="102"/>
        <v>BLOCOS PRÉ-MOLDADOS DE CONCRETO INTERTRAVADOS TIPO PAVI-S OU EQUIVALENTE, ESPESSURA DE 6 CM E RESISTÊNCIA A COMPRESSÃO MÍNIMA DE 35MPA, ASSENTADOS SOBRE COLCHÃO DE PÓ DE PEDRA NA ESPESSURA DE 10 CM E REJUNTAMENTO COM AREIA, UTILIZANDO COMPACTADOR DE PLACA VIBRATÓRIA E CORTADORA DE PISO</v>
      </c>
      <c r="F1287" s="58" t="str">
        <f t="shared" si="103"/>
        <v>M2</v>
      </c>
      <c r="G1287" s="58">
        <f t="shared" si="104"/>
        <v>91.29</v>
      </c>
      <c r="H1287" s="58">
        <f t="shared" si="105"/>
        <v>91.29</v>
      </c>
    </row>
    <row r="1288" spans="1:8" s="58" customFormat="1" ht="72">
      <c r="A1288" s="591">
        <v>200243</v>
      </c>
      <c r="B1288" s="129" t="s">
        <v>1631</v>
      </c>
      <c r="C1288" s="586" t="s">
        <v>112</v>
      </c>
      <c r="D1288" s="129">
        <v>304.82</v>
      </c>
      <c r="E1288" s="58" t="str">
        <f t="shared" si="102"/>
        <v>CANALETA NO PISO EM CONCRETO SIMPLES COM DIMENSÕES INTERNAS DE 20 X 10 CM E GRELHA EM FERRO DIAM. 1/2" A CADA 3 CM FIXADOS EM CANTONEIRA DE 3/4" X 1/8" APOIADA SOBRE REQUADRO EM CANTONEIRA DE 1" X 3/16"</v>
      </c>
      <c r="F1288" s="58" t="str">
        <f t="shared" si="103"/>
        <v>M</v>
      </c>
      <c r="G1288" s="58">
        <f t="shared" si="104"/>
        <v>304.82</v>
      </c>
      <c r="H1288" s="58">
        <f t="shared" si="105"/>
        <v>304.82</v>
      </c>
    </row>
    <row r="1289" spans="1:8" s="58" customFormat="1" ht="72">
      <c r="A1289" s="591">
        <v>200253</v>
      </c>
      <c r="B1289" s="129" t="s">
        <v>35732</v>
      </c>
      <c r="C1289" s="586" t="s">
        <v>110</v>
      </c>
      <c r="D1289" s="129">
        <v>86.41</v>
      </c>
      <c r="E1289" s="58" t="str">
        <f t="shared" si="102"/>
        <v>FORNECIMENTO E ASSENTAMENTO DE LADRILHO HIDRÁULICO PASTILHADO (TÁTIL DE ALERTA), VERMELHO, DIM. 20X20 CM, ESP. 1.5CM, ASSENTADO COM PASTA DE CIMENTO COLANTE AC-I, EXCLUSIVE REGULARIZAÇÃO E LASTRO</v>
      </c>
      <c r="F1289" s="58" t="str">
        <f t="shared" si="103"/>
        <v>M2</v>
      </c>
      <c r="G1289" s="58">
        <f t="shared" si="104"/>
        <v>86.41</v>
      </c>
      <c r="H1289" s="58">
        <f t="shared" si="105"/>
        <v>86.41</v>
      </c>
    </row>
    <row r="1290" spans="1:8" s="58" customFormat="1" ht="72">
      <c r="A1290" s="591">
        <v>200254</v>
      </c>
      <c r="B1290" s="129" t="s">
        <v>35733</v>
      </c>
      <c r="C1290" s="586" t="s">
        <v>110</v>
      </c>
      <c r="D1290" s="129">
        <v>83.89</v>
      </c>
      <c r="E1290" s="58" t="str">
        <f t="shared" si="102"/>
        <v>FORNECIMENTO E ASSENTAMENTO DE LADRILHO HIDRÁULICO RANHURADO (TÁTIL DIRECIONAL), VERMELHO, DIM. 20X20 CM, ESP. 1.5CM, ASSENTADO COM PASTA DE CIMENTO COLANTE AC-I, EXCLUSIVE REGULARIZAÇÃO E LASTRO</v>
      </c>
      <c r="F1290" s="58" t="str">
        <f t="shared" si="103"/>
        <v>M2</v>
      </c>
      <c r="G1290" s="58">
        <f t="shared" si="104"/>
        <v>83.89</v>
      </c>
      <c r="H1290" s="58">
        <f t="shared" si="105"/>
        <v>83.89</v>
      </c>
    </row>
    <row r="1291" spans="1:8" s="58" customFormat="1">
      <c r="A1291" s="591">
        <v>2003</v>
      </c>
      <c r="B1291" s="129" t="s">
        <v>58</v>
      </c>
      <c r="C1291" s="586"/>
      <c r="D1291" s="129"/>
      <c r="E1291" s="58" t="str">
        <f t="shared" si="102"/>
        <v>PAISAGISMO</v>
      </c>
      <c r="F1291" s="58" t="str">
        <f t="shared" si="103"/>
        <v/>
      </c>
      <c r="G1291" s="58">
        <f t="shared" si="104"/>
        <v>0</v>
      </c>
      <c r="H1291" s="58">
        <f t="shared" si="105"/>
        <v>0</v>
      </c>
    </row>
    <row r="1292" spans="1:8" s="58" customFormat="1" ht="43.2">
      <c r="A1292" s="591">
        <v>200303</v>
      </c>
      <c r="B1292" s="129" t="s">
        <v>1632</v>
      </c>
      <c r="C1292" s="586" t="s">
        <v>110</v>
      </c>
      <c r="D1292" s="129">
        <v>14.08</v>
      </c>
      <c r="E1292" s="58" t="str">
        <f t="shared" si="102"/>
        <v>FORNECIMENTO DE GRAMA TIPO ESMERALDA EM PLACAS COM ESPESSURA DE 0.06 M, EXCLUSIVE PLANTIO</v>
      </c>
      <c r="F1292" s="58" t="str">
        <f t="shared" si="103"/>
        <v>M2</v>
      </c>
      <c r="G1292" s="58">
        <f t="shared" si="104"/>
        <v>14.08</v>
      </c>
      <c r="H1292" s="58">
        <f t="shared" si="105"/>
        <v>14.08</v>
      </c>
    </row>
    <row r="1293" spans="1:8" s="58" customFormat="1" ht="28.8">
      <c r="A1293" s="591">
        <v>200305</v>
      </c>
      <c r="B1293" s="129" t="s">
        <v>1633</v>
      </c>
      <c r="C1293" s="586" t="s">
        <v>1061</v>
      </c>
      <c r="D1293" s="129">
        <v>228.92</v>
      </c>
      <c r="E1293" s="58" t="str">
        <f t="shared" si="102"/>
        <v>FORNECIMENTO E ESPALHAMENTO DE AREIA MÉDIA LAVADA</v>
      </c>
      <c r="F1293" s="58" t="str">
        <f t="shared" si="103"/>
        <v>M3</v>
      </c>
      <c r="G1293" s="58">
        <f t="shared" si="104"/>
        <v>228.92</v>
      </c>
      <c r="H1293" s="58">
        <f t="shared" si="105"/>
        <v>228.92</v>
      </c>
    </row>
    <row r="1294" spans="1:8" s="58" customFormat="1">
      <c r="A1294" s="591">
        <v>200306</v>
      </c>
      <c r="B1294" s="129" t="s">
        <v>1634</v>
      </c>
      <c r="C1294" s="586" t="s">
        <v>1061</v>
      </c>
      <c r="D1294" s="129">
        <v>232.28</v>
      </c>
      <c r="E1294" s="58" t="str">
        <f t="shared" si="102"/>
        <v>FORNECIMENTO E ESPALHAMENTO DE BRITA 1 OU 2</v>
      </c>
      <c r="F1294" s="58" t="str">
        <f t="shared" si="103"/>
        <v>M3</v>
      </c>
      <c r="G1294" s="58">
        <f t="shared" si="104"/>
        <v>232.28</v>
      </c>
      <c r="H1294" s="58">
        <f t="shared" si="105"/>
        <v>232.28</v>
      </c>
    </row>
    <row r="1295" spans="1:8" s="58" customFormat="1" ht="28.8">
      <c r="A1295" s="591">
        <v>200307</v>
      </c>
      <c r="B1295" s="129" t="s">
        <v>1635</v>
      </c>
      <c r="C1295" s="586" t="s">
        <v>1061</v>
      </c>
      <c r="D1295" s="129">
        <v>272.97000000000003</v>
      </c>
      <c r="E1295" s="58" t="str">
        <f t="shared" si="102"/>
        <v>FORNECIMENTO E ESPALHAMENTO DE TERRA VEGETAL</v>
      </c>
      <c r="F1295" s="58" t="str">
        <f t="shared" si="103"/>
        <v>M3</v>
      </c>
      <c r="G1295" s="58">
        <f t="shared" si="104"/>
        <v>272.97000000000003</v>
      </c>
      <c r="H1295" s="58">
        <f t="shared" si="105"/>
        <v>272.97000000000003</v>
      </c>
    </row>
    <row r="1296" spans="1:8" s="58" customFormat="1">
      <c r="A1296" s="591">
        <v>200323</v>
      </c>
      <c r="B1296" s="129" t="s">
        <v>1636</v>
      </c>
      <c r="C1296" s="586" t="s">
        <v>1061</v>
      </c>
      <c r="D1296" s="129">
        <v>189.84</v>
      </c>
      <c r="E1296" s="58" t="str">
        <f t="shared" si="102"/>
        <v>FORNECIMENTO E ESPALHAMENTO DE PÓ DE PEDRA</v>
      </c>
      <c r="F1296" s="58" t="str">
        <f t="shared" si="103"/>
        <v>M3</v>
      </c>
      <c r="G1296" s="58">
        <f t="shared" si="104"/>
        <v>189.84</v>
      </c>
      <c r="H1296" s="58">
        <f t="shared" si="105"/>
        <v>189.84</v>
      </c>
    </row>
    <row r="1297" spans="1:8" s="58" customFormat="1" ht="43.2">
      <c r="A1297" s="591">
        <v>200326</v>
      </c>
      <c r="B1297" s="129" t="s">
        <v>1637</v>
      </c>
      <c r="C1297" s="586" t="s">
        <v>110</v>
      </c>
      <c r="D1297" s="129">
        <v>31.97</v>
      </c>
      <c r="E1297" s="58" t="str">
        <f t="shared" si="102"/>
        <v>FORNECIMENTO E PLANTIO DE GRAMA EM PLACAS TIPO ESMERALDA, INCLUSIVE FORNECIMENTO DE TERRA VEGETAL</v>
      </c>
      <c r="F1297" s="58" t="str">
        <f t="shared" si="103"/>
        <v>M2</v>
      </c>
      <c r="G1297" s="58">
        <f t="shared" si="104"/>
        <v>31.97</v>
      </c>
      <c r="H1297" s="58">
        <f t="shared" si="105"/>
        <v>31.97</v>
      </c>
    </row>
    <row r="1298" spans="1:8" s="58" customFormat="1">
      <c r="A1298" s="591">
        <v>2004</v>
      </c>
      <c r="B1298" s="129" t="s">
        <v>1638</v>
      </c>
      <c r="C1298" s="586"/>
      <c r="D1298" s="129"/>
      <c r="E1298" s="58" t="str">
        <f t="shared" si="102"/>
        <v>TRATAMENTO, CONSERVAÇÃO E LIMPEZA</v>
      </c>
      <c r="F1298" s="58" t="str">
        <f t="shared" si="103"/>
        <v/>
      </c>
      <c r="G1298" s="58">
        <f t="shared" si="104"/>
        <v>0</v>
      </c>
      <c r="H1298" s="58">
        <f t="shared" si="105"/>
        <v>0</v>
      </c>
    </row>
    <row r="1299" spans="1:8" s="58" customFormat="1">
      <c r="A1299" s="591">
        <v>200401</v>
      </c>
      <c r="B1299" s="129" t="s">
        <v>10372</v>
      </c>
      <c r="C1299" s="586" t="s">
        <v>110</v>
      </c>
      <c r="D1299" s="129">
        <v>9.89</v>
      </c>
      <c r="E1299" s="58" t="str">
        <f t="shared" si="102"/>
        <v>LIMPEZA GERAL DA OBRA (EDIFICAÇÃO)</v>
      </c>
      <c r="F1299" s="58" t="str">
        <f t="shared" si="103"/>
        <v>M2</v>
      </c>
      <c r="G1299" s="58">
        <f t="shared" si="104"/>
        <v>9.89</v>
      </c>
      <c r="H1299" s="58">
        <f t="shared" si="105"/>
        <v>9.89</v>
      </c>
    </row>
    <row r="1300" spans="1:8" s="58" customFormat="1" ht="28.8">
      <c r="A1300" s="591">
        <v>200402</v>
      </c>
      <c r="B1300" s="129" t="s">
        <v>1639</v>
      </c>
      <c r="C1300" s="586" t="s">
        <v>110</v>
      </c>
      <c r="D1300" s="129">
        <v>1.37</v>
      </c>
      <c r="E1300" s="58" t="str">
        <f t="shared" si="102"/>
        <v>LIMPEZA GERAL DE OBRAS (QUADRAS, PRAÇAS E JARDINS)</v>
      </c>
      <c r="F1300" s="58" t="str">
        <f t="shared" si="103"/>
        <v>M2</v>
      </c>
      <c r="G1300" s="58">
        <f t="shared" si="104"/>
        <v>1.37</v>
      </c>
      <c r="H1300" s="58">
        <f t="shared" si="105"/>
        <v>1.37</v>
      </c>
    </row>
    <row r="1301" spans="1:8" s="58" customFormat="1" ht="43.2">
      <c r="A1301" s="591">
        <v>200404</v>
      </c>
      <c r="B1301" s="129" t="s">
        <v>35734</v>
      </c>
      <c r="C1301" s="586" t="s">
        <v>110</v>
      </c>
      <c r="D1301" s="129">
        <v>5.42</v>
      </c>
      <c r="E1301" s="58" t="str">
        <f t="shared" si="102"/>
        <v>LIMPEZA DE PISOS E REVESTIMENTOS CERÂMICOS, UTILIZANDO DETERGENTE NEUTRO, ESCOVAÇÃO MANUAL E VASSOURA A SECO</v>
      </c>
      <c r="F1301" s="58" t="str">
        <f t="shared" si="103"/>
        <v>M2</v>
      </c>
      <c r="G1301" s="58">
        <f t="shared" si="104"/>
        <v>5.42</v>
      </c>
      <c r="H1301" s="58">
        <f t="shared" si="105"/>
        <v>5.42</v>
      </c>
    </row>
    <row r="1302" spans="1:8" s="58" customFormat="1">
      <c r="A1302" s="591">
        <v>2005</v>
      </c>
      <c r="B1302" s="129" t="s">
        <v>59</v>
      </c>
      <c r="C1302" s="586"/>
      <c r="D1302" s="129"/>
      <c r="E1302" s="58" t="str">
        <f t="shared" si="102"/>
        <v>DIVERSOS EXTERNOS</v>
      </c>
      <c r="F1302" s="58" t="str">
        <f t="shared" si="103"/>
        <v/>
      </c>
      <c r="G1302" s="58">
        <f t="shared" si="104"/>
        <v>0</v>
      </c>
      <c r="H1302" s="58">
        <f t="shared" si="105"/>
        <v>0</v>
      </c>
    </row>
    <row r="1303" spans="1:8" s="58" customFormat="1" ht="43.2">
      <c r="A1303" s="591">
        <v>200511</v>
      </c>
      <c r="B1303" s="129" t="s">
        <v>1640</v>
      </c>
      <c r="C1303" s="586" t="s">
        <v>115</v>
      </c>
      <c r="D1303" s="129">
        <v>162.57</v>
      </c>
      <c r="E1303" s="58" t="str">
        <f t="shared" si="102"/>
        <v>BANCO DE CONCRETO APARENTE COM TAMPO DE 40X40X5 CM E BASE DE 20X20X36 CM PARA MESA DE JOGOS, CONFORME DETALHE EM PROJETO</v>
      </c>
      <c r="F1303" s="58" t="str">
        <f t="shared" si="103"/>
        <v>UND</v>
      </c>
      <c r="G1303" s="58">
        <f t="shared" si="104"/>
        <v>162.57</v>
      </c>
      <c r="H1303" s="58">
        <f t="shared" si="105"/>
        <v>162.57</v>
      </c>
    </row>
    <row r="1304" spans="1:8" s="58" customFormat="1" ht="72">
      <c r="A1304" s="591">
        <v>200512</v>
      </c>
      <c r="B1304" s="129" t="s">
        <v>1641</v>
      </c>
      <c r="C1304" s="586" t="s">
        <v>115</v>
      </c>
      <c r="D1304" s="129">
        <v>483.1</v>
      </c>
      <c r="E1304" s="58" t="str">
        <f t="shared" si="102"/>
        <v>MESA DE CONCRETO APARENTE COM TAMPO DE 60X60X5 CM, BASE DE 30X30X75 CM E TABULEIRO 40X40CM EMBUTIDO NO CONCRETO, FEITO COM PASTILHAS DE MÁRMORE BRANCO E GRANITO PRETO DE 5X5X2CM CONF. PROJETO</v>
      </c>
      <c r="F1304" s="58" t="str">
        <f t="shared" si="103"/>
        <v>UND</v>
      </c>
      <c r="G1304" s="58">
        <f t="shared" si="104"/>
        <v>483.1</v>
      </c>
      <c r="H1304" s="58">
        <f t="shared" si="105"/>
        <v>483.1</v>
      </c>
    </row>
    <row r="1305" spans="1:8" s="58" customFormat="1" ht="57.6">
      <c r="A1305" s="591">
        <v>200513</v>
      </c>
      <c r="B1305" s="129" t="s">
        <v>15731</v>
      </c>
      <c r="C1305" s="586" t="s">
        <v>115</v>
      </c>
      <c r="D1305" s="129">
        <v>1909.4</v>
      </c>
      <c r="E1305" s="58" t="str">
        <f t="shared" si="102"/>
        <v>ESCADA TIPO MARINHEIRO DE TUBO DE FERRO 1" E 3/4", COM H=4.20M, PARA ACESSO A CAIXA DÁGUA, INCLUSIVE PINTURA EM ESMALTE SINTÉTICO, CONFORME DETALHE EM PROJETO</v>
      </c>
      <c r="F1305" s="58" t="str">
        <f t="shared" si="103"/>
        <v>UND</v>
      </c>
      <c r="G1305" s="58">
        <f t="shared" si="104"/>
        <v>1909.4</v>
      </c>
      <c r="H1305" s="58">
        <f t="shared" si="105"/>
        <v>1909.4</v>
      </c>
    </row>
    <row r="1306" spans="1:8" s="58" customFormat="1" ht="28.8">
      <c r="A1306" s="591">
        <v>200562</v>
      </c>
      <c r="B1306" s="129" t="s">
        <v>1642</v>
      </c>
      <c r="C1306" s="586" t="s">
        <v>115</v>
      </c>
      <c r="D1306" s="129">
        <v>448.83</v>
      </c>
      <c r="E1306" s="58" t="str">
        <f t="shared" si="102"/>
        <v>CAIXA PRÉ-MOLDADA DE CONCRETO PARA APARELHO DE AR CONDICIONADO DE 18.000 BTU</v>
      </c>
      <c r="F1306" s="58" t="str">
        <f t="shared" si="103"/>
        <v>UND</v>
      </c>
      <c r="G1306" s="58">
        <f t="shared" si="104"/>
        <v>448.83</v>
      </c>
      <c r="H1306" s="58">
        <f t="shared" si="105"/>
        <v>448.83</v>
      </c>
    </row>
    <row r="1307" spans="1:8" s="58" customFormat="1" ht="57.6">
      <c r="A1307" s="591">
        <v>200563</v>
      </c>
      <c r="B1307" s="129" t="s">
        <v>1643</v>
      </c>
      <c r="C1307" s="586" t="s">
        <v>112</v>
      </c>
      <c r="D1307" s="129">
        <v>175.74</v>
      </c>
      <c r="E1307" s="58" t="str">
        <f t="shared" si="102"/>
        <v>BANCO DE CONCRETO ARMADO APARENTE COM APOIOS DE ALVENARIA ASSENTADA COM ARGAMASSA DE CIMENTO, CAL E AREIA, LARGURA DE 0,50M E ESPESSURA DE 0,05M</v>
      </c>
      <c r="F1307" s="58" t="str">
        <f t="shared" si="103"/>
        <v>M</v>
      </c>
      <c r="G1307" s="58">
        <f t="shared" si="104"/>
        <v>175.74</v>
      </c>
      <c r="H1307" s="58">
        <f t="shared" si="105"/>
        <v>175.74</v>
      </c>
    </row>
    <row r="1308" spans="1:8" s="58" customFormat="1" ht="28.8">
      <c r="A1308" s="591">
        <v>200572</v>
      </c>
      <c r="B1308" s="129" t="s">
        <v>1644</v>
      </c>
      <c r="C1308" s="586" t="s">
        <v>115</v>
      </c>
      <c r="D1308" s="129">
        <v>3206.67</v>
      </c>
      <c r="E1308" s="58" t="str">
        <f t="shared" si="102"/>
        <v>POÇO C/ ANÉIS PRÉ-MOLDADOS DIAM. 1.5M E PROFUNDIDADE DE 7M, INCLUSIVE FORNECIMENTO</v>
      </c>
      <c r="F1308" s="58" t="str">
        <f t="shared" si="103"/>
        <v>UND</v>
      </c>
      <c r="G1308" s="58">
        <f t="shared" si="104"/>
        <v>3206.67</v>
      </c>
      <c r="H1308" s="58">
        <f t="shared" si="105"/>
        <v>3206.67</v>
      </c>
    </row>
    <row r="1309" spans="1:8" s="58" customFormat="1" ht="43.2">
      <c r="A1309" s="591">
        <v>200573</v>
      </c>
      <c r="B1309" s="129" t="s">
        <v>1645</v>
      </c>
      <c r="C1309" s="586" t="s">
        <v>112</v>
      </c>
      <c r="D1309" s="129">
        <v>275.27999999999997</v>
      </c>
      <c r="E1309" s="58" t="str">
        <f t="shared" si="102"/>
        <v>BICICLETÁRIO EM TUBO DE FERRO GALVANIZADO 1" E FERRO LISO 1/2", INCLUSIVE PINTURA, CONFORME PROJETO PADRÃO SEDU</v>
      </c>
      <c r="F1309" s="58" t="str">
        <f t="shared" si="103"/>
        <v>M</v>
      </c>
      <c r="G1309" s="58">
        <f t="shared" si="104"/>
        <v>275.27999999999997</v>
      </c>
      <c r="H1309" s="58">
        <f t="shared" si="105"/>
        <v>275.27999999999997</v>
      </c>
    </row>
    <row r="1310" spans="1:8" s="58" customFormat="1" ht="43.2">
      <c r="A1310" s="591">
        <v>200576</v>
      </c>
      <c r="B1310" s="129" t="s">
        <v>1646</v>
      </c>
      <c r="C1310" s="586" t="s">
        <v>115</v>
      </c>
      <c r="D1310" s="129">
        <v>674.41</v>
      </c>
      <c r="E1310" s="58" t="str">
        <f t="shared" si="102"/>
        <v>PLACA PARA INAUGURAÇÃO DE OBRA EM ALUMÍNIO POLIDO E=4MM, DIMENSÕES 40 X 50 CM, GRAVAÇÃO EM BAIXO RELEVO, INCLUSIVE PINTURA E FIXAÇÃO</v>
      </c>
      <c r="F1310" s="58" t="str">
        <f t="shared" si="103"/>
        <v>UND</v>
      </c>
      <c r="G1310" s="58">
        <f t="shared" si="104"/>
        <v>674.41</v>
      </c>
      <c r="H1310" s="58">
        <f t="shared" si="105"/>
        <v>674.41</v>
      </c>
    </row>
    <row r="1311" spans="1:8" s="58" customFormat="1" ht="43.2">
      <c r="A1311" s="591">
        <v>200581</v>
      </c>
      <c r="B1311" s="129" t="s">
        <v>27375</v>
      </c>
      <c r="C1311" s="586" t="s">
        <v>115</v>
      </c>
      <c r="D1311" s="129">
        <v>261.36</v>
      </c>
      <c r="E1311" s="58" t="str">
        <f t="shared" si="102"/>
        <v>LETRA TIPO CAIXA EM CHAPA DE AÇO INOX 304 ESCOVADO N16 - LARGURA: 7,5 CM, ALTURA: 15CM E PROF. 3CM, INCLUSIVE FIXAÇÃO INVISÍVEL</v>
      </c>
      <c r="F1311" s="58" t="str">
        <f t="shared" si="103"/>
        <v>UND</v>
      </c>
      <c r="G1311" s="58">
        <f t="shared" si="104"/>
        <v>261.36</v>
      </c>
      <c r="H1311" s="58">
        <f t="shared" si="105"/>
        <v>261.36</v>
      </c>
    </row>
    <row r="1312" spans="1:8" s="58" customFormat="1" ht="43.2">
      <c r="A1312" s="591">
        <v>200582</v>
      </c>
      <c r="B1312" s="129" t="s">
        <v>27376</v>
      </c>
      <c r="C1312" s="586" t="s">
        <v>115</v>
      </c>
      <c r="D1312" s="129">
        <v>389.31</v>
      </c>
      <c r="E1312" s="58" t="str">
        <f t="shared" si="102"/>
        <v>LETRA TIPO CAIXA EM CHAPA DE AÇO INOX 304 ESCOVADO N16 - LARGURA: 15 CM, ALTURA: 30CM E PROF. 3CM, INCLUSIVE FIXAÇÃO INVISÍVEL</v>
      </c>
      <c r="F1312" s="58" t="str">
        <f t="shared" si="103"/>
        <v>UND</v>
      </c>
      <c r="G1312" s="58">
        <f t="shared" si="104"/>
        <v>389.31</v>
      </c>
      <c r="H1312" s="58">
        <f t="shared" si="105"/>
        <v>389.31</v>
      </c>
    </row>
    <row r="1313" spans="1:8" s="58" customFormat="1">
      <c r="A1313" s="591">
        <v>2007</v>
      </c>
      <c r="B1313" s="129" t="s">
        <v>1647</v>
      </c>
      <c r="C1313" s="586"/>
      <c r="D1313" s="129"/>
      <c r="E1313" s="58" t="str">
        <f t="shared" si="102"/>
        <v>QUADRA DE ESPORTES (VER NOTA 9 DA PLANILHA)</v>
      </c>
      <c r="F1313" s="58" t="str">
        <f t="shared" si="103"/>
        <v/>
      </c>
      <c r="G1313" s="58">
        <f t="shared" si="104"/>
        <v>0</v>
      </c>
      <c r="H1313" s="58">
        <f t="shared" si="105"/>
        <v>0</v>
      </c>
    </row>
    <row r="1314" spans="1:8" s="58" customFormat="1" ht="86.4">
      <c r="A1314" s="591">
        <v>200702</v>
      </c>
      <c r="B1314" s="129" t="s">
        <v>1648</v>
      </c>
      <c r="C1314" s="586" t="s">
        <v>110</v>
      </c>
      <c r="D1314" s="129">
        <v>145.02000000000001</v>
      </c>
      <c r="E1314" s="58" t="str">
        <f t="shared" si="102"/>
        <v>PISO QUADRA POLIESP. FCK=25MPA, ESP.=10 CM, ARMADO C/ TELA Q138, CONCRET CAMADA ÚNICA BOMBEÁVEL C/ BRITA N. 1, ACAB. SUP. C/ ROTOALISADOR, JUNTAS C/ CORTE SERRA DIAMANT. PREENCH. C/ MASTIQUE, BASE 5CM SOLO BRITA 30% E RESINA ENDUR</v>
      </c>
      <c r="F1314" s="58" t="str">
        <f t="shared" si="103"/>
        <v>M2</v>
      </c>
      <c r="G1314" s="58">
        <f t="shared" si="104"/>
        <v>145.02000000000001</v>
      </c>
      <c r="H1314" s="58">
        <f t="shared" si="105"/>
        <v>145.02000000000001</v>
      </c>
    </row>
    <row r="1315" spans="1:8" s="58" customFormat="1" ht="57.6">
      <c r="A1315" s="591">
        <v>200703</v>
      </c>
      <c r="B1315" s="129" t="s">
        <v>1649</v>
      </c>
      <c r="C1315" s="586" t="s">
        <v>112</v>
      </c>
      <c r="D1315" s="129">
        <v>10.46</v>
      </c>
      <c r="E1315" s="58" t="str">
        <f t="shared" si="102"/>
        <v>PINTURA À BASE DE EPOXI, MARCAS DE REFERÊNCIA SUVINIL, CORAL OU NOVACOR, EM FAIXAS COM LARGURA DE 5CM, PARA DEMARCAÇÃO DE QUADRAS DE ESPORTES</v>
      </c>
      <c r="F1315" s="58" t="str">
        <f t="shared" si="103"/>
        <v>M</v>
      </c>
      <c r="G1315" s="58">
        <f t="shared" si="104"/>
        <v>10.46</v>
      </c>
      <c r="H1315" s="58">
        <f t="shared" si="105"/>
        <v>10.46</v>
      </c>
    </row>
    <row r="1316" spans="1:8" s="58" customFormat="1" ht="57.6">
      <c r="A1316" s="591">
        <v>200704</v>
      </c>
      <c r="B1316" s="129" t="s">
        <v>1650</v>
      </c>
      <c r="C1316" s="586" t="s">
        <v>110</v>
      </c>
      <c r="D1316" s="129">
        <v>41.8</v>
      </c>
      <c r="E1316" s="58" t="str">
        <f t="shared" si="102"/>
        <v>PINTURA COM TINTA À BASE DE RESINAS ACRÍLICAS, MARCAS DE REFERENCIA SUVINIL, CORAL OU NOVACOR, SOBRE PISO DE CONCRETO A DUAS DEMÃOS</v>
      </c>
      <c r="F1316" s="58" t="str">
        <f t="shared" si="103"/>
        <v>M2</v>
      </c>
      <c r="G1316" s="58">
        <f t="shared" si="104"/>
        <v>41.8</v>
      </c>
      <c r="H1316" s="58">
        <f t="shared" si="105"/>
        <v>41.8</v>
      </c>
    </row>
    <row r="1317" spans="1:8" s="58" customFormat="1" ht="28.8">
      <c r="A1317" s="591">
        <v>200705</v>
      </c>
      <c r="B1317" s="129" t="s">
        <v>1651</v>
      </c>
      <c r="C1317" s="586" t="s">
        <v>115</v>
      </c>
      <c r="D1317" s="129">
        <v>227.6</v>
      </c>
      <c r="E1317" s="58" t="str">
        <f t="shared" si="102"/>
        <v>REDE PARA VOLEIBOL COM MALHA GROSSA, FAIXAS DE LONA SUPERIOR E INFERIOR</v>
      </c>
      <c r="F1317" s="58" t="str">
        <f t="shared" si="103"/>
        <v>UND</v>
      </c>
      <c r="G1317" s="58">
        <f t="shared" si="104"/>
        <v>227.6</v>
      </c>
      <c r="H1317" s="58">
        <f t="shared" si="105"/>
        <v>227.6</v>
      </c>
    </row>
    <row r="1318" spans="1:8" s="58" customFormat="1" ht="43.2">
      <c r="A1318" s="591">
        <v>200706</v>
      </c>
      <c r="B1318" s="129" t="s">
        <v>1652</v>
      </c>
      <c r="C1318" s="586" t="s">
        <v>115</v>
      </c>
      <c r="D1318" s="129">
        <v>3836.49</v>
      </c>
      <c r="E1318" s="58" t="str">
        <f t="shared" si="102"/>
        <v>SUPORTE PARA TABELA DE BASQUETE DE CONCRETO ARMADO FCK = 15MPA, INCLUSIVE FORMA, ARMAÇÃO, LANÇAMENTO E DESFORMA</v>
      </c>
      <c r="F1318" s="58" t="str">
        <f t="shared" si="103"/>
        <v>UND</v>
      </c>
      <c r="G1318" s="58">
        <f t="shared" si="104"/>
        <v>3836.49</v>
      </c>
      <c r="H1318" s="58">
        <f t="shared" si="105"/>
        <v>3836.49</v>
      </c>
    </row>
    <row r="1319" spans="1:8" s="58" customFormat="1" ht="43.2">
      <c r="A1319" s="591">
        <v>200707</v>
      </c>
      <c r="B1319" s="129" t="s">
        <v>1653</v>
      </c>
      <c r="C1319" s="586" t="s">
        <v>115</v>
      </c>
      <c r="D1319" s="129">
        <v>2071.0300000000002</v>
      </c>
      <c r="E1319" s="58" t="str">
        <f t="shared" si="102"/>
        <v>TRAVE PARA FUTEBOL DE SALÃO DE TUBO DE FERRO GALVANIZADO 3", COM RECUO, REMOVÍVEL, DIMENSÕES OFICIAIS 3X2M</v>
      </c>
      <c r="F1319" s="58" t="str">
        <f t="shared" si="103"/>
        <v>UND</v>
      </c>
      <c r="G1319" s="58">
        <f t="shared" si="104"/>
        <v>2071.0300000000002</v>
      </c>
      <c r="H1319" s="58">
        <f t="shared" si="105"/>
        <v>2071.0300000000002</v>
      </c>
    </row>
    <row r="1320" spans="1:8" s="58" customFormat="1" ht="57.6">
      <c r="A1320" s="591">
        <v>200708</v>
      </c>
      <c r="B1320" s="129" t="s">
        <v>1654</v>
      </c>
      <c r="C1320" s="586" t="s">
        <v>115</v>
      </c>
      <c r="D1320" s="129">
        <v>1664.55</v>
      </c>
      <c r="E1320" s="58" t="str">
        <f t="shared" si="102"/>
        <v>CONJUNTO DE POSTE DE VOLEIBOL DE TUBO DE FERRO GALVANIZADO 3"E PARTE MÓVEL DE 21/2", INCLUSIVE CARRETILHA, FURO COM TUBO DE FERRO GALVANIZADO DE 31/2"E TAMPÃO DE FURO</v>
      </c>
      <c r="F1320" s="58" t="str">
        <f t="shared" si="103"/>
        <v>UND</v>
      </c>
      <c r="G1320" s="58">
        <f t="shared" si="104"/>
        <v>1664.55</v>
      </c>
      <c r="H1320" s="58">
        <f t="shared" si="105"/>
        <v>1664.55</v>
      </c>
    </row>
    <row r="1321" spans="1:8" s="58" customFormat="1" ht="28.8">
      <c r="A1321" s="591">
        <v>200709</v>
      </c>
      <c r="B1321" s="129" t="s">
        <v>1655</v>
      </c>
      <c r="C1321" s="586" t="s">
        <v>115</v>
      </c>
      <c r="D1321" s="129">
        <v>1039.29</v>
      </c>
      <c r="E1321" s="58" t="str">
        <f t="shared" si="102"/>
        <v>TABELA DE BASQUETE DE MADEIRA, COM ARO, INCLUSIVE COLOCAÇÃO</v>
      </c>
      <c r="F1321" s="58" t="str">
        <f t="shared" si="103"/>
        <v>UND</v>
      </c>
      <c r="G1321" s="58">
        <f t="shared" si="104"/>
        <v>1039.29</v>
      </c>
      <c r="H1321" s="58">
        <f t="shared" si="105"/>
        <v>1039.29</v>
      </c>
    </row>
    <row r="1322" spans="1:8" s="58" customFormat="1" ht="72">
      <c r="A1322" s="591">
        <v>200711</v>
      </c>
      <c r="B1322" s="129" t="s">
        <v>1656</v>
      </c>
      <c r="C1322" s="586" t="s">
        <v>110</v>
      </c>
      <c r="D1322" s="129">
        <v>321.85000000000002</v>
      </c>
      <c r="E1322" s="58" t="str">
        <f t="shared" si="102"/>
        <v>ALAMBRADO COM TELA FIO 12, MALHA DE 1", TUBOS DE FERRO GALVANIZADO VERTICAIS DE 2" E TUBOS DE FERRO GALVANIZADO HORIZONTAIS DE 1" SOLDADOS NAS PARTES SUPERIOR E INFERIOR, INCLUSIVE PORTÃO</v>
      </c>
      <c r="F1322" s="58" t="str">
        <f t="shared" si="103"/>
        <v>M2</v>
      </c>
      <c r="G1322" s="58">
        <f t="shared" si="104"/>
        <v>321.85000000000002</v>
      </c>
      <c r="H1322" s="58">
        <f t="shared" si="105"/>
        <v>321.85000000000002</v>
      </c>
    </row>
    <row r="1323" spans="1:8" s="58" customFormat="1">
      <c r="A1323" s="591">
        <v>200713</v>
      </c>
      <c r="B1323" s="129" t="s">
        <v>1657</v>
      </c>
      <c r="C1323" s="586" t="s">
        <v>115</v>
      </c>
      <c r="D1323" s="129">
        <v>219.01</v>
      </c>
      <c r="E1323" s="58" t="str">
        <f t="shared" si="102"/>
        <v>REDE PARA FUTEBOL DE SALÃO</v>
      </c>
      <c r="F1323" s="58" t="str">
        <f t="shared" si="103"/>
        <v>UND</v>
      </c>
      <c r="G1323" s="58">
        <f t="shared" si="104"/>
        <v>219.01</v>
      </c>
      <c r="H1323" s="58">
        <f t="shared" si="105"/>
        <v>219.01</v>
      </c>
    </row>
    <row r="1324" spans="1:8" s="58" customFormat="1" ht="43.2">
      <c r="A1324" s="591">
        <v>200714</v>
      </c>
      <c r="B1324" s="129" t="s">
        <v>1658</v>
      </c>
      <c r="C1324" s="586" t="s">
        <v>110</v>
      </c>
      <c r="D1324" s="129">
        <v>19.21</v>
      </c>
      <c r="E1324" s="58" t="str">
        <f t="shared" si="102"/>
        <v>PREPARO, REGULARIZAÇÃO E COMPACTAÇÃO DO TERRENO (COMPACTADOR MANUAL) PARA EXECUÇÃO DE PISO DE QUADRA</v>
      </c>
      <c r="F1324" s="58" t="str">
        <f t="shared" si="103"/>
        <v>M2</v>
      </c>
      <c r="G1324" s="58">
        <f t="shared" si="104"/>
        <v>19.21</v>
      </c>
      <c r="H1324" s="58">
        <f t="shared" si="105"/>
        <v>19.21</v>
      </c>
    </row>
    <row r="1325" spans="1:8" s="58" customFormat="1" ht="72">
      <c r="A1325" s="591">
        <v>200715</v>
      </c>
      <c r="B1325" s="129" t="s">
        <v>1659</v>
      </c>
      <c r="C1325" s="586" t="s">
        <v>110</v>
      </c>
      <c r="D1325" s="129">
        <v>197.67</v>
      </c>
      <c r="E1325" s="58" t="str">
        <f t="shared" si="102"/>
        <v>MURETA EM ALVENARIA DE BLOCOS CERÂMICOS 10X20X20CMM, H=0.60CM, PARA FECHAMENTO DE QUADRA, COM PILARETES DE TRAVAMENTO EM CONCRETO ARMADO A CADA 3M, INCLUSIVE CHAPISCO</v>
      </c>
      <c r="F1325" s="58" t="str">
        <f t="shared" si="103"/>
        <v>M2</v>
      </c>
      <c r="G1325" s="58">
        <f t="shared" si="104"/>
        <v>197.67</v>
      </c>
      <c r="H1325" s="58">
        <f t="shared" si="105"/>
        <v>197.67</v>
      </c>
    </row>
    <row r="1326" spans="1:8" s="58" customFormat="1" ht="72">
      <c r="A1326" s="591">
        <v>200716</v>
      </c>
      <c r="B1326" s="129" t="s">
        <v>1660</v>
      </c>
      <c r="C1326" s="586" t="s">
        <v>110</v>
      </c>
      <c r="D1326" s="129">
        <v>162.38999999999999</v>
      </c>
      <c r="E1326" s="58" t="str">
        <f t="shared" si="102"/>
        <v>PAREDE EM ALVENARIA DE BLOCO CERÂMICO 10X20X20CM, H=2M, PARA PROTEÇÃO DE FUNDO DE GOL (QUADRA POLIESPORTIVA), COM PILARES EM CONCRETO ARMADO A CADA 3M PARA TRAVAMENTO, INCLUSIVE CHAPISCO</v>
      </c>
      <c r="F1326" s="58" t="str">
        <f t="shared" si="103"/>
        <v>M2</v>
      </c>
      <c r="G1326" s="58">
        <f t="shared" si="104"/>
        <v>162.38999999999999</v>
      </c>
      <c r="H1326" s="58">
        <f t="shared" si="105"/>
        <v>162.38999999999999</v>
      </c>
    </row>
    <row r="1327" spans="1:8" s="58" customFormat="1" ht="28.8">
      <c r="A1327" s="591">
        <v>200717</v>
      </c>
      <c r="B1327" s="129" t="s">
        <v>1661</v>
      </c>
      <c r="C1327" s="586" t="s">
        <v>112</v>
      </c>
      <c r="D1327" s="129">
        <v>6.1</v>
      </c>
      <c r="E1327" s="58" t="str">
        <f t="shared" si="102"/>
        <v>GOIVETE NAS DIMENSÕES 2X1 EXECUTADO SOBRE ALVENARIA CHAPISCADA E REBOCADA</v>
      </c>
      <c r="F1327" s="58" t="str">
        <f t="shared" si="103"/>
        <v>M</v>
      </c>
      <c r="G1327" s="58">
        <f t="shared" si="104"/>
        <v>6.1</v>
      </c>
      <c r="H1327" s="58">
        <f t="shared" si="105"/>
        <v>6.1</v>
      </c>
    </row>
    <row r="1328" spans="1:8" s="58" customFormat="1" ht="86.4">
      <c r="A1328" s="591">
        <v>200720</v>
      </c>
      <c r="B1328" s="129" t="s">
        <v>1662</v>
      </c>
      <c r="C1328" s="586" t="s">
        <v>110</v>
      </c>
      <c r="D1328" s="129">
        <v>58.52</v>
      </c>
      <c r="E1328" s="58" t="str">
        <f t="shared" si="102"/>
        <v>FORN E ASSENT DE TELHAS DE LIGA DE ALUMÍNIO E ZINCO (GALVALUME), ONDULADA, ESP. MÍNIMA 0.43MM, ALT. MÍNIMA DE ONDA 17MM, SOBREP. LATERAL DE UMA ONDA E LONGIT. 200MM C/ MÍNIMO DE 3 APOIOS, ASSENT. C/ UTILIZ. DE FITAS ANTI-CORROSIVA</v>
      </c>
      <c r="F1328" s="58" t="str">
        <f t="shared" si="103"/>
        <v>M2</v>
      </c>
      <c r="G1328" s="58">
        <f t="shared" si="104"/>
        <v>58.52</v>
      </c>
      <c r="H1328" s="58">
        <f t="shared" si="105"/>
        <v>58.52</v>
      </c>
    </row>
    <row r="1329" spans="1:8" s="58" customFormat="1" ht="28.8">
      <c r="A1329" s="591">
        <v>200721</v>
      </c>
      <c r="B1329" s="129" t="s">
        <v>2265</v>
      </c>
      <c r="C1329" s="586" t="s">
        <v>110</v>
      </c>
      <c r="D1329" s="129">
        <v>20.95</v>
      </c>
      <c r="E1329" s="58" t="str">
        <f t="shared" si="102"/>
        <v>REDE DE PROTEÇÃO EM NYLON MALHA 10X10 CM PARA PROTEÇÃO DE QUADRA DE ESPORTES</v>
      </c>
      <c r="F1329" s="58" t="str">
        <f t="shared" si="103"/>
        <v>M2</v>
      </c>
      <c r="G1329" s="58">
        <f t="shared" si="104"/>
        <v>20.95</v>
      </c>
      <c r="H1329" s="58">
        <f t="shared" si="105"/>
        <v>20.95</v>
      </c>
    </row>
    <row r="1330" spans="1:8" s="58" customFormat="1" ht="57.6">
      <c r="A1330" s="591">
        <v>200725</v>
      </c>
      <c r="B1330" s="129" t="s">
        <v>1663</v>
      </c>
      <c r="C1330" s="586" t="s">
        <v>112</v>
      </c>
      <c r="D1330" s="129">
        <v>11.52</v>
      </c>
      <c r="E1330" s="58" t="str">
        <f t="shared" si="102"/>
        <v>PINTURA A BASE DE EPOXI, MARCAS DE REFERÊNCIA SUVINIL, CORAL OU NOVACOR, EM FAIXAS LARGURA DE 8CM PARA DEMARCAÇÃO DE QUADRA DE ESPORTES</v>
      </c>
      <c r="F1330" s="58" t="str">
        <f t="shared" si="103"/>
        <v>M</v>
      </c>
      <c r="G1330" s="58">
        <f t="shared" si="104"/>
        <v>11.52</v>
      </c>
      <c r="H1330" s="58">
        <f t="shared" si="105"/>
        <v>11.52</v>
      </c>
    </row>
    <row r="1331" spans="1:8" s="58" customFormat="1" ht="43.2">
      <c r="A1331" s="591">
        <v>200726</v>
      </c>
      <c r="B1331" s="129" t="s">
        <v>1664</v>
      </c>
      <c r="C1331" s="586" t="s">
        <v>110</v>
      </c>
      <c r="D1331" s="129">
        <v>187.31</v>
      </c>
      <c r="E1331" s="58" t="str">
        <f t="shared" ref="E1331:E1388" si="106">UPPER(B1331)</f>
        <v>RECUPERAÇÃO DE PISO DE QUADRA COM DEMOLIÇÃO PARCIAL DO CONCRETO E APLICAÇÃO DE GRANILITE, INCLUSIVE REGULARIZAÇÃO</v>
      </c>
      <c r="F1331" s="58" t="str">
        <f t="shared" ref="F1331:F1388" si="107">UPPER(C1331)</f>
        <v>M2</v>
      </c>
      <c r="G1331" s="58">
        <f t="shared" ref="G1331:G1388" si="108">D1331</f>
        <v>187.31</v>
      </c>
      <c r="H1331" s="58">
        <f t="shared" ref="H1331:H1388" si="109">ROUND(G1331/(1+$E$1),2)</f>
        <v>187.31</v>
      </c>
    </row>
    <row r="1332" spans="1:8" s="58" customFormat="1" ht="72">
      <c r="A1332" s="591">
        <v>200728</v>
      </c>
      <c r="B1332" s="129" t="s">
        <v>1665</v>
      </c>
      <c r="C1332" s="586" t="s">
        <v>110</v>
      </c>
      <c r="D1332" s="129">
        <v>245.08</v>
      </c>
      <c r="E1332" s="58" t="str">
        <f t="shared" si="106"/>
        <v>ALAMBRADO COM TELA LOSANGULAR DE ARAME FIO 12, MALHA 2" REVESTIDO EM PVC COM TUBO DE FERRO GALVANIZADO VERTICAL DE 21/2" E HORIZONTAL DE 1", INCLUSIVE PORTÃO, PINTADOS COM ESMALTE SOBRE FUNDO ANTI CORROSIVO</v>
      </c>
      <c r="F1332" s="58" t="str">
        <f t="shared" si="107"/>
        <v>M2</v>
      </c>
      <c r="G1332" s="58">
        <f t="shared" si="108"/>
        <v>245.08</v>
      </c>
      <c r="H1332" s="58">
        <f t="shared" si="109"/>
        <v>245.08</v>
      </c>
    </row>
    <row r="1333" spans="1:8" s="58" customFormat="1" ht="72">
      <c r="A1333" s="591">
        <v>200738</v>
      </c>
      <c r="B1333" s="129" t="s">
        <v>2266</v>
      </c>
      <c r="C1333" s="586" t="s">
        <v>1178</v>
      </c>
      <c r="D1333" s="129">
        <v>37.840000000000003</v>
      </c>
      <c r="E1333" s="58" t="str">
        <f t="shared" si="106"/>
        <v>ESTRUT. METÁLICA P/ QUADRA POLIESP. COBERTA CONSTITUÍDA POR PERFIS FORMADOS A FRIO, AÇO ESTRUTURAL ASTM A-570 G33 (TERÇAS) ASTM A-36 (DEMAIS PERFIS) C/ O SISTEMA DE TRAT. E PINT CONF DESCRITO EM NOTAS DA PLANILHA</v>
      </c>
      <c r="F1333" s="58" t="str">
        <f t="shared" si="107"/>
        <v>KG</v>
      </c>
      <c r="G1333" s="58">
        <f t="shared" si="108"/>
        <v>37.840000000000003</v>
      </c>
      <c r="H1333" s="58">
        <f t="shared" si="109"/>
        <v>37.840000000000003</v>
      </c>
    </row>
    <row r="1334" spans="1:8" s="58" customFormat="1">
      <c r="A1334" s="591">
        <v>21</v>
      </c>
      <c r="B1334" s="129" t="s">
        <v>1666</v>
      </c>
      <c r="C1334" s="586"/>
      <c r="D1334" s="129"/>
      <c r="E1334" s="58" t="str">
        <f t="shared" si="106"/>
        <v>SERVIÇOS COMPLEMENTARES INTERNOS</v>
      </c>
      <c r="F1334" s="58" t="str">
        <f t="shared" si="107"/>
        <v/>
      </c>
      <c r="G1334" s="58">
        <f t="shared" si="108"/>
        <v>0</v>
      </c>
      <c r="H1334" s="58">
        <f t="shared" si="109"/>
        <v>0</v>
      </c>
    </row>
    <row r="1335" spans="1:8" s="58" customFormat="1">
      <c r="A1335" s="591">
        <v>2101</v>
      </c>
      <c r="B1335" s="129" t="s">
        <v>1667</v>
      </c>
      <c r="C1335" s="586"/>
      <c r="D1335" s="129"/>
      <c r="E1335" s="58" t="str">
        <f t="shared" si="106"/>
        <v>QUADROS DE GIZ / AVISO</v>
      </c>
      <c r="F1335" s="58" t="str">
        <f t="shared" si="107"/>
        <v/>
      </c>
      <c r="G1335" s="58">
        <f t="shared" si="108"/>
        <v>0</v>
      </c>
      <c r="H1335" s="58">
        <f t="shared" si="109"/>
        <v>0</v>
      </c>
    </row>
    <row r="1336" spans="1:8" s="58" customFormat="1">
      <c r="A1336" s="591">
        <v>210105</v>
      </c>
      <c r="B1336" s="129" t="s">
        <v>1668</v>
      </c>
      <c r="C1336" s="586" t="s">
        <v>110</v>
      </c>
      <c r="D1336" s="129">
        <v>143</v>
      </c>
      <c r="E1336" s="58" t="str">
        <f t="shared" si="106"/>
        <v>QUADRO DE AVISOS DE FÓRMICA LISA BRILHANTE</v>
      </c>
      <c r="F1336" s="58" t="str">
        <f t="shared" si="107"/>
        <v>M2</v>
      </c>
      <c r="G1336" s="58">
        <f t="shared" si="108"/>
        <v>143</v>
      </c>
      <c r="H1336" s="58">
        <f t="shared" si="109"/>
        <v>143</v>
      </c>
    </row>
    <row r="1337" spans="1:8" s="58" customFormat="1" ht="43.2">
      <c r="A1337" s="591">
        <v>210109</v>
      </c>
      <c r="B1337" s="129" t="s">
        <v>1669</v>
      </c>
      <c r="C1337" s="586" t="s">
        <v>115</v>
      </c>
      <c r="D1337" s="129">
        <v>615.41999999999996</v>
      </c>
      <c r="E1337" s="58" t="str">
        <f t="shared" si="106"/>
        <v>QUADRO MURAL DE AZULEJO EXTRA 15 X 15 CM E MOLDURA DE MADEIRA DE LEI DE 7.0 X 2.5 CM NAS DIMENSÕES DE 2.09 X 1.04 M</v>
      </c>
      <c r="F1337" s="58" t="str">
        <f t="shared" si="107"/>
        <v>UND</v>
      </c>
      <c r="G1337" s="58">
        <f t="shared" si="108"/>
        <v>615.41999999999996</v>
      </c>
      <c r="H1337" s="58">
        <f t="shared" si="109"/>
        <v>615.41999999999996</v>
      </c>
    </row>
    <row r="1338" spans="1:8" s="58" customFormat="1" ht="86.4">
      <c r="A1338" s="591">
        <v>210114</v>
      </c>
      <c r="B1338" s="129" t="s">
        <v>23668</v>
      </c>
      <c r="C1338" s="586" t="s">
        <v>115</v>
      </c>
      <c r="D1338" s="129">
        <v>7195.77</v>
      </c>
      <c r="E1338" s="58" t="str">
        <f t="shared" si="106"/>
        <v>QUADRO PINCEL NOVO, COMPLETO, DE LAMINADO MELAMÍNICO ALTA PRESSÃO, "LOUSA" QUADRICULADO, COR BRANCO BRILHANTE, LINHA LOUSAS, PADRÃO F608 BRANCOLINE, ESP. 1MM, INCL. REQUADRO MADEIRA 2.5 X 5.0 CM E PORTA PINCEL, DIM. 3.95 X 1.29 M</v>
      </c>
      <c r="F1338" s="58" t="str">
        <f t="shared" si="107"/>
        <v>UND</v>
      </c>
      <c r="G1338" s="58">
        <f t="shared" si="108"/>
        <v>7195.77</v>
      </c>
      <c r="H1338" s="58">
        <f t="shared" si="109"/>
        <v>7195.77</v>
      </c>
    </row>
    <row r="1339" spans="1:8" s="58" customFormat="1">
      <c r="A1339" s="591">
        <v>2102</v>
      </c>
      <c r="B1339" s="129" t="s">
        <v>1670</v>
      </c>
      <c r="C1339" s="586"/>
      <c r="D1339" s="129"/>
      <c r="E1339" s="58" t="str">
        <f t="shared" si="106"/>
        <v>ARMÁRIOS E PRATELEIRAS</v>
      </c>
      <c r="F1339" s="58" t="str">
        <f t="shared" si="107"/>
        <v/>
      </c>
      <c r="G1339" s="58">
        <f t="shared" si="108"/>
        <v>0</v>
      </c>
      <c r="H1339" s="58">
        <f t="shared" si="109"/>
        <v>0</v>
      </c>
    </row>
    <row r="1340" spans="1:8" s="58" customFormat="1" ht="28.8">
      <c r="A1340" s="591">
        <v>210210</v>
      </c>
      <c r="B1340" s="129" t="s">
        <v>1671</v>
      </c>
      <c r="C1340" s="586" t="s">
        <v>110</v>
      </c>
      <c r="D1340" s="129">
        <v>360.72</v>
      </c>
      <c r="E1340" s="58" t="str">
        <f t="shared" si="106"/>
        <v>PRATELEIRAS EM GRANITO CINZA ANDORINHA, ESP. 2CM</v>
      </c>
      <c r="F1340" s="58" t="str">
        <f t="shared" si="107"/>
        <v>M2</v>
      </c>
      <c r="G1340" s="58">
        <f t="shared" si="108"/>
        <v>360.72</v>
      </c>
      <c r="H1340" s="58">
        <f t="shared" si="109"/>
        <v>360.72</v>
      </c>
    </row>
    <row r="1341" spans="1:8" s="58" customFormat="1">
      <c r="A1341" s="591">
        <v>2103</v>
      </c>
      <c r="B1341" s="129" t="s">
        <v>1672</v>
      </c>
      <c r="C1341" s="586"/>
      <c r="D1341" s="129"/>
      <c r="E1341" s="58" t="str">
        <f t="shared" si="106"/>
        <v>DIVERSOS INTERNOS</v>
      </c>
      <c r="F1341" s="58" t="str">
        <f t="shared" si="107"/>
        <v/>
      </c>
      <c r="G1341" s="58">
        <f t="shared" si="108"/>
        <v>0</v>
      </c>
      <c r="H1341" s="58">
        <f t="shared" si="109"/>
        <v>0</v>
      </c>
    </row>
    <row r="1342" spans="1:8" s="58" customFormat="1" ht="43.2">
      <c r="A1342" s="591">
        <v>210301</v>
      </c>
      <c r="B1342" s="129" t="s">
        <v>1673</v>
      </c>
      <c r="C1342" s="586" t="s">
        <v>112</v>
      </c>
      <c r="D1342" s="129">
        <v>423.55</v>
      </c>
      <c r="E1342" s="58" t="str">
        <f t="shared" si="106"/>
        <v>GUARDA CORPO DE TUBO DE FERRO GALVANIZADO, DIÂM. 3" E 2", H=0.8 M INCLUSIVE PINTURA A ÓLEO OU ESMALTE</v>
      </c>
      <c r="F1342" s="58" t="str">
        <f t="shared" si="107"/>
        <v>M</v>
      </c>
      <c r="G1342" s="58">
        <f t="shared" si="108"/>
        <v>423.55</v>
      </c>
      <c r="H1342" s="58">
        <f t="shared" si="109"/>
        <v>423.55</v>
      </c>
    </row>
    <row r="1343" spans="1:8" s="58" customFormat="1" ht="43.2">
      <c r="A1343" s="591">
        <v>210302</v>
      </c>
      <c r="B1343" s="129" t="s">
        <v>23669</v>
      </c>
      <c r="C1343" s="586" t="s">
        <v>112</v>
      </c>
      <c r="D1343" s="129">
        <v>318.54000000000002</v>
      </c>
      <c r="E1343" s="58" t="str">
        <f t="shared" si="106"/>
        <v>CORRIMÃO DE TUBO DE FERRO GALVANIZADO DIÂMETRO 3" FIXADO NA PAREDE A CADA 1.50M, INCLUSIVE PINTURA A ÓLEO OU ESMALTE</v>
      </c>
      <c r="F1343" s="58" t="str">
        <f t="shared" si="107"/>
        <v>M</v>
      </c>
      <c r="G1343" s="58">
        <f t="shared" si="108"/>
        <v>318.54000000000002</v>
      </c>
      <c r="H1343" s="58">
        <f t="shared" si="109"/>
        <v>318.54000000000002</v>
      </c>
    </row>
    <row r="1344" spans="1:8" s="58" customFormat="1" ht="43.2">
      <c r="A1344" s="591">
        <v>210304</v>
      </c>
      <c r="B1344" s="129" t="s">
        <v>1674</v>
      </c>
      <c r="C1344" s="586" t="s">
        <v>112</v>
      </c>
      <c r="D1344" s="129">
        <v>229.65</v>
      </c>
      <c r="E1344" s="58" t="str">
        <f t="shared" si="106"/>
        <v>BANCO DE CONCRETO ARMADO APARENTE FCK=15 MPA, COM APOIOS DE CONCRETO, LARGURA DE 45CM, ESPESSURA DE 7CM E ALTURA DE 45CM</v>
      </c>
      <c r="F1344" s="58" t="str">
        <f t="shared" si="107"/>
        <v>M</v>
      </c>
      <c r="G1344" s="58">
        <f t="shared" si="108"/>
        <v>229.65</v>
      </c>
      <c r="H1344" s="58">
        <f t="shared" si="109"/>
        <v>229.65</v>
      </c>
    </row>
    <row r="1345" spans="1:8" s="58" customFormat="1" ht="57.6">
      <c r="A1345" s="591">
        <v>210316</v>
      </c>
      <c r="B1345" s="129" t="s">
        <v>1675</v>
      </c>
      <c r="C1345" s="586" t="s">
        <v>115</v>
      </c>
      <c r="D1345" s="129">
        <v>816.43</v>
      </c>
      <c r="E1345" s="58" t="str">
        <f t="shared" si="106"/>
        <v>ALÇAPÃO DE VISITA AO BARRILETE DE CHAPA DE MADEIRA DE LEI MEDINDO 60X60CM, INCLUSIVE DOBRADIÇA, MARCO, ALIZAR E FECHADURA, EMASSAMENTO E PINTURA</v>
      </c>
      <c r="F1345" s="58" t="str">
        <f t="shared" si="107"/>
        <v>UND</v>
      </c>
      <c r="G1345" s="58">
        <f t="shared" si="108"/>
        <v>816.43</v>
      </c>
      <c r="H1345" s="58">
        <f t="shared" si="109"/>
        <v>816.43</v>
      </c>
    </row>
    <row r="1346" spans="1:8" s="58" customFormat="1" ht="43.2">
      <c r="A1346" s="591">
        <v>210321</v>
      </c>
      <c r="B1346" s="129" t="s">
        <v>1676</v>
      </c>
      <c r="C1346" s="586" t="s">
        <v>115</v>
      </c>
      <c r="D1346" s="129">
        <v>196.78</v>
      </c>
      <c r="E1346" s="58" t="str">
        <f t="shared" si="106"/>
        <v>PROTEÇÃO PARA CAIXA DE DESCARGA EM MALHA DE FERRO 3/4" FIO 12, PERFIL "L" 1" E BARRA CHATA 3/4" X 1/8", CONF. DETALHE</v>
      </c>
      <c r="F1346" s="58" t="str">
        <f t="shared" si="107"/>
        <v>UND</v>
      </c>
      <c r="G1346" s="58">
        <f t="shared" si="108"/>
        <v>196.78</v>
      </c>
      <c r="H1346" s="58">
        <f t="shared" si="109"/>
        <v>196.78</v>
      </c>
    </row>
    <row r="1347" spans="1:8" s="58" customFormat="1" ht="28.8">
      <c r="A1347" s="591">
        <v>210322</v>
      </c>
      <c r="B1347" s="129" t="s">
        <v>1677</v>
      </c>
      <c r="C1347" s="586" t="s">
        <v>112</v>
      </c>
      <c r="D1347" s="129">
        <v>168.3</v>
      </c>
      <c r="E1347" s="58" t="str">
        <f t="shared" si="106"/>
        <v>CORRIMÃO EM TUBO DE FERRO GALVANIZADO DIAM. 2" COM CHUMBADORES A CADA 1.5M</v>
      </c>
      <c r="F1347" s="58" t="str">
        <f t="shared" si="107"/>
        <v>M</v>
      </c>
      <c r="G1347" s="58">
        <f t="shared" si="108"/>
        <v>168.3</v>
      </c>
      <c r="H1347" s="58">
        <f t="shared" si="109"/>
        <v>168.3</v>
      </c>
    </row>
    <row r="1348" spans="1:8" s="58" customFormat="1">
      <c r="A1348" s="591">
        <v>22</v>
      </c>
      <c r="B1348" s="129" t="s">
        <v>1678</v>
      </c>
      <c r="C1348" s="586"/>
      <c r="D1348" s="129"/>
      <c r="E1348" s="58" t="str">
        <f t="shared" si="106"/>
        <v>APOIO</v>
      </c>
      <c r="F1348" s="58" t="str">
        <f t="shared" si="107"/>
        <v/>
      </c>
      <c r="G1348" s="58">
        <f t="shared" si="108"/>
        <v>0</v>
      </c>
      <c r="H1348" s="58">
        <f t="shared" si="109"/>
        <v>0</v>
      </c>
    </row>
    <row r="1349" spans="1:8" s="58" customFormat="1" ht="43.2">
      <c r="A1349" s="591">
        <v>2208</v>
      </c>
      <c r="B1349" s="129" t="s">
        <v>1679</v>
      </c>
      <c r="C1349" s="586"/>
      <c r="D1349" s="129"/>
      <c r="E1349" s="58" t="str">
        <f t="shared" si="106"/>
        <v>LOCAÇÃO DE VEÍCULO TIPO GOL 1.000 A GASOLINA OU EQUIVALENTE, COM ATÉ 1 (UM) ANO DE USO, EM BOM ESTADO DE CONSERVAÇÃO COM:</v>
      </c>
      <c r="F1349" s="58" t="str">
        <f t="shared" si="107"/>
        <v/>
      </c>
      <c r="G1349" s="58">
        <f t="shared" si="108"/>
        <v>0</v>
      </c>
      <c r="H1349" s="58">
        <f t="shared" si="109"/>
        <v>0</v>
      </c>
    </row>
    <row r="1350" spans="1:8" s="58" customFormat="1" ht="86.4">
      <c r="A1350" s="591">
        <v>220803</v>
      </c>
      <c r="B1350" s="129" t="s">
        <v>23670</v>
      </c>
      <c r="C1350" s="586" t="s">
        <v>111</v>
      </c>
      <c r="D1350" s="129">
        <v>4314.0600000000004</v>
      </c>
      <c r="E1350" s="58" t="str">
        <f t="shared" si="106"/>
        <v>(GOL 1.0 TOTAL FLEX - GASOLINA - PREÇO LABOR) SEGURO TOTAL, MANUTENÇÃO, COMBUSTÍVEL, EVENTUAIS TAXAS E EMOLUMENTOS, BEM COMO EVENTUAL SUBSTITUIÇÃO DO VEÍCULO (SE NECESSÁRIO), SEM MOTORISTA, UTILIZAÇÃO ATÉ 2.000 (DOIS MIL) KM/MÊS</v>
      </c>
      <c r="F1350" s="58" t="str">
        <f t="shared" si="107"/>
        <v>MÊS</v>
      </c>
      <c r="G1350" s="58">
        <f t="shared" si="108"/>
        <v>4314.0600000000004</v>
      </c>
      <c r="H1350" s="58">
        <f t="shared" si="109"/>
        <v>4314.0600000000004</v>
      </c>
    </row>
    <row r="1351" spans="1:8" s="58" customFormat="1">
      <c r="A1351" s="591">
        <v>31</v>
      </c>
      <c r="B1351" s="129" t="s">
        <v>1680</v>
      </c>
      <c r="C1351" s="586"/>
      <c r="D1351" s="129"/>
      <c r="E1351" s="58" t="str">
        <f t="shared" si="106"/>
        <v>SERVIÇOS GERAIS</v>
      </c>
      <c r="F1351" s="58" t="str">
        <f t="shared" si="107"/>
        <v/>
      </c>
      <c r="G1351" s="58">
        <f t="shared" si="108"/>
        <v>0</v>
      </c>
      <c r="H1351" s="58">
        <f t="shared" si="109"/>
        <v>0</v>
      </c>
    </row>
    <row r="1352" spans="1:8" s="58" customFormat="1" ht="28.8">
      <c r="A1352" s="591">
        <v>3108</v>
      </c>
      <c r="B1352" s="129" t="s">
        <v>1681</v>
      </c>
      <c r="C1352" s="586"/>
      <c r="D1352" s="129"/>
      <c r="E1352" s="58" t="str">
        <f t="shared" si="106"/>
        <v>ENCARGOS COMPLEMENTARES - EQUIPAMENTOS DE PROTEÇÃO INDIVIDUAL</v>
      </c>
      <c r="F1352" s="58" t="str">
        <f t="shared" si="107"/>
        <v/>
      </c>
      <c r="G1352" s="58">
        <f t="shared" si="108"/>
        <v>0</v>
      </c>
      <c r="H1352" s="58">
        <f t="shared" si="109"/>
        <v>0</v>
      </c>
    </row>
    <row r="1353" spans="1:8" s="58" customFormat="1">
      <c r="A1353" s="591">
        <v>310801</v>
      </c>
      <c r="B1353" s="129" t="s">
        <v>1682</v>
      </c>
      <c r="C1353" s="586" t="s">
        <v>115</v>
      </c>
      <c r="D1353" s="129">
        <v>13.63</v>
      </c>
      <c r="E1353" s="58" t="str">
        <f t="shared" si="106"/>
        <v>CAPACETE DE OBRA</v>
      </c>
      <c r="F1353" s="58" t="str">
        <f t="shared" si="107"/>
        <v>UND</v>
      </c>
      <c r="G1353" s="58">
        <f t="shared" si="108"/>
        <v>13.63</v>
      </c>
      <c r="H1353" s="58">
        <f t="shared" si="109"/>
        <v>13.63</v>
      </c>
    </row>
    <row r="1354" spans="1:8" s="58" customFormat="1">
      <c r="A1354" s="591">
        <v>310802</v>
      </c>
      <c r="B1354" s="129" t="s">
        <v>1683</v>
      </c>
      <c r="C1354" s="586" t="s">
        <v>115</v>
      </c>
      <c r="D1354" s="129">
        <v>180.6</v>
      </c>
      <c r="E1354" s="58" t="str">
        <f t="shared" si="106"/>
        <v>UNIFORME DE OBRA (CALÇA E CAMISA)</v>
      </c>
      <c r="F1354" s="58" t="str">
        <f t="shared" si="107"/>
        <v>UND</v>
      </c>
      <c r="G1354" s="58">
        <f t="shared" si="108"/>
        <v>180.6</v>
      </c>
      <c r="H1354" s="58">
        <f t="shared" si="109"/>
        <v>180.6</v>
      </c>
    </row>
    <row r="1355" spans="1:8" s="58" customFormat="1">
      <c r="A1355" s="591">
        <v>310803</v>
      </c>
      <c r="B1355" s="129" t="s">
        <v>1684</v>
      </c>
      <c r="C1355" s="586" t="s">
        <v>115</v>
      </c>
      <c r="D1355" s="129">
        <v>20.97</v>
      </c>
      <c r="E1355" s="58" t="str">
        <f t="shared" si="106"/>
        <v>VESTE DE SEGURANÇA</v>
      </c>
      <c r="F1355" s="58" t="str">
        <f t="shared" si="107"/>
        <v>UND</v>
      </c>
      <c r="G1355" s="58">
        <f t="shared" si="108"/>
        <v>20.97</v>
      </c>
      <c r="H1355" s="58">
        <f t="shared" si="109"/>
        <v>20.97</v>
      </c>
    </row>
    <row r="1356" spans="1:8" s="58" customFormat="1">
      <c r="A1356" s="591">
        <v>310804</v>
      </c>
      <c r="B1356" s="129" t="s">
        <v>1685</v>
      </c>
      <c r="C1356" s="586" t="s">
        <v>115</v>
      </c>
      <c r="D1356" s="129">
        <v>56.53</v>
      </c>
      <c r="E1356" s="58" t="str">
        <f t="shared" si="106"/>
        <v>BOTA DE SEGURANÇA (PAR)</v>
      </c>
      <c r="F1356" s="58" t="str">
        <f t="shared" si="107"/>
        <v>UND</v>
      </c>
      <c r="G1356" s="58">
        <f t="shared" si="108"/>
        <v>56.53</v>
      </c>
      <c r="H1356" s="58">
        <f t="shared" si="109"/>
        <v>56.53</v>
      </c>
    </row>
    <row r="1357" spans="1:8" s="58" customFormat="1">
      <c r="A1357" s="591">
        <v>310805</v>
      </c>
      <c r="B1357" s="129" t="s">
        <v>1686</v>
      </c>
      <c r="C1357" s="586" t="s">
        <v>115</v>
      </c>
      <c r="D1357" s="129">
        <v>3.79</v>
      </c>
      <c r="E1357" s="58" t="str">
        <f t="shared" si="106"/>
        <v>ÓCULOS DE PROTEÇÃO</v>
      </c>
      <c r="F1357" s="58" t="str">
        <f t="shared" si="107"/>
        <v>UND</v>
      </c>
      <c r="G1357" s="58">
        <f t="shared" si="108"/>
        <v>3.79</v>
      </c>
      <c r="H1357" s="58">
        <f t="shared" si="109"/>
        <v>3.79</v>
      </c>
    </row>
    <row r="1358" spans="1:8" s="58" customFormat="1">
      <c r="A1358" s="591">
        <v>310806</v>
      </c>
      <c r="B1358" s="129" t="s">
        <v>1687</v>
      </c>
      <c r="C1358" s="586" t="s">
        <v>115</v>
      </c>
      <c r="D1358" s="129">
        <v>15.44</v>
      </c>
      <c r="E1358" s="58" t="str">
        <f t="shared" si="106"/>
        <v>LUVA DE RASPA (PAR)</v>
      </c>
      <c r="F1358" s="58" t="str">
        <f t="shared" si="107"/>
        <v>UND</v>
      </c>
      <c r="G1358" s="58">
        <f t="shared" si="108"/>
        <v>15.44</v>
      </c>
      <c r="H1358" s="58">
        <f t="shared" si="109"/>
        <v>15.44</v>
      </c>
    </row>
    <row r="1359" spans="1:8" s="58" customFormat="1">
      <c r="A1359" s="591">
        <v>310807</v>
      </c>
      <c r="B1359" s="129" t="s">
        <v>1688</v>
      </c>
      <c r="C1359" s="586" t="s">
        <v>115</v>
      </c>
      <c r="D1359" s="129">
        <v>26.97</v>
      </c>
      <c r="E1359" s="58" t="str">
        <f t="shared" si="106"/>
        <v>CAPA DE CHUVA</v>
      </c>
      <c r="F1359" s="58" t="str">
        <f t="shared" si="107"/>
        <v>UND</v>
      </c>
      <c r="G1359" s="58">
        <f t="shared" si="108"/>
        <v>26.97</v>
      </c>
      <c r="H1359" s="58">
        <f t="shared" si="109"/>
        <v>26.97</v>
      </c>
    </row>
    <row r="1360" spans="1:8" s="58" customFormat="1">
      <c r="A1360" s="591">
        <v>310808</v>
      </c>
      <c r="B1360" s="129" t="s">
        <v>1689</v>
      </c>
      <c r="C1360" s="586" t="s">
        <v>115</v>
      </c>
      <c r="D1360" s="129">
        <v>1.44</v>
      </c>
      <c r="E1360" s="58" t="str">
        <f t="shared" si="106"/>
        <v>MÁSCARA DE AR</v>
      </c>
      <c r="F1360" s="58" t="str">
        <f t="shared" si="107"/>
        <v>UND</v>
      </c>
      <c r="G1360" s="58">
        <f t="shared" si="108"/>
        <v>1.44</v>
      </c>
      <c r="H1360" s="58">
        <f t="shared" si="109"/>
        <v>1.44</v>
      </c>
    </row>
    <row r="1361" spans="1:8" s="58" customFormat="1">
      <c r="A1361" s="591">
        <v>310809</v>
      </c>
      <c r="B1361" s="129" t="s">
        <v>1690</v>
      </c>
      <c r="C1361" s="586" t="s">
        <v>115</v>
      </c>
      <c r="D1361" s="129">
        <v>83.43</v>
      </c>
      <c r="E1361" s="58" t="str">
        <f t="shared" si="106"/>
        <v>CINTO DE SEGURANÇA</v>
      </c>
      <c r="F1361" s="58" t="str">
        <f t="shared" si="107"/>
        <v>UND</v>
      </c>
      <c r="G1361" s="58">
        <f t="shared" si="108"/>
        <v>83.43</v>
      </c>
      <c r="H1361" s="58">
        <f t="shared" si="109"/>
        <v>83.43</v>
      </c>
    </row>
    <row r="1362" spans="1:8" s="58" customFormat="1" ht="28.8">
      <c r="A1362" s="591">
        <v>3109</v>
      </c>
      <c r="B1362" s="129" t="s">
        <v>1691</v>
      </c>
      <c r="C1362" s="586"/>
      <c r="D1362" s="129"/>
      <c r="E1362" s="58" t="str">
        <f t="shared" si="106"/>
        <v>ENCARGOS COMPLEMENTARES - FERRAMENTAS MANUAIS</v>
      </c>
      <c r="F1362" s="58" t="str">
        <f t="shared" si="107"/>
        <v/>
      </c>
      <c r="G1362" s="58">
        <f t="shared" si="108"/>
        <v>0</v>
      </c>
      <c r="H1362" s="58">
        <f t="shared" si="109"/>
        <v>0</v>
      </c>
    </row>
    <row r="1363" spans="1:8" s="58" customFormat="1">
      <c r="A1363" s="591">
        <v>310901</v>
      </c>
      <c r="B1363" s="129" t="s">
        <v>1692</v>
      </c>
      <c r="C1363" s="586" t="s">
        <v>115</v>
      </c>
      <c r="D1363" s="129">
        <v>110.83</v>
      </c>
      <c r="E1363" s="58" t="str">
        <f t="shared" si="106"/>
        <v>PICARETA COM CABO</v>
      </c>
      <c r="F1363" s="58" t="str">
        <f t="shared" si="107"/>
        <v>UND</v>
      </c>
      <c r="G1363" s="58">
        <f t="shared" si="108"/>
        <v>110.83</v>
      </c>
      <c r="H1363" s="58">
        <f t="shared" si="109"/>
        <v>110.83</v>
      </c>
    </row>
    <row r="1364" spans="1:8" s="58" customFormat="1">
      <c r="A1364" s="591">
        <v>310902</v>
      </c>
      <c r="B1364" s="129" t="s">
        <v>1693</v>
      </c>
      <c r="C1364" s="586" t="s">
        <v>115</v>
      </c>
      <c r="D1364" s="129">
        <v>44.77</v>
      </c>
      <c r="E1364" s="58" t="str">
        <f t="shared" si="106"/>
        <v>PÁ DE PEDREIRO COM CABO</v>
      </c>
      <c r="F1364" s="58" t="str">
        <f t="shared" si="107"/>
        <v>UND</v>
      </c>
      <c r="G1364" s="58">
        <f t="shared" si="108"/>
        <v>44.77</v>
      </c>
      <c r="H1364" s="58">
        <f t="shared" si="109"/>
        <v>44.77</v>
      </c>
    </row>
    <row r="1365" spans="1:8" s="58" customFormat="1">
      <c r="A1365" s="591">
        <v>310903</v>
      </c>
      <c r="B1365" s="129" t="s">
        <v>1694</v>
      </c>
      <c r="C1365" s="586" t="s">
        <v>115</v>
      </c>
      <c r="D1365" s="129">
        <v>58.6</v>
      </c>
      <c r="E1365" s="58" t="str">
        <f t="shared" si="106"/>
        <v>ENXADA COM CABO</v>
      </c>
      <c r="F1365" s="58" t="str">
        <f t="shared" si="107"/>
        <v>UND</v>
      </c>
      <c r="G1365" s="58">
        <f t="shared" si="108"/>
        <v>58.6</v>
      </c>
      <c r="H1365" s="58">
        <f t="shared" si="109"/>
        <v>58.6</v>
      </c>
    </row>
    <row r="1366" spans="1:8" s="58" customFormat="1">
      <c r="A1366" s="591">
        <v>310904</v>
      </c>
      <c r="B1366" s="129" t="s">
        <v>1695</v>
      </c>
      <c r="C1366" s="586" t="s">
        <v>115</v>
      </c>
      <c r="D1366" s="129">
        <v>88.19</v>
      </c>
      <c r="E1366" s="58" t="str">
        <f t="shared" si="106"/>
        <v>SERROTE 26"</v>
      </c>
      <c r="F1366" s="58" t="str">
        <f t="shared" si="107"/>
        <v>UND</v>
      </c>
      <c r="G1366" s="58">
        <f t="shared" si="108"/>
        <v>88.19</v>
      </c>
      <c r="H1366" s="58">
        <f t="shared" si="109"/>
        <v>88.19</v>
      </c>
    </row>
    <row r="1367" spans="1:8" s="58" customFormat="1">
      <c r="A1367" s="591">
        <v>310905</v>
      </c>
      <c r="B1367" s="129" t="s">
        <v>1696</v>
      </c>
      <c r="C1367" s="586" t="s">
        <v>115</v>
      </c>
      <c r="D1367" s="129">
        <v>38.47</v>
      </c>
      <c r="E1367" s="58" t="str">
        <f t="shared" si="106"/>
        <v>MARTELO COM CABO</v>
      </c>
      <c r="F1367" s="58" t="str">
        <f t="shared" si="107"/>
        <v>UND</v>
      </c>
      <c r="G1367" s="58">
        <f t="shared" si="108"/>
        <v>38.47</v>
      </c>
      <c r="H1367" s="58">
        <f t="shared" si="109"/>
        <v>38.47</v>
      </c>
    </row>
    <row r="1368" spans="1:8" s="58" customFormat="1">
      <c r="A1368" s="591">
        <v>310906</v>
      </c>
      <c r="B1368" s="129" t="s">
        <v>1697</v>
      </c>
      <c r="C1368" s="586" t="s">
        <v>115</v>
      </c>
      <c r="D1368" s="129">
        <v>35.46</v>
      </c>
      <c r="E1368" s="58" t="str">
        <f t="shared" si="106"/>
        <v>NIVEL DE PEDREIRO</v>
      </c>
      <c r="F1368" s="58" t="str">
        <f t="shared" si="107"/>
        <v>UND</v>
      </c>
      <c r="G1368" s="58">
        <f t="shared" si="108"/>
        <v>35.46</v>
      </c>
      <c r="H1368" s="58">
        <f t="shared" si="109"/>
        <v>35.46</v>
      </c>
    </row>
    <row r="1369" spans="1:8" s="58" customFormat="1">
      <c r="A1369" s="591">
        <v>310907</v>
      </c>
      <c r="B1369" s="129" t="s">
        <v>1698</v>
      </c>
      <c r="C1369" s="586" t="s">
        <v>115</v>
      </c>
      <c r="D1369" s="129">
        <v>38.950000000000003</v>
      </c>
      <c r="E1369" s="58" t="str">
        <f t="shared" si="106"/>
        <v>ALICATE UNIVERSAL</v>
      </c>
      <c r="F1369" s="58" t="str">
        <f t="shared" si="107"/>
        <v>UND</v>
      </c>
      <c r="G1369" s="58">
        <f t="shared" si="108"/>
        <v>38.950000000000003</v>
      </c>
      <c r="H1369" s="58">
        <f t="shared" si="109"/>
        <v>38.950000000000003</v>
      </c>
    </row>
    <row r="1370" spans="1:8" s="58" customFormat="1">
      <c r="A1370" s="591">
        <v>310908</v>
      </c>
      <c r="B1370" s="129" t="s">
        <v>1699</v>
      </c>
      <c r="C1370" s="586" t="s">
        <v>115</v>
      </c>
      <c r="D1370" s="129">
        <v>148</v>
      </c>
      <c r="E1370" s="58" t="str">
        <f t="shared" si="106"/>
        <v>MARRETA 5 KG COM CABO</v>
      </c>
      <c r="F1370" s="58" t="str">
        <f t="shared" si="107"/>
        <v>UND</v>
      </c>
      <c r="G1370" s="58">
        <f t="shared" si="108"/>
        <v>148</v>
      </c>
      <c r="H1370" s="58">
        <f t="shared" si="109"/>
        <v>148</v>
      </c>
    </row>
    <row r="1371" spans="1:8" s="58" customFormat="1">
      <c r="A1371" s="591">
        <v>310909</v>
      </c>
      <c r="B1371" s="129" t="s">
        <v>1700</v>
      </c>
      <c r="C1371" s="586" t="s">
        <v>115</v>
      </c>
      <c r="D1371" s="129">
        <v>54.44</v>
      </c>
      <c r="E1371" s="58" t="str">
        <f t="shared" si="106"/>
        <v>CHAVE DE GRIFO 10"</v>
      </c>
      <c r="F1371" s="58" t="str">
        <f t="shared" si="107"/>
        <v>UND</v>
      </c>
      <c r="G1371" s="58">
        <f t="shared" si="108"/>
        <v>54.44</v>
      </c>
      <c r="H1371" s="58">
        <f t="shared" si="109"/>
        <v>54.44</v>
      </c>
    </row>
    <row r="1372" spans="1:8" s="58" customFormat="1">
      <c r="A1372" s="591">
        <v>310910</v>
      </c>
      <c r="B1372" s="129" t="s">
        <v>1701</v>
      </c>
      <c r="C1372" s="586" t="s">
        <v>115</v>
      </c>
      <c r="D1372" s="129">
        <v>36.22</v>
      </c>
      <c r="E1372" s="58" t="str">
        <f t="shared" si="106"/>
        <v>JOGO DE CHAVE DE FENDA</v>
      </c>
      <c r="F1372" s="58" t="str">
        <f t="shared" si="107"/>
        <v>UND</v>
      </c>
      <c r="G1372" s="58">
        <f t="shared" si="108"/>
        <v>36.22</v>
      </c>
      <c r="H1372" s="58">
        <f t="shared" si="109"/>
        <v>36.22</v>
      </c>
    </row>
    <row r="1373" spans="1:8" s="58" customFormat="1">
      <c r="A1373" s="591">
        <v>310911</v>
      </c>
      <c r="B1373" s="129" t="s">
        <v>1702</v>
      </c>
      <c r="C1373" s="586" t="s">
        <v>115</v>
      </c>
      <c r="D1373" s="129">
        <v>75</v>
      </c>
      <c r="E1373" s="58" t="str">
        <f t="shared" si="106"/>
        <v>CAVADEIRA DE BRAÇO</v>
      </c>
      <c r="F1373" s="58" t="str">
        <f t="shared" si="107"/>
        <v>UND</v>
      </c>
      <c r="G1373" s="58">
        <f t="shared" si="108"/>
        <v>75</v>
      </c>
      <c r="H1373" s="58">
        <f t="shared" si="109"/>
        <v>75</v>
      </c>
    </row>
    <row r="1374" spans="1:8" s="58" customFormat="1">
      <c r="A1374" s="591">
        <v>310912</v>
      </c>
      <c r="B1374" s="129" t="s">
        <v>1703</v>
      </c>
      <c r="C1374" s="586" t="s">
        <v>115</v>
      </c>
      <c r="D1374" s="129">
        <v>543.94000000000005</v>
      </c>
      <c r="E1374" s="58" t="str">
        <f t="shared" si="106"/>
        <v>SERRA TICO-TICO</v>
      </c>
      <c r="F1374" s="58" t="str">
        <f t="shared" si="107"/>
        <v>UND</v>
      </c>
      <c r="G1374" s="58">
        <f t="shared" si="108"/>
        <v>543.94000000000005</v>
      </c>
      <c r="H1374" s="58">
        <f t="shared" si="109"/>
        <v>543.94000000000005</v>
      </c>
    </row>
    <row r="1375" spans="1:8" s="58" customFormat="1">
      <c r="A1375" s="591">
        <v>310913</v>
      </c>
      <c r="B1375" s="129" t="s">
        <v>1704</v>
      </c>
      <c r="C1375" s="586" t="s">
        <v>115</v>
      </c>
      <c r="D1375" s="129">
        <v>574.66999999999996</v>
      </c>
      <c r="E1375" s="58" t="str">
        <f t="shared" si="106"/>
        <v>SERRA DE DISCO (CIRCULAR)</v>
      </c>
      <c r="F1375" s="58" t="str">
        <f t="shared" si="107"/>
        <v>UND</v>
      </c>
      <c r="G1375" s="58">
        <f t="shared" si="108"/>
        <v>574.66999999999996</v>
      </c>
      <c r="H1375" s="58">
        <f t="shared" si="109"/>
        <v>574.66999999999996</v>
      </c>
    </row>
    <row r="1376" spans="1:8" s="58" customFormat="1">
      <c r="A1376" s="591">
        <v>310914</v>
      </c>
      <c r="B1376" s="129" t="s">
        <v>1705</v>
      </c>
      <c r="C1376" s="586" t="s">
        <v>115</v>
      </c>
      <c r="D1376" s="129">
        <v>210.53</v>
      </c>
      <c r="E1376" s="58" t="str">
        <f t="shared" si="106"/>
        <v>CARRINHO DE MÃO</v>
      </c>
      <c r="F1376" s="58" t="str">
        <f t="shared" si="107"/>
        <v>UND</v>
      </c>
      <c r="G1376" s="58">
        <f t="shared" si="108"/>
        <v>210.53</v>
      </c>
      <c r="H1376" s="58">
        <f t="shared" si="109"/>
        <v>210.53</v>
      </c>
    </row>
    <row r="1377" spans="1:8" s="58" customFormat="1">
      <c r="A1377" s="591">
        <v>99</v>
      </c>
      <c r="B1377" s="129" t="s">
        <v>30355</v>
      </c>
      <c r="C1377" s="586"/>
      <c r="D1377" s="129"/>
      <c r="E1377" s="58" t="str">
        <f t="shared" si="106"/>
        <v>ITENS DE SERVIÇOS AUXILIARES</v>
      </c>
      <c r="F1377" s="58" t="str">
        <f t="shared" si="107"/>
        <v/>
      </c>
      <c r="G1377" s="58">
        <f t="shared" si="108"/>
        <v>0</v>
      </c>
      <c r="H1377" s="58">
        <f t="shared" si="109"/>
        <v>0</v>
      </c>
    </row>
    <row r="1378" spans="1:8" s="58" customFormat="1">
      <c r="A1378" s="591">
        <v>9901</v>
      </c>
      <c r="B1378" s="129" t="s">
        <v>30356</v>
      </c>
      <c r="C1378" s="586"/>
      <c r="D1378" s="129"/>
      <c r="E1378" s="58" t="str">
        <f t="shared" si="106"/>
        <v>SERVIÇOS AUXILIARES 01</v>
      </c>
      <c r="F1378" s="58" t="str">
        <f t="shared" si="107"/>
        <v/>
      </c>
      <c r="G1378" s="58">
        <f t="shared" si="108"/>
        <v>0</v>
      </c>
      <c r="H1378" s="58">
        <f t="shared" si="109"/>
        <v>0</v>
      </c>
    </row>
    <row r="1379" spans="1:8" s="58" customFormat="1" ht="28.8">
      <c r="A1379" s="591">
        <v>990101</v>
      </c>
      <c r="B1379" s="129" t="s">
        <v>30357</v>
      </c>
      <c r="C1379" s="586" t="s">
        <v>1061</v>
      </c>
      <c r="D1379" s="129">
        <v>441.69</v>
      </c>
      <c r="E1379" s="58" t="str">
        <f t="shared" si="106"/>
        <v>ARGAMASSA TRAÇO 1:3 DE CIMENTO E AREIA MÉDIA, PREPARO MECÂNICO COM BETONEIRA 400 L</v>
      </c>
      <c r="F1379" s="58" t="str">
        <f t="shared" si="107"/>
        <v>M3</v>
      </c>
      <c r="G1379" s="58">
        <f t="shared" si="108"/>
        <v>441.69</v>
      </c>
      <c r="H1379" s="58">
        <f t="shared" si="109"/>
        <v>441.69</v>
      </c>
    </row>
    <row r="1380" spans="1:8" s="58" customFormat="1" ht="43.2">
      <c r="A1380" s="591">
        <v>990102</v>
      </c>
      <c r="B1380" s="129" t="s">
        <v>30358</v>
      </c>
      <c r="C1380" s="586" t="s">
        <v>1061</v>
      </c>
      <c r="D1380" s="129">
        <v>452.59</v>
      </c>
      <c r="E1380" s="58" t="str">
        <f t="shared" si="106"/>
        <v>ARGAMASSA DE CIMENTO E AREIA SEM PENEIRAR TRAÇO 1:4, PREPARO MECÂNICO COM BETONEIRA 400 L</v>
      </c>
      <c r="F1380" s="58" t="str">
        <f t="shared" si="107"/>
        <v>M3</v>
      </c>
      <c r="G1380" s="58">
        <f t="shared" si="108"/>
        <v>452.59</v>
      </c>
      <c r="H1380" s="58">
        <f t="shared" si="109"/>
        <v>452.59</v>
      </c>
    </row>
    <row r="1381" spans="1:8" s="58" customFormat="1" ht="43.2">
      <c r="A1381" s="591">
        <v>990103</v>
      </c>
      <c r="B1381" s="129" t="s">
        <v>30359</v>
      </c>
      <c r="C1381" s="586" t="s">
        <v>1061</v>
      </c>
      <c r="D1381" s="129">
        <v>404.27</v>
      </c>
      <c r="E1381" s="58" t="str">
        <f t="shared" si="106"/>
        <v>ARGAMASSA MISTA DE CIMENTO, CAL HIDRATADA E AREIA SEM PENEIRAR TRAÇO 1:0,5:8, PREPARO MECÂNICO COM BETONEIRA 400 L</v>
      </c>
      <c r="F1381" s="58" t="str">
        <f t="shared" si="107"/>
        <v>M3</v>
      </c>
      <c r="G1381" s="58">
        <f t="shared" si="108"/>
        <v>404.27</v>
      </c>
      <c r="H1381" s="58">
        <f t="shared" si="109"/>
        <v>404.27</v>
      </c>
    </row>
    <row r="1382" spans="1:8" ht="43.2">
      <c r="A1382" s="589">
        <v>990104</v>
      </c>
      <c r="B1382" t="s">
        <v>30360</v>
      </c>
      <c r="C1382" t="s">
        <v>1061</v>
      </c>
      <c r="D1382">
        <v>730.06</v>
      </c>
      <c r="E1382" s="56" t="str">
        <f t="shared" si="106"/>
        <v>FORNECIMENTO, PREPARO E APLICAÇÃO DE CONCRETO FCK=15 MPA (BRITA 1) - (5% DE PERDAS JÁ INCLUÍDO NO CUSTO)</v>
      </c>
      <c r="F1382" s="56" t="str">
        <f t="shared" si="107"/>
        <v>M3</v>
      </c>
      <c r="G1382">
        <f t="shared" si="108"/>
        <v>730.06</v>
      </c>
      <c r="H1382">
        <f t="shared" si="109"/>
        <v>730.06</v>
      </c>
    </row>
    <row r="1383" spans="1:8" ht="28.8">
      <c r="A1383" s="589">
        <v>990105</v>
      </c>
      <c r="B1383" t="s">
        <v>30361</v>
      </c>
      <c r="C1383" t="s">
        <v>110</v>
      </c>
      <c r="D1383">
        <v>25.77</v>
      </c>
      <c r="E1383" s="56" t="str">
        <f t="shared" si="106"/>
        <v>TELA SOLDADA EM AÇO CA-60 B, DIÂMETRO 4.2MM, COM MALHA DE 10 X 10 CM, PARA ARMAÇÃO</v>
      </c>
      <c r="F1383" s="56" t="str">
        <f t="shared" si="107"/>
        <v>M2</v>
      </c>
      <c r="G1383">
        <f t="shared" si="108"/>
        <v>25.77</v>
      </c>
      <c r="H1383">
        <f t="shared" si="109"/>
        <v>25.77</v>
      </c>
    </row>
    <row r="1384" spans="1:8" ht="86.4">
      <c r="A1384" s="589">
        <v>990106</v>
      </c>
      <c r="B1384" t="s">
        <v>35735</v>
      </c>
      <c r="C1384" t="s">
        <v>110</v>
      </c>
      <c r="D1384">
        <v>135</v>
      </c>
      <c r="E1384" s="56" t="str">
        <f t="shared" si="106"/>
        <v>FÔRMA CHAPAS DE MADEIRA COMPENSADA RESINADA, DE 12 MM DE ESPESSURA, LEVANDO-SE EM CONTA A UTILIZAÇÃO 3 VEZES, REFORÇADAS COM SARRAFOS DE MADEIRA DE 2.5 X 10.0 CM (INCL. MATERIAL, MONTAGEM, ESCORAMENTO COM PONTALETES 8X8CM E DESF.)</v>
      </c>
      <c r="F1384" s="56" t="str">
        <f t="shared" si="107"/>
        <v>M2</v>
      </c>
      <c r="G1384">
        <f t="shared" si="108"/>
        <v>135</v>
      </c>
      <c r="H1384">
        <f t="shared" si="109"/>
        <v>135</v>
      </c>
    </row>
    <row r="1385" spans="1:8" ht="72">
      <c r="A1385" s="589">
        <v>990107</v>
      </c>
      <c r="B1385" t="s">
        <v>30362</v>
      </c>
      <c r="C1385" t="s">
        <v>110</v>
      </c>
      <c r="D1385">
        <v>175.51</v>
      </c>
      <c r="E1385" s="56" t="str">
        <f t="shared" si="106"/>
        <v>FORMA CURVA DE TÁBUAS DE PINHO E CHAPAS DE MADEIRA COMPENSADA TIPO RESINADA, DE 6MM ESPESSURA, LEVANDO-SE EM CONTA A UTILIZAÇÃO 2 VEZES (INCLUIDO O MATERIAL, CORTE, MONTAGEM, ESCORAMENTO E DESFÔRMA)</v>
      </c>
      <c r="F1385" s="56" t="str">
        <f t="shared" si="107"/>
        <v>M2</v>
      </c>
      <c r="G1385">
        <f t="shared" si="108"/>
        <v>175.51</v>
      </c>
      <c r="H1385">
        <f t="shared" si="109"/>
        <v>175.51</v>
      </c>
    </row>
    <row r="1386" spans="1:8" ht="43.2">
      <c r="A1386" s="589">
        <v>990108</v>
      </c>
      <c r="B1386" t="s">
        <v>30363</v>
      </c>
      <c r="C1386" t="s">
        <v>112</v>
      </c>
      <c r="D1386">
        <v>22.89</v>
      </c>
      <c r="E1386" s="56" t="str">
        <f t="shared" si="106"/>
        <v>JUNTA DE DILATAÇÃO PARA PISO 5X15MM, INCLUSIVE CORTE E PREENCHIMENTO COM MASTIQUE</v>
      </c>
      <c r="F1386" s="56" t="str">
        <f t="shared" si="107"/>
        <v>M</v>
      </c>
      <c r="G1386">
        <f t="shared" si="108"/>
        <v>22.89</v>
      </c>
      <c r="H1386">
        <f t="shared" si="109"/>
        <v>22.89</v>
      </c>
    </row>
    <row r="1387" spans="1:8" ht="57.6">
      <c r="A1387" s="589">
        <v>990109</v>
      </c>
      <c r="B1387" t="s">
        <v>30364</v>
      </c>
      <c r="C1387" t="s">
        <v>112</v>
      </c>
      <c r="D1387">
        <v>47.91</v>
      </c>
      <c r="E1387" s="56" t="str">
        <f t="shared" si="106"/>
        <v>DRENO EM MURO DE CONTENÇÃO, EXECUTADO NO PÉ DO MURO, COM TUBO DE PEAD CORRUGADO FLEXÍVEL PERFURADO 100MM (4"), ENCHIMENTO COM BRITA, ENVOLVIDO COM MANTA GEOTÊXTIL</v>
      </c>
      <c r="F1387" s="56" t="str">
        <f t="shared" si="107"/>
        <v>M</v>
      </c>
      <c r="G1387">
        <f t="shared" si="108"/>
        <v>47.91</v>
      </c>
      <c r="H1387">
        <f t="shared" si="109"/>
        <v>47.91</v>
      </c>
    </row>
    <row r="1388" spans="1:8" ht="28.8">
      <c r="A1388" s="589">
        <v>990110</v>
      </c>
      <c r="B1388" t="s">
        <v>30365</v>
      </c>
      <c r="C1388" t="s">
        <v>110</v>
      </c>
      <c r="D1388">
        <v>8.7200000000000006</v>
      </c>
      <c r="E1388" s="56" t="str">
        <f t="shared" si="106"/>
        <v>FORMA PARA VIGAS COM TÁBUAS E SARRAFOS - DESMONTAGEM</v>
      </c>
      <c r="F1388" s="56" t="str">
        <f t="shared" si="107"/>
        <v>M2</v>
      </c>
      <c r="G1388">
        <f t="shared" si="108"/>
        <v>8.7200000000000006</v>
      </c>
      <c r="H1388">
        <f t="shared" si="109"/>
        <v>8.7200000000000006</v>
      </c>
    </row>
    <row r="1389" spans="1:8" ht="28.8">
      <c r="A1389" s="589">
        <v>990111</v>
      </c>
      <c r="B1389" t="s">
        <v>30366</v>
      </c>
      <c r="C1389" t="s">
        <v>110</v>
      </c>
      <c r="D1389">
        <v>162.66999999999999</v>
      </c>
      <c r="E1389" s="56" t="str">
        <f t="shared" ref="E1389:E1452" si="110">UPPER(B1389)</f>
        <v>FORMA PARA VIGAS COM TÁBUAS E SARRAFOS - FABRICAÇÃO</v>
      </c>
      <c r="F1389" s="56" t="str">
        <f t="shared" ref="F1389:F1452" si="111">UPPER(C1389)</f>
        <v>M2</v>
      </c>
      <c r="G1389">
        <f t="shared" ref="G1389:G1452" si="112">D1389</f>
        <v>162.66999999999999</v>
      </c>
      <c r="H1389">
        <f t="shared" ref="H1389:H1452" si="113">ROUND(G1389/(1+$E$1),2)</f>
        <v>162.66999999999999</v>
      </c>
    </row>
    <row r="1390" spans="1:8" ht="28.8">
      <c r="A1390" s="589">
        <v>990112</v>
      </c>
      <c r="B1390" t="s">
        <v>30367</v>
      </c>
      <c r="C1390" t="s">
        <v>110</v>
      </c>
      <c r="D1390">
        <v>26.92</v>
      </c>
      <c r="E1390" s="56" t="str">
        <f t="shared" si="110"/>
        <v>FORMA PARA VIGAS COM TÁBUAS E SARRAFOS - MONTAGEM</v>
      </c>
      <c r="F1390" s="56" t="str">
        <f t="shared" si="111"/>
        <v>M2</v>
      </c>
      <c r="G1390">
        <f t="shared" si="112"/>
        <v>26.92</v>
      </c>
      <c r="H1390">
        <f t="shared" si="113"/>
        <v>26.92</v>
      </c>
    </row>
    <row r="1391" spans="1:8" ht="28.8">
      <c r="A1391" s="589">
        <v>990113</v>
      </c>
      <c r="B1391" t="s">
        <v>30368</v>
      </c>
      <c r="C1391" t="s">
        <v>110</v>
      </c>
      <c r="D1391">
        <v>68.17</v>
      </c>
      <c r="E1391" s="56" t="str">
        <f t="shared" si="110"/>
        <v>FORMA PARA VIGAS COM TÁBUAS E SARRAFOS, 5 REAPROVEITAMENTOS</v>
      </c>
      <c r="F1391" s="56" t="str">
        <f t="shared" si="111"/>
        <v>M2</v>
      </c>
      <c r="G1391">
        <f t="shared" si="112"/>
        <v>68.17</v>
      </c>
      <c r="H1391">
        <f t="shared" si="113"/>
        <v>68.17</v>
      </c>
    </row>
    <row r="1392" spans="1:8" ht="43.2">
      <c r="A1392" s="589">
        <v>990114</v>
      </c>
      <c r="B1392" t="s">
        <v>30369</v>
      </c>
      <c r="C1392" t="s">
        <v>1061</v>
      </c>
      <c r="D1392">
        <v>419.61</v>
      </c>
      <c r="E1392" s="56" t="str">
        <f t="shared" si="110"/>
        <v>CONCRETO MAGRO PARA LASTRO, TRAÇO 1:4,5:4,5 (EM MASSA SECA DE CIMENTO/ AREIA MÉDIA/ BRITA 1) - PREPARO MECÂNICO COM BETONEIRA 400 L.</v>
      </c>
      <c r="F1392" s="56" t="str">
        <f t="shared" si="111"/>
        <v>M3</v>
      </c>
      <c r="G1392">
        <f t="shared" si="112"/>
        <v>419.61</v>
      </c>
      <c r="H1392">
        <f t="shared" si="113"/>
        <v>419.61</v>
      </c>
    </row>
    <row r="1393" spans="1:8" ht="28.8">
      <c r="A1393" s="589">
        <v>990115</v>
      </c>
      <c r="B1393" t="s">
        <v>30370</v>
      </c>
      <c r="C1393" t="s">
        <v>112</v>
      </c>
      <c r="D1393">
        <v>36.450000000000003</v>
      </c>
      <c r="E1393" s="56" t="str">
        <f t="shared" si="110"/>
        <v>ALIZAR DE MADEIRA DE LEI DE 1ª (PEROBA, IPÊ, ANGELIM PEDRA OU EQUIVALENTE) DE 5 X 2,5 CM</v>
      </c>
      <c r="F1393" s="56" t="str">
        <f t="shared" si="111"/>
        <v>M</v>
      </c>
      <c r="G1393">
        <f t="shared" si="112"/>
        <v>36.450000000000003</v>
      </c>
      <c r="H1393">
        <f t="shared" si="113"/>
        <v>36.450000000000003</v>
      </c>
    </row>
    <row r="1394" spans="1:8" ht="57.6">
      <c r="A1394" s="589">
        <v>990116</v>
      </c>
      <c r="B1394" t="s">
        <v>30371</v>
      </c>
      <c r="C1394" t="s">
        <v>110</v>
      </c>
      <c r="D1394">
        <v>53.85</v>
      </c>
      <c r="E1394" s="56" t="str">
        <f t="shared" si="110"/>
        <v>REGULARIZAÇÃO DE BASE PARA REVESTIMENTO DE PISOS C/ ARGAMASSA DE ALTA RESISTÊNCIA, EMPREGANDO ARGAMASSA DE CIMENTO E AREIA NO TRAÇO 1:3 E ESPESSURA DE 3 CM</v>
      </c>
      <c r="F1394" s="56" t="str">
        <f t="shared" si="111"/>
        <v>M2</v>
      </c>
      <c r="G1394">
        <f t="shared" si="112"/>
        <v>53.85</v>
      </c>
      <c r="H1394">
        <f t="shared" si="113"/>
        <v>53.85</v>
      </c>
    </row>
    <row r="1395" spans="1:8" ht="28.8">
      <c r="A1395" s="589">
        <v>990117</v>
      </c>
      <c r="B1395" t="s">
        <v>30372</v>
      </c>
      <c r="C1395" t="s">
        <v>112</v>
      </c>
      <c r="D1395">
        <v>11.25</v>
      </c>
      <c r="E1395" s="56" t="str">
        <f t="shared" si="110"/>
        <v>TUBO DE PVC RÍGIDO SOLDÁVEL MARROM, DN 25MM (3/4")</v>
      </c>
      <c r="F1395" s="56" t="str">
        <f t="shared" si="111"/>
        <v>M</v>
      </c>
      <c r="G1395">
        <f t="shared" si="112"/>
        <v>11.25</v>
      </c>
      <c r="H1395">
        <f t="shared" si="113"/>
        <v>11.25</v>
      </c>
    </row>
    <row r="1396" spans="1:8" ht="28.8">
      <c r="A1396" s="589">
        <v>990118</v>
      </c>
      <c r="B1396" t="s">
        <v>30373</v>
      </c>
      <c r="C1396" t="s">
        <v>115</v>
      </c>
      <c r="D1396">
        <v>10.09</v>
      </c>
      <c r="E1396" s="56" t="str">
        <f t="shared" si="110"/>
        <v>JOELHO 90° DE PVC SOLDÁVEL MARROM, DIÂMETRO 25MM (3/4")</v>
      </c>
      <c r="F1396" s="56" t="str">
        <f t="shared" si="111"/>
        <v>UND</v>
      </c>
      <c r="G1396">
        <f t="shared" si="112"/>
        <v>10.09</v>
      </c>
      <c r="H1396">
        <f t="shared" si="113"/>
        <v>10.09</v>
      </c>
    </row>
    <row r="1397" spans="1:8" ht="28.8">
      <c r="A1397" s="589">
        <v>990119</v>
      </c>
      <c r="B1397" t="s">
        <v>30374</v>
      </c>
      <c r="C1397" t="s">
        <v>115</v>
      </c>
      <c r="D1397">
        <v>6.14</v>
      </c>
      <c r="E1397" s="56" t="str">
        <f t="shared" si="110"/>
        <v>LUVA DE PVC SOLDÁVEL MARROM, DIÂMETRO 25MM (3/4")</v>
      </c>
      <c r="F1397" s="56" t="str">
        <f t="shared" si="111"/>
        <v>UND</v>
      </c>
      <c r="G1397">
        <f t="shared" si="112"/>
        <v>6.14</v>
      </c>
      <c r="H1397">
        <f t="shared" si="113"/>
        <v>6.14</v>
      </c>
    </row>
    <row r="1398" spans="1:8" ht="28.8">
      <c r="A1398" s="589">
        <v>990120</v>
      </c>
      <c r="B1398" t="s">
        <v>30375</v>
      </c>
      <c r="C1398" t="s">
        <v>115</v>
      </c>
      <c r="D1398">
        <v>5.67</v>
      </c>
      <c r="E1398" s="56" t="str">
        <f t="shared" si="110"/>
        <v>ADAPTADOR DE PVC SOLDÁVEL COM ANEL PARA CAIXA DÁGUA, DN 25MM</v>
      </c>
      <c r="F1398" s="56" t="str">
        <f t="shared" si="111"/>
        <v>UND</v>
      </c>
      <c r="G1398">
        <f t="shared" si="112"/>
        <v>5.67</v>
      </c>
      <c r="H1398">
        <f t="shared" si="113"/>
        <v>5.67</v>
      </c>
    </row>
    <row r="1399" spans="1:8" ht="28.8">
      <c r="A1399" s="589">
        <v>990121</v>
      </c>
      <c r="B1399" t="s">
        <v>30376</v>
      </c>
      <c r="C1399" t="s">
        <v>112</v>
      </c>
      <c r="D1399">
        <v>78.48</v>
      </c>
      <c r="E1399" s="56" t="str">
        <f t="shared" si="110"/>
        <v>TUBO DE PVC RÍGIDO ROSCÁVEL, DIÂM. 1" (32MM), INCLUSIVE CONEXÕES</v>
      </c>
      <c r="F1399" s="56" t="str">
        <f t="shared" si="111"/>
        <v>M</v>
      </c>
      <c r="G1399">
        <f t="shared" si="112"/>
        <v>78.48</v>
      </c>
      <c r="H1399">
        <f t="shared" si="113"/>
        <v>78.48</v>
      </c>
    </row>
    <row r="1400" spans="1:8" ht="28.8">
      <c r="A1400" s="589">
        <v>990122</v>
      </c>
      <c r="B1400" t="s">
        <v>30377</v>
      </c>
      <c r="C1400" t="s">
        <v>115</v>
      </c>
      <c r="D1400">
        <v>64.86</v>
      </c>
      <c r="E1400" s="56" t="str">
        <f t="shared" si="110"/>
        <v>REGISTRO DE GAVETA BRUTO, DIÂMETRO 20MM (3/4")</v>
      </c>
      <c r="F1400" s="56" t="str">
        <f t="shared" si="111"/>
        <v>UND</v>
      </c>
      <c r="G1400">
        <f t="shared" si="112"/>
        <v>64.86</v>
      </c>
      <c r="H1400">
        <f t="shared" si="113"/>
        <v>64.86</v>
      </c>
    </row>
    <row r="1401" spans="1:8" ht="28.8">
      <c r="A1401" s="589">
        <v>990123</v>
      </c>
      <c r="B1401" t="s">
        <v>30378</v>
      </c>
      <c r="C1401" t="s">
        <v>112</v>
      </c>
      <c r="D1401">
        <v>24.66</v>
      </c>
      <c r="E1401" s="56" t="str">
        <f t="shared" si="110"/>
        <v>TUBO DE PVC RÍGIDO SOLDÁVEL BRANCO, PARA ESGOTO, DIÂMETRO 50MM (2")</v>
      </c>
      <c r="F1401" s="56" t="str">
        <f t="shared" si="111"/>
        <v>M</v>
      </c>
      <c r="G1401">
        <f t="shared" si="112"/>
        <v>24.66</v>
      </c>
      <c r="H1401">
        <f t="shared" si="113"/>
        <v>24.66</v>
      </c>
    </row>
    <row r="1402" spans="1:8" ht="57.6">
      <c r="A1402" s="589">
        <v>990124</v>
      </c>
      <c r="B1402" t="s">
        <v>30379</v>
      </c>
      <c r="C1402" t="s">
        <v>115</v>
      </c>
      <c r="D1402">
        <v>2319.12</v>
      </c>
      <c r="E1402" s="56" t="str">
        <f t="shared" si="110"/>
        <v>POSTE DE CONCRETO, COM SEÇÃO CIRCULAR, COM 11M DE COMPRIMENTO E CARGA NOMINAL NO TOPO, DE 200 KG, INCLUSIVE ESCAVAÇÃO E EXCLUSIVE TRANSPORTE</v>
      </c>
      <c r="F1402" s="56" t="str">
        <f t="shared" si="111"/>
        <v>UND</v>
      </c>
      <c r="G1402">
        <f t="shared" si="112"/>
        <v>2319.12</v>
      </c>
      <c r="H1402">
        <f t="shared" si="113"/>
        <v>2319.12</v>
      </c>
    </row>
    <row r="1403" spans="1:8" ht="72">
      <c r="A1403" s="589">
        <v>990125</v>
      </c>
      <c r="B1403" t="s">
        <v>30380</v>
      </c>
      <c r="C1403" t="s">
        <v>30381</v>
      </c>
      <c r="D1403">
        <v>1110.02</v>
      </c>
      <c r="E1403" s="56" t="str">
        <f t="shared" si="110"/>
        <v>CRUZETA (CONJUNTO COM 2 CRUZETAS) DE 2400X90X135MM, SELA PARA CRUZETA, PARAFUSO DE CABEÇA ABAULADA DIÂM.10X150MM, ARRUELA QUADRADA DE 36MM FURO DE 18MM, PORCA QUADRADA</v>
      </c>
      <c r="F1403" s="56" t="str">
        <f t="shared" si="111"/>
        <v>CJ</v>
      </c>
      <c r="G1403">
        <f t="shared" si="112"/>
        <v>1110.02</v>
      </c>
      <c r="H1403">
        <f t="shared" si="113"/>
        <v>1110.02</v>
      </c>
    </row>
    <row r="1404" spans="1:8">
      <c r="A1404" s="589">
        <v>990126</v>
      </c>
      <c r="B1404" t="s">
        <v>30382</v>
      </c>
      <c r="C1404" t="s">
        <v>115</v>
      </c>
      <c r="D1404">
        <v>29.18</v>
      </c>
      <c r="E1404" s="56" t="str">
        <f t="shared" si="110"/>
        <v>TERMINAL MECÂNICO PARA CABO DE 16 E 25 MM2</v>
      </c>
      <c r="F1404" s="56" t="str">
        <f t="shared" si="111"/>
        <v>UND</v>
      </c>
      <c r="G1404">
        <f t="shared" si="112"/>
        <v>29.18</v>
      </c>
      <c r="H1404">
        <f t="shared" si="113"/>
        <v>29.18</v>
      </c>
    </row>
    <row r="1405" spans="1:8" ht="28.8">
      <c r="A1405" s="589">
        <v>990127</v>
      </c>
      <c r="B1405" t="s">
        <v>30383</v>
      </c>
      <c r="C1405" t="s">
        <v>115</v>
      </c>
      <c r="D1405">
        <v>155.81</v>
      </c>
      <c r="E1405" s="56" t="str">
        <f t="shared" si="110"/>
        <v>CAIXA PARA MEDIDOR MONOFÁSICO P-980-009 C/ CAIXA P/ DISJUNTOR P-940-003, PADRÃO ESCELSA</v>
      </c>
      <c r="F1405" s="56" t="str">
        <f t="shared" si="111"/>
        <v>UND</v>
      </c>
      <c r="G1405">
        <f t="shared" si="112"/>
        <v>155.81</v>
      </c>
      <c r="H1405">
        <f t="shared" si="113"/>
        <v>155.81</v>
      </c>
    </row>
    <row r="1406" spans="1:8" ht="28.8">
      <c r="A1406" s="589">
        <v>990128</v>
      </c>
      <c r="B1406" t="s">
        <v>30384</v>
      </c>
      <c r="C1406" t="s">
        <v>115</v>
      </c>
      <c r="D1406">
        <v>441.62</v>
      </c>
      <c r="E1406" s="56" t="str">
        <f t="shared" si="110"/>
        <v>CAIXA PARA MEDIDOR POLIFÁSICO P-980-009 ATÉ 41000W C/ CAIXA P/ DISJUNTOR, PADRÃO ESCELSA</v>
      </c>
      <c r="F1406" s="56" t="str">
        <f t="shared" si="111"/>
        <v>UND</v>
      </c>
      <c r="G1406">
        <f t="shared" si="112"/>
        <v>441.62</v>
      </c>
      <c r="H1406">
        <f t="shared" si="113"/>
        <v>441.62</v>
      </c>
    </row>
    <row r="1407" spans="1:8" ht="28.8">
      <c r="A1407" s="589">
        <v>990129</v>
      </c>
      <c r="B1407" t="s">
        <v>30385</v>
      </c>
      <c r="C1407" t="s">
        <v>115</v>
      </c>
      <c r="D1407">
        <v>77.900000000000006</v>
      </c>
      <c r="E1407" s="56" t="str">
        <f t="shared" si="110"/>
        <v>NIPLE PARA ELETRODUTO DE PVC ROSCÁVEL, DIÂMETRO 85MM (3")</v>
      </c>
      <c r="F1407" s="56" t="str">
        <f t="shared" si="111"/>
        <v>UND</v>
      </c>
      <c r="G1407">
        <f t="shared" si="112"/>
        <v>77.900000000000006</v>
      </c>
      <c r="H1407">
        <f t="shared" si="113"/>
        <v>77.900000000000006</v>
      </c>
    </row>
    <row r="1408" spans="1:8" ht="28.8">
      <c r="A1408" s="589">
        <v>990130</v>
      </c>
      <c r="B1408" t="s">
        <v>30386</v>
      </c>
      <c r="C1408" t="s">
        <v>112</v>
      </c>
      <c r="D1408">
        <v>114.45</v>
      </c>
      <c r="E1408" s="56" t="str">
        <f t="shared" si="110"/>
        <v>ELETRODUTO DE AÇO GALVANIZADO, DIÂMETRO 85MM (3")</v>
      </c>
      <c r="F1408" s="56" t="str">
        <f t="shared" si="111"/>
        <v>M</v>
      </c>
      <c r="G1408">
        <f t="shared" si="112"/>
        <v>114.45</v>
      </c>
      <c r="H1408">
        <f t="shared" si="113"/>
        <v>114.45</v>
      </c>
    </row>
    <row r="1409" spans="1:8" ht="28.8">
      <c r="A1409" s="589">
        <v>990131</v>
      </c>
      <c r="B1409" t="s">
        <v>30387</v>
      </c>
      <c r="C1409" t="s">
        <v>112</v>
      </c>
      <c r="D1409">
        <v>100.71</v>
      </c>
      <c r="E1409" s="56" t="str">
        <f t="shared" si="110"/>
        <v>ELETRODUTO DE AÇO GALVANIZADO, INCLUSIVE CONEXÕES, DIÂMETRO 65MM (2.1/2")</v>
      </c>
      <c r="F1409" s="56" t="str">
        <f t="shared" si="111"/>
        <v>M</v>
      </c>
      <c r="G1409">
        <f t="shared" si="112"/>
        <v>100.71</v>
      </c>
      <c r="H1409">
        <f t="shared" si="113"/>
        <v>100.71</v>
      </c>
    </row>
    <row r="1410" spans="1:8" ht="28.8">
      <c r="A1410" s="589">
        <v>990132</v>
      </c>
      <c r="B1410" t="s">
        <v>30388</v>
      </c>
      <c r="C1410" t="s">
        <v>112</v>
      </c>
      <c r="D1410">
        <v>138.52000000000001</v>
      </c>
      <c r="E1410" s="56" t="str">
        <f t="shared" si="110"/>
        <v>ELETRODUTO DE AÇO GALVANIZADO, INCLUSIVE CONEXÕES, DIÂMETRO 100 MM (4")</v>
      </c>
      <c r="F1410" s="56" t="str">
        <f t="shared" si="111"/>
        <v>M</v>
      </c>
      <c r="G1410">
        <f t="shared" si="112"/>
        <v>138.52000000000001</v>
      </c>
      <c r="H1410">
        <f t="shared" si="113"/>
        <v>138.52000000000001</v>
      </c>
    </row>
    <row r="1411" spans="1:8">
      <c r="A1411" s="589">
        <v>990133</v>
      </c>
      <c r="B1411" t="s">
        <v>30389</v>
      </c>
      <c r="C1411" t="s">
        <v>112</v>
      </c>
      <c r="D1411">
        <v>25.75</v>
      </c>
      <c r="E1411" s="56" t="str">
        <f t="shared" si="110"/>
        <v>CABO DE COBRE NÚ, SEÇÃO DE 16.0 MM2</v>
      </c>
      <c r="F1411" s="56" t="str">
        <f t="shared" si="111"/>
        <v>M</v>
      </c>
      <c r="G1411">
        <f t="shared" si="112"/>
        <v>25.75</v>
      </c>
      <c r="H1411">
        <f t="shared" si="113"/>
        <v>25.75</v>
      </c>
    </row>
    <row r="1412" spans="1:8" ht="28.8">
      <c r="A1412" s="589">
        <v>990134</v>
      </c>
      <c r="B1412" t="s">
        <v>35736</v>
      </c>
      <c r="C1412" t="s">
        <v>115</v>
      </c>
      <c r="D1412">
        <v>23.65</v>
      </c>
      <c r="E1412" s="56" t="str">
        <f t="shared" si="110"/>
        <v>SIFÃO SANFONADO EM PVC AJUSTÁVEL FLEXÍVEL MULTIUSO 66 CM - FORNECIMENTO E INSTALAÇÃO</v>
      </c>
      <c r="F1412" s="56" t="str">
        <f t="shared" si="111"/>
        <v>UND</v>
      </c>
      <c r="G1412">
        <f t="shared" si="112"/>
        <v>23.65</v>
      </c>
      <c r="H1412">
        <f t="shared" si="113"/>
        <v>23.65</v>
      </c>
    </row>
    <row r="1413" spans="1:8" ht="57.6">
      <c r="A1413" s="589">
        <v>990135</v>
      </c>
      <c r="B1413" t="s">
        <v>30390</v>
      </c>
      <c r="C1413" t="s">
        <v>110</v>
      </c>
      <c r="D1413">
        <v>17.72</v>
      </c>
      <c r="E1413" s="56" t="str">
        <f t="shared" si="110"/>
        <v>PINTURA DE ESQUADRIAS E ELEMENTOS DE MADEIRA, APLICAÇÃO MANUAL, COM DUAS DEMÃOS DE TINTA ESMALTE SINTÉTICO REFERÊNCIA SUVINIL, CORAL OU METALATEX</v>
      </c>
      <c r="F1413" s="56" t="str">
        <f t="shared" si="111"/>
        <v>M2</v>
      </c>
      <c r="G1413">
        <f t="shared" si="112"/>
        <v>17.72</v>
      </c>
      <c r="H1413">
        <f t="shared" si="113"/>
        <v>17.72</v>
      </c>
    </row>
    <row r="1414" spans="1:8" ht="43.2">
      <c r="A1414" s="589">
        <v>990136</v>
      </c>
      <c r="B1414" t="s">
        <v>35737</v>
      </c>
      <c r="C1414" t="s">
        <v>112</v>
      </c>
      <c r="D1414">
        <v>7.33</v>
      </c>
      <c r="E1414" s="56" t="str">
        <f t="shared" si="110"/>
        <v>PINTURA DE SUPERFÍCIE METÁLICA, TUBO DIÂMETRO 2" COM UMA DEMÃO DE PRIMER EPOXI E DUAS DEMÃOS DE TINTA À BASE DE EPOXI</v>
      </c>
      <c r="F1414" s="56" t="str">
        <f t="shared" si="111"/>
        <v>M</v>
      </c>
      <c r="G1414">
        <f t="shared" si="112"/>
        <v>7.33</v>
      </c>
      <c r="H1414">
        <f t="shared" si="113"/>
        <v>7.33</v>
      </c>
    </row>
    <row r="1415" spans="1:8" ht="43.2">
      <c r="A1415" s="589">
        <v>990137</v>
      </c>
      <c r="B1415" t="s">
        <v>35738</v>
      </c>
      <c r="C1415" t="s">
        <v>112</v>
      </c>
      <c r="D1415">
        <v>10.98</v>
      </c>
      <c r="E1415" s="56" t="str">
        <f t="shared" si="110"/>
        <v>PINTURA DE SUPERFÍCIE METÁLICA, TUBO DIÂMETRO 3" COM UMA DEMÃO DE PRIMER EPOXI E DUAS DEMÃOS DE TINTA À BASE DE EPOXI</v>
      </c>
      <c r="F1415" s="56" t="str">
        <f t="shared" si="111"/>
        <v>M</v>
      </c>
      <c r="G1415">
        <f t="shared" si="112"/>
        <v>10.98</v>
      </c>
      <c r="H1415">
        <f t="shared" si="113"/>
        <v>10.98</v>
      </c>
    </row>
    <row r="1416" spans="1:8">
      <c r="A1416" s="589">
        <v>990138</v>
      </c>
      <c r="B1416" t="s">
        <v>30391</v>
      </c>
      <c r="C1416" t="s">
        <v>110</v>
      </c>
      <c r="D1416">
        <v>16.13</v>
      </c>
      <c r="E1416" s="56" t="str">
        <f t="shared" si="110"/>
        <v>FUNDO ANTICORROSIVO ZARCAO, UMA DEMAO</v>
      </c>
      <c r="F1416" s="56" t="str">
        <f t="shared" si="111"/>
        <v>M2</v>
      </c>
      <c r="G1416">
        <f t="shared" si="112"/>
        <v>16.13</v>
      </c>
      <c r="H1416">
        <f t="shared" si="113"/>
        <v>16.13</v>
      </c>
    </row>
    <row r="1417" spans="1:8" ht="43.2">
      <c r="A1417" s="589">
        <v>990139</v>
      </c>
      <c r="B1417" t="s">
        <v>30392</v>
      </c>
      <c r="C1417" t="s">
        <v>110</v>
      </c>
      <c r="D1417">
        <v>33.74</v>
      </c>
      <c r="E1417" s="56" t="str">
        <f t="shared" si="110"/>
        <v>PINTURA SOBRE METAL, APLICAÇÃO MANUAL, COM DUAS DEMÃOS DE TINTA ESMALTE SINTÉTICO, REFERÊNCIA SUVINIL, CORAL OU METALATEX</v>
      </c>
      <c r="F1417" s="56" t="str">
        <f t="shared" si="111"/>
        <v>M2</v>
      </c>
      <c r="G1417">
        <f t="shared" si="112"/>
        <v>33.74</v>
      </c>
      <c r="H1417">
        <f t="shared" si="113"/>
        <v>33.74</v>
      </c>
    </row>
    <row r="1418" spans="1:8" ht="57.6">
      <c r="A1418" s="589">
        <v>990140</v>
      </c>
      <c r="B1418" t="s">
        <v>35739</v>
      </c>
      <c r="C1418" t="s">
        <v>115</v>
      </c>
      <c r="D1418">
        <v>13.49</v>
      </c>
      <c r="E1418" s="56" t="str">
        <f t="shared" si="110"/>
        <v>PINTURA DE SUPERFÍCIE METÁLICA EM CONEXÕES DE DIÂMETRO 2" (50MM) COM UMA DEMÃO DE PRIMER EPOXI E DUAS DEMÃOS DE TINTA À BASE DE EPOXI</v>
      </c>
      <c r="F1418" s="56" t="str">
        <f t="shared" si="111"/>
        <v>UND</v>
      </c>
      <c r="G1418">
        <f t="shared" si="112"/>
        <v>13.49</v>
      </c>
      <c r="H1418">
        <f t="shared" si="113"/>
        <v>13.49</v>
      </c>
    </row>
    <row r="1419" spans="1:8" ht="57.6">
      <c r="A1419" s="589">
        <v>990141</v>
      </c>
      <c r="B1419" t="s">
        <v>35740</v>
      </c>
      <c r="C1419" t="s">
        <v>115</v>
      </c>
      <c r="D1419">
        <v>6.37</v>
      </c>
      <c r="E1419" s="56" t="str">
        <f t="shared" si="110"/>
        <v>PINTURA DE SUPERFÍCIE METÁLICA EM CONEXÕES DE DIÂMETRO 2.1/2" (65MM) COM UMA DEMÃO DE PRIMER EPOXI E DUAS DEMÃOS DE TINTA À BASE DE EPOXI</v>
      </c>
      <c r="F1419" s="56" t="str">
        <f t="shared" si="111"/>
        <v>UND</v>
      </c>
      <c r="G1419">
        <f t="shared" si="112"/>
        <v>6.37</v>
      </c>
      <c r="H1419">
        <f t="shared" si="113"/>
        <v>6.37</v>
      </c>
    </row>
    <row r="1420" spans="1:8" ht="57.6">
      <c r="A1420" s="589">
        <v>990142</v>
      </c>
      <c r="B1420" t="s">
        <v>35741</v>
      </c>
      <c r="C1420" t="s">
        <v>115</v>
      </c>
      <c r="D1420">
        <v>6.82</v>
      </c>
      <c r="E1420" s="56" t="str">
        <f t="shared" si="110"/>
        <v>PINTURA DE SUPERFÍCIE METÁLICA EM CONEXÕES DE DIÂMETRO 3" (80MM) COM UMA DEMÃO DE PRIMER EPOXI E DUAS DEMÃOS DE TINTA À BASE DE EPOXI</v>
      </c>
      <c r="F1420" s="56" t="str">
        <f t="shared" si="111"/>
        <v>UND</v>
      </c>
      <c r="G1420">
        <f t="shared" si="112"/>
        <v>6.82</v>
      </c>
      <c r="H1420">
        <f t="shared" si="113"/>
        <v>6.82</v>
      </c>
    </row>
    <row r="1421" spans="1:8" ht="57.6">
      <c r="A1421" s="589">
        <v>990143</v>
      </c>
      <c r="B1421" t="s">
        <v>35742</v>
      </c>
      <c r="C1421" t="s">
        <v>115</v>
      </c>
      <c r="D1421">
        <v>7.93</v>
      </c>
      <c r="E1421" s="56" t="str">
        <f t="shared" si="110"/>
        <v>PINTURA DE SUPERFÍCIE METÁLICA EM CONEXÕES DE DIÂMETRO 4" (100MM) COM UMA DEMÃO DE PRIMER EPOXI E DUAS DEMÃOS DE TINTA À BASE DE EPOXI</v>
      </c>
      <c r="F1421" s="56" t="str">
        <f t="shared" si="111"/>
        <v>UND</v>
      </c>
      <c r="G1421">
        <f t="shared" si="112"/>
        <v>7.93</v>
      </c>
      <c r="H1421">
        <f t="shared" si="113"/>
        <v>7.93</v>
      </c>
    </row>
    <row r="1422" spans="1:8" ht="43.2">
      <c r="A1422" s="589">
        <v>990144</v>
      </c>
      <c r="B1422" t="s">
        <v>35743</v>
      </c>
      <c r="C1422" t="s">
        <v>112</v>
      </c>
      <c r="D1422">
        <v>9.16</v>
      </c>
      <c r="E1422" s="56" t="str">
        <f t="shared" si="110"/>
        <v>PINTURA DE SUPERFÍCIE METÁLICA, TUBO DIÂMETRO 2.1/2" COM UMA DEMÃO DE PRIMER EPOXI E DUAS DEMÃOS DE TINTA À BASE DE EPOXI</v>
      </c>
      <c r="F1422" s="56" t="str">
        <f t="shared" si="111"/>
        <v>M</v>
      </c>
      <c r="G1422">
        <f t="shared" si="112"/>
        <v>9.16</v>
      </c>
      <c r="H1422">
        <f t="shared" si="113"/>
        <v>9.16</v>
      </c>
    </row>
    <row r="1423" spans="1:8" ht="28.8">
      <c r="A1423" s="589">
        <v>990145</v>
      </c>
      <c r="B1423" t="s">
        <v>35744</v>
      </c>
      <c r="C1423" t="s">
        <v>110</v>
      </c>
      <c r="D1423">
        <v>0.49</v>
      </c>
      <c r="E1423" s="56" t="str">
        <f t="shared" si="110"/>
        <v>LIMPEZA DE PISO CERÂMICO OU PORCELANATO COM VASSOURA A SECO</v>
      </c>
      <c r="F1423" s="56" t="str">
        <f t="shared" si="111"/>
        <v>M2</v>
      </c>
      <c r="G1423">
        <f t="shared" si="112"/>
        <v>0.49</v>
      </c>
      <c r="H1423">
        <f t="shared" si="113"/>
        <v>0.49</v>
      </c>
    </row>
    <row r="1424" spans="1:8" ht="43.2">
      <c r="A1424" s="589">
        <v>990146</v>
      </c>
      <c r="B1424" t="s">
        <v>35745</v>
      </c>
      <c r="C1424" t="s">
        <v>110</v>
      </c>
      <c r="D1424">
        <v>4.93</v>
      </c>
      <c r="E1424" s="56" t="str">
        <f t="shared" si="110"/>
        <v>LIMPEZA DE PISO E REVESTIMENTO CERÂMICO, UTILIZANDO DETERGENTE NEUTRO E ESCOVAÇÃO MANUAL</v>
      </c>
      <c r="F1424" s="56" t="str">
        <f t="shared" si="111"/>
        <v>M2</v>
      </c>
      <c r="G1424">
        <f t="shared" si="112"/>
        <v>4.93</v>
      </c>
      <c r="H1424">
        <f t="shared" si="113"/>
        <v>4.93</v>
      </c>
    </row>
    <row r="1425" spans="1:8" ht="43.2">
      <c r="A1425" s="589">
        <v>990147</v>
      </c>
      <c r="B1425" t="s">
        <v>35746</v>
      </c>
      <c r="C1425" t="s">
        <v>110</v>
      </c>
      <c r="D1425">
        <v>1.48</v>
      </c>
      <c r="E1425" s="56" t="str">
        <f t="shared" si="110"/>
        <v>LIMPEZA DE REVESTIMENTO CERÂMICO EM PAREDE UTILIZANDO DETERGENTE NEUTRO E ESCOVAÇÃO MANUAL</v>
      </c>
      <c r="F1425" s="56" t="str">
        <f t="shared" si="111"/>
        <v>M2</v>
      </c>
      <c r="G1425">
        <f t="shared" si="112"/>
        <v>1.48</v>
      </c>
      <c r="H1425">
        <f t="shared" si="113"/>
        <v>1.48</v>
      </c>
    </row>
    <row r="1426" spans="1:8">
      <c r="A1426" s="589">
        <v>990148</v>
      </c>
      <c r="B1426" t="s">
        <v>35747</v>
      </c>
      <c r="C1426" t="s">
        <v>110</v>
      </c>
      <c r="D1426">
        <v>1.77</v>
      </c>
      <c r="E1426" s="56" t="str">
        <f t="shared" si="110"/>
        <v>LIMPEZA DE SUPERFÍCIE COM JATO DE ALTA PRESSÃO</v>
      </c>
      <c r="F1426" s="56" t="str">
        <f t="shared" si="111"/>
        <v>M2</v>
      </c>
      <c r="G1426">
        <f t="shared" si="112"/>
        <v>1.77</v>
      </c>
      <c r="H1426">
        <f t="shared" si="113"/>
        <v>1.77</v>
      </c>
    </row>
    <row r="1427" spans="1:8" ht="57.6">
      <c r="A1427" s="589">
        <v>990149</v>
      </c>
      <c r="B1427" t="s">
        <v>30393</v>
      </c>
      <c r="C1427" t="s">
        <v>115</v>
      </c>
      <c r="D1427">
        <v>773.54</v>
      </c>
      <c r="E1427" s="56" t="str">
        <f t="shared" si="110"/>
        <v>FORNECIMENTO E ASSENTAMENTO DE TAMPÃO DE FERRO FUNDIDO COM SUPORTE ARTICULADO, PARA POÇO DE VISITA, CONFORME PADRÃO E ESPECIFICAÇÕES DA PMV</v>
      </c>
      <c r="F1427" s="56" t="str">
        <f t="shared" si="111"/>
        <v>UND</v>
      </c>
      <c r="G1427">
        <f t="shared" si="112"/>
        <v>773.54</v>
      </c>
      <c r="H1427">
        <f t="shared" si="113"/>
        <v>773.54</v>
      </c>
    </row>
    <row r="1428" spans="1:8">
      <c r="A1428" s="589">
        <v>9902</v>
      </c>
      <c r="B1428" t="s">
        <v>30394</v>
      </c>
      <c r="E1428" s="56" t="str">
        <f t="shared" si="110"/>
        <v>SERVIÇOS AUXILIARES 02</v>
      </c>
      <c r="F1428" s="56" t="str">
        <f t="shared" si="111"/>
        <v/>
      </c>
      <c r="G1428">
        <f t="shared" si="112"/>
        <v>0</v>
      </c>
      <c r="H1428">
        <f t="shared" si="113"/>
        <v>0</v>
      </c>
    </row>
    <row r="1429" spans="1:8" ht="57.6">
      <c r="A1429" s="589">
        <v>990201</v>
      </c>
      <c r="B1429" t="s">
        <v>30395</v>
      </c>
      <c r="C1429" t="s">
        <v>30396</v>
      </c>
      <c r="D1429">
        <v>1.72</v>
      </c>
      <c r="E1429" s="56" t="str">
        <f t="shared" si="110"/>
        <v>BETONEIRA CAPACIDADE NOMINAL DE 400 L, CAPACIDADE DE MISTURA 280 L, MOTOR ELÉTRICO TRIFÁSICO POTÊNCIA DE 2 CV, SEM CARREGADOR - CHP DIURNO</v>
      </c>
      <c r="F1429" s="56" t="str">
        <f t="shared" si="111"/>
        <v>CHP</v>
      </c>
      <c r="G1429">
        <f t="shared" si="112"/>
        <v>1.72</v>
      </c>
      <c r="H1429">
        <f t="shared" si="113"/>
        <v>1.72</v>
      </c>
    </row>
    <row r="1430" spans="1:8" ht="57.6">
      <c r="A1430" s="589">
        <v>990202</v>
      </c>
      <c r="B1430" t="s">
        <v>30397</v>
      </c>
      <c r="C1430" t="s">
        <v>30396</v>
      </c>
      <c r="D1430">
        <v>195.03</v>
      </c>
      <c r="E1430" s="56" t="str">
        <f t="shared" si="110"/>
        <v>CAMINHÃO BASCULANTE 6 M3 TOCO, PESO BRUTO TOTAL 16.000 KG, CARGA ÚTIL MÁXIMA 11.130 KG, DISTÂNCIA ENTRE EIXOS 5,36 M, POTÊNCIA 185 CV, INCLUSIVE CAÇAMBA METÁLICA - CHP DIURNO</v>
      </c>
      <c r="F1430" s="56" t="str">
        <f t="shared" si="111"/>
        <v>CHP</v>
      </c>
      <c r="G1430">
        <f t="shared" si="112"/>
        <v>195.03</v>
      </c>
      <c r="H1430">
        <f t="shared" si="113"/>
        <v>195.03</v>
      </c>
    </row>
    <row r="1431" spans="1:8" ht="43.2">
      <c r="A1431" s="589">
        <v>990203</v>
      </c>
      <c r="B1431" t="s">
        <v>30398</v>
      </c>
      <c r="C1431" t="s">
        <v>30396</v>
      </c>
      <c r="D1431">
        <v>1.95</v>
      </c>
      <c r="E1431" s="56" t="str">
        <f t="shared" si="110"/>
        <v>VIBRADOR DE IMERSÃO, DIÂMETRO DE PONTEIRA 45MM, MOTOR ELÉTRICO TRIFÁSICO POTÊNCIA DE 2 CV - CHP DIURNO</v>
      </c>
      <c r="F1431" s="56" t="str">
        <f t="shared" si="111"/>
        <v>CHP</v>
      </c>
      <c r="G1431">
        <f t="shared" si="112"/>
        <v>1.95</v>
      </c>
      <c r="H1431">
        <f t="shared" si="113"/>
        <v>1.95</v>
      </c>
    </row>
    <row r="1432" spans="1:8" ht="72">
      <c r="A1432" s="589">
        <v>990204</v>
      </c>
      <c r="B1432" t="s">
        <v>30399</v>
      </c>
      <c r="C1432" t="s">
        <v>30396</v>
      </c>
      <c r="D1432">
        <v>273.08</v>
      </c>
      <c r="E1432" s="56" t="str">
        <f t="shared" si="110"/>
        <v>GUINDAUTO HIDRÁULICO, CAPACIDADE MÁXIMA DE CARGA 6200 KG, MOMENTO MÁXIMO DE CARGA 11,7 TM, ALCANCE MÁXIMO HORIZONTAL 9,70 M, INCLUSIVE CAMINHÃO TOCO PBT 16.000 KG, POTÊNCIA DE 189 CV - CHP DIURNO</v>
      </c>
      <c r="F1432" s="56" t="str">
        <f t="shared" si="111"/>
        <v>CHP</v>
      </c>
      <c r="G1432">
        <f t="shared" si="112"/>
        <v>273.08</v>
      </c>
      <c r="H1432">
        <f t="shared" si="113"/>
        <v>273.08</v>
      </c>
    </row>
    <row r="1433" spans="1:8" ht="43.2">
      <c r="A1433" s="589">
        <v>990205</v>
      </c>
      <c r="B1433" t="s">
        <v>30400</v>
      </c>
      <c r="C1433" t="s">
        <v>30396</v>
      </c>
      <c r="D1433">
        <v>189.11</v>
      </c>
      <c r="E1433" s="56" t="str">
        <f t="shared" si="110"/>
        <v>PÁ CARREGADEIRA SOBRE RODAS, POTÊNCIA LÍQUIDA 128 HP, CAPACIDADE DA CAÇAMBA 1,7 A 2,8 M3, PESO OPERACIONAL 11632 KG - CHP DIURNO.</v>
      </c>
      <c r="F1433" s="56" t="str">
        <f t="shared" si="111"/>
        <v>CHP</v>
      </c>
      <c r="G1433">
        <f t="shared" si="112"/>
        <v>189.11</v>
      </c>
      <c r="H1433">
        <f t="shared" si="113"/>
        <v>189.11</v>
      </c>
    </row>
    <row r="1434" spans="1:8" ht="72">
      <c r="A1434" s="589">
        <v>990206</v>
      </c>
      <c r="B1434" t="s">
        <v>30401</v>
      </c>
      <c r="C1434" t="s">
        <v>30396</v>
      </c>
      <c r="D1434">
        <v>11.23</v>
      </c>
      <c r="E1434" s="56" t="str">
        <f t="shared" si="110"/>
        <v>CORTADORA DE PISO COM MOTOR 4 TEMPOS A GASOLINA, POTÊNCIA DE 13 HP, COM DISCO DE CORTE DIAMANTADO SEGMENTADO PARA CONCRETO, DIÂMETRO DE 350 MM, FURO DE 1" (14 X 1") - CHP DIURNO</v>
      </c>
      <c r="F1434" s="56" t="str">
        <f t="shared" si="111"/>
        <v>CHP</v>
      </c>
      <c r="G1434">
        <f t="shared" si="112"/>
        <v>11.23</v>
      </c>
      <c r="H1434">
        <f t="shared" si="113"/>
        <v>11.23</v>
      </c>
    </row>
    <row r="1435" spans="1:8" ht="43.2">
      <c r="A1435" s="589">
        <v>990207</v>
      </c>
      <c r="B1435" t="s">
        <v>30402</v>
      </c>
      <c r="C1435" t="s">
        <v>30396</v>
      </c>
      <c r="D1435">
        <v>34.75</v>
      </c>
      <c r="E1435" s="56" t="str">
        <f t="shared" si="110"/>
        <v>COMPACTADOR DE SOLOS DE PERCUSÃO (SOQUETE) COM MOTOR A GASOLINA, POTÊNCIA 3 CV - CHP DIURNO</v>
      </c>
      <c r="F1435" s="56" t="str">
        <f t="shared" si="111"/>
        <v>CHP</v>
      </c>
      <c r="G1435">
        <f t="shared" si="112"/>
        <v>34.75</v>
      </c>
      <c r="H1435">
        <f t="shared" si="113"/>
        <v>34.75</v>
      </c>
    </row>
    <row r="1436" spans="1:8" ht="86.4">
      <c r="A1436" s="589">
        <v>990208</v>
      </c>
      <c r="B1436" t="s">
        <v>30403</v>
      </c>
      <c r="C1436" t="s">
        <v>30396</v>
      </c>
      <c r="D1436">
        <v>128.71</v>
      </c>
      <c r="E1436" s="56" t="str">
        <f t="shared" si="110"/>
        <v>RETROESCAVADEIRA SOBRE RODAS COM CARREGADEIRA, TRAÇÃO 4X2, POTÊNCIA LÍQ. 79 HP, CAÇAMBA CARREG. CAP. MÍN. 1 M3, CAÇAMBA RETRO CAP. 0,20 M3, PESO OPERACIONAL MÍN. 6.570 KG, PROFUNDIDADE ESCAVAÇÃO MÁX. 4,37 M - CHP DIURNO</v>
      </c>
      <c r="F1436" s="56" t="str">
        <f t="shared" si="111"/>
        <v>CHP</v>
      </c>
      <c r="G1436">
        <f t="shared" si="112"/>
        <v>128.71</v>
      </c>
      <c r="H1436">
        <f t="shared" si="113"/>
        <v>128.71</v>
      </c>
    </row>
    <row r="1437" spans="1:8" ht="57.6">
      <c r="A1437" s="589">
        <v>990209</v>
      </c>
      <c r="B1437" t="s">
        <v>30404</v>
      </c>
      <c r="C1437" t="s">
        <v>30396</v>
      </c>
      <c r="D1437">
        <v>254.07</v>
      </c>
      <c r="E1437" s="56" t="str">
        <f t="shared" si="110"/>
        <v>CAMINHÃO PIPA 6.000 L, PESO BRUTO TOTAL 13.000 KG, DISTÂNCIA ENTRE EIXOS 4,80 M, POTÊNCIA 189 CV INCLUSIVE TANQUE DE AÇO PARA TRANSPORTE DE ÁGUA, CAPACIDADE 6 M3 - CHP DIURNO</v>
      </c>
      <c r="F1437" s="56" t="str">
        <f t="shared" si="111"/>
        <v>CHP</v>
      </c>
      <c r="G1437">
        <f t="shared" si="112"/>
        <v>254.07</v>
      </c>
      <c r="H1437">
        <f t="shared" si="113"/>
        <v>254.07</v>
      </c>
    </row>
    <row r="1438" spans="1:8" ht="43.2">
      <c r="A1438" s="589">
        <v>990210</v>
      </c>
      <c r="B1438" t="s">
        <v>35748</v>
      </c>
      <c r="C1438" t="s">
        <v>30396</v>
      </c>
      <c r="D1438">
        <v>330.89</v>
      </c>
      <c r="E1438" s="56" t="str">
        <f t="shared" si="110"/>
        <v>GUINDASTE HIDRÁULICO AUTOPROPELIDO, COM LANÇA TELESCÓPICA 40 M, CAPACIDADE MÁXIMA 60 T, POTÊNCIA 260 KW - CHP DIURNO</v>
      </c>
      <c r="F1438" s="56" t="str">
        <f t="shared" si="111"/>
        <v>CHP</v>
      </c>
      <c r="G1438">
        <f t="shared" si="112"/>
        <v>330.89</v>
      </c>
      <c r="H1438">
        <f t="shared" si="113"/>
        <v>330.89</v>
      </c>
    </row>
    <row r="1439" spans="1:8" ht="43.2">
      <c r="A1439" s="589">
        <v>990211</v>
      </c>
      <c r="B1439" t="s">
        <v>30405</v>
      </c>
      <c r="C1439" t="s">
        <v>30396</v>
      </c>
      <c r="D1439">
        <v>29.33</v>
      </c>
      <c r="E1439" s="56" t="str">
        <f t="shared" si="110"/>
        <v>MARTELO DEMOLIDOR ELÉTRICO, COM POTÊNCIA DE 2.000 W, 1.000 IMPACTOS POR MINUTO, PESO DE 30 KG - CHP DIURNO</v>
      </c>
      <c r="F1439" s="56" t="str">
        <f t="shared" si="111"/>
        <v>CHP</v>
      </c>
      <c r="G1439">
        <f t="shared" si="112"/>
        <v>29.33</v>
      </c>
      <c r="H1439">
        <f t="shared" si="113"/>
        <v>29.33</v>
      </c>
    </row>
    <row r="1440" spans="1:8" ht="57.6">
      <c r="A1440" s="589">
        <v>990212</v>
      </c>
      <c r="B1440" t="s">
        <v>35749</v>
      </c>
      <c r="C1440" t="s">
        <v>30396</v>
      </c>
      <c r="D1440">
        <v>1.9</v>
      </c>
      <c r="E1440" s="56" t="str">
        <f t="shared" si="110"/>
        <v>LAVADORA DE ALTA PRESSAO (LAVA-JATO) PARA AGUA FRIA, PRESSAO DE OPERACAO ENTRE 1400 E 1900 LIB/POL2, VAZAO MAXIMA ENTRE 400 E 700 L/H - CHP DIURNO</v>
      </c>
      <c r="F1440" s="56" t="str">
        <f t="shared" si="111"/>
        <v>CHP</v>
      </c>
      <c r="G1440">
        <f t="shared" si="112"/>
        <v>1.9</v>
      </c>
      <c r="H1440">
        <f t="shared" si="113"/>
        <v>1.9</v>
      </c>
    </row>
    <row r="1441" spans="1:8" ht="57.6">
      <c r="A1441" s="589">
        <v>990213</v>
      </c>
      <c r="B1441" t="s">
        <v>30406</v>
      </c>
      <c r="C1441" t="s">
        <v>30407</v>
      </c>
      <c r="D1441">
        <v>0.35</v>
      </c>
      <c r="E1441" s="56" t="str">
        <f t="shared" si="110"/>
        <v>BETONEIRA CAPACIDADE NOMINAL DE 400 L, CAPACIDADE DE MISTURA 280 L, MOTOR ELÉTRICO TRIFÁSICO POTÊNCIA DE 2 CV, SEM CARREGADOR - CHI DIURNO</v>
      </c>
      <c r="F1441" s="56" t="str">
        <f t="shared" si="111"/>
        <v>CHI</v>
      </c>
      <c r="G1441">
        <f t="shared" si="112"/>
        <v>0.35</v>
      </c>
      <c r="H1441">
        <f t="shared" si="113"/>
        <v>0.35</v>
      </c>
    </row>
    <row r="1442" spans="1:8" ht="72">
      <c r="A1442" s="589">
        <v>990214</v>
      </c>
      <c r="B1442" t="s">
        <v>30408</v>
      </c>
      <c r="C1442" t="s">
        <v>30407</v>
      </c>
      <c r="D1442">
        <v>0.94</v>
      </c>
      <c r="E1442" s="56" t="str">
        <f t="shared" si="110"/>
        <v>CORTADORA DE PISO COM MOTOR 4 TEMPOS A GASOLINA, POTÊNCIA DE 13 HP, COM DISCO DE CORTE DIAMANTADO SEGMENTADO PARA CONCRETO, DIÂMETRO DE 350 MM, FURO DE 1" (14 X 1") - CHI DIURNO</v>
      </c>
      <c r="F1442" s="56" t="str">
        <f t="shared" si="111"/>
        <v>CHI</v>
      </c>
      <c r="G1442">
        <f t="shared" si="112"/>
        <v>0.94</v>
      </c>
      <c r="H1442">
        <f t="shared" si="113"/>
        <v>0.94</v>
      </c>
    </row>
    <row r="1443" spans="1:8" ht="43.2">
      <c r="A1443" s="589">
        <v>990215</v>
      </c>
      <c r="B1443" t="s">
        <v>35750</v>
      </c>
      <c r="C1443" t="s">
        <v>30407</v>
      </c>
      <c r="D1443">
        <v>27.14</v>
      </c>
      <c r="E1443" s="56" t="str">
        <f t="shared" si="110"/>
        <v>COMPACTADOR DE SOLOS DE PERCUSÃO (SOQUETE) COM MOTOR A GASOLINA, POTÊNCIA 3 CV - CHI DIURNO</v>
      </c>
      <c r="F1443" s="56" t="str">
        <f t="shared" si="111"/>
        <v>CHI</v>
      </c>
      <c r="G1443">
        <f t="shared" si="112"/>
        <v>27.14</v>
      </c>
      <c r="H1443">
        <f t="shared" si="113"/>
        <v>27.14</v>
      </c>
    </row>
    <row r="1444" spans="1:8" ht="43.2">
      <c r="A1444" s="589">
        <v>990216</v>
      </c>
      <c r="B1444" t="s">
        <v>30409</v>
      </c>
      <c r="C1444" t="s">
        <v>30407</v>
      </c>
      <c r="D1444">
        <v>27.02</v>
      </c>
      <c r="E1444" s="56" t="str">
        <f t="shared" si="110"/>
        <v>MARTELO DEMOLIDOR ELÉTRICO, COM POTÊNCIA DE 2.000 W, 1.000 IMPACTOS POR MINUTO, PESO DE 30 KG - CHI DIURNO</v>
      </c>
      <c r="F1444" s="56" t="str">
        <f t="shared" si="111"/>
        <v>CHI</v>
      </c>
      <c r="G1444">
        <f t="shared" si="112"/>
        <v>27.02</v>
      </c>
      <c r="H1444">
        <f t="shared" si="113"/>
        <v>27.02</v>
      </c>
    </row>
    <row r="1445" spans="1:8" ht="43.2">
      <c r="A1445" s="589">
        <v>990217</v>
      </c>
      <c r="B1445" t="s">
        <v>35751</v>
      </c>
      <c r="C1445" t="s">
        <v>30407</v>
      </c>
      <c r="D1445">
        <v>159.54</v>
      </c>
      <c r="E1445" s="56" t="str">
        <f t="shared" si="110"/>
        <v>GUINDASTE HIDRÁULICO AUTOPROPELIDO, COM LANÇA TELESCÓPICA 40 M, CAPACIDADE MÁXIMA 60 T, POTÊNCIA 260 KW - CHI DIURNO</v>
      </c>
      <c r="F1445" s="56" t="str">
        <f t="shared" si="111"/>
        <v>CHI</v>
      </c>
      <c r="G1445">
        <f t="shared" si="112"/>
        <v>159.54</v>
      </c>
      <c r="H1445">
        <f t="shared" si="113"/>
        <v>159.54</v>
      </c>
    </row>
    <row r="1446" spans="1:8" ht="57.6">
      <c r="A1446" s="589">
        <v>990218</v>
      </c>
      <c r="B1446" t="s">
        <v>30410</v>
      </c>
      <c r="C1446" t="s">
        <v>11227</v>
      </c>
      <c r="D1446">
        <v>0.28999999999999998</v>
      </c>
      <c r="E1446" s="56" t="str">
        <f t="shared" si="110"/>
        <v>BETONEIRA CAPACIDADE NOMINAL DE 400 L, CAPACIDADE DE MISTURA 280 L, MOTOR ELÉTRICO TRIFÁSICO POTÊNCIA DE 2 CV, SEM CARREGADOR - DEPRECIAÇÃO</v>
      </c>
      <c r="F1446" s="56" t="str">
        <f t="shared" si="111"/>
        <v>H</v>
      </c>
      <c r="G1446">
        <f t="shared" si="112"/>
        <v>0.28999999999999998</v>
      </c>
      <c r="H1446">
        <f t="shared" si="113"/>
        <v>0.28999999999999998</v>
      </c>
    </row>
    <row r="1447" spans="1:8" ht="57.6">
      <c r="A1447" s="589">
        <v>990219</v>
      </c>
      <c r="B1447" t="s">
        <v>30411</v>
      </c>
      <c r="C1447" t="s">
        <v>11227</v>
      </c>
      <c r="D1447">
        <v>23.25</v>
      </c>
      <c r="E1447" s="56" t="str">
        <f t="shared" si="110"/>
        <v>CAMINHÃO BASCULANTE 6M3 TOCO, PESO BRUTO TOTAL 16.000KG, CARGA ÚTIL MÁX. 11.130KG, DIST. ENTRE EIXOS 5,36M, POT. 185CV, INCL. CAÇAMBA METÁLICA - DEPRECIAÇÃO</v>
      </c>
      <c r="F1447" s="56" t="str">
        <f t="shared" si="111"/>
        <v>H</v>
      </c>
      <c r="G1447">
        <f t="shared" si="112"/>
        <v>23.25</v>
      </c>
      <c r="H1447">
        <f t="shared" si="113"/>
        <v>23.25</v>
      </c>
    </row>
    <row r="1448" spans="1:8" ht="43.2">
      <c r="A1448" s="589">
        <v>990220</v>
      </c>
      <c r="B1448" t="s">
        <v>30412</v>
      </c>
      <c r="C1448" t="s">
        <v>11227</v>
      </c>
      <c r="D1448">
        <v>0.43</v>
      </c>
      <c r="E1448" s="56" t="str">
        <f t="shared" si="110"/>
        <v>VIBRADOR DE IMERSÃO, DIÂMETRO DE PONTEIRA 45MM, MOTOR ELÉTRICO TRIFÁSICO POTÊNCIA DE 2 CV - DEPRECIAÇÃO</v>
      </c>
      <c r="F1448" s="56" t="str">
        <f t="shared" si="111"/>
        <v>H</v>
      </c>
      <c r="G1448">
        <f t="shared" si="112"/>
        <v>0.43</v>
      </c>
      <c r="H1448">
        <f t="shared" si="113"/>
        <v>0.43</v>
      </c>
    </row>
    <row r="1449" spans="1:8" ht="72">
      <c r="A1449" s="589">
        <v>990221</v>
      </c>
      <c r="B1449" t="s">
        <v>30413</v>
      </c>
      <c r="C1449" t="s">
        <v>11227</v>
      </c>
      <c r="D1449">
        <v>27.32</v>
      </c>
      <c r="E1449" s="56" t="str">
        <f t="shared" si="110"/>
        <v>GUINDAUTO HIDRÁULICO, CAPACIDADE MÁXIMA DE CARGA 6200 KG, MOMENTO MÁXIMO DE CARGA 11,7 TM, ALCANCE MÁXIMO HORIZONTAL 9,70 M, INCLUSIVE CAMINHÃO TOCO PBT 16.000 KG, POTÊNCIA DE 189 CV - DEPRECIAÇÃO</v>
      </c>
      <c r="F1449" s="56" t="str">
        <f t="shared" si="111"/>
        <v>H</v>
      </c>
      <c r="G1449">
        <f t="shared" si="112"/>
        <v>27.32</v>
      </c>
      <c r="H1449">
        <f t="shared" si="113"/>
        <v>27.32</v>
      </c>
    </row>
    <row r="1450" spans="1:8" ht="43.2">
      <c r="A1450" s="589">
        <v>990222</v>
      </c>
      <c r="B1450" t="s">
        <v>30414</v>
      </c>
      <c r="C1450" t="s">
        <v>11227</v>
      </c>
      <c r="D1450">
        <v>39.69</v>
      </c>
      <c r="E1450" s="56" t="str">
        <f t="shared" si="110"/>
        <v>PÁ CARREGADEIRA SOBRE RODAS, POTÊNCIA LÍQUIDA 128 HP, CAPACIDADE DA CAÇAMBA 1,7 A 2,8 M3, PESO OPERACIONAL 11632 KG - DEPRECIAÇÃO</v>
      </c>
      <c r="F1450" s="56" t="str">
        <f t="shared" si="111"/>
        <v>H</v>
      </c>
      <c r="G1450">
        <f t="shared" si="112"/>
        <v>39.69</v>
      </c>
      <c r="H1450">
        <f t="shared" si="113"/>
        <v>39.69</v>
      </c>
    </row>
    <row r="1451" spans="1:8" ht="72">
      <c r="A1451" s="589">
        <v>990223</v>
      </c>
      <c r="B1451" t="s">
        <v>30415</v>
      </c>
      <c r="C1451" t="s">
        <v>11227</v>
      </c>
      <c r="D1451">
        <v>0.84</v>
      </c>
      <c r="E1451" s="56" t="str">
        <f t="shared" si="110"/>
        <v>CORTADORA DE PISO COM MOTOR 4 TEMPOS A GASOLINA, POTÊNCIA DE 13 HP, COM DISCO DE CORTE DIAMANTADO SEGMENTADO PARA CONCRETO, DIÂMETRO DE 350 MM, FURO DE 1" (14 X 1") - DEPRECIAÇÃO</v>
      </c>
      <c r="F1451" s="56" t="str">
        <f t="shared" si="111"/>
        <v>H</v>
      </c>
      <c r="G1451">
        <f t="shared" si="112"/>
        <v>0.84</v>
      </c>
      <c r="H1451">
        <f t="shared" si="113"/>
        <v>0.84</v>
      </c>
    </row>
    <row r="1452" spans="1:8" ht="43.2">
      <c r="A1452" s="589">
        <v>990224</v>
      </c>
      <c r="B1452" t="s">
        <v>30416</v>
      </c>
      <c r="C1452" t="s">
        <v>11227</v>
      </c>
      <c r="D1452">
        <v>0.84</v>
      </c>
      <c r="E1452" s="56" t="str">
        <f t="shared" si="110"/>
        <v>COMPACTADOR DE SOLOS DE PERCUSSÃO (SOQUETE) COM MOTOR A GASOLINA 4 TEMPOS, POTÊNCIA 4 CV - DEPRECIAÇÃO</v>
      </c>
      <c r="F1452" s="56" t="str">
        <f t="shared" si="111"/>
        <v>H</v>
      </c>
      <c r="G1452">
        <f t="shared" si="112"/>
        <v>0.84</v>
      </c>
      <c r="H1452">
        <f t="shared" si="113"/>
        <v>0.84</v>
      </c>
    </row>
    <row r="1453" spans="1:8" ht="86.4">
      <c r="A1453" s="589">
        <v>990225</v>
      </c>
      <c r="B1453" t="s">
        <v>30417</v>
      </c>
      <c r="C1453" t="s">
        <v>11227</v>
      </c>
      <c r="D1453">
        <v>23.23</v>
      </c>
      <c r="E1453" s="56" t="str">
        <f t="shared" ref="E1453:E1516" si="114">UPPER(B1453)</f>
        <v>RETROESCAVADEIRA SOBRE RODAS COM CARREGADEIRA, TRAÇÃO 4X2, POTÊNCIA LÍQ. 79 HP, CAÇAMBA CARREG. CAP. MÍN. 1 M3, CAÇAMBA RETRO CAP. 0,20 M3, PESO OPERACIONAL MÍN. 6.570 KG, PROFUNDIDADE ESCAVAÇÃO MÁX. 4,37 M - DEPRECIAÇÃO</v>
      </c>
      <c r="F1453" s="56" t="str">
        <f t="shared" ref="F1453:F1516" si="115">UPPER(C1453)</f>
        <v>H</v>
      </c>
      <c r="G1453">
        <f t="shared" ref="G1453:G1516" si="116">D1453</f>
        <v>23.23</v>
      </c>
      <c r="H1453">
        <f t="shared" ref="H1453:H1516" si="117">ROUND(G1453/(1+$E$1),2)</f>
        <v>23.23</v>
      </c>
    </row>
    <row r="1454" spans="1:8" ht="57.6">
      <c r="A1454" s="589">
        <v>990226</v>
      </c>
      <c r="B1454" t="s">
        <v>30418</v>
      </c>
      <c r="C1454" t="s">
        <v>11227</v>
      </c>
      <c r="D1454">
        <v>21.04</v>
      </c>
      <c r="E1454" s="56" t="str">
        <f t="shared" si="114"/>
        <v>CAMINHÃO PIPA 6.000 L, PESO BRUTO TOTAL 13.000 KG, DISTÂNCIA ENTRE EIXOS 4,80 M, POTÊNCIA 189 CV INCLUSIVE TANQUE DE AÇO PARA TRANSPORTE DE ÁGUA, CAPACIDADE 6 M3 - DEPRECIAÇÃO.</v>
      </c>
      <c r="F1454" s="56" t="str">
        <f t="shared" si="115"/>
        <v>H</v>
      </c>
      <c r="G1454">
        <f t="shared" si="116"/>
        <v>21.04</v>
      </c>
      <c r="H1454">
        <f t="shared" si="117"/>
        <v>21.04</v>
      </c>
    </row>
    <row r="1455" spans="1:8" ht="43.2">
      <c r="A1455" s="589">
        <v>990227</v>
      </c>
      <c r="B1455" t="s">
        <v>35752</v>
      </c>
      <c r="C1455" t="s">
        <v>11227</v>
      </c>
      <c r="D1455">
        <v>99.64</v>
      </c>
      <c r="E1455" s="56" t="str">
        <f t="shared" si="114"/>
        <v>GUINDASTE HIDRÁULICO AUTOPROPELIDO, COM LANÇA TELESCÓPICA 40 M, CAPACIDADE MÁXIMA 60 T, POTÊNCIA 260 KW - DEPRECIAÇÃO.</v>
      </c>
      <c r="F1455" s="56" t="str">
        <f t="shared" si="115"/>
        <v>H</v>
      </c>
      <c r="G1455">
        <f t="shared" si="116"/>
        <v>99.64</v>
      </c>
      <c r="H1455">
        <f t="shared" si="117"/>
        <v>99.64</v>
      </c>
    </row>
    <row r="1456" spans="1:8" ht="43.2">
      <c r="A1456" s="589">
        <v>990228</v>
      </c>
      <c r="B1456" t="s">
        <v>30419</v>
      </c>
      <c r="C1456" t="s">
        <v>11227</v>
      </c>
      <c r="D1456">
        <v>0.68</v>
      </c>
      <c r="E1456" s="56" t="str">
        <f t="shared" si="114"/>
        <v>MARTELO DEMOLIDOR ELÉTRICO, COM POTÊNCIA DE 2.000 W, 1.000 IMPACTOS POR MINUTO, PESO DE 30 KG - DEPRECIAÇÃO</v>
      </c>
      <c r="F1456" s="56" t="str">
        <f t="shared" si="115"/>
        <v>H</v>
      </c>
      <c r="G1456">
        <f t="shared" si="116"/>
        <v>0.68</v>
      </c>
      <c r="H1456">
        <f t="shared" si="117"/>
        <v>0.68</v>
      </c>
    </row>
    <row r="1457" spans="1:8" ht="57.6">
      <c r="A1457" s="589">
        <v>990229</v>
      </c>
      <c r="B1457" t="s">
        <v>35753</v>
      </c>
      <c r="C1457" t="s">
        <v>11227</v>
      </c>
      <c r="D1457">
        <v>0.15</v>
      </c>
      <c r="E1457" s="56" t="str">
        <f t="shared" si="114"/>
        <v>LAVADORA DE ALTA PRESSAO (LAVA-JATO) PARA AGUA FRIA, PRESSAO DE OPERACAO ENTRE 1400 E 1900 LIB/POL2, VAZAO MAXIMA ENTRE 400 E 700 L/H - DEPRECIAÇÃO</v>
      </c>
      <c r="F1457" s="56" t="str">
        <f t="shared" si="115"/>
        <v>H</v>
      </c>
      <c r="G1457">
        <f t="shared" si="116"/>
        <v>0.15</v>
      </c>
      <c r="H1457">
        <f t="shared" si="117"/>
        <v>0.15</v>
      </c>
    </row>
    <row r="1458" spans="1:8" ht="57.6">
      <c r="A1458" s="589">
        <v>990230</v>
      </c>
      <c r="B1458" t="s">
        <v>30420</v>
      </c>
      <c r="C1458" t="s">
        <v>11227</v>
      </c>
      <c r="D1458">
        <v>0.06</v>
      </c>
      <c r="E1458" s="56" t="str">
        <f t="shared" si="114"/>
        <v>BETONEIRA CAPACIDADE NOMINAL DE 400 L, CAPACIDADE DE MISTURA 280 L, MOTOR ELÉTRICO TRIFÁSICO POTÊNCIA DE 2 CV, SEM CARREGADOR - JUROS</v>
      </c>
      <c r="F1458" s="56" t="str">
        <f t="shared" si="115"/>
        <v>H</v>
      </c>
      <c r="G1458">
        <f t="shared" si="116"/>
        <v>0.06</v>
      </c>
      <c r="H1458">
        <f t="shared" si="117"/>
        <v>0.06</v>
      </c>
    </row>
    <row r="1459" spans="1:8" ht="57.6">
      <c r="A1459" s="589">
        <v>990231</v>
      </c>
      <c r="B1459" t="s">
        <v>30421</v>
      </c>
      <c r="C1459" t="s">
        <v>11227</v>
      </c>
      <c r="D1459">
        <v>4.54</v>
      </c>
      <c r="E1459" s="56" t="str">
        <f t="shared" si="114"/>
        <v>CAMINHÃO BASCULANTE 6M3 TOCO, PESO BRUTO TOTAL 16.000KG, CARGA ÚTIL MÁX. 11.130KG, DIST. ENTRE EIXOS 5,36M, POT. 185CV, INCL. CAÇAMBA METÁLICA - JUROS.</v>
      </c>
      <c r="F1459" s="56" t="str">
        <f t="shared" si="115"/>
        <v>H</v>
      </c>
      <c r="G1459">
        <f t="shared" si="116"/>
        <v>4.54</v>
      </c>
      <c r="H1459">
        <f t="shared" si="117"/>
        <v>4.54</v>
      </c>
    </row>
    <row r="1460" spans="1:8" ht="43.2">
      <c r="A1460" s="589">
        <v>990232</v>
      </c>
      <c r="B1460" t="s">
        <v>30422</v>
      </c>
      <c r="C1460" t="s">
        <v>11227</v>
      </c>
      <c r="D1460">
        <v>0.09</v>
      </c>
      <c r="E1460" s="56" t="str">
        <f t="shared" si="114"/>
        <v>VIBRADOR DE IMERSÃO, DIÂMETRO DE PONTEIRA 45MM, MOTOR ELÉTRICO TRIFÁSICO POTÊNCIA DE 2 CV - JUROS</v>
      </c>
      <c r="F1460" s="56" t="str">
        <f t="shared" si="115"/>
        <v>H</v>
      </c>
      <c r="G1460">
        <f t="shared" si="116"/>
        <v>0.09</v>
      </c>
      <c r="H1460">
        <f t="shared" si="117"/>
        <v>0.09</v>
      </c>
    </row>
    <row r="1461" spans="1:8" ht="72">
      <c r="A1461" s="589">
        <v>990233</v>
      </c>
      <c r="B1461" t="s">
        <v>30423</v>
      </c>
      <c r="C1461" t="s">
        <v>11227</v>
      </c>
      <c r="D1461">
        <v>5.1100000000000003</v>
      </c>
      <c r="E1461" s="56" t="str">
        <f t="shared" si="114"/>
        <v>GUINDAUTO HIDRÁULICO, CAPACIDADE MÁXIMA DE CARGA 6200 KG, MOMENTO MÁXIMO DE CARGA 11,7 TM, ALCANCE MÁXIMO HORIZONTAL 9,70 M, INCLUSIVE CAMINHÃO TOCO PBT 16.000 KG, POTÊNCIA DE 189 CV - JUROS.</v>
      </c>
      <c r="F1461" s="56" t="str">
        <f t="shared" si="115"/>
        <v>H</v>
      </c>
      <c r="G1461">
        <f t="shared" si="116"/>
        <v>5.1100000000000003</v>
      </c>
      <c r="H1461">
        <f t="shared" si="117"/>
        <v>5.1100000000000003</v>
      </c>
    </row>
    <row r="1462" spans="1:8" ht="43.2">
      <c r="A1462" s="589">
        <v>990234</v>
      </c>
      <c r="B1462" t="s">
        <v>30424</v>
      </c>
      <c r="C1462" t="s">
        <v>11227</v>
      </c>
      <c r="D1462">
        <v>5.38</v>
      </c>
      <c r="E1462" s="56" t="str">
        <f t="shared" si="114"/>
        <v>PÁ CARREGADEIRA SOBRE RODAS, POTÊNCIA LÍQUIDA 128 HP, CAPACIDADE DA CAÇAMBA 1,7 A 2,8 M3, PESO OPERACIONAL 11632 KG - JUROS.</v>
      </c>
      <c r="F1462" s="56" t="str">
        <f t="shared" si="115"/>
        <v>H</v>
      </c>
      <c r="G1462">
        <f t="shared" si="116"/>
        <v>5.38</v>
      </c>
      <c r="H1462">
        <f t="shared" si="117"/>
        <v>5.38</v>
      </c>
    </row>
    <row r="1463" spans="1:8" ht="72">
      <c r="A1463" s="589">
        <v>990235</v>
      </c>
      <c r="B1463" t="s">
        <v>30425</v>
      </c>
      <c r="C1463" t="s">
        <v>11227</v>
      </c>
      <c r="D1463">
        <v>0.1</v>
      </c>
      <c r="E1463" s="56" t="str">
        <f t="shared" si="114"/>
        <v>CORTADORA DE PISO COM MOTOR 4 TEMPOS A GASOLINA, POTÊNCIA DE 13 HP, COM DISCO DE CORTE DIAMANTADO SEGMENTADO PARA CONCRETO, DIÂMETRO DE 350 MM, FURO DE 1" (14 X 1") - JUROS</v>
      </c>
      <c r="F1463" s="56" t="str">
        <f t="shared" si="115"/>
        <v>H</v>
      </c>
      <c r="G1463">
        <f t="shared" si="116"/>
        <v>0.1</v>
      </c>
      <c r="H1463">
        <f t="shared" si="117"/>
        <v>0.1</v>
      </c>
    </row>
    <row r="1464" spans="1:8" ht="43.2">
      <c r="A1464" s="589">
        <v>990236</v>
      </c>
      <c r="B1464" t="s">
        <v>30426</v>
      </c>
      <c r="C1464" t="s">
        <v>11227</v>
      </c>
      <c r="D1464">
        <v>0.11</v>
      </c>
      <c r="E1464" s="56" t="str">
        <f t="shared" si="114"/>
        <v>COMPACTADOR DE SOLOS DE PERCUSSÃO (SOQUETE) COM MOTOR A GASOLINA 4 TEMPOS, POTÊNCIA 4 CV - JUROS</v>
      </c>
      <c r="F1464" s="56" t="str">
        <f t="shared" si="115"/>
        <v>H</v>
      </c>
      <c r="G1464">
        <f t="shared" si="116"/>
        <v>0.11</v>
      </c>
      <c r="H1464">
        <f t="shared" si="117"/>
        <v>0.11</v>
      </c>
    </row>
    <row r="1465" spans="1:8" ht="86.4">
      <c r="A1465" s="589">
        <v>990237</v>
      </c>
      <c r="B1465" t="s">
        <v>30427</v>
      </c>
      <c r="C1465" t="s">
        <v>11227</v>
      </c>
      <c r="D1465">
        <v>3.15</v>
      </c>
      <c r="E1465" s="56" t="str">
        <f t="shared" si="114"/>
        <v>RETROESCAVADEIRA SOBRE RODAS COM CARREGADEIRA, TRAÇÃO 4X2, POTÊNCIA LÍQ. 79 HP, CAÇAMBA CARREG. CAP. MÍN. 1 M3, CAÇAMBA RETRO CAP. 0,20 M3, PESO OPERACIONAL MÍN. 6.570 KG, PROFUNDIDADE ESCAVAÇÃO MÁX. 4,37 M - JUROS</v>
      </c>
      <c r="F1465" s="56" t="str">
        <f t="shared" si="115"/>
        <v>H</v>
      </c>
      <c r="G1465">
        <f t="shared" si="116"/>
        <v>3.15</v>
      </c>
      <c r="H1465">
        <f t="shared" si="117"/>
        <v>3.15</v>
      </c>
    </row>
    <row r="1466" spans="1:8" ht="57.6">
      <c r="A1466" s="589">
        <v>990238</v>
      </c>
      <c r="B1466" t="s">
        <v>30428</v>
      </c>
      <c r="C1466" t="s">
        <v>11227</v>
      </c>
      <c r="D1466">
        <v>4.0999999999999996</v>
      </c>
      <c r="E1466" s="56" t="str">
        <f t="shared" si="114"/>
        <v>CAMINHÃO PIPA 6.000 L, PESO BRUTO TOTAL 13.000 KG, DISTÂNCIA ENTRE EIXOS 4,80 M, POTÊNCIA 189 CV INCLUSIVE TANQUE DE AÇO PARA TRANSPORTE DE ÁGUA, CAPACIDADE 6 M3 - JUROS</v>
      </c>
      <c r="F1466" s="56" t="str">
        <f t="shared" si="115"/>
        <v>H</v>
      </c>
      <c r="G1466">
        <f t="shared" si="116"/>
        <v>4.0999999999999996</v>
      </c>
      <c r="H1466">
        <f t="shared" si="117"/>
        <v>4.0999999999999996</v>
      </c>
    </row>
    <row r="1467" spans="1:8" ht="43.2">
      <c r="A1467" s="589">
        <v>990239</v>
      </c>
      <c r="B1467" t="s">
        <v>35754</v>
      </c>
      <c r="C1467" t="s">
        <v>11227</v>
      </c>
      <c r="D1467">
        <v>17.93</v>
      </c>
      <c r="E1467" s="56" t="str">
        <f t="shared" si="114"/>
        <v>GUINDASTE HIDRÁULICO AUTOPROPELIDO, COM LANÇA TELESCÓPICA 40 M, CAPACIDADE MÁXIMA 60 T, POTÊNCIA 260 KW - JUROS</v>
      </c>
      <c r="F1467" s="56" t="str">
        <f t="shared" si="115"/>
        <v>H</v>
      </c>
      <c r="G1467">
        <f t="shared" si="116"/>
        <v>17.93</v>
      </c>
      <c r="H1467">
        <f t="shared" si="117"/>
        <v>17.93</v>
      </c>
    </row>
    <row r="1468" spans="1:8" ht="43.2">
      <c r="A1468" s="589">
        <v>990240</v>
      </c>
      <c r="B1468" t="s">
        <v>30429</v>
      </c>
      <c r="C1468" t="s">
        <v>11227</v>
      </c>
      <c r="D1468">
        <v>0.15</v>
      </c>
      <c r="E1468" s="56" t="str">
        <f t="shared" si="114"/>
        <v>MARTELO DEMOLIDOR ELÉTRICO, COM POTÊNCIA DE 2.000 W, 1.000 IMPACTOS POR MINUTO, PESO DE 30 KG - JUROS</v>
      </c>
      <c r="F1468" s="56" t="str">
        <f t="shared" si="115"/>
        <v>H</v>
      </c>
      <c r="G1468">
        <f t="shared" si="116"/>
        <v>0.15</v>
      </c>
      <c r="H1468">
        <f t="shared" si="117"/>
        <v>0.15</v>
      </c>
    </row>
    <row r="1469" spans="1:8" ht="57.6">
      <c r="A1469" s="589">
        <v>990241</v>
      </c>
      <c r="B1469" t="s">
        <v>35755</v>
      </c>
      <c r="C1469" t="s">
        <v>11227</v>
      </c>
      <c r="D1469">
        <v>0.03</v>
      </c>
      <c r="E1469" s="56" t="str">
        <f t="shared" si="114"/>
        <v>LAVADORA DE ALTA PRESSAO (LAVA-JATO) PARA AGUA FRIA, PRESSAO DE OPERACAO ENTRE 1400 E 1900 LIB/POL2, VAZAO MAXIMA ENTRE 400 E 700 L/H - JUROS</v>
      </c>
      <c r="F1469" s="56" t="str">
        <f t="shared" si="115"/>
        <v>H</v>
      </c>
      <c r="G1469">
        <f t="shared" si="116"/>
        <v>0.03</v>
      </c>
      <c r="H1469">
        <f t="shared" si="117"/>
        <v>0.03</v>
      </c>
    </row>
    <row r="1470" spans="1:8" ht="57.6">
      <c r="A1470" s="589">
        <v>990242</v>
      </c>
      <c r="B1470" t="s">
        <v>30430</v>
      </c>
      <c r="C1470" t="s">
        <v>11227</v>
      </c>
      <c r="D1470">
        <v>0.27</v>
      </c>
      <c r="E1470" s="56" t="str">
        <f t="shared" si="114"/>
        <v>BETONEIRA CAPACIDADE NOMINAL DE 400 L, CAPACIDADE DE MISTURA 280 L, MOTOR ELÉTRICO TRIFÁSICO POTÊNCIA DE 2 CV, SEM CARREGADOR - MANUTENÇÃO</v>
      </c>
      <c r="F1470" s="56" t="str">
        <f t="shared" si="115"/>
        <v>H</v>
      </c>
      <c r="G1470">
        <f t="shared" si="116"/>
        <v>0.27</v>
      </c>
      <c r="H1470">
        <f t="shared" si="117"/>
        <v>0.27</v>
      </c>
    </row>
    <row r="1471" spans="1:8" ht="57.6">
      <c r="A1471" s="589">
        <v>990243</v>
      </c>
      <c r="B1471" t="s">
        <v>30431</v>
      </c>
      <c r="C1471" t="s">
        <v>11227</v>
      </c>
      <c r="D1471">
        <v>41.81</v>
      </c>
      <c r="E1471" s="56" t="str">
        <f t="shared" si="114"/>
        <v>CAMINHÃO BASCULANTE 6M3 TOCO, PESO BRUTO TOTAL 16.000KG, CARGA ÚTIL MÁX. 11.130KG, DIST. ENTRE EIXOS 5,36M, POT. 185 CV, INCL. CAÇAMBA METÁLICA - MANUTENÇÃO</v>
      </c>
      <c r="F1471" s="56" t="str">
        <f t="shared" si="115"/>
        <v>H</v>
      </c>
      <c r="G1471">
        <f t="shared" si="116"/>
        <v>41.81</v>
      </c>
      <c r="H1471">
        <f t="shared" si="117"/>
        <v>41.81</v>
      </c>
    </row>
    <row r="1472" spans="1:8" ht="43.2">
      <c r="A1472" s="589">
        <v>990244</v>
      </c>
      <c r="B1472" t="s">
        <v>30432</v>
      </c>
      <c r="C1472" t="s">
        <v>11227</v>
      </c>
      <c r="D1472">
        <v>0.33</v>
      </c>
      <c r="E1472" s="56" t="str">
        <f t="shared" si="114"/>
        <v>VIBRADOR DE IMERSÃO, DIÂMETRO DE PONTEIRA 45MM, MOTOR ELÉTRICO TRIFÁSICO POTÊNCIA DE 2 CV - MANUTENÇÃO</v>
      </c>
      <c r="F1472" s="56" t="str">
        <f t="shared" si="115"/>
        <v>H</v>
      </c>
      <c r="G1472">
        <f t="shared" si="116"/>
        <v>0.33</v>
      </c>
      <c r="H1472">
        <f t="shared" si="117"/>
        <v>0.33</v>
      </c>
    </row>
    <row r="1473" spans="1:8" ht="72">
      <c r="A1473" s="589">
        <v>990245</v>
      </c>
      <c r="B1473" t="s">
        <v>30433</v>
      </c>
      <c r="C1473" t="s">
        <v>11227</v>
      </c>
      <c r="D1473">
        <v>46.28</v>
      </c>
      <c r="E1473" s="56" t="str">
        <f t="shared" si="114"/>
        <v>GUINDAUTO HIDRÁULICO, CAPACIDADE MÁXIMA DE CARGA 6200 KG, MOMENTO MÁXIMO DE CARGA 11,7 TM, ALCANCE MÁXIMO HORIZONTAL 9,70 M, INCLUSIVE CAMINHÃO TOCO PBT 16.000 KG, POTÊNCIA DE 189 CV - MANUTENÇÃO.</v>
      </c>
      <c r="F1473" s="56" t="str">
        <f t="shared" si="115"/>
        <v>H</v>
      </c>
      <c r="G1473">
        <f t="shared" si="116"/>
        <v>46.28</v>
      </c>
      <c r="H1473">
        <f t="shared" si="117"/>
        <v>46.28</v>
      </c>
    </row>
    <row r="1474" spans="1:8" ht="43.2">
      <c r="A1474" s="589">
        <v>990246</v>
      </c>
      <c r="B1474" t="s">
        <v>30434</v>
      </c>
      <c r="C1474" t="s">
        <v>11227</v>
      </c>
      <c r="D1474">
        <v>70.87</v>
      </c>
      <c r="E1474" s="56" t="str">
        <f t="shared" si="114"/>
        <v>PÁ CARREGADEIRA SOBRE RODAS, POTÊNCIA LÍQUIDA 128 HP, CAPACIDADE DA CAÇAMBA 1,7 A 2,8 M3, PESO OPERACIONAL 11632 KG - MANUTENÇÃO.</v>
      </c>
      <c r="F1474" s="56" t="str">
        <f t="shared" si="115"/>
        <v>H</v>
      </c>
      <c r="G1474">
        <f t="shared" si="116"/>
        <v>70.87</v>
      </c>
      <c r="H1474">
        <f t="shared" si="117"/>
        <v>70.87</v>
      </c>
    </row>
    <row r="1475" spans="1:8" ht="72">
      <c r="A1475" s="589">
        <v>990247</v>
      </c>
      <c r="B1475" t="s">
        <v>30435</v>
      </c>
      <c r="C1475" t="s">
        <v>11227</v>
      </c>
      <c r="D1475">
        <v>1.06</v>
      </c>
      <c r="E1475" s="56" t="str">
        <f t="shared" si="114"/>
        <v>CORTADORA DE PISO COM MOTOR 4 TEMPOS A GASOLINA, POTÊNCIA DE 13 HP, COM DISCO DE CORTE DIAMANTADO SEGMENTADO PARA CONCRETO, DIÂMETRO DE 350 MM, FURO DE 1" (14 X 1") - MANUTENÇÃO</v>
      </c>
      <c r="F1475" s="56" t="str">
        <f t="shared" si="115"/>
        <v>H</v>
      </c>
      <c r="G1475">
        <f t="shared" si="116"/>
        <v>1.06</v>
      </c>
      <c r="H1475">
        <f t="shared" si="117"/>
        <v>1.06</v>
      </c>
    </row>
    <row r="1476" spans="1:8" ht="43.2">
      <c r="A1476" s="589">
        <v>990248</v>
      </c>
      <c r="B1476" t="s">
        <v>30436</v>
      </c>
      <c r="C1476" t="s">
        <v>11227</v>
      </c>
      <c r="D1476">
        <v>1.05</v>
      </c>
      <c r="E1476" s="56" t="str">
        <f t="shared" si="114"/>
        <v>COMPACTADOR DE SOLOS DE PERCUSÃO (SOQUETE) COM MOTOR A GASOLINA, POTÊNCIA 3 CV - MANUTENÇÃO</v>
      </c>
      <c r="F1476" s="56" t="str">
        <f t="shared" si="115"/>
        <v>H</v>
      </c>
      <c r="G1476">
        <f t="shared" si="116"/>
        <v>1.05</v>
      </c>
      <c r="H1476">
        <f t="shared" si="117"/>
        <v>1.05</v>
      </c>
    </row>
    <row r="1477" spans="1:8" ht="86.4">
      <c r="A1477" s="589">
        <v>990249</v>
      </c>
      <c r="B1477" t="s">
        <v>30437</v>
      </c>
      <c r="C1477" t="s">
        <v>11227</v>
      </c>
      <c r="D1477">
        <v>29.04</v>
      </c>
      <c r="E1477" s="56" t="str">
        <f t="shared" si="114"/>
        <v>RETROESCAVADEIRA SOBRE RODAS COM CARREGADEIRA, TRAÇÃO 4X2, POTÊNCIA LÍQ. 79 HP, CAÇAMBA CARREG. CAP. MÍN. 1 M3, CAÇAMBA RETRO CAP. 0,20 M3, PESO OPERACIONAL MÍN. 6.570 KG, PROFUNDIDADE ESCAVAÇÃO MÁX. 4,37 M - MANUTENÇÃO</v>
      </c>
      <c r="F1477" s="56" t="str">
        <f t="shared" si="115"/>
        <v>H</v>
      </c>
      <c r="G1477">
        <f t="shared" si="116"/>
        <v>29.04</v>
      </c>
      <c r="H1477">
        <f t="shared" si="117"/>
        <v>29.04</v>
      </c>
    </row>
    <row r="1478" spans="1:8" ht="57.6">
      <c r="A1478" s="589">
        <v>990250</v>
      </c>
      <c r="B1478" t="s">
        <v>30438</v>
      </c>
      <c r="C1478" t="s">
        <v>11227</v>
      </c>
      <c r="D1478">
        <v>36.99</v>
      </c>
      <c r="E1478" s="56" t="str">
        <f t="shared" si="114"/>
        <v>CAMINHÃO PIPA 6.000 L, PESO BRUTO TOTAL 13.000 KG, DISTÂNCIA ENTRE EIXOS 4,80 M, POTÊNCIA 189 CV INCLUSIVE TANQUE DE AÇO PARA TRANSPORTE DE ÁGUA, CAPACIDADE 6 M3 - MANUTENÇÃO</v>
      </c>
      <c r="F1478" s="56" t="str">
        <f t="shared" si="115"/>
        <v>H</v>
      </c>
      <c r="G1478">
        <f t="shared" si="116"/>
        <v>36.99</v>
      </c>
      <c r="H1478">
        <f t="shared" si="117"/>
        <v>36.99</v>
      </c>
    </row>
    <row r="1479" spans="1:8" ht="43.2">
      <c r="A1479" s="589">
        <v>990251</v>
      </c>
      <c r="B1479" t="s">
        <v>30439</v>
      </c>
      <c r="C1479" t="s">
        <v>11227</v>
      </c>
      <c r="D1479">
        <v>0.85</v>
      </c>
      <c r="E1479" s="56" t="str">
        <f t="shared" si="114"/>
        <v>MARTELO DEMOLIDOR ELÉTRICO, COM POTÊNCIA DE 2.000 W, 1.000 IMPACTOS POR MINUTO, PESO DE 30 KG - MANUTENÇÃO</v>
      </c>
      <c r="F1479" s="56" t="str">
        <f t="shared" si="115"/>
        <v>H</v>
      </c>
      <c r="G1479">
        <f t="shared" si="116"/>
        <v>0.85</v>
      </c>
      <c r="H1479">
        <f t="shared" si="117"/>
        <v>0.85</v>
      </c>
    </row>
    <row r="1480" spans="1:8" ht="57.6">
      <c r="A1480" s="589">
        <v>990252</v>
      </c>
      <c r="B1480" t="s">
        <v>35756</v>
      </c>
      <c r="C1480" t="s">
        <v>11227</v>
      </c>
      <c r="D1480">
        <v>0.11</v>
      </c>
      <c r="E1480" s="56" t="str">
        <f t="shared" si="114"/>
        <v>LAVADORA DE ALTA PRESSAO (LAVA-JATO) PARA AGUA FRIA, PRESSAO DE OPERACAO ENTRE 1400 E 1900 LIB/POL2, VAZAO MAXIMA ENTRE 400 E 700 L/H - MANUTENÇÃO</v>
      </c>
      <c r="F1480" s="56" t="str">
        <f t="shared" si="115"/>
        <v>H</v>
      </c>
      <c r="G1480">
        <f t="shared" si="116"/>
        <v>0.11</v>
      </c>
      <c r="H1480">
        <f t="shared" si="117"/>
        <v>0.11</v>
      </c>
    </row>
    <row r="1481" spans="1:8" ht="43.2">
      <c r="A1481" s="589">
        <v>990253</v>
      </c>
      <c r="B1481" t="s">
        <v>35757</v>
      </c>
      <c r="C1481" t="s">
        <v>11227</v>
      </c>
      <c r="D1481">
        <v>160.16999999999999</v>
      </c>
      <c r="E1481" s="56" t="str">
        <f t="shared" si="114"/>
        <v>GUINDASTE HIDRÁULICO AUTOPROPELIDO, COM LANÇA TELESCÓPICA 40 M, CAPACIDADE MÁXIMA 60 T, POTÊNCIA 260 KW - MANUTENÇÃO</v>
      </c>
      <c r="F1481" s="56" t="str">
        <f t="shared" si="115"/>
        <v>H</v>
      </c>
      <c r="G1481">
        <f t="shared" si="116"/>
        <v>160.16999999999999</v>
      </c>
      <c r="H1481">
        <f t="shared" si="117"/>
        <v>160.16999999999999</v>
      </c>
    </row>
    <row r="1482" spans="1:8" ht="57.6">
      <c r="A1482" s="589">
        <v>990254</v>
      </c>
      <c r="B1482" t="s">
        <v>30440</v>
      </c>
      <c r="C1482" t="s">
        <v>11227</v>
      </c>
      <c r="D1482">
        <v>1.1000000000000001</v>
      </c>
      <c r="E1482" s="56" t="str">
        <f t="shared" si="114"/>
        <v>BETONEIRA CAPACIDADE NOMINAL DE 400 L, CAPACIDADE DE MISTURA 280 L, MOTOR ELÉTRICO TRIFÁSICO POTÊNCIA DE 2 CV, SEM CARREGADOR - MATERIAIS NA OPERAÇÃO</v>
      </c>
      <c r="F1482" s="56" t="str">
        <f t="shared" si="115"/>
        <v>H</v>
      </c>
      <c r="G1482">
        <f t="shared" si="116"/>
        <v>1.1000000000000001</v>
      </c>
      <c r="H1482">
        <f t="shared" si="117"/>
        <v>1.1000000000000001</v>
      </c>
    </row>
    <row r="1483" spans="1:8" ht="57.6">
      <c r="A1483" s="589">
        <v>990255</v>
      </c>
      <c r="B1483" t="s">
        <v>30441</v>
      </c>
      <c r="C1483" t="s">
        <v>11227</v>
      </c>
      <c r="D1483">
        <v>83.76</v>
      </c>
      <c r="E1483" s="56" t="str">
        <f t="shared" si="114"/>
        <v>CAMINHÃO BASCULANTE 6M3 TOCO, PESO BRUTO TOTAL 16.000 KG, CARGA ÚTIL MÁX. 11.130KG, DIST. ENTRE EIXOS 5,36M, POT. 185CV, INCL. CAÇAMBA METÁLICA - MATERIAIS NA OPERAÇÃO</v>
      </c>
      <c r="F1483" s="56" t="str">
        <f t="shared" si="115"/>
        <v>H</v>
      </c>
      <c r="G1483">
        <f t="shared" si="116"/>
        <v>83.76</v>
      </c>
      <c r="H1483">
        <f t="shared" si="117"/>
        <v>83.76</v>
      </c>
    </row>
    <row r="1484" spans="1:8" ht="43.2">
      <c r="A1484" s="589">
        <v>990256</v>
      </c>
      <c r="B1484" t="s">
        <v>30442</v>
      </c>
      <c r="C1484" t="s">
        <v>11227</v>
      </c>
      <c r="D1484">
        <v>1.1000000000000001</v>
      </c>
      <c r="E1484" s="56" t="str">
        <f t="shared" si="114"/>
        <v>VIBRADOR DE IMERSÃO, DIÂMETRO DE PONTEIRA 45MM, MOTOR ELÉTRICO TRIFÁSICO POTÊNCIA DE 2 CV - MATERIAIS NA OPERAÇÃO.</v>
      </c>
      <c r="F1484" s="56" t="str">
        <f t="shared" si="115"/>
        <v>H</v>
      </c>
      <c r="G1484">
        <f t="shared" si="116"/>
        <v>1.1000000000000001</v>
      </c>
      <c r="H1484">
        <f t="shared" si="117"/>
        <v>1.1000000000000001</v>
      </c>
    </row>
    <row r="1485" spans="1:8" ht="72">
      <c r="A1485" s="589">
        <v>990257</v>
      </c>
      <c r="B1485" t="s">
        <v>30443</v>
      </c>
      <c r="C1485" t="s">
        <v>11227</v>
      </c>
      <c r="D1485">
        <v>162.54</v>
      </c>
      <c r="E1485" s="56" t="str">
        <f t="shared" si="114"/>
        <v>GUINDAUTO HIDRÁULICO, CAPACIDADE MÁXIMA DE CARGA 6200 KG, MOMENTO MÁXIMO DE CARGA 11,7 TM, ALCANCE MÁXIMO HORIZONTAL 9,70 M, INCLUSIVE CAMINHÃO TOCO PBT 16.000 KG, POTÊNCIA DE 189 CV - MATERIAIS NA OPERAÇÃO.</v>
      </c>
      <c r="F1485" s="56" t="str">
        <f t="shared" si="115"/>
        <v>H</v>
      </c>
      <c r="G1485">
        <f t="shared" si="116"/>
        <v>162.54</v>
      </c>
      <c r="H1485">
        <f t="shared" si="117"/>
        <v>162.54</v>
      </c>
    </row>
    <row r="1486" spans="1:8" ht="57.6">
      <c r="A1486" s="589">
        <v>990258</v>
      </c>
      <c r="B1486" t="s">
        <v>30444</v>
      </c>
      <c r="C1486" t="s">
        <v>11227</v>
      </c>
      <c r="D1486">
        <v>46.98</v>
      </c>
      <c r="E1486" s="56" t="str">
        <f t="shared" si="114"/>
        <v>PÁ CARREGADEIRA SOBRE RODAS, POTÊNCIA LÍQUIDA 128 HP, CAPACIDADE DA CAÇAMBA 1,7 A 2,8 M3, PESO OPERACIONAL 11632 KG - MATERIAIS NA OPERAÇÃO.</v>
      </c>
      <c r="F1486" s="56" t="str">
        <f t="shared" si="115"/>
        <v>H</v>
      </c>
      <c r="G1486">
        <f t="shared" si="116"/>
        <v>46.98</v>
      </c>
      <c r="H1486">
        <f t="shared" si="117"/>
        <v>46.98</v>
      </c>
    </row>
    <row r="1487" spans="1:8" ht="72">
      <c r="A1487" s="589">
        <v>990259</v>
      </c>
      <c r="B1487" t="s">
        <v>30445</v>
      </c>
      <c r="C1487" t="s">
        <v>11227</v>
      </c>
      <c r="D1487">
        <v>9.23</v>
      </c>
      <c r="E1487" s="56" t="str">
        <f t="shared" si="114"/>
        <v>CORTADORA DE PISO COM MOTOR 4 TEMPOS A GASOLINA, POTÊNCIA DE 13 HP, COM DISCO DE CORTE DIAMANTADO SEGMENTADO PARA CONCRETO, DIÂMETRO DE 350 MM, FURO DE 1" (14 X 1") - MATERIAIS NA OPERAÇÃO</v>
      </c>
      <c r="F1487" s="56" t="str">
        <f t="shared" si="115"/>
        <v>H</v>
      </c>
      <c r="G1487">
        <f t="shared" si="116"/>
        <v>9.23</v>
      </c>
      <c r="H1487">
        <f t="shared" si="117"/>
        <v>9.23</v>
      </c>
    </row>
    <row r="1488" spans="1:8" ht="43.2">
      <c r="A1488" s="589">
        <v>990260</v>
      </c>
      <c r="B1488" t="s">
        <v>30446</v>
      </c>
      <c r="C1488" t="s">
        <v>11227</v>
      </c>
      <c r="D1488">
        <v>6.56</v>
      </c>
      <c r="E1488" s="56" t="str">
        <f t="shared" si="114"/>
        <v>COMPACTADOR DE SOLOS DE PERCUSÃO (SOQUETE) COM MOTOR A GASOLINA, POTÊNCIA 3 CV - MATERIAIS NA OPERAÇÃO</v>
      </c>
      <c r="F1488" s="56" t="str">
        <f t="shared" si="115"/>
        <v>H</v>
      </c>
      <c r="G1488">
        <f t="shared" si="116"/>
        <v>6.56</v>
      </c>
      <c r="H1488">
        <f t="shared" si="117"/>
        <v>6.56</v>
      </c>
    </row>
    <row r="1489" spans="1:8" ht="86.4">
      <c r="A1489" s="589">
        <v>990261</v>
      </c>
      <c r="B1489" t="s">
        <v>30447</v>
      </c>
      <c r="C1489" t="s">
        <v>11227</v>
      </c>
      <c r="D1489">
        <v>47.1</v>
      </c>
      <c r="E1489" s="56" t="str">
        <f t="shared" si="114"/>
        <v>RETROESCAVADEIRA SOBRE RODAS COM CARREGADEIRA, TRAÇÃO 4X2, POTÊNCIA LÍQ. 79 HP, CAÇAMBA CARREG. CAP. MÍN. 1 M3, CAÇAMBA RETRO CAP. 0,20 M3, PESO OPERACIONAL MÍN. 6.570 KG, PROFUNDIDADE ESCAVAÇÃO MÁX. 4,37 M - MATERIAIS NA OPERAÇÃO</v>
      </c>
      <c r="F1489" s="56" t="str">
        <f t="shared" si="115"/>
        <v>H</v>
      </c>
      <c r="G1489">
        <f t="shared" si="116"/>
        <v>47.1</v>
      </c>
      <c r="H1489">
        <f t="shared" si="117"/>
        <v>47.1</v>
      </c>
    </row>
    <row r="1490" spans="1:8" ht="72">
      <c r="A1490" s="589">
        <v>990262</v>
      </c>
      <c r="B1490" t="s">
        <v>30448</v>
      </c>
      <c r="C1490" t="s">
        <v>11227</v>
      </c>
      <c r="D1490">
        <v>162.54</v>
      </c>
      <c r="E1490" s="56" t="str">
        <f t="shared" si="114"/>
        <v>CAMINHÃO PIPA 6.000 L, PESO BRUTO TOTAL 13.000 KG, DISTÂNCIA ENTRE EIXOS 4,80 M, POTÊNCIA 189 CV INCLUSIVE TANQUE DE AÇO PARA TRANSPORTE DE ÁGUA, CAPACIDADE 6 M3 - MATERIAIS NA OPERAÇÃO</v>
      </c>
      <c r="F1490" s="56" t="str">
        <f t="shared" si="115"/>
        <v>H</v>
      </c>
      <c r="G1490">
        <f t="shared" si="116"/>
        <v>162.54</v>
      </c>
      <c r="H1490">
        <f t="shared" si="117"/>
        <v>162.54</v>
      </c>
    </row>
    <row r="1491" spans="1:8" ht="43.2">
      <c r="A1491" s="589">
        <v>990263</v>
      </c>
      <c r="B1491" t="s">
        <v>30449</v>
      </c>
      <c r="C1491" t="s">
        <v>11227</v>
      </c>
      <c r="D1491">
        <v>1.46</v>
      </c>
      <c r="E1491" s="56" t="str">
        <f t="shared" si="114"/>
        <v>MARTELO DEMOLIDOR ELÉTRICO, COM POTÊNCIA DE 2.000 W, 1.000 IMPACTOS POR MINUTO, PESO DE 30 KG - MATERIAIS NA OPERAÇÃO</v>
      </c>
      <c r="F1491" s="56" t="str">
        <f t="shared" si="115"/>
        <v>H</v>
      </c>
      <c r="G1491">
        <f t="shared" si="116"/>
        <v>1.46</v>
      </c>
      <c r="H1491">
        <f t="shared" si="117"/>
        <v>1.46</v>
      </c>
    </row>
    <row r="1492" spans="1:8" ht="57.6">
      <c r="A1492" s="589">
        <v>990264</v>
      </c>
      <c r="B1492" t="s">
        <v>35758</v>
      </c>
      <c r="C1492" t="s">
        <v>11227</v>
      </c>
      <c r="D1492">
        <v>1.61</v>
      </c>
      <c r="E1492" s="56" t="str">
        <f t="shared" si="114"/>
        <v>LAVADORA DE ALTA PRESSAO (LAVA-JATO) PARA AGUA FRIA, PRESSAO DE OPERACAO ENTRE 1400 E 1900 LIB/POL2, VAZAO MAXIMA ENTRE 400 E 700 L/H - MATERIAIS NA OPERAÇÃO</v>
      </c>
      <c r="F1492" s="56" t="str">
        <f t="shared" si="115"/>
        <v>H</v>
      </c>
      <c r="G1492">
        <f t="shared" si="116"/>
        <v>1.61</v>
      </c>
      <c r="H1492">
        <f t="shared" si="117"/>
        <v>1.61</v>
      </c>
    </row>
    <row r="1493" spans="1:8" ht="43.2">
      <c r="A1493" s="589">
        <v>990265</v>
      </c>
      <c r="B1493" t="s">
        <v>35759</v>
      </c>
      <c r="C1493" t="s">
        <v>11227</v>
      </c>
      <c r="D1493">
        <v>11.18</v>
      </c>
      <c r="E1493" s="56" t="str">
        <f t="shared" si="114"/>
        <v>GUINDASTE HIDRÁULICO AUTOPROPELIDO, COM LANÇA TELESCÓPICA 40 M, CAPACIDADE MÁXIMA 60 T, POTÊNCIA 260 KW - MATERIAIS NA OPERAÇÃO</v>
      </c>
      <c r="F1493" s="56" t="str">
        <f t="shared" si="115"/>
        <v>H</v>
      </c>
      <c r="G1493">
        <f t="shared" si="116"/>
        <v>11.18</v>
      </c>
      <c r="H1493">
        <f t="shared" si="117"/>
        <v>11.18</v>
      </c>
    </row>
    <row r="1494" spans="1:8" ht="57.6">
      <c r="A1494" s="589">
        <v>990266</v>
      </c>
      <c r="B1494" t="s">
        <v>30450</v>
      </c>
      <c r="C1494" t="s">
        <v>11227</v>
      </c>
      <c r="D1494">
        <v>3.6</v>
      </c>
      <c r="E1494" s="56" t="str">
        <f t="shared" si="114"/>
        <v>CAMINHÃO BASCULANTE 6M3 TOCO, PESO BRUTO TOTAL 16.000KG, CARGA ÚTIL MÁX. 11.130 KG, DIST. ENTRE EIXOS 5,36 M, POT. 185CV, INCL. CAÇAMBA METÁLICA - IMPOSTOS E SEGUROS</v>
      </c>
      <c r="F1494" s="56" t="str">
        <f t="shared" si="115"/>
        <v>H</v>
      </c>
      <c r="G1494">
        <f t="shared" si="116"/>
        <v>3.6</v>
      </c>
      <c r="H1494">
        <f t="shared" si="117"/>
        <v>3.6</v>
      </c>
    </row>
    <row r="1495" spans="1:8" ht="72">
      <c r="A1495" s="589">
        <v>990267</v>
      </c>
      <c r="B1495" t="s">
        <v>30451</v>
      </c>
      <c r="C1495" t="s">
        <v>11227</v>
      </c>
      <c r="D1495">
        <v>4.05</v>
      </c>
      <c r="E1495" s="56" t="str">
        <f t="shared" si="114"/>
        <v>GUINDAUTO HIDRÁULICO, CAPACIDADE MÁXIMA DE CARGA 6200 KG, MOMENTO MÁXIMO DE CARGA 11,7 TM, ALCANCE MÁXIMO HORIZONTAL 9,70 M, INCLUSIVE CAMINHÃO TOCO PBT 16.000 KG, POTÊNCIA DE 189 CV - IMPOSTOS E SEGUROS.</v>
      </c>
      <c r="F1495" s="56" t="str">
        <f t="shared" si="115"/>
        <v>H</v>
      </c>
      <c r="G1495">
        <f t="shared" si="116"/>
        <v>4.05</v>
      </c>
      <c r="H1495">
        <f t="shared" si="117"/>
        <v>4.05</v>
      </c>
    </row>
    <row r="1496" spans="1:8" ht="57.6">
      <c r="A1496" s="589">
        <v>990268</v>
      </c>
      <c r="B1496" t="s">
        <v>30452</v>
      </c>
      <c r="C1496" t="s">
        <v>11227</v>
      </c>
      <c r="D1496">
        <v>3.27</v>
      </c>
      <c r="E1496" s="56" t="str">
        <f t="shared" si="114"/>
        <v>CAMINHÃO PIPA 6.000 L, PESO BRUTO TOTAL 13.000 KG, DISTÂNCIA ENTRE EIXOS 4,80 M, POTÊNCIA 189 CV INCLUSIVE TANQUE DE AÇO PARA TRANSPORTE DE ÁGUA, CAPACIDADE 6 M3 - IMPOSTOS E SEGUROS</v>
      </c>
      <c r="F1496" s="56" t="str">
        <f t="shared" si="115"/>
        <v>H</v>
      </c>
      <c r="G1496">
        <f t="shared" si="116"/>
        <v>3.27</v>
      </c>
      <c r="H1496">
        <f t="shared" si="117"/>
        <v>3.27</v>
      </c>
    </row>
    <row r="1497" spans="1:8" ht="43.2">
      <c r="A1497" s="589">
        <v>990269</v>
      </c>
      <c r="B1497" t="s">
        <v>35760</v>
      </c>
      <c r="C1497" t="s">
        <v>11227</v>
      </c>
      <c r="D1497">
        <v>14.19</v>
      </c>
      <c r="E1497" s="56" t="str">
        <f t="shared" si="114"/>
        <v>GUINDASTE HIDRÁULICO AUTOPROPELIDO, COM LANÇA TELESCÓPICA 40 M, CAPACIDADE MÁXIMA 60 T, POTÊNCIA 260 KW - IMPOSTOS E SEGUROS</v>
      </c>
      <c r="F1497" s="56" t="str">
        <f t="shared" si="115"/>
        <v>H</v>
      </c>
      <c r="G1497">
        <f t="shared" si="116"/>
        <v>14.19</v>
      </c>
      <c r="H1497">
        <f t="shared" si="117"/>
        <v>14.19</v>
      </c>
    </row>
    <row r="1498" spans="1:8">
      <c r="E1498" s="56" t="str">
        <f t="shared" si="114"/>
        <v/>
      </c>
      <c r="F1498" s="56" t="str">
        <f t="shared" si="115"/>
        <v/>
      </c>
      <c r="G1498">
        <f t="shared" si="116"/>
        <v>0</v>
      </c>
      <c r="H1498">
        <f t="shared" si="117"/>
        <v>0</v>
      </c>
    </row>
    <row r="1499" spans="1:8">
      <c r="E1499" s="56" t="str">
        <f t="shared" si="114"/>
        <v/>
      </c>
      <c r="F1499" s="56" t="str">
        <f t="shared" si="115"/>
        <v/>
      </c>
      <c r="G1499">
        <f t="shared" si="116"/>
        <v>0</v>
      </c>
      <c r="H1499">
        <f t="shared" si="117"/>
        <v>0</v>
      </c>
    </row>
    <row r="1500" spans="1:8">
      <c r="E1500" s="56" t="str">
        <f t="shared" si="114"/>
        <v/>
      </c>
      <c r="F1500" s="56" t="str">
        <f t="shared" si="115"/>
        <v/>
      </c>
      <c r="G1500">
        <f t="shared" si="116"/>
        <v>0</v>
      </c>
      <c r="H1500">
        <f t="shared" si="117"/>
        <v>0</v>
      </c>
    </row>
    <row r="1501" spans="1:8">
      <c r="E1501" s="56" t="str">
        <f t="shared" si="114"/>
        <v/>
      </c>
      <c r="F1501" s="56" t="str">
        <f t="shared" si="115"/>
        <v/>
      </c>
      <c r="G1501">
        <f t="shared" si="116"/>
        <v>0</v>
      </c>
      <c r="H1501">
        <f t="shared" si="117"/>
        <v>0</v>
      </c>
    </row>
    <row r="1502" spans="1:8">
      <c r="E1502" s="56" t="str">
        <f t="shared" si="114"/>
        <v/>
      </c>
      <c r="F1502" s="56" t="str">
        <f t="shared" si="115"/>
        <v/>
      </c>
      <c r="G1502">
        <f t="shared" si="116"/>
        <v>0</v>
      </c>
      <c r="H1502">
        <f t="shared" si="117"/>
        <v>0</v>
      </c>
    </row>
    <row r="1503" spans="1:8">
      <c r="E1503" s="56" t="str">
        <f t="shared" si="114"/>
        <v/>
      </c>
      <c r="F1503" s="56" t="str">
        <f t="shared" si="115"/>
        <v/>
      </c>
      <c r="G1503">
        <f t="shared" si="116"/>
        <v>0</v>
      </c>
      <c r="H1503">
        <f t="shared" si="117"/>
        <v>0</v>
      </c>
    </row>
    <row r="1504" spans="1:8">
      <c r="E1504" s="56" t="str">
        <f t="shared" si="114"/>
        <v/>
      </c>
      <c r="F1504" s="56" t="str">
        <f t="shared" si="115"/>
        <v/>
      </c>
      <c r="G1504">
        <f t="shared" si="116"/>
        <v>0</v>
      </c>
      <c r="H1504">
        <f t="shared" si="117"/>
        <v>0</v>
      </c>
    </row>
    <row r="1505" spans="5:8">
      <c r="E1505" s="56" t="str">
        <f t="shared" si="114"/>
        <v/>
      </c>
      <c r="F1505" s="56" t="str">
        <f t="shared" si="115"/>
        <v/>
      </c>
      <c r="G1505">
        <f t="shared" si="116"/>
        <v>0</v>
      </c>
      <c r="H1505">
        <f t="shared" si="117"/>
        <v>0</v>
      </c>
    </row>
    <row r="1506" spans="5:8">
      <c r="E1506" s="56" t="str">
        <f t="shared" si="114"/>
        <v/>
      </c>
      <c r="F1506" s="56" t="str">
        <f t="shared" si="115"/>
        <v/>
      </c>
      <c r="G1506">
        <f t="shared" si="116"/>
        <v>0</v>
      </c>
      <c r="H1506">
        <f t="shared" si="117"/>
        <v>0</v>
      </c>
    </row>
    <row r="1507" spans="5:8">
      <c r="E1507" s="56" t="str">
        <f t="shared" si="114"/>
        <v/>
      </c>
      <c r="F1507" s="56" t="str">
        <f t="shared" si="115"/>
        <v/>
      </c>
      <c r="G1507">
        <f t="shared" si="116"/>
        <v>0</v>
      </c>
      <c r="H1507">
        <f t="shared" si="117"/>
        <v>0</v>
      </c>
    </row>
    <row r="1508" spans="5:8">
      <c r="E1508" s="56" t="str">
        <f t="shared" si="114"/>
        <v/>
      </c>
      <c r="F1508" s="56" t="str">
        <f t="shared" si="115"/>
        <v/>
      </c>
      <c r="G1508">
        <f t="shared" si="116"/>
        <v>0</v>
      </c>
      <c r="H1508">
        <f t="shared" si="117"/>
        <v>0</v>
      </c>
    </row>
    <row r="1509" spans="5:8">
      <c r="E1509" s="56" t="str">
        <f t="shared" si="114"/>
        <v/>
      </c>
      <c r="F1509" s="56" t="str">
        <f t="shared" si="115"/>
        <v/>
      </c>
      <c r="G1509">
        <f t="shared" si="116"/>
        <v>0</v>
      </c>
      <c r="H1509">
        <f t="shared" si="117"/>
        <v>0</v>
      </c>
    </row>
    <row r="1510" spans="5:8">
      <c r="E1510" s="56" t="str">
        <f t="shared" si="114"/>
        <v/>
      </c>
      <c r="F1510" s="56" t="str">
        <f t="shared" si="115"/>
        <v/>
      </c>
      <c r="G1510">
        <f t="shared" si="116"/>
        <v>0</v>
      </c>
      <c r="H1510">
        <f t="shared" si="117"/>
        <v>0</v>
      </c>
    </row>
    <row r="1511" spans="5:8">
      <c r="E1511" s="56" t="str">
        <f t="shared" si="114"/>
        <v/>
      </c>
      <c r="F1511" s="56" t="str">
        <f t="shared" si="115"/>
        <v/>
      </c>
      <c r="G1511">
        <f t="shared" si="116"/>
        <v>0</v>
      </c>
      <c r="H1511">
        <f t="shared" si="117"/>
        <v>0</v>
      </c>
    </row>
    <row r="1512" spans="5:8">
      <c r="E1512" s="56" t="str">
        <f t="shared" si="114"/>
        <v/>
      </c>
      <c r="F1512" s="56" t="str">
        <f t="shared" si="115"/>
        <v/>
      </c>
      <c r="G1512">
        <f t="shared" si="116"/>
        <v>0</v>
      </c>
      <c r="H1512">
        <f t="shared" si="117"/>
        <v>0</v>
      </c>
    </row>
    <row r="1513" spans="5:8">
      <c r="E1513" s="56" t="str">
        <f t="shared" si="114"/>
        <v/>
      </c>
      <c r="F1513" s="56" t="str">
        <f t="shared" si="115"/>
        <v/>
      </c>
      <c r="G1513">
        <f t="shared" si="116"/>
        <v>0</v>
      </c>
      <c r="H1513">
        <f t="shared" si="117"/>
        <v>0</v>
      </c>
    </row>
    <row r="1514" spans="5:8">
      <c r="E1514" s="56" t="str">
        <f t="shared" si="114"/>
        <v/>
      </c>
      <c r="F1514" s="56" t="str">
        <f t="shared" si="115"/>
        <v/>
      </c>
      <c r="G1514">
        <f t="shared" si="116"/>
        <v>0</v>
      </c>
      <c r="H1514">
        <f t="shared" si="117"/>
        <v>0</v>
      </c>
    </row>
    <row r="1515" spans="5:8">
      <c r="E1515" s="56" t="str">
        <f t="shared" si="114"/>
        <v/>
      </c>
      <c r="F1515" s="56" t="str">
        <f t="shared" si="115"/>
        <v/>
      </c>
      <c r="G1515">
        <f t="shared" si="116"/>
        <v>0</v>
      </c>
      <c r="H1515">
        <f t="shared" si="117"/>
        <v>0</v>
      </c>
    </row>
    <row r="1516" spans="5:8">
      <c r="E1516" s="56" t="str">
        <f t="shared" si="114"/>
        <v/>
      </c>
      <c r="F1516" s="56" t="str">
        <f t="shared" si="115"/>
        <v/>
      </c>
      <c r="G1516">
        <f t="shared" si="116"/>
        <v>0</v>
      </c>
      <c r="H1516">
        <f t="shared" si="117"/>
        <v>0</v>
      </c>
    </row>
    <row r="1517" spans="5:8">
      <c r="E1517" s="56" t="str">
        <f t="shared" ref="E1517:E1580" si="118">UPPER(B1517)</f>
        <v/>
      </c>
      <c r="F1517" s="56" t="str">
        <f t="shared" ref="F1517:F1580" si="119">UPPER(C1517)</f>
        <v/>
      </c>
      <c r="G1517">
        <f t="shared" ref="G1517:G1580" si="120">D1517</f>
        <v>0</v>
      </c>
      <c r="H1517">
        <f t="shared" ref="H1517:H1580" si="121">ROUND(G1517/(1+$E$1),2)</f>
        <v>0</v>
      </c>
    </row>
    <row r="1518" spans="5:8">
      <c r="E1518" s="56" t="str">
        <f t="shared" si="118"/>
        <v/>
      </c>
      <c r="F1518" s="56" t="str">
        <f t="shared" si="119"/>
        <v/>
      </c>
      <c r="G1518">
        <f t="shared" si="120"/>
        <v>0</v>
      </c>
      <c r="H1518">
        <f t="shared" si="121"/>
        <v>0</v>
      </c>
    </row>
    <row r="1519" spans="5:8">
      <c r="E1519" s="56" t="str">
        <f t="shared" si="118"/>
        <v/>
      </c>
      <c r="F1519" s="56" t="str">
        <f t="shared" si="119"/>
        <v/>
      </c>
      <c r="G1519">
        <f t="shared" si="120"/>
        <v>0</v>
      </c>
      <c r="H1519">
        <f t="shared" si="121"/>
        <v>0</v>
      </c>
    </row>
    <row r="1520" spans="5:8">
      <c r="E1520" s="56" t="str">
        <f t="shared" si="118"/>
        <v/>
      </c>
      <c r="F1520" s="56" t="str">
        <f t="shared" si="119"/>
        <v/>
      </c>
      <c r="G1520">
        <f t="shared" si="120"/>
        <v>0</v>
      </c>
      <c r="H1520">
        <f t="shared" si="121"/>
        <v>0</v>
      </c>
    </row>
    <row r="1521" spans="5:8">
      <c r="E1521" s="56" t="str">
        <f t="shared" si="118"/>
        <v/>
      </c>
      <c r="F1521" s="56" t="str">
        <f t="shared" si="119"/>
        <v/>
      </c>
      <c r="G1521">
        <f t="shared" si="120"/>
        <v>0</v>
      </c>
      <c r="H1521">
        <f t="shared" si="121"/>
        <v>0</v>
      </c>
    </row>
    <row r="1522" spans="5:8">
      <c r="E1522" s="56" t="str">
        <f t="shared" si="118"/>
        <v/>
      </c>
      <c r="F1522" s="56" t="str">
        <f t="shared" si="119"/>
        <v/>
      </c>
      <c r="G1522">
        <f t="shared" si="120"/>
        <v>0</v>
      </c>
      <c r="H1522">
        <f t="shared" si="121"/>
        <v>0</v>
      </c>
    </row>
    <row r="1523" spans="5:8">
      <c r="E1523" s="56" t="str">
        <f t="shared" si="118"/>
        <v/>
      </c>
      <c r="F1523" s="56" t="str">
        <f t="shared" si="119"/>
        <v/>
      </c>
      <c r="G1523">
        <f t="shared" si="120"/>
        <v>0</v>
      </c>
      <c r="H1523">
        <f t="shared" si="121"/>
        <v>0</v>
      </c>
    </row>
    <row r="1524" spans="5:8">
      <c r="E1524" s="56" t="str">
        <f t="shared" si="118"/>
        <v/>
      </c>
      <c r="F1524" s="56" t="str">
        <f t="shared" si="119"/>
        <v/>
      </c>
      <c r="G1524">
        <f t="shared" si="120"/>
        <v>0</v>
      </c>
      <c r="H1524">
        <f t="shared" si="121"/>
        <v>0</v>
      </c>
    </row>
    <row r="1525" spans="5:8">
      <c r="E1525" s="56" t="str">
        <f t="shared" si="118"/>
        <v/>
      </c>
      <c r="F1525" s="56" t="str">
        <f t="shared" si="119"/>
        <v/>
      </c>
      <c r="G1525">
        <f t="shared" si="120"/>
        <v>0</v>
      </c>
      <c r="H1525">
        <f t="shared" si="121"/>
        <v>0</v>
      </c>
    </row>
    <row r="1526" spans="5:8">
      <c r="E1526" s="56" t="str">
        <f t="shared" si="118"/>
        <v/>
      </c>
      <c r="F1526" s="56" t="str">
        <f t="shared" si="119"/>
        <v/>
      </c>
      <c r="G1526">
        <f t="shared" si="120"/>
        <v>0</v>
      </c>
      <c r="H1526">
        <f t="shared" si="121"/>
        <v>0</v>
      </c>
    </row>
    <row r="1527" spans="5:8">
      <c r="E1527" s="56" t="str">
        <f t="shared" si="118"/>
        <v/>
      </c>
      <c r="F1527" s="56" t="str">
        <f t="shared" si="119"/>
        <v/>
      </c>
      <c r="G1527">
        <f t="shared" si="120"/>
        <v>0</v>
      </c>
      <c r="H1527">
        <f t="shared" si="121"/>
        <v>0</v>
      </c>
    </row>
    <row r="1528" spans="5:8">
      <c r="E1528" s="56" t="str">
        <f t="shared" si="118"/>
        <v/>
      </c>
      <c r="F1528" s="56" t="str">
        <f t="shared" si="119"/>
        <v/>
      </c>
      <c r="G1528">
        <f t="shared" si="120"/>
        <v>0</v>
      </c>
      <c r="H1528">
        <f t="shared" si="121"/>
        <v>0</v>
      </c>
    </row>
    <row r="1529" spans="5:8">
      <c r="E1529" s="56" t="str">
        <f t="shared" si="118"/>
        <v/>
      </c>
      <c r="F1529" s="56" t="str">
        <f t="shared" si="119"/>
        <v/>
      </c>
      <c r="G1529">
        <f t="shared" si="120"/>
        <v>0</v>
      </c>
      <c r="H1529">
        <f t="shared" si="121"/>
        <v>0</v>
      </c>
    </row>
    <row r="1530" spans="5:8">
      <c r="E1530" s="56" t="str">
        <f t="shared" si="118"/>
        <v/>
      </c>
      <c r="F1530" s="56" t="str">
        <f t="shared" si="119"/>
        <v/>
      </c>
      <c r="G1530">
        <f t="shared" si="120"/>
        <v>0</v>
      </c>
      <c r="H1530">
        <f t="shared" si="121"/>
        <v>0</v>
      </c>
    </row>
    <row r="1531" spans="5:8">
      <c r="E1531" s="56" t="str">
        <f t="shared" si="118"/>
        <v/>
      </c>
      <c r="F1531" s="56" t="str">
        <f t="shared" si="119"/>
        <v/>
      </c>
      <c r="G1531">
        <f t="shared" si="120"/>
        <v>0</v>
      </c>
      <c r="H1531">
        <f t="shared" si="121"/>
        <v>0</v>
      </c>
    </row>
    <row r="1532" spans="5:8">
      <c r="E1532" s="56" t="str">
        <f t="shared" si="118"/>
        <v/>
      </c>
      <c r="F1532" s="56" t="str">
        <f t="shared" si="119"/>
        <v/>
      </c>
      <c r="G1532">
        <f t="shared" si="120"/>
        <v>0</v>
      </c>
      <c r="H1532">
        <f t="shared" si="121"/>
        <v>0</v>
      </c>
    </row>
    <row r="1533" spans="5:8">
      <c r="E1533" s="56" t="str">
        <f t="shared" si="118"/>
        <v/>
      </c>
      <c r="F1533" s="56" t="str">
        <f t="shared" si="119"/>
        <v/>
      </c>
      <c r="G1533">
        <f t="shared" si="120"/>
        <v>0</v>
      </c>
      <c r="H1533">
        <f t="shared" si="121"/>
        <v>0</v>
      </c>
    </row>
    <row r="1534" spans="5:8">
      <c r="E1534" s="56" t="str">
        <f t="shared" si="118"/>
        <v/>
      </c>
      <c r="F1534" s="56" t="str">
        <f t="shared" si="119"/>
        <v/>
      </c>
      <c r="G1534">
        <f t="shared" si="120"/>
        <v>0</v>
      </c>
      <c r="H1534">
        <f t="shared" si="121"/>
        <v>0</v>
      </c>
    </row>
    <row r="1535" spans="5:8">
      <c r="E1535" s="56" t="str">
        <f t="shared" si="118"/>
        <v/>
      </c>
      <c r="F1535" s="56" t="str">
        <f t="shared" si="119"/>
        <v/>
      </c>
      <c r="G1535">
        <f t="shared" si="120"/>
        <v>0</v>
      </c>
      <c r="H1535">
        <f t="shared" si="121"/>
        <v>0</v>
      </c>
    </row>
    <row r="1536" spans="5:8">
      <c r="E1536" s="56" t="str">
        <f t="shared" si="118"/>
        <v/>
      </c>
      <c r="F1536" s="56" t="str">
        <f t="shared" si="119"/>
        <v/>
      </c>
      <c r="G1536">
        <f t="shared" si="120"/>
        <v>0</v>
      </c>
      <c r="H1536">
        <f t="shared" si="121"/>
        <v>0</v>
      </c>
    </row>
    <row r="1537" spans="5:8">
      <c r="E1537" s="56" t="str">
        <f t="shared" si="118"/>
        <v/>
      </c>
      <c r="F1537" s="56" t="str">
        <f t="shared" si="119"/>
        <v/>
      </c>
      <c r="G1537">
        <f t="shared" si="120"/>
        <v>0</v>
      </c>
      <c r="H1537">
        <f t="shared" si="121"/>
        <v>0</v>
      </c>
    </row>
    <row r="1538" spans="5:8">
      <c r="E1538" s="56" t="str">
        <f t="shared" si="118"/>
        <v/>
      </c>
      <c r="F1538" s="56" t="str">
        <f t="shared" si="119"/>
        <v/>
      </c>
      <c r="G1538">
        <f t="shared" si="120"/>
        <v>0</v>
      </c>
      <c r="H1538">
        <f t="shared" si="121"/>
        <v>0</v>
      </c>
    </row>
    <row r="1539" spans="5:8">
      <c r="E1539" s="56" t="str">
        <f t="shared" si="118"/>
        <v/>
      </c>
      <c r="F1539" s="56" t="str">
        <f t="shared" si="119"/>
        <v/>
      </c>
      <c r="G1539">
        <f t="shared" si="120"/>
        <v>0</v>
      </c>
      <c r="H1539">
        <f t="shared" si="121"/>
        <v>0</v>
      </c>
    </row>
    <row r="1540" spans="5:8">
      <c r="E1540" s="56" t="str">
        <f t="shared" si="118"/>
        <v/>
      </c>
      <c r="F1540" s="56" t="str">
        <f t="shared" si="119"/>
        <v/>
      </c>
      <c r="G1540">
        <f t="shared" si="120"/>
        <v>0</v>
      </c>
      <c r="H1540">
        <f t="shared" si="121"/>
        <v>0</v>
      </c>
    </row>
    <row r="1541" spans="5:8">
      <c r="E1541" s="56" t="str">
        <f t="shared" si="118"/>
        <v/>
      </c>
      <c r="F1541" s="56" t="str">
        <f t="shared" si="119"/>
        <v/>
      </c>
      <c r="G1541">
        <f t="shared" si="120"/>
        <v>0</v>
      </c>
      <c r="H1541">
        <f t="shared" si="121"/>
        <v>0</v>
      </c>
    </row>
    <row r="1542" spans="5:8">
      <c r="E1542" s="56" t="str">
        <f t="shared" si="118"/>
        <v/>
      </c>
      <c r="F1542" s="56" t="str">
        <f t="shared" si="119"/>
        <v/>
      </c>
      <c r="G1542">
        <f t="shared" si="120"/>
        <v>0</v>
      </c>
      <c r="H1542">
        <f t="shared" si="121"/>
        <v>0</v>
      </c>
    </row>
    <row r="1543" spans="5:8">
      <c r="E1543" s="56" t="str">
        <f t="shared" si="118"/>
        <v/>
      </c>
      <c r="F1543" s="56" t="str">
        <f t="shared" si="119"/>
        <v/>
      </c>
      <c r="G1543">
        <f t="shared" si="120"/>
        <v>0</v>
      </c>
      <c r="H1543">
        <f t="shared" si="121"/>
        <v>0</v>
      </c>
    </row>
    <row r="1544" spans="5:8">
      <c r="E1544" s="56" t="str">
        <f t="shared" si="118"/>
        <v/>
      </c>
      <c r="F1544" s="56" t="str">
        <f t="shared" si="119"/>
        <v/>
      </c>
      <c r="G1544">
        <f t="shared" si="120"/>
        <v>0</v>
      </c>
      <c r="H1544">
        <f t="shared" si="121"/>
        <v>0</v>
      </c>
    </row>
    <row r="1545" spans="5:8">
      <c r="E1545" s="56" t="str">
        <f t="shared" si="118"/>
        <v/>
      </c>
      <c r="F1545" s="56" t="str">
        <f t="shared" si="119"/>
        <v/>
      </c>
      <c r="G1545">
        <f t="shared" si="120"/>
        <v>0</v>
      </c>
      <c r="H1545">
        <f t="shared" si="121"/>
        <v>0</v>
      </c>
    </row>
    <row r="1546" spans="5:8">
      <c r="E1546" s="56" t="str">
        <f t="shared" si="118"/>
        <v/>
      </c>
      <c r="F1546" s="56" t="str">
        <f t="shared" si="119"/>
        <v/>
      </c>
      <c r="G1546">
        <f t="shared" si="120"/>
        <v>0</v>
      </c>
      <c r="H1546">
        <f t="shared" si="121"/>
        <v>0</v>
      </c>
    </row>
    <row r="1547" spans="5:8">
      <c r="E1547" s="56" t="str">
        <f t="shared" si="118"/>
        <v/>
      </c>
      <c r="F1547" s="56" t="str">
        <f t="shared" si="119"/>
        <v/>
      </c>
      <c r="G1547">
        <f t="shared" si="120"/>
        <v>0</v>
      </c>
      <c r="H1547">
        <f t="shared" si="121"/>
        <v>0</v>
      </c>
    </row>
    <row r="1548" spans="5:8">
      <c r="E1548" s="56" t="str">
        <f t="shared" si="118"/>
        <v/>
      </c>
      <c r="F1548" s="56" t="str">
        <f t="shared" si="119"/>
        <v/>
      </c>
      <c r="G1548">
        <f t="shared" si="120"/>
        <v>0</v>
      </c>
      <c r="H1548">
        <f t="shared" si="121"/>
        <v>0</v>
      </c>
    </row>
    <row r="1549" spans="5:8">
      <c r="E1549" s="56" t="str">
        <f t="shared" si="118"/>
        <v/>
      </c>
      <c r="F1549" s="56" t="str">
        <f t="shared" si="119"/>
        <v/>
      </c>
      <c r="G1549">
        <f t="shared" si="120"/>
        <v>0</v>
      </c>
      <c r="H1549">
        <f t="shared" si="121"/>
        <v>0</v>
      </c>
    </row>
    <row r="1550" spans="5:8">
      <c r="E1550" s="56" t="str">
        <f t="shared" si="118"/>
        <v/>
      </c>
      <c r="F1550" s="56" t="str">
        <f t="shared" si="119"/>
        <v/>
      </c>
      <c r="G1550">
        <f t="shared" si="120"/>
        <v>0</v>
      </c>
      <c r="H1550">
        <f t="shared" si="121"/>
        <v>0</v>
      </c>
    </row>
    <row r="1551" spans="5:8">
      <c r="E1551" s="56" t="str">
        <f t="shared" si="118"/>
        <v/>
      </c>
      <c r="F1551" s="56" t="str">
        <f t="shared" si="119"/>
        <v/>
      </c>
      <c r="G1551">
        <f t="shared" si="120"/>
        <v>0</v>
      </c>
      <c r="H1551">
        <f t="shared" si="121"/>
        <v>0</v>
      </c>
    </row>
    <row r="1552" spans="5:8">
      <c r="E1552" s="56" t="str">
        <f t="shared" si="118"/>
        <v/>
      </c>
      <c r="F1552" s="56" t="str">
        <f t="shared" si="119"/>
        <v/>
      </c>
      <c r="G1552">
        <f t="shared" si="120"/>
        <v>0</v>
      </c>
      <c r="H1552">
        <f t="shared" si="121"/>
        <v>0</v>
      </c>
    </row>
    <row r="1553" spans="5:8">
      <c r="E1553" s="56" t="str">
        <f t="shared" si="118"/>
        <v/>
      </c>
      <c r="F1553" s="56" t="str">
        <f t="shared" si="119"/>
        <v/>
      </c>
      <c r="G1553">
        <f t="shared" si="120"/>
        <v>0</v>
      </c>
      <c r="H1553">
        <f t="shared" si="121"/>
        <v>0</v>
      </c>
    </row>
    <row r="1554" spans="5:8">
      <c r="E1554" s="56" t="str">
        <f t="shared" si="118"/>
        <v/>
      </c>
      <c r="F1554" s="56" t="str">
        <f t="shared" si="119"/>
        <v/>
      </c>
      <c r="G1554">
        <f t="shared" si="120"/>
        <v>0</v>
      </c>
      <c r="H1554">
        <f t="shared" si="121"/>
        <v>0</v>
      </c>
    </row>
    <row r="1555" spans="5:8">
      <c r="E1555" s="56" t="str">
        <f t="shared" si="118"/>
        <v/>
      </c>
      <c r="F1555" s="56" t="str">
        <f t="shared" si="119"/>
        <v/>
      </c>
      <c r="G1555">
        <f t="shared" si="120"/>
        <v>0</v>
      </c>
      <c r="H1555">
        <f t="shared" si="121"/>
        <v>0</v>
      </c>
    </row>
    <row r="1556" spans="5:8">
      <c r="E1556" s="56" t="str">
        <f t="shared" si="118"/>
        <v/>
      </c>
      <c r="F1556" s="56" t="str">
        <f t="shared" si="119"/>
        <v/>
      </c>
      <c r="G1556">
        <f t="shared" si="120"/>
        <v>0</v>
      </c>
      <c r="H1556">
        <f t="shared" si="121"/>
        <v>0</v>
      </c>
    </row>
    <row r="1557" spans="5:8">
      <c r="E1557" s="56" t="str">
        <f t="shared" si="118"/>
        <v/>
      </c>
      <c r="F1557" s="56" t="str">
        <f t="shared" si="119"/>
        <v/>
      </c>
      <c r="G1557">
        <f t="shared" si="120"/>
        <v>0</v>
      </c>
      <c r="H1557">
        <f t="shared" si="121"/>
        <v>0</v>
      </c>
    </row>
    <row r="1558" spans="5:8">
      <c r="E1558" s="56" t="str">
        <f t="shared" si="118"/>
        <v/>
      </c>
      <c r="F1558" s="56" t="str">
        <f t="shared" si="119"/>
        <v/>
      </c>
      <c r="G1558">
        <f t="shared" si="120"/>
        <v>0</v>
      </c>
      <c r="H1558">
        <f t="shared" si="121"/>
        <v>0</v>
      </c>
    </row>
    <row r="1559" spans="5:8">
      <c r="E1559" s="56" t="str">
        <f t="shared" si="118"/>
        <v/>
      </c>
      <c r="F1559" s="56" t="str">
        <f t="shared" si="119"/>
        <v/>
      </c>
      <c r="G1559">
        <f t="shared" si="120"/>
        <v>0</v>
      </c>
      <c r="H1559">
        <f t="shared" si="121"/>
        <v>0</v>
      </c>
    </row>
    <row r="1560" spans="5:8">
      <c r="E1560" s="56" t="str">
        <f t="shared" si="118"/>
        <v/>
      </c>
      <c r="F1560" s="56" t="str">
        <f t="shared" si="119"/>
        <v/>
      </c>
      <c r="G1560">
        <f t="shared" si="120"/>
        <v>0</v>
      </c>
      <c r="H1560">
        <f t="shared" si="121"/>
        <v>0</v>
      </c>
    </row>
    <row r="1561" spans="5:8">
      <c r="E1561" s="56" t="str">
        <f t="shared" si="118"/>
        <v/>
      </c>
      <c r="F1561" s="56" t="str">
        <f t="shared" si="119"/>
        <v/>
      </c>
      <c r="G1561">
        <f t="shared" si="120"/>
        <v>0</v>
      </c>
      <c r="H1561">
        <f t="shared" si="121"/>
        <v>0</v>
      </c>
    </row>
    <row r="1562" spans="5:8">
      <c r="E1562" s="56" t="str">
        <f t="shared" si="118"/>
        <v/>
      </c>
      <c r="F1562" s="56" t="str">
        <f t="shared" si="119"/>
        <v/>
      </c>
      <c r="G1562">
        <f t="shared" si="120"/>
        <v>0</v>
      </c>
      <c r="H1562">
        <f t="shared" si="121"/>
        <v>0</v>
      </c>
    </row>
    <row r="1563" spans="5:8">
      <c r="E1563" s="56" t="str">
        <f t="shared" si="118"/>
        <v/>
      </c>
      <c r="F1563" s="56" t="str">
        <f t="shared" si="119"/>
        <v/>
      </c>
      <c r="G1563">
        <f t="shared" si="120"/>
        <v>0</v>
      </c>
      <c r="H1563">
        <f t="shared" si="121"/>
        <v>0</v>
      </c>
    </row>
    <row r="1564" spans="5:8">
      <c r="E1564" s="56" t="str">
        <f t="shared" si="118"/>
        <v/>
      </c>
      <c r="F1564" s="56" t="str">
        <f t="shared" si="119"/>
        <v/>
      </c>
      <c r="G1564">
        <f t="shared" si="120"/>
        <v>0</v>
      </c>
      <c r="H1564">
        <f t="shared" si="121"/>
        <v>0</v>
      </c>
    </row>
    <row r="1565" spans="5:8">
      <c r="E1565" s="56" t="str">
        <f t="shared" si="118"/>
        <v/>
      </c>
      <c r="F1565" s="56" t="str">
        <f t="shared" si="119"/>
        <v/>
      </c>
      <c r="G1565">
        <f t="shared" si="120"/>
        <v>0</v>
      </c>
      <c r="H1565">
        <f t="shared" si="121"/>
        <v>0</v>
      </c>
    </row>
    <row r="1566" spans="5:8">
      <c r="E1566" s="56" t="str">
        <f t="shared" si="118"/>
        <v/>
      </c>
      <c r="F1566" s="56" t="str">
        <f t="shared" si="119"/>
        <v/>
      </c>
      <c r="G1566">
        <f t="shared" si="120"/>
        <v>0</v>
      </c>
      <c r="H1566">
        <f t="shared" si="121"/>
        <v>0</v>
      </c>
    </row>
    <row r="1567" spans="5:8">
      <c r="E1567" s="56" t="str">
        <f t="shared" si="118"/>
        <v/>
      </c>
      <c r="F1567" s="56" t="str">
        <f t="shared" si="119"/>
        <v/>
      </c>
      <c r="G1567">
        <f t="shared" si="120"/>
        <v>0</v>
      </c>
      <c r="H1567">
        <f t="shared" si="121"/>
        <v>0</v>
      </c>
    </row>
    <row r="1568" spans="5:8">
      <c r="E1568" s="56" t="str">
        <f t="shared" si="118"/>
        <v/>
      </c>
      <c r="F1568" s="56" t="str">
        <f t="shared" si="119"/>
        <v/>
      </c>
      <c r="G1568">
        <f t="shared" si="120"/>
        <v>0</v>
      </c>
      <c r="H1568">
        <f t="shared" si="121"/>
        <v>0</v>
      </c>
    </row>
    <row r="1569" spans="5:8">
      <c r="E1569" s="56" t="str">
        <f t="shared" si="118"/>
        <v/>
      </c>
      <c r="F1569" s="56" t="str">
        <f t="shared" si="119"/>
        <v/>
      </c>
      <c r="G1569">
        <f t="shared" si="120"/>
        <v>0</v>
      </c>
      <c r="H1569">
        <f t="shared" si="121"/>
        <v>0</v>
      </c>
    </row>
    <row r="1570" spans="5:8">
      <c r="E1570" s="56" t="str">
        <f t="shared" si="118"/>
        <v/>
      </c>
      <c r="F1570" s="56" t="str">
        <f t="shared" si="119"/>
        <v/>
      </c>
      <c r="G1570">
        <f t="shared" si="120"/>
        <v>0</v>
      </c>
      <c r="H1570">
        <f t="shared" si="121"/>
        <v>0</v>
      </c>
    </row>
    <row r="1571" spans="5:8">
      <c r="E1571" s="56" t="str">
        <f t="shared" si="118"/>
        <v/>
      </c>
      <c r="F1571" s="56" t="str">
        <f t="shared" si="119"/>
        <v/>
      </c>
      <c r="G1571">
        <f t="shared" si="120"/>
        <v>0</v>
      </c>
      <c r="H1571">
        <f t="shared" si="121"/>
        <v>0</v>
      </c>
    </row>
    <row r="1572" spans="5:8">
      <c r="E1572" s="56" t="str">
        <f t="shared" si="118"/>
        <v/>
      </c>
      <c r="F1572" s="56" t="str">
        <f t="shared" si="119"/>
        <v/>
      </c>
      <c r="G1572">
        <f t="shared" si="120"/>
        <v>0</v>
      </c>
      <c r="H1572">
        <f t="shared" si="121"/>
        <v>0</v>
      </c>
    </row>
    <row r="1573" spans="5:8">
      <c r="E1573" s="56" t="str">
        <f t="shared" si="118"/>
        <v/>
      </c>
      <c r="F1573" s="56" t="str">
        <f t="shared" si="119"/>
        <v/>
      </c>
      <c r="G1573">
        <f t="shared" si="120"/>
        <v>0</v>
      </c>
      <c r="H1573">
        <f t="shared" si="121"/>
        <v>0</v>
      </c>
    </row>
    <row r="1574" spans="5:8">
      <c r="E1574" s="56" t="str">
        <f t="shared" si="118"/>
        <v/>
      </c>
      <c r="F1574" s="56" t="str">
        <f t="shared" si="119"/>
        <v/>
      </c>
      <c r="G1574">
        <f t="shared" si="120"/>
        <v>0</v>
      </c>
      <c r="H1574">
        <f t="shared" si="121"/>
        <v>0</v>
      </c>
    </row>
    <row r="1575" spans="5:8">
      <c r="E1575" s="56" t="str">
        <f t="shared" si="118"/>
        <v/>
      </c>
      <c r="F1575" s="56" t="str">
        <f t="shared" si="119"/>
        <v/>
      </c>
      <c r="G1575">
        <f t="shared" si="120"/>
        <v>0</v>
      </c>
      <c r="H1575">
        <f t="shared" si="121"/>
        <v>0</v>
      </c>
    </row>
    <row r="1576" spans="5:8">
      <c r="E1576" s="56" t="str">
        <f t="shared" si="118"/>
        <v/>
      </c>
      <c r="F1576" s="56" t="str">
        <f t="shared" si="119"/>
        <v/>
      </c>
      <c r="G1576">
        <f t="shared" si="120"/>
        <v>0</v>
      </c>
      <c r="H1576">
        <f t="shared" si="121"/>
        <v>0</v>
      </c>
    </row>
    <row r="1577" spans="5:8">
      <c r="E1577" s="56" t="str">
        <f t="shared" si="118"/>
        <v/>
      </c>
      <c r="F1577" s="56" t="str">
        <f t="shared" si="119"/>
        <v/>
      </c>
      <c r="G1577">
        <f t="shared" si="120"/>
        <v>0</v>
      </c>
      <c r="H1577">
        <f t="shared" si="121"/>
        <v>0</v>
      </c>
    </row>
    <row r="1578" spans="5:8">
      <c r="E1578" s="56" t="str">
        <f t="shared" si="118"/>
        <v/>
      </c>
      <c r="F1578" s="56" t="str">
        <f t="shared" si="119"/>
        <v/>
      </c>
      <c r="G1578">
        <f t="shared" si="120"/>
        <v>0</v>
      </c>
      <c r="H1578">
        <f t="shared" si="121"/>
        <v>0</v>
      </c>
    </row>
    <row r="1579" spans="5:8">
      <c r="E1579" s="56" t="str">
        <f t="shared" si="118"/>
        <v/>
      </c>
      <c r="F1579" s="56" t="str">
        <f t="shared" si="119"/>
        <v/>
      </c>
      <c r="G1579">
        <f t="shared" si="120"/>
        <v>0</v>
      </c>
      <c r="H1579">
        <f t="shared" si="121"/>
        <v>0</v>
      </c>
    </row>
    <row r="1580" spans="5:8">
      <c r="E1580" s="56" t="str">
        <f t="shared" si="118"/>
        <v/>
      </c>
      <c r="F1580" s="56" t="str">
        <f t="shared" si="119"/>
        <v/>
      </c>
      <c r="G1580">
        <f t="shared" si="120"/>
        <v>0</v>
      </c>
      <c r="H1580">
        <f t="shared" si="121"/>
        <v>0</v>
      </c>
    </row>
    <row r="1581" spans="5:8">
      <c r="E1581" s="56" t="str">
        <f t="shared" ref="E1581:E1644" si="122">UPPER(B1581)</f>
        <v/>
      </c>
      <c r="F1581" s="56" t="str">
        <f t="shared" ref="F1581:F1644" si="123">UPPER(C1581)</f>
        <v/>
      </c>
      <c r="G1581">
        <f t="shared" ref="G1581:G1644" si="124">D1581</f>
        <v>0</v>
      </c>
      <c r="H1581">
        <f t="shared" ref="H1581:H1644" si="125">ROUND(G1581/(1+$E$1),2)</f>
        <v>0</v>
      </c>
    </row>
    <row r="1582" spans="5:8">
      <c r="E1582" s="56" t="str">
        <f t="shared" si="122"/>
        <v/>
      </c>
      <c r="F1582" s="56" t="str">
        <f t="shared" si="123"/>
        <v/>
      </c>
      <c r="G1582">
        <f t="shared" si="124"/>
        <v>0</v>
      </c>
      <c r="H1582">
        <f t="shared" si="125"/>
        <v>0</v>
      </c>
    </row>
    <row r="1583" spans="5:8">
      <c r="E1583" s="56" t="str">
        <f t="shared" si="122"/>
        <v/>
      </c>
      <c r="F1583" s="56" t="str">
        <f t="shared" si="123"/>
        <v/>
      </c>
      <c r="G1583">
        <f t="shared" si="124"/>
        <v>0</v>
      </c>
      <c r="H1583">
        <f t="shared" si="125"/>
        <v>0</v>
      </c>
    </row>
    <row r="1584" spans="5:8">
      <c r="E1584" s="56" t="str">
        <f t="shared" si="122"/>
        <v/>
      </c>
      <c r="F1584" s="56" t="str">
        <f t="shared" si="123"/>
        <v/>
      </c>
      <c r="G1584">
        <f t="shared" si="124"/>
        <v>0</v>
      </c>
      <c r="H1584">
        <f t="shared" si="125"/>
        <v>0</v>
      </c>
    </row>
    <row r="1585" spans="5:8">
      <c r="E1585" s="56" t="str">
        <f t="shared" si="122"/>
        <v/>
      </c>
      <c r="F1585" s="56" t="str">
        <f t="shared" si="123"/>
        <v/>
      </c>
      <c r="G1585">
        <f t="shared" si="124"/>
        <v>0</v>
      </c>
      <c r="H1585">
        <f t="shared" si="125"/>
        <v>0</v>
      </c>
    </row>
    <row r="1586" spans="5:8">
      <c r="E1586" s="56" t="str">
        <f t="shared" si="122"/>
        <v/>
      </c>
      <c r="F1586" s="56" t="str">
        <f t="shared" si="123"/>
        <v/>
      </c>
      <c r="G1586">
        <f t="shared" si="124"/>
        <v>0</v>
      </c>
      <c r="H1586">
        <f t="shared" si="125"/>
        <v>0</v>
      </c>
    </row>
    <row r="1587" spans="5:8">
      <c r="E1587" s="56" t="str">
        <f t="shared" si="122"/>
        <v/>
      </c>
      <c r="F1587" s="56" t="str">
        <f t="shared" si="123"/>
        <v/>
      </c>
      <c r="G1587">
        <f t="shared" si="124"/>
        <v>0</v>
      </c>
      <c r="H1587">
        <f t="shared" si="125"/>
        <v>0</v>
      </c>
    </row>
    <row r="1588" spans="5:8">
      <c r="E1588" s="56" t="str">
        <f t="shared" si="122"/>
        <v/>
      </c>
      <c r="F1588" s="56" t="str">
        <f t="shared" si="123"/>
        <v/>
      </c>
      <c r="G1588">
        <f t="shared" si="124"/>
        <v>0</v>
      </c>
      <c r="H1588">
        <f t="shared" si="125"/>
        <v>0</v>
      </c>
    </row>
    <row r="1589" spans="5:8">
      <c r="E1589" s="56" t="str">
        <f t="shared" si="122"/>
        <v/>
      </c>
      <c r="F1589" s="56" t="str">
        <f t="shared" si="123"/>
        <v/>
      </c>
      <c r="G1589">
        <f t="shared" si="124"/>
        <v>0</v>
      </c>
      <c r="H1589">
        <f t="shared" si="125"/>
        <v>0</v>
      </c>
    </row>
    <row r="1590" spans="5:8">
      <c r="E1590" s="56" t="str">
        <f t="shared" si="122"/>
        <v/>
      </c>
      <c r="F1590" s="56" t="str">
        <f t="shared" si="123"/>
        <v/>
      </c>
      <c r="G1590">
        <f t="shared" si="124"/>
        <v>0</v>
      </c>
      <c r="H1590">
        <f t="shared" si="125"/>
        <v>0</v>
      </c>
    </row>
    <row r="1591" spans="5:8">
      <c r="E1591" s="56" t="str">
        <f t="shared" si="122"/>
        <v/>
      </c>
      <c r="F1591" s="56" t="str">
        <f t="shared" si="123"/>
        <v/>
      </c>
      <c r="G1591">
        <f t="shared" si="124"/>
        <v>0</v>
      </c>
      <c r="H1591">
        <f t="shared" si="125"/>
        <v>0</v>
      </c>
    </row>
    <row r="1592" spans="5:8">
      <c r="E1592" s="56" t="str">
        <f t="shared" si="122"/>
        <v/>
      </c>
      <c r="F1592" s="56" t="str">
        <f t="shared" si="123"/>
        <v/>
      </c>
      <c r="G1592">
        <f t="shared" si="124"/>
        <v>0</v>
      </c>
      <c r="H1592">
        <f t="shared" si="125"/>
        <v>0</v>
      </c>
    </row>
    <row r="1593" spans="5:8">
      <c r="E1593" s="56" t="str">
        <f t="shared" si="122"/>
        <v/>
      </c>
      <c r="F1593" s="56" t="str">
        <f t="shared" si="123"/>
        <v/>
      </c>
      <c r="G1593">
        <f t="shared" si="124"/>
        <v>0</v>
      </c>
      <c r="H1593">
        <f t="shared" si="125"/>
        <v>0</v>
      </c>
    </row>
    <row r="1594" spans="5:8">
      <c r="E1594" s="56" t="str">
        <f t="shared" si="122"/>
        <v/>
      </c>
      <c r="F1594" s="56" t="str">
        <f t="shared" si="123"/>
        <v/>
      </c>
      <c r="G1594">
        <f t="shared" si="124"/>
        <v>0</v>
      </c>
      <c r="H1594">
        <f t="shared" si="125"/>
        <v>0</v>
      </c>
    </row>
    <row r="1595" spans="5:8">
      <c r="E1595" s="56" t="str">
        <f t="shared" si="122"/>
        <v/>
      </c>
      <c r="F1595" s="56" t="str">
        <f t="shared" si="123"/>
        <v/>
      </c>
      <c r="G1595">
        <f t="shared" si="124"/>
        <v>0</v>
      </c>
      <c r="H1595">
        <f t="shared" si="125"/>
        <v>0</v>
      </c>
    </row>
    <row r="1596" spans="5:8">
      <c r="E1596" s="56" t="str">
        <f t="shared" si="122"/>
        <v/>
      </c>
      <c r="F1596" s="56" t="str">
        <f t="shared" si="123"/>
        <v/>
      </c>
      <c r="G1596">
        <f t="shared" si="124"/>
        <v>0</v>
      </c>
      <c r="H1596">
        <f t="shared" si="125"/>
        <v>0</v>
      </c>
    </row>
    <row r="1597" spans="5:8">
      <c r="E1597" s="56" t="str">
        <f t="shared" si="122"/>
        <v/>
      </c>
      <c r="F1597" s="56" t="str">
        <f t="shared" si="123"/>
        <v/>
      </c>
      <c r="G1597">
        <f t="shared" si="124"/>
        <v>0</v>
      </c>
      <c r="H1597">
        <f t="shared" si="125"/>
        <v>0</v>
      </c>
    </row>
    <row r="1598" spans="5:8">
      <c r="E1598" s="56" t="str">
        <f t="shared" si="122"/>
        <v/>
      </c>
      <c r="F1598" s="56" t="str">
        <f t="shared" si="123"/>
        <v/>
      </c>
      <c r="G1598">
        <f t="shared" si="124"/>
        <v>0</v>
      </c>
      <c r="H1598">
        <f t="shared" si="125"/>
        <v>0</v>
      </c>
    </row>
    <row r="1599" spans="5:8">
      <c r="E1599" s="56" t="str">
        <f t="shared" si="122"/>
        <v/>
      </c>
      <c r="F1599" s="56" t="str">
        <f t="shared" si="123"/>
        <v/>
      </c>
      <c r="G1599">
        <f t="shared" si="124"/>
        <v>0</v>
      </c>
      <c r="H1599">
        <f t="shared" si="125"/>
        <v>0</v>
      </c>
    </row>
    <row r="1600" spans="5:8">
      <c r="E1600" s="56" t="str">
        <f t="shared" si="122"/>
        <v/>
      </c>
      <c r="F1600" s="56" t="str">
        <f t="shared" si="123"/>
        <v/>
      </c>
      <c r="G1600">
        <f t="shared" si="124"/>
        <v>0</v>
      </c>
      <c r="H1600">
        <f t="shared" si="125"/>
        <v>0</v>
      </c>
    </row>
    <row r="1601" spans="5:8">
      <c r="E1601" s="56" t="str">
        <f t="shared" si="122"/>
        <v/>
      </c>
      <c r="F1601" s="56" t="str">
        <f t="shared" si="123"/>
        <v/>
      </c>
      <c r="G1601">
        <f t="shared" si="124"/>
        <v>0</v>
      </c>
      <c r="H1601">
        <f t="shared" si="125"/>
        <v>0</v>
      </c>
    </row>
    <row r="1602" spans="5:8">
      <c r="E1602" s="56" t="str">
        <f t="shared" si="122"/>
        <v/>
      </c>
      <c r="F1602" s="56" t="str">
        <f t="shared" si="123"/>
        <v/>
      </c>
      <c r="G1602">
        <f t="shared" si="124"/>
        <v>0</v>
      </c>
      <c r="H1602">
        <f t="shared" si="125"/>
        <v>0</v>
      </c>
    </row>
    <row r="1603" spans="5:8">
      <c r="E1603" s="56" t="str">
        <f t="shared" si="122"/>
        <v/>
      </c>
      <c r="F1603" s="56" t="str">
        <f t="shared" si="123"/>
        <v/>
      </c>
      <c r="G1603">
        <f t="shared" si="124"/>
        <v>0</v>
      </c>
      <c r="H1603">
        <f t="shared" si="125"/>
        <v>0</v>
      </c>
    </row>
    <row r="1604" spans="5:8">
      <c r="E1604" s="56" t="str">
        <f t="shared" si="122"/>
        <v/>
      </c>
      <c r="F1604" s="56" t="str">
        <f t="shared" si="123"/>
        <v/>
      </c>
      <c r="G1604">
        <f t="shared" si="124"/>
        <v>0</v>
      </c>
      <c r="H1604">
        <f t="shared" si="125"/>
        <v>0</v>
      </c>
    </row>
    <row r="1605" spans="5:8">
      <c r="E1605" s="56" t="str">
        <f t="shared" si="122"/>
        <v/>
      </c>
      <c r="F1605" s="56" t="str">
        <f t="shared" si="123"/>
        <v/>
      </c>
      <c r="G1605">
        <f t="shared" si="124"/>
        <v>0</v>
      </c>
      <c r="H1605">
        <f t="shared" si="125"/>
        <v>0</v>
      </c>
    </row>
    <row r="1606" spans="5:8">
      <c r="E1606" s="56" t="str">
        <f t="shared" si="122"/>
        <v/>
      </c>
      <c r="F1606" s="56" t="str">
        <f t="shared" si="123"/>
        <v/>
      </c>
      <c r="G1606">
        <f t="shared" si="124"/>
        <v>0</v>
      </c>
      <c r="H1606">
        <f t="shared" si="125"/>
        <v>0</v>
      </c>
    </row>
    <row r="1607" spans="5:8">
      <c r="E1607" s="56" t="str">
        <f t="shared" si="122"/>
        <v/>
      </c>
      <c r="F1607" s="56" t="str">
        <f t="shared" si="123"/>
        <v/>
      </c>
      <c r="G1607">
        <f t="shared" si="124"/>
        <v>0</v>
      </c>
      <c r="H1607">
        <f t="shared" si="125"/>
        <v>0</v>
      </c>
    </row>
    <row r="1608" spans="5:8">
      <c r="E1608" s="56" t="str">
        <f t="shared" si="122"/>
        <v/>
      </c>
      <c r="F1608" s="56" t="str">
        <f t="shared" si="123"/>
        <v/>
      </c>
      <c r="G1608">
        <f t="shared" si="124"/>
        <v>0</v>
      </c>
      <c r="H1608">
        <f t="shared" si="125"/>
        <v>0</v>
      </c>
    </row>
    <row r="1609" spans="5:8">
      <c r="E1609" s="56" t="str">
        <f t="shared" si="122"/>
        <v/>
      </c>
      <c r="F1609" s="56" t="str">
        <f t="shared" si="123"/>
        <v/>
      </c>
      <c r="G1609">
        <f t="shared" si="124"/>
        <v>0</v>
      </c>
      <c r="H1609">
        <f t="shared" si="125"/>
        <v>0</v>
      </c>
    </row>
    <row r="1610" spans="5:8">
      <c r="E1610" s="56" t="str">
        <f t="shared" si="122"/>
        <v/>
      </c>
      <c r="F1610" s="56" t="str">
        <f t="shared" si="123"/>
        <v/>
      </c>
      <c r="G1610">
        <f t="shared" si="124"/>
        <v>0</v>
      </c>
      <c r="H1610">
        <f t="shared" si="125"/>
        <v>0</v>
      </c>
    </row>
    <row r="1611" spans="5:8">
      <c r="E1611" s="56" t="str">
        <f t="shared" si="122"/>
        <v/>
      </c>
      <c r="F1611" s="56" t="str">
        <f t="shared" si="123"/>
        <v/>
      </c>
      <c r="G1611">
        <f t="shared" si="124"/>
        <v>0</v>
      </c>
      <c r="H1611">
        <f t="shared" si="125"/>
        <v>0</v>
      </c>
    </row>
    <row r="1612" spans="5:8">
      <c r="E1612" s="56" t="str">
        <f t="shared" si="122"/>
        <v/>
      </c>
      <c r="F1612" s="56" t="str">
        <f t="shared" si="123"/>
        <v/>
      </c>
      <c r="G1612">
        <f t="shared" si="124"/>
        <v>0</v>
      </c>
      <c r="H1612">
        <f t="shared" si="125"/>
        <v>0</v>
      </c>
    </row>
    <row r="1613" spans="5:8">
      <c r="E1613" s="56" t="str">
        <f t="shared" si="122"/>
        <v/>
      </c>
      <c r="F1613" s="56" t="str">
        <f t="shared" si="123"/>
        <v/>
      </c>
      <c r="G1613">
        <f t="shared" si="124"/>
        <v>0</v>
      </c>
      <c r="H1613">
        <f t="shared" si="125"/>
        <v>0</v>
      </c>
    </row>
    <row r="1614" spans="5:8">
      <c r="E1614" s="56" t="str">
        <f t="shared" si="122"/>
        <v/>
      </c>
      <c r="F1614" s="56" t="str">
        <f t="shared" si="123"/>
        <v/>
      </c>
      <c r="G1614">
        <f t="shared" si="124"/>
        <v>0</v>
      </c>
      <c r="H1614">
        <f t="shared" si="125"/>
        <v>0</v>
      </c>
    </row>
    <row r="1615" spans="5:8">
      <c r="E1615" s="56" t="str">
        <f t="shared" si="122"/>
        <v/>
      </c>
      <c r="F1615" s="56" t="str">
        <f t="shared" si="123"/>
        <v/>
      </c>
      <c r="G1615">
        <f t="shared" si="124"/>
        <v>0</v>
      </c>
      <c r="H1615">
        <f t="shared" si="125"/>
        <v>0</v>
      </c>
    </row>
    <row r="1616" spans="5:8">
      <c r="E1616" s="56" t="str">
        <f t="shared" si="122"/>
        <v/>
      </c>
      <c r="F1616" s="56" t="str">
        <f t="shared" si="123"/>
        <v/>
      </c>
      <c r="G1616">
        <f t="shared" si="124"/>
        <v>0</v>
      </c>
      <c r="H1616">
        <f t="shared" si="125"/>
        <v>0</v>
      </c>
    </row>
    <row r="1617" spans="5:8">
      <c r="E1617" s="56" t="str">
        <f t="shared" si="122"/>
        <v/>
      </c>
      <c r="F1617" s="56" t="str">
        <f t="shared" si="123"/>
        <v/>
      </c>
      <c r="G1617">
        <f t="shared" si="124"/>
        <v>0</v>
      </c>
      <c r="H1617">
        <f t="shared" si="125"/>
        <v>0</v>
      </c>
    </row>
    <row r="1618" spans="5:8">
      <c r="E1618" s="56" t="str">
        <f t="shared" si="122"/>
        <v/>
      </c>
      <c r="F1618" s="56" t="str">
        <f t="shared" si="123"/>
        <v/>
      </c>
      <c r="G1618">
        <f t="shared" si="124"/>
        <v>0</v>
      </c>
      <c r="H1618">
        <f t="shared" si="125"/>
        <v>0</v>
      </c>
    </row>
    <row r="1619" spans="5:8">
      <c r="E1619" s="56" t="str">
        <f t="shared" si="122"/>
        <v/>
      </c>
      <c r="F1619" s="56" t="str">
        <f t="shared" si="123"/>
        <v/>
      </c>
      <c r="G1619">
        <f t="shared" si="124"/>
        <v>0</v>
      </c>
      <c r="H1619">
        <f t="shared" si="125"/>
        <v>0</v>
      </c>
    </row>
    <row r="1620" spans="5:8">
      <c r="E1620" s="56" t="str">
        <f t="shared" si="122"/>
        <v/>
      </c>
      <c r="F1620" s="56" t="str">
        <f t="shared" si="123"/>
        <v/>
      </c>
      <c r="G1620">
        <f t="shared" si="124"/>
        <v>0</v>
      </c>
      <c r="H1620">
        <f t="shared" si="125"/>
        <v>0</v>
      </c>
    </row>
    <row r="1621" spans="5:8">
      <c r="E1621" s="56" t="str">
        <f t="shared" si="122"/>
        <v/>
      </c>
      <c r="F1621" s="56" t="str">
        <f t="shared" si="123"/>
        <v/>
      </c>
      <c r="G1621">
        <f t="shared" si="124"/>
        <v>0</v>
      </c>
      <c r="H1621">
        <f t="shared" si="125"/>
        <v>0</v>
      </c>
    </row>
    <row r="1622" spans="5:8">
      <c r="E1622" s="56" t="str">
        <f t="shared" si="122"/>
        <v/>
      </c>
      <c r="F1622" s="56" t="str">
        <f t="shared" si="123"/>
        <v/>
      </c>
      <c r="G1622">
        <f t="shared" si="124"/>
        <v>0</v>
      </c>
      <c r="H1622">
        <f t="shared" si="125"/>
        <v>0</v>
      </c>
    </row>
    <row r="1623" spans="5:8">
      <c r="E1623" s="56" t="str">
        <f t="shared" si="122"/>
        <v/>
      </c>
      <c r="F1623" s="56" t="str">
        <f t="shared" si="123"/>
        <v/>
      </c>
      <c r="G1623">
        <f t="shared" si="124"/>
        <v>0</v>
      </c>
      <c r="H1623">
        <f t="shared" si="125"/>
        <v>0</v>
      </c>
    </row>
    <row r="1624" spans="5:8">
      <c r="E1624" s="56" t="str">
        <f t="shared" si="122"/>
        <v/>
      </c>
      <c r="F1624" s="56" t="str">
        <f t="shared" si="123"/>
        <v/>
      </c>
      <c r="G1624">
        <f t="shared" si="124"/>
        <v>0</v>
      </c>
      <c r="H1624">
        <f t="shared" si="125"/>
        <v>0</v>
      </c>
    </row>
    <row r="1625" spans="5:8">
      <c r="E1625" s="56" t="str">
        <f t="shared" si="122"/>
        <v/>
      </c>
      <c r="F1625" s="56" t="str">
        <f t="shared" si="123"/>
        <v/>
      </c>
      <c r="G1625">
        <f t="shared" si="124"/>
        <v>0</v>
      </c>
      <c r="H1625">
        <f t="shared" si="125"/>
        <v>0</v>
      </c>
    </row>
    <row r="1626" spans="5:8">
      <c r="E1626" s="56" t="str">
        <f t="shared" si="122"/>
        <v/>
      </c>
      <c r="F1626" s="56" t="str">
        <f t="shared" si="123"/>
        <v/>
      </c>
      <c r="G1626">
        <f t="shared" si="124"/>
        <v>0</v>
      </c>
      <c r="H1626">
        <f t="shared" si="125"/>
        <v>0</v>
      </c>
    </row>
    <row r="1627" spans="5:8">
      <c r="E1627" s="56" t="str">
        <f t="shared" si="122"/>
        <v/>
      </c>
      <c r="F1627" s="56" t="str">
        <f t="shared" si="123"/>
        <v/>
      </c>
      <c r="G1627">
        <f t="shared" si="124"/>
        <v>0</v>
      </c>
      <c r="H1627">
        <f t="shared" si="125"/>
        <v>0</v>
      </c>
    </row>
    <row r="1628" spans="5:8">
      <c r="E1628" s="56" t="str">
        <f t="shared" si="122"/>
        <v/>
      </c>
      <c r="F1628" s="56" t="str">
        <f t="shared" si="123"/>
        <v/>
      </c>
      <c r="G1628">
        <f t="shared" si="124"/>
        <v>0</v>
      </c>
      <c r="H1628">
        <f t="shared" si="125"/>
        <v>0</v>
      </c>
    </row>
    <row r="1629" spans="5:8">
      <c r="E1629" s="56" t="str">
        <f t="shared" si="122"/>
        <v/>
      </c>
      <c r="F1629" s="56" t="str">
        <f t="shared" si="123"/>
        <v/>
      </c>
      <c r="G1629">
        <f t="shared" si="124"/>
        <v>0</v>
      </c>
      <c r="H1629">
        <f t="shared" si="125"/>
        <v>0</v>
      </c>
    </row>
    <row r="1630" spans="5:8">
      <c r="E1630" s="56" t="str">
        <f t="shared" si="122"/>
        <v/>
      </c>
      <c r="F1630" s="56" t="str">
        <f t="shared" si="123"/>
        <v/>
      </c>
      <c r="G1630">
        <f t="shared" si="124"/>
        <v>0</v>
      </c>
      <c r="H1630">
        <f t="shared" si="125"/>
        <v>0</v>
      </c>
    </row>
    <row r="1631" spans="5:8">
      <c r="E1631" s="56" t="str">
        <f t="shared" si="122"/>
        <v/>
      </c>
      <c r="F1631" s="56" t="str">
        <f t="shared" si="123"/>
        <v/>
      </c>
      <c r="G1631">
        <f t="shared" si="124"/>
        <v>0</v>
      </c>
      <c r="H1631">
        <f t="shared" si="125"/>
        <v>0</v>
      </c>
    </row>
    <row r="1632" spans="5:8">
      <c r="E1632" s="56" t="str">
        <f t="shared" si="122"/>
        <v/>
      </c>
      <c r="F1632" s="56" t="str">
        <f t="shared" si="123"/>
        <v/>
      </c>
      <c r="G1632">
        <f t="shared" si="124"/>
        <v>0</v>
      </c>
      <c r="H1632">
        <f t="shared" si="125"/>
        <v>0</v>
      </c>
    </row>
    <row r="1633" spans="5:8">
      <c r="E1633" s="56" t="str">
        <f t="shared" si="122"/>
        <v/>
      </c>
      <c r="F1633" s="56" t="str">
        <f t="shared" si="123"/>
        <v/>
      </c>
      <c r="G1633">
        <f t="shared" si="124"/>
        <v>0</v>
      </c>
      <c r="H1633">
        <f t="shared" si="125"/>
        <v>0</v>
      </c>
    </row>
    <row r="1634" spans="5:8">
      <c r="E1634" s="56" t="str">
        <f t="shared" si="122"/>
        <v/>
      </c>
      <c r="F1634" s="56" t="str">
        <f t="shared" si="123"/>
        <v/>
      </c>
      <c r="G1634">
        <f t="shared" si="124"/>
        <v>0</v>
      </c>
      <c r="H1634">
        <f t="shared" si="125"/>
        <v>0</v>
      </c>
    </row>
    <row r="1635" spans="5:8">
      <c r="E1635" s="56" t="str">
        <f t="shared" si="122"/>
        <v/>
      </c>
      <c r="F1635" s="56" t="str">
        <f t="shared" si="123"/>
        <v/>
      </c>
      <c r="G1635">
        <f t="shared" si="124"/>
        <v>0</v>
      </c>
      <c r="H1635">
        <f t="shared" si="125"/>
        <v>0</v>
      </c>
    </row>
    <row r="1636" spans="5:8">
      <c r="E1636" s="56" t="str">
        <f t="shared" si="122"/>
        <v/>
      </c>
      <c r="F1636" s="56" t="str">
        <f t="shared" si="123"/>
        <v/>
      </c>
      <c r="G1636">
        <f t="shared" si="124"/>
        <v>0</v>
      </c>
      <c r="H1636">
        <f t="shared" si="125"/>
        <v>0</v>
      </c>
    </row>
    <row r="1637" spans="5:8">
      <c r="E1637" s="56" t="str">
        <f t="shared" si="122"/>
        <v/>
      </c>
      <c r="F1637" s="56" t="str">
        <f t="shared" si="123"/>
        <v/>
      </c>
      <c r="G1637">
        <f t="shared" si="124"/>
        <v>0</v>
      </c>
      <c r="H1637">
        <f t="shared" si="125"/>
        <v>0</v>
      </c>
    </row>
    <row r="1638" spans="5:8">
      <c r="E1638" s="56" t="str">
        <f t="shared" si="122"/>
        <v/>
      </c>
      <c r="F1638" s="56" t="str">
        <f t="shared" si="123"/>
        <v/>
      </c>
      <c r="G1638">
        <f t="shared" si="124"/>
        <v>0</v>
      </c>
      <c r="H1638">
        <f t="shared" si="125"/>
        <v>0</v>
      </c>
    </row>
    <row r="1639" spans="5:8">
      <c r="E1639" s="56" t="str">
        <f t="shared" si="122"/>
        <v/>
      </c>
      <c r="F1639" s="56" t="str">
        <f t="shared" si="123"/>
        <v/>
      </c>
      <c r="G1639">
        <f t="shared" si="124"/>
        <v>0</v>
      </c>
      <c r="H1639">
        <f t="shared" si="125"/>
        <v>0</v>
      </c>
    </row>
    <row r="1640" spans="5:8">
      <c r="E1640" s="56" t="str">
        <f t="shared" si="122"/>
        <v/>
      </c>
      <c r="F1640" s="56" t="str">
        <f t="shared" si="123"/>
        <v/>
      </c>
      <c r="G1640">
        <f t="shared" si="124"/>
        <v>0</v>
      </c>
      <c r="H1640">
        <f t="shared" si="125"/>
        <v>0</v>
      </c>
    </row>
    <row r="1641" spans="5:8">
      <c r="E1641" s="56" t="str">
        <f t="shared" si="122"/>
        <v/>
      </c>
      <c r="F1641" s="56" t="str">
        <f t="shared" si="123"/>
        <v/>
      </c>
      <c r="G1641">
        <f t="shared" si="124"/>
        <v>0</v>
      </c>
      <c r="H1641">
        <f t="shared" si="125"/>
        <v>0</v>
      </c>
    </row>
    <row r="1642" spans="5:8">
      <c r="E1642" s="56" t="str">
        <f t="shared" si="122"/>
        <v/>
      </c>
      <c r="F1642" s="56" t="str">
        <f t="shared" si="123"/>
        <v/>
      </c>
      <c r="G1642">
        <f t="shared" si="124"/>
        <v>0</v>
      </c>
      <c r="H1642">
        <f t="shared" si="125"/>
        <v>0</v>
      </c>
    </row>
    <row r="1643" spans="5:8">
      <c r="E1643" s="56" t="str">
        <f t="shared" si="122"/>
        <v/>
      </c>
      <c r="F1643" s="56" t="str">
        <f t="shared" si="123"/>
        <v/>
      </c>
      <c r="G1643">
        <f t="shared" si="124"/>
        <v>0</v>
      </c>
      <c r="H1643">
        <f t="shared" si="125"/>
        <v>0</v>
      </c>
    </row>
    <row r="1644" spans="5:8">
      <c r="E1644" s="56" t="str">
        <f t="shared" si="122"/>
        <v/>
      </c>
      <c r="F1644" s="56" t="str">
        <f t="shared" si="123"/>
        <v/>
      </c>
      <c r="G1644">
        <f t="shared" si="124"/>
        <v>0</v>
      </c>
      <c r="H1644">
        <f t="shared" si="125"/>
        <v>0</v>
      </c>
    </row>
    <row r="1645" spans="5:8">
      <c r="E1645" s="56" t="str">
        <f t="shared" ref="E1645:E1708" si="126">UPPER(B1645)</f>
        <v/>
      </c>
      <c r="F1645" s="56" t="str">
        <f t="shared" ref="F1645:F1708" si="127">UPPER(C1645)</f>
        <v/>
      </c>
      <c r="G1645">
        <f t="shared" ref="G1645:G1708" si="128">D1645</f>
        <v>0</v>
      </c>
      <c r="H1645">
        <f t="shared" ref="H1645:H1708" si="129">ROUND(G1645/(1+$E$1),2)</f>
        <v>0</v>
      </c>
    </row>
    <row r="1646" spans="5:8">
      <c r="E1646" s="56" t="str">
        <f t="shared" si="126"/>
        <v/>
      </c>
      <c r="F1646" s="56" t="str">
        <f t="shared" si="127"/>
        <v/>
      </c>
      <c r="G1646">
        <f t="shared" si="128"/>
        <v>0</v>
      </c>
      <c r="H1646">
        <f t="shared" si="129"/>
        <v>0</v>
      </c>
    </row>
    <row r="1647" spans="5:8">
      <c r="E1647" s="56" t="str">
        <f t="shared" si="126"/>
        <v/>
      </c>
      <c r="F1647" s="56" t="str">
        <f t="shared" si="127"/>
        <v/>
      </c>
      <c r="G1647">
        <f t="shared" si="128"/>
        <v>0</v>
      </c>
      <c r="H1647">
        <f t="shared" si="129"/>
        <v>0</v>
      </c>
    </row>
    <row r="1648" spans="5:8">
      <c r="E1648" s="56" t="str">
        <f t="shared" si="126"/>
        <v/>
      </c>
      <c r="F1648" s="56" t="str">
        <f t="shared" si="127"/>
        <v/>
      </c>
      <c r="G1648">
        <f t="shared" si="128"/>
        <v>0</v>
      </c>
      <c r="H1648">
        <f t="shared" si="129"/>
        <v>0</v>
      </c>
    </row>
    <row r="1649" spans="5:8">
      <c r="E1649" s="56" t="str">
        <f t="shared" si="126"/>
        <v/>
      </c>
      <c r="F1649" s="56" t="str">
        <f t="shared" si="127"/>
        <v/>
      </c>
      <c r="G1649">
        <f t="shared" si="128"/>
        <v>0</v>
      </c>
      <c r="H1649">
        <f t="shared" si="129"/>
        <v>0</v>
      </c>
    </row>
    <row r="1650" spans="5:8">
      <c r="E1650" s="56" t="str">
        <f t="shared" si="126"/>
        <v/>
      </c>
      <c r="F1650" s="56" t="str">
        <f t="shared" si="127"/>
        <v/>
      </c>
      <c r="G1650">
        <f t="shared" si="128"/>
        <v>0</v>
      </c>
      <c r="H1650">
        <f t="shared" si="129"/>
        <v>0</v>
      </c>
    </row>
    <row r="1651" spans="5:8">
      <c r="E1651" s="56" t="str">
        <f t="shared" si="126"/>
        <v/>
      </c>
      <c r="F1651" s="56" t="str">
        <f t="shared" si="127"/>
        <v/>
      </c>
      <c r="G1651">
        <f t="shared" si="128"/>
        <v>0</v>
      </c>
      <c r="H1651">
        <f t="shared" si="129"/>
        <v>0</v>
      </c>
    </row>
    <row r="1652" spans="5:8">
      <c r="E1652" s="56" t="str">
        <f t="shared" si="126"/>
        <v/>
      </c>
      <c r="F1652" s="56" t="str">
        <f t="shared" si="127"/>
        <v/>
      </c>
      <c r="G1652">
        <f t="shared" si="128"/>
        <v>0</v>
      </c>
      <c r="H1652">
        <f t="shared" si="129"/>
        <v>0</v>
      </c>
    </row>
    <row r="1653" spans="5:8">
      <c r="E1653" s="56" t="str">
        <f t="shared" si="126"/>
        <v/>
      </c>
      <c r="F1653" s="56" t="str">
        <f t="shared" si="127"/>
        <v/>
      </c>
      <c r="G1653">
        <f t="shared" si="128"/>
        <v>0</v>
      </c>
      <c r="H1653">
        <f t="shared" si="129"/>
        <v>0</v>
      </c>
    </row>
    <row r="1654" spans="5:8">
      <c r="E1654" s="56" t="str">
        <f t="shared" si="126"/>
        <v/>
      </c>
      <c r="F1654" s="56" t="str">
        <f t="shared" si="127"/>
        <v/>
      </c>
      <c r="G1654">
        <f t="shared" si="128"/>
        <v>0</v>
      </c>
      <c r="H1654">
        <f t="shared" si="129"/>
        <v>0</v>
      </c>
    </row>
    <row r="1655" spans="5:8">
      <c r="E1655" s="56" t="str">
        <f t="shared" si="126"/>
        <v/>
      </c>
      <c r="F1655" s="56" t="str">
        <f t="shared" si="127"/>
        <v/>
      </c>
      <c r="G1655">
        <f t="shared" si="128"/>
        <v>0</v>
      </c>
      <c r="H1655">
        <f t="shared" si="129"/>
        <v>0</v>
      </c>
    </row>
    <row r="1656" spans="5:8">
      <c r="E1656" s="56" t="str">
        <f t="shared" si="126"/>
        <v/>
      </c>
      <c r="F1656" s="56" t="str">
        <f t="shared" si="127"/>
        <v/>
      </c>
      <c r="G1656">
        <f t="shared" si="128"/>
        <v>0</v>
      </c>
      <c r="H1656">
        <f t="shared" si="129"/>
        <v>0</v>
      </c>
    </row>
    <row r="1657" spans="5:8">
      <c r="E1657" s="56" t="str">
        <f t="shared" si="126"/>
        <v/>
      </c>
      <c r="F1657" s="56" t="str">
        <f t="shared" si="127"/>
        <v/>
      </c>
      <c r="G1657">
        <f t="shared" si="128"/>
        <v>0</v>
      </c>
      <c r="H1657">
        <f t="shared" si="129"/>
        <v>0</v>
      </c>
    </row>
    <row r="1658" spans="5:8">
      <c r="E1658" s="56" t="str">
        <f t="shared" si="126"/>
        <v/>
      </c>
      <c r="F1658" s="56" t="str">
        <f t="shared" si="127"/>
        <v/>
      </c>
      <c r="G1658">
        <f t="shared" si="128"/>
        <v>0</v>
      </c>
      <c r="H1658">
        <f t="shared" si="129"/>
        <v>0</v>
      </c>
    </row>
    <row r="1659" spans="5:8">
      <c r="E1659" s="56" t="str">
        <f t="shared" si="126"/>
        <v/>
      </c>
      <c r="F1659" s="56" t="str">
        <f t="shared" si="127"/>
        <v/>
      </c>
      <c r="G1659">
        <f t="shared" si="128"/>
        <v>0</v>
      </c>
      <c r="H1659">
        <f t="shared" si="129"/>
        <v>0</v>
      </c>
    </row>
    <row r="1660" spans="5:8">
      <c r="E1660" s="56" t="str">
        <f t="shared" si="126"/>
        <v/>
      </c>
      <c r="F1660" s="56" t="str">
        <f t="shared" si="127"/>
        <v/>
      </c>
      <c r="G1660">
        <f t="shared" si="128"/>
        <v>0</v>
      </c>
      <c r="H1660">
        <f t="shared" si="129"/>
        <v>0</v>
      </c>
    </row>
    <row r="1661" spans="5:8">
      <c r="E1661" s="56" t="str">
        <f t="shared" si="126"/>
        <v/>
      </c>
      <c r="F1661" s="56" t="str">
        <f t="shared" si="127"/>
        <v/>
      </c>
      <c r="G1661">
        <f t="shared" si="128"/>
        <v>0</v>
      </c>
      <c r="H1661">
        <f t="shared" si="129"/>
        <v>0</v>
      </c>
    </row>
    <row r="1662" spans="5:8">
      <c r="E1662" s="56" t="str">
        <f t="shared" si="126"/>
        <v/>
      </c>
      <c r="F1662" s="56" t="str">
        <f t="shared" si="127"/>
        <v/>
      </c>
      <c r="G1662">
        <f t="shared" si="128"/>
        <v>0</v>
      </c>
      <c r="H1662">
        <f t="shared" si="129"/>
        <v>0</v>
      </c>
    </row>
    <row r="1663" spans="5:8">
      <c r="E1663" s="56" t="str">
        <f t="shared" si="126"/>
        <v/>
      </c>
      <c r="F1663" s="56" t="str">
        <f t="shared" si="127"/>
        <v/>
      </c>
      <c r="G1663">
        <f t="shared" si="128"/>
        <v>0</v>
      </c>
      <c r="H1663">
        <f t="shared" si="129"/>
        <v>0</v>
      </c>
    </row>
    <row r="1664" spans="5:8">
      <c r="E1664" s="56" t="str">
        <f t="shared" si="126"/>
        <v/>
      </c>
      <c r="F1664" s="56" t="str">
        <f t="shared" si="127"/>
        <v/>
      </c>
      <c r="G1664">
        <f t="shared" si="128"/>
        <v>0</v>
      </c>
      <c r="H1664">
        <f t="shared" si="129"/>
        <v>0</v>
      </c>
    </row>
    <row r="1665" spans="5:8">
      <c r="E1665" s="56" t="str">
        <f t="shared" si="126"/>
        <v/>
      </c>
      <c r="F1665" s="56" t="str">
        <f t="shared" si="127"/>
        <v/>
      </c>
      <c r="G1665">
        <f t="shared" si="128"/>
        <v>0</v>
      </c>
      <c r="H1665">
        <f t="shared" si="129"/>
        <v>0</v>
      </c>
    </row>
    <row r="1666" spans="5:8">
      <c r="E1666" s="56" t="str">
        <f t="shared" si="126"/>
        <v/>
      </c>
      <c r="F1666" s="56" t="str">
        <f t="shared" si="127"/>
        <v/>
      </c>
      <c r="G1666">
        <f t="shared" si="128"/>
        <v>0</v>
      </c>
      <c r="H1666">
        <f t="shared" si="129"/>
        <v>0</v>
      </c>
    </row>
    <row r="1667" spans="5:8">
      <c r="E1667" s="56" t="str">
        <f t="shared" si="126"/>
        <v/>
      </c>
      <c r="F1667" s="56" t="str">
        <f t="shared" si="127"/>
        <v/>
      </c>
      <c r="G1667">
        <f t="shared" si="128"/>
        <v>0</v>
      </c>
      <c r="H1667">
        <f t="shared" si="129"/>
        <v>0</v>
      </c>
    </row>
    <row r="1668" spans="5:8">
      <c r="E1668" s="56" t="str">
        <f t="shared" si="126"/>
        <v/>
      </c>
      <c r="F1668" s="56" t="str">
        <f t="shared" si="127"/>
        <v/>
      </c>
      <c r="G1668">
        <f t="shared" si="128"/>
        <v>0</v>
      </c>
      <c r="H1668">
        <f t="shared" si="129"/>
        <v>0</v>
      </c>
    </row>
    <row r="1669" spans="5:8">
      <c r="E1669" s="56" t="str">
        <f t="shared" si="126"/>
        <v/>
      </c>
      <c r="F1669" s="56" t="str">
        <f t="shared" si="127"/>
        <v/>
      </c>
      <c r="G1669">
        <f t="shared" si="128"/>
        <v>0</v>
      </c>
      <c r="H1669">
        <f t="shared" si="129"/>
        <v>0</v>
      </c>
    </row>
    <row r="1670" spans="5:8">
      <c r="E1670" s="56" t="str">
        <f t="shared" si="126"/>
        <v/>
      </c>
      <c r="F1670" s="56" t="str">
        <f t="shared" si="127"/>
        <v/>
      </c>
      <c r="G1670">
        <f t="shared" si="128"/>
        <v>0</v>
      </c>
      <c r="H1670">
        <f t="shared" si="129"/>
        <v>0</v>
      </c>
    </row>
    <row r="1671" spans="5:8">
      <c r="E1671" s="56" t="str">
        <f t="shared" si="126"/>
        <v/>
      </c>
      <c r="F1671" s="56" t="str">
        <f t="shared" si="127"/>
        <v/>
      </c>
      <c r="G1671">
        <f t="shared" si="128"/>
        <v>0</v>
      </c>
      <c r="H1671">
        <f t="shared" si="129"/>
        <v>0</v>
      </c>
    </row>
    <row r="1672" spans="5:8">
      <c r="E1672" s="56" t="str">
        <f t="shared" si="126"/>
        <v/>
      </c>
      <c r="F1672" s="56" t="str">
        <f t="shared" si="127"/>
        <v/>
      </c>
      <c r="G1672">
        <f t="shared" si="128"/>
        <v>0</v>
      </c>
      <c r="H1672">
        <f t="shared" si="129"/>
        <v>0</v>
      </c>
    </row>
    <row r="1673" spans="5:8">
      <c r="E1673" s="56" t="str">
        <f t="shared" si="126"/>
        <v/>
      </c>
      <c r="F1673" s="56" t="str">
        <f t="shared" si="127"/>
        <v/>
      </c>
      <c r="G1673">
        <f t="shared" si="128"/>
        <v>0</v>
      </c>
      <c r="H1673">
        <f t="shared" si="129"/>
        <v>0</v>
      </c>
    </row>
    <row r="1674" spans="5:8">
      <c r="E1674" s="56" t="str">
        <f t="shared" si="126"/>
        <v/>
      </c>
      <c r="F1674" s="56" t="str">
        <f t="shared" si="127"/>
        <v/>
      </c>
      <c r="G1674">
        <f t="shared" si="128"/>
        <v>0</v>
      </c>
      <c r="H1674">
        <f t="shared" si="129"/>
        <v>0</v>
      </c>
    </row>
    <row r="1675" spans="5:8">
      <c r="E1675" s="56" t="str">
        <f t="shared" si="126"/>
        <v/>
      </c>
      <c r="F1675" s="56" t="str">
        <f t="shared" si="127"/>
        <v/>
      </c>
      <c r="G1675">
        <f t="shared" si="128"/>
        <v>0</v>
      </c>
      <c r="H1675">
        <f t="shared" si="129"/>
        <v>0</v>
      </c>
    </row>
    <row r="1676" spans="5:8">
      <c r="E1676" s="56" t="str">
        <f t="shared" si="126"/>
        <v/>
      </c>
      <c r="F1676" s="56" t="str">
        <f t="shared" si="127"/>
        <v/>
      </c>
      <c r="G1676">
        <f t="shared" si="128"/>
        <v>0</v>
      </c>
      <c r="H1676">
        <f t="shared" si="129"/>
        <v>0</v>
      </c>
    </row>
    <row r="1677" spans="5:8">
      <c r="E1677" s="56" t="str">
        <f t="shared" si="126"/>
        <v/>
      </c>
      <c r="F1677" s="56" t="str">
        <f t="shared" si="127"/>
        <v/>
      </c>
      <c r="G1677">
        <f t="shared" si="128"/>
        <v>0</v>
      </c>
      <c r="H1677">
        <f t="shared" si="129"/>
        <v>0</v>
      </c>
    </row>
    <row r="1678" spans="5:8">
      <c r="E1678" s="56" t="str">
        <f t="shared" si="126"/>
        <v/>
      </c>
      <c r="F1678" s="56" t="str">
        <f t="shared" si="127"/>
        <v/>
      </c>
      <c r="G1678">
        <f t="shared" si="128"/>
        <v>0</v>
      </c>
      <c r="H1678">
        <f t="shared" si="129"/>
        <v>0</v>
      </c>
    </row>
    <row r="1679" spans="5:8">
      <c r="E1679" s="56" t="str">
        <f t="shared" si="126"/>
        <v/>
      </c>
      <c r="F1679" s="56" t="str">
        <f t="shared" si="127"/>
        <v/>
      </c>
      <c r="G1679">
        <f t="shared" si="128"/>
        <v>0</v>
      </c>
      <c r="H1679">
        <f t="shared" si="129"/>
        <v>0</v>
      </c>
    </row>
    <row r="1680" spans="5:8">
      <c r="E1680" s="56" t="str">
        <f t="shared" si="126"/>
        <v/>
      </c>
      <c r="F1680" s="56" t="str">
        <f t="shared" si="127"/>
        <v/>
      </c>
      <c r="G1680">
        <f t="shared" si="128"/>
        <v>0</v>
      </c>
      <c r="H1680">
        <f t="shared" si="129"/>
        <v>0</v>
      </c>
    </row>
    <row r="1681" spans="5:8">
      <c r="E1681" s="56" t="str">
        <f t="shared" si="126"/>
        <v/>
      </c>
      <c r="F1681" s="56" t="str">
        <f t="shared" si="127"/>
        <v/>
      </c>
      <c r="G1681">
        <f t="shared" si="128"/>
        <v>0</v>
      </c>
      <c r="H1681">
        <f t="shared" si="129"/>
        <v>0</v>
      </c>
    </row>
    <row r="1682" spans="5:8">
      <c r="E1682" s="56" t="str">
        <f t="shared" si="126"/>
        <v/>
      </c>
      <c r="F1682" s="56" t="str">
        <f t="shared" si="127"/>
        <v/>
      </c>
      <c r="G1682">
        <f t="shared" si="128"/>
        <v>0</v>
      </c>
      <c r="H1682">
        <f t="shared" si="129"/>
        <v>0</v>
      </c>
    </row>
    <row r="1683" spans="5:8">
      <c r="E1683" s="56" t="str">
        <f t="shared" si="126"/>
        <v/>
      </c>
      <c r="F1683" s="56" t="str">
        <f t="shared" si="127"/>
        <v/>
      </c>
      <c r="G1683">
        <f t="shared" si="128"/>
        <v>0</v>
      </c>
      <c r="H1683">
        <f t="shared" si="129"/>
        <v>0</v>
      </c>
    </row>
    <row r="1684" spans="5:8">
      <c r="E1684" s="56" t="str">
        <f t="shared" si="126"/>
        <v/>
      </c>
      <c r="F1684" s="56" t="str">
        <f t="shared" si="127"/>
        <v/>
      </c>
      <c r="G1684">
        <f t="shared" si="128"/>
        <v>0</v>
      </c>
      <c r="H1684">
        <f t="shared" si="129"/>
        <v>0</v>
      </c>
    </row>
    <row r="1685" spans="5:8">
      <c r="E1685" s="56" t="str">
        <f t="shared" si="126"/>
        <v/>
      </c>
      <c r="F1685" s="56" t="str">
        <f t="shared" si="127"/>
        <v/>
      </c>
      <c r="G1685">
        <f t="shared" si="128"/>
        <v>0</v>
      </c>
      <c r="H1685">
        <f t="shared" si="129"/>
        <v>0</v>
      </c>
    </row>
    <row r="1686" spans="5:8">
      <c r="E1686" s="56" t="str">
        <f t="shared" si="126"/>
        <v/>
      </c>
      <c r="F1686" s="56" t="str">
        <f t="shared" si="127"/>
        <v/>
      </c>
      <c r="G1686">
        <f t="shared" si="128"/>
        <v>0</v>
      </c>
      <c r="H1686">
        <f t="shared" si="129"/>
        <v>0</v>
      </c>
    </row>
    <row r="1687" spans="5:8">
      <c r="E1687" s="56" t="str">
        <f t="shared" si="126"/>
        <v/>
      </c>
      <c r="F1687" s="56" t="str">
        <f t="shared" si="127"/>
        <v/>
      </c>
      <c r="G1687">
        <f t="shared" si="128"/>
        <v>0</v>
      </c>
      <c r="H1687">
        <f t="shared" si="129"/>
        <v>0</v>
      </c>
    </row>
    <row r="1688" spans="5:8">
      <c r="E1688" s="56" t="str">
        <f t="shared" si="126"/>
        <v/>
      </c>
      <c r="F1688" s="56" t="str">
        <f t="shared" si="127"/>
        <v/>
      </c>
      <c r="G1688">
        <f t="shared" si="128"/>
        <v>0</v>
      </c>
      <c r="H1688">
        <f t="shared" si="129"/>
        <v>0</v>
      </c>
    </row>
    <row r="1689" spans="5:8">
      <c r="E1689" s="56" t="str">
        <f t="shared" si="126"/>
        <v/>
      </c>
      <c r="F1689" s="56" t="str">
        <f t="shared" si="127"/>
        <v/>
      </c>
      <c r="G1689">
        <f t="shared" si="128"/>
        <v>0</v>
      </c>
      <c r="H1689">
        <f t="shared" si="129"/>
        <v>0</v>
      </c>
    </row>
    <row r="1690" spans="5:8">
      <c r="E1690" s="56" t="str">
        <f t="shared" si="126"/>
        <v/>
      </c>
      <c r="F1690" s="56" t="str">
        <f t="shared" si="127"/>
        <v/>
      </c>
      <c r="G1690">
        <f t="shared" si="128"/>
        <v>0</v>
      </c>
      <c r="H1690">
        <f t="shared" si="129"/>
        <v>0</v>
      </c>
    </row>
    <row r="1691" spans="5:8">
      <c r="E1691" s="56" t="str">
        <f t="shared" si="126"/>
        <v/>
      </c>
      <c r="F1691" s="56" t="str">
        <f t="shared" si="127"/>
        <v/>
      </c>
      <c r="G1691">
        <f t="shared" si="128"/>
        <v>0</v>
      </c>
      <c r="H1691">
        <f t="shared" si="129"/>
        <v>0</v>
      </c>
    </row>
    <row r="1692" spans="5:8">
      <c r="E1692" s="56" t="str">
        <f t="shared" si="126"/>
        <v/>
      </c>
      <c r="F1692" s="56" t="str">
        <f t="shared" si="127"/>
        <v/>
      </c>
      <c r="G1692">
        <f t="shared" si="128"/>
        <v>0</v>
      </c>
      <c r="H1692">
        <f t="shared" si="129"/>
        <v>0</v>
      </c>
    </row>
    <row r="1693" spans="5:8">
      <c r="E1693" s="56" t="str">
        <f t="shared" si="126"/>
        <v/>
      </c>
      <c r="F1693" s="56" t="str">
        <f t="shared" si="127"/>
        <v/>
      </c>
      <c r="G1693">
        <f t="shared" si="128"/>
        <v>0</v>
      </c>
      <c r="H1693">
        <f t="shared" si="129"/>
        <v>0</v>
      </c>
    </row>
    <row r="1694" spans="5:8">
      <c r="E1694" s="56" t="str">
        <f t="shared" si="126"/>
        <v/>
      </c>
      <c r="F1694" s="56" t="str">
        <f t="shared" si="127"/>
        <v/>
      </c>
      <c r="G1694">
        <f t="shared" si="128"/>
        <v>0</v>
      </c>
      <c r="H1694">
        <f t="shared" si="129"/>
        <v>0</v>
      </c>
    </row>
    <row r="1695" spans="5:8">
      <c r="E1695" s="56" t="str">
        <f t="shared" si="126"/>
        <v/>
      </c>
      <c r="F1695" s="56" t="str">
        <f t="shared" si="127"/>
        <v/>
      </c>
      <c r="G1695">
        <f t="shared" si="128"/>
        <v>0</v>
      </c>
      <c r="H1695">
        <f t="shared" si="129"/>
        <v>0</v>
      </c>
    </row>
    <row r="1696" spans="5:8">
      <c r="E1696" s="56" t="str">
        <f t="shared" si="126"/>
        <v/>
      </c>
      <c r="F1696" s="56" t="str">
        <f t="shared" si="127"/>
        <v/>
      </c>
      <c r="G1696">
        <f t="shared" si="128"/>
        <v>0</v>
      </c>
      <c r="H1696">
        <f t="shared" si="129"/>
        <v>0</v>
      </c>
    </row>
    <row r="1697" spans="5:8">
      <c r="E1697" s="56" t="str">
        <f t="shared" si="126"/>
        <v/>
      </c>
      <c r="F1697" s="56" t="str">
        <f t="shared" si="127"/>
        <v/>
      </c>
      <c r="G1697">
        <f t="shared" si="128"/>
        <v>0</v>
      </c>
      <c r="H1697">
        <f t="shared" si="129"/>
        <v>0</v>
      </c>
    </row>
    <row r="1698" spans="5:8">
      <c r="E1698" s="56" t="str">
        <f t="shared" si="126"/>
        <v/>
      </c>
      <c r="F1698" s="56" t="str">
        <f t="shared" si="127"/>
        <v/>
      </c>
      <c r="G1698">
        <f t="shared" si="128"/>
        <v>0</v>
      </c>
      <c r="H1698">
        <f t="shared" si="129"/>
        <v>0</v>
      </c>
    </row>
    <row r="1699" spans="5:8">
      <c r="E1699" s="56" t="str">
        <f t="shared" si="126"/>
        <v/>
      </c>
      <c r="F1699" s="56" t="str">
        <f t="shared" si="127"/>
        <v/>
      </c>
      <c r="G1699">
        <f t="shared" si="128"/>
        <v>0</v>
      </c>
      <c r="H1699">
        <f t="shared" si="129"/>
        <v>0</v>
      </c>
    </row>
    <row r="1700" spans="5:8">
      <c r="E1700" s="56" t="str">
        <f t="shared" si="126"/>
        <v/>
      </c>
      <c r="F1700" s="56" t="str">
        <f t="shared" si="127"/>
        <v/>
      </c>
      <c r="G1700">
        <f t="shared" si="128"/>
        <v>0</v>
      </c>
      <c r="H1700">
        <f t="shared" si="129"/>
        <v>0</v>
      </c>
    </row>
    <row r="1701" spans="5:8">
      <c r="E1701" s="56" t="str">
        <f t="shared" si="126"/>
        <v/>
      </c>
      <c r="F1701" s="56" t="str">
        <f t="shared" si="127"/>
        <v/>
      </c>
      <c r="G1701">
        <f t="shared" si="128"/>
        <v>0</v>
      </c>
      <c r="H1701">
        <f t="shared" si="129"/>
        <v>0</v>
      </c>
    </row>
    <row r="1702" spans="5:8">
      <c r="E1702" s="56" t="str">
        <f t="shared" si="126"/>
        <v/>
      </c>
      <c r="F1702" s="56" t="str">
        <f t="shared" si="127"/>
        <v/>
      </c>
      <c r="G1702">
        <f t="shared" si="128"/>
        <v>0</v>
      </c>
      <c r="H1702">
        <f t="shared" si="129"/>
        <v>0</v>
      </c>
    </row>
    <row r="1703" spans="5:8">
      <c r="E1703" s="56" t="str">
        <f t="shared" si="126"/>
        <v/>
      </c>
      <c r="F1703" s="56" t="str">
        <f t="shared" si="127"/>
        <v/>
      </c>
      <c r="G1703">
        <f t="shared" si="128"/>
        <v>0</v>
      </c>
      <c r="H1703">
        <f t="shared" si="129"/>
        <v>0</v>
      </c>
    </row>
    <row r="1704" spans="5:8">
      <c r="E1704" s="56" t="str">
        <f t="shared" si="126"/>
        <v/>
      </c>
      <c r="F1704" s="56" t="str">
        <f t="shared" si="127"/>
        <v/>
      </c>
      <c r="G1704">
        <f t="shared" si="128"/>
        <v>0</v>
      </c>
      <c r="H1704">
        <f t="shared" si="129"/>
        <v>0</v>
      </c>
    </row>
    <row r="1705" spans="5:8">
      <c r="E1705" s="56" t="str">
        <f t="shared" si="126"/>
        <v/>
      </c>
      <c r="F1705" s="56" t="str">
        <f t="shared" si="127"/>
        <v/>
      </c>
      <c r="G1705">
        <f t="shared" si="128"/>
        <v>0</v>
      </c>
      <c r="H1705">
        <f t="shared" si="129"/>
        <v>0</v>
      </c>
    </row>
    <row r="1706" spans="5:8">
      <c r="E1706" s="56" t="str">
        <f t="shared" si="126"/>
        <v/>
      </c>
      <c r="F1706" s="56" t="str">
        <f t="shared" si="127"/>
        <v/>
      </c>
      <c r="G1706">
        <f t="shared" si="128"/>
        <v>0</v>
      </c>
      <c r="H1706">
        <f t="shared" si="129"/>
        <v>0</v>
      </c>
    </row>
    <row r="1707" spans="5:8">
      <c r="E1707" s="56" t="str">
        <f t="shared" si="126"/>
        <v/>
      </c>
      <c r="F1707" s="56" t="str">
        <f t="shared" si="127"/>
        <v/>
      </c>
      <c r="G1707">
        <f t="shared" si="128"/>
        <v>0</v>
      </c>
      <c r="H1707">
        <f t="shared" si="129"/>
        <v>0</v>
      </c>
    </row>
    <row r="1708" spans="5:8">
      <c r="E1708" s="56" t="str">
        <f t="shared" si="126"/>
        <v/>
      </c>
      <c r="F1708" s="56" t="str">
        <f t="shared" si="127"/>
        <v/>
      </c>
      <c r="G1708">
        <f t="shared" si="128"/>
        <v>0</v>
      </c>
      <c r="H1708">
        <f t="shared" si="129"/>
        <v>0</v>
      </c>
    </row>
    <row r="1709" spans="5:8">
      <c r="E1709" s="56" t="str">
        <f t="shared" ref="E1709:E1769" si="130">UPPER(B1709)</f>
        <v/>
      </c>
      <c r="F1709" s="56" t="str">
        <f t="shared" ref="F1709:F1769" si="131">UPPER(C1709)</f>
        <v/>
      </c>
      <c r="G1709">
        <f t="shared" ref="G1709:G1769" si="132">D1709</f>
        <v>0</v>
      </c>
      <c r="H1709">
        <f t="shared" ref="H1709:H1769" si="133">ROUND(G1709/(1+$E$1),2)</f>
        <v>0</v>
      </c>
    </row>
    <row r="1710" spans="5:8">
      <c r="E1710" s="56" t="str">
        <f t="shared" si="130"/>
        <v/>
      </c>
      <c r="F1710" s="56" t="str">
        <f t="shared" si="131"/>
        <v/>
      </c>
      <c r="G1710">
        <f t="shared" si="132"/>
        <v>0</v>
      </c>
      <c r="H1710">
        <f t="shared" si="133"/>
        <v>0</v>
      </c>
    </row>
    <row r="1711" spans="5:8">
      <c r="E1711" s="56" t="str">
        <f t="shared" si="130"/>
        <v/>
      </c>
      <c r="F1711" s="56" t="str">
        <f t="shared" si="131"/>
        <v/>
      </c>
      <c r="G1711">
        <f t="shared" si="132"/>
        <v>0</v>
      </c>
      <c r="H1711">
        <f t="shared" si="133"/>
        <v>0</v>
      </c>
    </row>
    <row r="1712" spans="5:8">
      <c r="E1712" s="56" t="str">
        <f t="shared" si="130"/>
        <v/>
      </c>
      <c r="F1712" s="56" t="str">
        <f t="shared" si="131"/>
        <v/>
      </c>
      <c r="G1712">
        <f t="shared" si="132"/>
        <v>0</v>
      </c>
      <c r="H1712">
        <f t="shared" si="133"/>
        <v>0</v>
      </c>
    </row>
    <row r="1713" spans="5:8">
      <c r="E1713" s="56" t="str">
        <f t="shared" si="130"/>
        <v/>
      </c>
      <c r="F1713" s="56" t="str">
        <f t="shared" si="131"/>
        <v/>
      </c>
      <c r="G1713">
        <f t="shared" si="132"/>
        <v>0</v>
      </c>
      <c r="H1713">
        <f t="shared" si="133"/>
        <v>0</v>
      </c>
    </row>
    <row r="1714" spans="5:8">
      <c r="E1714" s="56" t="str">
        <f t="shared" si="130"/>
        <v/>
      </c>
      <c r="F1714" s="56" t="str">
        <f t="shared" si="131"/>
        <v/>
      </c>
      <c r="G1714">
        <f t="shared" si="132"/>
        <v>0</v>
      </c>
      <c r="H1714">
        <f t="shared" si="133"/>
        <v>0</v>
      </c>
    </row>
    <row r="1715" spans="5:8">
      <c r="E1715" s="56" t="str">
        <f t="shared" si="130"/>
        <v/>
      </c>
      <c r="F1715" s="56" t="str">
        <f t="shared" si="131"/>
        <v/>
      </c>
      <c r="G1715">
        <f t="shared" si="132"/>
        <v>0</v>
      </c>
      <c r="H1715">
        <f t="shared" si="133"/>
        <v>0</v>
      </c>
    </row>
    <row r="1716" spans="5:8">
      <c r="E1716" s="56" t="str">
        <f t="shared" si="130"/>
        <v/>
      </c>
      <c r="F1716" s="56" t="str">
        <f t="shared" si="131"/>
        <v/>
      </c>
      <c r="G1716">
        <f t="shared" si="132"/>
        <v>0</v>
      </c>
      <c r="H1716">
        <f t="shared" si="133"/>
        <v>0</v>
      </c>
    </row>
    <row r="1717" spans="5:8">
      <c r="E1717" s="56" t="str">
        <f t="shared" si="130"/>
        <v/>
      </c>
      <c r="F1717" s="56" t="str">
        <f t="shared" si="131"/>
        <v/>
      </c>
      <c r="G1717">
        <f t="shared" si="132"/>
        <v>0</v>
      </c>
      <c r="H1717">
        <f t="shared" si="133"/>
        <v>0</v>
      </c>
    </row>
    <row r="1718" spans="5:8">
      <c r="E1718" s="56" t="str">
        <f t="shared" si="130"/>
        <v/>
      </c>
      <c r="F1718" s="56" t="str">
        <f t="shared" si="131"/>
        <v/>
      </c>
      <c r="G1718">
        <f t="shared" si="132"/>
        <v>0</v>
      </c>
      <c r="H1718">
        <f t="shared" si="133"/>
        <v>0</v>
      </c>
    </row>
    <row r="1719" spans="5:8">
      <c r="E1719" s="56" t="str">
        <f t="shared" si="130"/>
        <v/>
      </c>
      <c r="F1719" s="56" t="str">
        <f t="shared" si="131"/>
        <v/>
      </c>
      <c r="G1719">
        <f t="shared" si="132"/>
        <v>0</v>
      </c>
      <c r="H1719">
        <f t="shared" si="133"/>
        <v>0</v>
      </c>
    </row>
    <row r="1720" spans="5:8">
      <c r="E1720" s="56" t="str">
        <f t="shared" si="130"/>
        <v/>
      </c>
      <c r="F1720" s="56" t="str">
        <f t="shared" si="131"/>
        <v/>
      </c>
      <c r="G1720">
        <f t="shared" si="132"/>
        <v>0</v>
      </c>
      <c r="H1720">
        <f t="shared" si="133"/>
        <v>0</v>
      </c>
    </row>
    <row r="1721" spans="5:8">
      <c r="E1721" s="56" t="str">
        <f t="shared" si="130"/>
        <v/>
      </c>
      <c r="F1721" s="56" t="str">
        <f t="shared" si="131"/>
        <v/>
      </c>
      <c r="G1721">
        <f t="shared" si="132"/>
        <v>0</v>
      </c>
      <c r="H1721">
        <f t="shared" si="133"/>
        <v>0</v>
      </c>
    </row>
    <row r="1722" spans="5:8">
      <c r="E1722" s="56" t="str">
        <f t="shared" si="130"/>
        <v/>
      </c>
      <c r="F1722" s="56" t="str">
        <f t="shared" si="131"/>
        <v/>
      </c>
      <c r="G1722">
        <f t="shared" si="132"/>
        <v>0</v>
      </c>
      <c r="H1722">
        <f t="shared" si="133"/>
        <v>0</v>
      </c>
    </row>
    <row r="1723" spans="5:8">
      <c r="E1723" s="56" t="str">
        <f t="shared" si="130"/>
        <v/>
      </c>
      <c r="F1723" s="56" t="str">
        <f t="shared" si="131"/>
        <v/>
      </c>
      <c r="G1723">
        <f t="shared" si="132"/>
        <v>0</v>
      </c>
      <c r="H1723">
        <f t="shared" si="133"/>
        <v>0</v>
      </c>
    </row>
    <row r="1724" spans="5:8">
      <c r="E1724" s="56" t="str">
        <f t="shared" si="130"/>
        <v/>
      </c>
      <c r="F1724" s="56" t="str">
        <f t="shared" si="131"/>
        <v/>
      </c>
      <c r="G1724">
        <f t="shared" si="132"/>
        <v>0</v>
      </c>
      <c r="H1724">
        <f t="shared" si="133"/>
        <v>0</v>
      </c>
    </row>
    <row r="1725" spans="5:8">
      <c r="E1725" s="56" t="str">
        <f t="shared" si="130"/>
        <v/>
      </c>
      <c r="F1725" s="56" t="str">
        <f t="shared" si="131"/>
        <v/>
      </c>
      <c r="G1725">
        <f t="shared" si="132"/>
        <v>0</v>
      </c>
      <c r="H1725">
        <f t="shared" si="133"/>
        <v>0</v>
      </c>
    </row>
    <row r="1726" spans="5:8">
      <c r="E1726" s="56" t="str">
        <f t="shared" si="130"/>
        <v/>
      </c>
      <c r="F1726" s="56" t="str">
        <f t="shared" si="131"/>
        <v/>
      </c>
      <c r="G1726">
        <f t="shared" si="132"/>
        <v>0</v>
      </c>
      <c r="H1726">
        <f t="shared" si="133"/>
        <v>0</v>
      </c>
    </row>
    <row r="1727" spans="5:8">
      <c r="E1727" s="56" t="str">
        <f t="shared" si="130"/>
        <v/>
      </c>
      <c r="F1727" s="56" t="str">
        <f t="shared" si="131"/>
        <v/>
      </c>
      <c r="G1727">
        <f t="shared" si="132"/>
        <v>0</v>
      </c>
      <c r="H1727">
        <f t="shared" si="133"/>
        <v>0</v>
      </c>
    </row>
    <row r="1728" spans="5:8">
      <c r="E1728" s="56" t="str">
        <f t="shared" si="130"/>
        <v/>
      </c>
      <c r="F1728" s="56" t="str">
        <f t="shared" si="131"/>
        <v/>
      </c>
      <c r="G1728">
        <f t="shared" si="132"/>
        <v>0</v>
      </c>
      <c r="H1728">
        <f t="shared" si="133"/>
        <v>0</v>
      </c>
    </row>
    <row r="1729" spans="5:8">
      <c r="E1729" s="56" t="str">
        <f t="shared" si="130"/>
        <v/>
      </c>
      <c r="F1729" s="56" t="str">
        <f t="shared" si="131"/>
        <v/>
      </c>
      <c r="G1729">
        <f t="shared" si="132"/>
        <v>0</v>
      </c>
      <c r="H1729">
        <f t="shared" si="133"/>
        <v>0</v>
      </c>
    </row>
    <row r="1730" spans="5:8">
      <c r="E1730" s="56" t="str">
        <f t="shared" si="130"/>
        <v/>
      </c>
      <c r="F1730" s="56" t="str">
        <f t="shared" si="131"/>
        <v/>
      </c>
      <c r="G1730">
        <f t="shared" si="132"/>
        <v>0</v>
      </c>
      <c r="H1730">
        <f t="shared" si="133"/>
        <v>0</v>
      </c>
    </row>
    <row r="1731" spans="5:8">
      <c r="E1731" s="56" t="str">
        <f t="shared" si="130"/>
        <v/>
      </c>
      <c r="F1731" s="56" t="str">
        <f t="shared" si="131"/>
        <v/>
      </c>
      <c r="G1731">
        <f t="shared" si="132"/>
        <v>0</v>
      </c>
      <c r="H1731">
        <f t="shared" si="133"/>
        <v>0</v>
      </c>
    </row>
    <row r="1732" spans="5:8">
      <c r="E1732" s="56" t="str">
        <f t="shared" si="130"/>
        <v/>
      </c>
      <c r="F1732" s="56" t="str">
        <f t="shared" si="131"/>
        <v/>
      </c>
      <c r="G1732">
        <f t="shared" si="132"/>
        <v>0</v>
      </c>
      <c r="H1732">
        <f t="shared" si="133"/>
        <v>0</v>
      </c>
    </row>
    <row r="1733" spans="5:8">
      <c r="E1733" s="56" t="str">
        <f t="shared" si="130"/>
        <v/>
      </c>
      <c r="F1733" s="56" t="str">
        <f t="shared" si="131"/>
        <v/>
      </c>
      <c r="G1733">
        <f t="shared" si="132"/>
        <v>0</v>
      </c>
      <c r="H1733">
        <f t="shared" si="133"/>
        <v>0</v>
      </c>
    </row>
    <row r="1734" spans="5:8">
      <c r="E1734" s="56" t="str">
        <f t="shared" si="130"/>
        <v/>
      </c>
      <c r="F1734" s="56" t="str">
        <f t="shared" si="131"/>
        <v/>
      </c>
      <c r="G1734">
        <f t="shared" si="132"/>
        <v>0</v>
      </c>
      <c r="H1734">
        <f t="shared" si="133"/>
        <v>0</v>
      </c>
    </row>
    <row r="1735" spans="5:8">
      <c r="E1735" s="56" t="str">
        <f t="shared" si="130"/>
        <v/>
      </c>
      <c r="F1735" s="56" t="str">
        <f t="shared" si="131"/>
        <v/>
      </c>
      <c r="G1735">
        <f t="shared" si="132"/>
        <v>0</v>
      </c>
      <c r="H1735">
        <f t="shared" si="133"/>
        <v>0</v>
      </c>
    </row>
    <row r="1736" spans="5:8">
      <c r="E1736" s="56" t="str">
        <f t="shared" si="130"/>
        <v/>
      </c>
      <c r="F1736" s="56" t="str">
        <f t="shared" si="131"/>
        <v/>
      </c>
      <c r="G1736">
        <f t="shared" si="132"/>
        <v>0</v>
      </c>
      <c r="H1736">
        <f t="shared" si="133"/>
        <v>0</v>
      </c>
    </row>
    <row r="1737" spans="5:8">
      <c r="E1737" s="56" t="str">
        <f t="shared" si="130"/>
        <v/>
      </c>
      <c r="F1737" s="56" t="str">
        <f t="shared" si="131"/>
        <v/>
      </c>
      <c r="G1737">
        <f t="shared" si="132"/>
        <v>0</v>
      </c>
      <c r="H1737">
        <f t="shared" si="133"/>
        <v>0</v>
      </c>
    </row>
    <row r="1738" spans="5:8">
      <c r="E1738" s="56" t="str">
        <f t="shared" si="130"/>
        <v/>
      </c>
      <c r="F1738" s="56" t="str">
        <f t="shared" si="131"/>
        <v/>
      </c>
      <c r="G1738">
        <f t="shared" si="132"/>
        <v>0</v>
      </c>
      <c r="H1738">
        <f t="shared" si="133"/>
        <v>0</v>
      </c>
    </row>
    <row r="1739" spans="5:8">
      <c r="E1739" s="56" t="str">
        <f t="shared" si="130"/>
        <v/>
      </c>
      <c r="F1739" s="56" t="str">
        <f t="shared" si="131"/>
        <v/>
      </c>
      <c r="G1739">
        <f t="shared" si="132"/>
        <v>0</v>
      </c>
      <c r="H1739">
        <f t="shared" si="133"/>
        <v>0</v>
      </c>
    </row>
    <row r="1740" spans="5:8">
      <c r="E1740" s="56" t="str">
        <f t="shared" si="130"/>
        <v/>
      </c>
      <c r="F1740" s="56" t="str">
        <f t="shared" si="131"/>
        <v/>
      </c>
      <c r="G1740">
        <f t="shared" si="132"/>
        <v>0</v>
      </c>
      <c r="H1740">
        <f t="shared" si="133"/>
        <v>0</v>
      </c>
    </row>
    <row r="1741" spans="5:8">
      <c r="E1741" s="56" t="str">
        <f t="shared" si="130"/>
        <v/>
      </c>
      <c r="F1741" s="56" t="str">
        <f t="shared" si="131"/>
        <v/>
      </c>
      <c r="G1741">
        <f t="shared" si="132"/>
        <v>0</v>
      </c>
      <c r="H1741">
        <f t="shared" si="133"/>
        <v>0</v>
      </c>
    </row>
    <row r="1742" spans="5:8">
      <c r="E1742" s="56" t="str">
        <f t="shared" si="130"/>
        <v/>
      </c>
      <c r="F1742" s="56" t="str">
        <f t="shared" si="131"/>
        <v/>
      </c>
      <c r="G1742">
        <f t="shared" si="132"/>
        <v>0</v>
      </c>
      <c r="H1742">
        <f t="shared" si="133"/>
        <v>0</v>
      </c>
    </row>
    <row r="1743" spans="5:8">
      <c r="E1743" s="56" t="str">
        <f t="shared" si="130"/>
        <v/>
      </c>
      <c r="F1743" s="56" t="str">
        <f t="shared" si="131"/>
        <v/>
      </c>
      <c r="G1743">
        <f t="shared" si="132"/>
        <v>0</v>
      </c>
      <c r="H1743">
        <f t="shared" si="133"/>
        <v>0</v>
      </c>
    </row>
    <row r="1744" spans="5:8">
      <c r="E1744" s="56" t="str">
        <f t="shared" si="130"/>
        <v/>
      </c>
      <c r="F1744" s="56" t="str">
        <f t="shared" si="131"/>
        <v/>
      </c>
      <c r="G1744">
        <f t="shared" si="132"/>
        <v>0</v>
      </c>
      <c r="H1744">
        <f t="shared" si="133"/>
        <v>0</v>
      </c>
    </row>
    <row r="1745" spans="5:8">
      <c r="E1745" s="56" t="str">
        <f t="shared" si="130"/>
        <v/>
      </c>
      <c r="F1745" s="56" t="str">
        <f t="shared" si="131"/>
        <v/>
      </c>
      <c r="G1745">
        <f t="shared" si="132"/>
        <v>0</v>
      </c>
      <c r="H1745">
        <f t="shared" si="133"/>
        <v>0</v>
      </c>
    </row>
    <row r="1746" spans="5:8">
      <c r="E1746" s="56" t="str">
        <f t="shared" si="130"/>
        <v/>
      </c>
      <c r="F1746" s="56" t="str">
        <f t="shared" si="131"/>
        <v/>
      </c>
      <c r="G1746">
        <f t="shared" si="132"/>
        <v>0</v>
      </c>
      <c r="H1746">
        <f t="shared" si="133"/>
        <v>0</v>
      </c>
    </row>
    <row r="1747" spans="5:8">
      <c r="E1747" s="56" t="str">
        <f t="shared" si="130"/>
        <v/>
      </c>
      <c r="F1747" s="56" t="str">
        <f t="shared" si="131"/>
        <v/>
      </c>
      <c r="G1747">
        <f t="shared" si="132"/>
        <v>0</v>
      </c>
      <c r="H1747">
        <f t="shared" si="133"/>
        <v>0</v>
      </c>
    </row>
    <row r="1748" spans="5:8">
      <c r="E1748" s="56" t="str">
        <f t="shared" si="130"/>
        <v/>
      </c>
      <c r="F1748" s="56" t="str">
        <f t="shared" si="131"/>
        <v/>
      </c>
      <c r="G1748">
        <f t="shared" si="132"/>
        <v>0</v>
      </c>
      <c r="H1748">
        <f t="shared" si="133"/>
        <v>0</v>
      </c>
    </row>
    <row r="1749" spans="5:8">
      <c r="E1749" s="56" t="str">
        <f t="shared" si="130"/>
        <v/>
      </c>
      <c r="F1749" s="56" t="str">
        <f t="shared" si="131"/>
        <v/>
      </c>
      <c r="G1749">
        <f t="shared" si="132"/>
        <v>0</v>
      </c>
      <c r="H1749">
        <f t="shared" si="133"/>
        <v>0</v>
      </c>
    </row>
    <row r="1750" spans="5:8">
      <c r="E1750" s="56" t="str">
        <f t="shared" si="130"/>
        <v/>
      </c>
      <c r="F1750" s="56" t="str">
        <f t="shared" si="131"/>
        <v/>
      </c>
      <c r="G1750">
        <f t="shared" si="132"/>
        <v>0</v>
      </c>
      <c r="H1750">
        <f t="shared" si="133"/>
        <v>0</v>
      </c>
    </row>
    <row r="1751" spans="5:8">
      <c r="E1751" s="56" t="str">
        <f t="shared" si="130"/>
        <v/>
      </c>
      <c r="F1751" s="56" t="str">
        <f t="shared" si="131"/>
        <v/>
      </c>
      <c r="G1751">
        <f t="shared" si="132"/>
        <v>0</v>
      </c>
      <c r="H1751">
        <f t="shared" si="133"/>
        <v>0</v>
      </c>
    </row>
    <row r="1752" spans="5:8">
      <c r="E1752" s="56" t="str">
        <f t="shared" si="130"/>
        <v/>
      </c>
      <c r="F1752" s="56" t="str">
        <f t="shared" si="131"/>
        <v/>
      </c>
      <c r="G1752">
        <f t="shared" si="132"/>
        <v>0</v>
      </c>
      <c r="H1752">
        <f t="shared" si="133"/>
        <v>0</v>
      </c>
    </row>
    <row r="1753" spans="5:8">
      <c r="E1753" s="56" t="str">
        <f t="shared" si="130"/>
        <v/>
      </c>
      <c r="F1753" s="56" t="str">
        <f t="shared" si="131"/>
        <v/>
      </c>
      <c r="G1753">
        <f t="shared" si="132"/>
        <v>0</v>
      </c>
      <c r="H1753">
        <f t="shared" si="133"/>
        <v>0</v>
      </c>
    </row>
    <row r="1754" spans="5:8">
      <c r="E1754" s="56" t="str">
        <f t="shared" si="130"/>
        <v/>
      </c>
      <c r="F1754" s="56" t="str">
        <f t="shared" si="131"/>
        <v/>
      </c>
      <c r="G1754">
        <f t="shared" si="132"/>
        <v>0</v>
      </c>
      <c r="H1754">
        <f t="shared" si="133"/>
        <v>0</v>
      </c>
    </row>
    <row r="1755" spans="5:8">
      <c r="E1755" s="56" t="str">
        <f t="shared" si="130"/>
        <v/>
      </c>
      <c r="F1755" s="56" t="str">
        <f t="shared" si="131"/>
        <v/>
      </c>
      <c r="G1755">
        <f t="shared" si="132"/>
        <v>0</v>
      </c>
      <c r="H1755">
        <f t="shared" si="133"/>
        <v>0</v>
      </c>
    </row>
    <row r="1756" spans="5:8">
      <c r="E1756" s="56" t="str">
        <f t="shared" si="130"/>
        <v/>
      </c>
      <c r="F1756" s="56" t="str">
        <f t="shared" si="131"/>
        <v/>
      </c>
      <c r="G1756">
        <f t="shared" si="132"/>
        <v>0</v>
      </c>
      <c r="H1756">
        <f t="shared" si="133"/>
        <v>0</v>
      </c>
    </row>
    <row r="1757" spans="5:8">
      <c r="E1757" s="56" t="str">
        <f t="shared" si="130"/>
        <v/>
      </c>
      <c r="F1757" s="56" t="str">
        <f t="shared" si="131"/>
        <v/>
      </c>
      <c r="G1757">
        <f t="shared" si="132"/>
        <v>0</v>
      </c>
      <c r="H1757">
        <f t="shared" si="133"/>
        <v>0</v>
      </c>
    </row>
    <row r="1758" spans="5:8">
      <c r="E1758" s="56" t="str">
        <f t="shared" si="130"/>
        <v/>
      </c>
      <c r="F1758" s="56" t="str">
        <f t="shared" si="131"/>
        <v/>
      </c>
      <c r="G1758">
        <f t="shared" si="132"/>
        <v>0</v>
      </c>
      <c r="H1758">
        <f t="shared" si="133"/>
        <v>0</v>
      </c>
    </row>
    <row r="1759" spans="5:8">
      <c r="E1759" s="56" t="str">
        <f t="shared" si="130"/>
        <v/>
      </c>
      <c r="F1759" s="56" t="str">
        <f t="shared" si="131"/>
        <v/>
      </c>
      <c r="G1759">
        <f t="shared" si="132"/>
        <v>0</v>
      </c>
      <c r="H1759">
        <f t="shared" si="133"/>
        <v>0</v>
      </c>
    </row>
    <row r="1760" spans="5:8">
      <c r="E1760" s="56" t="str">
        <f t="shared" si="130"/>
        <v/>
      </c>
      <c r="F1760" s="56" t="str">
        <f t="shared" si="131"/>
        <v/>
      </c>
      <c r="G1760">
        <f t="shared" si="132"/>
        <v>0</v>
      </c>
      <c r="H1760">
        <f t="shared" si="133"/>
        <v>0</v>
      </c>
    </row>
    <row r="1761" spans="5:8">
      <c r="E1761" s="56" t="str">
        <f t="shared" si="130"/>
        <v/>
      </c>
      <c r="F1761" s="56" t="str">
        <f t="shared" si="131"/>
        <v/>
      </c>
      <c r="G1761">
        <f t="shared" si="132"/>
        <v>0</v>
      </c>
      <c r="H1761">
        <f t="shared" si="133"/>
        <v>0</v>
      </c>
    </row>
    <row r="1762" spans="5:8">
      <c r="E1762" s="56" t="str">
        <f t="shared" si="130"/>
        <v/>
      </c>
      <c r="F1762" s="56" t="str">
        <f t="shared" si="131"/>
        <v/>
      </c>
      <c r="G1762">
        <f t="shared" si="132"/>
        <v>0</v>
      </c>
      <c r="H1762">
        <f t="shared" si="133"/>
        <v>0</v>
      </c>
    </row>
    <row r="1763" spans="5:8">
      <c r="E1763" s="56" t="str">
        <f t="shared" si="130"/>
        <v/>
      </c>
      <c r="F1763" s="56" t="str">
        <f t="shared" si="131"/>
        <v/>
      </c>
      <c r="G1763">
        <f t="shared" si="132"/>
        <v>0</v>
      </c>
      <c r="H1763">
        <f t="shared" si="133"/>
        <v>0</v>
      </c>
    </row>
    <row r="1764" spans="5:8">
      <c r="E1764" s="56" t="str">
        <f t="shared" si="130"/>
        <v/>
      </c>
      <c r="F1764" s="56" t="str">
        <f t="shared" si="131"/>
        <v/>
      </c>
      <c r="G1764">
        <f t="shared" si="132"/>
        <v>0</v>
      </c>
      <c r="H1764">
        <f t="shared" si="133"/>
        <v>0</v>
      </c>
    </row>
    <row r="1765" spans="5:8">
      <c r="E1765" s="56" t="str">
        <f t="shared" si="130"/>
        <v/>
      </c>
      <c r="F1765" s="56" t="str">
        <f t="shared" si="131"/>
        <v/>
      </c>
      <c r="G1765">
        <f t="shared" si="132"/>
        <v>0</v>
      </c>
      <c r="H1765">
        <f t="shared" si="133"/>
        <v>0</v>
      </c>
    </row>
    <row r="1766" spans="5:8">
      <c r="E1766" s="56" t="str">
        <f t="shared" si="130"/>
        <v/>
      </c>
      <c r="F1766" s="56" t="str">
        <f t="shared" si="131"/>
        <v/>
      </c>
      <c r="G1766">
        <f t="shared" si="132"/>
        <v>0</v>
      </c>
      <c r="H1766">
        <f t="shared" si="133"/>
        <v>0</v>
      </c>
    </row>
    <row r="1767" spans="5:8">
      <c r="E1767" s="56" t="str">
        <f t="shared" si="130"/>
        <v/>
      </c>
      <c r="F1767" s="56" t="str">
        <f t="shared" si="131"/>
        <v/>
      </c>
      <c r="G1767">
        <f t="shared" si="132"/>
        <v>0</v>
      </c>
      <c r="H1767">
        <f t="shared" si="133"/>
        <v>0</v>
      </c>
    </row>
    <row r="1768" spans="5:8">
      <c r="E1768" s="56" t="str">
        <f t="shared" si="130"/>
        <v/>
      </c>
      <c r="F1768" s="56" t="str">
        <f t="shared" si="131"/>
        <v/>
      </c>
      <c r="G1768">
        <f t="shared" si="132"/>
        <v>0</v>
      </c>
      <c r="H1768">
        <f t="shared" si="133"/>
        <v>0</v>
      </c>
    </row>
    <row r="1769" spans="5:8">
      <c r="E1769" s="56" t="str">
        <f t="shared" si="130"/>
        <v/>
      </c>
      <c r="F1769" s="56" t="str">
        <f t="shared" si="131"/>
        <v/>
      </c>
      <c r="G1769">
        <f t="shared" si="132"/>
        <v>0</v>
      </c>
      <c r="H1769">
        <f t="shared" si="133"/>
        <v>0</v>
      </c>
    </row>
  </sheetData>
  <mergeCells count="1">
    <mergeCell ref="A3:D3"/>
  </mergeCells>
  <pageMargins left="0.511811024" right="0.511811024" top="0.78740157499999996" bottom="0.78740157499999996" header="0.31496062000000002" footer="0.31496062000000002"/>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72"/>
  <sheetViews>
    <sheetView showGridLines="0" view="pageBreakPreview" zoomScale="85" zoomScaleSheetLayoutView="85" workbookViewId="0">
      <selection activeCell="F71" sqref="F71"/>
    </sheetView>
  </sheetViews>
  <sheetFormatPr defaultRowHeight="15" customHeight="1"/>
  <cols>
    <col min="1" max="1" width="5.88671875" customWidth="1"/>
    <col min="2" max="2" width="6" customWidth="1"/>
    <col min="3" max="4" width="12.88671875" style="21" customWidth="1"/>
    <col min="5" max="5" width="71.44140625" customWidth="1"/>
    <col min="6" max="6" width="8.6640625" style="21" customWidth="1"/>
    <col min="7" max="7" width="9.44140625" customWidth="1"/>
    <col min="8" max="8" width="11.6640625" customWidth="1"/>
    <col min="9" max="9" width="10.88671875" customWidth="1"/>
    <col min="10" max="10" width="14.44140625" customWidth="1"/>
    <col min="11" max="11" width="3.88671875" customWidth="1"/>
    <col min="12" max="12" width="18.109375" bestFit="1" customWidth="1"/>
    <col min="13" max="13" width="6.88671875" bestFit="1" customWidth="1"/>
  </cols>
  <sheetData>
    <row r="1" spans="1:21" ht="60" customHeight="1">
      <c r="A1" s="808"/>
      <c r="B1" s="808"/>
      <c r="C1" s="808"/>
      <c r="D1" s="808"/>
      <c r="E1" s="808"/>
      <c r="F1" s="808"/>
      <c r="G1" s="808"/>
      <c r="H1" s="808"/>
      <c r="I1" s="22"/>
      <c r="L1" t="s">
        <v>77</v>
      </c>
      <c r="M1" t="s">
        <v>106</v>
      </c>
    </row>
    <row r="2" spans="1:21" ht="15" customHeight="1">
      <c r="A2" s="809">
        <f>GLOBAL!A2</f>
        <v>0</v>
      </c>
      <c r="B2" s="809"/>
      <c r="C2" s="809"/>
      <c r="D2" s="809"/>
      <c r="E2" s="809"/>
      <c r="F2" s="810"/>
      <c r="G2" s="23" t="s">
        <v>78</v>
      </c>
      <c r="H2" s="23" t="s">
        <v>79</v>
      </c>
      <c r="I2" s="23" t="s">
        <v>80</v>
      </c>
    </row>
    <row r="3" spans="1:21" ht="15.75" customHeight="1">
      <c r="A3" s="811"/>
      <c r="B3" s="811"/>
      <c r="C3" s="811"/>
      <c r="D3" s="811"/>
      <c r="E3" s="811"/>
      <c r="F3" s="812"/>
      <c r="G3" s="24">
        <v>1.1615</v>
      </c>
      <c r="H3" s="25">
        <v>0.31009999999999999</v>
      </c>
      <c r="I3" s="26">
        <v>45778</v>
      </c>
    </row>
    <row r="4" spans="1:21" ht="15.75" customHeight="1">
      <c r="A4" s="74"/>
      <c r="B4" s="74"/>
      <c r="C4" s="74"/>
      <c r="D4" s="74"/>
      <c r="E4" s="74"/>
      <c r="F4" s="74"/>
      <c r="G4" s="74"/>
      <c r="H4" s="74"/>
      <c r="I4" s="74"/>
    </row>
    <row r="5" spans="1:21" ht="25.5" customHeight="1">
      <c r="A5" s="806" t="s">
        <v>25</v>
      </c>
      <c r="B5" s="807"/>
      <c r="C5" s="806" t="s">
        <v>81</v>
      </c>
      <c r="D5" s="807"/>
      <c r="E5" s="94" t="s">
        <v>63</v>
      </c>
      <c r="F5" s="169" t="s">
        <v>64</v>
      </c>
      <c r="G5" s="27"/>
      <c r="H5" s="28"/>
      <c r="I5" s="29"/>
      <c r="J5" s="95" t="s">
        <v>82</v>
      </c>
    </row>
    <row r="6" spans="1:21" ht="14.4">
      <c r="A6" s="30" t="str">
        <f>CONCATENATE($M$1,"-")</f>
        <v>ARQ-</v>
      </c>
      <c r="B6" s="31">
        <f>COUNTIF(B$1:B5,"&gt;0")+1</f>
        <v>1</v>
      </c>
      <c r="C6" s="93" t="s">
        <v>35851</v>
      </c>
      <c r="D6" s="875" t="s">
        <v>15762</v>
      </c>
      <c r="E6" s="129" t="s">
        <v>35852</v>
      </c>
      <c r="F6" s="104" t="s">
        <v>74</v>
      </c>
      <c r="G6" s="32"/>
      <c r="H6" s="33"/>
      <c r="I6" s="34"/>
      <c r="J6" s="105">
        <f>J18</f>
        <v>31624.5</v>
      </c>
      <c r="L6" t="str">
        <f>UPPER(E6)</f>
        <v xml:space="preserve">QDG CÂMARA MONTADO CONFORME PROJETO ELÉTRICO </v>
      </c>
      <c r="M6" s="92" t="str">
        <f>IF(K6="LABOR",VLOOKUP(L6,'LABOR-SERVIÇOS'!I:N,5,FALSE),IF(K6="SINAPI",VLOOKUP(L6,'SINAPI-SERVIÇOS'!I:M,2,FALSE),"outro"))</f>
        <v>outro</v>
      </c>
    </row>
    <row r="7" spans="1:21" ht="15" customHeight="1">
      <c r="A7" s="35"/>
      <c r="B7" s="96" t="s">
        <v>84</v>
      </c>
      <c r="C7" s="97" t="s">
        <v>85</v>
      </c>
      <c r="D7" s="97" t="s">
        <v>86</v>
      </c>
      <c r="E7" s="97" t="s">
        <v>87</v>
      </c>
      <c r="F7" s="97" t="s">
        <v>84</v>
      </c>
      <c r="G7" s="36" t="s">
        <v>64</v>
      </c>
      <c r="H7" s="36" t="s">
        <v>88</v>
      </c>
      <c r="I7" s="36" t="s">
        <v>89</v>
      </c>
      <c r="J7" s="97" t="s">
        <v>90</v>
      </c>
    </row>
    <row r="8" spans="1:21" ht="14.4">
      <c r="A8" s="37"/>
      <c r="B8" s="121" t="s">
        <v>91</v>
      </c>
      <c r="C8" s="122" t="s">
        <v>15761</v>
      </c>
      <c r="D8" s="543" t="s">
        <v>15762</v>
      </c>
      <c r="E8" s="876" t="s">
        <v>35852</v>
      </c>
      <c r="F8" s="122" t="s">
        <v>93</v>
      </c>
      <c r="G8" s="544" t="s">
        <v>74</v>
      </c>
      <c r="H8" s="182">
        <v>1</v>
      </c>
      <c r="I8" s="232">
        <v>24139</v>
      </c>
      <c r="J8" s="183">
        <f t="shared" ref="J8" si="0">ROUND(H8*I8,2)</f>
        <v>24139</v>
      </c>
      <c r="U8" s="181" t="s">
        <v>2871</v>
      </c>
    </row>
    <row r="9" spans="1:21" ht="15" customHeight="1">
      <c r="A9" s="38"/>
      <c r="B9" s="39"/>
      <c r="C9" s="39"/>
      <c r="D9" s="39"/>
      <c r="E9" s="98"/>
      <c r="F9" s="99"/>
      <c r="G9" s="99"/>
      <c r="H9" s="100"/>
      <c r="I9" s="101"/>
      <c r="J9" s="102"/>
    </row>
    <row r="10" spans="1:21" ht="15" customHeight="1">
      <c r="A10" s="38"/>
      <c r="B10" s="19"/>
      <c r="C10" s="19"/>
      <c r="D10" s="40"/>
      <c r="E10" s="88" t="s">
        <v>94</v>
      </c>
      <c r="F10" s="89" t="s">
        <v>95</v>
      </c>
      <c r="G10" s="89"/>
      <c r="H10" s="90" t="s">
        <v>96</v>
      </c>
      <c r="I10" s="91" t="s">
        <v>97</v>
      </c>
      <c r="J10" s="91" t="s">
        <v>19</v>
      </c>
    </row>
    <row r="11" spans="1:21" ht="15" customHeight="1">
      <c r="A11" s="38"/>
      <c r="B11" s="19"/>
      <c r="C11" s="19"/>
      <c r="D11" s="40"/>
      <c r="E11" s="41" t="s">
        <v>98</v>
      </c>
      <c r="F11" s="42"/>
      <c r="G11" s="42"/>
      <c r="H11" s="43">
        <f>SUMIF(F8:F8,"MO",J8:J8)</f>
        <v>0</v>
      </c>
      <c r="I11" s="44"/>
      <c r="J11" s="44"/>
    </row>
    <row r="12" spans="1:21" ht="15" customHeight="1">
      <c r="A12" s="38"/>
      <c r="B12" s="19"/>
      <c r="C12" s="19"/>
      <c r="D12" s="40"/>
      <c r="E12" s="41" t="s">
        <v>99</v>
      </c>
      <c r="F12" s="45">
        <f>$G$3</f>
        <v>1.1615</v>
      </c>
      <c r="G12" s="45"/>
      <c r="H12" s="43">
        <f>H11*F12</f>
        <v>0</v>
      </c>
      <c r="I12" s="44"/>
      <c r="J12" s="44"/>
    </row>
    <row r="13" spans="1:21" ht="15" customHeight="1">
      <c r="A13" s="38"/>
      <c r="B13" s="19"/>
      <c r="C13" s="19"/>
      <c r="D13" s="40"/>
      <c r="E13" s="41" t="s">
        <v>100</v>
      </c>
      <c r="F13" s="45"/>
      <c r="G13" s="42"/>
      <c r="H13" s="43">
        <f>SUM(H11:H12)</f>
        <v>0</v>
      </c>
      <c r="I13" s="43">
        <f>ROUND(F17*H13,2)</f>
        <v>0</v>
      </c>
      <c r="J13" s="43">
        <f>H13+I13</f>
        <v>0</v>
      </c>
    </row>
    <row r="14" spans="1:21" ht="15" customHeight="1">
      <c r="A14" s="38"/>
      <c r="B14" s="19"/>
      <c r="C14" s="19"/>
      <c r="D14" s="40"/>
      <c r="E14" s="41" t="s">
        <v>101</v>
      </c>
      <c r="F14" s="42"/>
      <c r="G14" s="42"/>
      <c r="H14" s="46"/>
      <c r="I14" s="43"/>
      <c r="J14" s="43"/>
      <c r="L14" t="s">
        <v>2872</v>
      </c>
    </row>
    <row r="15" spans="1:21" ht="15" customHeight="1">
      <c r="A15" s="38"/>
      <c r="B15" s="19"/>
      <c r="C15" s="19"/>
      <c r="D15" s="40"/>
      <c r="E15" s="41" t="s">
        <v>102</v>
      </c>
      <c r="F15" s="42"/>
      <c r="G15" s="42"/>
      <c r="H15" s="43">
        <f>SUMIF(F8:F8,"MA",J8:J8)</f>
        <v>24139</v>
      </c>
      <c r="I15" s="43">
        <f>ROUND(F17*H15,2)</f>
        <v>7485.5</v>
      </c>
      <c r="J15" s="43">
        <f>H15+I15</f>
        <v>31624.5</v>
      </c>
    </row>
    <row r="16" spans="1:21" ht="15" customHeight="1">
      <c r="A16" s="38"/>
      <c r="B16" s="19"/>
      <c r="C16" s="19"/>
      <c r="D16" s="40"/>
      <c r="E16" s="41" t="s">
        <v>103</v>
      </c>
      <c r="F16" s="42"/>
      <c r="G16" s="42"/>
      <c r="H16" s="43">
        <f>H15+H13</f>
        <v>24139</v>
      </c>
      <c r="I16" s="44"/>
      <c r="J16" s="43"/>
    </row>
    <row r="17" spans="1:10" ht="15" customHeight="1">
      <c r="A17" s="38"/>
      <c r="B17" s="19"/>
      <c r="C17" s="19"/>
      <c r="D17" s="40"/>
      <c r="E17" s="41" t="s">
        <v>104</v>
      </c>
      <c r="F17" s="45">
        <f>$H$3</f>
        <v>0.31009999999999999</v>
      </c>
      <c r="G17" s="45"/>
      <c r="H17" s="47"/>
      <c r="I17" s="44"/>
      <c r="J17" s="48"/>
    </row>
    <row r="18" spans="1:10" ht="15" customHeight="1">
      <c r="A18" s="38"/>
      <c r="B18" s="49"/>
      <c r="C18" s="49"/>
      <c r="D18" s="50"/>
      <c r="E18" s="51" t="s">
        <v>105</v>
      </c>
      <c r="F18" s="52"/>
      <c r="G18" s="52"/>
      <c r="H18" s="53"/>
      <c r="I18" s="54"/>
      <c r="J18" s="103">
        <f>ROUND(SUM(J13:J17),2)</f>
        <v>31624.5</v>
      </c>
    </row>
    <row r="19" spans="1:10" ht="15" customHeight="1">
      <c r="A19" s="106"/>
      <c r="B19" s="55"/>
      <c r="C19" s="107"/>
      <c r="D19" s="107"/>
      <c r="E19" s="108"/>
      <c r="F19" s="107"/>
      <c r="G19" s="108"/>
      <c r="H19" s="108"/>
      <c r="I19" s="108"/>
      <c r="J19" s="109"/>
    </row>
    <row r="20" spans="1:10" ht="33.6" customHeight="1">
      <c r="A20" s="806" t="s">
        <v>25</v>
      </c>
      <c r="B20" s="807"/>
      <c r="C20" s="806" t="s">
        <v>81</v>
      </c>
      <c r="D20" s="807"/>
      <c r="E20" s="94" t="s">
        <v>63</v>
      </c>
      <c r="F20" s="169" t="s">
        <v>64</v>
      </c>
      <c r="G20" s="27"/>
      <c r="H20" s="28"/>
      <c r="I20" s="29"/>
      <c r="J20" s="95" t="s">
        <v>82</v>
      </c>
    </row>
    <row r="21" spans="1:10" ht="15" customHeight="1">
      <c r="A21" s="30" t="str">
        <f>CONCATENATE($M$1,"-")</f>
        <v>ARQ-</v>
      </c>
      <c r="B21" s="31">
        <f>COUNTIF(B$1:B20,"&gt;0")+1</f>
        <v>2</v>
      </c>
      <c r="C21" s="93" t="s">
        <v>35851</v>
      </c>
      <c r="D21" s="875" t="s">
        <v>35854</v>
      </c>
      <c r="E21" s="129" t="s">
        <v>35857</v>
      </c>
      <c r="F21" s="104" t="s">
        <v>7992</v>
      </c>
      <c r="G21" s="32"/>
      <c r="H21" s="33"/>
      <c r="I21" s="34"/>
      <c r="J21" s="105">
        <f>J33</f>
        <v>21971.69</v>
      </c>
    </row>
    <row r="22" spans="1:10" ht="15" customHeight="1">
      <c r="A22" s="35"/>
      <c r="B22" s="96" t="s">
        <v>84</v>
      </c>
      <c r="C22" s="97" t="s">
        <v>85</v>
      </c>
      <c r="D22" s="97" t="s">
        <v>86</v>
      </c>
      <c r="E22" s="97" t="s">
        <v>87</v>
      </c>
      <c r="F22" s="97" t="s">
        <v>84</v>
      </c>
      <c r="G22" s="36" t="s">
        <v>64</v>
      </c>
      <c r="H22" s="36" t="s">
        <v>88</v>
      </c>
      <c r="I22" s="36" t="s">
        <v>89</v>
      </c>
      <c r="J22" s="97" t="s">
        <v>90</v>
      </c>
    </row>
    <row r="23" spans="1:10" ht="15" customHeight="1">
      <c r="A23" s="37"/>
      <c r="B23" s="121" t="s">
        <v>91</v>
      </c>
      <c r="C23" s="122" t="s">
        <v>15761</v>
      </c>
      <c r="D23" s="609" t="s">
        <v>35854</v>
      </c>
      <c r="E23" s="129" t="s">
        <v>35857</v>
      </c>
      <c r="F23" s="122" t="s">
        <v>93</v>
      </c>
      <c r="G23" s="881" t="s">
        <v>74</v>
      </c>
      <c r="H23" s="610">
        <v>1</v>
      </c>
      <c r="I23" s="611">
        <v>16771</v>
      </c>
      <c r="J23" s="612">
        <f t="shared" ref="J23" si="1">ROUND(H23*I23,2)</f>
        <v>16771</v>
      </c>
    </row>
    <row r="24" spans="1:10" ht="15" customHeight="1">
      <c r="A24" s="38"/>
      <c r="B24" s="39"/>
      <c r="C24" s="39"/>
      <c r="D24" s="39"/>
      <c r="E24" s="98"/>
      <c r="F24" s="99"/>
      <c r="G24" s="99"/>
      <c r="H24" s="100"/>
      <c r="I24" s="101"/>
      <c r="J24" s="102"/>
    </row>
    <row r="25" spans="1:10" ht="15" customHeight="1">
      <c r="A25" s="38"/>
      <c r="B25" s="19"/>
      <c r="C25" s="19"/>
      <c r="D25" s="40"/>
      <c r="E25" s="88" t="s">
        <v>94</v>
      </c>
      <c r="F25" s="89" t="s">
        <v>95</v>
      </c>
      <c r="G25" s="89"/>
      <c r="H25" s="90" t="s">
        <v>96</v>
      </c>
      <c r="I25" s="91" t="s">
        <v>97</v>
      </c>
      <c r="J25" s="91" t="s">
        <v>19</v>
      </c>
    </row>
    <row r="26" spans="1:10" ht="15" customHeight="1">
      <c r="A26" s="38"/>
      <c r="B26" s="19"/>
      <c r="C26" s="19"/>
      <c r="D26" s="40"/>
      <c r="E26" s="41" t="s">
        <v>98</v>
      </c>
      <c r="F26" s="42"/>
      <c r="G26" s="42"/>
      <c r="H26" s="43">
        <f>SUMIF(F23:F23,"MO",J23:J23)</f>
        <v>0</v>
      </c>
      <c r="I26" s="44"/>
      <c r="J26" s="44"/>
    </row>
    <row r="27" spans="1:10" ht="15" customHeight="1">
      <c r="A27" s="38"/>
      <c r="B27" s="19"/>
      <c r="C27" s="19"/>
      <c r="D27" s="40"/>
      <c r="E27" s="41" t="s">
        <v>99</v>
      </c>
      <c r="F27" s="45">
        <f>$G$3</f>
        <v>1.1615</v>
      </c>
      <c r="G27" s="45"/>
      <c r="H27" s="43">
        <f>H26*F27</f>
        <v>0</v>
      </c>
      <c r="I27" s="44"/>
      <c r="J27" s="44"/>
    </row>
    <row r="28" spans="1:10" ht="15" customHeight="1">
      <c r="A28" s="38"/>
      <c r="B28" s="19"/>
      <c r="C28" s="19"/>
      <c r="D28" s="40"/>
      <c r="E28" s="41" t="s">
        <v>100</v>
      </c>
      <c r="F28" s="45"/>
      <c r="G28" s="42"/>
      <c r="H28" s="43">
        <f>SUM(H26:H27)</f>
        <v>0</v>
      </c>
      <c r="I28" s="43">
        <f>ROUND(F32*H28,2)</f>
        <v>0</v>
      </c>
      <c r="J28" s="43">
        <f>H28+I28</f>
        <v>0</v>
      </c>
    </row>
    <row r="29" spans="1:10" ht="15" customHeight="1">
      <c r="A29" s="38"/>
      <c r="B29" s="19"/>
      <c r="C29" s="19"/>
      <c r="D29" s="40"/>
      <c r="E29" s="41" t="s">
        <v>101</v>
      </c>
      <c r="F29" s="42"/>
      <c r="G29" s="42"/>
      <c r="H29" s="46"/>
      <c r="I29" s="43"/>
      <c r="J29" s="43"/>
    </row>
    <row r="30" spans="1:10" ht="15" customHeight="1">
      <c r="A30" s="38"/>
      <c r="B30" s="19"/>
      <c r="C30" s="19"/>
      <c r="D30" s="40"/>
      <c r="E30" s="41" t="s">
        <v>102</v>
      </c>
      <c r="F30" s="42"/>
      <c r="G30" s="42"/>
      <c r="H30" s="43">
        <f>SUMIF(F23:F23,"MA",J23:J23)</f>
        <v>16771</v>
      </c>
      <c r="I30" s="43">
        <f>ROUND(F32*H30,2)</f>
        <v>5200.6899999999996</v>
      </c>
      <c r="J30" s="43">
        <f>H30+I30</f>
        <v>21971.69</v>
      </c>
    </row>
    <row r="31" spans="1:10" ht="15" customHeight="1">
      <c r="A31" s="38"/>
      <c r="B31" s="19"/>
      <c r="C31" s="19"/>
      <c r="D31" s="40"/>
      <c r="E31" s="41" t="s">
        <v>103</v>
      </c>
      <c r="F31" s="42"/>
      <c r="G31" s="42"/>
      <c r="H31" s="43">
        <f>H30+H28</f>
        <v>16771</v>
      </c>
      <c r="I31" s="44"/>
      <c r="J31" s="43"/>
    </row>
    <row r="32" spans="1:10" ht="15" customHeight="1">
      <c r="A32" s="38"/>
      <c r="B32" s="19"/>
      <c r="C32" s="19"/>
      <c r="D32" s="40"/>
      <c r="E32" s="41" t="s">
        <v>104</v>
      </c>
      <c r="F32" s="45">
        <f>$H$3</f>
        <v>0.31009999999999999</v>
      </c>
      <c r="G32" s="45"/>
      <c r="H32" s="47"/>
      <c r="I32" s="44"/>
      <c r="J32" s="48"/>
    </row>
    <row r="33" spans="1:10" ht="15" customHeight="1">
      <c r="A33" s="38"/>
      <c r="B33" s="49"/>
      <c r="C33" s="49"/>
      <c r="D33" s="50"/>
      <c r="E33" s="51" t="s">
        <v>105</v>
      </c>
      <c r="F33" s="52"/>
      <c r="G33" s="52"/>
      <c r="H33" s="53"/>
      <c r="I33" s="54"/>
      <c r="J33" s="103">
        <f>ROUND(SUM(J28:J32),2)</f>
        <v>21971.69</v>
      </c>
    </row>
    <row r="34" spans="1:10" ht="15" customHeight="1">
      <c r="A34" s="106"/>
      <c r="B34" s="55"/>
      <c r="C34" s="107"/>
      <c r="D34" s="107"/>
      <c r="E34" s="108"/>
      <c r="F34" s="107"/>
      <c r="G34" s="108"/>
      <c r="H34" s="108"/>
      <c r="I34" s="108"/>
      <c r="J34" s="109"/>
    </row>
    <row r="35" spans="1:10" ht="33.6" customHeight="1">
      <c r="A35" s="806" t="s">
        <v>25</v>
      </c>
      <c r="B35" s="807"/>
      <c r="C35" s="806" t="s">
        <v>81</v>
      </c>
      <c r="D35" s="807"/>
      <c r="E35" s="94" t="s">
        <v>63</v>
      </c>
      <c r="F35" s="169" t="s">
        <v>64</v>
      </c>
      <c r="G35" s="27"/>
      <c r="H35" s="28"/>
      <c r="I35" s="29"/>
      <c r="J35" s="95" t="s">
        <v>82</v>
      </c>
    </row>
    <row r="36" spans="1:10" ht="15" customHeight="1">
      <c r="A36" s="30" t="str">
        <f>CONCATENATE($M$1,"-")</f>
        <v>ARQ-</v>
      </c>
      <c r="B36" s="31">
        <f>COUNTIF(B$1:B35,"&gt;0")+1</f>
        <v>3</v>
      </c>
      <c r="C36" s="93" t="s">
        <v>35851</v>
      </c>
      <c r="D36" s="875" t="s">
        <v>35855</v>
      </c>
      <c r="E36" s="129" t="s">
        <v>35856</v>
      </c>
      <c r="F36" s="104" t="s">
        <v>7992</v>
      </c>
      <c r="G36" s="32"/>
      <c r="H36" s="33"/>
      <c r="I36" s="34"/>
      <c r="J36" s="105">
        <f>J48</f>
        <v>1798.77</v>
      </c>
    </row>
    <row r="37" spans="1:10" ht="15" customHeight="1">
      <c r="A37" s="35"/>
      <c r="B37" s="96" t="s">
        <v>84</v>
      </c>
      <c r="C37" s="97" t="s">
        <v>85</v>
      </c>
      <c r="D37" s="97" t="s">
        <v>86</v>
      </c>
      <c r="E37" s="97" t="s">
        <v>87</v>
      </c>
      <c r="F37" s="97" t="s">
        <v>84</v>
      </c>
      <c r="G37" s="36" t="s">
        <v>64</v>
      </c>
      <c r="H37" s="36" t="s">
        <v>88</v>
      </c>
      <c r="I37" s="36" t="s">
        <v>89</v>
      </c>
      <c r="J37" s="97" t="s">
        <v>90</v>
      </c>
    </row>
    <row r="38" spans="1:10" ht="15" customHeight="1">
      <c r="A38" s="37"/>
      <c r="B38" s="121" t="s">
        <v>91</v>
      </c>
      <c r="C38" s="122" t="s">
        <v>15761</v>
      </c>
      <c r="D38" s="609" t="s">
        <v>35855</v>
      </c>
      <c r="E38" s="129" t="s">
        <v>35856</v>
      </c>
      <c r="F38" s="122" t="s">
        <v>93</v>
      </c>
      <c r="G38" s="881" t="s">
        <v>74</v>
      </c>
      <c r="H38" s="610">
        <v>1</v>
      </c>
      <c r="I38" s="611">
        <v>1373</v>
      </c>
      <c r="J38" s="612">
        <f t="shared" ref="J38" si="2">ROUND(H38*I38,2)</f>
        <v>1373</v>
      </c>
    </row>
    <row r="39" spans="1:10" ht="15" customHeight="1">
      <c r="A39" s="38"/>
      <c r="B39" s="39"/>
      <c r="C39" s="39"/>
      <c r="D39" s="39"/>
      <c r="E39" s="98"/>
      <c r="F39" s="99"/>
      <c r="G39" s="99"/>
      <c r="H39" s="100"/>
      <c r="I39" s="101"/>
      <c r="J39" s="102"/>
    </row>
    <row r="40" spans="1:10" ht="15" customHeight="1">
      <c r="A40" s="38"/>
      <c r="B40" s="19"/>
      <c r="C40" s="19"/>
      <c r="D40" s="40"/>
      <c r="E40" s="88" t="s">
        <v>94</v>
      </c>
      <c r="F40" s="89" t="s">
        <v>95</v>
      </c>
      <c r="G40" s="89"/>
      <c r="H40" s="90" t="s">
        <v>96</v>
      </c>
      <c r="I40" s="91" t="s">
        <v>97</v>
      </c>
      <c r="J40" s="91" t="s">
        <v>19</v>
      </c>
    </row>
    <row r="41" spans="1:10" ht="15" customHeight="1">
      <c r="A41" s="38"/>
      <c r="B41" s="19"/>
      <c r="C41" s="19"/>
      <c r="D41" s="40"/>
      <c r="E41" s="41" t="s">
        <v>98</v>
      </c>
      <c r="F41" s="42"/>
      <c r="G41" s="42"/>
      <c r="H41" s="43">
        <f>SUMIF(F38:F38,"MO",J38:J38)</f>
        <v>0</v>
      </c>
      <c r="I41" s="44"/>
      <c r="J41" s="44"/>
    </row>
    <row r="42" spans="1:10" ht="15" customHeight="1">
      <c r="A42" s="38"/>
      <c r="B42" s="19"/>
      <c r="C42" s="19"/>
      <c r="D42" s="40"/>
      <c r="E42" s="41" t="s">
        <v>99</v>
      </c>
      <c r="F42" s="45">
        <f>$G$3</f>
        <v>1.1615</v>
      </c>
      <c r="G42" s="45"/>
      <c r="H42" s="43">
        <f>H41*F42</f>
        <v>0</v>
      </c>
      <c r="I42" s="44"/>
      <c r="J42" s="44"/>
    </row>
    <row r="43" spans="1:10" ht="15" customHeight="1">
      <c r="A43" s="38"/>
      <c r="B43" s="19"/>
      <c r="C43" s="19"/>
      <c r="D43" s="40"/>
      <c r="E43" s="41" t="s">
        <v>100</v>
      </c>
      <c r="F43" s="45"/>
      <c r="G43" s="42"/>
      <c r="H43" s="43">
        <f>SUM(H41:H42)</f>
        <v>0</v>
      </c>
      <c r="I43" s="43">
        <f>ROUND(F47*H43,2)</f>
        <v>0</v>
      </c>
      <c r="J43" s="43">
        <f>H43+I43</f>
        <v>0</v>
      </c>
    </row>
    <row r="44" spans="1:10" ht="15" customHeight="1">
      <c r="A44" s="38"/>
      <c r="B44" s="19"/>
      <c r="C44" s="19"/>
      <c r="D44" s="40"/>
      <c r="E44" s="41" t="s">
        <v>101</v>
      </c>
      <c r="F44" s="42"/>
      <c r="G44" s="42"/>
      <c r="H44" s="46"/>
      <c r="I44" s="43"/>
      <c r="J44" s="43"/>
    </row>
    <row r="45" spans="1:10" ht="15" customHeight="1">
      <c r="A45" s="38"/>
      <c r="B45" s="19"/>
      <c r="C45" s="19"/>
      <c r="D45" s="40"/>
      <c r="E45" s="41" t="s">
        <v>102</v>
      </c>
      <c r="F45" s="42"/>
      <c r="G45" s="42"/>
      <c r="H45" s="43">
        <f>SUMIF(F38:F38,"MA",J38:J38)</f>
        <v>1373</v>
      </c>
      <c r="I45" s="43">
        <f>ROUND(F47*H45,2)</f>
        <v>425.77</v>
      </c>
      <c r="J45" s="43">
        <f>H45+I45</f>
        <v>1798.77</v>
      </c>
    </row>
    <row r="46" spans="1:10" ht="15" customHeight="1">
      <c r="A46" s="38"/>
      <c r="B46" s="19"/>
      <c r="C46" s="19"/>
      <c r="D46" s="40"/>
      <c r="E46" s="41" t="s">
        <v>103</v>
      </c>
      <c r="F46" s="42"/>
      <c r="G46" s="42"/>
      <c r="H46" s="43">
        <f>H45+H43</f>
        <v>1373</v>
      </c>
      <c r="I46" s="44"/>
      <c r="J46" s="43"/>
    </row>
    <row r="47" spans="1:10" ht="15" customHeight="1">
      <c r="A47" s="38"/>
      <c r="B47" s="19"/>
      <c r="C47" s="19"/>
      <c r="D47" s="40"/>
      <c r="E47" s="41" t="s">
        <v>104</v>
      </c>
      <c r="F47" s="45">
        <f>$H$3</f>
        <v>0.31009999999999999</v>
      </c>
      <c r="G47" s="45"/>
      <c r="H47" s="47"/>
      <c r="I47" s="44"/>
      <c r="J47" s="48"/>
    </row>
    <row r="48" spans="1:10" ht="15" customHeight="1">
      <c r="A48" s="38"/>
      <c r="B48" s="49"/>
      <c r="C48" s="49"/>
      <c r="D48" s="50"/>
      <c r="E48" s="51" t="s">
        <v>105</v>
      </c>
      <c r="F48" s="52"/>
      <c r="G48" s="52"/>
      <c r="H48" s="53"/>
      <c r="I48" s="54"/>
      <c r="J48" s="103">
        <f>ROUND(SUM(J43:J47),2)</f>
        <v>1798.77</v>
      </c>
    </row>
    <row r="49" spans="1:10" ht="15" customHeight="1">
      <c r="A49" s="106"/>
      <c r="B49" s="55"/>
      <c r="C49" s="107"/>
      <c r="D49" s="107"/>
      <c r="E49" s="108"/>
      <c r="F49" s="107"/>
      <c r="G49" s="108"/>
      <c r="H49" s="108"/>
      <c r="I49" s="108"/>
      <c r="J49" s="109"/>
    </row>
    <row r="50" spans="1:10" ht="33.6" customHeight="1">
      <c r="A50" s="806" t="s">
        <v>25</v>
      </c>
      <c r="B50" s="807"/>
      <c r="C50" s="806" t="s">
        <v>81</v>
      </c>
      <c r="D50" s="807"/>
      <c r="E50" s="94" t="s">
        <v>63</v>
      </c>
      <c r="F50" s="169" t="s">
        <v>64</v>
      </c>
      <c r="G50" s="27"/>
      <c r="H50" s="28"/>
      <c r="I50" s="29"/>
      <c r="J50" s="95" t="s">
        <v>82</v>
      </c>
    </row>
    <row r="51" spans="1:10" ht="15" customHeight="1">
      <c r="A51" s="30" t="str">
        <f>CONCATENATE($M$1,"-")</f>
        <v>ARQ-</v>
      </c>
      <c r="B51" s="31">
        <f>COUNTIF(B$1:B50,"&gt;0")+1</f>
        <v>4</v>
      </c>
      <c r="C51" s="93" t="s">
        <v>35851</v>
      </c>
      <c r="D51" s="875" t="s">
        <v>27027</v>
      </c>
      <c r="E51" s="129" t="s">
        <v>35863</v>
      </c>
      <c r="F51" s="104" t="s">
        <v>35864</v>
      </c>
      <c r="G51" s="32"/>
      <c r="H51" s="33"/>
      <c r="I51" s="34"/>
      <c r="J51" s="105">
        <f>J71</f>
        <v>436854.6</v>
      </c>
    </row>
    <row r="52" spans="1:10" ht="15" customHeight="1">
      <c r="A52" s="35"/>
      <c r="B52" s="96" t="s">
        <v>84</v>
      </c>
      <c r="C52" s="97" t="s">
        <v>85</v>
      </c>
      <c r="D52" s="97" t="s">
        <v>86</v>
      </c>
      <c r="E52" s="97" t="s">
        <v>87</v>
      </c>
      <c r="F52" s="97" t="s">
        <v>84</v>
      </c>
      <c r="G52" s="36" t="s">
        <v>64</v>
      </c>
      <c r="H52" s="36" t="s">
        <v>88</v>
      </c>
      <c r="I52" s="36" t="s">
        <v>89</v>
      </c>
      <c r="J52" s="97" t="s">
        <v>90</v>
      </c>
    </row>
    <row r="53" spans="1:10" ht="15" customHeight="1">
      <c r="A53" s="37"/>
      <c r="B53" s="121" t="s">
        <v>91</v>
      </c>
      <c r="C53" s="122" t="s">
        <v>15761</v>
      </c>
      <c r="D53" s="609" t="s">
        <v>27027</v>
      </c>
      <c r="E53" s="129" t="s">
        <v>35872</v>
      </c>
      <c r="F53" s="122" t="s">
        <v>93</v>
      </c>
      <c r="G53" s="881" t="s">
        <v>74</v>
      </c>
      <c r="H53" s="610">
        <v>20</v>
      </c>
      <c r="I53" s="611">
        <v>1200</v>
      </c>
      <c r="J53" s="612">
        <f t="shared" ref="J53:J56" si="3">ROUND(H53*I53,2)</f>
        <v>24000</v>
      </c>
    </row>
    <row r="54" spans="1:10" ht="15" customHeight="1">
      <c r="A54" s="37"/>
      <c r="B54" s="121" t="s">
        <v>91</v>
      </c>
      <c r="C54" s="122" t="s">
        <v>15761</v>
      </c>
      <c r="D54" s="609" t="s">
        <v>35865</v>
      </c>
      <c r="E54" s="129" t="s">
        <v>35873</v>
      </c>
      <c r="F54" s="122" t="s">
        <v>93</v>
      </c>
      <c r="G54" s="881" t="s">
        <v>74</v>
      </c>
      <c r="H54" s="610">
        <v>20</v>
      </c>
      <c r="I54" s="611">
        <v>1150</v>
      </c>
      <c r="J54" s="612">
        <f t="shared" si="3"/>
        <v>23000</v>
      </c>
    </row>
    <row r="55" spans="1:10" ht="15" customHeight="1">
      <c r="A55" s="37"/>
      <c r="B55" s="121" t="s">
        <v>91</v>
      </c>
      <c r="C55" s="122" t="s">
        <v>15761</v>
      </c>
      <c r="D55" s="609" t="s">
        <v>35866</v>
      </c>
      <c r="E55" s="129" t="s">
        <v>35874</v>
      </c>
      <c r="F55" s="122" t="s">
        <v>93</v>
      </c>
      <c r="G55" s="881" t="s">
        <v>74</v>
      </c>
      <c r="H55" s="610">
        <v>20</v>
      </c>
      <c r="I55" s="611">
        <v>1150</v>
      </c>
      <c r="J55" s="612">
        <f t="shared" si="3"/>
        <v>23000</v>
      </c>
    </row>
    <row r="56" spans="1:10" ht="15" customHeight="1">
      <c r="A56" s="37"/>
      <c r="B56" s="121" t="s">
        <v>91</v>
      </c>
      <c r="C56" s="122" t="s">
        <v>15761</v>
      </c>
      <c r="D56" s="609" t="s">
        <v>35867</v>
      </c>
      <c r="E56" s="129" t="s">
        <v>35875</v>
      </c>
      <c r="F56" s="122" t="s">
        <v>93</v>
      </c>
      <c r="G56" s="881" t="s">
        <v>74</v>
      </c>
      <c r="H56" s="610">
        <v>20</v>
      </c>
      <c r="I56" s="611">
        <v>4300</v>
      </c>
      <c r="J56" s="612">
        <f t="shared" si="3"/>
        <v>86000</v>
      </c>
    </row>
    <row r="57" spans="1:10" ht="15" customHeight="1">
      <c r="A57" s="37"/>
      <c r="B57" s="121" t="s">
        <v>91</v>
      </c>
      <c r="C57" s="122" t="s">
        <v>15761</v>
      </c>
      <c r="D57" s="609" t="s">
        <v>35868</v>
      </c>
      <c r="E57" s="129" t="s">
        <v>35876</v>
      </c>
      <c r="F57" s="122" t="s">
        <v>93</v>
      </c>
      <c r="G57" s="881" t="s">
        <v>74</v>
      </c>
      <c r="H57" s="610">
        <v>20</v>
      </c>
      <c r="I57" s="611">
        <v>4250</v>
      </c>
      <c r="J57" s="612">
        <f t="shared" ref="J57:J58" si="4">ROUND(H57*I57,2)</f>
        <v>85000</v>
      </c>
    </row>
    <row r="58" spans="1:10" ht="15" customHeight="1">
      <c r="A58" s="37"/>
      <c r="B58" s="121" t="s">
        <v>91</v>
      </c>
      <c r="C58" s="122" t="s">
        <v>15761</v>
      </c>
      <c r="D58" s="609" t="s">
        <v>35869</v>
      </c>
      <c r="E58" s="129" t="s">
        <v>35877</v>
      </c>
      <c r="F58" s="122" t="s">
        <v>93</v>
      </c>
      <c r="G58" s="881" t="s">
        <v>74</v>
      </c>
      <c r="H58" s="610">
        <v>20</v>
      </c>
      <c r="I58" s="611">
        <v>4250</v>
      </c>
      <c r="J58" s="612">
        <f t="shared" si="4"/>
        <v>85000</v>
      </c>
    </row>
    <row r="59" spans="1:10" ht="15" customHeight="1">
      <c r="A59" s="37"/>
      <c r="B59" s="121" t="s">
        <v>91</v>
      </c>
      <c r="C59" s="122" t="s">
        <v>15761</v>
      </c>
      <c r="D59" s="609" t="s">
        <v>35870</v>
      </c>
      <c r="E59" s="129" t="s">
        <v>35878</v>
      </c>
      <c r="F59" s="122" t="s">
        <v>93</v>
      </c>
      <c r="G59" s="881" t="s">
        <v>74</v>
      </c>
      <c r="H59" s="610">
        <v>20</v>
      </c>
      <c r="I59" s="611">
        <v>900</v>
      </c>
      <c r="J59" s="612">
        <f t="shared" ref="J59:J60" si="5">ROUND(H59*I59,2)</f>
        <v>18000</v>
      </c>
    </row>
    <row r="60" spans="1:10" ht="15" customHeight="1">
      <c r="A60" s="37"/>
      <c r="B60" s="121" t="s">
        <v>91</v>
      </c>
      <c r="C60" s="122" t="s">
        <v>15761</v>
      </c>
      <c r="D60" s="609" t="s">
        <v>35871</v>
      </c>
      <c r="E60" s="129" t="s">
        <v>35880</v>
      </c>
      <c r="F60" s="122" t="s">
        <v>93</v>
      </c>
      <c r="G60" s="881" t="s">
        <v>74</v>
      </c>
      <c r="H60" s="610">
        <v>20</v>
      </c>
      <c r="I60" s="611">
        <v>850</v>
      </c>
      <c r="J60" s="612">
        <f t="shared" si="5"/>
        <v>17000</v>
      </c>
    </row>
    <row r="61" spans="1:10" ht="15" customHeight="1">
      <c r="A61" s="37"/>
      <c r="B61" s="121" t="s">
        <v>91</v>
      </c>
      <c r="C61" s="122" t="s">
        <v>15761</v>
      </c>
      <c r="D61" s="609" t="s">
        <v>35879</v>
      </c>
      <c r="E61" s="129" t="s">
        <v>35881</v>
      </c>
      <c r="F61" s="122" t="s">
        <v>93</v>
      </c>
      <c r="G61" s="881" t="s">
        <v>74</v>
      </c>
      <c r="H61" s="610">
        <v>20</v>
      </c>
      <c r="I61" s="611">
        <v>850</v>
      </c>
      <c r="J61" s="612">
        <f t="shared" ref="J61" si="6">ROUND(H61*I61,2)</f>
        <v>17000</v>
      </c>
    </row>
    <row r="62" spans="1:10" ht="15" customHeight="1">
      <c r="A62" s="38"/>
      <c r="B62" s="39"/>
      <c r="C62" s="39"/>
      <c r="D62" s="39"/>
      <c r="E62" s="98"/>
      <c r="F62" s="99"/>
      <c r="G62" s="99"/>
      <c r="H62" s="100"/>
      <c r="I62" s="101"/>
      <c r="J62" s="102"/>
    </row>
    <row r="63" spans="1:10" ht="15" customHeight="1">
      <c r="A63" s="38"/>
      <c r="B63" s="19"/>
      <c r="C63" s="19"/>
      <c r="D63" s="40"/>
      <c r="E63" s="88" t="s">
        <v>94</v>
      </c>
      <c r="F63" s="89" t="s">
        <v>95</v>
      </c>
      <c r="G63" s="89"/>
      <c r="H63" s="90" t="s">
        <v>96</v>
      </c>
      <c r="I63" s="91" t="s">
        <v>97</v>
      </c>
      <c r="J63" s="91" t="s">
        <v>19</v>
      </c>
    </row>
    <row r="64" spans="1:10" ht="15" customHeight="1">
      <c r="A64" s="38"/>
      <c r="B64" s="19"/>
      <c r="C64" s="19"/>
      <c r="D64" s="40"/>
      <c r="E64" s="41" t="s">
        <v>98</v>
      </c>
      <c r="F64" s="42"/>
      <c r="G64" s="42"/>
      <c r="H64" s="43">
        <f>SUMIF(F61:F61,"MO",J61:J61)</f>
        <v>0</v>
      </c>
      <c r="I64" s="44"/>
      <c r="J64" s="44"/>
    </row>
    <row r="65" spans="1:10" ht="15" customHeight="1">
      <c r="A65" s="38"/>
      <c r="B65" s="19"/>
      <c r="C65" s="19"/>
      <c r="D65" s="40"/>
      <c r="E65" s="41" t="s">
        <v>99</v>
      </c>
      <c r="F65" s="45">
        <f>$G$3</f>
        <v>1.1615</v>
      </c>
      <c r="G65" s="45"/>
      <c r="H65" s="43">
        <f>H64*F65</f>
        <v>0</v>
      </c>
      <c r="I65" s="44"/>
      <c r="J65" s="44"/>
    </row>
    <row r="66" spans="1:10" ht="15" customHeight="1">
      <c r="A66" s="38"/>
      <c r="B66" s="19"/>
      <c r="C66" s="19"/>
      <c r="D66" s="40"/>
      <c r="E66" s="41" t="s">
        <v>100</v>
      </c>
      <c r="F66" s="45"/>
      <c r="G66" s="42"/>
      <c r="H66" s="43">
        <f>SUM(H64:H65)</f>
        <v>0</v>
      </c>
      <c r="I66" s="43">
        <f>ROUND(F70*H66,2)</f>
        <v>0</v>
      </c>
      <c r="J66" s="43">
        <f>H66+I66</f>
        <v>0</v>
      </c>
    </row>
    <row r="67" spans="1:10" ht="15" customHeight="1">
      <c r="A67" s="38"/>
      <c r="B67" s="19"/>
      <c r="C67" s="19"/>
      <c r="D67" s="40"/>
      <c r="E67" s="41" t="s">
        <v>101</v>
      </c>
      <c r="F67" s="42"/>
      <c r="G67" s="42"/>
      <c r="H67" s="46"/>
      <c r="I67" s="43"/>
      <c r="J67" s="43"/>
    </row>
    <row r="68" spans="1:10" ht="15" customHeight="1">
      <c r="A68" s="38"/>
      <c r="B68" s="19"/>
      <c r="C68" s="19"/>
      <c r="D68" s="40"/>
      <c r="E68" s="41" t="s">
        <v>102</v>
      </c>
      <c r="F68" s="42"/>
      <c r="G68" s="42"/>
      <c r="H68" s="43">
        <f>SUMIF(F53:F61,"MA",J53:J61)</f>
        <v>378000</v>
      </c>
      <c r="I68" s="43">
        <f>ROUND(F70*H68,2)</f>
        <v>58854.6</v>
      </c>
      <c r="J68" s="43">
        <f>H68+I68</f>
        <v>436854.6</v>
      </c>
    </row>
    <row r="69" spans="1:10" ht="15" customHeight="1">
      <c r="A69" s="38"/>
      <c r="B69" s="19"/>
      <c r="C69" s="19"/>
      <c r="D69" s="40"/>
      <c r="E69" s="41" t="s">
        <v>103</v>
      </c>
      <c r="F69" s="42"/>
      <c r="G69" s="42"/>
      <c r="H69" s="43">
        <f>H68+H66</f>
        <v>378000</v>
      </c>
      <c r="I69" s="44"/>
      <c r="J69" s="43"/>
    </row>
    <row r="70" spans="1:10" ht="15" customHeight="1">
      <c r="A70" s="38"/>
      <c r="B70" s="19"/>
      <c r="C70" s="19"/>
      <c r="D70" s="40"/>
      <c r="E70" s="41" t="s">
        <v>104</v>
      </c>
      <c r="F70" s="45">
        <v>0.15570000000000001</v>
      </c>
      <c r="G70" s="45"/>
      <c r="H70" s="47"/>
      <c r="I70" s="44"/>
      <c r="J70" s="48"/>
    </row>
    <row r="71" spans="1:10" ht="15" customHeight="1">
      <c r="A71" s="38"/>
      <c r="B71" s="49"/>
      <c r="C71" s="49"/>
      <c r="D71" s="50"/>
      <c r="E71" s="51" t="s">
        <v>105</v>
      </c>
      <c r="F71" s="52"/>
      <c r="G71" s="52"/>
      <c r="H71" s="53"/>
      <c r="I71" s="54"/>
      <c r="J71" s="103">
        <f>ROUND(SUM(J66:J70),2)</f>
        <v>436854.6</v>
      </c>
    </row>
    <row r="72" spans="1:10" ht="15" customHeight="1">
      <c r="A72" s="106"/>
      <c r="B72" s="55"/>
      <c r="C72" s="107"/>
      <c r="D72" s="107"/>
      <c r="E72" s="108"/>
      <c r="F72" s="107"/>
      <c r="G72" s="108"/>
      <c r="H72" s="108"/>
      <c r="I72" s="108"/>
      <c r="J72" s="109"/>
    </row>
  </sheetData>
  <mergeCells count="11">
    <mergeCell ref="A35:B35"/>
    <mergeCell ref="C35:D35"/>
    <mergeCell ref="A50:B50"/>
    <mergeCell ref="C50:D50"/>
    <mergeCell ref="A20:B20"/>
    <mergeCell ref="C20:D20"/>
    <mergeCell ref="A1:H1"/>
    <mergeCell ref="A2:F2"/>
    <mergeCell ref="A3:F3"/>
    <mergeCell ref="C5:D5"/>
    <mergeCell ref="A5:B5"/>
  </mergeCells>
  <phoneticPr fontId="125" type="noConversion"/>
  <printOptions horizontalCentered="1"/>
  <pageMargins left="0.51181102362204722" right="0.51181102362204722" top="0.19685039370078741" bottom="0.78740157480314965" header="0.31496062992125984" footer="0.19685039370078741"/>
  <pageSetup paperSize="9" scale="5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M32"/>
  <sheetViews>
    <sheetView showGridLines="0" view="pageBreakPreview" zoomScale="90" zoomScaleSheetLayoutView="90" workbookViewId="0">
      <selection activeCell="H10" sqref="H10"/>
    </sheetView>
  </sheetViews>
  <sheetFormatPr defaultRowHeight="15" customHeight="1"/>
  <cols>
    <col min="1" max="1" width="5.88671875" customWidth="1"/>
    <col min="2" max="2" width="6.109375" customWidth="1"/>
    <col min="3" max="4" width="12.88671875" style="21" customWidth="1"/>
    <col min="5" max="5" width="67.88671875" customWidth="1"/>
    <col min="6" max="6" width="8.6640625" style="21" bestFit="1" customWidth="1"/>
    <col min="7" max="7" width="9.44140625" customWidth="1"/>
    <col min="8" max="8" width="12.6640625" bestFit="1" customWidth="1"/>
    <col min="9" max="9" width="10.88671875" customWidth="1"/>
    <col min="10" max="10" width="15.88671875" customWidth="1"/>
    <col min="11" max="11" width="3.88671875" customWidth="1"/>
    <col min="12" max="12" width="18.109375" bestFit="1" customWidth="1"/>
    <col min="13" max="13" width="5.109375" customWidth="1"/>
  </cols>
  <sheetData>
    <row r="1" spans="1:13" ht="60" customHeight="1">
      <c r="A1" s="808"/>
      <c r="B1" s="808"/>
      <c r="C1" s="808"/>
      <c r="D1" s="808"/>
      <c r="E1" s="808"/>
      <c r="F1" s="808"/>
      <c r="G1" s="808"/>
      <c r="H1" s="808"/>
      <c r="I1" s="22"/>
      <c r="L1" t="s">
        <v>77</v>
      </c>
      <c r="M1" t="s">
        <v>1826</v>
      </c>
    </row>
    <row r="2" spans="1:13">
      <c r="A2" s="809">
        <f>GLOBAL!A2</f>
        <v>0</v>
      </c>
      <c r="B2" s="809"/>
      <c r="C2" s="809"/>
      <c r="D2" s="809"/>
      <c r="E2" s="809"/>
      <c r="F2" s="810"/>
      <c r="G2" s="23" t="s">
        <v>1827</v>
      </c>
      <c r="H2" s="23" t="s">
        <v>79</v>
      </c>
      <c r="I2" s="23" t="s">
        <v>80</v>
      </c>
    </row>
    <row r="3" spans="1:13" ht="15.75" customHeight="1">
      <c r="A3" s="811"/>
      <c r="B3" s="811"/>
      <c r="C3" s="811"/>
      <c r="D3" s="811"/>
      <c r="E3" s="811"/>
      <c r="F3" s="812"/>
      <c r="G3" s="24">
        <v>0</v>
      </c>
      <c r="H3" s="25">
        <v>0.31009999999999999</v>
      </c>
      <c r="I3" s="26">
        <v>45778</v>
      </c>
    </row>
    <row r="4" spans="1:13" ht="15.75" customHeight="1">
      <c r="A4" s="74"/>
      <c r="B4" s="74"/>
      <c r="C4" s="74"/>
      <c r="D4" s="74"/>
      <c r="E4" s="74"/>
      <c r="F4" s="74"/>
      <c r="G4" s="74"/>
      <c r="H4" s="74"/>
      <c r="I4" s="74"/>
    </row>
    <row r="5" spans="1:13" s="18" customFormat="1" ht="25.5" customHeight="1">
      <c r="A5" s="816" t="s">
        <v>25</v>
      </c>
      <c r="B5" s="817"/>
      <c r="C5" s="816" t="s">
        <v>81</v>
      </c>
      <c r="D5" s="817"/>
      <c r="E5" s="124" t="s">
        <v>63</v>
      </c>
      <c r="F5" s="159" t="s">
        <v>64</v>
      </c>
      <c r="G5" s="125"/>
      <c r="H5" s="139"/>
      <c r="I5" s="140"/>
      <c r="J5" s="126" t="s">
        <v>82</v>
      </c>
    </row>
    <row r="6" spans="1:13" s="18" customFormat="1" ht="14.4">
      <c r="A6" s="127" t="str">
        <f>CONCATENATE($M$1,"-")</f>
        <v>ADM-</v>
      </c>
      <c r="B6" s="141">
        <f>COUNTIF(B$1:B5,"&gt;0")+1</f>
        <v>1</v>
      </c>
      <c r="C6" s="117"/>
      <c r="D6" s="117"/>
      <c r="E6" s="129" t="s">
        <v>2880</v>
      </c>
      <c r="F6" s="142" t="s">
        <v>111</v>
      </c>
      <c r="G6" s="32"/>
      <c r="H6" s="33"/>
      <c r="I6" s="34"/>
      <c r="J6" s="128">
        <f>J19</f>
        <v>41227.21</v>
      </c>
    </row>
    <row r="7" spans="1:13" s="18" customFormat="1" ht="15" customHeight="1">
      <c r="A7" s="143"/>
      <c r="B7" s="116" t="s">
        <v>84</v>
      </c>
      <c r="C7" s="115" t="s">
        <v>85</v>
      </c>
      <c r="D7" s="115" t="s">
        <v>86</v>
      </c>
      <c r="E7" s="115" t="s">
        <v>87</v>
      </c>
      <c r="F7" s="115" t="s">
        <v>84</v>
      </c>
      <c r="G7" s="36" t="s">
        <v>64</v>
      </c>
      <c r="H7" s="36" t="s">
        <v>88</v>
      </c>
      <c r="I7" s="36" t="s">
        <v>89</v>
      </c>
      <c r="J7" s="115" t="s">
        <v>90</v>
      </c>
    </row>
    <row r="8" spans="1:13" s="18" customFormat="1" ht="14.4">
      <c r="A8" s="38"/>
      <c r="B8" s="117" t="s">
        <v>107</v>
      </c>
      <c r="C8" s="122" t="s">
        <v>2879</v>
      </c>
      <c r="D8" s="366">
        <f>'LABOR-SERVIÇOS'!A80</f>
        <v>10802</v>
      </c>
      <c r="E8" s="129" t="str">
        <f>'LABOR-SERVIÇOS'!B80</f>
        <v>Engenheiro Pleno</v>
      </c>
      <c r="F8" s="122" t="s">
        <v>92</v>
      </c>
      <c r="G8" s="122" t="str">
        <f>'LABOR-SERVIÇOS'!C80</f>
        <v>mês</v>
      </c>
      <c r="H8" s="162">
        <v>0.5</v>
      </c>
      <c r="I8" s="244">
        <f>'LABOR-SERVIÇOS'!D80</f>
        <v>25493.21</v>
      </c>
      <c r="J8" s="123">
        <f>ROUND(H8*I8,2)</f>
        <v>12746.61</v>
      </c>
    </row>
    <row r="9" spans="1:13" s="18" customFormat="1" ht="14.4">
      <c r="A9" s="38"/>
      <c r="B9" s="117" t="s">
        <v>107</v>
      </c>
      <c r="C9" s="122" t="s">
        <v>2879</v>
      </c>
      <c r="D9" s="366">
        <f>'LABOR-SERVIÇOS'!A87</f>
        <v>10812</v>
      </c>
      <c r="E9" s="129" t="str">
        <f>'LABOR-SERVIÇOS'!B87</f>
        <v>Coordenador Tecnico Especialista</v>
      </c>
      <c r="F9" s="122" t="s">
        <v>92</v>
      </c>
      <c r="G9" s="122" t="str">
        <f>'LABOR-SERVIÇOS'!C87</f>
        <v>mês</v>
      </c>
      <c r="H9" s="162">
        <v>0.6</v>
      </c>
      <c r="I9" s="244">
        <f>'LABOR-SERVIÇOS'!D87</f>
        <v>31203.56</v>
      </c>
      <c r="J9" s="123">
        <f>ROUND(H9*I9,2)</f>
        <v>18722.14</v>
      </c>
    </row>
    <row r="10" spans="1:13" s="18" customFormat="1" ht="15" customHeight="1">
      <c r="A10" s="38"/>
      <c r="B10" s="144"/>
      <c r="C10" s="144"/>
      <c r="D10" s="144"/>
      <c r="E10" s="130"/>
      <c r="F10" s="131"/>
      <c r="G10" s="131"/>
      <c r="H10" s="132"/>
      <c r="I10" s="133"/>
      <c r="J10" s="134"/>
    </row>
    <row r="11" spans="1:13" s="18" customFormat="1" ht="15" customHeight="1">
      <c r="A11" s="38"/>
      <c r="B11" s="19"/>
      <c r="C11" s="19"/>
      <c r="D11" s="40"/>
      <c r="E11" s="88" t="s">
        <v>94</v>
      </c>
      <c r="F11" s="89" t="s">
        <v>95</v>
      </c>
      <c r="G11" s="89"/>
      <c r="H11" s="90" t="s">
        <v>96</v>
      </c>
      <c r="I11" s="91" t="s">
        <v>97</v>
      </c>
      <c r="J11" s="91" t="s">
        <v>19</v>
      </c>
    </row>
    <row r="12" spans="1:13" s="18" customFormat="1" ht="15" customHeight="1">
      <c r="A12" s="38"/>
      <c r="B12" s="19"/>
      <c r="C12" s="19"/>
      <c r="D12" s="40"/>
      <c r="E12" s="41" t="s">
        <v>98</v>
      </c>
      <c r="F12" s="42"/>
      <c r="G12" s="42"/>
      <c r="H12" s="43">
        <f>SUMIF(F8:F9,"MO",J8:J9)</f>
        <v>31468.75</v>
      </c>
      <c r="I12" s="44"/>
      <c r="J12" s="44"/>
    </row>
    <row r="13" spans="1:13" s="18" customFormat="1" ht="15" customHeight="1">
      <c r="A13" s="38"/>
      <c r="B13" s="19"/>
      <c r="C13" s="19"/>
      <c r="D13" s="40"/>
      <c r="E13" s="41" t="s">
        <v>99</v>
      </c>
      <c r="F13" s="45">
        <v>0</v>
      </c>
      <c r="G13" s="45"/>
      <c r="H13" s="43">
        <f>H12*F13</f>
        <v>0</v>
      </c>
      <c r="I13" s="44"/>
      <c r="J13" s="44"/>
    </row>
    <row r="14" spans="1:13" s="18" customFormat="1" ht="15" customHeight="1">
      <c r="A14" s="38"/>
      <c r="B14" s="19"/>
      <c r="C14" s="19"/>
      <c r="D14" s="40"/>
      <c r="E14" s="41" t="s">
        <v>100</v>
      </c>
      <c r="F14" s="45"/>
      <c r="G14" s="42"/>
      <c r="H14" s="43">
        <f>SUM(H12:H13)</f>
        <v>31468.75</v>
      </c>
      <c r="I14" s="43">
        <f>ROUND(F18*H14,2)</f>
        <v>9758.4599999999991</v>
      </c>
      <c r="J14" s="43">
        <f>H14+I14</f>
        <v>41227.21</v>
      </c>
    </row>
    <row r="15" spans="1:13" s="18" customFormat="1" ht="15" customHeight="1">
      <c r="A15" s="38"/>
      <c r="B15" s="19"/>
      <c r="C15" s="19"/>
      <c r="D15" s="40"/>
      <c r="E15" s="41" t="s">
        <v>101</v>
      </c>
      <c r="F15" s="42"/>
      <c r="G15" s="42"/>
      <c r="H15" s="46"/>
      <c r="I15" s="43"/>
      <c r="J15" s="43"/>
    </row>
    <row r="16" spans="1:13" s="18" customFormat="1" ht="15" customHeight="1">
      <c r="A16" s="38"/>
      <c r="B16" s="19"/>
      <c r="C16" s="19"/>
      <c r="D16" s="40"/>
      <c r="E16" s="41" t="s">
        <v>102</v>
      </c>
      <c r="F16" s="42"/>
      <c r="G16" s="42"/>
      <c r="H16" s="43">
        <f>SUMIF(F8:F9,"MA",J8:J9)</f>
        <v>0</v>
      </c>
      <c r="I16" s="43">
        <f>ROUND(F18*H16,2)</f>
        <v>0</v>
      </c>
      <c r="J16" s="43">
        <f>H16+I16</f>
        <v>0</v>
      </c>
    </row>
    <row r="17" spans="1:12" s="18" customFormat="1" ht="15" customHeight="1">
      <c r="A17" s="38"/>
      <c r="B17" s="19"/>
      <c r="C17" s="19"/>
      <c r="D17" s="40"/>
      <c r="E17" s="41" t="s">
        <v>103</v>
      </c>
      <c r="F17" s="42"/>
      <c r="G17" s="42"/>
      <c r="H17" s="43">
        <f>H16+H14</f>
        <v>31468.75</v>
      </c>
      <c r="I17" s="44"/>
      <c r="J17" s="43"/>
    </row>
    <row r="18" spans="1:12" s="18" customFormat="1" ht="15" customHeight="1">
      <c r="A18" s="38"/>
      <c r="B18" s="19"/>
      <c r="C18" s="19"/>
      <c r="D18" s="40"/>
      <c r="E18" s="41" t="s">
        <v>104</v>
      </c>
      <c r="F18" s="45">
        <f>$H$3</f>
        <v>0.31009999999999999</v>
      </c>
      <c r="G18" s="45"/>
      <c r="H18" s="47"/>
      <c r="I18" s="44"/>
      <c r="J18" s="48"/>
    </row>
    <row r="19" spans="1:12" s="18" customFormat="1" ht="15" customHeight="1">
      <c r="A19" s="110"/>
      <c r="B19" s="49"/>
      <c r="C19" s="49"/>
      <c r="D19" s="50"/>
      <c r="E19" s="51" t="s">
        <v>105</v>
      </c>
      <c r="F19" s="52"/>
      <c r="G19" s="52"/>
      <c r="H19" s="53"/>
      <c r="I19" s="54"/>
      <c r="J19" s="118">
        <f>ROUND(SUM(J14:J18),2)</f>
        <v>41227.21</v>
      </c>
    </row>
    <row r="20" spans="1:12" ht="15" customHeight="1">
      <c r="A20" s="813" t="s">
        <v>1830</v>
      </c>
      <c r="B20" s="814"/>
      <c r="C20" s="814"/>
      <c r="D20" s="814"/>
      <c r="E20" s="814"/>
      <c r="F20" s="814"/>
      <c r="G20" s="814"/>
      <c r="H20" s="814"/>
      <c r="I20" s="814"/>
      <c r="J20" s="815"/>
    </row>
    <row r="21" spans="1:12" ht="28.8">
      <c r="A21" s="77"/>
      <c r="B21" s="76"/>
      <c r="C21" s="185"/>
      <c r="D21" s="185"/>
      <c r="E21" s="201" t="s">
        <v>1828</v>
      </c>
      <c r="F21" s="202" t="s">
        <v>2877</v>
      </c>
      <c r="G21" s="202" t="s">
        <v>1829</v>
      </c>
      <c r="H21" s="203" t="s">
        <v>2882</v>
      </c>
      <c r="I21" s="202" t="s">
        <v>2883</v>
      </c>
      <c r="J21" s="114"/>
    </row>
    <row r="22" spans="1:12" ht="15" customHeight="1">
      <c r="A22" s="77"/>
      <c r="B22" s="76"/>
      <c r="C22" s="185"/>
      <c r="D22" s="185"/>
      <c r="E22" s="210" t="s">
        <v>23528</v>
      </c>
      <c r="F22" s="211">
        <v>12</v>
      </c>
      <c r="G22" s="204">
        <v>18</v>
      </c>
      <c r="H22" s="204">
        <f>8*4</f>
        <v>32</v>
      </c>
      <c r="I22" s="213">
        <v>100</v>
      </c>
      <c r="J22" s="186"/>
    </row>
    <row r="23" spans="1:12" ht="15" customHeight="1">
      <c r="A23" s="77"/>
      <c r="B23" s="76"/>
      <c r="C23" s="185"/>
      <c r="D23" s="185"/>
      <c r="E23" s="204" t="s">
        <v>23530</v>
      </c>
      <c r="F23" s="211">
        <v>60</v>
      </c>
      <c r="G23" s="204">
        <v>18</v>
      </c>
      <c r="H23" s="204">
        <f>40</f>
        <v>40</v>
      </c>
      <c r="I23" s="213">
        <v>100</v>
      </c>
      <c r="J23" s="186"/>
      <c r="L23">
        <f>22*20</f>
        <v>440</v>
      </c>
    </row>
    <row r="24" spans="1:12" ht="15" customHeight="1">
      <c r="A24" s="77"/>
      <c r="B24" s="76"/>
      <c r="C24" s="185"/>
      <c r="D24" s="185"/>
      <c r="E24" s="185"/>
      <c r="F24" s="212"/>
      <c r="G24" s="185"/>
      <c r="H24" s="185"/>
      <c r="I24" s="76"/>
      <c r="J24" s="186"/>
    </row>
    <row r="25" spans="1:12" ht="15" customHeight="1">
      <c r="A25" s="77"/>
      <c r="B25" s="76"/>
      <c r="C25" s="185"/>
      <c r="D25" s="185"/>
      <c r="E25" s="185"/>
      <c r="F25" s="212"/>
      <c r="G25" s="185"/>
      <c r="H25" s="185"/>
      <c r="I25" s="76"/>
      <c r="J25" s="186"/>
    </row>
    <row r="26" spans="1:12" ht="15" customHeight="1">
      <c r="A26" s="77"/>
      <c r="B26" s="76"/>
      <c r="C26" s="185"/>
      <c r="D26" s="185"/>
      <c r="E26" s="185"/>
      <c r="F26" s="212"/>
      <c r="G26" s="185"/>
      <c r="H26" s="185"/>
      <c r="I26" s="76"/>
      <c r="J26" s="186"/>
    </row>
    <row r="27" spans="1:12" ht="15" customHeight="1">
      <c r="A27" s="77"/>
      <c r="B27" s="76"/>
      <c r="C27" s="185"/>
      <c r="D27" s="185"/>
      <c r="E27" s="185"/>
      <c r="F27" s="212"/>
      <c r="G27" s="185"/>
      <c r="H27" s="185"/>
      <c r="I27" s="76"/>
      <c r="J27" s="186"/>
    </row>
    <row r="28" spans="1:12" ht="15" customHeight="1">
      <c r="A28" s="37"/>
      <c r="J28" s="164"/>
    </row>
    <row r="29" spans="1:12" s="18" customFormat="1" ht="15" customHeight="1">
      <c r="A29" s="135"/>
      <c r="B29" s="165"/>
      <c r="C29" s="136"/>
      <c r="D29" s="136"/>
      <c r="E29" s="137"/>
      <c r="F29" s="136"/>
      <c r="G29" s="137"/>
      <c r="H29" s="137"/>
      <c r="I29" s="137"/>
      <c r="J29" s="138"/>
    </row>
    <row r="32" spans="1:12" ht="15" customHeight="1">
      <c r="F32" s="21">
        <v>17.5</v>
      </c>
      <c r="G32">
        <v>40</v>
      </c>
      <c r="H32">
        <f>F32/G32</f>
        <v>0.4375</v>
      </c>
    </row>
  </sheetData>
  <mergeCells count="6">
    <mergeCell ref="A20:J20"/>
    <mergeCell ref="A1:H1"/>
    <mergeCell ref="A2:F2"/>
    <mergeCell ref="A3:F3"/>
    <mergeCell ref="A5:B5"/>
    <mergeCell ref="C5:D5"/>
  </mergeCells>
  <printOptions horizontalCentered="1"/>
  <pageMargins left="0.51181102362204722" right="0.51181102362204722" top="0.19685039370078741" bottom="0.78740157480314965" header="0.31496062992125984" footer="0.19685039370078741"/>
  <pageSetup paperSize="9" scale="77"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H111"/>
  <sheetViews>
    <sheetView view="pageBreakPreview" topLeftCell="C1" zoomScale="78" zoomScaleSheetLayoutView="78" workbookViewId="0">
      <selection activeCell="T7" sqref="T7"/>
    </sheetView>
  </sheetViews>
  <sheetFormatPr defaultRowHeight="14.4"/>
  <cols>
    <col min="1" max="1" width="12.5546875" style="8" bestFit="1" customWidth="1"/>
    <col min="2" max="3" width="15.6640625" style="8" customWidth="1"/>
    <col min="4" max="4" width="58.109375" style="9" customWidth="1"/>
    <col min="5" max="5" width="8.33203125" style="10" customWidth="1"/>
    <col min="6" max="6" width="10.44140625" style="11" customWidth="1"/>
    <col min="7" max="7" width="19.6640625" style="254" bestFit="1" customWidth="1"/>
    <col min="8" max="8" width="10.88671875" style="255" bestFit="1" customWidth="1"/>
  </cols>
  <sheetData>
    <row r="1" spans="1:8" ht="27.75" customHeight="1">
      <c r="A1" s="818" t="s">
        <v>7379</v>
      </c>
      <c r="B1" s="819"/>
      <c r="C1" s="819"/>
      <c r="D1" s="819"/>
      <c r="E1" s="819"/>
      <c r="F1" s="819"/>
      <c r="G1" s="819"/>
      <c r="H1" s="820"/>
    </row>
    <row r="2" spans="1:8" ht="15.75" customHeight="1">
      <c r="B2" s="208"/>
      <c r="C2" s="832" t="s">
        <v>9722</v>
      </c>
      <c r="D2" s="832"/>
      <c r="E2" s="832"/>
      <c r="F2" s="832"/>
      <c r="G2" s="821" t="s">
        <v>2130</v>
      </c>
      <c r="H2" s="822"/>
    </row>
    <row r="3" spans="1:8" ht="43.5" customHeight="1">
      <c r="B3" s="207"/>
      <c r="C3" s="833"/>
      <c r="D3" s="833"/>
      <c r="E3" s="833"/>
      <c r="F3" s="833"/>
      <c r="G3" s="823" t="s">
        <v>9654</v>
      </c>
      <c r="H3" s="824"/>
    </row>
    <row r="4" spans="1:8" ht="17.399999999999999">
      <c r="A4" s="825" t="s">
        <v>9738</v>
      </c>
      <c r="B4" s="826"/>
      <c r="C4" s="826"/>
      <c r="D4" s="826"/>
      <c r="E4" s="826"/>
      <c r="F4" s="826"/>
      <c r="G4" s="826"/>
      <c r="H4" s="827"/>
    </row>
    <row r="5" spans="1:8" ht="27.6">
      <c r="A5" s="227" t="s">
        <v>1</v>
      </c>
      <c r="B5" s="228" t="s">
        <v>24</v>
      </c>
      <c r="C5" s="229" t="s">
        <v>25</v>
      </c>
      <c r="D5" s="229" t="s">
        <v>20</v>
      </c>
      <c r="E5" s="227" t="s">
        <v>21</v>
      </c>
      <c r="F5" s="230" t="s">
        <v>22</v>
      </c>
      <c r="G5" s="245" t="s">
        <v>23</v>
      </c>
      <c r="H5" s="245" t="s">
        <v>5</v>
      </c>
    </row>
    <row r="6" spans="1:8" ht="66">
      <c r="A6" s="296" t="s">
        <v>9716</v>
      </c>
      <c r="B6" s="334" t="s">
        <v>7511</v>
      </c>
      <c r="C6" s="335">
        <v>10036</v>
      </c>
      <c r="D6" s="336" t="s">
        <v>9715</v>
      </c>
      <c r="E6" s="296" t="s">
        <v>73</v>
      </c>
      <c r="F6" s="297">
        <v>110.57</v>
      </c>
      <c r="G6" s="298">
        <v>193988.14</v>
      </c>
      <c r="H6" s="299">
        <f t="shared" ref="H6:H37" si="0">G6/$G$102</f>
        <v>0.41651476367794116</v>
      </c>
    </row>
    <row r="7" spans="1:8" ht="26.4">
      <c r="A7" s="296" t="s">
        <v>7384</v>
      </c>
      <c r="B7" s="334" t="s">
        <v>29</v>
      </c>
      <c r="C7" s="335" t="s">
        <v>6564</v>
      </c>
      <c r="D7" s="336" t="s">
        <v>2121</v>
      </c>
      <c r="E7" s="296" t="s">
        <v>73</v>
      </c>
      <c r="F7" s="297">
        <v>131.97</v>
      </c>
      <c r="G7" s="298">
        <v>27740.09</v>
      </c>
      <c r="H7" s="299">
        <f t="shared" si="0"/>
        <v>5.9561151680483239E-2</v>
      </c>
    </row>
    <row r="8" spans="1:8" ht="15" customHeight="1">
      <c r="A8" s="296" t="s">
        <v>8001</v>
      </c>
      <c r="B8" s="334" t="s">
        <v>29</v>
      </c>
      <c r="C8" s="335" t="s">
        <v>4972</v>
      </c>
      <c r="D8" s="336" t="s">
        <v>9719</v>
      </c>
      <c r="E8" s="296" t="s">
        <v>114</v>
      </c>
      <c r="F8" s="297">
        <v>128</v>
      </c>
      <c r="G8" s="298">
        <v>16320</v>
      </c>
      <c r="H8" s="299">
        <f t="shared" si="0"/>
        <v>3.5040909940288099E-2</v>
      </c>
    </row>
    <row r="9" spans="1:8" ht="26.4">
      <c r="A9" s="174" t="s">
        <v>7385</v>
      </c>
      <c r="B9" s="324" t="s">
        <v>29</v>
      </c>
      <c r="C9" s="325" t="s">
        <v>6565</v>
      </c>
      <c r="D9" s="326" t="s">
        <v>2122</v>
      </c>
      <c r="E9" s="174" t="s">
        <v>73</v>
      </c>
      <c r="F9" s="209">
        <v>134.75</v>
      </c>
      <c r="G9" s="246">
        <v>10143.98</v>
      </c>
      <c r="H9" s="295">
        <f t="shared" si="0"/>
        <v>2.1780287353926692E-2</v>
      </c>
    </row>
    <row r="10" spans="1:8" ht="39.6">
      <c r="A10" s="174" t="s">
        <v>9690</v>
      </c>
      <c r="B10" s="324" t="s">
        <v>7511</v>
      </c>
      <c r="C10" s="325">
        <v>9396</v>
      </c>
      <c r="D10" s="327" t="s">
        <v>9468</v>
      </c>
      <c r="E10" s="174" t="s">
        <v>73</v>
      </c>
      <c r="F10" s="209">
        <v>63.1</v>
      </c>
      <c r="G10" s="246">
        <v>9992.7000000000007</v>
      </c>
      <c r="H10" s="295">
        <f t="shared" si="0"/>
        <v>2.1455471860313536E-2</v>
      </c>
    </row>
    <row r="11" spans="1:8" ht="26.4">
      <c r="A11" s="174" t="s">
        <v>9649</v>
      </c>
      <c r="B11" s="324" t="s">
        <v>29</v>
      </c>
      <c r="C11" s="325" t="s">
        <v>6766</v>
      </c>
      <c r="D11" s="326" t="s">
        <v>2677</v>
      </c>
      <c r="E11" s="174" t="s">
        <v>73</v>
      </c>
      <c r="F11" s="209">
        <v>277.26</v>
      </c>
      <c r="G11" s="246">
        <v>9884.32</v>
      </c>
      <c r="H11" s="295">
        <f t="shared" si="0"/>
        <v>2.1222767582168411E-2</v>
      </c>
    </row>
    <row r="12" spans="1:8" ht="66">
      <c r="A12" s="174" t="s">
        <v>8006</v>
      </c>
      <c r="B12" s="324" t="s">
        <v>7511</v>
      </c>
      <c r="C12" s="325">
        <v>11887</v>
      </c>
      <c r="D12" s="326" t="s">
        <v>9704</v>
      </c>
      <c r="E12" s="174" t="s">
        <v>75</v>
      </c>
      <c r="F12" s="209">
        <v>29.6</v>
      </c>
      <c r="G12" s="246">
        <v>9482.76</v>
      </c>
      <c r="H12" s="295">
        <f t="shared" si="0"/>
        <v>2.0360572251554312E-2</v>
      </c>
    </row>
    <row r="13" spans="1:8" ht="39.6">
      <c r="A13" s="174" t="s">
        <v>9668</v>
      </c>
      <c r="B13" s="324" t="s">
        <v>29</v>
      </c>
      <c r="C13" s="325" t="s">
        <v>6443</v>
      </c>
      <c r="D13" s="326" t="s">
        <v>2666</v>
      </c>
      <c r="E13" s="174" t="s">
        <v>73</v>
      </c>
      <c r="F13" s="209">
        <v>21.96</v>
      </c>
      <c r="G13" s="246">
        <v>9234.6200000000008</v>
      </c>
      <c r="H13" s="295">
        <f t="shared" si="0"/>
        <v>1.9827787239753879E-2</v>
      </c>
    </row>
    <row r="14" spans="1:8" ht="52.8">
      <c r="A14" s="174" t="s">
        <v>7990</v>
      </c>
      <c r="B14" s="324" t="s">
        <v>29</v>
      </c>
      <c r="C14" s="325" t="s">
        <v>6757</v>
      </c>
      <c r="D14" s="326" t="s">
        <v>2676</v>
      </c>
      <c r="E14" s="174" t="s">
        <v>73</v>
      </c>
      <c r="F14" s="209">
        <v>105.42</v>
      </c>
      <c r="G14" s="246">
        <v>8999.7099999999991</v>
      </c>
      <c r="H14" s="295">
        <f t="shared" si="0"/>
        <v>1.9323408553842535E-2</v>
      </c>
    </row>
    <row r="15" spans="1:8" ht="26.4">
      <c r="A15" s="174" t="s">
        <v>9698</v>
      </c>
      <c r="B15" s="324" t="s">
        <v>7511</v>
      </c>
      <c r="C15" s="325" t="s">
        <v>9695</v>
      </c>
      <c r="D15" s="327" t="s">
        <v>9696</v>
      </c>
      <c r="E15" s="174" t="s">
        <v>7992</v>
      </c>
      <c r="F15" s="209">
        <v>66</v>
      </c>
      <c r="G15" s="246">
        <v>7858.13</v>
      </c>
      <c r="H15" s="295">
        <f t="shared" si="0"/>
        <v>1.6872305491977702E-2</v>
      </c>
    </row>
    <row r="16" spans="1:8">
      <c r="A16" s="214" t="s">
        <v>2873</v>
      </c>
      <c r="B16" s="328" t="s">
        <v>31</v>
      </c>
      <c r="C16" s="329" t="s">
        <v>2881</v>
      </c>
      <c r="D16" s="330" t="s">
        <v>7373</v>
      </c>
      <c r="E16" s="214" t="s">
        <v>7513</v>
      </c>
      <c r="F16" s="175">
        <v>4</v>
      </c>
      <c r="G16" s="247">
        <v>7624.8</v>
      </c>
      <c r="H16" s="295">
        <f t="shared" si="0"/>
        <v>1.6371319247102247E-2</v>
      </c>
    </row>
    <row r="17" spans="1:8" ht="66">
      <c r="A17" s="174" t="s">
        <v>40</v>
      </c>
      <c r="B17" s="324" t="s">
        <v>29</v>
      </c>
      <c r="C17" s="325" t="s">
        <v>6424</v>
      </c>
      <c r="D17" s="326" t="s">
        <v>2119</v>
      </c>
      <c r="E17" s="174" t="s">
        <v>73</v>
      </c>
      <c r="F17" s="209">
        <v>101.32</v>
      </c>
      <c r="G17" s="246">
        <v>7248.43</v>
      </c>
      <c r="H17" s="295">
        <f t="shared" si="0"/>
        <v>1.5563209732750152E-2</v>
      </c>
    </row>
    <row r="18" spans="1:8" ht="26.4">
      <c r="A18" s="174" t="s">
        <v>9651</v>
      </c>
      <c r="B18" s="324" t="s">
        <v>29</v>
      </c>
      <c r="C18" s="325" t="s">
        <v>6531</v>
      </c>
      <c r="D18" s="327" t="s">
        <v>2669</v>
      </c>
      <c r="E18" s="174" t="s">
        <v>73</v>
      </c>
      <c r="F18" s="209">
        <v>277.26</v>
      </c>
      <c r="G18" s="246">
        <v>7122.81</v>
      </c>
      <c r="H18" s="295">
        <f t="shared" si="0"/>
        <v>1.5293489199251439E-2</v>
      </c>
    </row>
    <row r="19" spans="1:8">
      <c r="A19" s="174" t="s">
        <v>9723</v>
      </c>
      <c r="B19" s="324" t="s">
        <v>31</v>
      </c>
      <c r="C19" s="325" t="s">
        <v>8004</v>
      </c>
      <c r="D19" s="327" t="s">
        <v>9724</v>
      </c>
      <c r="E19" s="174" t="s">
        <v>74</v>
      </c>
      <c r="F19" s="209">
        <v>1</v>
      </c>
      <c r="G19" s="246">
        <v>6592.82</v>
      </c>
      <c r="H19" s="295">
        <f t="shared" si="0"/>
        <v>1.415553994316974E-2</v>
      </c>
    </row>
    <row r="20" spans="1:8" ht="66">
      <c r="A20" s="174" t="s">
        <v>7382</v>
      </c>
      <c r="B20" s="324" t="s">
        <v>2879</v>
      </c>
      <c r="C20" s="325">
        <v>20713</v>
      </c>
      <c r="D20" s="326" t="s">
        <v>9730</v>
      </c>
      <c r="E20" s="174" t="s">
        <v>75</v>
      </c>
      <c r="F20" s="209">
        <v>15</v>
      </c>
      <c r="G20" s="246">
        <v>6551.4</v>
      </c>
      <c r="H20" s="295">
        <f t="shared" si="0"/>
        <v>1.4066606457279623E-2</v>
      </c>
    </row>
    <row r="21" spans="1:8" ht="26.4">
      <c r="A21" s="174" t="s">
        <v>8000</v>
      </c>
      <c r="B21" s="324" t="s">
        <v>29</v>
      </c>
      <c r="C21" s="325" t="s">
        <v>4368</v>
      </c>
      <c r="D21" s="326" t="s">
        <v>2651</v>
      </c>
      <c r="E21" s="174" t="s">
        <v>75</v>
      </c>
      <c r="F21" s="209">
        <v>20.76</v>
      </c>
      <c r="G21" s="246">
        <v>5367.08</v>
      </c>
      <c r="H21" s="295">
        <f t="shared" si="0"/>
        <v>1.15237357182795E-2</v>
      </c>
    </row>
    <row r="22" spans="1:8" ht="39.6">
      <c r="A22" s="176" t="s">
        <v>9661</v>
      </c>
      <c r="B22" s="324" t="s">
        <v>29</v>
      </c>
      <c r="C22" s="325" t="s">
        <v>4371</v>
      </c>
      <c r="D22" s="326" t="s">
        <v>9703</v>
      </c>
      <c r="E22" s="174" t="s">
        <v>73</v>
      </c>
      <c r="F22" s="209">
        <v>6.48</v>
      </c>
      <c r="G22" s="246">
        <v>5271.8</v>
      </c>
      <c r="H22" s="295">
        <f t="shared" si="0"/>
        <v>1.1319158641128113E-2</v>
      </c>
    </row>
    <row r="23" spans="1:8" ht="26.4">
      <c r="A23" s="176" t="s">
        <v>9700</v>
      </c>
      <c r="B23" s="324" t="s">
        <v>7511</v>
      </c>
      <c r="C23" s="325">
        <v>97592</v>
      </c>
      <c r="D23" s="327" t="s">
        <v>9699</v>
      </c>
      <c r="E23" s="174" t="s">
        <v>7992</v>
      </c>
      <c r="F23" s="209">
        <v>46</v>
      </c>
      <c r="G23" s="246">
        <v>5077.03</v>
      </c>
      <c r="H23" s="295">
        <f t="shared" si="0"/>
        <v>1.0900965134444907E-2</v>
      </c>
    </row>
    <row r="24" spans="1:8" ht="26.4">
      <c r="A24" s="176" t="s">
        <v>7509</v>
      </c>
      <c r="B24" s="324" t="s">
        <v>29</v>
      </c>
      <c r="C24" s="325" t="s">
        <v>6940</v>
      </c>
      <c r="D24" s="326" t="s">
        <v>6941</v>
      </c>
      <c r="E24" s="174" t="s">
        <v>83</v>
      </c>
      <c r="F24" s="209">
        <v>49.58</v>
      </c>
      <c r="G24" s="246">
        <v>5005.6000000000004</v>
      </c>
      <c r="H24" s="295">
        <f t="shared" si="0"/>
        <v>1.0747596740018758E-2</v>
      </c>
    </row>
    <row r="25" spans="1:8" ht="26.4">
      <c r="A25" s="176" t="s">
        <v>7991</v>
      </c>
      <c r="B25" s="324" t="s">
        <v>31</v>
      </c>
      <c r="C25" s="325" t="s">
        <v>7994</v>
      </c>
      <c r="D25" s="326" t="s">
        <v>9660</v>
      </c>
      <c r="E25" s="174" t="s">
        <v>74</v>
      </c>
      <c r="F25" s="209">
        <v>1</v>
      </c>
      <c r="G25" s="246">
        <v>4751.47</v>
      </c>
      <c r="H25" s="295">
        <f t="shared" si="0"/>
        <v>1.0201950511886073E-2</v>
      </c>
    </row>
    <row r="26" spans="1:8" ht="26.4">
      <c r="A26" s="176" t="s">
        <v>9653</v>
      </c>
      <c r="B26" s="324" t="s">
        <v>29</v>
      </c>
      <c r="C26" s="325" t="s">
        <v>6525</v>
      </c>
      <c r="D26" s="327" t="s">
        <v>1767</v>
      </c>
      <c r="E26" s="174" t="s">
        <v>73</v>
      </c>
      <c r="F26" s="209">
        <v>384.98</v>
      </c>
      <c r="G26" s="246">
        <v>4458.07</v>
      </c>
      <c r="H26" s="295">
        <f t="shared" si="0"/>
        <v>9.5719870942095678E-3</v>
      </c>
    </row>
    <row r="27" spans="1:8" ht="39.6">
      <c r="A27" s="176" t="s">
        <v>8002</v>
      </c>
      <c r="B27" s="324" t="s">
        <v>29</v>
      </c>
      <c r="C27" s="325" t="s">
        <v>4973</v>
      </c>
      <c r="D27" s="326" t="s">
        <v>2653</v>
      </c>
      <c r="E27" s="174" t="s">
        <v>114</v>
      </c>
      <c r="F27" s="209">
        <v>28</v>
      </c>
      <c r="G27" s="246">
        <v>4237.5200000000004</v>
      </c>
      <c r="H27" s="295">
        <f t="shared" si="0"/>
        <v>9.0984409736623549E-3</v>
      </c>
    </row>
    <row r="28" spans="1:8" ht="26.4">
      <c r="A28" s="176" t="s">
        <v>9657</v>
      </c>
      <c r="B28" s="324" t="s">
        <v>7511</v>
      </c>
      <c r="C28" s="325">
        <v>5014</v>
      </c>
      <c r="D28" s="326" t="s">
        <v>9658</v>
      </c>
      <c r="E28" s="174" t="s">
        <v>73</v>
      </c>
      <c r="F28" s="209">
        <v>41.48</v>
      </c>
      <c r="G28" s="246">
        <v>3778.16</v>
      </c>
      <c r="H28" s="295">
        <f t="shared" si="0"/>
        <v>8.1121424203430686E-3</v>
      </c>
    </row>
    <row r="29" spans="1:8" ht="26.4">
      <c r="A29" s="176" t="s">
        <v>7378</v>
      </c>
      <c r="B29" s="324" t="s">
        <v>31</v>
      </c>
      <c r="C29" s="325" t="s">
        <v>8003</v>
      </c>
      <c r="D29" s="326" t="s">
        <v>9720</v>
      </c>
      <c r="E29" s="174" t="s">
        <v>75</v>
      </c>
      <c r="F29" s="209">
        <v>58.96</v>
      </c>
      <c r="G29" s="246">
        <v>3605.99</v>
      </c>
      <c r="H29" s="295">
        <f t="shared" si="0"/>
        <v>7.742473703160507E-3</v>
      </c>
    </row>
    <row r="30" spans="1:8" ht="26.4">
      <c r="A30" s="176" t="s">
        <v>9705</v>
      </c>
      <c r="B30" s="324" t="s">
        <v>29</v>
      </c>
      <c r="C30" s="331" t="s">
        <v>7904</v>
      </c>
      <c r="D30" s="327" t="s">
        <v>7905</v>
      </c>
      <c r="E30" s="174" t="s">
        <v>73</v>
      </c>
      <c r="F30" s="209">
        <v>18.399999999999999</v>
      </c>
      <c r="G30" s="246">
        <v>3530.78</v>
      </c>
      <c r="H30" s="295">
        <f t="shared" si="0"/>
        <v>7.5809892156231875E-3</v>
      </c>
    </row>
    <row r="31" spans="1:8" ht="66">
      <c r="A31" s="176" t="s">
        <v>7506</v>
      </c>
      <c r="B31" s="324" t="s">
        <v>29</v>
      </c>
      <c r="C31" s="325" t="s">
        <v>6681</v>
      </c>
      <c r="D31" s="326" t="s">
        <v>2675</v>
      </c>
      <c r="E31" s="174" t="s">
        <v>73</v>
      </c>
      <c r="F31" s="209">
        <v>108.29</v>
      </c>
      <c r="G31" s="246">
        <v>3366.74</v>
      </c>
      <c r="H31" s="295">
        <f t="shared" si="0"/>
        <v>7.2287765399733786E-3</v>
      </c>
    </row>
    <row r="32" spans="1:8" ht="52.8">
      <c r="A32" s="176" t="s">
        <v>9663</v>
      </c>
      <c r="B32" s="324" t="s">
        <v>29</v>
      </c>
      <c r="C32" s="325" t="s">
        <v>6205</v>
      </c>
      <c r="D32" s="326" t="s">
        <v>9670</v>
      </c>
      <c r="E32" s="174" t="s">
        <v>114</v>
      </c>
      <c r="F32" s="209">
        <v>7</v>
      </c>
      <c r="G32" s="246">
        <v>3260.11</v>
      </c>
      <c r="H32" s="295">
        <f t="shared" si="0"/>
        <v>6.9998297123426857E-3</v>
      </c>
    </row>
    <row r="33" spans="1:8" ht="39.6">
      <c r="A33" s="176" t="s">
        <v>7386</v>
      </c>
      <c r="B33" s="324" t="s">
        <v>29</v>
      </c>
      <c r="C33" s="325" t="s">
        <v>6553</v>
      </c>
      <c r="D33" s="326" t="s">
        <v>2672</v>
      </c>
      <c r="E33" s="174" t="s">
        <v>73</v>
      </c>
      <c r="F33" s="209">
        <v>81.650000000000006</v>
      </c>
      <c r="G33" s="246">
        <v>3130.46</v>
      </c>
      <c r="H33" s="295">
        <f t="shared" si="0"/>
        <v>6.7214563070878853E-3</v>
      </c>
    </row>
    <row r="34" spans="1:8" ht="79.2">
      <c r="A34" s="176" t="s">
        <v>7381</v>
      </c>
      <c r="B34" s="324" t="s">
        <v>29</v>
      </c>
      <c r="C34" s="325" t="s">
        <v>6679</v>
      </c>
      <c r="D34" s="326" t="s">
        <v>2674</v>
      </c>
      <c r="E34" s="174" t="s">
        <v>73</v>
      </c>
      <c r="F34" s="209">
        <v>87.42</v>
      </c>
      <c r="G34" s="246">
        <v>3014.24</v>
      </c>
      <c r="H34" s="295">
        <f t="shared" si="0"/>
        <v>6.4719186506381121E-3</v>
      </c>
    </row>
    <row r="35" spans="1:8" ht="26.4">
      <c r="A35" s="176" t="s">
        <v>9464</v>
      </c>
      <c r="B35" s="324" t="s">
        <v>29</v>
      </c>
      <c r="C35" s="325" t="s">
        <v>6411</v>
      </c>
      <c r="D35" s="327" t="s">
        <v>2665</v>
      </c>
      <c r="E35" s="174" t="s">
        <v>83</v>
      </c>
      <c r="F35" s="209">
        <v>125.29</v>
      </c>
      <c r="G35" s="246">
        <v>2852.85</v>
      </c>
      <c r="H35" s="295">
        <f t="shared" si="0"/>
        <v>6.1253958286244421E-3</v>
      </c>
    </row>
    <row r="36" spans="1:8">
      <c r="A36" s="176" t="s">
        <v>9461</v>
      </c>
      <c r="B36" s="324" t="s">
        <v>7511</v>
      </c>
      <c r="C36" s="325">
        <v>19</v>
      </c>
      <c r="D36" s="326" t="s">
        <v>9463</v>
      </c>
      <c r="E36" s="174" t="s">
        <v>73</v>
      </c>
      <c r="F36" s="209">
        <v>137.19999999999999</v>
      </c>
      <c r="G36" s="246">
        <v>2826.47</v>
      </c>
      <c r="H36" s="295">
        <f t="shared" si="0"/>
        <v>6.0687549460126285E-3</v>
      </c>
    </row>
    <row r="37" spans="1:8" ht="66">
      <c r="A37" s="176" t="s">
        <v>32</v>
      </c>
      <c r="B37" s="324" t="s">
        <v>2879</v>
      </c>
      <c r="C37" s="325">
        <v>20355</v>
      </c>
      <c r="D37" s="326" t="s">
        <v>7986</v>
      </c>
      <c r="E37" s="174" t="s">
        <v>1022</v>
      </c>
      <c r="F37" s="209">
        <v>4</v>
      </c>
      <c r="G37" s="246">
        <v>2808.08</v>
      </c>
      <c r="H37" s="295">
        <f t="shared" si="0"/>
        <v>6.0292695088924146E-3</v>
      </c>
    </row>
    <row r="38" spans="1:8" ht="26.4">
      <c r="A38" s="176" t="s">
        <v>9671</v>
      </c>
      <c r="B38" s="324" t="s">
        <v>2879</v>
      </c>
      <c r="C38" s="325">
        <v>170353</v>
      </c>
      <c r="D38" s="326" t="s">
        <v>9734</v>
      </c>
      <c r="E38" s="174" t="s">
        <v>74</v>
      </c>
      <c r="F38" s="209">
        <v>7</v>
      </c>
      <c r="G38" s="246">
        <v>2737.63</v>
      </c>
      <c r="H38" s="295">
        <f t="shared" ref="H38:H69" si="1">G38/$G$102</f>
        <v>5.8780052867543446E-3</v>
      </c>
    </row>
    <row r="39" spans="1:8" ht="39.6">
      <c r="A39" s="176" t="s">
        <v>8011</v>
      </c>
      <c r="B39" s="324" t="s">
        <v>29</v>
      </c>
      <c r="C39" s="332" t="s">
        <v>5026</v>
      </c>
      <c r="D39" s="326" t="s">
        <v>9712</v>
      </c>
      <c r="E39" s="174" t="s">
        <v>75</v>
      </c>
      <c r="F39" s="209">
        <v>51.5</v>
      </c>
      <c r="G39" s="246">
        <v>2570.37</v>
      </c>
      <c r="H39" s="295">
        <f t="shared" si="1"/>
        <v>5.5188789021579851E-3</v>
      </c>
    </row>
    <row r="40" spans="1:8" ht="39.6">
      <c r="A40" s="176" t="s">
        <v>37</v>
      </c>
      <c r="B40" s="324" t="s">
        <v>29</v>
      </c>
      <c r="C40" s="325" t="s">
        <v>6935</v>
      </c>
      <c r="D40" s="326" t="s">
        <v>6936</v>
      </c>
      <c r="E40" s="174" t="s">
        <v>83</v>
      </c>
      <c r="F40" s="209">
        <v>50.6</v>
      </c>
      <c r="G40" s="246">
        <v>2436.39</v>
      </c>
      <c r="H40" s="295">
        <f t="shared" si="1"/>
        <v>5.2312084907731931E-3</v>
      </c>
    </row>
    <row r="41" spans="1:8" ht="15" customHeight="1">
      <c r="A41" s="176" t="s">
        <v>9717</v>
      </c>
      <c r="B41" s="324" t="s">
        <v>29</v>
      </c>
      <c r="C41" s="331" t="s">
        <v>4375</v>
      </c>
      <c r="D41" s="326" t="s">
        <v>2652</v>
      </c>
      <c r="E41" s="174" t="s">
        <v>73</v>
      </c>
      <c r="F41" s="209">
        <v>4.49</v>
      </c>
      <c r="G41" s="246">
        <v>2384.73</v>
      </c>
      <c r="H41" s="295">
        <f t="shared" si="1"/>
        <v>5.1202885515872079E-3</v>
      </c>
    </row>
    <row r="42" spans="1:8" ht="39.6">
      <c r="A42" s="176" t="s">
        <v>8005</v>
      </c>
      <c r="B42" s="324" t="s">
        <v>29</v>
      </c>
      <c r="C42" s="325" t="s">
        <v>4974</v>
      </c>
      <c r="D42" s="326" t="s">
        <v>2654</v>
      </c>
      <c r="E42" s="174" t="s">
        <v>114</v>
      </c>
      <c r="F42" s="209">
        <v>15</v>
      </c>
      <c r="G42" s="246">
        <v>2305.1999999999998</v>
      </c>
      <c r="H42" s="295">
        <f t="shared" si="1"/>
        <v>4.9495285290656931E-3</v>
      </c>
    </row>
    <row r="43" spans="1:8" ht="39.6">
      <c r="A43" s="176" t="s">
        <v>42</v>
      </c>
      <c r="B43" s="324" t="s">
        <v>31</v>
      </c>
      <c r="C43" s="325" t="s">
        <v>7993</v>
      </c>
      <c r="D43" s="326" t="s">
        <v>9659</v>
      </c>
      <c r="E43" s="174" t="s">
        <v>74</v>
      </c>
      <c r="F43" s="209">
        <v>3</v>
      </c>
      <c r="G43" s="246">
        <v>2266.77</v>
      </c>
      <c r="H43" s="295">
        <f t="shared" si="1"/>
        <v>4.8670149157688022E-3</v>
      </c>
    </row>
    <row r="44" spans="1:8" ht="15.75" customHeight="1">
      <c r="A44" s="176" t="s">
        <v>9681</v>
      </c>
      <c r="B44" s="324" t="s">
        <v>2879</v>
      </c>
      <c r="C44" s="325">
        <v>170519</v>
      </c>
      <c r="D44" s="326" t="s">
        <v>9737</v>
      </c>
      <c r="E44" s="174" t="s">
        <v>74</v>
      </c>
      <c r="F44" s="209">
        <v>8</v>
      </c>
      <c r="G44" s="246">
        <v>2195.12</v>
      </c>
      <c r="H44" s="295">
        <f t="shared" si="1"/>
        <v>4.7131741561351227E-3</v>
      </c>
    </row>
    <row r="45" spans="1:8">
      <c r="A45" s="176" t="s">
        <v>28</v>
      </c>
      <c r="B45" s="324" t="s">
        <v>29</v>
      </c>
      <c r="C45" s="325" t="s">
        <v>2288</v>
      </c>
      <c r="D45" s="326" t="s">
        <v>2289</v>
      </c>
      <c r="E45" s="174" t="s">
        <v>73</v>
      </c>
      <c r="F45" s="209">
        <v>6.4</v>
      </c>
      <c r="G45" s="246">
        <v>2061.44</v>
      </c>
      <c r="H45" s="295">
        <f t="shared" si="1"/>
        <v>4.4261478791242344E-3</v>
      </c>
    </row>
    <row r="46" spans="1:8" ht="26.4">
      <c r="A46" s="176" t="s">
        <v>9725</v>
      </c>
      <c r="B46" s="324" t="s">
        <v>2879</v>
      </c>
      <c r="C46" s="325">
        <v>20344</v>
      </c>
      <c r="D46" s="326" t="s">
        <v>7989</v>
      </c>
      <c r="E46" s="174" t="s">
        <v>74</v>
      </c>
      <c r="F46" s="209">
        <v>2</v>
      </c>
      <c r="G46" s="246">
        <v>2016.72</v>
      </c>
      <c r="H46" s="295">
        <f t="shared" si="1"/>
        <v>4.3301289151211897E-3</v>
      </c>
    </row>
    <row r="47" spans="1:8" ht="52.8">
      <c r="A47" s="176" t="s">
        <v>30</v>
      </c>
      <c r="B47" s="324" t="s">
        <v>29</v>
      </c>
      <c r="C47" s="325" t="s">
        <v>2290</v>
      </c>
      <c r="D47" s="326" t="s">
        <v>2291</v>
      </c>
      <c r="E47" s="174" t="s">
        <v>1713</v>
      </c>
      <c r="F47" s="209">
        <v>4</v>
      </c>
      <c r="G47" s="246">
        <v>2014.32</v>
      </c>
      <c r="H47" s="295">
        <f t="shared" si="1"/>
        <v>4.3249758401299708E-3</v>
      </c>
    </row>
    <row r="48" spans="1:8" ht="66">
      <c r="A48" s="176" t="s">
        <v>9674</v>
      </c>
      <c r="B48" s="324" t="s">
        <v>2879</v>
      </c>
      <c r="C48" s="325">
        <v>140714</v>
      </c>
      <c r="D48" s="326" t="s">
        <v>9736</v>
      </c>
      <c r="E48" s="174" t="s">
        <v>74</v>
      </c>
      <c r="F48" s="209">
        <v>3</v>
      </c>
      <c r="G48" s="246">
        <v>1984.98</v>
      </c>
      <c r="H48" s="295">
        <f t="shared" si="1"/>
        <v>4.2619794983623201E-3</v>
      </c>
    </row>
    <row r="49" spans="1:8" ht="39.6">
      <c r="A49" s="176" t="s">
        <v>33</v>
      </c>
      <c r="B49" s="324" t="s">
        <v>2879</v>
      </c>
      <c r="C49" s="325">
        <v>20711</v>
      </c>
      <c r="D49" s="326" t="s">
        <v>7987</v>
      </c>
      <c r="E49" s="174" t="s">
        <v>74</v>
      </c>
      <c r="F49" s="209">
        <v>1</v>
      </c>
      <c r="G49" s="246">
        <v>1826.71</v>
      </c>
      <c r="H49" s="295">
        <f t="shared" si="1"/>
        <v>3.9221556738372352E-3</v>
      </c>
    </row>
    <row r="50" spans="1:8" ht="52.8">
      <c r="A50" s="176" t="s">
        <v>9665</v>
      </c>
      <c r="B50" s="324" t="s">
        <v>29</v>
      </c>
      <c r="C50" s="325" t="s">
        <v>2662</v>
      </c>
      <c r="D50" s="326" t="s">
        <v>2663</v>
      </c>
      <c r="E50" s="174" t="s">
        <v>114</v>
      </c>
      <c r="F50" s="209">
        <v>3</v>
      </c>
      <c r="G50" s="246">
        <v>1684.95</v>
      </c>
      <c r="H50" s="295">
        <f t="shared" si="1"/>
        <v>3.6177807110225756E-3</v>
      </c>
    </row>
    <row r="51" spans="1:8" ht="39.6">
      <c r="A51" s="176" t="s">
        <v>7980</v>
      </c>
      <c r="B51" s="324" t="s">
        <v>29</v>
      </c>
      <c r="C51" s="325" t="s">
        <v>4997</v>
      </c>
      <c r="D51" s="326" t="s">
        <v>2655</v>
      </c>
      <c r="E51" s="174" t="s">
        <v>75</v>
      </c>
      <c r="F51" s="209">
        <v>85</v>
      </c>
      <c r="G51" s="246">
        <v>1668.55</v>
      </c>
      <c r="H51" s="295">
        <f t="shared" si="1"/>
        <v>3.5825680319159134E-3</v>
      </c>
    </row>
    <row r="52" spans="1:8" ht="26.4">
      <c r="A52" s="176" t="s">
        <v>8010</v>
      </c>
      <c r="B52" s="324" t="s">
        <v>29</v>
      </c>
      <c r="C52" s="325" t="s">
        <v>6533</v>
      </c>
      <c r="D52" s="326" t="s">
        <v>2120</v>
      </c>
      <c r="E52" s="174" t="s">
        <v>73</v>
      </c>
      <c r="F52" s="209">
        <v>108.29</v>
      </c>
      <c r="G52" s="246">
        <v>1585.37</v>
      </c>
      <c r="H52" s="295">
        <f t="shared" si="1"/>
        <v>3.403971041178587E-3</v>
      </c>
    </row>
    <row r="53" spans="1:8" ht="39.6">
      <c r="A53" s="176" t="s">
        <v>7510</v>
      </c>
      <c r="B53" s="324" t="s">
        <v>29</v>
      </c>
      <c r="C53" s="325" t="s">
        <v>4312</v>
      </c>
      <c r="D53" s="326" t="s">
        <v>2114</v>
      </c>
      <c r="E53" s="174" t="s">
        <v>114</v>
      </c>
      <c r="F53" s="209">
        <v>4</v>
      </c>
      <c r="G53" s="246">
        <v>1500.52</v>
      </c>
      <c r="H53" s="295">
        <f t="shared" si="1"/>
        <v>3.2217883690932045E-3</v>
      </c>
    </row>
    <row r="54" spans="1:8" ht="26.4">
      <c r="A54" s="176" t="s">
        <v>9466</v>
      </c>
      <c r="B54" s="324" t="s">
        <v>29</v>
      </c>
      <c r="C54" s="325" t="s">
        <v>6527</v>
      </c>
      <c r="D54" s="326" t="s">
        <v>1768</v>
      </c>
      <c r="E54" s="174" t="s">
        <v>73</v>
      </c>
      <c r="F54" s="209">
        <v>108.29</v>
      </c>
      <c r="G54" s="246">
        <v>1419.68</v>
      </c>
      <c r="H54" s="295">
        <f t="shared" si="1"/>
        <v>3.0482156264723167E-3</v>
      </c>
    </row>
    <row r="55" spans="1:8" ht="39.6">
      <c r="A55" s="176" t="s">
        <v>9460</v>
      </c>
      <c r="B55" s="324" t="s">
        <v>29</v>
      </c>
      <c r="C55" s="325" t="s">
        <v>6945</v>
      </c>
      <c r="D55" s="326" t="s">
        <v>6946</v>
      </c>
      <c r="E55" s="174" t="s">
        <v>73</v>
      </c>
      <c r="F55" s="209">
        <v>127.17</v>
      </c>
      <c r="G55" s="246">
        <v>1279.33</v>
      </c>
      <c r="H55" s="295">
        <f t="shared" si="1"/>
        <v>2.7468680952149982E-3</v>
      </c>
    </row>
    <row r="56" spans="1:8" ht="39.6">
      <c r="A56" s="176" t="s">
        <v>7982</v>
      </c>
      <c r="B56" s="324" t="s">
        <v>29</v>
      </c>
      <c r="C56" s="325" t="s">
        <v>4998</v>
      </c>
      <c r="D56" s="326" t="s">
        <v>2656</v>
      </c>
      <c r="E56" s="174" t="s">
        <v>75</v>
      </c>
      <c r="F56" s="209">
        <v>45</v>
      </c>
      <c r="G56" s="246">
        <v>1233.9000000000001</v>
      </c>
      <c r="H56" s="295">
        <f t="shared" si="1"/>
        <v>2.6493246798603852E-3</v>
      </c>
    </row>
    <row r="57" spans="1:8" ht="26.4">
      <c r="A57" s="176" t="s">
        <v>8008</v>
      </c>
      <c r="B57" s="324" t="s">
        <v>7511</v>
      </c>
      <c r="C57" s="325">
        <v>9818</v>
      </c>
      <c r="D57" s="327" t="s">
        <v>9721</v>
      </c>
      <c r="E57" s="174" t="s">
        <v>75</v>
      </c>
      <c r="F57" s="209">
        <v>80</v>
      </c>
      <c r="G57" s="246">
        <v>1179.3900000000001</v>
      </c>
      <c r="H57" s="295">
        <f t="shared" si="1"/>
        <v>2.5322854641223274E-3</v>
      </c>
    </row>
    <row r="58" spans="1:8" ht="39.6">
      <c r="A58" s="176" t="s">
        <v>44</v>
      </c>
      <c r="B58" s="324" t="s">
        <v>29</v>
      </c>
      <c r="C58" s="325" t="s">
        <v>4311</v>
      </c>
      <c r="D58" s="326" t="s">
        <v>2113</v>
      </c>
      <c r="E58" s="174" t="s">
        <v>114</v>
      </c>
      <c r="F58" s="209">
        <v>3</v>
      </c>
      <c r="G58" s="246">
        <v>1134.96</v>
      </c>
      <c r="H58" s="295">
        <f t="shared" si="1"/>
        <v>2.4368891633473884E-3</v>
      </c>
    </row>
    <row r="59" spans="1:8" ht="26.4">
      <c r="A59" s="176" t="s">
        <v>9697</v>
      </c>
      <c r="B59" s="324" t="s">
        <v>7511</v>
      </c>
      <c r="C59" s="325">
        <v>11950</v>
      </c>
      <c r="D59" s="327" t="s">
        <v>9694</v>
      </c>
      <c r="E59" s="174" t="s">
        <v>7992</v>
      </c>
      <c r="F59" s="209">
        <v>16</v>
      </c>
      <c r="G59" s="246">
        <v>1044.81</v>
      </c>
      <c r="H59" s="295">
        <f t="shared" si="1"/>
        <v>2.2433267839897307E-3</v>
      </c>
    </row>
    <row r="60" spans="1:8" ht="26.4">
      <c r="A60" s="176" t="s">
        <v>8009</v>
      </c>
      <c r="B60" s="324" t="s">
        <v>29</v>
      </c>
      <c r="C60" s="325" t="s">
        <v>6960</v>
      </c>
      <c r="D60" s="326" t="s">
        <v>6961</v>
      </c>
      <c r="E60" s="174" t="s">
        <v>73</v>
      </c>
      <c r="F60" s="209">
        <v>46.37</v>
      </c>
      <c r="G60" s="246">
        <v>1032.6600000000001</v>
      </c>
      <c r="H60" s="295">
        <f t="shared" si="1"/>
        <v>2.2172393418466857E-3</v>
      </c>
    </row>
    <row r="61" spans="1:8" ht="26.4">
      <c r="A61" s="176" t="s">
        <v>9652</v>
      </c>
      <c r="B61" s="324" t="s">
        <v>29</v>
      </c>
      <c r="C61" s="325" t="s">
        <v>6520</v>
      </c>
      <c r="D61" s="327" t="s">
        <v>2667</v>
      </c>
      <c r="E61" s="174" t="s">
        <v>73</v>
      </c>
      <c r="F61" s="209">
        <v>277.26</v>
      </c>
      <c r="G61" s="246">
        <v>1020.32</v>
      </c>
      <c r="H61" s="295">
        <f t="shared" si="1"/>
        <v>2.1907439479335023E-3</v>
      </c>
    </row>
    <row r="62" spans="1:8" ht="39.6">
      <c r="A62" s="176" t="s">
        <v>9693</v>
      </c>
      <c r="B62" s="324" t="s">
        <v>29</v>
      </c>
      <c r="C62" s="325" t="s">
        <v>4769</v>
      </c>
      <c r="D62" s="327" t="s">
        <v>9714</v>
      </c>
      <c r="E62" s="174" t="s">
        <v>75</v>
      </c>
      <c r="F62" s="209">
        <v>200</v>
      </c>
      <c r="G62" s="246">
        <v>998</v>
      </c>
      <c r="H62" s="295">
        <f t="shared" si="1"/>
        <v>2.1428203505151669E-3</v>
      </c>
    </row>
    <row r="63" spans="1:8" ht="26.4">
      <c r="A63" s="176" t="s">
        <v>2876</v>
      </c>
      <c r="B63" s="324" t="s">
        <v>29</v>
      </c>
      <c r="C63" s="325" t="s">
        <v>6291</v>
      </c>
      <c r="D63" s="326" t="s">
        <v>1764</v>
      </c>
      <c r="E63" s="174" t="s">
        <v>75</v>
      </c>
      <c r="F63" s="209">
        <v>85</v>
      </c>
      <c r="G63" s="246">
        <v>991.95</v>
      </c>
      <c r="H63" s="295">
        <f t="shared" si="1"/>
        <v>2.1298303073081361E-3</v>
      </c>
    </row>
    <row r="64" spans="1:8" ht="26.4">
      <c r="A64" s="176" t="s">
        <v>9459</v>
      </c>
      <c r="B64" s="324" t="s">
        <v>29</v>
      </c>
      <c r="C64" s="325" t="s">
        <v>6954</v>
      </c>
      <c r="D64" s="326" t="s">
        <v>6955</v>
      </c>
      <c r="E64" s="174" t="s">
        <v>73</v>
      </c>
      <c r="F64" s="209">
        <v>247.4</v>
      </c>
      <c r="G64" s="246">
        <v>940.12</v>
      </c>
      <c r="H64" s="295">
        <f t="shared" si="1"/>
        <v>2.0185453586436058E-3</v>
      </c>
    </row>
    <row r="65" spans="1:8" ht="39.6">
      <c r="A65" s="176" t="s">
        <v>7999</v>
      </c>
      <c r="B65" s="324" t="s">
        <v>29</v>
      </c>
      <c r="C65" s="325" t="s">
        <v>5025</v>
      </c>
      <c r="D65" s="326" t="s">
        <v>2658</v>
      </c>
      <c r="E65" s="174" t="s">
        <v>75</v>
      </c>
      <c r="F65" s="209">
        <v>24</v>
      </c>
      <c r="G65" s="246">
        <v>935.28</v>
      </c>
      <c r="H65" s="295">
        <f t="shared" si="1"/>
        <v>2.008153324077981E-3</v>
      </c>
    </row>
    <row r="66" spans="1:8">
      <c r="A66" s="176" t="s">
        <v>9669</v>
      </c>
      <c r="B66" s="324" t="s">
        <v>2879</v>
      </c>
      <c r="C66" s="325">
        <v>170220</v>
      </c>
      <c r="D66" s="326" t="s">
        <v>9733</v>
      </c>
      <c r="E66" s="174" t="s">
        <v>73</v>
      </c>
      <c r="F66" s="209">
        <v>2.62</v>
      </c>
      <c r="G66" s="246">
        <v>926.33</v>
      </c>
      <c r="H66" s="295">
        <f t="shared" si="1"/>
        <v>1.9889366485898942E-3</v>
      </c>
    </row>
    <row r="67" spans="1:8" ht="26.4">
      <c r="A67" s="176" t="s">
        <v>9655</v>
      </c>
      <c r="B67" s="324" t="s">
        <v>29</v>
      </c>
      <c r="C67" s="332" t="s">
        <v>6412</v>
      </c>
      <c r="D67" s="326" t="s">
        <v>2118</v>
      </c>
      <c r="E67" s="174" t="s">
        <v>83</v>
      </c>
      <c r="F67" s="209">
        <v>125.29</v>
      </c>
      <c r="G67" s="246">
        <v>839.44</v>
      </c>
      <c r="H67" s="295">
        <f t="shared" si="1"/>
        <v>1.8023738627619757E-3</v>
      </c>
    </row>
    <row r="68" spans="1:8" ht="52.8">
      <c r="A68" s="176" t="s">
        <v>7380</v>
      </c>
      <c r="B68" s="324" t="s">
        <v>29</v>
      </c>
      <c r="C68" s="325" t="s">
        <v>6635</v>
      </c>
      <c r="D68" s="326" t="s">
        <v>2673</v>
      </c>
      <c r="E68" s="174" t="s">
        <v>73</v>
      </c>
      <c r="F68" s="209">
        <v>202.64</v>
      </c>
      <c r="G68" s="246">
        <v>796.38</v>
      </c>
      <c r="H68" s="295">
        <f t="shared" si="1"/>
        <v>1.7099191089611908E-3</v>
      </c>
    </row>
    <row r="69" spans="1:8" ht="26.4">
      <c r="A69" s="176" t="s">
        <v>9666</v>
      </c>
      <c r="B69" s="324" t="s">
        <v>29</v>
      </c>
      <c r="C69" s="325" t="s">
        <v>6178</v>
      </c>
      <c r="D69" s="326" t="s">
        <v>2115</v>
      </c>
      <c r="E69" s="174" t="s">
        <v>114</v>
      </c>
      <c r="F69" s="209">
        <v>6</v>
      </c>
      <c r="G69" s="246">
        <v>781.68</v>
      </c>
      <c r="H69" s="295">
        <f t="shared" si="1"/>
        <v>1.6783565246399753E-3</v>
      </c>
    </row>
    <row r="70" spans="1:8" ht="39.6">
      <c r="A70" s="176" t="s">
        <v>9664</v>
      </c>
      <c r="B70" s="324" t="s">
        <v>29</v>
      </c>
      <c r="C70" s="333" t="s">
        <v>6223</v>
      </c>
      <c r="D70" s="326" t="s">
        <v>9686</v>
      </c>
      <c r="E70" s="174" t="s">
        <v>114</v>
      </c>
      <c r="F70" s="209">
        <v>1</v>
      </c>
      <c r="G70" s="246">
        <v>738.82</v>
      </c>
      <c r="H70" s="295">
        <f t="shared" ref="H70:H100" si="2">G70/$G$102</f>
        <v>1.5863311937551259E-3</v>
      </c>
    </row>
    <row r="71" spans="1:8" ht="52.8">
      <c r="A71" s="176" t="s">
        <v>34</v>
      </c>
      <c r="B71" s="324" t="s">
        <v>2879</v>
      </c>
      <c r="C71" s="325">
        <v>20712</v>
      </c>
      <c r="D71" s="326" t="s">
        <v>7988</v>
      </c>
      <c r="E71" s="174" t="s">
        <v>75</v>
      </c>
      <c r="F71" s="209">
        <v>20</v>
      </c>
      <c r="G71" s="246">
        <v>722.6</v>
      </c>
      <c r="H71" s="295">
        <f t="shared" si="2"/>
        <v>1.5515049952728051E-3</v>
      </c>
    </row>
    <row r="72" spans="1:8" ht="39.6">
      <c r="A72" s="176" t="s">
        <v>7996</v>
      </c>
      <c r="B72" s="324" t="s">
        <v>29</v>
      </c>
      <c r="C72" s="325" t="s">
        <v>6293</v>
      </c>
      <c r="D72" s="326" t="s">
        <v>2116</v>
      </c>
      <c r="E72" s="174" t="s">
        <v>75</v>
      </c>
      <c r="F72" s="209">
        <v>30</v>
      </c>
      <c r="G72" s="246">
        <v>718.5</v>
      </c>
      <c r="H72" s="295">
        <f t="shared" si="2"/>
        <v>1.5427018254961396E-3</v>
      </c>
    </row>
    <row r="73" spans="1:8">
      <c r="A73" s="176" t="s">
        <v>9469</v>
      </c>
      <c r="B73" s="324" t="s">
        <v>29</v>
      </c>
      <c r="C73" s="325" t="s">
        <v>4221</v>
      </c>
      <c r="D73" s="326" t="s">
        <v>2650</v>
      </c>
      <c r="E73" s="174" t="s">
        <v>73</v>
      </c>
      <c r="F73" s="209">
        <v>74.099999999999994</v>
      </c>
      <c r="G73" s="246">
        <v>710.62</v>
      </c>
      <c r="H73" s="295">
        <f t="shared" si="2"/>
        <v>1.5257825626083044E-3</v>
      </c>
    </row>
    <row r="74" spans="1:8" ht="26.4">
      <c r="A74" s="176" t="s">
        <v>9673</v>
      </c>
      <c r="B74" s="324" t="s">
        <v>2879</v>
      </c>
      <c r="C74" s="325">
        <v>170354</v>
      </c>
      <c r="D74" s="326" t="s">
        <v>9735</v>
      </c>
      <c r="E74" s="174" t="s">
        <v>74</v>
      </c>
      <c r="F74" s="209">
        <v>1</v>
      </c>
      <c r="G74" s="246">
        <v>630.21</v>
      </c>
      <c r="H74" s="295">
        <f t="shared" si="2"/>
        <v>1.3531330792566766E-3</v>
      </c>
    </row>
    <row r="75" spans="1:8" ht="26.4">
      <c r="A75" s="176" t="s">
        <v>9702</v>
      </c>
      <c r="B75" s="324" t="s">
        <v>2879</v>
      </c>
      <c r="C75" s="325">
        <v>140710</v>
      </c>
      <c r="D75" s="326" t="s">
        <v>9732</v>
      </c>
      <c r="E75" s="174" t="s">
        <v>74</v>
      </c>
      <c r="F75" s="209">
        <v>4</v>
      </c>
      <c r="G75" s="246">
        <v>618.64</v>
      </c>
      <c r="H75" s="295">
        <f t="shared" si="2"/>
        <v>1.3282909635698424E-3</v>
      </c>
    </row>
    <row r="76" spans="1:8">
      <c r="A76" s="176" t="s">
        <v>9684</v>
      </c>
      <c r="B76" s="324" t="s">
        <v>7511</v>
      </c>
      <c r="C76" s="325">
        <v>2034</v>
      </c>
      <c r="D76" s="327" t="s">
        <v>9685</v>
      </c>
      <c r="E76" s="174" t="s">
        <v>74</v>
      </c>
      <c r="F76" s="209">
        <v>4</v>
      </c>
      <c r="G76" s="246">
        <v>596.17999999999995</v>
      </c>
      <c r="H76" s="295">
        <f t="shared" si="2"/>
        <v>1.2800667701103527E-3</v>
      </c>
    </row>
    <row r="77" spans="1:8" ht="26.4">
      <c r="A77" s="176" t="s">
        <v>9662</v>
      </c>
      <c r="B77" s="324" t="s">
        <v>2879</v>
      </c>
      <c r="C77" s="325">
        <v>140711</v>
      </c>
      <c r="D77" s="326" t="s">
        <v>9731</v>
      </c>
      <c r="E77" s="174" t="s">
        <v>74</v>
      </c>
      <c r="F77" s="209">
        <v>7</v>
      </c>
      <c r="G77" s="246">
        <v>579.80999999999995</v>
      </c>
      <c r="H77" s="295">
        <f t="shared" si="2"/>
        <v>1.2449185044410809E-3</v>
      </c>
    </row>
    <row r="78" spans="1:8" ht="39.6">
      <c r="A78" s="176" t="s">
        <v>7998</v>
      </c>
      <c r="B78" s="324" t="s">
        <v>29</v>
      </c>
      <c r="C78" s="325" t="s">
        <v>5023</v>
      </c>
      <c r="D78" s="326" t="s">
        <v>2657</v>
      </c>
      <c r="E78" s="174" t="s">
        <v>75</v>
      </c>
      <c r="F78" s="209">
        <v>30.29</v>
      </c>
      <c r="G78" s="246">
        <v>537.34</v>
      </c>
      <c r="H78" s="295">
        <f t="shared" si="2"/>
        <v>1.1537305482423044E-3</v>
      </c>
    </row>
    <row r="79" spans="1:8" ht="26.4">
      <c r="A79" s="176" t="s">
        <v>7997</v>
      </c>
      <c r="B79" s="324" t="s">
        <v>29</v>
      </c>
      <c r="C79" s="325" t="s">
        <v>6294</v>
      </c>
      <c r="D79" s="326" t="s">
        <v>2117</v>
      </c>
      <c r="E79" s="174" t="s">
        <v>75</v>
      </c>
      <c r="F79" s="209">
        <v>20</v>
      </c>
      <c r="G79" s="246">
        <v>520</v>
      </c>
      <c r="H79" s="295">
        <f t="shared" si="2"/>
        <v>1.1164995814307481E-3</v>
      </c>
    </row>
    <row r="80" spans="1:8" ht="26.4">
      <c r="A80" s="176" t="s">
        <v>9470</v>
      </c>
      <c r="B80" s="324" t="s">
        <v>7511</v>
      </c>
      <c r="C80" s="325">
        <v>9415</v>
      </c>
      <c r="D80" s="326" t="s">
        <v>9471</v>
      </c>
      <c r="E80" s="174" t="s">
        <v>75</v>
      </c>
      <c r="F80" s="209">
        <v>74.099999999999994</v>
      </c>
      <c r="G80" s="246">
        <v>516.41</v>
      </c>
      <c r="H80" s="295">
        <f t="shared" si="2"/>
        <v>1.1087914400897167E-3</v>
      </c>
    </row>
    <row r="81" spans="1:8" ht="39.6">
      <c r="A81" s="176" t="s">
        <v>9691</v>
      </c>
      <c r="B81" s="324" t="s">
        <v>29</v>
      </c>
      <c r="C81" s="325" t="s">
        <v>4764</v>
      </c>
      <c r="D81" s="327" t="s">
        <v>9718</v>
      </c>
      <c r="E81" s="174" t="s">
        <v>75</v>
      </c>
      <c r="F81" s="209">
        <v>180</v>
      </c>
      <c r="G81" s="246">
        <v>482.4</v>
      </c>
      <c r="H81" s="295">
        <f t="shared" si="2"/>
        <v>1.0357680732349863E-3</v>
      </c>
    </row>
    <row r="82" spans="1:8" ht="26.4">
      <c r="A82" s="176" t="s">
        <v>9711</v>
      </c>
      <c r="B82" s="324" t="s">
        <v>7511</v>
      </c>
      <c r="C82" s="325">
        <v>12131</v>
      </c>
      <c r="D82" s="326" t="s">
        <v>9707</v>
      </c>
      <c r="E82" s="174" t="s">
        <v>74</v>
      </c>
      <c r="F82" s="209">
        <v>1</v>
      </c>
      <c r="G82" s="246">
        <v>462.21</v>
      </c>
      <c r="H82" s="295">
        <f t="shared" si="2"/>
        <v>9.9241782987135783E-4</v>
      </c>
    </row>
    <row r="83" spans="1:8" ht="26.4">
      <c r="A83" s="176" t="s">
        <v>9683</v>
      </c>
      <c r="B83" s="324" t="s">
        <v>29</v>
      </c>
      <c r="C83" s="325" t="s">
        <v>6227</v>
      </c>
      <c r="D83" s="326" t="s">
        <v>9682</v>
      </c>
      <c r="E83" s="174" t="s">
        <v>114</v>
      </c>
      <c r="F83" s="209">
        <v>8</v>
      </c>
      <c r="G83" s="246">
        <v>449.6</v>
      </c>
      <c r="H83" s="295">
        <f t="shared" si="2"/>
        <v>9.6534271502166232E-4</v>
      </c>
    </row>
    <row r="84" spans="1:8" ht="39.6">
      <c r="A84" s="176" t="s">
        <v>9692</v>
      </c>
      <c r="B84" s="324" t="s">
        <v>29</v>
      </c>
      <c r="C84" s="332" t="s">
        <v>4766</v>
      </c>
      <c r="D84" s="327" t="s">
        <v>9713</v>
      </c>
      <c r="E84" s="174" t="s">
        <v>75</v>
      </c>
      <c r="F84" s="209">
        <v>120</v>
      </c>
      <c r="G84" s="246">
        <v>428.4</v>
      </c>
      <c r="H84" s="295">
        <f t="shared" si="2"/>
        <v>9.1982388593256251E-4</v>
      </c>
    </row>
    <row r="85" spans="1:8" ht="26.4">
      <c r="A85" s="176" t="s">
        <v>9710</v>
      </c>
      <c r="B85" s="324" t="s">
        <v>7511</v>
      </c>
      <c r="C85" s="325">
        <v>12122</v>
      </c>
      <c r="D85" s="326" t="s">
        <v>9706</v>
      </c>
      <c r="E85" s="174" t="s">
        <v>74</v>
      </c>
      <c r="F85" s="209">
        <v>3</v>
      </c>
      <c r="G85" s="246">
        <v>420.29</v>
      </c>
      <c r="H85" s="295">
        <f t="shared" si="2"/>
        <v>9.0241078669140232E-4</v>
      </c>
    </row>
    <row r="86" spans="1:8" ht="26.4">
      <c r="A86" s="176" t="s">
        <v>9467</v>
      </c>
      <c r="B86" s="324" t="s">
        <v>29</v>
      </c>
      <c r="C86" s="325" t="s">
        <v>7914</v>
      </c>
      <c r="D86" s="326" t="s">
        <v>7915</v>
      </c>
      <c r="E86" s="174" t="s">
        <v>75</v>
      </c>
      <c r="F86" s="209">
        <v>7.5</v>
      </c>
      <c r="G86" s="246">
        <v>399.98</v>
      </c>
      <c r="H86" s="295">
        <f t="shared" si="2"/>
        <v>8.5880288957821283E-4</v>
      </c>
    </row>
    <row r="87" spans="1:8" ht="26.4">
      <c r="A87" s="176" t="s">
        <v>9701</v>
      </c>
      <c r="B87" s="324" t="s">
        <v>7511</v>
      </c>
      <c r="C87" s="325" t="s">
        <v>9709</v>
      </c>
      <c r="D87" s="326" t="s">
        <v>9708</v>
      </c>
      <c r="E87" s="174" t="s">
        <v>74</v>
      </c>
      <c r="F87" s="209">
        <v>2</v>
      </c>
      <c r="G87" s="246">
        <v>395.33</v>
      </c>
      <c r="H87" s="295">
        <f t="shared" si="2"/>
        <v>8.4881880678272634E-4</v>
      </c>
    </row>
    <row r="88" spans="1:8" ht="39.6">
      <c r="A88" s="176" t="s">
        <v>43</v>
      </c>
      <c r="B88" s="324" t="s">
        <v>29</v>
      </c>
      <c r="C88" s="325" t="s">
        <v>4310</v>
      </c>
      <c r="D88" s="326" t="s">
        <v>2112</v>
      </c>
      <c r="E88" s="174" t="s">
        <v>114</v>
      </c>
      <c r="F88" s="209">
        <v>1</v>
      </c>
      <c r="G88" s="246">
        <v>352.73</v>
      </c>
      <c r="H88" s="295">
        <f t="shared" si="2"/>
        <v>7.5735172568859198E-4</v>
      </c>
    </row>
    <row r="89" spans="1:8" ht="52.8">
      <c r="A89" s="176" t="s">
        <v>46</v>
      </c>
      <c r="B89" s="324" t="s">
        <v>29</v>
      </c>
      <c r="C89" s="325" t="s">
        <v>2670</v>
      </c>
      <c r="D89" s="326" t="s">
        <v>2671</v>
      </c>
      <c r="E89" s="174" t="s">
        <v>73</v>
      </c>
      <c r="F89" s="209">
        <v>16.53</v>
      </c>
      <c r="G89" s="246">
        <v>333.41</v>
      </c>
      <c r="H89" s="295">
        <f t="shared" si="2"/>
        <v>7.1586947200928035E-4</v>
      </c>
    </row>
    <row r="90" spans="1:8" ht="39.6">
      <c r="A90" s="176" t="s">
        <v>9680</v>
      </c>
      <c r="B90" s="324" t="s">
        <v>29</v>
      </c>
      <c r="C90" s="325" t="s">
        <v>6230</v>
      </c>
      <c r="D90" s="326" t="s">
        <v>2664</v>
      </c>
      <c r="E90" s="174" t="s">
        <v>114</v>
      </c>
      <c r="F90" s="209">
        <v>5</v>
      </c>
      <c r="G90" s="246">
        <v>290.75</v>
      </c>
      <c r="H90" s="295">
        <f t="shared" si="2"/>
        <v>6.2427356404036547E-4</v>
      </c>
    </row>
    <row r="91" spans="1:8" ht="39.6">
      <c r="A91" s="176" t="s">
        <v>8007</v>
      </c>
      <c r="B91" s="324" t="s">
        <v>29</v>
      </c>
      <c r="C91" s="325" t="s">
        <v>5169</v>
      </c>
      <c r="D91" s="326" t="s">
        <v>2659</v>
      </c>
      <c r="E91" s="174" t="s">
        <v>114</v>
      </c>
      <c r="F91" s="209">
        <v>20</v>
      </c>
      <c r="G91" s="246">
        <v>276.2</v>
      </c>
      <c r="H91" s="295">
        <f t="shared" si="2"/>
        <v>5.9303304690610126E-4</v>
      </c>
    </row>
    <row r="92" spans="1:8" ht="26.4">
      <c r="A92" s="176" t="s">
        <v>9465</v>
      </c>
      <c r="B92" s="324" t="s">
        <v>29</v>
      </c>
      <c r="C92" s="325" t="s">
        <v>6523</v>
      </c>
      <c r="D92" s="326" t="s">
        <v>2668</v>
      </c>
      <c r="E92" s="174" t="s">
        <v>73</v>
      </c>
      <c r="F92" s="209">
        <v>108.29</v>
      </c>
      <c r="G92" s="246">
        <v>276.14</v>
      </c>
      <c r="H92" s="295">
        <f t="shared" si="2"/>
        <v>5.9290422003132075E-4</v>
      </c>
    </row>
    <row r="93" spans="1:8" ht="26.4">
      <c r="A93" s="176" t="s">
        <v>9650</v>
      </c>
      <c r="B93" s="324" t="s">
        <v>29</v>
      </c>
      <c r="C93" s="325" t="s">
        <v>6768</v>
      </c>
      <c r="D93" s="327" t="s">
        <v>2678</v>
      </c>
      <c r="E93" s="174" t="s">
        <v>75</v>
      </c>
      <c r="F93" s="209">
        <v>95.86</v>
      </c>
      <c r="G93" s="246">
        <v>270.33</v>
      </c>
      <c r="H93" s="295">
        <f t="shared" si="2"/>
        <v>5.8042948432341182E-4</v>
      </c>
    </row>
    <row r="94" spans="1:8">
      <c r="A94" s="176" t="s">
        <v>9462</v>
      </c>
      <c r="B94" s="324" t="s">
        <v>7511</v>
      </c>
      <c r="C94" s="325">
        <v>32</v>
      </c>
      <c r="D94" s="326" t="s">
        <v>9656</v>
      </c>
      <c r="E94" s="174" t="s">
        <v>73</v>
      </c>
      <c r="F94" s="209">
        <v>53.28</v>
      </c>
      <c r="G94" s="246">
        <v>246.18</v>
      </c>
      <c r="H94" s="295">
        <f t="shared" si="2"/>
        <v>5.2857666722427236E-4</v>
      </c>
    </row>
    <row r="95" spans="1:8" ht="66">
      <c r="A95" s="176" t="s">
        <v>9667</v>
      </c>
      <c r="B95" s="324" t="s">
        <v>29</v>
      </c>
      <c r="C95" s="331" t="s">
        <v>6216</v>
      </c>
      <c r="D95" s="326" t="s">
        <v>9672</v>
      </c>
      <c r="E95" s="174" t="s">
        <v>114</v>
      </c>
      <c r="F95" s="209">
        <v>1</v>
      </c>
      <c r="G95" s="246">
        <v>199.36</v>
      </c>
      <c r="H95" s="295">
        <f t="shared" si="2"/>
        <v>4.2804876260391149E-4</v>
      </c>
    </row>
    <row r="96" spans="1:8" ht="26.4">
      <c r="A96" s="176" t="s">
        <v>7983</v>
      </c>
      <c r="B96" s="324" t="s">
        <v>29</v>
      </c>
      <c r="C96" s="325" t="s">
        <v>6234</v>
      </c>
      <c r="D96" s="326" t="s">
        <v>9675</v>
      </c>
      <c r="E96" s="174" t="s">
        <v>114</v>
      </c>
      <c r="F96" s="209">
        <v>4</v>
      </c>
      <c r="G96" s="246">
        <v>152.63999999999999</v>
      </c>
      <c r="H96" s="295">
        <f t="shared" si="2"/>
        <v>3.2773556944151809E-4</v>
      </c>
    </row>
    <row r="97" spans="1:8" ht="26.4">
      <c r="A97" s="176" t="s">
        <v>9688</v>
      </c>
      <c r="B97" s="324" t="s">
        <v>31</v>
      </c>
      <c r="C97" s="325" t="s">
        <v>7995</v>
      </c>
      <c r="D97" s="326" t="s">
        <v>9689</v>
      </c>
      <c r="E97" s="174" t="s">
        <v>75</v>
      </c>
      <c r="F97" s="209">
        <v>4.83</v>
      </c>
      <c r="G97" s="246">
        <v>127.51</v>
      </c>
      <c r="H97" s="295">
        <f t="shared" si="2"/>
        <v>2.7377858005429753E-4</v>
      </c>
    </row>
    <row r="98" spans="1:8" ht="39.6">
      <c r="A98" s="176" t="s">
        <v>9687</v>
      </c>
      <c r="B98" s="324" t="s">
        <v>29</v>
      </c>
      <c r="C98" s="325" t="s">
        <v>7686</v>
      </c>
      <c r="D98" s="326" t="s">
        <v>7687</v>
      </c>
      <c r="E98" s="174" t="s">
        <v>114</v>
      </c>
      <c r="F98" s="209">
        <v>11</v>
      </c>
      <c r="G98" s="246">
        <v>100.43</v>
      </c>
      <c r="H98" s="295">
        <f t="shared" si="2"/>
        <v>2.1563471723671165E-4</v>
      </c>
    </row>
    <row r="99" spans="1:8" ht="26.4">
      <c r="A99" s="176" t="s">
        <v>9676</v>
      </c>
      <c r="B99" s="324" t="s">
        <v>29</v>
      </c>
      <c r="C99" s="325" t="s">
        <v>5200</v>
      </c>
      <c r="D99" s="326" t="s">
        <v>9677</v>
      </c>
      <c r="E99" s="174" t="s">
        <v>114</v>
      </c>
      <c r="F99" s="209">
        <v>10</v>
      </c>
      <c r="G99" s="246">
        <v>90.6</v>
      </c>
      <c r="H99" s="295">
        <f t="shared" si="2"/>
        <v>1.9452858091851112E-4</v>
      </c>
    </row>
    <row r="100" spans="1:8" ht="26.4">
      <c r="A100" s="174" t="s">
        <v>9678</v>
      </c>
      <c r="B100" s="324" t="s">
        <v>29</v>
      </c>
      <c r="C100" s="325" t="s">
        <v>5202</v>
      </c>
      <c r="D100" s="326" t="s">
        <v>9679</v>
      </c>
      <c r="E100" s="174" t="s">
        <v>114</v>
      </c>
      <c r="F100" s="209">
        <v>5</v>
      </c>
      <c r="G100" s="246">
        <v>54.35</v>
      </c>
      <c r="H100" s="295">
        <f t="shared" si="2"/>
        <v>1.1669567740530994E-4</v>
      </c>
    </row>
    <row r="101" spans="1:8">
      <c r="A101" s="834"/>
      <c r="B101" s="835"/>
      <c r="C101" s="835"/>
      <c r="D101" s="835"/>
      <c r="E101" s="835"/>
      <c r="F101" s="835"/>
      <c r="G101" s="835"/>
      <c r="H101" s="836"/>
    </row>
    <row r="102" spans="1:8" ht="15" customHeight="1">
      <c r="A102" s="829" t="s">
        <v>2878</v>
      </c>
      <c r="B102" s="830"/>
      <c r="C102" s="830"/>
      <c r="D102" s="830"/>
      <c r="E102" s="830"/>
      <c r="F102" s="831"/>
      <c r="G102" s="248">
        <v>465741.33</v>
      </c>
      <c r="H102" s="294">
        <f>SUM(H6:H100)</f>
        <v>1.0040318517577129</v>
      </c>
    </row>
    <row r="103" spans="1:8">
      <c r="A103" s="179"/>
      <c r="B103" s="179"/>
      <c r="C103" s="179"/>
      <c r="D103" s="179"/>
      <c r="E103" s="179"/>
      <c r="F103" s="179"/>
      <c r="G103" s="249"/>
      <c r="H103" s="250"/>
    </row>
    <row r="104" spans="1:8">
      <c r="A104" s="837" t="s">
        <v>2870</v>
      </c>
      <c r="B104" s="837"/>
      <c r="C104" s="837"/>
      <c r="D104" s="837"/>
      <c r="E104" s="837"/>
      <c r="F104" s="837"/>
      <c r="G104" s="837"/>
      <c r="H104" s="837"/>
    </row>
    <row r="105" spans="1:8" ht="15.6">
      <c r="A105" s="828" t="s">
        <v>7507</v>
      </c>
      <c r="B105" s="828"/>
      <c r="C105" s="828"/>
      <c r="D105" s="828"/>
      <c r="E105" s="828"/>
      <c r="F105" s="828"/>
      <c r="G105" s="828"/>
      <c r="H105" s="828"/>
    </row>
    <row r="106" spans="1:8" ht="15.6">
      <c r="A106" s="828" t="s">
        <v>7508</v>
      </c>
      <c r="B106" s="828"/>
      <c r="C106" s="828"/>
      <c r="D106" s="828"/>
      <c r="E106" s="828"/>
      <c r="F106" s="828"/>
      <c r="G106" s="828"/>
      <c r="H106" s="828"/>
    </row>
    <row r="107" spans="1:8" ht="15.6">
      <c r="A107" s="828"/>
      <c r="B107" s="828"/>
      <c r="C107" s="828"/>
      <c r="D107" s="828"/>
      <c r="E107" s="828"/>
      <c r="F107" s="828"/>
      <c r="G107" s="828"/>
      <c r="H107" s="828"/>
    </row>
    <row r="108" spans="1:8" ht="15.6">
      <c r="A108" s="180"/>
      <c r="B108" s="180"/>
      <c r="C108" s="180"/>
      <c r="D108" s="180"/>
      <c r="E108" s="180"/>
      <c r="F108" s="180"/>
      <c r="G108" s="251"/>
      <c r="H108" s="251"/>
    </row>
    <row r="109" spans="1:8">
      <c r="A109" s="178"/>
      <c r="B109" s="178"/>
      <c r="C109" s="178"/>
      <c r="D109" s="178"/>
      <c r="E109" s="178"/>
      <c r="F109" s="178"/>
      <c r="G109" s="252"/>
      <c r="H109" s="253"/>
    </row>
    <row r="111" spans="1:8">
      <c r="H111" s="313"/>
    </row>
  </sheetData>
  <sortState xmlns:xlrd2="http://schemas.microsoft.com/office/spreadsheetml/2017/richdata2" ref="A6:H100">
    <sortCondition descending="1" ref="G6:G100"/>
  </sortState>
  <mergeCells count="11">
    <mergeCell ref="A1:H1"/>
    <mergeCell ref="G2:H2"/>
    <mergeCell ref="G3:H3"/>
    <mergeCell ref="A4:H4"/>
    <mergeCell ref="A107:H107"/>
    <mergeCell ref="A102:F102"/>
    <mergeCell ref="C2:F3"/>
    <mergeCell ref="A101:H101"/>
    <mergeCell ref="A104:H104"/>
    <mergeCell ref="A105:H105"/>
    <mergeCell ref="A106:H106"/>
  </mergeCells>
  <printOptions horizontalCentered="1"/>
  <pageMargins left="0.51181102362204722" right="0.51181102362204722" top="0.78740157480314965" bottom="0.78740157480314965" header="0.31496062992125984" footer="0.31496062992125984"/>
  <pageSetup paperSize="9" scale="61" fitToHeight="0"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53"/>
  <sheetViews>
    <sheetView view="pageBreakPreview" zoomScaleSheetLayoutView="100" workbookViewId="0">
      <selection activeCell="E20" sqref="E20"/>
    </sheetView>
  </sheetViews>
  <sheetFormatPr defaultRowHeight="15" customHeight="1"/>
  <cols>
    <col min="1" max="1" width="5.6640625" style="19" customWidth="1"/>
    <col min="2" max="2" width="68" style="15" bestFit="1" customWidth="1"/>
    <col min="3" max="3" width="11.33203125" style="19" bestFit="1" customWidth="1"/>
  </cols>
  <sheetData>
    <row r="1" spans="1:7" s="59" customFormat="1" ht="15" customHeight="1">
      <c r="A1" s="78"/>
      <c r="B1" s="79"/>
      <c r="C1" s="80"/>
      <c r="D1" s="60"/>
      <c r="E1" s="60"/>
      <c r="F1" s="61"/>
      <c r="G1" s="61"/>
    </row>
    <row r="2" spans="1:7" s="59" customFormat="1" ht="38.25" customHeight="1">
      <c r="A2" s="838">
        <f>GLOBAL!A1</f>
        <v>0</v>
      </c>
      <c r="B2" s="839"/>
      <c r="C2" s="840"/>
      <c r="D2" s="61"/>
      <c r="E2" s="61"/>
      <c r="F2" s="61"/>
      <c r="G2" s="61"/>
    </row>
    <row r="3" spans="1:7" s="59" customFormat="1">
      <c r="A3" s="841">
        <f>GLOBAL!A2</f>
        <v>0</v>
      </c>
      <c r="B3" s="842"/>
      <c r="C3" s="843"/>
      <c r="D3" s="62"/>
      <c r="E3" s="62"/>
      <c r="F3" s="62"/>
      <c r="G3" s="62"/>
    </row>
    <row r="4" spans="1:7" s="59" customFormat="1" ht="12.75" customHeight="1">
      <c r="A4" s="846">
        <f>GLOBAL!C3</f>
        <v>0</v>
      </c>
      <c r="B4" s="847"/>
      <c r="C4" s="848"/>
      <c r="D4" s="63"/>
      <c r="E4" s="63"/>
      <c r="F4" s="63"/>
      <c r="G4" s="63"/>
    </row>
    <row r="5" spans="1:7" s="59" customFormat="1" ht="9.75" customHeight="1">
      <c r="A5" s="81"/>
      <c r="B5" s="82"/>
      <c r="C5" s="83"/>
      <c r="D5" s="64"/>
      <c r="E5" s="64"/>
      <c r="F5" s="64"/>
      <c r="G5" s="64"/>
    </row>
    <row r="6" spans="1:7" s="59" customFormat="1" ht="18.75" customHeight="1">
      <c r="A6" s="849" t="s">
        <v>118</v>
      </c>
      <c r="B6" s="850"/>
      <c r="C6" s="851"/>
      <c r="D6" s="65"/>
      <c r="E6" s="65"/>
      <c r="F6" s="65"/>
      <c r="G6" s="65"/>
    </row>
    <row r="7" spans="1:7" ht="15" customHeight="1">
      <c r="A7" s="84"/>
      <c r="B7" s="85"/>
      <c r="C7" s="86"/>
    </row>
    <row r="8" spans="1:7" ht="15" customHeight="1">
      <c r="A8" s="852" t="s">
        <v>119</v>
      </c>
      <c r="B8" s="853"/>
      <c r="C8" s="856" t="s">
        <v>1783</v>
      </c>
    </row>
    <row r="9" spans="1:7" ht="15" customHeight="1">
      <c r="A9" s="854"/>
      <c r="B9" s="855"/>
      <c r="C9" s="857"/>
    </row>
    <row r="10" spans="1:7" ht="15" customHeight="1">
      <c r="A10" s="16" t="s">
        <v>120</v>
      </c>
      <c r="B10" s="66" t="s">
        <v>121</v>
      </c>
      <c r="C10" s="67">
        <v>0</v>
      </c>
    </row>
    <row r="11" spans="1:7" ht="15" customHeight="1">
      <c r="A11" s="16" t="s">
        <v>122</v>
      </c>
      <c r="B11" s="66" t="s">
        <v>123</v>
      </c>
      <c r="C11" s="67">
        <v>8</v>
      </c>
    </row>
    <row r="12" spans="1:7" ht="15" customHeight="1">
      <c r="A12" s="16" t="s">
        <v>124</v>
      </c>
      <c r="B12" s="66" t="s">
        <v>125</v>
      </c>
      <c r="C12" s="67">
        <v>1.5</v>
      </c>
    </row>
    <row r="13" spans="1:7" ht="15" customHeight="1">
      <c r="A13" s="16" t="s">
        <v>126</v>
      </c>
      <c r="B13" s="66" t="s">
        <v>127</v>
      </c>
      <c r="C13" s="67">
        <v>1</v>
      </c>
    </row>
    <row r="14" spans="1:7" ht="15" customHeight="1">
      <c r="A14" s="16" t="s">
        <v>128</v>
      </c>
      <c r="B14" s="66" t="s">
        <v>129</v>
      </c>
      <c r="C14" s="67">
        <v>0.6</v>
      </c>
    </row>
    <row r="15" spans="1:7" ht="15" customHeight="1">
      <c r="A15" s="16" t="s">
        <v>130</v>
      </c>
      <c r="B15" s="66" t="s">
        <v>131</v>
      </c>
      <c r="C15" s="67">
        <v>0.2</v>
      </c>
    </row>
    <row r="16" spans="1:7" ht="15" customHeight="1">
      <c r="A16" s="16" t="s">
        <v>132</v>
      </c>
      <c r="B16" s="66" t="s">
        <v>133</v>
      </c>
      <c r="C16" s="67">
        <v>2.5</v>
      </c>
    </row>
    <row r="17" spans="1:3" ht="15" customHeight="1">
      <c r="A17" s="16" t="s">
        <v>134</v>
      </c>
      <c r="B17" s="66" t="s">
        <v>135</v>
      </c>
      <c r="C17" s="67">
        <v>3</v>
      </c>
    </row>
    <row r="18" spans="1:3" ht="15" customHeight="1">
      <c r="A18" s="16" t="s">
        <v>136</v>
      </c>
      <c r="B18" s="66" t="s">
        <v>137</v>
      </c>
      <c r="C18" s="67">
        <v>1</v>
      </c>
    </row>
    <row r="19" spans="1:3" ht="15" customHeight="1">
      <c r="A19" s="844" t="s">
        <v>138</v>
      </c>
      <c r="B19" s="845"/>
      <c r="C19" s="68">
        <f>SUM(C10:C18)/100</f>
        <v>0.17799999999999996</v>
      </c>
    </row>
    <row r="21" spans="1:3" ht="15" customHeight="1">
      <c r="A21" s="852" t="s">
        <v>139</v>
      </c>
      <c r="B21" s="853"/>
      <c r="C21" s="856" t="s">
        <v>1783</v>
      </c>
    </row>
    <row r="22" spans="1:3" ht="15" customHeight="1">
      <c r="A22" s="854"/>
      <c r="B22" s="855"/>
      <c r="C22" s="857"/>
    </row>
    <row r="23" spans="1:3" ht="15" customHeight="1">
      <c r="A23" s="16" t="s">
        <v>140</v>
      </c>
      <c r="B23" s="66" t="s">
        <v>141</v>
      </c>
      <c r="C23" s="67">
        <v>17.940000000000001</v>
      </c>
    </row>
    <row r="24" spans="1:3" ht="15" customHeight="1">
      <c r="A24" s="16" t="s">
        <v>142</v>
      </c>
      <c r="B24" s="66" t="s">
        <v>143</v>
      </c>
      <c r="C24" s="67">
        <v>4.32</v>
      </c>
    </row>
    <row r="25" spans="1:3" ht="15" customHeight="1">
      <c r="A25" s="16" t="s">
        <v>144</v>
      </c>
      <c r="B25" s="66" t="s">
        <v>145</v>
      </c>
      <c r="C25" s="67">
        <v>0.92</v>
      </c>
    </row>
    <row r="26" spans="1:3" ht="15" customHeight="1">
      <c r="A26" s="16" t="s">
        <v>146</v>
      </c>
      <c r="B26" s="66" t="s">
        <v>147</v>
      </c>
      <c r="C26" s="67">
        <v>7.0000000000000007E-2</v>
      </c>
    </row>
    <row r="27" spans="1:3" ht="15" customHeight="1">
      <c r="A27" s="16" t="s">
        <v>148</v>
      </c>
      <c r="B27" s="66" t="s">
        <v>149</v>
      </c>
      <c r="C27" s="67">
        <v>0.73</v>
      </c>
    </row>
    <row r="28" spans="1:3" ht="15" customHeight="1">
      <c r="A28" s="16" t="s">
        <v>150</v>
      </c>
      <c r="B28" s="66" t="s">
        <v>151</v>
      </c>
      <c r="C28" s="67">
        <v>10.98</v>
      </c>
    </row>
    <row r="29" spans="1:3" ht="15" customHeight="1">
      <c r="A29" s="16" t="s">
        <v>152</v>
      </c>
      <c r="B29" s="66" t="s">
        <v>153</v>
      </c>
      <c r="C29" s="87" t="s">
        <v>108</v>
      </c>
    </row>
    <row r="30" spans="1:3" ht="15" customHeight="1">
      <c r="A30" s="16" t="s">
        <v>154</v>
      </c>
      <c r="B30" s="66" t="s">
        <v>155</v>
      </c>
      <c r="C30" s="67">
        <v>1.47</v>
      </c>
    </row>
    <row r="31" spans="1:3" ht="15" customHeight="1">
      <c r="A31" s="16" t="s">
        <v>156</v>
      </c>
      <c r="B31" s="66" t="s">
        <v>157</v>
      </c>
      <c r="C31" s="67">
        <v>10.76</v>
      </c>
    </row>
    <row r="32" spans="1:3" ht="15" customHeight="1">
      <c r="A32" s="16" t="s">
        <v>158</v>
      </c>
      <c r="B32" s="66" t="s">
        <v>159</v>
      </c>
      <c r="C32" s="67">
        <v>0.03</v>
      </c>
    </row>
    <row r="33" spans="1:3" ht="15" customHeight="1">
      <c r="A33" s="16" t="s">
        <v>160</v>
      </c>
      <c r="B33" s="66" t="s">
        <v>161</v>
      </c>
      <c r="C33" s="67">
        <v>0.11</v>
      </c>
    </row>
    <row r="34" spans="1:3" ht="15" customHeight="1">
      <c r="A34" s="844" t="s">
        <v>162</v>
      </c>
      <c r="B34" s="845"/>
      <c r="C34" s="68">
        <f>SUM(C23:C33)/100</f>
        <v>0.47330000000000005</v>
      </c>
    </row>
    <row r="36" spans="1:3" ht="15" customHeight="1">
      <c r="A36" s="852" t="s">
        <v>163</v>
      </c>
      <c r="B36" s="853"/>
      <c r="C36" s="856" t="s">
        <v>1783</v>
      </c>
    </row>
    <row r="37" spans="1:3" ht="15" customHeight="1">
      <c r="A37" s="854"/>
      <c r="B37" s="855"/>
      <c r="C37" s="857"/>
    </row>
    <row r="38" spans="1:3" ht="15" customHeight="1">
      <c r="A38" s="16" t="s">
        <v>164</v>
      </c>
      <c r="B38" s="66" t="s">
        <v>165</v>
      </c>
      <c r="C38" s="67">
        <v>4.9800000000000004</v>
      </c>
    </row>
    <row r="39" spans="1:3" ht="15" customHeight="1">
      <c r="A39" s="16" t="s">
        <v>166</v>
      </c>
      <c r="B39" s="66" t="s">
        <v>167</v>
      </c>
      <c r="C39" s="67">
        <v>3.01</v>
      </c>
    </row>
    <row r="40" spans="1:3" ht="15" customHeight="1">
      <c r="A40" s="16" t="s">
        <v>168</v>
      </c>
      <c r="B40" s="66" t="s">
        <v>169</v>
      </c>
      <c r="C40" s="67">
        <v>6.71</v>
      </c>
    </row>
    <row r="41" spans="1:3" ht="15" customHeight="1">
      <c r="A41" s="16" t="s">
        <v>170</v>
      </c>
      <c r="B41" s="66" t="s">
        <v>171</v>
      </c>
      <c r="C41" s="87" t="s">
        <v>108</v>
      </c>
    </row>
    <row r="42" spans="1:3" ht="15" customHeight="1">
      <c r="A42" s="16" t="s">
        <v>172</v>
      </c>
      <c r="B42" s="66" t="s">
        <v>173</v>
      </c>
      <c r="C42" s="87" t="s">
        <v>108</v>
      </c>
    </row>
    <row r="43" spans="1:3" ht="15" customHeight="1">
      <c r="A43" s="16" t="s">
        <v>174</v>
      </c>
      <c r="B43" s="66" t="s">
        <v>175</v>
      </c>
      <c r="C43" s="67">
        <v>0.16</v>
      </c>
    </row>
    <row r="44" spans="1:3" ht="15" customHeight="1">
      <c r="A44" s="16" t="s">
        <v>176</v>
      </c>
      <c r="B44" s="66" t="s">
        <v>177</v>
      </c>
      <c r="C44" s="67">
        <v>0.56000000000000005</v>
      </c>
    </row>
    <row r="45" spans="1:3" ht="15" customHeight="1">
      <c r="A45" s="844" t="s">
        <v>178</v>
      </c>
      <c r="B45" s="845"/>
      <c r="C45" s="68">
        <f>SUM(C38:C44)/100</f>
        <v>0.1542</v>
      </c>
    </row>
    <row r="47" spans="1:3" ht="15" customHeight="1">
      <c r="A47" s="852" t="s">
        <v>179</v>
      </c>
      <c r="B47" s="853"/>
      <c r="C47" s="856" t="s">
        <v>1783</v>
      </c>
    </row>
    <row r="48" spans="1:3" ht="15" customHeight="1">
      <c r="A48" s="854"/>
      <c r="B48" s="855"/>
      <c r="C48" s="857"/>
    </row>
    <row r="49" spans="1:5" ht="15" customHeight="1">
      <c r="A49" s="16" t="s">
        <v>180</v>
      </c>
      <c r="B49" s="66" t="s">
        <v>181</v>
      </c>
      <c r="C49" s="69">
        <f>C19*C34</f>
        <v>8.4247399999999986E-2</v>
      </c>
    </row>
    <row r="50" spans="1:5" ht="30" customHeight="1">
      <c r="A50" s="16" t="s">
        <v>182</v>
      </c>
      <c r="B50" s="17" t="s">
        <v>183</v>
      </c>
      <c r="C50" s="69">
        <v>5.7000000000000002E-3</v>
      </c>
    </row>
    <row r="51" spans="1:5" ht="15" customHeight="1">
      <c r="A51" s="844" t="s">
        <v>184</v>
      </c>
      <c r="B51" s="845"/>
      <c r="C51" s="68">
        <f>SUM(C49:C50)</f>
        <v>8.9947399999999983E-2</v>
      </c>
      <c r="E51" s="70">
        <f>C19+C34+C45+C51</f>
        <v>0.8954474</v>
      </c>
    </row>
    <row r="53" spans="1:5" ht="15" customHeight="1">
      <c r="A53" s="844" t="s">
        <v>1784</v>
      </c>
      <c r="B53" s="845"/>
      <c r="C53" s="68">
        <f>SUM(+C51+C45+C34+C19)</f>
        <v>0.8954474</v>
      </c>
    </row>
  </sheetData>
  <mergeCells count="17">
    <mergeCell ref="A53:B53"/>
    <mergeCell ref="A47:B48"/>
    <mergeCell ref="C47:C48"/>
    <mergeCell ref="A51:B51"/>
    <mergeCell ref="A2:C2"/>
    <mergeCell ref="A3:C3"/>
    <mergeCell ref="A45:B45"/>
    <mergeCell ref="A4:C4"/>
    <mergeCell ref="A6:C6"/>
    <mergeCell ref="A8:B9"/>
    <mergeCell ref="C8:C9"/>
    <mergeCell ref="A19:B19"/>
    <mergeCell ref="A21:B22"/>
    <mergeCell ref="C21:C22"/>
    <mergeCell ref="A34:B34"/>
    <mergeCell ref="A36:B37"/>
    <mergeCell ref="C36:C37"/>
  </mergeCells>
  <printOptions horizontalCentered="1"/>
  <pageMargins left="0.51181102362204722" right="0.51181102362204722" top="0.39370078740157483" bottom="0.39370078740157483" header="0.31496062992125984" footer="0.31496062992125984"/>
  <pageSetup paperSize="9" scale="85" orientation="portrait" r:id="rId1"/>
  <headerFooter>
    <oddFooter>&amp;RLUIZA BRUNELLI COURAARQUITETA E URBANISTACAU n° A90530-5</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1509"/>
  <sheetViews>
    <sheetView view="pageBreakPreview" zoomScale="115" zoomScaleSheetLayoutView="115" workbookViewId="0">
      <selection activeCell="A1498" sqref="A1498"/>
    </sheetView>
  </sheetViews>
  <sheetFormatPr defaultColWidth="9.109375" defaultRowHeight="13.2"/>
  <cols>
    <col min="1" max="1" width="10.33203125" style="312" bestFit="1" customWidth="1"/>
    <col min="2" max="2" width="59.33203125" style="300" customWidth="1"/>
    <col min="3" max="3" width="7" style="300" customWidth="1"/>
    <col min="4" max="4" width="15.5546875" style="300" customWidth="1"/>
    <col min="5" max="5" width="12.44140625" style="300" customWidth="1"/>
    <col min="6" max="6" width="2.44140625" style="300" customWidth="1"/>
    <col min="7" max="16384" width="9.109375" style="300"/>
  </cols>
  <sheetData>
    <row r="1" spans="1:6" ht="19.5" customHeight="1">
      <c r="A1" s="859" t="s">
        <v>8012</v>
      </c>
      <c r="B1" s="859"/>
      <c r="C1" s="859"/>
      <c r="D1" s="859"/>
      <c r="E1" s="859"/>
      <c r="F1" s="859"/>
    </row>
    <row r="2" spans="1:6" ht="9" customHeight="1">
      <c r="A2" s="858" t="s">
        <v>8013</v>
      </c>
      <c r="B2" s="858"/>
      <c r="C2" s="858"/>
      <c r="D2" s="858"/>
      <c r="E2" s="858"/>
      <c r="F2" s="858"/>
    </row>
    <row r="3" spans="1:6" ht="9" customHeight="1">
      <c r="A3" s="301" t="s">
        <v>8014</v>
      </c>
      <c r="B3" s="302" t="s">
        <v>8015</v>
      </c>
      <c r="C3" s="301" t="s">
        <v>8016</v>
      </c>
      <c r="D3" s="303" t="s">
        <v>8017</v>
      </c>
      <c r="E3" s="302" t="s">
        <v>8018</v>
      </c>
    </row>
    <row r="4" spans="1:6" ht="9" customHeight="1">
      <c r="A4" s="304">
        <v>43339</v>
      </c>
      <c r="B4" s="305" t="s">
        <v>8019</v>
      </c>
      <c r="C4" s="306" t="s">
        <v>8020</v>
      </c>
      <c r="D4" s="307">
        <v>0.64</v>
      </c>
      <c r="E4" s="308"/>
    </row>
    <row r="5" spans="1:6" ht="9" customHeight="1">
      <c r="A5" s="304">
        <v>41099</v>
      </c>
      <c r="B5" s="305" t="s">
        <v>8021</v>
      </c>
      <c r="C5" s="306" t="s">
        <v>8022</v>
      </c>
      <c r="D5" s="307">
        <v>6.45</v>
      </c>
      <c r="E5" s="308"/>
    </row>
    <row r="6" spans="1:6" ht="9" customHeight="1">
      <c r="A6" s="304">
        <v>40224</v>
      </c>
      <c r="B6" s="305" t="s">
        <v>8023</v>
      </c>
      <c r="C6" s="306" t="s">
        <v>8022</v>
      </c>
      <c r="D6" s="307">
        <v>3.34</v>
      </c>
      <c r="E6" s="308"/>
    </row>
    <row r="7" spans="1:6" ht="9" customHeight="1">
      <c r="A7" s="304">
        <v>40225</v>
      </c>
      <c r="B7" s="305" t="s">
        <v>8024</v>
      </c>
      <c r="C7" s="306" t="s">
        <v>8022</v>
      </c>
      <c r="D7" s="307">
        <v>4.3099999999999996</v>
      </c>
      <c r="E7" s="308"/>
    </row>
    <row r="8" spans="1:6" ht="9" customHeight="1">
      <c r="A8" s="304">
        <v>40226</v>
      </c>
      <c r="B8" s="305" t="s">
        <v>8025</v>
      </c>
      <c r="C8" s="306" t="s">
        <v>8022</v>
      </c>
      <c r="D8" s="307">
        <v>6.45</v>
      </c>
      <c r="E8" s="308"/>
    </row>
    <row r="9" spans="1:6" ht="9" customHeight="1">
      <c r="A9" s="304">
        <v>40229</v>
      </c>
      <c r="B9" s="305" t="s">
        <v>8026</v>
      </c>
      <c r="C9" s="306" t="s">
        <v>8022</v>
      </c>
      <c r="D9" s="307">
        <v>6.11</v>
      </c>
      <c r="E9" s="308"/>
    </row>
    <row r="10" spans="1:6" ht="9" customHeight="1">
      <c r="A10" s="304">
        <v>43340</v>
      </c>
      <c r="B10" s="305" t="s">
        <v>8027</v>
      </c>
      <c r="C10" s="306" t="s">
        <v>8022</v>
      </c>
      <c r="D10" s="307">
        <v>6.04</v>
      </c>
      <c r="E10" s="308"/>
    </row>
    <row r="11" spans="1:6" ht="9" customHeight="1">
      <c r="A11" s="304">
        <v>40228</v>
      </c>
      <c r="B11" s="305" t="s">
        <v>8028</v>
      </c>
      <c r="C11" s="306" t="s">
        <v>8022</v>
      </c>
      <c r="D11" s="307">
        <v>4.6900000000000004</v>
      </c>
      <c r="E11" s="308"/>
    </row>
    <row r="12" spans="1:6" ht="9" customHeight="1">
      <c r="A12" s="304">
        <v>42227</v>
      </c>
      <c r="B12" s="305" t="s">
        <v>8029</v>
      </c>
      <c r="C12" s="306" t="s">
        <v>8022</v>
      </c>
      <c r="D12" s="307">
        <v>4.42</v>
      </c>
      <c r="E12" s="308"/>
    </row>
    <row r="13" spans="1:6" ht="9" customHeight="1">
      <c r="A13" s="304">
        <v>40994</v>
      </c>
      <c r="B13" s="305" t="s">
        <v>8030</v>
      </c>
      <c r="C13" s="306" t="s">
        <v>8022</v>
      </c>
      <c r="D13" s="307">
        <v>5.36</v>
      </c>
      <c r="E13" s="308"/>
    </row>
    <row r="14" spans="1:6" ht="9" customHeight="1">
      <c r="A14" s="304">
        <v>42940</v>
      </c>
      <c r="B14" s="305" t="s">
        <v>8031</v>
      </c>
      <c r="C14" s="306" t="s">
        <v>8022</v>
      </c>
      <c r="D14" s="307">
        <v>221.08</v>
      </c>
      <c r="E14" s="308"/>
    </row>
    <row r="15" spans="1:6" ht="18.149999999999999" customHeight="1">
      <c r="A15" s="304">
        <v>41047</v>
      </c>
      <c r="B15" s="309" t="s">
        <v>8032</v>
      </c>
      <c r="C15" s="306" t="s">
        <v>8022</v>
      </c>
      <c r="D15" s="307">
        <v>504</v>
      </c>
      <c r="E15" s="310"/>
    </row>
    <row r="16" spans="1:6" ht="18.149999999999999" customHeight="1">
      <c r="A16" s="304">
        <v>41048</v>
      </c>
      <c r="B16" s="309" t="s">
        <v>8033</v>
      </c>
      <c r="C16" s="306" t="s">
        <v>8022</v>
      </c>
      <c r="D16" s="307">
        <v>460.05</v>
      </c>
      <c r="E16" s="310"/>
    </row>
    <row r="17" spans="1:5" ht="9" customHeight="1">
      <c r="A17" s="304">
        <v>40217</v>
      </c>
      <c r="B17" s="305" t="s">
        <v>8034</v>
      </c>
      <c r="C17" s="306" t="s">
        <v>8022</v>
      </c>
      <c r="D17" s="307">
        <v>38.81</v>
      </c>
      <c r="E17" s="308"/>
    </row>
    <row r="18" spans="1:5" ht="9" customHeight="1">
      <c r="A18" s="304">
        <v>40172</v>
      </c>
      <c r="B18" s="305" t="s">
        <v>8035</v>
      </c>
      <c r="C18" s="306" t="s">
        <v>8036</v>
      </c>
      <c r="D18" s="307">
        <v>24.82</v>
      </c>
      <c r="E18" s="308"/>
    </row>
    <row r="19" spans="1:5" ht="9" customHeight="1">
      <c r="A19" s="304">
        <v>40171</v>
      </c>
      <c r="B19" s="305" t="s">
        <v>8037</v>
      </c>
      <c r="C19" s="306" t="s">
        <v>8036</v>
      </c>
      <c r="D19" s="307">
        <v>12.4</v>
      </c>
      <c r="E19" s="308"/>
    </row>
    <row r="20" spans="1:5" ht="9" customHeight="1">
      <c r="A20" s="304">
        <v>42225</v>
      </c>
      <c r="B20" s="305" t="s">
        <v>8038</v>
      </c>
      <c r="C20" s="306" t="s">
        <v>8022</v>
      </c>
      <c r="D20" s="307">
        <v>7.4</v>
      </c>
      <c r="E20" s="308"/>
    </row>
    <row r="21" spans="1:5" ht="9" customHeight="1">
      <c r="A21" s="304">
        <v>40178</v>
      </c>
      <c r="B21" s="305" t="s">
        <v>8039</v>
      </c>
      <c r="C21" s="306" t="s">
        <v>8022</v>
      </c>
      <c r="D21" s="307">
        <v>7.24</v>
      </c>
      <c r="E21" s="308"/>
    </row>
    <row r="22" spans="1:5" ht="18.149999999999999" customHeight="1">
      <c r="A22" s="304">
        <v>40179</v>
      </c>
      <c r="B22" s="309" t="s">
        <v>8040</v>
      </c>
      <c r="C22" s="306" t="s">
        <v>8022</v>
      </c>
      <c r="D22" s="307">
        <v>12.19</v>
      </c>
      <c r="E22" s="310"/>
    </row>
    <row r="23" spans="1:5" ht="18.149999999999999" customHeight="1">
      <c r="A23" s="304">
        <v>40184</v>
      </c>
      <c r="B23" s="309" t="s">
        <v>8041</v>
      </c>
      <c r="C23" s="306" t="s">
        <v>8022</v>
      </c>
      <c r="D23" s="307">
        <v>21.27</v>
      </c>
      <c r="E23" s="310"/>
    </row>
    <row r="24" spans="1:5" ht="18.149999999999999" customHeight="1">
      <c r="A24" s="304">
        <v>40180</v>
      </c>
      <c r="B24" s="309" t="s">
        <v>8042</v>
      </c>
      <c r="C24" s="306" t="s">
        <v>8022</v>
      </c>
      <c r="D24" s="307">
        <v>14.03</v>
      </c>
      <c r="E24" s="310"/>
    </row>
    <row r="25" spans="1:5" ht="18.149999999999999" customHeight="1">
      <c r="A25" s="304">
        <v>40181</v>
      </c>
      <c r="B25" s="309" t="s">
        <v>8043</v>
      </c>
      <c r="C25" s="306" t="s">
        <v>8022</v>
      </c>
      <c r="D25" s="307">
        <v>15.77</v>
      </c>
      <c r="E25" s="310"/>
    </row>
    <row r="26" spans="1:5" ht="18.149999999999999" customHeight="1">
      <c r="A26" s="304">
        <v>40182</v>
      </c>
      <c r="B26" s="309" t="s">
        <v>8044</v>
      </c>
      <c r="C26" s="306" t="s">
        <v>8022</v>
      </c>
      <c r="D26" s="307">
        <v>18.09</v>
      </c>
      <c r="E26" s="310"/>
    </row>
    <row r="27" spans="1:5" ht="18.149999999999999" customHeight="1">
      <c r="A27" s="304">
        <v>40183</v>
      </c>
      <c r="B27" s="309" t="s">
        <v>8045</v>
      </c>
      <c r="C27" s="306" t="s">
        <v>8022</v>
      </c>
      <c r="D27" s="307">
        <v>19.12</v>
      </c>
      <c r="E27" s="310"/>
    </row>
    <row r="28" spans="1:5" ht="18.149999999999999" customHeight="1">
      <c r="A28" s="304">
        <v>40191</v>
      </c>
      <c r="B28" s="309" t="s">
        <v>8046</v>
      </c>
      <c r="C28" s="306" t="s">
        <v>8022</v>
      </c>
      <c r="D28" s="307">
        <v>18.53</v>
      </c>
      <c r="E28" s="310"/>
    </row>
    <row r="29" spans="1:5" ht="18.149999999999999" customHeight="1">
      <c r="A29" s="304">
        <v>40196</v>
      </c>
      <c r="B29" s="309" t="s">
        <v>8047</v>
      </c>
      <c r="C29" s="306" t="s">
        <v>8022</v>
      </c>
      <c r="D29" s="307">
        <v>29.28</v>
      </c>
      <c r="E29" s="310"/>
    </row>
    <row r="30" spans="1:5" ht="18.149999999999999" customHeight="1">
      <c r="A30" s="304">
        <v>40192</v>
      </c>
      <c r="B30" s="309" t="s">
        <v>8048</v>
      </c>
      <c r="C30" s="306" t="s">
        <v>8022</v>
      </c>
      <c r="D30" s="307">
        <v>20.05</v>
      </c>
      <c r="E30" s="310"/>
    </row>
    <row r="31" spans="1:5" ht="18.149999999999999" customHeight="1">
      <c r="A31" s="304">
        <v>40193</v>
      </c>
      <c r="B31" s="309" t="s">
        <v>8049</v>
      </c>
      <c r="C31" s="306" t="s">
        <v>8022</v>
      </c>
      <c r="D31" s="307">
        <v>21.95</v>
      </c>
      <c r="E31" s="310"/>
    </row>
    <row r="32" spans="1:5" ht="18.149999999999999" customHeight="1">
      <c r="A32" s="304">
        <v>40194</v>
      </c>
      <c r="B32" s="309" t="s">
        <v>8050</v>
      </c>
      <c r="C32" s="306" t="s">
        <v>8022</v>
      </c>
      <c r="D32" s="307">
        <v>25.09</v>
      </c>
      <c r="E32" s="310"/>
    </row>
    <row r="33" spans="1:5" ht="18.149999999999999" customHeight="1">
      <c r="A33" s="304">
        <v>40195</v>
      </c>
      <c r="B33" s="309" t="s">
        <v>8051</v>
      </c>
      <c r="C33" s="306" t="s">
        <v>8022</v>
      </c>
      <c r="D33" s="307">
        <v>26.83</v>
      </c>
      <c r="E33" s="310"/>
    </row>
    <row r="34" spans="1:5" ht="9" customHeight="1">
      <c r="A34" s="304">
        <v>40220</v>
      </c>
      <c r="B34" s="305" t="s">
        <v>8052</v>
      </c>
      <c r="C34" s="306" t="s">
        <v>8022</v>
      </c>
      <c r="D34" s="307">
        <v>9.0299999999999994</v>
      </c>
      <c r="E34" s="308"/>
    </row>
    <row r="35" spans="1:5" ht="9" customHeight="1">
      <c r="A35" s="304">
        <v>40230</v>
      </c>
      <c r="B35" s="305" t="s">
        <v>8053</v>
      </c>
      <c r="C35" s="306" t="s">
        <v>8022</v>
      </c>
      <c r="D35" s="307">
        <v>3.09</v>
      </c>
      <c r="E35" s="308"/>
    </row>
    <row r="36" spans="1:5" ht="9" customHeight="1">
      <c r="A36" s="304">
        <v>40221</v>
      </c>
      <c r="B36" s="305" t="s">
        <v>8054</v>
      </c>
      <c r="C36" s="306" t="s">
        <v>8022</v>
      </c>
      <c r="D36" s="307">
        <v>8.06</v>
      </c>
      <c r="E36" s="308"/>
    </row>
    <row r="37" spans="1:5" ht="9" customHeight="1">
      <c r="A37" s="304">
        <v>40231</v>
      </c>
      <c r="B37" s="305" t="s">
        <v>8055</v>
      </c>
      <c r="C37" s="306" t="s">
        <v>8022</v>
      </c>
      <c r="D37" s="307">
        <v>4.57</v>
      </c>
      <c r="E37" s="308"/>
    </row>
    <row r="38" spans="1:5" ht="9" customHeight="1">
      <c r="A38" s="304">
        <v>40222</v>
      </c>
      <c r="B38" s="305" t="s">
        <v>8056</v>
      </c>
      <c r="C38" s="306" t="s">
        <v>8022</v>
      </c>
      <c r="D38" s="307">
        <v>11.67</v>
      </c>
      <c r="E38" s="308"/>
    </row>
    <row r="39" spans="1:5" ht="9" customHeight="1">
      <c r="A39" s="304">
        <v>40216</v>
      </c>
      <c r="B39" s="305" t="s">
        <v>8057</v>
      </c>
      <c r="C39" s="306" t="s">
        <v>8022</v>
      </c>
      <c r="D39" s="307">
        <v>108.42</v>
      </c>
      <c r="E39" s="308"/>
    </row>
    <row r="40" spans="1:5" ht="9" customHeight="1">
      <c r="A40" s="304">
        <v>40223</v>
      </c>
      <c r="B40" s="305" t="s">
        <v>8058</v>
      </c>
      <c r="C40" s="306" t="s">
        <v>8022</v>
      </c>
      <c r="D40" s="307">
        <v>46.56</v>
      </c>
      <c r="E40" s="308"/>
    </row>
    <row r="41" spans="1:5" ht="9" customHeight="1">
      <c r="A41" s="304">
        <v>43335</v>
      </c>
      <c r="B41" s="305" t="s">
        <v>8059</v>
      </c>
      <c r="C41" s="306" t="s">
        <v>8022</v>
      </c>
      <c r="D41" s="307">
        <v>2.46</v>
      </c>
      <c r="E41" s="308"/>
    </row>
    <row r="42" spans="1:5" ht="9" customHeight="1">
      <c r="A42" s="304">
        <v>42547</v>
      </c>
      <c r="B42" s="305" t="s">
        <v>8060</v>
      </c>
      <c r="C42" s="306" t="s">
        <v>8022</v>
      </c>
      <c r="D42" s="307">
        <v>1.64</v>
      </c>
      <c r="E42" s="308"/>
    </row>
    <row r="43" spans="1:5" ht="9" customHeight="1">
      <c r="A43" s="304">
        <v>40177</v>
      </c>
      <c r="B43" s="305" t="s">
        <v>8061</v>
      </c>
      <c r="C43" s="306" t="s">
        <v>8022</v>
      </c>
      <c r="D43" s="307">
        <v>4.2</v>
      </c>
      <c r="E43" s="308"/>
    </row>
    <row r="44" spans="1:5" ht="18.149999999999999" customHeight="1">
      <c r="A44" s="304">
        <v>41056</v>
      </c>
      <c r="B44" s="309" t="s">
        <v>8062</v>
      </c>
      <c r="C44" s="306" t="s">
        <v>8022</v>
      </c>
      <c r="D44" s="307">
        <v>66.12</v>
      </c>
      <c r="E44" s="310"/>
    </row>
    <row r="45" spans="1:5" ht="9" customHeight="1">
      <c r="A45" s="304">
        <v>40218</v>
      </c>
      <c r="B45" s="305" t="s">
        <v>8063</v>
      </c>
      <c r="C45" s="306" t="s">
        <v>8022</v>
      </c>
      <c r="D45" s="307">
        <v>56.46</v>
      </c>
      <c r="E45" s="308"/>
    </row>
    <row r="46" spans="1:5" ht="9" customHeight="1">
      <c r="A46" s="304">
        <v>40170</v>
      </c>
      <c r="B46" s="305" t="s">
        <v>8064</v>
      </c>
      <c r="C46" s="306" t="s">
        <v>8020</v>
      </c>
      <c r="D46" s="307">
        <v>0.73</v>
      </c>
      <c r="E46" s="308"/>
    </row>
    <row r="47" spans="1:5" ht="18.149999999999999" customHeight="1">
      <c r="A47" s="304">
        <v>40167</v>
      </c>
      <c r="B47" s="309" t="s">
        <v>8065</v>
      </c>
      <c r="C47" s="306" t="s">
        <v>8020</v>
      </c>
      <c r="D47" s="307">
        <v>0.47</v>
      </c>
      <c r="E47" s="310"/>
    </row>
    <row r="48" spans="1:5" ht="9" customHeight="1">
      <c r="A48" s="304">
        <v>40168</v>
      </c>
      <c r="B48" s="305" t="s">
        <v>8066</v>
      </c>
      <c r="C48" s="306" t="s">
        <v>8020</v>
      </c>
      <c r="D48" s="307">
        <v>2.2999999999999998</v>
      </c>
      <c r="E48" s="308"/>
    </row>
    <row r="49" spans="1:6" ht="18.149999999999999" customHeight="1">
      <c r="A49" s="304">
        <v>40169</v>
      </c>
      <c r="B49" s="309" t="s">
        <v>8067</v>
      </c>
      <c r="C49" s="306" t="s">
        <v>8020</v>
      </c>
      <c r="D49" s="307">
        <v>8.0500000000000007</v>
      </c>
      <c r="E49" s="310"/>
    </row>
    <row r="50" spans="1:6" ht="9" customHeight="1">
      <c r="A50" s="304">
        <v>40219</v>
      </c>
      <c r="B50" s="305" t="s">
        <v>8068</v>
      </c>
      <c r="C50" s="306" t="s">
        <v>8020</v>
      </c>
      <c r="D50" s="307">
        <v>37.54</v>
      </c>
      <c r="E50" s="308"/>
    </row>
    <row r="51" spans="1:6" ht="9" customHeight="1">
      <c r="A51" s="304">
        <v>41095</v>
      </c>
      <c r="B51" s="305" t="s">
        <v>8069</v>
      </c>
      <c r="C51" s="306" t="s">
        <v>8022</v>
      </c>
      <c r="D51" s="307">
        <v>23.83</v>
      </c>
      <c r="E51" s="308"/>
    </row>
    <row r="52" spans="1:6" ht="18.149999999999999" customHeight="1">
      <c r="A52" s="304">
        <v>43352</v>
      </c>
      <c r="B52" s="309" t="s">
        <v>8070</v>
      </c>
      <c r="C52" s="306" t="s">
        <v>8020</v>
      </c>
      <c r="D52" s="307">
        <v>0.54</v>
      </c>
      <c r="E52" s="310"/>
    </row>
    <row r="53" spans="1:6" ht="9" customHeight="1">
      <c r="A53" s="858" t="s">
        <v>8013</v>
      </c>
      <c r="B53" s="858"/>
      <c r="C53" s="858"/>
      <c r="D53" s="858"/>
      <c r="E53" s="858"/>
      <c r="F53" s="858"/>
    </row>
    <row r="54" spans="1:6" ht="9" customHeight="1">
      <c r="A54" s="301" t="s">
        <v>8014</v>
      </c>
      <c r="B54" s="302" t="s">
        <v>8015</v>
      </c>
      <c r="C54" s="301" t="s">
        <v>8016</v>
      </c>
      <c r="D54" s="303" t="s">
        <v>8017</v>
      </c>
      <c r="E54" s="302" t="s">
        <v>8018</v>
      </c>
    </row>
    <row r="55" spans="1:6" ht="9" customHeight="1">
      <c r="A55" s="304">
        <v>43338</v>
      </c>
      <c r="B55" s="305" t="s">
        <v>8071</v>
      </c>
      <c r="C55" s="306" t="s">
        <v>8020</v>
      </c>
      <c r="D55" s="307">
        <v>0.45</v>
      </c>
      <c r="E55" s="308"/>
    </row>
    <row r="56" spans="1:6" ht="9" customHeight="1">
      <c r="A56" s="304">
        <v>40166</v>
      </c>
      <c r="B56" s="305" t="s">
        <v>8072</v>
      </c>
      <c r="C56" s="306" t="s">
        <v>8020</v>
      </c>
      <c r="D56" s="307">
        <v>0.16</v>
      </c>
      <c r="E56" s="308"/>
    </row>
    <row r="57" spans="1:6" ht="9" customHeight="1">
      <c r="A57" s="304">
        <v>41326</v>
      </c>
      <c r="B57" s="305" t="s">
        <v>8073</v>
      </c>
      <c r="C57" s="306" t="s">
        <v>8022</v>
      </c>
      <c r="D57" s="307">
        <v>4.83</v>
      </c>
      <c r="E57" s="308"/>
    </row>
    <row r="58" spans="1:6" ht="9" customHeight="1">
      <c r="A58" s="858" t="s">
        <v>8074</v>
      </c>
      <c r="B58" s="858"/>
      <c r="C58" s="858"/>
      <c r="D58" s="858"/>
      <c r="E58" s="858"/>
      <c r="F58" s="858"/>
    </row>
    <row r="59" spans="1:6" ht="9" customHeight="1">
      <c r="A59" s="301" t="s">
        <v>8014</v>
      </c>
      <c r="B59" s="302" t="s">
        <v>8015</v>
      </c>
      <c r="C59" s="301" t="s">
        <v>8016</v>
      </c>
      <c r="D59" s="303" t="s">
        <v>8017</v>
      </c>
      <c r="E59" s="302" t="s">
        <v>8018</v>
      </c>
    </row>
    <row r="60" spans="1:6" ht="18.149999999999999" customHeight="1">
      <c r="A60" s="304">
        <v>40801</v>
      </c>
      <c r="B60" s="309" t="s">
        <v>8075</v>
      </c>
      <c r="C60" s="306" t="s">
        <v>8022</v>
      </c>
      <c r="D60" s="307">
        <v>77.41</v>
      </c>
      <c r="E60" s="305" t="s">
        <v>8076</v>
      </c>
    </row>
    <row r="61" spans="1:6" ht="18.149999999999999" customHeight="1">
      <c r="A61" s="304">
        <v>40799</v>
      </c>
      <c r="B61" s="309" t="s">
        <v>8077</v>
      </c>
      <c r="C61" s="306" t="s">
        <v>8022</v>
      </c>
      <c r="D61" s="307">
        <v>61.69</v>
      </c>
      <c r="E61" s="305" t="s">
        <v>8076</v>
      </c>
    </row>
    <row r="62" spans="1:6" ht="18.149999999999999" customHeight="1">
      <c r="A62" s="304">
        <v>40793</v>
      </c>
      <c r="B62" s="309" t="s">
        <v>8078</v>
      </c>
      <c r="C62" s="306" t="s">
        <v>8022</v>
      </c>
      <c r="D62" s="307">
        <v>80.55</v>
      </c>
      <c r="E62" s="305" t="s">
        <v>8076</v>
      </c>
    </row>
    <row r="63" spans="1:6" ht="18.149999999999999" customHeight="1">
      <c r="A63" s="304">
        <v>40797</v>
      </c>
      <c r="B63" s="309" t="s">
        <v>8079</v>
      </c>
      <c r="C63" s="306" t="s">
        <v>8022</v>
      </c>
      <c r="D63" s="307">
        <v>35.99</v>
      </c>
      <c r="E63" s="305" t="s">
        <v>8076</v>
      </c>
    </row>
    <row r="64" spans="1:6" ht="9" customHeight="1">
      <c r="A64" s="304">
        <v>41157</v>
      </c>
      <c r="B64" s="305" t="s">
        <v>8080</v>
      </c>
      <c r="C64" s="306" t="s">
        <v>8022</v>
      </c>
      <c r="D64" s="307">
        <v>47.69</v>
      </c>
      <c r="E64" s="308"/>
    </row>
    <row r="65" spans="1:5" ht="9" customHeight="1">
      <c r="A65" s="304">
        <v>40795</v>
      </c>
      <c r="B65" s="305" t="s">
        <v>8081</v>
      </c>
      <c r="C65" s="306" t="s">
        <v>8022</v>
      </c>
      <c r="D65" s="307">
        <v>44.74</v>
      </c>
      <c r="E65" s="305" t="s">
        <v>8076</v>
      </c>
    </row>
    <row r="66" spans="1:5" ht="9" customHeight="1">
      <c r="A66" s="304">
        <v>40787</v>
      </c>
      <c r="B66" s="305" t="s">
        <v>8082</v>
      </c>
      <c r="C66" s="306" t="s">
        <v>8022</v>
      </c>
      <c r="D66" s="307">
        <v>96.98</v>
      </c>
      <c r="E66" s="305" t="s">
        <v>8076</v>
      </c>
    </row>
    <row r="67" spans="1:5" ht="9" customHeight="1">
      <c r="A67" s="304">
        <v>40812</v>
      </c>
      <c r="B67" s="305" t="s">
        <v>8083</v>
      </c>
      <c r="C67" s="306" t="s">
        <v>8022</v>
      </c>
      <c r="D67" s="307">
        <v>96.98</v>
      </c>
      <c r="E67" s="308"/>
    </row>
    <row r="68" spans="1:5" ht="9" customHeight="1">
      <c r="A68" s="304">
        <v>42673</v>
      </c>
      <c r="B68" s="305" t="s">
        <v>8084</v>
      </c>
      <c r="C68" s="306" t="s">
        <v>8022</v>
      </c>
      <c r="D68" s="307">
        <v>115.77</v>
      </c>
      <c r="E68" s="308"/>
    </row>
    <row r="69" spans="1:5" ht="9" customHeight="1">
      <c r="A69" s="304">
        <v>40803</v>
      </c>
      <c r="B69" s="305" t="s">
        <v>8085</v>
      </c>
      <c r="C69" s="306" t="s">
        <v>8022</v>
      </c>
      <c r="D69" s="307">
        <v>61.95</v>
      </c>
      <c r="E69" s="305" t="s">
        <v>8076</v>
      </c>
    </row>
    <row r="70" spans="1:5" ht="18.149999999999999" customHeight="1">
      <c r="A70" s="304">
        <v>41406</v>
      </c>
      <c r="B70" s="309" t="s">
        <v>8086</v>
      </c>
      <c r="C70" s="306" t="s">
        <v>8022</v>
      </c>
      <c r="D70" s="307">
        <v>55.06</v>
      </c>
      <c r="E70" s="305" t="s">
        <v>8076</v>
      </c>
    </row>
    <row r="71" spans="1:5" ht="18.149999999999999" customHeight="1">
      <c r="A71" s="304">
        <v>41100</v>
      </c>
      <c r="B71" s="309" t="s">
        <v>8087</v>
      </c>
      <c r="C71" s="306" t="s">
        <v>8022</v>
      </c>
      <c r="D71" s="307">
        <v>53.16</v>
      </c>
      <c r="E71" s="310"/>
    </row>
    <row r="72" spans="1:5" ht="18.149999999999999" customHeight="1">
      <c r="A72" s="304">
        <v>40979</v>
      </c>
      <c r="B72" s="309" t="s">
        <v>8088</v>
      </c>
      <c r="C72" s="306" t="s">
        <v>8022</v>
      </c>
      <c r="D72" s="307">
        <v>44.7</v>
      </c>
      <c r="E72" s="310"/>
    </row>
    <row r="73" spans="1:5" ht="9" customHeight="1">
      <c r="A73" s="304">
        <v>40815</v>
      </c>
      <c r="B73" s="305" t="s">
        <v>8089</v>
      </c>
      <c r="C73" s="306" t="s">
        <v>8022</v>
      </c>
      <c r="D73" s="307">
        <v>55.49</v>
      </c>
      <c r="E73" s="308"/>
    </row>
    <row r="74" spans="1:5" ht="9" customHeight="1">
      <c r="A74" s="304">
        <v>40809</v>
      </c>
      <c r="B74" s="305" t="s">
        <v>8090</v>
      </c>
      <c r="C74" s="306" t="s">
        <v>8022</v>
      </c>
      <c r="D74" s="307">
        <v>63.86</v>
      </c>
      <c r="E74" s="308"/>
    </row>
    <row r="75" spans="1:5" ht="9" customHeight="1">
      <c r="A75" s="304">
        <v>40810</v>
      </c>
      <c r="B75" s="305" t="s">
        <v>8091</v>
      </c>
      <c r="C75" s="306" t="s">
        <v>8022</v>
      </c>
      <c r="D75" s="307">
        <v>80.69</v>
      </c>
      <c r="E75" s="308"/>
    </row>
    <row r="76" spans="1:5" ht="9" customHeight="1">
      <c r="A76" s="304">
        <v>41097</v>
      </c>
      <c r="B76" s="305" t="s">
        <v>8092</v>
      </c>
      <c r="C76" s="306" t="s">
        <v>8022</v>
      </c>
      <c r="D76" s="307">
        <v>90.85</v>
      </c>
      <c r="E76" s="305" t="s">
        <v>8076</v>
      </c>
    </row>
    <row r="77" spans="1:5" ht="18.149999999999999" customHeight="1">
      <c r="A77" s="304">
        <v>41364</v>
      </c>
      <c r="B77" s="309" t="s">
        <v>8093</v>
      </c>
      <c r="C77" s="306" t="s">
        <v>8022</v>
      </c>
      <c r="D77" s="307">
        <v>55.06</v>
      </c>
      <c r="E77" s="310"/>
    </row>
    <row r="78" spans="1:5" ht="9" customHeight="1">
      <c r="A78" s="304">
        <v>40777</v>
      </c>
      <c r="B78" s="305" t="s">
        <v>8094</v>
      </c>
      <c r="C78" s="306" t="s">
        <v>8022</v>
      </c>
      <c r="D78" s="307">
        <v>39.1</v>
      </c>
      <c r="E78" s="305" t="s">
        <v>8076</v>
      </c>
    </row>
    <row r="79" spans="1:5" ht="9" customHeight="1">
      <c r="A79" s="304">
        <v>40779</v>
      </c>
      <c r="B79" s="305" t="s">
        <v>8095</v>
      </c>
      <c r="C79" s="306" t="s">
        <v>8022</v>
      </c>
      <c r="D79" s="307">
        <v>44.9</v>
      </c>
      <c r="E79" s="305" t="s">
        <v>8076</v>
      </c>
    </row>
    <row r="80" spans="1:5" ht="9" customHeight="1">
      <c r="A80" s="304">
        <v>40781</v>
      </c>
      <c r="B80" s="305" t="s">
        <v>8096</v>
      </c>
      <c r="C80" s="306" t="s">
        <v>8022</v>
      </c>
      <c r="D80" s="307">
        <v>63.86</v>
      </c>
      <c r="E80" s="305" t="s">
        <v>8076</v>
      </c>
    </row>
    <row r="81" spans="1:5" ht="9" customHeight="1">
      <c r="A81" s="304">
        <v>40783</v>
      </c>
      <c r="B81" s="305" t="s">
        <v>8097</v>
      </c>
      <c r="C81" s="306" t="s">
        <v>8022</v>
      </c>
      <c r="D81" s="307">
        <v>80.69</v>
      </c>
      <c r="E81" s="305" t="s">
        <v>8076</v>
      </c>
    </row>
    <row r="82" spans="1:5" ht="9" customHeight="1">
      <c r="A82" s="304">
        <v>41366</v>
      </c>
      <c r="B82" s="305" t="s">
        <v>8098</v>
      </c>
      <c r="C82" s="306" t="s">
        <v>8022</v>
      </c>
      <c r="D82" s="307">
        <v>90.85</v>
      </c>
      <c r="E82" s="308"/>
    </row>
    <row r="83" spans="1:5" ht="18.149999999999999" customHeight="1">
      <c r="A83" s="304">
        <v>40834</v>
      </c>
      <c r="B83" s="309" t="s">
        <v>8099</v>
      </c>
      <c r="C83" s="306" t="s">
        <v>8020</v>
      </c>
      <c r="D83" s="307">
        <v>1.84</v>
      </c>
      <c r="E83" s="305" t="s">
        <v>8076</v>
      </c>
    </row>
    <row r="84" spans="1:5" ht="9" customHeight="1">
      <c r="A84" s="304">
        <v>40835</v>
      </c>
      <c r="B84" s="305" t="s">
        <v>8100</v>
      </c>
      <c r="C84" s="306" t="s">
        <v>8020</v>
      </c>
      <c r="D84" s="307">
        <v>3.13</v>
      </c>
      <c r="E84" s="305" t="s">
        <v>8076</v>
      </c>
    </row>
    <row r="85" spans="1:5" ht="18.149999999999999" customHeight="1">
      <c r="A85" s="304">
        <v>40841</v>
      </c>
      <c r="B85" s="309" t="s">
        <v>8101</v>
      </c>
      <c r="C85" s="306" t="s">
        <v>8102</v>
      </c>
      <c r="D85" s="307">
        <v>101.05</v>
      </c>
      <c r="E85" s="305" t="s">
        <v>8076</v>
      </c>
    </row>
    <row r="86" spans="1:5" ht="18.149999999999999" customHeight="1">
      <c r="A86" s="304">
        <v>40842</v>
      </c>
      <c r="B86" s="309" t="s">
        <v>8103</v>
      </c>
      <c r="C86" s="306" t="s">
        <v>8102</v>
      </c>
      <c r="D86" s="307">
        <v>281.76</v>
      </c>
      <c r="E86" s="305" t="s">
        <v>8076</v>
      </c>
    </row>
    <row r="87" spans="1:5" ht="9" customHeight="1">
      <c r="A87" s="304">
        <v>40843</v>
      </c>
      <c r="B87" s="305" t="s">
        <v>8104</v>
      </c>
      <c r="C87" s="306" t="s">
        <v>8102</v>
      </c>
      <c r="D87" s="307">
        <v>106.29</v>
      </c>
      <c r="E87" s="305" t="s">
        <v>8076</v>
      </c>
    </row>
    <row r="88" spans="1:5" ht="18.149999999999999" customHeight="1">
      <c r="A88" s="304">
        <v>40844</v>
      </c>
      <c r="B88" s="309" t="s">
        <v>8105</v>
      </c>
      <c r="C88" s="306" t="s">
        <v>8102</v>
      </c>
      <c r="D88" s="307">
        <v>288.67</v>
      </c>
      <c r="E88" s="305" t="s">
        <v>8076</v>
      </c>
    </row>
    <row r="89" spans="1:5" ht="18.149999999999999" customHeight="1">
      <c r="A89" s="304">
        <v>41112</v>
      </c>
      <c r="B89" s="309" t="s">
        <v>8106</v>
      </c>
      <c r="C89" s="306" t="s">
        <v>8102</v>
      </c>
      <c r="D89" s="307">
        <v>100.35</v>
      </c>
      <c r="E89" s="305" t="s">
        <v>8076</v>
      </c>
    </row>
    <row r="90" spans="1:5" ht="18.149999999999999" customHeight="1">
      <c r="A90" s="304">
        <v>43342</v>
      </c>
      <c r="B90" s="309" t="s">
        <v>8107</v>
      </c>
      <c r="C90" s="306" t="s">
        <v>8102</v>
      </c>
      <c r="D90" s="307">
        <v>112.66</v>
      </c>
      <c r="E90" s="305" t="s">
        <v>8076</v>
      </c>
    </row>
    <row r="91" spans="1:5" ht="18.149999999999999" customHeight="1">
      <c r="A91" s="304">
        <v>40878</v>
      </c>
      <c r="B91" s="309" t="s">
        <v>8108</v>
      </c>
      <c r="C91" s="306" t="s">
        <v>8102</v>
      </c>
      <c r="D91" s="307">
        <v>106.5</v>
      </c>
      <c r="E91" s="305" t="s">
        <v>8076</v>
      </c>
    </row>
    <row r="92" spans="1:5" ht="9" customHeight="1">
      <c r="A92" s="304">
        <v>40845</v>
      </c>
      <c r="B92" s="305" t="s">
        <v>8109</v>
      </c>
      <c r="C92" s="306" t="s">
        <v>8102</v>
      </c>
      <c r="D92" s="307">
        <v>83.93</v>
      </c>
      <c r="E92" s="305" t="s">
        <v>8076</v>
      </c>
    </row>
    <row r="93" spans="1:5" ht="9" customHeight="1">
      <c r="A93" s="304">
        <v>40846</v>
      </c>
      <c r="B93" s="305" t="s">
        <v>8110</v>
      </c>
      <c r="C93" s="306" t="s">
        <v>8102</v>
      </c>
      <c r="D93" s="307">
        <v>266.31</v>
      </c>
      <c r="E93" s="305" t="s">
        <v>8076</v>
      </c>
    </row>
    <row r="94" spans="1:5" ht="18.149999999999999" customHeight="1">
      <c r="A94" s="304">
        <v>40879</v>
      </c>
      <c r="B94" s="309" t="s">
        <v>8111</v>
      </c>
      <c r="C94" s="306" t="s">
        <v>8102</v>
      </c>
      <c r="D94" s="307">
        <v>84.14</v>
      </c>
      <c r="E94" s="310"/>
    </row>
    <row r="95" spans="1:5" ht="9" customHeight="1">
      <c r="A95" s="304">
        <v>40877</v>
      </c>
      <c r="B95" s="305" t="s">
        <v>8112</v>
      </c>
      <c r="C95" s="306" t="s">
        <v>8102</v>
      </c>
      <c r="D95" s="307">
        <v>112.95</v>
      </c>
      <c r="E95" s="305" t="s">
        <v>8076</v>
      </c>
    </row>
    <row r="96" spans="1:5" ht="18.149999999999999" customHeight="1">
      <c r="A96" s="304">
        <v>43341</v>
      </c>
      <c r="B96" s="309" t="s">
        <v>8113</v>
      </c>
      <c r="C96" s="306" t="s">
        <v>8102</v>
      </c>
      <c r="D96" s="307">
        <v>115.77</v>
      </c>
      <c r="E96" s="305" t="s">
        <v>8076</v>
      </c>
    </row>
    <row r="97" spans="1:6" ht="9" customHeight="1">
      <c r="A97" s="304">
        <v>40867</v>
      </c>
      <c r="B97" s="305" t="s">
        <v>8114</v>
      </c>
      <c r="C97" s="306" t="s">
        <v>8020</v>
      </c>
      <c r="D97" s="307">
        <v>2.68</v>
      </c>
      <c r="E97" s="308"/>
    </row>
    <row r="98" spans="1:6" ht="9" customHeight="1">
      <c r="A98" s="304">
        <v>101196</v>
      </c>
      <c r="B98" s="305" t="s">
        <v>8115</v>
      </c>
      <c r="C98" s="306" t="s">
        <v>8102</v>
      </c>
      <c r="D98" s="311">
        <v>2197.61</v>
      </c>
      <c r="E98" s="308"/>
    </row>
    <row r="99" spans="1:6" ht="9" customHeight="1">
      <c r="A99" s="304">
        <v>40763</v>
      </c>
      <c r="B99" s="305" t="s">
        <v>8116</v>
      </c>
      <c r="C99" s="306" t="s">
        <v>8020</v>
      </c>
      <c r="D99" s="307">
        <v>0.82</v>
      </c>
      <c r="E99" s="308"/>
    </row>
    <row r="100" spans="1:6" ht="9" customHeight="1">
      <c r="A100" s="304">
        <v>40765</v>
      </c>
      <c r="B100" s="305" t="s">
        <v>8117</v>
      </c>
      <c r="C100" s="306" t="s">
        <v>8020</v>
      </c>
      <c r="D100" s="307">
        <v>5.83</v>
      </c>
      <c r="E100" s="308"/>
    </row>
    <row r="101" spans="1:6" ht="9" customHeight="1">
      <c r="A101" s="304">
        <v>40757</v>
      </c>
      <c r="B101" s="305" t="s">
        <v>8118</v>
      </c>
      <c r="C101" s="306" t="s">
        <v>8022</v>
      </c>
      <c r="D101" s="307">
        <v>18</v>
      </c>
      <c r="E101" s="308"/>
    </row>
    <row r="102" spans="1:6" ht="9" customHeight="1">
      <c r="A102" s="304">
        <v>40758</v>
      </c>
      <c r="B102" s="305" t="s">
        <v>8119</v>
      </c>
      <c r="C102" s="306" t="s">
        <v>8022</v>
      </c>
      <c r="D102" s="307">
        <v>19.39</v>
      </c>
      <c r="E102" s="308"/>
    </row>
    <row r="103" spans="1:6" ht="9" customHeight="1">
      <c r="A103" s="858" t="s">
        <v>8074</v>
      </c>
      <c r="B103" s="858"/>
      <c r="C103" s="858"/>
      <c r="D103" s="858"/>
      <c r="E103" s="858"/>
      <c r="F103" s="858"/>
    </row>
    <row r="104" spans="1:6" ht="9" customHeight="1">
      <c r="A104" s="301" t="s">
        <v>8014</v>
      </c>
      <c r="B104" s="302" t="s">
        <v>8015</v>
      </c>
      <c r="C104" s="301" t="s">
        <v>8016</v>
      </c>
      <c r="D104" s="303" t="s">
        <v>8017</v>
      </c>
      <c r="E104" s="302" t="s">
        <v>8018</v>
      </c>
    </row>
    <row r="105" spans="1:6" ht="18.149999999999999" customHeight="1">
      <c r="A105" s="304">
        <v>40761</v>
      </c>
      <c r="B105" s="309" t="s">
        <v>8120</v>
      </c>
      <c r="C105" s="306" t="s">
        <v>8022</v>
      </c>
      <c r="D105" s="307">
        <v>45.21</v>
      </c>
      <c r="E105" s="310"/>
    </row>
    <row r="106" spans="1:6" ht="9" customHeight="1">
      <c r="A106" s="304">
        <v>40759</v>
      </c>
      <c r="B106" s="305" t="s">
        <v>8121</v>
      </c>
      <c r="C106" s="306" t="s">
        <v>8022</v>
      </c>
      <c r="D106" s="307">
        <v>19.79</v>
      </c>
      <c r="E106" s="308"/>
    </row>
    <row r="107" spans="1:6" ht="9" customHeight="1">
      <c r="A107" s="304">
        <v>40760</v>
      </c>
      <c r="B107" s="305" t="s">
        <v>8122</v>
      </c>
      <c r="C107" s="306" t="s">
        <v>8022</v>
      </c>
      <c r="D107" s="307">
        <v>20.37</v>
      </c>
      <c r="E107" s="308"/>
    </row>
    <row r="108" spans="1:6" ht="9" customHeight="1">
      <c r="A108" s="304">
        <v>41069</v>
      </c>
      <c r="B108" s="305" t="s">
        <v>8123</v>
      </c>
      <c r="C108" s="306" t="s">
        <v>8020</v>
      </c>
      <c r="D108" s="307">
        <v>9.2899999999999991</v>
      </c>
      <c r="E108" s="308"/>
    </row>
    <row r="109" spans="1:6" ht="9" customHeight="1">
      <c r="A109" s="304">
        <v>40985</v>
      </c>
      <c r="B109" s="305" t="s">
        <v>8124</v>
      </c>
      <c r="C109" s="306" t="s">
        <v>8020</v>
      </c>
      <c r="D109" s="307">
        <v>8.0500000000000007</v>
      </c>
      <c r="E109" s="308"/>
    </row>
    <row r="110" spans="1:6" ht="9" customHeight="1">
      <c r="A110" s="304">
        <v>40868</v>
      </c>
      <c r="B110" s="305" t="s">
        <v>8125</v>
      </c>
      <c r="C110" s="306" t="s">
        <v>8020</v>
      </c>
      <c r="D110" s="307">
        <v>12.58</v>
      </c>
      <c r="E110" s="308"/>
    </row>
    <row r="111" spans="1:6" ht="9" customHeight="1">
      <c r="A111" s="304">
        <v>40816</v>
      </c>
      <c r="B111" s="305" t="s">
        <v>8126</v>
      </c>
      <c r="C111" s="306" t="s">
        <v>8020</v>
      </c>
      <c r="D111" s="307">
        <v>0.8</v>
      </c>
      <c r="E111" s="308"/>
    </row>
    <row r="112" spans="1:6" ht="9" customHeight="1">
      <c r="A112" s="304">
        <v>40817</v>
      </c>
      <c r="B112" s="305" t="s">
        <v>8127</v>
      </c>
      <c r="C112" s="306" t="s">
        <v>8020</v>
      </c>
      <c r="D112" s="307">
        <v>6.36</v>
      </c>
      <c r="E112" s="305" t="s">
        <v>8076</v>
      </c>
    </row>
    <row r="113" spans="1:5" ht="9" customHeight="1">
      <c r="A113" s="304">
        <v>40850</v>
      </c>
      <c r="B113" s="305" t="s">
        <v>8128</v>
      </c>
      <c r="C113" s="306" t="s">
        <v>8020</v>
      </c>
      <c r="D113" s="307">
        <v>1.51</v>
      </c>
      <c r="E113" s="305" t="s">
        <v>8076</v>
      </c>
    </row>
    <row r="114" spans="1:5" ht="9" customHeight="1">
      <c r="A114" s="304">
        <v>40851</v>
      </c>
      <c r="B114" s="305" t="s">
        <v>8129</v>
      </c>
      <c r="C114" s="306" t="s">
        <v>8020</v>
      </c>
      <c r="D114" s="307">
        <v>4.04</v>
      </c>
      <c r="E114" s="305" t="s">
        <v>8076</v>
      </c>
    </row>
    <row r="115" spans="1:5" ht="9" customHeight="1">
      <c r="A115" s="304">
        <v>40852</v>
      </c>
      <c r="B115" s="305" t="s">
        <v>8130</v>
      </c>
      <c r="C115" s="306" t="s">
        <v>8020</v>
      </c>
      <c r="D115" s="307">
        <v>1.65</v>
      </c>
      <c r="E115" s="305" t="s">
        <v>8076</v>
      </c>
    </row>
    <row r="116" spans="1:5" ht="9" customHeight="1">
      <c r="A116" s="304">
        <v>40853</v>
      </c>
      <c r="B116" s="305" t="s">
        <v>8131</v>
      </c>
      <c r="C116" s="306" t="s">
        <v>8020</v>
      </c>
      <c r="D116" s="307">
        <v>5.63</v>
      </c>
      <c r="E116" s="305" t="s">
        <v>8076</v>
      </c>
    </row>
    <row r="117" spans="1:5" ht="9" customHeight="1">
      <c r="A117" s="304">
        <v>40854</v>
      </c>
      <c r="B117" s="305" t="s">
        <v>8132</v>
      </c>
      <c r="C117" s="306" t="s">
        <v>8020</v>
      </c>
      <c r="D117" s="307">
        <v>1.75</v>
      </c>
      <c r="E117" s="305" t="s">
        <v>8076</v>
      </c>
    </row>
    <row r="118" spans="1:5" ht="9" customHeight="1">
      <c r="A118" s="304">
        <v>40855</v>
      </c>
      <c r="B118" s="305" t="s">
        <v>8133</v>
      </c>
      <c r="C118" s="306" t="s">
        <v>8020</v>
      </c>
      <c r="D118" s="307">
        <v>7.54</v>
      </c>
      <c r="E118" s="305" t="s">
        <v>8076</v>
      </c>
    </row>
    <row r="119" spans="1:5" ht="9" customHeight="1">
      <c r="A119" s="304">
        <v>40856</v>
      </c>
      <c r="B119" s="305" t="s">
        <v>8134</v>
      </c>
      <c r="C119" s="306" t="s">
        <v>8020</v>
      </c>
      <c r="D119" s="307">
        <v>2.08</v>
      </c>
      <c r="E119" s="305" t="s">
        <v>8076</v>
      </c>
    </row>
    <row r="120" spans="1:5" ht="9" customHeight="1">
      <c r="A120" s="304">
        <v>40857</v>
      </c>
      <c r="B120" s="305" t="s">
        <v>8135</v>
      </c>
      <c r="C120" s="306" t="s">
        <v>8020</v>
      </c>
      <c r="D120" s="307">
        <v>10.039999999999999</v>
      </c>
      <c r="E120" s="305" t="s">
        <v>8076</v>
      </c>
    </row>
    <row r="121" spans="1:5" ht="9" customHeight="1">
      <c r="A121" s="304">
        <v>40894</v>
      </c>
      <c r="B121" s="305" t="s">
        <v>8136</v>
      </c>
      <c r="C121" s="306" t="s">
        <v>8137</v>
      </c>
      <c r="D121" s="307">
        <v>28.27</v>
      </c>
      <c r="E121" s="308"/>
    </row>
    <row r="122" spans="1:5" ht="9" customHeight="1">
      <c r="A122" s="304">
        <v>40895</v>
      </c>
      <c r="B122" s="305" t="s">
        <v>8138</v>
      </c>
      <c r="C122" s="306" t="s">
        <v>8137</v>
      </c>
      <c r="D122" s="307">
        <v>50.51</v>
      </c>
      <c r="E122" s="308"/>
    </row>
    <row r="123" spans="1:5" ht="18.149999999999999" customHeight="1">
      <c r="A123" s="304">
        <v>40869</v>
      </c>
      <c r="B123" s="309" t="s">
        <v>8139</v>
      </c>
      <c r="C123" s="306" t="s">
        <v>8020</v>
      </c>
      <c r="D123" s="307">
        <v>5.26</v>
      </c>
      <c r="E123" s="305" t="s">
        <v>8076</v>
      </c>
    </row>
    <row r="124" spans="1:5" ht="18.149999999999999" customHeight="1">
      <c r="A124" s="304">
        <v>40881</v>
      </c>
      <c r="B124" s="309" t="s">
        <v>8140</v>
      </c>
      <c r="C124" s="306" t="s">
        <v>8020</v>
      </c>
      <c r="D124" s="307">
        <v>5.26</v>
      </c>
      <c r="E124" s="310"/>
    </row>
    <row r="125" spans="1:5" ht="18.149999999999999" customHeight="1">
      <c r="A125" s="304">
        <v>40870</v>
      </c>
      <c r="B125" s="309" t="s">
        <v>8141</v>
      </c>
      <c r="C125" s="306" t="s">
        <v>8020</v>
      </c>
      <c r="D125" s="307">
        <v>12.02</v>
      </c>
      <c r="E125" s="305" t="s">
        <v>8076</v>
      </c>
    </row>
    <row r="126" spans="1:5" ht="18.149999999999999" customHeight="1">
      <c r="A126" s="304">
        <v>40860</v>
      </c>
      <c r="B126" s="309" t="s">
        <v>8142</v>
      </c>
      <c r="C126" s="306" t="s">
        <v>8020</v>
      </c>
      <c r="D126" s="307">
        <v>42.19</v>
      </c>
      <c r="E126" s="305" t="s">
        <v>8076</v>
      </c>
    </row>
    <row r="127" spans="1:5" ht="18.149999999999999" customHeight="1">
      <c r="A127" s="304">
        <v>40864</v>
      </c>
      <c r="B127" s="309" t="s">
        <v>8143</v>
      </c>
      <c r="C127" s="306" t="s">
        <v>8102</v>
      </c>
      <c r="D127" s="307">
        <v>433.72</v>
      </c>
      <c r="E127" s="305" t="s">
        <v>8076</v>
      </c>
    </row>
    <row r="128" spans="1:5" ht="18.149999999999999" customHeight="1">
      <c r="A128" s="304">
        <v>40861</v>
      </c>
      <c r="B128" s="309" t="s">
        <v>8144</v>
      </c>
      <c r="C128" s="306" t="s">
        <v>8020</v>
      </c>
      <c r="D128" s="307">
        <v>64.89</v>
      </c>
      <c r="E128" s="305" t="s">
        <v>8076</v>
      </c>
    </row>
    <row r="129" spans="1:5" ht="9" customHeight="1">
      <c r="A129" s="304">
        <v>40865</v>
      </c>
      <c r="B129" s="305" t="s">
        <v>8145</v>
      </c>
      <c r="C129" s="306" t="s">
        <v>8102</v>
      </c>
      <c r="D129" s="307">
        <v>644.79</v>
      </c>
      <c r="E129" s="305" t="s">
        <v>8076</v>
      </c>
    </row>
    <row r="130" spans="1:5" ht="18.149999999999999" customHeight="1">
      <c r="A130" s="304">
        <v>40880</v>
      </c>
      <c r="B130" s="309" t="s">
        <v>8146</v>
      </c>
      <c r="C130" s="306" t="s">
        <v>8020</v>
      </c>
      <c r="D130" s="307">
        <v>45.47</v>
      </c>
      <c r="E130" s="310"/>
    </row>
    <row r="131" spans="1:5" ht="9" customHeight="1">
      <c r="A131" s="304">
        <v>40858</v>
      </c>
      <c r="B131" s="305" t="s">
        <v>8147</v>
      </c>
      <c r="C131" s="306" t="s">
        <v>8020</v>
      </c>
      <c r="D131" s="307">
        <v>38.15</v>
      </c>
      <c r="E131" s="305" t="s">
        <v>8076</v>
      </c>
    </row>
    <row r="132" spans="1:5" ht="9" customHeight="1">
      <c r="A132" s="304">
        <v>40862</v>
      </c>
      <c r="B132" s="305" t="s">
        <v>8148</v>
      </c>
      <c r="C132" s="306" t="s">
        <v>8102</v>
      </c>
      <c r="D132" s="307">
        <v>391.52</v>
      </c>
      <c r="E132" s="305" t="s">
        <v>8076</v>
      </c>
    </row>
    <row r="133" spans="1:5" ht="9" customHeight="1">
      <c r="A133" s="304">
        <v>40859</v>
      </c>
      <c r="B133" s="305" t="s">
        <v>8149</v>
      </c>
      <c r="C133" s="306" t="s">
        <v>8020</v>
      </c>
      <c r="D133" s="307">
        <v>64.73</v>
      </c>
      <c r="E133" s="305" t="s">
        <v>8076</v>
      </c>
    </row>
    <row r="134" spans="1:5" ht="9" customHeight="1">
      <c r="A134" s="304">
        <v>40863</v>
      </c>
      <c r="B134" s="305" t="s">
        <v>8150</v>
      </c>
      <c r="C134" s="306" t="s">
        <v>8102</v>
      </c>
      <c r="D134" s="307">
        <v>669.17</v>
      </c>
      <c r="E134" s="305" t="s">
        <v>8076</v>
      </c>
    </row>
    <row r="135" spans="1:5" ht="18.149999999999999" customHeight="1">
      <c r="A135" s="304">
        <v>40883</v>
      </c>
      <c r="B135" s="309" t="s">
        <v>8151</v>
      </c>
      <c r="C135" s="306" t="s">
        <v>8020</v>
      </c>
      <c r="D135" s="307">
        <v>73.069999999999993</v>
      </c>
      <c r="E135" s="305" t="s">
        <v>8076</v>
      </c>
    </row>
    <row r="136" spans="1:5" ht="18.149999999999999" customHeight="1">
      <c r="A136" s="304">
        <v>40885</v>
      </c>
      <c r="B136" s="309" t="s">
        <v>8152</v>
      </c>
      <c r="C136" s="306" t="s">
        <v>8020</v>
      </c>
      <c r="D136" s="307">
        <v>88.42</v>
      </c>
      <c r="E136" s="305" t="s">
        <v>8076</v>
      </c>
    </row>
    <row r="137" spans="1:5" ht="18.149999999999999" customHeight="1">
      <c r="A137" s="304">
        <v>40897</v>
      </c>
      <c r="B137" s="309" t="s">
        <v>8153</v>
      </c>
      <c r="C137" s="306" t="s">
        <v>8020</v>
      </c>
      <c r="D137" s="307">
        <v>73.069999999999993</v>
      </c>
      <c r="E137" s="310"/>
    </row>
    <row r="138" spans="1:5" ht="18.149999999999999" customHeight="1">
      <c r="A138" s="304">
        <v>40884</v>
      </c>
      <c r="B138" s="309" t="s">
        <v>8154</v>
      </c>
      <c r="C138" s="306" t="s">
        <v>8020</v>
      </c>
      <c r="D138" s="307">
        <v>87.69</v>
      </c>
      <c r="E138" s="305" t="s">
        <v>8076</v>
      </c>
    </row>
    <row r="139" spans="1:5" ht="18.149999999999999" customHeight="1">
      <c r="A139" s="304">
        <v>40898</v>
      </c>
      <c r="B139" s="309" t="s">
        <v>8155</v>
      </c>
      <c r="C139" s="306" t="s">
        <v>8020</v>
      </c>
      <c r="D139" s="307">
        <v>87.69</v>
      </c>
      <c r="E139" s="310"/>
    </row>
    <row r="140" spans="1:5" ht="18.149999999999999" customHeight="1">
      <c r="A140" s="304">
        <v>40896</v>
      </c>
      <c r="B140" s="309" t="s">
        <v>8156</v>
      </c>
      <c r="C140" s="306" t="s">
        <v>8020</v>
      </c>
      <c r="D140" s="307">
        <v>88.42</v>
      </c>
      <c r="E140" s="310"/>
    </row>
    <row r="141" spans="1:5" ht="18.149999999999999" customHeight="1">
      <c r="A141" s="304">
        <v>40886</v>
      </c>
      <c r="B141" s="309" t="s">
        <v>8157</v>
      </c>
      <c r="C141" s="306" t="s">
        <v>8020</v>
      </c>
      <c r="D141" s="307">
        <v>31.65</v>
      </c>
      <c r="E141" s="305" t="s">
        <v>8076</v>
      </c>
    </row>
    <row r="142" spans="1:5" ht="18.149999999999999" customHeight="1">
      <c r="A142" s="304">
        <v>40887</v>
      </c>
      <c r="B142" s="309" t="s">
        <v>8158</v>
      </c>
      <c r="C142" s="306" t="s">
        <v>8020</v>
      </c>
      <c r="D142" s="307">
        <v>101.65</v>
      </c>
      <c r="E142" s="305" t="s">
        <v>8076</v>
      </c>
    </row>
    <row r="143" spans="1:5" ht="18.149999999999999" customHeight="1">
      <c r="A143" s="304">
        <v>40888</v>
      </c>
      <c r="B143" s="309" t="s">
        <v>8159</v>
      </c>
      <c r="C143" s="306" t="s">
        <v>8020</v>
      </c>
      <c r="D143" s="307">
        <v>99.59</v>
      </c>
      <c r="E143" s="305" t="s">
        <v>8076</v>
      </c>
    </row>
    <row r="144" spans="1:5" ht="18.149999999999999" customHeight="1">
      <c r="A144" s="304">
        <v>40889</v>
      </c>
      <c r="B144" s="309" t="s">
        <v>8160</v>
      </c>
      <c r="C144" s="306" t="s">
        <v>8020</v>
      </c>
      <c r="D144" s="307">
        <v>96.52</v>
      </c>
      <c r="E144" s="305" t="s">
        <v>8076</v>
      </c>
    </row>
    <row r="145" spans="1:6" ht="9" customHeight="1">
      <c r="A145" s="304">
        <v>40818</v>
      </c>
      <c r="B145" s="305" t="s">
        <v>8161</v>
      </c>
      <c r="C145" s="306" t="s">
        <v>8020</v>
      </c>
      <c r="D145" s="307">
        <v>0.66</v>
      </c>
      <c r="E145" s="308"/>
    </row>
    <row r="146" spans="1:6" ht="9" customHeight="1">
      <c r="A146" s="304">
        <v>40819</v>
      </c>
      <c r="B146" s="305" t="s">
        <v>8162</v>
      </c>
      <c r="C146" s="306" t="s">
        <v>8020</v>
      </c>
      <c r="D146" s="307">
        <v>1.89</v>
      </c>
      <c r="E146" s="305" t="s">
        <v>8076</v>
      </c>
    </row>
    <row r="147" spans="1:6" ht="9" customHeight="1">
      <c r="A147" s="304">
        <v>40872</v>
      </c>
      <c r="B147" s="305" t="s">
        <v>8163</v>
      </c>
      <c r="C147" s="306" t="s">
        <v>8102</v>
      </c>
      <c r="D147" s="307">
        <v>66.790000000000006</v>
      </c>
      <c r="E147" s="305" t="s">
        <v>8076</v>
      </c>
    </row>
    <row r="148" spans="1:6" ht="9" customHeight="1">
      <c r="A148" s="304">
        <v>40836</v>
      </c>
      <c r="B148" s="305" t="s">
        <v>8164</v>
      </c>
      <c r="C148" s="306" t="s">
        <v>8102</v>
      </c>
      <c r="D148" s="307">
        <v>41.72</v>
      </c>
      <c r="E148" s="305" t="s">
        <v>8076</v>
      </c>
    </row>
    <row r="149" spans="1:6" ht="9" customHeight="1">
      <c r="A149" s="304">
        <v>40837</v>
      </c>
      <c r="B149" s="305" t="s">
        <v>8165</v>
      </c>
      <c r="C149" s="306" t="s">
        <v>8102</v>
      </c>
      <c r="D149" s="307">
        <v>290.69</v>
      </c>
      <c r="E149" s="305" t="s">
        <v>8076</v>
      </c>
    </row>
    <row r="150" spans="1:6" ht="9" customHeight="1">
      <c r="A150" s="304">
        <v>41076</v>
      </c>
      <c r="B150" s="305" t="s">
        <v>8166</v>
      </c>
      <c r="C150" s="306" t="s">
        <v>8022</v>
      </c>
      <c r="D150" s="307">
        <v>37.200000000000003</v>
      </c>
      <c r="E150" s="308"/>
    </row>
    <row r="151" spans="1:6" ht="9" customHeight="1">
      <c r="A151" s="304">
        <v>41556</v>
      </c>
      <c r="B151" s="305" t="s">
        <v>8167</v>
      </c>
      <c r="C151" s="306" t="s">
        <v>8022</v>
      </c>
      <c r="D151" s="307">
        <v>41.4</v>
      </c>
      <c r="E151" s="305" t="s">
        <v>8076</v>
      </c>
    </row>
    <row r="152" spans="1:6" ht="9" customHeight="1">
      <c r="A152" s="304">
        <v>43345</v>
      </c>
      <c r="B152" s="305" t="s">
        <v>8168</v>
      </c>
      <c r="C152" s="306" t="s">
        <v>8022</v>
      </c>
      <c r="D152" s="307">
        <v>35.81</v>
      </c>
      <c r="E152" s="308"/>
    </row>
    <row r="153" spans="1:6" ht="9" customHeight="1">
      <c r="A153" s="304">
        <v>40720</v>
      </c>
      <c r="B153" s="305" t="s">
        <v>8169</v>
      </c>
      <c r="C153" s="306" t="s">
        <v>8022</v>
      </c>
      <c r="D153" s="307">
        <v>76.02</v>
      </c>
      <c r="E153" s="308"/>
    </row>
    <row r="154" spans="1:6" ht="9" customHeight="1">
      <c r="A154" s="858" t="s">
        <v>8074</v>
      </c>
      <c r="B154" s="858"/>
      <c r="C154" s="858"/>
      <c r="D154" s="858"/>
      <c r="E154" s="858"/>
      <c r="F154" s="858"/>
    </row>
    <row r="155" spans="1:6" ht="9" customHeight="1">
      <c r="A155" s="301" t="s">
        <v>8014</v>
      </c>
      <c r="B155" s="302" t="s">
        <v>8015</v>
      </c>
      <c r="C155" s="301" t="s">
        <v>8016</v>
      </c>
      <c r="D155" s="303" t="s">
        <v>8017</v>
      </c>
      <c r="E155" s="302" t="s">
        <v>8018</v>
      </c>
    </row>
    <row r="156" spans="1:6" ht="18.149999999999999" customHeight="1">
      <c r="A156" s="304">
        <v>41070</v>
      </c>
      <c r="B156" s="309" t="s">
        <v>8170</v>
      </c>
      <c r="C156" s="306" t="s">
        <v>8022</v>
      </c>
      <c r="D156" s="307">
        <v>91.79</v>
      </c>
      <c r="E156" s="305" t="s">
        <v>8076</v>
      </c>
    </row>
    <row r="157" spans="1:6" ht="18.149999999999999" customHeight="1">
      <c r="A157" s="304">
        <v>41134</v>
      </c>
      <c r="B157" s="309" t="s">
        <v>8171</v>
      </c>
      <c r="C157" s="306" t="s">
        <v>8022</v>
      </c>
      <c r="D157" s="307">
        <v>92.25</v>
      </c>
      <c r="E157" s="305" t="s">
        <v>8076</v>
      </c>
    </row>
    <row r="158" spans="1:6" ht="9" customHeight="1">
      <c r="A158" s="304">
        <v>40984</v>
      </c>
      <c r="B158" s="305" t="s">
        <v>8172</v>
      </c>
      <c r="C158" s="306" t="s">
        <v>8022</v>
      </c>
      <c r="D158" s="307">
        <v>45.94</v>
      </c>
      <c r="E158" s="308"/>
    </row>
    <row r="159" spans="1:6" ht="18.149999999999999" customHeight="1">
      <c r="A159" s="304">
        <v>41356</v>
      </c>
      <c r="B159" s="309" t="s">
        <v>8173</v>
      </c>
      <c r="C159" s="306" t="s">
        <v>8022</v>
      </c>
      <c r="D159" s="307">
        <v>92.33</v>
      </c>
      <c r="E159" s="305" t="s">
        <v>8076</v>
      </c>
    </row>
    <row r="160" spans="1:6" ht="18.149999999999999" customHeight="1">
      <c r="A160" s="304">
        <v>40774</v>
      </c>
      <c r="B160" s="309" t="s">
        <v>8174</v>
      </c>
      <c r="C160" s="306" t="s">
        <v>8022</v>
      </c>
      <c r="D160" s="307">
        <v>92.33</v>
      </c>
      <c r="E160" s="310"/>
    </row>
    <row r="161" spans="1:5" ht="18.149999999999999" customHeight="1">
      <c r="A161" s="304">
        <v>40768</v>
      </c>
      <c r="B161" s="309" t="s">
        <v>8175</v>
      </c>
      <c r="C161" s="306" t="s">
        <v>8022</v>
      </c>
      <c r="D161" s="307">
        <v>83.96</v>
      </c>
      <c r="E161" s="305" t="s">
        <v>8076</v>
      </c>
    </row>
    <row r="162" spans="1:5" ht="18.149999999999999" customHeight="1">
      <c r="A162" s="304">
        <v>40767</v>
      </c>
      <c r="B162" s="309" t="s">
        <v>8176</v>
      </c>
      <c r="C162" s="306" t="s">
        <v>8022</v>
      </c>
      <c r="D162" s="307">
        <v>76.849999999999994</v>
      </c>
      <c r="E162" s="305" t="s">
        <v>8076</v>
      </c>
    </row>
    <row r="163" spans="1:5" ht="18.149999999999999" customHeight="1">
      <c r="A163" s="304">
        <v>40769</v>
      </c>
      <c r="B163" s="309" t="s">
        <v>8177</v>
      </c>
      <c r="C163" s="306" t="s">
        <v>8022</v>
      </c>
      <c r="D163" s="307">
        <v>100.7</v>
      </c>
      <c r="E163" s="305" t="s">
        <v>8076</v>
      </c>
    </row>
    <row r="164" spans="1:5" ht="9" customHeight="1">
      <c r="A164" s="304">
        <v>40766</v>
      </c>
      <c r="B164" s="305" t="s">
        <v>8178</v>
      </c>
      <c r="C164" s="306" t="s">
        <v>8022</v>
      </c>
      <c r="D164" s="307">
        <v>50.11</v>
      </c>
      <c r="E164" s="308"/>
    </row>
    <row r="165" spans="1:5" ht="18.149999999999999" customHeight="1">
      <c r="A165" s="304">
        <v>40771</v>
      </c>
      <c r="B165" s="309" t="s">
        <v>8179</v>
      </c>
      <c r="C165" s="306" t="s">
        <v>8022</v>
      </c>
      <c r="D165" s="307">
        <v>255.15</v>
      </c>
      <c r="E165" s="305" t="s">
        <v>8076</v>
      </c>
    </row>
    <row r="166" spans="1:5" ht="18.149999999999999" customHeight="1">
      <c r="A166" s="304">
        <v>40773</v>
      </c>
      <c r="B166" s="309" t="s">
        <v>8180</v>
      </c>
      <c r="C166" s="306" t="s">
        <v>8022</v>
      </c>
      <c r="D166" s="307">
        <v>67.78</v>
      </c>
      <c r="E166" s="305" t="s">
        <v>8076</v>
      </c>
    </row>
    <row r="167" spans="1:5" ht="18.149999999999999" customHeight="1">
      <c r="A167" s="304">
        <v>40775</v>
      </c>
      <c r="B167" s="309" t="s">
        <v>8181</v>
      </c>
      <c r="C167" s="306" t="s">
        <v>8022</v>
      </c>
      <c r="D167" s="307">
        <v>100.7</v>
      </c>
      <c r="E167" s="310"/>
    </row>
    <row r="168" spans="1:5" ht="9" customHeight="1">
      <c r="A168" s="304">
        <v>40762</v>
      </c>
      <c r="B168" s="305" t="s">
        <v>8182</v>
      </c>
      <c r="C168" s="306" t="s">
        <v>8020</v>
      </c>
      <c r="D168" s="307">
        <v>6.05</v>
      </c>
      <c r="E168" s="308"/>
    </row>
    <row r="169" spans="1:5" ht="9" customHeight="1">
      <c r="A169" s="304">
        <v>40804</v>
      </c>
      <c r="B169" s="305" t="s">
        <v>8183</v>
      </c>
      <c r="C169" s="306" t="s">
        <v>8020</v>
      </c>
      <c r="D169" s="307">
        <v>10.73</v>
      </c>
      <c r="E169" s="305" t="s">
        <v>8076</v>
      </c>
    </row>
    <row r="170" spans="1:5" ht="18.149999999999999" customHeight="1">
      <c r="A170" s="304">
        <v>40811</v>
      </c>
      <c r="B170" s="309" t="s">
        <v>8184</v>
      </c>
      <c r="C170" s="306" t="s">
        <v>8022</v>
      </c>
      <c r="D170" s="307">
        <v>60.96</v>
      </c>
      <c r="E170" s="310"/>
    </row>
    <row r="171" spans="1:5" ht="18.149999999999999" customHeight="1">
      <c r="A171" s="304">
        <v>42211</v>
      </c>
      <c r="B171" s="309" t="s">
        <v>8185</v>
      </c>
      <c r="C171" s="306" t="s">
        <v>8022</v>
      </c>
      <c r="D171" s="307">
        <v>60.96</v>
      </c>
      <c r="E171" s="305" t="s">
        <v>8076</v>
      </c>
    </row>
    <row r="172" spans="1:5" ht="9" customHeight="1">
      <c r="A172" s="304">
        <v>40756</v>
      </c>
      <c r="B172" s="305" t="s">
        <v>8186</v>
      </c>
      <c r="C172" s="306" t="s">
        <v>8022</v>
      </c>
      <c r="D172" s="307">
        <v>6.63</v>
      </c>
      <c r="E172" s="308"/>
    </row>
    <row r="173" spans="1:5" ht="9" customHeight="1">
      <c r="A173" s="304">
        <v>40754</v>
      </c>
      <c r="B173" s="305" t="s">
        <v>8187</v>
      </c>
      <c r="C173" s="306" t="s">
        <v>8020</v>
      </c>
      <c r="D173" s="307">
        <v>1.17</v>
      </c>
      <c r="E173" s="308"/>
    </row>
    <row r="174" spans="1:5" ht="9" customHeight="1">
      <c r="A174" s="304">
        <v>40866</v>
      </c>
      <c r="B174" s="305" t="s">
        <v>8188</v>
      </c>
      <c r="C174" s="306" t="s">
        <v>8020</v>
      </c>
      <c r="D174" s="307">
        <v>0.82</v>
      </c>
      <c r="E174" s="308"/>
    </row>
    <row r="175" spans="1:5" ht="9" customHeight="1">
      <c r="A175" s="304">
        <v>40893</v>
      </c>
      <c r="B175" s="305" t="s">
        <v>8189</v>
      </c>
      <c r="C175" s="306" t="s">
        <v>8137</v>
      </c>
      <c r="D175" s="307">
        <v>22.21</v>
      </c>
      <c r="E175" s="308"/>
    </row>
    <row r="176" spans="1:5" ht="9" customHeight="1">
      <c r="A176" s="304">
        <v>40891</v>
      </c>
      <c r="B176" s="305" t="s">
        <v>8190</v>
      </c>
      <c r="C176" s="306" t="s">
        <v>8020</v>
      </c>
      <c r="D176" s="307">
        <v>18.010000000000002</v>
      </c>
      <c r="E176" s="308"/>
    </row>
    <row r="177" spans="1:5" ht="9" customHeight="1">
      <c r="A177" s="304">
        <v>40890</v>
      </c>
      <c r="B177" s="305" t="s">
        <v>8191</v>
      </c>
      <c r="C177" s="306" t="s">
        <v>8020</v>
      </c>
      <c r="D177" s="307">
        <v>60.43</v>
      </c>
      <c r="E177" s="305" t="s">
        <v>8076</v>
      </c>
    </row>
    <row r="178" spans="1:5" ht="18.149999999999999" customHeight="1">
      <c r="A178" s="304">
        <v>40892</v>
      </c>
      <c r="B178" s="309" t="s">
        <v>8192</v>
      </c>
      <c r="C178" s="306" t="s">
        <v>8020</v>
      </c>
      <c r="D178" s="307">
        <v>61.76</v>
      </c>
      <c r="E178" s="305" t="s">
        <v>8076</v>
      </c>
    </row>
    <row r="179" spans="1:5" ht="9" customHeight="1">
      <c r="A179" s="304">
        <v>40749</v>
      </c>
      <c r="B179" s="305" t="s">
        <v>8193</v>
      </c>
      <c r="C179" s="306" t="s">
        <v>8020</v>
      </c>
      <c r="D179" s="307">
        <v>0.18</v>
      </c>
      <c r="E179" s="308"/>
    </row>
    <row r="180" spans="1:5" ht="9" customHeight="1">
      <c r="A180" s="304">
        <v>40750</v>
      </c>
      <c r="B180" s="305" t="s">
        <v>8194</v>
      </c>
      <c r="C180" s="306" t="s">
        <v>8020</v>
      </c>
      <c r="D180" s="307">
        <v>0.79</v>
      </c>
      <c r="E180" s="308"/>
    </row>
    <row r="181" spans="1:5" ht="18.149999999999999" customHeight="1">
      <c r="A181" s="304">
        <v>40792</v>
      </c>
      <c r="B181" s="309" t="s">
        <v>8195</v>
      </c>
      <c r="C181" s="306" t="s">
        <v>8022</v>
      </c>
      <c r="D181" s="307">
        <v>80.55</v>
      </c>
      <c r="E181" s="305" t="s">
        <v>8076</v>
      </c>
    </row>
    <row r="182" spans="1:5" ht="9" customHeight="1">
      <c r="A182" s="304">
        <v>40794</v>
      </c>
      <c r="B182" s="305" t="s">
        <v>8196</v>
      </c>
      <c r="C182" s="306" t="s">
        <v>8022</v>
      </c>
      <c r="D182" s="307">
        <v>44.74</v>
      </c>
      <c r="E182" s="305" t="s">
        <v>8076</v>
      </c>
    </row>
    <row r="183" spans="1:5" ht="18.149999999999999" customHeight="1">
      <c r="A183" s="304">
        <v>40796</v>
      </c>
      <c r="B183" s="309" t="s">
        <v>8197</v>
      </c>
      <c r="C183" s="306" t="s">
        <v>8022</v>
      </c>
      <c r="D183" s="307">
        <v>35.99</v>
      </c>
      <c r="E183" s="305" t="s">
        <v>8076</v>
      </c>
    </row>
    <row r="184" spans="1:5" ht="18.149999999999999" customHeight="1">
      <c r="A184" s="304">
        <v>41098</v>
      </c>
      <c r="B184" s="309" t="s">
        <v>8198</v>
      </c>
      <c r="C184" s="306" t="s">
        <v>8022</v>
      </c>
      <c r="D184" s="307">
        <v>35.99</v>
      </c>
      <c r="E184" s="310"/>
    </row>
    <row r="185" spans="1:5" ht="9" customHeight="1">
      <c r="A185" s="304">
        <v>40786</v>
      </c>
      <c r="B185" s="305" t="s">
        <v>8199</v>
      </c>
      <c r="C185" s="306" t="s">
        <v>8022</v>
      </c>
      <c r="D185" s="307">
        <v>96.98</v>
      </c>
      <c r="E185" s="305" t="s">
        <v>8076</v>
      </c>
    </row>
    <row r="186" spans="1:5" ht="9" customHeight="1">
      <c r="A186" s="304">
        <v>43327</v>
      </c>
      <c r="B186" s="305" t="s">
        <v>8200</v>
      </c>
      <c r="C186" s="306" t="s">
        <v>8022</v>
      </c>
      <c r="D186" s="307">
        <v>96.98</v>
      </c>
      <c r="E186" s="308"/>
    </row>
    <row r="187" spans="1:5" ht="9" customHeight="1">
      <c r="A187" s="304">
        <v>42675</v>
      </c>
      <c r="B187" s="305" t="s">
        <v>8201</v>
      </c>
      <c r="C187" s="306" t="s">
        <v>8022</v>
      </c>
      <c r="D187" s="307">
        <v>115.77</v>
      </c>
      <c r="E187" s="308"/>
    </row>
    <row r="188" spans="1:5" ht="9" customHeight="1">
      <c r="A188" s="304">
        <v>40802</v>
      </c>
      <c r="B188" s="305" t="s">
        <v>8202</v>
      </c>
      <c r="C188" s="306" t="s">
        <v>8022</v>
      </c>
      <c r="D188" s="307">
        <v>61.95</v>
      </c>
      <c r="E188" s="305" t="s">
        <v>8076</v>
      </c>
    </row>
    <row r="189" spans="1:5" ht="9" customHeight="1">
      <c r="A189" s="304">
        <v>41074</v>
      </c>
      <c r="B189" s="305" t="s">
        <v>8203</v>
      </c>
      <c r="C189" s="306" t="s">
        <v>8022</v>
      </c>
      <c r="D189" s="307">
        <v>61.31</v>
      </c>
      <c r="E189" s="308"/>
    </row>
    <row r="190" spans="1:5" ht="9" customHeight="1">
      <c r="A190" s="304">
        <v>40776</v>
      </c>
      <c r="B190" s="305" t="s">
        <v>8204</v>
      </c>
      <c r="C190" s="306" t="s">
        <v>8022</v>
      </c>
      <c r="D190" s="307">
        <v>39.1</v>
      </c>
      <c r="E190" s="305" t="s">
        <v>8076</v>
      </c>
    </row>
    <row r="191" spans="1:5" ht="9" customHeight="1">
      <c r="A191" s="304">
        <v>40778</v>
      </c>
      <c r="B191" s="305" t="s">
        <v>8205</v>
      </c>
      <c r="C191" s="306" t="s">
        <v>8022</v>
      </c>
      <c r="D191" s="307">
        <v>44.9</v>
      </c>
      <c r="E191" s="305" t="s">
        <v>8076</v>
      </c>
    </row>
    <row r="192" spans="1:5" ht="9" customHeight="1">
      <c r="A192" s="304">
        <v>40780</v>
      </c>
      <c r="B192" s="305" t="s">
        <v>8206</v>
      </c>
      <c r="C192" s="306" t="s">
        <v>8022</v>
      </c>
      <c r="D192" s="307">
        <v>63.86</v>
      </c>
      <c r="E192" s="305" t="s">
        <v>8076</v>
      </c>
    </row>
    <row r="193" spans="1:6" ht="9" customHeight="1">
      <c r="A193" s="304">
        <v>40782</v>
      </c>
      <c r="B193" s="305" t="s">
        <v>8207</v>
      </c>
      <c r="C193" s="306" t="s">
        <v>8022</v>
      </c>
      <c r="D193" s="307">
        <v>80.69</v>
      </c>
      <c r="E193" s="305" t="s">
        <v>8076</v>
      </c>
    </row>
    <row r="194" spans="1:6" ht="18.149999999999999" customHeight="1">
      <c r="A194" s="304">
        <v>40830</v>
      </c>
      <c r="B194" s="309" t="s">
        <v>8208</v>
      </c>
      <c r="C194" s="306" t="s">
        <v>8020</v>
      </c>
      <c r="D194" s="307">
        <v>7.92</v>
      </c>
      <c r="E194" s="305" t="s">
        <v>8076</v>
      </c>
    </row>
    <row r="195" spans="1:6" ht="18.149999999999999" customHeight="1">
      <c r="A195" s="304">
        <v>40873</v>
      </c>
      <c r="B195" s="309" t="s">
        <v>8209</v>
      </c>
      <c r="C195" s="306" t="s">
        <v>8020</v>
      </c>
      <c r="D195" s="307">
        <v>6.41</v>
      </c>
      <c r="E195" s="305" t="s">
        <v>8076</v>
      </c>
    </row>
    <row r="196" spans="1:6" ht="18.149999999999999" customHeight="1">
      <c r="A196" s="304">
        <v>40876</v>
      </c>
      <c r="B196" s="309" t="s">
        <v>8210</v>
      </c>
      <c r="C196" s="306" t="s">
        <v>8020</v>
      </c>
      <c r="D196" s="307">
        <v>7.02</v>
      </c>
      <c r="E196" s="310"/>
    </row>
    <row r="197" spans="1:6" ht="18.149999999999999" customHeight="1">
      <c r="A197" s="304">
        <v>41363</v>
      </c>
      <c r="B197" s="309" t="s">
        <v>8211</v>
      </c>
      <c r="C197" s="306" t="s">
        <v>8020</v>
      </c>
      <c r="D197" s="307">
        <v>10.78</v>
      </c>
      <c r="E197" s="305" t="s">
        <v>8076</v>
      </c>
    </row>
    <row r="198" spans="1:6" ht="18.149999999999999" customHeight="1">
      <c r="A198" s="304">
        <v>40831</v>
      </c>
      <c r="B198" s="309" t="s">
        <v>8212</v>
      </c>
      <c r="C198" s="306" t="s">
        <v>8020</v>
      </c>
      <c r="D198" s="307">
        <v>17.82</v>
      </c>
      <c r="E198" s="305" t="s">
        <v>8076</v>
      </c>
    </row>
    <row r="199" spans="1:6" ht="18.149999999999999" customHeight="1">
      <c r="A199" s="304">
        <v>40827</v>
      </c>
      <c r="B199" s="309" t="s">
        <v>8213</v>
      </c>
      <c r="C199" s="306" t="s">
        <v>8020</v>
      </c>
      <c r="D199" s="307">
        <v>10.29</v>
      </c>
      <c r="E199" s="305" t="s">
        <v>8076</v>
      </c>
    </row>
    <row r="200" spans="1:6" ht="18.149999999999999" customHeight="1">
      <c r="A200" s="304">
        <v>40828</v>
      </c>
      <c r="B200" s="309" t="s">
        <v>8214</v>
      </c>
      <c r="C200" s="306" t="s">
        <v>8020</v>
      </c>
      <c r="D200" s="307">
        <v>7.2</v>
      </c>
      <c r="E200" s="305" t="s">
        <v>8076</v>
      </c>
    </row>
    <row r="201" spans="1:6" ht="9" customHeight="1">
      <c r="A201" s="858" t="s">
        <v>8074</v>
      </c>
      <c r="B201" s="858"/>
      <c r="C201" s="858"/>
      <c r="D201" s="858"/>
      <c r="E201" s="858"/>
      <c r="F201" s="858"/>
    </row>
    <row r="202" spans="1:6" ht="9" customHeight="1">
      <c r="A202" s="301" t="s">
        <v>8014</v>
      </c>
      <c r="B202" s="302" t="s">
        <v>8015</v>
      </c>
      <c r="C202" s="301" t="s">
        <v>8016</v>
      </c>
      <c r="D202" s="303" t="s">
        <v>8017</v>
      </c>
      <c r="E202" s="302" t="s">
        <v>8018</v>
      </c>
    </row>
    <row r="203" spans="1:6" ht="18.149999999999999" customHeight="1">
      <c r="A203" s="304">
        <v>40874</v>
      </c>
      <c r="B203" s="309" t="s">
        <v>8215</v>
      </c>
      <c r="C203" s="306" t="s">
        <v>8020</v>
      </c>
      <c r="D203" s="307">
        <v>7.07</v>
      </c>
      <c r="E203" s="305" t="s">
        <v>8076</v>
      </c>
    </row>
    <row r="204" spans="1:6" ht="18.149999999999999" customHeight="1">
      <c r="A204" s="304">
        <v>40875</v>
      </c>
      <c r="B204" s="309" t="s">
        <v>8216</v>
      </c>
      <c r="C204" s="306" t="s">
        <v>8020</v>
      </c>
      <c r="D204" s="307">
        <v>6.87</v>
      </c>
      <c r="E204" s="310"/>
    </row>
    <row r="205" spans="1:6" ht="18.149999999999999" customHeight="1">
      <c r="A205" s="304">
        <v>40829</v>
      </c>
      <c r="B205" s="309" t="s">
        <v>8217</v>
      </c>
      <c r="C205" s="306" t="s">
        <v>8020</v>
      </c>
      <c r="D205" s="307">
        <v>16.329999999999998</v>
      </c>
      <c r="E205" s="305" t="s">
        <v>8076</v>
      </c>
    </row>
    <row r="206" spans="1:6" ht="18.149999999999999" customHeight="1">
      <c r="A206" s="304">
        <v>40824</v>
      </c>
      <c r="B206" s="309" t="s">
        <v>8218</v>
      </c>
      <c r="C206" s="306" t="s">
        <v>8020</v>
      </c>
      <c r="D206" s="307">
        <v>4.58</v>
      </c>
      <c r="E206" s="305" t="s">
        <v>8076</v>
      </c>
    </row>
    <row r="207" spans="1:6" ht="18.149999999999999" customHeight="1">
      <c r="A207" s="304">
        <v>40825</v>
      </c>
      <c r="B207" s="309" t="s">
        <v>8219</v>
      </c>
      <c r="C207" s="306" t="s">
        <v>8020</v>
      </c>
      <c r="D207" s="307">
        <v>7.67</v>
      </c>
      <c r="E207" s="305" t="s">
        <v>8076</v>
      </c>
    </row>
    <row r="208" spans="1:6" ht="18.149999999999999" customHeight="1">
      <c r="A208" s="304">
        <v>40820</v>
      </c>
      <c r="B208" s="309" t="s">
        <v>8220</v>
      </c>
      <c r="C208" s="306" t="s">
        <v>8020</v>
      </c>
      <c r="D208" s="307">
        <v>4.18</v>
      </c>
      <c r="E208" s="305" t="s">
        <v>8076</v>
      </c>
    </row>
    <row r="209" spans="1:6" ht="9" customHeight="1">
      <c r="A209" s="304">
        <v>40821</v>
      </c>
      <c r="B209" s="305" t="s">
        <v>8221</v>
      </c>
      <c r="C209" s="306" t="s">
        <v>8020</v>
      </c>
      <c r="D209" s="307">
        <v>7.27</v>
      </c>
      <c r="E209" s="305" t="s">
        <v>8076</v>
      </c>
    </row>
    <row r="210" spans="1:6" ht="18.149999999999999" customHeight="1">
      <c r="A210" s="304">
        <v>40840</v>
      </c>
      <c r="B210" s="309" t="s">
        <v>8222</v>
      </c>
      <c r="C210" s="306" t="s">
        <v>8102</v>
      </c>
      <c r="D210" s="307">
        <v>46.16</v>
      </c>
      <c r="E210" s="305" t="s">
        <v>8076</v>
      </c>
    </row>
    <row r="211" spans="1:6" ht="9" customHeight="1">
      <c r="A211" s="304">
        <v>43331</v>
      </c>
      <c r="B211" s="305" t="s">
        <v>8223</v>
      </c>
      <c r="C211" s="306" t="s">
        <v>8022</v>
      </c>
      <c r="D211" s="307">
        <v>6.65</v>
      </c>
      <c r="E211" s="308"/>
    </row>
    <row r="212" spans="1:6" ht="9" customHeight="1">
      <c r="A212" s="858" t="s">
        <v>8224</v>
      </c>
      <c r="B212" s="858"/>
      <c r="C212" s="858"/>
      <c r="D212" s="858"/>
      <c r="E212" s="858"/>
      <c r="F212" s="858"/>
    </row>
    <row r="213" spans="1:6" ht="9" customHeight="1">
      <c r="A213" s="301" t="s">
        <v>8014</v>
      </c>
      <c r="B213" s="302" t="s">
        <v>8015</v>
      </c>
      <c r="C213" s="301" t="s">
        <v>8016</v>
      </c>
      <c r="D213" s="303" t="s">
        <v>8017</v>
      </c>
      <c r="E213" s="302" t="s">
        <v>8018</v>
      </c>
    </row>
    <row r="214" spans="1:6" ht="9" customHeight="1">
      <c r="A214" s="304">
        <v>100394</v>
      </c>
      <c r="B214" s="305" t="s">
        <v>8225</v>
      </c>
      <c r="C214" s="306" t="s">
        <v>8226</v>
      </c>
      <c r="D214" s="307">
        <v>9.1999999999999993</v>
      </c>
      <c r="E214" s="308"/>
    </row>
    <row r="215" spans="1:6" ht="9" customHeight="1">
      <c r="A215" s="304">
        <v>40376</v>
      </c>
      <c r="B215" s="305" t="s">
        <v>8227</v>
      </c>
      <c r="C215" s="306" t="s">
        <v>8226</v>
      </c>
      <c r="D215" s="307">
        <v>8.7100000000000009</v>
      </c>
      <c r="E215" s="308"/>
    </row>
    <row r="216" spans="1:6" ht="18.149999999999999" customHeight="1">
      <c r="A216" s="304">
        <v>43351</v>
      </c>
      <c r="B216" s="309" t="s">
        <v>8228</v>
      </c>
      <c r="C216" s="306" t="s">
        <v>8226</v>
      </c>
      <c r="D216" s="307">
        <v>8.8699999999999992</v>
      </c>
      <c r="E216" s="310"/>
    </row>
    <row r="217" spans="1:6" ht="9" customHeight="1">
      <c r="A217" s="304">
        <v>43350</v>
      </c>
      <c r="B217" s="305" t="s">
        <v>8229</v>
      </c>
      <c r="C217" s="306" t="s">
        <v>8226</v>
      </c>
      <c r="D217" s="307">
        <v>9.1999999999999993</v>
      </c>
      <c r="E217" s="308"/>
    </row>
    <row r="218" spans="1:6" ht="9" customHeight="1">
      <c r="A218" s="304">
        <v>41261</v>
      </c>
      <c r="B218" s="305" t="s">
        <v>8230</v>
      </c>
      <c r="C218" s="306" t="s">
        <v>8226</v>
      </c>
      <c r="D218" s="307">
        <v>8.5399999999999991</v>
      </c>
      <c r="E218" s="308"/>
    </row>
    <row r="219" spans="1:6" ht="9" customHeight="1">
      <c r="A219" s="304">
        <v>41023</v>
      </c>
      <c r="B219" s="305" t="s">
        <v>8231</v>
      </c>
      <c r="C219" s="306" t="s">
        <v>8137</v>
      </c>
      <c r="D219" s="307">
        <v>132.22999999999999</v>
      </c>
      <c r="E219" s="308"/>
    </row>
    <row r="220" spans="1:6" ht="18.149999999999999" customHeight="1">
      <c r="A220" s="304">
        <v>41575</v>
      </c>
      <c r="B220" s="309" t="s">
        <v>8232</v>
      </c>
      <c r="C220" s="306" t="s">
        <v>8020</v>
      </c>
      <c r="D220" s="307">
        <v>46.01</v>
      </c>
      <c r="E220" s="305" t="s">
        <v>8076</v>
      </c>
    </row>
    <row r="221" spans="1:6" ht="18.149999999999999" customHeight="1">
      <c r="A221" s="304">
        <v>40346</v>
      </c>
      <c r="B221" s="309" t="s">
        <v>8233</v>
      </c>
      <c r="C221" s="306" t="s">
        <v>8020</v>
      </c>
      <c r="D221" s="307">
        <v>77.86</v>
      </c>
      <c r="E221" s="305" t="s">
        <v>8076</v>
      </c>
    </row>
    <row r="222" spans="1:6" ht="18.149999999999999" customHeight="1">
      <c r="A222" s="304">
        <v>40345</v>
      </c>
      <c r="B222" s="309" t="s">
        <v>8234</v>
      </c>
      <c r="C222" s="306" t="s">
        <v>8020</v>
      </c>
      <c r="D222" s="307">
        <v>60.39</v>
      </c>
      <c r="E222" s="305" t="s">
        <v>8076</v>
      </c>
    </row>
    <row r="223" spans="1:6" ht="18.149999999999999" customHeight="1">
      <c r="A223" s="304">
        <v>40343</v>
      </c>
      <c r="B223" s="309" t="s">
        <v>8235</v>
      </c>
      <c r="C223" s="306" t="s">
        <v>8022</v>
      </c>
      <c r="D223" s="307">
        <v>324.16000000000003</v>
      </c>
      <c r="E223" s="305" t="s">
        <v>8076</v>
      </c>
    </row>
    <row r="224" spans="1:6" ht="9" customHeight="1">
      <c r="A224" s="304">
        <v>40344</v>
      </c>
      <c r="B224" s="305" t="s">
        <v>8236</v>
      </c>
      <c r="C224" s="306" t="s">
        <v>8022</v>
      </c>
      <c r="D224" s="307">
        <v>230.36</v>
      </c>
      <c r="E224" s="305" t="s">
        <v>8076</v>
      </c>
    </row>
    <row r="225" spans="1:5" ht="9" customHeight="1">
      <c r="A225" s="304">
        <v>41027</v>
      </c>
      <c r="B225" s="305" t="s">
        <v>8237</v>
      </c>
      <c r="C225" s="306" t="s">
        <v>8022</v>
      </c>
      <c r="D225" s="307">
        <v>26.1</v>
      </c>
      <c r="E225" s="308"/>
    </row>
    <row r="226" spans="1:5" ht="9" customHeight="1">
      <c r="A226" s="304">
        <v>40337</v>
      </c>
      <c r="B226" s="305" t="s">
        <v>8238</v>
      </c>
      <c r="C226" s="306" t="s">
        <v>8020</v>
      </c>
      <c r="D226" s="307">
        <v>100.7</v>
      </c>
      <c r="E226" s="308"/>
    </row>
    <row r="227" spans="1:5" ht="9" customHeight="1">
      <c r="A227" s="304">
        <v>40395</v>
      </c>
      <c r="B227" s="305" t="s">
        <v>8239</v>
      </c>
      <c r="C227" s="306" t="s">
        <v>8020</v>
      </c>
      <c r="D227" s="307">
        <v>22.28</v>
      </c>
      <c r="E227" s="308"/>
    </row>
    <row r="228" spans="1:5" ht="9" customHeight="1">
      <c r="A228" s="304">
        <v>40300</v>
      </c>
      <c r="B228" s="305" t="s">
        <v>8240</v>
      </c>
      <c r="C228" s="306" t="s">
        <v>8022</v>
      </c>
      <c r="D228" s="307">
        <v>47.6</v>
      </c>
      <c r="E228" s="308"/>
    </row>
    <row r="229" spans="1:5" ht="9" customHeight="1">
      <c r="A229" s="304">
        <v>40348</v>
      </c>
      <c r="B229" s="305" t="s">
        <v>8241</v>
      </c>
      <c r="C229" s="306" t="s">
        <v>8022</v>
      </c>
      <c r="D229" s="307">
        <v>430.65</v>
      </c>
      <c r="E229" s="305" t="s">
        <v>8076</v>
      </c>
    </row>
    <row r="230" spans="1:5" ht="9" customHeight="1">
      <c r="A230" s="304">
        <v>40347</v>
      </c>
      <c r="B230" s="305" t="s">
        <v>8242</v>
      </c>
      <c r="C230" s="306" t="s">
        <v>8022</v>
      </c>
      <c r="D230" s="307">
        <v>759.1</v>
      </c>
      <c r="E230" s="305" t="s">
        <v>8076</v>
      </c>
    </row>
    <row r="231" spans="1:5" ht="9" customHeight="1">
      <c r="A231" s="304">
        <v>41415</v>
      </c>
      <c r="B231" s="305" t="s">
        <v>8243</v>
      </c>
      <c r="C231" s="306" t="s">
        <v>8022</v>
      </c>
      <c r="D231" s="307">
        <v>445.4</v>
      </c>
      <c r="E231" s="305" t="s">
        <v>8076</v>
      </c>
    </row>
    <row r="232" spans="1:5" ht="9" customHeight="1">
      <c r="A232" s="304">
        <v>42257</v>
      </c>
      <c r="B232" s="305" t="s">
        <v>8244</v>
      </c>
      <c r="C232" s="306" t="s">
        <v>8022</v>
      </c>
      <c r="D232" s="307">
        <v>6.83</v>
      </c>
      <c r="E232" s="308"/>
    </row>
    <row r="233" spans="1:5" ht="9" customHeight="1">
      <c r="A233" s="304">
        <v>40519</v>
      </c>
      <c r="B233" s="305" t="s">
        <v>8245</v>
      </c>
      <c r="C233" s="306" t="s">
        <v>8137</v>
      </c>
      <c r="D233" s="307">
        <v>244.41</v>
      </c>
      <c r="E233" s="305" t="s">
        <v>8076</v>
      </c>
    </row>
    <row r="234" spans="1:5" ht="9" customHeight="1">
      <c r="A234" s="304">
        <v>40520</v>
      </c>
      <c r="B234" s="305" t="s">
        <v>8246</v>
      </c>
      <c r="C234" s="306" t="s">
        <v>8137</v>
      </c>
      <c r="D234" s="307">
        <v>381.47</v>
      </c>
      <c r="E234" s="305" t="s">
        <v>8076</v>
      </c>
    </row>
    <row r="235" spans="1:5" ht="9" customHeight="1">
      <c r="A235" s="304">
        <v>40521</v>
      </c>
      <c r="B235" s="305" t="s">
        <v>8247</v>
      </c>
      <c r="C235" s="306" t="s">
        <v>8137</v>
      </c>
      <c r="D235" s="307">
        <v>548.32000000000005</v>
      </c>
      <c r="E235" s="305" t="s">
        <v>8076</v>
      </c>
    </row>
    <row r="236" spans="1:5" ht="9" customHeight="1">
      <c r="A236" s="304">
        <v>40522</v>
      </c>
      <c r="B236" s="305" t="s">
        <v>8248</v>
      </c>
      <c r="C236" s="306" t="s">
        <v>8137</v>
      </c>
      <c r="D236" s="307">
        <v>739.69</v>
      </c>
      <c r="E236" s="305" t="s">
        <v>8076</v>
      </c>
    </row>
    <row r="237" spans="1:5" ht="9" customHeight="1">
      <c r="A237" s="304">
        <v>40523</v>
      </c>
      <c r="B237" s="305" t="s">
        <v>8249</v>
      </c>
      <c r="C237" s="306" t="s">
        <v>8137</v>
      </c>
      <c r="D237" s="311">
        <v>1067.01</v>
      </c>
      <c r="E237" s="305" t="s">
        <v>8076</v>
      </c>
    </row>
    <row r="238" spans="1:5" ht="9" customHeight="1">
      <c r="A238" s="304">
        <v>40513</v>
      </c>
      <c r="B238" s="305" t="s">
        <v>8250</v>
      </c>
      <c r="C238" s="306" t="s">
        <v>8137</v>
      </c>
      <c r="D238" s="307">
        <v>88.32</v>
      </c>
      <c r="E238" s="305" t="s">
        <v>8076</v>
      </c>
    </row>
    <row r="239" spans="1:5" ht="9" customHeight="1">
      <c r="A239" s="304">
        <v>40514</v>
      </c>
      <c r="B239" s="305" t="s">
        <v>8251</v>
      </c>
      <c r="C239" s="306" t="s">
        <v>8137</v>
      </c>
      <c r="D239" s="307">
        <v>147.24</v>
      </c>
      <c r="E239" s="305" t="s">
        <v>8076</v>
      </c>
    </row>
    <row r="240" spans="1:5" ht="9" customHeight="1">
      <c r="A240" s="304">
        <v>40515</v>
      </c>
      <c r="B240" s="305" t="s">
        <v>8252</v>
      </c>
      <c r="C240" s="306" t="s">
        <v>8137</v>
      </c>
      <c r="D240" s="307">
        <v>223.88</v>
      </c>
      <c r="E240" s="305" t="s">
        <v>8076</v>
      </c>
    </row>
    <row r="241" spans="1:6" ht="9" customHeight="1">
      <c r="A241" s="304">
        <v>40516</v>
      </c>
      <c r="B241" s="305" t="s">
        <v>8253</v>
      </c>
      <c r="C241" s="306" t="s">
        <v>8137</v>
      </c>
      <c r="D241" s="307">
        <v>315.2</v>
      </c>
      <c r="E241" s="305" t="s">
        <v>8076</v>
      </c>
    </row>
    <row r="242" spans="1:6" ht="9" customHeight="1">
      <c r="A242" s="304">
        <v>40517</v>
      </c>
      <c r="B242" s="305" t="s">
        <v>8254</v>
      </c>
      <c r="C242" s="306" t="s">
        <v>8137</v>
      </c>
      <c r="D242" s="307">
        <v>419.19</v>
      </c>
      <c r="E242" s="305" t="s">
        <v>8076</v>
      </c>
    </row>
    <row r="243" spans="1:6" ht="9" customHeight="1">
      <c r="A243" s="304">
        <v>40518</v>
      </c>
      <c r="B243" s="305" t="s">
        <v>8255</v>
      </c>
      <c r="C243" s="306" t="s">
        <v>8137</v>
      </c>
      <c r="D243" s="307">
        <v>594.63</v>
      </c>
      <c r="E243" s="305" t="s">
        <v>8076</v>
      </c>
    </row>
    <row r="244" spans="1:6" ht="9" customHeight="1">
      <c r="A244" s="304">
        <v>40524</v>
      </c>
      <c r="B244" s="305" t="s">
        <v>8256</v>
      </c>
      <c r="C244" s="306" t="s">
        <v>8137</v>
      </c>
      <c r="D244" s="307">
        <v>339.95</v>
      </c>
      <c r="E244" s="305" t="s">
        <v>8076</v>
      </c>
    </row>
    <row r="245" spans="1:6" ht="9" customHeight="1">
      <c r="A245" s="304">
        <v>40525</v>
      </c>
      <c r="B245" s="305" t="s">
        <v>8257</v>
      </c>
      <c r="C245" s="306" t="s">
        <v>8137</v>
      </c>
      <c r="D245" s="307">
        <v>539.88</v>
      </c>
      <c r="E245" s="305" t="s">
        <v>8076</v>
      </c>
    </row>
    <row r="246" spans="1:6" ht="9" customHeight="1">
      <c r="A246" s="304">
        <v>40526</v>
      </c>
      <c r="B246" s="305" t="s">
        <v>8258</v>
      </c>
      <c r="C246" s="306" t="s">
        <v>8137</v>
      </c>
      <c r="D246" s="307">
        <v>781.03</v>
      </c>
      <c r="E246" s="305" t="s">
        <v>8076</v>
      </c>
    </row>
    <row r="247" spans="1:6" ht="9" customHeight="1">
      <c r="A247" s="304">
        <v>40527</v>
      </c>
      <c r="B247" s="305" t="s">
        <v>8259</v>
      </c>
      <c r="C247" s="306" t="s">
        <v>8137</v>
      </c>
      <c r="D247" s="311">
        <v>1060.17</v>
      </c>
      <c r="E247" s="305" t="s">
        <v>8076</v>
      </c>
    </row>
    <row r="248" spans="1:6" ht="9" customHeight="1">
      <c r="A248" s="304">
        <v>40528</v>
      </c>
      <c r="B248" s="305" t="s">
        <v>8260</v>
      </c>
      <c r="C248" s="306" t="s">
        <v>8137</v>
      </c>
      <c r="D248" s="311">
        <v>1539.38</v>
      </c>
      <c r="E248" s="305" t="s">
        <v>8076</v>
      </c>
    </row>
    <row r="249" spans="1:6" ht="9" customHeight="1">
      <c r="A249" s="304">
        <v>41177</v>
      </c>
      <c r="B249" s="305" t="s">
        <v>8261</v>
      </c>
      <c r="C249" s="306" t="s">
        <v>8137</v>
      </c>
      <c r="D249" s="307">
        <v>40.83</v>
      </c>
      <c r="E249" s="305" t="s">
        <v>8076</v>
      </c>
    </row>
    <row r="250" spans="1:6" ht="9" customHeight="1">
      <c r="A250" s="304">
        <v>100391</v>
      </c>
      <c r="B250" s="305" t="s">
        <v>8262</v>
      </c>
      <c r="C250" s="306" t="s">
        <v>8137</v>
      </c>
      <c r="D250" s="307">
        <v>45.47</v>
      </c>
      <c r="E250" s="305" t="s">
        <v>8076</v>
      </c>
    </row>
    <row r="251" spans="1:6" ht="9" customHeight="1">
      <c r="A251" s="304">
        <v>41172</v>
      </c>
      <c r="B251" s="305" t="s">
        <v>8263</v>
      </c>
      <c r="C251" s="306" t="s">
        <v>8137</v>
      </c>
      <c r="D251" s="307">
        <v>78.17</v>
      </c>
      <c r="E251" s="305" t="s">
        <v>8076</v>
      </c>
    </row>
    <row r="252" spans="1:6" ht="9" customHeight="1">
      <c r="A252" s="304">
        <v>40620</v>
      </c>
      <c r="B252" s="305" t="s">
        <v>8264</v>
      </c>
      <c r="C252" s="306" t="s">
        <v>8036</v>
      </c>
      <c r="D252" s="311">
        <v>13549.07</v>
      </c>
      <c r="E252" s="308"/>
    </row>
    <row r="253" spans="1:6" ht="9" customHeight="1">
      <c r="A253" s="858" t="s">
        <v>8224</v>
      </c>
      <c r="B253" s="858"/>
      <c r="C253" s="858"/>
      <c r="D253" s="858"/>
      <c r="E253" s="858"/>
      <c r="F253" s="858"/>
    </row>
    <row r="254" spans="1:6" ht="9" customHeight="1">
      <c r="A254" s="301" t="s">
        <v>8014</v>
      </c>
      <c r="B254" s="302" t="s">
        <v>8015</v>
      </c>
      <c r="C254" s="301" t="s">
        <v>8016</v>
      </c>
      <c r="D254" s="303" t="s">
        <v>8017</v>
      </c>
      <c r="E254" s="302" t="s">
        <v>8018</v>
      </c>
    </row>
    <row r="255" spans="1:6" ht="9" customHeight="1">
      <c r="A255" s="304">
        <v>40627</v>
      </c>
      <c r="B255" s="305" t="s">
        <v>8265</v>
      </c>
      <c r="C255" s="306" t="s">
        <v>8036</v>
      </c>
      <c r="D255" s="311">
        <v>23800.21</v>
      </c>
      <c r="E255" s="308"/>
    </row>
    <row r="256" spans="1:6" ht="9" customHeight="1">
      <c r="A256" s="304">
        <v>40623</v>
      </c>
      <c r="B256" s="305" t="s">
        <v>8266</v>
      </c>
      <c r="C256" s="306" t="s">
        <v>8036</v>
      </c>
      <c r="D256" s="311">
        <v>28541.59</v>
      </c>
      <c r="E256" s="308"/>
    </row>
    <row r="257" spans="1:5" ht="9" customHeight="1">
      <c r="A257" s="304">
        <v>40624</v>
      </c>
      <c r="B257" s="305" t="s">
        <v>8267</v>
      </c>
      <c r="C257" s="306" t="s">
        <v>8036</v>
      </c>
      <c r="D257" s="311">
        <v>35994.839999999997</v>
      </c>
      <c r="E257" s="308"/>
    </row>
    <row r="258" spans="1:5" ht="9" customHeight="1">
      <c r="A258" s="304">
        <v>40625</v>
      </c>
      <c r="B258" s="305" t="s">
        <v>8268</v>
      </c>
      <c r="C258" s="306" t="s">
        <v>8036</v>
      </c>
      <c r="D258" s="311">
        <v>40431</v>
      </c>
      <c r="E258" s="308"/>
    </row>
    <row r="259" spans="1:5" ht="9" customHeight="1">
      <c r="A259" s="304">
        <v>40613</v>
      </c>
      <c r="B259" s="305" t="s">
        <v>8269</v>
      </c>
      <c r="C259" s="306" t="s">
        <v>8036</v>
      </c>
      <c r="D259" s="311">
        <v>11872.29</v>
      </c>
      <c r="E259" s="308"/>
    </row>
    <row r="260" spans="1:5" ht="9" customHeight="1">
      <c r="A260" s="304">
        <v>40614</v>
      </c>
      <c r="B260" s="305" t="s">
        <v>8270</v>
      </c>
      <c r="C260" s="306" t="s">
        <v>8036</v>
      </c>
      <c r="D260" s="311">
        <v>18128.04</v>
      </c>
      <c r="E260" s="308"/>
    </row>
    <row r="261" spans="1:5" ht="9" customHeight="1">
      <c r="A261" s="304">
        <v>40615</v>
      </c>
      <c r="B261" s="305" t="s">
        <v>8271</v>
      </c>
      <c r="C261" s="306" t="s">
        <v>8036</v>
      </c>
      <c r="D261" s="311">
        <v>27030.05</v>
      </c>
      <c r="E261" s="308"/>
    </row>
    <row r="262" spans="1:5" ht="9" customHeight="1">
      <c r="A262" s="304">
        <v>40616</v>
      </c>
      <c r="B262" s="305" t="s">
        <v>8272</v>
      </c>
      <c r="C262" s="306" t="s">
        <v>8036</v>
      </c>
      <c r="D262" s="311">
        <v>23756.62</v>
      </c>
      <c r="E262" s="308"/>
    </row>
    <row r="263" spans="1:5" ht="9" customHeight="1">
      <c r="A263" s="304">
        <v>40617</v>
      </c>
      <c r="B263" s="305" t="s">
        <v>8273</v>
      </c>
      <c r="C263" s="306" t="s">
        <v>8036</v>
      </c>
      <c r="D263" s="311">
        <v>30183.68</v>
      </c>
      <c r="E263" s="308"/>
    </row>
    <row r="264" spans="1:5" ht="9" customHeight="1">
      <c r="A264" s="304">
        <v>40618</v>
      </c>
      <c r="B264" s="305" t="s">
        <v>8274</v>
      </c>
      <c r="C264" s="306" t="s">
        <v>8036</v>
      </c>
      <c r="D264" s="311">
        <v>33836.76</v>
      </c>
      <c r="E264" s="308"/>
    </row>
    <row r="265" spans="1:5" ht="9" customHeight="1">
      <c r="A265" s="304">
        <v>40629</v>
      </c>
      <c r="B265" s="305" t="s">
        <v>8275</v>
      </c>
      <c r="C265" s="306" t="s">
        <v>8036</v>
      </c>
      <c r="D265" s="311">
        <v>16700.2</v>
      </c>
      <c r="E265" s="308"/>
    </row>
    <row r="266" spans="1:5" ht="9" customHeight="1">
      <c r="A266" s="304">
        <v>40630</v>
      </c>
      <c r="B266" s="305" t="s">
        <v>8276</v>
      </c>
      <c r="C266" s="306" t="s">
        <v>8036</v>
      </c>
      <c r="D266" s="311">
        <v>25115.87</v>
      </c>
      <c r="E266" s="308"/>
    </row>
    <row r="267" spans="1:5" ht="9" customHeight="1">
      <c r="A267" s="304">
        <v>40631</v>
      </c>
      <c r="B267" s="305" t="s">
        <v>8277</v>
      </c>
      <c r="C267" s="306" t="s">
        <v>8036</v>
      </c>
      <c r="D267" s="311">
        <v>37682.39</v>
      </c>
      <c r="E267" s="308"/>
    </row>
    <row r="268" spans="1:5" ht="9" customHeight="1">
      <c r="A268" s="304">
        <v>40632</v>
      </c>
      <c r="B268" s="305" t="s">
        <v>8278</v>
      </c>
      <c r="C268" s="306" t="s">
        <v>8036</v>
      </c>
      <c r="D268" s="311">
        <v>34837.879999999997</v>
      </c>
      <c r="E268" s="308"/>
    </row>
    <row r="269" spans="1:5" ht="9" customHeight="1">
      <c r="A269" s="304">
        <v>40633</v>
      </c>
      <c r="B269" s="305" t="s">
        <v>8279</v>
      </c>
      <c r="C269" s="306" t="s">
        <v>8036</v>
      </c>
      <c r="D269" s="311">
        <v>42846.33</v>
      </c>
      <c r="E269" s="308"/>
    </row>
    <row r="270" spans="1:5" ht="9" customHeight="1">
      <c r="A270" s="304">
        <v>40634</v>
      </c>
      <c r="B270" s="305" t="s">
        <v>8280</v>
      </c>
      <c r="C270" s="306" t="s">
        <v>8036</v>
      </c>
      <c r="D270" s="311">
        <v>48522.59</v>
      </c>
      <c r="E270" s="308"/>
    </row>
    <row r="271" spans="1:5" ht="9" customHeight="1">
      <c r="A271" s="304">
        <v>40535</v>
      </c>
      <c r="B271" s="305" t="s">
        <v>8281</v>
      </c>
      <c r="C271" s="306" t="s">
        <v>8036</v>
      </c>
      <c r="D271" s="311">
        <v>1268.07</v>
      </c>
      <c r="E271" s="305" t="s">
        <v>8076</v>
      </c>
    </row>
    <row r="272" spans="1:5" ht="9" customHeight="1">
      <c r="A272" s="304">
        <v>40536</v>
      </c>
      <c r="B272" s="305" t="s">
        <v>8282</v>
      </c>
      <c r="C272" s="306" t="s">
        <v>8036</v>
      </c>
      <c r="D272" s="311">
        <v>2094.71</v>
      </c>
      <c r="E272" s="305" t="s">
        <v>8076</v>
      </c>
    </row>
    <row r="273" spans="1:5" ht="9" customHeight="1">
      <c r="A273" s="304">
        <v>40537</v>
      </c>
      <c r="B273" s="305" t="s">
        <v>8283</v>
      </c>
      <c r="C273" s="306" t="s">
        <v>8036</v>
      </c>
      <c r="D273" s="311">
        <v>3921.19</v>
      </c>
      <c r="E273" s="305" t="s">
        <v>8076</v>
      </c>
    </row>
    <row r="274" spans="1:5" ht="9" customHeight="1">
      <c r="A274" s="304">
        <v>40538</v>
      </c>
      <c r="B274" s="305" t="s">
        <v>8284</v>
      </c>
      <c r="C274" s="306" t="s">
        <v>8036</v>
      </c>
      <c r="D274" s="311">
        <v>5638.52</v>
      </c>
      <c r="E274" s="305" t="s">
        <v>8076</v>
      </c>
    </row>
    <row r="275" spans="1:5" ht="9" customHeight="1">
      <c r="A275" s="304">
        <v>40539</v>
      </c>
      <c r="B275" s="305" t="s">
        <v>8285</v>
      </c>
      <c r="C275" s="306" t="s">
        <v>8036</v>
      </c>
      <c r="D275" s="311">
        <v>9851.7800000000007</v>
      </c>
      <c r="E275" s="305" t="s">
        <v>8076</v>
      </c>
    </row>
    <row r="276" spans="1:5" ht="9" customHeight="1">
      <c r="A276" s="304">
        <v>40529</v>
      </c>
      <c r="B276" s="305" t="s">
        <v>8286</v>
      </c>
      <c r="C276" s="306" t="s">
        <v>8036</v>
      </c>
      <c r="D276" s="307">
        <v>369.53</v>
      </c>
      <c r="E276" s="305" t="s">
        <v>8076</v>
      </c>
    </row>
    <row r="277" spans="1:5" ht="9" customHeight="1">
      <c r="A277" s="304">
        <v>40530</v>
      </c>
      <c r="B277" s="305" t="s">
        <v>8287</v>
      </c>
      <c r="C277" s="306" t="s">
        <v>8036</v>
      </c>
      <c r="D277" s="311">
        <v>1119.79</v>
      </c>
      <c r="E277" s="305" t="s">
        <v>8076</v>
      </c>
    </row>
    <row r="278" spans="1:5" ht="9" customHeight="1">
      <c r="A278" s="304">
        <v>40531</v>
      </c>
      <c r="B278" s="305" t="s">
        <v>8288</v>
      </c>
      <c r="C278" s="306" t="s">
        <v>8036</v>
      </c>
      <c r="D278" s="311">
        <v>1846.86</v>
      </c>
      <c r="E278" s="305" t="s">
        <v>8076</v>
      </c>
    </row>
    <row r="279" spans="1:5" ht="9" customHeight="1">
      <c r="A279" s="304">
        <v>40532</v>
      </c>
      <c r="B279" s="305" t="s">
        <v>8289</v>
      </c>
      <c r="C279" s="306" t="s">
        <v>8036</v>
      </c>
      <c r="D279" s="311">
        <v>2822.39</v>
      </c>
      <c r="E279" s="305" t="s">
        <v>8076</v>
      </c>
    </row>
    <row r="280" spans="1:5" ht="9" customHeight="1">
      <c r="A280" s="304">
        <v>40533</v>
      </c>
      <c r="B280" s="305" t="s">
        <v>8290</v>
      </c>
      <c r="C280" s="306" t="s">
        <v>8036</v>
      </c>
      <c r="D280" s="311">
        <v>4047.03</v>
      </c>
      <c r="E280" s="305" t="s">
        <v>8076</v>
      </c>
    </row>
    <row r="281" spans="1:5" ht="9" customHeight="1">
      <c r="A281" s="304">
        <v>40534</v>
      </c>
      <c r="B281" s="305" t="s">
        <v>8291</v>
      </c>
      <c r="C281" s="306" t="s">
        <v>8036</v>
      </c>
      <c r="D281" s="311">
        <v>7248.4</v>
      </c>
      <c r="E281" s="305" t="s">
        <v>8076</v>
      </c>
    </row>
    <row r="282" spans="1:5" ht="9" customHeight="1">
      <c r="A282" s="304">
        <v>40540</v>
      </c>
      <c r="B282" s="305" t="s">
        <v>8292</v>
      </c>
      <c r="C282" s="306" t="s">
        <v>8036</v>
      </c>
      <c r="D282" s="311">
        <v>1577.44</v>
      </c>
      <c r="E282" s="305" t="s">
        <v>8076</v>
      </c>
    </row>
    <row r="283" spans="1:5" ht="9" customHeight="1">
      <c r="A283" s="304">
        <v>40541</v>
      </c>
      <c r="B283" s="305" t="s">
        <v>8293</v>
      </c>
      <c r="C283" s="306" t="s">
        <v>8036</v>
      </c>
      <c r="D283" s="311">
        <v>2563.84</v>
      </c>
      <c r="E283" s="305" t="s">
        <v>8076</v>
      </c>
    </row>
    <row r="284" spans="1:5" ht="9" customHeight="1">
      <c r="A284" s="304">
        <v>40542</v>
      </c>
      <c r="B284" s="305" t="s">
        <v>8294</v>
      </c>
      <c r="C284" s="306" t="s">
        <v>8036</v>
      </c>
      <c r="D284" s="311">
        <v>5019.99</v>
      </c>
      <c r="E284" s="305" t="s">
        <v>8076</v>
      </c>
    </row>
    <row r="285" spans="1:5" ht="9" customHeight="1">
      <c r="A285" s="304">
        <v>40543</v>
      </c>
      <c r="B285" s="305" t="s">
        <v>8295</v>
      </c>
      <c r="C285" s="306" t="s">
        <v>8036</v>
      </c>
      <c r="D285" s="311">
        <v>7229.14</v>
      </c>
      <c r="E285" s="305" t="s">
        <v>8076</v>
      </c>
    </row>
    <row r="286" spans="1:5" ht="9" customHeight="1">
      <c r="A286" s="304">
        <v>40544</v>
      </c>
      <c r="B286" s="305" t="s">
        <v>8296</v>
      </c>
      <c r="C286" s="306" t="s">
        <v>8036</v>
      </c>
      <c r="D286" s="311">
        <v>12504.34</v>
      </c>
      <c r="E286" s="305" t="s">
        <v>8076</v>
      </c>
    </row>
    <row r="287" spans="1:5" ht="9" customHeight="1">
      <c r="A287" s="304">
        <v>40565</v>
      </c>
      <c r="B287" s="305" t="s">
        <v>8297</v>
      </c>
      <c r="C287" s="306" t="s">
        <v>8036</v>
      </c>
      <c r="D287" s="311">
        <v>3027.49</v>
      </c>
      <c r="E287" s="308"/>
    </row>
    <row r="288" spans="1:5" ht="9" customHeight="1">
      <c r="A288" s="304">
        <v>40656</v>
      </c>
      <c r="B288" s="305" t="s">
        <v>8298</v>
      </c>
      <c r="C288" s="306" t="s">
        <v>8036</v>
      </c>
      <c r="D288" s="307">
        <v>237.65</v>
      </c>
      <c r="E288" s="305" t="s">
        <v>8076</v>
      </c>
    </row>
    <row r="289" spans="1:5" ht="18.149999999999999" customHeight="1">
      <c r="A289" s="304">
        <v>41102</v>
      </c>
      <c r="B289" s="309" t="s">
        <v>8299</v>
      </c>
      <c r="C289" s="306" t="s">
        <v>8137</v>
      </c>
      <c r="D289" s="311">
        <v>1913.1</v>
      </c>
      <c r="E289" s="305" t="s">
        <v>8076</v>
      </c>
    </row>
    <row r="290" spans="1:5" ht="18.149999999999999" customHeight="1">
      <c r="A290" s="304">
        <v>41103</v>
      </c>
      <c r="B290" s="309" t="s">
        <v>8300</v>
      </c>
      <c r="C290" s="306" t="s">
        <v>8137</v>
      </c>
      <c r="D290" s="311">
        <v>2648.28</v>
      </c>
      <c r="E290" s="305" t="s">
        <v>8076</v>
      </c>
    </row>
    <row r="291" spans="1:5" ht="18.149999999999999" customHeight="1">
      <c r="A291" s="304">
        <v>41104</v>
      </c>
      <c r="B291" s="309" t="s">
        <v>8301</v>
      </c>
      <c r="C291" s="306" t="s">
        <v>8137</v>
      </c>
      <c r="D291" s="311">
        <v>3788.63</v>
      </c>
      <c r="E291" s="305" t="s">
        <v>8076</v>
      </c>
    </row>
    <row r="292" spans="1:5" ht="18.149999999999999" customHeight="1">
      <c r="A292" s="304">
        <v>41155</v>
      </c>
      <c r="B292" s="309" t="s">
        <v>8302</v>
      </c>
      <c r="C292" s="306" t="s">
        <v>8137</v>
      </c>
      <c r="D292" s="311">
        <v>4859.62</v>
      </c>
      <c r="E292" s="305" t="s">
        <v>8076</v>
      </c>
    </row>
    <row r="293" spans="1:5" ht="18.149999999999999" customHeight="1">
      <c r="A293" s="304">
        <v>40635</v>
      </c>
      <c r="B293" s="309" t="s">
        <v>8303</v>
      </c>
      <c r="C293" s="306" t="s">
        <v>8137</v>
      </c>
      <c r="D293" s="311">
        <v>11091.32</v>
      </c>
      <c r="E293" s="305" t="s">
        <v>8076</v>
      </c>
    </row>
    <row r="294" spans="1:5" ht="18.149999999999999" customHeight="1">
      <c r="A294" s="304">
        <v>42230</v>
      </c>
      <c r="B294" s="309" t="s">
        <v>8304</v>
      </c>
      <c r="C294" s="306" t="s">
        <v>8137</v>
      </c>
      <c r="D294" s="311">
        <v>8085.26</v>
      </c>
      <c r="E294" s="305" t="s">
        <v>8076</v>
      </c>
    </row>
    <row r="295" spans="1:5" ht="9" customHeight="1">
      <c r="A295" s="304">
        <v>40658</v>
      </c>
      <c r="B295" s="305" t="s">
        <v>8305</v>
      </c>
      <c r="C295" s="306" t="s">
        <v>8020</v>
      </c>
      <c r="D295" s="307">
        <v>5.19</v>
      </c>
      <c r="E295" s="308"/>
    </row>
    <row r="296" spans="1:5" ht="9" customHeight="1">
      <c r="A296" s="304">
        <v>41161</v>
      </c>
      <c r="B296" s="305" t="s">
        <v>8306</v>
      </c>
      <c r="C296" s="306" t="s">
        <v>8036</v>
      </c>
      <c r="D296" s="311">
        <v>4045.9</v>
      </c>
      <c r="E296" s="308"/>
    </row>
    <row r="297" spans="1:5" ht="9" customHeight="1">
      <c r="A297" s="304">
        <v>40563</v>
      </c>
      <c r="B297" s="305" t="s">
        <v>8307</v>
      </c>
      <c r="C297" s="306" t="s">
        <v>8036</v>
      </c>
      <c r="D297" s="311">
        <v>4368.6400000000003</v>
      </c>
      <c r="E297" s="308"/>
    </row>
    <row r="298" spans="1:5" ht="9" customHeight="1">
      <c r="A298" s="304">
        <v>40564</v>
      </c>
      <c r="B298" s="305" t="s">
        <v>8308</v>
      </c>
      <c r="C298" s="306" t="s">
        <v>8036</v>
      </c>
      <c r="D298" s="311">
        <v>5367.79</v>
      </c>
      <c r="E298" s="308"/>
    </row>
    <row r="299" spans="1:5" ht="9" customHeight="1">
      <c r="A299" s="304">
        <v>41333</v>
      </c>
      <c r="B299" s="305" t="s">
        <v>8309</v>
      </c>
      <c r="C299" s="306" t="s">
        <v>8036</v>
      </c>
      <c r="D299" s="311">
        <v>2047.59</v>
      </c>
      <c r="E299" s="305" t="s">
        <v>8076</v>
      </c>
    </row>
    <row r="300" spans="1:5" ht="9" customHeight="1">
      <c r="A300" s="304">
        <v>40545</v>
      </c>
      <c r="B300" s="305" t="s">
        <v>8310</v>
      </c>
      <c r="C300" s="306" t="s">
        <v>8036</v>
      </c>
      <c r="D300" s="311">
        <v>2032.84</v>
      </c>
      <c r="E300" s="305" t="s">
        <v>8076</v>
      </c>
    </row>
    <row r="301" spans="1:5" ht="9" customHeight="1">
      <c r="A301" s="304">
        <v>40546</v>
      </c>
      <c r="B301" s="305" t="s">
        <v>8311</v>
      </c>
      <c r="C301" s="306" t="s">
        <v>8036</v>
      </c>
      <c r="D301" s="311">
        <v>3156.3</v>
      </c>
      <c r="E301" s="305" t="s">
        <v>8076</v>
      </c>
    </row>
    <row r="302" spans="1:5" ht="9" customHeight="1">
      <c r="A302" s="304">
        <v>40547</v>
      </c>
      <c r="B302" s="305" t="s">
        <v>8312</v>
      </c>
      <c r="C302" s="306" t="s">
        <v>8036</v>
      </c>
      <c r="D302" s="311">
        <v>3920.97</v>
      </c>
      <c r="E302" s="305" t="s">
        <v>8076</v>
      </c>
    </row>
    <row r="303" spans="1:5" ht="9" customHeight="1">
      <c r="A303" s="304">
        <v>40548</v>
      </c>
      <c r="B303" s="305" t="s">
        <v>8313</v>
      </c>
      <c r="C303" s="306" t="s">
        <v>8036</v>
      </c>
      <c r="D303" s="311">
        <v>4658.08</v>
      </c>
      <c r="E303" s="305" t="s">
        <v>8076</v>
      </c>
    </row>
    <row r="304" spans="1:5" ht="9" customHeight="1">
      <c r="A304" s="304">
        <v>40549</v>
      </c>
      <c r="B304" s="305" t="s">
        <v>8314</v>
      </c>
      <c r="C304" s="306" t="s">
        <v>8036</v>
      </c>
      <c r="D304" s="311">
        <v>1341.63</v>
      </c>
      <c r="E304" s="308"/>
    </row>
    <row r="305" spans="1:6" ht="9" customHeight="1">
      <c r="A305" s="304">
        <v>41320</v>
      </c>
      <c r="B305" s="305" t="s">
        <v>8315</v>
      </c>
      <c r="C305" s="306" t="s">
        <v>8036</v>
      </c>
      <c r="D305" s="311">
        <v>7592.18</v>
      </c>
      <c r="E305" s="305" t="s">
        <v>8076</v>
      </c>
    </row>
    <row r="306" spans="1:6" ht="9" customHeight="1">
      <c r="A306" s="304">
        <v>41184</v>
      </c>
      <c r="B306" s="305" t="s">
        <v>8316</v>
      </c>
      <c r="C306" s="306" t="s">
        <v>8137</v>
      </c>
      <c r="D306" s="311">
        <v>1199.58</v>
      </c>
      <c r="E306" s="308"/>
    </row>
    <row r="307" spans="1:6" ht="9" customHeight="1">
      <c r="A307" s="304">
        <v>41338</v>
      </c>
      <c r="B307" s="305" t="s">
        <v>8317</v>
      </c>
      <c r="C307" s="306" t="s">
        <v>8036</v>
      </c>
      <c r="D307" s="307">
        <v>552.87</v>
      </c>
      <c r="E307" s="308"/>
    </row>
    <row r="308" spans="1:6" ht="9" customHeight="1">
      <c r="A308" s="304">
        <v>40561</v>
      </c>
      <c r="B308" s="305" t="s">
        <v>8318</v>
      </c>
      <c r="C308" s="306" t="s">
        <v>8036</v>
      </c>
      <c r="D308" s="307">
        <v>678.49</v>
      </c>
      <c r="E308" s="305" t="s">
        <v>8076</v>
      </c>
    </row>
    <row r="309" spans="1:6" ht="9" customHeight="1">
      <c r="A309" s="304">
        <v>40672</v>
      </c>
      <c r="B309" s="305" t="s">
        <v>8319</v>
      </c>
      <c r="C309" s="306" t="s">
        <v>8137</v>
      </c>
      <c r="D309" s="307">
        <v>653.55999999999995</v>
      </c>
      <c r="E309" s="305" t="s">
        <v>8076</v>
      </c>
    </row>
    <row r="310" spans="1:6" ht="9" customHeight="1">
      <c r="A310" s="304">
        <v>40703</v>
      </c>
      <c r="B310" s="305" t="s">
        <v>8320</v>
      </c>
      <c r="C310" s="306" t="s">
        <v>8137</v>
      </c>
      <c r="D310" s="307">
        <v>196.14</v>
      </c>
      <c r="E310" s="308"/>
    </row>
    <row r="311" spans="1:6" ht="9" customHeight="1">
      <c r="A311" s="304">
        <v>40671</v>
      </c>
      <c r="B311" s="305" t="s">
        <v>8321</v>
      </c>
      <c r="C311" s="306" t="s">
        <v>8137</v>
      </c>
      <c r="D311" s="307">
        <v>249.27</v>
      </c>
      <c r="E311" s="308"/>
    </row>
    <row r="312" spans="1:6" ht="9" customHeight="1">
      <c r="A312" s="304">
        <v>41016</v>
      </c>
      <c r="B312" s="305" t="s">
        <v>8322</v>
      </c>
      <c r="C312" s="306" t="s">
        <v>8137</v>
      </c>
      <c r="D312" s="307">
        <v>183.55</v>
      </c>
      <c r="E312" s="305" t="s">
        <v>8076</v>
      </c>
    </row>
    <row r="313" spans="1:6" ht="9" customHeight="1">
      <c r="A313" s="858" t="s">
        <v>8224</v>
      </c>
      <c r="B313" s="858"/>
      <c r="C313" s="858"/>
      <c r="D313" s="858"/>
      <c r="E313" s="858"/>
      <c r="F313" s="858"/>
    </row>
    <row r="314" spans="1:6" ht="9" customHeight="1">
      <c r="A314" s="301" t="s">
        <v>8014</v>
      </c>
      <c r="B314" s="302" t="s">
        <v>8015</v>
      </c>
      <c r="C314" s="301" t="s">
        <v>8016</v>
      </c>
      <c r="D314" s="303" t="s">
        <v>8017</v>
      </c>
      <c r="E314" s="302" t="s">
        <v>8018</v>
      </c>
    </row>
    <row r="315" spans="1:6" ht="9" customHeight="1">
      <c r="A315" s="304">
        <v>40952</v>
      </c>
      <c r="B315" s="305" t="s">
        <v>8323</v>
      </c>
      <c r="C315" s="306" t="s">
        <v>8020</v>
      </c>
      <c r="D315" s="307">
        <v>36.6</v>
      </c>
      <c r="E315" s="308"/>
    </row>
    <row r="316" spans="1:6" ht="9" customHeight="1">
      <c r="A316" s="304">
        <v>40953</v>
      </c>
      <c r="B316" s="305" t="s">
        <v>8324</v>
      </c>
      <c r="C316" s="306" t="s">
        <v>8137</v>
      </c>
      <c r="D316" s="307">
        <v>81.73</v>
      </c>
      <c r="E316" s="305" t="s">
        <v>8076</v>
      </c>
    </row>
    <row r="317" spans="1:6" ht="18.149999999999999" customHeight="1">
      <c r="A317" s="304">
        <v>40708</v>
      </c>
      <c r="B317" s="309" t="s">
        <v>8325</v>
      </c>
      <c r="C317" s="306" t="s">
        <v>8020</v>
      </c>
      <c r="D317" s="307">
        <v>84.7</v>
      </c>
      <c r="E317" s="310"/>
    </row>
    <row r="318" spans="1:6" ht="9" customHeight="1">
      <c r="A318" s="304">
        <v>40377</v>
      </c>
      <c r="B318" s="305" t="s">
        <v>8326</v>
      </c>
      <c r="C318" s="306" t="s">
        <v>8020</v>
      </c>
      <c r="D318" s="307">
        <v>5.3</v>
      </c>
      <c r="E318" s="308"/>
    </row>
    <row r="319" spans="1:6" ht="9" customHeight="1">
      <c r="A319" s="304">
        <v>40378</v>
      </c>
      <c r="B319" s="305" t="s">
        <v>8327</v>
      </c>
      <c r="C319" s="306" t="s">
        <v>8020</v>
      </c>
      <c r="D319" s="307">
        <v>8.6300000000000008</v>
      </c>
      <c r="E319" s="308"/>
    </row>
    <row r="320" spans="1:6" ht="9" customHeight="1">
      <c r="A320" s="304">
        <v>41389</v>
      </c>
      <c r="B320" s="305" t="s">
        <v>8328</v>
      </c>
      <c r="C320" s="306" t="s">
        <v>8022</v>
      </c>
      <c r="D320" s="307">
        <v>4.5599999999999996</v>
      </c>
      <c r="E320" s="308"/>
    </row>
    <row r="321" spans="1:5" ht="18.149999999999999" customHeight="1">
      <c r="A321" s="304">
        <v>40715</v>
      </c>
      <c r="B321" s="309" t="s">
        <v>8329</v>
      </c>
      <c r="C321" s="306" t="s">
        <v>8022</v>
      </c>
      <c r="D321" s="307">
        <v>82.97</v>
      </c>
      <c r="E321" s="305" t="s">
        <v>8076</v>
      </c>
    </row>
    <row r="322" spans="1:5" ht="18.149999999999999" customHeight="1">
      <c r="A322" s="304">
        <v>40716</v>
      </c>
      <c r="B322" s="309" t="s">
        <v>8330</v>
      </c>
      <c r="C322" s="306" t="s">
        <v>8022</v>
      </c>
      <c r="D322" s="307">
        <v>89.71</v>
      </c>
      <c r="E322" s="305" t="s">
        <v>8076</v>
      </c>
    </row>
    <row r="323" spans="1:5" ht="18.149999999999999" customHeight="1">
      <c r="A323" s="304">
        <v>40717</v>
      </c>
      <c r="B323" s="309" t="s">
        <v>8331</v>
      </c>
      <c r="C323" s="306" t="s">
        <v>8022</v>
      </c>
      <c r="D323" s="307">
        <v>91.22</v>
      </c>
      <c r="E323" s="305" t="s">
        <v>8076</v>
      </c>
    </row>
    <row r="324" spans="1:5" ht="18.149999999999999" customHeight="1">
      <c r="A324" s="304">
        <v>40718</v>
      </c>
      <c r="B324" s="309" t="s">
        <v>8332</v>
      </c>
      <c r="C324" s="306" t="s">
        <v>8022</v>
      </c>
      <c r="D324" s="307">
        <v>94</v>
      </c>
      <c r="E324" s="305" t="s">
        <v>8076</v>
      </c>
    </row>
    <row r="325" spans="1:5" ht="9" customHeight="1">
      <c r="A325" s="304">
        <v>40652</v>
      </c>
      <c r="B325" s="305" t="s">
        <v>8333</v>
      </c>
      <c r="C325" s="306" t="s">
        <v>8137</v>
      </c>
      <c r="D325" s="307">
        <v>377.19</v>
      </c>
      <c r="E325" s="305" t="s">
        <v>8076</v>
      </c>
    </row>
    <row r="326" spans="1:5" ht="18.149999999999999" customHeight="1">
      <c r="A326" s="304">
        <v>41090</v>
      </c>
      <c r="B326" s="309" t="s">
        <v>8334</v>
      </c>
      <c r="C326" s="306" t="s">
        <v>8022</v>
      </c>
      <c r="D326" s="307">
        <v>877.23</v>
      </c>
      <c r="E326" s="310"/>
    </row>
    <row r="327" spans="1:5" ht="9" customHeight="1">
      <c r="A327" s="304">
        <v>40350</v>
      </c>
      <c r="B327" s="305" t="s">
        <v>8335</v>
      </c>
      <c r="C327" s="306" t="s">
        <v>8022</v>
      </c>
      <c r="D327" s="307">
        <v>381.2</v>
      </c>
      <c r="E327" s="305" t="s">
        <v>8076</v>
      </c>
    </row>
    <row r="328" spans="1:5" ht="9" customHeight="1">
      <c r="A328" s="304">
        <v>40351</v>
      </c>
      <c r="B328" s="305" t="s">
        <v>8336</v>
      </c>
      <c r="C328" s="306" t="s">
        <v>8022</v>
      </c>
      <c r="D328" s="307">
        <v>408.26</v>
      </c>
      <c r="E328" s="305" t="s">
        <v>8076</v>
      </c>
    </row>
    <row r="329" spans="1:5" ht="9" customHeight="1">
      <c r="A329" s="304">
        <v>40353</v>
      </c>
      <c r="B329" s="305" t="s">
        <v>8337</v>
      </c>
      <c r="C329" s="306" t="s">
        <v>8022</v>
      </c>
      <c r="D329" s="307">
        <v>421.76</v>
      </c>
      <c r="E329" s="305" t="s">
        <v>8076</v>
      </c>
    </row>
    <row r="330" spans="1:5" ht="9" customHeight="1">
      <c r="A330" s="304">
        <v>40349</v>
      </c>
      <c r="B330" s="305" t="s">
        <v>8338</v>
      </c>
      <c r="C330" s="306" t="s">
        <v>8022</v>
      </c>
      <c r="D330" s="307">
        <v>423</v>
      </c>
      <c r="E330" s="305" t="s">
        <v>8076</v>
      </c>
    </row>
    <row r="331" spans="1:5" ht="9" customHeight="1">
      <c r="A331" s="304">
        <v>40358</v>
      </c>
      <c r="B331" s="305" t="s">
        <v>8339</v>
      </c>
      <c r="C331" s="306" t="s">
        <v>8022</v>
      </c>
      <c r="D331" s="307">
        <v>540.6</v>
      </c>
      <c r="E331" s="305" t="s">
        <v>8076</v>
      </c>
    </row>
    <row r="332" spans="1:5" ht="9" customHeight="1">
      <c r="A332" s="304">
        <v>40361</v>
      </c>
      <c r="B332" s="305" t="s">
        <v>8340</v>
      </c>
      <c r="C332" s="306" t="s">
        <v>8022</v>
      </c>
      <c r="D332" s="307">
        <v>564.08000000000004</v>
      </c>
      <c r="E332" s="305" t="s">
        <v>8076</v>
      </c>
    </row>
    <row r="333" spans="1:5" ht="9" customHeight="1">
      <c r="A333" s="304">
        <v>40360</v>
      </c>
      <c r="B333" s="305" t="s">
        <v>8341</v>
      </c>
      <c r="C333" s="306" t="s">
        <v>8022</v>
      </c>
      <c r="D333" s="307">
        <v>559.88</v>
      </c>
      <c r="E333" s="305" t="s">
        <v>8076</v>
      </c>
    </row>
    <row r="334" spans="1:5" ht="9" customHeight="1">
      <c r="A334" s="304">
        <v>40363</v>
      </c>
      <c r="B334" s="305" t="s">
        <v>8342</v>
      </c>
      <c r="C334" s="306" t="s">
        <v>8022</v>
      </c>
      <c r="D334" s="307">
        <v>585.04999999999995</v>
      </c>
      <c r="E334" s="305" t="s">
        <v>8076</v>
      </c>
    </row>
    <row r="335" spans="1:5" ht="18.149999999999999" customHeight="1">
      <c r="A335" s="304">
        <v>40362</v>
      </c>
      <c r="B335" s="309" t="s">
        <v>8343</v>
      </c>
      <c r="C335" s="306" t="s">
        <v>8022</v>
      </c>
      <c r="D335" s="307">
        <v>580.35</v>
      </c>
      <c r="E335" s="305" t="s">
        <v>8076</v>
      </c>
    </row>
    <row r="336" spans="1:5" ht="9" customHeight="1">
      <c r="A336" s="304">
        <v>40368</v>
      </c>
      <c r="B336" s="305" t="s">
        <v>8344</v>
      </c>
      <c r="C336" s="306" t="s">
        <v>8022</v>
      </c>
      <c r="D336" s="307">
        <v>783.6</v>
      </c>
      <c r="E336" s="305" t="s">
        <v>8076</v>
      </c>
    </row>
    <row r="337" spans="1:5" ht="9" customHeight="1">
      <c r="A337" s="304">
        <v>40365</v>
      </c>
      <c r="B337" s="305" t="s">
        <v>8345</v>
      </c>
      <c r="C337" s="306" t="s">
        <v>8022</v>
      </c>
      <c r="D337" s="307">
        <v>604.41999999999996</v>
      </c>
      <c r="E337" s="305" t="s">
        <v>8076</v>
      </c>
    </row>
    <row r="338" spans="1:5" ht="9" customHeight="1">
      <c r="A338" s="304">
        <v>40364</v>
      </c>
      <c r="B338" s="305" t="s">
        <v>8346</v>
      </c>
      <c r="C338" s="306" t="s">
        <v>8022</v>
      </c>
      <c r="D338" s="307">
        <v>599.24</v>
      </c>
      <c r="E338" s="305" t="s">
        <v>8076</v>
      </c>
    </row>
    <row r="339" spans="1:5" ht="9" customHeight="1">
      <c r="A339" s="304">
        <v>40369</v>
      </c>
      <c r="B339" s="305" t="s">
        <v>8347</v>
      </c>
      <c r="C339" s="306" t="s">
        <v>8022</v>
      </c>
      <c r="D339" s="307">
        <v>825.14</v>
      </c>
      <c r="E339" s="305" t="s">
        <v>8076</v>
      </c>
    </row>
    <row r="340" spans="1:5" ht="9" customHeight="1">
      <c r="A340" s="304">
        <v>40371</v>
      </c>
      <c r="B340" s="305" t="s">
        <v>8348</v>
      </c>
      <c r="C340" s="306" t="s">
        <v>8022</v>
      </c>
      <c r="D340" s="311">
        <v>1046.1199999999999</v>
      </c>
      <c r="E340" s="305" t="s">
        <v>8076</v>
      </c>
    </row>
    <row r="341" spans="1:5" ht="18.149999999999999" customHeight="1">
      <c r="A341" s="304">
        <v>40467</v>
      </c>
      <c r="B341" s="309" t="s">
        <v>8349</v>
      </c>
      <c r="C341" s="306" t="s">
        <v>8137</v>
      </c>
      <c r="D341" s="307">
        <v>281.55</v>
      </c>
      <c r="E341" s="305" t="s">
        <v>8076</v>
      </c>
    </row>
    <row r="342" spans="1:5" ht="18.149999999999999" customHeight="1">
      <c r="A342" s="304">
        <v>40468</v>
      </c>
      <c r="B342" s="309" t="s">
        <v>8350</v>
      </c>
      <c r="C342" s="306" t="s">
        <v>8137</v>
      </c>
      <c r="D342" s="307">
        <v>304.06</v>
      </c>
      <c r="E342" s="305" t="s">
        <v>8076</v>
      </c>
    </row>
    <row r="343" spans="1:5" ht="18.149999999999999" customHeight="1">
      <c r="A343" s="304">
        <v>40469</v>
      </c>
      <c r="B343" s="309" t="s">
        <v>8351</v>
      </c>
      <c r="C343" s="306" t="s">
        <v>8137</v>
      </c>
      <c r="D343" s="307">
        <v>299.26</v>
      </c>
      <c r="E343" s="305" t="s">
        <v>8076</v>
      </c>
    </row>
    <row r="344" spans="1:5" ht="18.149999999999999" customHeight="1">
      <c r="A344" s="304">
        <v>40470</v>
      </c>
      <c r="B344" s="309" t="s">
        <v>8352</v>
      </c>
      <c r="C344" s="306" t="s">
        <v>8137</v>
      </c>
      <c r="D344" s="307">
        <v>336.23</v>
      </c>
      <c r="E344" s="305" t="s">
        <v>8076</v>
      </c>
    </row>
    <row r="345" spans="1:5" ht="18.149999999999999" customHeight="1">
      <c r="A345" s="304">
        <v>40471</v>
      </c>
      <c r="B345" s="309" t="s">
        <v>8353</v>
      </c>
      <c r="C345" s="306" t="s">
        <v>8137</v>
      </c>
      <c r="D345" s="307">
        <v>613.16</v>
      </c>
      <c r="E345" s="305" t="s">
        <v>8076</v>
      </c>
    </row>
    <row r="346" spans="1:5" ht="18.149999999999999" customHeight="1">
      <c r="A346" s="304">
        <v>40472</v>
      </c>
      <c r="B346" s="309" t="s">
        <v>8354</v>
      </c>
      <c r="C346" s="306" t="s">
        <v>8137</v>
      </c>
      <c r="D346" s="307">
        <v>642.69000000000005</v>
      </c>
      <c r="E346" s="305" t="s">
        <v>8076</v>
      </c>
    </row>
    <row r="347" spans="1:5" ht="18.149999999999999" customHeight="1">
      <c r="A347" s="304">
        <v>40473</v>
      </c>
      <c r="B347" s="309" t="s">
        <v>8355</v>
      </c>
      <c r="C347" s="306" t="s">
        <v>8137</v>
      </c>
      <c r="D347" s="307">
        <v>632.80999999999995</v>
      </c>
      <c r="E347" s="305" t="s">
        <v>8076</v>
      </c>
    </row>
    <row r="348" spans="1:5" ht="18.149999999999999" customHeight="1">
      <c r="A348" s="304">
        <v>40474</v>
      </c>
      <c r="B348" s="309" t="s">
        <v>8356</v>
      </c>
      <c r="C348" s="306" t="s">
        <v>8137</v>
      </c>
      <c r="D348" s="307">
        <v>703.17</v>
      </c>
      <c r="E348" s="305" t="s">
        <v>8076</v>
      </c>
    </row>
    <row r="349" spans="1:5" ht="18.149999999999999" customHeight="1">
      <c r="A349" s="304">
        <v>40475</v>
      </c>
      <c r="B349" s="309" t="s">
        <v>8357</v>
      </c>
      <c r="C349" s="306" t="s">
        <v>8137</v>
      </c>
      <c r="D349" s="307">
        <v>851.95</v>
      </c>
      <c r="E349" s="305" t="s">
        <v>8076</v>
      </c>
    </row>
    <row r="350" spans="1:5" ht="18.149999999999999" customHeight="1">
      <c r="A350" s="304">
        <v>40476</v>
      </c>
      <c r="B350" s="309" t="s">
        <v>8358</v>
      </c>
      <c r="C350" s="306" t="s">
        <v>8137</v>
      </c>
      <c r="D350" s="307">
        <v>869.24</v>
      </c>
      <c r="E350" s="305" t="s">
        <v>8076</v>
      </c>
    </row>
    <row r="351" spans="1:5" ht="18.149999999999999" customHeight="1">
      <c r="A351" s="304">
        <v>40477</v>
      </c>
      <c r="B351" s="309" t="s">
        <v>8359</v>
      </c>
      <c r="C351" s="306" t="s">
        <v>8137</v>
      </c>
      <c r="D351" s="307">
        <v>825.17</v>
      </c>
      <c r="E351" s="305" t="s">
        <v>8076</v>
      </c>
    </row>
    <row r="352" spans="1:5" ht="18.149999999999999" customHeight="1">
      <c r="A352" s="304">
        <v>40478</v>
      </c>
      <c r="B352" s="309" t="s">
        <v>8360</v>
      </c>
      <c r="C352" s="306" t="s">
        <v>8137</v>
      </c>
      <c r="D352" s="307">
        <v>989.8</v>
      </c>
      <c r="E352" s="305" t="s">
        <v>8076</v>
      </c>
    </row>
    <row r="353" spans="1:6" ht="18.149999999999999" customHeight="1">
      <c r="A353" s="304">
        <v>40479</v>
      </c>
      <c r="B353" s="309" t="s">
        <v>8361</v>
      </c>
      <c r="C353" s="306" t="s">
        <v>8137</v>
      </c>
      <c r="D353" s="311">
        <v>1060.5999999999999</v>
      </c>
      <c r="E353" s="305" t="s">
        <v>8076</v>
      </c>
    </row>
    <row r="354" spans="1:6" ht="18.149999999999999" customHeight="1">
      <c r="A354" s="304">
        <v>40480</v>
      </c>
      <c r="B354" s="309" t="s">
        <v>8362</v>
      </c>
      <c r="C354" s="306" t="s">
        <v>8137</v>
      </c>
      <c r="D354" s="311">
        <v>1184.6600000000001</v>
      </c>
      <c r="E354" s="305" t="s">
        <v>8076</v>
      </c>
    </row>
    <row r="355" spans="1:6" ht="18.149999999999999" customHeight="1">
      <c r="A355" s="304">
        <v>40481</v>
      </c>
      <c r="B355" s="309" t="s">
        <v>8363</v>
      </c>
      <c r="C355" s="306" t="s">
        <v>8137</v>
      </c>
      <c r="D355" s="311">
        <v>1163.74</v>
      </c>
      <c r="E355" s="305" t="s">
        <v>8076</v>
      </c>
    </row>
    <row r="356" spans="1:6" ht="18.149999999999999" customHeight="1">
      <c r="A356" s="304">
        <v>40482</v>
      </c>
      <c r="B356" s="309" t="s">
        <v>8364</v>
      </c>
      <c r="C356" s="306" t="s">
        <v>8137</v>
      </c>
      <c r="D356" s="311">
        <v>1154.58</v>
      </c>
      <c r="E356" s="305" t="s">
        <v>8076</v>
      </c>
    </row>
    <row r="357" spans="1:6" ht="18.149999999999999" customHeight="1">
      <c r="A357" s="304">
        <v>40483</v>
      </c>
      <c r="B357" s="309" t="s">
        <v>8365</v>
      </c>
      <c r="C357" s="306" t="s">
        <v>8137</v>
      </c>
      <c r="D357" s="311">
        <v>1304.46</v>
      </c>
      <c r="E357" s="305" t="s">
        <v>8076</v>
      </c>
    </row>
    <row r="358" spans="1:6" ht="9" customHeight="1">
      <c r="A358" s="858" t="s">
        <v>8224</v>
      </c>
      <c r="B358" s="858"/>
      <c r="C358" s="858"/>
      <c r="D358" s="858"/>
      <c r="E358" s="858"/>
      <c r="F358" s="858"/>
    </row>
    <row r="359" spans="1:6" ht="9" customHeight="1">
      <c r="A359" s="301" t="s">
        <v>8014</v>
      </c>
      <c r="B359" s="302" t="s">
        <v>8015</v>
      </c>
      <c r="C359" s="301" t="s">
        <v>8016</v>
      </c>
      <c r="D359" s="303" t="s">
        <v>8017</v>
      </c>
      <c r="E359" s="302" t="s">
        <v>8018</v>
      </c>
    </row>
    <row r="360" spans="1:6" ht="18.149999999999999" customHeight="1">
      <c r="A360" s="304">
        <v>40484</v>
      </c>
      <c r="B360" s="309" t="s">
        <v>8366</v>
      </c>
      <c r="C360" s="306" t="s">
        <v>8137</v>
      </c>
      <c r="D360" s="311">
        <v>1446.04</v>
      </c>
      <c r="E360" s="305" t="s">
        <v>8076</v>
      </c>
    </row>
    <row r="361" spans="1:6" ht="18.149999999999999" customHeight="1">
      <c r="A361" s="304">
        <v>40485</v>
      </c>
      <c r="B361" s="309" t="s">
        <v>8367</v>
      </c>
      <c r="C361" s="306" t="s">
        <v>8137</v>
      </c>
      <c r="D361" s="311">
        <v>1606.6</v>
      </c>
      <c r="E361" s="305" t="s">
        <v>8076</v>
      </c>
    </row>
    <row r="362" spans="1:6" ht="18.149999999999999" customHeight="1">
      <c r="A362" s="304">
        <v>40486</v>
      </c>
      <c r="B362" s="309" t="s">
        <v>8368</v>
      </c>
      <c r="C362" s="306" t="s">
        <v>8137</v>
      </c>
      <c r="D362" s="311">
        <v>1637.07</v>
      </c>
      <c r="E362" s="305" t="s">
        <v>8076</v>
      </c>
    </row>
    <row r="363" spans="1:6" ht="18.149999999999999" customHeight="1">
      <c r="A363" s="304">
        <v>40487</v>
      </c>
      <c r="B363" s="309" t="s">
        <v>8369</v>
      </c>
      <c r="C363" s="306" t="s">
        <v>8137</v>
      </c>
      <c r="D363" s="311">
        <v>1594.16</v>
      </c>
      <c r="E363" s="305" t="s">
        <v>8076</v>
      </c>
    </row>
    <row r="364" spans="1:6" ht="18.149999999999999" customHeight="1">
      <c r="A364" s="304">
        <v>40488</v>
      </c>
      <c r="B364" s="309" t="s">
        <v>8370</v>
      </c>
      <c r="C364" s="306" t="s">
        <v>8137</v>
      </c>
      <c r="D364" s="311">
        <v>1864.44</v>
      </c>
      <c r="E364" s="305" t="s">
        <v>8076</v>
      </c>
    </row>
    <row r="365" spans="1:6" ht="18.149999999999999" customHeight="1">
      <c r="A365" s="304">
        <v>40489</v>
      </c>
      <c r="B365" s="309" t="s">
        <v>8371</v>
      </c>
      <c r="C365" s="306" t="s">
        <v>8137</v>
      </c>
      <c r="D365" s="311">
        <v>1967.42</v>
      </c>
      <c r="E365" s="305" t="s">
        <v>8076</v>
      </c>
    </row>
    <row r="366" spans="1:6" ht="9" customHeight="1">
      <c r="A366" s="304">
        <v>40417</v>
      </c>
      <c r="B366" s="305" t="s">
        <v>8372</v>
      </c>
      <c r="C366" s="306" t="s">
        <v>8137</v>
      </c>
      <c r="D366" s="307">
        <v>95.14</v>
      </c>
      <c r="E366" s="305" t="s">
        <v>8076</v>
      </c>
    </row>
    <row r="367" spans="1:6" ht="9" customHeight="1">
      <c r="A367" s="304">
        <v>40418</v>
      </c>
      <c r="B367" s="305" t="s">
        <v>8373</v>
      </c>
      <c r="C367" s="306" t="s">
        <v>8137</v>
      </c>
      <c r="D367" s="307">
        <v>93.64</v>
      </c>
      <c r="E367" s="305" t="s">
        <v>8076</v>
      </c>
    </row>
    <row r="368" spans="1:6" ht="9" customHeight="1">
      <c r="A368" s="304">
        <v>40419</v>
      </c>
      <c r="B368" s="305" t="s">
        <v>8374</v>
      </c>
      <c r="C368" s="306" t="s">
        <v>8137</v>
      </c>
      <c r="D368" s="307">
        <v>117.62</v>
      </c>
      <c r="E368" s="305" t="s">
        <v>8076</v>
      </c>
    </row>
    <row r="369" spans="1:5" ht="9" customHeight="1">
      <c r="A369" s="304">
        <v>40420</v>
      </c>
      <c r="B369" s="305" t="s">
        <v>8375</v>
      </c>
      <c r="C369" s="306" t="s">
        <v>8137</v>
      </c>
      <c r="D369" s="307">
        <v>118.87</v>
      </c>
      <c r="E369" s="305" t="s">
        <v>8076</v>
      </c>
    </row>
    <row r="370" spans="1:5" ht="9" customHeight="1">
      <c r="A370" s="304">
        <v>40422</v>
      </c>
      <c r="B370" s="305" t="s">
        <v>8376</v>
      </c>
      <c r="C370" s="306" t="s">
        <v>8137</v>
      </c>
      <c r="D370" s="307">
        <v>156.69</v>
      </c>
      <c r="E370" s="305" t="s">
        <v>8076</v>
      </c>
    </row>
    <row r="371" spans="1:5" ht="9" customHeight="1">
      <c r="A371" s="304">
        <v>40423</v>
      </c>
      <c r="B371" s="305" t="s">
        <v>8377</v>
      </c>
      <c r="C371" s="306" t="s">
        <v>8137</v>
      </c>
      <c r="D371" s="307">
        <v>161.94</v>
      </c>
      <c r="E371" s="305" t="s">
        <v>8076</v>
      </c>
    </row>
    <row r="372" spans="1:5" ht="9" customHeight="1">
      <c r="A372" s="304">
        <v>40426</v>
      </c>
      <c r="B372" s="305" t="s">
        <v>8378</v>
      </c>
      <c r="C372" s="306" t="s">
        <v>8137</v>
      </c>
      <c r="D372" s="307">
        <v>242.14</v>
      </c>
      <c r="E372" s="305" t="s">
        <v>8076</v>
      </c>
    </row>
    <row r="373" spans="1:5" ht="9" customHeight="1">
      <c r="A373" s="304">
        <v>40427</v>
      </c>
      <c r="B373" s="305" t="s">
        <v>8379</v>
      </c>
      <c r="C373" s="306" t="s">
        <v>8137</v>
      </c>
      <c r="D373" s="307">
        <v>243.67</v>
      </c>
      <c r="E373" s="305" t="s">
        <v>8076</v>
      </c>
    </row>
    <row r="374" spans="1:5" ht="18.149999999999999" customHeight="1">
      <c r="A374" s="304">
        <v>40421</v>
      </c>
      <c r="B374" s="309" t="s">
        <v>8380</v>
      </c>
      <c r="C374" s="306" t="s">
        <v>8137</v>
      </c>
      <c r="D374" s="307">
        <v>130.88</v>
      </c>
      <c r="E374" s="305" t="s">
        <v>8076</v>
      </c>
    </row>
    <row r="375" spans="1:5" ht="18.149999999999999" customHeight="1">
      <c r="A375" s="304">
        <v>40424</v>
      </c>
      <c r="B375" s="309" t="s">
        <v>8381</v>
      </c>
      <c r="C375" s="306" t="s">
        <v>8137</v>
      </c>
      <c r="D375" s="307">
        <v>173.09</v>
      </c>
      <c r="E375" s="305" t="s">
        <v>8076</v>
      </c>
    </row>
    <row r="376" spans="1:5" ht="18.149999999999999" customHeight="1">
      <c r="A376" s="304">
        <v>40425</v>
      </c>
      <c r="B376" s="309" t="s">
        <v>8382</v>
      </c>
      <c r="C376" s="306" t="s">
        <v>8137</v>
      </c>
      <c r="D376" s="307">
        <v>180.82</v>
      </c>
      <c r="E376" s="305" t="s">
        <v>8076</v>
      </c>
    </row>
    <row r="377" spans="1:5" ht="18.149999999999999" customHeight="1">
      <c r="A377" s="304">
        <v>40428</v>
      </c>
      <c r="B377" s="309" t="s">
        <v>8383</v>
      </c>
      <c r="C377" s="306" t="s">
        <v>8137</v>
      </c>
      <c r="D377" s="307">
        <v>243.15</v>
      </c>
      <c r="E377" s="305" t="s">
        <v>8076</v>
      </c>
    </row>
    <row r="378" spans="1:5" ht="18.149999999999999" customHeight="1">
      <c r="A378" s="304">
        <v>40429</v>
      </c>
      <c r="B378" s="309" t="s">
        <v>8384</v>
      </c>
      <c r="C378" s="306" t="s">
        <v>8137</v>
      </c>
      <c r="D378" s="307">
        <v>254.41</v>
      </c>
      <c r="E378" s="305" t="s">
        <v>8076</v>
      </c>
    </row>
    <row r="379" spans="1:5" ht="18.149999999999999" customHeight="1">
      <c r="A379" s="304">
        <v>40430</v>
      </c>
      <c r="B379" s="309" t="s">
        <v>8385</v>
      </c>
      <c r="C379" s="306" t="s">
        <v>8137</v>
      </c>
      <c r="D379" s="307">
        <v>252.01</v>
      </c>
      <c r="E379" s="305" t="s">
        <v>8076</v>
      </c>
    </row>
    <row r="380" spans="1:5" ht="18.149999999999999" customHeight="1">
      <c r="A380" s="304">
        <v>40431</v>
      </c>
      <c r="B380" s="309" t="s">
        <v>8386</v>
      </c>
      <c r="C380" s="306" t="s">
        <v>8137</v>
      </c>
      <c r="D380" s="307">
        <v>270.49</v>
      </c>
      <c r="E380" s="305" t="s">
        <v>8076</v>
      </c>
    </row>
    <row r="381" spans="1:5" ht="18.149999999999999" customHeight="1">
      <c r="A381" s="304">
        <v>40432</v>
      </c>
      <c r="B381" s="309" t="s">
        <v>8387</v>
      </c>
      <c r="C381" s="306" t="s">
        <v>8137</v>
      </c>
      <c r="D381" s="307">
        <v>491.09</v>
      </c>
      <c r="E381" s="305" t="s">
        <v>8076</v>
      </c>
    </row>
    <row r="382" spans="1:5" ht="18.149999999999999" customHeight="1">
      <c r="A382" s="304">
        <v>40433</v>
      </c>
      <c r="B382" s="309" t="s">
        <v>8388</v>
      </c>
      <c r="C382" s="306" t="s">
        <v>8137</v>
      </c>
      <c r="D382" s="307">
        <v>505.85</v>
      </c>
      <c r="E382" s="305" t="s">
        <v>8076</v>
      </c>
    </row>
    <row r="383" spans="1:5" ht="18.149999999999999" customHeight="1">
      <c r="A383" s="304">
        <v>40434</v>
      </c>
      <c r="B383" s="309" t="s">
        <v>8389</v>
      </c>
      <c r="C383" s="306" t="s">
        <v>8137</v>
      </c>
      <c r="D383" s="307">
        <v>500.91</v>
      </c>
      <c r="E383" s="305" t="s">
        <v>8076</v>
      </c>
    </row>
    <row r="384" spans="1:5" ht="18.149999999999999" customHeight="1">
      <c r="A384" s="304">
        <v>40435</v>
      </c>
      <c r="B384" s="309" t="s">
        <v>8390</v>
      </c>
      <c r="C384" s="306" t="s">
        <v>8137</v>
      </c>
      <c r="D384" s="307">
        <v>536.09</v>
      </c>
      <c r="E384" s="305" t="s">
        <v>8076</v>
      </c>
    </row>
    <row r="385" spans="1:6" ht="18.149999999999999" customHeight="1">
      <c r="A385" s="304">
        <v>40436</v>
      </c>
      <c r="B385" s="309" t="s">
        <v>8391</v>
      </c>
      <c r="C385" s="306" t="s">
        <v>8137</v>
      </c>
      <c r="D385" s="307">
        <v>696.67</v>
      </c>
      <c r="E385" s="305" t="s">
        <v>8076</v>
      </c>
    </row>
    <row r="386" spans="1:6" ht="18.149999999999999" customHeight="1">
      <c r="A386" s="304">
        <v>40437</v>
      </c>
      <c r="B386" s="309" t="s">
        <v>8392</v>
      </c>
      <c r="C386" s="306" t="s">
        <v>8137</v>
      </c>
      <c r="D386" s="307">
        <v>705.31</v>
      </c>
      <c r="E386" s="305" t="s">
        <v>8076</v>
      </c>
    </row>
    <row r="387" spans="1:6" ht="18.149999999999999" customHeight="1">
      <c r="A387" s="304">
        <v>40438</v>
      </c>
      <c r="B387" s="309" t="s">
        <v>8393</v>
      </c>
      <c r="C387" s="306" t="s">
        <v>8137</v>
      </c>
      <c r="D387" s="307">
        <v>683.27</v>
      </c>
      <c r="E387" s="305" t="s">
        <v>8076</v>
      </c>
    </row>
    <row r="388" spans="1:6" ht="18.149999999999999" customHeight="1">
      <c r="A388" s="304">
        <v>40439</v>
      </c>
      <c r="B388" s="309" t="s">
        <v>8394</v>
      </c>
      <c r="C388" s="306" t="s">
        <v>8137</v>
      </c>
      <c r="D388" s="307">
        <v>765.59</v>
      </c>
      <c r="E388" s="305" t="s">
        <v>8076</v>
      </c>
    </row>
    <row r="389" spans="1:6" ht="18.149999999999999" customHeight="1">
      <c r="A389" s="304">
        <v>40440</v>
      </c>
      <c r="B389" s="309" t="s">
        <v>8395</v>
      </c>
      <c r="C389" s="306" t="s">
        <v>8137</v>
      </c>
      <c r="D389" s="307">
        <v>947.08</v>
      </c>
      <c r="E389" s="305" t="s">
        <v>8076</v>
      </c>
    </row>
    <row r="390" spans="1:6" ht="18.149999999999999" customHeight="1">
      <c r="A390" s="304">
        <v>40441</v>
      </c>
      <c r="B390" s="309" t="s">
        <v>8396</v>
      </c>
      <c r="C390" s="306" t="s">
        <v>8137</v>
      </c>
      <c r="D390" s="307">
        <v>936.62</v>
      </c>
      <c r="E390" s="305" t="s">
        <v>8076</v>
      </c>
    </row>
    <row r="391" spans="1:6" ht="18.149999999999999" customHeight="1">
      <c r="A391" s="304">
        <v>40442</v>
      </c>
      <c r="B391" s="309" t="s">
        <v>8397</v>
      </c>
      <c r="C391" s="306" t="s">
        <v>8137</v>
      </c>
      <c r="D391" s="307">
        <v>932.05</v>
      </c>
      <c r="E391" s="305" t="s">
        <v>8076</v>
      </c>
    </row>
    <row r="392" spans="1:6" ht="18.149999999999999" customHeight="1">
      <c r="A392" s="304">
        <v>40443</v>
      </c>
      <c r="B392" s="309" t="s">
        <v>8398</v>
      </c>
      <c r="C392" s="306" t="s">
        <v>8137</v>
      </c>
      <c r="D392" s="311">
        <v>1006.99</v>
      </c>
      <c r="E392" s="305" t="s">
        <v>8076</v>
      </c>
    </row>
    <row r="393" spans="1:6" ht="18.149999999999999" customHeight="1">
      <c r="A393" s="304">
        <v>40444</v>
      </c>
      <c r="B393" s="309" t="s">
        <v>8399</v>
      </c>
      <c r="C393" s="306" t="s">
        <v>8137</v>
      </c>
      <c r="D393" s="307">
        <v>142.30000000000001</v>
      </c>
      <c r="E393" s="305" t="s">
        <v>8076</v>
      </c>
    </row>
    <row r="394" spans="1:6" ht="18.149999999999999" customHeight="1">
      <c r="A394" s="304">
        <v>40445</v>
      </c>
      <c r="B394" s="309" t="s">
        <v>8400</v>
      </c>
      <c r="C394" s="306" t="s">
        <v>8137</v>
      </c>
      <c r="D394" s="307">
        <v>153.55000000000001</v>
      </c>
      <c r="E394" s="305" t="s">
        <v>8076</v>
      </c>
    </row>
    <row r="395" spans="1:6" ht="18.149999999999999" customHeight="1">
      <c r="A395" s="304">
        <v>40446</v>
      </c>
      <c r="B395" s="309" t="s">
        <v>8401</v>
      </c>
      <c r="C395" s="306" t="s">
        <v>8137</v>
      </c>
      <c r="D395" s="307">
        <v>151.16</v>
      </c>
      <c r="E395" s="305" t="s">
        <v>8076</v>
      </c>
    </row>
    <row r="396" spans="1:6" ht="18.149999999999999" customHeight="1">
      <c r="A396" s="304">
        <v>40447</v>
      </c>
      <c r="B396" s="309" t="s">
        <v>8402</v>
      </c>
      <c r="C396" s="306" t="s">
        <v>8137</v>
      </c>
      <c r="D396" s="307">
        <v>169.64</v>
      </c>
      <c r="E396" s="305" t="s">
        <v>8076</v>
      </c>
    </row>
    <row r="397" spans="1:6" ht="18.149999999999999" customHeight="1">
      <c r="A397" s="304">
        <v>40448</v>
      </c>
      <c r="B397" s="309" t="s">
        <v>8403</v>
      </c>
      <c r="C397" s="306" t="s">
        <v>8137</v>
      </c>
      <c r="D397" s="307">
        <v>348.79</v>
      </c>
      <c r="E397" s="305" t="s">
        <v>8076</v>
      </c>
    </row>
    <row r="398" spans="1:6" ht="9" customHeight="1">
      <c r="A398" s="858" t="s">
        <v>8224</v>
      </c>
      <c r="B398" s="858"/>
      <c r="C398" s="858"/>
      <c r="D398" s="858"/>
      <c r="E398" s="858"/>
      <c r="F398" s="858"/>
    </row>
    <row r="399" spans="1:6" ht="9" customHeight="1">
      <c r="A399" s="301" t="s">
        <v>8014</v>
      </c>
      <c r="B399" s="302" t="s">
        <v>8015</v>
      </c>
      <c r="C399" s="301" t="s">
        <v>8016</v>
      </c>
      <c r="D399" s="303" t="s">
        <v>8017</v>
      </c>
      <c r="E399" s="302" t="s">
        <v>8018</v>
      </c>
    </row>
    <row r="400" spans="1:6" ht="18.149999999999999" customHeight="1">
      <c r="A400" s="304">
        <v>40449</v>
      </c>
      <c r="B400" s="309" t="s">
        <v>8404</v>
      </c>
      <c r="C400" s="306" t="s">
        <v>8137</v>
      </c>
      <c r="D400" s="307">
        <v>363.56</v>
      </c>
      <c r="E400" s="305" t="s">
        <v>8076</v>
      </c>
    </row>
    <row r="401" spans="1:5" ht="18.149999999999999" customHeight="1">
      <c r="A401" s="304">
        <v>40450</v>
      </c>
      <c r="B401" s="309" t="s">
        <v>8405</v>
      </c>
      <c r="C401" s="306" t="s">
        <v>8137</v>
      </c>
      <c r="D401" s="307">
        <v>358.62</v>
      </c>
      <c r="E401" s="305" t="s">
        <v>8076</v>
      </c>
    </row>
    <row r="402" spans="1:5" ht="18.149999999999999" customHeight="1">
      <c r="A402" s="304">
        <v>40451</v>
      </c>
      <c r="B402" s="309" t="s">
        <v>8406</v>
      </c>
      <c r="C402" s="306" t="s">
        <v>8137</v>
      </c>
      <c r="D402" s="307">
        <v>393.8</v>
      </c>
      <c r="E402" s="305" t="s">
        <v>8076</v>
      </c>
    </row>
    <row r="403" spans="1:5" ht="18.149999999999999" customHeight="1">
      <c r="A403" s="304">
        <v>40452</v>
      </c>
      <c r="B403" s="309" t="s">
        <v>8407</v>
      </c>
      <c r="C403" s="306" t="s">
        <v>8137</v>
      </c>
      <c r="D403" s="307">
        <v>467.35</v>
      </c>
      <c r="E403" s="305" t="s">
        <v>8076</v>
      </c>
    </row>
    <row r="404" spans="1:5" ht="18.149999999999999" customHeight="1">
      <c r="A404" s="304">
        <v>40453</v>
      </c>
      <c r="B404" s="309" t="s">
        <v>8408</v>
      </c>
      <c r="C404" s="306" t="s">
        <v>8137</v>
      </c>
      <c r="D404" s="307">
        <v>476</v>
      </c>
      <c r="E404" s="305" t="s">
        <v>8076</v>
      </c>
    </row>
    <row r="405" spans="1:5" ht="18.149999999999999" customHeight="1">
      <c r="A405" s="304">
        <v>40454</v>
      </c>
      <c r="B405" s="309" t="s">
        <v>8409</v>
      </c>
      <c r="C405" s="306" t="s">
        <v>8137</v>
      </c>
      <c r="D405" s="307">
        <v>453.96</v>
      </c>
      <c r="E405" s="305" t="s">
        <v>8076</v>
      </c>
    </row>
    <row r="406" spans="1:5" ht="18.149999999999999" customHeight="1">
      <c r="A406" s="304">
        <v>40455</v>
      </c>
      <c r="B406" s="309" t="s">
        <v>8410</v>
      </c>
      <c r="C406" s="306" t="s">
        <v>8137</v>
      </c>
      <c r="D406" s="307">
        <v>536.27</v>
      </c>
      <c r="E406" s="305" t="s">
        <v>8076</v>
      </c>
    </row>
    <row r="407" spans="1:5" ht="18.149999999999999" customHeight="1">
      <c r="A407" s="304">
        <v>40456</v>
      </c>
      <c r="B407" s="309" t="s">
        <v>8411</v>
      </c>
      <c r="C407" s="306" t="s">
        <v>8137</v>
      </c>
      <c r="D407" s="307">
        <v>571.67999999999995</v>
      </c>
      <c r="E407" s="305" t="s">
        <v>8076</v>
      </c>
    </row>
    <row r="408" spans="1:5" ht="18.149999999999999" customHeight="1">
      <c r="A408" s="304">
        <v>40457</v>
      </c>
      <c r="B408" s="309" t="s">
        <v>8412</v>
      </c>
      <c r="C408" s="306" t="s">
        <v>8137</v>
      </c>
      <c r="D408" s="307">
        <v>636.75</v>
      </c>
      <c r="E408" s="305" t="s">
        <v>8076</v>
      </c>
    </row>
    <row r="409" spans="1:5" ht="18.149999999999999" customHeight="1">
      <c r="A409" s="304">
        <v>40458</v>
      </c>
      <c r="B409" s="309" t="s">
        <v>8413</v>
      </c>
      <c r="C409" s="306" t="s">
        <v>8137</v>
      </c>
      <c r="D409" s="307">
        <v>626.29</v>
      </c>
      <c r="E409" s="305" t="s">
        <v>8076</v>
      </c>
    </row>
    <row r="410" spans="1:5" ht="18.149999999999999" customHeight="1">
      <c r="A410" s="304">
        <v>40459</v>
      </c>
      <c r="B410" s="309" t="s">
        <v>8414</v>
      </c>
      <c r="C410" s="306" t="s">
        <v>8137</v>
      </c>
      <c r="D410" s="307">
        <v>621.71</v>
      </c>
      <c r="E410" s="305" t="s">
        <v>8076</v>
      </c>
    </row>
    <row r="411" spans="1:5" ht="18.149999999999999" customHeight="1">
      <c r="A411" s="304">
        <v>40460</v>
      </c>
      <c r="B411" s="309" t="s">
        <v>8415</v>
      </c>
      <c r="C411" s="306" t="s">
        <v>8137</v>
      </c>
      <c r="D411" s="307">
        <v>696.65</v>
      </c>
      <c r="E411" s="305" t="s">
        <v>8076</v>
      </c>
    </row>
    <row r="412" spans="1:5" ht="18.149999999999999" customHeight="1">
      <c r="A412" s="304">
        <v>40461</v>
      </c>
      <c r="B412" s="309" t="s">
        <v>8416</v>
      </c>
      <c r="C412" s="306" t="s">
        <v>8137</v>
      </c>
      <c r="D412" s="307">
        <v>767.44</v>
      </c>
      <c r="E412" s="305" t="s">
        <v>8076</v>
      </c>
    </row>
    <row r="413" spans="1:5" ht="18.149999999999999" customHeight="1">
      <c r="A413" s="304">
        <v>40462</v>
      </c>
      <c r="B413" s="309" t="s">
        <v>8417</v>
      </c>
      <c r="C413" s="306" t="s">
        <v>8137</v>
      </c>
      <c r="D413" s="307">
        <v>844.68</v>
      </c>
      <c r="E413" s="305" t="s">
        <v>8076</v>
      </c>
    </row>
    <row r="414" spans="1:5" ht="18.149999999999999" customHeight="1">
      <c r="A414" s="304">
        <v>40463</v>
      </c>
      <c r="B414" s="309" t="s">
        <v>8418</v>
      </c>
      <c r="C414" s="306" t="s">
        <v>8137</v>
      </c>
      <c r="D414" s="307">
        <v>859.91</v>
      </c>
      <c r="E414" s="305" t="s">
        <v>8076</v>
      </c>
    </row>
    <row r="415" spans="1:5" ht="18.149999999999999" customHeight="1">
      <c r="A415" s="304">
        <v>40464</v>
      </c>
      <c r="B415" s="309" t="s">
        <v>8419</v>
      </c>
      <c r="C415" s="306" t="s">
        <v>8137</v>
      </c>
      <c r="D415" s="307">
        <v>838.45</v>
      </c>
      <c r="E415" s="305" t="s">
        <v>8076</v>
      </c>
    </row>
    <row r="416" spans="1:5" ht="18.149999999999999" customHeight="1">
      <c r="A416" s="304">
        <v>40465</v>
      </c>
      <c r="B416" s="309" t="s">
        <v>8420</v>
      </c>
      <c r="C416" s="306" t="s">
        <v>8137</v>
      </c>
      <c r="D416" s="307">
        <v>973.59</v>
      </c>
      <c r="E416" s="305" t="s">
        <v>8076</v>
      </c>
    </row>
    <row r="417" spans="1:5" ht="18.149999999999999" customHeight="1">
      <c r="A417" s="304">
        <v>40466</v>
      </c>
      <c r="B417" s="309" t="s">
        <v>8421</v>
      </c>
      <c r="C417" s="306" t="s">
        <v>8137</v>
      </c>
      <c r="D417" s="311">
        <v>1025.08</v>
      </c>
      <c r="E417" s="305" t="s">
        <v>8076</v>
      </c>
    </row>
    <row r="418" spans="1:5" ht="18.149999999999999" customHeight="1">
      <c r="A418" s="304">
        <v>40490</v>
      </c>
      <c r="B418" s="309" t="s">
        <v>8422</v>
      </c>
      <c r="C418" s="306" t="s">
        <v>8137</v>
      </c>
      <c r="D418" s="307">
        <v>423.87</v>
      </c>
      <c r="E418" s="305" t="s">
        <v>8076</v>
      </c>
    </row>
    <row r="419" spans="1:5" ht="18.149999999999999" customHeight="1">
      <c r="A419" s="304">
        <v>40491</v>
      </c>
      <c r="B419" s="309" t="s">
        <v>8423</v>
      </c>
      <c r="C419" s="306" t="s">
        <v>8137</v>
      </c>
      <c r="D419" s="307">
        <v>457.63</v>
      </c>
      <c r="E419" s="305" t="s">
        <v>8076</v>
      </c>
    </row>
    <row r="420" spans="1:5" ht="18.149999999999999" customHeight="1">
      <c r="A420" s="304">
        <v>40492</v>
      </c>
      <c r="B420" s="309" t="s">
        <v>8424</v>
      </c>
      <c r="C420" s="306" t="s">
        <v>8137</v>
      </c>
      <c r="D420" s="307">
        <v>450.43</v>
      </c>
      <c r="E420" s="305" t="s">
        <v>8076</v>
      </c>
    </row>
    <row r="421" spans="1:5" ht="18.149999999999999" customHeight="1">
      <c r="A421" s="304">
        <v>40493</v>
      </c>
      <c r="B421" s="309" t="s">
        <v>8425</v>
      </c>
      <c r="C421" s="306" t="s">
        <v>8137</v>
      </c>
      <c r="D421" s="307">
        <v>505.89</v>
      </c>
      <c r="E421" s="305" t="s">
        <v>8076</v>
      </c>
    </row>
    <row r="422" spans="1:5" ht="18.149999999999999" customHeight="1">
      <c r="A422" s="304">
        <v>40494</v>
      </c>
      <c r="B422" s="309" t="s">
        <v>8426</v>
      </c>
      <c r="C422" s="306" t="s">
        <v>8137</v>
      </c>
      <c r="D422" s="307">
        <v>880.87</v>
      </c>
      <c r="E422" s="305" t="s">
        <v>8076</v>
      </c>
    </row>
    <row r="423" spans="1:5" ht="18.149999999999999" customHeight="1">
      <c r="A423" s="304">
        <v>40495</v>
      </c>
      <c r="B423" s="309" t="s">
        <v>8427</v>
      </c>
      <c r="C423" s="306" t="s">
        <v>8137</v>
      </c>
      <c r="D423" s="307">
        <v>925.16</v>
      </c>
      <c r="E423" s="305" t="s">
        <v>8076</v>
      </c>
    </row>
    <row r="424" spans="1:5" ht="18.149999999999999" customHeight="1">
      <c r="A424" s="304">
        <v>40496</v>
      </c>
      <c r="B424" s="309" t="s">
        <v>8428</v>
      </c>
      <c r="C424" s="306" t="s">
        <v>8137</v>
      </c>
      <c r="D424" s="307">
        <v>910.35</v>
      </c>
      <c r="E424" s="305" t="s">
        <v>8076</v>
      </c>
    </row>
    <row r="425" spans="1:5" ht="18.149999999999999" customHeight="1">
      <c r="A425" s="304">
        <v>40497</v>
      </c>
      <c r="B425" s="309" t="s">
        <v>8429</v>
      </c>
      <c r="C425" s="306" t="s">
        <v>8137</v>
      </c>
      <c r="D425" s="311">
        <v>1015.89</v>
      </c>
      <c r="E425" s="305" t="s">
        <v>8076</v>
      </c>
    </row>
    <row r="426" spans="1:5" ht="18.149999999999999" customHeight="1">
      <c r="A426" s="304">
        <v>40498</v>
      </c>
      <c r="B426" s="309" t="s">
        <v>8430</v>
      </c>
      <c r="C426" s="306" t="s">
        <v>8137</v>
      </c>
      <c r="D426" s="311">
        <v>1236.54</v>
      </c>
      <c r="E426" s="305" t="s">
        <v>8076</v>
      </c>
    </row>
    <row r="427" spans="1:5" ht="18.149999999999999" customHeight="1">
      <c r="A427" s="304">
        <v>40499</v>
      </c>
      <c r="B427" s="309" t="s">
        <v>8431</v>
      </c>
      <c r="C427" s="306" t="s">
        <v>8137</v>
      </c>
      <c r="D427" s="311">
        <v>1262.47</v>
      </c>
      <c r="E427" s="305" t="s">
        <v>8076</v>
      </c>
    </row>
    <row r="428" spans="1:5" ht="18.149999999999999" customHeight="1">
      <c r="A428" s="304">
        <v>40500</v>
      </c>
      <c r="B428" s="309" t="s">
        <v>8432</v>
      </c>
      <c r="C428" s="306" t="s">
        <v>8137</v>
      </c>
      <c r="D428" s="311">
        <v>1196.3599999999999</v>
      </c>
      <c r="E428" s="305" t="s">
        <v>8076</v>
      </c>
    </row>
    <row r="429" spans="1:5" ht="18.149999999999999" customHeight="1">
      <c r="A429" s="304">
        <v>40501</v>
      </c>
      <c r="B429" s="309" t="s">
        <v>8433</v>
      </c>
      <c r="C429" s="306" t="s">
        <v>8137</v>
      </c>
      <c r="D429" s="311">
        <v>1443.31</v>
      </c>
      <c r="E429" s="305" t="s">
        <v>8076</v>
      </c>
    </row>
    <row r="430" spans="1:5" ht="18.149999999999999" customHeight="1">
      <c r="A430" s="304">
        <v>40502</v>
      </c>
      <c r="B430" s="309" t="s">
        <v>8434</v>
      </c>
      <c r="C430" s="306" t="s">
        <v>8137</v>
      </c>
      <c r="D430" s="311">
        <v>1549.51</v>
      </c>
      <c r="E430" s="305" t="s">
        <v>8076</v>
      </c>
    </row>
    <row r="431" spans="1:5" ht="18.149999999999999" customHeight="1">
      <c r="A431" s="304">
        <v>40503</v>
      </c>
      <c r="B431" s="309" t="s">
        <v>8435</v>
      </c>
      <c r="C431" s="306" t="s">
        <v>8137</v>
      </c>
      <c r="D431" s="311">
        <v>1744.78</v>
      </c>
      <c r="E431" s="305" t="s">
        <v>8076</v>
      </c>
    </row>
    <row r="432" spans="1:5" ht="18.149999999999999" customHeight="1">
      <c r="A432" s="304">
        <v>40504</v>
      </c>
      <c r="B432" s="309" t="s">
        <v>8436</v>
      </c>
      <c r="C432" s="306" t="s">
        <v>8137</v>
      </c>
      <c r="D432" s="311">
        <v>1713.39</v>
      </c>
      <c r="E432" s="305" t="s">
        <v>8076</v>
      </c>
    </row>
    <row r="433" spans="1:6" ht="18.149999999999999" customHeight="1">
      <c r="A433" s="304">
        <v>40505</v>
      </c>
      <c r="B433" s="309" t="s">
        <v>8437</v>
      </c>
      <c r="C433" s="306" t="s">
        <v>8137</v>
      </c>
      <c r="D433" s="311">
        <v>1699.66</v>
      </c>
      <c r="E433" s="305" t="s">
        <v>8076</v>
      </c>
    </row>
    <row r="434" spans="1:6" ht="9" customHeight="1">
      <c r="A434" s="858" t="s">
        <v>8224</v>
      </c>
      <c r="B434" s="858"/>
      <c r="C434" s="858"/>
      <c r="D434" s="858"/>
      <c r="E434" s="858"/>
      <c r="F434" s="858"/>
    </row>
    <row r="435" spans="1:6" ht="9" customHeight="1">
      <c r="A435" s="301" t="s">
        <v>8014</v>
      </c>
      <c r="B435" s="302" t="s">
        <v>8015</v>
      </c>
      <c r="C435" s="301" t="s">
        <v>8016</v>
      </c>
      <c r="D435" s="303" t="s">
        <v>8017</v>
      </c>
      <c r="E435" s="302" t="s">
        <v>8018</v>
      </c>
    </row>
    <row r="436" spans="1:6" ht="18.149999999999999" customHeight="1">
      <c r="A436" s="304">
        <v>40506</v>
      </c>
      <c r="B436" s="309" t="s">
        <v>8438</v>
      </c>
      <c r="C436" s="306" t="s">
        <v>8137</v>
      </c>
      <c r="D436" s="311">
        <v>1924.48</v>
      </c>
      <c r="E436" s="305" t="s">
        <v>8076</v>
      </c>
    </row>
    <row r="437" spans="1:6" ht="18.149999999999999" customHeight="1">
      <c r="A437" s="304">
        <v>40507</v>
      </c>
      <c r="B437" s="309" t="s">
        <v>8439</v>
      </c>
      <c r="C437" s="306" t="s">
        <v>8137</v>
      </c>
      <c r="D437" s="311">
        <v>2136.85</v>
      </c>
      <c r="E437" s="305" t="s">
        <v>8076</v>
      </c>
    </row>
    <row r="438" spans="1:6" ht="18.149999999999999" customHeight="1">
      <c r="A438" s="304">
        <v>40508</v>
      </c>
      <c r="B438" s="309" t="s">
        <v>8440</v>
      </c>
      <c r="C438" s="306" t="s">
        <v>8137</v>
      </c>
      <c r="D438" s="311">
        <v>2368.5300000000002</v>
      </c>
      <c r="E438" s="305" t="s">
        <v>8076</v>
      </c>
    </row>
    <row r="439" spans="1:6" ht="18.149999999999999" customHeight="1">
      <c r="A439" s="304">
        <v>40509</v>
      </c>
      <c r="B439" s="309" t="s">
        <v>8441</v>
      </c>
      <c r="C439" s="306" t="s">
        <v>8137</v>
      </c>
      <c r="D439" s="311">
        <v>2414.2199999999998</v>
      </c>
      <c r="E439" s="305" t="s">
        <v>8076</v>
      </c>
    </row>
    <row r="440" spans="1:6" ht="18.149999999999999" customHeight="1">
      <c r="A440" s="304">
        <v>40510</v>
      </c>
      <c r="B440" s="309" t="s">
        <v>8442</v>
      </c>
      <c r="C440" s="306" t="s">
        <v>8137</v>
      </c>
      <c r="D440" s="311">
        <v>2349.86</v>
      </c>
      <c r="E440" s="305" t="s">
        <v>8076</v>
      </c>
    </row>
    <row r="441" spans="1:6" ht="18.149999999999999" customHeight="1">
      <c r="A441" s="304">
        <v>40511</v>
      </c>
      <c r="B441" s="309" t="s">
        <v>8443</v>
      </c>
      <c r="C441" s="306" t="s">
        <v>8137</v>
      </c>
      <c r="D441" s="311">
        <v>2755.28</v>
      </c>
      <c r="E441" s="305" t="s">
        <v>8076</v>
      </c>
    </row>
    <row r="442" spans="1:6" ht="18.149999999999999" customHeight="1">
      <c r="A442" s="304">
        <v>40512</v>
      </c>
      <c r="B442" s="309" t="s">
        <v>8444</v>
      </c>
      <c r="C442" s="306" t="s">
        <v>8137</v>
      </c>
      <c r="D442" s="311">
        <v>2909.75</v>
      </c>
      <c r="E442" s="305" t="s">
        <v>8076</v>
      </c>
    </row>
    <row r="443" spans="1:6" ht="9" customHeight="1">
      <c r="A443" s="304">
        <v>40586</v>
      </c>
      <c r="B443" s="305" t="s">
        <v>8445</v>
      </c>
      <c r="C443" s="306" t="s">
        <v>8137</v>
      </c>
      <c r="D443" s="311">
        <v>3983.11</v>
      </c>
      <c r="E443" s="308"/>
    </row>
    <row r="444" spans="1:6" ht="9" customHeight="1">
      <c r="A444" s="304">
        <v>40592</v>
      </c>
      <c r="B444" s="305" t="s">
        <v>8446</v>
      </c>
      <c r="C444" s="306" t="s">
        <v>8137</v>
      </c>
      <c r="D444" s="311">
        <v>4157.33</v>
      </c>
      <c r="E444" s="308"/>
    </row>
    <row r="445" spans="1:6" ht="9" customHeight="1">
      <c r="A445" s="304">
        <v>40598</v>
      </c>
      <c r="B445" s="305" t="s">
        <v>8447</v>
      </c>
      <c r="C445" s="306" t="s">
        <v>8137</v>
      </c>
      <c r="D445" s="311">
        <v>5710.81</v>
      </c>
      <c r="E445" s="308"/>
    </row>
    <row r="446" spans="1:6" ht="9" customHeight="1">
      <c r="A446" s="304">
        <v>40587</v>
      </c>
      <c r="B446" s="305" t="s">
        <v>8448</v>
      </c>
      <c r="C446" s="306" t="s">
        <v>8137</v>
      </c>
      <c r="D446" s="311">
        <v>5736.07</v>
      </c>
      <c r="E446" s="308"/>
    </row>
    <row r="447" spans="1:6" ht="9" customHeight="1">
      <c r="A447" s="304">
        <v>40593</v>
      </c>
      <c r="B447" s="305" t="s">
        <v>8449</v>
      </c>
      <c r="C447" s="306" t="s">
        <v>8137</v>
      </c>
      <c r="D447" s="311">
        <v>6361.95</v>
      </c>
      <c r="E447" s="308"/>
    </row>
    <row r="448" spans="1:6" ht="9" customHeight="1">
      <c r="A448" s="304">
        <v>40588</v>
      </c>
      <c r="B448" s="305" t="s">
        <v>8450</v>
      </c>
      <c r="C448" s="306" t="s">
        <v>8137</v>
      </c>
      <c r="D448" s="311">
        <v>8169.67</v>
      </c>
      <c r="E448" s="308"/>
    </row>
    <row r="449" spans="1:5" ht="9" customHeight="1">
      <c r="A449" s="304">
        <v>40594</v>
      </c>
      <c r="B449" s="305" t="s">
        <v>8451</v>
      </c>
      <c r="C449" s="306" t="s">
        <v>8137</v>
      </c>
      <c r="D449" s="311">
        <v>9478.2000000000007</v>
      </c>
      <c r="E449" s="308"/>
    </row>
    <row r="450" spans="1:5" ht="9" customHeight="1">
      <c r="A450" s="304">
        <v>40599</v>
      </c>
      <c r="B450" s="305" t="s">
        <v>8452</v>
      </c>
      <c r="C450" s="306" t="s">
        <v>8137</v>
      </c>
      <c r="D450" s="311">
        <v>8260.58</v>
      </c>
      <c r="E450" s="308"/>
    </row>
    <row r="451" spans="1:5" ht="9" customHeight="1">
      <c r="A451" s="304">
        <v>40589</v>
      </c>
      <c r="B451" s="305" t="s">
        <v>8453</v>
      </c>
      <c r="C451" s="306" t="s">
        <v>8137</v>
      </c>
      <c r="D451" s="311">
        <v>7736.33</v>
      </c>
      <c r="E451" s="308"/>
    </row>
    <row r="452" spans="1:5" ht="9" customHeight="1">
      <c r="A452" s="304">
        <v>40595</v>
      </c>
      <c r="B452" s="305" t="s">
        <v>8454</v>
      </c>
      <c r="C452" s="306" t="s">
        <v>8137</v>
      </c>
      <c r="D452" s="311">
        <v>8596.11</v>
      </c>
      <c r="E452" s="308"/>
    </row>
    <row r="453" spans="1:5" ht="9" customHeight="1">
      <c r="A453" s="304">
        <v>40590</v>
      </c>
      <c r="B453" s="305" t="s">
        <v>8455</v>
      </c>
      <c r="C453" s="306" t="s">
        <v>8137</v>
      </c>
      <c r="D453" s="311">
        <v>9341.0300000000007</v>
      </c>
      <c r="E453" s="308"/>
    </row>
    <row r="454" spans="1:5" ht="9" customHeight="1">
      <c r="A454" s="304">
        <v>40596</v>
      </c>
      <c r="B454" s="305" t="s">
        <v>8456</v>
      </c>
      <c r="C454" s="306" t="s">
        <v>8137</v>
      </c>
      <c r="D454" s="311">
        <v>10292.42</v>
      </c>
      <c r="E454" s="308"/>
    </row>
    <row r="455" spans="1:5" ht="9" customHeight="1">
      <c r="A455" s="304">
        <v>40591</v>
      </c>
      <c r="B455" s="305" t="s">
        <v>8457</v>
      </c>
      <c r="C455" s="306" t="s">
        <v>8137</v>
      </c>
      <c r="D455" s="311">
        <v>10250.049999999999</v>
      </c>
      <c r="E455" s="308"/>
    </row>
    <row r="456" spans="1:5" ht="9" customHeight="1">
      <c r="A456" s="304">
        <v>40597</v>
      </c>
      <c r="B456" s="305" t="s">
        <v>8458</v>
      </c>
      <c r="C456" s="306" t="s">
        <v>8137</v>
      </c>
      <c r="D456" s="311">
        <v>11009.81</v>
      </c>
      <c r="E456" s="308"/>
    </row>
    <row r="457" spans="1:5" ht="9" customHeight="1">
      <c r="A457" s="304">
        <v>40573</v>
      </c>
      <c r="B457" s="305" t="s">
        <v>8459</v>
      </c>
      <c r="C457" s="306" t="s">
        <v>8137</v>
      </c>
      <c r="D457" s="311">
        <v>2420.14</v>
      </c>
      <c r="E457" s="308"/>
    </row>
    <row r="458" spans="1:5" ht="9" customHeight="1">
      <c r="A458" s="304">
        <v>40579</v>
      </c>
      <c r="B458" s="305" t="s">
        <v>8460</v>
      </c>
      <c r="C458" s="306" t="s">
        <v>8137</v>
      </c>
      <c r="D458" s="311">
        <v>2550.8000000000002</v>
      </c>
      <c r="E458" s="308"/>
    </row>
    <row r="459" spans="1:5" ht="9" customHeight="1">
      <c r="A459" s="304">
        <v>41113</v>
      </c>
      <c r="B459" s="305" t="s">
        <v>8461</v>
      </c>
      <c r="C459" s="306" t="s">
        <v>8137</v>
      </c>
      <c r="D459" s="311">
        <v>4150.0200000000004</v>
      </c>
      <c r="E459" s="308"/>
    </row>
    <row r="460" spans="1:5" ht="9" customHeight="1">
      <c r="A460" s="304">
        <v>40574</v>
      </c>
      <c r="B460" s="305" t="s">
        <v>8462</v>
      </c>
      <c r="C460" s="306" t="s">
        <v>8137</v>
      </c>
      <c r="D460" s="311">
        <v>3436.49</v>
      </c>
      <c r="E460" s="308"/>
    </row>
    <row r="461" spans="1:5" ht="9" customHeight="1">
      <c r="A461" s="304">
        <v>40580</v>
      </c>
      <c r="B461" s="305" t="s">
        <v>8463</v>
      </c>
      <c r="C461" s="306" t="s">
        <v>8137</v>
      </c>
      <c r="D461" s="311">
        <v>3845.13</v>
      </c>
      <c r="E461" s="308"/>
    </row>
    <row r="462" spans="1:5" ht="9" customHeight="1">
      <c r="A462" s="304">
        <v>40575</v>
      </c>
      <c r="B462" s="305" t="s">
        <v>8464</v>
      </c>
      <c r="C462" s="306" t="s">
        <v>8137</v>
      </c>
      <c r="D462" s="311">
        <v>4953.62</v>
      </c>
      <c r="E462" s="308"/>
    </row>
    <row r="463" spans="1:5" ht="9" customHeight="1">
      <c r="A463" s="304">
        <v>40581</v>
      </c>
      <c r="B463" s="305" t="s">
        <v>8465</v>
      </c>
      <c r="C463" s="306" t="s">
        <v>8137</v>
      </c>
      <c r="D463" s="311">
        <v>6187.21</v>
      </c>
      <c r="E463" s="308"/>
    </row>
    <row r="464" spans="1:5" ht="9" customHeight="1">
      <c r="A464" s="304">
        <v>40576</v>
      </c>
      <c r="B464" s="305" t="s">
        <v>8466</v>
      </c>
      <c r="C464" s="306" t="s">
        <v>8137</v>
      </c>
      <c r="D464" s="311">
        <v>4858.7299999999996</v>
      </c>
      <c r="E464" s="308"/>
    </row>
    <row r="465" spans="1:5" ht="9" customHeight="1">
      <c r="A465" s="304">
        <v>40582</v>
      </c>
      <c r="B465" s="305" t="s">
        <v>8467</v>
      </c>
      <c r="C465" s="306" t="s">
        <v>8137</v>
      </c>
      <c r="D465" s="311">
        <v>5320.43</v>
      </c>
      <c r="E465" s="308"/>
    </row>
    <row r="466" spans="1:5" ht="9" customHeight="1">
      <c r="A466" s="304">
        <v>40577</v>
      </c>
      <c r="B466" s="305" t="s">
        <v>8468</v>
      </c>
      <c r="C466" s="306" t="s">
        <v>8137</v>
      </c>
      <c r="D466" s="311">
        <v>6105.19</v>
      </c>
      <c r="E466" s="308"/>
    </row>
    <row r="467" spans="1:5" ht="9" customHeight="1">
      <c r="A467" s="304">
        <v>40583</v>
      </c>
      <c r="B467" s="305" t="s">
        <v>8469</v>
      </c>
      <c r="C467" s="306" t="s">
        <v>8137</v>
      </c>
      <c r="D467" s="311">
        <v>7239.42</v>
      </c>
      <c r="E467" s="308"/>
    </row>
    <row r="468" spans="1:5" ht="9" customHeight="1">
      <c r="A468" s="304">
        <v>40578</v>
      </c>
      <c r="B468" s="305" t="s">
        <v>8470</v>
      </c>
      <c r="C468" s="306" t="s">
        <v>8137</v>
      </c>
      <c r="D468" s="311">
        <v>6651.18</v>
      </c>
      <c r="E468" s="308"/>
    </row>
    <row r="469" spans="1:5" ht="9" customHeight="1">
      <c r="A469" s="304">
        <v>40584</v>
      </c>
      <c r="B469" s="305" t="s">
        <v>8471</v>
      </c>
      <c r="C469" s="306" t="s">
        <v>8137</v>
      </c>
      <c r="D469" s="311">
        <v>7567.76</v>
      </c>
      <c r="E469" s="308"/>
    </row>
    <row r="470" spans="1:5" ht="9" customHeight="1">
      <c r="A470" s="304">
        <v>40601</v>
      </c>
      <c r="B470" s="305" t="s">
        <v>8472</v>
      </c>
      <c r="C470" s="306" t="s">
        <v>8137</v>
      </c>
      <c r="D470" s="311">
        <v>5577.61</v>
      </c>
      <c r="E470" s="308"/>
    </row>
    <row r="471" spans="1:5" ht="9" customHeight="1">
      <c r="A471" s="304">
        <v>40607</v>
      </c>
      <c r="B471" s="305" t="s">
        <v>8473</v>
      </c>
      <c r="C471" s="306" t="s">
        <v>8137</v>
      </c>
      <c r="D471" s="311">
        <v>5899.92</v>
      </c>
      <c r="E471" s="308"/>
    </row>
    <row r="472" spans="1:5" ht="9" customHeight="1">
      <c r="A472" s="304">
        <v>40602</v>
      </c>
      <c r="B472" s="305" t="s">
        <v>8474</v>
      </c>
      <c r="C472" s="306" t="s">
        <v>8137</v>
      </c>
      <c r="D472" s="311">
        <v>8162.45</v>
      </c>
      <c r="E472" s="308"/>
    </row>
    <row r="473" spans="1:5" ht="9" customHeight="1">
      <c r="A473" s="304">
        <v>40608</v>
      </c>
      <c r="B473" s="305" t="s">
        <v>8475</v>
      </c>
      <c r="C473" s="306" t="s">
        <v>8137</v>
      </c>
      <c r="D473" s="311">
        <v>8686.44</v>
      </c>
      <c r="E473" s="308"/>
    </row>
    <row r="474" spans="1:5" ht="9" customHeight="1">
      <c r="A474" s="304">
        <v>40603</v>
      </c>
      <c r="B474" s="305" t="s">
        <v>8476</v>
      </c>
      <c r="C474" s="306" t="s">
        <v>8137</v>
      </c>
      <c r="D474" s="311">
        <v>11825.44</v>
      </c>
      <c r="E474" s="308"/>
    </row>
    <row r="475" spans="1:5" ht="9" customHeight="1">
      <c r="A475" s="304">
        <v>40609</v>
      </c>
      <c r="B475" s="305" t="s">
        <v>8477</v>
      </c>
      <c r="C475" s="306" t="s">
        <v>8137</v>
      </c>
      <c r="D475" s="311">
        <v>13324.09</v>
      </c>
      <c r="E475" s="308"/>
    </row>
    <row r="476" spans="1:5" ht="9" customHeight="1">
      <c r="A476" s="304">
        <v>40604</v>
      </c>
      <c r="B476" s="305" t="s">
        <v>8478</v>
      </c>
      <c r="C476" s="306" t="s">
        <v>8137</v>
      </c>
      <c r="D476" s="311">
        <v>10700.5</v>
      </c>
      <c r="E476" s="308"/>
    </row>
    <row r="477" spans="1:5" ht="9" customHeight="1">
      <c r="A477" s="304">
        <v>40610</v>
      </c>
      <c r="B477" s="305" t="s">
        <v>8479</v>
      </c>
      <c r="C477" s="306" t="s">
        <v>8137</v>
      </c>
      <c r="D477" s="311">
        <v>11925.54</v>
      </c>
      <c r="E477" s="308"/>
    </row>
    <row r="478" spans="1:5" ht="9" customHeight="1">
      <c r="A478" s="304">
        <v>40605</v>
      </c>
      <c r="B478" s="305" t="s">
        <v>8480</v>
      </c>
      <c r="C478" s="306" t="s">
        <v>8137</v>
      </c>
      <c r="D478" s="311">
        <v>13238.37</v>
      </c>
      <c r="E478" s="308"/>
    </row>
    <row r="479" spans="1:5" ht="9" customHeight="1">
      <c r="A479" s="304">
        <v>40611</v>
      </c>
      <c r="B479" s="305" t="s">
        <v>8481</v>
      </c>
      <c r="C479" s="306" t="s">
        <v>8137</v>
      </c>
      <c r="D479" s="311">
        <v>14913.69</v>
      </c>
      <c r="E479" s="308"/>
    </row>
    <row r="480" spans="1:5" ht="9" customHeight="1">
      <c r="A480" s="304">
        <v>40606</v>
      </c>
      <c r="B480" s="305" t="s">
        <v>8482</v>
      </c>
      <c r="C480" s="306" t="s">
        <v>8137</v>
      </c>
      <c r="D480" s="311">
        <v>14244.47</v>
      </c>
      <c r="E480" s="308"/>
    </row>
    <row r="481" spans="1:6" ht="9" customHeight="1">
      <c r="A481" s="304">
        <v>40612</v>
      </c>
      <c r="B481" s="305" t="s">
        <v>8483</v>
      </c>
      <c r="C481" s="306" t="s">
        <v>8137</v>
      </c>
      <c r="D481" s="311">
        <v>15870.19</v>
      </c>
      <c r="E481" s="308"/>
    </row>
    <row r="482" spans="1:6" ht="9" customHeight="1">
      <c r="A482" s="304">
        <v>40305</v>
      </c>
      <c r="B482" s="305" t="s">
        <v>8484</v>
      </c>
      <c r="C482" s="306" t="s">
        <v>8022</v>
      </c>
      <c r="D482" s="307">
        <v>12.88</v>
      </c>
      <c r="E482" s="308"/>
    </row>
    <row r="483" spans="1:6" ht="9" customHeight="1">
      <c r="A483" s="304">
        <v>40306</v>
      </c>
      <c r="B483" s="305" t="s">
        <v>8485</v>
      </c>
      <c r="C483" s="306" t="s">
        <v>8022</v>
      </c>
      <c r="D483" s="307">
        <v>25.78</v>
      </c>
      <c r="E483" s="308"/>
    </row>
    <row r="484" spans="1:6" ht="9" customHeight="1">
      <c r="A484" s="304">
        <v>40307</v>
      </c>
      <c r="B484" s="305" t="s">
        <v>8486</v>
      </c>
      <c r="C484" s="306" t="s">
        <v>8022</v>
      </c>
      <c r="D484" s="307">
        <v>125.62</v>
      </c>
      <c r="E484" s="308"/>
    </row>
    <row r="485" spans="1:6" ht="9" customHeight="1">
      <c r="A485" s="304">
        <v>41049</v>
      </c>
      <c r="B485" s="305" t="s">
        <v>8487</v>
      </c>
      <c r="C485" s="306" t="s">
        <v>8137</v>
      </c>
      <c r="D485" s="307">
        <v>18.43</v>
      </c>
      <c r="E485" s="308"/>
    </row>
    <row r="486" spans="1:6" ht="9" customHeight="1">
      <c r="A486" s="304">
        <v>40373</v>
      </c>
      <c r="B486" s="305" t="s">
        <v>8488</v>
      </c>
      <c r="C486" s="306" t="s">
        <v>8022</v>
      </c>
      <c r="D486" s="307">
        <v>238.92</v>
      </c>
      <c r="E486" s="308"/>
    </row>
    <row r="487" spans="1:6" ht="9" customHeight="1">
      <c r="A487" s="304">
        <v>40375</v>
      </c>
      <c r="B487" s="305" t="s">
        <v>8489</v>
      </c>
      <c r="C487" s="306" t="s">
        <v>8022</v>
      </c>
      <c r="D487" s="307">
        <v>155.81</v>
      </c>
      <c r="E487" s="308"/>
    </row>
    <row r="488" spans="1:6" ht="9" customHeight="1">
      <c r="A488" s="304">
        <v>40678</v>
      </c>
      <c r="B488" s="305" t="s">
        <v>8490</v>
      </c>
      <c r="C488" s="306" t="s">
        <v>8137</v>
      </c>
      <c r="D488" s="307">
        <v>346.57</v>
      </c>
      <c r="E488" s="308"/>
    </row>
    <row r="489" spans="1:6" ht="9" customHeight="1">
      <c r="A489" s="304">
        <v>40679</v>
      </c>
      <c r="B489" s="305" t="s">
        <v>8491</v>
      </c>
      <c r="C489" s="306" t="s">
        <v>8036</v>
      </c>
      <c r="D489" s="307">
        <v>677.99</v>
      </c>
      <c r="E489" s="308"/>
    </row>
    <row r="490" spans="1:6" ht="9" customHeight="1">
      <c r="A490" s="304">
        <v>40684</v>
      </c>
      <c r="B490" s="305" t="s">
        <v>8492</v>
      </c>
      <c r="C490" s="306" t="s">
        <v>8036</v>
      </c>
      <c r="D490" s="307">
        <v>729.64</v>
      </c>
      <c r="E490" s="308"/>
    </row>
    <row r="491" spans="1:6" ht="9" customHeight="1">
      <c r="A491" s="304">
        <v>40683</v>
      </c>
      <c r="B491" s="305" t="s">
        <v>8493</v>
      </c>
      <c r="C491" s="306" t="s">
        <v>8137</v>
      </c>
      <c r="D491" s="307">
        <v>361.87</v>
      </c>
      <c r="E491" s="308"/>
    </row>
    <row r="492" spans="1:6" ht="9" customHeight="1">
      <c r="A492" s="304">
        <v>40685</v>
      </c>
      <c r="B492" s="305" t="s">
        <v>8494</v>
      </c>
      <c r="C492" s="306" t="s">
        <v>8036</v>
      </c>
      <c r="D492" s="307">
        <v>648.04</v>
      </c>
      <c r="E492" s="308"/>
    </row>
    <row r="493" spans="1:6" ht="9" customHeight="1">
      <c r="A493" s="858" t="s">
        <v>8224</v>
      </c>
      <c r="B493" s="858"/>
      <c r="C493" s="858"/>
      <c r="D493" s="858"/>
      <c r="E493" s="858"/>
      <c r="F493" s="858"/>
    </row>
    <row r="494" spans="1:6" ht="9" customHeight="1">
      <c r="A494" s="301" t="s">
        <v>8014</v>
      </c>
      <c r="B494" s="302" t="s">
        <v>8015</v>
      </c>
      <c r="C494" s="301" t="s">
        <v>8016</v>
      </c>
      <c r="D494" s="303" t="s">
        <v>8017</v>
      </c>
      <c r="E494" s="302" t="s">
        <v>8018</v>
      </c>
    </row>
    <row r="495" spans="1:6" ht="9" customHeight="1">
      <c r="A495" s="304">
        <v>40686</v>
      </c>
      <c r="B495" s="305" t="s">
        <v>8495</v>
      </c>
      <c r="C495" s="306" t="s">
        <v>8137</v>
      </c>
      <c r="D495" s="307">
        <v>478.82</v>
      </c>
      <c r="E495" s="308"/>
    </row>
    <row r="496" spans="1:6" ht="9" customHeight="1">
      <c r="A496" s="304">
        <v>40687</v>
      </c>
      <c r="B496" s="305" t="s">
        <v>8496</v>
      </c>
      <c r="C496" s="306" t="s">
        <v>8137</v>
      </c>
      <c r="D496" s="307">
        <v>450.08</v>
      </c>
      <c r="E496" s="308"/>
    </row>
    <row r="497" spans="1:5" ht="9" customHeight="1">
      <c r="A497" s="304">
        <v>40676</v>
      </c>
      <c r="B497" s="305" t="s">
        <v>8497</v>
      </c>
      <c r="C497" s="306" t="s">
        <v>8137</v>
      </c>
      <c r="D497" s="307">
        <v>285.60000000000002</v>
      </c>
      <c r="E497" s="308"/>
    </row>
    <row r="498" spans="1:5" ht="9" customHeight="1">
      <c r="A498" s="304">
        <v>40677</v>
      </c>
      <c r="B498" s="305" t="s">
        <v>8498</v>
      </c>
      <c r="C498" s="306" t="s">
        <v>8036</v>
      </c>
      <c r="D498" s="307">
        <v>608.29999999999995</v>
      </c>
      <c r="E498" s="308"/>
    </row>
    <row r="499" spans="1:5" ht="9" customHeight="1">
      <c r="A499" s="304">
        <v>40681</v>
      </c>
      <c r="B499" s="305" t="s">
        <v>8499</v>
      </c>
      <c r="C499" s="306" t="s">
        <v>8036</v>
      </c>
      <c r="D499" s="307">
        <v>678.69</v>
      </c>
      <c r="E499" s="308"/>
    </row>
    <row r="500" spans="1:5" ht="9" customHeight="1">
      <c r="A500" s="304">
        <v>40680</v>
      </c>
      <c r="B500" s="305" t="s">
        <v>8500</v>
      </c>
      <c r="C500" s="306" t="s">
        <v>8137</v>
      </c>
      <c r="D500" s="307">
        <v>344.45</v>
      </c>
      <c r="E500" s="308"/>
    </row>
    <row r="501" spans="1:5" ht="9" customHeight="1">
      <c r="A501" s="304">
        <v>40682</v>
      </c>
      <c r="B501" s="305" t="s">
        <v>8501</v>
      </c>
      <c r="C501" s="306" t="s">
        <v>8036</v>
      </c>
      <c r="D501" s="307">
        <v>604.49</v>
      </c>
      <c r="E501" s="308"/>
    </row>
    <row r="502" spans="1:5" ht="9" customHeight="1">
      <c r="A502" s="304">
        <v>41189</v>
      </c>
      <c r="B502" s="305" t="s">
        <v>8502</v>
      </c>
      <c r="C502" s="306" t="s">
        <v>8137</v>
      </c>
      <c r="D502" s="307">
        <v>36.42</v>
      </c>
      <c r="E502" s="305" t="s">
        <v>8076</v>
      </c>
    </row>
    <row r="503" spans="1:5" ht="9" customHeight="1">
      <c r="A503" s="304">
        <v>40728</v>
      </c>
      <c r="B503" s="305" t="s">
        <v>8503</v>
      </c>
      <c r="C503" s="306" t="s">
        <v>8036</v>
      </c>
      <c r="D503" s="307">
        <v>327.47000000000003</v>
      </c>
      <c r="E503" s="305" t="s">
        <v>8076</v>
      </c>
    </row>
    <row r="504" spans="1:5" ht="9" customHeight="1">
      <c r="A504" s="304">
        <v>40732</v>
      </c>
      <c r="B504" s="305" t="s">
        <v>8504</v>
      </c>
      <c r="C504" s="306" t="s">
        <v>8036</v>
      </c>
      <c r="D504" s="307">
        <v>587.29999999999995</v>
      </c>
      <c r="E504" s="305" t="s">
        <v>8076</v>
      </c>
    </row>
    <row r="505" spans="1:5" ht="9" customHeight="1">
      <c r="A505" s="304">
        <v>40733</v>
      </c>
      <c r="B505" s="305" t="s">
        <v>8505</v>
      </c>
      <c r="C505" s="306" t="s">
        <v>8036</v>
      </c>
      <c r="D505" s="311">
        <v>1436.54</v>
      </c>
      <c r="E505" s="305" t="s">
        <v>8076</v>
      </c>
    </row>
    <row r="506" spans="1:5" ht="9" customHeight="1">
      <c r="A506" s="304">
        <v>40734</v>
      </c>
      <c r="B506" s="305" t="s">
        <v>8506</v>
      </c>
      <c r="C506" s="306" t="s">
        <v>8036</v>
      </c>
      <c r="D506" s="311">
        <v>2246.21</v>
      </c>
      <c r="E506" s="305" t="s">
        <v>8076</v>
      </c>
    </row>
    <row r="507" spans="1:5" ht="9" customHeight="1">
      <c r="A507" s="304">
        <v>40735</v>
      </c>
      <c r="B507" s="305" t="s">
        <v>8507</v>
      </c>
      <c r="C507" s="306" t="s">
        <v>8036</v>
      </c>
      <c r="D507" s="311">
        <v>3241.98</v>
      </c>
      <c r="E507" s="305" t="s">
        <v>8076</v>
      </c>
    </row>
    <row r="508" spans="1:5" ht="9" customHeight="1">
      <c r="A508" s="304">
        <v>40736</v>
      </c>
      <c r="B508" s="305" t="s">
        <v>8508</v>
      </c>
      <c r="C508" s="306" t="s">
        <v>8036</v>
      </c>
      <c r="D508" s="311">
        <v>4358.18</v>
      </c>
      <c r="E508" s="305" t="s">
        <v>8076</v>
      </c>
    </row>
    <row r="509" spans="1:5" ht="9" customHeight="1">
      <c r="A509" s="304">
        <v>40737</v>
      </c>
      <c r="B509" s="305" t="s">
        <v>8509</v>
      </c>
      <c r="C509" s="306" t="s">
        <v>8036</v>
      </c>
      <c r="D509" s="311">
        <v>6912.14</v>
      </c>
      <c r="E509" s="305" t="s">
        <v>8076</v>
      </c>
    </row>
    <row r="510" spans="1:5" ht="9" customHeight="1">
      <c r="A510" s="304">
        <v>40738</v>
      </c>
      <c r="B510" s="305" t="s">
        <v>8510</v>
      </c>
      <c r="C510" s="306" t="s">
        <v>8036</v>
      </c>
      <c r="D510" s="311">
        <v>4429.7</v>
      </c>
      <c r="E510" s="305" t="s">
        <v>8076</v>
      </c>
    </row>
    <row r="511" spans="1:5" ht="9" customHeight="1">
      <c r="A511" s="304">
        <v>40739</v>
      </c>
      <c r="B511" s="305" t="s">
        <v>8511</v>
      </c>
      <c r="C511" s="306" t="s">
        <v>8036</v>
      </c>
      <c r="D511" s="311">
        <v>5958.33</v>
      </c>
      <c r="E511" s="305" t="s">
        <v>8076</v>
      </c>
    </row>
    <row r="512" spans="1:5" ht="9" customHeight="1">
      <c r="A512" s="304">
        <v>40740</v>
      </c>
      <c r="B512" s="305" t="s">
        <v>8512</v>
      </c>
      <c r="C512" s="306" t="s">
        <v>8036</v>
      </c>
      <c r="D512" s="311">
        <v>9225.7000000000007</v>
      </c>
      <c r="E512" s="305" t="s">
        <v>8076</v>
      </c>
    </row>
    <row r="513" spans="1:5" ht="9" customHeight="1">
      <c r="A513" s="304">
        <v>40741</v>
      </c>
      <c r="B513" s="305" t="s">
        <v>8513</v>
      </c>
      <c r="C513" s="306" t="s">
        <v>8036</v>
      </c>
      <c r="D513" s="311">
        <v>5624.36</v>
      </c>
      <c r="E513" s="305" t="s">
        <v>8076</v>
      </c>
    </row>
    <row r="514" spans="1:5" ht="9" customHeight="1">
      <c r="A514" s="304">
        <v>40742</v>
      </c>
      <c r="B514" s="305" t="s">
        <v>8514</v>
      </c>
      <c r="C514" s="306" t="s">
        <v>8036</v>
      </c>
      <c r="D514" s="311">
        <v>11537.39</v>
      </c>
      <c r="E514" s="305" t="s">
        <v>8076</v>
      </c>
    </row>
    <row r="515" spans="1:5" ht="9" customHeight="1">
      <c r="A515" s="304">
        <v>40729</v>
      </c>
      <c r="B515" s="305" t="s">
        <v>8515</v>
      </c>
      <c r="C515" s="306" t="s">
        <v>8036</v>
      </c>
      <c r="D515" s="307">
        <v>275.33</v>
      </c>
      <c r="E515" s="305" t="s">
        <v>8076</v>
      </c>
    </row>
    <row r="516" spans="1:5" ht="9" customHeight="1">
      <c r="A516" s="304">
        <v>40730</v>
      </c>
      <c r="B516" s="305" t="s">
        <v>8516</v>
      </c>
      <c r="C516" s="306" t="s">
        <v>8036</v>
      </c>
      <c r="D516" s="307">
        <v>327.47000000000003</v>
      </c>
      <c r="E516" s="305" t="s">
        <v>8076</v>
      </c>
    </row>
    <row r="517" spans="1:5" ht="9" customHeight="1">
      <c r="A517" s="304">
        <v>40731</v>
      </c>
      <c r="B517" s="305" t="s">
        <v>8517</v>
      </c>
      <c r="C517" s="306" t="s">
        <v>8036</v>
      </c>
      <c r="D517" s="307">
        <v>390.48</v>
      </c>
      <c r="E517" s="305" t="s">
        <v>8076</v>
      </c>
    </row>
    <row r="518" spans="1:5" ht="18.149999999999999" customHeight="1">
      <c r="A518" s="304">
        <v>40650</v>
      </c>
      <c r="B518" s="309" t="s">
        <v>8518</v>
      </c>
      <c r="C518" s="306" t="s">
        <v>8137</v>
      </c>
      <c r="D518" s="307">
        <v>52.18</v>
      </c>
      <c r="E518" s="305" t="s">
        <v>8076</v>
      </c>
    </row>
    <row r="519" spans="1:5" ht="9" customHeight="1">
      <c r="A519" s="304">
        <v>40637</v>
      </c>
      <c r="B519" s="305" t="s">
        <v>8519</v>
      </c>
      <c r="C519" s="306" t="s">
        <v>8137</v>
      </c>
      <c r="D519" s="307">
        <v>28.57</v>
      </c>
      <c r="E519" s="308"/>
    </row>
    <row r="520" spans="1:5" ht="9" customHeight="1">
      <c r="A520" s="304">
        <v>40636</v>
      </c>
      <c r="B520" s="305" t="s">
        <v>8520</v>
      </c>
      <c r="C520" s="306" t="s">
        <v>8137</v>
      </c>
      <c r="D520" s="307">
        <v>21.32</v>
      </c>
      <c r="E520" s="308"/>
    </row>
    <row r="521" spans="1:5" ht="18.149999999999999" customHeight="1">
      <c r="A521" s="304">
        <v>40712</v>
      </c>
      <c r="B521" s="309" t="s">
        <v>8521</v>
      </c>
      <c r="C521" s="306" t="s">
        <v>8137</v>
      </c>
      <c r="D521" s="307">
        <v>85.1</v>
      </c>
      <c r="E521" s="305" t="s">
        <v>8076</v>
      </c>
    </row>
    <row r="522" spans="1:5" ht="18.149999999999999" customHeight="1">
      <c r="A522" s="304">
        <v>40713</v>
      </c>
      <c r="B522" s="309" t="s">
        <v>8522</v>
      </c>
      <c r="C522" s="306" t="s">
        <v>8137</v>
      </c>
      <c r="D522" s="307">
        <v>112.37</v>
      </c>
      <c r="E522" s="305" t="s">
        <v>8076</v>
      </c>
    </row>
    <row r="523" spans="1:5" ht="18.149999999999999" customHeight="1">
      <c r="A523" s="304">
        <v>41262</v>
      </c>
      <c r="B523" s="309" t="s">
        <v>8523</v>
      </c>
      <c r="C523" s="306" t="s">
        <v>8137</v>
      </c>
      <c r="D523" s="307">
        <v>85.86</v>
      </c>
      <c r="E523" s="310"/>
    </row>
    <row r="524" spans="1:5" ht="9" customHeight="1">
      <c r="A524" s="304">
        <v>41259</v>
      </c>
      <c r="B524" s="305" t="s">
        <v>8524</v>
      </c>
      <c r="C524" s="306" t="s">
        <v>8137</v>
      </c>
      <c r="D524" s="307">
        <v>19.45</v>
      </c>
      <c r="E524" s="308"/>
    </row>
    <row r="525" spans="1:5" ht="18.149999999999999" customHeight="1">
      <c r="A525" s="304">
        <v>40640</v>
      </c>
      <c r="B525" s="309" t="s">
        <v>8525</v>
      </c>
      <c r="C525" s="306" t="s">
        <v>8137</v>
      </c>
      <c r="D525" s="307">
        <v>97.42</v>
      </c>
      <c r="E525" s="305" t="s">
        <v>8076</v>
      </c>
    </row>
    <row r="526" spans="1:5" ht="18.149999999999999" customHeight="1">
      <c r="A526" s="304">
        <v>40642</v>
      </c>
      <c r="B526" s="309" t="s">
        <v>8526</v>
      </c>
      <c r="C526" s="306" t="s">
        <v>8137</v>
      </c>
      <c r="D526" s="307">
        <v>98.38</v>
      </c>
      <c r="E526" s="305" t="s">
        <v>8076</v>
      </c>
    </row>
    <row r="527" spans="1:5" ht="18.149999999999999" customHeight="1">
      <c r="A527" s="304">
        <v>40643</v>
      </c>
      <c r="B527" s="309" t="s">
        <v>8527</v>
      </c>
      <c r="C527" s="306" t="s">
        <v>8137</v>
      </c>
      <c r="D527" s="307">
        <v>105.71</v>
      </c>
      <c r="E527" s="305" t="s">
        <v>8076</v>
      </c>
    </row>
    <row r="528" spans="1:5" ht="18.149999999999999" customHeight="1">
      <c r="A528" s="304">
        <v>40641</v>
      </c>
      <c r="B528" s="309" t="s">
        <v>8528</v>
      </c>
      <c r="C528" s="306" t="s">
        <v>8137</v>
      </c>
      <c r="D528" s="307">
        <v>92.24</v>
      </c>
      <c r="E528" s="305" t="s">
        <v>8076</v>
      </c>
    </row>
    <row r="529" spans="1:6" ht="18.149999999999999" customHeight="1">
      <c r="A529" s="304">
        <v>40648</v>
      </c>
      <c r="B529" s="309" t="s">
        <v>8529</v>
      </c>
      <c r="C529" s="306" t="s">
        <v>8137</v>
      </c>
      <c r="D529" s="307">
        <v>120.49</v>
      </c>
      <c r="E529" s="305" t="s">
        <v>8076</v>
      </c>
    </row>
    <row r="530" spans="1:6" ht="18.149999999999999" customHeight="1">
      <c r="A530" s="304">
        <v>40649</v>
      </c>
      <c r="B530" s="309" t="s">
        <v>8530</v>
      </c>
      <c r="C530" s="306" t="s">
        <v>8137</v>
      </c>
      <c r="D530" s="307">
        <v>97.49</v>
      </c>
      <c r="E530" s="305" t="s">
        <v>8076</v>
      </c>
    </row>
    <row r="531" spans="1:6" ht="18.149999999999999" customHeight="1">
      <c r="A531" s="304">
        <v>40645</v>
      </c>
      <c r="B531" s="309" t="s">
        <v>8531</v>
      </c>
      <c r="C531" s="306" t="s">
        <v>8137</v>
      </c>
      <c r="D531" s="307">
        <v>216.08</v>
      </c>
      <c r="E531" s="305" t="s">
        <v>8076</v>
      </c>
    </row>
    <row r="532" spans="1:6" ht="18.149999999999999" customHeight="1">
      <c r="A532" s="304">
        <v>40644</v>
      </c>
      <c r="B532" s="309" t="s">
        <v>8532</v>
      </c>
      <c r="C532" s="306" t="s">
        <v>8137</v>
      </c>
      <c r="D532" s="307">
        <v>130.65</v>
      </c>
      <c r="E532" s="305" t="s">
        <v>8076</v>
      </c>
    </row>
    <row r="533" spans="1:6" ht="18.149999999999999" customHeight="1">
      <c r="A533" s="304">
        <v>40646</v>
      </c>
      <c r="B533" s="309" t="s">
        <v>8533</v>
      </c>
      <c r="C533" s="306" t="s">
        <v>8137</v>
      </c>
      <c r="D533" s="307">
        <v>118.19</v>
      </c>
      <c r="E533" s="305" t="s">
        <v>8076</v>
      </c>
    </row>
    <row r="534" spans="1:6" ht="18.149999999999999" customHeight="1">
      <c r="A534" s="304">
        <v>40647</v>
      </c>
      <c r="B534" s="309" t="s">
        <v>8534</v>
      </c>
      <c r="C534" s="306" t="s">
        <v>8137</v>
      </c>
      <c r="D534" s="307">
        <v>113.16</v>
      </c>
      <c r="E534" s="305" t="s">
        <v>8076</v>
      </c>
    </row>
    <row r="535" spans="1:6" ht="18.149999999999999" customHeight="1">
      <c r="A535" s="304">
        <v>40704</v>
      </c>
      <c r="B535" s="309" t="s">
        <v>8535</v>
      </c>
      <c r="C535" s="306" t="s">
        <v>8137</v>
      </c>
      <c r="D535" s="307">
        <v>85.56</v>
      </c>
      <c r="E535" s="305" t="s">
        <v>8076</v>
      </c>
    </row>
    <row r="536" spans="1:6" ht="18.149999999999999" customHeight="1">
      <c r="A536" s="304">
        <v>41107</v>
      </c>
      <c r="B536" s="309" t="s">
        <v>8536</v>
      </c>
      <c r="C536" s="306" t="s">
        <v>8137</v>
      </c>
      <c r="D536" s="307">
        <v>119</v>
      </c>
      <c r="E536" s="305" t="s">
        <v>8076</v>
      </c>
    </row>
    <row r="537" spans="1:6" ht="18.149999999999999" customHeight="1">
      <c r="A537" s="304">
        <v>40638</v>
      </c>
      <c r="B537" s="309" t="s">
        <v>8537</v>
      </c>
      <c r="C537" s="306" t="s">
        <v>8137</v>
      </c>
      <c r="D537" s="307">
        <v>455.67</v>
      </c>
      <c r="E537" s="310"/>
    </row>
    <row r="538" spans="1:6" ht="18.149999999999999" customHeight="1">
      <c r="A538" s="304">
        <v>41188</v>
      </c>
      <c r="B538" s="309" t="s">
        <v>8538</v>
      </c>
      <c r="C538" s="306" t="s">
        <v>8137</v>
      </c>
      <c r="D538" s="307">
        <v>728.67</v>
      </c>
      <c r="E538" s="310"/>
    </row>
    <row r="539" spans="1:6" ht="18.149999999999999" customHeight="1">
      <c r="A539" s="304">
        <v>41187</v>
      </c>
      <c r="B539" s="309" t="s">
        <v>8539</v>
      </c>
      <c r="C539" s="306" t="s">
        <v>8137</v>
      </c>
      <c r="D539" s="307">
        <v>963.38</v>
      </c>
      <c r="E539" s="310"/>
    </row>
    <row r="540" spans="1:6" ht="18.149999999999999" customHeight="1">
      <c r="A540" s="304">
        <v>40705</v>
      </c>
      <c r="B540" s="309" t="s">
        <v>8540</v>
      </c>
      <c r="C540" s="306" t="s">
        <v>8137</v>
      </c>
      <c r="D540" s="307">
        <v>69.36</v>
      </c>
      <c r="E540" s="305" t="s">
        <v>8076</v>
      </c>
    </row>
    <row r="541" spans="1:6" ht="9" customHeight="1">
      <c r="A541" s="304">
        <v>40639</v>
      </c>
      <c r="B541" s="305" t="s">
        <v>8541</v>
      </c>
      <c r="C541" s="306" t="s">
        <v>8137</v>
      </c>
      <c r="D541" s="307">
        <v>460.23</v>
      </c>
      <c r="E541" s="308"/>
    </row>
    <row r="542" spans="1:6" ht="9" customHeight="1">
      <c r="A542" s="858" t="s">
        <v>8224</v>
      </c>
      <c r="B542" s="858"/>
      <c r="C542" s="858"/>
      <c r="D542" s="858"/>
      <c r="E542" s="858"/>
      <c r="F542" s="858"/>
    </row>
    <row r="543" spans="1:6" ht="9" customHeight="1">
      <c r="A543" s="301" t="s">
        <v>8014</v>
      </c>
      <c r="B543" s="302" t="s">
        <v>8015</v>
      </c>
      <c r="C543" s="301" t="s">
        <v>8016</v>
      </c>
      <c r="D543" s="303" t="s">
        <v>8017</v>
      </c>
      <c r="E543" s="302" t="s">
        <v>8018</v>
      </c>
    </row>
    <row r="544" spans="1:6" ht="18.149999999999999" customHeight="1">
      <c r="A544" s="304">
        <v>41227</v>
      </c>
      <c r="B544" s="309" t="s">
        <v>8542</v>
      </c>
      <c r="C544" s="306" t="s">
        <v>8137</v>
      </c>
      <c r="D544" s="307">
        <v>127.1</v>
      </c>
      <c r="E544" s="310"/>
    </row>
    <row r="545" spans="1:5" ht="9" customHeight="1">
      <c r="A545" s="304">
        <v>40951</v>
      </c>
      <c r="B545" s="305" t="s">
        <v>8543</v>
      </c>
      <c r="C545" s="306" t="s">
        <v>8137</v>
      </c>
      <c r="D545" s="307">
        <v>23.11</v>
      </c>
      <c r="E545" s="308"/>
    </row>
    <row r="546" spans="1:5" ht="9" customHeight="1">
      <c r="A546" s="304">
        <v>41121</v>
      </c>
      <c r="B546" s="305" t="s">
        <v>8544</v>
      </c>
      <c r="C546" s="306" t="s">
        <v>8137</v>
      </c>
      <c r="D546" s="307">
        <v>22.98</v>
      </c>
      <c r="E546" s="308"/>
    </row>
    <row r="547" spans="1:5" ht="9" customHeight="1">
      <c r="A547" s="304">
        <v>41120</v>
      </c>
      <c r="B547" s="305" t="s">
        <v>8545</v>
      </c>
      <c r="C547" s="306" t="s">
        <v>8137</v>
      </c>
      <c r="D547" s="307">
        <v>15.41</v>
      </c>
      <c r="E547" s="308"/>
    </row>
    <row r="548" spans="1:5" ht="9" customHeight="1">
      <c r="A548" s="304">
        <v>41128</v>
      </c>
      <c r="B548" s="305" t="s">
        <v>8546</v>
      </c>
      <c r="C548" s="306" t="s">
        <v>8137</v>
      </c>
      <c r="D548" s="307">
        <v>7.1</v>
      </c>
      <c r="E548" s="308"/>
    </row>
    <row r="549" spans="1:5" ht="9" customHeight="1">
      <c r="A549" s="304">
        <v>41129</v>
      </c>
      <c r="B549" s="305" t="s">
        <v>8547</v>
      </c>
      <c r="C549" s="306" t="s">
        <v>8137</v>
      </c>
      <c r="D549" s="307">
        <v>8.07</v>
      </c>
      <c r="E549" s="308"/>
    </row>
    <row r="550" spans="1:5" ht="9" customHeight="1">
      <c r="A550" s="304">
        <v>41131</v>
      </c>
      <c r="B550" s="305" t="s">
        <v>8548</v>
      </c>
      <c r="C550" s="306" t="s">
        <v>8137</v>
      </c>
      <c r="D550" s="307">
        <v>9.57</v>
      </c>
      <c r="E550" s="308"/>
    </row>
    <row r="551" spans="1:5" ht="9" customHeight="1">
      <c r="A551" s="304">
        <v>41130</v>
      </c>
      <c r="B551" s="305" t="s">
        <v>8549</v>
      </c>
      <c r="C551" s="306" t="s">
        <v>8137</v>
      </c>
      <c r="D551" s="307">
        <v>17.46</v>
      </c>
      <c r="E551" s="308"/>
    </row>
    <row r="552" spans="1:5" ht="18.149999999999999" customHeight="1">
      <c r="A552" s="304">
        <v>40997</v>
      </c>
      <c r="B552" s="309" t="s">
        <v>8550</v>
      </c>
      <c r="C552" s="306" t="s">
        <v>8022</v>
      </c>
      <c r="D552" s="307">
        <v>99.49</v>
      </c>
      <c r="E552" s="310"/>
    </row>
    <row r="553" spans="1:5" ht="9" customHeight="1">
      <c r="A553" s="304">
        <v>40724</v>
      </c>
      <c r="B553" s="305" t="s">
        <v>8551</v>
      </c>
      <c r="C553" s="306" t="s">
        <v>8022</v>
      </c>
      <c r="D553" s="307">
        <v>139.85</v>
      </c>
      <c r="E553" s="308"/>
    </row>
    <row r="554" spans="1:5" ht="18.149999999999999" customHeight="1">
      <c r="A554" s="304">
        <v>40722</v>
      </c>
      <c r="B554" s="309" t="s">
        <v>8552</v>
      </c>
      <c r="C554" s="306" t="s">
        <v>8022</v>
      </c>
      <c r="D554" s="307">
        <v>10.81</v>
      </c>
      <c r="E554" s="310"/>
    </row>
    <row r="555" spans="1:5" ht="9" customHeight="1">
      <c r="A555" s="304">
        <v>40998</v>
      </c>
      <c r="B555" s="305" t="s">
        <v>8553</v>
      </c>
      <c r="C555" s="306" t="s">
        <v>8022</v>
      </c>
      <c r="D555" s="307">
        <v>10.26</v>
      </c>
      <c r="E555" s="308"/>
    </row>
    <row r="556" spans="1:5" ht="9" customHeight="1">
      <c r="A556" s="304">
        <v>40723</v>
      </c>
      <c r="B556" s="305" t="s">
        <v>8554</v>
      </c>
      <c r="C556" s="306" t="s">
        <v>8022</v>
      </c>
      <c r="D556" s="307">
        <v>72.03</v>
      </c>
      <c r="E556" s="308"/>
    </row>
    <row r="557" spans="1:5" ht="9" customHeight="1">
      <c r="A557" s="304">
        <v>40335</v>
      </c>
      <c r="B557" s="305" t="s">
        <v>8555</v>
      </c>
      <c r="C557" s="306" t="s">
        <v>8020</v>
      </c>
      <c r="D557" s="307">
        <v>552.61</v>
      </c>
      <c r="E557" s="305" t="s">
        <v>8076</v>
      </c>
    </row>
    <row r="558" spans="1:5" ht="9" customHeight="1">
      <c r="A558" s="304">
        <v>40334</v>
      </c>
      <c r="B558" s="305" t="s">
        <v>8556</v>
      </c>
      <c r="C558" s="306" t="s">
        <v>8020</v>
      </c>
      <c r="D558" s="307">
        <v>776.58</v>
      </c>
      <c r="E558" s="305" t="s">
        <v>8076</v>
      </c>
    </row>
    <row r="559" spans="1:5" ht="18.149999999999999" customHeight="1">
      <c r="A559" s="304">
        <v>40333</v>
      </c>
      <c r="B559" s="309" t="s">
        <v>8557</v>
      </c>
      <c r="C559" s="306" t="s">
        <v>8020</v>
      </c>
      <c r="D559" s="307">
        <v>276.3</v>
      </c>
      <c r="E559" s="305" t="s">
        <v>8076</v>
      </c>
    </row>
    <row r="560" spans="1:5" ht="18.149999999999999" customHeight="1">
      <c r="A560" s="304">
        <v>40332</v>
      </c>
      <c r="B560" s="309" t="s">
        <v>8558</v>
      </c>
      <c r="C560" s="306" t="s">
        <v>8020</v>
      </c>
      <c r="D560" s="307">
        <v>388.29</v>
      </c>
      <c r="E560" s="305" t="s">
        <v>8076</v>
      </c>
    </row>
    <row r="561" spans="1:5" ht="9" customHeight="1">
      <c r="A561" s="304">
        <v>40675</v>
      </c>
      <c r="B561" s="305" t="s">
        <v>8559</v>
      </c>
      <c r="C561" s="306" t="s">
        <v>8036</v>
      </c>
      <c r="D561" s="307">
        <v>198.98</v>
      </c>
      <c r="E561" s="308"/>
    </row>
    <row r="562" spans="1:5" ht="9" customHeight="1">
      <c r="A562" s="304">
        <v>40673</v>
      </c>
      <c r="B562" s="305" t="s">
        <v>8560</v>
      </c>
      <c r="C562" s="306" t="s">
        <v>8036</v>
      </c>
      <c r="D562" s="307">
        <v>69.27</v>
      </c>
      <c r="E562" s="308"/>
    </row>
    <row r="563" spans="1:5" ht="9" customHeight="1">
      <c r="A563" s="304">
        <v>40674</v>
      </c>
      <c r="B563" s="305" t="s">
        <v>8561</v>
      </c>
      <c r="C563" s="306" t="s">
        <v>8036</v>
      </c>
      <c r="D563" s="307">
        <v>74.2</v>
      </c>
      <c r="E563" s="308"/>
    </row>
    <row r="564" spans="1:5" ht="9" customHeight="1">
      <c r="A564" s="304">
        <v>41037</v>
      </c>
      <c r="B564" s="305" t="s">
        <v>8562</v>
      </c>
      <c r="C564" s="306" t="s">
        <v>8137</v>
      </c>
      <c r="D564" s="307">
        <v>64.319999999999993</v>
      </c>
      <c r="E564" s="308"/>
    </row>
    <row r="565" spans="1:5" ht="9" customHeight="1">
      <c r="A565" s="304">
        <v>40258</v>
      </c>
      <c r="B565" s="305" t="s">
        <v>8563</v>
      </c>
      <c r="C565" s="306" t="s">
        <v>8022</v>
      </c>
      <c r="D565" s="307">
        <v>58.37</v>
      </c>
      <c r="E565" s="308"/>
    </row>
    <row r="566" spans="1:5" ht="9" customHeight="1">
      <c r="A566" s="304">
        <v>40261</v>
      </c>
      <c r="B566" s="305" t="s">
        <v>8564</v>
      </c>
      <c r="C566" s="306" t="s">
        <v>8022</v>
      </c>
      <c r="D566" s="307">
        <v>66.61</v>
      </c>
      <c r="E566" s="308"/>
    </row>
    <row r="567" spans="1:5" ht="9" customHeight="1">
      <c r="A567" s="304">
        <v>40259</v>
      </c>
      <c r="B567" s="305" t="s">
        <v>8565</v>
      </c>
      <c r="C567" s="306" t="s">
        <v>8022</v>
      </c>
      <c r="D567" s="307">
        <v>86.03</v>
      </c>
      <c r="E567" s="308"/>
    </row>
    <row r="568" spans="1:5" ht="9" customHeight="1">
      <c r="A568" s="304">
        <v>40262</v>
      </c>
      <c r="B568" s="305" t="s">
        <v>8566</v>
      </c>
      <c r="C568" s="306" t="s">
        <v>8022</v>
      </c>
      <c r="D568" s="307">
        <v>94.27</v>
      </c>
      <c r="E568" s="308"/>
    </row>
    <row r="569" spans="1:5" ht="9" customHeight="1">
      <c r="A569" s="304">
        <v>40260</v>
      </c>
      <c r="B569" s="305" t="s">
        <v>8567</v>
      </c>
      <c r="C569" s="306" t="s">
        <v>8022</v>
      </c>
      <c r="D569" s="307">
        <v>127.51</v>
      </c>
      <c r="E569" s="308"/>
    </row>
    <row r="570" spans="1:5" ht="9" customHeight="1">
      <c r="A570" s="304">
        <v>40263</v>
      </c>
      <c r="B570" s="305" t="s">
        <v>8568</v>
      </c>
      <c r="C570" s="306" t="s">
        <v>8022</v>
      </c>
      <c r="D570" s="307">
        <v>135.76</v>
      </c>
      <c r="E570" s="308"/>
    </row>
    <row r="571" spans="1:5" ht="9" customHeight="1">
      <c r="A571" s="304">
        <v>40267</v>
      </c>
      <c r="B571" s="305" t="s">
        <v>8569</v>
      </c>
      <c r="C571" s="306" t="s">
        <v>8022</v>
      </c>
      <c r="D571" s="307">
        <v>139.81</v>
      </c>
      <c r="E571" s="308"/>
    </row>
    <row r="572" spans="1:5" ht="9" customHeight="1">
      <c r="A572" s="304">
        <v>40264</v>
      </c>
      <c r="B572" s="305" t="s">
        <v>8570</v>
      </c>
      <c r="C572" s="306" t="s">
        <v>8022</v>
      </c>
      <c r="D572" s="307">
        <v>131.57</v>
      </c>
      <c r="E572" s="308"/>
    </row>
    <row r="573" spans="1:5" ht="9" customHeight="1">
      <c r="A573" s="304">
        <v>40268</v>
      </c>
      <c r="B573" s="305" t="s">
        <v>8571</v>
      </c>
      <c r="C573" s="306" t="s">
        <v>8022</v>
      </c>
      <c r="D573" s="307">
        <v>171.98</v>
      </c>
      <c r="E573" s="308"/>
    </row>
    <row r="574" spans="1:5" ht="9" customHeight="1">
      <c r="A574" s="304">
        <v>40265</v>
      </c>
      <c r="B574" s="305" t="s">
        <v>8572</v>
      </c>
      <c r="C574" s="306" t="s">
        <v>8022</v>
      </c>
      <c r="D574" s="307">
        <v>163.72999999999999</v>
      </c>
      <c r="E574" s="308"/>
    </row>
    <row r="575" spans="1:5" ht="9" customHeight="1">
      <c r="A575" s="304">
        <v>40269</v>
      </c>
      <c r="B575" s="305" t="s">
        <v>8573</v>
      </c>
      <c r="C575" s="306" t="s">
        <v>8022</v>
      </c>
      <c r="D575" s="307">
        <v>299.05</v>
      </c>
      <c r="E575" s="308"/>
    </row>
    <row r="576" spans="1:5" ht="9" customHeight="1">
      <c r="A576" s="304">
        <v>40266</v>
      </c>
      <c r="B576" s="305" t="s">
        <v>8574</v>
      </c>
      <c r="C576" s="306" t="s">
        <v>8022</v>
      </c>
      <c r="D576" s="307">
        <v>290.81</v>
      </c>
      <c r="E576" s="308"/>
    </row>
    <row r="577" spans="1:5" ht="9" customHeight="1">
      <c r="A577" s="304">
        <v>40276</v>
      </c>
      <c r="B577" s="305" t="s">
        <v>8575</v>
      </c>
      <c r="C577" s="306" t="s">
        <v>8022</v>
      </c>
      <c r="D577" s="307">
        <v>245.86</v>
      </c>
      <c r="E577" s="308"/>
    </row>
    <row r="578" spans="1:5" ht="9" customHeight="1">
      <c r="A578" s="304">
        <v>40256</v>
      </c>
      <c r="B578" s="305" t="s">
        <v>8576</v>
      </c>
      <c r="C578" s="306" t="s">
        <v>8022</v>
      </c>
      <c r="D578" s="307">
        <v>86.03</v>
      </c>
      <c r="E578" s="308"/>
    </row>
    <row r="579" spans="1:5" ht="9" customHeight="1">
      <c r="A579" s="304">
        <v>40257</v>
      </c>
      <c r="B579" s="305" t="s">
        <v>8577</v>
      </c>
      <c r="C579" s="306" t="s">
        <v>8022</v>
      </c>
      <c r="D579" s="307">
        <v>195.83</v>
      </c>
      <c r="E579" s="308"/>
    </row>
    <row r="580" spans="1:5" ht="18.149999999999999" customHeight="1">
      <c r="A580" s="304">
        <v>41192</v>
      </c>
      <c r="B580" s="309" t="s">
        <v>8578</v>
      </c>
      <c r="C580" s="306" t="s">
        <v>8022</v>
      </c>
      <c r="D580" s="307">
        <v>217.71</v>
      </c>
      <c r="E580" s="305" t="s">
        <v>8076</v>
      </c>
    </row>
    <row r="581" spans="1:5" ht="18.149999999999999" customHeight="1">
      <c r="A581" s="304">
        <v>41198</v>
      </c>
      <c r="B581" s="309" t="s">
        <v>8579</v>
      </c>
      <c r="C581" s="306" t="s">
        <v>8022</v>
      </c>
      <c r="D581" s="307">
        <v>219.78</v>
      </c>
      <c r="E581" s="305" t="s">
        <v>8076</v>
      </c>
    </row>
    <row r="582" spans="1:5" ht="9" customHeight="1">
      <c r="A582" s="304">
        <v>40282</v>
      </c>
      <c r="B582" s="305" t="s">
        <v>8580</v>
      </c>
      <c r="C582" s="306" t="s">
        <v>8022</v>
      </c>
      <c r="D582" s="307">
        <v>11.71</v>
      </c>
      <c r="E582" s="308"/>
    </row>
    <row r="583" spans="1:5" ht="9" customHeight="1">
      <c r="A583" s="304">
        <v>40285</v>
      </c>
      <c r="B583" s="305" t="s">
        <v>8581</v>
      </c>
      <c r="C583" s="306" t="s">
        <v>8022</v>
      </c>
      <c r="D583" s="307">
        <v>19.96</v>
      </c>
      <c r="E583" s="308"/>
    </row>
    <row r="584" spans="1:5" ht="9" customHeight="1">
      <c r="A584" s="304">
        <v>40283</v>
      </c>
      <c r="B584" s="305" t="s">
        <v>8582</v>
      </c>
      <c r="C584" s="306" t="s">
        <v>8022</v>
      </c>
      <c r="D584" s="307">
        <v>12.88</v>
      </c>
      <c r="E584" s="308"/>
    </row>
    <row r="585" spans="1:5" ht="9" customHeight="1">
      <c r="A585" s="304">
        <v>40286</v>
      </c>
      <c r="B585" s="305" t="s">
        <v>8583</v>
      </c>
      <c r="C585" s="306" t="s">
        <v>8022</v>
      </c>
      <c r="D585" s="307">
        <v>21.12</v>
      </c>
      <c r="E585" s="308"/>
    </row>
    <row r="586" spans="1:5" ht="9" customHeight="1">
      <c r="A586" s="304">
        <v>40284</v>
      </c>
      <c r="B586" s="305" t="s">
        <v>8584</v>
      </c>
      <c r="C586" s="306" t="s">
        <v>8022</v>
      </c>
      <c r="D586" s="307">
        <v>15.16</v>
      </c>
      <c r="E586" s="308"/>
    </row>
    <row r="587" spans="1:5" ht="9" customHeight="1">
      <c r="A587" s="304">
        <v>40287</v>
      </c>
      <c r="B587" s="305" t="s">
        <v>8585</v>
      </c>
      <c r="C587" s="306" t="s">
        <v>8022</v>
      </c>
      <c r="D587" s="307">
        <v>23.41</v>
      </c>
      <c r="E587" s="308"/>
    </row>
    <row r="588" spans="1:5" ht="9" customHeight="1">
      <c r="A588" s="304">
        <v>40288</v>
      </c>
      <c r="B588" s="305" t="s">
        <v>8586</v>
      </c>
      <c r="C588" s="306" t="s">
        <v>8022</v>
      </c>
      <c r="D588" s="307">
        <v>21.49</v>
      </c>
      <c r="E588" s="308"/>
    </row>
    <row r="589" spans="1:5" ht="9" customHeight="1">
      <c r="A589" s="304">
        <v>40291</v>
      </c>
      <c r="B589" s="305" t="s">
        <v>8587</v>
      </c>
      <c r="C589" s="306" t="s">
        <v>8022</v>
      </c>
      <c r="D589" s="307">
        <v>29.73</v>
      </c>
      <c r="E589" s="308"/>
    </row>
    <row r="590" spans="1:5" ht="9" customHeight="1">
      <c r="A590" s="304">
        <v>40289</v>
      </c>
      <c r="B590" s="305" t="s">
        <v>8588</v>
      </c>
      <c r="C590" s="306" t="s">
        <v>8022</v>
      </c>
      <c r="D590" s="307">
        <v>25.78</v>
      </c>
      <c r="E590" s="308"/>
    </row>
    <row r="591" spans="1:5" ht="9" customHeight="1">
      <c r="A591" s="304">
        <v>40292</v>
      </c>
      <c r="B591" s="305" t="s">
        <v>8589</v>
      </c>
      <c r="C591" s="306" t="s">
        <v>8022</v>
      </c>
      <c r="D591" s="307">
        <v>34.020000000000003</v>
      </c>
      <c r="E591" s="308"/>
    </row>
    <row r="592" spans="1:5" ht="9" customHeight="1">
      <c r="A592" s="304">
        <v>40290</v>
      </c>
      <c r="B592" s="305" t="s">
        <v>8590</v>
      </c>
      <c r="C592" s="306" t="s">
        <v>8022</v>
      </c>
      <c r="D592" s="307">
        <v>32.229999999999997</v>
      </c>
      <c r="E592" s="308"/>
    </row>
    <row r="593" spans="1:6" ht="9" customHeight="1">
      <c r="A593" s="304">
        <v>40293</v>
      </c>
      <c r="B593" s="305" t="s">
        <v>8591</v>
      </c>
      <c r="C593" s="306" t="s">
        <v>8022</v>
      </c>
      <c r="D593" s="307">
        <v>40.479999999999997</v>
      </c>
      <c r="E593" s="308"/>
    </row>
    <row r="594" spans="1:6" ht="9" customHeight="1">
      <c r="A594" s="304">
        <v>40298</v>
      </c>
      <c r="B594" s="305" t="s">
        <v>8592</v>
      </c>
      <c r="C594" s="306" t="s">
        <v>8022</v>
      </c>
      <c r="D594" s="307">
        <v>148.44999999999999</v>
      </c>
      <c r="E594" s="308"/>
    </row>
    <row r="595" spans="1:6" ht="9" customHeight="1">
      <c r="A595" s="304">
        <v>40296</v>
      </c>
      <c r="B595" s="305" t="s">
        <v>8593</v>
      </c>
      <c r="C595" s="306" t="s">
        <v>8022</v>
      </c>
      <c r="D595" s="307">
        <v>166.8</v>
      </c>
      <c r="E595" s="308"/>
    </row>
    <row r="596" spans="1:6" ht="9" customHeight="1">
      <c r="A596" s="304">
        <v>40299</v>
      </c>
      <c r="B596" s="305" t="s">
        <v>8594</v>
      </c>
      <c r="C596" s="306" t="s">
        <v>8022</v>
      </c>
      <c r="D596" s="307">
        <v>175.05</v>
      </c>
      <c r="E596" s="308"/>
    </row>
    <row r="597" spans="1:6" ht="9" customHeight="1">
      <c r="A597" s="304">
        <v>40327</v>
      </c>
      <c r="B597" s="305" t="s">
        <v>8595</v>
      </c>
      <c r="C597" s="306" t="s">
        <v>8020</v>
      </c>
      <c r="D597" s="307">
        <v>188.81</v>
      </c>
      <c r="E597" s="305" t="s">
        <v>8076</v>
      </c>
    </row>
    <row r="598" spans="1:6" ht="18.149999999999999" customHeight="1">
      <c r="A598" s="304">
        <v>40328</v>
      </c>
      <c r="B598" s="309" t="s">
        <v>8596</v>
      </c>
      <c r="C598" s="306" t="s">
        <v>8022</v>
      </c>
      <c r="D598" s="307">
        <v>121.39</v>
      </c>
      <c r="E598" s="305" t="s">
        <v>8076</v>
      </c>
    </row>
    <row r="599" spans="1:6" ht="18.149999999999999" customHeight="1">
      <c r="A599" s="304">
        <v>43332</v>
      </c>
      <c r="B599" s="309" t="s">
        <v>8597</v>
      </c>
      <c r="C599" s="306" t="s">
        <v>8598</v>
      </c>
      <c r="D599" s="311">
        <v>6049.39</v>
      </c>
      <c r="E599" s="310"/>
    </row>
    <row r="600" spans="1:6" ht="9" customHeight="1">
      <c r="A600" s="858" t="s">
        <v>8224</v>
      </c>
      <c r="B600" s="858"/>
      <c r="C600" s="858"/>
      <c r="D600" s="858"/>
      <c r="E600" s="858"/>
      <c r="F600" s="858"/>
    </row>
    <row r="601" spans="1:6" ht="9" customHeight="1">
      <c r="A601" s="301" t="s">
        <v>8014</v>
      </c>
      <c r="B601" s="302" t="s">
        <v>8015</v>
      </c>
      <c r="C601" s="301" t="s">
        <v>8016</v>
      </c>
      <c r="D601" s="303" t="s">
        <v>8017</v>
      </c>
      <c r="E601" s="302" t="s">
        <v>8018</v>
      </c>
    </row>
    <row r="602" spans="1:6" ht="9" customHeight="1">
      <c r="A602" s="304">
        <v>40316</v>
      </c>
      <c r="B602" s="305" t="s">
        <v>8599</v>
      </c>
      <c r="C602" s="306" t="s">
        <v>8020</v>
      </c>
      <c r="D602" s="307">
        <v>72.41</v>
      </c>
      <c r="E602" s="305" t="s">
        <v>8076</v>
      </c>
    </row>
    <row r="603" spans="1:6" ht="18.149999999999999" customHeight="1">
      <c r="A603" s="304">
        <v>40317</v>
      </c>
      <c r="B603" s="309" t="s">
        <v>8600</v>
      </c>
      <c r="C603" s="306" t="s">
        <v>8020</v>
      </c>
      <c r="D603" s="307">
        <v>62.45</v>
      </c>
      <c r="E603" s="305" t="s">
        <v>8076</v>
      </c>
    </row>
    <row r="604" spans="1:6" ht="9" customHeight="1">
      <c r="A604" s="304">
        <v>40318</v>
      </c>
      <c r="B604" s="305" t="s">
        <v>8601</v>
      </c>
      <c r="C604" s="306" t="s">
        <v>8020</v>
      </c>
      <c r="D604" s="307">
        <v>7.33</v>
      </c>
      <c r="E604" s="308"/>
    </row>
    <row r="605" spans="1:6" ht="18.149999999999999" customHeight="1">
      <c r="A605" s="304">
        <v>40311</v>
      </c>
      <c r="B605" s="309" t="s">
        <v>8602</v>
      </c>
      <c r="C605" s="306" t="s">
        <v>8020</v>
      </c>
      <c r="D605" s="307">
        <v>104.35</v>
      </c>
      <c r="E605" s="305" t="s">
        <v>8076</v>
      </c>
    </row>
    <row r="606" spans="1:6" ht="18.149999999999999" customHeight="1">
      <c r="A606" s="304">
        <v>40312</v>
      </c>
      <c r="B606" s="309" t="s">
        <v>8603</v>
      </c>
      <c r="C606" s="306" t="s">
        <v>8020</v>
      </c>
      <c r="D606" s="307">
        <v>87.12</v>
      </c>
      <c r="E606" s="305" t="s">
        <v>8076</v>
      </c>
    </row>
    <row r="607" spans="1:6" ht="18.149999999999999" customHeight="1">
      <c r="A607" s="304">
        <v>40313</v>
      </c>
      <c r="B607" s="309" t="s">
        <v>8604</v>
      </c>
      <c r="C607" s="306" t="s">
        <v>8020</v>
      </c>
      <c r="D607" s="307">
        <v>73.66</v>
      </c>
      <c r="E607" s="305" t="s">
        <v>8076</v>
      </c>
    </row>
    <row r="608" spans="1:6" ht="18.149999999999999" customHeight="1">
      <c r="A608" s="304">
        <v>40310</v>
      </c>
      <c r="B608" s="309" t="s">
        <v>8605</v>
      </c>
      <c r="C608" s="306" t="s">
        <v>8020</v>
      </c>
      <c r="D608" s="307">
        <v>153.85</v>
      </c>
      <c r="E608" s="305" t="s">
        <v>8076</v>
      </c>
    </row>
    <row r="609" spans="1:5" ht="18.149999999999999" customHeight="1">
      <c r="A609" s="304">
        <v>40748</v>
      </c>
      <c r="B609" s="309" t="s">
        <v>8606</v>
      </c>
      <c r="C609" s="306" t="s">
        <v>8020</v>
      </c>
      <c r="D609" s="307">
        <v>254.95</v>
      </c>
      <c r="E609" s="310"/>
    </row>
    <row r="610" spans="1:5" ht="18.149999999999999" customHeight="1">
      <c r="A610" s="304">
        <v>40726</v>
      </c>
      <c r="B610" s="309" t="s">
        <v>8607</v>
      </c>
      <c r="C610" s="306" t="s">
        <v>8022</v>
      </c>
      <c r="D610" s="307">
        <v>571.02</v>
      </c>
      <c r="E610" s="305" t="s">
        <v>8076</v>
      </c>
    </row>
    <row r="611" spans="1:5" ht="9" customHeight="1">
      <c r="A611" s="304">
        <v>40725</v>
      </c>
      <c r="B611" s="305" t="s">
        <v>8608</v>
      </c>
      <c r="C611" s="306" t="s">
        <v>8022</v>
      </c>
      <c r="D611" s="307">
        <v>567.54</v>
      </c>
      <c r="E611" s="305" t="s">
        <v>8076</v>
      </c>
    </row>
    <row r="612" spans="1:5" ht="18.149999999999999" customHeight="1">
      <c r="A612" s="304">
        <v>41394</v>
      </c>
      <c r="B612" s="309" t="s">
        <v>8609</v>
      </c>
      <c r="C612" s="306" t="s">
        <v>8020</v>
      </c>
      <c r="D612" s="307">
        <v>21.81</v>
      </c>
      <c r="E612" s="310"/>
    </row>
    <row r="613" spans="1:5" ht="18.149999999999999" customHeight="1">
      <c r="A613" s="304">
        <v>41393</v>
      </c>
      <c r="B613" s="309" t="s">
        <v>8610</v>
      </c>
      <c r="C613" s="306" t="s">
        <v>8020</v>
      </c>
      <c r="D613" s="307">
        <v>26.89</v>
      </c>
      <c r="E613" s="310"/>
    </row>
    <row r="614" spans="1:5" ht="18.149999999999999" customHeight="1">
      <c r="A614" s="304">
        <v>41391</v>
      </c>
      <c r="B614" s="309" t="s">
        <v>8611</v>
      </c>
      <c r="C614" s="306" t="s">
        <v>8020</v>
      </c>
      <c r="D614" s="307">
        <v>76.14</v>
      </c>
      <c r="E614" s="310"/>
    </row>
    <row r="615" spans="1:5" ht="18.149999999999999" customHeight="1">
      <c r="A615" s="304">
        <v>41392</v>
      </c>
      <c r="B615" s="309" t="s">
        <v>8612</v>
      </c>
      <c r="C615" s="306" t="s">
        <v>8020</v>
      </c>
      <c r="D615" s="307">
        <v>33.799999999999997</v>
      </c>
      <c r="E615" s="310"/>
    </row>
    <row r="616" spans="1:5" ht="9" customHeight="1">
      <c r="A616" s="304">
        <v>41197</v>
      </c>
      <c r="B616" s="305" t="s">
        <v>8613</v>
      </c>
      <c r="C616" s="306" t="s">
        <v>8020</v>
      </c>
      <c r="D616" s="307">
        <v>40.28</v>
      </c>
      <c r="E616" s="308"/>
    </row>
    <row r="617" spans="1:5" ht="18.149999999999999" customHeight="1">
      <c r="A617" s="304">
        <v>40709</v>
      </c>
      <c r="B617" s="309" t="s">
        <v>8614</v>
      </c>
      <c r="C617" s="306" t="s">
        <v>8020</v>
      </c>
      <c r="D617" s="307">
        <v>18.32</v>
      </c>
      <c r="E617" s="310"/>
    </row>
    <row r="618" spans="1:5" ht="9" customHeight="1">
      <c r="A618" s="304">
        <v>40721</v>
      </c>
      <c r="B618" s="305" t="s">
        <v>8615</v>
      </c>
      <c r="C618" s="306" t="s">
        <v>8022</v>
      </c>
      <c r="D618" s="307">
        <v>116</v>
      </c>
      <c r="E618" s="305" t="s">
        <v>8076</v>
      </c>
    </row>
    <row r="619" spans="1:5" ht="9" customHeight="1">
      <c r="A619" s="304">
        <v>40396</v>
      </c>
      <c r="B619" s="305" t="s">
        <v>8616</v>
      </c>
      <c r="C619" s="306" t="s">
        <v>8020</v>
      </c>
      <c r="D619" s="307">
        <v>31.96</v>
      </c>
      <c r="E619" s="308"/>
    </row>
    <row r="620" spans="1:5" ht="9" customHeight="1">
      <c r="A620" s="304">
        <v>40744</v>
      </c>
      <c r="B620" s="305" t="s">
        <v>8617</v>
      </c>
      <c r="C620" s="306" t="s">
        <v>8137</v>
      </c>
      <c r="D620" s="307">
        <v>29.17</v>
      </c>
      <c r="E620" s="308"/>
    </row>
    <row r="621" spans="1:5" ht="9" customHeight="1">
      <c r="A621" s="304">
        <v>40746</v>
      </c>
      <c r="B621" s="305" t="s">
        <v>8618</v>
      </c>
      <c r="C621" s="306" t="s">
        <v>8137</v>
      </c>
      <c r="D621" s="307">
        <v>56.82</v>
      </c>
      <c r="E621" s="308"/>
    </row>
    <row r="622" spans="1:5" ht="9" customHeight="1">
      <c r="A622" s="304">
        <v>40743</v>
      </c>
      <c r="B622" s="305" t="s">
        <v>8619</v>
      </c>
      <c r="C622" s="306" t="s">
        <v>8137</v>
      </c>
      <c r="D622" s="307">
        <v>15.34</v>
      </c>
      <c r="E622" s="308"/>
    </row>
    <row r="623" spans="1:5" ht="9" customHeight="1">
      <c r="A623" s="304">
        <v>40745</v>
      </c>
      <c r="B623" s="305" t="s">
        <v>8620</v>
      </c>
      <c r="C623" s="306" t="s">
        <v>8137</v>
      </c>
      <c r="D623" s="307">
        <v>43.01</v>
      </c>
      <c r="E623" s="308"/>
    </row>
    <row r="624" spans="1:5" ht="9" customHeight="1">
      <c r="A624" s="304">
        <v>40397</v>
      </c>
      <c r="B624" s="305" t="s">
        <v>8621</v>
      </c>
      <c r="C624" s="306" t="s">
        <v>8020</v>
      </c>
      <c r="D624" s="307">
        <v>79.38</v>
      </c>
      <c r="E624" s="308"/>
    </row>
    <row r="625" spans="1:5" ht="9" customHeight="1">
      <c r="A625" s="304">
        <v>41221</v>
      </c>
      <c r="B625" s="305" t="s">
        <v>8622</v>
      </c>
      <c r="C625" s="306" t="s">
        <v>8020</v>
      </c>
      <c r="D625" s="307">
        <v>4.1399999999999997</v>
      </c>
      <c r="E625" s="308"/>
    </row>
    <row r="626" spans="1:5" ht="18.149999999999999" customHeight="1">
      <c r="A626" s="304">
        <v>41401</v>
      </c>
      <c r="B626" s="309" t="s">
        <v>8623</v>
      </c>
      <c r="C626" s="306" t="s">
        <v>8020</v>
      </c>
      <c r="D626" s="307">
        <v>6.79</v>
      </c>
      <c r="E626" s="310"/>
    </row>
    <row r="627" spans="1:5" ht="9" customHeight="1">
      <c r="A627" s="304">
        <v>40714</v>
      </c>
      <c r="B627" s="305" t="s">
        <v>8624</v>
      </c>
      <c r="C627" s="306" t="s">
        <v>8020</v>
      </c>
      <c r="D627" s="307">
        <v>10.08</v>
      </c>
      <c r="E627" s="308"/>
    </row>
    <row r="628" spans="1:5" ht="9" customHeight="1">
      <c r="A628" s="304">
        <v>40660</v>
      </c>
      <c r="B628" s="305" t="s">
        <v>8625</v>
      </c>
      <c r="C628" s="306" t="s">
        <v>8137</v>
      </c>
      <c r="D628" s="307">
        <v>53.51</v>
      </c>
      <c r="E628" s="308"/>
    </row>
    <row r="629" spans="1:5" ht="9" customHeight="1">
      <c r="A629" s="304">
        <v>40661</v>
      </c>
      <c r="B629" s="305" t="s">
        <v>8626</v>
      </c>
      <c r="C629" s="306" t="s">
        <v>8137</v>
      </c>
      <c r="D629" s="307">
        <v>105.54</v>
      </c>
      <c r="E629" s="308"/>
    </row>
    <row r="630" spans="1:5" ht="9" customHeight="1">
      <c r="A630" s="304">
        <v>40662</v>
      </c>
      <c r="B630" s="305" t="s">
        <v>8627</v>
      </c>
      <c r="C630" s="306" t="s">
        <v>8137</v>
      </c>
      <c r="D630" s="307">
        <v>56.93</v>
      </c>
      <c r="E630" s="308"/>
    </row>
    <row r="631" spans="1:5" ht="9" customHeight="1">
      <c r="A631" s="304">
        <v>40663</v>
      </c>
      <c r="B631" s="305" t="s">
        <v>8628</v>
      </c>
      <c r="C631" s="306" t="s">
        <v>8137</v>
      </c>
      <c r="D631" s="307">
        <v>50.56</v>
      </c>
      <c r="E631" s="305" t="s">
        <v>8076</v>
      </c>
    </row>
    <row r="632" spans="1:5" ht="9" customHeight="1">
      <c r="A632" s="304">
        <v>40659</v>
      </c>
      <c r="B632" s="305" t="s">
        <v>8629</v>
      </c>
      <c r="C632" s="306" t="s">
        <v>8137</v>
      </c>
      <c r="D632" s="307">
        <v>48.71</v>
      </c>
      <c r="E632" s="308"/>
    </row>
    <row r="633" spans="1:5" ht="18.149999999999999" customHeight="1">
      <c r="A633" s="304">
        <v>41024</v>
      </c>
      <c r="B633" s="309" t="s">
        <v>8630</v>
      </c>
      <c r="C633" s="306" t="s">
        <v>8137</v>
      </c>
      <c r="D633" s="307">
        <v>19.36</v>
      </c>
      <c r="E633" s="310"/>
    </row>
    <row r="634" spans="1:5" ht="9" customHeight="1">
      <c r="A634" s="304">
        <v>40657</v>
      </c>
      <c r="B634" s="305" t="s">
        <v>8631</v>
      </c>
      <c r="C634" s="306" t="s">
        <v>8137</v>
      </c>
      <c r="D634" s="307">
        <v>183.24</v>
      </c>
      <c r="E634" s="308"/>
    </row>
    <row r="635" spans="1:5" ht="9" customHeight="1">
      <c r="A635" s="304">
        <v>41395</v>
      </c>
      <c r="B635" s="305" t="s">
        <v>8632</v>
      </c>
      <c r="C635" s="306" t="s">
        <v>8020</v>
      </c>
      <c r="D635" s="307">
        <v>681.55</v>
      </c>
      <c r="E635" s="305" t="s">
        <v>8076</v>
      </c>
    </row>
    <row r="636" spans="1:5" ht="18.149999999999999" customHeight="1">
      <c r="A636" s="304">
        <v>41396</v>
      </c>
      <c r="B636" s="309" t="s">
        <v>8633</v>
      </c>
      <c r="C636" s="306" t="s">
        <v>8020</v>
      </c>
      <c r="D636" s="307">
        <v>779.47</v>
      </c>
      <c r="E636" s="305" t="s">
        <v>8076</v>
      </c>
    </row>
    <row r="637" spans="1:5" ht="18.149999999999999" customHeight="1">
      <c r="A637" s="304">
        <v>41397</v>
      </c>
      <c r="B637" s="309" t="s">
        <v>8634</v>
      </c>
      <c r="C637" s="306" t="s">
        <v>8020</v>
      </c>
      <c r="D637" s="307">
        <v>764.89</v>
      </c>
      <c r="E637" s="305" t="s">
        <v>8076</v>
      </c>
    </row>
    <row r="638" spans="1:5" ht="18.149999999999999" customHeight="1">
      <c r="A638" s="304">
        <v>41398</v>
      </c>
      <c r="B638" s="309" t="s">
        <v>8635</v>
      </c>
      <c r="C638" s="306" t="s">
        <v>8020</v>
      </c>
      <c r="D638" s="307">
        <v>869.28</v>
      </c>
      <c r="E638" s="305" t="s">
        <v>8076</v>
      </c>
    </row>
    <row r="639" spans="1:5" ht="18.149999999999999" customHeight="1">
      <c r="A639" s="304">
        <v>41399</v>
      </c>
      <c r="B639" s="309" t="s">
        <v>8636</v>
      </c>
      <c r="C639" s="306" t="s">
        <v>8020</v>
      </c>
      <c r="D639" s="307">
        <v>885.28</v>
      </c>
      <c r="E639" s="305" t="s">
        <v>8076</v>
      </c>
    </row>
    <row r="640" spans="1:5" ht="18.149999999999999" customHeight="1">
      <c r="A640" s="304">
        <v>40654</v>
      </c>
      <c r="B640" s="309" t="s">
        <v>8637</v>
      </c>
      <c r="C640" s="306" t="s">
        <v>8036</v>
      </c>
      <c r="D640" s="307">
        <v>599.07000000000005</v>
      </c>
      <c r="E640" s="305" t="s">
        <v>8076</v>
      </c>
    </row>
    <row r="641" spans="1:6" ht="9" customHeight="1">
      <c r="A641" s="304">
        <v>40653</v>
      </c>
      <c r="B641" s="305" t="s">
        <v>8638</v>
      </c>
      <c r="C641" s="306" t="s">
        <v>8036</v>
      </c>
      <c r="D641" s="307">
        <v>657.72</v>
      </c>
      <c r="E641" s="305" t="s">
        <v>8076</v>
      </c>
    </row>
    <row r="642" spans="1:6" ht="9" customHeight="1">
      <c r="A642" s="304">
        <v>41337</v>
      </c>
      <c r="B642" s="305" t="s">
        <v>8639</v>
      </c>
      <c r="C642" s="306" t="s">
        <v>8036</v>
      </c>
      <c r="D642" s="307">
        <v>277.77999999999997</v>
      </c>
      <c r="E642" s="305" t="s">
        <v>8076</v>
      </c>
    </row>
    <row r="643" spans="1:6" ht="9" customHeight="1">
      <c r="A643" s="304">
        <v>40719</v>
      </c>
      <c r="B643" s="305" t="s">
        <v>8640</v>
      </c>
      <c r="C643" s="306" t="s">
        <v>8022</v>
      </c>
      <c r="D643" s="307">
        <v>54.37</v>
      </c>
      <c r="E643" s="308"/>
    </row>
    <row r="644" spans="1:6" ht="18.149999999999999" customHeight="1">
      <c r="A644" s="304">
        <v>41019</v>
      </c>
      <c r="B644" s="309" t="s">
        <v>8641</v>
      </c>
      <c r="C644" s="306" t="s">
        <v>8137</v>
      </c>
      <c r="D644" s="307">
        <v>710.04</v>
      </c>
      <c r="E644" s="310"/>
    </row>
    <row r="645" spans="1:6" ht="18.149999999999999" customHeight="1">
      <c r="A645" s="304">
        <v>40557</v>
      </c>
      <c r="B645" s="309" t="s">
        <v>8642</v>
      </c>
      <c r="C645" s="306" t="s">
        <v>8036</v>
      </c>
      <c r="D645" s="307">
        <v>108.34</v>
      </c>
      <c r="E645" s="305" t="s">
        <v>8076</v>
      </c>
    </row>
    <row r="646" spans="1:6" ht="9" customHeight="1">
      <c r="A646" s="304">
        <v>40391</v>
      </c>
      <c r="B646" s="305" t="s">
        <v>8643</v>
      </c>
      <c r="C646" s="306" t="s">
        <v>8020</v>
      </c>
      <c r="D646" s="307">
        <v>4.26</v>
      </c>
      <c r="E646" s="308"/>
    </row>
    <row r="647" spans="1:6" ht="9" customHeight="1">
      <c r="A647" s="304">
        <v>40380</v>
      </c>
      <c r="B647" s="305" t="s">
        <v>8644</v>
      </c>
      <c r="C647" s="306" t="s">
        <v>8020</v>
      </c>
      <c r="D647" s="307">
        <v>60.69</v>
      </c>
      <c r="E647" s="308"/>
    </row>
    <row r="648" spans="1:6" ht="9" customHeight="1">
      <c r="A648" s="858" t="s">
        <v>8224</v>
      </c>
      <c r="B648" s="858"/>
      <c r="C648" s="858"/>
      <c r="D648" s="858"/>
      <c r="E648" s="858"/>
      <c r="F648" s="858"/>
    </row>
    <row r="649" spans="1:6" ht="9" customHeight="1">
      <c r="A649" s="301" t="s">
        <v>8014</v>
      </c>
      <c r="B649" s="302" t="s">
        <v>8015</v>
      </c>
      <c r="C649" s="301" t="s">
        <v>8016</v>
      </c>
      <c r="D649" s="303" t="s">
        <v>8017</v>
      </c>
      <c r="E649" s="302" t="s">
        <v>8018</v>
      </c>
    </row>
    <row r="650" spans="1:6" ht="9" customHeight="1">
      <c r="A650" s="304">
        <v>40399</v>
      </c>
      <c r="B650" s="305" t="s">
        <v>8645</v>
      </c>
      <c r="C650" s="306" t="s">
        <v>8020</v>
      </c>
      <c r="D650" s="307">
        <v>174.41</v>
      </c>
      <c r="E650" s="308"/>
    </row>
    <row r="651" spans="1:6" ht="9" customHeight="1">
      <c r="A651" s="304">
        <v>41028</v>
      </c>
      <c r="B651" s="305" t="s">
        <v>8646</v>
      </c>
      <c r="C651" s="306" t="s">
        <v>8020</v>
      </c>
      <c r="D651" s="307">
        <v>3.35</v>
      </c>
      <c r="E651" s="308"/>
    </row>
    <row r="652" spans="1:6" ht="9" customHeight="1">
      <c r="A652" s="304">
        <v>41167</v>
      </c>
      <c r="B652" s="305" t="s">
        <v>8647</v>
      </c>
      <c r="C652" s="306" t="s">
        <v>8036</v>
      </c>
      <c r="D652" s="311">
        <v>2455.65</v>
      </c>
      <c r="E652" s="308"/>
    </row>
    <row r="653" spans="1:6" ht="9" customHeight="1">
      <c r="A653" s="304">
        <v>41168</v>
      </c>
      <c r="B653" s="305" t="s">
        <v>8648</v>
      </c>
      <c r="C653" s="306" t="s">
        <v>8036</v>
      </c>
      <c r="D653" s="311">
        <v>2831.24</v>
      </c>
      <c r="E653" s="308"/>
    </row>
    <row r="654" spans="1:6" ht="9" customHeight="1">
      <c r="A654" s="304">
        <v>40570</v>
      </c>
      <c r="B654" s="305" t="s">
        <v>8649</v>
      </c>
      <c r="C654" s="306" t="s">
        <v>8036</v>
      </c>
      <c r="D654" s="311">
        <v>9957.82</v>
      </c>
      <c r="E654" s="305" t="s">
        <v>8076</v>
      </c>
    </row>
    <row r="655" spans="1:6" ht="9" customHeight="1">
      <c r="A655" s="304">
        <v>41115</v>
      </c>
      <c r="B655" s="305" t="s">
        <v>8650</v>
      </c>
      <c r="C655" s="306" t="s">
        <v>8036</v>
      </c>
      <c r="D655" s="311">
        <v>1429.72</v>
      </c>
      <c r="E655" s="308"/>
    </row>
    <row r="656" spans="1:6" ht="9" customHeight="1">
      <c r="A656" s="304">
        <v>41116</v>
      </c>
      <c r="B656" s="305" t="s">
        <v>8651</v>
      </c>
      <c r="C656" s="306" t="s">
        <v>8036</v>
      </c>
      <c r="D656" s="311">
        <v>1812.83</v>
      </c>
      <c r="E656" s="308"/>
    </row>
    <row r="657" spans="1:5" ht="9" customHeight="1">
      <c r="A657" s="304">
        <v>41117</v>
      </c>
      <c r="B657" s="305" t="s">
        <v>8652</v>
      </c>
      <c r="C657" s="306" t="s">
        <v>8036</v>
      </c>
      <c r="D657" s="311">
        <v>2188.85</v>
      </c>
      <c r="E657" s="308"/>
    </row>
    <row r="658" spans="1:5" ht="9" customHeight="1">
      <c r="A658" s="304">
        <v>40572</v>
      </c>
      <c r="B658" s="305" t="s">
        <v>8653</v>
      </c>
      <c r="C658" s="306" t="s">
        <v>8036</v>
      </c>
      <c r="D658" s="311">
        <v>16304.93</v>
      </c>
      <c r="E658" s="305" t="s">
        <v>8076</v>
      </c>
    </row>
    <row r="659" spans="1:5" ht="18.149999999999999" customHeight="1">
      <c r="A659" s="304">
        <v>40553</v>
      </c>
      <c r="B659" s="309" t="s">
        <v>8654</v>
      </c>
      <c r="C659" s="306" t="s">
        <v>8036</v>
      </c>
      <c r="D659" s="311">
        <v>3792.36</v>
      </c>
      <c r="E659" s="305" t="s">
        <v>8076</v>
      </c>
    </row>
    <row r="660" spans="1:5" ht="18.149999999999999" customHeight="1">
      <c r="A660" s="304">
        <v>40554</v>
      </c>
      <c r="B660" s="309" t="s">
        <v>8655</v>
      </c>
      <c r="C660" s="306" t="s">
        <v>8036</v>
      </c>
      <c r="D660" s="311">
        <v>4195.42</v>
      </c>
      <c r="E660" s="305" t="s">
        <v>8076</v>
      </c>
    </row>
    <row r="661" spans="1:5" ht="18.149999999999999" customHeight="1">
      <c r="A661" s="304">
        <v>40555</v>
      </c>
      <c r="B661" s="309" t="s">
        <v>8656</v>
      </c>
      <c r="C661" s="306" t="s">
        <v>8036</v>
      </c>
      <c r="D661" s="311">
        <v>4598.49</v>
      </c>
      <c r="E661" s="305" t="s">
        <v>8076</v>
      </c>
    </row>
    <row r="662" spans="1:5" ht="18.149999999999999" customHeight="1">
      <c r="A662" s="304">
        <v>40556</v>
      </c>
      <c r="B662" s="309" t="s">
        <v>8657</v>
      </c>
      <c r="C662" s="306" t="s">
        <v>8036</v>
      </c>
      <c r="D662" s="311">
        <v>5001.54</v>
      </c>
      <c r="E662" s="305" t="s">
        <v>8076</v>
      </c>
    </row>
    <row r="663" spans="1:5" ht="18.149999999999999" customHeight="1">
      <c r="A663" s="304">
        <v>41086</v>
      </c>
      <c r="B663" s="309" t="s">
        <v>8658</v>
      </c>
      <c r="C663" s="306" t="s">
        <v>8020</v>
      </c>
      <c r="D663" s="307">
        <v>9.81</v>
      </c>
      <c r="E663" s="310"/>
    </row>
    <row r="664" spans="1:5" ht="18.149999999999999" customHeight="1">
      <c r="A664" s="304">
        <v>41021</v>
      </c>
      <c r="B664" s="309" t="s">
        <v>8659</v>
      </c>
      <c r="C664" s="306" t="s">
        <v>8020</v>
      </c>
      <c r="D664" s="307">
        <v>7.89</v>
      </c>
      <c r="E664" s="310"/>
    </row>
    <row r="665" spans="1:5" ht="9" customHeight="1">
      <c r="A665" s="304">
        <v>40304</v>
      </c>
      <c r="B665" s="305" t="s">
        <v>8660</v>
      </c>
      <c r="C665" s="306" t="s">
        <v>8022</v>
      </c>
      <c r="D665" s="307">
        <v>56.59</v>
      </c>
      <c r="E665" s="305" t="s">
        <v>8076</v>
      </c>
    </row>
    <row r="666" spans="1:5" ht="9" customHeight="1">
      <c r="A666" s="304">
        <v>40302</v>
      </c>
      <c r="B666" s="305" t="s">
        <v>8661</v>
      </c>
      <c r="C666" s="306" t="s">
        <v>8022</v>
      </c>
      <c r="D666" s="307">
        <v>61.43</v>
      </c>
      <c r="E666" s="308"/>
    </row>
    <row r="667" spans="1:5" ht="9" customHeight="1">
      <c r="A667" s="304">
        <v>40301</v>
      </c>
      <c r="B667" s="305" t="s">
        <v>8662</v>
      </c>
      <c r="C667" s="306" t="s">
        <v>8022</v>
      </c>
      <c r="D667" s="307">
        <v>89.09</v>
      </c>
      <c r="E667" s="308"/>
    </row>
    <row r="668" spans="1:5" ht="9" customHeight="1">
      <c r="A668" s="304">
        <v>40303</v>
      </c>
      <c r="B668" s="305" t="s">
        <v>8663</v>
      </c>
      <c r="C668" s="306" t="s">
        <v>8022</v>
      </c>
      <c r="D668" s="307">
        <v>39.119999999999997</v>
      </c>
      <c r="E668" s="308"/>
    </row>
    <row r="669" spans="1:5" ht="9" customHeight="1">
      <c r="A669" s="304">
        <v>40559</v>
      </c>
      <c r="B669" s="305" t="s">
        <v>8664</v>
      </c>
      <c r="C669" s="306" t="s">
        <v>8036</v>
      </c>
      <c r="D669" s="307">
        <v>795.59</v>
      </c>
      <c r="E669" s="305" t="s">
        <v>8076</v>
      </c>
    </row>
    <row r="670" spans="1:5" ht="9" customHeight="1">
      <c r="A670" s="304">
        <v>41224</v>
      </c>
      <c r="B670" s="305" t="s">
        <v>8665</v>
      </c>
      <c r="C670" s="306" t="s">
        <v>8137</v>
      </c>
      <c r="D670" s="307">
        <v>16.37</v>
      </c>
      <c r="E670" s="308"/>
    </row>
    <row r="671" spans="1:5" ht="9" customHeight="1">
      <c r="A671" s="304">
        <v>41225</v>
      </c>
      <c r="B671" s="305" t="s">
        <v>8666</v>
      </c>
      <c r="C671" s="306" t="s">
        <v>8137</v>
      </c>
      <c r="D671" s="307">
        <v>18.88</v>
      </c>
      <c r="E671" s="308"/>
    </row>
    <row r="672" spans="1:5" ht="9" customHeight="1">
      <c r="A672" s="304">
        <v>41226</v>
      </c>
      <c r="B672" s="305" t="s">
        <v>8667</v>
      </c>
      <c r="C672" s="306" t="s">
        <v>8137</v>
      </c>
      <c r="D672" s="307">
        <v>24.11</v>
      </c>
      <c r="E672" s="308"/>
    </row>
    <row r="673" spans="1:5" ht="9" customHeight="1">
      <c r="A673" s="304">
        <v>41060</v>
      </c>
      <c r="B673" s="305" t="s">
        <v>8668</v>
      </c>
      <c r="C673" s="306" t="s">
        <v>8137</v>
      </c>
      <c r="D673" s="307">
        <v>66.47</v>
      </c>
      <c r="E673" s="308"/>
    </row>
    <row r="674" spans="1:5" ht="9" customHeight="1">
      <c r="A674" s="304">
        <v>41059</v>
      </c>
      <c r="B674" s="305" t="s">
        <v>8669</v>
      </c>
      <c r="C674" s="306" t="s">
        <v>8137</v>
      </c>
      <c r="D674" s="307">
        <v>91.66</v>
      </c>
      <c r="E674" s="308"/>
    </row>
    <row r="675" spans="1:5" ht="9" customHeight="1">
      <c r="A675" s="304">
        <v>40567</v>
      </c>
      <c r="B675" s="305" t="s">
        <v>8670</v>
      </c>
      <c r="C675" s="306" t="s">
        <v>8137</v>
      </c>
      <c r="D675" s="307">
        <v>70.8</v>
      </c>
      <c r="E675" s="308"/>
    </row>
    <row r="676" spans="1:5" ht="9" customHeight="1">
      <c r="A676" s="304">
        <v>40747</v>
      </c>
      <c r="B676" s="305" t="s">
        <v>8671</v>
      </c>
      <c r="C676" s="306" t="s">
        <v>8137</v>
      </c>
      <c r="D676" s="307">
        <v>120.23</v>
      </c>
      <c r="E676" s="308"/>
    </row>
    <row r="677" spans="1:5" ht="9" customHeight="1">
      <c r="A677" s="304">
        <v>40727</v>
      </c>
      <c r="B677" s="305" t="s">
        <v>8672</v>
      </c>
      <c r="C677" s="306" t="s">
        <v>8022</v>
      </c>
      <c r="D677" s="307">
        <v>312.07</v>
      </c>
      <c r="E677" s="305" t="s">
        <v>8076</v>
      </c>
    </row>
    <row r="678" spans="1:5" ht="9" customHeight="1">
      <c r="A678" s="304">
        <v>41264</v>
      </c>
      <c r="B678" s="305" t="s">
        <v>8673</v>
      </c>
      <c r="C678" s="306" t="s">
        <v>8022</v>
      </c>
      <c r="D678" s="307">
        <v>385.64</v>
      </c>
      <c r="E678" s="305" t="s">
        <v>8076</v>
      </c>
    </row>
    <row r="679" spans="1:5" ht="9" customHeight="1">
      <c r="A679" s="304">
        <v>41239</v>
      </c>
      <c r="B679" s="305" t="s">
        <v>8674</v>
      </c>
      <c r="C679" s="306" t="s">
        <v>8022</v>
      </c>
      <c r="D679" s="307">
        <v>90.24</v>
      </c>
      <c r="E679" s="308"/>
    </row>
    <row r="680" spans="1:5" ht="9" customHeight="1">
      <c r="A680" s="304">
        <v>40688</v>
      </c>
      <c r="B680" s="305" t="s">
        <v>8675</v>
      </c>
      <c r="C680" s="306" t="s">
        <v>8036</v>
      </c>
      <c r="D680" s="307">
        <v>281.49</v>
      </c>
      <c r="E680" s="308"/>
    </row>
    <row r="681" spans="1:5" ht="9" customHeight="1">
      <c r="A681" s="304">
        <v>40690</v>
      </c>
      <c r="B681" s="305" t="s">
        <v>8676</v>
      </c>
      <c r="C681" s="306" t="s">
        <v>8036</v>
      </c>
      <c r="D681" s="311">
        <v>1359.02</v>
      </c>
      <c r="E681" s="308"/>
    </row>
    <row r="682" spans="1:5" ht="9" customHeight="1">
      <c r="A682" s="304">
        <v>40691</v>
      </c>
      <c r="B682" s="305" t="s">
        <v>8677</v>
      </c>
      <c r="C682" s="306" t="s">
        <v>8036</v>
      </c>
      <c r="D682" s="311">
        <v>1622.34</v>
      </c>
      <c r="E682" s="308"/>
    </row>
    <row r="683" spans="1:5" ht="9" customHeight="1">
      <c r="A683" s="304">
        <v>40689</v>
      </c>
      <c r="B683" s="305" t="s">
        <v>8678</v>
      </c>
      <c r="C683" s="306" t="s">
        <v>8036</v>
      </c>
      <c r="D683" s="307">
        <v>712.12</v>
      </c>
      <c r="E683" s="308"/>
    </row>
    <row r="684" spans="1:5" ht="9" customHeight="1">
      <c r="A684" s="304">
        <v>40666</v>
      </c>
      <c r="B684" s="305" t="s">
        <v>8679</v>
      </c>
      <c r="C684" s="306" t="s">
        <v>8137</v>
      </c>
      <c r="D684" s="307">
        <v>82.4</v>
      </c>
      <c r="E684" s="308"/>
    </row>
    <row r="685" spans="1:5" ht="9" customHeight="1">
      <c r="A685" s="304">
        <v>40667</v>
      </c>
      <c r="B685" s="305" t="s">
        <v>8680</v>
      </c>
      <c r="C685" s="306" t="s">
        <v>8137</v>
      </c>
      <c r="D685" s="307">
        <v>86.06</v>
      </c>
      <c r="E685" s="308"/>
    </row>
    <row r="686" spans="1:5" ht="9" customHeight="1">
      <c r="A686" s="304">
        <v>41180</v>
      </c>
      <c r="B686" s="305" t="s">
        <v>8681</v>
      </c>
      <c r="C686" s="306" t="s">
        <v>8137</v>
      </c>
      <c r="D686" s="307">
        <v>72.11</v>
      </c>
      <c r="E686" s="305" t="s">
        <v>8076</v>
      </c>
    </row>
    <row r="687" spans="1:5" ht="9" customHeight="1">
      <c r="A687" s="304">
        <v>40668</v>
      </c>
      <c r="B687" s="305" t="s">
        <v>8682</v>
      </c>
      <c r="C687" s="306" t="s">
        <v>8137</v>
      </c>
      <c r="D687" s="307">
        <v>96.1</v>
      </c>
      <c r="E687" s="308"/>
    </row>
    <row r="688" spans="1:5" ht="9" customHeight="1">
      <c r="A688" s="304">
        <v>40982</v>
      </c>
      <c r="B688" s="305" t="s">
        <v>8683</v>
      </c>
      <c r="C688" s="306" t="s">
        <v>8137</v>
      </c>
      <c r="D688" s="307">
        <v>172.51</v>
      </c>
      <c r="E688" s="308"/>
    </row>
    <row r="689" spans="1:5" ht="9" customHeight="1">
      <c r="A689" s="304">
        <v>41336</v>
      </c>
      <c r="B689" s="305" t="s">
        <v>8684</v>
      </c>
      <c r="C689" s="306" t="s">
        <v>8137</v>
      </c>
      <c r="D689" s="307">
        <v>89.27</v>
      </c>
      <c r="E689" s="305" t="s">
        <v>8076</v>
      </c>
    </row>
    <row r="690" spans="1:5" ht="9" customHeight="1">
      <c r="A690" s="304">
        <v>40669</v>
      </c>
      <c r="B690" s="305" t="s">
        <v>8685</v>
      </c>
      <c r="C690" s="306" t="s">
        <v>8137</v>
      </c>
      <c r="D690" s="307">
        <v>79.48</v>
      </c>
      <c r="E690" s="308"/>
    </row>
    <row r="691" spans="1:5" ht="9" customHeight="1">
      <c r="A691" s="304">
        <v>40670</v>
      </c>
      <c r="B691" s="305" t="s">
        <v>8686</v>
      </c>
      <c r="C691" s="306" t="s">
        <v>8137</v>
      </c>
      <c r="D691" s="307">
        <v>59.11</v>
      </c>
      <c r="E691" s="308"/>
    </row>
    <row r="692" spans="1:5" ht="9" customHeight="1">
      <c r="A692" s="304">
        <v>40560</v>
      </c>
      <c r="B692" s="305" t="s">
        <v>8687</v>
      </c>
      <c r="C692" s="306" t="s">
        <v>8036</v>
      </c>
      <c r="D692" s="307">
        <v>243.12</v>
      </c>
      <c r="E692" s="305" t="s">
        <v>8076</v>
      </c>
    </row>
    <row r="693" spans="1:5" ht="9" customHeight="1">
      <c r="A693" s="304">
        <v>40558</v>
      </c>
      <c r="B693" s="305" t="s">
        <v>8688</v>
      </c>
      <c r="C693" s="306" t="s">
        <v>8036</v>
      </c>
      <c r="D693" s="307">
        <v>546.44000000000005</v>
      </c>
      <c r="E693" s="305" t="s">
        <v>8076</v>
      </c>
    </row>
    <row r="694" spans="1:5" ht="18.149999999999999" customHeight="1">
      <c r="A694" s="304">
        <v>41029</v>
      </c>
      <c r="B694" s="309" t="s">
        <v>8689</v>
      </c>
      <c r="C694" s="306" t="s">
        <v>8020</v>
      </c>
      <c r="D694" s="307">
        <v>37.119999999999997</v>
      </c>
      <c r="E694" s="310"/>
    </row>
    <row r="695" spans="1:5" ht="9" customHeight="1">
      <c r="A695" s="304">
        <v>41040</v>
      </c>
      <c r="B695" s="305" t="s">
        <v>8690</v>
      </c>
      <c r="C695" s="306" t="s">
        <v>8020</v>
      </c>
      <c r="D695" s="307">
        <v>28</v>
      </c>
      <c r="E695" s="308"/>
    </row>
    <row r="696" spans="1:5" ht="9" customHeight="1">
      <c r="A696" s="304">
        <v>42658</v>
      </c>
      <c r="B696" s="305" t="s">
        <v>8691</v>
      </c>
      <c r="C696" s="306" t="s">
        <v>8020</v>
      </c>
      <c r="D696" s="307">
        <v>38.520000000000003</v>
      </c>
      <c r="E696" s="308"/>
    </row>
    <row r="697" spans="1:5" ht="9" customHeight="1">
      <c r="A697" s="304">
        <v>40655</v>
      </c>
      <c r="B697" s="305" t="s">
        <v>8692</v>
      </c>
      <c r="C697" s="306" t="s">
        <v>8036</v>
      </c>
      <c r="D697" s="307">
        <v>334.32</v>
      </c>
      <c r="E697" s="305" t="s">
        <v>8076</v>
      </c>
    </row>
    <row r="698" spans="1:5" ht="9" customHeight="1">
      <c r="A698" s="304">
        <v>41092</v>
      </c>
      <c r="B698" s="305" t="s">
        <v>8693</v>
      </c>
      <c r="C698" s="306" t="s">
        <v>8694</v>
      </c>
      <c r="D698" s="307">
        <v>22.38</v>
      </c>
      <c r="E698" s="308"/>
    </row>
    <row r="699" spans="1:5" ht="9" customHeight="1">
      <c r="A699" s="304">
        <v>41091</v>
      </c>
      <c r="B699" s="305" t="s">
        <v>8695</v>
      </c>
      <c r="C699" s="306" t="s">
        <v>8694</v>
      </c>
      <c r="D699" s="307">
        <v>30.28</v>
      </c>
      <c r="E699" s="308"/>
    </row>
    <row r="700" spans="1:5" ht="9" customHeight="1">
      <c r="A700" s="304">
        <v>41123</v>
      </c>
      <c r="B700" s="305" t="s">
        <v>8696</v>
      </c>
      <c r="C700" s="306" t="s">
        <v>8137</v>
      </c>
      <c r="D700" s="307">
        <v>38.6</v>
      </c>
      <c r="E700" s="308"/>
    </row>
    <row r="701" spans="1:5" ht="9" customHeight="1">
      <c r="A701" s="304">
        <v>41125</v>
      </c>
      <c r="B701" s="305" t="s">
        <v>8697</v>
      </c>
      <c r="C701" s="306" t="s">
        <v>8137</v>
      </c>
      <c r="D701" s="307">
        <v>30.21</v>
      </c>
      <c r="E701" s="308"/>
    </row>
    <row r="702" spans="1:5" ht="9" customHeight="1">
      <c r="A702" s="304">
        <v>41119</v>
      </c>
      <c r="B702" s="305" t="s">
        <v>8698</v>
      </c>
      <c r="C702" s="306" t="s">
        <v>8137</v>
      </c>
      <c r="D702" s="307">
        <v>6.48</v>
      </c>
      <c r="E702" s="308"/>
    </row>
    <row r="703" spans="1:5" ht="9" customHeight="1">
      <c r="A703" s="304">
        <v>41114</v>
      </c>
      <c r="B703" s="305" t="s">
        <v>8699</v>
      </c>
      <c r="C703" s="306" t="s">
        <v>8137</v>
      </c>
      <c r="D703" s="307">
        <v>6.84</v>
      </c>
      <c r="E703" s="308"/>
    </row>
    <row r="704" spans="1:5" ht="9" customHeight="1">
      <c r="A704" s="304">
        <v>40707</v>
      </c>
      <c r="B704" s="305" t="s">
        <v>8700</v>
      </c>
      <c r="C704" s="306" t="s">
        <v>8137</v>
      </c>
      <c r="D704" s="307">
        <v>202.97</v>
      </c>
      <c r="E704" s="305" t="s">
        <v>8076</v>
      </c>
    </row>
    <row r="705" spans="1:6" ht="9" customHeight="1">
      <c r="A705" s="304">
        <v>41118</v>
      </c>
      <c r="B705" s="305" t="s">
        <v>8701</v>
      </c>
      <c r="C705" s="306" t="s">
        <v>8137</v>
      </c>
      <c r="D705" s="307">
        <v>9.34</v>
      </c>
      <c r="E705" s="308"/>
    </row>
    <row r="706" spans="1:6" ht="9" customHeight="1">
      <c r="A706" s="858" t="s">
        <v>8224</v>
      </c>
      <c r="B706" s="858"/>
      <c r="C706" s="858"/>
      <c r="D706" s="858"/>
      <c r="E706" s="858"/>
      <c r="F706" s="858"/>
    </row>
    <row r="707" spans="1:6" ht="9" customHeight="1">
      <c r="A707" s="301" t="s">
        <v>8014</v>
      </c>
      <c r="B707" s="302" t="s">
        <v>8015</v>
      </c>
      <c r="C707" s="301" t="s">
        <v>8016</v>
      </c>
      <c r="D707" s="303" t="s">
        <v>8017</v>
      </c>
      <c r="E707" s="302" t="s">
        <v>8018</v>
      </c>
    </row>
    <row r="708" spans="1:6" ht="9" customHeight="1">
      <c r="A708" s="304">
        <v>40702</v>
      </c>
      <c r="B708" s="305" t="s">
        <v>8702</v>
      </c>
      <c r="C708" s="306" t="s">
        <v>8022</v>
      </c>
      <c r="D708" s="307">
        <v>324.16000000000003</v>
      </c>
      <c r="E708" s="305" t="s">
        <v>8076</v>
      </c>
    </row>
    <row r="709" spans="1:6" ht="9" customHeight="1">
      <c r="A709" s="304">
        <v>40701</v>
      </c>
      <c r="B709" s="305" t="s">
        <v>8703</v>
      </c>
      <c r="C709" s="306" t="s">
        <v>8022</v>
      </c>
      <c r="D709" s="307">
        <v>139.85</v>
      </c>
      <c r="E709" s="305" t="s">
        <v>8076</v>
      </c>
    </row>
    <row r="710" spans="1:6" ht="9" customHeight="1">
      <c r="A710" s="304">
        <v>40698</v>
      </c>
      <c r="B710" s="305" t="s">
        <v>8704</v>
      </c>
      <c r="C710" s="306" t="s">
        <v>8137</v>
      </c>
      <c r="D710" s="307">
        <v>75.790000000000006</v>
      </c>
      <c r="E710" s="305" t="s">
        <v>8076</v>
      </c>
    </row>
    <row r="711" spans="1:6" ht="9" customHeight="1">
      <c r="A711" s="304">
        <v>40700</v>
      </c>
      <c r="B711" s="305" t="s">
        <v>8705</v>
      </c>
      <c r="C711" s="306" t="s">
        <v>8137</v>
      </c>
      <c r="D711" s="307">
        <v>85.9</v>
      </c>
      <c r="E711" s="305" t="s">
        <v>8076</v>
      </c>
    </row>
    <row r="712" spans="1:6" ht="9" customHeight="1">
      <c r="A712" s="304">
        <v>40696</v>
      </c>
      <c r="B712" s="305" t="s">
        <v>8706</v>
      </c>
      <c r="C712" s="306" t="s">
        <v>8137</v>
      </c>
      <c r="D712" s="307">
        <v>168.29</v>
      </c>
      <c r="E712" s="305" t="s">
        <v>8076</v>
      </c>
    </row>
    <row r="713" spans="1:6" ht="9" customHeight="1">
      <c r="A713" s="304">
        <v>40695</v>
      </c>
      <c r="B713" s="305" t="s">
        <v>8707</v>
      </c>
      <c r="C713" s="306" t="s">
        <v>8137</v>
      </c>
      <c r="D713" s="307">
        <v>60.58</v>
      </c>
      <c r="E713" s="308"/>
    </row>
    <row r="714" spans="1:6" ht="9" customHeight="1">
      <c r="A714" s="304">
        <v>40692</v>
      </c>
      <c r="B714" s="305" t="s">
        <v>8708</v>
      </c>
      <c r="C714" s="306" t="s">
        <v>8137</v>
      </c>
      <c r="D714" s="307">
        <v>3.37</v>
      </c>
      <c r="E714" s="308"/>
    </row>
    <row r="715" spans="1:6" ht="9" customHeight="1">
      <c r="A715" s="304">
        <v>40697</v>
      </c>
      <c r="B715" s="305" t="s">
        <v>8709</v>
      </c>
      <c r="C715" s="306" t="s">
        <v>8137</v>
      </c>
      <c r="D715" s="307">
        <v>74.27</v>
      </c>
      <c r="E715" s="305" t="s">
        <v>8076</v>
      </c>
    </row>
    <row r="716" spans="1:6" ht="9" customHeight="1">
      <c r="A716" s="304">
        <v>40699</v>
      </c>
      <c r="B716" s="305" t="s">
        <v>8710</v>
      </c>
      <c r="C716" s="306" t="s">
        <v>8137</v>
      </c>
      <c r="D716" s="307">
        <v>199.25</v>
      </c>
      <c r="E716" s="305" t="s">
        <v>8076</v>
      </c>
    </row>
    <row r="717" spans="1:6" ht="9" customHeight="1">
      <c r="A717" s="304">
        <v>40693</v>
      </c>
      <c r="B717" s="305" t="s">
        <v>8711</v>
      </c>
      <c r="C717" s="306" t="s">
        <v>8137</v>
      </c>
      <c r="D717" s="307">
        <v>32.79</v>
      </c>
      <c r="E717" s="308"/>
    </row>
    <row r="718" spans="1:6" ht="9" customHeight="1">
      <c r="A718" s="304">
        <v>40694</v>
      </c>
      <c r="B718" s="305" t="s">
        <v>8712</v>
      </c>
      <c r="C718" s="306" t="s">
        <v>8137</v>
      </c>
      <c r="D718" s="307">
        <v>63.57</v>
      </c>
      <c r="E718" s="305" t="s">
        <v>8076</v>
      </c>
    </row>
    <row r="719" spans="1:6" ht="9" customHeight="1">
      <c r="A719" s="858" t="s">
        <v>8713</v>
      </c>
      <c r="B719" s="858"/>
      <c r="C719" s="858"/>
      <c r="D719" s="858"/>
      <c r="E719" s="858"/>
      <c r="F719" s="858"/>
    </row>
    <row r="720" spans="1:6" ht="9" customHeight="1">
      <c r="A720" s="301" t="s">
        <v>8014</v>
      </c>
      <c r="B720" s="302" t="s">
        <v>8015</v>
      </c>
      <c r="C720" s="301" t="s">
        <v>8016</v>
      </c>
      <c r="D720" s="303" t="s">
        <v>8017</v>
      </c>
      <c r="E720" s="302" t="s">
        <v>8018</v>
      </c>
    </row>
    <row r="721" spans="1:6" ht="9" customHeight="1">
      <c r="A721" s="304">
        <v>40972</v>
      </c>
      <c r="B721" s="305" t="s">
        <v>8714</v>
      </c>
      <c r="C721" s="306" t="s">
        <v>8715</v>
      </c>
      <c r="D721" s="307">
        <v>0</v>
      </c>
      <c r="E721" s="308"/>
    </row>
    <row r="722" spans="1:6" ht="9" customHeight="1">
      <c r="A722" s="304">
        <v>41405</v>
      </c>
      <c r="B722" s="305" t="s">
        <v>8716</v>
      </c>
      <c r="C722" s="306" t="s">
        <v>8102</v>
      </c>
      <c r="D722" s="311">
        <v>2817.72</v>
      </c>
      <c r="E722" s="308"/>
    </row>
    <row r="723" spans="1:6" ht="9" customHeight="1">
      <c r="A723" s="304">
        <v>41360</v>
      </c>
      <c r="B723" s="305" t="s">
        <v>8717</v>
      </c>
      <c r="C723" s="306" t="s">
        <v>8102</v>
      </c>
      <c r="D723" s="311">
        <v>2063.86</v>
      </c>
      <c r="E723" s="308"/>
    </row>
    <row r="724" spans="1:6" ht="9" customHeight="1">
      <c r="A724" s="304">
        <v>40968</v>
      </c>
      <c r="B724" s="305" t="s">
        <v>8718</v>
      </c>
      <c r="C724" s="306" t="s">
        <v>8102</v>
      </c>
      <c r="D724" s="311">
        <v>3577.74</v>
      </c>
      <c r="E724" s="308"/>
    </row>
    <row r="725" spans="1:6" ht="9" customHeight="1">
      <c r="A725" s="304">
        <v>40976</v>
      </c>
      <c r="B725" s="305" t="s">
        <v>8719</v>
      </c>
      <c r="C725" s="306" t="s">
        <v>8102</v>
      </c>
      <c r="D725" s="311">
        <v>51900</v>
      </c>
      <c r="E725" s="308"/>
    </row>
    <row r="726" spans="1:6" ht="9" customHeight="1">
      <c r="A726" s="304">
        <v>42545</v>
      </c>
      <c r="B726" s="305" t="s">
        <v>8720</v>
      </c>
      <c r="C726" s="306" t="s">
        <v>8102</v>
      </c>
      <c r="D726" s="311">
        <v>2794.64</v>
      </c>
      <c r="E726" s="308"/>
    </row>
    <row r="727" spans="1:6" ht="9" customHeight="1">
      <c r="A727" s="304">
        <v>40974</v>
      </c>
      <c r="B727" s="305" t="s">
        <v>8721</v>
      </c>
      <c r="C727" s="306" t="s">
        <v>8102</v>
      </c>
      <c r="D727" s="311">
        <v>2400.87</v>
      </c>
      <c r="E727" s="308"/>
    </row>
    <row r="728" spans="1:6" ht="9" customHeight="1">
      <c r="A728" s="304">
        <v>40978</v>
      </c>
      <c r="B728" s="305" t="s">
        <v>8722</v>
      </c>
      <c r="C728" s="306" t="s">
        <v>8102</v>
      </c>
      <c r="D728" s="311">
        <v>1840.39</v>
      </c>
      <c r="E728" s="308"/>
    </row>
    <row r="729" spans="1:6" ht="9" customHeight="1">
      <c r="A729" s="304">
        <v>40975</v>
      </c>
      <c r="B729" s="305" t="s">
        <v>8723</v>
      </c>
      <c r="C729" s="306" t="s">
        <v>8102</v>
      </c>
      <c r="D729" s="311">
        <v>1592.62</v>
      </c>
      <c r="E729" s="308"/>
    </row>
    <row r="730" spans="1:6" ht="9" customHeight="1">
      <c r="A730" s="304">
        <v>40969</v>
      </c>
      <c r="B730" s="305" t="s">
        <v>8724</v>
      </c>
      <c r="C730" s="306" t="s">
        <v>8102</v>
      </c>
      <c r="D730" s="311">
        <v>2012.8</v>
      </c>
      <c r="E730" s="308"/>
    </row>
    <row r="731" spans="1:6" ht="9" customHeight="1">
      <c r="A731" s="304">
        <v>40971</v>
      </c>
      <c r="B731" s="305" t="s">
        <v>8725</v>
      </c>
      <c r="C731" s="306" t="s">
        <v>8102</v>
      </c>
      <c r="D731" s="311">
        <v>2196.65</v>
      </c>
      <c r="E731" s="308"/>
    </row>
    <row r="732" spans="1:6" ht="9" customHeight="1">
      <c r="A732" s="858" t="s">
        <v>8726</v>
      </c>
      <c r="B732" s="858"/>
      <c r="C732" s="858"/>
      <c r="D732" s="858"/>
      <c r="E732" s="858"/>
      <c r="F732" s="858"/>
    </row>
    <row r="733" spans="1:6" ht="9" customHeight="1">
      <c r="A733" s="301" t="s">
        <v>8014</v>
      </c>
      <c r="B733" s="302" t="s">
        <v>8015</v>
      </c>
      <c r="C733" s="301" t="s">
        <v>8016</v>
      </c>
      <c r="D733" s="303" t="s">
        <v>8017</v>
      </c>
      <c r="E733" s="302" t="s">
        <v>8018</v>
      </c>
    </row>
    <row r="734" spans="1:6" ht="9" customHeight="1">
      <c r="A734" s="304">
        <v>40910</v>
      </c>
      <c r="B734" s="305" t="s">
        <v>8727</v>
      </c>
      <c r="C734" s="306" t="s">
        <v>8036</v>
      </c>
      <c r="D734" s="311">
        <v>11822.21</v>
      </c>
      <c r="E734" s="305" t="s">
        <v>8076</v>
      </c>
    </row>
    <row r="735" spans="1:6" ht="9" customHeight="1">
      <c r="A735" s="304">
        <v>41362</v>
      </c>
      <c r="B735" s="305" t="s">
        <v>8728</v>
      </c>
      <c r="C735" s="306" t="s">
        <v>8036</v>
      </c>
      <c r="D735" s="311">
        <v>11072.52</v>
      </c>
      <c r="E735" s="308"/>
    </row>
    <row r="736" spans="1:6" ht="18.149999999999999" customHeight="1">
      <c r="A736" s="304">
        <v>43343</v>
      </c>
      <c r="B736" s="309" t="s">
        <v>8729</v>
      </c>
      <c r="C736" s="306" t="s">
        <v>8020</v>
      </c>
      <c r="D736" s="307">
        <v>95.62</v>
      </c>
      <c r="E736" s="310"/>
    </row>
    <row r="737" spans="1:5" ht="9" customHeight="1">
      <c r="A737" s="304">
        <v>41151</v>
      </c>
      <c r="B737" s="305" t="s">
        <v>8730</v>
      </c>
      <c r="C737" s="306" t="s">
        <v>8036</v>
      </c>
      <c r="D737" s="311">
        <v>1645.93</v>
      </c>
      <c r="E737" s="308"/>
    </row>
    <row r="738" spans="1:5" ht="9" customHeight="1">
      <c r="A738" s="304">
        <v>41346</v>
      </c>
      <c r="B738" s="305" t="s">
        <v>8731</v>
      </c>
      <c r="C738" s="306" t="s">
        <v>8137</v>
      </c>
      <c r="D738" s="307">
        <v>28.35</v>
      </c>
      <c r="E738" s="308"/>
    </row>
    <row r="739" spans="1:5" ht="9" customHeight="1">
      <c r="A739" s="304">
        <v>41150</v>
      </c>
      <c r="B739" s="305" t="s">
        <v>8732</v>
      </c>
      <c r="C739" s="306" t="s">
        <v>8137</v>
      </c>
      <c r="D739" s="307">
        <v>6.22</v>
      </c>
      <c r="E739" s="308"/>
    </row>
    <row r="740" spans="1:5" ht="9" customHeight="1">
      <c r="A740" s="304">
        <v>41149</v>
      </c>
      <c r="B740" s="305" t="s">
        <v>8733</v>
      </c>
      <c r="C740" s="306" t="s">
        <v>8137</v>
      </c>
      <c r="D740" s="307">
        <v>6.97</v>
      </c>
      <c r="E740" s="308"/>
    </row>
    <row r="741" spans="1:5" ht="9" customHeight="1">
      <c r="A741" s="304">
        <v>41410</v>
      </c>
      <c r="B741" s="305" t="s">
        <v>8734</v>
      </c>
      <c r="C741" s="306" t="s">
        <v>8137</v>
      </c>
      <c r="D741" s="307">
        <v>7.09</v>
      </c>
      <c r="E741" s="308"/>
    </row>
    <row r="742" spans="1:5" ht="9" customHeight="1">
      <c r="A742" s="304">
        <v>41148</v>
      </c>
      <c r="B742" s="305" t="s">
        <v>8735</v>
      </c>
      <c r="C742" s="306" t="s">
        <v>8137</v>
      </c>
      <c r="D742" s="307">
        <v>8.0500000000000007</v>
      </c>
      <c r="E742" s="308"/>
    </row>
    <row r="743" spans="1:5" ht="9" customHeight="1">
      <c r="A743" s="304">
        <v>41152</v>
      </c>
      <c r="B743" s="305" t="s">
        <v>8736</v>
      </c>
      <c r="C743" s="306" t="s">
        <v>8036</v>
      </c>
      <c r="D743" s="307">
        <v>430.12</v>
      </c>
      <c r="E743" s="308"/>
    </row>
    <row r="744" spans="1:5" ht="9" customHeight="1">
      <c r="A744" s="304">
        <v>41004</v>
      </c>
      <c r="B744" s="305" t="s">
        <v>8737</v>
      </c>
      <c r="C744" s="306" t="s">
        <v>8036</v>
      </c>
      <c r="D744" s="307">
        <v>992.99</v>
      </c>
      <c r="E744" s="308"/>
    </row>
    <row r="745" spans="1:5" ht="9" customHeight="1">
      <c r="A745" s="304">
        <v>40911</v>
      </c>
      <c r="B745" s="305" t="s">
        <v>8738</v>
      </c>
      <c r="C745" s="306" t="s">
        <v>8020</v>
      </c>
      <c r="D745" s="307">
        <v>44.07</v>
      </c>
      <c r="E745" s="305" t="s">
        <v>8076</v>
      </c>
    </row>
    <row r="746" spans="1:5" ht="18.149999999999999" customHeight="1">
      <c r="A746" s="304">
        <v>40915</v>
      </c>
      <c r="B746" s="309" t="s">
        <v>8739</v>
      </c>
      <c r="C746" s="306" t="s">
        <v>8020</v>
      </c>
      <c r="D746" s="307">
        <v>95.39</v>
      </c>
      <c r="E746" s="305" t="s">
        <v>8076</v>
      </c>
    </row>
    <row r="747" spans="1:5" ht="18.149999999999999" customHeight="1">
      <c r="A747" s="304">
        <v>40899</v>
      </c>
      <c r="B747" s="309" t="s">
        <v>8740</v>
      </c>
      <c r="C747" s="306" t="s">
        <v>8137</v>
      </c>
      <c r="D747" s="307">
        <v>18.440000000000001</v>
      </c>
      <c r="E747" s="305" t="s">
        <v>8076</v>
      </c>
    </row>
    <row r="748" spans="1:5" ht="18.149999999999999" customHeight="1">
      <c r="A748" s="304">
        <v>40900</v>
      </c>
      <c r="B748" s="309" t="s">
        <v>8741</v>
      </c>
      <c r="C748" s="306" t="s">
        <v>8137</v>
      </c>
      <c r="D748" s="307">
        <v>26.21</v>
      </c>
      <c r="E748" s="305" t="s">
        <v>8076</v>
      </c>
    </row>
    <row r="749" spans="1:5" ht="18.149999999999999" customHeight="1">
      <c r="A749" s="304">
        <v>41365</v>
      </c>
      <c r="B749" s="309" t="s">
        <v>8742</v>
      </c>
      <c r="C749" s="306" t="s">
        <v>8137</v>
      </c>
      <c r="D749" s="307">
        <v>19.52</v>
      </c>
      <c r="E749" s="305" t="s">
        <v>8076</v>
      </c>
    </row>
    <row r="750" spans="1:5" ht="18.149999999999999" customHeight="1">
      <c r="A750" s="304">
        <v>41110</v>
      </c>
      <c r="B750" s="309" t="s">
        <v>8743</v>
      </c>
      <c r="C750" s="306" t="s">
        <v>8137</v>
      </c>
      <c r="D750" s="307">
        <v>18.690000000000001</v>
      </c>
      <c r="E750" s="305" t="s">
        <v>8076</v>
      </c>
    </row>
    <row r="751" spans="1:5" ht="9" customHeight="1">
      <c r="A751" s="304">
        <v>40903</v>
      </c>
      <c r="B751" s="305" t="s">
        <v>8744</v>
      </c>
      <c r="C751" s="306" t="s">
        <v>8137</v>
      </c>
      <c r="D751" s="307">
        <v>23.22</v>
      </c>
      <c r="E751" s="305" t="s">
        <v>8076</v>
      </c>
    </row>
    <row r="752" spans="1:5" ht="9" customHeight="1">
      <c r="A752" s="304">
        <v>40904</v>
      </c>
      <c r="B752" s="305" t="s">
        <v>8745</v>
      </c>
      <c r="C752" s="306" t="s">
        <v>8137</v>
      </c>
      <c r="D752" s="307">
        <v>40.08</v>
      </c>
      <c r="E752" s="305" t="s">
        <v>8076</v>
      </c>
    </row>
    <row r="753" spans="1:6" ht="18.149999999999999" customHeight="1">
      <c r="A753" s="304">
        <v>40905</v>
      </c>
      <c r="B753" s="309" t="s">
        <v>8746</v>
      </c>
      <c r="C753" s="306" t="s">
        <v>8137</v>
      </c>
      <c r="D753" s="307">
        <v>26.28</v>
      </c>
      <c r="E753" s="305" t="s">
        <v>8076</v>
      </c>
    </row>
    <row r="754" spans="1:6" ht="18.149999999999999" customHeight="1">
      <c r="A754" s="304">
        <v>43330</v>
      </c>
      <c r="B754" s="309" t="s">
        <v>8747</v>
      </c>
      <c r="C754" s="306" t="s">
        <v>8137</v>
      </c>
      <c r="D754" s="307">
        <v>29.36</v>
      </c>
      <c r="E754" s="305" t="s">
        <v>8076</v>
      </c>
    </row>
    <row r="755" spans="1:6" ht="18.149999999999999" customHeight="1">
      <c r="A755" s="304">
        <v>40901</v>
      </c>
      <c r="B755" s="309" t="s">
        <v>8748</v>
      </c>
      <c r="C755" s="306" t="s">
        <v>8137</v>
      </c>
      <c r="D755" s="307">
        <v>17.239999999999998</v>
      </c>
      <c r="E755" s="305" t="s">
        <v>8076</v>
      </c>
    </row>
    <row r="756" spans="1:6" ht="9" customHeight="1">
      <c r="A756" s="304">
        <v>42475</v>
      </c>
      <c r="B756" s="305" t="s">
        <v>8749</v>
      </c>
      <c r="C756" s="306" t="s">
        <v>8022</v>
      </c>
      <c r="D756" s="307">
        <v>501.94</v>
      </c>
      <c r="E756" s="305" t="s">
        <v>8076</v>
      </c>
    </row>
    <row r="757" spans="1:6" ht="9" customHeight="1">
      <c r="A757" s="304">
        <v>40945</v>
      </c>
      <c r="B757" s="305" t="s">
        <v>8750</v>
      </c>
      <c r="C757" s="306" t="s">
        <v>8137</v>
      </c>
      <c r="D757" s="307">
        <v>58.94</v>
      </c>
      <c r="E757" s="305" t="s">
        <v>8076</v>
      </c>
    </row>
    <row r="758" spans="1:6" ht="9" customHeight="1">
      <c r="A758" s="304">
        <v>40902</v>
      </c>
      <c r="B758" s="305" t="s">
        <v>8751</v>
      </c>
      <c r="C758" s="306" t="s">
        <v>8137</v>
      </c>
      <c r="D758" s="307">
        <v>4.6500000000000004</v>
      </c>
      <c r="E758" s="308"/>
    </row>
    <row r="759" spans="1:6" ht="9" customHeight="1">
      <c r="A759" s="858" t="s">
        <v>8726</v>
      </c>
      <c r="B759" s="858"/>
      <c r="C759" s="858"/>
      <c r="D759" s="858"/>
      <c r="E759" s="858"/>
      <c r="F759" s="858"/>
    </row>
    <row r="760" spans="1:6" ht="9" customHeight="1">
      <c r="A760" s="301" t="s">
        <v>8014</v>
      </c>
      <c r="B760" s="302" t="s">
        <v>8015</v>
      </c>
      <c r="C760" s="301" t="s">
        <v>8016</v>
      </c>
      <c r="D760" s="303" t="s">
        <v>8017</v>
      </c>
      <c r="E760" s="302" t="s">
        <v>8018</v>
      </c>
    </row>
    <row r="761" spans="1:6" ht="9" customHeight="1">
      <c r="A761" s="304">
        <v>41344</v>
      </c>
      <c r="B761" s="305" t="s">
        <v>8752</v>
      </c>
      <c r="C761" s="306" t="s">
        <v>8137</v>
      </c>
      <c r="D761" s="307">
        <v>77.03</v>
      </c>
      <c r="E761" s="308"/>
    </row>
    <row r="762" spans="1:6" ht="9" customHeight="1">
      <c r="A762" s="304">
        <v>41345</v>
      </c>
      <c r="B762" s="305" t="s">
        <v>8753</v>
      </c>
      <c r="C762" s="306" t="s">
        <v>8137</v>
      </c>
      <c r="D762" s="307">
        <v>115.17</v>
      </c>
      <c r="E762" s="308"/>
    </row>
    <row r="763" spans="1:6" ht="9" customHeight="1">
      <c r="A763" s="304">
        <v>41242</v>
      </c>
      <c r="B763" s="305" t="s">
        <v>8754</v>
      </c>
      <c r="C763" s="306" t="s">
        <v>8020</v>
      </c>
      <c r="D763" s="307">
        <v>66.91</v>
      </c>
      <c r="E763" s="308"/>
    </row>
    <row r="764" spans="1:6" ht="9" customHeight="1">
      <c r="A764" s="304">
        <v>42476</v>
      </c>
      <c r="B764" s="305" t="s">
        <v>8755</v>
      </c>
      <c r="C764" s="306" t="s">
        <v>8036</v>
      </c>
      <c r="D764" s="307">
        <v>40.76</v>
      </c>
      <c r="E764" s="308"/>
    </row>
    <row r="765" spans="1:6" ht="9" customHeight="1">
      <c r="A765" s="304">
        <v>41136</v>
      </c>
      <c r="B765" s="305" t="s">
        <v>8756</v>
      </c>
      <c r="C765" s="306" t="s">
        <v>8036</v>
      </c>
      <c r="D765" s="307">
        <v>90.58</v>
      </c>
      <c r="E765" s="308"/>
    </row>
    <row r="766" spans="1:6" ht="9" customHeight="1">
      <c r="A766" s="304">
        <v>41135</v>
      </c>
      <c r="B766" s="305" t="s">
        <v>8757</v>
      </c>
      <c r="C766" s="306" t="s">
        <v>8036</v>
      </c>
      <c r="D766" s="307">
        <v>89.95</v>
      </c>
      <c r="E766" s="308"/>
    </row>
    <row r="767" spans="1:6" ht="9" customHeight="1">
      <c r="A767" s="304">
        <v>40912</v>
      </c>
      <c r="B767" s="305" t="s">
        <v>8758</v>
      </c>
      <c r="C767" s="306" t="s">
        <v>8020</v>
      </c>
      <c r="D767" s="307">
        <v>89.39</v>
      </c>
      <c r="E767" s="305" t="s">
        <v>8076</v>
      </c>
    </row>
    <row r="768" spans="1:6" ht="9" customHeight="1">
      <c r="A768" s="304">
        <v>40908</v>
      </c>
      <c r="B768" s="305" t="s">
        <v>8759</v>
      </c>
      <c r="C768" s="306" t="s">
        <v>8036</v>
      </c>
      <c r="D768" s="311">
        <v>8442.4599999999991</v>
      </c>
      <c r="E768" s="305" t="s">
        <v>8076</v>
      </c>
    </row>
    <row r="769" spans="1:5" ht="9" customHeight="1">
      <c r="A769" s="304">
        <v>40907</v>
      </c>
      <c r="B769" s="305" t="s">
        <v>8760</v>
      </c>
      <c r="C769" s="306" t="s">
        <v>8036</v>
      </c>
      <c r="D769" s="311">
        <v>13083.71</v>
      </c>
      <c r="E769" s="305" t="s">
        <v>8076</v>
      </c>
    </row>
    <row r="770" spans="1:5" ht="9" customHeight="1">
      <c r="A770" s="304">
        <v>40906</v>
      </c>
      <c r="B770" s="305" t="s">
        <v>8761</v>
      </c>
      <c r="C770" s="306" t="s">
        <v>8137</v>
      </c>
      <c r="D770" s="311">
        <v>3715.49</v>
      </c>
      <c r="E770" s="308"/>
    </row>
    <row r="771" spans="1:5" ht="9" customHeight="1">
      <c r="A771" s="304">
        <v>41240</v>
      </c>
      <c r="B771" s="305" t="s">
        <v>8762</v>
      </c>
      <c r="C771" s="306" t="s">
        <v>8020</v>
      </c>
      <c r="D771" s="307">
        <v>82.96</v>
      </c>
      <c r="E771" s="305" t="s">
        <v>8076</v>
      </c>
    </row>
    <row r="772" spans="1:5" ht="18.149999999999999" customHeight="1">
      <c r="A772" s="304">
        <v>40946</v>
      </c>
      <c r="B772" s="309" t="s">
        <v>8763</v>
      </c>
      <c r="C772" s="306" t="s">
        <v>8020</v>
      </c>
      <c r="D772" s="307">
        <v>84.93</v>
      </c>
      <c r="E772" s="305" t="s">
        <v>8076</v>
      </c>
    </row>
    <row r="773" spans="1:5" ht="9" customHeight="1">
      <c r="A773" s="304">
        <v>40942</v>
      </c>
      <c r="B773" s="305" t="s">
        <v>8764</v>
      </c>
      <c r="C773" s="306" t="s">
        <v>8020</v>
      </c>
      <c r="D773" s="307">
        <v>34.5</v>
      </c>
      <c r="E773" s="305" t="s">
        <v>8076</v>
      </c>
    </row>
    <row r="774" spans="1:5" ht="9" customHeight="1">
      <c r="A774" s="304">
        <v>41245</v>
      </c>
      <c r="B774" s="305" t="s">
        <v>8765</v>
      </c>
      <c r="C774" s="306" t="s">
        <v>8020</v>
      </c>
      <c r="D774" s="307">
        <v>35.119999999999997</v>
      </c>
      <c r="E774" s="308"/>
    </row>
    <row r="775" spans="1:5" ht="9" customHeight="1">
      <c r="A775" s="304">
        <v>41404</v>
      </c>
      <c r="B775" s="305" t="s">
        <v>8766</v>
      </c>
      <c r="C775" s="306" t="s">
        <v>8020</v>
      </c>
      <c r="D775" s="307">
        <v>30.54</v>
      </c>
      <c r="E775" s="308"/>
    </row>
    <row r="776" spans="1:5" ht="9" customHeight="1">
      <c r="A776" s="304">
        <v>41244</v>
      </c>
      <c r="B776" s="305" t="s">
        <v>8767</v>
      </c>
      <c r="C776" s="306" t="s">
        <v>8020</v>
      </c>
      <c r="D776" s="307">
        <v>18.66</v>
      </c>
      <c r="E776" s="308"/>
    </row>
    <row r="777" spans="1:5" ht="9" customHeight="1">
      <c r="A777" s="304">
        <v>43328</v>
      </c>
      <c r="B777" s="305" t="s">
        <v>8768</v>
      </c>
      <c r="C777" s="306" t="s">
        <v>8036</v>
      </c>
      <c r="D777" s="307">
        <v>10.77</v>
      </c>
      <c r="E777" s="308"/>
    </row>
    <row r="778" spans="1:5" ht="18.149999999999999" customHeight="1">
      <c r="A778" s="304">
        <v>40909</v>
      </c>
      <c r="B778" s="309" t="s">
        <v>8769</v>
      </c>
      <c r="C778" s="306" t="s">
        <v>8036</v>
      </c>
      <c r="D778" s="311">
        <v>2753.01</v>
      </c>
      <c r="E778" s="305" t="s">
        <v>8076</v>
      </c>
    </row>
    <row r="779" spans="1:5" ht="9" customHeight="1">
      <c r="A779" s="304">
        <v>41140</v>
      </c>
      <c r="B779" s="305" t="s">
        <v>8770</v>
      </c>
      <c r="C779" s="306" t="s">
        <v>8036</v>
      </c>
      <c r="D779" s="311">
        <v>1173.22</v>
      </c>
      <c r="E779" s="308"/>
    </row>
    <row r="780" spans="1:5" ht="9" customHeight="1">
      <c r="A780" s="304">
        <v>41139</v>
      </c>
      <c r="B780" s="305" t="s">
        <v>8771</v>
      </c>
      <c r="C780" s="306" t="s">
        <v>8036</v>
      </c>
      <c r="D780" s="311">
        <v>1864.57</v>
      </c>
      <c r="E780" s="308"/>
    </row>
    <row r="781" spans="1:5" ht="9" customHeight="1">
      <c r="A781" s="304">
        <v>41138</v>
      </c>
      <c r="B781" s="305" t="s">
        <v>8772</v>
      </c>
      <c r="C781" s="306" t="s">
        <v>8036</v>
      </c>
      <c r="D781" s="311">
        <v>2028.35</v>
      </c>
      <c r="E781" s="308"/>
    </row>
    <row r="782" spans="1:5" ht="9" customHeight="1">
      <c r="A782" s="304">
        <v>41246</v>
      </c>
      <c r="B782" s="305" t="s">
        <v>8773</v>
      </c>
      <c r="C782" s="306" t="s">
        <v>8137</v>
      </c>
      <c r="D782" s="307">
        <v>57.19</v>
      </c>
      <c r="E782" s="305" t="s">
        <v>8076</v>
      </c>
    </row>
    <row r="783" spans="1:5" ht="9" customHeight="1">
      <c r="A783" s="304">
        <v>40943</v>
      </c>
      <c r="B783" s="305" t="s">
        <v>8774</v>
      </c>
      <c r="C783" s="306" t="s">
        <v>8137</v>
      </c>
      <c r="D783" s="307">
        <v>42.02</v>
      </c>
      <c r="E783" s="305" t="s">
        <v>8076</v>
      </c>
    </row>
    <row r="784" spans="1:5" ht="9" customHeight="1">
      <c r="A784" s="304">
        <v>40922</v>
      </c>
      <c r="B784" s="305" t="s">
        <v>8775</v>
      </c>
      <c r="C784" s="306" t="s">
        <v>8022</v>
      </c>
      <c r="D784" s="307">
        <v>5.28</v>
      </c>
      <c r="E784" s="308"/>
    </row>
    <row r="785" spans="1:6" ht="9" customHeight="1">
      <c r="A785" s="304">
        <v>40914</v>
      </c>
      <c r="B785" s="305" t="s">
        <v>8776</v>
      </c>
      <c r="C785" s="306" t="s">
        <v>8137</v>
      </c>
      <c r="D785" s="307">
        <v>16.760000000000002</v>
      </c>
      <c r="E785" s="305" t="s">
        <v>8076</v>
      </c>
    </row>
    <row r="786" spans="1:6" ht="9" customHeight="1">
      <c r="A786" s="304">
        <v>40913</v>
      </c>
      <c r="B786" s="305" t="s">
        <v>8777</v>
      </c>
      <c r="C786" s="306" t="s">
        <v>8137</v>
      </c>
      <c r="D786" s="307">
        <v>105.05</v>
      </c>
      <c r="E786" s="308"/>
    </row>
    <row r="787" spans="1:6" ht="18.149999999999999" customHeight="1">
      <c r="A787" s="304">
        <v>41191</v>
      </c>
      <c r="B787" s="309" t="s">
        <v>8778</v>
      </c>
      <c r="C787" s="306" t="s">
        <v>8137</v>
      </c>
      <c r="D787" s="307">
        <v>388.08</v>
      </c>
      <c r="E787" s="305" t="s">
        <v>8076</v>
      </c>
    </row>
    <row r="788" spans="1:6" ht="9" customHeight="1">
      <c r="A788" s="304">
        <v>40947</v>
      </c>
      <c r="B788" s="305" t="s">
        <v>8779</v>
      </c>
      <c r="C788" s="306" t="s">
        <v>8036</v>
      </c>
      <c r="D788" s="311">
        <v>2863.6</v>
      </c>
      <c r="E788" s="305" t="s">
        <v>8076</v>
      </c>
    </row>
    <row r="789" spans="1:6" ht="9" customHeight="1">
      <c r="A789" s="304">
        <v>43329</v>
      </c>
      <c r="B789" s="305" t="s">
        <v>8780</v>
      </c>
      <c r="C789" s="306" t="s">
        <v>8036</v>
      </c>
      <c r="D789" s="307">
        <v>187.83</v>
      </c>
      <c r="E789" s="305" t="s">
        <v>8076</v>
      </c>
    </row>
    <row r="790" spans="1:6" ht="18.149999999999999" customHeight="1">
      <c r="A790" s="304">
        <v>42050</v>
      </c>
      <c r="B790" s="309" t="s">
        <v>8781</v>
      </c>
      <c r="C790" s="306" t="s">
        <v>8020</v>
      </c>
      <c r="D790" s="307">
        <v>130.4</v>
      </c>
      <c r="E790" s="305" t="s">
        <v>8076</v>
      </c>
    </row>
    <row r="791" spans="1:6" ht="9" customHeight="1">
      <c r="A791" s="858" t="s">
        <v>8782</v>
      </c>
      <c r="B791" s="858"/>
      <c r="C791" s="858"/>
      <c r="D791" s="858"/>
      <c r="E791" s="858"/>
      <c r="F791" s="858"/>
    </row>
    <row r="792" spans="1:6" ht="9" customHeight="1">
      <c r="A792" s="301" t="s">
        <v>8014</v>
      </c>
      <c r="B792" s="302" t="s">
        <v>8015</v>
      </c>
      <c r="C792" s="301" t="s">
        <v>8016</v>
      </c>
      <c r="D792" s="303" t="s">
        <v>8017</v>
      </c>
      <c r="E792" s="302" t="s">
        <v>8018</v>
      </c>
    </row>
    <row r="793" spans="1:6" ht="9" customHeight="1">
      <c r="A793" s="304">
        <v>42203</v>
      </c>
      <c r="B793" s="305" t="s">
        <v>8783</v>
      </c>
      <c r="C793" s="306" t="s">
        <v>8036</v>
      </c>
      <c r="D793" s="307">
        <v>135.19</v>
      </c>
      <c r="E793" s="305" t="s">
        <v>8076</v>
      </c>
    </row>
    <row r="794" spans="1:6" ht="9" customHeight="1">
      <c r="A794" s="304">
        <v>42202</v>
      </c>
      <c r="B794" s="305" t="s">
        <v>8784</v>
      </c>
      <c r="C794" s="306" t="s">
        <v>8036</v>
      </c>
      <c r="D794" s="307">
        <v>88.45</v>
      </c>
      <c r="E794" s="305" t="s">
        <v>8076</v>
      </c>
    </row>
    <row r="795" spans="1:6" ht="18.149999999999999" customHeight="1">
      <c r="A795" s="304">
        <v>42041</v>
      </c>
      <c r="B795" s="309" t="s">
        <v>8785</v>
      </c>
      <c r="C795" s="306" t="s">
        <v>8137</v>
      </c>
      <c r="D795" s="307">
        <v>23.87</v>
      </c>
      <c r="E795" s="305" t="s">
        <v>8076</v>
      </c>
    </row>
    <row r="796" spans="1:6" ht="9" customHeight="1">
      <c r="A796" s="304">
        <v>42199</v>
      </c>
      <c r="B796" s="305" t="s">
        <v>8786</v>
      </c>
      <c r="C796" s="306" t="s">
        <v>8020</v>
      </c>
      <c r="D796" s="307">
        <v>1.5</v>
      </c>
      <c r="E796" s="308"/>
    </row>
    <row r="797" spans="1:6" ht="9" customHeight="1">
      <c r="A797" s="304">
        <v>42210</v>
      </c>
      <c r="B797" s="305" t="s">
        <v>8787</v>
      </c>
      <c r="C797" s="306" t="s">
        <v>8020</v>
      </c>
      <c r="D797" s="307">
        <v>21.22</v>
      </c>
      <c r="E797" s="305" t="s">
        <v>8076</v>
      </c>
    </row>
    <row r="798" spans="1:6" ht="9" customHeight="1">
      <c r="A798" s="304">
        <v>42206</v>
      </c>
      <c r="B798" s="305" t="s">
        <v>8788</v>
      </c>
      <c r="C798" s="306" t="s">
        <v>8020</v>
      </c>
      <c r="D798" s="307">
        <v>15.15</v>
      </c>
      <c r="E798" s="305" t="s">
        <v>8076</v>
      </c>
    </row>
    <row r="799" spans="1:6" ht="9" customHeight="1">
      <c r="A799" s="304">
        <v>42208</v>
      </c>
      <c r="B799" s="305" t="s">
        <v>8789</v>
      </c>
      <c r="C799" s="306" t="s">
        <v>8020</v>
      </c>
      <c r="D799" s="307">
        <v>1.72</v>
      </c>
      <c r="E799" s="308"/>
    </row>
    <row r="800" spans="1:6" ht="9" customHeight="1">
      <c r="A800" s="304">
        <v>42209</v>
      </c>
      <c r="B800" s="305" t="s">
        <v>8790</v>
      </c>
      <c r="C800" s="306" t="s">
        <v>8020</v>
      </c>
      <c r="D800" s="307">
        <v>7.93</v>
      </c>
      <c r="E800" s="305" t="s">
        <v>8076</v>
      </c>
    </row>
    <row r="801" spans="1:6" ht="9" customHeight="1">
      <c r="A801" s="304">
        <v>42207</v>
      </c>
      <c r="B801" s="305" t="s">
        <v>8791</v>
      </c>
      <c r="C801" s="306" t="s">
        <v>8020</v>
      </c>
      <c r="D801" s="307">
        <v>3.15</v>
      </c>
      <c r="E801" s="308"/>
    </row>
    <row r="802" spans="1:6" ht="9" customHeight="1">
      <c r="A802" s="304">
        <v>42200</v>
      </c>
      <c r="B802" s="305" t="s">
        <v>8792</v>
      </c>
      <c r="C802" s="306" t="s">
        <v>8020</v>
      </c>
      <c r="D802" s="307">
        <v>5.5</v>
      </c>
      <c r="E802" s="308"/>
    </row>
    <row r="803" spans="1:6" ht="9" customHeight="1">
      <c r="A803" s="304">
        <v>42201</v>
      </c>
      <c r="B803" s="305" t="s">
        <v>8793</v>
      </c>
      <c r="C803" s="306" t="s">
        <v>8020</v>
      </c>
      <c r="D803" s="307">
        <v>3.92</v>
      </c>
      <c r="E803" s="308"/>
    </row>
    <row r="804" spans="1:6" ht="18.149999999999999" customHeight="1">
      <c r="A804" s="304">
        <v>41247</v>
      </c>
      <c r="B804" s="309" t="s">
        <v>8794</v>
      </c>
      <c r="C804" s="306" t="s">
        <v>8022</v>
      </c>
      <c r="D804" s="307">
        <v>59.43</v>
      </c>
      <c r="E804" s="310"/>
    </row>
    <row r="805" spans="1:6" ht="9" customHeight="1">
      <c r="A805" s="304">
        <v>42204</v>
      </c>
      <c r="B805" s="305" t="s">
        <v>8795</v>
      </c>
      <c r="C805" s="306" t="s">
        <v>8036</v>
      </c>
      <c r="D805" s="307">
        <v>34.53</v>
      </c>
      <c r="E805" s="305" t="s">
        <v>8076</v>
      </c>
    </row>
    <row r="806" spans="1:6" ht="9" customHeight="1">
      <c r="A806" s="304">
        <v>42044</v>
      </c>
      <c r="B806" s="305" t="s">
        <v>8796</v>
      </c>
      <c r="C806" s="306" t="s">
        <v>8036</v>
      </c>
      <c r="D806" s="311">
        <v>4799.26</v>
      </c>
      <c r="E806" s="308"/>
    </row>
    <row r="807" spans="1:6" ht="9" customHeight="1">
      <c r="A807" s="304">
        <v>40102</v>
      </c>
      <c r="B807" s="305" t="s">
        <v>8797</v>
      </c>
      <c r="C807" s="306" t="s">
        <v>8020</v>
      </c>
      <c r="D807" s="307">
        <v>14.54</v>
      </c>
      <c r="E807" s="305" t="s">
        <v>8076</v>
      </c>
    </row>
    <row r="808" spans="1:6" ht="9" customHeight="1">
      <c r="A808" s="304">
        <v>42039</v>
      </c>
      <c r="B808" s="305" t="s">
        <v>8798</v>
      </c>
      <c r="C808" s="306" t="s">
        <v>8020</v>
      </c>
      <c r="D808" s="307">
        <v>18.57</v>
      </c>
      <c r="E808" s="305" t="s">
        <v>8076</v>
      </c>
    </row>
    <row r="809" spans="1:6" ht="9" customHeight="1">
      <c r="A809" s="304">
        <v>42205</v>
      </c>
      <c r="B809" s="305" t="s">
        <v>8799</v>
      </c>
      <c r="C809" s="306" t="s">
        <v>8020</v>
      </c>
      <c r="D809" s="307">
        <v>1.42</v>
      </c>
      <c r="E809" s="308"/>
    </row>
    <row r="810" spans="1:6" ht="9" customHeight="1">
      <c r="A810" s="858" t="s">
        <v>8800</v>
      </c>
      <c r="B810" s="858"/>
      <c r="C810" s="858"/>
      <c r="D810" s="858"/>
      <c r="E810" s="858"/>
      <c r="F810" s="858"/>
    </row>
    <row r="811" spans="1:6" ht="9" customHeight="1">
      <c r="A811" s="304">
        <v>40928</v>
      </c>
      <c r="B811" s="305" t="s">
        <v>8801</v>
      </c>
      <c r="C811" s="306" t="s">
        <v>8036</v>
      </c>
      <c r="D811" s="307">
        <v>39.67</v>
      </c>
      <c r="E811" s="305" t="s">
        <v>8076</v>
      </c>
    </row>
    <row r="812" spans="1:6" ht="9" customHeight="1">
      <c r="A812" s="304">
        <v>41408</v>
      </c>
      <c r="B812" s="305" t="s">
        <v>8802</v>
      </c>
      <c r="C812" s="306" t="s">
        <v>8036</v>
      </c>
      <c r="D812" s="311">
        <v>2788.04</v>
      </c>
      <c r="E812" s="308"/>
    </row>
    <row r="813" spans="1:6" ht="9" customHeight="1">
      <c r="A813" s="304">
        <v>41147</v>
      </c>
      <c r="B813" s="305" t="s">
        <v>8803</v>
      </c>
      <c r="C813" s="306" t="s">
        <v>8137</v>
      </c>
      <c r="D813" s="307">
        <v>7.54</v>
      </c>
      <c r="E813" s="308"/>
    </row>
    <row r="814" spans="1:6" ht="9" customHeight="1">
      <c r="A814" s="304">
        <v>42046</v>
      </c>
      <c r="B814" s="305" t="s">
        <v>8804</v>
      </c>
      <c r="C814" s="306" t="s">
        <v>8036</v>
      </c>
      <c r="D814" s="307">
        <v>87.82</v>
      </c>
      <c r="E814" s="308"/>
    </row>
    <row r="815" spans="1:6" ht="9" customHeight="1">
      <c r="A815" s="858" t="s">
        <v>8800</v>
      </c>
      <c r="B815" s="858"/>
      <c r="C815" s="858"/>
      <c r="D815" s="858"/>
      <c r="E815" s="858"/>
      <c r="F815" s="858"/>
    </row>
    <row r="816" spans="1:6" ht="9" customHeight="1">
      <c r="A816" s="301" t="s">
        <v>8014</v>
      </c>
      <c r="B816" s="302" t="s">
        <v>8015</v>
      </c>
      <c r="C816" s="301" t="s">
        <v>8016</v>
      </c>
      <c r="D816" s="303" t="s">
        <v>8017</v>
      </c>
      <c r="E816" s="302" t="s">
        <v>8018</v>
      </c>
    </row>
    <row r="817" spans="1:5" ht="9" customHeight="1">
      <c r="A817" s="304">
        <v>41407</v>
      </c>
      <c r="B817" s="305" t="s">
        <v>8805</v>
      </c>
      <c r="C817" s="306" t="s">
        <v>8036</v>
      </c>
      <c r="D817" s="311">
        <v>12442.76</v>
      </c>
      <c r="E817" s="308"/>
    </row>
    <row r="818" spans="1:5" ht="9" customHeight="1">
      <c r="A818" s="304">
        <v>41146</v>
      </c>
      <c r="B818" s="305" t="s">
        <v>8806</v>
      </c>
      <c r="C818" s="306" t="s">
        <v>8036</v>
      </c>
      <c r="D818" s="311">
        <v>16859.78</v>
      </c>
      <c r="E818" s="308"/>
    </row>
    <row r="819" spans="1:5" ht="9" customHeight="1">
      <c r="A819" s="304">
        <v>41017</v>
      </c>
      <c r="B819" s="305" t="s">
        <v>8807</v>
      </c>
      <c r="C819" s="306" t="s">
        <v>8137</v>
      </c>
      <c r="D819" s="307">
        <v>452.21</v>
      </c>
      <c r="E819" s="308"/>
    </row>
    <row r="820" spans="1:5" ht="9" customHeight="1">
      <c r="A820" s="304">
        <v>40929</v>
      </c>
      <c r="B820" s="305" t="s">
        <v>8808</v>
      </c>
      <c r="C820" s="306" t="s">
        <v>8137</v>
      </c>
      <c r="D820" s="307">
        <v>309.45999999999998</v>
      </c>
      <c r="E820" s="305" t="s">
        <v>8076</v>
      </c>
    </row>
    <row r="821" spans="1:5" ht="18.149999999999999" customHeight="1">
      <c r="A821" s="304">
        <v>41203</v>
      </c>
      <c r="B821" s="309" t="s">
        <v>8809</v>
      </c>
      <c r="C821" s="306" t="s">
        <v>8137</v>
      </c>
      <c r="D821" s="307">
        <v>612.25</v>
      </c>
      <c r="E821" s="305" t="s">
        <v>8076</v>
      </c>
    </row>
    <row r="822" spans="1:5" ht="9" customHeight="1">
      <c r="A822" s="304">
        <v>42047</v>
      </c>
      <c r="B822" s="305" t="s">
        <v>8810</v>
      </c>
      <c r="C822" s="306" t="s">
        <v>8036</v>
      </c>
      <c r="D822" s="307">
        <v>47.19</v>
      </c>
      <c r="E822" s="308"/>
    </row>
    <row r="823" spans="1:5" ht="18.149999999999999" customHeight="1">
      <c r="A823" s="304">
        <v>41145</v>
      </c>
      <c r="B823" s="309" t="s">
        <v>8811</v>
      </c>
      <c r="C823" s="306" t="s">
        <v>8036</v>
      </c>
      <c r="D823" s="311">
        <v>7373.15</v>
      </c>
      <c r="E823" s="310"/>
    </row>
    <row r="824" spans="1:5" ht="9" customHeight="1">
      <c r="A824" s="304">
        <v>41141</v>
      </c>
      <c r="B824" s="305" t="s">
        <v>8812</v>
      </c>
      <c r="C824" s="306" t="s">
        <v>8036</v>
      </c>
      <c r="D824" s="311">
        <v>2086.29</v>
      </c>
      <c r="E824" s="308"/>
    </row>
    <row r="825" spans="1:5" ht="9" customHeight="1">
      <c r="A825" s="304">
        <v>41142</v>
      </c>
      <c r="B825" s="305" t="s">
        <v>8813</v>
      </c>
      <c r="C825" s="306" t="s">
        <v>8036</v>
      </c>
      <c r="D825" s="311">
        <v>2313.73</v>
      </c>
      <c r="E825" s="308"/>
    </row>
    <row r="826" spans="1:5" ht="9" customHeight="1">
      <c r="A826" s="304">
        <v>41143</v>
      </c>
      <c r="B826" s="305" t="s">
        <v>8814</v>
      </c>
      <c r="C826" s="306" t="s">
        <v>8036</v>
      </c>
      <c r="D826" s="311">
        <v>3590.85</v>
      </c>
      <c r="E826" s="308"/>
    </row>
    <row r="827" spans="1:5" ht="9" customHeight="1">
      <c r="A827" s="304">
        <v>43162</v>
      </c>
      <c r="B827" s="305" t="s">
        <v>8815</v>
      </c>
      <c r="C827" s="306" t="s">
        <v>8137</v>
      </c>
      <c r="D827" s="307">
        <v>299.19</v>
      </c>
      <c r="E827" s="305" t="s">
        <v>8076</v>
      </c>
    </row>
    <row r="828" spans="1:5" ht="9" customHeight="1">
      <c r="A828" s="304">
        <v>40931</v>
      </c>
      <c r="B828" s="305" t="s">
        <v>8816</v>
      </c>
      <c r="C828" s="306" t="s">
        <v>8020</v>
      </c>
      <c r="D828" s="307">
        <v>204.82</v>
      </c>
      <c r="E828" s="305" t="s">
        <v>8076</v>
      </c>
    </row>
    <row r="829" spans="1:5" ht="9" customHeight="1">
      <c r="A829" s="304">
        <v>41526</v>
      </c>
      <c r="B829" s="305" t="s">
        <v>8817</v>
      </c>
      <c r="C829" s="306" t="s">
        <v>8020</v>
      </c>
      <c r="D829" s="307">
        <v>8.01</v>
      </c>
      <c r="E829" s="305" t="s">
        <v>8076</v>
      </c>
    </row>
    <row r="830" spans="1:5" ht="9" customHeight="1">
      <c r="A830" s="304">
        <v>42524</v>
      </c>
      <c r="B830" s="305" t="s">
        <v>8818</v>
      </c>
      <c r="C830" s="306" t="s">
        <v>8020</v>
      </c>
      <c r="D830" s="307">
        <v>94.04</v>
      </c>
      <c r="E830" s="308"/>
    </row>
    <row r="831" spans="1:5" ht="9" customHeight="1">
      <c r="A831" s="304">
        <v>40938</v>
      </c>
      <c r="B831" s="305" t="s">
        <v>8819</v>
      </c>
      <c r="C831" s="306" t="s">
        <v>8020</v>
      </c>
      <c r="D831" s="307">
        <v>904.95</v>
      </c>
      <c r="E831" s="308"/>
    </row>
    <row r="832" spans="1:5" ht="9" customHeight="1">
      <c r="A832" s="304">
        <v>40924</v>
      </c>
      <c r="B832" s="305" t="s">
        <v>8820</v>
      </c>
      <c r="C832" s="306" t="s">
        <v>8020</v>
      </c>
      <c r="D832" s="307">
        <v>13.76</v>
      </c>
      <c r="E832" s="305" t="s">
        <v>8076</v>
      </c>
    </row>
    <row r="833" spans="1:6" ht="9" customHeight="1">
      <c r="A833" s="304">
        <v>40925</v>
      </c>
      <c r="B833" s="305" t="s">
        <v>8821</v>
      </c>
      <c r="C833" s="306" t="s">
        <v>8020</v>
      </c>
      <c r="D833" s="307">
        <v>16.82</v>
      </c>
      <c r="E833" s="305" t="s">
        <v>8076</v>
      </c>
    </row>
    <row r="834" spans="1:6" ht="9" customHeight="1">
      <c r="A834" s="304">
        <v>40926</v>
      </c>
      <c r="B834" s="305" t="s">
        <v>8822</v>
      </c>
      <c r="C834" s="306" t="s">
        <v>8020</v>
      </c>
      <c r="D834" s="307">
        <v>19.87</v>
      </c>
      <c r="E834" s="305" t="s">
        <v>8076</v>
      </c>
    </row>
    <row r="835" spans="1:6" ht="9" customHeight="1">
      <c r="A835" s="304">
        <v>40927</v>
      </c>
      <c r="B835" s="305" t="s">
        <v>8823</v>
      </c>
      <c r="C835" s="306" t="s">
        <v>8020</v>
      </c>
      <c r="D835" s="307">
        <v>48.52</v>
      </c>
      <c r="E835" s="305" t="s">
        <v>8076</v>
      </c>
    </row>
    <row r="836" spans="1:6" ht="9" customHeight="1">
      <c r="A836" s="304">
        <v>41202</v>
      </c>
      <c r="B836" s="305" t="s">
        <v>8824</v>
      </c>
      <c r="C836" s="306" t="s">
        <v>8137</v>
      </c>
      <c r="D836" s="307">
        <v>24.99</v>
      </c>
      <c r="E836" s="308"/>
    </row>
    <row r="837" spans="1:6" ht="9" customHeight="1">
      <c r="A837" s="304">
        <v>40937</v>
      </c>
      <c r="B837" s="305" t="s">
        <v>8825</v>
      </c>
      <c r="C837" s="306" t="s">
        <v>8020</v>
      </c>
      <c r="D837" s="307">
        <v>463.88</v>
      </c>
      <c r="E837" s="308"/>
    </row>
    <row r="838" spans="1:6" ht="18.149999999999999" customHeight="1">
      <c r="A838" s="304">
        <v>40939</v>
      </c>
      <c r="B838" s="309" t="s">
        <v>8826</v>
      </c>
      <c r="C838" s="306" t="s">
        <v>8020</v>
      </c>
      <c r="D838" s="307">
        <v>881.39</v>
      </c>
      <c r="E838" s="310"/>
    </row>
    <row r="839" spans="1:6" ht="9" customHeight="1">
      <c r="A839" s="304">
        <v>40936</v>
      </c>
      <c r="B839" s="305" t="s">
        <v>8827</v>
      </c>
      <c r="C839" s="306" t="s">
        <v>8020</v>
      </c>
      <c r="D839" s="307">
        <v>607.54</v>
      </c>
      <c r="E839" s="308"/>
    </row>
    <row r="840" spans="1:6" ht="9" customHeight="1">
      <c r="A840" s="304">
        <v>40930</v>
      </c>
      <c r="B840" s="305" t="s">
        <v>8828</v>
      </c>
      <c r="C840" s="306" t="s">
        <v>8020</v>
      </c>
      <c r="D840" s="307">
        <v>200.03</v>
      </c>
      <c r="E840" s="305" t="s">
        <v>8076</v>
      </c>
    </row>
    <row r="841" spans="1:6" ht="18.149999999999999" customHeight="1">
      <c r="A841" s="304">
        <v>41222</v>
      </c>
      <c r="B841" s="309" t="s">
        <v>8829</v>
      </c>
      <c r="C841" s="306" t="s">
        <v>8036</v>
      </c>
      <c r="D841" s="307">
        <v>91.44</v>
      </c>
      <c r="E841" s="310"/>
    </row>
    <row r="842" spans="1:6" ht="9" customHeight="1">
      <c r="A842" s="304">
        <v>40932</v>
      </c>
      <c r="B842" s="305" t="s">
        <v>8830</v>
      </c>
      <c r="C842" s="306" t="s">
        <v>8036</v>
      </c>
      <c r="D842" s="307">
        <v>18.29</v>
      </c>
      <c r="E842" s="308"/>
    </row>
    <row r="843" spans="1:6" ht="9" customHeight="1">
      <c r="A843" s="304">
        <v>40934</v>
      </c>
      <c r="B843" s="305" t="s">
        <v>8831</v>
      </c>
      <c r="C843" s="306" t="s">
        <v>8036</v>
      </c>
      <c r="D843" s="307">
        <v>21.19</v>
      </c>
      <c r="E843" s="308"/>
    </row>
    <row r="844" spans="1:6" ht="9" customHeight="1">
      <c r="A844" s="304">
        <v>40933</v>
      </c>
      <c r="B844" s="305" t="s">
        <v>8832</v>
      </c>
      <c r="C844" s="306" t="s">
        <v>8036</v>
      </c>
      <c r="D844" s="307">
        <v>48.97</v>
      </c>
      <c r="E844" s="308"/>
    </row>
    <row r="845" spans="1:6" ht="9" customHeight="1">
      <c r="A845" s="304">
        <v>40935</v>
      </c>
      <c r="B845" s="305" t="s">
        <v>8833</v>
      </c>
      <c r="C845" s="306" t="s">
        <v>8036</v>
      </c>
      <c r="D845" s="307">
        <v>55.14</v>
      </c>
      <c r="E845" s="308"/>
    </row>
    <row r="846" spans="1:6" ht="9" customHeight="1">
      <c r="A846" s="304">
        <v>41359</v>
      </c>
      <c r="B846" s="305" t="s">
        <v>8834</v>
      </c>
      <c r="C846" s="306" t="s">
        <v>8137</v>
      </c>
      <c r="D846" s="307">
        <v>22.27</v>
      </c>
      <c r="E846" s="305" t="s">
        <v>8076</v>
      </c>
    </row>
    <row r="847" spans="1:6" ht="9" customHeight="1">
      <c r="A847" s="858" t="s">
        <v>8835</v>
      </c>
      <c r="B847" s="858"/>
      <c r="C847" s="858"/>
      <c r="D847" s="858"/>
      <c r="E847" s="858"/>
      <c r="F847" s="858"/>
    </row>
    <row r="848" spans="1:6" ht="9" customHeight="1">
      <c r="A848" s="301" t="s">
        <v>8014</v>
      </c>
      <c r="B848" s="302" t="s">
        <v>8015</v>
      </c>
      <c r="C848" s="301" t="s">
        <v>8016</v>
      </c>
      <c r="D848" s="303" t="s">
        <v>8017</v>
      </c>
      <c r="E848" s="302" t="s">
        <v>8018</v>
      </c>
    </row>
    <row r="849" spans="1:6" ht="9" customHeight="1">
      <c r="A849" s="304">
        <v>42878</v>
      </c>
      <c r="B849" s="305" t="s">
        <v>8836</v>
      </c>
      <c r="C849" s="306" t="s">
        <v>8598</v>
      </c>
      <c r="D849" s="311">
        <v>5571.66</v>
      </c>
      <c r="E849" s="308"/>
    </row>
    <row r="850" spans="1:6" ht="9" customHeight="1">
      <c r="A850" s="304">
        <v>42888</v>
      </c>
      <c r="B850" s="305" t="s">
        <v>8837</v>
      </c>
      <c r="C850" s="306" t="s">
        <v>8598</v>
      </c>
      <c r="D850" s="311">
        <v>6856.53</v>
      </c>
      <c r="E850" s="308"/>
    </row>
    <row r="851" spans="1:6" ht="9" customHeight="1">
      <c r="A851" s="858" t="s">
        <v>8838</v>
      </c>
      <c r="B851" s="858"/>
      <c r="C851" s="858"/>
      <c r="D851" s="858"/>
      <c r="E851" s="858"/>
      <c r="F851" s="858"/>
    </row>
    <row r="852" spans="1:6" ht="9" customHeight="1">
      <c r="A852" s="301" t="s">
        <v>8014</v>
      </c>
      <c r="B852" s="302" t="s">
        <v>8015</v>
      </c>
      <c r="C852" s="301" t="s">
        <v>8016</v>
      </c>
      <c r="D852" s="303" t="s">
        <v>8017</v>
      </c>
      <c r="E852" s="302" t="s">
        <v>8018</v>
      </c>
    </row>
    <row r="853" spans="1:6" ht="9" customHeight="1">
      <c r="A853" s="304">
        <v>40981</v>
      </c>
      <c r="B853" s="305" t="s">
        <v>8839</v>
      </c>
      <c r="C853" s="306" t="s">
        <v>8020</v>
      </c>
      <c r="D853" s="307">
        <v>1.71</v>
      </c>
      <c r="E853" s="308"/>
    </row>
    <row r="854" spans="1:6" ht="9" customHeight="1">
      <c r="A854" s="304">
        <v>40101</v>
      </c>
      <c r="B854" s="305" t="s">
        <v>8840</v>
      </c>
      <c r="C854" s="306" t="s">
        <v>8036</v>
      </c>
      <c r="D854" s="307">
        <v>155.93</v>
      </c>
      <c r="E854" s="308"/>
    </row>
    <row r="855" spans="1:6" ht="9" customHeight="1">
      <c r="A855" s="304">
        <v>40110</v>
      </c>
      <c r="B855" s="305" t="s">
        <v>8841</v>
      </c>
      <c r="C855" s="306" t="s">
        <v>8022</v>
      </c>
      <c r="D855" s="307">
        <v>35.06</v>
      </c>
      <c r="E855" s="308"/>
    </row>
    <row r="856" spans="1:6" ht="9" customHeight="1">
      <c r="A856" s="304">
        <v>40137</v>
      </c>
      <c r="B856" s="305" t="s">
        <v>8842</v>
      </c>
      <c r="C856" s="306" t="s">
        <v>8036</v>
      </c>
      <c r="D856" s="311">
        <v>1537.9</v>
      </c>
      <c r="E856" s="305" t="s">
        <v>8076</v>
      </c>
    </row>
    <row r="857" spans="1:6" ht="9" customHeight="1">
      <c r="A857" s="304">
        <v>40138</v>
      </c>
      <c r="B857" s="305" t="s">
        <v>8843</v>
      </c>
      <c r="C857" s="306" t="s">
        <v>8036</v>
      </c>
      <c r="D857" s="311">
        <v>2641.83</v>
      </c>
      <c r="E857" s="305" t="s">
        <v>8076</v>
      </c>
    </row>
    <row r="858" spans="1:6" ht="9" customHeight="1">
      <c r="A858" s="304">
        <v>43336</v>
      </c>
      <c r="B858" s="305" t="s">
        <v>8844</v>
      </c>
      <c r="C858" s="306" t="s">
        <v>8020</v>
      </c>
      <c r="D858" s="307">
        <v>1.32</v>
      </c>
      <c r="E858" s="308"/>
    </row>
    <row r="859" spans="1:6" ht="9" customHeight="1">
      <c r="A859" s="304">
        <v>40980</v>
      </c>
      <c r="B859" s="305" t="s">
        <v>8845</v>
      </c>
      <c r="C859" s="306" t="s">
        <v>8022</v>
      </c>
      <c r="D859" s="307">
        <v>13.81</v>
      </c>
      <c r="E859" s="308"/>
    </row>
    <row r="860" spans="1:6" ht="9" customHeight="1">
      <c r="A860" s="304">
        <v>40115</v>
      </c>
      <c r="B860" s="305" t="s">
        <v>8846</v>
      </c>
      <c r="C860" s="306" t="s">
        <v>8102</v>
      </c>
      <c r="D860" s="307">
        <v>266.31</v>
      </c>
      <c r="E860" s="305" t="s">
        <v>8076</v>
      </c>
    </row>
    <row r="861" spans="1:6" ht="9" customHeight="1">
      <c r="A861" s="304">
        <v>40104</v>
      </c>
      <c r="B861" s="305" t="s">
        <v>8847</v>
      </c>
      <c r="C861" s="306" t="s">
        <v>8137</v>
      </c>
      <c r="D861" s="307">
        <v>18.079999999999998</v>
      </c>
      <c r="E861" s="305" t="s">
        <v>8076</v>
      </c>
    </row>
    <row r="862" spans="1:6" ht="18.149999999999999" customHeight="1">
      <c r="A862" s="304">
        <v>40143</v>
      </c>
      <c r="B862" s="309" t="s">
        <v>8848</v>
      </c>
      <c r="C862" s="306" t="s">
        <v>8022</v>
      </c>
      <c r="D862" s="307">
        <v>91.31</v>
      </c>
      <c r="E862" s="305" t="s">
        <v>8076</v>
      </c>
    </row>
    <row r="863" spans="1:6" ht="9" customHeight="1">
      <c r="A863" s="304">
        <v>40107</v>
      </c>
      <c r="B863" s="305" t="s">
        <v>8028</v>
      </c>
      <c r="C863" s="306" t="s">
        <v>8022</v>
      </c>
      <c r="D863" s="307">
        <v>5.83</v>
      </c>
      <c r="E863" s="308"/>
    </row>
    <row r="864" spans="1:6" ht="9" customHeight="1">
      <c r="A864" s="304">
        <v>40108</v>
      </c>
      <c r="B864" s="305" t="s">
        <v>8849</v>
      </c>
      <c r="C864" s="306" t="s">
        <v>8020</v>
      </c>
      <c r="D864" s="307">
        <v>2.82</v>
      </c>
      <c r="E864" s="308"/>
    </row>
    <row r="865" spans="1:6" ht="9" customHeight="1">
      <c r="A865" s="304">
        <v>40081</v>
      </c>
      <c r="B865" s="305" t="s">
        <v>8850</v>
      </c>
      <c r="C865" s="306" t="s">
        <v>8022</v>
      </c>
      <c r="D865" s="307">
        <v>8.5500000000000007</v>
      </c>
      <c r="E865" s="308"/>
    </row>
    <row r="866" spans="1:6" ht="9" customHeight="1">
      <c r="A866" s="304">
        <v>40136</v>
      </c>
      <c r="B866" s="305" t="s">
        <v>8851</v>
      </c>
      <c r="C866" s="306" t="s">
        <v>8137</v>
      </c>
      <c r="D866" s="307">
        <v>482.65</v>
      </c>
      <c r="E866" s="305" t="s">
        <v>8076</v>
      </c>
    </row>
    <row r="867" spans="1:6" ht="9" customHeight="1">
      <c r="A867" s="304">
        <v>40084</v>
      </c>
      <c r="B867" s="305" t="s">
        <v>8852</v>
      </c>
      <c r="C867" s="306" t="s">
        <v>8137</v>
      </c>
      <c r="D867" s="307">
        <v>1.59</v>
      </c>
      <c r="E867" s="308"/>
    </row>
    <row r="868" spans="1:6" ht="9" customHeight="1">
      <c r="A868" s="304">
        <v>40144</v>
      </c>
      <c r="B868" s="305" t="s">
        <v>8853</v>
      </c>
      <c r="C868" s="306" t="s">
        <v>8137</v>
      </c>
      <c r="D868" s="307">
        <v>133.49</v>
      </c>
      <c r="E868" s="305" t="s">
        <v>8076</v>
      </c>
    </row>
    <row r="869" spans="1:6" ht="9" customHeight="1">
      <c r="A869" s="304">
        <v>40106</v>
      </c>
      <c r="B869" s="305" t="s">
        <v>8854</v>
      </c>
      <c r="C869" s="306" t="s">
        <v>8022</v>
      </c>
      <c r="D869" s="307">
        <v>10.75</v>
      </c>
      <c r="E869" s="305" t="s">
        <v>8076</v>
      </c>
    </row>
    <row r="870" spans="1:6" ht="9" customHeight="1">
      <c r="A870" s="304">
        <v>40135</v>
      </c>
      <c r="B870" s="305" t="s">
        <v>8855</v>
      </c>
      <c r="C870" s="306" t="s">
        <v>8020</v>
      </c>
      <c r="D870" s="307">
        <v>12.58</v>
      </c>
      <c r="E870" s="308"/>
    </row>
    <row r="871" spans="1:6" ht="9" customHeight="1">
      <c r="A871" s="858" t="s">
        <v>8838</v>
      </c>
      <c r="B871" s="858"/>
      <c r="C871" s="858"/>
      <c r="D871" s="858"/>
      <c r="E871" s="858"/>
      <c r="F871" s="858"/>
    </row>
    <row r="872" spans="1:6" ht="9" customHeight="1">
      <c r="A872" s="301" t="s">
        <v>8014</v>
      </c>
      <c r="B872" s="302" t="s">
        <v>8015</v>
      </c>
      <c r="C872" s="301" t="s">
        <v>8016</v>
      </c>
      <c r="D872" s="303" t="s">
        <v>8017</v>
      </c>
      <c r="E872" s="302" t="s">
        <v>8018</v>
      </c>
    </row>
    <row r="873" spans="1:6" ht="9" customHeight="1">
      <c r="A873" s="304">
        <v>40111</v>
      </c>
      <c r="B873" s="305" t="s">
        <v>8856</v>
      </c>
      <c r="C873" s="306" t="s">
        <v>8020</v>
      </c>
      <c r="D873" s="307">
        <v>6.55</v>
      </c>
      <c r="E873" s="305" t="s">
        <v>8076</v>
      </c>
    </row>
    <row r="874" spans="1:6" ht="9" customHeight="1">
      <c r="A874" s="304">
        <v>40126</v>
      </c>
      <c r="B874" s="305" t="s">
        <v>8857</v>
      </c>
      <c r="C874" s="306" t="s">
        <v>8020</v>
      </c>
      <c r="D874" s="307">
        <v>4.04</v>
      </c>
      <c r="E874" s="305" t="s">
        <v>8076</v>
      </c>
    </row>
    <row r="875" spans="1:6" ht="9" customHeight="1">
      <c r="A875" s="304">
        <v>40127</v>
      </c>
      <c r="B875" s="305" t="s">
        <v>8858</v>
      </c>
      <c r="C875" s="306" t="s">
        <v>8020</v>
      </c>
      <c r="D875" s="307">
        <v>5.63</v>
      </c>
      <c r="E875" s="305" t="s">
        <v>8076</v>
      </c>
    </row>
    <row r="876" spans="1:6" ht="9" customHeight="1">
      <c r="A876" s="304">
        <v>40128</v>
      </c>
      <c r="B876" s="305" t="s">
        <v>8859</v>
      </c>
      <c r="C876" s="306" t="s">
        <v>8020</v>
      </c>
      <c r="D876" s="307">
        <v>7.54</v>
      </c>
      <c r="E876" s="305" t="s">
        <v>8076</v>
      </c>
    </row>
    <row r="877" spans="1:6" ht="9" customHeight="1">
      <c r="A877" s="304">
        <v>40129</v>
      </c>
      <c r="B877" s="305" t="s">
        <v>8860</v>
      </c>
      <c r="C877" s="306" t="s">
        <v>8020</v>
      </c>
      <c r="D877" s="307">
        <v>10.039999999999999</v>
      </c>
      <c r="E877" s="305" t="s">
        <v>8076</v>
      </c>
    </row>
    <row r="878" spans="1:6" ht="9" customHeight="1">
      <c r="A878" s="304">
        <v>40085</v>
      </c>
      <c r="B878" s="305" t="s">
        <v>8861</v>
      </c>
      <c r="C878" s="306" t="s">
        <v>8137</v>
      </c>
      <c r="D878" s="307">
        <v>1.19</v>
      </c>
      <c r="E878" s="308"/>
    </row>
    <row r="879" spans="1:6" ht="9" customHeight="1">
      <c r="A879" s="304">
        <v>40086</v>
      </c>
      <c r="B879" s="305" t="s">
        <v>8862</v>
      </c>
      <c r="C879" s="306" t="s">
        <v>8137</v>
      </c>
      <c r="D879" s="307">
        <v>27.76</v>
      </c>
      <c r="E879" s="308"/>
    </row>
    <row r="880" spans="1:6" ht="9" customHeight="1">
      <c r="A880" s="304">
        <v>40087</v>
      </c>
      <c r="B880" s="305" t="s">
        <v>8863</v>
      </c>
      <c r="C880" s="306" t="s">
        <v>8036</v>
      </c>
      <c r="D880" s="307">
        <v>105.06</v>
      </c>
      <c r="E880" s="308"/>
    </row>
    <row r="881" spans="1:5" ht="18.149999999999999" customHeight="1">
      <c r="A881" s="304">
        <v>40983</v>
      </c>
      <c r="B881" s="309" t="s">
        <v>8864</v>
      </c>
      <c r="C881" s="306" t="s">
        <v>8137</v>
      </c>
      <c r="D881" s="307">
        <v>8.65</v>
      </c>
      <c r="E881" s="310"/>
    </row>
    <row r="882" spans="1:5" ht="9" customHeight="1">
      <c r="A882" s="304">
        <v>40100</v>
      </c>
      <c r="B882" s="305" t="s">
        <v>8865</v>
      </c>
      <c r="C882" s="306" t="s">
        <v>8137</v>
      </c>
      <c r="D882" s="307">
        <v>86.64</v>
      </c>
      <c r="E882" s="308"/>
    </row>
    <row r="883" spans="1:5" ht="9" customHeight="1">
      <c r="A883" s="304">
        <v>40141</v>
      </c>
      <c r="B883" s="305" t="s">
        <v>8866</v>
      </c>
      <c r="C883" s="306" t="s">
        <v>8137</v>
      </c>
      <c r="D883" s="307">
        <v>50.56</v>
      </c>
      <c r="E883" s="305" t="s">
        <v>8076</v>
      </c>
    </row>
    <row r="884" spans="1:5" ht="9" customHeight="1">
      <c r="A884" s="304">
        <v>40118</v>
      </c>
      <c r="B884" s="305" t="s">
        <v>8867</v>
      </c>
      <c r="C884" s="306" t="s">
        <v>8020</v>
      </c>
      <c r="D884" s="307">
        <v>64.89</v>
      </c>
      <c r="E884" s="305" t="s">
        <v>8076</v>
      </c>
    </row>
    <row r="885" spans="1:5" ht="9" customHeight="1">
      <c r="A885" s="304">
        <v>40116</v>
      </c>
      <c r="B885" s="305" t="s">
        <v>8868</v>
      </c>
      <c r="C885" s="306" t="s">
        <v>8020</v>
      </c>
      <c r="D885" s="307">
        <v>64.95</v>
      </c>
      <c r="E885" s="305" t="s">
        <v>8076</v>
      </c>
    </row>
    <row r="886" spans="1:5" ht="9" customHeight="1">
      <c r="A886" s="304">
        <v>40117</v>
      </c>
      <c r="B886" s="305" t="s">
        <v>8869</v>
      </c>
      <c r="C886" s="306" t="s">
        <v>8020</v>
      </c>
      <c r="D886" s="307">
        <v>39.71</v>
      </c>
      <c r="E886" s="305" t="s">
        <v>8076</v>
      </c>
    </row>
    <row r="887" spans="1:5" ht="9" customHeight="1">
      <c r="A887" s="304">
        <v>40148</v>
      </c>
      <c r="B887" s="305" t="s">
        <v>8870</v>
      </c>
      <c r="C887" s="306" t="s">
        <v>8137</v>
      </c>
      <c r="D887" s="307">
        <v>2.74</v>
      </c>
      <c r="E887" s="308"/>
    </row>
    <row r="888" spans="1:5" ht="9" customHeight="1">
      <c r="A888" s="304">
        <v>40112</v>
      </c>
      <c r="B888" s="305" t="s">
        <v>8871</v>
      </c>
      <c r="C888" s="306" t="s">
        <v>8020</v>
      </c>
      <c r="D888" s="307">
        <v>2.0299999999999998</v>
      </c>
      <c r="E888" s="305" t="s">
        <v>8076</v>
      </c>
    </row>
    <row r="889" spans="1:5" ht="9" customHeight="1">
      <c r="A889" s="304">
        <v>40149</v>
      </c>
      <c r="B889" s="305" t="s">
        <v>8872</v>
      </c>
      <c r="C889" s="306" t="s">
        <v>8020</v>
      </c>
      <c r="D889" s="307">
        <v>5.66</v>
      </c>
      <c r="E889" s="308"/>
    </row>
    <row r="890" spans="1:5" ht="9" customHeight="1">
      <c r="A890" s="304">
        <v>40094</v>
      </c>
      <c r="B890" s="305" t="s">
        <v>8873</v>
      </c>
      <c r="C890" s="306" t="s">
        <v>8020</v>
      </c>
      <c r="D890" s="307">
        <v>85.4</v>
      </c>
      <c r="E890" s="308"/>
    </row>
    <row r="891" spans="1:5" ht="9" customHeight="1">
      <c r="A891" s="304">
        <v>40095</v>
      </c>
      <c r="B891" s="305" t="s">
        <v>8874</v>
      </c>
      <c r="C891" s="306" t="s">
        <v>8020</v>
      </c>
      <c r="D891" s="307">
        <v>539.91999999999996</v>
      </c>
      <c r="E891" s="305" t="s">
        <v>8076</v>
      </c>
    </row>
    <row r="892" spans="1:5" ht="9" customHeight="1">
      <c r="A892" s="304">
        <v>40114</v>
      </c>
      <c r="B892" s="305" t="s">
        <v>8875</v>
      </c>
      <c r="C892" s="306" t="s">
        <v>8102</v>
      </c>
      <c r="D892" s="307">
        <v>286.88</v>
      </c>
      <c r="E892" s="305" t="s">
        <v>8076</v>
      </c>
    </row>
    <row r="893" spans="1:5" ht="9" customHeight="1">
      <c r="A893" s="304">
        <v>40130</v>
      </c>
      <c r="B893" s="305" t="s">
        <v>8876</v>
      </c>
      <c r="C893" s="306" t="s">
        <v>8102</v>
      </c>
      <c r="D893" s="307">
        <v>288.32</v>
      </c>
      <c r="E893" s="305" t="s">
        <v>8076</v>
      </c>
    </row>
    <row r="894" spans="1:5" ht="9" customHeight="1">
      <c r="A894" s="304">
        <v>40131</v>
      </c>
      <c r="B894" s="305" t="s">
        <v>8877</v>
      </c>
      <c r="C894" s="306" t="s">
        <v>8102</v>
      </c>
      <c r="D894" s="307">
        <v>306.69</v>
      </c>
      <c r="E894" s="305" t="s">
        <v>8076</v>
      </c>
    </row>
    <row r="895" spans="1:5" ht="9" customHeight="1">
      <c r="A895" s="304">
        <v>40083</v>
      </c>
      <c r="B895" s="305" t="s">
        <v>8878</v>
      </c>
      <c r="C895" s="306" t="s">
        <v>8020</v>
      </c>
      <c r="D895" s="307">
        <v>2.8</v>
      </c>
      <c r="E895" s="305" t="s">
        <v>8076</v>
      </c>
    </row>
    <row r="896" spans="1:5" ht="9" customHeight="1">
      <c r="A896" s="304">
        <v>40079</v>
      </c>
      <c r="B896" s="305" t="s">
        <v>8879</v>
      </c>
      <c r="C896" s="306" t="s">
        <v>8022</v>
      </c>
      <c r="D896" s="307">
        <v>23.74</v>
      </c>
      <c r="E896" s="305" t="s">
        <v>8076</v>
      </c>
    </row>
    <row r="897" spans="1:5" ht="9" customHeight="1">
      <c r="A897" s="304">
        <v>40082</v>
      </c>
      <c r="B897" s="305" t="s">
        <v>8880</v>
      </c>
      <c r="C897" s="306" t="s">
        <v>8020</v>
      </c>
      <c r="D897" s="307">
        <v>0.11</v>
      </c>
      <c r="E897" s="308"/>
    </row>
    <row r="898" spans="1:5" ht="9" customHeight="1">
      <c r="A898" s="304">
        <v>40119</v>
      </c>
      <c r="B898" s="305" t="s">
        <v>8881</v>
      </c>
      <c r="C898" s="306" t="s">
        <v>8020</v>
      </c>
      <c r="D898" s="307">
        <v>36.549999999999997</v>
      </c>
      <c r="E898" s="305" t="s">
        <v>8076</v>
      </c>
    </row>
    <row r="899" spans="1:5" ht="9" customHeight="1">
      <c r="A899" s="304">
        <v>40122</v>
      </c>
      <c r="B899" s="305" t="s">
        <v>8881</v>
      </c>
      <c r="C899" s="306" t="s">
        <v>8102</v>
      </c>
      <c r="D899" s="307">
        <v>411.52</v>
      </c>
      <c r="E899" s="305" t="s">
        <v>8076</v>
      </c>
    </row>
    <row r="900" spans="1:5" ht="9" customHeight="1">
      <c r="A900" s="304">
        <v>40120</v>
      </c>
      <c r="B900" s="305" t="s">
        <v>8882</v>
      </c>
      <c r="C900" s="306" t="s">
        <v>8020</v>
      </c>
      <c r="D900" s="307">
        <v>11.31</v>
      </c>
      <c r="E900" s="305" t="s">
        <v>8076</v>
      </c>
    </row>
    <row r="901" spans="1:5" ht="9" customHeight="1">
      <c r="A901" s="304">
        <v>40121</v>
      </c>
      <c r="B901" s="305" t="s">
        <v>8883</v>
      </c>
      <c r="C901" s="306" t="s">
        <v>8020</v>
      </c>
      <c r="D901" s="307">
        <v>36.49</v>
      </c>
      <c r="E901" s="305" t="s">
        <v>8076</v>
      </c>
    </row>
    <row r="902" spans="1:5" ht="9" customHeight="1">
      <c r="A902" s="304">
        <v>40123</v>
      </c>
      <c r="B902" s="305" t="s">
        <v>8883</v>
      </c>
      <c r="C902" s="306" t="s">
        <v>8102</v>
      </c>
      <c r="D902" s="307">
        <v>387.13</v>
      </c>
      <c r="E902" s="305" t="s">
        <v>8076</v>
      </c>
    </row>
    <row r="903" spans="1:5" ht="9" customHeight="1">
      <c r="A903" s="304">
        <v>40080</v>
      </c>
      <c r="B903" s="305" t="s">
        <v>8884</v>
      </c>
      <c r="C903" s="306" t="s">
        <v>8022</v>
      </c>
      <c r="D903" s="307">
        <v>1.81</v>
      </c>
      <c r="E903" s="305" t="s">
        <v>8076</v>
      </c>
    </row>
    <row r="904" spans="1:5" ht="9" customHeight="1">
      <c r="A904" s="304">
        <v>40089</v>
      </c>
      <c r="B904" s="305" t="s">
        <v>8885</v>
      </c>
      <c r="C904" s="306" t="s">
        <v>8036</v>
      </c>
      <c r="D904" s="311">
        <v>1755.24</v>
      </c>
      <c r="E904" s="305" t="s">
        <v>8076</v>
      </c>
    </row>
    <row r="905" spans="1:5" ht="9" customHeight="1">
      <c r="A905" s="304">
        <v>40088</v>
      </c>
      <c r="B905" s="305" t="s">
        <v>8886</v>
      </c>
      <c r="C905" s="306" t="s">
        <v>8036</v>
      </c>
      <c r="D905" s="307">
        <v>698.08</v>
      </c>
      <c r="E905" s="305" t="s">
        <v>8076</v>
      </c>
    </row>
    <row r="906" spans="1:5" ht="9" customHeight="1">
      <c r="A906" s="304">
        <v>40092</v>
      </c>
      <c r="B906" s="305" t="s">
        <v>8887</v>
      </c>
      <c r="C906" s="306" t="s">
        <v>8036</v>
      </c>
      <c r="D906" s="307">
        <v>288.18</v>
      </c>
      <c r="E906" s="305" t="s">
        <v>8076</v>
      </c>
    </row>
    <row r="907" spans="1:5" ht="18.149999999999999" customHeight="1">
      <c r="A907" s="304">
        <v>40078</v>
      </c>
      <c r="B907" s="309" t="s">
        <v>8888</v>
      </c>
      <c r="C907" s="306" t="s">
        <v>8137</v>
      </c>
      <c r="D907" s="307">
        <v>8.07</v>
      </c>
      <c r="E907" s="305" t="s">
        <v>8076</v>
      </c>
    </row>
    <row r="908" spans="1:5" ht="9" customHeight="1">
      <c r="A908" s="304">
        <v>40097</v>
      </c>
      <c r="B908" s="305" t="s">
        <v>8889</v>
      </c>
      <c r="C908" s="306" t="s">
        <v>8137</v>
      </c>
      <c r="D908" s="307">
        <v>117.08</v>
      </c>
      <c r="E908" s="308"/>
    </row>
    <row r="909" spans="1:5" ht="9" customHeight="1">
      <c r="A909" s="304">
        <v>40090</v>
      </c>
      <c r="B909" s="305" t="s">
        <v>8890</v>
      </c>
      <c r="C909" s="306" t="s">
        <v>8137</v>
      </c>
      <c r="D909" s="307">
        <v>30.33</v>
      </c>
      <c r="E909" s="305" t="s">
        <v>8076</v>
      </c>
    </row>
    <row r="910" spans="1:5" ht="9" customHeight="1">
      <c r="A910" s="304">
        <v>40099</v>
      </c>
      <c r="B910" s="305" t="s">
        <v>8891</v>
      </c>
      <c r="C910" s="306" t="s">
        <v>8022</v>
      </c>
      <c r="D910" s="307">
        <v>688.08</v>
      </c>
      <c r="E910" s="305" t="s">
        <v>8076</v>
      </c>
    </row>
    <row r="911" spans="1:5" ht="9" customHeight="1">
      <c r="A911" s="304">
        <v>40091</v>
      </c>
      <c r="B911" s="305" t="s">
        <v>8892</v>
      </c>
      <c r="C911" s="306" t="s">
        <v>8137</v>
      </c>
      <c r="D911" s="307">
        <v>40.369999999999997</v>
      </c>
      <c r="E911" s="305" t="s">
        <v>8076</v>
      </c>
    </row>
    <row r="912" spans="1:5" ht="9" customHeight="1">
      <c r="A912" s="304">
        <v>40093</v>
      </c>
      <c r="B912" s="305" t="s">
        <v>8893</v>
      </c>
      <c r="C912" s="306" t="s">
        <v>8020</v>
      </c>
      <c r="D912" s="307">
        <v>78.19</v>
      </c>
      <c r="E912" s="308"/>
    </row>
    <row r="913" spans="1:6" ht="18.149999999999999" customHeight="1">
      <c r="A913" s="304">
        <v>43353</v>
      </c>
      <c r="B913" s="309" t="s">
        <v>8894</v>
      </c>
      <c r="C913" s="306" t="s">
        <v>8020</v>
      </c>
      <c r="D913" s="307">
        <v>0.66</v>
      </c>
      <c r="E913" s="310"/>
    </row>
    <row r="914" spans="1:6" ht="18.149999999999999" customHeight="1">
      <c r="A914" s="304">
        <v>43337</v>
      </c>
      <c r="B914" s="309" t="s">
        <v>8895</v>
      </c>
      <c r="C914" s="306" t="s">
        <v>8020</v>
      </c>
      <c r="D914" s="307">
        <v>0.56999999999999995</v>
      </c>
      <c r="E914" s="310"/>
    </row>
    <row r="915" spans="1:6" ht="9" customHeight="1">
      <c r="A915" s="304">
        <v>40077</v>
      </c>
      <c r="B915" s="305" t="s">
        <v>8896</v>
      </c>
      <c r="C915" s="306" t="s">
        <v>8020</v>
      </c>
      <c r="D915" s="307">
        <v>0.19</v>
      </c>
      <c r="E915" s="308"/>
    </row>
    <row r="916" spans="1:6" ht="9" customHeight="1">
      <c r="A916" s="304">
        <v>40142</v>
      </c>
      <c r="B916" s="305" t="s">
        <v>8897</v>
      </c>
      <c r="C916" s="306" t="s">
        <v>8137</v>
      </c>
      <c r="D916" s="307">
        <v>89.56</v>
      </c>
      <c r="E916" s="305" t="s">
        <v>8076</v>
      </c>
    </row>
    <row r="917" spans="1:6" ht="9" customHeight="1">
      <c r="A917" s="304">
        <v>40124</v>
      </c>
      <c r="B917" s="305" t="s">
        <v>8898</v>
      </c>
      <c r="C917" s="306" t="s">
        <v>8020</v>
      </c>
      <c r="D917" s="307">
        <v>9.51</v>
      </c>
      <c r="E917" s="305" t="s">
        <v>8076</v>
      </c>
    </row>
    <row r="918" spans="1:6" ht="9" customHeight="1">
      <c r="A918" s="304">
        <v>40146</v>
      </c>
      <c r="B918" s="305" t="s">
        <v>8899</v>
      </c>
      <c r="C918" s="306" t="s">
        <v>8020</v>
      </c>
      <c r="D918" s="307">
        <v>16.02</v>
      </c>
      <c r="E918" s="305" t="s">
        <v>8076</v>
      </c>
    </row>
    <row r="919" spans="1:6" ht="9" customHeight="1">
      <c r="A919" s="304">
        <v>40145</v>
      </c>
      <c r="B919" s="305" t="s">
        <v>8900</v>
      </c>
      <c r="C919" s="306" t="s">
        <v>8020</v>
      </c>
      <c r="D919" s="307">
        <v>450.46</v>
      </c>
      <c r="E919" s="305" t="s">
        <v>8076</v>
      </c>
    </row>
    <row r="920" spans="1:6" ht="9" customHeight="1">
      <c r="A920" s="304">
        <v>40109</v>
      </c>
      <c r="B920" s="305" t="s">
        <v>8901</v>
      </c>
      <c r="C920" s="306" t="s">
        <v>8022</v>
      </c>
      <c r="D920" s="307">
        <v>30.9</v>
      </c>
      <c r="E920" s="308"/>
    </row>
    <row r="921" spans="1:6" ht="9" customHeight="1">
      <c r="A921" s="304">
        <v>40125</v>
      </c>
      <c r="B921" s="305" t="s">
        <v>8902</v>
      </c>
      <c r="C921" s="306" t="s">
        <v>8020</v>
      </c>
      <c r="D921" s="307">
        <v>12.22</v>
      </c>
      <c r="E921" s="305" t="s">
        <v>8076</v>
      </c>
    </row>
    <row r="922" spans="1:6" ht="9" customHeight="1">
      <c r="A922" s="304">
        <v>40113</v>
      </c>
      <c r="B922" s="305" t="s">
        <v>8903</v>
      </c>
      <c r="C922" s="306" t="s">
        <v>8020</v>
      </c>
      <c r="D922" s="307">
        <v>14.62</v>
      </c>
      <c r="E922" s="305" t="s">
        <v>8076</v>
      </c>
    </row>
    <row r="923" spans="1:6" ht="9" customHeight="1">
      <c r="A923" s="301" t="s">
        <v>8014</v>
      </c>
      <c r="B923" s="302" t="s">
        <v>8015</v>
      </c>
      <c r="C923" s="301" t="s">
        <v>8016</v>
      </c>
      <c r="D923" s="303" t="s">
        <v>8017</v>
      </c>
      <c r="E923" s="302" t="s">
        <v>8018</v>
      </c>
    </row>
    <row r="924" spans="1:6" ht="9" customHeight="1">
      <c r="A924" s="304">
        <v>42186</v>
      </c>
      <c r="B924" s="305" t="s">
        <v>8904</v>
      </c>
      <c r="C924" s="306" t="s">
        <v>8598</v>
      </c>
      <c r="D924" s="311">
        <v>7318.9</v>
      </c>
      <c r="E924" s="308"/>
    </row>
    <row r="925" spans="1:6" ht="9" customHeight="1">
      <c r="A925" s="858" t="s">
        <v>8905</v>
      </c>
      <c r="B925" s="858"/>
      <c r="C925" s="858"/>
      <c r="D925" s="858"/>
      <c r="E925" s="858"/>
      <c r="F925" s="858"/>
    </row>
    <row r="926" spans="1:6" ht="9" customHeight="1">
      <c r="A926" s="301" t="s">
        <v>8014</v>
      </c>
      <c r="B926" s="302" t="s">
        <v>8015</v>
      </c>
      <c r="C926" s="301" t="s">
        <v>8016</v>
      </c>
      <c r="D926" s="303" t="s">
        <v>8017</v>
      </c>
      <c r="E926" s="302" t="s">
        <v>8018</v>
      </c>
    </row>
    <row r="927" spans="1:6" ht="9" customHeight="1">
      <c r="A927" s="304">
        <v>41352</v>
      </c>
      <c r="B927" s="305" t="s">
        <v>8906</v>
      </c>
      <c r="C927" s="306" t="s">
        <v>8036</v>
      </c>
      <c r="D927" s="307">
        <v>140.02000000000001</v>
      </c>
      <c r="E927" s="308"/>
    </row>
    <row r="928" spans="1:6" ht="18.149999999999999" customHeight="1">
      <c r="A928" s="304">
        <v>41340</v>
      </c>
      <c r="B928" s="309" t="s">
        <v>8907</v>
      </c>
      <c r="C928" s="306" t="s">
        <v>8137</v>
      </c>
      <c r="D928" s="307">
        <v>518.59</v>
      </c>
      <c r="E928" s="310"/>
    </row>
    <row r="929" spans="1:6" ht="9" customHeight="1">
      <c r="A929" s="858" t="s">
        <v>8905</v>
      </c>
      <c r="B929" s="858"/>
      <c r="C929" s="858"/>
      <c r="D929" s="858"/>
      <c r="E929" s="858"/>
      <c r="F929" s="858"/>
    </row>
    <row r="930" spans="1:6" ht="9" customHeight="1">
      <c r="A930" s="301" t="s">
        <v>8014</v>
      </c>
      <c r="B930" s="302" t="s">
        <v>8015</v>
      </c>
      <c r="C930" s="301" t="s">
        <v>8016</v>
      </c>
      <c r="D930" s="303" t="s">
        <v>8017</v>
      </c>
      <c r="E930" s="302" t="s">
        <v>8018</v>
      </c>
    </row>
    <row r="931" spans="1:6" ht="9" customHeight="1">
      <c r="A931" s="304">
        <v>40331</v>
      </c>
      <c r="B931" s="305" t="s">
        <v>8908</v>
      </c>
      <c r="C931" s="306" t="s">
        <v>8020</v>
      </c>
      <c r="D931" s="307">
        <v>72.569999999999993</v>
      </c>
      <c r="E931" s="305" t="s">
        <v>8076</v>
      </c>
    </row>
    <row r="932" spans="1:6" ht="9" customHeight="1">
      <c r="A932" s="304">
        <v>40403</v>
      </c>
      <c r="B932" s="305" t="s">
        <v>8909</v>
      </c>
      <c r="C932" s="306" t="s">
        <v>8137</v>
      </c>
      <c r="D932" s="307">
        <v>192.28</v>
      </c>
      <c r="E932" s="305" t="s">
        <v>8076</v>
      </c>
    </row>
    <row r="933" spans="1:6" ht="9" customHeight="1">
      <c r="A933" s="304">
        <v>40405</v>
      </c>
      <c r="B933" s="305" t="s">
        <v>8910</v>
      </c>
      <c r="C933" s="306" t="s">
        <v>8137</v>
      </c>
      <c r="D933" s="307">
        <v>258.48</v>
      </c>
      <c r="E933" s="308"/>
    </row>
    <row r="934" spans="1:6" ht="9" customHeight="1">
      <c r="A934" s="304">
        <v>40408</v>
      </c>
      <c r="B934" s="305" t="s">
        <v>8911</v>
      </c>
      <c r="C934" s="306" t="s">
        <v>8137</v>
      </c>
      <c r="D934" s="307">
        <v>512.53</v>
      </c>
      <c r="E934" s="305" t="s">
        <v>8076</v>
      </c>
    </row>
    <row r="935" spans="1:6" ht="18.149999999999999" customHeight="1">
      <c r="A935" s="304">
        <v>40406</v>
      </c>
      <c r="B935" s="309" t="s">
        <v>8912</v>
      </c>
      <c r="C935" s="306" t="s">
        <v>8137</v>
      </c>
      <c r="D935" s="307">
        <v>465.51</v>
      </c>
      <c r="E935" s="305" t="s">
        <v>8076</v>
      </c>
    </row>
    <row r="936" spans="1:6" ht="18.149999999999999" customHeight="1">
      <c r="A936" s="304">
        <v>40407</v>
      </c>
      <c r="B936" s="309" t="s">
        <v>8913</v>
      </c>
      <c r="C936" s="306" t="s">
        <v>8137</v>
      </c>
      <c r="D936" s="307">
        <v>802</v>
      </c>
      <c r="E936" s="305" t="s">
        <v>8076</v>
      </c>
    </row>
    <row r="937" spans="1:6" ht="18.149999999999999" customHeight="1">
      <c r="A937" s="304">
        <v>40409</v>
      </c>
      <c r="B937" s="309" t="s">
        <v>8914</v>
      </c>
      <c r="C937" s="306" t="s">
        <v>8137</v>
      </c>
      <c r="D937" s="307">
        <v>896.04</v>
      </c>
      <c r="E937" s="305" t="s">
        <v>8076</v>
      </c>
    </row>
    <row r="938" spans="1:6" ht="9" customHeight="1">
      <c r="A938" s="304">
        <v>40404</v>
      </c>
      <c r="B938" s="305" t="s">
        <v>8915</v>
      </c>
      <c r="C938" s="306" t="s">
        <v>8137</v>
      </c>
      <c r="D938" s="307">
        <v>177.11</v>
      </c>
      <c r="E938" s="308"/>
    </row>
    <row r="939" spans="1:6" ht="18.149999999999999" customHeight="1">
      <c r="A939" s="304">
        <v>42051</v>
      </c>
      <c r="B939" s="309" t="s">
        <v>8916</v>
      </c>
      <c r="C939" s="306" t="s">
        <v>8137</v>
      </c>
      <c r="D939" s="307">
        <v>962.67</v>
      </c>
      <c r="E939" s="305" t="s">
        <v>8076</v>
      </c>
    </row>
    <row r="940" spans="1:6" ht="18.149999999999999" customHeight="1">
      <c r="A940" s="304">
        <v>42052</v>
      </c>
      <c r="B940" s="309" t="s">
        <v>8917</v>
      </c>
      <c r="C940" s="306" t="s">
        <v>8137</v>
      </c>
      <c r="D940" s="307">
        <v>532.27</v>
      </c>
      <c r="E940" s="305" t="s">
        <v>8076</v>
      </c>
    </row>
    <row r="941" spans="1:6" ht="9" customHeight="1">
      <c r="A941" s="304">
        <v>40410</v>
      </c>
      <c r="B941" s="305" t="s">
        <v>8918</v>
      </c>
      <c r="C941" s="306" t="s">
        <v>8137</v>
      </c>
      <c r="D941" s="307">
        <v>381.77</v>
      </c>
      <c r="E941" s="305" t="s">
        <v>8076</v>
      </c>
    </row>
    <row r="942" spans="1:6" ht="18.149999999999999" customHeight="1">
      <c r="A942" s="304">
        <v>40309</v>
      </c>
      <c r="B942" s="309" t="s">
        <v>8919</v>
      </c>
      <c r="C942" s="306" t="s">
        <v>8020</v>
      </c>
      <c r="D942" s="307">
        <v>169.12</v>
      </c>
      <c r="E942" s="305" t="s">
        <v>8076</v>
      </c>
    </row>
    <row r="943" spans="1:6" ht="9" customHeight="1">
      <c r="A943" s="304">
        <v>41258</v>
      </c>
      <c r="B943" s="305" t="s">
        <v>8920</v>
      </c>
      <c r="C943" s="306" t="s">
        <v>8137</v>
      </c>
      <c r="D943" s="307">
        <v>214.91</v>
      </c>
      <c r="E943" s="308"/>
    </row>
    <row r="944" spans="1:6" ht="9" customHeight="1">
      <c r="A944" s="304">
        <v>41034</v>
      </c>
      <c r="B944" s="305" t="s">
        <v>8921</v>
      </c>
      <c r="C944" s="306" t="s">
        <v>8137</v>
      </c>
      <c r="D944" s="307">
        <v>165.31</v>
      </c>
      <c r="E944" s="308"/>
    </row>
    <row r="945" spans="1:6" ht="18.149999999999999" customHeight="1">
      <c r="A945" s="304">
        <v>41026</v>
      </c>
      <c r="B945" s="309" t="s">
        <v>8922</v>
      </c>
      <c r="C945" s="306" t="s">
        <v>8137</v>
      </c>
      <c r="D945" s="307">
        <v>136.69</v>
      </c>
      <c r="E945" s="310"/>
    </row>
    <row r="946" spans="1:6" ht="18.149999999999999" customHeight="1">
      <c r="A946" s="304">
        <v>41022</v>
      </c>
      <c r="B946" s="309" t="s">
        <v>8923</v>
      </c>
      <c r="C946" s="306" t="s">
        <v>8137</v>
      </c>
      <c r="D946" s="307">
        <v>127.58</v>
      </c>
      <c r="E946" s="310"/>
    </row>
    <row r="947" spans="1:6" ht="9" customHeight="1">
      <c r="A947" s="858" t="s">
        <v>8924</v>
      </c>
      <c r="B947" s="858"/>
      <c r="C947" s="858"/>
      <c r="D947" s="858"/>
      <c r="E947" s="858"/>
      <c r="F947" s="858"/>
    </row>
    <row r="948" spans="1:6" ht="9" customHeight="1">
      <c r="A948" s="301" t="s">
        <v>8014</v>
      </c>
      <c r="B948" s="302" t="s">
        <v>8015</v>
      </c>
      <c r="C948" s="301" t="s">
        <v>8016</v>
      </c>
      <c r="D948" s="303" t="s">
        <v>8017</v>
      </c>
      <c r="E948" s="302" t="s">
        <v>8018</v>
      </c>
    </row>
    <row r="949" spans="1:6" ht="18.149999999999999" customHeight="1">
      <c r="A949" s="304">
        <v>41403</v>
      </c>
      <c r="B949" s="309" t="s">
        <v>8925</v>
      </c>
      <c r="C949" s="306" t="s">
        <v>8137</v>
      </c>
      <c r="D949" s="307">
        <v>956.94</v>
      </c>
      <c r="E949" s="310"/>
    </row>
    <row r="950" spans="1:6" ht="9" customHeight="1">
      <c r="A950" s="304">
        <v>40398</v>
      </c>
      <c r="B950" s="305" t="s">
        <v>8926</v>
      </c>
      <c r="C950" s="306" t="s">
        <v>8020</v>
      </c>
      <c r="D950" s="307">
        <v>174.41</v>
      </c>
      <c r="E950" s="308"/>
    </row>
    <row r="951" spans="1:6" ht="9" customHeight="1">
      <c r="A951" s="304">
        <v>41036</v>
      </c>
      <c r="B951" s="305" t="s">
        <v>8927</v>
      </c>
      <c r="C951" s="306" t="s">
        <v>8928</v>
      </c>
      <c r="D951" s="307">
        <v>85.87</v>
      </c>
      <c r="E951" s="308"/>
    </row>
    <row r="952" spans="1:6" ht="18.149999999999999" customHeight="1">
      <c r="A952" s="304">
        <v>41423</v>
      </c>
      <c r="B952" s="309" t="s">
        <v>8929</v>
      </c>
      <c r="C952" s="306" t="s">
        <v>8020</v>
      </c>
      <c r="D952" s="311">
        <v>3014.26</v>
      </c>
      <c r="E952" s="310"/>
    </row>
    <row r="953" spans="1:6" ht="18.149999999999999" customHeight="1">
      <c r="A953" s="304">
        <v>41424</v>
      </c>
      <c r="B953" s="309" t="s">
        <v>8930</v>
      </c>
      <c r="C953" s="306" t="s">
        <v>8020</v>
      </c>
      <c r="D953" s="311">
        <v>2967.01</v>
      </c>
      <c r="E953" s="310"/>
    </row>
    <row r="954" spans="1:6" ht="18.149999999999999" customHeight="1">
      <c r="A954" s="304">
        <v>41425</v>
      </c>
      <c r="B954" s="309" t="s">
        <v>8931</v>
      </c>
      <c r="C954" s="306" t="s">
        <v>8020</v>
      </c>
      <c r="D954" s="311">
        <v>3290.5</v>
      </c>
      <c r="E954" s="310"/>
    </row>
    <row r="955" spans="1:6" ht="18.149999999999999" customHeight="1">
      <c r="A955" s="304">
        <v>41426</v>
      </c>
      <c r="B955" s="309" t="s">
        <v>8932</v>
      </c>
      <c r="C955" s="306" t="s">
        <v>8020</v>
      </c>
      <c r="D955" s="311">
        <v>3381.69</v>
      </c>
      <c r="E955" s="310"/>
    </row>
    <row r="956" spans="1:6" ht="18.149999999999999" customHeight="1">
      <c r="A956" s="304">
        <v>41428</v>
      </c>
      <c r="B956" s="309" t="s">
        <v>8933</v>
      </c>
      <c r="C956" s="306" t="s">
        <v>8020</v>
      </c>
      <c r="D956" s="311">
        <v>3481.62</v>
      </c>
      <c r="E956" s="310"/>
    </row>
    <row r="957" spans="1:6" ht="18.149999999999999" customHeight="1">
      <c r="A957" s="304">
        <v>41417</v>
      </c>
      <c r="B957" s="309" t="s">
        <v>8934</v>
      </c>
      <c r="C957" s="306" t="s">
        <v>8020</v>
      </c>
      <c r="D957" s="311">
        <v>2332.09</v>
      </c>
      <c r="E957" s="310"/>
    </row>
    <row r="958" spans="1:6" ht="18.149999999999999" customHeight="1">
      <c r="A958" s="304">
        <v>41418</v>
      </c>
      <c r="B958" s="309" t="s">
        <v>8935</v>
      </c>
      <c r="C958" s="306" t="s">
        <v>8020</v>
      </c>
      <c r="D958" s="311">
        <v>2366.0700000000002</v>
      </c>
      <c r="E958" s="310"/>
    </row>
    <row r="959" spans="1:6" ht="18.149999999999999" customHeight="1">
      <c r="A959" s="304">
        <v>41419</v>
      </c>
      <c r="B959" s="309" t="s">
        <v>8936</v>
      </c>
      <c r="C959" s="306" t="s">
        <v>8020</v>
      </c>
      <c r="D959" s="311">
        <v>2461.4499999999998</v>
      </c>
      <c r="E959" s="310"/>
    </row>
    <row r="960" spans="1:6" ht="18.149999999999999" customHeight="1">
      <c r="A960" s="304">
        <v>41420</v>
      </c>
      <c r="B960" s="309" t="s">
        <v>8937</v>
      </c>
      <c r="C960" s="306" t="s">
        <v>8020</v>
      </c>
      <c r="D960" s="311">
        <v>2711.84</v>
      </c>
      <c r="E960" s="310"/>
    </row>
    <row r="961" spans="1:6" ht="18.149999999999999" customHeight="1">
      <c r="A961" s="304">
        <v>41421</v>
      </c>
      <c r="B961" s="309" t="s">
        <v>8938</v>
      </c>
      <c r="C961" s="306" t="s">
        <v>8020</v>
      </c>
      <c r="D961" s="311">
        <v>2899</v>
      </c>
      <c r="E961" s="310"/>
    </row>
    <row r="962" spans="1:6" ht="18.149999999999999" customHeight="1">
      <c r="A962" s="304">
        <v>41422</v>
      </c>
      <c r="B962" s="309" t="s">
        <v>8939</v>
      </c>
      <c r="C962" s="306" t="s">
        <v>8020</v>
      </c>
      <c r="D962" s="311">
        <v>2993.49</v>
      </c>
      <c r="E962" s="310"/>
    </row>
    <row r="963" spans="1:6" ht="18.149999999999999" customHeight="1">
      <c r="A963" s="304">
        <v>41427</v>
      </c>
      <c r="B963" s="309" t="s">
        <v>8940</v>
      </c>
      <c r="C963" s="306" t="s">
        <v>8020</v>
      </c>
      <c r="D963" s="311">
        <v>3468.62</v>
      </c>
      <c r="E963" s="310"/>
    </row>
    <row r="964" spans="1:6" ht="9" customHeight="1">
      <c r="A964" s="858" t="s">
        <v>8941</v>
      </c>
      <c r="B964" s="858"/>
      <c r="C964" s="858"/>
      <c r="D964" s="858"/>
      <c r="E964" s="858"/>
      <c r="F964" s="858"/>
    </row>
    <row r="965" spans="1:6" ht="9" customHeight="1">
      <c r="A965" s="301" t="s">
        <v>8014</v>
      </c>
      <c r="B965" s="302" t="s">
        <v>8015</v>
      </c>
      <c r="C965" s="301" t="s">
        <v>8016</v>
      </c>
      <c r="D965" s="303" t="s">
        <v>8017</v>
      </c>
      <c r="E965" s="302" t="s">
        <v>8018</v>
      </c>
    </row>
    <row r="966" spans="1:6" ht="18.149999999999999" customHeight="1">
      <c r="A966" s="304">
        <v>40381</v>
      </c>
      <c r="B966" s="309" t="s">
        <v>8942</v>
      </c>
      <c r="C966" s="306" t="s">
        <v>8020</v>
      </c>
      <c r="D966" s="307">
        <v>22.19</v>
      </c>
      <c r="E966" s="310"/>
    </row>
    <row r="967" spans="1:6" ht="9" customHeight="1">
      <c r="A967" s="304">
        <v>41260</v>
      </c>
      <c r="B967" s="305" t="s">
        <v>8943</v>
      </c>
      <c r="C967" s="306" t="s">
        <v>8036</v>
      </c>
      <c r="D967" s="307">
        <v>808.5</v>
      </c>
      <c r="E967" s="305" t="s">
        <v>8076</v>
      </c>
    </row>
    <row r="968" spans="1:6" ht="9" customHeight="1">
      <c r="A968" s="304">
        <v>41045</v>
      </c>
      <c r="B968" s="305" t="s">
        <v>8944</v>
      </c>
      <c r="C968" s="306" t="s">
        <v>8036</v>
      </c>
      <c r="D968" s="307">
        <v>754.2</v>
      </c>
      <c r="E968" s="305" t="s">
        <v>8076</v>
      </c>
    </row>
    <row r="969" spans="1:6" ht="18.149999999999999" customHeight="1">
      <c r="A969" s="304">
        <v>40387</v>
      </c>
      <c r="B969" s="309" t="s">
        <v>8945</v>
      </c>
      <c r="C969" s="306" t="s">
        <v>8946</v>
      </c>
      <c r="D969" s="307">
        <v>133.41999999999999</v>
      </c>
      <c r="E969" s="305" t="s">
        <v>8076</v>
      </c>
    </row>
    <row r="970" spans="1:6" ht="18.149999999999999" customHeight="1">
      <c r="A970" s="304">
        <v>40339</v>
      </c>
      <c r="B970" s="309" t="s">
        <v>8947</v>
      </c>
      <c r="C970" s="306" t="s">
        <v>8137</v>
      </c>
      <c r="D970" s="307">
        <v>73.180000000000007</v>
      </c>
      <c r="E970" s="310"/>
    </row>
    <row r="971" spans="1:6" ht="9" customHeight="1">
      <c r="A971" s="858" t="s">
        <v>8941</v>
      </c>
      <c r="B971" s="858"/>
      <c r="C971" s="858"/>
      <c r="D971" s="858"/>
      <c r="E971" s="858"/>
      <c r="F971" s="858"/>
    </row>
    <row r="972" spans="1:6" ht="9" customHeight="1">
      <c r="A972" s="301" t="s">
        <v>8014</v>
      </c>
      <c r="B972" s="302" t="s">
        <v>8015</v>
      </c>
      <c r="C972" s="301" t="s">
        <v>8016</v>
      </c>
      <c r="D972" s="303" t="s">
        <v>8017</v>
      </c>
      <c r="E972" s="302" t="s">
        <v>8018</v>
      </c>
    </row>
    <row r="973" spans="1:6" ht="9" customHeight="1">
      <c r="A973" s="304">
        <v>40379</v>
      </c>
      <c r="B973" s="305" t="s">
        <v>8948</v>
      </c>
      <c r="C973" s="306" t="s">
        <v>8226</v>
      </c>
      <c r="D973" s="307">
        <v>10.46</v>
      </c>
      <c r="E973" s="305" t="s">
        <v>8076</v>
      </c>
    </row>
    <row r="974" spans="1:6" ht="18.149999999999999" customHeight="1">
      <c r="A974" s="304">
        <v>42875</v>
      </c>
      <c r="B974" s="309" t="s">
        <v>8949</v>
      </c>
      <c r="C974" s="306" t="s">
        <v>8137</v>
      </c>
      <c r="D974" s="307">
        <v>37.369999999999997</v>
      </c>
      <c r="E974" s="310"/>
    </row>
    <row r="975" spans="1:6" ht="18.149999999999999" customHeight="1">
      <c r="A975" s="304">
        <v>40991</v>
      </c>
      <c r="B975" s="309" t="s">
        <v>8950</v>
      </c>
      <c r="C975" s="306" t="s">
        <v>8226</v>
      </c>
      <c r="D975" s="307">
        <v>63.18</v>
      </c>
      <c r="E975" s="310"/>
    </row>
    <row r="976" spans="1:6" ht="9" customHeight="1">
      <c r="A976" s="304">
        <v>40382</v>
      </c>
      <c r="B976" s="305" t="s">
        <v>8951</v>
      </c>
      <c r="C976" s="306" t="s">
        <v>8022</v>
      </c>
      <c r="D976" s="307">
        <v>635.66999999999996</v>
      </c>
      <c r="E976" s="308"/>
    </row>
    <row r="977" spans="1:5" ht="9" customHeight="1">
      <c r="A977" s="304">
        <v>42660</v>
      </c>
      <c r="B977" s="305" t="s">
        <v>8952</v>
      </c>
      <c r="C977" s="306" t="s">
        <v>8022</v>
      </c>
      <c r="D977" s="307">
        <v>848.77</v>
      </c>
      <c r="E977" s="308"/>
    </row>
    <row r="978" spans="1:5" ht="18.149999999999999" customHeight="1">
      <c r="A978" s="304">
        <v>40401</v>
      </c>
      <c r="B978" s="309" t="s">
        <v>8953</v>
      </c>
      <c r="C978" s="306" t="s">
        <v>8036</v>
      </c>
      <c r="D978" s="311">
        <v>1869.16</v>
      </c>
      <c r="E978" s="305" t="s">
        <v>8076</v>
      </c>
    </row>
    <row r="979" spans="1:5" ht="9" customHeight="1">
      <c r="A979" s="304">
        <v>41200</v>
      </c>
      <c r="B979" s="305" t="s">
        <v>8954</v>
      </c>
      <c r="C979" s="306" t="s">
        <v>8036</v>
      </c>
      <c r="D979" s="307">
        <v>24.81</v>
      </c>
      <c r="E979" s="308"/>
    </row>
    <row r="980" spans="1:5" ht="9" customHeight="1">
      <c r="A980" s="304">
        <v>42876</v>
      </c>
      <c r="B980" s="305" t="s">
        <v>8955</v>
      </c>
      <c r="C980" s="306" t="s">
        <v>8020</v>
      </c>
      <c r="D980" s="307">
        <v>150.66</v>
      </c>
      <c r="E980" s="308"/>
    </row>
    <row r="981" spans="1:5" ht="18.149999999999999" customHeight="1">
      <c r="A981" s="304">
        <v>42239</v>
      </c>
      <c r="B981" s="309" t="s">
        <v>8956</v>
      </c>
      <c r="C981" s="306" t="s">
        <v>8022</v>
      </c>
      <c r="D981" s="307">
        <v>137.69999999999999</v>
      </c>
      <c r="E981" s="305" t="s">
        <v>8076</v>
      </c>
    </row>
    <row r="982" spans="1:5" ht="18.149999999999999" customHeight="1">
      <c r="A982" s="304">
        <v>40329</v>
      </c>
      <c r="B982" s="309" t="s">
        <v>8957</v>
      </c>
      <c r="C982" s="306" t="s">
        <v>8022</v>
      </c>
      <c r="D982" s="307">
        <v>161.9</v>
      </c>
      <c r="E982" s="305" t="s">
        <v>8076</v>
      </c>
    </row>
    <row r="983" spans="1:5" ht="9" customHeight="1">
      <c r="A983" s="304">
        <v>41195</v>
      </c>
      <c r="B983" s="305" t="s">
        <v>8958</v>
      </c>
      <c r="C983" s="306" t="s">
        <v>8226</v>
      </c>
      <c r="D983" s="307">
        <v>8.5399999999999991</v>
      </c>
      <c r="E983" s="308"/>
    </row>
    <row r="984" spans="1:5" ht="9" customHeight="1">
      <c r="A984" s="304">
        <v>40315</v>
      </c>
      <c r="B984" s="305" t="s">
        <v>8959</v>
      </c>
      <c r="C984" s="306" t="s">
        <v>8020</v>
      </c>
      <c r="D984" s="307">
        <v>283.56</v>
      </c>
      <c r="E984" s="305" t="s">
        <v>8076</v>
      </c>
    </row>
    <row r="985" spans="1:5" ht="18.149999999999999" customHeight="1">
      <c r="A985" s="304">
        <v>40314</v>
      </c>
      <c r="B985" s="309" t="s">
        <v>8960</v>
      </c>
      <c r="C985" s="306" t="s">
        <v>8020</v>
      </c>
      <c r="D985" s="307">
        <v>113.32</v>
      </c>
      <c r="E985" s="305" t="s">
        <v>8076</v>
      </c>
    </row>
    <row r="986" spans="1:5" ht="18.149999999999999" customHeight="1">
      <c r="A986" s="304">
        <v>40321</v>
      </c>
      <c r="B986" s="309" t="s">
        <v>8961</v>
      </c>
      <c r="C986" s="306" t="s">
        <v>8020</v>
      </c>
      <c r="D986" s="307">
        <v>80.680000000000007</v>
      </c>
      <c r="E986" s="305" t="s">
        <v>8076</v>
      </c>
    </row>
    <row r="987" spans="1:5" ht="18.149999999999999" customHeight="1">
      <c r="A987" s="304">
        <v>40323</v>
      </c>
      <c r="B987" s="309" t="s">
        <v>8962</v>
      </c>
      <c r="C987" s="306" t="s">
        <v>8020</v>
      </c>
      <c r="D987" s="307">
        <v>83.66</v>
      </c>
      <c r="E987" s="305" t="s">
        <v>8076</v>
      </c>
    </row>
    <row r="988" spans="1:5" ht="18.149999999999999" customHeight="1">
      <c r="A988" s="304">
        <v>40324</v>
      </c>
      <c r="B988" s="309" t="s">
        <v>8963</v>
      </c>
      <c r="C988" s="306" t="s">
        <v>8020</v>
      </c>
      <c r="D988" s="307">
        <v>72.55</v>
      </c>
      <c r="E988" s="305" t="s">
        <v>8076</v>
      </c>
    </row>
    <row r="989" spans="1:5" ht="18.149999999999999" customHeight="1">
      <c r="A989" s="304">
        <v>40325</v>
      </c>
      <c r="B989" s="309" t="s">
        <v>8964</v>
      </c>
      <c r="C989" s="306" t="s">
        <v>8020</v>
      </c>
      <c r="D989" s="307">
        <v>62.93</v>
      </c>
      <c r="E989" s="305" t="s">
        <v>8076</v>
      </c>
    </row>
    <row r="990" spans="1:5" ht="18.149999999999999" customHeight="1">
      <c r="A990" s="304">
        <v>40319</v>
      </c>
      <c r="B990" s="309" t="s">
        <v>8965</v>
      </c>
      <c r="C990" s="306" t="s">
        <v>8020</v>
      </c>
      <c r="D990" s="307">
        <v>104.53</v>
      </c>
      <c r="E990" s="305" t="s">
        <v>8076</v>
      </c>
    </row>
    <row r="991" spans="1:5" ht="18.149999999999999" customHeight="1">
      <c r="A991" s="304">
        <v>40320</v>
      </c>
      <c r="B991" s="309" t="s">
        <v>8966</v>
      </c>
      <c r="C991" s="306" t="s">
        <v>8020</v>
      </c>
      <c r="D991" s="307">
        <v>113.87</v>
      </c>
      <c r="E991" s="305" t="s">
        <v>8076</v>
      </c>
    </row>
    <row r="992" spans="1:5" ht="18.149999999999999" customHeight="1">
      <c r="A992" s="304">
        <v>40322</v>
      </c>
      <c r="B992" s="309" t="s">
        <v>8967</v>
      </c>
      <c r="C992" s="306" t="s">
        <v>8020</v>
      </c>
      <c r="D992" s="307">
        <v>118.92</v>
      </c>
      <c r="E992" s="305" t="s">
        <v>8076</v>
      </c>
    </row>
    <row r="993" spans="1:5" ht="9" customHeight="1">
      <c r="A993" s="304">
        <v>40342</v>
      </c>
      <c r="B993" s="305" t="s">
        <v>8968</v>
      </c>
      <c r="C993" s="306" t="s">
        <v>8036</v>
      </c>
      <c r="D993" s="307">
        <v>37.65</v>
      </c>
      <c r="E993" s="308"/>
    </row>
    <row r="994" spans="1:5" ht="9" customHeight="1">
      <c r="A994" s="304">
        <v>40338</v>
      </c>
      <c r="B994" s="305" t="s">
        <v>8969</v>
      </c>
      <c r="C994" s="306" t="s">
        <v>8036</v>
      </c>
      <c r="D994" s="307">
        <v>27.2</v>
      </c>
      <c r="E994" s="308"/>
    </row>
    <row r="995" spans="1:5" ht="18.149999999999999" customHeight="1">
      <c r="A995" s="304">
        <v>40341</v>
      </c>
      <c r="B995" s="309" t="s">
        <v>8970</v>
      </c>
      <c r="C995" s="306" t="s">
        <v>8036</v>
      </c>
      <c r="D995" s="307">
        <v>7.4</v>
      </c>
      <c r="E995" s="310"/>
    </row>
    <row r="996" spans="1:5" ht="9" customHeight="1">
      <c r="A996" s="304">
        <v>40416</v>
      </c>
      <c r="B996" s="305" t="s">
        <v>8971</v>
      </c>
      <c r="C996" s="306" t="s">
        <v>8137</v>
      </c>
      <c r="D996" s="307">
        <v>299.18</v>
      </c>
      <c r="E996" s="308"/>
    </row>
    <row r="997" spans="1:5" ht="9" customHeight="1">
      <c r="A997" s="304">
        <v>40389</v>
      </c>
      <c r="B997" s="305" t="s">
        <v>8972</v>
      </c>
      <c r="C997" s="306" t="s">
        <v>8137</v>
      </c>
      <c r="D997" s="307">
        <v>69.72</v>
      </c>
      <c r="E997" s="308"/>
    </row>
    <row r="998" spans="1:5" ht="9" customHeight="1">
      <c r="A998" s="304">
        <v>40388</v>
      </c>
      <c r="B998" s="305" t="s">
        <v>8973</v>
      </c>
      <c r="C998" s="306" t="s">
        <v>8137</v>
      </c>
      <c r="D998" s="307">
        <v>263.92</v>
      </c>
      <c r="E998" s="308"/>
    </row>
    <row r="999" spans="1:5" ht="9" customHeight="1">
      <c r="A999" s="304">
        <v>41232</v>
      </c>
      <c r="B999" s="305" t="s">
        <v>8974</v>
      </c>
      <c r="C999" s="306" t="s">
        <v>8020</v>
      </c>
      <c r="D999" s="307">
        <v>12.1</v>
      </c>
      <c r="E999" s="308"/>
    </row>
    <row r="1000" spans="1:5" ht="9" customHeight="1">
      <c r="A1000" s="304">
        <v>40402</v>
      </c>
      <c r="B1000" s="305" t="s">
        <v>8975</v>
      </c>
      <c r="C1000" s="306" t="s">
        <v>8020</v>
      </c>
      <c r="D1000" s="307">
        <v>11.47</v>
      </c>
      <c r="E1000" s="308"/>
    </row>
    <row r="1001" spans="1:5" ht="9" customHeight="1">
      <c r="A1001" s="304">
        <v>41033</v>
      </c>
      <c r="B1001" s="305" t="s">
        <v>8976</v>
      </c>
      <c r="C1001" s="306" t="s">
        <v>8977</v>
      </c>
      <c r="D1001" s="307">
        <v>38.92</v>
      </c>
      <c r="E1001" s="308"/>
    </row>
    <row r="1002" spans="1:5" ht="9" customHeight="1">
      <c r="A1002" s="304">
        <v>41233</v>
      </c>
      <c r="B1002" s="305" t="s">
        <v>8978</v>
      </c>
      <c r="C1002" s="306" t="s">
        <v>8226</v>
      </c>
      <c r="D1002" s="307">
        <v>732.08</v>
      </c>
      <c r="E1002" s="308"/>
    </row>
    <row r="1003" spans="1:5" ht="9" customHeight="1">
      <c r="A1003" s="304">
        <v>40386</v>
      </c>
      <c r="B1003" s="305" t="s">
        <v>8979</v>
      </c>
      <c r="C1003" s="306" t="s">
        <v>8137</v>
      </c>
      <c r="D1003" s="307">
        <v>158.83000000000001</v>
      </c>
      <c r="E1003" s="305" t="s">
        <v>8076</v>
      </c>
    </row>
    <row r="1004" spans="1:5" ht="18.149999999999999" customHeight="1">
      <c r="A1004" s="304">
        <v>41199</v>
      </c>
      <c r="B1004" s="309" t="s">
        <v>8980</v>
      </c>
      <c r="C1004" s="306" t="s">
        <v>8137</v>
      </c>
      <c r="D1004" s="307">
        <v>57.49</v>
      </c>
      <c r="E1004" s="310"/>
    </row>
    <row r="1005" spans="1:5" ht="18.149999999999999" customHeight="1">
      <c r="A1005" s="304">
        <v>42529</v>
      </c>
      <c r="B1005" s="309" t="s">
        <v>8981</v>
      </c>
      <c r="C1005" s="306" t="s">
        <v>8137</v>
      </c>
      <c r="D1005" s="307">
        <v>934.73</v>
      </c>
      <c r="E1005" s="310"/>
    </row>
    <row r="1006" spans="1:5" ht="18.149999999999999" customHeight="1">
      <c r="A1006" s="304">
        <v>40384</v>
      </c>
      <c r="B1006" s="309" t="s">
        <v>8982</v>
      </c>
      <c r="C1006" s="306" t="s">
        <v>8137</v>
      </c>
      <c r="D1006" s="311">
        <v>1336.23</v>
      </c>
      <c r="E1006" s="310"/>
    </row>
    <row r="1007" spans="1:5" ht="18.149999999999999" customHeight="1">
      <c r="A1007" s="304">
        <v>40385</v>
      </c>
      <c r="B1007" s="309" t="s">
        <v>8983</v>
      </c>
      <c r="C1007" s="306" t="s">
        <v>8137</v>
      </c>
      <c r="D1007" s="311">
        <v>1375.95</v>
      </c>
      <c r="E1007" s="310"/>
    </row>
    <row r="1008" spans="1:5" ht="9" customHeight="1">
      <c r="A1008" s="304">
        <v>40393</v>
      </c>
      <c r="B1008" s="305" t="s">
        <v>8984</v>
      </c>
      <c r="C1008" s="306" t="s">
        <v>8137</v>
      </c>
      <c r="D1008" s="307">
        <v>20.54</v>
      </c>
      <c r="E1008" s="308"/>
    </row>
    <row r="1009" spans="1:6" ht="9" customHeight="1">
      <c r="A1009" s="304">
        <v>40394</v>
      </c>
      <c r="B1009" s="305" t="s">
        <v>8985</v>
      </c>
      <c r="C1009" s="306" t="s">
        <v>8137</v>
      </c>
      <c r="D1009" s="307">
        <v>23.72</v>
      </c>
      <c r="E1009" s="308"/>
    </row>
    <row r="1010" spans="1:6" ht="9" customHeight="1">
      <c r="A1010" s="304">
        <v>40390</v>
      </c>
      <c r="B1010" s="305" t="s">
        <v>8986</v>
      </c>
      <c r="C1010" s="306" t="s">
        <v>8020</v>
      </c>
      <c r="D1010" s="307">
        <v>3.74</v>
      </c>
      <c r="E1010" s="308"/>
    </row>
    <row r="1011" spans="1:6" ht="18.149999999999999" customHeight="1">
      <c r="A1011" s="304">
        <v>42256</v>
      </c>
      <c r="B1011" s="309" t="s">
        <v>8987</v>
      </c>
      <c r="C1011" s="306" t="s">
        <v>8020</v>
      </c>
      <c r="D1011" s="311">
        <v>3908.44</v>
      </c>
      <c r="E1011" s="305" t="s">
        <v>8076</v>
      </c>
    </row>
    <row r="1012" spans="1:6" ht="18.149999999999999" customHeight="1">
      <c r="A1012" s="304">
        <v>40400</v>
      </c>
      <c r="B1012" s="309" t="s">
        <v>8988</v>
      </c>
      <c r="C1012" s="306" t="s">
        <v>8226</v>
      </c>
      <c r="D1012" s="307">
        <v>13.92</v>
      </c>
      <c r="E1012" s="305" t="s">
        <v>8076</v>
      </c>
    </row>
    <row r="1013" spans="1:6" ht="9" customHeight="1">
      <c r="A1013" s="304">
        <v>41201</v>
      </c>
      <c r="B1013" s="305" t="s">
        <v>8989</v>
      </c>
      <c r="C1013" s="306" t="s">
        <v>8020</v>
      </c>
      <c r="D1013" s="307">
        <v>471.99</v>
      </c>
      <c r="E1013" s="308"/>
    </row>
    <row r="1014" spans="1:6" ht="9" customHeight="1">
      <c r="A1014" s="304">
        <v>41035</v>
      </c>
      <c r="B1014" s="305" t="s">
        <v>8990</v>
      </c>
      <c r="C1014" s="306" t="s">
        <v>8137</v>
      </c>
      <c r="D1014" s="307">
        <v>94.16</v>
      </c>
      <c r="E1014" s="308"/>
    </row>
    <row r="1015" spans="1:6" ht="18.149999999999999" customHeight="1">
      <c r="A1015" s="304">
        <v>41263</v>
      </c>
      <c r="B1015" s="309" t="s">
        <v>8991</v>
      </c>
      <c r="C1015" s="306" t="s">
        <v>8137</v>
      </c>
      <c r="D1015" s="307">
        <v>161.41999999999999</v>
      </c>
      <c r="E1015" s="310"/>
    </row>
    <row r="1016" spans="1:6" ht="18.149999999999999" customHeight="1">
      <c r="A1016" s="304">
        <v>41089</v>
      </c>
      <c r="B1016" s="309" t="s">
        <v>8992</v>
      </c>
      <c r="C1016" s="306" t="s">
        <v>8137</v>
      </c>
      <c r="D1016" s="307">
        <v>176.67</v>
      </c>
      <c r="E1016" s="310"/>
    </row>
    <row r="1017" spans="1:6" ht="18.149999999999999" customHeight="1">
      <c r="A1017" s="304">
        <v>41039</v>
      </c>
      <c r="B1017" s="309" t="s">
        <v>8993</v>
      </c>
      <c r="C1017" s="306" t="s">
        <v>8137</v>
      </c>
      <c r="D1017" s="307">
        <v>173.73</v>
      </c>
      <c r="E1017" s="310"/>
    </row>
    <row r="1018" spans="1:6" ht="9" customHeight="1">
      <c r="A1018" s="858" t="s">
        <v>8941</v>
      </c>
      <c r="B1018" s="858"/>
      <c r="C1018" s="858"/>
      <c r="D1018" s="858"/>
      <c r="E1018" s="858"/>
      <c r="F1018" s="858"/>
    </row>
    <row r="1019" spans="1:6" ht="9" customHeight="1">
      <c r="A1019" s="301" t="s">
        <v>8014</v>
      </c>
      <c r="B1019" s="302" t="s">
        <v>8015</v>
      </c>
      <c r="C1019" s="301" t="s">
        <v>8016</v>
      </c>
      <c r="D1019" s="303" t="s">
        <v>8017</v>
      </c>
      <c r="E1019" s="302" t="s">
        <v>8018</v>
      </c>
    </row>
    <row r="1020" spans="1:6" ht="9" customHeight="1">
      <c r="A1020" s="304">
        <v>41030</v>
      </c>
      <c r="B1020" s="305" t="s">
        <v>8994</v>
      </c>
      <c r="C1020" s="306" t="s">
        <v>8137</v>
      </c>
      <c r="D1020" s="307">
        <v>162.25</v>
      </c>
      <c r="E1020" s="308"/>
    </row>
    <row r="1021" spans="1:6" ht="9" customHeight="1">
      <c r="A1021" s="858" t="s">
        <v>8995</v>
      </c>
      <c r="B1021" s="858"/>
      <c r="C1021" s="858"/>
      <c r="D1021" s="858"/>
      <c r="E1021" s="858"/>
      <c r="F1021" s="858"/>
    </row>
    <row r="1022" spans="1:6" ht="9" customHeight="1">
      <c r="A1022" s="301" t="s">
        <v>8014</v>
      </c>
      <c r="B1022" s="302" t="s">
        <v>8015</v>
      </c>
      <c r="C1022" s="301" t="s">
        <v>8016</v>
      </c>
      <c r="D1022" s="303" t="s">
        <v>8017</v>
      </c>
      <c r="E1022" s="302" t="s">
        <v>8018</v>
      </c>
    </row>
    <row r="1023" spans="1:6" ht="9" customHeight="1">
      <c r="A1023" s="304">
        <v>42045</v>
      </c>
      <c r="B1023" s="305" t="s">
        <v>8996</v>
      </c>
      <c r="C1023" s="306" t="s">
        <v>8022</v>
      </c>
      <c r="D1023" s="307">
        <v>5.77</v>
      </c>
      <c r="E1023" s="308"/>
    </row>
    <row r="1024" spans="1:6" ht="9" customHeight="1">
      <c r="A1024" s="304">
        <v>42043</v>
      </c>
      <c r="B1024" s="305" t="s">
        <v>8997</v>
      </c>
      <c r="C1024" s="306" t="s">
        <v>8715</v>
      </c>
      <c r="D1024" s="307">
        <v>0</v>
      </c>
      <c r="E1024" s="308"/>
    </row>
    <row r="1025" spans="1:6" ht="9" customHeight="1">
      <c r="A1025" s="858" t="s">
        <v>8998</v>
      </c>
      <c r="B1025" s="858"/>
      <c r="C1025" s="858"/>
      <c r="D1025" s="858"/>
      <c r="E1025" s="858"/>
      <c r="F1025" s="858"/>
    </row>
    <row r="1026" spans="1:6" ht="9" customHeight="1">
      <c r="A1026" s="301" t="s">
        <v>8014</v>
      </c>
      <c r="B1026" s="302" t="s">
        <v>8015</v>
      </c>
      <c r="C1026" s="301" t="s">
        <v>8016</v>
      </c>
      <c r="D1026" s="303" t="s">
        <v>8017</v>
      </c>
      <c r="E1026" s="302" t="s">
        <v>8018</v>
      </c>
    </row>
    <row r="1027" spans="1:6" ht="9" customHeight="1">
      <c r="A1027" s="304">
        <v>42512</v>
      </c>
      <c r="B1027" s="305" t="s">
        <v>8999</v>
      </c>
      <c r="C1027" s="306" t="s">
        <v>8022</v>
      </c>
      <c r="D1027" s="307">
        <v>3.7</v>
      </c>
      <c r="E1027" s="308"/>
    </row>
    <row r="1028" spans="1:6" ht="9" customHeight="1">
      <c r="A1028" s="304">
        <v>42513</v>
      </c>
      <c r="B1028" s="305" t="s">
        <v>9000</v>
      </c>
      <c r="C1028" s="306" t="s">
        <v>8022</v>
      </c>
      <c r="D1028" s="307">
        <v>4.8</v>
      </c>
      <c r="E1028" s="308"/>
    </row>
    <row r="1029" spans="1:6" ht="9" customHeight="1">
      <c r="A1029" s="304">
        <v>42514</v>
      </c>
      <c r="B1029" s="305" t="s">
        <v>9001</v>
      </c>
      <c r="C1029" s="306" t="s">
        <v>8022</v>
      </c>
      <c r="D1029" s="307">
        <v>7.72</v>
      </c>
      <c r="E1029" s="308"/>
    </row>
    <row r="1030" spans="1:6" ht="9" customHeight="1">
      <c r="A1030" s="304">
        <v>43349</v>
      </c>
      <c r="B1030" s="305" t="s">
        <v>9002</v>
      </c>
      <c r="C1030" s="306" t="s">
        <v>8022</v>
      </c>
      <c r="D1030" s="307">
        <v>7.29</v>
      </c>
      <c r="E1030" s="308"/>
    </row>
    <row r="1031" spans="1:6" ht="9" customHeight="1">
      <c r="A1031" s="304">
        <v>42515</v>
      </c>
      <c r="B1031" s="305" t="s">
        <v>9003</v>
      </c>
      <c r="C1031" s="306" t="s">
        <v>8022</v>
      </c>
      <c r="D1031" s="307">
        <v>5.62</v>
      </c>
      <c r="E1031" s="308"/>
    </row>
    <row r="1032" spans="1:6" ht="9" customHeight="1">
      <c r="A1032" s="304">
        <v>42523</v>
      </c>
      <c r="B1032" s="305" t="s">
        <v>9004</v>
      </c>
      <c r="C1032" s="306" t="s">
        <v>8022</v>
      </c>
      <c r="D1032" s="307">
        <v>8.89</v>
      </c>
      <c r="E1032" s="308"/>
    </row>
    <row r="1033" spans="1:6" ht="18.149999999999999" customHeight="1">
      <c r="A1033" s="304">
        <v>42525</v>
      </c>
      <c r="B1033" s="309" t="s">
        <v>9005</v>
      </c>
      <c r="C1033" s="306" t="s">
        <v>8022</v>
      </c>
      <c r="D1033" s="307">
        <v>74.069999999999993</v>
      </c>
      <c r="E1033" s="310"/>
    </row>
    <row r="1034" spans="1:6" ht="9" customHeight="1">
      <c r="A1034" s="304">
        <v>42576</v>
      </c>
      <c r="B1034" s="305" t="s">
        <v>9006</v>
      </c>
      <c r="C1034" s="306" t="s">
        <v>8022</v>
      </c>
      <c r="D1034" s="307">
        <v>126.62</v>
      </c>
      <c r="E1034" s="308"/>
    </row>
    <row r="1035" spans="1:6" ht="9" customHeight="1">
      <c r="A1035" s="304">
        <v>42577</v>
      </c>
      <c r="B1035" s="305" t="s">
        <v>9007</v>
      </c>
      <c r="C1035" s="306" t="s">
        <v>8022</v>
      </c>
      <c r="D1035" s="307">
        <v>9.4700000000000006</v>
      </c>
      <c r="E1035" s="308"/>
    </row>
    <row r="1036" spans="1:6" ht="9" customHeight="1">
      <c r="A1036" s="304">
        <v>42578</v>
      </c>
      <c r="B1036" s="305" t="s">
        <v>9008</v>
      </c>
      <c r="C1036" s="306" t="s">
        <v>8022</v>
      </c>
      <c r="D1036" s="307">
        <v>3.73</v>
      </c>
      <c r="E1036" s="308"/>
    </row>
    <row r="1037" spans="1:6" ht="9" customHeight="1">
      <c r="A1037" s="304">
        <v>42580</v>
      </c>
      <c r="B1037" s="305" t="s">
        <v>9009</v>
      </c>
      <c r="C1037" s="306" t="s">
        <v>8022</v>
      </c>
      <c r="D1037" s="307">
        <v>5.49</v>
      </c>
      <c r="E1037" s="308"/>
    </row>
    <row r="1038" spans="1:6" ht="9" customHeight="1">
      <c r="A1038" s="304">
        <v>42582</v>
      </c>
      <c r="B1038" s="305" t="s">
        <v>9010</v>
      </c>
      <c r="C1038" s="306" t="s">
        <v>8022</v>
      </c>
      <c r="D1038" s="307">
        <v>56.93</v>
      </c>
      <c r="E1038" s="308"/>
    </row>
    <row r="1039" spans="1:6" ht="9" customHeight="1">
      <c r="A1039" s="304">
        <v>42586</v>
      </c>
      <c r="B1039" s="305" t="s">
        <v>9011</v>
      </c>
      <c r="C1039" s="306" t="s">
        <v>8022</v>
      </c>
      <c r="D1039" s="307">
        <v>64.819999999999993</v>
      </c>
      <c r="E1039" s="308"/>
    </row>
    <row r="1040" spans="1:6" ht="9" customHeight="1">
      <c r="A1040" s="304">
        <v>42587</v>
      </c>
      <c r="B1040" s="305" t="s">
        <v>9012</v>
      </c>
      <c r="C1040" s="306" t="s">
        <v>8020</v>
      </c>
      <c r="D1040" s="307">
        <v>0.89</v>
      </c>
      <c r="E1040" s="308"/>
    </row>
    <row r="1041" spans="1:6" ht="18.149999999999999" customHeight="1">
      <c r="A1041" s="304">
        <v>42590</v>
      </c>
      <c r="B1041" s="309" t="s">
        <v>9013</v>
      </c>
      <c r="C1041" s="306" t="s">
        <v>8020</v>
      </c>
      <c r="D1041" s="307">
        <v>9.6999999999999993</v>
      </c>
      <c r="E1041" s="310"/>
    </row>
    <row r="1042" spans="1:6" ht="9" customHeight="1">
      <c r="A1042" s="304">
        <v>42591</v>
      </c>
      <c r="B1042" s="305" t="s">
        <v>9014</v>
      </c>
      <c r="C1042" s="306" t="s">
        <v>8020</v>
      </c>
      <c r="D1042" s="307">
        <v>44.68</v>
      </c>
      <c r="E1042" s="308"/>
    </row>
    <row r="1043" spans="1:6" ht="9" customHeight="1">
      <c r="A1043" s="304">
        <v>42592</v>
      </c>
      <c r="B1043" s="305" t="s">
        <v>9015</v>
      </c>
      <c r="C1043" s="306" t="s">
        <v>8020</v>
      </c>
      <c r="D1043" s="307">
        <v>15.02</v>
      </c>
      <c r="E1043" s="305" t="s">
        <v>8076</v>
      </c>
    </row>
    <row r="1044" spans="1:6" ht="18.149999999999999" customHeight="1">
      <c r="A1044" s="304">
        <v>42593</v>
      </c>
      <c r="B1044" s="309" t="s">
        <v>9016</v>
      </c>
      <c r="C1044" s="306" t="s">
        <v>8022</v>
      </c>
      <c r="D1044" s="307">
        <v>29.98</v>
      </c>
      <c r="E1044" s="310"/>
    </row>
    <row r="1045" spans="1:6" ht="18.149999999999999" customHeight="1">
      <c r="A1045" s="304">
        <v>42596</v>
      </c>
      <c r="B1045" s="309" t="s">
        <v>9017</v>
      </c>
      <c r="C1045" s="306" t="s">
        <v>8022</v>
      </c>
      <c r="D1045" s="307">
        <v>5.82</v>
      </c>
      <c r="E1045" s="310"/>
    </row>
    <row r="1046" spans="1:6" ht="9" customHeight="1">
      <c r="A1046" s="858" t="s">
        <v>9018</v>
      </c>
      <c r="B1046" s="858"/>
      <c r="C1046" s="858"/>
      <c r="D1046" s="858"/>
      <c r="E1046" s="858"/>
      <c r="F1046" s="858"/>
    </row>
    <row r="1047" spans="1:6" ht="9" customHeight="1">
      <c r="A1047" s="301" t="s">
        <v>8014</v>
      </c>
      <c r="B1047" s="302" t="s">
        <v>8015</v>
      </c>
      <c r="C1047" s="301" t="s">
        <v>8016</v>
      </c>
      <c r="D1047" s="303" t="s">
        <v>8017</v>
      </c>
      <c r="E1047" s="302" t="s">
        <v>8018</v>
      </c>
    </row>
    <row r="1048" spans="1:6" ht="9" customHeight="1">
      <c r="A1048" s="304">
        <v>42483</v>
      </c>
      <c r="B1048" s="305" t="s">
        <v>9019</v>
      </c>
      <c r="C1048" s="306" t="s">
        <v>8022</v>
      </c>
      <c r="D1048" s="307">
        <v>102.67</v>
      </c>
      <c r="E1048" s="308"/>
    </row>
    <row r="1049" spans="1:6" ht="9" customHeight="1">
      <c r="A1049" s="304">
        <v>42695</v>
      </c>
      <c r="B1049" s="305" t="s">
        <v>9020</v>
      </c>
      <c r="C1049" s="306" t="s">
        <v>8022</v>
      </c>
      <c r="D1049" s="307">
        <v>121.46</v>
      </c>
      <c r="E1049" s="308"/>
    </row>
    <row r="1050" spans="1:6" ht="18.149999999999999" customHeight="1">
      <c r="A1050" s="304">
        <v>42481</v>
      </c>
      <c r="B1050" s="309" t="s">
        <v>9021</v>
      </c>
      <c r="C1050" s="306" t="s">
        <v>8022</v>
      </c>
      <c r="D1050" s="307">
        <v>73.290000000000006</v>
      </c>
      <c r="E1050" s="310"/>
    </row>
    <row r="1051" spans="1:6" ht="9" customHeight="1">
      <c r="A1051" s="304">
        <v>42496</v>
      </c>
      <c r="B1051" s="305" t="s">
        <v>9022</v>
      </c>
      <c r="C1051" s="306" t="s">
        <v>8020</v>
      </c>
      <c r="D1051" s="307">
        <v>3.83</v>
      </c>
      <c r="E1051" s="308"/>
    </row>
    <row r="1052" spans="1:6" ht="18.149999999999999" customHeight="1">
      <c r="A1052" s="304">
        <v>41133</v>
      </c>
      <c r="B1052" s="309" t="s">
        <v>9023</v>
      </c>
      <c r="C1052" s="306" t="s">
        <v>8020</v>
      </c>
      <c r="D1052" s="307">
        <v>12.35</v>
      </c>
      <c r="E1052" s="310"/>
    </row>
    <row r="1053" spans="1:6" ht="18.149999999999999" customHeight="1">
      <c r="A1053" s="304">
        <v>42479</v>
      </c>
      <c r="B1053" s="309" t="s">
        <v>9024</v>
      </c>
      <c r="C1053" s="306" t="s">
        <v>8020</v>
      </c>
      <c r="D1053" s="307">
        <v>8.6199999999999992</v>
      </c>
      <c r="E1053" s="310"/>
    </row>
    <row r="1054" spans="1:6" ht="18.149999999999999" customHeight="1">
      <c r="A1054" s="304">
        <v>43333</v>
      </c>
      <c r="B1054" s="309" t="s">
        <v>9025</v>
      </c>
      <c r="C1054" s="306" t="s">
        <v>8020</v>
      </c>
      <c r="D1054" s="307">
        <v>1.1499999999999999</v>
      </c>
      <c r="E1054" s="310"/>
    </row>
    <row r="1055" spans="1:6" ht="18.149999999999999" customHeight="1">
      <c r="A1055" s="304">
        <v>42484</v>
      </c>
      <c r="B1055" s="309" t="s">
        <v>9026</v>
      </c>
      <c r="C1055" s="306" t="s">
        <v>8020</v>
      </c>
      <c r="D1055" s="307">
        <v>6.71</v>
      </c>
      <c r="E1055" s="305" t="s">
        <v>8076</v>
      </c>
    </row>
    <row r="1056" spans="1:6" ht="18.149999999999999" customHeight="1">
      <c r="A1056" s="304">
        <v>42497</v>
      </c>
      <c r="B1056" s="309" t="s">
        <v>9027</v>
      </c>
      <c r="C1056" s="306" t="s">
        <v>8020</v>
      </c>
      <c r="D1056" s="307">
        <v>13.36</v>
      </c>
      <c r="E1056" s="305" t="s">
        <v>8076</v>
      </c>
    </row>
    <row r="1057" spans="1:6" ht="18.149999999999999" customHeight="1">
      <c r="A1057" s="304">
        <v>42493</v>
      </c>
      <c r="B1057" s="309" t="s">
        <v>9028</v>
      </c>
      <c r="C1057" s="306" t="s">
        <v>8020</v>
      </c>
      <c r="D1057" s="307">
        <v>76.45</v>
      </c>
      <c r="E1057" s="305" t="s">
        <v>8076</v>
      </c>
    </row>
    <row r="1058" spans="1:6" ht="18.149999999999999" customHeight="1">
      <c r="A1058" s="304">
        <v>42494</v>
      </c>
      <c r="B1058" s="309" t="s">
        <v>9029</v>
      </c>
      <c r="C1058" s="306" t="s">
        <v>8102</v>
      </c>
      <c r="D1058" s="307">
        <v>406.22</v>
      </c>
      <c r="E1058" s="305" t="s">
        <v>8076</v>
      </c>
    </row>
    <row r="1059" spans="1:6" ht="18.149999999999999" customHeight="1">
      <c r="A1059" s="304">
        <v>42498</v>
      </c>
      <c r="B1059" s="309" t="s">
        <v>9030</v>
      </c>
      <c r="C1059" s="306" t="s">
        <v>8020</v>
      </c>
      <c r="D1059" s="307">
        <v>78.760000000000005</v>
      </c>
      <c r="E1059" s="305" t="s">
        <v>8076</v>
      </c>
    </row>
    <row r="1060" spans="1:6" ht="18.149999999999999" customHeight="1">
      <c r="A1060" s="304">
        <v>42499</v>
      </c>
      <c r="B1060" s="309" t="s">
        <v>9031</v>
      </c>
      <c r="C1060" s="306" t="s">
        <v>8020</v>
      </c>
      <c r="D1060" s="307">
        <v>93.38</v>
      </c>
      <c r="E1060" s="305" t="s">
        <v>8076</v>
      </c>
    </row>
    <row r="1061" spans="1:6" ht="18.149999999999999" customHeight="1">
      <c r="A1061" s="304">
        <v>42500</v>
      </c>
      <c r="B1061" s="309" t="s">
        <v>9032</v>
      </c>
      <c r="C1061" s="306" t="s">
        <v>8020</v>
      </c>
      <c r="D1061" s="307">
        <v>94.11</v>
      </c>
      <c r="E1061" s="305" t="s">
        <v>8076</v>
      </c>
    </row>
    <row r="1062" spans="1:6" ht="18.149999999999999" customHeight="1">
      <c r="A1062" s="304">
        <v>42501</v>
      </c>
      <c r="B1062" s="309" t="s">
        <v>9033</v>
      </c>
      <c r="C1062" s="306" t="s">
        <v>8020</v>
      </c>
      <c r="D1062" s="307">
        <v>107.34</v>
      </c>
      <c r="E1062" s="305" t="s">
        <v>8076</v>
      </c>
    </row>
    <row r="1063" spans="1:6" ht="18.149999999999999" customHeight="1">
      <c r="A1063" s="304">
        <v>42502</v>
      </c>
      <c r="B1063" s="309" t="s">
        <v>9034</v>
      </c>
      <c r="C1063" s="306" t="s">
        <v>8020</v>
      </c>
      <c r="D1063" s="307">
        <v>105.28</v>
      </c>
      <c r="E1063" s="305" t="s">
        <v>8076</v>
      </c>
    </row>
    <row r="1064" spans="1:6" ht="9" customHeight="1">
      <c r="A1064" s="858" t="s">
        <v>9018</v>
      </c>
      <c r="B1064" s="858"/>
      <c r="C1064" s="858"/>
      <c r="D1064" s="858"/>
      <c r="E1064" s="858"/>
      <c r="F1064" s="858"/>
    </row>
    <row r="1065" spans="1:6" ht="9" customHeight="1">
      <c r="A1065" s="301" t="s">
        <v>8014</v>
      </c>
      <c r="B1065" s="302" t="s">
        <v>8015</v>
      </c>
      <c r="C1065" s="301" t="s">
        <v>8016</v>
      </c>
      <c r="D1065" s="303" t="s">
        <v>8017</v>
      </c>
      <c r="E1065" s="302" t="s">
        <v>8018</v>
      </c>
    </row>
    <row r="1066" spans="1:6" ht="18.149999999999999" customHeight="1">
      <c r="A1066" s="304">
        <v>42503</v>
      </c>
      <c r="B1066" s="309" t="s">
        <v>9035</v>
      </c>
      <c r="C1066" s="306" t="s">
        <v>8020</v>
      </c>
      <c r="D1066" s="307">
        <v>107.03</v>
      </c>
      <c r="E1066" s="305" t="s">
        <v>8076</v>
      </c>
    </row>
    <row r="1067" spans="1:6" ht="18.149999999999999" customHeight="1">
      <c r="A1067" s="304">
        <v>43334</v>
      </c>
      <c r="B1067" s="309" t="s">
        <v>9036</v>
      </c>
      <c r="C1067" s="306" t="s">
        <v>8020</v>
      </c>
      <c r="D1067" s="307">
        <v>0.95</v>
      </c>
      <c r="E1067" s="310"/>
    </row>
    <row r="1068" spans="1:6" ht="18.149999999999999" customHeight="1">
      <c r="A1068" s="304">
        <v>42485</v>
      </c>
      <c r="B1068" s="309" t="s">
        <v>9037</v>
      </c>
      <c r="C1068" s="306" t="s">
        <v>8020</v>
      </c>
      <c r="D1068" s="307">
        <v>2.19</v>
      </c>
      <c r="E1068" s="305" t="s">
        <v>8076</v>
      </c>
    </row>
    <row r="1069" spans="1:6" ht="9" customHeight="1">
      <c r="A1069" s="304">
        <v>42495</v>
      </c>
      <c r="B1069" s="305" t="s">
        <v>9038</v>
      </c>
      <c r="C1069" s="306" t="s">
        <v>8020</v>
      </c>
      <c r="D1069" s="307">
        <v>1.19</v>
      </c>
      <c r="E1069" s="308"/>
    </row>
    <row r="1070" spans="1:6" ht="9" customHeight="1">
      <c r="A1070" s="304">
        <v>42507</v>
      </c>
      <c r="B1070" s="305" t="s">
        <v>9039</v>
      </c>
      <c r="C1070" s="306" t="s">
        <v>8137</v>
      </c>
      <c r="D1070" s="307">
        <v>24.15</v>
      </c>
      <c r="E1070" s="308"/>
    </row>
    <row r="1071" spans="1:6" ht="9" customHeight="1">
      <c r="A1071" s="304">
        <v>42505</v>
      </c>
      <c r="B1071" s="305" t="s">
        <v>9040</v>
      </c>
      <c r="C1071" s="306" t="s">
        <v>8020</v>
      </c>
      <c r="D1071" s="307">
        <v>19.57</v>
      </c>
      <c r="E1071" s="308"/>
    </row>
    <row r="1072" spans="1:6" ht="9" customHeight="1">
      <c r="A1072" s="304">
        <v>42504</v>
      </c>
      <c r="B1072" s="305" t="s">
        <v>9041</v>
      </c>
      <c r="C1072" s="306" t="s">
        <v>8020</v>
      </c>
      <c r="D1072" s="307">
        <v>46.34</v>
      </c>
      <c r="E1072" s="305" t="s">
        <v>8076</v>
      </c>
    </row>
    <row r="1073" spans="1:6" ht="9" customHeight="1">
      <c r="A1073" s="304">
        <v>42506</v>
      </c>
      <c r="B1073" s="305" t="s">
        <v>9042</v>
      </c>
      <c r="C1073" s="306" t="s">
        <v>8020</v>
      </c>
      <c r="D1073" s="307">
        <v>47.67</v>
      </c>
      <c r="E1073" s="305" t="s">
        <v>8076</v>
      </c>
    </row>
    <row r="1074" spans="1:6" ht="9" customHeight="1">
      <c r="A1074" s="304">
        <v>42482</v>
      </c>
      <c r="B1074" s="305" t="s">
        <v>9043</v>
      </c>
      <c r="C1074" s="306" t="s">
        <v>8022</v>
      </c>
      <c r="D1074" s="307">
        <v>96.98</v>
      </c>
      <c r="E1074" s="305" t="s">
        <v>8076</v>
      </c>
    </row>
    <row r="1075" spans="1:6" ht="9" customHeight="1">
      <c r="A1075" s="304">
        <v>42702</v>
      </c>
      <c r="B1075" s="305" t="s">
        <v>9044</v>
      </c>
      <c r="C1075" s="306" t="s">
        <v>8022</v>
      </c>
      <c r="D1075" s="307">
        <v>121.46</v>
      </c>
      <c r="E1075" s="308"/>
    </row>
    <row r="1076" spans="1:6" ht="18.149999999999999" customHeight="1">
      <c r="A1076" s="304">
        <v>42480</v>
      </c>
      <c r="B1076" s="309" t="s">
        <v>9045</v>
      </c>
      <c r="C1076" s="306" t="s">
        <v>8022</v>
      </c>
      <c r="D1076" s="307">
        <v>73.290000000000006</v>
      </c>
      <c r="E1076" s="305" t="s">
        <v>8076</v>
      </c>
    </row>
    <row r="1077" spans="1:6" ht="18.149999999999999" customHeight="1">
      <c r="A1077" s="304">
        <v>42489</v>
      </c>
      <c r="B1077" s="309" t="s">
        <v>9046</v>
      </c>
      <c r="C1077" s="306" t="s">
        <v>8020</v>
      </c>
      <c r="D1077" s="307">
        <v>12.54</v>
      </c>
      <c r="E1077" s="305" t="s">
        <v>8076</v>
      </c>
    </row>
    <row r="1078" spans="1:6" ht="18.149999999999999" customHeight="1">
      <c r="A1078" s="304">
        <v>42487</v>
      </c>
      <c r="B1078" s="309" t="s">
        <v>9047</v>
      </c>
      <c r="C1078" s="306" t="s">
        <v>8020</v>
      </c>
      <c r="D1078" s="307">
        <v>19.88</v>
      </c>
      <c r="E1078" s="305" t="s">
        <v>8076</v>
      </c>
    </row>
    <row r="1079" spans="1:6" ht="18.149999999999999" customHeight="1">
      <c r="A1079" s="304">
        <v>42847</v>
      </c>
      <c r="B1079" s="309" t="s">
        <v>9048</v>
      </c>
      <c r="C1079" s="306" t="s">
        <v>8020</v>
      </c>
      <c r="D1079" s="307">
        <v>21.12</v>
      </c>
      <c r="E1079" s="305" t="s">
        <v>8076</v>
      </c>
    </row>
    <row r="1080" spans="1:6" ht="18.149999999999999" customHeight="1">
      <c r="A1080" s="304">
        <v>42486</v>
      </c>
      <c r="B1080" s="309" t="s">
        <v>9049</v>
      </c>
      <c r="C1080" s="306" t="s">
        <v>8020</v>
      </c>
      <c r="D1080" s="307">
        <v>12.1</v>
      </c>
      <c r="E1080" s="305" t="s">
        <v>8076</v>
      </c>
    </row>
    <row r="1081" spans="1:6" ht="18.149999999999999" customHeight="1">
      <c r="A1081" s="304">
        <v>42488</v>
      </c>
      <c r="B1081" s="309" t="s">
        <v>9050</v>
      </c>
      <c r="C1081" s="306" t="s">
        <v>8020</v>
      </c>
      <c r="D1081" s="307">
        <v>8.84</v>
      </c>
      <c r="E1081" s="305" t="s">
        <v>8076</v>
      </c>
    </row>
    <row r="1082" spans="1:6" ht="9" customHeight="1">
      <c r="A1082" s="858" t="s">
        <v>9051</v>
      </c>
      <c r="B1082" s="858"/>
      <c r="C1082" s="858"/>
      <c r="D1082" s="858"/>
      <c r="E1082" s="858"/>
      <c r="F1082" s="858"/>
    </row>
    <row r="1083" spans="1:6" ht="9" customHeight="1">
      <c r="A1083" s="301" t="s">
        <v>8014</v>
      </c>
      <c r="B1083" s="302" t="s">
        <v>8015</v>
      </c>
      <c r="C1083" s="301" t="s">
        <v>8016</v>
      </c>
      <c r="D1083" s="303" t="s">
        <v>8017</v>
      </c>
      <c r="E1083" s="302" t="s">
        <v>8018</v>
      </c>
    </row>
    <row r="1084" spans="1:6" ht="18.149999999999999" customHeight="1">
      <c r="A1084" s="304">
        <v>42601</v>
      </c>
      <c r="B1084" s="309" t="s">
        <v>9052</v>
      </c>
      <c r="C1084" s="306" t="s">
        <v>8020</v>
      </c>
      <c r="D1084" s="307">
        <v>51.03</v>
      </c>
      <c r="E1084" s="305" t="s">
        <v>8076</v>
      </c>
    </row>
    <row r="1085" spans="1:6" ht="9" customHeight="1">
      <c r="A1085" s="304">
        <v>43602</v>
      </c>
      <c r="B1085" s="305" t="s">
        <v>9053</v>
      </c>
      <c r="C1085" s="306" t="s">
        <v>8020</v>
      </c>
      <c r="D1085" s="307">
        <v>77.86</v>
      </c>
      <c r="E1085" s="305" t="s">
        <v>8076</v>
      </c>
    </row>
    <row r="1086" spans="1:6" ht="18.149999999999999" customHeight="1">
      <c r="A1086" s="304">
        <v>42602</v>
      </c>
      <c r="B1086" s="309" t="s">
        <v>9054</v>
      </c>
      <c r="C1086" s="306" t="s">
        <v>8020</v>
      </c>
      <c r="D1086" s="307">
        <v>85.38</v>
      </c>
      <c r="E1086" s="305" t="s">
        <v>8076</v>
      </c>
    </row>
    <row r="1087" spans="1:6" ht="18.149999999999999" customHeight="1">
      <c r="A1087" s="304">
        <v>42603</v>
      </c>
      <c r="B1087" s="309" t="s">
        <v>9055</v>
      </c>
      <c r="C1087" s="306" t="s">
        <v>8020</v>
      </c>
      <c r="D1087" s="307">
        <v>65.77</v>
      </c>
      <c r="E1087" s="305" t="s">
        <v>8076</v>
      </c>
    </row>
    <row r="1088" spans="1:6" ht="9" customHeight="1">
      <c r="A1088" s="304">
        <v>42604</v>
      </c>
      <c r="B1088" s="305" t="s">
        <v>9056</v>
      </c>
      <c r="C1088" s="306" t="s">
        <v>8022</v>
      </c>
      <c r="D1088" s="307">
        <v>249.79</v>
      </c>
      <c r="E1088" s="305" t="s">
        <v>8076</v>
      </c>
    </row>
    <row r="1089" spans="1:5" ht="18.149999999999999" customHeight="1">
      <c r="A1089" s="304">
        <v>42605</v>
      </c>
      <c r="B1089" s="309" t="s">
        <v>9057</v>
      </c>
      <c r="C1089" s="306" t="s">
        <v>8022</v>
      </c>
      <c r="D1089" s="307">
        <v>350.29</v>
      </c>
      <c r="E1089" s="305" t="s">
        <v>8076</v>
      </c>
    </row>
    <row r="1090" spans="1:5" ht="18.149999999999999" customHeight="1">
      <c r="A1090" s="304">
        <v>42606</v>
      </c>
      <c r="B1090" s="309" t="s">
        <v>9058</v>
      </c>
      <c r="C1090" s="306" t="s">
        <v>8022</v>
      </c>
      <c r="D1090" s="307">
        <v>28.15</v>
      </c>
      <c r="E1090" s="310"/>
    </row>
    <row r="1091" spans="1:5" ht="9" customHeight="1">
      <c r="A1091" s="304">
        <v>42607</v>
      </c>
      <c r="B1091" s="305" t="s">
        <v>9059</v>
      </c>
      <c r="C1091" s="306" t="s">
        <v>8020</v>
      </c>
      <c r="D1091" s="307">
        <v>105.4</v>
      </c>
      <c r="E1091" s="308"/>
    </row>
    <row r="1092" spans="1:5" ht="9" customHeight="1">
      <c r="A1092" s="304">
        <v>42608</v>
      </c>
      <c r="B1092" s="305" t="s">
        <v>9060</v>
      </c>
      <c r="C1092" s="306" t="s">
        <v>8020</v>
      </c>
      <c r="D1092" s="307">
        <v>24.21</v>
      </c>
      <c r="E1092" s="308"/>
    </row>
    <row r="1093" spans="1:5" ht="9" customHeight="1">
      <c r="A1093" s="304">
        <v>42609</v>
      </c>
      <c r="B1093" s="305" t="s">
        <v>9061</v>
      </c>
      <c r="C1093" s="306" t="s">
        <v>8022</v>
      </c>
      <c r="D1093" s="307">
        <v>51.73</v>
      </c>
      <c r="E1093" s="308"/>
    </row>
    <row r="1094" spans="1:5" ht="9" customHeight="1">
      <c r="A1094" s="304">
        <v>42611</v>
      </c>
      <c r="B1094" s="305" t="s">
        <v>9062</v>
      </c>
      <c r="C1094" s="306" t="s">
        <v>8022</v>
      </c>
      <c r="D1094" s="307">
        <v>465.31</v>
      </c>
      <c r="E1094" s="305" t="s">
        <v>8076</v>
      </c>
    </row>
    <row r="1095" spans="1:5" ht="9" customHeight="1">
      <c r="A1095" s="304">
        <v>42612</v>
      </c>
      <c r="B1095" s="305" t="s">
        <v>9063</v>
      </c>
      <c r="C1095" s="306" t="s">
        <v>8022</v>
      </c>
      <c r="D1095" s="307">
        <v>793.76</v>
      </c>
      <c r="E1095" s="305" t="s">
        <v>8076</v>
      </c>
    </row>
    <row r="1096" spans="1:5" ht="9" customHeight="1">
      <c r="A1096" s="304">
        <v>42613</v>
      </c>
      <c r="B1096" s="305" t="s">
        <v>9064</v>
      </c>
      <c r="C1096" s="306" t="s">
        <v>8022</v>
      </c>
      <c r="D1096" s="307">
        <v>480.07</v>
      </c>
      <c r="E1096" s="305" t="s">
        <v>8076</v>
      </c>
    </row>
    <row r="1097" spans="1:5" ht="9" customHeight="1">
      <c r="A1097" s="304">
        <v>42615</v>
      </c>
      <c r="B1097" s="305" t="s">
        <v>9065</v>
      </c>
      <c r="C1097" s="306" t="s">
        <v>8137</v>
      </c>
      <c r="D1097" s="307">
        <v>244.41</v>
      </c>
      <c r="E1097" s="305" t="s">
        <v>8076</v>
      </c>
    </row>
    <row r="1098" spans="1:5" ht="9" customHeight="1">
      <c r="A1098" s="304">
        <v>41173</v>
      </c>
      <c r="B1098" s="305" t="s">
        <v>9066</v>
      </c>
      <c r="C1098" s="306" t="s">
        <v>8137</v>
      </c>
      <c r="D1098" s="307">
        <v>17.62</v>
      </c>
      <c r="E1098" s="305" t="s">
        <v>8076</v>
      </c>
    </row>
    <row r="1099" spans="1:5" ht="9" customHeight="1">
      <c r="A1099" s="304">
        <v>41174</v>
      </c>
      <c r="B1099" s="305" t="s">
        <v>9067</v>
      </c>
      <c r="C1099" s="306" t="s">
        <v>8137</v>
      </c>
      <c r="D1099" s="307">
        <v>18.78</v>
      </c>
      <c r="E1099" s="305" t="s">
        <v>8076</v>
      </c>
    </row>
    <row r="1100" spans="1:5" ht="9" customHeight="1">
      <c r="A1100" s="304">
        <v>41175</v>
      </c>
      <c r="B1100" s="305" t="s">
        <v>9068</v>
      </c>
      <c r="C1100" s="306" t="s">
        <v>8137</v>
      </c>
      <c r="D1100" s="307">
        <v>23.42</v>
      </c>
      <c r="E1100" s="305" t="s">
        <v>8076</v>
      </c>
    </row>
    <row r="1101" spans="1:5" ht="9" customHeight="1">
      <c r="A1101" s="304">
        <v>41176</v>
      </c>
      <c r="B1101" s="305" t="s">
        <v>9069</v>
      </c>
      <c r="C1101" s="306" t="s">
        <v>8137</v>
      </c>
      <c r="D1101" s="307">
        <v>35.020000000000003</v>
      </c>
      <c r="E1101" s="305" t="s">
        <v>8076</v>
      </c>
    </row>
    <row r="1102" spans="1:5" ht="9" customHeight="1">
      <c r="A1102" s="304">
        <v>42635</v>
      </c>
      <c r="B1102" s="305" t="s">
        <v>9070</v>
      </c>
      <c r="C1102" s="306" t="s">
        <v>8036</v>
      </c>
      <c r="D1102" s="311">
        <v>13077.85</v>
      </c>
      <c r="E1102" s="308"/>
    </row>
    <row r="1103" spans="1:5" ht="9" customHeight="1">
      <c r="A1103" s="304">
        <v>40628</v>
      </c>
      <c r="B1103" s="305" t="s">
        <v>9071</v>
      </c>
      <c r="C1103" s="306" t="s">
        <v>8036</v>
      </c>
      <c r="D1103" s="311">
        <v>26105.68</v>
      </c>
      <c r="E1103" s="308"/>
    </row>
    <row r="1104" spans="1:5" ht="9" customHeight="1">
      <c r="A1104" s="304">
        <v>40619</v>
      </c>
      <c r="B1104" s="305" t="s">
        <v>9072</v>
      </c>
      <c r="C1104" s="306" t="s">
        <v>8036</v>
      </c>
      <c r="D1104" s="311">
        <v>24275.91</v>
      </c>
      <c r="E1104" s="308"/>
    </row>
    <row r="1105" spans="1:6" ht="9" customHeight="1">
      <c r="A1105" s="304">
        <v>41087</v>
      </c>
      <c r="B1105" s="305" t="s">
        <v>9073</v>
      </c>
      <c r="C1105" s="306" t="s">
        <v>8036</v>
      </c>
      <c r="D1105" s="311">
        <v>1276.42</v>
      </c>
      <c r="E1105" s="308"/>
    </row>
    <row r="1106" spans="1:6" ht="18.149999999999999" customHeight="1">
      <c r="A1106" s="304">
        <v>42676</v>
      </c>
      <c r="B1106" s="309" t="s">
        <v>9074</v>
      </c>
      <c r="C1106" s="306" t="s">
        <v>8137</v>
      </c>
      <c r="D1106" s="311">
        <v>11829.69</v>
      </c>
      <c r="E1106" s="305" t="s">
        <v>8076</v>
      </c>
    </row>
    <row r="1107" spans="1:6" ht="18.149999999999999" customHeight="1">
      <c r="A1107" s="304">
        <v>42677</v>
      </c>
      <c r="B1107" s="309" t="s">
        <v>9075</v>
      </c>
      <c r="C1107" s="306" t="s">
        <v>8137</v>
      </c>
      <c r="D1107" s="311">
        <v>8232.9599999999991</v>
      </c>
      <c r="E1107" s="305" t="s">
        <v>8076</v>
      </c>
    </row>
    <row r="1108" spans="1:6" ht="9" customHeight="1">
      <c r="A1108" s="304">
        <v>42678</v>
      </c>
      <c r="B1108" s="305" t="s">
        <v>9076</v>
      </c>
      <c r="C1108" s="306" t="s">
        <v>8020</v>
      </c>
      <c r="D1108" s="307">
        <v>6.19</v>
      </c>
      <c r="E1108" s="308"/>
    </row>
    <row r="1109" spans="1:6" ht="18.149999999999999" customHeight="1">
      <c r="A1109" s="304">
        <v>41159</v>
      </c>
      <c r="B1109" s="309" t="s">
        <v>9077</v>
      </c>
      <c r="C1109" s="306" t="s">
        <v>8036</v>
      </c>
      <c r="D1109" s="311">
        <v>2946.19</v>
      </c>
      <c r="E1109" s="310"/>
    </row>
    <row r="1110" spans="1:6" ht="18.149999999999999" customHeight="1">
      <c r="A1110" s="304">
        <v>41144</v>
      </c>
      <c r="B1110" s="309" t="s">
        <v>9078</v>
      </c>
      <c r="C1110" s="306" t="s">
        <v>8036</v>
      </c>
      <c r="D1110" s="311">
        <v>2168.19</v>
      </c>
      <c r="E1110" s="310"/>
    </row>
    <row r="1111" spans="1:6" ht="9" customHeight="1">
      <c r="A1111" s="304">
        <v>41158</v>
      </c>
      <c r="B1111" s="305" t="s">
        <v>9079</v>
      </c>
      <c r="C1111" s="306" t="s">
        <v>8036</v>
      </c>
      <c r="D1111" s="311">
        <v>2527.56</v>
      </c>
      <c r="E1111" s="308"/>
    </row>
    <row r="1112" spans="1:6" ht="9" customHeight="1">
      <c r="A1112" s="304">
        <v>41160</v>
      </c>
      <c r="B1112" s="305" t="s">
        <v>9080</v>
      </c>
      <c r="C1112" s="306" t="s">
        <v>8036</v>
      </c>
      <c r="D1112" s="311">
        <v>3748.38</v>
      </c>
      <c r="E1112" s="308"/>
    </row>
    <row r="1113" spans="1:6" ht="9" customHeight="1">
      <c r="A1113" s="858" t="s">
        <v>9051</v>
      </c>
      <c r="B1113" s="858"/>
      <c r="C1113" s="858"/>
      <c r="D1113" s="858"/>
      <c r="E1113" s="858"/>
      <c r="F1113" s="858"/>
    </row>
    <row r="1114" spans="1:6" ht="9" customHeight="1">
      <c r="A1114" s="301" t="s">
        <v>8014</v>
      </c>
      <c r="B1114" s="302" t="s">
        <v>8015</v>
      </c>
      <c r="C1114" s="301" t="s">
        <v>8016</v>
      </c>
      <c r="D1114" s="303" t="s">
        <v>8017</v>
      </c>
      <c r="E1114" s="302" t="s">
        <v>8018</v>
      </c>
    </row>
    <row r="1115" spans="1:6" ht="18.149999999999999" customHeight="1">
      <c r="A1115" s="304">
        <v>41101</v>
      </c>
      <c r="B1115" s="309" t="s">
        <v>9081</v>
      </c>
      <c r="C1115" s="306" t="s">
        <v>8036</v>
      </c>
      <c r="D1115" s="311">
        <v>1821.21</v>
      </c>
      <c r="E1115" s="310"/>
    </row>
    <row r="1116" spans="1:6" ht="9" customHeight="1">
      <c r="A1116" s="304">
        <v>42679</v>
      </c>
      <c r="B1116" s="305" t="s">
        <v>9082</v>
      </c>
      <c r="C1116" s="306" t="s">
        <v>8036</v>
      </c>
      <c r="D1116" s="311">
        <v>4052.48</v>
      </c>
      <c r="E1116" s="308"/>
    </row>
    <row r="1117" spans="1:6" ht="9" customHeight="1">
      <c r="A1117" s="304">
        <v>42680</v>
      </c>
      <c r="B1117" s="305" t="s">
        <v>9083</v>
      </c>
      <c r="C1117" s="306" t="s">
        <v>8036</v>
      </c>
      <c r="D1117" s="311">
        <v>4375.55</v>
      </c>
      <c r="E1117" s="308"/>
    </row>
    <row r="1118" spans="1:6" ht="9" customHeight="1">
      <c r="A1118" s="304">
        <v>42681</v>
      </c>
      <c r="B1118" s="305" t="s">
        <v>9084</v>
      </c>
      <c r="C1118" s="306" t="s">
        <v>8036</v>
      </c>
      <c r="D1118" s="311">
        <v>5374.7</v>
      </c>
      <c r="E1118" s="308"/>
    </row>
    <row r="1119" spans="1:6" ht="9" customHeight="1">
      <c r="A1119" s="304">
        <v>42682</v>
      </c>
      <c r="B1119" s="305" t="s">
        <v>9085</v>
      </c>
      <c r="C1119" s="306" t="s">
        <v>8036</v>
      </c>
      <c r="D1119" s="311">
        <v>2054.16</v>
      </c>
      <c r="E1119" s="305" t="s">
        <v>8076</v>
      </c>
    </row>
    <row r="1120" spans="1:6" ht="9" customHeight="1">
      <c r="A1120" s="304">
        <v>41334</v>
      </c>
      <c r="B1120" s="305" t="s">
        <v>9086</v>
      </c>
      <c r="C1120" s="306" t="s">
        <v>8036</v>
      </c>
      <c r="D1120" s="311">
        <v>2587.5100000000002</v>
      </c>
      <c r="E1120" s="305" t="s">
        <v>8076</v>
      </c>
    </row>
    <row r="1121" spans="1:5" ht="9" customHeight="1">
      <c r="A1121" s="304">
        <v>42683</v>
      </c>
      <c r="B1121" s="305" t="s">
        <v>9087</v>
      </c>
      <c r="C1121" s="306" t="s">
        <v>8036</v>
      </c>
      <c r="D1121" s="311">
        <v>2036.29</v>
      </c>
      <c r="E1121" s="305" t="s">
        <v>8076</v>
      </c>
    </row>
    <row r="1122" spans="1:5" ht="9" customHeight="1">
      <c r="A1122" s="304">
        <v>42684</v>
      </c>
      <c r="B1122" s="305" t="s">
        <v>9088</v>
      </c>
      <c r="C1122" s="306" t="s">
        <v>8036</v>
      </c>
      <c r="D1122" s="311">
        <v>3161.49</v>
      </c>
      <c r="E1122" s="305" t="s">
        <v>8076</v>
      </c>
    </row>
    <row r="1123" spans="1:5" ht="9" customHeight="1">
      <c r="A1123" s="304">
        <v>42685</v>
      </c>
      <c r="B1123" s="305" t="s">
        <v>9089</v>
      </c>
      <c r="C1123" s="306" t="s">
        <v>8036</v>
      </c>
      <c r="D1123" s="311">
        <v>3927.87</v>
      </c>
      <c r="E1123" s="305" t="s">
        <v>8076</v>
      </c>
    </row>
    <row r="1124" spans="1:5" ht="9" customHeight="1">
      <c r="A1124" s="304">
        <v>42686</v>
      </c>
      <c r="B1124" s="305" t="s">
        <v>9090</v>
      </c>
      <c r="C1124" s="306" t="s">
        <v>8036</v>
      </c>
      <c r="D1124" s="311">
        <v>4664.99</v>
      </c>
      <c r="E1124" s="305" t="s">
        <v>8076</v>
      </c>
    </row>
    <row r="1125" spans="1:5" ht="18.149999999999999" customHeight="1">
      <c r="A1125" s="304">
        <v>41162</v>
      </c>
      <c r="B1125" s="309" t="s">
        <v>9091</v>
      </c>
      <c r="C1125" s="306" t="s">
        <v>8036</v>
      </c>
      <c r="D1125" s="311">
        <v>1913.54</v>
      </c>
      <c r="E1125" s="310"/>
    </row>
    <row r="1126" spans="1:5" ht="9" customHeight="1">
      <c r="A1126" s="304">
        <v>41163</v>
      </c>
      <c r="B1126" s="305" t="s">
        <v>9092</v>
      </c>
      <c r="C1126" s="306" t="s">
        <v>8036</v>
      </c>
      <c r="D1126" s="311">
        <v>2289.13</v>
      </c>
      <c r="E1126" s="308"/>
    </row>
    <row r="1127" spans="1:5" ht="9" customHeight="1">
      <c r="A1127" s="304">
        <v>41164</v>
      </c>
      <c r="B1127" s="305" t="s">
        <v>9093</v>
      </c>
      <c r="C1127" s="306" t="s">
        <v>8036</v>
      </c>
      <c r="D1127" s="311">
        <v>2787.23</v>
      </c>
      <c r="E1127" s="308"/>
    </row>
    <row r="1128" spans="1:5" ht="9" customHeight="1">
      <c r="A1128" s="304">
        <v>41165</v>
      </c>
      <c r="B1128" s="305" t="s">
        <v>9094</v>
      </c>
      <c r="C1128" s="306" t="s">
        <v>8036</v>
      </c>
      <c r="D1128" s="311">
        <v>3110.41</v>
      </c>
      <c r="E1128" s="308"/>
    </row>
    <row r="1129" spans="1:5" ht="9" customHeight="1">
      <c r="A1129" s="304">
        <v>41166</v>
      </c>
      <c r="B1129" s="305" t="s">
        <v>9095</v>
      </c>
      <c r="C1129" s="306" t="s">
        <v>8036</v>
      </c>
      <c r="D1129" s="311">
        <v>3810.02</v>
      </c>
      <c r="E1129" s="308"/>
    </row>
    <row r="1130" spans="1:5" ht="9" customHeight="1">
      <c r="A1130" s="304">
        <v>42687</v>
      </c>
      <c r="B1130" s="305" t="s">
        <v>9096</v>
      </c>
      <c r="C1130" s="306" t="s">
        <v>8036</v>
      </c>
      <c r="D1130" s="311">
        <v>1345.07</v>
      </c>
      <c r="E1130" s="308"/>
    </row>
    <row r="1131" spans="1:5" ht="9" customHeight="1">
      <c r="A1131" s="304">
        <v>42688</v>
      </c>
      <c r="B1131" s="305" t="s">
        <v>9097</v>
      </c>
      <c r="C1131" s="306" t="s">
        <v>8036</v>
      </c>
      <c r="D1131" s="311">
        <v>1701.13</v>
      </c>
      <c r="E1131" s="308"/>
    </row>
    <row r="1132" spans="1:5" ht="9" customHeight="1">
      <c r="A1132" s="304">
        <v>42689</v>
      </c>
      <c r="B1132" s="305" t="s">
        <v>9098</v>
      </c>
      <c r="C1132" s="306" t="s">
        <v>8036</v>
      </c>
      <c r="D1132" s="311">
        <v>2139.8200000000002</v>
      </c>
      <c r="E1132" s="308"/>
    </row>
    <row r="1133" spans="1:5" ht="9" customHeight="1">
      <c r="A1133" s="304">
        <v>42690</v>
      </c>
      <c r="B1133" s="305" t="s">
        <v>9099</v>
      </c>
      <c r="C1133" s="306" t="s">
        <v>8036</v>
      </c>
      <c r="D1133" s="311">
        <v>3409.95</v>
      </c>
      <c r="E1133" s="308"/>
    </row>
    <row r="1134" spans="1:5" ht="9" customHeight="1">
      <c r="A1134" s="304">
        <v>42691</v>
      </c>
      <c r="B1134" s="305" t="s">
        <v>9100</v>
      </c>
      <c r="C1134" s="306" t="s">
        <v>8036</v>
      </c>
      <c r="D1134" s="311">
        <v>7678.63</v>
      </c>
      <c r="E1134" s="305" t="s">
        <v>8076</v>
      </c>
    </row>
    <row r="1135" spans="1:5" ht="9" customHeight="1">
      <c r="A1135" s="304">
        <v>42693</v>
      </c>
      <c r="B1135" s="305" t="s">
        <v>9101</v>
      </c>
      <c r="C1135" s="306" t="s">
        <v>8137</v>
      </c>
      <c r="D1135" s="311">
        <v>3508.6</v>
      </c>
      <c r="E1135" s="308"/>
    </row>
    <row r="1136" spans="1:5" ht="9" customHeight="1">
      <c r="A1136" s="304">
        <v>42692</v>
      </c>
      <c r="B1136" s="305" t="s">
        <v>9102</v>
      </c>
      <c r="C1136" s="306" t="s">
        <v>8036</v>
      </c>
      <c r="D1136" s="307">
        <v>591.96</v>
      </c>
      <c r="E1136" s="308"/>
    </row>
    <row r="1137" spans="1:5" ht="9" customHeight="1">
      <c r="A1137" s="304">
        <v>41085</v>
      </c>
      <c r="B1137" s="305" t="s">
        <v>9103</v>
      </c>
      <c r="C1137" s="306" t="s">
        <v>8036</v>
      </c>
      <c r="D1137" s="311">
        <v>1381.09</v>
      </c>
      <c r="E1137" s="308"/>
    </row>
    <row r="1138" spans="1:5" ht="9" customHeight="1">
      <c r="A1138" s="304">
        <v>42694</v>
      </c>
      <c r="B1138" s="305" t="s">
        <v>9104</v>
      </c>
      <c r="C1138" s="306" t="s">
        <v>8036</v>
      </c>
      <c r="D1138" s="307">
        <v>689.47</v>
      </c>
      <c r="E1138" s="305" t="s">
        <v>8076</v>
      </c>
    </row>
    <row r="1139" spans="1:5" ht="9" customHeight="1">
      <c r="A1139" s="304">
        <v>41241</v>
      </c>
      <c r="B1139" s="305" t="s">
        <v>9105</v>
      </c>
      <c r="C1139" s="306" t="s">
        <v>8036</v>
      </c>
      <c r="D1139" s="311">
        <v>1424.67</v>
      </c>
      <c r="E1139" s="305" t="s">
        <v>8076</v>
      </c>
    </row>
    <row r="1140" spans="1:5" ht="9" customHeight="1">
      <c r="A1140" s="304">
        <v>42697</v>
      </c>
      <c r="B1140" s="305" t="s">
        <v>9106</v>
      </c>
      <c r="C1140" s="306" t="s">
        <v>8137</v>
      </c>
      <c r="D1140" s="307">
        <v>659.82</v>
      </c>
      <c r="E1140" s="305" t="s">
        <v>8076</v>
      </c>
    </row>
    <row r="1141" spans="1:5" ht="18.149999999999999" customHeight="1">
      <c r="A1141" s="304">
        <v>42698</v>
      </c>
      <c r="B1141" s="309" t="s">
        <v>9107</v>
      </c>
      <c r="C1141" s="306" t="s">
        <v>8137</v>
      </c>
      <c r="D1141" s="307">
        <v>191.42</v>
      </c>
      <c r="E1141" s="305" t="s">
        <v>8076</v>
      </c>
    </row>
    <row r="1142" spans="1:5" ht="9" customHeight="1">
      <c r="A1142" s="304">
        <v>42699</v>
      </c>
      <c r="B1142" s="305" t="s">
        <v>9108</v>
      </c>
      <c r="C1142" s="306" t="s">
        <v>8137</v>
      </c>
      <c r="D1142" s="307">
        <v>249.27</v>
      </c>
      <c r="E1142" s="308"/>
    </row>
    <row r="1143" spans="1:5" ht="9" customHeight="1">
      <c r="A1143" s="304">
        <v>42700</v>
      </c>
      <c r="B1143" s="305" t="s">
        <v>9109</v>
      </c>
      <c r="C1143" s="306" t="s">
        <v>8137</v>
      </c>
      <c r="D1143" s="307">
        <v>175.28</v>
      </c>
      <c r="E1143" s="305" t="s">
        <v>8076</v>
      </c>
    </row>
    <row r="1144" spans="1:5" ht="9" customHeight="1">
      <c r="A1144" s="304">
        <v>42701</v>
      </c>
      <c r="B1144" s="305" t="s">
        <v>9110</v>
      </c>
      <c r="C1144" s="306" t="s">
        <v>8020</v>
      </c>
      <c r="D1144" s="307">
        <v>38.369999999999997</v>
      </c>
      <c r="E1144" s="308"/>
    </row>
    <row r="1145" spans="1:5" ht="18.149999999999999" customHeight="1">
      <c r="A1145" s="304">
        <v>42703</v>
      </c>
      <c r="B1145" s="309" t="s">
        <v>9111</v>
      </c>
      <c r="C1145" s="306" t="s">
        <v>8020</v>
      </c>
      <c r="D1145" s="307">
        <v>90.67</v>
      </c>
      <c r="E1145" s="310"/>
    </row>
    <row r="1146" spans="1:5" ht="9" customHeight="1">
      <c r="A1146" s="304">
        <v>42704</v>
      </c>
      <c r="B1146" s="305" t="s">
        <v>9112</v>
      </c>
      <c r="C1146" s="306" t="s">
        <v>8020</v>
      </c>
      <c r="D1146" s="307">
        <v>6.05</v>
      </c>
      <c r="E1146" s="308"/>
    </row>
    <row r="1147" spans="1:5" ht="9" customHeight="1">
      <c r="A1147" s="304">
        <v>42705</v>
      </c>
      <c r="B1147" s="305" t="s">
        <v>9113</v>
      </c>
      <c r="C1147" s="306" t="s">
        <v>8020</v>
      </c>
      <c r="D1147" s="307">
        <v>10.039999999999999</v>
      </c>
      <c r="E1147" s="308"/>
    </row>
    <row r="1148" spans="1:5" ht="18.149999999999999" customHeight="1">
      <c r="A1148" s="304">
        <v>42706</v>
      </c>
      <c r="B1148" s="309" t="s">
        <v>9114</v>
      </c>
      <c r="C1148" s="306" t="s">
        <v>8022</v>
      </c>
      <c r="D1148" s="307">
        <v>5.47</v>
      </c>
      <c r="E1148" s="310"/>
    </row>
    <row r="1149" spans="1:5" ht="18.149999999999999" customHeight="1">
      <c r="A1149" s="304">
        <v>42707</v>
      </c>
      <c r="B1149" s="309" t="s">
        <v>9115</v>
      </c>
      <c r="C1149" s="306" t="s">
        <v>8022</v>
      </c>
      <c r="D1149" s="307">
        <v>83.88</v>
      </c>
      <c r="E1149" s="305" t="s">
        <v>8076</v>
      </c>
    </row>
    <row r="1150" spans="1:5" ht="18.149999999999999" customHeight="1">
      <c r="A1150" s="304">
        <v>42708</v>
      </c>
      <c r="B1150" s="309" t="s">
        <v>9116</v>
      </c>
      <c r="C1150" s="306" t="s">
        <v>8022</v>
      </c>
      <c r="D1150" s="307">
        <v>90.84</v>
      </c>
      <c r="E1150" s="305" t="s">
        <v>8076</v>
      </c>
    </row>
    <row r="1151" spans="1:5" ht="18.149999999999999" customHeight="1">
      <c r="A1151" s="304">
        <v>42709</v>
      </c>
      <c r="B1151" s="309" t="s">
        <v>9117</v>
      </c>
      <c r="C1151" s="306" t="s">
        <v>8022</v>
      </c>
      <c r="D1151" s="307">
        <v>92.34</v>
      </c>
      <c r="E1151" s="305" t="s">
        <v>8076</v>
      </c>
    </row>
    <row r="1152" spans="1:5" ht="18.149999999999999" customHeight="1">
      <c r="A1152" s="304">
        <v>42710</v>
      </c>
      <c r="B1152" s="309" t="s">
        <v>9118</v>
      </c>
      <c r="C1152" s="306" t="s">
        <v>8022</v>
      </c>
      <c r="D1152" s="307">
        <v>95.13</v>
      </c>
      <c r="E1152" s="305" t="s">
        <v>8076</v>
      </c>
    </row>
    <row r="1153" spans="1:6" ht="18.149999999999999" customHeight="1">
      <c r="A1153" s="304">
        <v>42711</v>
      </c>
      <c r="B1153" s="309" t="s">
        <v>9119</v>
      </c>
      <c r="C1153" s="306" t="s">
        <v>8137</v>
      </c>
      <c r="D1153" s="307">
        <v>434.66</v>
      </c>
      <c r="E1153" s="305" t="s">
        <v>8076</v>
      </c>
    </row>
    <row r="1154" spans="1:6" ht="18.149999999999999" customHeight="1">
      <c r="A1154" s="304">
        <v>42712</v>
      </c>
      <c r="B1154" s="309" t="s">
        <v>9120</v>
      </c>
      <c r="C1154" s="306" t="s">
        <v>8022</v>
      </c>
      <c r="D1154" s="307">
        <v>913.98</v>
      </c>
      <c r="E1154" s="310"/>
    </row>
    <row r="1155" spans="1:6" ht="9" customHeight="1">
      <c r="A1155" s="304">
        <v>42714</v>
      </c>
      <c r="B1155" s="305" t="s">
        <v>9121</v>
      </c>
      <c r="C1155" s="306" t="s">
        <v>8022</v>
      </c>
      <c r="D1155" s="307">
        <v>467.32</v>
      </c>
      <c r="E1155" s="305" t="s">
        <v>8076</v>
      </c>
    </row>
    <row r="1156" spans="1:6" ht="9" customHeight="1">
      <c r="A1156" s="304">
        <v>42717</v>
      </c>
      <c r="B1156" s="305" t="s">
        <v>9122</v>
      </c>
      <c r="C1156" s="306" t="s">
        <v>8022</v>
      </c>
      <c r="D1156" s="307">
        <v>618.54</v>
      </c>
      <c r="E1156" s="305" t="s">
        <v>8076</v>
      </c>
    </row>
    <row r="1157" spans="1:6" ht="9" customHeight="1">
      <c r="A1157" s="304">
        <v>42716</v>
      </c>
      <c r="B1157" s="305" t="s">
        <v>9123</v>
      </c>
      <c r="C1157" s="306" t="s">
        <v>8022</v>
      </c>
      <c r="D1157" s="307">
        <v>614.34</v>
      </c>
      <c r="E1157" s="305" t="s">
        <v>8076</v>
      </c>
    </row>
    <row r="1158" spans="1:6" ht="9" customHeight="1">
      <c r="A1158" s="304">
        <v>42719</v>
      </c>
      <c r="B1158" s="305" t="s">
        <v>9124</v>
      </c>
      <c r="C1158" s="306" t="s">
        <v>8022</v>
      </c>
      <c r="D1158" s="307">
        <v>639.51</v>
      </c>
      <c r="E1158" s="305" t="s">
        <v>8076</v>
      </c>
    </row>
    <row r="1159" spans="1:6" ht="9" customHeight="1">
      <c r="A1159" s="304">
        <v>42718</v>
      </c>
      <c r="B1159" s="305" t="s">
        <v>9125</v>
      </c>
      <c r="C1159" s="306" t="s">
        <v>8022</v>
      </c>
      <c r="D1159" s="307">
        <v>634.80999999999995</v>
      </c>
      <c r="E1159" s="305" t="s">
        <v>8076</v>
      </c>
    </row>
    <row r="1160" spans="1:6" ht="18.149999999999999" customHeight="1">
      <c r="A1160" s="304">
        <v>42722</v>
      </c>
      <c r="B1160" s="309" t="s">
        <v>9126</v>
      </c>
      <c r="C1160" s="306" t="s">
        <v>8022</v>
      </c>
      <c r="D1160" s="307">
        <v>838.05</v>
      </c>
      <c r="E1160" s="305" t="s">
        <v>8076</v>
      </c>
    </row>
    <row r="1161" spans="1:6" ht="9" customHeight="1">
      <c r="A1161" s="304">
        <v>42721</v>
      </c>
      <c r="B1161" s="305" t="s">
        <v>9127</v>
      </c>
      <c r="C1161" s="306" t="s">
        <v>8022</v>
      </c>
      <c r="D1161" s="307">
        <v>658.88</v>
      </c>
      <c r="E1161" s="305" t="s">
        <v>8076</v>
      </c>
    </row>
    <row r="1162" spans="1:6" ht="9" customHeight="1">
      <c r="A1162" s="304">
        <v>42720</v>
      </c>
      <c r="B1162" s="305" t="s">
        <v>9128</v>
      </c>
      <c r="C1162" s="306" t="s">
        <v>8022</v>
      </c>
      <c r="D1162" s="307">
        <v>653.69000000000005</v>
      </c>
      <c r="E1162" s="305" t="s">
        <v>8076</v>
      </c>
    </row>
    <row r="1163" spans="1:6" ht="18.149999999999999" customHeight="1">
      <c r="A1163" s="304">
        <v>42723</v>
      </c>
      <c r="B1163" s="309" t="s">
        <v>9129</v>
      </c>
      <c r="C1163" s="306" t="s">
        <v>8022</v>
      </c>
      <c r="D1163" s="307">
        <v>807.71</v>
      </c>
      <c r="E1163" s="305" t="s">
        <v>8076</v>
      </c>
    </row>
    <row r="1164" spans="1:6" ht="9" customHeight="1">
      <c r="A1164" s="304">
        <v>42724</v>
      </c>
      <c r="B1164" s="305" t="s">
        <v>9130</v>
      </c>
      <c r="C1164" s="306" t="s">
        <v>8022</v>
      </c>
      <c r="D1164" s="311">
        <v>1194.77</v>
      </c>
      <c r="E1164" s="305" t="s">
        <v>8076</v>
      </c>
    </row>
    <row r="1165" spans="1:6" ht="9" customHeight="1">
      <c r="A1165" s="858" t="s">
        <v>9051</v>
      </c>
      <c r="B1165" s="858"/>
      <c r="C1165" s="858"/>
      <c r="D1165" s="858"/>
      <c r="E1165" s="858"/>
      <c r="F1165" s="858"/>
    </row>
    <row r="1166" spans="1:6" ht="9" customHeight="1">
      <c r="A1166" s="301" t="s">
        <v>8014</v>
      </c>
      <c r="B1166" s="302" t="s">
        <v>8015</v>
      </c>
      <c r="C1166" s="301" t="s">
        <v>8016</v>
      </c>
      <c r="D1166" s="303" t="s">
        <v>8017</v>
      </c>
      <c r="E1166" s="302" t="s">
        <v>8018</v>
      </c>
    </row>
    <row r="1167" spans="1:6" ht="18.149999999999999" customHeight="1">
      <c r="A1167" s="304">
        <v>42728</v>
      </c>
      <c r="B1167" s="309" t="s">
        <v>9131</v>
      </c>
      <c r="C1167" s="306" t="s">
        <v>8137</v>
      </c>
      <c r="D1167" s="307">
        <v>321.98</v>
      </c>
      <c r="E1167" s="305" t="s">
        <v>8076</v>
      </c>
    </row>
    <row r="1168" spans="1:6" ht="18.149999999999999" customHeight="1">
      <c r="A1168" s="304">
        <v>42729</v>
      </c>
      <c r="B1168" s="309" t="s">
        <v>9132</v>
      </c>
      <c r="C1168" s="306" t="s">
        <v>8137</v>
      </c>
      <c r="D1168" s="307">
        <v>358.95</v>
      </c>
      <c r="E1168" s="305" t="s">
        <v>8076</v>
      </c>
    </row>
    <row r="1169" spans="1:5" ht="18.149999999999999" customHeight="1">
      <c r="A1169" s="304">
        <v>42730</v>
      </c>
      <c r="B1169" s="309" t="s">
        <v>9133</v>
      </c>
      <c r="C1169" s="306" t="s">
        <v>8137</v>
      </c>
      <c r="D1169" s="307">
        <v>672.36</v>
      </c>
      <c r="E1169" s="305" t="s">
        <v>8076</v>
      </c>
    </row>
    <row r="1170" spans="1:5" ht="18.149999999999999" customHeight="1">
      <c r="A1170" s="304">
        <v>42731</v>
      </c>
      <c r="B1170" s="309" t="s">
        <v>9134</v>
      </c>
      <c r="C1170" s="306" t="s">
        <v>8137</v>
      </c>
      <c r="D1170" s="307">
        <v>701.89</v>
      </c>
      <c r="E1170" s="305" t="s">
        <v>8076</v>
      </c>
    </row>
    <row r="1171" spans="1:5" ht="18.149999999999999" customHeight="1">
      <c r="A1171" s="304">
        <v>42732</v>
      </c>
      <c r="B1171" s="309" t="s">
        <v>9135</v>
      </c>
      <c r="C1171" s="306" t="s">
        <v>8137</v>
      </c>
      <c r="D1171" s="307">
        <v>692.01</v>
      </c>
      <c r="E1171" s="305" t="s">
        <v>8076</v>
      </c>
    </row>
    <row r="1172" spans="1:5" ht="18.149999999999999" customHeight="1">
      <c r="A1172" s="304">
        <v>42733</v>
      </c>
      <c r="B1172" s="309" t="s">
        <v>9136</v>
      </c>
      <c r="C1172" s="306" t="s">
        <v>8137</v>
      </c>
      <c r="D1172" s="307">
        <v>762.37</v>
      </c>
      <c r="E1172" s="305" t="s">
        <v>8076</v>
      </c>
    </row>
    <row r="1173" spans="1:5" ht="18.149999999999999" customHeight="1">
      <c r="A1173" s="304">
        <v>42734</v>
      </c>
      <c r="B1173" s="309" t="s">
        <v>9137</v>
      </c>
      <c r="C1173" s="306" t="s">
        <v>8137</v>
      </c>
      <c r="D1173" s="307">
        <v>918.54</v>
      </c>
      <c r="E1173" s="305" t="s">
        <v>8076</v>
      </c>
    </row>
    <row r="1174" spans="1:5" ht="18.149999999999999" customHeight="1">
      <c r="A1174" s="304">
        <v>42735</v>
      </c>
      <c r="B1174" s="309" t="s">
        <v>9138</v>
      </c>
      <c r="C1174" s="306" t="s">
        <v>8137</v>
      </c>
      <c r="D1174" s="307">
        <v>869.24</v>
      </c>
      <c r="E1174" s="305" t="s">
        <v>8076</v>
      </c>
    </row>
    <row r="1175" spans="1:5" ht="18.149999999999999" customHeight="1">
      <c r="A1175" s="304">
        <v>42736</v>
      </c>
      <c r="B1175" s="309" t="s">
        <v>9139</v>
      </c>
      <c r="C1175" s="306" t="s">
        <v>8137</v>
      </c>
      <c r="D1175" s="307">
        <v>891.76</v>
      </c>
      <c r="E1175" s="305" t="s">
        <v>8076</v>
      </c>
    </row>
    <row r="1176" spans="1:5" ht="18.149999999999999" customHeight="1">
      <c r="A1176" s="304">
        <v>42737</v>
      </c>
      <c r="B1176" s="309" t="s">
        <v>9140</v>
      </c>
      <c r="C1176" s="306" t="s">
        <v>8137</v>
      </c>
      <c r="D1176" s="311">
        <v>1056.3900000000001</v>
      </c>
      <c r="E1176" s="305" t="s">
        <v>8076</v>
      </c>
    </row>
    <row r="1177" spans="1:5" ht="18.149999999999999" customHeight="1">
      <c r="A1177" s="304">
        <v>42738</v>
      </c>
      <c r="B1177" s="309" t="s">
        <v>9141</v>
      </c>
      <c r="C1177" s="306" t="s">
        <v>8137</v>
      </c>
      <c r="D1177" s="311">
        <v>1127.19</v>
      </c>
      <c r="E1177" s="305" t="s">
        <v>8076</v>
      </c>
    </row>
    <row r="1178" spans="1:5" ht="18.149999999999999" customHeight="1">
      <c r="A1178" s="304">
        <v>42739</v>
      </c>
      <c r="B1178" s="309" t="s">
        <v>9142</v>
      </c>
      <c r="C1178" s="306" t="s">
        <v>8137</v>
      </c>
      <c r="D1178" s="311">
        <v>1246.3499999999999</v>
      </c>
      <c r="E1178" s="305" t="s">
        <v>8076</v>
      </c>
    </row>
    <row r="1179" spans="1:5" ht="18.149999999999999" customHeight="1">
      <c r="A1179" s="304">
        <v>42740</v>
      </c>
      <c r="B1179" s="309" t="s">
        <v>9143</v>
      </c>
      <c r="C1179" s="306" t="s">
        <v>8137</v>
      </c>
      <c r="D1179" s="311">
        <v>1237.2</v>
      </c>
      <c r="E1179" s="305" t="s">
        <v>8076</v>
      </c>
    </row>
    <row r="1180" spans="1:5" ht="18.149999999999999" customHeight="1">
      <c r="A1180" s="304">
        <v>42741</v>
      </c>
      <c r="B1180" s="309" t="s">
        <v>9144</v>
      </c>
      <c r="C1180" s="306" t="s">
        <v>8137</v>
      </c>
      <c r="D1180" s="311">
        <v>1387.07</v>
      </c>
      <c r="E1180" s="305" t="s">
        <v>8076</v>
      </c>
    </row>
    <row r="1181" spans="1:5" ht="18.149999999999999" customHeight="1">
      <c r="A1181" s="304">
        <v>42742</v>
      </c>
      <c r="B1181" s="309" t="s">
        <v>9145</v>
      </c>
      <c r="C1181" s="306" t="s">
        <v>8137</v>
      </c>
      <c r="D1181" s="311">
        <v>1528.66</v>
      </c>
      <c r="E1181" s="305" t="s">
        <v>8076</v>
      </c>
    </row>
    <row r="1182" spans="1:5" ht="18.149999999999999" customHeight="1">
      <c r="A1182" s="304">
        <v>42743</v>
      </c>
      <c r="B1182" s="309" t="s">
        <v>9146</v>
      </c>
      <c r="C1182" s="306" t="s">
        <v>8137</v>
      </c>
      <c r="D1182" s="311">
        <v>1709</v>
      </c>
      <c r="E1182" s="305" t="s">
        <v>8076</v>
      </c>
    </row>
    <row r="1183" spans="1:5" ht="18.149999999999999" customHeight="1">
      <c r="A1183" s="304">
        <v>42744</v>
      </c>
      <c r="B1183" s="309" t="s">
        <v>9147</v>
      </c>
      <c r="C1183" s="306" t="s">
        <v>8137</v>
      </c>
      <c r="D1183" s="311">
        <v>1739.46</v>
      </c>
      <c r="E1183" s="305" t="s">
        <v>8076</v>
      </c>
    </row>
    <row r="1184" spans="1:5" ht="18.149999999999999" customHeight="1">
      <c r="A1184" s="304">
        <v>42745</v>
      </c>
      <c r="B1184" s="309" t="s">
        <v>9148</v>
      </c>
      <c r="C1184" s="306" t="s">
        <v>8137</v>
      </c>
      <c r="D1184" s="311">
        <v>1696.55</v>
      </c>
      <c r="E1184" s="305" t="s">
        <v>8076</v>
      </c>
    </row>
    <row r="1185" spans="1:5" ht="18.149999999999999" customHeight="1">
      <c r="A1185" s="304">
        <v>42746</v>
      </c>
      <c r="B1185" s="309" t="s">
        <v>9149</v>
      </c>
      <c r="C1185" s="306" t="s">
        <v>8137</v>
      </c>
      <c r="D1185" s="311">
        <v>1966.83</v>
      </c>
      <c r="E1185" s="305" t="s">
        <v>8076</v>
      </c>
    </row>
    <row r="1186" spans="1:5" ht="18.149999999999999" customHeight="1">
      <c r="A1186" s="304">
        <v>42747</v>
      </c>
      <c r="B1186" s="309" t="s">
        <v>9150</v>
      </c>
      <c r="C1186" s="306" t="s">
        <v>8137</v>
      </c>
      <c r="D1186" s="311">
        <v>2069.81</v>
      </c>
      <c r="E1186" s="305" t="s">
        <v>8076</v>
      </c>
    </row>
    <row r="1187" spans="1:5" ht="18.149999999999999" customHeight="1">
      <c r="A1187" s="304">
        <v>42748</v>
      </c>
      <c r="B1187" s="309" t="s">
        <v>9151</v>
      </c>
      <c r="C1187" s="306" t="s">
        <v>8137</v>
      </c>
      <c r="D1187" s="307">
        <v>98.9</v>
      </c>
      <c r="E1187" s="305" t="s">
        <v>8076</v>
      </c>
    </row>
    <row r="1188" spans="1:5" ht="18.149999999999999" customHeight="1">
      <c r="A1188" s="304">
        <v>42749</v>
      </c>
      <c r="B1188" s="309" t="s">
        <v>9152</v>
      </c>
      <c r="C1188" s="306" t="s">
        <v>8137</v>
      </c>
      <c r="D1188" s="307">
        <v>97.4</v>
      </c>
      <c r="E1188" s="305" t="s">
        <v>8076</v>
      </c>
    </row>
    <row r="1189" spans="1:5" ht="18.149999999999999" customHeight="1">
      <c r="A1189" s="304">
        <v>42750</v>
      </c>
      <c r="B1189" s="309" t="s">
        <v>9153</v>
      </c>
      <c r="C1189" s="306" t="s">
        <v>8137</v>
      </c>
      <c r="D1189" s="307">
        <v>123.1</v>
      </c>
      <c r="E1189" s="305" t="s">
        <v>8076</v>
      </c>
    </row>
    <row r="1190" spans="1:5" ht="18.149999999999999" customHeight="1">
      <c r="A1190" s="304">
        <v>42751</v>
      </c>
      <c r="B1190" s="309" t="s">
        <v>9154</v>
      </c>
      <c r="C1190" s="306" t="s">
        <v>8137</v>
      </c>
      <c r="D1190" s="307">
        <v>124.35</v>
      </c>
      <c r="E1190" s="305" t="s">
        <v>8076</v>
      </c>
    </row>
    <row r="1191" spans="1:5" ht="18.149999999999999" customHeight="1">
      <c r="A1191" s="304">
        <v>42752</v>
      </c>
      <c r="B1191" s="309" t="s">
        <v>9155</v>
      </c>
      <c r="C1191" s="306" t="s">
        <v>8137</v>
      </c>
      <c r="D1191" s="307">
        <v>164.94</v>
      </c>
      <c r="E1191" s="305" t="s">
        <v>8076</v>
      </c>
    </row>
    <row r="1192" spans="1:5" ht="18.149999999999999" customHeight="1">
      <c r="A1192" s="304">
        <v>42753</v>
      </c>
      <c r="B1192" s="309" t="s">
        <v>9156</v>
      </c>
      <c r="C1192" s="306" t="s">
        <v>8137</v>
      </c>
      <c r="D1192" s="307">
        <v>170.19</v>
      </c>
      <c r="E1192" s="305" t="s">
        <v>8076</v>
      </c>
    </row>
    <row r="1193" spans="1:5" ht="18.149999999999999" customHeight="1">
      <c r="A1193" s="304">
        <v>42754</v>
      </c>
      <c r="B1193" s="309" t="s">
        <v>9157</v>
      </c>
      <c r="C1193" s="306" t="s">
        <v>8137</v>
      </c>
      <c r="D1193" s="307">
        <v>253.81</v>
      </c>
      <c r="E1193" s="305" t="s">
        <v>8076</v>
      </c>
    </row>
    <row r="1194" spans="1:5" ht="18.149999999999999" customHeight="1">
      <c r="A1194" s="304">
        <v>42755</v>
      </c>
      <c r="B1194" s="309" t="s">
        <v>9158</v>
      </c>
      <c r="C1194" s="306" t="s">
        <v>8137</v>
      </c>
      <c r="D1194" s="307">
        <v>255.34</v>
      </c>
      <c r="E1194" s="305" t="s">
        <v>8076</v>
      </c>
    </row>
    <row r="1195" spans="1:5" ht="18.149999999999999" customHeight="1">
      <c r="A1195" s="304">
        <v>42756</v>
      </c>
      <c r="B1195" s="309" t="s">
        <v>9159</v>
      </c>
      <c r="C1195" s="306" t="s">
        <v>8137</v>
      </c>
      <c r="D1195" s="307">
        <v>136.37</v>
      </c>
      <c r="E1195" s="305" t="s">
        <v>8076</v>
      </c>
    </row>
    <row r="1196" spans="1:5" ht="18.149999999999999" customHeight="1">
      <c r="A1196" s="304">
        <v>42757</v>
      </c>
      <c r="B1196" s="309" t="s">
        <v>9160</v>
      </c>
      <c r="C1196" s="306" t="s">
        <v>8137</v>
      </c>
      <c r="D1196" s="307">
        <v>181.33</v>
      </c>
      <c r="E1196" s="305" t="s">
        <v>8076</v>
      </c>
    </row>
    <row r="1197" spans="1:5" ht="18.149999999999999" customHeight="1">
      <c r="A1197" s="304">
        <v>42759</v>
      </c>
      <c r="B1197" s="309" t="s">
        <v>9161</v>
      </c>
      <c r="C1197" s="306" t="s">
        <v>8137</v>
      </c>
      <c r="D1197" s="307">
        <v>189.06</v>
      </c>
      <c r="E1197" s="305" t="s">
        <v>8076</v>
      </c>
    </row>
    <row r="1198" spans="1:5" ht="18.149999999999999" customHeight="1">
      <c r="A1198" s="304">
        <v>42760</v>
      </c>
      <c r="B1198" s="309" t="s">
        <v>9162</v>
      </c>
      <c r="C1198" s="306" t="s">
        <v>8137</v>
      </c>
      <c r="D1198" s="307">
        <v>254.82</v>
      </c>
      <c r="E1198" s="305" t="s">
        <v>8076</v>
      </c>
    </row>
    <row r="1199" spans="1:5" ht="18.149999999999999" customHeight="1">
      <c r="A1199" s="304">
        <v>42761</v>
      </c>
      <c r="B1199" s="309" t="s">
        <v>9163</v>
      </c>
      <c r="C1199" s="306" t="s">
        <v>8137</v>
      </c>
      <c r="D1199" s="307">
        <v>266.07</v>
      </c>
      <c r="E1199" s="305" t="s">
        <v>8076</v>
      </c>
    </row>
    <row r="1200" spans="1:5" ht="18.149999999999999" customHeight="1">
      <c r="A1200" s="304">
        <v>42762</v>
      </c>
      <c r="B1200" s="309" t="s">
        <v>9164</v>
      </c>
      <c r="C1200" s="306" t="s">
        <v>8137</v>
      </c>
      <c r="D1200" s="307">
        <v>263.68</v>
      </c>
      <c r="E1200" s="305" t="s">
        <v>8076</v>
      </c>
    </row>
    <row r="1201" spans="1:6" ht="9" customHeight="1">
      <c r="A1201" s="858" t="s">
        <v>9051</v>
      </c>
      <c r="B1201" s="858"/>
      <c r="C1201" s="858"/>
      <c r="D1201" s="858"/>
      <c r="E1201" s="858"/>
      <c r="F1201" s="858"/>
    </row>
    <row r="1202" spans="1:6" ht="9" customHeight="1">
      <c r="A1202" s="301" t="s">
        <v>8014</v>
      </c>
      <c r="B1202" s="302" t="s">
        <v>8015</v>
      </c>
      <c r="C1202" s="301" t="s">
        <v>8016</v>
      </c>
      <c r="D1202" s="303" t="s">
        <v>8017</v>
      </c>
      <c r="E1202" s="302" t="s">
        <v>8018</v>
      </c>
    </row>
    <row r="1203" spans="1:6" ht="18.149999999999999" customHeight="1">
      <c r="A1203" s="304">
        <v>42763</v>
      </c>
      <c r="B1203" s="309" t="s">
        <v>9165</v>
      </c>
      <c r="C1203" s="306" t="s">
        <v>8137</v>
      </c>
      <c r="D1203" s="307">
        <v>282.16000000000003</v>
      </c>
      <c r="E1203" s="305" t="s">
        <v>8076</v>
      </c>
    </row>
    <row r="1204" spans="1:6" ht="18.149999999999999" customHeight="1">
      <c r="A1204" s="304">
        <v>42764</v>
      </c>
      <c r="B1204" s="309" t="s">
        <v>9166</v>
      </c>
      <c r="C1204" s="306" t="s">
        <v>8137</v>
      </c>
      <c r="D1204" s="307">
        <v>529.34</v>
      </c>
      <c r="E1204" s="305" t="s">
        <v>8076</v>
      </c>
    </row>
    <row r="1205" spans="1:6" ht="18.149999999999999" customHeight="1">
      <c r="A1205" s="304">
        <v>42765</v>
      </c>
      <c r="B1205" s="309" t="s">
        <v>9167</v>
      </c>
      <c r="C1205" s="306" t="s">
        <v>8137</v>
      </c>
      <c r="D1205" s="307">
        <v>544.1</v>
      </c>
      <c r="E1205" s="305" t="s">
        <v>8076</v>
      </c>
    </row>
    <row r="1206" spans="1:6" ht="18.149999999999999" customHeight="1">
      <c r="A1206" s="304">
        <v>42766</v>
      </c>
      <c r="B1206" s="309" t="s">
        <v>9168</v>
      </c>
      <c r="C1206" s="306" t="s">
        <v>8137</v>
      </c>
      <c r="D1206" s="307">
        <v>539.16999999999996</v>
      </c>
      <c r="E1206" s="305" t="s">
        <v>8076</v>
      </c>
    </row>
    <row r="1207" spans="1:6" ht="18.149999999999999" customHeight="1">
      <c r="A1207" s="304">
        <v>42767</v>
      </c>
      <c r="B1207" s="309" t="s">
        <v>9169</v>
      </c>
      <c r="C1207" s="306" t="s">
        <v>8137</v>
      </c>
      <c r="D1207" s="307">
        <v>574.35</v>
      </c>
      <c r="E1207" s="305" t="s">
        <v>8076</v>
      </c>
    </row>
    <row r="1208" spans="1:6" ht="18.149999999999999" customHeight="1">
      <c r="A1208" s="304">
        <v>42768</v>
      </c>
      <c r="B1208" s="309" t="s">
        <v>9170</v>
      </c>
      <c r="C1208" s="306" t="s">
        <v>8137</v>
      </c>
      <c r="D1208" s="307">
        <v>738.43</v>
      </c>
      <c r="E1208" s="305" t="s">
        <v>8076</v>
      </c>
    </row>
    <row r="1209" spans="1:6" ht="18.149999999999999" customHeight="1">
      <c r="A1209" s="304">
        <v>42769</v>
      </c>
      <c r="B1209" s="309" t="s">
        <v>9171</v>
      </c>
      <c r="C1209" s="306" t="s">
        <v>8137</v>
      </c>
      <c r="D1209" s="307">
        <v>747.08</v>
      </c>
      <c r="E1209" s="305" t="s">
        <v>8076</v>
      </c>
    </row>
    <row r="1210" spans="1:6" ht="18.149999999999999" customHeight="1">
      <c r="A1210" s="304">
        <v>42770</v>
      </c>
      <c r="B1210" s="309" t="s">
        <v>9172</v>
      </c>
      <c r="C1210" s="306" t="s">
        <v>8137</v>
      </c>
      <c r="D1210" s="307">
        <v>725.04</v>
      </c>
      <c r="E1210" s="305" t="s">
        <v>8076</v>
      </c>
    </row>
    <row r="1211" spans="1:6" ht="18.149999999999999" customHeight="1">
      <c r="A1211" s="304">
        <v>42771</v>
      </c>
      <c r="B1211" s="309" t="s">
        <v>9173</v>
      </c>
      <c r="C1211" s="306" t="s">
        <v>8137</v>
      </c>
      <c r="D1211" s="307">
        <v>807.36</v>
      </c>
      <c r="E1211" s="305" t="s">
        <v>8076</v>
      </c>
    </row>
    <row r="1212" spans="1:6" ht="18.149999999999999" customHeight="1">
      <c r="A1212" s="304">
        <v>42772</v>
      </c>
      <c r="B1212" s="309" t="s">
        <v>9174</v>
      </c>
      <c r="C1212" s="306" t="s">
        <v>8137</v>
      </c>
      <c r="D1212" s="307">
        <v>997.48</v>
      </c>
      <c r="E1212" s="305" t="s">
        <v>8076</v>
      </c>
    </row>
    <row r="1213" spans="1:6" ht="18.149999999999999" customHeight="1">
      <c r="A1213" s="304">
        <v>42773</v>
      </c>
      <c r="B1213" s="309" t="s">
        <v>9175</v>
      </c>
      <c r="C1213" s="306" t="s">
        <v>8137</v>
      </c>
      <c r="D1213" s="307">
        <v>987.02</v>
      </c>
      <c r="E1213" s="305" t="s">
        <v>8076</v>
      </c>
    </row>
    <row r="1214" spans="1:6" ht="18.149999999999999" customHeight="1">
      <c r="A1214" s="304">
        <v>42774</v>
      </c>
      <c r="B1214" s="309" t="s">
        <v>9176</v>
      </c>
      <c r="C1214" s="306" t="s">
        <v>8137</v>
      </c>
      <c r="D1214" s="307">
        <v>982.45</v>
      </c>
      <c r="E1214" s="305" t="s">
        <v>8076</v>
      </c>
    </row>
    <row r="1215" spans="1:6" ht="18.149999999999999" customHeight="1">
      <c r="A1215" s="304">
        <v>42775</v>
      </c>
      <c r="B1215" s="309" t="s">
        <v>9177</v>
      </c>
      <c r="C1215" s="306" t="s">
        <v>8137</v>
      </c>
      <c r="D1215" s="311">
        <v>1057.3900000000001</v>
      </c>
      <c r="E1215" s="305" t="s">
        <v>8076</v>
      </c>
    </row>
    <row r="1216" spans="1:6" ht="18.149999999999999" customHeight="1">
      <c r="A1216" s="304">
        <v>42776</v>
      </c>
      <c r="B1216" s="309" t="s">
        <v>9178</v>
      </c>
      <c r="C1216" s="306" t="s">
        <v>8137</v>
      </c>
      <c r="D1216" s="307">
        <v>153.97</v>
      </c>
      <c r="E1216" s="305" t="s">
        <v>8076</v>
      </c>
    </row>
    <row r="1217" spans="1:5" ht="18.149999999999999" customHeight="1">
      <c r="A1217" s="304">
        <v>42777</v>
      </c>
      <c r="B1217" s="309" t="s">
        <v>9179</v>
      </c>
      <c r="C1217" s="306" t="s">
        <v>8137</v>
      </c>
      <c r="D1217" s="307">
        <v>165.22</v>
      </c>
      <c r="E1217" s="305" t="s">
        <v>8076</v>
      </c>
    </row>
    <row r="1218" spans="1:5" ht="18.149999999999999" customHeight="1">
      <c r="A1218" s="304">
        <v>42778</v>
      </c>
      <c r="B1218" s="309" t="s">
        <v>9180</v>
      </c>
      <c r="C1218" s="306" t="s">
        <v>8137</v>
      </c>
      <c r="D1218" s="307">
        <v>162.82</v>
      </c>
      <c r="E1218" s="305" t="s">
        <v>8076</v>
      </c>
    </row>
    <row r="1219" spans="1:5" ht="18.149999999999999" customHeight="1">
      <c r="A1219" s="304">
        <v>42779</v>
      </c>
      <c r="B1219" s="309" t="s">
        <v>9181</v>
      </c>
      <c r="C1219" s="306" t="s">
        <v>8137</v>
      </c>
      <c r="D1219" s="307">
        <v>181.31</v>
      </c>
      <c r="E1219" s="305" t="s">
        <v>8076</v>
      </c>
    </row>
    <row r="1220" spans="1:5" ht="18.149999999999999" customHeight="1">
      <c r="A1220" s="304">
        <v>42780</v>
      </c>
      <c r="B1220" s="309" t="s">
        <v>9182</v>
      </c>
      <c r="C1220" s="306" t="s">
        <v>8137</v>
      </c>
      <c r="D1220" s="307">
        <v>387.04</v>
      </c>
      <c r="E1220" s="305" t="s">
        <v>8076</v>
      </c>
    </row>
    <row r="1221" spans="1:5" ht="18.149999999999999" customHeight="1">
      <c r="A1221" s="304">
        <v>42781</v>
      </c>
      <c r="B1221" s="309" t="s">
        <v>9183</v>
      </c>
      <c r="C1221" s="306" t="s">
        <v>8137</v>
      </c>
      <c r="D1221" s="307">
        <v>401.81</v>
      </c>
      <c r="E1221" s="305" t="s">
        <v>8076</v>
      </c>
    </row>
    <row r="1222" spans="1:5" ht="18.149999999999999" customHeight="1">
      <c r="A1222" s="304">
        <v>42782</v>
      </c>
      <c r="B1222" s="309" t="s">
        <v>9184</v>
      </c>
      <c r="C1222" s="306" t="s">
        <v>8137</v>
      </c>
      <c r="D1222" s="307">
        <v>396.87</v>
      </c>
      <c r="E1222" s="305" t="s">
        <v>8076</v>
      </c>
    </row>
    <row r="1223" spans="1:5" ht="18.149999999999999" customHeight="1">
      <c r="A1223" s="304">
        <v>42783</v>
      </c>
      <c r="B1223" s="309" t="s">
        <v>9185</v>
      </c>
      <c r="C1223" s="306" t="s">
        <v>8137</v>
      </c>
      <c r="D1223" s="307">
        <v>432.05</v>
      </c>
      <c r="E1223" s="305" t="s">
        <v>8076</v>
      </c>
    </row>
    <row r="1224" spans="1:5" ht="18.149999999999999" customHeight="1">
      <c r="A1224" s="304">
        <v>42784</v>
      </c>
      <c r="B1224" s="309" t="s">
        <v>9186</v>
      </c>
      <c r="C1224" s="306" t="s">
        <v>8137</v>
      </c>
      <c r="D1224" s="307">
        <v>509.12</v>
      </c>
      <c r="E1224" s="305" t="s">
        <v>8076</v>
      </c>
    </row>
    <row r="1225" spans="1:5" ht="18.149999999999999" customHeight="1">
      <c r="A1225" s="304">
        <v>42785</v>
      </c>
      <c r="B1225" s="309" t="s">
        <v>9187</v>
      </c>
      <c r="C1225" s="306" t="s">
        <v>8137</v>
      </c>
      <c r="D1225" s="307">
        <v>517.76</v>
      </c>
      <c r="E1225" s="305" t="s">
        <v>8076</v>
      </c>
    </row>
    <row r="1226" spans="1:5" ht="18.149999999999999" customHeight="1">
      <c r="A1226" s="304">
        <v>42786</v>
      </c>
      <c r="B1226" s="309" t="s">
        <v>9188</v>
      </c>
      <c r="C1226" s="306" t="s">
        <v>8137</v>
      </c>
      <c r="D1226" s="307">
        <v>495.73</v>
      </c>
      <c r="E1226" s="305" t="s">
        <v>8076</v>
      </c>
    </row>
    <row r="1227" spans="1:5" ht="18.149999999999999" customHeight="1">
      <c r="A1227" s="304">
        <v>42787</v>
      </c>
      <c r="B1227" s="309" t="s">
        <v>9189</v>
      </c>
      <c r="C1227" s="306" t="s">
        <v>8137</v>
      </c>
      <c r="D1227" s="307">
        <v>578.04</v>
      </c>
      <c r="E1227" s="305" t="s">
        <v>8076</v>
      </c>
    </row>
    <row r="1228" spans="1:5" ht="18.149999999999999" customHeight="1">
      <c r="A1228" s="304">
        <v>42788</v>
      </c>
      <c r="B1228" s="309" t="s">
        <v>9190</v>
      </c>
      <c r="C1228" s="306" t="s">
        <v>8137</v>
      </c>
      <c r="D1228" s="307">
        <v>613.44000000000005</v>
      </c>
      <c r="E1228" s="305" t="s">
        <v>8076</v>
      </c>
    </row>
    <row r="1229" spans="1:5" ht="18.149999999999999" customHeight="1">
      <c r="A1229" s="304">
        <v>42789</v>
      </c>
      <c r="B1229" s="309" t="s">
        <v>9191</v>
      </c>
      <c r="C1229" s="306" t="s">
        <v>8137</v>
      </c>
      <c r="D1229" s="307">
        <v>687.15</v>
      </c>
      <c r="E1229" s="305" t="s">
        <v>8076</v>
      </c>
    </row>
    <row r="1230" spans="1:5" ht="18.149999999999999" customHeight="1">
      <c r="A1230" s="304">
        <v>42790</v>
      </c>
      <c r="B1230" s="309" t="s">
        <v>9192</v>
      </c>
      <c r="C1230" s="306" t="s">
        <v>8137</v>
      </c>
      <c r="D1230" s="307">
        <v>676.69</v>
      </c>
      <c r="E1230" s="305" t="s">
        <v>8076</v>
      </c>
    </row>
    <row r="1231" spans="1:5" ht="18.149999999999999" customHeight="1">
      <c r="A1231" s="304">
        <v>42791</v>
      </c>
      <c r="B1231" s="309" t="s">
        <v>9193</v>
      </c>
      <c r="C1231" s="306" t="s">
        <v>8137</v>
      </c>
      <c r="D1231" s="307">
        <v>672.11</v>
      </c>
      <c r="E1231" s="305" t="s">
        <v>8076</v>
      </c>
    </row>
    <row r="1232" spans="1:5" ht="18.149999999999999" customHeight="1">
      <c r="A1232" s="304">
        <v>42792</v>
      </c>
      <c r="B1232" s="309" t="s">
        <v>9194</v>
      </c>
      <c r="C1232" s="306" t="s">
        <v>8137</v>
      </c>
      <c r="D1232" s="307">
        <v>747.05</v>
      </c>
      <c r="E1232" s="305" t="s">
        <v>8076</v>
      </c>
    </row>
    <row r="1233" spans="1:6" ht="18.149999999999999" customHeight="1">
      <c r="A1233" s="304">
        <v>42793</v>
      </c>
      <c r="B1233" s="309" t="s">
        <v>9195</v>
      </c>
      <c r="C1233" s="306" t="s">
        <v>8137</v>
      </c>
      <c r="D1233" s="307">
        <v>817.84</v>
      </c>
      <c r="E1233" s="305" t="s">
        <v>8076</v>
      </c>
    </row>
    <row r="1234" spans="1:6" ht="18.149999999999999" customHeight="1">
      <c r="A1234" s="304">
        <v>42794</v>
      </c>
      <c r="B1234" s="309" t="s">
        <v>9196</v>
      </c>
      <c r="C1234" s="306" t="s">
        <v>8137</v>
      </c>
      <c r="D1234" s="307">
        <v>904.35</v>
      </c>
      <c r="E1234" s="305" t="s">
        <v>8076</v>
      </c>
    </row>
    <row r="1235" spans="1:6" ht="18.149999999999999" customHeight="1">
      <c r="A1235" s="304">
        <v>42758</v>
      </c>
      <c r="B1235" s="309" t="s">
        <v>9197</v>
      </c>
      <c r="C1235" s="306" t="s">
        <v>8137</v>
      </c>
      <c r="D1235" s="307">
        <v>919.58</v>
      </c>
      <c r="E1235" s="305" t="s">
        <v>8076</v>
      </c>
    </row>
    <row r="1236" spans="1:6" ht="18.149999999999999" customHeight="1">
      <c r="A1236" s="304">
        <v>42795</v>
      </c>
      <c r="B1236" s="309" t="s">
        <v>9198</v>
      </c>
      <c r="C1236" s="306" t="s">
        <v>8137</v>
      </c>
      <c r="D1236" s="307">
        <v>898.12</v>
      </c>
      <c r="E1236" s="305" t="s">
        <v>8076</v>
      </c>
    </row>
    <row r="1237" spans="1:6" ht="9" customHeight="1">
      <c r="A1237" s="858" t="s">
        <v>9051</v>
      </c>
      <c r="B1237" s="858"/>
      <c r="C1237" s="858"/>
      <c r="D1237" s="858"/>
      <c r="E1237" s="858"/>
      <c r="F1237" s="858"/>
    </row>
    <row r="1238" spans="1:6" ht="9" customHeight="1">
      <c r="A1238" s="301" t="s">
        <v>8014</v>
      </c>
      <c r="B1238" s="302" t="s">
        <v>8015</v>
      </c>
      <c r="C1238" s="301" t="s">
        <v>8016</v>
      </c>
      <c r="D1238" s="303" t="s">
        <v>8017</v>
      </c>
      <c r="E1238" s="302" t="s">
        <v>8018</v>
      </c>
    </row>
    <row r="1239" spans="1:6" ht="18.149999999999999" customHeight="1">
      <c r="A1239" s="304">
        <v>42796</v>
      </c>
      <c r="B1239" s="309" t="s">
        <v>9199</v>
      </c>
      <c r="C1239" s="306" t="s">
        <v>8137</v>
      </c>
      <c r="D1239" s="311">
        <v>1033.26</v>
      </c>
      <c r="E1239" s="305" t="s">
        <v>8076</v>
      </c>
    </row>
    <row r="1240" spans="1:6" ht="18.149999999999999" customHeight="1">
      <c r="A1240" s="304">
        <v>42797</v>
      </c>
      <c r="B1240" s="309" t="s">
        <v>9200</v>
      </c>
      <c r="C1240" s="306" t="s">
        <v>8137</v>
      </c>
      <c r="D1240" s="311">
        <v>1084.75</v>
      </c>
      <c r="E1240" s="305" t="s">
        <v>8076</v>
      </c>
    </row>
    <row r="1241" spans="1:6" ht="18.149999999999999" customHeight="1">
      <c r="A1241" s="304">
        <v>42798</v>
      </c>
      <c r="B1241" s="309" t="s">
        <v>9201</v>
      </c>
      <c r="C1241" s="306" t="s">
        <v>8137</v>
      </c>
      <c r="D1241" s="307">
        <v>458.28</v>
      </c>
      <c r="E1241" s="305" t="s">
        <v>8076</v>
      </c>
    </row>
    <row r="1242" spans="1:6" ht="18.149999999999999" customHeight="1">
      <c r="A1242" s="304">
        <v>42799</v>
      </c>
      <c r="B1242" s="309" t="s">
        <v>9202</v>
      </c>
      <c r="C1242" s="306" t="s">
        <v>8137</v>
      </c>
      <c r="D1242" s="307">
        <v>492.03</v>
      </c>
      <c r="E1242" s="305" t="s">
        <v>8076</v>
      </c>
    </row>
    <row r="1243" spans="1:6" ht="18.149999999999999" customHeight="1">
      <c r="A1243" s="304">
        <v>42800</v>
      </c>
      <c r="B1243" s="309" t="s">
        <v>9203</v>
      </c>
      <c r="C1243" s="306" t="s">
        <v>8137</v>
      </c>
      <c r="D1243" s="307">
        <v>484.84</v>
      </c>
      <c r="E1243" s="305" t="s">
        <v>8076</v>
      </c>
    </row>
    <row r="1244" spans="1:6" ht="18.149999999999999" customHeight="1">
      <c r="A1244" s="304">
        <v>42801</v>
      </c>
      <c r="B1244" s="309" t="s">
        <v>9204</v>
      </c>
      <c r="C1244" s="306" t="s">
        <v>8137</v>
      </c>
      <c r="D1244" s="307">
        <v>540.29</v>
      </c>
      <c r="E1244" s="305" t="s">
        <v>8076</v>
      </c>
    </row>
    <row r="1245" spans="1:6" ht="18.149999999999999" customHeight="1">
      <c r="A1245" s="304">
        <v>42802</v>
      </c>
      <c r="B1245" s="309" t="s">
        <v>9205</v>
      </c>
      <c r="C1245" s="306" t="s">
        <v>8137</v>
      </c>
      <c r="D1245" s="307">
        <v>961.72</v>
      </c>
      <c r="E1245" s="305" t="s">
        <v>8076</v>
      </c>
    </row>
    <row r="1246" spans="1:6" ht="18.149999999999999" customHeight="1">
      <c r="A1246" s="304">
        <v>42803</v>
      </c>
      <c r="B1246" s="309" t="s">
        <v>9206</v>
      </c>
      <c r="C1246" s="306" t="s">
        <v>8137</v>
      </c>
      <c r="D1246" s="311">
        <v>1006.01</v>
      </c>
      <c r="E1246" s="305" t="s">
        <v>8076</v>
      </c>
    </row>
    <row r="1247" spans="1:6" ht="18.149999999999999" customHeight="1">
      <c r="A1247" s="304">
        <v>42804</v>
      </c>
      <c r="B1247" s="309" t="s">
        <v>9207</v>
      </c>
      <c r="C1247" s="306" t="s">
        <v>8137</v>
      </c>
      <c r="D1247" s="307">
        <v>991.2</v>
      </c>
      <c r="E1247" s="305" t="s">
        <v>8076</v>
      </c>
    </row>
    <row r="1248" spans="1:6" ht="18.149999999999999" customHeight="1">
      <c r="A1248" s="304">
        <v>42805</v>
      </c>
      <c r="B1248" s="309" t="s">
        <v>9208</v>
      </c>
      <c r="C1248" s="306" t="s">
        <v>8137</v>
      </c>
      <c r="D1248" s="311">
        <v>1096.74</v>
      </c>
      <c r="E1248" s="305" t="s">
        <v>8076</v>
      </c>
    </row>
    <row r="1249" spans="1:5" ht="18.149999999999999" customHeight="1">
      <c r="A1249" s="304">
        <v>42806</v>
      </c>
      <c r="B1249" s="309" t="s">
        <v>9209</v>
      </c>
      <c r="C1249" s="306" t="s">
        <v>8137</v>
      </c>
      <c r="D1249" s="311">
        <v>1327.95</v>
      </c>
      <c r="E1249" s="305" t="s">
        <v>8076</v>
      </c>
    </row>
    <row r="1250" spans="1:5" ht="18.149999999999999" customHeight="1">
      <c r="A1250" s="304">
        <v>42807</v>
      </c>
      <c r="B1250" s="309" t="s">
        <v>9210</v>
      </c>
      <c r="C1250" s="306" t="s">
        <v>8137</v>
      </c>
      <c r="D1250" s="311">
        <v>1353.89</v>
      </c>
      <c r="E1250" s="305" t="s">
        <v>8076</v>
      </c>
    </row>
    <row r="1251" spans="1:5" ht="18.149999999999999" customHeight="1">
      <c r="A1251" s="304">
        <v>42808</v>
      </c>
      <c r="B1251" s="309" t="s">
        <v>9211</v>
      </c>
      <c r="C1251" s="306" t="s">
        <v>8137</v>
      </c>
      <c r="D1251" s="311">
        <v>1287.78</v>
      </c>
      <c r="E1251" s="305" t="s">
        <v>8076</v>
      </c>
    </row>
    <row r="1252" spans="1:5" ht="18.149999999999999" customHeight="1">
      <c r="A1252" s="304">
        <v>42809</v>
      </c>
      <c r="B1252" s="309" t="s">
        <v>9212</v>
      </c>
      <c r="C1252" s="306" t="s">
        <v>8137</v>
      </c>
      <c r="D1252" s="311">
        <v>1534.72</v>
      </c>
      <c r="E1252" s="305" t="s">
        <v>8076</v>
      </c>
    </row>
    <row r="1253" spans="1:5" ht="18.149999999999999" customHeight="1">
      <c r="A1253" s="304">
        <v>42810</v>
      </c>
      <c r="B1253" s="309" t="s">
        <v>9213</v>
      </c>
      <c r="C1253" s="306" t="s">
        <v>8137</v>
      </c>
      <c r="D1253" s="311">
        <v>1640.93</v>
      </c>
      <c r="E1253" s="305" t="s">
        <v>8076</v>
      </c>
    </row>
    <row r="1254" spans="1:5" ht="18.149999999999999" customHeight="1">
      <c r="A1254" s="304">
        <v>42811</v>
      </c>
      <c r="B1254" s="309" t="s">
        <v>9214</v>
      </c>
      <c r="C1254" s="306" t="s">
        <v>8137</v>
      </c>
      <c r="D1254" s="311">
        <v>1862.1</v>
      </c>
      <c r="E1254" s="305" t="s">
        <v>8076</v>
      </c>
    </row>
    <row r="1255" spans="1:5" ht="18.149999999999999" customHeight="1">
      <c r="A1255" s="304">
        <v>42812</v>
      </c>
      <c r="B1255" s="309" t="s">
        <v>9215</v>
      </c>
      <c r="C1255" s="306" t="s">
        <v>8137</v>
      </c>
      <c r="D1255" s="311">
        <v>1830.72</v>
      </c>
      <c r="E1255" s="305" t="s">
        <v>8076</v>
      </c>
    </row>
    <row r="1256" spans="1:5" ht="18.149999999999999" customHeight="1">
      <c r="A1256" s="304">
        <v>42813</v>
      </c>
      <c r="B1256" s="309" t="s">
        <v>9216</v>
      </c>
      <c r="C1256" s="306" t="s">
        <v>8137</v>
      </c>
      <c r="D1256" s="311">
        <v>1816.99</v>
      </c>
      <c r="E1256" s="305" t="s">
        <v>8076</v>
      </c>
    </row>
    <row r="1257" spans="1:5" ht="18.149999999999999" customHeight="1">
      <c r="A1257" s="304">
        <v>42814</v>
      </c>
      <c r="B1257" s="309" t="s">
        <v>9217</v>
      </c>
      <c r="C1257" s="306" t="s">
        <v>8137</v>
      </c>
      <c r="D1257" s="311">
        <v>2041.81</v>
      </c>
      <c r="E1257" s="305" t="s">
        <v>8076</v>
      </c>
    </row>
    <row r="1258" spans="1:5" ht="18.149999999999999" customHeight="1">
      <c r="A1258" s="304">
        <v>42815</v>
      </c>
      <c r="B1258" s="309" t="s">
        <v>9218</v>
      </c>
      <c r="C1258" s="306" t="s">
        <v>8137</v>
      </c>
      <c r="D1258" s="311">
        <v>2254.1799999999998</v>
      </c>
      <c r="E1258" s="305" t="s">
        <v>8076</v>
      </c>
    </row>
    <row r="1259" spans="1:5" ht="18.149999999999999" customHeight="1">
      <c r="A1259" s="304">
        <v>42816</v>
      </c>
      <c r="B1259" s="309" t="s">
        <v>9219</v>
      </c>
      <c r="C1259" s="306" t="s">
        <v>8137</v>
      </c>
      <c r="D1259" s="311">
        <v>2513.66</v>
      </c>
      <c r="E1259" s="305" t="s">
        <v>8076</v>
      </c>
    </row>
    <row r="1260" spans="1:5" ht="18.149999999999999" customHeight="1">
      <c r="A1260" s="304">
        <v>42817</v>
      </c>
      <c r="B1260" s="309" t="s">
        <v>9220</v>
      </c>
      <c r="C1260" s="306" t="s">
        <v>8137</v>
      </c>
      <c r="D1260" s="311">
        <v>2559.36</v>
      </c>
      <c r="E1260" s="305" t="s">
        <v>8076</v>
      </c>
    </row>
    <row r="1261" spans="1:5" ht="18.149999999999999" customHeight="1">
      <c r="A1261" s="304">
        <v>42818</v>
      </c>
      <c r="B1261" s="309" t="s">
        <v>9221</v>
      </c>
      <c r="C1261" s="306" t="s">
        <v>8137</v>
      </c>
      <c r="D1261" s="311">
        <v>2495</v>
      </c>
      <c r="E1261" s="305" t="s">
        <v>8076</v>
      </c>
    </row>
    <row r="1262" spans="1:5" ht="18.149999999999999" customHeight="1">
      <c r="A1262" s="304">
        <v>42819</v>
      </c>
      <c r="B1262" s="309" t="s">
        <v>9222</v>
      </c>
      <c r="C1262" s="306" t="s">
        <v>8137</v>
      </c>
      <c r="D1262" s="311">
        <v>2900.41</v>
      </c>
      <c r="E1262" s="305" t="s">
        <v>8076</v>
      </c>
    </row>
    <row r="1263" spans="1:5" ht="18.149999999999999" customHeight="1">
      <c r="A1263" s="304">
        <v>42820</v>
      </c>
      <c r="B1263" s="309" t="s">
        <v>9223</v>
      </c>
      <c r="C1263" s="306" t="s">
        <v>8137</v>
      </c>
      <c r="D1263" s="311">
        <v>3054.88</v>
      </c>
      <c r="E1263" s="305" t="s">
        <v>8076</v>
      </c>
    </row>
    <row r="1264" spans="1:5" ht="9" customHeight="1">
      <c r="A1264" s="304">
        <v>41321</v>
      </c>
      <c r="B1264" s="305" t="s">
        <v>9224</v>
      </c>
      <c r="C1264" s="306" t="s">
        <v>8137</v>
      </c>
      <c r="D1264" s="311">
        <v>5149.37</v>
      </c>
      <c r="E1264" s="308"/>
    </row>
    <row r="1265" spans="1:5" ht="9" customHeight="1">
      <c r="A1265" s="304">
        <v>42821</v>
      </c>
      <c r="B1265" s="305" t="s">
        <v>9225</v>
      </c>
      <c r="C1265" s="306" t="s">
        <v>8137</v>
      </c>
      <c r="D1265" s="311">
        <v>4018.51</v>
      </c>
      <c r="E1265" s="308"/>
    </row>
    <row r="1266" spans="1:5" ht="9" customHeight="1">
      <c r="A1266" s="304">
        <v>42822</v>
      </c>
      <c r="B1266" s="305" t="s">
        <v>9226</v>
      </c>
      <c r="C1266" s="306" t="s">
        <v>8137</v>
      </c>
      <c r="D1266" s="311">
        <v>4192.7299999999996</v>
      </c>
      <c r="E1266" s="308"/>
    </row>
    <row r="1267" spans="1:5" ht="9" customHeight="1">
      <c r="A1267" s="304">
        <v>42823</v>
      </c>
      <c r="B1267" s="305" t="s">
        <v>9227</v>
      </c>
      <c r="C1267" s="306" t="s">
        <v>8137</v>
      </c>
      <c r="D1267" s="311">
        <v>5746.21</v>
      </c>
      <c r="E1267" s="308"/>
    </row>
    <row r="1268" spans="1:5" ht="9" customHeight="1">
      <c r="A1268" s="304">
        <v>42824</v>
      </c>
      <c r="B1268" s="305" t="s">
        <v>9228</v>
      </c>
      <c r="C1268" s="306" t="s">
        <v>8137</v>
      </c>
      <c r="D1268" s="311">
        <v>5771.47</v>
      </c>
      <c r="E1268" s="308"/>
    </row>
    <row r="1269" spans="1:5" ht="9" customHeight="1">
      <c r="A1269" s="304">
        <v>42825</v>
      </c>
      <c r="B1269" s="305" t="s">
        <v>9229</v>
      </c>
      <c r="C1269" s="306" t="s">
        <v>8137</v>
      </c>
      <c r="D1269" s="311">
        <v>6432.77</v>
      </c>
      <c r="E1269" s="308"/>
    </row>
    <row r="1270" spans="1:5" ht="9" customHeight="1">
      <c r="A1270" s="304">
        <v>40600</v>
      </c>
      <c r="B1270" s="305" t="s">
        <v>9230</v>
      </c>
      <c r="C1270" s="306" t="s">
        <v>8137</v>
      </c>
      <c r="D1270" s="311">
        <v>8472.48</v>
      </c>
      <c r="E1270" s="308"/>
    </row>
    <row r="1271" spans="1:5" ht="9" customHeight="1">
      <c r="A1271" s="304">
        <v>42827</v>
      </c>
      <c r="B1271" s="305" t="s">
        <v>9231</v>
      </c>
      <c r="C1271" s="306" t="s">
        <v>8137</v>
      </c>
      <c r="D1271" s="311">
        <v>9549.02</v>
      </c>
      <c r="E1271" s="308"/>
    </row>
    <row r="1272" spans="1:5" ht="9" customHeight="1">
      <c r="A1272" s="304">
        <v>42826</v>
      </c>
      <c r="B1272" s="305" t="s">
        <v>9232</v>
      </c>
      <c r="C1272" s="306" t="s">
        <v>8137</v>
      </c>
      <c r="D1272" s="311">
        <v>8240.48</v>
      </c>
      <c r="E1272" s="308"/>
    </row>
    <row r="1273" spans="1:5" ht="9" customHeight="1">
      <c r="A1273" s="304">
        <v>42828</v>
      </c>
      <c r="B1273" s="305" t="s">
        <v>9233</v>
      </c>
      <c r="C1273" s="306" t="s">
        <v>8137</v>
      </c>
      <c r="D1273" s="311">
        <v>8295.98</v>
      </c>
      <c r="E1273" s="308"/>
    </row>
    <row r="1274" spans="1:5" ht="9" customHeight="1">
      <c r="A1274" s="304">
        <v>42830</v>
      </c>
      <c r="B1274" s="305" t="s">
        <v>9234</v>
      </c>
      <c r="C1274" s="306" t="s">
        <v>8137</v>
      </c>
      <c r="D1274" s="311">
        <v>8666.93</v>
      </c>
      <c r="E1274" s="308"/>
    </row>
    <row r="1275" spans="1:5" ht="9" customHeight="1">
      <c r="A1275" s="304">
        <v>42829</v>
      </c>
      <c r="B1275" s="305" t="s">
        <v>9235</v>
      </c>
      <c r="C1275" s="306" t="s">
        <v>8137</v>
      </c>
      <c r="D1275" s="311">
        <v>7807.14</v>
      </c>
      <c r="E1275" s="308"/>
    </row>
    <row r="1276" spans="1:5" ht="9" customHeight="1">
      <c r="A1276" s="304">
        <v>42831</v>
      </c>
      <c r="B1276" s="305" t="s">
        <v>9236</v>
      </c>
      <c r="C1276" s="306" t="s">
        <v>8137</v>
      </c>
      <c r="D1276" s="311">
        <v>9411.85</v>
      </c>
      <c r="E1276" s="308"/>
    </row>
    <row r="1277" spans="1:5" ht="9" customHeight="1">
      <c r="A1277" s="304">
        <v>42832</v>
      </c>
      <c r="B1277" s="305" t="s">
        <v>9237</v>
      </c>
      <c r="C1277" s="306" t="s">
        <v>8137</v>
      </c>
      <c r="D1277" s="311">
        <v>10363.24</v>
      </c>
      <c r="E1277" s="308"/>
    </row>
    <row r="1278" spans="1:5" ht="9" customHeight="1">
      <c r="A1278" s="304">
        <v>42834</v>
      </c>
      <c r="B1278" s="305" t="s">
        <v>9238</v>
      </c>
      <c r="C1278" s="306" t="s">
        <v>8137</v>
      </c>
      <c r="D1278" s="311">
        <v>11080.62</v>
      </c>
      <c r="E1278" s="308"/>
    </row>
    <row r="1279" spans="1:5" ht="9" customHeight="1">
      <c r="A1279" s="304">
        <v>42833</v>
      </c>
      <c r="B1279" s="305" t="s">
        <v>9239</v>
      </c>
      <c r="C1279" s="306" t="s">
        <v>8137</v>
      </c>
      <c r="D1279" s="311">
        <v>10320.86</v>
      </c>
      <c r="E1279" s="308"/>
    </row>
    <row r="1280" spans="1:5" ht="9" customHeight="1">
      <c r="A1280" s="304">
        <v>42835</v>
      </c>
      <c r="B1280" s="305" t="s">
        <v>9240</v>
      </c>
      <c r="C1280" s="306" t="s">
        <v>8137</v>
      </c>
      <c r="D1280" s="311">
        <v>2442.54</v>
      </c>
      <c r="E1280" s="308"/>
    </row>
    <row r="1281" spans="1:6" ht="9" customHeight="1">
      <c r="A1281" s="858" t="s">
        <v>9051</v>
      </c>
      <c r="B1281" s="858"/>
      <c r="C1281" s="858"/>
      <c r="D1281" s="858"/>
      <c r="E1281" s="858"/>
      <c r="F1281" s="858"/>
    </row>
    <row r="1282" spans="1:6" ht="9" customHeight="1">
      <c r="A1282" s="301" t="s">
        <v>8014</v>
      </c>
      <c r="B1282" s="302" t="s">
        <v>8015</v>
      </c>
      <c r="C1282" s="301" t="s">
        <v>8016</v>
      </c>
      <c r="D1282" s="303" t="s">
        <v>8017</v>
      </c>
      <c r="E1282" s="302" t="s">
        <v>8018</v>
      </c>
    </row>
    <row r="1283" spans="1:6" ht="9" customHeight="1">
      <c r="A1283" s="304">
        <v>42836</v>
      </c>
      <c r="B1283" s="305" t="s">
        <v>9241</v>
      </c>
      <c r="C1283" s="306" t="s">
        <v>8137</v>
      </c>
      <c r="D1283" s="311">
        <v>2573.1999999999998</v>
      </c>
      <c r="E1283" s="308"/>
    </row>
    <row r="1284" spans="1:6" ht="9" customHeight="1">
      <c r="A1284" s="304">
        <v>42837</v>
      </c>
      <c r="B1284" s="305" t="s">
        <v>9242</v>
      </c>
      <c r="C1284" s="306" t="s">
        <v>8137</v>
      </c>
      <c r="D1284" s="311">
        <v>4185.42</v>
      </c>
      <c r="E1284" s="308"/>
    </row>
    <row r="1285" spans="1:6" ht="9" customHeight="1">
      <c r="A1285" s="304">
        <v>42838</v>
      </c>
      <c r="B1285" s="305" t="s">
        <v>9243</v>
      </c>
      <c r="C1285" s="306" t="s">
        <v>8137</v>
      </c>
      <c r="D1285" s="311">
        <v>3471.89</v>
      </c>
      <c r="E1285" s="308"/>
    </row>
    <row r="1286" spans="1:6" ht="9" customHeight="1">
      <c r="A1286" s="304">
        <v>42839</v>
      </c>
      <c r="B1286" s="305" t="s">
        <v>9244</v>
      </c>
      <c r="C1286" s="306" t="s">
        <v>8137</v>
      </c>
      <c r="D1286" s="311">
        <v>3880.53</v>
      </c>
      <c r="E1286" s="308"/>
    </row>
    <row r="1287" spans="1:6" ht="9" customHeight="1">
      <c r="A1287" s="304">
        <v>42840</v>
      </c>
      <c r="B1287" s="305" t="s">
        <v>9245</v>
      </c>
      <c r="C1287" s="306" t="s">
        <v>8137</v>
      </c>
      <c r="D1287" s="311">
        <v>4989.03</v>
      </c>
      <c r="E1287" s="308"/>
    </row>
    <row r="1288" spans="1:6" ht="9" customHeight="1">
      <c r="A1288" s="304">
        <v>42841</v>
      </c>
      <c r="B1288" s="305" t="s">
        <v>9246</v>
      </c>
      <c r="C1288" s="306" t="s">
        <v>8137</v>
      </c>
      <c r="D1288" s="311">
        <v>6222.61</v>
      </c>
      <c r="E1288" s="308"/>
    </row>
    <row r="1289" spans="1:6" ht="9" customHeight="1">
      <c r="A1289" s="304">
        <v>40585</v>
      </c>
      <c r="B1289" s="305" t="s">
        <v>9247</v>
      </c>
      <c r="C1289" s="306" t="s">
        <v>8137</v>
      </c>
      <c r="D1289" s="311">
        <v>5317.29</v>
      </c>
      <c r="E1289" s="308"/>
    </row>
    <row r="1290" spans="1:6" ht="9" customHeight="1">
      <c r="A1290" s="304">
        <v>42843</v>
      </c>
      <c r="B1290" s="305" t="s">
        <v>9248</v>
      </c>
      <c r="C1290" s="306" t="s">
        <v>8137</v>
      </c>
      <c r="D1290" s="311">
        <v>5355.83</v>
      </c>
      <c r="E1290" s="308"/>
    </row>
    <row r="1291" spans="1:6" ht="9" customHeight="1">
      <c r="A1291" s="304">
        <v>42844</v>
      </c>
      <c r="B1291" s="305" t="s">
        <v>9249</v>
      </c>
      <c r="C1291" s="306" t="s">
        <v>8137</v>
      </c>
      <c r="D1291" s="311">
        <v>6176.01</v>
      </c>
      <c r="E1291" s="308"/>
    </row>
    <row r="1292" spans="1:6" ht="9" customHeight="1">
      <c r="A1292" s="304">
        <v>42845</v>
      </c>
      <c r="B1292" s="305" t="s">
        <v>9250</v>
      </c>
      <c r="C1292" s="306" t="s">
        <v>8137</v>
      </c>
      <c r="D1292" s="311">
        <v>7310.23</v>
      </c>
      <c r="E1292" s="308"/>
    </row>
    <row r="1293" spans="1:6" ht="9" customHeight="1">
      <c r="A1293" s="304">
        <v>41179</v>
      </c>
      <c r="B1293" s="305" t="s">
        <v>9251</v>
      </c>
      <c r="C1293" s="306" t="s">
        <v>8137</v>
      </c>
      <c r="D1293" s="311">
        <v>6244.67</v>
      </c>
      <c r="E1293" s="308"/>
    </row>
    <row r="1294" spans="1:6" ht="9" customHeight="1">
      <c r="A1294" s="304">
        <v>42842</v>
      </c>
      <c r="B1294" s="305" t="s">
        <v>9252</v>
      </c>
      <c r="C1294" s="306" t="s">
        <v>8137</v>
      </c>
      <c r="D1294" s="311">
        <v>6722</v>
      </c>
      <c r="E1294" s="308"/>
    </row>
    <row r="1295" spans="1:6" ht="9" customHeight="1">
      <c r="A1295" s="304">
        <v>42848</v>
      </c>
      <c r="B1295" s="305" t="s">
        <v>9253</v>
      </c>
      <c r="C1295" s="306" t="s">
        <v>8137</v>
      </c>
      <c r="D1295" s="311">
        <v>7638.57</v>
      </c>
      <c r="E1295" s="308"/>
    </row>
    <row r="1296" spans="1:6" ht="9" customHeight="1">
      <c r="A1296" s="304">
        <v>42849</v>
      </c>
      <c r="B1296" s="305" t="s">
        <v>9254</v>
      </c>
      <c r="C1296" s="306" t="s">
        <v>8137</v>
      </c>
      <c r="D1296" s="311">
        <v>5613.01</v>
      </c>
      <c r="E1296" s="308"/>
    </row>
    <row r="1297" spans="1:5" ht="9" customHeight="1">
      <c r="A1297" s="304">
        <v>42850</v>
      </c>
      <c r="B1297" s="305" t="s">
        <v>9255</v>
      </c>
      <c r="C1297" s="306" t="s">
        <v>8137</v>
      </c>
      <c r="D1297" s="311">
        <v>5935.32</v>
      </c>
      <c r="E1297" s="308"/>
    </row>
    <row r="1298" spans="1:5" ht="9" customHeight="1">
      <c r="A1298" s="304">
        <v>42851</v>
      </c>
      <c r="B1298" s="305" t="s">
        <v>9256</v>
      </c>
      <c r="C1298" s="306" t="s">
        <v>8137</v>
      </c>
      <c r="D1298" s="311">
        <v>8233.26</v>
      </c>
      <c r="E1298" s="308"/>
    </row>
    <row r="1299" spans="1:5" ht="9" customHeight="1">
      <c r="A1299" s="304">
        <v>42852</v>
      </c>
      <c r="B1299" s="305" t="s">
        <v>9257</v>
      </c>
      <c r="C1299" s="306" t="s">
        <v>8137</v>
      </c>
      <c r="D1299" s="311">
        <v>8721.84</v>
      </c>
      <c r="E1299" s="308"/>
    </row>
    <row r="1300" spans="1:5" ht="9" customHeight="1">
      <c r="A1300" s="304">
        <v>42853</v>
      </c>
      <c r="B1300" s="305" t="s">
        <v>9258</v>
      </c>
      <c r="C1300" s="306" t="s">
        <v>8137</v>
      </c>
      <c r="D1300" s="311">
        <v>11896.26</v>
      </c>
      <c r="E1300" s="308"/>
    </row>
    <row r="1301" spans="1:5" ht="9" customHeight="1">
      <c r="A1301" s="304">
        <v>42854</v>
      </c>
      <c r="B1301" s="305" t="s">
        <v>9259</v>
      </c>
      <c r="C1301" s="306" t="s">
        <v>8137</v>
      </c>
      <c r="D1301" s="311">
        <v>13394.91</v>
      </c>
      <c r="E1301" s="308"/>
    </row>
    <row r="1302" spans="1:5" ht="9" customHeight="1">
      <c r="A1302" s="304">
        <v>42855</v>
      </c>
      <c r="B1302" s="305" t="s">
        <v>9260</v>
      </c>
      <c r="C1302" s="306" t="s">
        <v>8137</v>
      </c>
      <c r="D1302" s="311">
        <v>10771.31</v>
      </c>
      <c r="E1302" s="308"/>
    </row>
    <row r="1303" spans="1:5" ht="9" customHeight="1">
      <c r="A1303" s="304">
        <v>42856</v>
      </c>
      <c r="B1303" s="305" t="s">
        <v>9261</v>
      </c>
      <c r="C1303" s="306" t="s">
        <v>8137</v>
      </c>
      <c r="D1303" s="311">
        <v>11996.36</v>
      </c>
      <c r="E1303" s="308"/>
    </row>
    <row r="1304" spans="1:5" ht="9" customHeight="1">
      <c r="A1304" s="304">
        <v>42858</v>
      </c>
      <c r="B1304" s="305" t="s">
        <v>9262</v>
      </c>
      <c r="C1304" s="306" t="s">
        <v>8137</v>
      </c>
      <c r="D1304" s="311">
        <v>13309.18</v>
      </c>
      <c r="E1304" s="308"/>
    </row>
    <row r="1305" spans="1:5" ht="9" customHeight="1">
      <c r="A1305" s="304">
        <v>42857</v>
      </c>
      <c r="B1305" s="305" t="s">
        <v>9263</v>
      </c>
      <c r="C1305" s="306" t="s">
        <v>8137</v>
      </c>
      <c r="D1305" s="311">
        <v>13309.18</v>
      </c>
      <c r="E1305" s="308"/>
    </row>
    <row r="1306" spans="1:5" ht="9" customHeight="1">
      <c r="A1306" s="304">
        <v>42859</v>
      </c>
      <c r="B1306" s="305" t="s">
        <v>9264</v>
      </c>
      <c r="C1306" s="306" t="s">
        <v>8137</v>
      </c>
      <c r="D1306" s="311">
        <v>14984.51</v>
      </c>
      <c r="E1306" s="308"/>
    </row>
    <row r="1307" spans="1:5" ht="9" customHeight="1">
      <c r="A1307" s="304">
        <v>42860</v>
      </c>
      <c r="B1307" s="305" t="s">
        <v>9265</v>
      </c>
      <c r="C1307" s="306" t="s">
        <v>8137</v>
      </c>
      <c r="D1307" s="311">
        <v>14315.28</v>
      </c>
      <c r="E1307" s="308"/>
    </row>
    <row r="1308" spans="1:5" ht="9" customHeight="1">
      <c r="A1308" s="304">
        <v>42861</v>
      </c>
      <c r="B1308" s="305" t="s">
        <v>9266</v>
      </c>
      <c r="C1308" s="306" t="s">
        <v>8137</v>
      </c>
      <c r="D1308" s="311">
        <v>15941.01</v>
      </c>
      <c r="E1308" s="308"/>
    </row>
    <row r="1309" spans="1:5" ht="9" customHeight="1">
      <c r="A1309" s="304">
        <v>42862</v>
      </c>
      <c r="B1309" s="305" t="s">
        <v>9267</v>
      </c>
      <c r="C1309" s="306" t="s">
        <v>8022</v>
      </c>
      <c r="D1309" s="307">
        <v>15.52</v>
      </c>
      <c r="E1309" s="308"/>
    </row>
    <row r="1310" spans="1:5" ht="9" customHeight="1">
      <c r="A1310" s="304">
        <v>42863</v>
      </c>
      <c r="B1310" s="305" t="s">
        <v>9268</v>
      </c>
      <c r="C1310" s="306" t="s">
        <v>8022</v>
      </c>
      <c r="D1310" s="307">
        <v>31.07</v>
      </c>
      <c r="E1310" s="308"/>
    </row>
    <row r="1311" spans="1:5" ht="9" customHeight="1">
      <c r="A1311" s="304">
        <v>42864</v>
      </c>
      <c r="B1311" s="305" t="s">
        <v>9269</v>
      </c>
      <c r="C1311" s="306" t="s">
        <v>8022</v>
      </c>
      <c r="D1311" s="307">
        <v>146.04</v>
      </c>
      <c r="E1311" s="308"/>
    </row>
    <row r="1312" spans="1:5" ht="18.149999999999999" customHeight="1">
      <c r="A1312" s="304">
        <v>42865</v>
      </c>
      <c r="B1312" s="309" t="s">
        <v>9270</v>
      </c>
      <c r="C1312" s="306" t="s">
        <v>8137</v>
      </c>
      <c r="D1312" s="307">
        <v>22.2</v>
      </c>
      <c r="E1312" s="310"/>
    </row>
    <row r="1313" spans="1:5" ht="18.149999999999999" customHeight="1">
      <c r="A1313" s="304">
        <v>42866</v>
      </c>
      <c r="B1313" s="309" t="s">
        <v>9271</v>
      </c>
      <c r="C1313" s="306" t="s">
        <v>8036</v>
      </c>
      <c r="D1313" s="307">
        <v>43.14</v>
      </c>
      <c r="E1313" s="310"/>
    </row>
    <row r="1314" spans="1:5" ht="9" customHeight="1">
      <c r="A1314" s="304">
        <v>42867</v>
      </c>
      <c r="B1314" s="305" t="s">
        <v>9272</v>
      </c>
      <c r="C1314" s="306" t="s">
        <v>8022</v>
      </c>
      <c r="D1314" s="307">
        <v>199.42</v>
      </c>
      <c r="E1314" s="308"/>
    </row>
    <row r="1315" spans="1:5" ht="9" customHeight="1">
      <c r="A1315" s="304">
        <v>42868</v>
      </c>
      <c r="B1315" s="305" t="s">
        <v>9273</v>
      </c>
      <c r="C1315" s="306" t="s">
        <v>8022</v>
      </c>
      <c r="D1315" s="307">
        <v>294.32</v>
      </c>
      <c r="E1315" s="308"/>
    </row>
    <row r="1316" spans="1:5" ht="9" customHeight="1">
      <c r="A1316" s="304">
        <v>42869</v>
      </c>
      <c r="B1316" s="305" t="s">
        <v>9274</v>
      </c>
      <c r="C1316" s="306" t="s">
        <v>8022</v>
      </c>
      <c r="D1316" s="307">
        <v>259.68</v>
      </c>
      <c r="E1316" s="308"/>
    </row>
    <row r="1317" spans="1:5" ht="9" customHeight="1">
      <c r="A1317" s="304">
        <v>42870</v>
      </c>
      <c r="B1317" s="305" t="s">
        <v>9275</v>
      </c>
      <c r="C1317" s="306" t="s">
        <v>8022</v>
      </c>
      <c r="D1317" s="307">
        <v>187.71</v>
      </c>
      <c r="E1317" s="308"/>
    </row>
    <row r="1318" spans="1:5" ht="9" customHeight="1">
      <c r="A1318" s="304">
        <v>42880</v>
      </c>
      <c r="B1318" s="305" t="s">
        <v>9276</v>
      </c>
      <c r="C1318" s="306" t="s">
        <v>8036</v>
      </c>
      <c r="D1318" s="307">
        <v>678.69</v>
      </c>
      <c r="E1318" s="308"/>
    </row>
    <row r="1319" spans="1:5" ht="9" customHeight="1">
      <c r="A1319" s="304">
        <v>42883</v>
      </c>
      <c r="B1319" s="305" t="s">
        <v>9277</v>
      </c>
      <c r="C1319" s="306" t="s">
        <v>8137</v>
      </c>
      <c r="D1319" s="307">
        <v>39.14</v>
      </c>
      <c r="E1319" s="305" t="s">
        <v>8076</v>
      </c>
    </row>
    <row r="1320" spans="1:5" ht="18.149999999999999" customHeight="1">
      <c r="A1320" s="304">
        <v>42899</v>
      </c>
      <c r="B1320" s="309" t="s">
        <v>9278</v>
      </c>
      <c r="C1320" s="306" t="s">
        <v>8137</v>
      </c>
      <c r="D1320" s="307">
        <v>56.27</v>
      </c>
      <c r="E1320" s="305" t="s">
        <v>8076</v>
      </c>
    </row>
    <row r="1321" spans="1:5" ht="9" customHeight="1">
      <c r="A1321" s="304">
        <v>42901</v>
      </c>
      <c r="B1321" s="305" t="s">
        <v>9279</v>
      </c>
      <c r="C1321" s="306" t="s">
        <v>8137</v>
      </c>
      <c r="D1321" s="307">
        <v>31.68</v>
      </c>
      <c r="E1321" s="308"/>
    </row>
    <row r="1322" spans="1:5" ht="9" customHeight="1">
      <c r="A1322" s="304">
        <v>42900</v>
      </c>
      <c r="B1322" s="305" t="s">
        <v>9280</v>
      </c>
      <c r="C1322" s="306" t="s">
        <v>8137</v>
      </c>
      <c r="D1322" s="307">
        <v>23.19</v>
      </c>
      <c r="E1322" s="308"/>
    </row>
    <row r="1323" spans="1:5" ht="9" customHeight="1">
      <c r="A1323" s="304">
        <v>41185</v>
      </c>
      <c r="B1323" s="305" t="s">
        <v>9281</v>
      </c>
      <c r="C1323" s="306" t="s">
        <v>8137</v>
      </c>
      <c r="D1323" s="307">
        <v>5.27</v>
      </c>
      <c r="E1323" s="305" t="s">
        <v>8076</v>
      </c>
    </row>
    <row r="1324" spans="1:5" ht="18.149999999999999" customHeight="1">
      <c r="A1324" s="304">
        <v>42903</v>
      </c>
      <c r="B1324" s="309" t="s">
        <v>9282</v>
      </c>
      <c r="C1324" s="306" t="s">
        <v>8137</v>
      </c>
      <c r="D1324" s="307">
        <v>115.35</v>
      </c>
      <c r="E1324" s="305" t="s">
        <v>8076</v>
      </c>
    </row>
    <row r="1325" spans="1:5" ht="18.149999999999999" customHeight="1">
      <c r="A1325" s="304">
        <v>42904</v>
      </c>
      <c r="B1325" s="309" t="s">
        <v>9283</v>
      </c>
      <c r="C1325" s="306" t="s">
        <v>8137</v>
      </c>
      <c r="D1325" s="307">
        <v>85.95</v>
      </c>
      <c r="E1325" s="305" t="s">
        <v>8076</v>
      </c>
    </row>
    <row r="1326" spans="1:5" ht="18.149999999999999" customHeight="1">
      <c r="A1326" s="304">
        <v>42902</v>
      </c>
      <c r="B1326" s="309" t="s">
        <v>9284</v>
      </c>
      <c r="C1326" s="306" t="s">
        <v>8137</v>
      </c>
      <c r="D1326" s="307">
        <v>92.36</v>
      </c>
      <c r="E1326" s="310"/>
    </row>
    <row r="1327" spans="1:5" ht="9" customHeight="1">
      <c r="A1327" s="304">
        <v>42905</v>
      </c>
      <c r="B1327" s="305" t="s">
        <v>9285</v>
      </c>
      <c r="C1327" s="306" t="s">
        <v>8137</v>
      </c>
      <c r="D1327" s="307">
        <v>20.8</v>
      </c>
      <c r="E1327" s="308"/>
    </row>
    <row r="1328" spans="1:5" ht="18.149999999999999" customHeight="1">
      <c r="A1328" s="304">
        <v>43120</v>
      </c>
      <c r="B1328" s="309" t="s">
        <v>9286</v>
      </c>
      <c r="C1328" s="306" t="s">
        <v>8137</v>
      </c>
      <c r="D1328" s="307">
        <v>104.33</v>
      </c>
      <c r="E1328" s="305" t="s">
        <v>8076</v>
      </c>
    </row>
    <row r="1329" spans="1:6" ht="18.149999999999999" customHeight="1">
      <c r="A1329" s="304">
        <v>42906</v>
      </c>
      <c r="B1329" s="309" t="s">
        <v>9287</v>
      </c>
      <c r="C1329" s="306" t="s">
        <v>8137</v>
      </c>
      <c r="D1329" s="307">
        <v>106.71</v>
      </c>
      <c r="E1329" s="305" t="s">
        <v>8076</v>
      </c>
    </row>
    <row r="1330" spans="1:6" ht="18.149999999999999" customHeight="1">
      <c r="A1330" s="304">
        <v>42907</v>
      </c>
      <c r="B1330" s="309" t="s">
        <v>9288</v>
      </c>
      <c r="C1330" s="306" t="s">
        <v>8137</v>
      </c>
      <c r="D1330" s="307">
        <v>114.03</v>
      </c>
      <c r="E1330" s="305" t="s">
        <v>8076</v>
      </c>
    </row>
    <row r="1331" spans="1:6" ht="18.149999999999999" customHeight="1">
      <c r="A1331" s="304">
        <v>42908</v>
      </c>
      <c r="B1331" s="309" t="s">
        <v>9289</v>
      </c>
      <c r="C1331" s="306" t="s">
        <v>8137</v>
      </c>
      <c r="D1331" s="307">
        <v>100.56</v>
      </c>
      <c r="E1331" s="305" t="s">
        <v>8076</v>
      </c>
    </row>
    <row r="1332" spans="1:6" ht="18.149999999999999" customHeight="1">
      <c r="A1332" s="304">
        <v>43122</v>
      </c>
      <c r="B1332" s="309" t="s">
        <v>9290</v>
      </c>
      <c r="C1332" s="306" t="s">
        <v>8137</v>
      </c>
      <c r="D1332" s="307">
        <v>104.31</v>
      </c>
      <c r="E1332" s="305" t="s">
        <v>8076</v>
      </c>
    </row>
    <row r="1333" spans="1:6" ht="9" customHeight="1">
      <c r="A1333" s="858" t="s">
        <v>9051</v>
      </c>
      <c r="B1333" s="858"/>
      <c r="C1333" s="858"/>
      <c r="D1333" s="858"/>
      <c r="E1333" s="858"/>
      <c r="F1333" s="858"/>
    </row>
    <row r="1334" spans="1:6" ht="9" customHeight="1">
      <c r="A1334" s="301" t="s">
        <v>8014</v>
      </c>
      <c r="B1334" s="302" t="s">
        <v>8015</v>
      </c>
      <c r="C1334" s="301" t="s">
        <v>8016</v>
      </c>
      <c r="D1334" s="303" t="s">
        <v>8017</v>
      </c>
      <c r="E1334" s="302" t="s">
        <v>8018</v>
      </c>
    </row>
    <row r="1335" spans="1:6" ht="18.149999999999999" customHeight="1">
      <c r="A1335" s="304">
        <v>42911</v>
      </c>
      <c r="B1335" s="309" t="s">
        <v>9291</v>
      </c>
      <c r="C1335" s="306" t="s">
        <v>8137</v>
      </c>
      <c r="D1335" s="307">
        <v>125.01</v>
      </c>
      <c r="E1335" s="305" t="s">
        <v>8076</v>
      </c>
    </row>
    <row r="1336" spans="1:6" ht="18.149999999999999" customHeight="1">
      <c r="A1336" s="304">
        <v>42912</v>
      </c>
      <c r="B1336" s="309" t="s">
        <v>9292</v>
      </c>
      <c r="C1336" s="306" t="s">
        <v>8137</v>
      </c>
      <c r="D1336" s="307">
        <v>119.98</v>
      </c>
      <c r="E1336" s="305" t="s">
        <v>8076</v>
      </c>
    </row>
    <row r="1337" spans="1:6" ht="18.149999999999999" customHeight="1">
      <c r="A1337" s="304">
        <v>42915</v>
      </c>
      <c r="B1337" s="309" t="s">
        <v>9293</v>
      </c>
      <c r="C1337" s="306" t="s">
        <v>8137</v>
      </c>
      <c r="D1337" s="307">
        <v>127.32</v>
      </c>
      <c r="E1337" s="305" t="s">
        <v>8076</v>
      </c>
    </row>
    <row r="1338" spans="1:6" ht="18.149999999999999" customHeight="1">
      <c r="A1338" s="304">
        <v>42914</v>
      </c>
      <c r="B1338" s="309" t="s">
        <v>9294</v>
      </c>
      <c r="C1338" s="306" t="s">
        <v>8137</v>
      </c>
      <c r="D1338" s="307">
        <v>87.95</v>
      </c>
      <c r="E1338" s="305" t="s">
        <v>8076</v>
      </c>
    </row>
    <row r="1339" spans="1:6" ht="18.149999999999999" customHeight="1">
      <c r="A1339" s="304">
        <v>42917</v>
      </c>
      <c r="B1339" s="309" t="s">
        <v>9295</v>
      </c>
      <c r="C1339" s="306" t="s">
        <v>8137</v>
      </c>
      <c r="D1339" s="307">
        <v>779.67</v>
      </c>
      <c r="E1339" s="310"/>
    </row>
    <row r="1340" spans="1:6" ht="18.149999999999999" customHeight="1">
      <c r="A1340" s="304">
        <v>42918</v>
      </c>
      <c r="B1340" s="309" t="s">
        <v>9296</v>
      </c>
      <c r="C1340" s="306" t="s">
        <v>8137</v>
      </c>
      <c r="D1340" s="311">
        <v>1011.55</v>
      </c>
      <c r="E1340" s="310"/>
    </row>
    <row r="1341" spans="1:6" ht="18.149999999999999" customHeight="1">
      <c r="A1341" s="304">
        <v>42916</v>
      </c>
      <c r="B1341" s="309" t="s">
        <v>9297</v>
      </c>
      <c r="C1341" s="306" t="s">
        <v>8137</v>
      </c>
      <c r="D1341" s="307">
        <v>545.36</v>
      </c>
      <c r="E1341" s="310"/>
    </row>
    <row r="1342" spans="1:6" ht="18.149999999999999" customHeight="1">
      <c r="A1342" s="304">
        <v>42919</v>
      </c>
      <c r="B1342" s="309" t="s">
        <v>9298</v>
      </c>
      <c r="C1342" s="306" t="s">
        <v>8137</v>
      </c>
      <c r="D1342" s="307">
        <v>71.75</v>
      </c>
      <c r="E1342" s="305" t="s">
        <v>8076</v>
      </c>
    </row>
    <row r="1343" spans="1:6" ht="18.149999999999999" customHeight="1">
      <c r="A1343" s="304">
        <v>42920</v>
      </c>
      <c r="B1343" s="309" t="s">
        <v>9299</v>
      </c>
      <c r="C1343" s="306" t="s">
        <v>8137</v>
      </c>
      <c r="D1343" s="307">
        <v>549.91999999999996</v>
      </c>
      <c r="E1343" s="310"/>
    </row>
    <row r="1344" spans="1:6" ht="18.149999999999999" customHeight="1">
      <c r="A1344" s="304">
        <v>42921</v>
      </c>
      <c r="B1344" s="309" t="s">
        <v>9300</v>
      </c>
      <c r="C1344" s="306" t="s">
        <v>8137</v>
      </c>
      <c r="D1344" s="307">
        <v>130.79</v>
      </c>
      <c r="E1344" s="310"/>
    </row>
    <row r="1345" spans="1:5" ht="9" customHeight="1">
      <c r="A1345" s="304">
        <v>42922</v>
      </c>
      <c r="B1345" s="305" t="s">
        <v>9301</v>
      </c>
      <c r="C1345" s="306" t="s">
        <v>8137</v>
      </c>
      <c r="D1345" s="307">
        <v>25.17</v>
      </c>
      <c r="E1345" s="308"/>
    </row>
    <row r="1346" spans="1:5" ht="9" customHeight="1">
      <c r="A1346" s="304">
        <v>42923</v>
      </c>
      <c r="B1346" s="305" t="s">
        <v>9302</v>
      </c>
      <c r="C1346" s="306" t="s">
        <v>8137</v>
      </c>
      <c r="D1346" s="307">
        <v>23.72</v>
      </c>
      <c r="E1346" s="308"/>
    </row>
    <row r="1347" spans="1:5" ht="9" customHeight="1">
      <c r="A1347" s="304">
        <v>42924</v>
      </c>
      <c r="B1347" s="305" t="s">
        <v>9303</v>
      </c>
      <c r="C1347" s="306" t="s">
        <v>8137</v>
      </c>
      <c r="D1347" s="307">
        <v>16.149999999999999</v>
      </c>
      <c r="E1347" s="308"/>
    </row>
    <row r="1348" spans="1:5" ht="9" customHeight="1">
      <c r="A1348" s="304">
        <v>42925</v>
      </c>
      <c r="B1348" s="305" t="s">
        <v>9304</v>
      </c>
      <c r="C1348" s="306" t="s">
        <v>8137</v>
      </c>
      <c r="D1348" s="307">
        <v>7.84</v>
      </c>
      <c r="E1348" s="308"/>
    </row>
    <row r="1349" spans="1:5" ht="9" customHeight="1">
      <c r="A1349" s="304">
        <v>42926</v>
      </c>
      <c r="B1349" s="305" t="s">
        <v>9305</v>
      </c>
      <c r="C1349" s="306" t="s">
        <v>8137</v>
      </c>
      <c r="D1349" s="307">
        <v>8.81</v>
      </c>
      <c r="E1349" s="308"/>
    </row>
    <row r="1350" spans="1:5" ht="9" customHeight="1">
      <c r="A1350" s="304">
        <v>42927</v>
      </c>
      <c r="B1350" s="305" t="s">
        <v>9306</v>
      </c>
      <c r="C1350" s="306" t="s">
        <v>8137</v>
      </c>
      <c r="D1350" s="307">
        <v>10.31</v>
      </c>
      <c r="E1350" s="308"/>
    </row>
    <row r="1351" spans="1:5" ht="9" customHeight="1">
      <c r="A1351" s="304">
        <v>42928</v>
      </c>
      <c r="B1351" s="305" t="s">
        <v>9307</v>
      </c>
      <c r="C1351" s="306" t="s">
        <v>8137</v>
      </c>
      <c r="D1351" s="307">
        <v>18.2</v>
      </c>
      <c r="E1351" s="308"/>
    </row>
    <row r="1352" spans="1:5" ht="18.149999999999999" customHeight="1">
      <c r="A1352" s="304">
        <v>42942</v>
      </c>
      <c r="B1352" s="309" t="s">
        <v>9308</v>
      </c>
      <c r="C1352" s="306" t="s">
        <v>8137</v>
      </c>
      <c r="D1352" s="307">
        <v>70.94</v>
      </c>
      <c r="E1352" s="310"/>
    </row>
    <row r="1353" spans="1:5" ht="9" customHeight="1">
      <c r="A1353" s="304">
        <v>42944</v>
      </c>
      <c r="B1353" s="305" t="s">
        <v>9309</v>
      </c>
      <c r="C1353" s="306" t="s">
        <v>8022</v>
      </c>
      <c r="D1353" s="307">
        <v>67.34</v>
      </c>
      <c r="E1353" s="308"/>
    </row>
    <row r="1354" spans="1:5" ht="9" customHeight="1">
      <c r="A1354" s="304">
        <v>42943</v>
      </c>
      <c r="B1354" s="305" t="s">
        <v>9310</v>
      </c>
      <c r="C1354" s="306" t="s">
        <v>8022</v>
      </c>
      <c r="D1354" s="307">
        <v>63.44</v>
      </c>
      <c r="E1354" s="308"/>
    </row>
    <row r="1355" spans="1:5" ht="9" customHeight="1">
      <c r="A1355" s="304">
        <v>42946</v>
      </c>
      <c r="B1355" s="305" t="s">
        <v>9311</v>
      </c>
      <c r="C1355" s="306" t="s">
        <v>8022</v>
      </c>
      <c r="D1355" s="307">
        <v>95</v>
      </c>
      <c r="E1355" s="308"/>
    </row>
    <row r="1356" spans="1:5" ht="9" customHeight="1">
      <c r="A1356" s="304">
        <v>42945</v>
      </c>
      <c r="B1356" s="305" t="s">
        <v>9312</v>
      </c>
      <c r="C1356" s="306" t="s">
        <v>8022</v>
      </c>
      <c r="D1356" s="307">
        <v>93.51</v>
      </c>
      <c r="E1356" s="308"/>
    </row>
    <row r="1357" spans="1:5" ht="9" customHeight="1">
      <c r="A1357" s="304">
        <v>42948</v>
      </c>
      <c r="B1357" s="305" t="s">
        <v>9313</v>
      </c>
      <c r="C1357" s="306" t="s">
        <v>8022</v>
      </c>
      <c r="D1357" s="307">
        <v>136.47999999999999</v>
      </c>
      <c r="E1357" s="308"/>
    </row>
    <row r="1358" spans="1:5" ht="9" customHeight="1">
      <c r="A1358" s="304">
        <v>42947</v>
      </c>
      <c r="B1358" s="305" t="s">
        <v>9314</v>
      </c>
      <c r="C1358" s="306" t="s">
        <v>8022</v>
      </c>
      <c r="D1358" s="307">
        <v>138.6</v>
      </c>
      <c r="E1358" s="308"/>
    </row>
    <row r="1359" spans="1:5" ht="9" customHeight="1">
      <c r="A1359" s="304">
        <v>42949</v>
      </c>
      <c r="B1359" s="305" t="s">
        <v>9315</v>
      </c>
      <c r="C1359" s="306" t="s">
        <v>8022</v>
      </c>
      <c r="D1359" s="307">
        <v>140.54</v>
      </c>
      <c r="E1359" s="308"/>
    </row>
    <row r="1360" spans="1:5" ht="9" customHeight="1">
      <c r="A1360" s="304">
        <v>42950</v>
      </c>
      <c r="B1360" s="305" t="s">
        <v>9316</v>
      </c>
      <c r="C1360" s="306" t="s">
        <v>8022</v>
      </c>
      <c r="D1360" s="307">
        <v>143</v>
      </c>
      <c r="E1360" s="308"/>
    </row>
    <row r="1361" spans="1:5" ht="9" customHeight="1">
      <c r="A1361" s="304">
        <v>42951</v>
      </c>
      <c r="B1361" s="305" t="s">
        <v>9317</v>
      </c>
      <c r="C1361" s="306" t="s">
        <v>8022</v>
      </c>
      <c r="D1361" s="307">
        <v>172.7</v>
      </c>
      <c r="E1361" s="308"/>
    </row>
    <row r="1362" spans="1:5" ht="9" customHeight="1">
      <c r="A1362" s="304">
        <v>42952</v>
      </c>
      <c r="B1362" s="305" t="s">
        <v>9318</v>
      </c>
      <c r="C1362" s="306" t="s">
        <v>8022</v>
      </c>
      <c r="D1362" s="307">
        <v>177.96</v>
      </c>
      <c r="E1362" s="308"/>
    </row>
    <row r="1363" spans="1:5" ht="9" customHeight="1">
      <c r="A1363" s="304">
        <v>42953</v>
      </c>
      <c r="B1363" s="305" t="s">
        <v>9319</v>
      </c>
      <c r="C1363" s="306" t="s">
        <v>8022</v>
      </c>
      <c r="D1363" s="307">
        <v>299.77999999999997</v>
      </c>
      <c r="E1363" s="308"/>
    </row>
    <row r="1364" spans="1:5" ht="9" customHeight="1">
      <c r="A1364" s="304">
        <v>42954</v>
      </c>
      <c r="B1364" s="305" t="s">
        <v>9320</v>
      </c>
      <c r="C1364" s="306" t="s">
        <v>8022</v>
      </c>
      <c r="D1364" s="307">
        <v>316.08</v>
      </c>
      <c r="E1364" s="308"/>
    </row>
    <row r="1365" spans="1:5" ht="9" customHeight="1">
      <c r="A1365" s="304">
        <v>42955</v>
      </c>
      <c r="B1365" s="305" t="s">
        <v>9321</v>
      </c>
      <c r="C1365" s="306" t="s">
        <v>8022</v>
      </c>
      <c r="D1365" s="307">
        <v>265.61</v>
      </c>
      <c r="E1365" s="308"/>
    </row>
    <row r="1366" spans="1:5" ht="9" customHeight="1">
      <c r="A1366" s="304">
        <v>42956</v>
      </c>
      <c r="B1366" s="305" t="s">
        <v>9322</v>
      </c>
      <c r="C1366" s="306" t="s">
        <v>8022</v>
      </c>
      <c r="D1366" s="307">
        <v>93.51</v>
      </c>
      <c r="E1366" s="308"/>
    </row>
    <row r="1367" spans="1:5" ht="18.149999999999999" customHeight="1">
      <c r="A1367" s="304">
        <v>42957</v>
      </c>
      <c r="B1367" s="309" t="s">
        <v>9323</v>
      </c>
      <c r="C1367" s="306" t="s">
        <v>8022</v>
      </c>
      <c r="D1367" s="307">
        <v>212.85</v>
      </c>
      <c r="E1367" s="310"/>
    </row>
    <row r="1368" spans="1:5" ht="18.149999999999999" customHeight="1">
      <c r="A1368" s="304">
        <v>42958</v>
      </c>
      <c r="B1368" s="309" t="s">
        <v>9324</v>
      </c>
      <c r="C1368" s="306" t="s">
        <v>8022</v>
      </c>
      <c r="D1368" s="307">
        <v>235.31</v>
      </c>
      <c r="E1368" s="305" t="s">
        <v>8076</v>
      </c>
    </row>
    <row r="1369" spans="1:5" ht="18.149999999999999" customHeight="1">
      <c r="A1369" s="304">
        <v>42959</v>
      </c>
      <c r="B1369" s="309" t="s">
        <v>9325</v>
      </c>
      <c r="C1369" s="306" t="s">
        <v>8022</v>
      </c>
      <c r="D1369" s="307">
        <v>237.57</v>
      </c>
      <c r="E1369" s="305" t="s">
        <v>8076</v>
      </c>
    </row>
    <row r="1370" spans="1:5" ht="18.149999999999999" customHeight="1">
      <c r="A1370" s="304">
        <v>42961</v>
      </c>
      <c r="B1370" s="309" t="s">
        <v>9326</v>
      </c>
      <c r="C1370" s="306" t="s">
        <v>8022</v>
      </c>
      <c r="D1370" s="307">
        <v>20.68</v>
      </c>
      <c r="E1370" s="310"/>
    </row>
    <row r="1371" spans="1:5" ht="18.149999999999999" customHeight="1">
      <c r="A1371" s="304">
        <v>42962</v>
      </c>
      <c r="B1371" s="309" t="s">
        <v>9326</v>
      </c>
      <c r="C1371" s="306" t="s">
        <v>8022</v>
      </c>
      <c r="D1371" s="307">
        <v>20.68</v>
      </c>
      <c r="E1371" s="310"/>
    </row>
    <row r="1372" spans="1:5" ht="9" customHeight="1">
      <c r="A1372" s="304">
        <v>42960</v>
      </c>
      <c r="B1372" s="305" t="s">
        <v>9327</v>
      </c>
      <c r="C1372" s="306" t="s">
        <v>8022</v>
      </c>
      <c r="D1372" s="307">
        <v>12.88</v>
      </c>
      <c r="E1372" s="308"/>
    </row>
    <row r="1373" spans="1:5" ht="18.149999999999999" customHeight="1">
      <c r="A1373" s="304">
        <v>42964</v>
      </c>
      <c r="B1373" s="309" t="s">
        <v>9328</v>
      </c>
      <c r="C1373" s="306" t="s">
        <v>8022</v>
      </c>
      <c r="D1373" s="307">
        <v>21.85</v>
      </c>
      <c r="E1373" s="310"/>
    </row>
    <row r="1374" spans="1:5" ht="9" customHeight="1">
      <c r="A1374" s="304">
        <v>42963</v>
      </c>
      <c r="B1374" s="305" t="s">
        <v>9329</v>
      </c>
      <c r="C1374" s="306" t="s">
        <v>8022</v>
      </c>
      <c r="D1374" s="307">
        <v>14.01</v>
      </c>
      <c r="E1374" s="308"/>
    </row>
    <row r="1375" spans="1:5" ht="18.149999999999999" customHeight="1">
      <c r="A1375" s="304">
        <v>42966</v>
      </c>
      <c r="B1375" s="309" t="s">
        <v>9330</v>
      </c>
      <c r="C1375" s="306" t="s">
        <v>8022</v>
      </c>
      <c r="D1375" s="307">
        <v>24.13</v>
      </c>
      <c r="E1375" s="310"/>
    </row>
    <row r="1376" spans="1:5" ht="9" customHeight="1">
      <c r="A1376" s="304">
        <v>42965</v>
      </c>
      <c r="B1376" s="305" t="s">
        <v>9331</v>
      </c>
      <c r="C1376" s="306" t="s">
        <v>8022</v>
      </c>
      <c r="D1376" s="307">
        <v>16.260000000000002</v>
      </c>
      <c r="E1376" s="308"/>
    </row>
    <row r="1377" spans="1:6" ht="18.149999999999999" customHeight="1">
      <c r="A1377" s="304">
        <v>42968</v>
      </c>
      <c r="B1377" s="309" t="s">
        <v>9332</v>
      </c>
      <c r="C1377" s="306" t="s">
        <v>8022</v>
      </c>
      <c r="D1377" s="307">
        <v>30.46</v>
      </c>
      <c r="E1377" s="310"/>
    </row>
    <row r="1378" spans="1:6" ht="9" customHeight="1">
      <c r="A1378" s="304">
        <v>42967</v>
      </c>
      <c r="B1378" s="305" t="s">
        <v>9333</v>
      </c>
      <c r="C1378" s="306" t="s">
        <v>8022</v>
      </c>
      <c r="D1378" s="307">
        <v>23.43</v>
      </c>
      <c r="E1378" s="308"/>
    </row>
    <row r="1379" spans="1:6" ht="18.149999999999999" customHeight="1">
      <c r="A1379" s="304">
        <v>42970</v>
      </c>
      <c r="B1379" s="309" t="s">
        <v>9334</v>
      </c>
      <c r="C1379" s="306" t="s">
        <v>8022</v>
      </c>
      <c r="D1379" s="307">
        <v>34.75</v>
      </c>
      <c r="E1379" s="310"/>
    </row>
    <row r="1380" spans="1:6" ht="9" customHeight="1">
      <c r="A1380" s="304">
        <v>42969</v>
      </c>
      <c r="B1380" s="305" t="s">
        <v>9335</v>
      </c>
      <c r="C1380" s="306" t="s">
        <v>8022</v>
      </c>
      <c r="D1380" s="307">
        <v>28.02</v>
      </c>
      <c r="E1380" s="308"/>
    </row>
    <row r="1381" spans="1:6" ht="18.149999999999999" customHeight="1">
      <c r="A1381" s="304">
        <v>42973</v>
      </c>
      <c r="B1381" s="309" t="s">
        <v>9336</v>
      </c>
      <c r="C1381" s="306" t="s">
        <v>8022</v>
      </c>
      <c r="D1381" s="307">
        <v>41.2</v>
      </c>
      <c r="E1381" s="310"/>
    </row>
    <row r="1382" spans="1:6" ht="9" customHeight="1">
      <c r="A1382" s="858" t="s">
        <v>9051</v>
      </c>
      <c r="B1382" s="858"/>
      <c r="C1382" s="858"/>
      <c r="D1382" s="858"/>
      <c r="E1382" s="858"/>
      <c r="F1382" s="858"/>
    </row>
    <row r="1383" spans="1:6" ht="9" customHeight="1">
      <c r="A1383" s="301" t="s">
        <v>8014</v>
      </c>
      <c r="B1383" s="302" t="s">
        <v>8015</v>
      </c>
      <c r="C1383" s="301" t="s">
        <v>8016</v>
      </c>
      <c r="D1383" s="303" t="s">
        <v>8017</v>
      </c>
      <c r="E1383" s="302" t="s">
        <v>8018</v>
      </c>
    </row>
    <row r="1384" spans="1:6" ht="18.149999999999999" customHeight="1">
      <c r="A1384" s="304">
        <v>42979</v>
      </c>
      <c r="B1384" s="309" t="s">
        <v>9337</v>
      </c>
      <c r="C1384" s="306" t="s">
        <v>8022</v>
      </c>
      <c r="D1384" s="307">
        <v>41.2</v>
      </c>
      <c r="E1384" s="310"/>
    </row>
    <row r="1385" spans="1:6" ht="9" customHeight="1">
      <c r="A1385" s="304">
        <v>42971</v>
      </c>
      <c r="B1385" s="305" t="s">
        <v>9338</v>
      </c>
      <c r="C1385" s="306" t="s">
        <v>8022</v>
      </c>
      <c r="D1385" s="307">
        <v>35.090000000000003</v>
      </c>
      <c r="E1385" s="308"/>
    </row>
    <row r="1386" spans="1:6" ht="18.149999999999999" customHeight="1">
      <c r="A1386" s="304">
        <v>42981</v>
      </c>
      <c r="B1386" s="309" t="s">
        <v>9339</v>
      </c>
      <c r="C1386" s="306" t="s">
        <v>8020</v>
      </c>
      <c r="D1386" s="307">
        <v>195.63</v>
      </c>
      <c r="E1386" s="305" t="s">
        <v>8076</v>
      </c>
    </row>
    <row r="1387" spans="1:6" ht="18.149999999999999" customHeight="1">
      <c r="A1387" s="304">
        <v>42982</v>
      </c>
      <c r="B1387" s="309" t="s">
        <v>9340</v>
      </c>
      <c r="C1387" s="306" t="s">
        <v>8022</v>
      </c>
      <c r="D1387" s="307">
        <v>137.07</v>
      </c>
      <c r="E1387" s="305" t="s">
        <v>8076</v>
      </c>
    </row>
    <row r="1388" spans="1:6" ht="18.149999999999999" customHeight="1">
      <c r="A1388" s="304">
        <v>42987</v>
      </c>
      <c r="B1388" s="309" t="s">
        <v>9341</v>
      </c>
      <c r="C1388" s="306" t="s">
        <v>8020</v>
      </c>
      <c r="D1388" s="307">
        <v>77.33</v>
      </c>
      <c r="E1388" s="305" t="s">
        <v>8076</v>
      </c>
    </row>
    <row r="1389" spans="1:6" ht="18.149999999999999" customHeight="1">
      <c r="A1389" s="304">
        <v>42988</v>
      </c>
      <c r="B1389" s="309" t="s">
        <v>9342</v>
      </c>
      <c r="C1389" s="306" t="s">
        <v>8020</v>
      </c>
      <c r="D1389" s="307">
        <v>65.73</v>
      </c>
      <c r="E1389" s="305" t="s">
        <v>8076</v>
      </c>
    </row>
    <row r="1390" spans="1:6" ht="9" customHeight="1">
      <c r="A1390" s="304">
        <v>42989</v>
      </c>
      <c r="B1390" s="305" t="s">
        <v>9343</v>
      </c>
      <c r="C1390" s="306" t="s">
        <v>8020</v>
      </c>
      <c r="D1390" s="307">
        <v>8.2899999999999991</v>
      </c>
      <c r="E1390" s="308"/>
    </row>
    <row r="1391" spans="1:6" ht="18.149999999999999" customHeight="1">
      <c r="A1391" s="304">
        <v>42991</v>
      </c>
      <c r="B1391" s="309" t="s">
        <v>9344</v>
      </c>
      <c r="C1391" s="306" t="s">
        <v>8020</v>
      </c>
      <c r="D1391" s="307">
        <v>114.98</v>
      </c>
      <c r="E1391" s="305" t="s">
        <v>8076</v>
      </c>
    </row>
    <row r="1392" spans="1:6" ht="18.149999999999999" customHeight="1">
      <c r="A1392" s="304">
        <v>42992</v>
      </c>
      <c r="B1392" s="309" t="s">
        <v>9345</v>
      </c>
      <c r="C1392" s="306" t="s">
        <v>8020</v>
      </c>
      <c r="D1392" s="307">
        <v>96.71</v>
      </c>
      <c r="E1392" s="305" t="s">
        <v>8076</v>
      </c>
    </row>
    <row r="1393" spans="1:5" ht="18.149999999999999" customHeight="1">
      <c r="A1393" s="304">
        <v>42993</v>
      </c>
      <c r="B1393" s="309" t="s">
        <v>9346</v>
      </c>
      <c r="C1393" s="306" t="s">
        <v>8020</v>
      </c>
      <c r="D1393" s="307">
        <v>81.22</v>
      </c>
      <c r="E1393" s="305" t="s">
        <v>8076</v>
      </c>
    </row>
    <row r="1394" spans="1:5" ht="18.149999999999999" customHeight="1">
      <c r="A1394" s="304">
        <v>42994</v>
      </c>
      <c r="B1394" s="309" t="s">
        <v>9347</v>
      </c>
      <c r="C1394" s="306" t="s">
        <v>8020</v>
      </c>
      <c r="D1394" s="307">
        <v>167.61</v>
      </c>
      <c r="E1394" s="305" t="s">
        <v>8076</v>
      </c>
    </row>
    <row r="1395" spans="1:5" ht="18.149999999999999" customHeight="1">
      <c r="A1395" s="304">
        <v>43070</v>
      </c>
      <c r="B1395" s="309" t="s">
        <v>9348</v>
      </c>
      <c r="C1395" s="306" t="s">
        <v>8020</v>
      </c>
      <c r="D1395" s="307">
        <v>266.31</v>
      </c>
      <c r="E1395" s="310"/>
    </row>
    <row r="1396" spans="1:5" ht="9" customHeight="1">
      <c r="A1396" s="304">
        <v>42996</v>
      </c>
      <c r="B1396" s="305" t="s">
        <v>9349</v>
      </c>
      <c r="C1396" s="306" t="s">
        <v>8022</v>
      </c>
      <c r="D1396" s="307">
        <v>576.21</v>
      </c>
      <c r="E1396" s="305" t="s">
        <v>8076</v>
      </c>
    </row>
    <row r="1397" spans="1:5" ht="9" customHeight="1">
      <c r="A1397" s="304">
        <v>43012</v>
      </c>
      <c r="B1397" s="305" t="s">
        <v>9350</v>
      </c>
      <c r="C1397" s="306" t="s">
        <v>8020</v>
      </c>
      <c r="D1397" s="307">
        <v>10.220000000000001</v>
      </c>
      <c r="E1397" s="308"/>
    </row>
    <row r="1398" spans="1:5" ht="18.149999999999999" customHeight="1">
      <c r="A1398" s="304">
        <v>43011</v>
      </c>
      <c r="B1398" s="309" t="s">
        <v>9351</v>
      </c>
      <c r="C1398" s="306" t="s">
        <v>8020</v>
      </c>
      <c r="D1398" s="307">
        <v>6.96</v>
      </c>
      <c r="E1398" s="310"/>
    </row>
    <row r="1399" spans="1:5" ht="9" customHeight="1">
      <c r="A1399" s="304">
        <v>43003</v>
      </c>
      <c r="B1399" s="305" t="s">
        <v>9352</v>
      </c>
      <c r="C1399" s="306" t="s">
        <v>8022</v>
      </c>
      <c r="D1399" s="307">
        <v>124.49</v>
      </c>
      <c r="E1399" s="305" t="s">
        <v>8076</v>
      </c>
    </row>
    <row r="1400" spans="1:5" ht="9" customHeight="1">
      <c r="A1400" s="304">
        <v>43004</v>
      </c>
      <c r="B1400" s="305" t="s">
        <v>9353</v>
      </c>
      <c r="C1400" s="306" t="s">
        <v>8020</v>
      </c>
      <c r="D1400" s="307">
        <v>38.51</v>
      </c>
      <c r="E1400" s="308"/>
    </row>
    <row r="1401" spans="1:5" ht="9" customHeight="1">
      <c r="A1401" s="304">
        <v>43005</v>
      </c>
      <c r="B1401" s="305" t="s">
        <v>9354</v>
      </c>
      <c r="C1401" s="306" t="s">
        <v>8137</v>
      </c>
      <c r="D1401" s="307">
        <v>35.15</v>
      </c>
      <c r="E1401" s="308"/>
    </row>
    <row r="1402" spans="1:5" ht="9" customHeight="1">
      <c r="A1402" s="304">
        <v>43006</v>
      </c>
      <c r="B1402" s="305" t="s">
        <v>9355</v>
      </c>
      <c r="C1402" s="306" t="s">
        <v>8137</v>
      </c>
      <c r="D1402" s="307">
        <v>56.82</v>
      </c>
      <c r="E1402" s="308"/>
    </row>
    <row r="1403" spans="1:5" ht="9" customHeight="1">
      <c r="A1403" s="304">
        <v>43007</v>
      </c>
      <c r="B1403" s="305" t="s">
        <v>9356</v>
      </c>
      <c r="C1403" s="306" t="s">
        <v>8137</v>
      </c>
      <c r="D1403" s="307">
        <v>18.48</v>
      </c>
      <c r="E1403" s="308"/>
    </row>
    <row r="1404" spans="1:5" ht="9" customHeight="1">
      <c r="A1404" s="304">
        <v>43008</v>
      </c>
      <c r="B1404" s="305" t="s">
        <v>9357</v>
      </c>
      <c r="C1404" s="306" t="s">
        <v>8137</v>
      </c>
      <c r="D1404" s="307">
        <v>51.81</v>
      </c>
      <c r="E1404" s="308"/>
    </row>
    <row r="1405" spans="1:5" ht="9" customHeight="1">
      <c r="A1405" s="304">
        <v>43009</v>
      </c>
      <c r="B1405" s="305" t="s">
        <v>9358</v>
      </c>
      <c r="C1405" s="306" t="s">
        <v>8020</v>
      </c>
      <c r="D1405" s="307">
        <v>95.64</v>
      </c>
      <c r="E1405" s="308"/>
    </row>
    <row r="1406" spans="1:5" ht="18.149999999999999" customHeight="1">
      <c r="A1406" s="304">
        <v>43018</v>
      </c>
      <c r="B1406" s="309" t="s">
        <v>9359</v>
      </c>
      <c r="C1406" s="306" t="s">
        <v>8137</v>
      </c>
      <c r="D1406" s="307">
        <v>55.74</v>
      </c>
      <c r="E1406" s="305" t="s">
        <v>8076</v>
      </c>
    </row>
    <row r="1407" spans="1:5" ht="18.149999999999999" customHeight="1">
      <c r="A1407" s="304">
        <v>43026</v>
      </c>
      <c r="B1407" s="309" t="s">
        <v>9360</v>
      </c>
      <c r="C1407" s="306" t="s">
        <v>8137</v>
      </c>
      <c r="D1407" s="307">
        <v>23.33</v>
      </c>
      <c r="E1407" s="310"/>
    </row>
    <row r="1408" spans="1:5" ht="18.149999999999999" customHeight="1">
      <c r="A1408" s="304">
        <v>43033</v>
      </c>
      <c r="B1408" s="309" t="s">
        <v>9361</v>
      </c>
      <c r="C1408" s="306" t="s">
        <v>8036</v>
      </c>
      <c r="D1408" s="311">
        <v>1058.5899999999999</v>
      </c>
      <c r="E1408" s="305" t="s">
        <v>8076</v>
      </c>
    </row>
    <row r="1409" spans="1:5" ht="9" customHeight="1">
      <c r="A1409" s="304">
        <v>43037</v>
      </c>
      <c r="B1409" s="305" t="s">
        <v>9362</v>
      </c>
      <c r="C1409" s="306" t="s">
        <v>8022</v>
      </c>
      <c r="D1409" s="307">
        <v>60.27</v>
      </c>
      <c r="E1409" s="308"/>
    </row>
    <row r="1410" spans="1:5" ht="18.149999999999999" customHeight="1">
      <c r="A1410" s="304">
        <v>43038</v>
      </c>
      <c r="B1410" s="309" t="s">
        <v>9363</v>
      </c>
      <c r="C1410" s="306" t="s">
        <v>8036</v>
      </c>
      <c r="D1410" s="307">
        <v>115.86</v>
      </c>
      <c r="E1410" s="305" t="s">
        <v>8076</v>
      </c>
    </row>
    <row r="1411" spans="1:5" ht="9" customHeight="1">
      <c r="A1411" s="304">
        <v>43039</v>
      </c>
      <c r="B1411" s="305" t="s">
        <v>9364</v>
      </c>
      <c r="C1411" s="306" t="s">
        <v>8020</v>
      </c>
      <c r="D1411" s="307">
        <v>4.95</v>
      </c>
      <c r="E1411" s="308"/>
    </row>
    <row r="1412" spans="1:5" ht="18.149999999999999" customHeight="1">
      <c r="A1412" s="304">
        <v>43040</v>
      </c>
      <c r="B1412" s="309" t="s">
        <v>9365</v>
      </c>
      <c r="C1412" s="306" t="s">
        <v>8020</v>
      </c>
      <c r="D1412" s="307">
        <v>63.15</v>
      </c>
      <c r="E1412" s="310"/>
    </row>
    <row r="1413" spans="1:5" ht="9" customHeight="1">
      <c r="A1413" s="304">
        <v>43042</v>
      </c>
      <c r="B1413" s="305" t="s">
        <v>9366</v>
      </c>
      <c r="C1413" s="306" t="s">
        <v>8020</v>
      </c>
      <c r="D1413" s="307">
        <v>3.68</v>
      </c>
      <c r="E1413" s="308"/>
    </row>
    <row r="1414" spans="1:5" ht="9" customHeight="1">
      <c r="A1414" s="304">
        <v>43043</v>
      </c>
      <c r="B1414" s="305" t="s">
        <v>9367</v>
      </c>
      <c r="C1414" s="306" t="s">
        <v>8036</v>
      </c>
      <c r="D1414" s="311">
        <v>2465.66</v>
      </c>
      <c r="E1414" s="308"/>
    </row>
    <row r="1415" spans="1:5" ht="9" customHeight="1">
      <c r="A1415" s="304">
        <v>43044</v>
      </c>
      <c r="B1415" s="305" t="s">
        <v>9368</v>
      </c>
      <c r="C1415" s="306" t="s">
        <v>8036</v>
      </c>
      <c r="D1415" s="311">
        <v>2841.25</v>
      </c>
      <c r="E1415" s="308"/>
    </row>
    <row r="1416" spans="1:5" ht="9" customHeight="1">
      <c r="A1416" s="304">
        <v>41169</v>
      </c>
      <c r="B1416" s="305" t="s">
        <v>9369</v>
      </c>
      <c r="C1416" s="306" t="s">
        <v>8036</v>
      </c>
      <c r="D1416" s="311">
        <v>3339.35</v>
      </c>
      <c r="E1416" s="308"/>
    </row>
    <row r="1417" spans="1:5" ht="9" customHeight="1">
      <c r="A1417" s="304">
        <v>41170</v>
      </c>
      <c r="B1417" s="305" t="s">
        <v>9370</v>
      </c>
      <c r="C1417" s="306" t="s">
        <v>8036</v>
      </c>
      <c r="D1417" s="311">
        <v>3662.54</v>
      </c>
      <c r="E1417" s="308"/>
    </row>
    <row r="1418" spans="1:5" ht="9" customHeight="1">
      <c r="A1418" s="304">
        <v>41171</v>
      </c>
      <c r="B1418" s="305" t="s">
        <v>9371</v>
      </c>
      <c r="C1418" s="306" t="s">
        <v>8036</v>
      </c>
      <c r="D1418" s="311">
        <v>4352.13</v>
      </c>
      <c r="E1418" s="308"/>
    </row>
    <row r="1419" spans="1:5" ht="9" customHeight="1">
      <c r="A1419" s="304">
        <v>43046</v>
      </c>
      <c r="B1419" s="305" t="s">
        <v>9372</v>
      </c>
      <c r="C1419" s="306" t="s">
        <v>8036</v>
      </c>
      <c r="D1419" s="311">
        <v>1462.53</v>
      </c>
      <c r="E1419" s="308"/>
    </row>
    <row r="1420" spans="1:5" ht="9" customHeight="1">
      <c r="A1420" s="304">
        <v>43047</v>
      </c>
      <c r="B1420" s="305" t="s">
        <v>9373</v>
      </c>
      <c r="C1420" s="306" t="s">
        <v>8036</v>
      </c>
      <c r="D1420" s="311">
        <v>1845.64</v>
      </c>
      <c r="E1420" s="308"/>
    </row>
    <row r="1421" spans="1:5" ht="9" customHeight="1">
      <c r="A1421" s="304">
        <v>43048</v>
      </c>
      <c r="B1421" s="305" t="s">
        <v>9374</v>
      </c>
      <c r="C1421" s="306" t="s">
        <v>8036</v>
      </c>
      <c r="D1421" s="311">
        <v>2221.66</v>
      </c>
      <c r="E1421" s="308"/>
    </row>
    <row r="1422" spans="1:5" ht="18.149999999999999" customHeight="1">
      <c r="A1422" s="304">
        <v>43050</v>
      </c>
      <c r="B1422" s="309" t="s">
        <v>9375</v>
      </c>
      <c r="C1422" s="306" t="s">
        <v>8036</v>
      </c>
      <c r="D1422" s="311">
        <v>3801.15</v>
      </c>
      <c r="E1422" s="305" t="s">
        <v>8076</v>
      </c>
    </row>
    <row r="1423" spans="1:5" ht="18.149999999999999" customHeight="1">
      <c r="A1423" s="304">
        <v>43051</v>
      </c>
      <c r="B1423" s="309" t="s">
        <v>9376</v>
      </c>
      <c r="C1423" s="306" t="s">
        <v>8036</v>
      </c>
      <c r="D1423" s="311">
        <v>4204.21</v>
      </c>
      <c r="E1423" s="305" t="s">
        <v>8076</v>
      </c>
    </row>
    <row r="1424" spans="1:5" ht="18.149999999999999" customHeight="1">
      <c r="A1424" s="304">
        <v>43052</v>
      </c>
      <c r="B1424" s="309" t="s">
        <v>9377</v>
      </c>
      <c r="C1424" s="306" t="s">
        <v>8036</v>
      </c>
      <c r="D1424" s="311">
        <v>4607.28</v>
      </c>
      <c r="E1424" s="305" t="s">
        <v>8076</v>
      </c>
    </row>
    <row r="1425" spans="1:6" ht="18.149999999999999" customHeight="1">
      <c r="A1425" s="304">
        <v>43053</v>
      </c>
      <c r="B1425" s="309" t="s">
        <v>9378</v>
      </c>
      <c r="C1425" s="306" t="s">
        <v>8036</v>
      </c>
      <c r="D1425" s="311">
        <v>5010.32</v>
      </c>
      <c r="E1425" s="305" t="s">
        <v>8076</v>
      </c>
    </row>
    <row r="1426" spans="1:6" ht="18.149999999999999" customHeight="1">
      <c r="A1426" s="304">
        <v>43054</v>
      </c>
      <c r="B1426" s="309" t="s">
        <v>9379</v>
      </c>
      <c r="C1426" s="306" t="s">
        <v>8020</v>
      </c>
      <c r="D1426" s="307">
        <v>10.65</v>
      </c>
      <c r="E1426" s="310"/>
    </row>
    <row r="1427" spans="1:6" ht="18.149999999999999" customHeight="1">
      <c r="A1427" s="304">
        <v>43055</v>
      </c>
      <c r="B1427" s="309" t="s">
        <v>9380</v>
      </c>
      <c r="C1427" s="306" t="s">
        <v>8020</v>
      </c>
      <c r="D1427" s="307">
        <v>8.56</v>
      </c>
      <c r="E1427" s="310"/>
    </row>
    <row r="1428" spans="1:6" ht="9" customHeight="1">
      <c r="A1428" s="304">
        <v>43056</v>
      </c>
      <c r="B1428" s="305" t="s">
        <v>9381</v>
      </c>
      <c r="C1428" s="306" t="s">
        <v>8022</v>
      </c>
      <c r="D1428" s="307">
        <v>58.07</v>
      </c>
      <c r="E1428" s="305" t="s">
        <v>8076</v>
      </c>
    </row>
    <row r="1429" spans="1:6" ht="9" customHeight="1">
      <c r="A1429" s="858" t="s">
        <v>9051</v>
      </c>
      <c r="B1429" s="858"/>
      <c r="C1429" s="858"/>
      <c r="D1429" s="858"/>
      <c r="E1429" s="858"/>
      <c r="F1429" s="858"/>
    </row>
    <row r="1430" spans="1:6" ht="9" customHeight="1">
      <c r="A1430" s="301" t="s">
        <v>8014</v>
      </c>
      <c r="B1430" s="302" t="s">
        <v>8015</v>
      </c>
      <c r="C1430" s="301" t="s">
        <v>8016</v>
      </c>
      <c r="D1430" s="303" t="s">
        <v>8017</v>
      </c>
      <c r="E1430" s="302" t="s">
        <v>8018</v>
      </c>
    </row>
    <row r="1431" spans="1:6" ht="9" customHeight="1">
      <c r="A1431" s="304">
        <v>43058</v>
      </c>
      <c r="B1431" s="305" t="s">
        <v>9382</v>
      </c>
      <c r="C1431" s="306" t="s">
        <v>8022</v>
      </c>
      <c r="D1431" s="307">
        <v>96.83</v>
      </c>
      <c r="E1431" s="308"/>
    </row>
    <row r="1432" spans="1:6" ht="9" customHeight="1">
      <c r="A1432" s="304">
        <v>43057</v>
      </c>
      <c r="B1432" s="305" t="s">
        <v>9383</v>
      </c>
      <c r="C1432" s="306" t="s">
        <v>8022</v>
      </c>
      <c r="D1432" s="307">
        <v>66.77</v>
      </c>
      <c r="E1432" s="308"/>
    </row>
    <row r="1433" spans="1:6" ht="9" customHeight="1">
      <c r="A1433" s="304">
        <v>43059</v>
      </c>
      <c r="B1433" s="305" t="s">
        <v>9384</v>
      </c>
      <c r="C1433" s="306" t="s">
        <v>8022</v>
      </c>
      <c r="D1433" s="307">
        <v>42.51</v>
      </c>
      <c r="E1433" s="308"/>
    </row>
    <row r="1434" spans="1:6" ht="9" customHeight="1">
      <c r="A1434" s="304">
        <v>43060</v>
      </c>
      <c r="B1434" s="305" t="s">
        <v>9385</v>
      </c>
      <c r="C1434" s="306" t="s">
        <v>8036</v>
      </c>
      <c r="D1434" s="307">
        <v>797.62</v>
      </c>
      <c r="E1434" s="305" t="s">
        <v>8076</v>
      </c>
    </row>
    <row r="1435" spans="1:6" ht="9" customHeight="1">
      <c r="A1435" s="304">
        <v>43064</v>
      </c>
      <c r="B1435" s="305" t="s">
        <v>9386</v>
      </c>
      <c r="C1435" s="306" t="s">
        <v>8137</v>
      </c>
      <c r="D1435" s="307">
        <v>18.95</v>
      </c>
      <c r="E1435" s="308"/>
    </row>
    <row r="1436" spans="1:6" ht="9" customHeight="1">
      <c r="A1436" s="304">
        <v>43065</v>
      </c>
      <c r="B1436" s="305" t="s">
        <v>9387</v>
      </c>
      <c r="C1436" s="306" t="s">
        <v>8137</v>
      </c>
      <c r="D1436" s="307">
        <v>21.84</v>
      </c>
      <c r="E1436" s="308"/>
    </row>
    <row r="1437" spans="1:6" ht="9" customHeight="1">
      <c r="A1437" s="304">
        <v>43066</v>
      </c>
      <c r="B1437" s="305" t="s">
        <v>9388</v>
      </c>
      <c r="C1437" s="306" t="s">
        <v>8137</v>
      </c>
      <c r="D1437" s="307">
        <v>29.29</v>
      </c>
      <c r="E1437" s="308"/>
    </row>
    <row r="1438" spans="1:6" ht="9" customHeight="1">
      <c r="A1438" s="304">
        <v>43067</v>
      </c>
      <c r="B1438" s="305" t="s">
        <v>9389</v>
      </c>
      <c r="C1438" s="306" t="s">
        <v>8137</v>
      </c>
      <c r="D1438" s="307">
        <v>70.180000000000007</v>
      </c>
      <c r="E1438" s="308"/>
    </row>
    <row r="1439" spans="1:6" ht="18.149999999999999" customHeight="1">
      <c r="A1439" s="304">
        <v>43063</v>
      </c>
      <c r="B1439" s="309" t="s">
        <v>9390</v>
      </c>
      <c r="C1439" s="306" t="s">
        <v>8137</v>
      </c>
      <c r="D1439" s="307">
        <v>95.36</v>
      </c>
      <c r="E1439" s="310"/>
    </row>
    <row r="1440" spans="1:6" ht="9" customHeight="1">
      <c r="A1440" s="304">
        <v>43068</v>
      </c>
      <c r="B1440" s="305" t="s">
        <v>9391</v>
      </c>
      <c r="C1440" s="306" t="s">
        <v>8137</v>
      </c>
      <c r="D1440" s="307">
        <v>73.92</v>
      </c>
      <c r="E1440" s="308"/>
    </row>
    <row r="1441" spans="1:5" ht="9" customHeight="1">
      <c r="A1441" s="304">
        <v>43069</v>
      </c>
      <c r="B1441" s="305" t="s">
        <v>9392</v>
      </c>
      <c r="C1441" s="306" t="s">
        <v>8137</v>
      </c>
      <c r="D1441" s="307">
        <v>144.84</v>
      </c>
      <c r="E1441" s="305" t="s">
        <v>8076</v>
      </c>
    </row>
    <row r="1442" spans="1:5" ht="18.149999999999999" customHeight="1">
      <c r="A1442" s="304">
        <v>43071</v>
      </c>
      <c r="B1442" s="309" t="s">
        <v>9393</v>
      </c>
      <c r="C1442" s="306" t="s">
        <v>8022</v>
      </c>
      <c r="D1442" s="307">
        <v>326.52</v>
      </c>
      <c r="E1442" s="305" t="s">
        <v>8076</v>
      </c>
    </row>
    <row r="1443" spans="1:5" ht="9" customHeight="1">
      <c r="A1443" s="304">
        <v>43078</v>
      </c>
      <c r="B1443" s="305" t="s">
        <v>9394</v>
      </c>
      <c r="C1443" s="306" t="s">
        <v>8137</v>
      </c>
      <c r="D1443" s="307">
        <v>85.91</v>
      </c>
      <c r="E1443" s="308"/>
    </row>
    <row r="1444" spans="1:5" ht="9" customHeight="1">
      <c r="A1444" s="304">
        <v>43079</v>
      </c>
      <c r="B1444" s="305" t="s">
        <v>9395</v>
      </c>
      <c r="C1444" s="306" t="s">
        <v>8137</v>
      </c>
      <c r="D1444" s="307">
        <v>89.57</v>
      </c>
      <c r="E1444" s="308"/>
    </row>
    <row r="1445" spans="1:5" ht="9" customHeight="1">
      <c r="A1445" s="304">
        <v>43080</v>
      </c>
      <c r="B1445" s="305" t="s">
        <v>9396</v>
      </c>
      <c r="C1445" s="306" t="s">
        <v>8137</v>
      </c>
      <c r="D1445" s="307">
        <v>75.62</v>
      </c>
      <c r="E1445" s="305" t="s">
        <v>8076</v>
      </c>
    </row>
    <row r="1446" spans="1:5" ht="9" customHeight="1">
      <c r="A1446" s="304">
        <v>43081</v>
      </c>
      <c r="B1446" s="305" t="s">
        <v>9397</v>
      </c>
      <c r="C1446" s="306" t="s">
        <v>8137</v>
      </c>
      <c r="D1446" s="307">
        <v>99.62</v>
      </c>
      <c r="E1446" s="308"/>
    </row>
    <row r="1447" spans="1:5" ht="9" customHeight="1">
      <c r="A1447" s="304">
        <v>43085</v>
      </c>
      <c r="B1447" s="305" t="s">
        <v>9398</v>
      </c>
      <c r="C1447" s="306" t="s">
        <v>8137</v>
      </c>
      <c r="D1447" s="307">
        <v>176.76</v>
      </c>
      <c r="E1447" s="308"/>
    </row>
    <row r="1448" spans="1:5" ht="18.149999999999999" customHeight="1">
      <c r="A1448" s="304">
        <v>43083</v>
      </c>
      <c r="B1448" s="309" t="s">
        <v>9399</v>
      </c>
      <c r="C1448" s="306" t="s">
        <v>8137</v>
      </c>
      <c r="D1448" s="307">
        <v>83</v>
      </c>
      <c r="E1448" s="310"/>
    </row>
    <row r="1449" spans="1:5" ht="18.149999999999999" customHeight="1">
      <c r="A1449" s="304">
        <v>43084</v>
      </c>
      <c r="B1449" s="309" t="s">
        <v>9400</v>
      </c>
      <c r="C1449" s="306" t="s">
        <v>8137</v>
      </c>
      <c r="D1449" s="307">
        <v>62.62</v>
      </c>
      <c r="E1449" s="310"/>
    </row>
    <row r="1450" spans="1:5" ht="9" customHeight="1">
      <c r="A1450" s="304">
        <v>43086</v>
      </c>
      <c r="B1450" s="305" t="s">
        <v>9401</v>
      </c>
      <c r="C1450" s="306" t="s">
        <v>8036</v>
      </c>
      <c r="D1450" s="307">
        <v>244.53</v>
      </c>
      <c r="E1450" s="305" t="s">
        <v>8076</v>
      </c>
    </row>
    <row r="1451" spans="1:5" ht="9" customHeight="1">
      <c r="A1451" s="304">
        <v>43087</v>
      </c>
      <c r="B1451" s="305" t="s">
        <v>9402</v>
      </c>
      <c r="C1451" s="306" t="s">
        <v>8036</v>
      </c>
      <c r="D1451" s="307">
        <v>549.41999999999996</v>
      </c>
      <c r="E1451" s="305" t="s">
        <v>8076</v>
      </c>
    </row>
    <row r="1452" spans="1:5" ht="18.149999999999999" customHeight="1">
      <c r="A1452" s="304">
        <v>43089</v>
      </c>
      <c r="B1452" s="309" t="s">
        <v>9403</v>
      </c>
      <c r="C1452" s="306" t="s">
        <v>8020</v>
      </c>
      <c r="D1452" s="307">
        <v>41.89</v>
      </c>
      <c r="E1452" s="310"/>
    </row>
    <row r="1453" spans="1:5" ht="9" customHeight="1">
      <c r="A1453" s="304">
        <v>43090</v>
      </c>
      <c r="B1453" s="305" t="s">
        <v>9404</v>
      </c>
      <c r="C1453" s="306" t="s">
        <v>8020</v>
      </c>
      <c r="D1453" s="307">
        <v>30.69</v>
      </c>
      <c r="E1453" s="308"/>
    </row>
    <row r="1454" spans="1:5" ht="18.149999999999999" customHeight="1">
      <c r="A1454" s="304">
        <v>43088</v>
      </c>
      <c r="B1454" s="309" t="s">
        <v>9405</v>
      </c>
      <c r="C1454" s="306" t="s">
        <v>8137</v>
      </c>
      <c r="D1454" s="307">
        <v>22.73</v>
      </c>
      <c r="E1454" s="305" t="s">
        <v>8076</v>
      </c>
    </row>
    <row r="1455" spans="1:5" ht="9" customHeight="1">
      <c r="A1455" s="304">
        <v>43091</v>
      </c>
      <c r="B1455" s="305" t="s">
        <v>9406</v>
      </c>
      <c r="C1455" s="306" t="s">
        <v>8036</v>
      </c>
      <c r="D1455" s="307">
        <v>370.75</v>
      </c>
      <c r="E1455" s="305" t="s">
        <v>8076</v>
      </c>
    </row>
    <row r="1456" spans="1:5" ht="18.149999999999999" customHeight="1">
      <c r="A1456" s="304">
        <v>43092</v>
      </c>
      <c r="B1456" s="309" t="s">
        <v>9407</v>
      </c>
      <c r="C1456" s="306" t="s">
        <v>8694</v>
      </c>
      <c r="D1456" s="307">
        <v>24.33</v>
      </c>
      <c r="E1456" s="310"/>
    </row>
    <row r="1457" spans="1:6" ht="18.149999999999999" customHeight="1">
      <c r="A1457" s="304">
        <v>43093</v>
      </c>
      <c r="B1457" s="309" t="s">
        <v>9408</v>
      </c>
      <c r="C1457" s="306" t="s">
        <v>8694</v>
      </c>
      <c r="D1457" s="307">
        <v>32.909999999999997</v>
      </c>
      <c r="E1457" s="310"/>
    </row>
    <row r="1458" spans="1:6" ht="18.149999999999999" customHeight="1">
      <c r="A1458" s="304">
        <v>43094</v>
      </c>
      <c r="B1458" s="309" t="s">
        <v>9409</v>
      </c>
      <c r="C1458" s="306" t="s">
        <v>8137</v>
      </c>
      <c r="D1458" s="307">
        <v>301.16000000000003</v>
      </c>
      <c r="E1458" s="305" t="s">
        <v>8076</v>
      </c>
    </row>
    <row r="1459" spans="1:6" ht="18.149999999999999" customHeight="1">
      <c r="A1459" s="304">
        <v>43095</v>
      </c>
      <c r="B1459" s="309" t="s">
        <v>9410</v>
      </c>
      <c r="C1459" s="306" t="s">
        <v>8137</v>
      </c>
      <c r="D1459" s="307">
        <v>459.83</v>
      </c>
      <c r="E1459" s="305" t="s">
        <v>8076</v>
      </c>
    </row>
    <row r="1460" spans="1:6" ht="9" customHeight="1">
      <c r="A1460" s="304">
        <v>43096</v>
      </c>
      <c r="B1460" s="305" t="s">
        <v>9411</v>
      </c>
      <c r="C1460" s="306" t="s">
        <v>8137</v>
      </c>
      <c r="D1460" s="307">
        <v>582.84</v>
      </c>
      <c r="E1460" s="308"/>
    </row>
    <row r="1461" spans="1:6" ht="9" customHeight="1">
      <c r="A1461" s="304">
        <v>43098</v>
      </c>
      <c r="B1461" s="305" t="s">
        <v>9412</v>
      </c>
      <c r="C1461" s="306" t="s">
        <v>8137</v>
      </c>
      <c r="D1461" s="307">
        <v>20.32</v>
      </c>
      <c r="E1461" s="308"/>
    </row>
    <row r="1462" spans="1:6" ht="9" customHeight="1">
      <c r="A1462" s="304">
        <v>43097</v>
      </c>
      <c r="B1462" s="305" t="s">
        <v>9413</v>
      </c>
      <c r="C1462" s="306" t="s">
        <v>8137</v>
      </c>
      <c r="D1462" s="307">
        <v>39.340000000000003</v>
      </c>
      <c r="E1462" s="308"/>
    </row>
    <row r="1463" spans="1:6" ht="9" customHeight="1">
      <c r="A1463" s="304">
        <v>43100</v>
      </c>
      <c r="B1463" s="305" t="s">
        <v>9414</v>
      </c>
      <c r="C1463" s="306" t="s">
        <v>8137</v>
      </c>
      <c r="D1463" s="307">
        <v>30.95</v>
      </c>
      <c r="E1463" s="308"/>
    </row>
    <row r="1464" spans="1:6" ht="9" customHeight="1">
      <c r="A1464" s="304">
        <v>43101</v>
      </c>
      <c r="B1464" s="305" t="s">
        <v>9415</v>
      </c>
      <c r="C1464" s="306" t="s">
        <v>8137</v>
      </c>
      <c r="D1464" s="307">
        <v>7.22</v>
      </c>
      <c r="E1464" s="308"/>
    </row>
    <row r="1465" spans="1:6" ht="9" customHeight="1">
      <c r="A1465" s="304">
        <v>43102</v>
      </c>
      <c r="B1465" s="305" t="s">
        <v>9416</v>
      </c>
      <c r="C1465" s="306" t="s">
        <v>8137</v>
      </c>
      <c r="D1465" s="307">
        <v>7.58</v>
      </c>
      <c r="E1465" s="308"/>
    </row>
    <row r="1466" spans="1:6" ht="9" customHeight="1">
      <c r="A1466" s="304">
        <v>42614</v>
      </c>
      <c r="B1466" s="305" t="s">
        <v>9417</v>
      </c>
      <c r="C1466" s="306" t="s">
        <v>8137</v>
      </c>
      <c r="D1466" s="307">
        <v>205.76</v>
      </c>
      <c r="E1466" s="305" t="s">
        <v>8076</v>
      </c>
    </row>
    <row r="1467" spans="1:6" ht="18.149999999999999" customHeight="1">
      <c r="A1467" s="304">
        <v>43104</v>
      </c>
      <c r="B1467" s="309" t="s">
        <v>9418</v>
      </c>
      <c r="C1467" s="306" t="s">
        <v>8137</v>
      </c>
      <c r="D1467" s="307">
        <v>10.08</v>
      </c>
      <c r="E1467" s="310"/>
    </row>
    <row r="1468" spans="1:6" ht="9" customHeight="1">
      <c r="A1468" s="304">
        <v>43105</v>
      </c>
      <c r="B1468" s="305" t="s">
        <v>9419</v>
      </c>
      <c r="C1468" s="306" t="s">
        <v>8022</v>
      </c>
      <c r="D1468" s="307">
        <v>324.16000000000003</v>
      </c>
      <c r="E1468" s="305" t="s">
        <v>8076</v>
      </c>
    </row>
    <row r="1469" spans="1:6" ht="9" customHeight="1">
      <c r="A1469" s="304">
        <v>43106</v>
      </c>
      <c r="B1469" s="305" t="s">
        <v>9420</v>
      </c>
      <c r="C1469" s="306" t="s">
        <v>8022</v>
      </c>
      <c r="D1469" s="307">
        <v>157.15</v>
      </c>
      <c r="E1469" s="305" t="s">
        <v>8076</v>
      </c>
    </row>
    <row r="1470" spans="1:6" ht="9" customHeight="1">
      <c r="A1470" s="304">
        <v>43111</v>
      </c>
      <c r="B1470" s="305" t="s">
        <v>9421</v>
      </c>
      <c r="C1470" s="306" t="s">
        <v>8137</v>
      </c>
      <c r="D1470" s="307">
        <v>3.66</v>
      </c>
      <c r="E1470" s="308"/>
    </row>
    <row r="1471" spans="1:6" ht="9" customHeight="1">
      <c r="A1471" s="858" t="s">
        <v>9422</v>
      </c>
      <c r="B1471" s="858"/>
      <c r="C1471" s="858"/>
      <c r="D1471" s="858"/>
      <c r="E1471" s="858"/>
      <c r="F1471" s="858"/>
    </row>
    <row r="1472" spans="1:6" ht="9" customHeight="1">
      <c r="A1472" s="301" t="s">
        <v>8014</v>
      </c>
      <c r="B1472" s="302" t="s">
        <v>8015</v>
      </c>
      <c r="C1472" s="301" t="s">
        <v>8016</v>
      </c>
      <c r="D1472" s="303" t="s">
        <v>8017</v>
      </c>
      <c r="E1472" s="302" t="s">
        <v>8018</v>
      </c>
    </row>
    <row r="1473" spans="1:6" ht="18.149999999999999" customHeight="1">
      <c r="A1473" s="304">
        <v>41578</v>
      </c>
      <c r="B1473" s="309" t="s">
        <v>9423</v>
      </c>
      <c r="C1473" s="306" t="s">
        <v>8598</v>
      </c>
      <c r="D1473" s="307">
        <v>705.18</v>
      </c>
      <c r="E1473" s="310"/>
    </row>
    <row r="1474" spans="1:6" ht="18.149999999999999" customHeight="1">
      <c r="A1474" s="304">
        <v>42511</v>
      </c>
      <c r="B1474" s="309" t="s">
        <v>9424</v>
      </c>
      <c r="C1474" s="306" t="s">
        <v>8598</v>
      </c>
      <c r="D1474" s="307">
        <v>461.48</v>
      </c>
      <c r="E1474" s="310"/>
    </row>
    <row r="1475" spans="1:6" ht="9" customHeight="1">
      <c r="A1475" s="304">
        <v>41579</v>
      </c>
      <c r="B1475" s="305" t="s">
        <v>9425</v>
      </c>
      <c r="C1475" s="306" t="s">
        <v>8598</v>
      </c>
      <c r="D1475" s="307">
        <v>604.07000000000005</v>
      </c>
      <c r="E1475" s="308"/>
    </row>
    <row r="1476" spans="1:6" ht="18.149999999999999" customHeight="1">
      <c r="A1476" s="304">
        <v>41494</v>
      </c>
      <c r="B1476" s="309" t="s">
        <v>9426</v>
      </c>
      <c r="C1476" s="306" t="s">
        <v>8598</v>
      </c>
      <c r="D1476" s="307">
        <v>752.8</v>
      </c>
      <c r="E1476" s="310"/>
    </row>
    <row r="1477" spans="1:6" ht="18.149999999999999" customHeight="1">
      <c r="A1477" s="304">
        <v>41678</v>
      </c>
      <c r="B1477" s="309" t="s">
        <v>9427</v>
      </c>
      <c r="C1477" s="306" t="s">
        <v>8598</v>
      </c>
      <c r="D1477" s="307">
        <v>713.91</v>
      </c>
      <c r="E1477" s="310"/>
    </row>
    <row r="1478" spans="1:6" ht="18.149999999999999" customHeight="1">
      <c r="A1478" s="304">
        <v>41455</v>
      </c>
      <c r="B1478" s="309" t="s">
        <v>9428</v>
      </c>
      <c r="C1478" s="306" t="s">
        <v>8598</v>
      </c>
      <c r="D1478" s="311">
        <v>1427.82</v>
      </c>
      <c r="E1478" s="310"/>
    </row>
    <row r="1479" spans="1:6" ht="18.149999999999999" customHeight="1">
      <c r="A1479" s="304">
        <v>41456</v>
      </c>
      <c r="B1479" s="309" t="s">
        <v>9429</v>
      </c>
      <c r="C1479" s="306" t="s">
        <v>8598</v>
      </c>
      <c r="D1479" s="311">
        <v>2032.57</v>
      </c>
      <c r="E1479" s="310"/>
    </row>
    <row r="1480" spans="1:6" ht="9" customHeight="1">
      <c r="A1480" s="858" t="s">
        <v>9422</v>
      </c>
      <c r="B1480" s="858"/>
      <c r="C1480" s="858"/>
      <c r="D1480" s="858"/>
      <c r="E1480" s="858"/>
      <c r="F1480" s="858"/>
    </row>
    <row r="1481" spans="1:6" ht="9" customHeight="1">
      <c r="A1481" s="301" t="s">
        <v>8014</v>
      </c>
      <c r="B1481" s="302" t="s">
        <v>8015</v>
      </c>
      <c r="C1481" s="301" t="s">
        <v>8016</v>
      </c>
      <c r="D1481" s="303" t="s">
        <v>8017</v>
      </c>
      <c r="E1481" s="302" t="s">
        <v>8018</v>
      </c>
    </row>
    <row r="1482" spans="1:6" ht="18.149999999999999" customHeight="1">
      <c r="A1482" s="304">
        <v>41580</v>
      </c>
      <c r="B1482" s="309" t="s">
        <v>9430</v>
      </c>
      <c r="C1482" s="306" t="s">
        <v>8598</v>
      </c>
      <c r="D1482" s="307">
        <v>756.17</v>
      </c>
      <c r="E1482" s="310"/>
    </row>
    <row r="1483" spans="1:6" ht="9" customHeight="1">
      <c r="A1483" s="304">
        <v>41454</v>
      </c>
      <c r="B1483" s="305" t="s">
        <v>9431</v>
      </c>
      <c r="C1483" s="306" t="s">
        <v>8598</v>
      </c>
      <c r="D1483" s="307">
        <v>427.77</v>
      </c>
      <c r="E1483" s="308"/>
    </row>
    <row r="1484" spans="1:6" ht="18.149999999999999" customHeight="1">
      <c r="A1484" s="304">
        <v>41498</v>
      </c>
      <c r="B1484" s="309" t="s">
        <v>9432</v>
      </c>
      <c r="C1484" s="306" t="s">
        <v>8020</v>
      </c>
      <c r="D1484" s="307">
        <v>455.5</v>
      </c>
      <c r="E1484" s="310"/>
    </row>
    <row r="1485" spans="1:6" ht="18.149999999999999" customHeight="1">
      <c r="A1485" s="304">
        <v>41531</v>
      </c>
      <c r="B1485" s="309" t="s">
        <v>9433</v>
      </c>
      <c r="C1485" s="306" t="s">
        <v>8020</v>
      </c>
      <c r="D1485" s="307">
        <v>407.45</v>
      </c>
      <c r="E1485" s="310"/>
    </row>
    <row r="1486" spans="1:6" ht="9" customHeight="1">
      <c r="A1486" s="304">
        <v>41557</v>
      </c>
      <c r="B1486" s="305" t="s">
        <v>9434</v>
      </c>
      <c r="C1486" s="306" t="s">
        <v>8137</v>
      </c>
      <c r="D1486" s="307">
        <v>164.81</v>
      </c>
      <c r="E1486" s="308"/>
    </row>
    <row r="1487" spans="1:6" ht="18.149999999999999" customHeight="1">
      <c r="A1487" s="304">
        <v>41506</v>
      </c>
      <c r="B1487" s="309" t="s">
        <v>9435</v>
      </c>
      <c r="C1487" s="306" t="s">
        <v>8020</v>
      </c>
      <c r="D1487" s="307">
        <v>43.99</v>
      </c>
      <c r="E1487" s="310"/>
    </row>
    <row r="1488" spans="1:6" ht="18.149999999999999" customHeight="1">
      <c r="A1488" s="304">
        <v>41505</v>
      </c>
      <c r="B1488" s="309" t="s">
        <v>9436</v>
      </c>
      <c r="C1488" s="306" t="s">
        <v>8020</v>
      </c>
      <c r="D1488" s="307">
        <v>86.77</v>
      </c>
      <c r="E1488" s="310"/>
    </row>
    <row r="1489" spans="1:5" ht="18.149999999999999" customHeight="1">
      <c r="A1489" s="304">
        <v>41528</v>
      </c>
      <c r="B1489" s="309" t="s">
        <v>9437</v>
      </c>
      <c r="C1489" s="306" t="s">
        <v>8020</v>
      </c>
      <c r="D1489" s="307">
        <v>159.84</v>
      </c>
      <c r="E1489" s="310"/>
    </row>
    <row r="1490" spans="1:5" ht="9" customHeight="1">
      <c r="A1490" s="304">
        <v>41546</v>
      </c>
      <c r="B1490" s="305" t="s">
        <v>9438</v>
      </c>
      <c r="C1490" s="306" t="s">
        <v>9439</v>
      </c>
      <c r="D1490" s="307">
        <v>237.15</v>
      </c>
      <c r="E1490" s="308"/>
    </row>
    <row r="1491" spans="1:5" ht="9" customHeight="1">
      <c r="A1491" s="304">
        <v>41545</v>
      </c>
      <c r="B1491" s="305" t="s">
        <v>9440</v>
      </c>
      <c r="C1491" s="306" t="s">
        <v>9439</v>
      </c>
      <c r="D1491" s="307">
        <v>202.75</v>
      </c>
      <c r="E1491" s="308"/>
    </row>
    <row r="1492" spans="1:5" ht="9" customHeight="1">
      <c r="A1492" s="304">
        <v>41547</v>
      </c>
      <c r="B1492" s="305" t="s">
        <v>9441</v>
      </c>
      <c r="C1492" s="306" t="s">
        <v>9439</v>
      </c>
      <c r="D1492" s="307">
        <v>197.08</v>
      </c>
      <c r="E1492" s="308"/>
    </row>
    <row r="1493" spans="1:5" ht="9" customHeight="1">
      <c r="A1493" s="304">
        <v>41497</v>
      </c>
      <c r="B1493" s="305" t="s">
        <v>9442</v>
      </c>
      <c r="C1493" s="306" t="s">
        <v>8036</v>
      </c>
      <c r="D1493" s="311">
        <v>3513.08</v>
      </c>
      <c r="E1493" s="308"/>
    </row>
    <row r="1494" spans="1:5" ht="9" customHeight="1">
      <c r="A1494" s="304">
        <v>41495</v>
      </c>
      <c r="B1494" s="305" t="s">
        <v>9443</v>
      </c>
      <c r="C1494" s="306" t="s">
        <v>8036</v>
      </c>
      <c r="D1494" s="307">
        <v>961.91</v>
      </c>
      <c r="E1494" s="308"/>
    </row>
    <row r="1495" spans="1:5" ht="9" customHeight="1">
      <c r="A1495" s="304">
        <v>41496</v>
      </c>
      <c r="B1495" s="305" t="s">
        <v>9444</v>
      </c>
      <c r="C1495" s="306" t="s">
        <v>8036</v>
      </c>
      <c r="D1495" s="311">
        <v>1775.36</v>
      </c>
      <c r="E1495" s="308"/>
    </row>
    <row r="1496" spans="1:5" ht="9" customHeight="1">
      <c r="A1496" s="304">
        <v>41544</v>
      </c>
      <c r="B1496" s="305" t="s">
        <v>9445</v>
      </c>
      <c r="C1496" s="306" t="s">
        <v>9439</v>
      </c>
      <c r="D1496" s="307">
        <v>383.78</v>
      </c>
      <c r="E1496" s="308"/>
    </row>
    <row r="1497" spans="1:5" ht="9" customHeight="1">
      <c r="A1497" s="304">
        <v>41500</v>
      </c>
      <c r="B1497" s="305" t="s">
        <v>9446</v>
      </c>
      <c r="C1497" s="306" t="s">
        <v>8020</v>
      </c>
      <c r="D1497" s="307">
        <v>184.38</v>
      </c>
      <c r="E1497" s="308"/>
    </row>
    <row r="1498" spans="1:5" ht="18.149999999999999" customHeight="1">
      <c r="A1498" s="304">
        <v>41501</v>
      </c>
      <c r="B1498" s="309" t="s">
        <v>9447</v>
      </c>
      <c r="C1498" s="306" t="s">
        <v>8137</v>
      </c>
      <c r="D1498" s="307">
        <v>33.869999999999997</v>
      </c>
      <c r="E1498" s="310"/>
    </row>
    <row r="1499" spans="1:5" ht="18.149999999999999" customHeight="1">
      <c r="A1499" s="304">
        <v>41499</v>
      </c>
      <c r="B1499" s="309" t="s">
        <v>9448</v>
      </c>
      <c r="C1499" s="306" t="s">
        <v>8137</v>
      </c>
      <c r="D1499" s="307">
        <v>294.5</v>
      </c>
      <c r="E1499" s="310"/>
    </row>
    <row r="1500" spans="1:5" ht="18.149999999999999" customHeight="1">
      <c r="A1500" s="304">
        <v>41503</v>
      </c>
      <c r="B1500" s="309" t="s">
        <v>9449</v>
      </c>
      <c r="C1500" s="306" t="s">
        <v>8137</v>
      </c>
      <c r="D1500" s="307">
        <v>434.27</v>
      </c>
      <c r="E1500" s="310"/>
    </row>
    <row r="1501" spans="1:5" ht="18.149999999999999" customHeight="1">
      <c r="A1501" s="304">
        <v>41530</v>
      </c>
      <c r="B1501" s="309" t="s">
        <v>9450</v>
      </c>
      <c r="C1501" s="306" t="s">
        <v>8020</v>
      </c>
      <c r="D1501" s="307">
        <v>382.91</v>
      </c>
      <c r="E1501" s="310"/>
    </row>
    <row r="1502" spans="1:5" ht="9" customHeight="1">
      <c r="A1502" s="304">
        <v>41527</v>
      </c>
      <c r="B1502" s="305" t="s">
        <v>9451</v>
      </c>
      <c r="C1502" s="306" t="s">
        <v>8036</v>
      </c>
      <c r="D1502" s="311">
        <v>1857.74</v>
      </c>
      <c r="E1502" s="308"/>
    </row>
    <row r="1503" spans="1:5" ht="18.149999999999999" customHeight="1">
      <c r="A1503" s="304">
        <v>41529</v>
      </c>
      <c r="B1503" s="309" t="s">
        <v>9452</v>
      </c>
      <c r="C1503" s="306" t="s">
        <v>8036</v>
      </c>
      <c r="D1503" s="311">
        <v>22167.7</v>
      </c>
      <c r="E1503" s="310"/>
    </row>
    <row r="1504" spans="1:5" ht="9" customHeight="1">
      <c r="A1504" s="304">
        <v>41555</v>
      </c>
      <c r="B1504" s="305" t="s">
        <v>9453</v>
      </c>
      <c r="C1504" s="306" t="s">
        <v>8036</v>
      </c>
      <c r="D1504" s="311">
        <v>5607.34</v>
      </c>
      <c r="E1504" s="308"/>
    </row>
    <row r="1505" spans="1:6" ht="18.149999999999999" customHeight="1">
      <c r="A1505" s="304">
        <v>100883</v>
      </c>
      <c r="B1505" s="309" t="s">
        <v>9454</v>
      </c>
      <c r="C1505" s="306" t="s">
        <v>8137</v>
      </c>
      <c r="D1505" s="307">
        <v>171.2</v>
      </c>
      <c r="E1505" s="310"/>
    </row>
    <row r="1506" spans="1:6" ht="18.149999999999999" customHeight="1">
      <c r="A1506" s="304">
        <v>100882</v>
      </c>
      <c r="B1506" s="309" t="s">
        <v>9455</v>
      </c>
      <c r="C1506" s="306" t="s">
        <v>8137</v>
      </c>
      <c r="D1506" s="307">
        <v>140.91999999999999</v>
      </c>
      <c r="E1506" s="310"/>
    </row>
    <row r="1507" spans="1:6" ht="9" customHeight="1">
      <c r="A1507" s="858" t="s">
        <v>9456</v>
      </c>
      <c r="B1507" s="858"/>
      <c r="C1507" s="858"/>
      <c r="D1507" s="858"/>
      <c r="E1507" s="858"/>
      <c r="F1507" s="858"/>
    </row>
    <row r="1508" spans="1:6" ht="9" customHeight="1">
      <c r="A1508" s="301" t="s">
        <v>8014</v>
      </c>
      <c r="B1508" s="302" t="s">
        <v>8015</v>
      </c>
      <c r="C1508" s="301" t="s">
        <v>8016</v>
      </c>
      <c r="D1508" s="303" t="s">
        <v>8017</v>
      </c>
      <c r="E1508" s="302" t="s">
        <v>8018</v>
      </c>
    </row>
    <row r="1509" spans="1:6" ht="9" customHeight="1">
      <c r="A1509" s="304">
        <v>100390</v>
      </c>
      <c r="B1509" s="305" t="s">
        <v>9457</v>
      </c>
      <c r="C1509" s="306" t="s">
        <v>9458</v>
      </c>
      <c r="D1509" s="307">
        <v>0</v>
      </c>
      <c r="E1509" s="308"/>
    </row>
  </sheetData>
  <mergeCells count="49">
    <mergeCell ref="A1507:F1507"/>
    <mergeCell ref="A1281:F1281"/>
    <mergeCell ref="A1333:F1333"/>
    <mergeCell ref="A1382:F1382"/>
    <mergeCell ref="A1429:F1429"/>
    <mergeCell ref="A1471:F1471"/>
    <mergeCell ref="A1480:F1480"/>
    <mergeCell ref="A1237:F1237"/>
    <mergeCell ref="A964:F964"/>
    <mergeCell ref="A971:F971"/>
    <mergeCell ref="A1018:F1018"/>
    <mergeCell ref="A1021:F1021"/>
    <mergeCell ref="A1025:F1025"/>
    <mergeCell ref="A1046:F1046"/>
    <mergeCell ref="A1064:F1064"/>
    <mergeCell ref="A1082:F1082"/>
    <mergeCell ref="A1113:F1113"/>
    <mergeCell ref="A1165:F1165"/>
    <mergeCell ref="A1201:F1201"/>
    <mergeCell ref="A947:F947"/>
    <mergeCell ref="A719:F719"/>
    <mergeCell ref="A732:F732"/>
    <mergeCell ref="A759:F759"/>
    <mergeCell ref="A791:F791"/>
    <mergeCell ref="A810:F810"/>
    <mergeCell ref="A815:F815"/>
    <mergeCell ref="A847:F847"/>
    <mergeCell ref="A851:F851"/>
    <mergeCell ref="A871:F871"/>
    <mergeCell ref="A925:F925"/>
    <mergeCell ref="A929:F929"/>
    <mergeCell ref="A706:F706"/>
    <mergeCell ref="A201:F201"/>
    <mergeCell ref="A212:F212"/>
    <mergeCell ref="A253:F253"/>
    <mergeCell ref="A313:F313"/>
    <mergeCell ref="A358:F358"/>
    <mergeCell ref="A398:F398"/>
    <mergeCell ref="A434:F434"/>
    <mergeCell ref="A493:F493"/>
    <mergeCell ref="A542:F542"/>
    <mergeCell ref="A600:F600"/>
    <mergeCell ref="A648:F648"/>
    <mergeCell ref="A154:F154"/>
    <mergeCell ref="A1:F1"/>
    <mergeCell ref="A2:F2"/>
    <mergeCell ref="A53:F53"/>
    <mergeCell ref="A58:F58"/>
    <mergeCell ref="A103:F103"/>
  </mergeCells>
  <pageMargins left="0.7" right="0.7" top="0.75" bottom="0.75" header="0.3" footer="0.3"/>
  <pageSetup paperSize="9" scale="78"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C1:F1"/>
  <sheetViews>
    <sheetView showGridLines="0" view="pageBreakPreview" zoomScale="90" zoomScaleNormal="90" zoomScaleSheetLayoutView="90" workbookViewId="0">
      <selection activeCell="E19" sqref="E19"/>
    </sheetView>
  </sheetViews>
  <sheetFormatPr defaultRowHeight="15" customHeight="1"/>
  <cols>
    <col min="1" max="1" width="5.88671875" customWidth="1"/>
    <col min="2" max="2" width="6" customWidth="1"/>
    <col min="3" max="4" width="12.88671875" style="21" customWidth="1"/>
    <col min="5" max="5" width="67.88671875" customWidth="1"/>
    <col min="6" max="6" width="8.6640625" style="21" customWidth="1"/>
    <col min="7" max="7" width="9.44140625" customWidth="1"/>
    <col min="8" max="8" width="11.6640625" customWidth="1"/>
    <col min="9" max="9" width="10.88671875" customWidth="1"/>
    <col min="10" max="10" width="14.44140625" customWidth="1"/>
    <col min="11" max="11" width="3.88671875" customWidth="1"/>
    <col min="12" max="12" width="18.109375" bestFit="1" customWidth="1"/>
    <col min="13" max="13" width="5.109375" customWidth="1"/>
  </cols>
  <sheetData/>
  <printOptions horizontalCentered="1"/>
  <pageMargins left="0.51181102362204722" right="0.51181102362204722" top="0.39370078740157483" bottom="0.78740157480314965" header="0.31496062992125984" footer="0.19685039370078741"/>
  <pageSetup paperSize="9" scale="84" orientation="landscape" r:id="rId1"/>
  <legacyDrawingHF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C1:F1"/>
  <sheetViews>
    <sheetView showGridLines="0" view="pageBreakPreview" zoomScale="85" zoomScaleNormal="90" zoomScaleSheetLayoutView="85" workbookViewId="0">
      <selection activeCell="E19" sqref="E19"/>
    </sheetView>
  </sheetViews>
  <sheetFormatPr defaultColWidth="9.109375" defaultRowHeight="15" customHeight="1"/>
  <cols>
    <col min="1" max="1" width="5.88671875" style="18" customWidth="1"/>
    <col min="2" max="2" width="6" style="18" customWidth="1"/>
    <col min="3" max="4" width="12.88671875" style="19" customWidth="1"/>
    <col min="5" max="5" width="67.88671875" style="18" customWidth="1"/>
    <col min="6" max="6" width="8.6640625" style="19" customWidth="1"/>
    <col min="7" max="7" width="9.44140625" style="18" customWidth="1"/>
    <col min="8" max="8" width="11.6640625" style="18" customWidth="1"/>
    <col min="9" max="9" width="10.88671875" style="18" customWidth="1"/>
    <col min="10" max="10" width="14.44140625" style="18" customWidth="1"/>
    <col min="11" max="11" width="3.88671875" style="18" customWidth="1"/>
    <col min="12" max="12" width="18.109375" style="18" bestFit="1" customWidth="1"/>
    <col min="13" max="13" width="5.109375" style="18" customWidth="1"/>
    <col min="14" max="16384" width="9.109375" style="18"/>
  </cols>
  <sheetData/>
  <printOptions horizontalCentered="1"/>
  <pageMargins left="0.51181102362204722" right="0.51181102362204722" top="0.39370078740157483" bottom="0.78740157480314965" header="0.31496062992125984" footer="0.19685039370078741"/>
  <pageSetup paperSize="9" scale="84" orientation="landscape" r:id="rId1"/>
  <legacyDrawingHF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2"/>
  <sheetViews>
    <sheetView showGridLines="0" view="pageBreakPreview" zoomScaleNormal="90" zoomScaleSheetLayoutView="100" workbookViewId="0">
      <selection activeCell="E19" sqref="E19"/>
    </sheetView>
  </sheetViews>
  <sheetFormatPr defaultRowHeight="15" customHeight="1"/>
  <cols>
    <col min="1" max="1" width="5.109375" customWidth="1"/>
  </cols>
  <sheetData>
    <row r="1" ht="15.75" customHeight="1"/>
    <row r="2" ht="15.75" customHeight="1"/>
  </sheetData>
  <printOptions horizontalCentered="1"/>
  <pageMargins left="0.51181102362204722" right="0.51181102362204722" top="0.39370078740157483" bottom="0.78740157480314965" header="0.31496062992125984" footer="0.19685039370078741"/>
  <pageSetup paperSize="9" scale="84" orientation="landscape" r:id="rId1"/>
  <legacyDrawingHF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C1:F1"/>
  <sheetViews>
    <sheetView showGridLines="0" view="pageBreakPreview" zoomScale="90" zoomScaleNormal="90" zoomScaleSheetLayoutView="90" workbookViewId="0">
      <selection activeCell="E19" sqref="E19"/>
    </sheetView>
  </sheetViews>
  <sheetFormatPr defaultRowHeight="15" customHeight="1"/>
  <cols>
    <col min="1" max="1" width="6.6640625" customWidth="1"/>
    <col min="2" max="2" width="6" customWidth="1"/>
    <col min="3" max="4" width="12.88671875" style="21" customWidth="1"/>
    <col min="5" max="5" width="67.88671875" customWidth="1"/>
    <col min="6" max="6" width="8.6640625" style="21" customWidth="1"/>
    <col min="7" max="7" width="9.44140625" customWidth="1"/>
    <col min="8" max="8" width="11.6640625" customWidth="1"/>
    <col min="9" max="9" width="10.88671875" customWidth="1"/>
    <col min="10" max="10" width="14.44140625" customWidth="1"/>
    <col min="11" max="11" width="3.88671875" customWidth="1"/>
    <col min="12" max="12" width="18.109375" bestFit="1" customWidth="1"/>
    <col min="13" max="13" width="6.6640625" customWidth="1"/>
  </cols>
  <sheetData/>
  <printOptions horizontalCentered="1"/>
  <pageMargins left="0.51181102362204722" right="0.51181102362204722" top="0.39370078740157483" bottom="0.78740157480314965" header="0.31496062992125984" footer="0.19685039370078741"/>
  <pageSetup paperSize="9" scale="84" orientation="landscape" r:id="rId1"/>
  <legacyDrawingHF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C1:F1"/>
  <sheetViews>
    <sheetView showGridLines="0" view="pageBreakPreview" zoomScaleNormal="90" zoomScaleSheetLayoutView="100" workbookViewId="0">
      <selection activeCell="E19" sqref="E19"/>
    </sheetView>
  </sheetViews>
  <sheetFormatPr defaultColWidth="9.109375" defaultRowHeight="15" customHeight="1"/>
  <cols>
    <col min="1" max="1" width="5.88671875" style="20" customWidth="1"/>
    <col min="2" max="2" width="6" style="20" customWidth="1"/>
    <col min="3" max="4" width="12.88671875" style="58" customWidth="1"/>
    <col min="5" max="5" width="67.88671875" style="20" customWidth="1"/>
    <col min="6" max="6" width="8.6640625" style="58" customWidth="1"/>
    <col min="7" max="7" width="9.44140625" style="20" customWidth="1"/>
    <col min="8" max="8" width="11.6640625" style="20" customWidth="1"/>
    <col min="9" max="9" width="10.88671875" style="20" customWidth="1"/>
    <col min="10" max="10" width="14.44140625" style="20" customWidth="1"/>
    <col min="11" max="11" width="3.88671875" style="20" customWidth="1"/>
    <col min="12" max="12" width="18.109375" style="20" bestFit="1" customWidth="1"/>
    <col min="13" max="13" width="4.33203125" style="20" bestFit="1" customWidth="1"/>
    <col min="14" max="16384" width="9.109375" style="20"/>
  </cols>
  <sheetData/>
  <printOptions horizontalCentered="1"/>
  <pageMargins left="0.51181102362204722" right="0.51181102362204722" top="0.39370078740157483" bottom="0.78740157480314965" header="0.31496062992125984" footer="0.19685039370078741"/>
  <pageSetup paperSize="9" scale="83" orientation="landscape" r:id="rId1"/>
  <legacyDrawingHF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J1"/>
  <sheetViews>
    <sheetView showGridLines="0" view="pageBreakPreview" zoomScale="90" zoomScaleNormal="90" zoomScaleSheetLayoutView="90" workbookViewId="0">
      <selection activeCell="E19" sqref="E19"/>
    </sheetView>
  </sheetViews>
  <sheetFormatPr defaultRowHeight="15" customHeight="1"/>
  <cols>
    <col min="1" max="1" width="5.88671875" style="18" customWidth="1"/>
    <col min="2" max="2" width="6" style="18" customWidth="1"/>
    <col min="3" max="4" width="12.88671875" style="19" customWidth="1"/>
    <col min="5" max="5" width="67.88671875" style="18" customWidth="1"/>
    <col min="6" max="6" width="8.6640625" style="19" customWidth="1"/>
    <col min="7" max="7" width="9.44140625" style="18" customWidth="1"/>
    <col min="8" max="8" width="11.6640625" style="18" customWidth="1"/>
    <col min="9" max="9" width="10.88671875" style="18" customWidth="1"/>
    <col min="10" max="10" width="14.44140625" style="18" customWidth="1"/>
    <col min="11" max="11" width="3.88671875" customWidth="1"/>
    <col min="12" max="12" width="18.109375" bestFit="1" customWidth="1"/>
    <col min="13" max="13" width="5.109375" customWidth="1"/>
  </cols>
  <sheetData/>
  <sortState xmlns:xlrd2="http://schemas.microsoft.com/office/spreadsheetml/2017/richdata2" ref="E52:E129">
    <sortCondition ref="E52"/>
  </sortState>
  <printOptions horizontalCentered="1"/>
  <pageMargins left="0.51181102362204722" right="0.51181102362204722" top="0.39370078740157483" bottom="0.78740157480314965" header="0.31496062992125984" footer="0.19685039370078741"/>
  <pageSetup paperSize="9" scale="84" orientation="landscape" r:id="rId1"/>
  <legacyDrawingHF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C1:F1"/>
  <sheetViews>
    <sheetView showGridLines="0" view="pageBreakPreview" zoomScale="90" zoomScaleNormal="90" zoomScaleSheetLayoutView="90" workbookViewId="0">
      <selection activeCell="E19" sqref="E19"/>
    </sheetView>
  </sheetViews>
  <sheetFormatPr defaultColWidth="9.109375" defaultRowHeight="15" customHeight="1"/>
  <cols>
    <col min="1" max="1" width="5.88671875" style="56" customWidth="1"/>
    <col min="2" max="2" width="6" style="56" customWidth="1"/>
    <col min="3" max="4" width="12.88671875" style="57" customWidth="1"/>
    <col min="5" max="5" width="67.88671875" style="56" customWidth="1"/>
    <col min="6" max="6" width="8.6640625" style="57" customWidth="1"/>
    <col min="7" max="7" width="9.44140625" style="56" customWidth="1"/>
    <col min="8" max="8" width="11.6640625" style="56" customWidth="1"/>
    <col min="9" max="9" width="10.88671875" style="56" customWidth="1"/>
    <col min="10" max="10" width="14.44140625" style="56" customWidth="1"/>
    <col min="11" max="11" width="3.88671875" style="56" customWidth="1"/>
    <col min="12" max="12" width="18.109375" style="56" bestFit="1" customWidth="1"/>
    <col min="13" max="13" width="5.109375" style="56" customWidth="1"/>
    <col min="14" max="16384" width="9.109375" style="56"/>
  </cols>
  <sheetData/>
  <printOptions horizontalCentered="1"/>
  <pageMargins left="0.51181102362204722" right="0.51181102362204722" top="0.39370078740157483" bottom="0.78740157480314965" header="0.31496062992125984" footer="0.19685039370078741"/>
  <pageSetup paperSize="9" scale="84" orientation="landscape" r:id="rId1"/>
  <legacyDrawingHF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C1:F1"/>
  <sheetViews>
    <sheetView showGridLines="0" view="pageBreakPreview" zoomScale="90" zoomScaleNormal="90" zoomScaleSheetLayoutView="90" workbookViewId="0">
      <selection activeCell="E19" sqref="E19"/>
    </sheetView>
  </sheetViews>
  <sheetFormatPr defaultRowHeight="15" customHeight="1"/>
  <cols>
    <col min="1" max="1" width="5.88671875" customWidth="1"/>
    <col min="2" max="2" width="6" customWidth="1"/>
    <col min="3" max="4" width="12.88671875" style="21" customWidth="1"/>
    <col min="5" max="5" width="67.88671875" customWidth="1"/>
    <col min="6" max="6" width="8.6640625" style="21" customWidth="1"/>
    <col min="7" max="7" width="9.44140625" customWidth="1"/>
    <col min="8" max="8" width="11.6640625" customWidth="1"/>
    <col min="9" max="9" width="10.88671875" customWidth="1"/>
    <col min="10" max="10" width="14.44140625" customWidth="1"/>
    <col min="11" max="11" width="3.88671875" customWidth="1"/>
    <col min="12" max="12" width="18.109375" bestFit="1" customWidth="1"/>
    <col min="13" max="13" width="5.109375" customWidth="1"/>
  </cols>
  <sheetData/>
  <printOptions horizontalCentered="1"/>
  <pageMargins left="0.51181102362204722" right="0.51181102362204722" top="0.39370078740157483" bottom="0.78740157480314965" header="0.31496062992125984" footer="0.19685039370078741"/>
  <pageSetup paperSize="9" scale="84" orientation="landscape" r:id="rId1"/>
  <legacyDrawingHF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C1:F1"/>
  <sheetViews>
    <sheetView showGridLines="0" view="pageBreakPreview" zoomScale="90" zoomScaleNormal="90" zoomScaleSheetLayoutView="90" workbookViewId="0">
      <selection activeCell="E19" sqref="E19"/>
    </sheetView>
  </sheetViews>
  <sheetFormatPr defaultRowHeight="15" customHeight="1"/>
  <cols>
    <col min="1" max="1" width="5.88671875" customWidth="1"/>
    <col min="2" max="2" width="6" customWidth="1"/>
    <col min="3" max="4" width="12.88671875" style="21" customWidth="1"/>
    <col min="5" max="5" width="67.88671875" customWidth="1"/>
    <col min="6" max="6" width="8.6640625" style="21" customWidth="1"/>
    <col min="7" max="7" width="9.44140625" customWidth="1"/>
    <col min="8" max="8" width="11.6640625" customWidth="1"/>
    <col min="9" max="9" width="10.88671875" customWidth="1"/>
    <col min="10" max="10" width="14.44140625" customWidth="1"/>
    <col min="11" max="11" width="3.88671875" customWidth="1"/>
    <col min="12" max="12" width="18.109375" bestFit="1" customWidth="1"/>
    <col min="13" max="13" width="5.109375" customWidth="1"/>
  </cols>
  <sheetData/>
  <printOptions horizontalCentered="1"/>
  <pageMargins left="0.51181102362204722" right="0.51181102362204722" top="0.39370078740157483" bottom="0.78740157480314965" header="0.31496062992125984" footer="0.19685039370078741"/>
  <pageSetup paperSize="9" scale="84" orientation="landscape" r:id="rId1"/>
  <legacyDrawingHF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C1:F1"/>
  <sheetViews>
    <sheetView showGridLines="0" view="pageBreakPreview" zoomScale="90" zoomScaleNormal="90" zoomScaleSheetLayoutView="90" workbookViewId="0">
      <selection activeCell="E19" sqref="E19"/>
    </sheetView>
  </sheetViews>
  <sheetFormatPr defaultRowHeight="15" customHeight="1"/>
  <cols>
    <col min="1" max="1" width="5.88671875" customWidth="1"/>
    <col min="2" max="2" width="4.44140625" customWidth="1"/>
    <col min="3" max="4" width="12.88671875" style="21" customWidth="1"/>
    <col min="5" max="5" width="67.88671875" customWidth="1"/>
    <col min="6" max="6" width="8.109375" style="21" bestFit="1" customWidth="1"/>
    <col min="7" max="7" width="9.44140625" customWidth="1"/>
    <col min="8" max="8" width="11.6640625" customWidth="1"/>
    <col min="9" max="9" width="10.88671875" customWidth="1"/>
    <col min="10" max="10" width="15.88671875" customWidth="1"/>
    <col min="11" max="11" width="3.88671875" customWidth="1"/>
    <col min="12" max="12" width="18.109375" bestFit="1" customWidth="1"/>
    <col min="13" max="13" width="5.109375" customWidth="1"/>
  </cols>
  <sheetData/>
  <printOptions horizontalCentered="1"/>
  <pageMargins left="0.51181102362204722" right="0.51181102362204722" top="0.19685039370078741" bottom="0.78740157480314965" header="0.31496062992125984" footer="0.19685039370078741"/>
  <pageSetup paperSize="9" scale="85" orientation="landscape" r:id="rId1"/>
  <legacyDrawingHF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2:I2"/>
  <sheetViews>
    <sheetView workbookViewId="0">
      <selection activeCell="R12" sqref="R12"/>
    </sheetView>
  </sheetViews>
  <sheetFormatPr defaultRowHeight="14.4"/>
  <cols>
    <col min="6" max="6" width="12" customWidth="1"/>
  </cols>
  <sheetData>
    <row r="2" spans="1:9">
      <c r="A2">
        <v>2034</v>
      </c>
      <c r="B2" s="740" t="s">
        <v>9685</v>
      </c>
      <c r="C2" s="740"/>
      <c r="D2" s="740"/>
      <c r="E2" s="740"/>
      <c r="F2" s="740"/>
      <c r="G2" t="s">
        <v>74</v>
      </c>
      <c r="I2">
        <f>116.77*1.2764</f>
        <v>149.04522799999998</v>
      </c>
    </row>
  </sheetData>
  <mergeCells count="1">
    <mergeCell ref="B2:F2"/>
  </mergeCells>
  <pageMargins left="0.511811024" right="0.511811024" top="0.78740157499999996" bottom="0.78740157499999996" header="0.31496062000000002" footer="0.3149606200000000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C10"/>
  <sheetViews>
    <sheetView view="pageBreakPreview" zoomScaleSheetLayoutView="100" workbookViewId="0">
      <selection activeCell="H9" sqref="H9"/>
    </sheetView>
  </sheetViews>
  <sheetFormatPr defaultRowHeight="14.4"/>
  <cols>
    <col min="1" max="1" width="9.109375" style="21"/>
    <col min="2" max="2" width="23.5546875" customWidth="1"/>
    <col min="3" max="3" width="22" customWidth="1"/>
  </cols>
  <sheetData>
    <row r="1" spans="1:3">
      <c r="A1" s="866">
        <f>GLOBAL!A1</f>
        <v>0</v>
      </c>
      <c r="B1" s="867"/>
      <c r="C1" s="868"/>
    </row>
    <row r="2" spans="1:3">
      <c r="A2" s="869"/>
      <c r="B2" s="870"/>
      <c r="C2" s="871"/>
    </row>
    <row r="3" spans="1:3" ht="15" customHeight="1">
      <c r="A3" s="862">
        <f>GLOBAL!A2</f>
        <v>0</v>
      </c>
      <c r="B3" s="863"/>
      <c r="C3" s="315" t="s">
        <v>2131</v>
      </c>
    </row>
    <row r="4" spans="1:3" ht="43.5" customHeight="1">
      <c r="A4" s="864"/>
      <c r="B4" s="865"/>
      <c r="C4" s="316" t="s">
        <v>9654</v>
      </c>
    </row>
    <row r="5" spans="1:3" ht="15.6">
      <c r="A5" s="872" t="s">
        <v>9745</v>
      </c>
      <c r="B5" s="873"/>
      <c r="C5" s="874"/>
    </row>
    <row r="6" spans="1:3" ht="15.6">
      <c r="A6" s="317" t="s">
        <v>1</v>
      </c>
      <c r="B6" s="318" t="s">
        <v>9739</v>
      </c>
      <c r="C6" s="321" t="s">
        <v>9740</v>
      </c>
    </row>
    <row r="7" spans="1:3" ht="15.6">
      <c r="A7" s="322">
        <v>1</v>
      </c>
      <c r="B7" s="319" t="s">
        <v>9741</v>
      </c>
      <c r="C7" s="323">
        <v>5633.28</v>
      </c>
    </row>
    <row r="8" spans="1:3" ht="15.6">
      <c r="A8" s="322">
        <v>2</v>
      </c>
      <c r="B8" s="319" t="s">
        <v>9742</v>
      </c>
      <c r="C8" s="323">
        <v>5345.02</v>
      </c>
    </row>
    <row r="9" spans="1:3" ht="15.6">
      <c r="A9" s="322">
        <v>3</v>
      </c>
      <c r="B9" s="319" t="s">
        <v>9743</v>
      </c>
      <c r="C9" s="323">
        <v>4301.99</v>
      </c>
    </row>
    <row r="10" spans="1:3" ht="16.2" thickBot="1">
      <c r="A10" s="860" t="s">
        <v>9744</v>
      </c>
      <c r="B10" s="861"/>
      <c r="C10" s="320">
        <f>AVERAGE(C7,C8,C9)</f>
        <v>5093.4299999999994</v>
      </c>
    </row>
  </sheetData>
  <mergeCells count="4">
    <mergeCell ref="A10:B10"/>
    <mergeCell ref="A3:B4"/>
    <mergeCell ref="A1:C2"/>
    <mergeCell ref="A5:C5"/>
  </mergeCells>
  <printOptions horizontalCentered="1"/>
  <pageMargins left="0.51181102362204722" right="0.51181102362204722" top="0.78740157480314965" bottom="0.78740157480314965" header="0.31496062992125984" footer="0.31496062992125984"/>
  <pageSetup paperSize="9" scale="14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29</vt:i4>
      </vt:variant>
      <vt:variant>
        <vt:lpstr>Intervalos Nomeados</vt:lpstr>
      </vt:variant>
      <vt:variant>
        <vt:i4>23</vt:i4>
      </vt:variant>
    </vt:vector>
  </HeadingPairs>
  <TitlesOfParts>
    <vt:vector size="52" baseType="lpstr">
      <vt:lpstr>RESUMO</vt:lpstr>
      <vt:lpstr>GLOBAL</vt:lpstr>
      <vt:lpstr>MEM-LEVANT</vt:lpstr>
      <vt:lpstr>CRONOGRAMA</vt:lpstr>
      <vt:lpstr>CURVA ABC_</vt:lpstr>
      <vt:lpstr>SINAPI-SERVIÇOS</vt:lpstr>
      <vt:lpstr>LABOR-INSUMOS</vt:lpstr>
      <vt:lpstr>SAPATAS-ANEXOI</vt:lpstr>
      <vt:lpstr>CINTAS E VIGAS-ANEXOII</vt:lpstr>
      <vt:lpstr>PILARES E PILARETES-ANEXOIII</vt:lpstr>
      <vt:lpstr>SINAPI-INSUMOS</vt:lpstr>
      <vt:lpstr>LABOR-SERVIÇOS</vt:lpstr>
      <vt:lpstr>ARQ-COMP</vt:lpstr>
      <vt:lpstr>ADM-COMP</vt:lpstr>
      <vt:lpstr>CURVA ABC</vt:lpstr>
      <vt:lpstr>LS-COMP</vt:lpstr>
      <vt:lpstr>DER-ES JAN-18</vt:lpstr>
      <vt:lpstr>CLI-COMP</vt:lpstr>
      <vt:lpstr>EST-COMP</vt:lpstr>
      <vt:lpstr>GAS-COMP</vt:lpstr>
      <vt:lpstr>IMPER-COMP</vt:lpstr>
      <vt:lpstr>HID-COMP</vt:lpstr>
      <vt:lpstr>IMPL-COMP</vt:lpstr>
      <vt:lpstr>INC-COMP</vt:lpstr>
      <vt:lpstr>SCE-COMP</vt:lpstr>
      <vt:lpstr>SEG-COMP</vt:lpstr>
      <vt:lpstr>SPDA-COMP</vt:lpstr>
      <vt:lpstr>ORSE</vt:lpstr>
      <vt:lpstr>QUADRO RESUMO</vt:lpstr>
      <vt:lpstr>'ADM-COMP'!Area_de_impressao</vt:lpstr>
      <vt:lpstr>'ARQ-COMP'!Area_de_impressao</vt:lpstr>
      <vt:lpstr>'CINTAS E VIGAS-ANEXOII'!Area_de_impressao</vt:lpstr>
      <vt:lpstr>'CLI-COMP'!Area_de_impressao</vt:lpstr>
      <vt:lpstr>CRONOGRAMA!Area_de_impressao</vt:lpstr>
      <vt:lpstr>'CURVA ABC'!Area_de_impressao</vt:lpstr>
      <vt:lpstr>'EST-COMP'!Area_de_impressao</vt:lpstr>
      <vt:lpstr>GLOBAL!Area_de_impressao</vt:lpstr>
      <vt:lpstr>'IMPL-COMP'!Area_de_impressao</vt:lpstr>
      <vt:lpstr>'LS-COMP'!Area_de_impressao</vt:lpstr>
      <vt:lpstr>'MEM-LEVANT'!Area_de_impressao</vt:lpstr>
      <vt:lpstr>'PILARES E PILARETES-ANEXOIII'!Area_de_impressao</vt:lpstr>
      <vt:lpstr>'QUADRO RESUMO'!Area_de_impressao</vt:lpstr>
      <vt:lpstr>RESUMO!Area_de_impressao</vt:lpstr>
      <vt:lpstr>'SAPATAS-ANEXOI'!Area_de_impressao</vt:lpstr>
      <vt:lpstr>'SEG-COMP'!Area_de_impressao</vt:lpstr>
      <vt:lpstr>'SPDA-COMP'!Area_de_impressao</vt:lpstr>
      <vt:lpstr>'ADM-COMP'!Titulos_de_impressao</vt:lpstr>
      <vt:lpstr>'ARQ-COMP'!Titulos_de_impressao</vt:lpstr>
      <vt:lpstr>'GAS-COMP'!Titulos_de_impressao</vt:lpstr>
      <vt:lpstr>GLOBAL!Titulos_de_impressao</vt:lpstr>
      <vt:lpstr>'LS-COMP'!Titulos_de_impressao</vt:lpstr>
      <vt:lpstr>'MEM-LEVANT'!Titulos_de_impressao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Vitor Varejão</dc:creator>
  <cp:lastModifiedBy>Fernanda Rodrigues Da Silva</cp:lastModifiedBy>
  <cp:lastPrinted>2024-03-07T16:20:51Z</cp:lastPrinted>
  <dcterms:created xsi:type="dcterms:W3CDTF">2014-08-19T16:48:36Z</dcterms:created>
  <dcterms:modified xsi:type="dcterms:W3CDTF">2025-08-27T13:36:03Z</dcterms:modified>
</cp:coreProperties>
</file>